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in" sheetId="1" r:id="rId5"/>
    <sheet state="hidden" name="Item" sheetId="2" r:id="rId6"/>
    <sheet state="hidden" name="Price" sheetId="3" r:id="rId7"/>
    <sheet state="hidden" name="Product" sheetId="4" r:id="rId8"/>
    <sheet state="hidden" name="Sheet2" sheetId="5" r:id="rId9"/>
    <sheet state="hidden" name="Product2" sheetId="6" r:id="rId10"/>
    <sheet state="hidden" name="Product6" sheetId="7" r:id="rId11"/>
    <sheet state="hidden" name="Product5" sheetId="8" r:id="rId12"/>
    <sheet state="hidden" name="Converter" sheetId="9" r:id="rId13"/>
    <sheet state="hidden" name="ALLDATA" sheetId="10" r:id="rId14"/>
    <sheet state="hidden" name="Product3" sheetId="11" r:id="rId15"/>
    <sheet state="hidden" name="Product4" sheetId="12" r:id="rId16"/>
    <sheet state="hidden" name="Product7" sheetId="13" r:id="rId17"/>
    <sheet state="hidden" name="Product8" sheetId="14" r:id="rId18"/>
    <sheet state="hidden" name="Details" sheetId="15" r:id="rId19"/>
    <sheet state="visible" name="Quotation" sheetId="16" r:id="rId20"/>
    <sheet state="hidden" name="Customers" sheetId="17" r:id="rId21"/>
    <sheet state="hidden" name="Sheet20" sheetId="18" r:id="rId22"/>
  </sheets>
  <definedNames>
    <definedName name="dateColumn_Reminder_1612459588747">Customers!$J$1</definedName>
    <definedName hidden="1" localSheetId="3" name="_xlnm._FilterDatabase">Product!$BT$1:$BT$499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reminder_sent</t>
      </text>
    </comment>
  </commentList>
</comments>
</file>

<file path=xl/sharedStrings.xml><?xml version="1.0" encoding="utf-8"?>
<sst xmlns="http://schemas.openxmlformats.org/spreadsheetml/2006/main" count="2718" uniqueCount="420">
  <si>
    <t>Product Code</t>
  </si>
  <si>
    <t>Category</t>
  </si>
  <si>
    <t>Sub Category</t>
  </si>
  <si>
    <t>Specifications</t>
  </si>
  <si>
    <t>No.  of Ups</t>
  </si>
  <si>
    <t>Machine</t>
  </si>
  <si>
    <t>Flexible Machine</t>
  </si>
  <si>
    <t>Sheet W</t>
  </si>
  <si>
    <t>Sheet H</t>
  </si>
  <si>
    <t>GSM</t>
  </si>
  <si>
    <t>Final Qty</t>
  </si>
  <si>
    <t>Sheet Qty</t>
  </si>
  <si>
    <t>Work and Tumble</t>
  </si>
  <si>
    <t>Digital Qty</t>
  </si>
  <si>
    <t>SBS</t>
  </si>
  <si>
    <t>Other Type</t>
  </si>
  <si>
    <t>Designing</t>
  </si>
  <si>
    <t>Silver Foiling</t>
  </si>
  <si>
    <t>Printing</t>
  </si>
  <si>
    <t>Flexible Print</t>
  </si>
  <si>
    <t>Die</t>
  </si>
  <si>
    <t>Leafing / Embossing</t>
  </si>
  <si>
    <t>Window</t>
  </si>
  <si>
    <t>Pasting</t>
  </si>
  <si>
    <t>Other Charges</t>
  </si>
  <si>
    <t>Total</t>
  </si>
  <si>
    <t>Total Qty</t>
  </si>
  <si>
    <t>WhiteBack</t>
  </si>
  <si>
    <t>GreyBack</t>
  </si>
  <si>
    <t>Art Card</t>
  </si>
  <si>
    <t>Maplitho</t>
  </si>
  <si>
    <t>Custom Paper</t>
  </si>
  <si>
    <t>Lamination Thermal</t>
  </si>
  <si>
    <t>Lamination Normal Gloss</t>
  </si>
  <si>
    <t>Lamination Normal Matt</t>
  </si>
  <si>
    <t>Varnish</t>
  </si>
  <si>
    <t>UV Flat</t>
  </si>
  <si>
    <t>UV Crystal</t>
  </si>
  <si>
    <t>UV Hybrid</t>
  </si>
  <si>
    <t>Spot UV</t>
  </si>
  <si>
    <t>Height</t>
  </si>
  <si>
    <t>Length</t>
  </si>
  <si>
    <t>Gumming Full</t>
  </si>
  <si>
    <t>Gumming Top Bottom</t>
  </si>
  <si>
    <t>Gumming 4 Sides</t>
  </si>
  <si>
    <t>Dangle Making</t>
  </si>
  <si>
    <t>Dangle With Rivet</t>
  </si>
  <si>
    <t>Dangler With Rivet and Elastic</t>
  </si>
  <si>
    <t>Half Cut Front</t>
  </si>
  <si>
    <t>Half Cut Back</t>
  </si>
  <si>
    <t>Cutting</t>
  </si>
  <si>
    <t>Custom Gumming</t>
  </si>
  <si>
    <t>Carry Bag Single Pasting</t>
  </si>
  <si>
    <t>Carry Bag Double Pasting</t>
  </si>
  <si>
    <t>Leafing</t>
  </si>
  <si>
    <t>Kgs.</t>
  </si>
  <si>
    <t>Type 1</t>
  </si>
  <si>
    <t>Type 2</t>
  </si>
  <si>
    <t>Material</t>
  </si>
  <si>
    <t>AddOn</t>
  </si>
  <si>
    <t>AddOn 2</t>
  </si>
  <si>
    <t>Add On</t>
  </si>
  <si>
    <t>Print</t>
  </si>
  <si>
    <t>Offset</t>
  </si>
  <si>
    <t>Packaging</t>
  </si>
  <si>
    <t>Single Colour</t>
  </si>
  <si>
    <t>New Job</t>
  </si>
  <si>
    <t>Yes</t>
  </si>
  <si>
    <t>Normal</t>
  </si>
  <si>
    <t>Double Colour</t>
  </si>
  <si>
    <t>Repeat Job</t>
  </si>
  <si>
    <t>N/A</t>
  </si>
  <si>
    <t>Commercial</t>
  </si>
  <si>
    <t>Cashify</t>
  </si>
  <si>
    <t>Plain</t>
  </si>
  <si>
    <t>Four Colour</t>
  </si>
  <si>
    <t>Covid Kit</t>
  </si>
  <si>
    <t>Duplex</t>
  </si>
  <si>
    <t>Four + One Colour</t>
  </si>
  <si>
    <t>Daily Essential</t>
  </si>
  <si>
    <t>Four + Two Colour</t>
  </si>
  <si>
    <t>Dangler</t>
  </si>
  <si>
    <t>Four + Four Colour</t>
  </si>
  <si>
    <t>Envelop</t>
  </si>
  <si>
    <t>Without Print</t>
  </si>
  <si>
    <t>Flyer</t>
  </si>
  <si>
    <t>Gumming Sticker</t>
  </si>
  <si>
    <t>Hard Bound</t>
  </si>
  <si>
    <t>Hospital</t>
  </si>
  <si>
    <t>Letter Head</t>
  </si>
  <si>
    <t>Misc</t>
  </si>
  <si>
    <t>Mizi</t>
  </si>
  <si>
    <t>Dangler Making</t>
  </si>
  <si>
    <t>Poster</t>
  </si>
  <si>
    <t>Dangler With Rivet</t>
  </si>
  <si>
    <t>Tent Card</t>
  </si>
  <si>
    <t>Hand Made</t>
  </si>
  <si>
    <t>Agarbatti</t>
  </si>
  <si>
    <t>Apparel</t>
  </si>
  <si>
    <t>Artsbury</t>
  </si>
  <si>
    <t>Aryan</t>
  </si>
  <si>
    <t>Atta</t>
  </si>
  <si>
    <t>Bakery</t>
  </si>
  <si>
    <t>Bakery Online</t>
  </si>
  <si>
    <t>Beverages</t>
  </si>
  <si>
    <t>BO</t>
  </si>
  <si>
    <t>Boult</t>
  </si>
  <si>
    <t>Camera</t>
  </si>
  <si>
    <t>Candle</t>
  </si>
  <si>
    <t>Carry Bag</t>
  </si>
  <si>
    <t>Cerene</t>
  </si>
  <si>
    <t>Computer Accessories</t>
  </si>
  <si>
    <t>Cones</t>
  </si>
  <si>
    <t>Corrugation</t>
  </si>
  <si>
    <t>Cosmetic</t>
  </si>
  <si>
    <t>Cup</t>
  </si>
  <si>
    <t>Dhoop</t>
  </si>
  <si>
    <t>Dude Love</t>
  </si>
  <si>
    <t>Electricity</t>
  </si>
  <si>
    <t>Everstylish</t>
  </si>
  <si>
    <t>FMCG</t>
  </si>
  <si>
    <t>Food</t>
  </si>
  <si>
    <t>Fratelli</t>
  </si>
  <si>
    <t>Games</t>
  </si>
  <si>
    <t>Gugal Loban Cup</t>
  </si>
  <si>
    <t>Hardware</t>
  </si>
  <si>
    <t>Hawa Dhoop</t>
  </si>
  <si>
    <t>Hawan Box</t>
  </si>
  <si>
    <t>Henna Raj</t>
  </si>
  <si>
    <t>HIT Chowk</t>
  </si>
  <si>
    <t>HOB</t>
  </si>
  <si>
    <t>Hosiery</t>
  </si>
  <si>
    <t>Jwellery</t>
  </si>
  <si>
    <t>Led</t>
  </si>
  <si>
    <t>Lifespan</t>
  </si>
  <si>
    <t>Machine Parts</t>
  </si>
  <si>
    <t>Masala</t>
  </si>
  <si>
    <t>Maxobull</t>
  </si>
  <si>
    <t>Medecine</t>
  </si>
  <si>
    <t>Meethai &amp; Cake</t>
  </si>
  <si>
    <t>MFM</t>
  </si>
  <si>
    <t>Mobile</t>
  </si>
  <si>
    <t>Mobile Accessories</t>
  </si>
  <si>
    <t>Nathabit</t>
  </si>
  <si>
    <t>Pooja Kit</t>
  </si>
  <si>
    <t>Power Plus</t>
  </si>
  <si>
    <t>Purifier</t>
  </si>
  <si>
    <t>Readymer</t>
  </si>
  <si>
    <t>Safety Product</t>
  </si>
  <si>
    <t>Sanitary</t>
  </si>
  <si>
    <t>Sanskriti</t>
  </si>
  <si>
    <t>Sathwa</t>
  </si>
  <si>
    <t>Shipper</t>
  </si>
  <si>
    <t>Shoe</t>
  </si>
  <si>
    <t>Stationery</t>
  </si>
  <si>
    <t>The Man Company</t>
  </si>
  <si>
    <t>Toy</t>
  </si>
  <si>
    <t>Xpider</t>
  </si>
  <si>
    <t>Booklet</t>
  </si>
  <si>
    <t>Center Stitched</t>
  </si>
  <si>
    <t>1926A</t>
  </si>
  <si>
    <t>Center Stappled</t>
  </si>
  <si>
    <t>2029A</t>
  </si>
  <si>
    <t>Perfect Binding</t>
  </si>
  <si>
    <t>2840A</t>
  </si>
  <si>
    <t>Single Fold</t>
  </si>
  <si>
    <t>Double Fold</t>
  </si>
  <si>
    <t>Three Fold</t>
  </si>
  <si>
    <t>Centre Punched</t>
  </si>
  <si>
    <t>Corner Round Cut</t>
  </si>
  <si>
    <t>MetPet 20*28</t>
  </si>
  <si>
    <t>MetPet 28*40</t>
  </si>
  <si>
    <t>Art Card 1319</t>
  </si>
  <si>
    <t>Gumming AD 1319</t>
  </si>
  <si>
    <t>PVC Clear AD 1319</t>
  </si>
  <si>
    <t>Vinyl AD 1319</t>
  </si>
  <si>
    <t>All</t>
  </si>
  <si>
    <t>ITC</t>
  </si>
  <si>
    <t>230 GSM</t>
  </si>
  <si>
    <t>Century</t>
  </si>
  <si>
    <t>250 GSM</t>
  </si>
  <si>
    <t>Type</t>
  </si>
  <si>
    <t>280 GSM</t>
  </si>
  <si>
    <t>Sub Type</t>
  </si>
  <si>
    <t>Custom</t>
  </si>
  <si>
    <t>300 GSM</t>
  </si>
  <si>
    <t>Select Category</t>
  </si>
  <si>
    <t>330 GSM</t>
  </si>
  <si>
    <t>Select Sub</t>
  </si>
  <si>
    <t>Khanna</t>
  </si>
  <si>
    <t>Select Size</t>
  </si>
  <si>
    <t>Sinar Mas</t>
  </si>
  <si>
    <t>Select Size 2</t>
  </si>
  <si>
    <t>Gumming Per Sheet</t>
  </si>
  <si>
    <t>Double Charges</t>
  </si>
  <si>
    <t>Price Per Sheet</t>
  </si>
  <si>
    <t>Custom Size</t>
  </si>
  <si>
    <t>350 GSM</t>
  </si>
  <si>
    <t>65 GSM</t>
  </si>
  <si>
    <t>80 GSM</t>
  </si>
  <si>
    <t>90 GSM</t>
  </si>
  <si>
    <t>100 GSM</t>
  </si>
  <si>
    <t>110 GSM</t>
  </si>
  <si>
    <t>130 GSM</t>
  </si>
  <si>
    <t>150 GSM</t>
  </si>
  <si>
    <t>170 GSM</t>
  </si>
  <si>
    <t>220 GSM</t>
  </si>
  <si>
    <t>Digital</t>
  </si>
  <si>
    <t>Solvent</t>
  </si>
  <si>
    <t>HP Latex</t>
  </si>
  <si>
    <t>Eco Solvent</t>
  </si>
  <si>
    <t>Met-Pet</t>
  </si>
  <si>
    <t>Flexible</t>
  </si>
  <si>
    <t>Custom Custom</t>
  </si>
  <si>
    <t>Width</t>
  </si>
  <si>
    <t>Ups</t>
  </si>
  <si>
    <t>Pages</t>
  </si>
  <si>
    <t>inches</t>
  </si>
  <si>
    <t>ALL</t>
  </si>
  <si>
    <t>A5</t>
  </si>
  <si>
    <t>Brownie 2</t>
  </si>
  <si>
    <t>Digital Colour</t>
  </si>
  <si>
    <t>and B = 'Custom Paper'</t>
  </si>
  <si>
    <t>select * where 1=1and B = 'Custom Paper'</t>
  </si>
  <si>
    <t>and F = 'Printing'</t>
  </si>
  <si>
    <t>select * where 1=1and F = 'Printing'</t>
  </si>
  <si>
    <t>One</t>
  </si>
  <si>
    <t>Two</t>
  </si>
  <si>
    <t>Retail</t>
  </si>
  <si>
    <t>Corporate</t>
  </si>
  <si>
    <t>Special</t>
  </si>
  <si>
    <t>AD Chromo</t>
  </si>
  <si>
    <t>WC Chromo</t>
  </si>
  <si>
    <t>Sheet Type</t>
  </si>
  <si>
    <t>Digital Paper</t>
  </si>
  <si>
    <t>Acrylic</t>
  </si>
  <si>
    <t>Acrylic Imported 3mm</t>
  </si>
  <si>
    <t>Acrylic Imported 4mm</t>
  </si>
  <si>
    <t>Machine Type</t>
  </si>
  <si>
    <t>Product Length Main</t>
  </si>
  <si>
    <t>Product Width Main</t>
  </si>
  <si>
    <t>Sheet Size</t>
  </si>
  <si>
    <t>Sheet Length</t>
  </si>
  <si>
    <t>Sheet Width</t>
  </si>
  <si>
    <t>Sheet Value</t>
  </si>
  <si>
    <t>F1</t>
  </si>
  <si>
    <t>F2</t>
  </si>
  <si>
    <t>F3</t>
  </si>
  <si>
    <t>F4</t>
  </si>
  <si>
    <t>F5</t>
  </si>
  <si>
    <t>F6</t>
  </si>
  <si>
    <t>Products Per Sheet</t>
  </si>
  <si>
    <t>Per Product Cost</t>
  </si>
  <si>
    <t>Sheets Required</t>
  </si>
  <si>
    <t>Acrylic Imported 5mm</t>
  </si>
  <si>
    <t>Size</t>
  </si>
  <si>
    <t>Sheet Price</t>
  </si>
  <si>
    <t>Split A</t>
  </si>
  <si>
    <t>Split B</t>
  </si>
  <si>
    <t>Weight</t>
  </si>
  <si>
    <t>Milligrams</t>
  </si>
  <si>
    <t>Grams</t>
  </si>
  <si>
    <t>Ounces</t>
  </si>
  <si>
    <t>Pounds</t>
  </si>
  <si>
    <t>Kilograms</t>
  </si>
  <si>
    <t>Millimeters</t>
  </si>
  <si>
    <t>Centimeters</t>
  </si>
  <si>
    <t>Inches</t>
  </si>
  <si>
    <t>Feet</t>
  </si>
  <si>
    <t>Yards</t>
  </si>
  <si>
    <t>Meters</t>
  </si>
  <si>
    <t>Miles</t>
  </si>
  <si>
    <t>Milligarms</t>
  </si>
  <si>
    <t>Onces</t>
  </si>
  <si>
    <t>Kilogram</t>
  </si>
  <si>
    <t>State Name</t>
  </si>
  <si>
    <t>Abbreviation</t>
  </si>
  <si>
    <t>Andaman and Nicobar Islands</t>
  </si>
  <si>
    <t>AN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</si>
  <si>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</si>
  <si>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</si>
  <si>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</si>
  <si>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</si>
  <si>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</si>
  <si>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</si>
  <si>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</si>
  <si>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</si>
  <si>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Chandigarh</t>
  </si>
  <si>
    <t>CH</t>
  </si>
  <si>
    <t>Chhattisgarh</t>
  </si>
  <si>
    <t>CT</t>
  </si>
  <si>
    <t>Dadra and Nagar Haveli</t>
  </si>
  <si>
    <t>DN</t>
  </si>
  <si>
    <t>Daman and Diu</t>
  </si>
  <si>
    <t>DD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</si>
  <si>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</si>
  <si>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</si>
  <si>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</si>
  <si>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</si>
  <si>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</si>
  <si>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</si>
  <si>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</si>
  <si>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</si>
  <si>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</si>
  <si>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</si>
  <si>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</si>
  <si>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</si>
  <si>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</si>
  <si>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</si>
  <si>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</si>
  <si>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</si>
  <si>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</si>
  <si>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</si>
  <si>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Lakshadweep</t>
  </si>
  <si>
    <t>LD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</si>
  <si>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</si>
  <si>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</si>
  <si>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</si>
  <si>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</si>
  <si>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</si>
  <si>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</si>
  <si>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</si>
  <si>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</si>
  <si>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</si>
  <si>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</si>
  <si>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</si>
  <si>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</si>
  <si>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Odisha</t>
  </si>
  <si>
    <t>OR</t>
  </si>
  <si>
    <t>Puducherry</t>
  </si>
  <si>
    <t>PY</t>
  </si>
  <si>
    <t>Punjab</t>
  </si>
  <si>
    <t>PB</t>
  </si>
  <si>
    <t>Rajasthan</t>
  </si>
  <si>
    <t>RJ</t>
  </si>
  <si>
    <t>Sikkim</t>
  </si>
  <si>
    <t>SK</t>
  </si>
  <si>
    <t>Tamil Nadu</t>
  </si>
  <si>
    <t>TN</t>
  </si>
  <si>
    <t>Telangana</t>
  </si>
  <si>
    <t>TG</t>
  </si>
  <si>
    <t>Tripura</t>
  </si>
  <si>
    <t>TR</t>
  </si>
  <si>
    <t>Uttar Pradesh</t>
  </si>
  <si>
    <t>UP</t>
  </si>
  <si>
    <t>Uttarakhand</t>
  </si>
  <si>
    <t>UT</t>
  </si>
  <si>
    <t>West Bengal</t>
  </si>
  <si>
    <t>WB</t>
  </si>
  <si>
    <t>Thank You For Choosing US! "We Love You, Like You, Respect You" (Narayan, Narayan)</t>
  </si>
  <si>
    <t>v2.8</t>
  </si>
  <si>
    <t>Indo Omakase Pvt. Ltd.</t>
  </si>
  <si>
    <t>We Serve India! We Serve You!</t>
  </si>
  <si>
    <t xml:space="preserve">C172, BackSide, UG Floor, Naraina Industrial Area, Phase 1, New Delhi 110028                      </t>
  </si>
  <si>
    <t>Phone: 01141646259 | E-Mail: office.del@iopl.co</t>
  </si>
  <si>
    <t xml:space="preserve">IEC Code: AACCI7775D | GSTIN: 07AACCI7775D1ZG                </t>
  </si>
  <si>
    <t>Document For:</t>
  </si>
  <si>
    <t>www.indoomakase.com</t>
  </si>
  <si>
    <t>www.iopl.co</t>
  </si>
  <si>
    <t>www.packagingbox.co.in</t>
  </si>
  <si>
    <t>WhatsApp us!</t>
  </si>
  <si>
    <t>Download Our Digital Business Card</t>
  </si>
  <si>
    <t>DATE</t>
  </si>
  <si>
    <t>Doc. No.</t>
  </si>
  <si>
    <t>QRPIO22984</t>
  </si>
  <si>
    <t>GSTIN</t>
  </si>
  <si>
    <t>Quotation</t>
  </si>
  <si>
    <t>Customer ID</t>
  </si>
  <si>
    <t>Contact No.</t>
  </si>
  <si>
    <t>Document valid until:</t>
  </si>
  <si>
    <t>Prepared by:</t>
  </si>
  <si>
    <t>Richa</t>
  </si>
  <si>
    <t>Comments or Special Instructions:</t>
  </si>
  <si>
    <t>SALESPERSON</t>
  </si>
  <si>
    <t>P.O. NUMBER</t>
  </si>
  <si>
    <t>SHIP DATE</t>
  </si>
  <si>
    <t>Sale Type</t>
  </si>
  <si>
    <t>SHIP VIA</t>
  </si>
  <si>
    <t>F.O.B. POINT</t>
  </si>
  <si>
    <t>TERMS</t>
  </si>
  <si>
    <t>Naraina, Delhi</t>
  </si>
  <si>
    <t>Due on receipt</t>
  </si>
  <si>
    <t>DESCRIPTION</t>
  </si>
  <si>
    <t>QUANTITY</t>
  </si>
  <si>
    <t>UNIT PRICE</t>
  </si>
  <si>
    <t>AMOUNT</t>
  </si>
  <si>
    <t>180*70*35 mm | 7*2.75*1.4 inch</t>
  </si>
  <si>
    <t>&lt; Price Option 1</t>
  </si>
  <si>
    <t>&lt; Price Option 2</t>
  </si>
  <si>
    <t>&lt; Price Option 3</t>
  </si>
  <si>
    <t>Die Cutting</t>
  </si>
  <si>
    <t>Weight Approx.</t>
  </si>
  <si>
    <t>&lt; Machine</t>
  </si>
  <si>
    <t>Extra Charges</t>
  </si>
  <si>
    <t>Die Charges</t>
  </si>
  <si>
    <t>18*25*2</t>
  </si>
  <si>
    <t>240*64*160 mm | 9.5*2.5*6.25 inch</t>
  </si>
  <si>
    <t>Wrap</t>
  </si>
  <si>
    <t>170</t>
  </si>
  <si>
    <t>20*30*3</t>
  </si>
  <si>
    <t>90</t>
  </si>
  <si>
    <t>148 × 210 millimeters or 5.8 × 8.3 inches</t>
  </si>
  <si>
    <t>SUBTOTAL</t>
  </si>
  <si>
    <t>Transportation</t>
  </si>
  <si>
    <t>TOTAL</t>
  </si>
  <si>
    <t>Please read our Terms &amp; Conditions below:</t>
  </si>
  <si>
    <t>Pay Now</t>
  </si>
  <si>
    <t>If you have any questions concerning this document, contact helpdesk, +91 8810357012, e-mail to jay.agg@iopl.co</t>
  </si>
  <si>
    <t>*Note: 50% Advance, 25% after Printing, remaining before dispatch. Transportation and packaging cost as per actual.</t>
  </si>
  <si>
    <t>Final amount will be calculated on {(+)(-) 5%} of the quantity ordered, on actual basis. 2% of the balance amount will be charged per month if not paid within 15days of order given. Printing process will take 7-10 working days after payment and printing file approved.</t>
  </si>
  <si>
    <t>*This is computer generated. Subject to Delhi Jurisdictions. We are in Delhi | Gurugram, SERVICE Pan India!</t>
  </si>
  <si>
    <t>Quotation No</t>
  </si>
  <si>
    <t>Name</t>
  </si>
  <si>
    <t>Company</t>
  </si>
  <si>
    <t>Address</t>
  </si>
  <si>
    <t>City</t>
  </si>
  <si>
    <t xml:space="preserve">Phone </t>
  </si>
  <si>
    <t>Date</t>
  </si>
  <si>
    <t>Next Follow Up</t>
  </si>
  <si>
    <t>12-Feb-0202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</si>
</sst>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₹]#,##0.00"/>
    <numFmt numFmtId="165" formatCode="d&quot;-&quot;mmm&quot;-&quot;yyyy"/>
    <numFmt numFmtId="166" formatCode="d-mmmm-yyyy"/>
    <numFmt numFmtId="167" formatCode="dmmmm yyyy"/>
    <numFmt numFmtId="168" formatCode="&quot;$&quot;#,##0"/>
    <numFmt numFmtId="169" formatCode="yyyy-mm-dd"/>
    <numFmt numFmtId="170" formatCode="d mmmm yyyy"/>
    <numFmt numFmtId="171" formatCode="d mmmmyyyy"/>
    <numFmt numFmtId="172" formatCode="dmmmmyyyy"/>
    <numFmt numFmtId="173" formatCode="dmmmyyyy"/>
    <numFmt numFmtId="174" formatCode="dd mmmm yyyy"/>
    <numFmt numFmtId="175" formatCode="dmmm yyyy"/>
  </numFmts>
  <fonts count="76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b/>
      <sz val="11.0"/>
      <color rgb="FF000000"/>
      <name val="Inconsolata"/>
    </font>
    <font>
      <b/>
      <color theme="1"/>
      <name val="Arial"/>
    </font>
    <font>
      <color theme="1"/>
      <name val="Arial"/>
    </font>
    <font>
      <b/>
      <u/>
      <color rgb="FF000000"/>
      <name val="Arial"/>
    </font>
    <font>
      <sz val="11.0"/>
      <color rgb="FFF7981D"/>
      <name val="Inconsolata"/>
    </font>
    <font>
      <sz val="11.0"/>
      <color rgb="FF000000"/>
      <name val="Inconsolata"/>
    </font>
    <font>
      <sz val="11.0"/>
      <color rgb="FFF4B400"/>
      <name val="Inconsolata"/>
    </font>
    <font>
      <color theme="1"/>
      <name val="Arial"/>
      <scheme val="minor"/>
    </font>
    <font>
      <sz val="11.0"/>
      <color rgb="FF11A9CC"/>
      <name val="Inconsolata"/>
    </font>
    <font>
      <sz val="11.0"/>
      <color rgb="FF7E3794"/>
      <name val="Inconsolata"/>
    </font>
    <font>
      <sz val="11.0"/>
      <color rgb="FF4285F4"/>
      <name val="Inconsolata"/>
    </font>
    <font>
      <b/>
      <color rgb="FF000000"/>
      <name val="Arial"/>
      <scheme val="minor"/>
    </font>
    <font>
      <color rgb="FF000000"/>
      <name val="Arial"/>
    </font>
    <font>
      <b/>
      <sz val="11.0"/>
      <color theme="1"/>
      <name val="Inconsolata"/>
    </font>
    <font>
      <sz val="11.0"/>
      <color theme="1"/>
      <name val="Inconsolata"/>
    </font>
    <font>
      <u/>
      <color rgb="FF0000FF"/>
      <name val="Arial"/>
    </font>
    <font>
      <b/>
      <color rgb="FFF3F3F3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color rgb="FF20124D"/>
      <name val="Arial"/>
    </font>
    <font>
      <u/>
      <sz val="11.0"/>
      <color rgb="FF0000FF"/>
      <name val="Inconsolata"/>
    </font>
    <font>
      <u/>
      <color rgb="FF0000FF"/>
      <name val="Arial"/>
    </font>
    <font>
      <u/>
      <sz val="11.0"/>
      <color rgb="FF0000FF"/>
      <name val="Inconsolata"/>
    </font>
    <font>
      <b/>
      <color rgb="FF20124D"/>
      <name val="Arial"/>
      <scheme val="minor"/>
    </font>
    <font>
      <u/>
      <sz val="11.0"/>
      <color rgb="FF000000"/>
      <name val="Inconsolata"/>
    </font>
    <font>
      <sz val="11.0"/>
      <color rgb="FF1155CC"/>
      <name val="Inconsolata"/>
    </font>
    <font>
      <u/>
      <sz val="11.0"/>
      <color rgb="FFFF0000"/>
      <name val="Inconsolata"/>
    </font>
    <font>
      <sz val="11.0"/>
      <color rgb="FF202124"/>
      <name val="Arial"/>
    </font>
    <font>
      <b/>
      <color theme="1"/>
      <name val="Arial"/>
      <scheme val="minor"/>
    </font>
    <font>
      <b/>
      <u/>
      <sz val="11.0"/>
      <color rgb="FF0000FF"/>
      <name val="Inconsolata"/>
    </font>
    <font>
      <sz val="11.0"/>
      <color rgb="FFFF0000"/>
      <name val="Inconsolata"/>
    </font>
    <font>
      <sz val="24.0"/>
      <color theme="1"/>
      <name val="Arial"/>
    </font>
    <font>
      <b/>
      <color rgb="FFEFEFEF"/>
      <name val="Arial"/>
    </font>
    <font>
      <u/>
      <color theme="1"/>
      <name val="Arial"/>
    </font>
    <font>
      <u/>
      <sz val="11.0"/>
      <color theme="1"/>
      <name val="Inconsolata"/>
    </font>
    <font>
      <u/>
      <color rgb="FF1155CC"/>
      <name val="Arial"/>
    </font>
    <font>
      <u/>
      <color rgb="FF0000FF"/>
      <name val="Arial"/>
    </font>
    <font>
      <b/>
      <sz val="11.0"/>
      <color rgb="FF494949"/>
      <name val="&quot;Helvetica Neue&quot;"/>
    </font>
    <font>
      <sz val="11.0"/>
      <color rgb="FF585858"/>
      <name val="&quot;Helvetica Neue&quot;"/>
    </font>
    <font>
      <b/>
      <sz val="12.0"/>
      <color rgb="FFFFFFFF"/>
      <name val="Arial"/>
      <scheme val="minor"/>
    </font>
    <font>
      <color rgb="FFF3F3F3"/>
      <name val="Arial"/>
      <scheme val="minor"/>
    </font>
    <font>
      <b/>
      <sz val="24.0"/>
      <color rgb="FF20124D"/>
      <name val="Montserrat"/>
    </font>
    <font>
      <b/>
      <i/>
      <color rgb="FF20124D"/>
      <name val="Arial"/>
    </font>
    <font>
      <b/>
      <sz val="10.0"/>
      <color rgb="FF20124D"/>
      <name val="Arial"/>
    </font>
    <font>
      <b/>
      <color rgb="FF000000"/>
      <name val="Roboto"/>
    </font>
    <font>
      <b/>
      <color rgb="FFFFFFFF"/>
      <name val="Arial"/>
    </font>
    <font>
      <b/>
      <color rgb="FFFFFFFF"/>
    </font>
    <font>
      <b/>
      <u/>
      <color rgb="FF1155CC"/>
      <name val="Roboto"/>
    </font>
    <font>
      <b/>
      <u/>
      <color rgb="FF1155CC"/>
      <name val="Roboto"/>
    </font>
    <font>
      <b/>
      <color rgb="FFFFF5F0"/>
      <name val="Arial"/>
    </font>
    <font>
      <sz val="21.0"/>
      <color rgb="FFFFFFFF"/>
      <name val="Arial"/>
    </font>
    <font>
      <b/>
      <color rgb="FFFF0000"/>
      <name val="Arial"/>
    </font>
    <font>
      <b/>
      <color rgb="FFF8F2EB"/>
      <name val="Arial"/>
    </font>
    <font>
      <b/>
      <u/>
      <sz val="11.0"/>
      <color theme="1"/>
      <name val="Inconsolata"/>
    </font>
    <font>
      <u/>
      <sz val="11.0"/>
      <color rgb="FF4C1130"/>
      <name val="Inconsolata"/>
    </font>
    <font>
      <b/>
      <color theme="1"/>
      <name val="Roboto"/>
    </font>
    <font>
      <b/>
      <sz val="8.0"/>
      <color theme="1"/>
      <name val="Arial"/>
    </font>
    <font>
      <b/>
      <sz val="11.0"/>
      <color theme="1"/>
      <name val="Roboto"/>
    </font>
    <font>
      <b/>
      <sz val="9.0"/>
      <color theme="1"/>
      <name val="Arial"/>
    </font>
    <font>
      <sz val="11.0"/>
      <color rgb="FF4C1130"/>
      <name val="Inconsolata"/>
    </font>
    <font>
      <color rgb="FF000000"/>
      <name val="Arial"/>
      <scheme val="minor"/>
    </font>
    <font>
      <b/>
      <sz val="8.0"/>
      <color rgb="FF000000"/>
      <name val="Arial"/>
    </font>
    <font>
      <b/>
      <sz val="9.0"/>
      <color rgb="FF000000"/>
      <name val="Arial"/>
    </font>
    <font>
      <b/>
      <u/>
      <sz val="11.0"/>
      <color theme="1"/>
      <name val="Inconsolata"/>
    </font>
    <font>
      <u/>
      <sz val="11.0"/>
      <color rgb="FF4C1130"/>
      <name val="Inconsolata"/>
    </font>
    <font>
      <b/>
      <color rgb="FFFFFFC3"/>
      <name val="Arial"/>
    </font>
    <font>
      <b/>
      <color rgb="FFFFFFFF"/>
      <name val="Roboto"/>
    </font>
    <font>
      <b/>
      <color rgb="FFFFFF00"/>
      <name val="Roboto"/>
    </font>
    <font>
      <b/>
      <color rgb="FF4C1130"/>
      <name val="Arial"/>
    </font>
    <font>
      <b/>
      <color rgb="FF4C1130"/>
      <name val="Arial"/>
      <scheme val="minor"/>
    </font>
    <font>
      <u/>
      <color rgb="FF1155CC"/>
      <name val="Arial"/>
    </font>
    <font>
      <u/>
      <color rgb="FF1155CC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EAFCFF"/>
        <bgColor rgb="FFEAFCFF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4C1130"/>
        <bgColor rgb="FF4C1130"/>
      </patternFill>
    </fill>
    <fill>
      <patternFill patternType="solid">
        <fgColor rgb="FFFFF5F0"/>
        <bgColor rgb="FFFFF5F0"/>
      </patternFill>
    </fill>
    <fill>
      <patternFill patternType="solid">
        <fgColor rgb="FF20124D"/>
        <bgColor rgb="FF20124D"/>
      </patternFill>
    </fill>
    <fill>
      <patternFill patternType="solid">
        <fgColor rgb="FF783F04"/>
        <bgColor rgb="FF783F04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FFFC3"/>
        <bgColor rgb="FFFFFFC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horizontal="center" readingOrder="0" vertical="bottom"/>
    </xf>
    <xf borderId="0" fillId="3" fontId="4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readingOrder="0" shrinkToFit="0" vertical="bottom" wrapText="1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horizontal="left"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4" fontId="1" numFmtId="0" xfId="0" applyAlignment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0" fillId="5" fontId="5" numFmtId="0" xfId="0" applyAlignment="1" applyFont="1">
      <alignment readingOrder="0" vertical="bottom"/>
    </xf>
    <xf borderId="0" fillId="2" fontId="1" numFmtId="0" xfId="0" applyAlignment="1" applyFont="1">
      <alignment shrinkToFit="0" vertical="bottom" wrapText="1"/>
    </xf>
    <xf borderId="0" fillId="2" fontId="6" numFmtId="0" xfId="0" applyAlignment="1" applyFont="1">
      <alignment vertical="bottom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4" fontId="5" numFmtId="0" xfId="0" applyAlignment="1" applyFont="1">
      <alignment readingOrder="0" shrinkToFit="0" vertical="bottom" wrapText="1"/>
    </xf>
    <xf borderId="0" fillId="6" fontId="7" numFmtId="0" xfId="0" applyAlignment="1" applyFill="1" applyFont="1">
      <alignment vertical="bottom"/>
    </xf>
    <xf borderId="0" fillId="6" fontId="1" numFmtId="0" xfId="0" applyAlignment="1" applyFont="1">
      <alignment vertical="bottom"/>
    </xf>
    <xf borderId="0" fillId="6" fontId="1" numFmtId="49" xfId="0" applyAlignment="1" applyFont="1" applyNumberFormat="1">
      <alignment vertical="bottom"/>
    </xf>
    <xf borderId="0" fillId="6" fontId="8" numFmtId="0" xfId="0" applyFont="1"/>
    <xf borderId="0" fillId="6" fontId="2" numFmtId="0" xfId="0" applyAlignment="1" applyFont="1">
      <alignment horizontal="right" vertical="bottom"/>
    </xf>
    <xf borderId="0" fillId="6" fontId="4" numFmtId="0" xfId="0" applyAlignment="1" applyFont="1">
      <alignment horizontal="center" vertical="bottom"/>
    </xf>
    <xf borderId="0" fillId="6" fontId="9" numFmtId="0" xfId="0" applyFont="1"/>
    <xf borderId="0" fillId="6" fontId="4" numFmtId="0" xfId="0" applyAlignment="1" applyFont="1">
      <alignment horizontal="center" vertical="bottom"/>
    </xf>
    <xf borderId="0" fillId="6" fontId="9" numFmtId="0" xfId="0" applyAlignment="1" applyFont="1">
      <alignment readingOrder="0"/>
    </xf>
    <xf borderId="0" fillId="6" fontId="3" numFmtId="0" xfId="0" applyAlignment="1" applyFont="1">
      <alignment horizontal="right" vertical="bottom"/>
    </xf>
    <xf borderId="0" fillId="6" fontId="9" numFmtId="4" xfId="0" applyAlignment="1" applyFont="1" applyNumberFormat="1">
      <alignment horizontal="left"/>
    </xf>
    <xf borderId="0" fillId="6" fontId="4" numFmtId="0" xfId="0" applyAlignment="1" applyFont="1">
      <alignment horizontal="left" vertical="bottom"/>
    </xf>
    <xf borderId="0" fillId="6" fontId="4" numFmtId="4" xfId="0" applyAlignment="1" applyFont="1" applyNumberFormat="1">
      <alignment horizontal="center" vertical="bottom"/>
    </xf>
    <xf borderId="0" fillId="6" fontId="9" numFmtId="4" xfId="0" applyFont="1" applyNumberFormat="1"/>
    <xf borderId="0" fillId="6" fontId="10" numFmtId="4" xfId="0" applyFont="1" applyNumberFormat="1"/>
    <xf borderId="0" fillId="6" fontId="9" numFmtId="0" xfId="0" applyFont="1"/>
    <xf borderId="0" fillId="6" fontId="9" numFmtId="4" xfId="0" applyAlignment="1" applyFont="1" applyNumberFormat="1">
      <alignment readingOrder="0"/>
    </xf>
    <xf borderId="0" fillId="6" fontId="1" numFmtId="4" xfId="0" applyAlignment="1" applyFont="1" applyNumberFormat="1">
      <alignment horizontal="center" vertical="bottom"/>
    </xf>
    <xf borderId="0" fillId="6" fontId="9" numFmtId="4" xfId="0" applyAlignment="1" applyFont="1" applyNumberFormat="1">
      <alignment horizontal="center" vertical="bottom"/>
    </xf>
    <xf borderId="0" fillId="6" fontId="9" numFmtId="4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vertical="bottom"/>
    </xf>
    <xf borderId="0" fillId="6" fontId="9" numFmtId="0" xfId="0" applyAlignment="1" applyFont="1">
      <alignment horizontal="center" vertical="bottom"/>
    </xf>
    <xf borderId="0" fillId="0" fontId="11" numFmtId="0" xfId="0" applyFont="1"/>
    <xf borderId="0" fillId="6" fontId="1" numFmtId="0" xfId="0" applyAlignment="1" applyFont="1">
      <alignment readingOrder="0" vertical="bottom"/>
    </xf>
    <xf borderId="0" fillId="6" fontId="1" numFmtId="4" xfId="0" applyAlignment="1" applyFont="1" applyNumberFormat="1">
      <alignment vertical="bottom"/>
    </xf>
    <xf borderId="0" fillId="6" fontId="9" numFmtId="0" xfId="0" applyAlignment="1" applyFont="1">
      <alignment horizontal="center"/>
    </xf>
    <xf borderId="0" fillId="6" fontId="8" numFmtId="4" xfId="0" applyFont="1" applyNumberFormat="1"/>
    <xf borderId="0" fillId="6" fontId="6" numFmtId="0" xfId="0" applyAlignment="1" applyFont="1">
      <alignment vertical="bottom"/>
    </xf>
    <xf borderId="0" fillId="6" fontId="6" numFmtId="4" xfId="0" applyAlignment="1" applyFont="1" applyNumberFormat="1">
      <alignment vertical="bottom"/>
    </xf>
    <xf borderId="0" fillId="6" fontId="4" numFmtId="4" xfId="0" applyAlignment="1" applyFont="1" applyNumberFormat="1">
      <alignment horizontal="right" vertical="bottom"/>
    </xf>
    <xf borderId="0" fillId="6" fontId="12" numFmtId="164" xfId="0" applyFont="1" applyNumberFormat="1"/>
    <xf borderId="0" fillId="6" fontId="4" numFmtId="0" xfId="0" applyFont="1"/>
    <xf borderId="0" fillId="6" fontId="13" numFmtId="0" xfId="0" applyFont="1"/>
    <xf borderId="0" fillId="6" fontId="14" numFmtId="0" xfId="0" applyFont="1"/>
    <xf borderId="0" fillId="0" fontId="6" numFmtId="4" xfId="0" applyAlignment="1" applyFont="1" applyNumberFormat="1">
      <alignment horizontal="center" vertical="bottom"/>
    </xf>
    <xf borderId="0" fillId="6" fontId="10" numFmtId="0" xfId="0" applyFont="1"/>
    <xf borderId="0" fillId="6" fontId="9" numFmtId="0" xfId="0" applyAlignment="1" applyFont="1">
      <alignment horizontal="left"/>
    </xf>
    <xf borderId="0" fillId="6" fontId="15" numFmtId="4" xfId="0" applyFont="1" applyNumberFormat="1"/>
    <xf borderId="0" fillId="6" fontId="2" numFmtId="0" xfId="0" applyAlignment="1" applyFont="1">
      <alignment horizontal="right" readingOrder="0" vertical="bottom"/>
    </xf>
    <xf borderId="0" fillId="6" fontId="4" numFmtId="4" xfId="0" applyAlignment="1" applyFont="1" applyNumberFormat="1">
      <alignment horizontal="left" vertical="bottom"/>
    </xf>
    <xf borderId="0" fillId="6" fontId="8" numFmtId="0" xfId="0" applyFont="1"/>
    <xf borderId="0" fillId="6" fontId="4" numFmtId="0" xfId="0" applyAlignment="1" applyFont="1">
      <alignment readingOrder="0"/>
    </xf>
    <xf borderId="0" fillId="6" fontId="4" numFmtId="0" xfId="0" applyAlignment="1" applyFont="1">
      <alignment horizontal="left" vertical="bottom"/>
    </xf>
    <xf borderId="0" fillId="6" fontId="1" numFmtId="0" xfId="0" applyAlignment="1" applyFont="1">
      <alignment horizontal="center" vertical="bottom"/>
    </xf>
    <xf borderId="0" fillId="6" fontId="9" numFmtId="0" xfId="0" applyAlignment="1" applyFont="1">
      <alignment horizontal="center" vertical="bottom"/>
    </xf>
    <xf borderId="0" fillId="6" fontId="1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6" fontId="9" numFmtId="0" xfId="0" applyAlignment="1" applyFont="1">
      <alignment vertical="bottom"/>
    </xf>
    <xf borderId="0" fillId="6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6" fontId="9" numFmtId="0" xfId="0" applyAlignment="1" applyFont="1">
      <alignment readingOrder="0" vertical="bottom"/>
    </xf>
    <xf borderId="0" fillId="6" fontId="6" numFmtId="0" xfId="0" applyAlignment="1" applyFont="1">
      <alignment vertical="bottom"/>
    </xf>
    <xf borderId="0" fillId="6" fontId="9" numFmtId="0" xfId="0" applyAlignment="1" applyFont="1">
      <alignment horizontal="right" readingOrder="0" vertical="bottom"/>
    </xf>
    <xf borderId="0" fillId="6" fontId="6" numFmtId="0" xfId="0" applyAlignment="1" applyFont="1">
      <alignment readingOrder="0" vertical="bottom"/>
    </xf>
    <xf borderId="0" fillId="6" fontId="9" numFmtId="0" xfId="0" applyAlignment="1" applyFont="1">
      <alignment horizontal="right" vertical="bottom"/>
    </xf>
    <xf borderId="0" fillId="6" fontId="9" numFmtId="0" xfId="0" applyAlignment="1" applyFont="1">
      <alignment shrinkToFit="0" vertical="bottom" wrapText="0"/>
    </xf>
    <xf borderId="0" fillId="6" fontId="9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2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vertical="bottom"/>
    </xf>
    <xf borderId="0" fillId="6" fontId="16" numFmtId="0" xfId="0" applyAlignment="1" applyFont="1">
      <alignment readingOrder="0" vertical="bottom"/>
    </xf>
    <xf borderId="0" fillId="6" fontId="16" numFmtId="0" xfId="0" applyAlignment="1" applyFont="1">
      <alignment vertical="bottom"/>
    </xf>
    <xf borderId="2" fillId="0" fontId="6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1" numFmtId="0" xfId="0" applyAlignment="1" applyFont="1">
      <alignment horizontal="right" shrinkToFit="0" vertical="bottom" wrapText="1"/>
    </xf>
    <xf borderId="0" fillId="2" fontId="1" numFmtId="0" xfId="0" applyAlignment="1" applyFont="1">
      <alignment vertical="bottom"/>
    </xf>
    <xf borderId="0" fillId="7" fontId="1" numFmtId="0" xfId="0" applyAlignment="1" applyFill="1" applyFont="1">
      <alignment horizontal="center" vertical="bottom"/>
    </xf>
    <xf borderId="0" fillId="7" fontId="1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16" numFmtId="0" xfId="0" applyAlignment="1" applyFont="1">
      <alignment horizontal="right" vertical="bottom"/>
    </xf>
    <xf borderId="0" fillId="6" fontId="16" numFmtId="0" xfId="0" applyAlignment="1" applyFont="1">
      <alignment shrinkToFit="0" vertical="bottom" wrapText="0"/>
    </xf>
    <xf borderId="0" fillId="6" fontId="16" numFmtId="0" xfId="0" applyAlignment="1" applyFont="1">
      <alignment horizontal="right" vertical="bottom"/>
    </xf>
    <xf borderId="0" fillId="7" fontId="1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0"/>
    </xf>
    <xf borderId="0" fillId="6" fontId="6" numFmtId="0" xfId="0" applyAlignment="1" applyFont="1">
      <alignment horizontal="right" vertical="bottom"/>
    </xf>
    <xf borderId="0" fillId="6" fontId="5" numFmtId="0" xfId="0" applyAlignment="1" applyFont="1">
      <alignment horizontal="right" shrinkToFit="0" vertical="bottom" wrapText="1"/>
    </xf>
    <xf borderId="0" fillId="6" fontId="17" numFmtId="0" xfId="0" applyAlignment="1" applyFont="1">
      <alignment horizontal="right" shrinkToFit="0" vertical="bottom" wrapText="1"/>
    </xf>
    <xf borderId="0" fillId="0" fontId="17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6" fontId="17" numFmtId="0" xfId="0" applyAlignment="1" applyFont="1">
      <alignment shrinkToFit="0" vertical="bottom" wrapText="1"/>
    </xf>
    <xf borderId="0" fillId="6" fontId="18" numFmtId="0" xfId="0" applyAlignment="1" applyFont="1">
      <alignment vertical="bottom"/>
    </xf>
    <xf borderId="0" fillId="6" fontId="17" numFmtId="0" xfId="0" applyAlignment="1" applyFont="1">
      <alignment shrinkToFit="0" vertical="bottom" wrapText="1"/>
    </xf>
    <xf borderId="0" fillId="6" fontId="17" numFmtId="0" xfId="0" applyAlignment="1" applyFont="1">
      <alignment horizontal="right" vertical="bottom"/>
    </xf>
    <xf borderId="0" fillId="6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6" fontId="18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1"/>
    </xf>
    <xf borderId="0" fillId="6" fontId="8" numFmtId="0" xfId="0" applyAlignment="1" applyFont="1">
      <alignment shrinkToFit="0" vertical="bottom" wrapText="1"/>
    </xf>
    <xf borderId="0" fillId="6" fontId="19" numFmtId="0" xfId="0" applyAlignment="1" applyFont="1">
      <alignment vertical="bottom"/>
    </xf>
    <xf borderId="0" fillId="6" fontId="6" numFmtId="49" xfId="0" applyAlignment="1" applyFont="1" applyNumberFormat="1">
      <alignment vertical="bottom"/>
    </xf>
    <xf borderId="0" fillId="6" fontId="17" numFmtId="4" xfId="0" applyAlignment="1" applyFont="1" applyNumberFormat="1">
      <alignment horizontal="right" shrinkToFit="0" vertical="bottom" wrapText="1"/>
    </xf>
    <xf borderId="0" fillId="6" fontId="17" numFmtId="4" xfId="0" applyAlignment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6" fontId="18" numFmtId="0" xfId="0" applyAlignment="1" applyFont="1">
      <alignment shrinkToFit="0" vertical="bottom" wrapText="0"/>
    </xf>
    <xf borderId="0" fillId="6" fontId="5" numFmtId="0" xfId="0" applyAlignment="1" applyFont="1">
      <alignment horizontal="right" vertical="bottom"/>
    </xf>
    <xf borderId="0" fillId="6" fontId="8" numFmtId="0" xfId="0" applyAlignment="1" applyFont="1">
      <alignment horizontal="right" vertical="bottom"/>
    </xf>
    <xf borderId="0" fillId="6" fontId="8" numFmtId="4" xfId="0" applyAlignment="1" applyFont="1" applyNumberFormat="1">
      <alignment horizontal="right" vertical="bottom"/>
    </xf>
    <xf borderId="0" fillId="6" fontId="8" numFmtId="0" xfId="0" applyAlignment="1" applyFont="1">
      <alignment horizontal="center" vertical="bottom"/>
    </xf>
    <xf borderId="0" fillId="6" fontId="18" numFmtId="0" xfId="0" applyAlignment="1" applyFont="1">
      <alignment shrinkToFit="0" vertical="bottom" wrapText="0"/>
    </xf>
    <xf borderId="0" fillId="6" fontId="18" numFmtId="0" xfId="0" applyAlignment="1" applyFont="1">
      <alignment shrinkToFit="0" vertical="bottom" wrapText="1"/>
    </xf>
    <xf borderId="0" fillId="6" fontId="8" numFmtId="49" xfId="0" applyAlignment="1" applyFont="1" applyNumberFormat="1">
      <alignment vertical="bottom"/>
    </xf>
    <xf borderId="0" fillId="0" fontId="6" numFmtId="0" xfId="0" applyAlignment="1" applyFont="1">
      <alignment horizontal="right" shrinkToFit="0" vertical="bottom" wrapText="1"/>
    </xf>
    <xf borderId="0" fillId="6" fontId="18" numFmtId="0" xfId="0" applyAlignment="1" applyFont="1">
      <alignment horizontal="center" shrinkToFit="0" vertical="bottom" wrapText="1"/>
    </xf>
    <xf borderId="0" fillId="6" fontId="6" numFmtId="0" xfId="0" applyAlignment="1" applyFont="1">
      <alignment horizontal="right" shrinkToFit="0" vertical="bottom" wrapText="1"/>
    </xf>
    <xf borderId="0" fillId="6" fontId="18" numFmtId="0" xfId="0" applyAlignment="1" applyFont="1">
      <alignment vertical="bottom"/>
    </xf>
    <xf borderId="0" fillId="0" fontId="6" numFmtId="49" xfId="0" applyAlignment="1" applyFont="1" applyNumberFormat="1">
      <alignment vertical="bottom"/>
    </xf>
    <xf borderId="0" fillId="8" fontId="20" numFmtId="0" xfId="0" applyAlignment="1" applyFill="1" applyFont="1">
      <alignment vertical="bottom"/>
    </xf>
    <xf borderId="0" fillId="8" fontId="20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2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2" fontId="21" numFmtId="0" xfId="0" applyAlignment="1" applyFont="1">
      <alignment vertical="bottom"/>
    </xf>
    <xf borderId="0" fillId="2" fontId="21" numFmtId="49" xfId="0" applyAlignment="1" applyFont="1" applyNumberFormat="1">
      <alignment vertical="bottom"/>
    </xf>
    <xf borderId="0" fillId="9" fontId="21" numFmtId="0" xfId="0" applyAlignment="1" applyFill="1" applyFont="1">
      <alignment vertical="bottom"/>
    </xf>
    <xf borderId="0" fillId="7" fontId="22" numFmtId="0" xfId="0" applyAlignment="1" applyFont="1">
      <alignment vertical="bottom"/>
    </xf>
    <xf borderId="0" fillId="3" fontId="22" numFmtId="0" xfId="0" applyAlignment="1" applyFont="1">
      <alignment vertical="bottom"/>
    </xf>
    <xf borderId="0" fillId="3" fontId="21" numFmtId="0" xfId="0" applyAlignment="1" applyFont="1">
      <alignment shrinkToFit="0" vertical="bottom" wrapText="1"/>
    </xf>
    <xf borderId="0" fillId="3" fontId="21" numFmtId="0" xfId="0" applyAlignment="1" applyFont="1">
      <alignment vertical="bottom"/>
    </xf>
    <xf borderId="0" fillId="10" fontId="5" numFmtId="0" xfId="0" applyAlignment="1" applyFill="1" applyFont="1">
      <alignment vertical="bottom"/>
    </xf>
    <xf borderId="0" fillId="11" fontId="23" numFmtId="0" xfId="0" applyAlignment="1" applyFill="1" applyFont="1">
      <alignment vertical="bottom"/>
    </xf>
    <xf borderId="0" fillId="6" fontId="24" numFmtId="0" xfId="0" applyAlignment="1" applyFont="1">
      <alignment horizontal="center" vertical="bottom"/>
    </xf>
    <xf borderId="0" fillId="0" fontId="25" numFmtId="0" xfId="0" applyAlignment="1" applyFont="1">
      <alignment vertical="bottom"/>
    </xf>
    <xf borderId="0" fillId="6" fontId="26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6" fontId="18" numFmtId="0" xfId="0" applyAlignment="1" applyFont="1">
      <alignment horizontal="center" vertical="bottom"/>
    </xf>
    <xf borderId="0" fillId="6" fontId="18" numFmtId="0" xfId="0" applyAlignment="1" applyFont="1">
      <alignment horizontal="right" vertical="bottom"/>
    </xf>
    <xf borderId="0" fillId="3" fontId="17" numFmtId="0" xfId="0" applyAlignment="1" applyFont="1">
      <alignment horizontal="center" vertical="bottom"/>
    </xf>
    <xf borderId="0" fillId="6" fontId="5" numFmtId="0" xfId="0" applyAlignment="1" applyFont="1">
      <alignment horizontal="right" vertical="bottom"/>
    </xf>
    <xf borderId="0" fillId="6" fontId="17" numFmtId="0" xfId="0" applyAlignment="1" applyFont="1">
      <alignment horizontal="right" vertical="bottom"/>
    </xf>
    <xf borderId="0" fillId="6" fontId="5" numFmtId="0" xfId="0" applyAlignment="1" applyFont="1">
      <alignment vertical="bottom"/>
    </xf>
    <xf borderId="0" fillId="6" fontId="18" numFmtId="0" xfId="0" applyAlignment="1" applyFont="1">
      <alignment horizontal="right" vertical="bottom"/>
    </xf>
    <xf borderId="0" fillId="6" fontId="8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0"/>
    </xf>
    <xf borderId="0" fillId="9" fontId="2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10" fontId="5" numFmtId="0" xfId="0" applyAlignment="1" applyFont="1">
      <alignment shrinkToFit="0" vertical="bottom" wrapText="0"/>
    </xf>
    <xf borderId="0" fillId="11" fontId="27" numFmtId="0" xfId="0" applyAlignment="1" applyFont="1">
      <alignment readingOrder="0"/>
    </xf>
    <xf borderId="0" fillId="6" fontId="28" numFmtId="0" xfId="0" applyAlignment="1" applyFont="1">
      <alignment horizontal="center" vertical="bottom"/>
    </xf>
    <xf borderId="0" fillId="6" fontId="9" numFmtId="49" xfId="0" applyAlignment="1" applyFont="1" applyNumberFormat="1">
      <alignment horizontal="center" vertical="bottom"/>
    </xf>
    <xf borderId="0" fillId="6" fontId="29" numFmtId="0" xfId="0" applyAlignment="1" applyFont="1">
      <alignment readingOrder="0"/>
    </xf>
    <xf borderId="0" fillId="0" fontId="9" numFmtId="0" xfId="0" applyAlignment="1" applyFont="1">
      <alignment readingOrder="0"/>
    </xf>
    <xf borderId="0" fillId="6" fontId="6" numFmtId="0" xfId="0" applyAlignment="1" applyFont="1">
      <alignment shrinkToFit="0" vertical="bottom" wrapText="0"/>
    </xf>
    <xf borderId="0" fillId="6" fontId="16" numFmtId="0" xfId="0" applyAlignment="1" applyFont="1">
      <alignment horizontal="left" readingOrder="0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6" fontId="9" numFmtId="0" xfId="0" applyAlignment="1" applyFont="1">
      <alignment horizontal="center" readingOrder="0" vertical="bottom"/>
    </xf>
    <xf borderId="0" fillId="6" fontId="30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6" fontId="31" numFmtId="0" xfId="0" applyAlignment="1" applyFont="1">
      <alignment horizontal="right" readingOrder="0"/>
    </xf>
    <xf borderId="0" fillId="6" fontId="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12" fontId="32" numFmtId="0" xfId="0" applyAlignment="1" applyFill="1" applyFont="1">
      <alignment readingOrder="0" shrinkToFit="0" wrapText="1"/>
    </xf>
    <xf borderId="0" fillId="2" fontId="21" numFmtId="0" xfId="0" applyAlignment="1" applyFont="1">
      <alignment shrinkToFit="0" vertical="bottom" wrapText="0"/>
    </xf>
    <xf borderId="0" fillId="0" fontId="6" numFmtId="4" xfId="0" applyAlignment="1" applyFont="1" applyNumberFormat="1">
      <alignment vertical="bottom"/>
    </xf>
    <xf borderId="0" fillId="6" fontId="33" numFmtId="0" xfId="0" applyAlignment="1" applyFont="1">
      <alignment horizontal="right" vertical="bottom"/>
    </xf>
    <xf borderId="0" fillId="6" fontId="4" numFmtId="0" xfId="0" applyAlignment="1" applyFont="1">
      <alignment horizontal="right" shrinkToFit="0" vertical="bottom" wrapText="1"/>
    </xf>
    <xf borderId="0" fillId="6" fontId="4" numFmtId="0" xfId="0" applyAlignment="1" applyFont="1">
      <alignment horizontal="right" shrinkToFit="0" vertical="bottom" wrapText="0"/>
    </xf>
    <xf borderId="0" fillId="6" fontId="1" numFmtId="0" xfId="0" applyAlignment="1" applyFont="1">
      <alignment horizontal="right" shrinkToFit="0" vertical="bottom" wrapText="1"/>
    </xf>
    <xf borderId="0" fillId="6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2" fillId="6" fontId="6" numFmtId="0" xfId="0" applyAlignment="1" applyBorder="1" applyFont="1">
      <alignment vertical="bottom"/>
    </xf>
    <xf borderId="0" fillId="6" fontId="4" numFmtId="4" xfId="0" applyAlignment="1" applyFont="1" applyNumberFormat="1">
      <alignment horizontal="right" shrinkToFit="0" vertical="bottom" wrapText="1"/>
    </xf>
    <xf borderId="0" fillId="6" fontId="1" numFmtId="0" xfId="0" applyAlignment="1" applyFont="1">
      <alignment horizontal="right" vertical="bottom"/>
    </xf>
    <xf borderId="0" fillId="8" fontId="20" numFmtId="0" xfId="0" applyAlignment="1" applyFont="1">
      <alignment readingOrder="0" vertical="bottom"/>
    </xf>
    <xf borderId="0" fillId="3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vertical="bottom"/>
    </xf>
    <xf borderId="0" fillId="13" fontId="5" numFmtId="0" xfId="0" applyAlignment="1" applyFill="1" applyFont="1">
      <alignment vertical="bottom"/>
    </xf>
    <xf borderId="0" fillId="4" fontId="5" numFmtId="0" xfId="0" applyAlignment="1" applyFont="1">
      <alignment shrinkToFit="0" vertical="bottom" wrapText="1"/>
    </xf>
    <xf borderId="0" fillId="13" fontId="5" numFmtId="0" xfId="0" applyAlignment="1" applyFont="1">
      <alignment shrinkToFit="0" vertical="bottom" wrapText="1"/>
    </xf>
    <xf borderId="0" fillId="11" fontId="5" numFmtId="49" xfId="0" applyAlignment="1" applyFont="1" applyNumberFormat="1">
      <alignment readingOrder="0" shrinkToFit="0" vertical="bottom" wrapText="1"/>
    </xf>
    <xf borderId="0" fillId="11" fontId="5" numFmtId="0" xfId="0" applyAlignment="1" applyFont="1">
      <alignment horizontal="right" shrinkToFit="0" vertical="bottom" wrapText="1"/>
    </xf>
    <xf borderId="0" fillId="6" fontId="34" numFmtId="0" xfId="0" applyFont="1"/>
    <xf borderId="0" fillId="0" fontId="6" numFmtId="49" xfId="0" applyAlignment="1" applyFont="1" applyNumberFormat="1">
      <alignment horizontal="right" readingOrder="0" vertical="bottom"/>
    </xf>
    <xf borderId="0" fillId="0" fontId="11" numFmtId="49" xfId="0" applyFont="1" applyNumberFormat="1"/>
    <xf borderId="0" fillId="11" fontId="5" numFmtId="0" xfId="0" applyAlignment="1" applyFont="1">
      <alignment shrinkToFit="0" vertical="bottom" wrapText="1"/>
    </xf>
    <xf borderId="0" fillId="7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0" fontId="11" numFmtId="0" xfId="0" applyAlignment="1" applyFont="1">
      <alignment horizontal="right"/>
    </xf>
    <xf borderId="0" fillId="0" fontId="3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readingOrder="0" vertical="bottom"/>
    </xf>
    <xf borderId="1" fillId="6" fontId="6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14" fontId="36" numFmtId="0" xfId="0" applyAlignment="1" applyFill="1" applyFont="1">
      <alignment vertical="bottom"/>
    </xf>
    <xf borderId="1" fillId="14" fontId="36" numFmtId="0" xfId="0" applyAlignment="1" applyBorder="1" applyFont="1">
      <alignment shrinkToFit="0" vertical="bottom" wrapText="0"/>
    </xf>
    <xf borderId="0" fillId="6" fontId="8" numFmtId="0" xfId="0" applyAlignment="1" applyFont="1">
      <alignment vertical="bottom"/>
    </xf>
    <xf borderId="0" fillId="6" fontId="37" numFmtId="0" xfId="0" applyAlignment="1" applyFont="1">
      <alignment horizontal="right" vertical="bottom"/>
    </xf>
    <xf borderId="0" fillId="6" fontId="6" numFmtId="49" xfId="0" applyAlignment="1" applyFont="1" applyNumberFormat="1">
      <alignment horizontal="right" vertical="bottom"/>
    </xf>
    <xf borderId="0" fillId="6" fontId="38" numFmtId="0" xfId="0" applyAlignment="1" applyFont="1">
      <alignment vertical="bottom"/>
    </xf>
    <xf borderId="0" fillId="6" fontId="39" numFmtId="0" xfId="0" applyAlignment="1" applyFont="1">
      <alignment vertical="bottom"/>
    </xf>
    <xf borderId="0" fillId="6" fontId="40" numFmtId="0" xfId="0" applyAlignment="1" applyFont="1">
      <alignment horizontal="right" vertical="bottom"/>
    </xf>
    <xf borderId="0" fillId="6" fontId="41" numFmtId="0" xfId="0" applyAlignment="1" applyFont="1">
      <alignment horizontal="left" readingOrder="0" vertical="top"/>
    </xf>
    <xf borderId="0" fillId="6" fontId="42" numFmtId="0" xfId="0" applyAlignment="1" applyFont="1">
      <alignment horizontal="left" readingOrder="0" vertical="top"/>
    </xf>
    <xf borderId="0" fillId="15" fontId="43" numFmtId="0" xfId="0" applyAlignment="1" applyFill="1" applyFont="1">
      <alignment readingOrder="0" shrinkToFit="0" vertical="center" wrapText="1"/>
    </xf>
    <xf borderId="0" fillId="15" fontId="44" numFmtId="0" xfId="0" applyAlignment="1" applyFont="1">
      <alignment horizontal="right" readingOrder="0" shrinkToFit="0" wrapText="1"/>
    </xf>
    <xf borderId="0" fillId="15" fontId="11" numFmtId="0" xfId="0" applyAlignment="1" applyFont="1">
      <alignment shrinkToFit="0" wrapText="1"/>
    </xf>
    <xf borderId="0" fillId="6" fontId="11" numFmtId="0" xfId="0" applyAlignment="1" applyFont="1">
      <alignment shrinkToFit="0" vertical="center" wrapText="1"/>
    </xf>
    <xf borderId="0" fillId="16" fontId="45" numFmtId="0" xfId="0" applyAlignment="1" applyFill="1" applyFont="1">
      <alignment horizontal="center" readingOrder="0" shrinkToFit="0" vertical="bottom" wrapText="1"/>
    </xf>
    <xf borderId="0" fillId="6" fontId="11" numFmtId="0" xfId="0" applyAlignment="1" applyFont="1">
      <alignment horizontal="center" shrinkToFit="0" vertical="center" wrapText="1"/>
    </xf>
    <xf borderId="0" fillId="16" fontId="46" numFmtId="0" xfId="0" applyAlignment="1" applyFont="1">
      <alignment horizontal="center" readingOrder="0" shrinkToFit="0" vertical="bottom" wrapText="1"/>
    </xf>
    <xf borderId="0" fillId="16" fontId="23" numFmtId="0" xfId="0" applyAlignment="1" applyFont="1">
      <alignment horizontal="center" readingOrder="0" shrinkToFit="0" vertical="bottom" wrapText="1"/>
    </xf>
    <xf borderId="0" fillId="16" fontId="47" numFmtId="0" xfId="0" applyAlignment="1" applyFont="1">
      <alignment horizontal="center" readingOrder="0" shrinkToFit="0" vertical="bottom" wrapText="1"/>
    </xf>
    <xf borderId="0" fillId="16" fontId="48" numFmtId="0" xfId="0" applyAlignment="1" applyFont="1">
      <alignment horizontal="center" readingOrder="0" shrinkToFit="0" wrapText="1"/>
    </xf>
    <xf borderId="0" fillId="8" fontId="20" numFmtId="0" xfId="0" applyAlignment="1" applyFont="1">
      <alignment readingOrder="0" shrinkToFit="0" vertical="bottom" wrapText="1"/>
    </xf>
    <xf borderId="0" fillId="17" fontId="49" numFmtId="0" xfId="0" applyAlignment="1" applyFill="1" applyFont="1">
      <alignment horizontal="center" readingOrder="0" shrinkToFit="0" vertical="center" wrapText="1"/>
    </xf>
    <xf borderId="0" fillId="17" fontId="50" numFmtId="0" xfId="0" applyAlignment="1" applyFont="1">
      <alignment horizontal="center" readingOrder="0" shrinkToFit="0" vertical="center" wrapText="1"/>
    </xf>
    <xf borderId="0" fillId="2" fontId="51" numFmtId="0" xfId="0" applyAlignment="1" applyFont="1">
      <alignment horizontal="center" readingOrder="0" shrinkToFit="0" vertical="center" wrapText="1"/>
    </xf>
    <xf borderId="0" fillId="16" fontId="5" numFmtId="0" xfId="0" applyAlignment="1" applyFont="1">
      <alignment shrinkToFit="0" vertical="bottom" wrapText="1"/>
    </xf>
    <xf borderId="0" fillId="16" fontId="52" numFmtId="0" xfId="0" applyAlignment="1" applyFont="1">
      <alignment horizontal="center" readingOrder="0" shrinkToFit="0" wrapText="1"/>
    </xf>
    <xf borderId="0" fillId="16" fontId="11" numFmtId="0" xfId="0" applyAlignment="1" applyFont="1">
      <alignment shrinkToFit="0" wrapText="1"/>
    </xf>
    <xf borderId="0" fillId="3" fontId="23" numFmtId="0" xfId="0" applyAlignment="1" applyFont="1">
      <alignment horizontal="center" readingOrder="0" shrinkToFit="0" vertical="bottom" wrapText="1"/>
    </xf>
    <xf borderId="0" fillId="18" fontId="53" numFmtId="0" xfId="0" applyAlignment="1" applyFill="1" applyFont="1">
      <alignment horizontal="right" shrinkToFit="0" vertical="bottom" wrapText="1"/>
    </xf>
    <xf borderId="0" fillId="16" fontId="5" numFmtId="165" xfId="0" applyAlignment="1" applyFont="1" applyNumberFormat="1">
      <alignment horizontal="right" shrinkToFit="0" vertical="bottom" wrapText="1"/>
    </xf>
    <xf borderId="0" fillId="16" fontId="4" numFmtId="0" xfId="0" applyAlignment="1" applyFont="1">
      <alignment shrinkToFit="0" wrapText="1"/>
    </xf>
    <xf borderId="0" fillId="16" fontId="6" numFmtId="0" xfId="0" applyAlignment="1" applyFont="1">
      <alignment shrinkToFit="0" vertical="bottom" wrapText="1"/>
    </xf>
    <xf borderId="0" fillId="16" fontId="5" numFmtId="0" xfId="0" applyAlignment="1" applyFont="1">
      <alignment horizontal="right" readingOrder="0" shrinkToFit="0" vertical="bottom" wrapText="1"/>
    </xf>
    <xf borderId="0" fillId="16" fontId="6" numFmtId="0" xfId="0" applyAlignment="1" applyFont="1">
      <alignment horizontal="right" readingOrder="0" shrinkToFit="0" vertical="bottom" wrapText="1"/>
    </xf>
    <xf borderId="0" fillId="16" fontId="5" numFmtId="0" xfId="0" applyAlignment="1" applyFont="1">
      <alignment readingOrder="0" shrinkToFit="0" vertical="bottom" wrapText="1"/>
    </xf>
    <xf borderId="0" fillId="17" fontId="54" numFmtId="0" xfId="0" applyAlignment="1" applyFont="1">
      <alignment horizontal="center" readingOrder="0" shrinkToFit="0" vertical="bottom" wrapText="1"/>
    </xf>
    <xf borderId="0" fillId="16" fontId="5" numFmtId="0" xfId="0" applyAlignment="1" applyFont="1">
      <alignment horizontal="right" shrinkToFit="0" vertical="bottom" wrapText="1"/>
    </xf>
    <xf borderId="0" fillId="16" fontId="5" numFmtId="0" xfId="0" applyAlignment="1" applyFont="1">
      <alignment horizontal="left" readingOrder="0" shrinkToFit="0" vertical="bottom" wrapText="1"/>
    </xf>
    <xf borderId="0" fillId="16" fontId="4" numFmtId="0" xfId="0" applyAlignment="1" applyFont="1">
      <alignment horizontal="left" shrinkToFit="0" wrapText="1"/>
    </xf>
    <xf borderId="0" fillId="18" fontId="53" numFmtId="0" xfId="0" applyAlignment="1" applyFont="1">
      <alignment horizontal="right" readingOrder="0" shrinkToFit="0" vertical="bottom" wrapText="1"/>
    </xf>
    <xf borderId="0" fillId="16" fontId="5" numFmtId="165" xfId="0" applyAlignment="1" applyFont="1" applyNumberFormat="1">
      <alignment shrinkToFit="0" vertical="bottom" wrapText="1"/>
    </xf>
    <xf borderId="0" fillId="16" fontId="55" numFmtId="0" xfId="0" applyAlignment="1" applyFont="1">
      <alignment shrinkToFit="0" vertical="bottom" wrapText="1"/>
    </xf>
    <xf borderId="0" fillId="16" fontId="6" numFmtId="0" xfId="0" applyAlignment="1" applyFont="1">
      <alignment horizontal="center" readingOrder="0" shrinkToFit="0" vertical="bottom" wrapText="1"/>
    </xf>
    <xf borderId="0" fillId="16" fontId="6" numFmtId="0" xfId="0" applyAlignment="1" applyFont="1">
      <alignment horizontal="center" shrinkToFit="0" vertical="bottom" wrapText="1"/>
    </xf>
    <xf borderId="0" fillId="18" fontId="56" numFmtId="0" xfId="0" applyAlignment="1" applyFont="1">
      <alignment horizontal="center" shrinkToFit="0" vertical="bottom" wrapText="1"/>
    </xf>
    <xf borderId="0" fillId="18" fontId="56" numFmtId="0" xfId="0" applyAlignment="1" applyFont="1">
      <alignment horizontal="center" readingOrder="0" shrinkToFit="0" vertical="bottom" wrapText="1"/>
    </xf>
    <xf borderId="0" fillId="19" fontId="6" numFmtId="0" xfId="0" applyAlignment="1" applyFill="1" applyFont="1">
      <alignment shrinkToFit="0" vertical="bottom" wrapText="1"/>
    </xf>
    <xf borderId="0" fillId="19" fontId="5" numFmtId="0" xfId="0" applyAlignment="1" applyFont="1">
      <alignment horizontal="center" readingOrder="0" shrinkToFit="0" vertical="bottom" wrapText="1"/>
    </xf>
    <xf borderId="0" fillId="19" fontId="6" numFmtId="0" xfId="0" applyAlignment="1" applyFont="1">
      <alignment readingOrder="0" shrinkToFit="0" vertical="bottom" wrapText="1"/>
    </xf>
    <xf borderId="0" fillId="19" fontId="55" numFmtId="0" xfId="0" applyAlignment="1" applyFont="1">
      <alignment shrinkToFit="0" vertical="bottom" wrapText="1"/>
    </xf>
    <xf borderId="0" fillId="20" fontId="5" numFmtId="0" xfId="0" applyAlignment="1" applyFill="1" applyFont="1">
      <alignment horizontal="center" shrinkToFit="0" vertical="bottom" wrapText="1"/>
    </xf>
    <xf borderId="0" fillId="20" fontId="5" numFmtId="0" xfId="0" applyAlignment="1" applyFont="1">
      <alignment horizontal="center" readingOrder="0" shrinkToFit="0" vertical="bottom" wrapText="1"/>
    </xf>
    <xf borderId="0" fillId="17" fontId="49" numFmtId="0" xfId="0" applyAlignment="1" applyFont="1">
      <alignment horizontal="center" shrinkToFit="0" vertical="bottom" wrapText="1"/>
    </xf>
    <xf borderId="0" fillId="21" fontId="1" numFmtId="0" xfId="0" applyAlignment="1" applyFill="1" applyFont="1">
      <alignment readingOrder="0" shrinkToFit="0" vertical="bottom" wrapText="1"/>
    </xf>
    <xf borderId="0" fillId="21" fontId="5" numFmtId="0" xfId="0" applyAlignment="1" applyFont="1">
      <alignment readingOrder="0" shrinkToFit="0" vertical="bottom" wrapText="1"/>
    </xf>
    <xf borderId="0" fillId="21" fontId="4" numFmtId="0" xfId="0" applyAlignment="1" applyFont="1">
      <alignment shrinkToFit="0" wrapText="1"/>
    </xf>
    <xf borderId="0" fillId="21" fontId="6" numFmtId="0" xfId="0" applyAlignment="1" applyFont="1">
      <alignment horizontal="right" readingOrder="0" shrinkToFit="0" wrapText="1"/>
    </xf>
    <xf borderId="0" fillId="21" fontId="57" numFmtId="164" xfId="0" applyAlignment="1" applyFont="1" applyNumberFormat="1">
      <alignment shrinkToFit="0" wrapText="1"/>
    </xf>
    <xf borderId="0" fillId="21" fontId="58" numFmtId="164" xfId="0" applyAlignment="1" applyFont="1" applyNumberFormat="1">
      <alignment horizontal="center" shrinkToFit="0" vertical="center" wrapText="1"/>
    </xf>
    <xf borderId="0" fillId="21" fontId="59" numFmtId="164" xfId="0" applyAlignment="1" applyFont="1" applyNumberFormat="1">
      <alignment shrinkToFit="0" vertical="bottom" wrapText="1"/>
    </xf>
    <xf borderId="0" fillId="6" fontId="5" numFmtId="0" xfId="0" applyAlignment="1" applyFont="1">
      <alignment readingOrder="0" shrinkToFit="0" vertical="bottom" wrapText="1"/>
    </xf>
    <xf borderId="0" fillId="6" fontId="5" numFmtId="0" xfId="0" applyAlignment="1" applyFont="1">
      <alignment horizontal="right" readingOrder="0" shrinkToFit="0" vertical="bottom" wrapText="1"/>
    </xf>
    <xf borderId="0" fillId="6" fontId="17" numFmtId="164" xfId="0" applyAlignment="1" applyFont="1" applyNumberFormat="1">
      <alignment horizontal="right" shrinkToFit="0" vertical="bottom" wrapText="1"/>
    </xf>
    <xf borderId="0" fillId="6" fontId="59" numFmtId="164" xfId="0" applyAlignment="1" applyFont="1" applyNumberFormat="1">
      <alignment horizontal="right" shrinkToFit="0" vertical="bottom" wrapText="1"/>
    </xf>
    <xf borderId="0" fillId="22" fontId="6" numFmtId="0" xfId="0" applyAlignment="1" applyFill="1" applyFont="1">
      <alignment readingOrder="0" shrinkToFit="0" vertical="bottom" wrapText="1"/>
    </xf>
    <xf borderId="0" fillId="22" fontId="5" numFmtId="0" xfId="0" applyAlignment="1" applyFont="1">
      <alignment readingOrder="0" shrinkToFit="0" vertical="bottom" wrapText="1"/>
    </xf>
    <xf borderId="0" fillId="22" fontId="5" numFmtId="0" xfId="0" applyAlignment="1" applyFont="1">
      <alignment horizontal="right" readingOrder="0" shrinkToFit="0" vertical="bottom" wrapText="1"/>
    </xf>
    <xf borderId="0" fillId="22" fontId="17" numFmtId="164" xfId="0" applyAlignment="1" applyFont="1" applyNumberFormat="1">
      <alignment horizontal="right" shrinkToFit="0" vertical="bottom" wrapText="1"/>
    </xf>
    <xf borderId="0" fillId="22" fontId="59" numFmtId="0" xfId="0" applyAlignment="1" applyFont="1">
      <alignment shrinkToFit="0" vertical="bottom" wrapText="1"/>
    </xf>
    <xf borderId="0" fillId="6" fontId="11" numFmtId="0" xfId="0" applyAlignment="1" applyFont="1">
      <alignment readingOrder="0" shrinkToFit="0" wrapText="1"/>
    </xf>
    <xf borderId="0" fillId="6" fontId="6" numFmtId="0" xfId="0" applyAlignment="1" applyFont="1">
      <alignment readingOrder="0" shrinkToFit="0" vertical="bottom" wrapText="1"/>
    </xf>
    <xf borderId="0" fillId="6" fontId="5" numFmtId="49" xfId="0" applyAlignment="1" applyFont="1" applyNumberFormat="1">
      <alignment horizontal="right" readingOrder="0" shrinkToFit="0" vertical="bottom" wrapText="1"/>
    </xf>
    <xf borderId="0" fillId="6" fontId="59" numFmtId="0" xfId="0" applyAlignment="1" applyFont="1">
      <alignment shrinkToFit="0" vertical="bottom" wrapText="1"/>
    </xf>
    <xf borderId="0" fillId="22" fontId="32" numFmtId="0" xfId="0" applyAlignment="1" applyFont="1">
      <alignment readingOrder="0" shrinkToFit="0" wrapText="1"/>
    </xf>
    <xf borderId="0" fillId="22" fontId="60" numFmtId="0" xfId="0" applyAlignment="1" applyFont="1">
      <alignment shrinkToFit="0" vertical="center" wrapText="1"/>
    </xf>
    <xf borderId="0" fillId="22" fontId="9" numFmtId="0" xfId="0" applyFont="1"/>
    <xf borderId="0" fillId="22" fontId="6" numFmtId="0" xfId="0" applyAlignment="1" applyFont="1">
      <alignment shrinkToFit="0" vertical="bottom" wrapText="1"/>
    </xf>
    <xf borderId="0" fillId="22" fontId="61" numFmtId="164" xfId="0" applyAlignment="1" applyFont="1" applyNumberFormat="1">
      <alignment horizontal="right" shrinkToFit="0" vertical="bottom" wrapText="1"/>
    </xf>
    <xf borderId="0" fillId="6" fontId="62" numFmtId="0" xfId="0" applyAlignment="1" applyFont="1">
      <alignment readingOrder="0" shrinkToFit="0" vertical="bottom" wrapText="1"/>
    </xf>
    <xf borderId="0" fillId="6" fontId="1" numFmtId="0" xfId="0" applyAlignment="1" applyFont="1">
      <alignment readingOrder="0" shrinkToFit="0" vertical="bottom" wrapText="1"/>
    </xf>
    <xf borderId="0" fillId="6" fontId="59" numFmtId="164" xfId="0" applyAlignment="1" applyFont="1" applyNumberFormat="1">
      <alignment shrinkToFit="0" vertical="bottom" wrapText="1"/>
    </xf>
    <xf borderId="0" fillId="22" fontId="6" numFmtId="164" xfId="0" applyAlignment="1" applyFont="1" applyNumberFormat="1">
      <alignment horizontal="right" readingOrder="0" shrinkToFit="0" vertical="bottom" wrapText="1"/>
    </xf>
    <xf borderId="0" fillId="22" fontId="59" numFmtId="164" xfId="0" applyAlignment="1" applyFont="1" applyNumberFormat="1">
      <alignment horizontal="right" shrinkToFit="0" vertical="bottom" wrapText="1"/>
    </xf>
    <xf borderId="0" fillId="6" fontId="5" numFmtId="0" xfId="0" applyAlignment="1" applyFont="1">
      <alignment shrinkToFit="0" vertical="bottom" wrapText="1"/>
    </xf>
    <xf borderId="0" fillId="6" fontId="6" numFmtId="164" xfId="0" applyAlignment="1" applyFont="1" applyNumberFormat="1">
      <alignment horizontal="right" readingOrder="0" shrinkToFit="0" vertical="bottom" wrapText="1"/>
    </xf>
    <xf borderId="0" fillId="23" fontId="1" numFmtId="0" xfId="0" applyAlignment="1" applyFill="1" applyFont="1">
      <alignment readingOrder="0" shrinkToFit="0" vertical="bottom" wrapText="1"/>
    </xf>
    <xf borderId="0" fillId="23" fontId="5" numFmtId="0" xfId="0" applyAlignment="1" applyFont="1">
      <alignment readingOrder="0" shrinkToFit="0" vertical="bottom" wrapText="1"/>
    </xf>
    <xf borderId="0" fillId="23" fontId="62" numFmtId="0" xfId="0" applyAlignment="1" applyFont="1">
      <alignment readingOrder="0" shrinkToFit="0" vertical="bottom" wrapText="1"/>
    </xf>
    <xf borderId="0" fillId="23" fontId="4" numFmtId="0" xfId="0" applyAlignment="1" applyFont="1">
      <alignment shrinkToFit="0" wrapText="1"/>
    </xf>
    <xf borderId="0" fillId="23" fontId="6" numFmtId="0" xfId="0" applyAlignment="1" applyFont="1">
      <alignment horizontal="right" readingOrder="0" shrinkToFit="0" wrapText="1"/>
    </xf>
    <xf borderId="0" fillId="23" fontId="17" numFmtId="164" xfId="0" applyAlignment="1" applyFont="1" applyNumberFormat="1">
      <alignment shrinkToFit="0" wrapText="1"/>
    </xf>
    <xf borderId="0" fillId="23" fontId="63" numFmtId="0" xfId="0" applyAlignment="1" applyFont="1">
      <alignment horizontal="center" shrinkToFit="0" vertical="center" wrapText="1"/>
    </xf>
    <xf borderId="0" fillId="23" fontId="59" numFmtId="164" xfId="0" applyAlignment="1" applyFont="1" applyNumberFormat="1">
      <alignment shrinkToFit="0" vertical="bottom" wrapText="1"/>
    </xf>
    <xf borderId="0" fillId="6" fontId="17" numFmtId="164" xfId="0" applyAlignment="1" applyFont="1" applyNumberFormat="1">
      <alignment horizontal="right" shrinkToFit="0" vertical="bottom" wrapText="1"/>
    </xf>
    <xf borderId="0" fillId="24" fontId="6" numFmtId="0" xfId="0" applyAlignment="1" applyFill="1" applyFont="1">
      <alignment readingOrder="0" shrinkToFit="0" vertical="bottom" wrapText="1"/>
    </xf>
    <xf borderId="0" fillId="24" fontId="5" numFmtId="0" xfId="0" applyAlignment="1" applyFont="1">
      <alignment readingOrder="0" shrinkToFit="0" vertical="bottom" wrapText="1"/>
    </xf>
    <xf borderId="0" fillId="24" fontId="5" numFmtId="0" xfId="0" applyAlignment="1" applyFont="1">
      <alignment horizontal="right" readingOrder="0" shrinkToFit="0" vertical="bottom" wrapText="1"/>
    </xf>
    <xf borderId="0" fillId="24" fontId="17" numFmtId="164" xfId="0" applyAlignment="1" applyFont="1" applyNumberFormat="1">
      <alignment horizontal="right" shrinkToFit="0" vertical="bottom" wrapText="1"/>
    </xf>
    <xf borderId="0" fillId="24" fontId="59" numFmtId="0" xfId="0" applyAlignment="1" applyFont="1">
      <alignment shrinkToFit="0" vertical="bottom" wrapText="1"/>
    </xf>
    <xf borderId="0" fillId="24" fontId="32" numFmtId="0" xfId="0" applyAlignment="1" applyFont="1">
      <alignment readingOrder="0" shrinkToFit="0" wrapText="1"/>
    </xf>
    <xf borderId="0" fillId="24" fontId="60" numFmtId="0" xfId="0" applyAlignment="1" applyFont="1">
      <alignment shrinkToFit="0" vertical="center" wrapText="1"/>
    </xf>
    <xf borderId="0" fillId="24" fontId="9" numFmtId="0" xfId="0" applyFont="1"/>
    <xf borderId="0" fillId="24" fontId="6" numFmtId="0" xfId="0" applyAlignment="1" applyFont="1">
      <alignment shrinkToFit="0" vertical="bottom" wrapText="1"/>
    </xf>
    <xf borderId="0" fillId="24" fontId="59" numFmtId="164" xfId="0" applyAlignment="1" applyFont="1" applyNumberFormat="1">
      <alignment horizontal="right" shrinkToFit="0" vertical="bottom" wrapText="1"/>
    </xf>
    <xf borderId="0" fillId="24" fontId="6" numFmtId="164" xfId="0" applyAlignment="1" applyFont="1" applyNumberFormat="1">
      <alignment horizontal="right" shrinkToFit="0" vertical="bottom" wrapText="1"/>
    </xf>
    <xf borderId="0" fillId="24" fontId="6" numFmtId="0" xfId="0" applyAlignment="1" applyFont="1">
      <alignment shrinkToFit="0" vertical="bottom" wrapText="1"/>
    </xf>
    <xf borderId="0" fillId="21" fontId="62" numFmtId="0" xfId="0" applyAlignment="1" applyFont="1">
      <alignment readingOrder="0" shrinkToFit="0" vertical="bottom" wrapText="1"/>
    </xf>
    <xf borderId="0" fillId="21" fontId="17" numFmtId="164" xfId="0" applyAlignment="1" applyFont="1" applyNumberFormat="1">
      <alignment shrinkToFit="0" wrapText="1"/>
    </xf>
    <xf borderId="0" fillId="21" fontId="63" numFmtId="0" xfId="0" applyAlignment="1" applyFont="1">
      <alignment horizontal="center" shrinkToFit="0" vertical="center" wrapText="1"/>
    </xf>
    <xf borderId="0" fillId="21" fontId="59" numFmtId="0" xfId="0" applyAlignment="1" applyFont="1">
      <alignment shrinkToFit="0" vertical="bottom" wrapText="1"/>
    </xf>
    <xf borderId="0" fillId="6" fontId="1" numFmtId="0" xfId="0" applyAlignment="1" applyFont="1">
      <alignment horizontal="right" readingOrder="0" shrinkToFit="0" vertical="bottom" wrapText="1"/>
    </xf>
    <xf borderId="0" fillId="6" fontId="4" numFmtId="164" xfId="0" applyAlignment="1" applyFont="1" applyNumberFormat="1">
      <alignment horizontal="right" shrinkToFit="0" vertical="bottom" wrapText="1"/>
    </xf>
    <xf borderId="0" fillId="22" fontId="16" numFmtId="0" xfId="0" applyAlignment="1" applyFont="1">
      <alignment readingOrder="0" shrinkToFit="0" vertical="bottom" wrapText="1"/>
    </xf>
    <xf borderId="0" fillId="22" fontId="1" numFmtId="0" xfId="0" applyAlignment="1" applyFont="1">
      <alignment readingOrder="0" shrinkToFit="0" vertical="bottom" wrapText="1"/>
    </xf>
    <xf borderId="0" fillId="22" fontId="1" numFmtId="0" xfId="0" applyAlignment="1" applyFont="1">
      <alignment horizontal="right" readingOrder="0" shrinkToFit="0" vertical="bottom" wrapText="1"/>
    </xf>
    <xf borderId="0" fillId="22" fontId="4" numFmtId="164" xfId="0" applyAlignment="1" applyFont="1" applyNumberFormat="1">
      <alignment horizontal="right" shrinkToFit="0" vertical="bottom" wrapText="1"/>
    </xf>
    <xf borderId="0" fillId="6" fontId="64" numFmtId="0" xfId="0" applyAlignment="1" applyFont="1">
      <alignment readingOrder="0" shrinkToFit="0" wrapText="1"/>
    </xf>
    <xf borderId="0" fillId="6" fontId="16" numFmtId="0" xfId="0" applyAlignment="1" applyFont="1">
      <alignment readingOrder="0" shrinkToFit="0" vertical="bottom" wrapText="1"/>
    </xf>
    <xf borderId="0" fillId="6" fontId="1" numFmtId="49" xfId="0" applyAlignment="1" applyFont="1" applyNumberFormat="1">
      <alignment horizontal="right" readingOrder="0" shrinkToFit="0" vertical="bottom" wrapText="1"/>
    </xf>
    <xf borderId="0" fillId="22" fontId="15" numFmtId="0" xfId="0" applyAlignment="1" applyFont="1">
      <alignment readingOrder="0" shrinkToFit="0" wrapText="1"/>
    </xf>
    <xf borderId="0" fillId="22" fontId="65" numFmtId="0" xfId="0" applyAlignment="1" applyFont="1">
      <alignment shrinkToFit="0" vertical="center" wrapText="1"/>
    </xf>
    <xf borderId="0" fillId="22" fontId="16" numFmtId="0" xfId="0" applyAlignment="1" applyFont="1">
      <alignment shrinkToFit="0" vertical="bottom" wrapText="1"/>
    </xf>
    <xf borderId="0" fillId="6" fontId="66" numFmtId="0" xfId="0" applyAlignment="1" applyFont="1">
      <alignment readingOrder="0" shrinkToFit="0" vertical="bottom" wrapText="1"/>
    </xf>
    <xf borderId="0" fillId="22" fontId="16" numFmtId="164" xfId="0" applyAlignment="1" applyFont="1" applyNumberFormat="1">
      <alignment horizontal="right" shrinkToFit="0" vertical="bottom" wrapText="1"/>
    </xf>
    <xf borderId="0" fillId="6" fontId="1" numFmtId="0" xfId="0" applyAlignment="1" applyFont="1">
      <alignment shrinkToFit="0" vertical="bottom" wrapText="1"/>
    </xf>
    <xf borderId="0" fillId="6" fontId="16" numFmtId="164" xfId="0" applyAlignment="1" applyFont="1" applyNumberFormat="1">
      <alignment horizontal="right" readingOrder="0" shrinkToFit="0" vertical="bottom" wrapText="1"/>
    </xf>
    <xf borderId="0" fillId="6" fontId="16" numFmtId="0" xfId="0" applyAlignment="1" applyFont="1">
      <alignment shrinkToFit="0" vertical="bottom" wrapText="1"/>
    </xf>
    <xf borderId="0" fillId="23" fontId="67" numFmtId="164" xfId="0" applyAlignment="1" applyFont="1" applyNumberFormat="1">
      <alignment shrinkToFit="0" wrapText="1"/>
    </xf>
    <xf borderId="0" fillId="23" fontId="68" numFmtId="0" xfId="0" applyAlignment="1" applyFont="1">
      <alignment horizontal="center" shrinkToFit="0" vertical="center" wrapText="1"/>
    </xf>
    <xf borderId="0" fillId="23" fontId="59" numFmtId="0" xfId="0" applyAlignment="1" applyFont="1">
      <alignment shrinkToFit="0" vertical="bottom" wrapText="1"/>
    </xf>
    <xf borderId="0" fillId="24" fontId="16" numFmtId="0" xfId="0" applyAlignment="1" applyFont="1">
      <alignment readingOrder="0" shrinkToFit="0" vertical="bottom" wrapText="1"/>
    </xf>
    <xf borderId="0" fillId="24" fontId="1" numFmtId="0" xfId="0" applyAlignment="1" applyFont="1">
      <alignment readingOrder="0" shrinkToFit="0" vertical="bottom" wrapText="1"/>
    </xf>
    <xf borderId="0" fillId="24" fontId="1" numFmtId="0" xfId="0" applyAlignment="1" applyFont="1">
      <alignment horizontal="right" readingOrder="0" shrinkToFit="0" vertical="bottom" wrapText="1"/>
    </xf>
    <xf borderId="0" fillId="24" fontId="4" numFmtId="164" xfId="0" applyAlignment="1" applyFont="1" applyNumberFormat="1">
      <alignment horizontal="right" shrinkToFit="0" vertical="bottom" wrapText="1"/>
    </xf>
    <xf borderId="0" fillId="24" fontId="15" numFmtId="0" xfId="0" applyAlignment="1" applyFont="1">
      <alignment readingOrder="0" shrinkToFit="0" wrapText="1"/>
    </xf>
    <xf borderId="0" fillId="24" fontId="65" numFmtId="0" xfId="0" applyAlignment="1" applyFont="1">
      <alignment shrinkToFit="0" vertical="center" wrapText="1"/>
    </xf>
    <xf borderId="0" fillId="24" fontId="16" numFmtId="0" xfId="0" applyAlignment="1" applyFont="1">
      <alignment shrinkToFit="0" vertical="bottom" wrapText="1"/>
    </xf>
    <xf borderId="0" fillId="24" fontId="16" numFmtId="164" xfId="0" applyAlignment="1" applyFont="1" applyNumberFormat="1">
      <alignment horizontal="right" shrinkToFit="0" vertical="bottom" wrapText="1"/>
    </xf>
    <xf borderId="0" fillId="25" fontId="6" numFmtId="0" xfId="0" applyAlignment="1" applyFill="1" applyFont="1">
      <alignment shrinkToFit="0" vertical="bottom" wrapText="1"/>
    </xf>
    <xf borderId="0" fillId="25" fontId="5" numFmtId="0" xfId="0" applyAlignment="1" applyFont="1">
      <alignment horizontal="right" shrinkToFit="0" vertical="bottom" wrapText="1"/>
    </xf>
    <xf borderId="0" fillId="25" fontId="59" numFmtId="164" xfId="0" applyAlignment="1" applyFont="1" applyNumberFormat="1">
      <alignment horizontal="right" shrinkToFit="0" vertical="bottom" wrapText="1"/>
    </xf>
    <xf borderId="0" fillId="25" fontId="6" numFmtId="0" xfId="0" applyAlignment="1" applyFont="1">
      <alignment readingOrder="0" shrinkToFit="0" vertical="bottom" wrapText="1"/>
    </xf>
    <xf borderId="0" fillId="25" fontId="5" numFmtId="0" xfId="0" applyAlignment="1" applyFont="1">
      <alignment horizontal="right" shrinkToFit="0" vertical="bottom" wrapText="1"/>
    </xf>
    <xf borderId="3" fillId="18" fontId="69" numFmtId="0" xfId="0" applyAlignment="1" applyBorder="1" applyFont="1">
      <alignment readingOrder="0" shrinkToFit="0" vertical="bottom" wrapText="1"/>
    </xf>
    <xf borderId="0" fillId="10" fontId="6" numFmtId="164" xfId="0" applyAlignment="1" applyFont="1" applyNumberFormat="1">
      <alignment readingOrder="0" shrinkToFit="0" vertical="bottom" wrapText="1"/>
    </xf>
    <xf borderId="0" fillId="10" fontId="6" numFmtId="0" xfId="0" applyAlignment="1" applyFont="1">
      <alignment readingOrder="0" shrinkToFit="0" vertical="bottom" wrapText="1"/>
    </xf>
    <xf borderId="0" fillId="25" fontId="6" numFmtId="164" xfId="0" applyAlignment="1" applyFont="1" applyNumberFormat="1">
      <alignment shrinkToFit="0" vertical="bottom" wrapText="1"/>
    </xf>
    <xf borderId="0" fillId="25" fontId="5" numFmtId="9" xfId="0" applyAlignment="1" applyFont="1" applyNumberFormat="1">
      <alignment horizontal="right" readingOrder="0" shrinkToFit="0" vertical="bottom" wrapText="1"/>
    </xf>
    <xf borderId="0" fillId="10" fontId="6" numFmtId="0" xfId="0" applyAlignment="1" applyFont="1">
      <alignment shrinkToFit="0" vertical="bottom" wrapText="1"/>
    </xf>
    <xf borderId="4" fillId="25" fontId="59" numFmtId="164" xfId="0" applyAlignment="1" applyBorder="1" applyFont="1" applyNumberFormat="1">
      <alignment horizontal="right" shrinkToFit="0" vertical="bottom" wrapText="1"/>
    </xf>
    <xf borderId="0" fillId="18" fontId="69" numFmtId="0" xfId="0" applyAlignment="1" applyFont="1">
      <alignment readingOrder="0" shrinkToFit="0" vertical="bottom" wrapText="1"/>
    </xf>
    <xf borderId="0" fillId="10" fontId="5" numFmtId="164" xfId="0" applyAlignment="1" applyFont="1" applyNumberFormat="1">
      <alignment readingOrder="0" shrinkToFit="0" vertical="bottom" wrapText="1"/>
    </xf>
    <xf borderId="0" fillId="10" fontId="5" numFmtId="0" xfId="0" applyAlignment="1" applyFont="1">
      <alignment readingOrder="0" shrinkToFit="0" vertical="bottom" wrapText="1"/>
    </xf>
    <xf borderId="0" fillId="8" fontId="70" numFmtId="164" xfId="0" applyAlignment="1" applyFont="1" applyNumberFormat="1">
      <alignment horizontal="right" shrinkToFit="0" vertical="bottom" wrapText="1"/>
    </xf>
    <xf borderId="0" fillId="13" fontId="49" numFmtId="0" xfId="0" applyAlignment="1" applyFont="1">
      <alignment readingOrder="0" shrinkToFit="0" vertical="bottom" wrapText="1"/>
    </xf>
    <xf borderId="0" fillId="25" fontId="11" numFmtId="0" xfId="0" applyAlignment="1" applyFont="1">
      <alignment shrinkToFit="0" wrapText="1"/>
    </xf>
    <xf borderId="0" fillId="14" fontId="71" numFmtId="0" xfId="0" applyAlignment="1" applyFont="1">
      <alignment horizontal="right" readingOrder="0" shrinkToFit="0" vertical="bottom" wrapText="1"/>
    </xf>
    <xf borderId="0" fillId="22" fontId="72" numFmtId="0" xfId="0" applyAlignment="1" applyFont="1">
      <alignment readingOrder="0" shrinkToFit="0" vertical="bottom" wrapText="1"/>
    </xf>
    <xf borderId="0" fillId="22" fontId="73" numFmtId="0" xfId="0" applyAlignment="1" applyFont="1">
      <alignment readingOrder="0" shrinkToFit="0" wrapText="1"/>
    </xf>
    <xf borderId="0" fillId="22" fontId="7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right" vertical="bottom"/>
    </xf>
    <xf borderId="0" fillId="0" fontId="74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75" numFmtId="0" xfId="0" applyAlignment="1" applyFont="1">
      <alignment vertical="bottom"/>
    </xf>
    <xf borderId="0" fillId="0" fontId="6" numFmtId="166" xfId="0" applyAlignment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shrinkToFit="0" vertical="bottom" wrapText="0"/>
    </xf>
    <xf borderId="0" fillId="0" fontId="6" numFmtId="167" xfId="0" applyAlignment="1" applyFont="1" applyNumberFormat="1">
      <alignment horizontal="right" vertical="bottom"/>
    </xf>
    <xf borderId="0" fillId="0" fontId="6" numFmtId="168" xfId="0" applyAlignment="1" applyFont="1" applyNumberFormat="1">
      <alignment horizontal="right" vertical="bottom"/>
    </xf>
    <xf borderId="0" fillId="0" fontId="6" numFmtId="169" xfId="0" applyAlignment="1" applyFont="1" applyNumberFormat="1">
      <alignment horizontal="right" vertical="bottom"/>
    </xf>
    <xf borderId="0" fillId="0" fontId="6" numFmtId="170" xfId="0" applyAlignment="1" applyFont="1" applyNumberFormat="1">
      <alignment horizontal="right" vertical="bottom"/>
    </xf>
    <xf borderId="0" fillId="0" fontId="6" numFmtId="171" xfId="0" applyAlignment="1" applyFont="1" applyNumberFormat="1">
      <alignment horizontal="right" vertical="bottom"/>
    </xf>
    <xf borderId="0" fillId="0" fontId="6" numFmtId="172" xfId="0" applyAlignment="1" applyFont="1" applyNumberFormat="1">
      <alignment horizontal="right" vertical="bottom"/>
    </xf>
    <xf borderId="0" fillId="0" fontId="6" numFmtId="173" xfId="0" applyAlignment="1" applyFont="1" applyNumberFormat="1">
      <alignment horizontal="right" vertical="bottom"/>
    </xf>
    <xf borderId="0" fillId="0" fontId="6" numFmtId="17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175" xfId="0" applyAlignment="1" applyFont="1" applyNumberFormat="1">
      <alignment horizontal="right" vertical="bottom"/>
    </xf>
    <xf borderId="0" fillId="0" fontId="6" numFmtId="165" xfId="0" applyAlignment="1" applyFont="1" applyNumberFormat="1">
      <alignment readingOrder="0" vertical="bottom"/>
    </xf>
    <xf borderId="0" fillId="0" fontId="6" numFmtId="165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381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2860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PpZmDlcNh_1V1ZpVdq__IRl0I1kPw1Qd&amp;authuser=jay.agg%40gmail.com&amp;usp=drive_fs" TargetMode="External"/><Relationship Id="rId42" Type="http://schemas.openxmlformats.org/officeDocument/2006/relationships/hyperlink" Target="https://drive.google.com/open?id=1QTPA9WUEV2j8fkEkgcASZTdsr3jy70lO&amp;authuser=jay.agg%40gmail.com&amp;usp=drive_fs" TargetMode="External"/><Relationship Id="rId41" Type="http://schemas.openxmlformats.org/officeDocument/2006/relationships/hyperlink" Target="https://drive.google.com/open?id=1QTPA9WUEV2j8fkEkgcASZTdsr3jy70lO&amp;authuser=jay.agg%40gmail.com&amp;usp=drive_fs" TargetMode="External"/><Relationship Id="rId44" Type="http://schemas.openxmlformats.org/officeDocument/2006/relationships/hyperlink" Target="https://drive.google.com/open?id=1Pgfe8ksCwJ1QLlLAEJ-ISr7kMBXa6jhu&amp;authuser=jay.agg%40gmail.com&amp;usp=drive_fs" TargetMode="External"/><Relationship Id="rId43" Type="http://schemas.openxmlformats.org/officeDocument/2006/relationships/hyperlink" Target="https://drive.google.com/open?id=1Pgfe8ksCwJ1QLlLAEJ-ISr7kMBXa6jhu&amp;authuser=jay.agg%40gmail.com&amp;usp=drive_fs" TargetMode="External"/><Relationship Id="rId46" Type="http://schemas.openxmlformats.org/officeDocument/2006/relationships/hyperlink" Target="https://drive.google.com/open?id=1QdO0BP_hrM4d6SsfjW-aNz4iq6yGZmw1&amp;authuser=jay.agg%40gmail.com&amp;usp=drive_fs" TargetMode="External"/><Relationship Id="rId45" Type="http://schemas.openxmlformats.org/officeDocument/2006/relationships/hyperlink" Target="https://drive.google.com/open?id=1Pny7h9jpvEMO3_pACrZHgBP6lPctJls3&amp;authuser=jay.agg%40gmail.com&amp;usp=drive_fs" TargetMode="External"/><Relationship Id="rId107" Type="http://schemas.openxmlformats.org/officeDocument/2006/relationships/hyperlink" Target="https://drive.google.com/open?id=1WGnc03m_rOcEsRw9mzc5rV4bCIFXBEfU&amp;authuser=jay.agg%40gmail.com&amp;usp=drive_fs" TargetMode="External"/><Relationship Id="rId106" Type="http://schemas.openxmlformats.org/officeDocument/2006/relationships/hyperlink" Target="https://drive.google.com/open?id=1WB1Gc6rLFJdLXQN6dDr8QovLCdZ0Frse&amp;authuser=jay.agg%40gmail.com&amp;usp=drive_fs" TargetMode="External"/><Relationship Id="rId105" Type="http://schemas.openxmlformats.org/officeDocument/2006/relationships/hyperlink" Target="https://drive.google.com/open?id=1W6f_vCAMuG37be0jZF_jqzvvPw_kgr06&amp;authuser=jay.agg%40gmail.com&amp;usp=drive_fs" TargetMode="External"/><Relationship Id="rId104" Type="http://schemas.openxmlformats.org/officeDocument/2006/relationships/hyperlink" Target="https://drive.google.com/open?id=1W4dIq4ve52YcyBHL5SlGfNPxNSXsPMNx&amp;authuser=jay.agg%40gmail.com&amp;usp=drive_fs" TargetMode="External"/><Relationship Id="rId109" Type="http://schemas.openxmlformats.org/officeDocument/2006/relationships/hyperlink" Target="https://drive.google.com/open?id=1WIcp56NZpTp1JddV166biVPZHqDqO9VB&amp;authuser=jay.agg%40gmail.com&amp;usp=drive_fs" TargetMode="External"/><Relationship Id="rId108" Type="http://schemas.openxmlformats.org/officeDocument/2006/relationships/hyperlink" Target="https://drive.google.com/open?id=1WHAuatUQ3wAiDtOhs95WQfMKRfFm5V-w&amp;authuser=jay.agg%40gmail.com&amp;usp=drive_fs" TargetMode="External"/><Relationship Id="rId48" Type="http://schemas.openxmlformats.org/officeDocument/2006/relationships/hyperlink" Target="https://drive.google.com/open?id=1Qb7ECoQL9JGP8FFrz-mUNuRU0sevEp5M&amp;authuser=jay.agg%40gmail.com&amp;usp=drive_fs" TargetMode="External"/><Relationship Id="rId47" Type="http://schemas.openxmlformats.org/officeDocument/2006/relationships/hyperlink" Target="https://drive.google.com/open?id=1QdO0BP_hrM4d6SsfjW-aNz4iq6yGZmw1&amp;authuser=jay.agg%40gmail.com&amp;usp=drive_fs" TargetMode="External"/><Relationship Id="rId49" Type="http://schemas.openxmlformats.org/officeDocument/2006/relationships/hyperlink" Target="https://drive.google.com/open?id=1Qb7ECoQL9JGP8FFrz-mUNuRU0sevEp5M&amp;authuser=jay.agg%40gmail.com&amp;usp=drive_fs" TargetMode="External"/><Relationship Id="rId103" Type="http://schemas.openxmlformats.org/officeDocument/2006/relationships/hyperlink" Target="https://drive.google.com/open?id=1Wosbq19T-CU3cAZZBsGO1-uK-rVVCFnR&amp;authuser=jay.agg%40gmail.com&amp;usp=drive_fs" TargetMode="External"/><Relationship Id="rId102" Type="http://schemas.openxmlformats.org/officeDocument/2006/relationships/hyperlink" Target="https://drive.google.com/open?id=1Emi--XIoiuXckSxqBeNw1IyXwinydrah&amp;authuser=jay.agg%40gmail.com&amp;usp=drive_fs" TargetMode="External"/><Relationship Id="rId101" Type="http://schemas.openxmlformats.org/officeDocument/2006/relationships/hyperlink" Target="https://drive.google.com/open?id=1WjdIHZnsmG9Xe4DSSnFt65ZtIl_qw1S5&amp;authuser=jay.agg%40gmail.com&amp;usp=drive_fs" TargetMode="External"/><Relationship Id="rId100" Type="http://schemas.openxmlformats.org/officeDocument/2006/relationships/hyperlink" Target="https://drive.google.com/open?id=1WiwENX2OXbqGtZImummaw69V1QZvIUmI&amp;authuser=jay.agg%40gmail.com&amp;usp=drive_fs" TargetMode="External"/><Relationship Id="rId31" Type="http://schemas.openxmlformats.org/officeDocument/2006/relationships/hyperlink" Target="https://drive.google.com/open?id=1UNsN6lw6eJp3EmppFBALQPeknHOYuu7F&amp;authuser=jay.agg%40gmail.com&amp;usp=drive_fs" TargetMode="External"/><Relationship Id="rId30" Type="http://schemas.openxmlformats.org/officeDocument/2006/relationships/hyperlink" Target="https://drive.google.com/open?id=1UMXrLqrUmqp7-d9mhQWMYtxxeVypNWrE&amp;authuser=jay.agg%40gmail.com&amp;usp=drive_fs" TargetMode="External"/><Relationship Id="rId33" Type="http://schemas.openxmlformats.org/officeDocument/2006/relationships/hyperlink" Target="https://drive.google.com/open?id=1N4B92ANkI-56ydIrP1GkifkdOXM1UzMm&amp;authuser=jay.agg%40gmail.com&amp;usp=drive_fs" TargetMode="External"/><Relationship Id="rId32" Type="http://schemas.openxmlformats.org/officeDocument/2006/relationships/hyperlink" Target="https://drive.google.com/open?id=129Tc2pA_aD6fw-eEZeX6LXlb4uoy1j5_&amp;authuser=jay.agg%40gmail.com&amp;usp=drive_fs" TargetMode="External"/><Relationship Id="rId35" Type="http://schemas.openxmlformats.org/officeDocument/2006/relationships/hyperlink" Target="https://drive.google.com/open?id=1S0Z7-qXziQR2o-50ZN_Wj4QZgEHujSeM&amp;authuser=jay.agg%40gmail.com&amp;usp=drive_fs" TargetMode="External"/><Relationship Id="rId34" Type="http://schemas.openxmlformats.org/officeDocument/2006/relationships/hyperlink" Target="https://drive.google.com/open?id=1RsN-5kbxnytBeeqYRPBafhzEPINgMI6a&amp;authuser=jay.agg%40gmail.com&amp;usp=drive_fs" TargetMode="External"/><Relationship Id="rId37" Type="http://schemas.openxmlformats.org/officeDocument/2006/relationships/hyperlink" Target="https://drive.google.com/open?id=1S2Ulg3xJ-_8STATOpgFi2hN69eQZOJ0z&amp;authuser=jay.agg%40gmail.com&amp;usp=drive_fs" TargetMode="External"/><Relationship Id="rId36" Type="http://schemas.openxmlformats.org/officeDocument/2006/relationships/hyperlink" Target="https://drive.google.com/open?id=1S1-oItrjrPuZogp4E743RrdwmIfIYIEF&amp;authuser=jay.agg%40gmail.com&amp;usp=drive_fs" TargetMode="External"/><Relationship Id="rId39" Type="http://schemas.openxmlformats.org/officeDocument/2006/relationships/hyperlink" Target="https://drive.google.com/open?id=1PnzMu0Gj44pVCfBcfv9xMTpVe_jmAs4T&amp;authuser=jay.agg%40gmail.com&amp;usp=drive_fs" TargetMode="External"/><Relationship Id="rId38" Type="http://schemas.openxmlformats.org/officeDocument/2006/relationships/hyperlink" Target="https://drive.google.com/open?id=1S98BnAjgzMnqK0gaSeAjfURAnE4p6GGL&amp;authuser=jay.agg%40gmail.com&amp;usp=drive_fs" TargetMode="External"/><Relationship Id="rId20" Type="http://schemas.openxmlformats.org/officeDocument/2006/relationships/hyperlink" Target="https://drive.google.com/open?id=1FMsvYWKgEmPGYiFaJx5tzMiNTtJ-Dj6o&amp;authuser=jay.agg%40gmail.com&amp;usp=drive_fs" TargetMode="External"/><Relationship Id="rId22" Type="http://schemas.openxmlformats.org/officeDocument/2006/relationships/hyperlink" Target="https://drive.google.com/open?id=1Emi--XIoiuXckSxqBeNw1IyXwinydrah&amp;authuser=jay.agg%40gmail.com&amp;usp=drive_fs" TargetMode="External"/><Relationship Id="rId21" Type="http://schemas.openxmlformats.org/officeDocument/2006/relationships/hyperlink" Target="https://drive.google.com/open?id=1FL99kMLlavpUPir5t5GYIF7llvaOg0-z&amp;authuser=jay.agg%40gmail.com&amp;usp=drive_fs" TargetMode="External"/><Relationship Id="rId24" Type="http://schemas.openxmlformats.org/officeDocument/2006/relationships/hyperlink" Target="https://drive.google.com/open?id=1-ipabbVYYqsWTc752HmG2v6Wr2iaJEam&amp;authuser=jay.agg%40gmail.com&amp;usp=drive_fs" TargetMode="External"/><Relationship Id="rId23" Type="http://schemas.openxmlformats.org/officeDocument/2006/relationships/hyperlink" Target="https://drive.google.com/open?id=1UExgVL2URLNjfjV1HAWg4VIoUNyPdo8-&amp;authuser=jay.agg%40gmail.com&amp;usp=drive_fs" TargetMode="External"/><Relationship Id="rId129" Type="http://schemas.openxmlformats.org/officeDocument/2006/relationships/drawing" Target="../drawings/drawing4.xml"/><Relationship Id="rId128" Type="http://schemas.openxmlformats.org/officeDocument/2006/relationships/hyperlink" Target="https://drive.google.com/open?id=13kuaDlFa0fBEHCs_YUfPW3elmJ4Hmn13&amp;authuser=jay.agg%40gmail.com&amp;usp=drive_fs" TargetMode="External"/><Relationship Id="rId127" Type="http://schemas.openxmlformats.org/officeDocument/2006/relationships/hyperlink" Target="https://drive.google.com/open?id=13gwnoCIJ1WNpXRrDHG8il0ml0Qx_TrvM&amp;authuser=jay.agg%40gmail.com&amp;usp=drive_fs" TargetMode="External"/><Relationship Id="rId126" Type="http://schemas.openxmlformats.org/officeDocument/2006/relationships/hyperlink" Target="https://drive.google.com/open?id=1SGniNgYFPvGsEoZQWtlm0L8R5nhsWb2V&amp;authuser=jay.agg%40gmail.com&amp;usp=drive_fs" TargetMode="External"/><Relationship Id="rId26" Type="http://schemas.openxmlformats.org/officeDocument/2006/relationships/hyperlink" Target="https://drive.google.com/open?id=1UJH96vToCz3tFBDTJUV37JMn8WUK64XB&amp;authuser=jay.agg%40gmail.com&amp;usp=drive_fs" TargetMode="External"/><Relationship Id="rId121" Type="http://schemas.openxmlformats.org/officeDocument/2006/relationships/hyperlink" Target="https://drive.google.com/open?id=16KDz8Hb9c000oTSJ6tcXjBWqcW61d6wV&amp;authuser=jay.agg%40gmail.com&amp;usp=drive_fs" TargetMode="External"/><Relationship Id="rId25" Type="http://schemas.openxmlformats.org/officeDocument/2006/relationships/hyperlink" Target="https://drive.google.com/open?id=1UGXtEEpa2olcD_7mskNUz4fN8hxaqzux&amp;authuser=jay.agg%40gmail.com&amp;usp=drive_fs" TargetMode="External"/><Relationship Id="rId120" Type="http://schemas.openxmlformats.org/officeDocument/2006/relationships/hyperlink" Target="https://drive.google.com/open?id=16JKdR97-ygngNE2EgUJgnw8zbkzf2pPA&amp;authuser=jay.agg%40gmail.com&amp;usp=drive_fs" TargetMode="External"/><Relationship Id="rId28" Type="http://schemas.openxmlformats.org/officeDocument/2006/relationships/hyperlink" Target="https://drive.google.com/open?id=1UKaFW_6Czxw3fTtHjztdAcLhYJr2xVrI&amp;authuser=jay.agg%40gmail.com&amp;usp=drive_fs" TargetMode="External"/><Relationship Id="rId27" Type="http://schemas.openxmlformats.org/officeDocument/2006/relationships/hyperlink" Target="https://drive.google.com/open?id=1UJKPj6iM9WGYg1F9TNcXQM00SgdnfjKK&amp;authuser=jay.agg%40gmail.com&amp;usp=drive_fs" TargetMode="External"/><Relationship Id="rId125" Type="http://schemas.openxmlformats.org/officeDocument/2006/relationships/hyperlink" Target="https://drive.google.com/open?id=16q746O635t4H66ymRddA340DT79jWSkd&amp;authuser=jay.agg%40gmail.com&amp;usp=drive_fs" TargetMode="External"/><Relationship Id="rId29" Type="http://schemas.openxmlformats.org/officeDocument/2006/relationships/hyperlink" Target="https://drive.google.com/open?id=1ULAv4zyHUgIT5p3O-6qqMuw-LleJ-C23&amp;authuser=jay.agg%40gmail.com&amp;usp=drive_fs" TargetMode="External"/><Relationship Id="rId124" Type="http://schemas.openxmlformats.org/officeDocument/2006/relationships/hyperlink" Target="https://drive.google.com/open?id=16pMQ6TUSlGFFEQs2FQapc3c_-MOOLL2i&amp;authuser=jay.agg%40gmail.com&amp;usp=drive_fs" TargetMode="External"/><Relationship Id="rId123" Type="http://schemas.openxmlformats.org/officeDocument/2006/relationships/hyperlink" Target="https://drive.google.com/open?id=16Txk4bWredH4OglpUn2s8qHOqILchP54&amp;authuser=jay.agg%40gmail.com&amp;usp=drive_fs" TargetMode="External"/><Relationship Id="rId122" Type="http://schemas.openxmlformats.org/officeDocument/2006/relationships/hyperlink" Target="https://drive.google.com/open?id=16OaowQN3EEmU9JJubmPR5qnrVeSQb1qo&amp;authuser=jay.agg%40gmail.com&amp;usp=drive_fs" TargetMode="External"/><Relationship Id="rId95" Type="http://schemas.openxmlformats.org/officeDocument/2006/relationships/hyperlink" Target="https://drive.google.com/open?id=1SQEn-oWOvionQX_bmZiY40xVOPPEHQmG&amp;authuser=jay.agg%40gmail.com&amp;usp=drive_fs" TargetMode="External"/><Relationship Id="rId94" Type="http://schemas.openxmlformats.org/officeDocument/2006/relationships/hyperlink" Target="https://drive.google.com/open?id=1SIQbhZto4agrr3VUlE0ELACCgHiRr5YG&amp;authuser=jay.agg%40gmail.com&amp;usp=drive_fs" TargetMode="External"/><Relationship Id="rId97" Type="http://schemas.openxmlformats.org/officeDocument/2006/relationships/hyperlink" Target="https://drive.google.com/open?id=1_FGMX4rvRKmWcMmH06d2I5qOwXuJWE4c&amp;authuser=jay.agg%40gmail.com&amp;usp=drive_fs" TargetMode="External"/><Relationship Id="rId96" Type="http://schemas.openxmlformats.org/officeDocument/2006/relationships/hyperlink" Target="https://drive.google.com/open?id=1SVgAzLMy6bhn29VqobVJrlBP9zpBfdfI&amp;authuser=jay.agg%40gmail.com&amp;usp=drive_fs" TargetMode="External"/><Relationship Id="rId11" Type="http://schemas.openxmlformats.org/officeDocument/2006/relationships/hyperlink" Target="https://drive.google.com/open?id=1PWnDnFzKi-u__xJcDPQikhHsJcC-t9Bj&amp;authuser=jay.agg%40gmail.com&amp;usp=drive_fs" TargetMode="External"/><Relationship Id="rId99" Type="http://schemas.openxmlformats.org/officeDocument/2006/relationships/hyperlink" Target="https://drive.google.com/open?id=1WcEROCbZAQrzFV8U2tXZ8xBXWZZlusx-&amp;authuser=jay.agg%40gmail.com&amp;usp=drive_fs" TargetMode="External"/><Relationship Id="rId10" Type="http://schemas.openxmlformats.org/officeDocument/2006/relationships/hyperlink" Target="https://drive.google.com/open?id=1PR-nafINydU3fQWPFdZ7QXfirO1hPosI&amp;authuser=jay.agg%40gmail.com&amp;usp=drive_fs" TargetMode="External"/><Relationship Id="rId98" Type="http://schemas.openxmlformats.org/officeDocument/2006/relationships/hyperlink" Target="https://drive.google.com/open?id=1WXc-mKAHr93suwVRA5wtpWh8v-nT5-e9&amp;authuser=jay.agg%40gmail.com&amp;usp=drive_fs" TargetMode="External"/><Relationship Id="rId13" Type="http://schemas.openxmlformats.org/officeDocument/2006/relationships/hyperlink" Target="https://drive.google.com/open?id=1D3hjwUP0P8lFx9WD_i9STXsfY7uqE-26&amp;authuser=jay.agg%40gmail.com&amp;usp=drive_fs" TargetMode="External"/><Relationship Id="rId12" Type="http://schemas.openxmlformats.org/officeDocument/2006/relationships/hyperlink" Target="https://drive.google.com/open?id=1CxpmydiWdrTgZTCnku5c5rEHVSJSeEOZ&amp;authuser=jay.agg%40gmail.com&amp;usp=drive_fs" TargetMode="External"/><Relationship Id="rId91" Type="http://schemas.openxmlformats.org/officeDocument/2006/relationships/hyperlink" Target="https://drive.google.com/open?id=1NujrgZ7l36_tUSyxUUHE53H_lXCnUMIV&amp;authuser=jay.agg%40gmail.com&amp;usp=drive_fs" TargetMode="External"/><Relationship Id="rId90" Type="http://schemas.openxmlformats.org/officeDocument/2006/relationships/hyperlink" Target="https://drive.google.com/open?id=1NraUWBTtBENg0PBMT1-DyR6G2b8qMEE5&amp;authuser=jay.agg%40gmail.com&amp;usp=drive_fs" TargetMode="External"/><Relationship Id="rId93" Type="http://schemas.openxmlformats.org/officeDocument/2006/relationships/hyperlink" Target="https://drive.google.com/open?id=1SHQg_xgiDD-S_fSmTj4BBaPbb-HsVH-U&amp;authuser=jay.agg%40gmail.com&amp;usp=drive_fs" TargetMode="External"/><Relationship Id="rId92" Type="http://schemas.openxmlformats.org/officeDocument/2006/relationships/hyperlink" Target="https://drive.google.com/open?id=1NvduVlo_CJsEgebAQz07GSvPs7uxSe-G&amp;authuser=jay.agg%40gmail.com&amp;usp=drive_fs" TargetMode="External"/><Relationship Id="rId118" Type="http://schemas.openxmlformats.org/officeDocument/2006/relationships/hyperlink" Target="https://drive.google.com/open?id=1p5PQykSb0nIJtoE3sd3gzY_XXM0WlWVi&amp;authuser=jay.agg%40gmail.com&amp;usp=drive_fs" TargetMode="External"/><Relationship Id="rId117" Type="http://schemas.openxmlformats.org/officeDocument/2006/relationships/hyperlink" Target="https://drive.google.com/open?id=1ovQiycdDxXeO53FWi_N954j9_1Ur9w55&amp;authuser=jay.agg%40gmail.com&amp;usp=drive_fs" TargetMode="External"/><Relationship Id="rId116" Type="http://schemas.openxmlformats.org/officeDocument/2006/relationships/hyperlink" Target="https://drive.google.com/open?id=1W0X0xgnjVP7OosahJk5m0R11OOZUeqRs&amp;authuser=jay.agg%40gmail.com&amp;usp=drive_fs" TargetMode="External"/><Relationship Id="rId115" Type="http://schemas.openxmlformats.org/officeDocument/2006/relationships/hyperlink" Target="https://drive.google.com/open?id=1W0Gn-ZpgFavI6U_i6lkrRggmkpEUA12o&amp;authuser=jay.agg%40gmail.com&amp;usp=drive_fs" TargetMode="External"/><Relationship Id="rId119" Type="http://schemas.openxmlformats.org/officeDocument/2006/relationships/hyperlink" Target="https://drive.google.com/open?id=1p8aRRGRponCrGr86b2C9yjEPcePkA-XS&amp;authuser=jay.agg%40gmail.com&amp;usp=drive_fs" TargetMode="External"/><Relationship Id="rId15" Type="http://schemas.openxmlformats.org/officeDocument/2006/relationships/hyperlink" Target="https://drive.google.com/open?id=1FiqaCWv8mXhiNA9bdlWazF9ffvu_ueSN&amp;authuser=jay.agg%40gmail.com&amp;usp=drive_fs" TargetMode="External"/><Relationship Id="rId110" Type="http://schemas.openxmlformats.org/officeDocument/2006/relationships/hyperlink" Target="https://drive.google.com/open?id=1VhfpCdreCicsyU5h80igbH5W3YYNDRwF&amp;authuser=jay.agg%40gmail.com&amp;usp=drive_fs" TargetMode="External"/><Relationship Id="rId14" Type="http://schemas.openxmlformats.org/officeDocument/2006/relationships/hyperlink" Target="https://drive.google.com/open?id=1Fc9oTKR7b821HkTrG_zI5QSWnLPrSVLg&amp;authuser=jay.agg%40gmail.com&amp;usp=drive_fs" TargetMode="External"/><Relationship Id="rId17" Type="http://schemas.openxmlformats.org/officeDocument/2006/relationships/hyperlink" Target="https://drive.google.com/open?id=1Fjk4IQZJ34_nyzhqW73UOkG39mmThBYf&amp;authuser=jay.agg%40gmail.com&amp;usp=drive_fs" TargetMode="External"/><Relationship Id="rId16" Type="http://schemas.openxmlformats.org/officeDocument/2006/relationships/hyperlink" Target="https://drive.google.com/open?id=1FY_BWfKhFUF1b3v5HB3Hc0DrhkEhW1dk&amp;authuser=jay.agg%40gmail.com&amp;usp=drive_fs" TargetMode="External"/><Relationship Id="rId19" Type="http://schemas.openxmlformats.org/officeDocument/2006/relationships/hyperlink" Target="https://drive.google.com/open?id=1FnsatBoPLTPp4pCKqLg30CDtg4dTkM3n&amp;authuser=jay.agg%40gmail.com&amp;usp=drive_fs" TargetMode="External"/><Relationship Id="rId114" Type="http://schemas.openxmlformats.org/officeDocument/2006/relationships/hyperlink" Target="https://drive.google.com/open?id=1W0BfPEOQXXRF7nZ7uGa4ixksRxiDRfBh&amp;authuser=jay.agg%40gmail.com&amp;usp=drive_fs" TargetMode="External"/><Relationship Id="rId18" Type="http://schemas.openxmlformats.org/officeDocument/2006/relationships/hyperlink" Target="https://drive.google.com/open?id=1FWVuQA0GcqzoUWWLjQLAJFIX0SWSEdFr&amp;authuser=jay.agg%40gmail.com&amp;usp=drive_fs" TargetMode="External"/><Relationship Id="rId113" Type="http://schemas.openxmlformats.org/officeDocument/2006/relationships/hyperlink" Target="https://drive.google.com/open?id=1W-bKbywRFgZKk4OIT4FHoObQgjbQReEb&amp;authuser=jay.agg%40gmail.com&amp;usp=drive_fs" TargetMode="External"/><Relationship Id="rId112" Type="http://schemas.openxmlformats.org/officeDocument/2006/relationships/hyperlink" Target="https://drive.google.com/open?id=1VxJNrUqV9CSOKxlgGxRkN1kWJyIbW4QT&amp;authuser=jay.agg%40gmail.com&amp;usp=drive_fs" TargetMode="External"/><Relationship Id="rId111" Type="http://schemas.openxmlformats.org/officeDocument/2006/relationships/hyperlink" Target="https://drive.google.com/open?id=1VrnbAQfw40315mHJzxlJfQgaFll_AeOn&amp;authuser=jay.agg%40gmail.com&amp;usp=drive_fs" TargetMode="External"/><Relationship Id="rId84" Type="http://schemas.openxmlformats.org/officeDocument/2006/relationships/hyperlink" Target="https://drive.google.com/open?id=1ScOaWAX91gw_9bROSvvCvzEmu34xN0oX&amp;usp=drive_fs" TargetMode="External"/><Relationship Id="rId83" Type="http://schemas.openxmlformats.org/officeDocument/2006/relationships/hyperlink" Target="https://drive.google.com/open?id=12biCOessiEK-ORG9FXj41gCyyAEqIVlJ&amp;authuser=jay.agg%40gmail.com&amp;usp=drive_fs" TargetMode="External"/><Relationship Id="rId86" Type="http://schemas.openxmlformats.org/officeDocument/2006/relationships/hyperlink" Target="https://drive.google.com/open?id=1SrtmifLAjRPgA6hA5OrHSfnVGbch_iIg&amp;usp=drive_fs" TargetMode="External"/><Relationship Id="rId85" Type="http://schemas.openxmlformats.org/officeDocument/2006/relationships/hyperlink" Target="https://drive.google.com/open?id=1SiFd4TsI4Hdpa_zhYmdasJRGWLQkUbxE&amp;usp=drive_fs" TargetMode="External"/><Relationship Id="rId88" Type="http://schemas.openxmlformats.org/officeDocument/2006/relationships/hyperlink" Target="https://drive.google.com/open?id=1SvLtzmJs76wN-Lf7-5MGBykae88u-fhd&amp;usp=drive_fs" TargetMode="External"/><Relationship Id="rId87" Type="http://schemas.openxmlformats.org/officeDocument/2006/relationships/hyperlink" Target="https://drive.google.com/open?id=1SsFonBC8XuEwUzNwTRLS7FMnlypI7YI_&amp;usp=drive_fs" TargetMode="External"/><Relationship Id="rId89" Type="http://schemas.openxmlformats.org/officeDocument/2006/relationships/hyperlink" Target="https://drive.google.com/open?id=1SzBRhBz1r5yiIA3X7_GdVdHvr5G0Syv2&amp;usp=drive_fs" TargetMode="External"/><Relationship Id="rId80" Type="http://schemas.openxmlformats.org/officeDocument/2006/relationships/hyperlink" Target="https://drive.google.com/open?id=1Otn6o383NE_PJKb8-zaSXVXITkNMUR5v&amp;authuser=jay.agg%40gmail.com&amp;usp=drive_fs" TargetMode="External"/><Relationship Id="rId82" Type="http://schemas.openxmlformats.org/officeDocument/2006/relationships/hyperlink" Target="https://drive.google.com/open?id=12ZAWHnOPBOLdmRyppylacRf8Mqz-FK9w&amp;authuser=jay.agg%40gmail.com&amp;usp=drive_fs" TargetMode="External"/><Relationship Id="rId81" Type="http://schemas.openxmlformats.org/officeDocument/2006/relationships/hyperlink" Target="https://drive.google.com/open?id=1JPDIVHOBa5yuE6I7I8j9AUCu-EuTlc0c&amp;authuser=jay.agg%40gmail.com&amp;usp=drive_fs" TargetMode="External"/><Relationship Id="rId1" Type="http://schemas.openxmlformats.org/officeDocument/2006/relationships/hyperlink" Target="https://drive.google.com/open?id=1NLrZ9Hf7XX7ORpYJXuBzVfkGVvuPoBZu&amp;authuser=jay.agg%40gmail.com&amp;usp=drive_fs" TargetMode="External"/><Relationship Id="rId2" Type="http://schemas.openxmlformats.org/officeDocument/2006/relationships/hyperlink" Target="https://drive.google.com/open?id=1NLrZ9Hf7XX7ORpYJXuBzVfkGVvuPoBZu&amp;authuser=jay.agg%40gmail.com&amp;usp=drive_fs" TargetMode="External"/><Relationship Id="rId3" Type="http://schemas.openxmlformats.org/officeDocument/2006/relationships/hyperlink" Target="https://drive.google.com/open?id=1P1qVjLlcYO2PpKu_xhl6aPeCZBCymvJ_&amp;authuser=jay.agg%40gmail.com&amp;usp=drive_fs" TargetMode="External"/><Relationship Id="rId4" Type="http://schemas.openxmlformats.org/officeDocument/2006/relationships/hyperlink" Target="https://drive.google.com/open?id=1P3tbAVUb9rgsCLuz3mWDqM8bXi6sUp6K&amp;authuser=jay.agg%40gmail.com&amp;usp=drive_fs" TargetMode="External"/><Relationship Id="rId9" Type="http://schemas.openxmlformats.org/officeDocument/2006/relationships/hyperlink" Target="https://drive.google.com/open?id=1PQJOexa-4GtuFZKuNhr0dfS6GSSoeVyQ&amp;authuser=jay.agg%40gmail.com&amp;usp=drive_fs" TargetMode="External"/><Relationship Id="rId5" Type="http://schemas.openxmlformats.org/officeDocument/2006/relationships/hyperlink" Target="https://drive.google.com/open?id=1NKo9EGEy_OTROxqHiyGwdFTKamnXBFl-&amp;authuser=jay.agg%40gmail.com&amp;usp=drive_fs" TargetMode="External"/><Relationship Id="rId6" Type="http://schemas.openxmlformats.org/officeDocument/2006/relationships/hyperlink" Target="https://drive.google.com/open?id=1_JKl-tnZg0v5n2NxfPWcjmDL9ReCUQx2&amp;authuser=jay.agg%40gmail.com&amp;usp=drive_fs" TargetMode="External"/><Relationship Id="rId7" Type="http://schemas.openxmlformats.org/officeDocument/2006/relationships/hyperlink" Target="https://drive.google.com/open?id=1PGaH2FJqFiaNcamQsnlEdWRhmJohB2nf&amp;authuser=jay.agg%40gmail.com&amp;usp=drive_fs" TargetMode="External"/><Relationship Id="rId8" Type="http://schemas.openxmlformats.org/officeDocument/2006/relationships/hyperlink" Target="https://drive.google.com/open?id=1PO6TlEGisYQjmf11rTDA_SVjC9lIieBe&amp;authuser=jay.agg%40gmail.com&amp;usp=drive_fs" TargetMode="External"/><Relationship Id="rId73" Type="http://schemas.openxmlformats.org/officeDocument/2006/relationships/hyperlink" Target="https://drive.google.com/open?id=1PYPDbj_KioszcQGU8fDTTkviyRugm-lG&amp;authuser=jay.agg%40gmail.com&amp;usp=drive_fs" TargetMode="External"/><Relationship Id="rId72" Type="http://schemas.openxmlformats.org/officeDocument/2006/relationships/hyperlink" Target="https://drive.google.com/open?id=1_IYAtpQ7QHBnyWnkn1bC12fS5uaC2iM5&amp;authuser=jay.agg%40gmail.com&amp;usp=drive_fs" TargetMode="External"/><Relationship Id="rId75" Type="http://schemas.openxmlformats.org/officeDocument/2006/relationships/hyperlink" Target="https://drive.google.com/open?id=1PYPDbj_KioszcQGU8fDTTkviyRugm-lG&amp;authuser=jay.agg%40gmail.com&amp;usp=drive_fs" TargetMode="External"/><Relationship Id="rId74" Type="http://schemas.openxmlformats.org/officeDocument/2006/relationships/hyperlink" Target="https://drive.google.com/open?id=1PYPDbj_KioszcQGU8fDTTkviyRugm-lG&amp;authuser=jay.agg%40gmail.com&amp;usp=drive_fs" TargetMode="External"/><Relationship Id="rId77" Type="http://schemas.openxmlformats.org/officeDocument/2006/relationships/hyperlink" Target="https://drive.google.com/open?id=1NKo9EGEy_OTROxqHiyGwdFTKamnXBFl-&amp;authuser=jay.agg%40gmail.com&amp;usp=drive_fs" TargetMode="External"/><Relationship Id="rId76" Type="http://schemas.openxmlformats.org/officeDocument/2006/relationships/hyperlink" Target="https://drive.google.com/open?id=1_G7b1mPmZjiwLTeBiXS7eTE-FTiZXWfc&amp;authuser=jay.agg%40gmail.com&amp;usp=drive_fs" TargetMode="External"/><Relationship Id="rId79" Type="http://schemas.openxmlformats.org/officeDocument/2006/relationships/hyperlink" Target="https://drive.google.com/open?id=1O1p9NeaySuYpDHiU-aguDwNIvvQdIAbw&amp;authuser=jay.agg%40gmail.com&amp;usp=drive_fs" TargetMode="External"/><Relationship Id="rId78" Type="http://schemas.openxmlformats.org/officeDocument/2006/relationships/hyperlink" Target="https://drive.google.com/open?id=1FsVcVg6DKbZfmqUjy8m7HohXJ-b6LSWa&amp;authuser=jay.agg%40gmail.com&amp;usp=drive_fs" TargetMode="External"/><Relationship Id="rId71" Type="http://schemas.openxmlformats.org/officeDocument/2006/relationships/hyperlink" Target="https://drive.google.com/open?id=1_IojcNaVo_YCq9bPYDD_m8dGQAOP-fy_&amp;authuser=jay.agg%40gmail.com&amp;usp=drive_fs" TargetMode="External"/><Relationship Id="rId70" Type="http://schemas.openxmlformats.org/officeDocument/2006/relationships/hyperlink" Target="https://drive.google.com/open?id=1_Jx7Fn-zfETE12M0GM3xN4hhMBE6ZIuZ&amp;authuser=jay.agg%40gmail.com&amp;usp=drive_fs" TargetMode="External"/><Relationship Id="rId62" Type="http://schemas.openxmlformats.org/officeDocument/2006/relationships/hyperlink" Target="https://drive.google.com/open?id=1Q3X4ohT7uRUA39Iu-Mcr4W8QiAw86PoH&amp;authuser=jay.agg%40gmail.com&amp;usp=drive_fs" TargetMode="External"/><Relationship Id="rId61" Type="http://schemas.openxmlformats.org/officeDocument/2006/relationships/hyperlink" Target="https://drive.google.com/open?id=1XU8XcHb7x8nJMGoIr_mmxGyw9lJpOa9k&amp;authuser=jay.agg%40gmail.com&amp;usp=drive_fs" TargetMode="External"/><Relationship Id="rId64" Type="http://schemas.openxmlformats.org/officeDocument/2006/relationships/hyperlink" Target="https://drive.google.com/open?id=1QKwy1Eq8szzn7NRzbprwaUTyA-pN07bb&amp;authuser=jay.agg%40gmail.com&amp;usp=drive_fs" TargetMode="External"/><Relationship Id="rId63" Type="http://schemas.openxmlformats.org/officeDocument/2006/relationships/hyperlink" Target="https://drive.google.com/open?id=1Q3X4ohT7uRUA39Iu-Mcr4W8QiAw86PoH&amp;authuser=jay.agg%40gmail.com&amp;usp=drive_fs" TargetMode="External"/><Relationship Id="rId66" Type="http://schemas.openxmlformats.org/officeDocument/2006/relationships/hyperlink" Target="https://drive.google.com/open?id=1QKXJeqf1R_wijJQzM__ywSlBkAg_OqSi&amp;authuser=jay.agg%40gmail.com&amp;usp=drive_fs" TargetMode="External"/><Relationship Id="rId65" Type="http://schemas.openxmlformats.org/officeDocument/2006/relationships/hyperlink" Target="https://drive.google.com/open?id=1QKwy1Eq8szzn7NRzbprwaUTyA-pN07bb&amp;authuser=jay.agg%40gmail.com&amp;usp=drive_fs" TargetMode="External"/><Relationship Id="rId68" Type="http://schemas.openxmlformats.org/officeDocument/2006/relationships/hyperlink" Target="https://drive.google.com/open?id=1QBv4xRVMKAnQ8ZyPenbNmKkxplHtu39X&amp;authuser=jay.agg%40gmail.com&amp;usp=drive_fs" TargetMode="External"/><Relationship Id="rId67" Type="http://schemas.openxmlformats.org/officeDocument/2006/relationships/hyperlink" Target="https://drive.google.com/open?id=1QKXJeqf1R_wijJQzM__ywSlBkAg_OqSi&amp;authuser=jay.agg%40gmail.com&amp;usp=drive_fs" TargetMode="External"/><Relationship Id="rId60" Type="http://schemas.openxmlformats.org/officeDocument/2006/relationships/hyperlink" Target="https://drive.google.com/open?id=1XU8XcHb7x8nJMGoIr_mmxGyw9lJpOa9k&amp;authuser=jay.agg%40gmail.com&amp;usp=drive_fs" TargetMode="External"/><Relationship Id="rId69" Type="http://schemas.openxmlformats.org/officeDocument/2006/relationships/hyperlink" Target="https://drive.google.com/open?id=1QBv4xRVMKAnQ8ZyPenbNmKkxplHtu39X&amp;authuser=jay.agg%40gmail.com&amp;usp=drive_fs" TargetMode="External"/><Relationship Id="rId51" Type="http://schemas.openxmlformats.org/officeDocument/2006/relationships/hyperlink" Target="https://drive.google.com/open?id=1QV_u9_OOlMj2VLLmrcCZ-ed3hGD8e1c5&amp;authuser=jay.agg%40gmail.com&amp;usp=drive_fs" TargetMode="External"/><Relationship Id="rId50" Type="http://schemas.openxmlformats.org/officeDocument/2006/relationships/hyperlink" Target="https://drive.google.com/open?id=1Qb7ECoQL9JGP8FFrz-mUNuRU0sevEp5M&amp;authuser=jay.agg%40gmail.com&amp;usp=drive_fs" TargetMode="External"/><Relationship Id="rId53" Type="http://schemas.openxmlformats.org/officeDocument/2006/relationships/hyperlink" Target="https://drive.google.com/open?id=1Ppsvq19b5NnvSe7lTazS3CUXSGxHiDS-&amp;authuser=jay.agg%40gmail.com&amp;usp=drive_fs" TargetMode="External"/><Relationship Id="rId52" Type="http://schemas.openxmlformats.org/officeDocument/2006/relationships/hyperlink" Target="https://drive.google.com/open?id=1QV_u9_OOlMj2VLLmrcCZ-ed3hGD8e1c5&amp;authuser=jay.agg%40gmail.com&amp;usp=drive_fs" TargetMode="External"/><Relationship Id="rId55" Type="http://schemas.openxmlformats.org/officeDocument/2006/relationships/hyperlink" Target="https://drive.google.com/open?id=1QnGF7Kdhx3Dk7evbvqi_sjVcF9E40Hn3&amp;authuser=jay.agg%40gmail.com&amp;usp=drive_fs" TargetMode="External"/><Relationship Id="rId54" Type="http://schemas.openxmlformats.org/officeDocument/2006/relationships/hyperlink" Target="https://drive.google.com/open?id=1QmjFgXyrczv1CE0371upxXOhMSdcfbi6&amp;authuser=jay.agg%40gmail.com&amp;usp=drive_fs" TargetMode="External"/><Relationship Id="rId57" Type="http://schemas.openxmlformats.org/officeDocument/2006/relationships/hyperlink" Target="https://drive.google.com/open?id=1G6ze5Nviswjd8iKMydwQUA-7KdEa1O1q&amp;authuser=jay.agg%40gmail.com&amp;usp=drive_fs" TargetMode="External"/><Relationship Id="rId56" Type="http://schemas.openxmlformats.org/officeDocument/2006/relationships/hyperlink" Target="https://drive.google.com/open?id=1Fu9dFIxoiVysLL_I0_W1IPtXyAGvljDk&amp;authuser=jay.agg%40gmail.com&amp;usp=drive_fs" TargetMode="External"/><Relationship Id="rId59" Type="http://schemas.openxmlformats.org/officeDocument/2006/relationships/hyperlink" Target="https://drive.google.com/open?id=1_6tHtVuDDp5jsI7rI8lA2Q9tuEKd25fK&amp;authuser=jay.agg%40gmail.com&amp;usp=drive_fs" TargetMode="External"/><Relationship Id="rId58" Type="http://schemas.openxmlformats.org/officeDocument/2006/relationships/hyperlink" Target="https://drive.google.com/open?id=1_6gY_p2Ngkrp4dRREvOvsBmhqSfT6K6A&amp;authuser=jay.agg%40gmail.com&amp;usp=drive_f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OQZ-ePtmH2eRW6YsfL_Pau-Vk4pj3Ge2&amp;authuser=jay.agg%40gmail.com&amp;usp=drive_fs" TargetMode="External"/><Relationship Id="rId190" Type="http://schemas.openxmlformats.org/officeDocument/2006/relationships/hyperlink" Target="https://drive.google.com/open?id=196iwhfptVeDMjR7bnMOEjTzEVh1Wx8bE&amp;usp=drive_fs" TargetMode="External"/><Relationship Id="rId42" Type="http://schemas.openxmlformats.org/officeDocument/2006/relationships/hyperlink" Target="https://drive.google.com/open?id=1OzRhqM1WSTTxUyiXmK-uo6qHSLFo1J6W&amp;authuser=jay.agg%40gmail.com&amp;usp=drive_fs" TargetMode="External"/><Relationship Id="rId41" Type="http://schemas.openxmlformats.org/officeDocument/2006/relationships/hyperlink" Target="https://drive.google.com/open?id=1O_3sh0g_XSvMgDCFr3QaNGWrPCMmR6No&amp;authuser=jay.agg%40gmail.com&amp;usp=drive_fs" TargetMode="External"/><Relationship Id="rId44" Type="http://schemas.openxmlformats.org/officeDocument/2006/relationships/hyperlink" Target="https://drive.google.com/open?id=1PI4Qj-_AjnweI9SrJuQ8sE4p2KI5ldj8&amp;authuser=jay.agg%40gmail.com&amp;usp=drive_fs" TargetMode="External"/><Relationship Id="rId194" Type="http://schemas.openxmlformats.org/officeDocument/2006/relationships/hyperlink" Target="https://drive.google.com/open?id=1TBZ3bH_2LByQpoUh-4q1lZHVYmkK7MCE&amp;usp=drive_fs" TargetMode="External"/><Relationship Id="rId43" Type="http://schemas.openxmlformats.org/officeDocument/2006/relationships/hyperlink" Target="https://drive.google.com/open?id=1Oo0o_Uf6_P3cO3tp05t4Mu8X7X5OlgLf&amp;authuser=jay.agg%40gmail.com&amp;usp=drive_fs" TargetMode="External"/><Relationship Id="rId193" Type="http://schemas.openxmlformats.org/officeDocument/2006/relationships/hyperlink" Target="https://drive.google.com/open?id=1T7HzJHssetYB7zg4wp6q_AlMMqt2bKqd&amp;usp=drive_fs" TargetMode="External"/><Relationship Id="rId46" Type="http://schemas.openxmlformats.org/officeDocument/2006/relationships/hyperlink" Target="https://drive.google.com/open?id=1SB1fkOosvR_f90I2hjw3Mt7nTCrWfKpN&amp;authuser=jay.agg%40gmail.com&amp;usp=drive_fs" TargetMode="External"/><Relationship Id="rId192" Type="http://schemas.openxmlformats.org/officeDocument/2006/relationships/hyperlink" Target="https://drive.google.com/open?id=1HF-0qCi2yykJ81PPp-XWVC4NEQz38xps&amp;usp=drive_fs" TargetMode="External"/><Relationship Id="rId45" Type="http://schemas.openxmlformats.org/officeDocument/2006/relationships/hyperlink" Target="https://drive.google.com/open?id=1PP_neZsWA5cyLtoIgy7kH8o3NIYpT0kG&amp;authuser=jay.agg%40gmail.com&amp;usp=drive_fs" TargetMode="External"/><Relationship Id="rId191" Type="http://schemas.openxmlformats.org/officeDocument/2006/relationships/hyperlink" Target="https://drive.google.com/open?id=1CK-CrDZ7SlWu1RDyIdTKgOn1eXU5e_cg&amp;usp=drive_fs" TargetMode="External"/><Relationship Id="rId48" Type="http://schemas.openxmlformats.org/officeDocument/2006/relationships/hyperlink" Target="https://drive.google.com/open?id=1TQZw00wR5JvWtj5NG5OjZK3sXFWuSHo8&amp;authuser=jay.agg%40gmail.com&amp;usp=drive_fs" TargetMode="External"/><Relationship Id="rId187" Type="http://schemas.openxmlformats.org/officeDocument/2006/relationships/hyperlink" Target="https://drive.google.com/open?id=18iEGCjSalqmRpvU1Y7mkHW3XFLZy9Se4&amp;usp=drive_fs" TargetMode="External"/><Relationship Id="rId47" Type="http://schemas.openxmlformats.org/officeDocument/2006/relationships/hyperlink" Target="https://drive.google.com/open?id=1TKLWete5--55wBRFs3xveb5fDxiB-I4-&amp;authuser=jay.agg%40gmail.com&amp;usp=drive_fs" TargetMode="External"/><Relationship Id="rId186" Type="http://schemas.openxmlformats.org/officeDocument/2006/relationships/hyperlink" Target="https://drive.google.com/open?id=18Ma5SHED7b_vXPW8I4nplHA3s3zCJ3zo&amp;usp=drive_fs" TargetMode="External"/><Relationship Id="rId185" Type="http://schemas.openxmlformats.org/officeDocument/2006/relationships/hyperlink" Target="https://drive.google.com/open?id=1P-GuKFaajpLVtPs_ZqCl5l79jYnLZt0Y&amp;usp=drive_fs" TargetMode="External"/><Relationship Id="rId49" Type="http://schemas.openxmlformats.org/officeDocument/2006/relationships/hyperlink" Target="https://drive.google.com/open?id=1X5PjIAZXIE8xlRMRcdx9A7o928ykZfZe&amp;authuser=jay.agg%40gmail.com&amp;usp=drive_fs" TargetMode="External"/><Relationship Id="rId184" Type="http://schemas.openxmlformats.org/officeDocument/2006/relationships/hyperlink" Target="https://drive.google.com/open?id=1OiBMBd6pWhGa6xIf_fNu5zGQo7s1CCLF&amp;usp=drive_fs" TargetMode="External"/><Relationship Id="rId189" Type="http://schemas.openxmlformats.org/officeDocument/2006/relationships/hyperlink" Target="https://drive.google.com/open?id=1QgXRVjAYlCNjeZLpw4F1-6rKvuLi6TdH&amp;usp=drive_fs" TargetMode="External"/><Relationship Id="rId188" Type="http://schemas.openxmlformats.org/officeDocument/2006/relationships/hyperlink" Target="https://drive.google.com/open?id=18prqDHDovH5hRQGsnysleHbFmVLs25rI&amp;usp=drive_fs" TargetMode="External"/><Relationship Id="rId31" Type="http://schemas.openxmlformats.org/officeDocument/2006/relationships/hyperlink" Target="https://drive.google.com/open?id=1MM1rWUjsBimB1oEX-BTeoKxBdLPyBOd8&amp;authuser=jay.agg%40gmail.com&amp;usp=drive_fs" TargetMode="External"/><Relationship Id="rId30" Type="http://schemas.openxmlformats.org/officeDocument/2006/relationships/hyperlink" Target="https://drive.google.com/open?id=1LnxmtJvvSGJY7VkJq3aAu_pl1Ts7X2OV&amp;authuser=jay.agg%40gmail.com&amp;usp=drive_fs" TargetMode="External"/><Relationship Id="rId33" Type="http://schemas.openxmlformats.org/officeDocument/2006/relationships/hyperlink" Target="https://drive.google.com/open?id=1sJOiUA7Cg8Dnqu2sHtqanOPoz9thjI2G&amp;authuser=jay.agg%40gmail.com&amp;usp=drive_fs" TargetMode="External"/><Relationship Id="rId183" Type="http://schemas.openxmlformats.org/officeDocument/2006/relationships/hyperlink" Target="https://drive.google.com/open?id=163DP4gNBjXvtp1PIwgI-x12dSCihcgMB&amp;usp=drive_fs" TargetMode="External"/><Relationship Id="rId32" Type="http://schemas.openxmlformats.org/officeDocument/2006/relationships/hyperlink" Target="https://drive.google.com/open?id=18WtWUp82-bxe5E36yJ652kShQ0NBVp9t&amp;authuser=jay.agg%40gmail.com&amp;usp=drive_fs" TargetMode="External"/><Relationship Id="rId182" Type="http://schemas.openxmlformats.org/officeDocument/2006/relationships/hyperlink" Target="https://drive.google.com/open?id=160nMxST03MeYTvCOCyVror80KMBQeeR2&amp;usp=drive_fs" TargetMode="External"/><Relationship Id="rId35" Type="http://schemas.openxmlformats.org/officeDocument/2006/relationships/hyperlink" Target="https://drive.google.com/open?id=1NmrEWzL0jccCY3gRhr0OT_AIXLqaAYOX&amp;authuser=jay.agg%40gmail.com&amp;usp=drive_fs" TargetMode="External"/><Relationship Id="rId181" Type="http://schemas.openxmlformats.org/officeDocument/2006/relationships/hyperlink" Target="https://drive.google.com/open?id=1-dnkaE3JqGRCoaXhHXd-SsVffqLLplpu&amp;usp=drive_fs" TargetMode="External"/><Relationship Id="rId34" Type="http://schemas.openxmlformats.org/officeDocument/2006/relationships/hyperlink" Target="https://drive.google.com/open?id=1Mk8KwkQiUvbHItBUpcNASorFhKK9mzY3&amp;authuser=jay.agg%40gmail.com&amp;usp=drive_fs" TargetMode="External"/><Relationship Id="rId180" Type="http://schemas.openxmlformats.org/officeDocument/2006/relationships/hyperlink" Target="https://drive.google.com/open?id=1-Q7O4YHcnZBMcNpBb_F605zC5VlEkgCN&amp;usp=drive_fs" TargetMode="External"/><Relationship Id="rId37" Type="http://schemas.openxmlformats.org/officeDocument/2006/relationships/hyperlink" Target="https://drive.google.com/open?id=1OChsXdmJLOGgS9j_u_FIIbtfxgE_RFPu&amp;authuser=jay.agg%40gmail.com&amp;usp=drive_fs" TargetMode="External"/><Relationship Id="rId176" Type="http://schemas.openxmlformats.org/officeDocument/2006/relationships/hyperlink" Target="https://drive.google.com/open?id=1ekFCXf4uF2EOTPUCm-oziHk6Qedd-FgN&amp;authuser=jay.agg%40gmail.com&amp;usp=drive_fs" TargetMode="External"/><Relationship Id="rId36" Type="http://schemas.openxmlformats.org/officeDocument/2006/relationships/hyperlink" Target="https://drive.google.com/open?id=1O3DBsUn3E9JvBhXZN8erEkDTKD49qVs-&amp;authuser=jay.agg%40gmail.com&amp;usp=drive_fs" TargetMode="External"/><Relationship Id="rId175" Type="http://schemas.openxmlformats.org/officeDocument/2006/relationships/hyperlink" Target="https://drive.google.com/open?id=1d4LH8thoMWnrJlwLXN7kuC9mMxrUBnkU&amp;authuser=jay.agg%40gmail.com&amp;usp=drive_fs" TargetMode="External"/><Relationship Id="rId39" Type="http://schemas.openxmlformats.org/officeDocument/2006/relationships/hyperlink" Target="https://drive.google.com/open?id=1Brn9QCMkUjdGOnRuWsTH_LaeUOxtQZ9b&amp;authuser=jay.agg%40gmail.com&amp;usp=drive_fs" TargetMode="External"/><Relationship Id="rId174" Type="http://schemas.openxmlformats.org/officeDocument/2006/relationships/hyperlink" Target="https://drive.google.com/open?id=17DOlrTtJpAnMh9wurUpiomk0CBIXkTQ3&amp;authuser=jay.agg%40gmail.com&amp;usp=drive_fs" TargetMode="External"/><Relationship Id="rId38" Type="http://schemas.openxmlformats.org/officeDocument/2006/relationships/hyperlink" Target="https://drive.google.com/open?id=1Bnsb0frEED9Anr-37j2jzpXfxbfcoGZE&amp;authuser=jay.agg%40gmail.com&amp;usp=drive_fs" TargetMode="External"/><Relationship Id="rId173" Type="http://schemas.openxmlformats.org/officeDocument/2006/relationships/hyperlink" Target="https://drive.google.com/open?id=17BGlK5WNvxgl2D7j-sH5Y4C4eS5MVXcb&amp;authuser=jay.agg%40gmail.com&amp;usp=drive_fs" TargetMode="External"/><Relationship Id="rId179" Type="http://schemas.openxmlformats.org/officeDocument/2006/relationships/hyperlink" Target="https://drive.google.com/open?id=1H98Dr42-xGZpIY9CPjKuPJ4gxZthXnp6&amp;authuser=jay.agg%40gmail.com&amp;usp=drive_fs" TargetMode="External"/><Relationship Id="rId178" Type="http://schemas.openxmlformats.org/officeDocument/2006/relationships/hyperlink" Target="https://drive.google.com/open?id=1-LL_YnjOk-IwXLlRYhmC95bTW-RLah6x&amp;authuser=jay.agg%40gmail.com&amp;usp=drive_fs" TargetMode="External"/><Relationship Id="rId177" Type="http://schemas.openxmlformats.org/officeDocument/2006/relationships/hyperlink" Target="https://drive.google.com/open?id=1DahvWI_S0KPujPMDEft9OYzMQHr5bBC2&amp;authuser=jay.agg%40gmail.com&amp;usp=drive_fs" TargetMode="External"/><Relationship Id="rId20" Type="http://schemas.openxmlformats.org/officeDocument/2006/relationships/hyperlink" Target="https://drive.google.com/open?id=1jPGlPvth33ow0BsuXPn_9Fd0aGa4tOR5&amp;authuser=jay.agg%40gmail.com&amp;usp=drive_fs" TargetMode="External"/><Relationship Id="rId22" Type="http://schemas.openxmlformats.org/officeDocument/2006/relationships/hyperlink" Target="https://drive.google.com/open?id=1n4sM_hMizxMor4aS4-NffW1QEWkmmRaC&amp;authuser=jay.agg%40gmail.com&amp;usp=drive_fs" TargetMode="External"/><Relationship Id="rId21" Type="http://schemas.openxmlformats.org/officeDocument/2006/relationships/hyperlink" Target="https://drive.google.com/open?id=1jPSj61Xjqqhp0yAUgpJijU3oteatln8h&amp;authuser=jay.agg%40gmail.com&amp;usp=drive_fs" TargetMode="External"/><Relationship Id="rId24" Type="http://schemas.openxmlformats.org/officeDocument/2006/relationships/hyperlink" Target="https://drive.google.com/open?id=1pOGW1xVCuMnUABRqNq-5cbJ_ByoO8G5w&amp;authuser=jay.agg%40gmail.com&amp;usp=drive_fs" TargetMode="External"/><Relationship Id="rId23" Type="http://schemas.openxmlformats.org/officeDocument/2006/relationships/hyperlink" Target="https://drive.google.com/open?id=1pIykPqoOxble5EREsGAMRPdA1QccQ1AJ&amp;authuser=jay.agg%40gmail.com&amp;usp=drive_fs" TargetMode="External"/><Relationship Id="rId26" Type="http://schemas.openxmlformats.org/officeDocument/2006/relationships/hyperlink" Target="https://drive.google.com/open?id=1sp_9QJ74BN0EliJ8M8A64Pg3lvPXme-q&amp;authuser=jay.agg%40gmail.com&amp;usp=drive_fs" TargetMode="External"/><Relationship Id="rId25" Type="http://schemas.openxmlformats.org/officeDocument/2006/relationships/hyperlink" Target="https://drive.google.com/open?id=1w7snRg3lAxc0KM66W8RpVqDwD0jEOGQk&amp;authuser=jay.agg%40gmail.com&amp;usp=drive_fs" TargetMode="External"/><Relationship Id="rId28" Type="http://schemas.openxmlformats.org/officeDocument/2006/relationships/hyperlink" Target="https://drive.google.com/open?id=1yW-6rS7DrydjnRfme_YMtpVLN0LPOEG3&amp;authuser=jay.agg%40gmail.com&amp;usp=drive_fs" TargetMode="External"/><Relationship Id="rId27" Type="http://schemas.openxmlformats.org/officeDocument/2006/relationships/hyperlink" Target="https://drive.google.com/open?id=1wtvYpY8aQ2dYsGMZNWZHepkN93W2bRIs&amp;authuser=jay.agg%40gmail.com&amp;usp=drive_fs" TargetMode="External"/><Relationship Id="rId29" Type="http://schemas.openxmlformats.org/officeDocument/2006/relationships/hyperlink" Target="https://drive.google.com/open?id=16rGecGFRPqzZiav5oiujTYJBYkBawRPk&amp;authuser=jay.agg%40gmail.com&amp;usp=drive_fs" TargetMode="External"/><Relationship Id="rId11" Type="http://schemas.openxmlformats.org/officeDocument/2006/relationships/hyperlink" Target="https://drive.google.com/open?id=1QTWTuFZk9eNr_4lY0kX3TKgeYtsriRPs&amp;authuser=jay.agg%40gmail.com&amp;usp=drive_fs" TargetMode="External"/><Relationship Id="rId10" Type="http://schemas.openxmlformats.org/officeDocument/2006/relationships/hyperlink" Target="https://drive.google.com/open?id=1R69JTM091j0R6Hbk7JlIcmy1o0TJXQlC&amp;authuser=jay.agg%40gmail.com&amp;usp=drive_fs" TargetMode="External"/><Relationship Id="rId13" Type="http://schemas.openxmlformats.org/officeDocument/2006/relationships/hyperlink" Target="https://drive.google.com/open?id=1Qhw5hCt6AslPxvpSURfZvOXwooNNK0lB&amp;authuser=jay.agg%40gmail.com&amp;usp=drive_fs" TargetMode="External"/><Relationship Id="rId12" Type="http://schemas.openxmlformats.org/officeDocument/2006/relationships/hyperlink" Target="https://drive.google.com/open?id=1QhZ36zVV0AY4GNL7jcG9woN0_jfH4vH2&amp;authuser=jay.agg%40gmail.com&amp;usp=drive_fs" TargetMode="External"/><Relationship Id="rId15" Type="http://schemas.openxmlformats.org/officeDocument/2006/relationships/hyperlink" Target="https://drive.google.com/open?id=1QRiCFXEjTTmENEZKNbx8VjC2NioVX2p8&amp;authuser=jay.agg%40gmail.com&amp;usp=drive_fs" TargetMode="External"/><Relationship Id="rId198" Type="http://schemas.openxmlformats.org/officeDocument/2006/relationships/hyperlink" Target="https://drive.google.com/open?id=1-tYOanmmgWUQeAjR5yhb4mufS1Up8igb&amp;usp=drive_fs" TargetMode="External"/><Relationship Id="rId14" Type="http://schemas.openxmlformats.org/officeDocument/2006/relationships/hyperlink" Target="https://drive.google.com/open?id=1QUlYw3yWCJ5eG6Uy83i49XImWyIv8ly_&amp;authuser=jay.agg%40gmail.com&amp;usp=drive_fs" TargetMode="External"/><Relationship Id="rId197" Type="http://schemas.openxmlformats.org/officeDocument/2006/relationships/hyperlink" Target="https://drive.google.com/open?id=1Kv597v7WsF3ZgMrFsLEHGe31_66-i-2H&amp;usp=drive_fs" TargetMode="External"/><Relationship Id="rId17" Type="http://schemas.openxmlformats.org/officeDocument/2006/relationships/hyperlink" Target="https://drive.google.com/open?id=1QtXn0evE-9VW4-ZQJmVDufU_5NTVKUY6&amp;authuser=jay.agg%40gmail.com&amp;usp=drive_fs" TargetMode="External"/><Relationship Id="rId196" Type="http://schemas.openxmlformats.org/officeDocument/2006/relationships/hyperlink" Target="https://drive.google.com/open?id=1KkeFiNYg6uqGgov5SB0woAVKHAHI2hc5&amp;usp=drive_fs" TargetMode="External"/><Relationship Id="rId16" Type="http://schemas.openxmlformats.org/officeDocument/2006/relationships/hyperlink" Target="https://drive.google.com/open?id=1QQdUxmlDOPkf9Hsc7uKFwvH0Xou6f57E&amp;authuser=jay.agg%40gmail.com&amp;usp=drive_fs" TargetMode="External"/><Relationship Id="rId195" Type="http://schemas.openxmlformats.org/officeDocument/2006/relationships/hyperlink" Target="https://drive.google.com/open?id=1TZZ2hHKKC59-SZn3f6kQmLr2dpcNuO3d&amp;usp=drive_fs" TargetMode="External"/><Relationship Id="rId19" Type="http://schemas.openxmlformats.org/officeDocument/2006/relationships/hyperlink" Target="https://drive.google.com/open?id=1jIKxVpMBt0sYXYuHJ9pjoEVFnOlIpxpb&amp;authuser=jay.agg%40gmail.com&amp;usp=drive_fs" TargetMode="External"/><Relationship Id="rId18" Type="http://schemas.openxmlformats.org/officeDocument/2006/relationships/hyperlink" Target="https://drive.google.com/open?id=1j2Ak7n2uIi0WIIJrDAWZ9xkRCHIeqUHe&amp;authuser=jay.agg%40gmail.com&amp;usp=drive_fs" TargetMode="External"/><Relationship Id="rId199" Type="http://schemas.openxmlformats.org/officeDocument/2006/relationships/hyperlink" Target="https://drive.google.com/open?id=13KbV0afuPYgDjMP1RAdPJfZ8H3Sisl_p&amp;usp=drive_fs" TargetMode="External"/><Relationship Id="rId84" Type="http://schemas.openxmlformats.org/officeDocument/2006/relationships/hyperlink" Target="https://drive.google.com/open?id=1cU17WcKhUy0IEwwgaJbbKg6a20l_eH8x&amp;authuser=jay.agg%40gmail.com&amp;usp=drive_fs" TargetMode="External"/><Relationship Id="rId83" Type="http://schemas.openxmlformats.org/officeDocument/2006/relationships/hyperlink" Target="https://drive.google.com/open?id=1cQZ1nLDZbcrBAbbuejJB5gYu4UDh2ip4&amp;authuser=jay.agg%40gmail.com&amp;usp=drive_fs" TargetMode="External"/><Relationship Id="rId86" Type="http://schemas.openxmlformats.org/officeDocument/2006/relationships/hyperlink" Target="https://drive.google.com/open?id=1c_uTwy3Lwk3r1OGpaY2ETWXZ6pjESZx3&amp;authuser=jay.agg%40gmail.com&amp;usp=drive_fs" TargetMode="External"/><Relationship Id="rId85" Type="http://schemas.openxmlformats.org/officeDocument/2006/relationships/hyperlink" Target="https://drive.google.com/open?id=1cVGC95lD8FILuv7GIGTUPf3N-ZfRx8MG&amp;authuser=jay.agg%40gmail.com&amp;usp=drive_fs" TargetMode="External"/><Relationship Id="rId88" Type="http://schemas.openxmlformats.org/officeDocument/2006/relationships/hyperlink" Target="https://drive.google.com/open?id=1cheXIZj8gZYGfo0JH9ikCDkEiWzD2B8d&amp;authuser=jay.agg%40gmail.com&amp;usp=drive_fs" TargetMode="External"/><Relationship Id="rId150" Type="http://schemas.openxmlformats.org/officeDocument/2006/relationships/hyperlink" Target="https://drive.google.com/open?id=1Nz3utm_QH5ZDA8upBnLT9hUAljy1zUEo&amp;authuser=jay.agg%40gmail.com&amp;usp=drive_fs" TargetMode="External"/><Relationship Id="rId87" Type="http://schemas.openxmlformats.org/officeDocument/2006/relationships/hyperlink" Target="https://drive.google.com/open?id=1cgh9z4ORVO42yzGP_A6xeqwU5VG2yogo&amp;authuser=jay.agg%40gmail.com&amp;usp=drive_fs" TargetMode="External"/><Relationship Id="rId89" Type="http://schemas.openxmlformats.org/officeDocument/2006/relationships/hyperlink" Target="https://drive.google.com/open?id=1coqzoSuTK3JrsByZL_VB8IvNQUgZ51b9&amp;authuser=jay.agg%40gmail.com&amp;usp=drive_fs" TargetMode="External"/><Relationship Id="rId80" Type="http://schemas.openxmlformats.org/officeDocument/2006/relationships/hyperlink" Target="https://drive.google.com/open?id=1br_Bmmo5BouaDD0ySdIBxeB0Zho9elM9&amp;authuser=jay.agg%40gmail.com&amp;usp=drive_fs" TargetMode="External"/><Relationship Id="rId82" Type="http://schemas.openxmlformats.org/officeDocument/2006/relationships/hyperlink" Target="https://drive.google.com/open?id=1bu696xsT3kcj5Rq3y0z5VaE0FRBzU4hJ&amp;authuser=jay.agg%40gmail.com&amp;usp=drive_fs" TargetMode="External"/><Relationship Id="rId81" Type="http://schemas.openxmlformats.org/officeDocument/2006/relationships/hyperlink" Target="https://drive.google.com/open?id=1btVQf7Al07HEYIVxn9NCb5ooWJnS6fi0&amp;authuser=jay.agg%40gmail.com&amp;usp=drive_fs" TargetMode="External"/><Relationship Id="rId1" Type="http://schemas.openxmlformats.org/officeDocument/2006/relationships/hyperlink" Target="https://drive.google.com/open?id=1RCVTOA7UAiI06kh64ajGkxHXq7kK4A7v&amp;authuser=jay.agg%40gmail.com&amp;usp=drive_fs" TargetMode="External"/><Relationship Id="rId2" Type="http://schemas.openxmlformats.org/officeDocument/2006/relationships/hyperlink" Target="https://drive.google.com/open?id=1RFhjQczaMAqJxxKHOOgWIUcetju9JHbB&amp;authuser=jay.agg%40gmail.com&amp;usp=drive_fs" TargetMode="External"/><Relationship Id="rId3" Type="http://schemas.openxmlformats.org/officeDocument/2006/relationships/hyperlink" Target="https://drive.google.com/open?id=1S0JoeVa-x8xAselnMXu64Vmh1ngS_Cud&amp;authuser=jay.agg%40gmail.com&amp;usp=drive_fs" TargetMode="External"/><Relationship Id="rId149" Type="http://schemas.openxmlformats.org/officeDocument/2006/relationships/hyperlink" Target="https://drive.google.com/open?id=1O-W2xh1yhrWCisjwnh9_upXi7VCecSHh&amp;authuser=jay.agg%40gmail.com&amp;usp=drive_fs" TargetMode="External"/><Relationship Id="rId4" Type="http://schemas.openxmlformats.org/officeDocument/2006/relationships/hyperlink" Target="https://drive.google.com/open?id=1R-6x1155ykPUIHal2qHhsGUOhJ93l5nv&amp;authuser=jay.agg%40gmail.com&amp;usp=drive_fs" TargetMode="External"/><Relationship Id="rId148" Type="http://schemas.openxmlformats.org/officeDocument/2006/relationships/hyperlink" Target="https://drive.google.com/open?id=1Me9FQd1ys1KeHQ0A1Jx7KZH2JDdcTkiS&amp;authuser=jay.agg%40gmail.com&amp;usp=drive_fs" TargetMode="External"/><Relationship Id="rId9" Type="http://schemas.openxmlformats.org/officeDocument/2006/relationships/hyperlink" Target="https://drive.google.com/open?id=1R61V6cd_s3Pq01sfSW5K3t7WSGP_L0As&amp;authuser=jay.agg%40gmail.com&amp;usp=drive_fs" TargetMode="External"/><Relationship Id="rId143" Type="http://schemas.openxmlformats.org/officeDocument/2006/relationships/hyperlink" Target="https://drive.google.com/open?id=1Jy0IGyE8jXMI5kkXDu2ihZKU4bQc5Eix&amp;authuser=jay.agg%40gmail.com&amp;usp=drive_fs" TargetMode="External"/><Relationship Id="rId142" Type="http://schemas.openxmlformats.org/officeDocument/2006/relationships/hyperlink" Target="https://drive.google.com/open?id=10jigd_uY9YVzFCB8NG_UWKI39OS2O90Q&amp;authuser=jay.agg%40gmail.com&amp;usp=drive_fs" TargetMode="External"/><Relationship Id="rId141" Type="http://schemas.openxmlformats.org/officeDocument/2006/relationships/hyperlink" Target="https://drive.google.com/open?id=1Dk55LI1DwN4UeS2nebqj1Z6iQs6z78Qo&amp;authuser=jay.agg%40gmail.com&amp;usp=drive_fs" TargetMode="External"/><Relationship Id="rId140" Type="http://schemas.openxmlformats.org/officeDocument/2006/relationships/hyperlink" Target="https://drive.google.com/open?id=1DhrExbNS8AvSeGQo5qvKtthB-kzJQdq3&amp;authuser=jay.agg%40gmail.com&amp;usp=drive_fs" TargetMode="External"/><Relationship Id="rId5" Type="http://schemas.openxmlformats.org/officeDocument/2006/relationships/hyperlink" Target="https://drive.google.com/open?id=1QvJB9MhtDcXsNtKIflALdqXkVyq8VOgJ&amp;authuser=jay.agg%40gmail.com&amp;usp=drive_fs" TargetMode="External"/><Relationship Id="rId147" Type="http://schemas.openxmlformats.org/officeDocument/2006/relationships/hyperlink" Target="https://drive.google.com/open?id=1McKTHyNWoXxF0G8hIHpHO7egFGvmlqg4&amp;authuser=jay.agg%40gmail.com&amp;usp=drive_fs" TargetMode="External"/><Relationship Id="rId6" Type="http://schemas.openxmlformats.org/officeDocument/2006/relationships/hyperlink" Target="https://drive.google.com/open?id=1Qvbr4-fdTQ4l4YcjYooE-rNrrYyvW8zx&amp;authuser=jay.agg%40gmail.com&amp;usp=drive_fs" TargetMode="External"/><Relationship Id="rId146" Type="http://schemas.openxmlformats.org/officeDocument/2006/relationships/hyperlink" Target="https://drive.google.com/open?id=113wK8dUd60uG8PzOUXaeRqAXPkRfcpy6&amp;authuser=jay.agg%40gmail.com&amp;usp=drive_fs" TargetMode="External"/><Relationship Id="rId7" Type="http://schemas.openxmlformats.org/officeDocument/2006/relationships/hyperlink" Target="https://drive.google.com/open?id=1Qwbp_CBztdhd4Oo6pQJ3VR0q6w7viL0j&amp;authuser=jay.agg%40gmail.com&amp;usp=drive_fs" TargetMode="External"/><Relationship Id="rId145" Type="http://schemas.openxmlformats.org/officeDocument/2006/relationships/hyperlink" Target="https://drive.google.com/open?id=1LePyOCyeOrtyssU-5qPjC4ID7YN--4e9&amp;authuser=jay.agg%40gmail.com&amp;usp=drive_fs" TargetMode="External"/><Relationship Id="rId8" Type="http://schemas.openxmlformats.org/officeDocument/2006/relationships/hyperlink" Target="https://drive.google.com/open?id=1R0wA1QXQbAwYILUJUKO7z4Ci3IcHThXO&amp;authuser=jay.agg%40gmail.com&amp;usp=drive_fs" TargetMode="External"/><Relationship Id="rId144" Type="http://schemas.openxmlformats.org/officeDocument/2006/relationships/hyperlink" Target="https://drive.google.com/open?id=1KVTCi5VQjWZR6035WK4CRodcaIefGoQL&amp;authuser=jay.agg%40gmail.com&amp;usp=drive_fs" TargetMode="External"/><Relationship Id="rId73" Type="http://schemas.openxmlformats.org/officeDocument/2006/relationships/hyperlink" Target="https://drive.google.com/open?id=1OUeI1hjrKsYImhu02Q5Rv64yicLMPFRa&amp;authuser=jay.agg%40gmail.com&amp;usp=drive_fs" TargetMode="External"/><Relationship Id="rId72" Type="http://schemas.openxmlformats.org/officeDocument/2006/relationships/hyperlink" Target="https://drive.google.com/open?id=1Zs1KOwwl0A7lPwcA-lFX7Uz5eZHgcnOh&amp;authuser=jay.agg%40gmail.com&amp;usp=drive_fs" TargetMode="External"/><Relationship Id="rId75" Type="http://schemas.openxmlformats.org/officeDocument/2006/relationships/hyperlink" Target="https://drive.google.com/open?id=1SBLkVNmqnX4OYK4aJO7joLQzUcHSj3tX&amp;authuser=jay.agg%40gmail.com&amp;usp=drive_fs" TargetMode="External"/><Relationship Id="rId74" Type="http://schemas.openxmlformats.org/officeDocument/2006/relationships/hyperlink" Target="https://drive.google.com/open?id=1RbVA9G0GfOooAXiRtSrF3W27xwr7sRW5&amp;authuser=jay.agg%40gmail.com&amp;usp=drive_fs" TargetMode="External"/><Relationship Id="rId77" Type="http://schemas.openxmlformats.org/officeDocument/2006/relationships/hyperlink" Target="https://drive.google.com/open?id=1bcZpGfPoMXDPTbSxzxMxjn7Rxt7adn7l&amp;authuser=jay.agg%40gmail.com&amp;usp=drive_fs" TargetMode="External"/><Relationship Id="rId76" Type="http://schemas.openxmlformats.org/officeDocument/2006/relationships/hyperlink" Target="https://drive.google.com/open?id=1bZ1xCuANVfYF3FIC18rTJsMQhSFLnJNm&amp;authuser=jay.agg%40gmail.com&amp;usp=drive_fs" TargetMode="External"/><Relationship Id="rId79" Type="http://schemas.openxmlformats.org/officeDocument/2006/relationships/hyperlink" Target="https://drive.google.com/open?id=1TeYHEy8TxqYIbPsxfxDa3-2Cc7CS_8AY&amp;authuser=jay.agg%40gmail.com&amp;usp=drive_fs" TargetMode="External"/><Relationship Id="rId78" Type="http://schemas.openxmlformats.org/officeDocument/2006/relationships/hyperlink" Target="https://drive.google.com/open?id=1TdHmVW8TpujDIJ9hmo96hi9fIYAhzrOL&amp;authuser=jay.agg%40gmail.com&amp;usp=drive_fs" TargetMode="External"/><Relationship Id="rId71" Type="http://schemas.openxmlformats.org/officeDocument/2006/relationships/hyperlink" Target="https://drive.google.com/open?id=1XbuBMiGIeJeLMlNdqinMKyIq2LAVN3Vo&amp;authuser=jay.agg%40gmail.com&amp;usp=drive_fs" TargetMode="External"/><Relationship Id="rId70" Type="http://schemas.openxmlformats.org/officeDocument/2006/relationships/hyperlink" Target="https://drive.google.com/open?id=1MfcBn_GQd5c1R_1f3A6p3lcJJN1Ro3F6&amp;authuser=jay.agg%40gmail.com&amp;usp=drive_fs" TargetMode="External"/><Relationship Id="rId139" Type="http://schemas.openxmlformats.org/officeDocument/2006/relationships/hyperlink" Target="https://drive.google.com/open?id=1D88rBIIrHVq4Ky7DjmXeB-X-2I47xUeM&amp;authuser=jay.agg%40gmail.com&amp;usp=drive_fs" TargetMode="External"/><Relationship Id="rId138" Type="http://schemas.openxmlformats.org/officeDocument/2006/relationships/hyperlink" Target="https://drive.google.com/open?id=10DWOfQFgNO7twHPpeQFD8uJC_bYu_fDO&amp;authuser=jay.agg%40gmail.com&amp;usp=drive_fs" TargetMode="External"/><Relationship Id="rId137" Type="http://schemas.openxmlformats.org/officeDocument/2006/relationships/hyperlink" Target="https://drive.google.com/open?id=109_tJWIB9rGPhzUrkGJj1s7wwUjYpEyX&amp;authuser=jay.agg%40gmail.com&amp;usp=drive_fs" TargetMode="External"/><Relationship Id="rId132" Type="http://schemas.openxmlformats.org/officeDocument/2006/relationships/hyperlink" Target="https://drive.google.com/open?id=1CK8J3ZrX4YL__ZcN-JufPFpUUDftle7d&amp;authuser=jay.agg%40gmail.com&amp;usp=drive_fs" TargetMode="External"/><Relationship Id="rId131" Type="http://schemas.openxmlformats.org/officeDocument/2006/relationships/hyperlink" Target="https://drive.google.com/open?id=1C1V8mEwIFOpLLkCO4rRHQP5zjhpBvFK1&amp;authuser=jay.agg%40gmail.com&amp;usp=drive_fs" TargetMode="External"/><Relationship Id="rId130" Type="http://schemas.openxmlformats.org/officeDocument/2006/relationships/hyperlink" Target="https://drive.google.com/open?id=1C-hPAU7lZGI54aBv2jnwvWxEGtK8YQKH&amp;authuser=jay.agg%40gmail.com&amp;usp=drive_fs" TargetMode="External"/><Relationship Id="rId136" Type="http://schemas.openxmlformats.org/officeDocument/2006/relationships/hyperlink" Target="https://drive.google.com/open?id=10A2WDSt2n4x8BmP8y_I_U99z0kqyKa9w&amp;authuser=jay.agg%40gmail.com&amp;usp=drive_fs" TargetMode="External"/><Relationship Id="rId135" Type="http://schemas.openxmlformats.org/officeDocument/2006/relationships/hyperlink" Target="https://drive.google.com/open?id=10A4X1h2gJ16Jz3LA0SJ8drkzDJjnvHDX&amp;authuser=jay.agg%40gmail.com&amp;usp=drive_fs" TargetMode="External"/><Relationship Id="rId134" Type="http://schemas.openxmlformats.org/officeDocument/2006/relationships/hyperlink" Target="https://drive.google.com/open?id=1CkZHA61S0kTLlqGA6hbNyHiOe8-WoNKw&amp;authuser=jay.agg%40gmail.com&amp;usp=drive_fs" TargetMode="External"/><Relationship Id="rId133" Type="http://schemas.openxmlformats.org/officeDocument/2006/relationships/hyperlink" Target="https://drive.google.com/open?id=1CMWjxufnzEIEc6MuQ-UB75qlK_zbJtdC&amp;authuser=jay.agg%40gmail.com&amp;usp=drive_fs" TargetMode="External"/><Relationship Id="rId62" Type="http://schemas.openxmlformats.org/officeDocument/2006/relationships/hyperlink" Target="https://drive.google.com/open?id=1D5PrDkRh5NSfwGGrMo9-8-3--WX3L0Ft&amp;authuser=jay.agg%40gmail.com&amp;usp=drive_fs" TargetMode="External"/><Relationship Id="rId61" Type="http://schemas.openxmlformats.org/officeDocument/2006/relationships/hyperlink" Target="https://drive.google.com/open?id=1CKqQpvLGbMzH2O6QTTazvgUpvzQlllMB&amp;authuser=jay.agg%40gmail.com&amp;usp=drive_fs" TargetMode="External"/><Relationship Id="rId64" Type="http://schemas.openxmlformats.org/officeDocument/2006/relationships/hyperlink" Target="https://drive.google.com/open?id=1DH_jtAZrmS4oA_LljmC6xnetppeIi0w7&amp;authuser=jay.agg%40gmail.com&amp;usp=drive_fs" TargetMode="External"/><Relationship Id="rId63" Type="http://schemas.openxmlformats.org/officeDocument/2006/relationships/hyperlink" Target="https://drive.google.com/open?id=1D6D48kO1Ul1ZLDDzrzde2t-VuNuOQ4v4&amp;authuser=jay.agg%40gmail.com&amp;usp=drive_fs" TargetMode="External"/><Relationship Id="rId66" Type="http://schemas.openxmlformats.org/officeDocument/2006/relationships/hyperlink" Target="https://drive.google.com/open?id=1ECt9F1f6-PNDi3P7M8-WDLzuWoONz4Pm&amp;authuser=jay.agg%40gmail.com&amp;usp=drive_fs" TargetMode="External"/><Relationship Id="rId172" Type="http://schemas.openxmlformats.org/officeDocument/2006/relationships/hyperlink" Target="https://drive.google.com/open?id=178ZR2LM7Wd0FhqR84Cx7gA2nv-UyQIf8&amp;authuser=jay.agg%40gmail.com&amp;usp=drive_fs" TargetMode="External"/><Relationship Id="rId65" Type="http://schemas.openxmlformats.org/officeDocument/2006/relationships/hyperlink" Target="https://drive.google.com/open?id=1EDFHLal9OFKDcKtdrwzHrFcodX9TQmQF&amp;authuser=jay.agg%40gmail.com&amp;usp=drive_fs" TargetMode="External"/><Relationship Id="rId171" Type="http://schemas.openxmlformats.org/officeDocument/2006/relationships/hyperlink" Target="https://drive.google.com/open?id=16VbhqNAZCEmxcSqUdLZMo8kJ07F4D0dx&amp;authuser=jay.agg%40gmail.com&amp;usp=drive_fs" TargetMode="External"/><Relationship Id="rId68" Type="http://schemas.openxmlformats.org/officeDocument/2006/relationships/hyperlink" Target="https://drive.google.com/open?id=1W8K3LGsxJqHIDtIbqdtppHLaxRx4D66i&amp;authuser=jay.agg%40gmail.com&amp;usp=drive_fs" TargetMode="External"/><Relationship Id="rId170" Type="http://schemas.openxmlformats.org/officeDocument/2006/relationships/hyperlink" Target="https://drive.google.com/open?id=1YRjWSq0GBSuWENEWOH_TB2uYNJg-tnLj&amp;authuser=jay.agg%40gmail.com&amp;usp=drive_fs" TargetMode="External"/><Relationship Id="rId67" Type="http://schemas.openxmlformats.org/officeDocument/2006/relationships/hyperlink" Target="https://drive.google.com/open?id=1VnjDLGsZHYLMpIHTAPBXgjAaWeFFe8Co&amp;authuser=jay.agg%40gmail.com&amp;usp=drive_fs" TargetMode="External"/><Relationship Id="rId60" Type="http://schemas.openxmlformats.org/officeDocument/2006/relationships/hyperlink" Target="https://drive.google.com/open?id=1C22Fmp-iikp8lJHK8I3Zzh_qgIItIU1e&amp;authuser=jay.agg%40gmail.com&amp;usp=drive_fs" TargetMode="External"/><Relationship Id="rId165" Type="http://schemas.openxmlformats.org/officeDocument/2006/relationships/hyperlink" Target="https://drive.google.com/open?id=12AbeDa6erfPhtfJ9kOKWsBpFapsdq6ND&amp;authuser=jay.agg%40gmail.com&amp;usp=drive_fs" TargetMode="External"/><Relationship Id="rId69" Type="http://schemas.openxmlformats.org/officeDocument/2006/relationships/hyperlink" Target="https://drive.google.com/open?id=1MZcgRJR6eRn0bLxw4dJgnt1Z8c1PCcAl&amp;authuser=jay.agg%40gmail.com&amp;usp=drive_fs" TargetMode="External"/><Relationship Id="rId164" Type="http://schemas.openxmlformats.org/officeDocument/2006/relationships/hyperlink" Target="https://drive.google.com/open?id=1VV6-_xXxlfUNALNcR6FpeQW3DbsiAdi4&amp;authuser=jay.agg%40gmail.com&amp;usp=drive_fs" TargetMode="External"/><Relationship Id="rId163" Type="http://schemas.openxmlformats.org/officeDocument/2006/relationships/hyperlink" Target="https://drive.google.com/open?id=1VMl9jjOG0y0CEXPVIbbJYqnllpYngwd5&amp;authuser=jay.agg%40gmail.com&amp;usp=drive_fs" TargetMode="External"/><Relationship Id="rId162" Type="http://schemas.openxmlformats.org/officeDocument/2006/relationships/hyperlink" Target="https://drive.google.com/open?id=11z7nb5UTvxnWAHYOT3zsexzEJQtwjMIf&amp;authuser=jay.agg%40gmail.com&amp;usp=drive_fs" TargetMode="External"/><Relationship Id="rId169" Type="http://schemas.openxmlformats.org/officeDocument/2006/relationships/hyperlink" Target="https://drive.google.com/open?id=1YO2XZhcwTKKHcGDJ7IJJr_usHDUwe1ys&amp;authuser=jay.agg%40gmail.com&amp;usp=drive_fs" TargetMode="External"/><Relationship Id="rId168" Type="http://schemas.openxmlformats.org/officeDocument/2006/relationships/hyperlink" Target="https://drive.google.com/open?id=1Y-rhez72TWoWfZBDirF-IZVtMudYCA91&amp;authuser=jay.agg%40gmail.com&amp;usp=drive_fs" TargetMode="External"/><Relationship Id="rId167" Type="http://schemas.openxmlformats.org/officeDocument/2006/relationships/hyperlink" Target="https://drive.google.com/open?id=1WtkhXZajw8MnRT7b89jNmX4llkq0a5Rl&amp;authuser=jay.agg%40gmail.com&amp;usp=drive_fs" TargetMode="External"/><Relationship Id="rId166" Type="http://schemas.openxmlformats.org/officeDocument/2006/relationships/hyperlink" Target="https://drive.google.com/open?id=12AmYyGgvcGTgd6E6GsA7YzY0Cn0TbuoR&amp;authuser=jay.agg%40gmail.com&amp;usp=drive_fs" TargetMode="External"/><Relationship Id="rId51" Type="http://schemas.openxmlformats.org/officeDocument/2006/relationships/hyperlink" Target="https://drive.google.com/open?id=1_aW6Kpq_ImJfWMyFKdVseB6BTAdKY3Mg&amp;authuser=jay.agg%40gmail.com&amp;usp=drive_fs" TargetMode="External"/><Relationship Id="rId50" Type="http://schemas.openxmlformats.org/officeDocument/2006/relationships/hyperlink" Target="https://drive.google.com/open?id=1XRdxqvruzscLoyb9QY96v6kTiDz1KoV1&amp;authuser=jay.agg%40gmail.com&amp;usp=drive_fs" TargetMode="External"/><Relationship Id="rId53" Type="http://schemas.openxmlformats.org/officeDocument/2006/relationships/hyperlink" Target="https://drive.google.com/open?id=17Cs2gXrf0bk_owVb5U8fSdi86T1r_Le4&amp;authuser=jay.agg%40gmail.com&amp;usp=drive_fs" TargetMode="External"/><Relationship Id="rId52" Type="http://schemas.openxmlformats.org/officeDocument/2006/relationships/hyperlink" Target="https://drive.google.com/open?id=12FIiLxoPpTrdQa5g9hjGPxPQQzXqY7NY&amp;authuser=jay.agg%40gmail.com&amp;usp=drive_fs" TargetMode="External"/><Relationship Id="rId55" Type="http://schemas.openxmlformats.org/officeDocument/2006/relationships/hyperlink" Target="https://drive.google.com/open?id=1DDicBlFYcVtWEZF0YUdJ8f7l9y1UIKJw&amp;authuser=jay.agg%40gmail.com&amp;usp=drive_fs" TargetMode="External"/><Relationship Id="rId161" Type="http://schemas.openxmlformats.org/officeDocument/2006/relationships/hyperlink" Target="https://drive.google.com/open?id=1Us1ElEj4PonyN7j71xJf_f61UC8csGlv&amp;authuser=jay.agg%40gmail.com&amp;usp=drive_fs" TargetMode="External"/><Relationship Id="rId54" Type="http://schemas.openxmlformats.org/officeDocument/2006/relationships/hyperlink" Target="https://drive.google.com/open?id=1Crzlye474h-9wF00fQsxJwyCqlOGjSD8&amp;authuser=jay.agg%40gmail.com&amp;usp=drive_fs" TargetMode="External"/><Relationship Id="rId160" Type="http://schemas.openxmlformats.org/officeDocument/2006/relationships/hyperlink" Target="https://drive.google.com/open?id=11ufCv9M6ujNVks21kFmWgNRtFiYJJKWp&amp;authuser=jay.agg%40gmail.com&amp;usp=drive_fs" TargetMode="External"/><Relationship Id="rId57" Type="http://schemas.openxmlformats.org/officeDocument/2006/relationships/hyperlink" Target="https://drive.google.com/open?id=1AUtF9453AsscwlYGhU2_slTjqLRIF5-J&amp;authuser=jay.agg%40gmail.com&amp;usp=drive_fs" TargetMode="External"/><Relationship Id="rId56" Type="http://schemas.openxmlformats.org/officeDocument/2006/relationships/hyperlink" Target="https://drive.google.com/open?id=1S0JoeVa-x8xAselnMXu64Vmh1ngS_Cud&amp;authuser=jay.agg%40gmail.com&amp;usp=drive_fs" TargetMode="External"/><Relationship Id="rId159" Type="http://schemas.openxmlformats.org/officeDocument/2006/relationships/hyperlink" Target="https://drive.google.com/open?id=1UXq4aYbOvZBtHFfL1uV-0Y9CRhvlg0lM&amp;authuser=jay.agg%40gmail.com&amp;usp=drive_fs" TargetMode="External"/><Relationship Id="rId59" Type="http://schemas.openxmlformats.org/officeDocument/2006/relationships/hyperlink" Target="https://drive.google.com/open?id=1ByfbDMn70rz3SfUWd9dftPugVYPyZXSX&amp;authuser=jay.agg%40gmail.com&amp;usp=drive_fs" TargetMode="External"/><Relationship Id="rId154" Type="http://schemas.openxmlformats.org/officeDocument/2006/relationships/hyperlink" Target="https://drive.google.com/open?id=1T4472d4EPtR_7r6q3g95g8WQTId21WGn&amp;authuser=jay.agg%40gmail.com&amp;usp=drive_fs" TargetMode="External"/><Relationship Id="rId58" Type="http://schemas.openxmlformats.org/officeDocument/2006/relationships/hyperlink" Target="https://drive.google.com/open?id=1BAIIhR_t7CFMjNdm29pTFbTOYqLj8-1N&amp;authuser=jay.agg%40gmail.com&amp;usp=drive_fs" TargetMode="External"/><Relationship Id="rId153" Type="http://schemas.openxmlformats.org/officeDocument/2006/relationships/hyperlink" Target="https://drive.google.com/open?id=1Qu8ubF-2d1gbzCam5dOxqLYJi0vaDiX-&amp;authuser=jay.agg%40gmail.com&amp;usp=drive_fs" TargetMode="External"/><Relationship Id="rId152" Type="http://schemas.openxmlformats.org/officeDocument/2006/relationships/hyperlink" Target="https://drive.google.com/open?id=1QtJky2CoK2viBm-q9JnI2yzxDyOa34yI&amp;authuser=jay.agg%40gmail.com&amp;usp=drive_fs" TargetMode="External"/><Relationship Id="rId151" Type="http://schemas.openxmlformats.org/officeDocument/2006/relationships/hyperlink" Target="https://drive.google.com/open?id=1OcBosxL0fggx1qyLgXXE4tDQ8PF9N-iv&amp;authuser=jay.agg%40gmail.com&amp;usp=drive_fs" TargetMode="External"/><Relationship Id="rId158" Type="http://schemas.openxmlformats.org/officeDocument/2006/relationships/hyperlink" Target="https://drive.google.com/open?id=11kDeF-pXyau2Akghg6wU4Wp7VJTKno76&amp;authuser=jay.agg%40gmail.com&amp;usp=drive_fs" TargetMode="External"/><Relationship Id="rId157" Type="http://schemas.openxmlformats.org/officeDocument/2006/relationships/hyperlink" Target="https://drive.google.com/open?id=11jYZmuAyNiyAARBjkGEIqU8WM_NykyMj&amp;authuser=jay.agg%40gmail.com&amp;usp=drive_fs" TargetMode="External"/><Relationship Id="rId156" Type="http://schemas.openxmlformats.org/officeDocument/2006/relationships/hyperlink" Target="https://drive.google.com/open?id=1TbqT-0UAqm3f3AdE7H4MZOvOs0QV4nJL&amp;authuser=jay.agg%40gmail.com&amp;usp=drive_fs" TargetMode="External"/><Relationship Id="rId155" Type="http://schemas.openxmlformats.org/officeDocument/2006/relationships/hyperlink" Target="https://drive.google.com/open?id=1Tdo-O3f-fQtFix5vjW5eC61G1X3QOUAO&amp;authuser=jay.agg%40gmail.com&amp;usp=drive_fs" TargetMode="External"/><Relationship Id="rId107" Type="http://schemas.openxmlformats.org/officeDocument/2006/relationships/hyperlink" Target="https://drive.google.com/open?id=1azlb0WzLVLWI56A9ao925_NavPqzLPO_&amp;authuser=jay.agg%40gmail.com&amp;usp=drive_fs" TargetMode="External"/><Relationship Id="rId106" Type="http://schemas.openxmlformats.org/officeDocument/2006/relationships/hyperlink" Target="https://drive.google.com/open?id=1eRLAo9d8DiVbvwNiRDComuYzDcqiCWJp&amp;authuser=jay.agg%40gmail.com&amp;usp=drive_fs" TargetMode="External"/><Relationship Id="rId105" Type="http://schemas.openxmlformats.org/officeDocument/2006/relationships/hyperlink" Target="https://drive.google.com/open?id=1eQDLnmfEu_9K-BBzTK_pYkvtd57_WSjW&amp;authuser=jay.agg%40gmail.com&amp;usp=drive_fs" TargetMode="External"/><Relationship Id="rId104" Type="http://schemas.openxmlformats.org/officeDocument/2006/relationships/hyperlink" Target="https://drive.google.com/open?id=1_BYrh5PiI1PUa-jQ8mSQ_IwsCp6wLaef&amp;authuser=jay.agg%40gmail.com&amp;usp=drive_fs" TargetMode="External"/><Relationship Id="rId109" Type="http://schemas.openxmlformats.org/officeDocument/2006/relationships/hyperlink" Target="https://drive.google.com/open?id=1h1gMwsvCLe3Q3bOBRNVUEyzn8SVrFjon&amp;authuser=jay.agg%40gmail.com&amp;usp=drive_fs" TargetMode="External"/><Relationship Id="rId108" Type="http://schemas.openxmlformats.org/officeDocument/2006/relationships/hyperlink" Target="https://drive.google.com/open?id=1gxqH9e07wdipxz5OxnfZfQHphLFA559y&amp;authuser=jay.agg%40gmail.com&amp;usp=drive_fs" TargetMode="External"/><Relationship Id="rId103" Type="http://schemas.openxmlformats.org/officeDocument/2006/relationships/hyperlink" Target="https://drive.google.com/open?id=1Zl-XEursFIe2qATwpKH2i0nMA27x05hp&amp;authuser=jay.agg%40gmail.com&amp;usp=drive_fs" TargetMode="External"/><Relationship Id="rId102" Type="http://schemas.openxmlformats.org/officeDocument/2006/relationships/hyperlink" Target="https://drive.google.com/open?id=1e8M1V0L_wvsJUHF-PbWRpaB1-5B3kKBU&amp;authuser=jay.agg%40gmail.com&amp;usp=drive_fs" TargetMode="External"/><Relationship Id="rId101" Type="http://schemas.openxmlformats.org/officeDocument/2006/relationships/hyperlink" Target="https://drive.google.com/open?id=1e8M1V0L_wvsJUHF-PbWRpaB1-5B3kKBU&amp;authuser=jay.agg%40gmail.com&amp;usp=drive_fs" TargetMode="External"/><Relationship Id="rId100" Type="http://schemas.openxmlformats.org/officeDocument/2006/relationships/hyperlink" Target="https://drive.google.com/open?id=1e2s88RT9okkY31rDxfMCKKXy3n-fpbxK&amp;authuser=jay.agg%40gmail.com&amp;usp=drive_fs" TargetMode="External"/><Relationship Id="rId212" Type="http://schemas.openxmlformats.org/officeDocument/2006/relationships/drawing" Target="../drawings/drawing6.xml"/><Relationship Id="rId211" Type="http://schemas.openxmlformats.org/officeDocument/2006/relationships/hyperlink" Target="https://drive.google.com/open?id=1ElNmuZgjfXk_oQuxqKo6JsAGQr3toI8J&amp;usp=drive_fs" TargetMode="External"/><Relationship Id="rId210" Type="http://schemas.openxmlformats.org/officeDocument/2006/relationships/hyperlink" Target="https://drive.google.com/open?id=1hXYsZDpW2jiQGmuawjFB_viq2zn_XJEe&amp;usp=drive_fs" TargetMode="External"/><Relationship Id="rId129" Type="http://schemas.openxmlformats.org/officeDocument/2006/relationships/hyperlink" Target="https://drive.google.com/open?id=1C-CRZiDnbDfI4lGQzqIferHB26ea_TYM&amp;authuser=jay.agg%40gmail.com&amp;usp=drive_fs" TargetMode="External"/><Relationship Id="rId128" Type="http://schemas.openxmlformats.org/officeDocument/2006/relationships/hyperlink" Target="https://drive.google.com/open?id=1Bz4sUWWZOHATSdDMf6kCEQpB_dsTmHMM&amp;authuser=jay.agg%40gmail.com&amp;usp=drive_fs" TargetMode="External"/><Relationship Id="rId127" Type="http://schemas.openxmlformats.org/officeDocument/2006/relationships/hyperlink" Target="https://drive.google.com/open?id=1BxDmiNEIPSwpW9_10C_5j9fFG9Yo7vmz&amp;authuser=jay.agg%40gmail.com&amp;usp=drive_fs" TargetMode="External"/><Relationship Id="rId126" Type="http://schemas.openxmlformats.org/officeDocument/2006/relationships/hyperlink" Target="https://drive.google.com/open?id=1B_xNu6ohe1QHqVncNRMjW5w6ogYyczx9&amp;authuser=jay.agg%40gmail.com&amp;usp=drive_fs" TargetMode="External"/><Relationship Id="rId121" Type="http://schemas.openxmlformats.org/officeDocument/2006/relationships/hyperlink" Target="https://drive.google.com/open?id=19h_15EmyfzpSmK6eV00bAGEnKJIE7ZYY&amp;authuser=jay.agg%40gmail.com&amp;usp=drive_fs" TargetMode="External"/><Relationship Id="rId120" Type="http://schemas.openxmlformats.org/officeDocument/2006/relationships/hyperlink" Target="https://drive.google.com/open?id=1-gJxWqC7qaIkNPtpzz6EhY1EBbwwMB8M&amp;authuser=jay.agg%40gmail.com&amp;usp=drive_fs" TargetMode="External"/><Relationship Id="rId125" Type="http://schemas.openxmlformats.org/officeDocument/2006/relationships/hyperlink" Target="https://drive.google.com/open?id=1BYi6RVT0eoWigrpRqRCPROnVYKmhXiec&amp;authuser=jay.agg%40gmail.com&amp;usp=drive_fs" TargetMode="External"/><Relationship Id="rId124" Type="http://schemas.openxmlformats.org/officeDocument/2006/relationships/hyperlink" Target="https://drive.google.com/open?id=1AdqBigX6Pn_sAWYBwXiFcHUaw_tiHWuF&amp;authuser=jay.agg%40gmail.com&amp;usp=drive_fs" TargetMode="External"/><Relationship Id="rId123" Type="http://schemas.openxmlformats.org/officeDocument/2006/relationships/hyperlink" Target="https://drive.google.com/open?id=1-oT6y8vhavi5PpfM4kP-BHY6_Ngd9_gI&amp;authuser=jay.agg%40gmail.com&amp;usp=drive_fs" TargetMode="External"/><Relationship Id="rId122" Type="http://schemas.openxmlformats.org/officeDocument/2006/relationships/hyperlink" Target="https://drive.google.com/open?id=1-o8oI24Lqp8Fz_8I-wHi1aJ4e6WLRF04&amp;authuser=jay.agg%40gmail.com&amp;usp=drive_fs" TargetMode="External"/><Relationship Id="rId95" Type="http://schemas.openxmlformats.org/officeDocument/2006/relationships/hyperlink" Target="https://drive.google.com/open?id=1dX3m8TvTFH5qpp5dMUIvG7gQBbLd6vBv&amp;authuser=jay.agg%40gmail.com&amp;usp=drive_fs" TargetMode="External"/><Relationship Id="rId94" Type="http://schemas.openxmlformats.org/officeDocument/2006/relationships/hyperlink" Target="https://drive.google.com/open?id=1dVKLg_YohjAIv0buvuZM9lKt8Z6cwiYQ&amp;authuser=jay.agg%40gmail.com&amp;usp=drive_fs" TargetMode="External"/><Relationship Id="rId97" Type="http://schemas.openxmlformats.org/officeDocument/2006/relationships/hyperlink" Target="https://drive.google.com/open?id=1dj9J53lqqgX_yfNnMrzokWQVJ8a_QmSH&amp;authuser=jay.agg%40gmail.com&amp;usp=drive_fs" TargetMode="External"/><Relationship Id="rId96" Type="http://schemas.openxmlformats.org/officeDocument/2006/relationships/hyperlink" Target="https://drive.google.com/open?id=1dYlC4gKu8fQYz-OomaO_kO_e0KKD_YSt&amp;authuser=jay.agg%40gmail.com&amp;usp=drive_fs" TargetMode="External"/><Relationship Id="rId99" Type="http://schemas.openxmlformats.org/officeDocument/2006/relationships/hyperlink" Target="https://drive.google.com/open?id=1e2s88RT9okkY31rDxfMCKKXy3n-fpbxK&amp;authuser=jay.agg%40gmail.com&amp;usp=drive_fs" TargetMode="External"/><Relationship Id="rId98" Type="http://schemas.openxmlformats.org/officeDocument/2006/relationships/hyperlink" Target="https://drive.google.com/open?id=1dnD7qOP87fN098haHaUJfOFg2W3SStM7&amp;authuser=jay.agg%40gmail.com&amp;usp=drive_fs" TargetMode="External"/><Relationship Id="rId91" Type="http://schemas.openxmlformats.org/officeDocument/2006/relationships/hyperlink" Target="https://drive.google.com/open?id=1cyGTlU0pHNOmNXVGjaNvbDo0aCMS1vZM&amp;authuser=jay.agg%40gmail.com&amp;usp=drive_fs" TargetMode="External"/><Relationship Id="rId90" Type="http://schemas.openxmlformats.org/officeDocument/2006/relationships/hyperlink" Target="https://drive.google.com/open?id=1cvpcbF5qwI-PPHoARgSOxhXTkP9Gm6eJ&amp;authuser=jay.agg%40gmail.com&amp;usp=drive_fs" TargetMode="External"/><Relationship Id="rId93" Type="http://schemas.openxmlformats.org/officeDocument/2006/relationships/hyperlink" Target="https://drive.google.com/open?id=1d3eYz3LAr7hLrax7XlafVMCJHT3RpwI2&amp;authuser=jay.agg%40gmail.com&amp;usp=drive_fs" TargetMode="External"/><Relationship Id="rId92" Type="http://schemas.openxmlformats.org/officeDocument/2006/relationships/hyperlink" Target="https://drive.google.com/open?id=1cyZ_XiAZLhYagFb1bazRwtzuWOf1UXXW&amp;authuser=jay.agg%40gmail.com&amp;usp=drive_fs" TargetMode="External"/><Relationship Id="rId118" Type="http://schemas.openxmlformats.org/officeDocument/2006/relationships/hyperlink" Target="https://drive.google.com/open?id=183Ob4cvJ9MHnezNeWn4my_m7xG5y_0kP&amp;authuser=jay.agg%40gmail.com&amp;usp=drive_fs" TargetMode="External"/><Relationship Id="rId117" Type="http://schemas.openxmlformats.org/officeDocument/2006/relationships/hyperlink" Target="https://drive.google.com/open?id=185JJStzmKnmq6iEa5gsiDbI5gcwueh6H&amp;authuser=jay.agg%40gmail.com&amp;usp=drive_fs" TargetMode="External"/><Relationship Id="rId116" Type="http://schemas.openxmlformats.org/officeDocument/2006/relationships/hyperlink" Target="https://drive.google.com/open?id=16JOlO9uJegkjlMHtkKbhnsDk3TfXug_s&amp;authuser=jay.agg%40gmail.com&amp;usp=drive_fs" TargetMode="External"/><Relationship Id="rId115" Type="http://schemas.openxmlformats.org/officeDocument/2006/relationships/hyperlink" Target="https://drive.google.com/open?id=1oroVxcUDNujmzKUqTL-wwmQSNBTee668&amp;authuser=jay.agg%40gmail.com&amp;usp=drive_fs" TargetMode="External"/><Relationship Id="rId119" Type="http://schemas.openxmlformats.org/officeDocument/2006/relationships/hyperlink" Target="https://drive.google.com/open?id=1-fjyTecvivYJ7Pn-ktlhKoMzHFP0Nxdk&amp;authuser=jay.agg%40gmail.com&amp;usp=drive_fs" TargetMode="External"/><Relationship Id="rId110" Type="http://schemas.openxmlformats.org/officeDocument/2006/relationships/hyperlink" Target="https://drive.google.com/open?id=13JCSvpcyTWuEqioltHSap6PCWyZifsCV&amp;authuser=jay.agg%40gmail.com&amp;usp=drive_fs" TargetMode="External"/><Relationship Id="rId114" Type="http://schemas.openxmlformats.org/officeDocument/2006/relationships/hyperlink" Target="https://drive.google.com/open?id=1ojxccNs17sS_hpoy0kJLnvahIDc5Ojpo&amp;authuser=jay.agg%40gmail.com&amp;usp=drive_fs" TargetMode="External"/><Relationship Id="rId113" Type="http://schemas.openxmlformats.org/officeDocument/2006/relationships/hyperlink" Target="https://drive.google.com/open?id=167g4JlzR0We72-s-rJEFYsXfsoureruK&amp;authuser=jay.agg%40gmail.com&amp;usp=drive_fs" TargetMode="External"/><Relationship Id="rId112" Type="http://schemas.openxmlformats.org/officeDocument/2006/relationships/hyperlink" Target="https://drive.google.com/open?id=13sR1vnoNslQcY5qDCrD-_m_VrXyaCWj2&amp;authuser=jay.agg%40gmail.com&amp;usp=drive_fs" TargetMode="External"/><Relationship Id="rId111" Type="http://schemas.openxmlformats.org/officeDocument/2006/relationships/hyperlink" Target="https://drive.google.com/open?id=13qseTC_P8kAqW7SosbkH3_BCEOUoHD0I&amp;authuser=jay.agg%40gmail.com&amp;usp=drive_fs" TargetMode="External"/><Relationship Id="rId206" Type="http://schemas.openxmlformats.org/officeDocument/2006/relationships/hyperlink" Target="https://drive.google.com/open?id=10TdVob68TA08qHvPOTrFUTFm1J7USNBq&amp;usp=drive_fs" TargetMode="External"/><Relationship Id="rId205" Type="http://schemas.openxmlformats.org/officeDocument/2006/relationships/hyperlink" Target="https://drive.google.com/open?id=1-16c5viRDTAozDTnHrPsfgXdZhFQ6nyf&amp;usp=drive_fs" TargetMode="External"/><Relationship Id="rId204" Type="http://schemas.openxmlformats.org/officeDocument/2006/relationships/hyperlink" Target="https://drive.google.com/open?id=14i9hRmI4QzF0Jyn5nV1HE0o21AsR7gO9&amp;usp=drive_fs" TargetMode="External"/><Relationship Id="rId203" Type="http://schemas.openxmlformats.org/officeDocument/2006/relationships/hyperlink" Target="https://drive.google.com/open?id=1KkeFiNYg6uqGgov5SB0woAVKHAHI2hc5&amp;usp=drive_fs" TargetMode="External"/><Relationship Id="rId209" Type="http://schemas.openxmlformats.org/officeDocument/2006/relationships/hyperlink" Target="https://drive.google.com/open?id=1d_mDqe4Y6-QGkTSvZyKD_DApDIqvX1Vu&amp;usp=drive_fs" TargetMode="External"/><Relationship Id="rId208" Type="http://schemas.openxmlformats.org/officeDocument/2006/relationships/hyperlink" Target="https://drive.google.com/open?id=10oPuzGTFkTPT4jhRFCWOBwtCuMO0XTMV&amp;usp=drive_fs" TargetMode="External"/><Relationship Id="rId207" Type="http://schemas.openxmlformats.org/officeDocument/2006/relationships/hyperlink" Target="https://drive.google.com/open?id=10hz4BWKLk-weRC6GND1qwbz0WSrKMB5i&amp;usp=drive_fs" TargetMode="External"/><Relationship Id="rId202" Type="http://schemas.openxmlformats.org/officeDocument/2006/relationships/hyperlink" Target="https://drive.google.com/open?id=1bk7ngFpS_OMyhaj5M4fAEytb26akAKZV&amp;usp=drive_fs" TargetMode="External"/><Relationship Id="rId201" Type="http://schemas.openxmlformats.org/officeDocument/2006/relationships/hyperlink" Target="https://drive.google.com/open?id=1a9gsZC63HaCI-X3ih2w00s-7DUIMJJBe&amp;usp=drive_fs" TargetMode="External"/><Relationship Id="rId200" Type="http://schemas.openxmlformats.org/officeDocument/2006/relationships/hyperlink" Target="https://drive.google.com/open?id=13KbV0afuPYgDjMP1RAdPJfZ8H3Sisl_p&amp;usp=drive_f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HxuPm_4BYmig1jaNn7gmPLBidmhCzH1G&amp;authuser=jay.agg%40gmail.com&amp;usp=drive_fs" TargetMode="External"/><Relationship Id="rId391" Type="http://schemas.openxmlformats.org/officeDocument/2006/relationships/hyperlink" Target="https://drive.google.com/open?id=1a0LPu0t4RTEbAQxmKftl5MY9Hx9E2v3s&amp;authuser=jay.agg%40gmail.com&amp;usp=drive_fs" TargetMode="External"/><Relationship Id="rId390" Type="http://schemas.openxmlformats.org/officeDocument/2006/relationships/hyperlink" Target="https://drive.google.com/open?id=1_wSMFbVvRRZ5SvhJPkprKd1ALAsnTyMy&amp;authuser=jay.agg%40gmail.com&amp;usp=drive_fs" TargetMode="External"/><Relationship Id="rId1" Type="http://schemas.openxmlformats.org/officeDocument/2006/relationships/hyperlink" Target="https://drive.google.com/open?id=1ATYA3kFXo6YEbBaD6sdqj58a-xCEO8E8&amp;authuser=jay.agg%40gmail.com&amp;usp=drive_fs" TargetMode="External"/><Relationship Id="rId2" Type="http://schemas.openxmlformats.org/officeDocument/2006/relationships/hyperlink" Target="https://drive.google.com/open?id=1DzFJPWaRbqwCgL5KQEj1SLeEo3TuRztu&amp;authuser=jay.agg%40gmail.com&amp;usp=drive_fs" TargetMode="External"/><Relationship Id="rId3" Type="http://schemas.openxmlformats.org/officeDocument/2006/relationships/hyperlink" Target="https://drive.google.com/open?id=1E7Ml9vayA1rFQBLylVTCoxluU2Vj5B3p&amp;authuser=jay.agg%40gmail.com&amp;usp=drive_fs" TargetMode="External"/><Relationship Id="rId4" Type="http://schemas.openxmlformats.org/officeDocument/2006/relationships/hyperlink" Target="https://drive.google.com/open?id=1EER_CDHQB0lyrK6pB2qKoZ7jjhuW67pR&amp;authuser=jay.agg%40gmail.com&amp;usp=drive_fs" TargetMode="External"/><Relationship Id="rId9" Type="http://schemas.openxmlformats.org/officeDocument/2006/relationships/hyperlink" Target="https://drive.google.com/open?id=1ElUp4_LfnDwJ0X3k9hFnqvB1pfkVGjot&amp;authuser=jay.agg%40gmail.com&amp;usp=drive_fs" TargetMode="External"/><Relationship Id="rId385" Type="http://schemas.openxmlformats.org/officeDocument/2006/relationships/hyperlink" Target="https://drive.google.com/open?id=1_bjipX7x2MhNSEBIXbia7JYSlH4hVmF5&amp;authuser=jay.agg%40gmail.com&amp;usp=drive_fs" TargetMode="External"/><Relationship Id="rId384" Type="http://schemas.openxmlformats.org/officeDocument/2006/relationships/hyperlink" Target="https://drive.google.com/open?id=1_bG5dk-oVZjfmsVmJRyJ3edAI9NduHLg&amp;authuser=jay.agg%40gmail.com&amp;usp=drive_fs" TargetMode="External"/><Relationship Id="rId383" Type="http://schemas.openxmlformats.org/officeDocument/2006/relationships/hyperlink" Target="https://drive.google.com/open?id=1_Tj47LQTB9405tIhdScucGTVUNMgQ1Hx&amp;authuser=jay.agg%40gmail.com&amp;usp=drive_fs" TargetMode="External"/><Relationship Id="rId382" Type="http://schemas.openxmlformats.org/officeDocument/2006/relationships/hyperlink" Target="https://drive.google.com/open?id=1_RhsMZrW9wSN_n14GWfpayyCXGjN5Car&amp;authuser=jay.agg%40gmail.com&amp;usp=drive_fs" TargetMode="External"/><Relationship Id="rId5" Type="http://schemas.openxmlformats.org/officeDocument/2006/relationships/hyperlink" Target="https://drive.google.com/open?id=1EETkMYY4Do9iO5qyrlbrc0rkcfDGp3dY&amp;authuser=jay.agg%40gmail.com&amp;usp=drive_fs" TargetMode="External"/><Relationship Id="rId389" Type="http://schemas.openxmlformats.org/officeDocument/2006/relationships/hyperlink" Target="https://drive.google.com/open?id=1_nQbVl7vZnCTA2AZYxJvVHoZ_MuueY01&amp;authuser=jay.agg%40gmail.com&amp;usp=drive_fs" TargetMode="External"/><Relationship Id="rId6" Type="http://schemas.openxmlformats.org/officeDocument/2006/relationships/hyperlink" Target="https://drive.google.com/open?id=1EJKf84DrwnF7FsYV6yxO7hK7jfZzVsjx&amp;authuser=jay.agg%40gmail.com&amp;usp=drive_fs" TargetMode="External"/><Relationship Id="rId388" Type="http://schemas.openxmlformats.org/officeDocument/2006/relationships/hyperlink" Target="https://drive.google.com/open?id=1_ghqw-008C0SAPguRfxYgjWbkqiOrFib&amp;authuser=jay.agg%40gmail.com&amp;usp=drive_fs" TargetMode="External"/><Relationship Id="rId7" Type="http://schemas.openxmlformats.org/officeDocument/2006/relationships/hyperlink" Target="https://drive.google.com/open?id=1EhakNqXZjl9qnHSDztciTWX-RhiyVO4h&amp;authuser=jay.agg%40gmail.com&amp;usp=drive_fs" TargetMode="External"/><Relationship Id="rId387" Type="http://schemas.openxmlformats.org/officeDocument/2006/relationships/hyperlink" Target="https://drive.google.com/open?id=1_cW_IN9ElvoyVE5Qlt9lOIDknazPtSha&amp;authuser=jay.agg%40gmail.com&amp;usp=drive_fs" TargetMode="External"/><Relationship Id="rId8" Type="http://schemas.openxmlformats.org/officeDocument/2006/relationships/hyperlink" Target="https://drive.google.com/open?id=1ElE6h6gi2jn8hhdITUak7DLByPtY2ocO&amp;authuser=jay.agg%40gmail.com&amp;usp=drive_fs" TargetMode="External"/><Relationship Id="rId386" Type="http://schemas.openxmlformats.org/officeDocument/2006/relationships/hyperlink" Target="https://drive.google.com/open?id=1_c2_sqs8mMnU28qY1YDHOp4L_mdkOnds&amp;authuser=jay.agg%40gmail.com&amp;usp=drive_fs" TargetMode="External"/><Relationship Id="rId381" Type="http://schemas.openxmlformats.org/officeDocument/2006/relationships/hyperlink" Target="https://drive.google.com/open?id=1_Pu-_2pEvkYdKiSUXUxzRSvbBgXt4qpc&amp;authuser=jay.agg%40gmail.com&amp;usp=drive_fs" TargetMode="External"/><Relationship Id="rId380" Type="http://schemas.openxmlformats.org/officeDocument/2006/relationships/hyperlink" Target="https://drive.google.com/open?id=1_M8O_AYJtQlVYo2F7dFQWhW0E47M_Bu1&amp;authuser=jay.agg%40gmail.com&amp;usp=drive_fs" TargetMode="External"/><Relationship Id="rId379" Type="http://schemas.openxmlformats.org/officeDocument/2006/relationships/hyperlink" Target="https://drive.google.com/open?id=1_HDYSjVW3uK0tSKyvQKjVWVMir8bsQhN&amp;authuser=jay.agg%40gmail.com&amp;usp=drive_fs" TargetMode="External"/><Relationship Id="rId374" Type="http://schemas.openxmlformats.org/officeDocument/2006/relationships/hyperlink" Target="https://drive.google.com/open?id=18GYx422KvAw5NGCNjJ65WZ-t5IXTMZLT&amp;authuser=jay.agg%40gmail.com&amp;usp=drive_fs" TargetMode="External"/><Relationship Id="rId373" Type="http://schemas.openxmlformats.org/officeDocument/2006/relationships/hyperlink" Target="https://drive.google.com/open?id=1776chak7uaIih4AiETRmQb4kidXbpKey&amp;authuser=jay.agg%40gmail.com&amp;usp=drive_fs" TargetMode="External"/><Relationship Id="rId372" Type="http://schemas.openxmlformats.org/officeDocument/2006/relationships/hyperlink" Target="https://drive.google.com/open?id=1Uj5SOd_yzSK3Dv3qjoOaS9tV0owM8eYg&amp;authuser=jay.agg%40gmail.com&amp;usp=drive_fs" TargetMode="External"/><Relationship Id="rId371" Type="http://schemas.openxmlformats.org/officeDocument/2006/relationships/hyperlink" Target="https://drive.google.com/open?id=1UjUJCgz92x793VrkiQcdxVoWh95tY_vy&amp;authuser=jay.agg%40gmail.com&amp;usp=drive_fs" TargetMode="External"/><Relationship Id="rId378" Type="http://schemas.openxmlformats.org/officeDocument/2006/relationships/hyperlink" Target="https://drive.google.com/open?id=1_GBZdTPmiafSxkL5djdAtLb8GStSHlBf&amp;authuser=jay.agg%40gmail.com&amp;usp=drive_fs" TargetMode="External"/><Relationship Id="rId377" Type="http://schemas.openxmlformats.org/officeDocument/2006/relationships/hyperlink" Target="https://drive.google.com/open?id=1_DkMZf0HfHzr-cr3J2UhvqSylaqiYv4u&amp;authuser=jay.agg%40gmail.com&amp;usp=drive_fs" TargetMode="External"/><Relationship Id="rId376" Type="http://schemas.openxmlformats.org/officeDocument/2006/relationships/hyperlink" Target="https://drive.google.com/open?id=1D4uH39QrRZfXmBsB8G93VY9_0eAGmYEy&amp;authuser=jay.agg%40gmail.com&amp;usp=drive_fs" TargetMode="External"/><Relationship Id="rId375" Type="http://schemas.openxmlformats.org/officeDocument/2006/relationships/hyperlink" Target="https://drive.google.com/open?id=18JW5RWEWbLqsK1MUKfCyTsOUrbkb5ckp&amp;authuser=jay.agg%40gmail.com&amp;usp=drive_fs" TargetMode="External"/><Relationship Id="rId396" Type="http://schemas.openxmlformats.org/officeDocument/2006/relationships/hyperlink" Target="https://drive.google.com/open?id=19oBZIR842KluHNbIkNJj5FWpBAyoudxy&amp;authuser=jay.agg%40gmail.com&amp;usp=drive_fs" TargetMode="External"/><Relationship Id="rId395" Type="http://schemas.openxmlformats.org/officeDocument/2006/relationships/hyperlink" Target="https://drive.google.com/open?id=1nBpOD7wogN8y_SeL4z1GfWLoWactrCyf&amp;authuser=jay.agg%40gmail.com&amp;usp=drive_fs" TargetMode="External"/><Relationship Id="rId394" Type="http://schemas.openxmlformats.org/officeDocument/2006/relationships/hyperlink" Target="https://drive.google.com/open?id=1jbpmasc90zpUh12jNmq8-YmZ2QoRyQ-7&amp;authuser=jay.agg%40gmail.com&amp;usp=drive_fs" TargetMode="External"/><Relationship Id="rId393" Type="http://schemas.openxmlformats.org/officeDocument/2006/relationships/hyperlink" Target="https://drive.google.com/open?id=1HxUMN1wADY4H7YVeOtmQNqb4ieEbXd07&amp;authuser=jay.agg%40gmail.com&amp;usp=drive_fs" TargetMode="External"/><Relationship Id="rId399" Type="http://schemas.openxmlformats.org/officeDocument/2006/relationships/hyperlink" Target="https://drive.google.com/open?id=1TD0_Xqy4OWOywa0aCCX-Gbj5HyjEP-_x&amp;authuser=jay.agg%40gmail.com&amp;usp=drive_fs" TargetMode="External"/><Relationship Id="rId398" Type="http://schemas.openxmlformats.org/officeDocument/2006/relationships/hyperlink" Target="https://drive.google.com/open?id=1OjH576QIVDuc2k2F0GADbldp-8HTn7Tf&amp;authuser=jay.agg%40gmail.com&amp;usp=drive_fs" TargetMode="External"/><Relationship Id="rId397" Type="http://schemas.openxmlformats.org/officeDocument/2006/relationships/hyperlink" Target="https://drive.google.com/open?id=19oupri5lvTjycfL7Je9qgfXwwvcG2J43&amp;authuser=jay.agg%40gmail.com&amp;usp=drive_fs" TargetMode="External"/><Relationship Id="rId1730" Type="http://schemas.openxmlformats.org/officeDocument/2006/relationships/hyperlink" Target="https://drive.google.com/open?id=1fblmbAqQIqWpkNawgseaBbqDoexsvh6Q&amp;authuser=jay.agg%40gmail.com&amp;usp=drive_fs" TargetMode="External"/><Relationship Id="rId1731" Type="http://schemas.openxmlformats.org/officeDocument/2006/relationships/hyperlink" Target="https://drive.google.com/open?id=1gUd91goCxMhIUyGHSAkJNWqcCtpWmhZg&amp;authuser=jay.agg%40gmail.com&amp;usp=drive_fs" TargetMode="External"/><Relationship Id="rId1732" Type="http://schemas.openxmlformats.org/officeDocument/2006/relationships/hyperlink" Target="https://drive.google.com/open?id=1gU0aMCU-uHPRJ5JRR74AS5b5o3lI3FZp&amp;authuser=jay.agg%40gmail.com&amp;usp=drive_fs" TargetMode="External"/><Relationship Id="rId1733" Type="http://schemas.openxmlformats.org/officeDocument/2006/relationships/hyperlink" Target="https://drive.google.com/open?id=1gJCaGHQjJnOfn4vUVlg7oiUaCJoeDC7T&amp;authuser=jay.agg%40gmail.com&amp;usp=drive_fs" TargetMode="External"/><Relationship Id="rId1734" Type="http://schemas.openxmlformats.org/officeDocument/2006/relationships/hyperlink" Target="https://drive.google.com/open?id=1fr_jYpDHzUaf8OKZpevlOxdGg0MdcrBi&amp;authuser=jay.agg%40gmail.com&amp;usp=drive_fs" TargetMode="External"/><Relationship Id="rId1735" Type="http://schemas.openxmlformats.org/officeDocument/2006/relationships/hyperlink" Target="https://drive.google.com/open?id=1f12I8xEZ3zQbQ4XY-hpWgONGcKuMheKA&amp;authuser=jay.agg%40gmail.com&amp;usp=drive_fs" TargetMode="External"/><Relationship Id="rId1736" Type="http://schemas.openxmlformats.org/officeDocument/2006/relationships/hyperlink" Target="https://drive.google.com/open?id=1fBHwkNOCZOSQBvJVx-DzOjlkd9QwypCt&amp;authuser=jay.agg%40gmail.com&amp;usp=drive_fs" TargetMode="External"/><Relationship Id="rId1737" Type="http://schemas.openxmlformats.org/officeDocument/2006/relationships/hyperlink" Target="https://drive.google.com/open?id=1fKL3Pzwx0RgrWftye_LHDgKqpabAxnLa&amp;authuser=jay.agg%40gmail.com&amp;usp=drive_fs" TargetMode="External"/><Relationship Id="rId1738" Type="http://schemas.openxmlformats.org/officeDocument/2006/relationships/hyperlink" Target="https://drive.google.com/open?id=1fSunjE4TYG2EIK8V_pslGY-8c-0r5Z-l&amp;authuser=jay.agg%40gmail.com&amp;usp=drive_fs" TargetMode="External"/><Relationship Id="rId1739" Type="http://schemas.openxmlformats.org/officeDocument/2006/relationships/hyperlink" Target="https://drive.google.com/open?id=1f_PZQdMe4hhpTCzI6kuh06HxRll4n_mn&amp;authuser=jay.agg%40gmail.com&amp;usp=drive_fs" TargetMode="External"/><Relationship Id="rId1720" Type="http://schemas.openxmlformats.org/officeDocument/2006/relationships/hyperlink" Target="https://drive.google.com/open?id=1ksBA95fw0HAUYfVc7XKjopOjARo6DX-6&amp;authuser=jay.agg%40gmail.com&amp;usp=drive_fs" TargetMode="External"/><Relationship Id="rId1721" Type="http://schemas.openxmlformats.org/officeDocument/2006/relationships/hyperlink" Target="https://drive.google.com/open?id=1hKe8-aMwQ_bQ_z4_JX1IxHpj1ulvL04N&amp;authuser=jay.agg%40gmail.com&amp;usp=drive_fs" TargetMode="External"/><Relationship Id="rId1722" Type="http://schemas.openxmlformats.org/officeDocument/2006/relationships/hyperlink" Target="https://drive.google.com/open?id=1gyrlpDBXlHwjgPSezB-6UcGcTMDr8TLP&amp;authuser=jay.agg%40gmail.com&amp;usp=drive_fs" TargetMode="External"/><Relationship Id="rId1723" Type="http://schemas.openxmlformats.org/officeDocument/2006/relationships/hyperlink" Target="https://drive.google.com/open?id=1h-zSd5QssytVb2QuzepNhvmeLe10ggs5&amp;authuser=jay.agg%40gmail.com&amp;usp=drive_fs" TargetMode="External"/><Relationship Id="rId1724" Type="http://schemas.openxmlformats.org/officeDocument/2006/relationships/hyperlink" Target="https://drive.google.com/open?id=1gglcthFMFJU-7diszURozUMRMd2Um7d8&amp;authuser=jay.agg%40gmail.com&amp;usp=drive_fs" TargetMode="External"/><Relationship Id="rId1725" Type="http://schemas.openxmlformats.org/officeDocument/2006/relationships/hyperlink" Target="https://drive.google.com/open?id=1gjf7PmSuuvP6KjYB2px_a3UADas6O_Lc&amp;authuser=jay.agg%40gmail.com&amp;usp=drive_fs" TargetMode="External"/><Relationship Id="rId1726" Type="http://schemas.openxmlformats.org/officeDocument/2006/relationships/hyperlink" Target="https://drive.google.com/open?id=1fmOXy-7CjsvQqY_Ylts-rijXxZ6tMDTt&amp;authuser=jay.agg%40gmail.com&amp;usp=drive_fs" TargetMode="External"/><Relationship Id="rId1727" Type="http://schemas.openxmlformats.org/officeDocument/2006/relationships/hyperlink" Target="https://drive.google.com/open?id=1geepcndjsW3u5bfNrj9NfcLzrcNXR4QU&amp;authuser=jay.agg%40gmail.com&amp;usp=drive_fs" TargetMode="External"/><Relationship Id="rId1728" Type="http://schemas.openxmlformats.org/officeDocument/2006/relationships/hyperlink" Target="https://drive.google.com/open?id=1W4mdNjGATl9j2RFddcULb14cRmqeW9Ll&amp;authuser=jay.agg%40gmail.com&amp;usp=drive_fs" TargetMode="External"/><Relationship Id="rId1729" Type="http://schemas.openxmlformats.org/officeDocument/2006/relationships/hyperlink" Target="https://drive.google.com/open?id=1gb8LSt6dLjusaNoxMHrweXpHtqAPwlwB&amp;authuser=jay.agg%40gmail.com&amp;usp=drive_fs" TargetMode="External"/><Relationship Id="rId1752" Type="http://schemas.openxmlformats.org/officeDocument/2006/relationships/hyperlink" Target="https://drive.google.com/open?id=1eCeNEYt6ThzZOztVZDJy_9blD4RKw0vT&amp;authuser=jay.agg%40gmail.com&amp;usp=drive_fs" TargetMode="External"/><Relationship Id="rId1753" Type="http://schemas.openxmlformats.org/officeDocument/2006/relationships/hyperlink" Target="https://drive.google.com/open?id=1f5FUAd9u-m8AB00D1GqD2SJnp8YwAzIr&amp;authuser=jay.agg%40gmail.com&amp;usp=drive_fs" TargetMode="External"/><Relationship Id="rId1754" Type="http://schemas.openxmlformats.org/officeDocument/2006/relationships/hyperlink" Target="https://drive.google.com/open?id=1e42Uw9c3EZH1H7itwAgTZlp3qcbLfZYf&amp;authuser=jay.agg%40gmail.com&amp;usp=drive_fs" TargetMode="External"/><Relationship Id="rId1755" Type="http://schemas.openxmlformats.org/officeDocument/2006/relationships/hyperlink" Target="https://drive.google.com/open?id=1AKevjG06AbOFADAHOIQI0kUrjumE9ltJ&amp;authuser=jay.agg%40gmail.com&amp;usp=drive_fs" TargetMode="External"/><Relationship Id="rId1756" Type="http://schemas.openxmlformats.org/officeDocument/2006/relationships/hyperlink" Target="https://drive.google.com/open?id=1AMIL7mNMhMgrMz4VOhJoecGlhE_HwcV_&amp;authuser=jay.agg%40gmail.com&amp;usp=drive_fs" TargetMode="External"/><Relationship Id="rId1757" Type="http://schemas.openxmlformats.org/officeDocument/2006/relationships/hyperlink" Target="https://drive.google.com/open?id=1lKphdvb6qrQzvgMHI4_EhRqZIWFjiG6d&amp;authuser=jay.agg%40gmail.com&amp;usp=drive_fs" TargetMode="External"/><Relationship Id="rId1758" Type="http://schemas.openxmlformats.org/officeDocument/2006/relationships/hyperlink" Target="https://drive.google.com/open?id=1mZCN6r9EeK0xKTkw3uHDW6o9XngL_JZ6&amp;authuser=jay.agg%40gmail.com&amp;usp=drive_fs" TargetMode="External"/><Relationship Id="rId1759" Type="http://schemas.openxmlformats.org/officeDocument/2006/relationships/hyperlink" Target="https://drive.google.com/open?id=1mv6ygU6Qud7Nr1A4AcAqcZejExgv3gD1&amp;authuser=jay.agg%40gmail.com&amp;usp=drive_fs" TargetMode="External"/><Relationship Id="rId808" Type="http://schemas.openxmlformats.org/officeDocument/2006/relationships/hyperlink" Target="https://drive.google.com/open?id=13XI0qkTGmD3iECelEKcI0QVooLem0D-d&amp;usp=drive_fs" TargetMode="External"/><Relationship Id="rId807" Type="http://schemas.openxmlformats.org/officeDocument/2006/relationships/hyperlink" Target="https://drive.google.com/open?id=13WgjlmaZ4EvFP-3oHy8Ktf6xnJCz0WO_&amp;usp=drive_fs" TargetMode="External"/><Relationship Id="rId806" Type="http://schemas.openxmlformats.org/officeDocument/2006/relationships/hyperlink" Target="https://drive.google.com/open?id=13Qw2UkSu7Dah-jec0_SRVyAOCI4bV_dg&amp;usp=drive_fs" TargetMode="External"/><Relationship Id="rId805" Type="http://schemas.openxmlformats.org/officeDocument/2006/relationships/hyperlink" Target="https://drive.google.com/open?id=11Fuw0h_fUr9B7_FwI89YV6GYrGApaX3k&amp;usp=drive_fs" TargetMode="External"/><Relationship Id="rId809" Type="http://schemas.openxmlformats.org/officeDocument/2006/relationships/hyperlink" Target="https://drive.google.com/open?id=1OaT1BOTmIUg29KGkPH4T432pQfb6cdEp&amp;usp=drive_fs" TargetMode="External"/><Relationship Id="rId800" Type="http://schemas.openxmlformats.org/officeDocument/2006/relationships/hyperlink" Target="https://drive.google.com/open?id=1hdrPdg2roKlnj_kz8ky9XwJqTVw6ykfj&amp;authuser=jay.agg%40gmail.com&amp;usp=drive_fs" TargetMode="External"/><Relationship Id="rId804" Type="http://schemas.openxmlformats.org/officeDocument/2006/relationships/hyperlink" Target="https://drive.google.com/open?id=11FPnGUeGvaIX2wWazJHzexSvq9aRSY_i&amp;usp=drive_fs" TargetMode="External"/><Relationship Id="rId803" Type="http://schemas.openxmlformats.org/officeDocument/2006/relationships/hyperlink" Target="https://drive.google.com/open?id=1H5xaahs2SXPJwiVHCDiSbRUfxM68Qrhz&amp;authuser=jay.agg%40gmail.com&amp;usp=drive_fs" TargetMode="External"/><Relationship Id="rId802" Type="http://schemas.openxmlformats.org/officeDocument/2006/relationships/hyperlink" Target="https://drive.google.com/open?id=1GuqdqRzoEBYF1oa0EICvBzNTGsuB4Y7o&amp;authuser=jay.agg%40gmail.com&amp;usp=drive_fs" TargetMode="External"/><Relationship Id="rId801" Type="http://schemas.openxmlformats.org/officeDocument/2006/relationships/hyperlink" Target="https://drive.google.com/open?id=1-ZDr92lbyFoPc7pgvW03E8Yrg1GbmgvL&amp;authuser=jay.agg%40gmail.com&amp;usp=drive_fs" TargetMode="External"/><Relationship Id="rId1750" Type="http://schemas.openxmlformats.org/officeDocument/2006/relationships/hyperlink" Target="https://drive.google.com/open?id=1eOjHq8hKNypz5oPu93gI4Ka_MVsagRu0&amp;authuser=jay.agg%40gmail.com&amp;usp=drive_fs" TargetMode="External"/><Relationship Id="rId1751" Type="http://schemas.openxmlformats.org/officeDocument/2006/relationships/hyperlink" Target="https://drive.google.com/open?id=1eElE9qE9R0ZzhfUCQa3DOiRqZMs7Dvv2&amp;authuser=jay.agg%40gmail.com&amp;usp=drive_fs" TargetMode="External"/><Relationship Id="rId1741" Type="http://schemas.openxmlformats.org/officeDocument/2006/relationships/hyperlink" Target="https://drive.google.com/open?id=1ewDLf-Wni_9fV3SS5ImoeLcSeD9Y0vrw&amp;authuser=jay.agg%40gmail.com&amp;usp=drive_fs" TargetMode="External"/><Relationship Id="rId1742" Type="http://schemas.openxmlformats.org/officeDocument/2006/relationships/hyperlink" Target="https://drive.google.com/open?id=1f0RST6CKfRcylkPnl2DD3RP54QLBPLeb&amp;authuser=jay.agg%40gmail.com&amp;usp=drive_fs" TargetMode="External"/><Relationship Id="rId1743" Type="http://schemas.openxmlformats.org/officeDocument/2006/relationships/hyperlink" Target="https://drive.google.com/open?id=1ex_lUNgzXyCpgLn63JNh8PMxYZT1JgV2&amp;authuser=jay.agg%40gmail.com&amp;usp=drive_fs" TargetMode="External"/><Relationship Id="rId1744" Type="http://schemas.openxmlformats.org/officeDocument/2006/relationships/hyperlink" Target="https://drive.google.com/open?id=1hHhPsgLVcl5Zg3q9msESpaN7bTE5ka6X&amp;authuser=jay.agg%40gmail.com&amp;usp=drive_fs" TargetMode="External"/><Relationship Id="rId1745" Type="http://schemas.openxmlformats.org/officeDocument/2006/relationships/hyperlink" Target="https://drive.google.com/open?id=1eZyQeZBQq9qcFgEgi6dAOn6y4uY5rKF_&amp;authuser=jay.agg%40gmail.com&amp;usp=drive_fs" TargetMode="External"/><Relationship Id="rId1746" Type="http://schemas.openxmlformats.org/officeDocument/2006/relationships/hyperlink" Target="https://drive.google.com/open?id=1eghXV9fm_0cCaTcn8CyYB3EU-zMdG0KI&amp;authuser=jay.agg%40gmail.com&amp;usp=drive_fs" TargetMode="External"/><Relationship Id="rId1747" Type="http://schemas.openxmlformats.org/officeDocument/2006/relationships/hyperlink" Target="https://drive.google.com/open?id=1eiBdJ0jgsiYV1jSEgZOyzjmbIdD7LBsB&amp;authuser=jay.agg%40gmail.com&amp;usp=drive_fs" TargetMode="External"/><Relationship Id="rId1748" Type="http://schemas.openxmlformats.org/officeDocument/2006/relationships/hyperlink" Target="https://drive.google.com/open?id=1ek0d_XG1kFklmxSUZcn7j_kTqlEFODY_&amp;authuser=jay.agg%40gmail.com&amp;usp=drive_fs" TargetMode="External"/><Relationship Id="rId1749" Type="http://schemas.openxmlformats.org/officeDocument/2006/relationships/hyperlink" Target="https://drive.google.com/open?id=1eKZ-k6RF8-8-nwtkdQoPBD_MnVuw_rc_&amp;authuser=jay.agg%40gmail.com&amp;usp=drive_fs" TargetMode="External"/><Relationship Id="rId1740" Type="http://schemas.openxmlformats.org/officeDocument/2006/relationships/hyperlink" Target="https://drive.google.com/open?id=1f7RYAaOM8h2Vu3oBTUaMxQkXJlrf3aI2&amp;authuser=jay.agg%40gmail.com&amp;usp=drive_fs" TargetMode="External"/><Relationship Id="rId1710" Type="http://schemas.openxmlformats.org/officeDocument/2006/relationships/hyperlink" Target="https://drive.google.com/open?id=13RYBkSbsngpvtNKhUWzX7zitlsiA7dXy&amp;authuser=jay.agg%40gmail.com&amp;usp=drive_fs" TargetMode="External"/><Relationship Id="rId1711" Type="http://schemas.openxmlformats.org/officeDocument/2006/relationships/hyperlink" Target="https://drive.google.com/open?id=13RYBkSbsngpvtNKhUWzX7zitlsiA7dXy&amp;authuser=jay.agg%40gmail.com&amp;usp=drive_fs" TargetMode="External"/><Relationship Id="rId1712" Type="http://schemas.openxmlformats.org/officeDocument/2006/relationships/hyperlink" Target="https://drive.google.com/open?id=14ym6rDpnw3eKaCM7-3-64f8qYkIwEa21&amp;usp=drive_fs" TargetMode="External"/><Relationship Id="rId1713" Type="http://schemas.openxmlformats.org/officeDocument/2006/relationships/hyperlink" Target="https://drive.google.com/open?id=1K8kP9jAp6XdK2mKmINJiZiTPSnGVzvg_&amp;usp=drive_fs" TargetMode="External"/><Relationship Id="rId1714" Type="http://schemas.openxmlformats.org/officeDocument/2006/relationships/hyperlink" Target="https://drive.google.com/open?id=1K9CpkbAu-L10QDbsDHQ0XKeLFaB9TnF2&amp;usp=drive_fs" TargetMode="External"/><Relationship Id="rId1715" Type="http://schemas.openxmlformats.org/officeDocument/2006/relationships/hyperlink" Target="https://drive.google.com/open?id=12c0lphAkGg2uL6LLvhXHT1VhtUqkRl6j&amp;usp=drive_fs" TargetMode="External"/><Relationship Id="rId1716" Type="http://schemas.openxmlformats.org/officeDocument/2006/relationships/hyperlink" Target="https://drive.google.com/open?id=13tz-NvwjO1dddqbJFUmxrllU0Pca9DjS&amp;usp=drive_fs" TargetMode="External"/><Relationship Id="rId1717" Type="http://schemas.openxmlformats.org/officeDocument/2006/relationships/hyperlink" Target="https://drive.google.com/open?id=1d6xTX_v4ws-txlwwyCrU3kcGxaN9WlDv&amp;usp=drive_fs" TargetMode="External"/><Relationship Id="rId1718" Type="http://schemas.openxmlformats.org/officeDocument/2006/relationships/hyperlink" Target="https://drive.google.com/open?id=1hIVHpjm9fJ3O9XiZZ8_byjebGCu3Z_kx&amp;authuser=jay.agg%40gmail.com&amp;usp=drive_fs" TargetMode="External"/><Relationship Id="rId1719" Type="http://schemas.openxmlformats.org/officeDocument/2006/relationships/hyperlink" Target="https://drive.google.com/open?id=1hFEgIpFalw3pcdFpNESh8x08K9mAQxX2&amp;authuser=jay.agg%40gmail.com&amp;usp=drive_fs" TargetMode="External"/><Relationship Id="rId1700" Type="http://schemas.openxmlformats.org/officeDocument/2006/relationships/hyperlink" Target="https://drive.google.com/open?id=1VMmaAT-rE--4tTk3mdoUqEb0DDx6IDT3&amp;authuser=jay.agg%40gmail.com&amp;usp=drive_fs" TargetMode="External"/><Relationship Id="rId1701" Type="http://schemas.openxmlformats.org/officeDocument/2006/relationships/hyperlink" Target="https://drive.google.com/open?id=1YjCDLKqnxbDv51Wn7FWrbW2C5wj1EvOu&amp;authuser=jay.agg%40gmail.com&amp;usp=drive_fs" TargetMode="External"/><Relationship Id="rId1702" Type="http://schemas.openxmlformats.org/officeDocument/2006/relationships/hyperlink" Target="https://drive.google.com/open?id=1YmffX6jwOYjdhkco76C42K59BlWYFzNv&amp;authuser=jay.agg%40gmail.com&amp;usp=drive_fs" TargetMode="External"/><Relationship Id="rId1703" Type="http://schemas.openxmlformats.org/officeDocument/2006/relationships/hyperlink" Target="https://drive.google.com/open?id=1Yn33Dafcrqwo-vemaOvRziU6i7Y-6ia7&amp;authuser=jay.agg%40gmail.com&amp;usp=drive_fs" TargetMode="External"/><Relationship Id="rId1704" Type="http://schemas.openxmlformats.org/officeDocument/2006/relationships/hyperlink" Target="https://drive.google.com/open?id=1-6eD4oux6I4rMCWpaHOYYpjz7HiFX16R&amp;authuser=jay.agg%40gmail.com&amp;usp=drive_fs" TargetMode="External"/><Relationship Id="rId1705" Type="http://schemas.openxmlformats.org/officeDocument/2006/relationships/hyperlink" Target="https://drive.google.com/open?id=1h8OwU-0tNTzh46eyVn2Q8FzlOZDzDIhj&amp;authuser=jay.agg%40gmail.com&amp;usp=drive_fs" TargetMode="External"/><Relationship Id="rId1706" Type="http://schemas.openxmlformats.org/officeDocument/2006/relationships/hyperlink" Target="https://drive.google.com/open?id=1DULiFApXwniSi3bBBRNBTx4tYxp9J1Lr&amp;authuser=jay.agg%40gmail.com&amp;usp=drive_fs" TargetMode="External"/><Relationship Id="rId1707" Type="http://schemas.openxmlformats.org/officeDocument/2006/relationships/hyperlink" Target="https://drive.google.com/open?id=1GbLDUpYtp1lgw41jfeYosIhguW0AGhPl&amp;authuser=jay.agg%40gmail.com&amp;usp=drive_fs" TargetMode="External"/><Relationship Id="rId1708" Type="http://schemas.openxmlformats.org/officeDocument/2006/relationships/hyperlink" Target="https://drive.google.com/open?id=1-w1hWAXoT234ne2Xvkwpd4KdEaNX_uhC&amp;authuser=jay.agg%40gmail.com&amp;usp=drive_fs" TargetMode="External"/><Relationship Id="rId1709" Type="http://schemas.openxmlformats.org/officeDocument/2006/relationships/hyperlink" Target="https://drive.google.com/open?id=101XJFfEc9DGTHke2DImduGe-Rc5g75_t&amp;authuser=jay.agg%40gmail.com&amp;usp=drive_fs" TargetMode="External"/><Relationship Id="rId40" Type="http://schemas.openxmlformats.org/officeDocument/2006/relationships/hyperlink" Target="https://drive.google.com/open?id=1EqycQfHYTkPbvYYglMH_ol7H2aDRus3z&amp;authuser=jay.agg%40gmail.com&amp;usp=drive_fs" TargetMode="External"/><Relationship Id="rId1334" Type="http://schemas.openxmlformats.org/officeDocument/2006/relationships/hyperlink" Target="https://drive.google.com/open?id=1SEw61ztBlhldj3OOQ6vOJzl70rp9z8lu&amp;authuser=jay.agg%40gmail.com&amp;usp=drive_fs" TargetMode="External"/><Relationship Id="rId1335" Type="http://schemas.openxmlformats.org/officeDocument/2006/relationships/hyperlink" Target="https://drive.google.com/open?id=1wOEKqhk_Y6BOWGyVLfY7UJZPw2Mk337c&amp;authuser=jay.agg%40gmail.com&amp;usp=drive_fs" TargetMode="External"/><Relationship Id="rId42" Type="http://schemas.openxmlformats.org/officeDocument/2006/relationships/hyperlink" Target="https://drive.google.com/open?id=1CyfW9rEWvFadJ9Lady9kv07czIvLcPfA&amp;authuser=jay.agg%40gmail.com&amp;usp=drive_fs" TargetMode="External"/><Relationship Id="rId1336" Type="http://schemas.openxmlformats.org/officeDocument/2006/relationships/hyperlink" Target="https://drive.google.com/open?id=1x4iZSYy_Fj_F1xwMeKT4QG7yk9RCI3GL&amp;authuser=jay.agg%40gmail.com&amp;usp=drive_fs" TargetMode="External"/><Relationship Id="rId41" Type="http://schemas.openxmlformats.org/officeDocument/2006/relationships/hyperlink" Target="https://drive.google.com/open?id=1CyHwrtsSG4fy30WLKEPUuAAvRgiQfPH3&amp;authuser=jay.agg%40gmail.com&amp;usp=drive_fs" TargetMode="External"/><Relationship Id="rId1337" Type="http://schemas.openxmlformats.org/officeDocument/2006/relationships/hyperlink" Target="https://drive.google.com/open?id=1H-aVoZmHKtsOKbEVimBXvsXrJg3RWAeA&amp;authuser=jay.agg%40gmail.com&amp;usp=drive_fs" TargetMode="External"/><Relationship Id="rId44" Type="http://schemas.openxmlformats.org/officeDocument/2006/relationships/hyperlink" Target="https://drive.google.com/open?id=1D_wZismbD5BbfVCsvFsaAKAJTcQeG0Il&amp;authuser=jay.agg%40gmail.com&amp;usp=drive_fs" TargetMode="External"/><Relationship Id="rId1338" Type="http://schemas.openxmlformats.org/officeDocument/2006/relationships/hyperlink" Target="https://drive.google.com/open?id=1W5-HySjInrXrcW_hTDMCmngKdEpglMVI&amp;authuser=jay.agg%40gmail.com&amp;usp=drive_fs" TargetMode="External"/><Relationship Id="rId43" Type="http://schemas.openxmlformats.org/officeDocument/2006/relationships/hyperlink" Target="https://drive.google.com/open?id=1Dk5dvXJIPwhXsvQJ9xpk6CmOfbJD_QWL&amp;authuser=jay.agg%40gmail.com&amp;usp=drive_fs" TargetMode="External"/><Relationship Id="rId1339" Type="http://schemas.openxmlformats.org/officeDocument/2006/relationships/hyperlink" Target="https://drive.google.com/open?id=1PdEL-mhqZCLR080rMyx4U997zfHFuR_7&amp;authuser=jay.agg%40gmail.com&amp;usp=drive_fs" TargetMode="External"/><Relationship Id="rId46" Type="http://schemas.openxmlformats.org/officeDocument/2006/relationships/hyperlink" Target="https://drive.google.com/open?id=1DXI6Y-Ogg5aHkrHMGShASqIbdqXptbN-&amp;authuser=jay.agg%40gmail.com&amp;usp=drive_fs" TargetMode="External"/><Relationship Id="rId45" Type="http://schemas.openxmlformats.org/officeDocument/2006/relationships/hyperlink" Target="https://drive.google.com/open?id=1Dbc7LKS1CNkqJ8JISYwN1mmU6WI1mGGm&amp;authuser=jay.agg%40gmail.com&amp;usp=drive_fs" TargetMode="External"/><Relationship Id="rId745" Type="http://schemas.openxmlformats.org/officeDocument/2006/relationships/hyperlink" Target="https://drive.google.com/open?id=12yzuIstfiJ__2brf3ISPcMAOze2o1OTW&amp;authuser=jay.agg%40gmail.com&amp;usp=drive_fs" TargetMode="External"/><Relationship Id="rId744" Type="http://schemas.openxmlformats.org/officeDocument/2006/relationships/hyperlink" Target="https://drive.google.com/open?id=12xtU46a_4voa6O6WVWyNOxitRSXlHaJc&amp;authuser=jay.agg%40gmail.com&amp;usp=drive_fs" TargetMode="External"/><Relationship Id="rId743" Type="http://schemas.openxmlformats.org/officeDocument/2006/relationships/hyperlink" Target="https://drive.google.com/open?id=12whs8ef81ivLFLq-gH50a62bBqXtxT0s&amp;authuser=jay.agg%40gmail.com&amp;usp=drive_fs" TargetMode="External"/><Relationship Id="rId742" Type="http://schemas.openxmlformats.org/officeDocument/2006/relationships/hyperlink" Target="https://drive.google.com/open?id=12wdmZTSE22p7ug9czWXDdVQeAlFIFB4k&amp;authuser=jay.agg%40gmail.com&amp;usp=drive_fs" TargetMode="External"/><Relationship Id="rId749" Type="http://schemas.openxmlformats.org/officeDocument/2006/relationships/hyperlink" Target="https://drive.google.com/open?id=1TSX1HAjPKIAnTH5QqiEucb-Bc5-Iyfkc&amp;authuser=jay.agg%40gmail.com&amp;usp=drive_fs" TargetMode="External"/><Relationship Id="rId748" Type="http://schemas.openxmlformats.org/officeDocument/2006/relationships/hyperlink" Target="https://drive.google.com/open?id=17L3OP8OwomAtDkYGrm7BmA8_UnsHC4Xu&amp;authuser=jay.agg%40gmail.com&amp;usp=drive_fs" TargetMode="External"/><Relationship Id="rId747" Type="http://schemas.openxmlformats.org/officeDocument/2006/relationships/hyperlink" Target="https://drive.google.com/open?id=1O92T-KjoFDKEK13XT4fctm2U-Ey-6dJg&amp;authuser=jay.agg%40gmail.com&amp;usp=drive_fs" TargetMode="External"/><Relationship Id="rId746" Type="http://schemas.openxmlformats.org/officeDocument/2006/relationships/hyperlink" Target="https://drive.google.com/open?id=1H16M3xMfhu5VAwHjp8j65Lhs3qLlb8Yi&amp;authuser=jay.agg%40gmail.com&amp;usp=drive_fs" TargetMode="External"/><Relationship Id="rId48" Type="http://schemas.openxmlformats.org/officeDocument/2006/relationships/hyperlink" Target="https://drive.google.com/open?id=1DURSbB5c3o55nu4wlYc-tnnRHyfP24eT&amp;authuser=jay.agg%40gmail.com&amp;usp=drive_fs" TargetMode="External"/><Relationship Id="rId47" Type="http://schemas.openxmlformats.org/officeDocument/2006/relationships/hyperlink" Target="https://drive.google.com/open?id=1EqQtXvnW6yykIm3MGD5iuP4QUffw5jWD&amp;authuser=jay.agg%40gmail.com&amp;usp=drive_fs" TargetMode="External"/><Relationship Id="rId49" Type="http://schemas.openxmlformats.org/officeDocument/2006/relationships/hyperlink" Target="https://drive.google.com/open?id=1DS-Cso2HrgN--cw0e_HwGbPiznUiUlD5&amp;authuser=jay.agg%40gmail.com&amp;usp=drive_fs" TargetMode="External"/><Relationship Id="rId741" Type="http://schemas.openxmlformats.org/officeDocument/2006/relationships/hyperlink" Target="https://drive.google.com/open?id=12wHwvN1a-R_PCCVSQ7UkmNrdd4tJMUCE&amp;authuser=jay.agg%40gmail.com&amp;usp=drive_fs" TargetMode="External"/><Relationship Id="rId1330" Type="http://schemas.openxmlformats.org/officeDocument/2006/relationships/hyperlink" Target="https://drive.google.com/open?id=1SGBGSI8KhQuUoy7mxXBP2jTXqpMMO18P&amp;authuser=jay.agg%40gmail.com&amp;usp=drive_fs" TargetMode="External"/><Relationship Id="rId740" Type="http://schemas.openxmlformats.org/officeDocument/2006/relationships/hyperlink" Target="https://drive.google.com/open?id=12qSHLherxtk-sd4b9C4mqIQJOOgKXDB6&amp;authuser=jay.agg%40gmail.com&amp;usp=drive_fs" TargetMode="External"/><Relationship Id="rId1331" Type="http://schemas.openxmlformats.org/officeDocument/2006/relationships/hyperlink" Target="https://drive.google.com/open?id=1SGR4fP28mA-xYA9hbO_ZLhPQEQBhbRG8&amp;authuser=jay.agg%40gmail.com&amp;usp=drive_fs" TargetMode="External"/><Relationship Id="rId1332" Type="http://schemas.openxmlformats.org/officeDocument/2006/relationships/hyperlink" Target="https://drive.google.com/open?id=1SLZ0lvnlRKM_cSc_R60sb4mqQzWpxNov&amp;authuser=jay.agg%40gmail.com&amp;usp=drive_fs" TargetMode="External"/><Relationship Id="rId1333" Type="http://schemas.openxmlformats.org/officeDocument/2006/relationships/hyperlink" Target="https://drive.google.com/open?id=1SCRS_y5AI2oGZgVr--V42XgsXB_LJaCq&amp;authuser=jay.agg%40gmail.com&amp;usp=drive_fs" TargetMode="External"/><Relationship Id="rId1323" Type="http://schemas.openxmlformats.org/officeDocument/2006/relationships/hyperlink" Target="https://drive.google.com/open?id=1OqA8PVi80Tx51spdl7WIT4NL2j_owZMq&amp;usp=drive_fs" TargetMode="External"/><Relationship Id="rId1324" Type="http://schemas.openxmlformats.org/officeDocument/2006/relationships/hyperlink" Target="https://drive.google.com/open?id=1-NOYsaKuZKdygzUkJj94dbMhzZn3i4G6&amp;usp=drive_fs" TargetMode="External"/><Relationship Id="rId31" Type="http://schemas.openxmlformats.org/officeDocument/2006/relationships/hyperlink" Target="https://drive.google.com/open?id=1GBt_B_k1h_vfKZ5OlXJWbeseiJ0k1ebH&amp;authuser=jay.agg%40gmail.com&amp;usp=drive_fs" TargetMode="External"/><Relationship Id="rId1325" Type="http://schemas.openxmlformats.org/officeDocument/2006/relationships/hyperlink" Target="https://drive.google.com/open?id=1-NXEro1xXdvjALl7fvzVX1_CItg6tIQ7&amp;usp=drive_fs" TargetMode="External"/><Relationship Id="rId30" Type="http://schemas.openxmlformats.org/officeDocument/2006/relationships/hyperlink" Target="https://drive.google.com/open?id=1G7oQKofdD-X-2cG5P_BBrZXHa8pu0AOJ&amp;authuser=jay.agg%40gmail.com&amp;usp=drive_fs" TargetMode="External"/><Relationship Id="rId1326" Type="http://schemas.openxmlformats.org/officeDocument/2006/relationships/hyperlink" Target="https://drive.google.com/open?id=1-PVqBXMqV7kHK8EzFaKNhR7ypIZDRDpU&amp;usp=drive_fs" TargetMode="External"/><Relationship Id="rId33" Type="http://schemas.openxmlformats.org/officeDocument/2006/relationships/hyperlink" Target="https://drive.google.com/open?id=1DnZDoBsaB9CT2JTn7xwvR1_LuYtu-Klt&amp;authuser=jay.agg%40gmail.com&amp;usp=drive_fs" TargetMode="External"/><Relationship Id="rId1327" Type="http://schemas.openxmlformats.org/officeDocument/2006/relationships/hyperlink" Target="https://drive.google.com/open?id=1QlbAAAUkTm4mtDWezRmz8rCMxYcdCJrC&amp;usp=drive_fs" TargetMode="External"/><Relationship Id="rId32" Type="http://schemas.openxmlformats.org/officeDocument/2006/relationships/hyperlink" Target="https://drive.google.com/open?id=1GCxB2yKXfZmwVqVBKRIkC5j46Kq9mwIr&amp;authuser=jay.agg%40gmail.com&amp;usp=drive_fs" TargetMode="External"/><Relationship Id="rId1328" Type="http://schemas.openxmlformats.org/officeDocument/2006/relationships/hyperlink" Target="https://drive.google.com/open?id=1R2hkjmuywmbwKj9zvrS3vFVzl6w5Xrnj&amp;usp=drive_fs" TargetMode="External"/><Relationship Id="rId35" Type="http://schemas.openxmlformats.org/officeDocument/2006/relationships/hyperlink" Target="https://drive.google.com/open?id=1Dg9ZjGTfkUzBXAHd-zCc9KzE5K7B-swK&amp;authuser=jay.agg%40gmail.com&amp;usp=drive_fs" TargetMode="External"/><Relationship Id="rId1329" Type="http://schemas.openxmlformats.org/officeDocument/2006/relationships/hyperlink" Target="https://drive.google.com/open?id=1upM_oUTbzevuR-IvtatjqBaYoLI0Lpnl&amp;usp=drive_fs" TargetMode="External"/><Relationship Id="rId34" Type="http://schemas.openxmlformats.org/officeDocument/2006/relationships/hyperlink" Target="https://drive.google.com/open?id=1Dm5e43DgqVO8IjDtOOejR54gn1vbwO98&amp;authuser=jay.agg%40gmail.com&amp;usp=drive_fs" TargetMode="External"/><Relationship Id="rId739" Type="http://schemas.openxmlformats.org/officeDocument/2006/relationships/hyperlink" Target="https://drive.google.com/open?id=1B_EuwcjB6Oto2ePD0JMWLzpji1POQRCi&amp;authuser=jay.agg%40gmail.com&amp;usp=drive_fs" TargetMode="External"/><Relationship Id="rId734" Type="http://schemas.openxmlformats.org/officeDocument/2006/relationships/hyperlink" Target="https://drive.google.com/open?id=16lJPBTj3HVxc5tvo4aFjpQt0F1DsEI_v&amp;authuser=jay.agg%40gmail.com&amp;usp=drive_fs" TargetMode="External"/><Relationship Id="rId733" Type="http://schemas.openxmlformats.org/officeDocument/2006/relationships/hyperlink" Target="https://drive.google.com/open?id=16Z4UrlvqKi74YEAbYCfiL91M3aRmFVk3&amp;authuser=jay.agg%40gmail.com&amp;usp=drive_fs" TargetMode="External"/><Relationship Id="rId732" Type="http://schemas.openxmlformats.org/officeDocument/2006/relationships/hyperlink" Target="https://drive.google.com/open?id=11OSuCbhzTlp6IIgt75BRcZzT_gDhznAH&amp;authuser=jay.agg%40gmail.com&amp;usp=drive_fs" TargetMode="External"/><Relationship Id="rId731" Type="http://schemas.openxmlformats.org/officeDocument/2006/relationships/hyperlink" Target="https://drive.google.com/open?id=11NMLor_xlwQsCAluVMcj8oRb-6-1ShrA&amp;authuser=jay.agg%40gmail.com&amp;usp=drive_fs" TargetMode="External"/><Relationship Id="rId738" Type="http://schemas.openxmlformats.org/officeDocument/2006/relationships/hyperlink" Target="https://drive.google.com/open?id=1v4LYLvRcD7hgXWji9lfftUof5sjuIEaA&amp;authuser=jay.agg%40gmail.com&amp;usp=drive_fs" TargetMode="External"/><Relationship Id="rId737" Type="http://schemas.openxmlformats.org/officeDocument/2006/relationships/hyperlink" Target="https://drive.google.com/open?id=186J5yrlLrX8TJmRkfZXL2irKbPURgDw_&amp;authuser=jay.agg%40gmail.com&amp;usp=drive_fs" TargetMode="External"/><Relationship Id="rId736" Type="http://schemas.openxmlformats.org/officeDocument/2006/relationships/hyperlink" Target="https://drive.google.com/open?id=16pqPiddHko28GuHeYTF-6-_MQnZNtFCu&amp;authuser=jay.agg%40gmail.com&amp;usp=drive_fs" TargetMode="External"/><Relationship Id="rId735" Type="http://schemas.openxmlformats.org/officeDocument/2006/relationships/hyperlink" Target="https://drive.google.com/open?id=16lohPOEbgT_NKOvqmkF34duyHme60z2x&amp;authuser=jay.agg%40gmail.com&amp;usp=drive_fs" TargetMode="External"/><Relationship Id="rId37" Type="http://schemas.openxmlformats.org/officeDocument/2006/relationships/hyperlink" Target="https://drive.google.com/open?id=1GDNdPxYfqdi_G-3tzW0LB2oWA-Rdli4i&amp;authuser=jay.agg%40gmail.com&amp;usp=drive_fs" TargetMode="External"/><Relationship Id="rId36" Type="http://schemas.openxmlformats.org/officeDocument/2006/relationships/hyperlink" Target="https://drive.google.com/open?id=1D7cSUBwpXbFSmlQoalN5f-EsWrfqJ_jX&amp;authuser=jay.agg%40gmail.com&amp;usp=drive_fs" TargetMode="External"/><Relationship Id="rId39" Type="http://schemas.openxmlformats.org/officeDocument/2006/relationships/hyperlink" Target="https://drive.google.com/open?id=1DjqKyDOS3dJVyvbtqu4AoCT1phEgsZnM&amp;authuser=jay.agg%40gmail.com&amp;usp=drive_fs" TargetMode="External"/><Relationship Id="rId38" Type="http://schemas.openxmlformats.org/officeDocument/2006/relationships/hyperlink" Target="https://drive.google.com/open?id=1GEGzaNjUo_BxfNM3k9s55ATGaSAy-rs7&amp;authuser=jay.agg%40gmail.com&amp;usp=drive_fs" TargetMode="External"/><Relationship Id="rId730" Type="http://schemas.openxmlformats.org/officeDocument/2006/relationships/hyperlink" Target="https://drive.google.com/open?id=1Y0PxheuDhqSMkq9yorWBs0CCLyehXInZ&amp;authuser=jay.agg%40gmail.com&amp;usp=drive_fs" TargetMode="External"/><Relationship Id="rId1320" Type="http://schemas.openxmlformats.org/officeDocument/2006/relationships/hyperlink" Target="https://drive.google.com/open?id=1ObK5csQ_JaYG6u0mutzB3tY2ou7xFhtt&amp;usp=drive_fs" TargetMode="External"/><Relationship Id="rId1321" Type="http://schemas.openxmlformats.org/officeDocument/2006/relationships/hyperlink" Target="https://drive.google.com/open?id=1OZ9OTv8rzkSWAhP4Fm27NHzyXC5td8Bm&amp;usp=drive_fs" TargetMode="External"/><Relationship Id="rId1322" Type="http://schemas.openxmlformats.org/officeDocument/2006/relationships/hyperlink" Target="https://drive.google.com/open?id=1OndvXLNrEcl6qbLG_PyI1pbEtNrNsNLo&amp;usp=drive_fs" TargetMode="External"/><Relationship Id="rId1356" Type="http://schemas.openxmlformats.org/officeDocument/2006/relationships/hyperlink" Target="https://drive.google.com/open?id=1fHFbXFINTo_aeMnDa9qsC-Hp-LlLB-Mz&amp;authuser=jay.agg%40gmail.com&amp;usp=drive_fs" TargetMode="External"/><Relationship Id="rId1357" Type="http://schemas.openxmlformats.org/officeDocument/2006/relationships/hyperlink" Target="https://drive.google.com/open?id=17x8VMRv8n1qdh6hMrF0XzimTs87bQhJ7&amp;authuser=jay.agg%40gmail.com&amp;usp=drive_fs" TargetMode="External"/><Relationship Id="rId20" Type="http://schemas.openxmlformats.org/officeDocument/2006/relationships/hyperlink" Target="https://drive.google.com/open?id=1DtT6pRJCOHXG4diWFD3YNOJMuvZM1bT7&amp;authuser=jay.agg%40gmail.com&amp;usp=drive_fs" TargetMode="External"/><Relationship Id="rId1358" Type="http://schemas.openxmlformats.org/officeDocument/2006/relationships/hyperlink" Target="https://drive.google.com/open?id=18RcfIFRO63WLcgUV_9Q-nxncazhiPYfp&amp;authuser=jay.agg%40gmail.com&amp;usp=drive_fs" TargetMode="External"/><Relationship Id="rId1359" Type="http://schemas.openxmlformats.org/officeDocument/2006/relationships/hyperlink" Target="https://drive.google.com/open?id=18S6CZP40iPTcMe4WVhvcE80qk0ZZZsH8&amp;authuser=jay.agg%40gmail.com&amp;usp=drive_fs" TargetMode="External"/><Relationship Id="rId22" Type="http://schemas.openxmlformats.org/officeDocument/2006/relationships/hyperlink" Target="https://drive.google.com/open?id=1FTohCIVSQmBvPCdwvkWkfP2IDpNXt-TH&amp;authuser=jay.agg%40gmail.com&amp;usp=drive_fs" TargetMode="External"/><Relationship Id="rId21" Type="http://schemas.openxmlformats.org/officeDocument/2006/relationships/hyperlink" Target="https://drive.google.com/open?id=1FTPBDvZ52KuUdA-ZXXnEwVhcYZ6yjd9a&amp;authuser=jay.agg%40gmail.com&amp;usp=drive_fs" TargetMode="External"/><Relationship Id="rId24" Type="http://schemas.openxmlformats.org/officeDocument/2006/relationships/hyperlink" Target="https://drive.google.com/open?id=1FjwqI7BcV-vG6pef10q_v_nP-lE3JqQK&amp;authuser=jay.agg%40gmail.com&amp;usp=drive_fs" TargetMode="External"/><Relationship Id="rId23" Type="http://schemas.openxmlformats.org/officeDocument/2006/relationships/hyperlink" Target="https://drive.google.com/open?id=1FeJ_pxIjX0r2pxnqmA4EyrL4pHjvFuyX&amp;authuser=jay.agg%40gmail.com&amp;usp=drive_fs" TargetMode="External"/><Relationship Id="rId767" Type="http://schemas.openxmlformats.org/officeDocument/2006/relationships/hyperlink" Target="https://drive.google.com/open?id=18646EVHU_91h26ScP-VzIwb-xaM9IHV8&amp;authuser=jay.agg%40gmail.com&amp;usp=drive_fs" TargetMode="External"/><Relationship Id="rId766" Type="http://schemas.openxmlformats.org/officeDocument/2006/relationships/hyperlink" Target="https://drive.google.com/open?id=181TvOkWJhldySOarFOvhsZfeTFTjgwfS&amp;authuser=jay.agg%40gmail.com&amp;usp=drive_fs" TargetMode="External"/><Relationship Id="rId765" Type="http://schemas.openxmlformats.org/officeDocument/2006/relationships/hyperlink" Target="https://drive.google.com/open?id=17vsR-rOj-txGOfb3L-D1VROkZtvUz2uR&amp;authuser=jay.agg%40gmail.com&amp;usp=drive_fs" TargetMode="External"/><Relationship Id="rId764" Type="http://schemas.openxmlformats.org/officeDocument/2006/relationships/hyperlink" Target="https://drive.google.com/open?id=17Txl8ISuliNWWh4WWk2vW4U_AgjMj6wu&amp;authuser=jay.agg%40gmail.com&amp;usp=drive_fs" TargetMode="External"/><Relationship Id="rId769" Type="http://schemas.openxmlformats.org/officeDocument/2006/relationships/hyperlink" Target="https://drive.google.com/open?id=19CQa5id6EaGJBJTGA_WpmpmZQdfXtDvF&amp;authuser=jay.agg%40gmail.com&amp;usp=drive_fs" TargetMode="External"/><Relationship Id="rId768" Type="http://schemas.openxmlformats.org/officeDocument/2006/relationships/hyperlink" Target="https://drive.google.com/open?id=198WfOVFNtzjIJtr07qGiNxp-yoh5t5vx&amp;authuser=jay.agg%40gmail.com&amp;usp=drive_fs" TargetMode="External"/><Relationship Id="rId26" Type="http://schemas.openxmlformats.org/officeDocument/2006/relationships/hyperlink" Target="https://drive.google.com/open?id=1FyNuWorYz2G4s2nu5UH3ykIhv5VZq7eh&amp;authuser=jay.agg%40gmail.com&amp;usp=drive_fs" TargetMode="External"/><Relationship Id="rId25" Type="http://schemas.openxmlformats.org/officeDocument/2006/relationships/hyperlink" Target="https://drive.google.com/open?id=1FmNzkvjzQUm18JV_t2D6MaJo9Jwq39Fo&amp;authuser=jay.agg%40gmail.com&amp;usp=drive_fs" TargetMode="External"/><Relationship Id="rId28" Type="http://schemas.openxmlformats.org/officeDocument/2006/relationships/hyperlink" Target="https://drive.google.com/open?id=1DcdYPhzRUguv1Mfe9crONpD7zb7QTS7n&amp;authuser=jay.agg%40gmail.com&amp;usp=drive_fs" TargetMode="External"/><Relationship Id="rId1350" Type="http://schemas.openxmlformats.org/officeDocument/2006/relationships/hyperlink" Target="https://drive.google.com/open?id=1XS7v53Vvc7RfmE7ftGbKpJL60qqMBrDB&amp;authuser=jay.agg%40gmail.com&amp;usp=drive_fs" TargetMode="External"/><Relationship Id="rId27" Type="http://schemas.openxmlformats.org/officeDocument/2006/relationships/hyperlink" Target="https://drive.google.com/open?id=1Fzhn223Kx7u_vHnUUVhAFO4t-G4xRBOU&amp;authuser=jay.agg%40gmail.com&amp;usp=drive_fs" TargetMode="External"/><Relationship Id="rId1351" Type="http://schemas.openxmlformats.org/officeDocument/2006/relationships/hyperlink" Target="https://drive.google.com/open?id=1XUsOzSj1OvPLj7KkaUKXyLFwnkfWypYD&amp;authuser=jay.agg%40gmail.com&amp;usp=drive_fs" TargetMode="External"/><Relationship Id="rId763" Type="http://schemas.openxmlformats.org/officeDocument/2006/relationships/hyperlink" Target="https://drive.google.com/open?id=1730VNFOzP1CIQOD6HBIxftpKXzPT_GlB&amp;authuser=jay.agg%40gmail.com&amp;usp=drive_fs" TargetMode="External"/><Relationship Id="rId1352" Type="http://schemas.openxmlformats.org/officeDocument/2006/relationships/hyperlink" Target="https://drive.google.com/open?id=1XicLhkX0sBMqTxJbXhwMY9sv53e77Jwm&amp;authuser=jay.agg%40gmail.com&amp;usp=drive_fs" TargetMode="External"/><Relationship Id="rId29" Type="http://schemas.openxmlformats.org/officeDocument/2006/relationships/hyperlink" Target="https://drive.google.com/open?id=1FllAE87dn-ImST-8B8DJRajx42taZv_V&amp;authuser=jay.agg%40gmail.com&amp;usp=drive_fs" TargetMode="External"/><Relationship Id="rId762" Type="http://schemas.openxmlformats.org/officeDocument/2006/relationships/hyperlink" Target="https://drive.google.com/open?id=170OI7aKNIHVJEU4kEx4w9jWzgC_VyM0e&amp;authuser=jay.agg%40gmail.com&amp;usp=drive_fs" TargetMode="External"/><Relationship Id="rId1353" Type="http://schemas.openxmlformats.org/officeDocument/2006/relationships/hyperlink" Target="https://drive.google.com/open?id=1dL1LkplL0lEJx9owqooii97sw_nOdQCq&amp;authuser=jay.agg%40gmail.com&amp;usp=drive_fs" TargetMode="External"/><Relationship Id="rId761" Type="http://schemas.openxmlformats.org/officeDocument/2006/relationships/hyperlink" Target="https://drive.google.com/open?id=16cb8UUs4uQ6xkD_SwjR-7deP7t5mH7A-&amp;authuser=jay.agg%40gmail.com&amp;usp=drive_fs" TargetMode="External"/><Relationship Id="rId1354" Type="http://schemas.openxmlformats.org/officeDocument/2006/relationships/hyperlink" Target="https://drive.google.com/open?id=1e8u9PkbrT8QvUa05ceYZaT2jt3OX8h2x&amp;authuser=jay.agg%40gmail.com&amp;usp=drive_fs" TargetMode="External"/><Relationship Id="rId760" Type="http://schemas.openxmlformats.org/officeDocument/2006/relationships/hyperlink" Target="https://drive.google.com/open?id=13srIGEBNPvseIGNgQ19ATDRm8iUr6hSN&amp;authuser=jay.agg%40gmail.com&amp;usp=drive_fs" TargetMode="External"/><Relationship Id="rId1355" Type="http://schemas.openxmlformats.org/officeDocument/2006/relationships/hyperlink" Target="https://drive.google.com/open?id=1eIdEfHW-TAZxzPZNCHpGRE-igJvKTRhT&amp;authuser=jay.agg%40gmail.com&amp;usp=drive_fs" TargetMode="External"/><Relationship Id="rId1345" Type="http://schemas.openxmlformats.org/officeDocument/2006/relationships/hyperlink" Target="https://drive.google.com/open?id=1Yt1zXCPmvc3NPLuOanCXtx3PGgZo3J5R&amp;authuser=jay.agg%40gmail.com&amp;usp=drive_fs" TargetMode="External"/><Relationship Id="rId1346" Type="http://schemas.openxmlformats.org/officeDocument/2006/relationships/hyperlink" Target="https://drive.google.com/open?id=1YunMUn2BzpTDE6LUw9MO8nSQbGkx3IDy&amp;authuser=jay.agg%40gmail.com&amp;usp=drive_fs" TargetMode="External"/><Relationship Id="rId1347" Type="http://schemas.openxmlformats.org/officeDocument/2006/relationships/hyperlink" Target="https://drive.google.com/open?id=1YzjS1RKtQUX0h8IHBrIVKwD_bbZYLQTi&amp;authuser=jay.agg%40gmail.com&amp;usp=drive_fs" TargetMode="External"/><Relationship Id="rId1348" Type="http://schemas.openxmlformats.org/officeDocument/2006/relationships/hyperlink" Target="https://drive.google.com/open?id=1ZB9-QKQalM5bwggjhtaH9R4abGyVY-4x&amp;authuser=jay.agg%40gmail.com&amp;usp=drive_fs" TargetMode="External"/><Relationship Id="rId11" Type="http://schemas.openxmlformats.org/officeDocument/2006/relationships/hyperlink" Target="https://drive.google.com/open?id=1F0LXYjb4cZxJNeToEuRmxSCgifFM3gDN&amp;authuser=jay.agg%40gmail.com&amp;usp=drive_fs" TargetMode="External"/><Relationship Id="rId1349" Type="http://schemas.openxmlformats.org/officeDocument/2006/relationships/hyperlink" Target="https://drive.google.com/open?id=1ZBBK8EGhtNP7YAhN-h04oEaGSVmId8ZE&amp;authuser=jay.agg%40gmail.com&amp;usp=drive_fs" TargetMode="External"/><Relationship Id="rId10" Type="http://schemas.openxmlformats.org/officeDocument/2006/relationships/hyperlink" Target="https://drive.google.com/open?id=1Er58bDe-0Rblqvh8v_rsdbsQeBnpSjL6&amp;authuser=jay.agg%40gmail.com&amp;usp=drive_fs" TargetMode="External"/><Relationship Id="rId13" Type="http://schemas.openxmlformats.org/officeDocument/2006/relationships/hyperlink" Target="https://drive.google.com/open?id=1q4ymkRhRaB0HXGWKHD8s9ZQeDTliRzlN&amp;authuser=jay.agg%40gmail.com&amp;usp=drive_fs" TargetMode="External"/><Relationship Id="rId12" Type="http://schemas.openxmlformats.org/officeDocument/2006/relationships/hyperlink" Target="https://drive.google.com/open?id=1F3Dp3nio1Ao85TzMOMUTX0e-WDiDcHHQ&amp;authuser=jay.agg%40gmail.com&amp;usp=drive_fs" TargetMode="External"/><Relationship Id="rId756" Type="http://schemas.openxmlformats.org/officeDocument/2006/relationships/hyperlink" Target="https://drive.google.com/open?id=1hGqTLm1x6_9cyy0Hy1GqrXlb2DhexUYq&amp;authuser=jay.agg%40gmail.com&amp;usp=drive_fs" TargetMode="External"/><Relationship Id="rId755" Type="http://schemas.openxmlformats.org/officeDocument/2006/relationships/hyperlink" Target="https://drive.google.com/open?id=1ZjtmOWvZ6Vmb55DxtRrRqoNoroz3WEnN&amp;authuser=jay.agg%40gmail.com&amp;usp=drive_fs" TargetMode="External"/><Relationship Id="rId754" Type="http://schemas.openxmlformats.org/officeDocument/2006/relationships/hyperlink" Target="https://drive.google.com/open?id=1SDuaGteNM3TcQlHjcsWfz_05_llCGJm4&amp;authuser=jay.agg%40gmail.com&amp;usp=drive_fs" TargetMode="External"/><Relationship Id="rId753" Type="http://schemas.openxmlformats.org/officeDocument/2006/relationships/hyperlink" Target="https://drive.google.com/open?id=1RtCmoxo_6dl07pblka_KuCp-Yeq_lskx&amp;authuser=jay.agg%40gmail.com&amp;usp=drive_fs" TargetMode="External"/><Relationship Id="rId759" Type="http://schemas.openxmlformats.org/officeDocument/2006/relationships/hyperlink" Target="https://drive.google.com/open?id=13m8KPxxg3a6Qx8-4hJ4rxEoEX1mRx98e&amp;authuser=jay.agg%40gmail.com&amp;usp=drive_fs" TargetMode="External"/><Relationship Id="rId758" Type="http://schemas.openxmlformats.org/officeDocument/2006/relationships/hyperlink" Target="https://drive.google.com/open?id=13MOjLAq-kcj8sV3kcoGyYF5cBY_uOfbi&amp;authuser=jay.agg%40gmail.com&amp;usp=drive_fs" TargetMode="External"/><Relationship Id="rId757" Type="http://schemas.openxmlformats.org/officeDocument/2006/relationships/hyperlink" Target="https://drive.google.com/open?id=1kgTcw439lfSfKOe46M2HE_BMypEHNQCh&amp;authuser=jay.agg%40gmail.com&amp;usp=drive_fs" TargetMode="External"/><Relationship Id="rId15" Type="http://schemas.openxmlformats.org/officeDocument/2006/relationships/hyperlink" Target="https://drive.google.com/open?id=1F7ZAYK4y5fyemS2gmt1zJFd0-J5CyzrV&amp;authuser=jay.agg%40gmail.com&amp;usp=drive_fs" TargetMode="External"/><Relationship Id="rId14" Type="http://schemas.openxmlformats.org/officeDocument/2006/relationships/hyperlink" Target="https://drive.google.com/open?id=1F3tAPZOs5fAw2EISBdIaH1bw0k_GzykP&amp;authuser=jay.agg%40gmail.com&amp;usp=drive_fs" TargetMode="External"/><Relationship Id="rId17" Type="http://schemas.openxmlformats.org/officeDocument/2006/relationships/hyperlink" Target="https://drive.google.com/open?id=1FIKczLxlYPvK_lYrCl-nh7UMUHP1MRm5&amp;authuser=jay.agg%40gmail.com&amp;usp=drive_fs" TargetMode="External"/><Relationship Id="rId16" Type="http://schemas.openxmlformats.org/officeDocument/2006/relationships/hyperlink" Target="https://drive.google.com/open?id=1v4oZ8_VLaei61yUx-6iNxDbmhzB_A9tg&amp;authuser=jay.agg%40gmail.com&amp;usp=drive_fs" TargetMode="External"/><Relationship Id="rId1340" Type="http://schemas.openxmlformats.org/officeDocument/2006/relationships/hyperlink" Target="https://drive.google.com/open?id=1XOZ_f_3Ii0k9nzOl_ZFFauMmJR7Y1i3x&amp;authuser=jay.agg%40gmail.com&amp;usp=drive_fs" TargetMode="External"/><Relationship Id="rId19" Type="http://schemas.openxmlformats.org/officeDocument/2006/relationships/hyperlink" Target="https://drive.google.com/open?id=1FHsQ_8m8Fo4LWHo7T2PHwBQj_dx5DbZp&amp;authuser=jay.agg%40gmail.com&amp;usp=drive_fs" TargetMode="External"/><Relationship Id="rId752" Type="http://schemas.openxmlformats.org/officeDocument/2006/relationships/hyperlink" Target="https://drive.google.com/open?id=1a1MBVdfek41mhq7i197BnkXKAPUPMWf-&amp;authuser=jay.agg%40gmail.com&amp;usp=drive_fs" TargetMode="External"/><Relationship Id="rId1341" Type="http://schemas.openxmlformats.org/officeDocument/2006/relationships/hyperlink" Target="https://drive.google.com/open?id=1XPBYJ-vK0ViZc3pbNiwjFIX10OWg5T_a&amp;authuser=jay.agg%40gmail.com&amp;usp=drive_fs" TargetMode="External"/><Relationship Id="rId18" Type="http://schemas.openxmlformats.org/officeDocument/2006/relationships/hyperlink" Target="https://drive.google.com/open?id=1FHZQjwRI86ttxdJUVDnXdZm6AqnzyB65&amp;authuser=jay.agg%40gmail.com&amp;usp=drive_fs" TargetMode="External"/><Relationship Id="rId751" Type="http://schemas.openxmlformats.org/officeDocument/2006/relationships/hyperlink" Target="https://drive.google.com/open?id=1X32TPOXfGG1uvY7SRZy1tsBPEGEWMoZC&amp;authuser=jay.agg%40gmail.com&amp;usp=drive_fs" TargetMode="External"/><Relationship Id="rId1342" Type="http://schemas.openxmlformats.org/officeDocument/2006/relationships/hyperlink" Target="https://drive.google.com/open?id=1XPBsMDklnxb3w0HyGoMAbvEa5ac6Hm-V&amp;authuser=jay.agg%40gmail.com&amp;usp=drive_fs" TargetMode="External"/><Relationship Id="rId750" Type="http://schemas.openxmlformats.org/officeDocument/2006/relationships/hyperlink" Target="https://drive.google.com/open?id=1TVfjZg6ToAC9InoSPMt9__F7oBMI52ap&amp;authuser=jay.agg%40gmail.com&amp;usp=drive_fs" TargetMode="External"/><Relationship Id="rId1343" Type="http://schemas.openxmlformats.org/officeDocument/2006/relationships/hyperlink" Target="https://drive.google.com/open?id=1YlR3_WocqYvsds0G4PhnBi2PAkBm-ipS&amp;authuser=jay.agg%40gmail.com&amp;usp=drive_fs" TargetMode="External"/><Relationship Id="rId1344" Type="http://schemas.openxmlformats.org/officeDocument/2006/relationships/hyperlink" Target="https://drive.google.com/open?id=1YsQJBIOuMZqvwj0cbu1S_dhHzSatjeF6&amp;authuser=jay.agg%40gmail.com&amp;usp=drive_fs" TargetMode="External"/><Relationship Id="rId84" Type="http://schemas.openxmlformats.org/officeDocument/2006/relationships/hyperlink" Target="https://drive.google.com/open?id=1SnWGMAAJ-7gJlOHU7kZes8GlH1dflZb0&amp;authuser=jay.agg%40gmail.com&amp;usp=drive_fs" TargetMode="External"/><Relationship Id="rId1774" Type="http://schemas.openxmlformats.org/officeDocument/2006/relationships/hyperlink" Target="https://drive.google.com/open?id=11bl4DlREu3HtfNHnXHtVYE2xj2VbqgVq&amp;authuser=jay.agg%40gmail.com&amp;usp=drive_fs" TargetMode="External"/><Relationship Id="rId83" Type="http://schemas.openxmlformats.org/officeDocument/2006/relationships/hyperlink" Target="https://drive.google.com/open?id=1FEV8NCol2OYNvNc5ZbZ50YuLr5qOUKpX&amp;authuser=jay.agg%40gmail.com&amp;usp=drive_fs" TargetMode="External"/><Relationship Id="rId1775" Type="http://schemas.openxmlformats.org/officeDocument/2006/relationships/hyperlink" Target="https://drive.google.com/open?id=11qfTuNp12o3YfUVD7ZplEXDq7XZJSPTF&amp;authuser=jay.agg%40gmail.com&amp;usp=drive_fs" TargetMode="External"/><Relationship Id="rId86" Type="http://schemas.openxmlformats.org/officeDocument/2006/relationships/hyperlink" Target="https://drive.google.com/open?id=1U-ylyw2maS8vyPLQNXZzLwP4FjfiJv0B&amp;authuser=jay.agg%40gmail.com&amp;usp=drive_fs" TargetMode="External"/><Relationship Id="rId1776" Type="http://schemas.openxmlformats.org/officeDocument/2006/relationships/hyperlink" Target="https://drive.google.com/open?id=11tN9hSORpbl2QCzp93pXNP1_mc5b6Kip&amp;authuser=jay.agg%40gmail.com&amp;usp=drive_fs" TargetMode="External"/><Relationship Id="rId85" Type="http://schemas.openxmlformats.org/officeDocument/2006/relationships/hyperlink" Target="https://drive.google.com/open?id=1TyyFjEaFjlaXHrxne1x8KzB77pOJXmcl&amp;authuser=jay.agg%40gmail.com&amp;usp=drive_fs" TargetMode="External"/><Relationship Id="rId1777" Type="http://schemas.openxmlformats.org/officeDocument/2006/relationships/hyperlink" Target="https://drive.google.com/open?id=1HhcMrKNgOVvmZ24VMIRpOCNX8jsrmGxO&amp;authuser=jay.agg%40gmail.com&amp;usp=drive_fs" TargetMode="External"/><Relationship Id="rId88" Type="http://schemas.openxmlformats.org/officeDocument/2006/relationships/hyperlink" Target="https://drive.google.com/open?id=1YkiZ89SoSMOzJBIdrdE9er0vKKpAxLyg&amp;authuser=jay.agg%40gmail.com&amp;usp=drive_fs" TargetMode="External"/><Relationship Id="rId1778" Type="http://schemas.openxmlformats.org/officeDocument/2006/relationships/hyperlink" Target="https://drive.google.com/open?id=13pp7Pk_T-8LE_zsqlgQJMDkdcL092OGt&amp;authuser=jay.agg%40gmail.com&amp;usp=drive_fs" TargetMode="External"/><Relationship Id="rId87" Type="http://schemas.openxmlformats.org/officeDocument/2006/relationships/hyperlink" Target="https://drive.google.com/open?id=1U8XKd0Yg7Bm_BzrY1nf6JbRlT8tLVeIl&amp;authuser=jay.agg%40gmail.com&amp;usp=drive_fs" TargetMode="External"/><Relationship Id="rId1779" Type="http://schemas.openxmlformats.org/officeDocument/2006/relationships/hyperlink" Target="https://drive.google.com/open?id=1Kh4pSBv4KFZIqqqDLFPDWoxctHpHqKOx&amp;authuser=jay.agg%40gmail.com&amp;usp=drive_fs" TargetMode="External"/><Relationship Id="rId89" Type="http://schemas.openxmlformats.org/officeDocument/2006/relationships/hyperlink" Target="https://drive.google.com/open?id=1Yvh_FCUq2N1KvBZby4wCOPFGM3WYMahA&amp;authuser=jay.agg%40gmail.com&amp;usp=drive_fs" TargetMode="External"/><Relationship Id="rId709" Type="http://schemas.openxmlformats.org/officeDocument/2006/relationships/hyperlink" Target="https://drive.google.com/open?id=1GwRhTsFVD80yw98u7s8jgEcC4CKU8qu7&amp;authuser=jay.agg%40gmail.com&amp;usp=drive_fs" TargetMode="External"/><Relationship Id="rId708" Type="http://schemas.openxmlformats.org/officeDocument/2006/relationships/hyperlink" Target="https://drive.google.com/open?id=1FcAas3GY7sablJCf2ngEhTQEHEMmbqVB&amp;authuser=jay.agg%40gmail.com&amp;usp=drive_fs" TargetMode="External"/><Relationship Id="rId707" Type="http://schemas.openxmlformats.org/officeDocument/2006/relationships/hyperlink" Target="https://drive.google.com/open?id=1EzIb8KWWA-Mk2J0uZqKr5pdhQrE12Bp7&amp;authuser=jay.agg%40gmail.com&amp;usp=drive_fs" TargetMode="External"/><Relationship Id="rId706" Type="http://schemas.openxmlformats.org/officeDocument/2006/relationships/hyperlink" Target="https://drive.google.com/open?id=1RwDtIvG4oelZDuX8PEc6O5HZYINGhatS&amp;authuser=jay.agg%40gmail.com&amp;usp=drive_fs" TargetMode="External"/><Relationship Id="rId80" Type="http://schemas.openxmlformats.org/officeDocument/2006/relationships/hyperlink" Target="https://drive.google.com/open?id=1E_uNM6ltA0D02SsOc0NR9Mhro0LSh69P&amp;authuser=jay.agg%40gmail.com&amp;usp=drive_fs" TargetMode="External"/><Relationship Id="rId82" Type="http://schemas.openxmlformats.org/officeDocument/2006/relationships/hyperlink" Target="https://drive.google.com/open?id=1FBgN2Gwn2DXMwcc-PVXTsz6X6B9tKtFs&amp;authuser=jay.agg%40gmail.com&amp;usp=drive_fs" TargetMode="External"/><Relationship Id="rId81" Type="http://schemas.openxmlformats.org/officeDocument/2006/relationships/hyperlink" Target="https://drive.google.com/open?id=1F2namNu7cmNPsakjPjG-o0gVE_ai8AMq&amp;authuser=jay.agg%40gmail.com&amp;usp=drive_fs" TargetMode="External"/><Relationship Id="rId701" Type="http://schemas.openxmlformats.org/officeDocument/2006/relationships/hyperlink" Target="https://drive.google.com/open?id=18fP_8SuY2p9mFWweHe6JGLIAzl-RegyU&amp;authuser=jay.agg%40gmail.com&amp;usp=drive_fs" TargetMode="External"/><Relationship Id="rId700" Type="http://schemas.openxmlformats.org/officeDocument/2006/relationships/hyperlink" Target="https://drive.google.com/open?id=17J9HEkOTt00JgZjUh5ituXxuusvGbRg5&amp;authuser=jay.agg%40gmail.com&amp;usp=drive_fs" TargetMode="External"/><Relationship Id="rId705" Type="http://schemas.openxmlformats.org/officeDocument/2006/relationships/hyperlink" Target="https://drive.google.com/open?id=1PCGKkm9C_Vg9QVXzwgTyEz-U_AkZcE3t&amp;authuser=jay.agg%40gmail.com&amp;usp=drive_fs" TargetMode="External"/><Relationship Id="rId704" Type="http://schemas.openxmlformats.org/officeDocument/2006/relationships/hyperlink" Target="https://drive.google.com/open?id=1OQIDJP1Qhml1MwGusac5621tIL85UCNN&amp;authuser=jay.agg%40gmail.com&amp;usp=drive_fs" TargetMode="External"/><Relationship Id="rId703" Type="http://schemas.openxmlformats.org/officeDocument/2006/relationships/hyperlink" Target="https://drive.google.com/open?id=1NoXQIQzF0yG600aAcWVcTmboAi-zpBgq&amp;authuser=jay.agg%40gmail.com&amp;usp=drive_fs" TargetMode="External"/><Relationship Id="rId702" Type="http://schemas.openxmlformats.org/officeDocument/2006/relationships/hyperlink" Target="https://drive.google.com/open?id=1NKaYml9oeW6RcEJdfMw3-0QQjjry9r-H&amp;authuser=jay.agg%40gmail.com&amp;usp=drive_fs" TargetMode="External"/><Relationship Id="rId1770" Type="http://schemas.openxmlformats.org/officeDocument/2006/relationships/hyperlink" Target="https://drive.google.com/open?id=10mtUGeKtNpkZvSElUKa-gh49QBjThUK3&amp;authuser=jay.agg%40gmail.com&amp;usp=drive_fs" TargetMode="External"/><Relationship Id="rId1771" Type="http://schemas.openxmlformats.org/officeDocument/2006/relationships/hyperlink" Target="https://drive.google.com/open?id=10pzcVABCsbHq2oJNtMXtduAvjt7--uSA&amp;authuser=jay.agg%40gmail.com&amp;usp=drive_fs" TargetMode="External"/><Relationship Id="rId1772" Type="http://schemas.openxmlformats.org/officeDocument/2006/relationships/hyperlink" Target="https://drive.google.com/open?id=11Y53_yicVeujFZAJaIJpWOUyDXQ9nL7v&amp;authuser=jay.agg%40gmail.com&amp;usp=drive_fs" TargetMode="External"/><Relationship Id="rId1773" Type="http://schemas.openxmlformats.org/officeDocument/2006/relationships/hyperlink" Target="https://drive.google.com/open?id=11aDyCc80iBRp0UbPy2X3r4eXvNs_wSro&amp;authuser=jay.agg%40gmail.com&amp;usp=drive_fs" TargetMode="External"/><Relationship Id="rId73" Type="http://schemas.openxmlformats.org/officeDocument/2006/relationships/hyperlink" Target="https://drive.google.com/open?id=1KHbOAj_Xhl7xwFGhy0RCkstOhu18ZH1j&amp;authuser=jay.agg%40gmail.com&amp;usp=drive_fs" TargetMode="External"/><Relationship Id="rId1763" Type="http://schemas.openxmlformats.org/officeDocument/2006/relationships/hyperlink" Target="https://drive.google.com/open?id=1oKlfRS__wjoB9ZEGLc-p48pCHlofcLOO&amp;authuser=jay.agg%40gmail.com&amp;usp=drive_fs" TargetMode="External"/><Relationship Id="rId72" Type="http://schemas.openxmlformats.org/officeDocument/2006/relationships/hyperlink" Target="https://drive.google.com/open?id=1-vCYJpOG8qUpkz4UpBiFTByf-OokDYsI&amp;authuser=jay.agg%40gmail.com&amp;usp=drive_fs" TargetMode="External"/><Relationship Id="rId1764" Type="http://schemas.openxmlformats.org/officeDocument/2006/relationships/hyperlink" Target="https://drive.google.com/open?id=1oMIjZtHV15oz8EgWw4sJ8upGEtNRfTIH&amp;authuser=jay.agg%40gmail.com&amp;usp=drive_fs" TargetMode="External"/><Relationship Id="rId75" Type="http://schemas.openxmlformats.org/officeDocument/2006/relationships/hyperlink" Target="https://drive.google.com/open?id=19XoXcmm-tHPGf6DwQgeCPkNzORQW8n_4&amp;authuser=jay.agg%40gmail.com&amp;usp=drive_fs" TargetMode="External"/><Relationship Id="rId1765" Type="http://schemas.openxmlformats.org/officeDocument/2006/relationships/hyperlink" Target="https://drive.google.com/open?id=1rD8uxiCrh0C7JIu2w_7NiWs9j4sqa77p&amp;authuser=jay.agg%40gmail.com&amp;usp=drive_fs" TargetMode="External"/><Relationship Id="rId74" Type="http://schemas.openxmlformats.org/officeDocument/2006/relationships/hyperlink" Target="https://drive.google.com/open?id=157kiX-K2V7ovKGdWN0-n7BGMz9L8fUnt&amp;authuser=jay.agg%40gmail.com&amp;usp=drive_fs" TargetMode="External"/><Relationship Id="rId1766" Type="http://schemas.openxmlformats.org/officeDocument/2006/relationships/hyperlink" Target="https://drive.google.com/open?id=1xHdrRyE_0245dtf4TAAO_QHLAmwZ4umh&amp;authuser=jay.agg%40gmail.com&amp;usp=drive_fs" TargetMode="External"/><Relationship Id="rId77" Type="http://schemas.openxmlformats.org/officeDocument/2006/relationships/hyperlink" Target="https://drive.google.com/open?id=1CN2UfB7jggeO_gR63NxLthKGK_BKXQjL&amp;authuser=jay.agg%40gmail.com&amp;usp=drive_fs" TargetMode="External"/><Relationship Id="rId1767" Type="http://schemas.openxmlformats.org/officeDocument/2006/relationships/hyperlink" Target="https://drive.google.com/open?id=1xjitj3aSp67m6DjhAvrEqxIc4qR6cdb-&amp;authuser=jay.agg%40gmail.com&amp;usp=drive_fs" TargetMode="External"/><Relationship Id="rId76" Type="http://schemas.openxmlformats.org/officeDocument/2006/relationships/hyperlink" Target="https://drive.google.com/open?id=1O1c-UKKTDD-WVC1AJWG719kLfrpo6vtJ&amp;authuser=jay.agg%40gmail.com&amp;usp=drive_fs" TargetMode="External"/><Relationship Id="rId1768" Type="http://schemas.openxmlformats.org/officeDocument/2006/relationships/hyperlink" Target="https://drive.google.com/open?id=1-ztSxRXLFf_oiO3vUXpV_Ne9VEKbrzl4&amp;authuser=jay.agg%40gmail.com&amp;usp=drive_fs" TargetMode="External"/><Relationship Id="rId79" Type="http://schemas.openxmlformats.org/officeDocument/2006/relationships/hyperlink" Target="https://drive.google.com/open?id=1ETEnCfGeqouYXX_Q6YAwbw6Pb0uihOOw&amp;authuser=jay.agg%40gmail.com&amp;usp=drive_fs" TargetMode="External"/><Relationship Id="rId1769" Type="http://schemas.openxmlformats.org/officeDocument/2006/relationships/hyperlink" Target="https://drive.google.com/open?id=1-zuLf0x0lGcutqte-LCMc7kCV4t05duA&amp;authuser=jay.agg%40gmail.com&amp;usp=drive_fs" TargetMode="External"/><Relationship Id="rId78" Type="http://schemas.openxmlformats.org/officeDocument/2006/relationships/hyperlink" Target="https://drive.google.com/open?id=1CNNwvFpTDzYBZWRQNofkjyS77n4zyRKb&amp;authuser=jay.agg%40gmail.com&amp;usp=drive_fs" TargetMode="External"/><Relationship Id="rId71" Type="http://schemas.openxmlformats.org/officeDocument/2006/relationships/hyperlink" Target="https://drive.google.com/open?id=1zUHeMzxSn2fwCwO-iWMUtFsER8859Pnv&amp;authuser=jay.agg%40gmail.com&amp;usp=drive_fs" TargetMode="External"/><Relationship Id="rId70" Type="http://schemas.openxmlformats.org/officeDocument/2006/relationships/hyperlink" Target="https://drive.google.com/open?id=1zDsOyevKRxqYrk3u3TxTJOnxZZAgBi6n&amp;authuser=jay.agg%40gmail.com&amp;usp=drive_fs" TargetMode="External"/><Relationship Id="rId1760" Type="http://schemas.openxmlformats.org/officeDocument/2006/relationships/hyperlink" Target="https://drive.google.com/open?id=1nB1U6fGscNfOsdWpxk2awVG29lN7Dg0e&amp;authuser=jay.agg%40gmail.com&amp;usp=drive_fs" TargetMode="External"/><Relationship Id="rId1761" Type="http://schemas.openxmlformats.org/officeDocument/2006/relationships/hyperlink" Target="https://drive.google.com/open?id=1oGAnCLi9-elEkpmVJtjTxgbo1DQEOt8u&amp;authuser=jay.agg%40gmail.com&amp;usp=drive_fs" TargetMode="External"/><Relationship Id="rId1762" Type="http://schemas.openxmlformats.org/officeDocument/2006/relationships/hyperlink" Target="https://drive.google.com/open?id=1oIEgGvAGi2M1PaPXlAqYDU30pVROQoM6&amp;authuser=jay.agg%40gmail.com&amp;usp=drive_fs" TargetMode="External"/><Relationship Id="rId62" Type="http://schemas.openxmlformats.org/officeDocument/2006/relationships/hyperlink" Target="https://drive.google.com/open?id=1kaK1uXykWSxKTnoZ-gP4zNliyNVRARgV&amp;authuser=jay.agg%40gmail.com&amp;usp=drive_fs" TargetMode="External"/><Relationship Id="rId1312" Type="http://schemas.openxmlformats.org/officeDocument/2006/relationships/hyperlink" Target="https://drive.google.com/open?id=1PPvxuK6UROYEUyAjVS1SxESTsQ810G_t&amp;usp=drive_fs" TargetMode="External"/><Relationship Id="rId1796" Type="http://schemas.openxmlformats.org/officeDocument/2006/relationships/hyperlink" Target="https://drive.google.com/open?id=1TuUtLDGApeO5HVS-ZGerrw41Ns29WzjB&amp;authuser=jay.agg%40gmail.com&amp;usp=drive_fs" TargetMode="External"/><Relationship Id="rId61" Type="http://schemas.openxmlformats.org/officeDocument/2006/relationships/hyperlink" Target="https://drive.google.com/open?id=1kZiuNEVtrTRzEaSxwZqWTirEC5_Pnxm2&amp;authuser=jay.agg%40gmail.com&amp;usp=drive_fs" TargetMode="External"/><Relationship Id="rId1313" Type="http://schemas.openxmlformats.org/officeDocument/2006/relationships/hyperlink" Target="https://drive.google.com/open?id=1PQ6sFiMxUrFsuRWNzH7ZbzQH7zLUGZ4-&amp;usp=drive_fs" TargetMode="External"/><Relationship Id="rId1797" Type="http://schemas.openxmlformats.org/officeDocument/2006/relationships/hyperlink" Target="https://drive.google.com/open?id=1W472Lc2qIvGoUt7kTno8kHWFFh0f69eU&amp;authuser=jay.agg%40gmail.com&amp;usp=drive_fs" TargetMode="External"/><Relationship Id="rId64" Type="http://schemas.openxmlformats.org/officeDocument/2006/relationships/hyperlink" Target="https://drive.google.com/open?id=1sc2Ci1Mc5np9ppxTUlg2DDmdnzI27zL9&amp;authuser=jay.agg%40gmail.com&amp;usp=drive_fs" TargetMode="External"/><Relationship Id="rId1314" Type="http://schemas.openxmlformats.org/officeDocument/2006/relationships/hyperlink" Target="https://drive.google.com/open?id=1PSCUG0ESVAyjArBxWu3OBAZBWZ_virLP&amp;usp=drive_fs" TargetMode="External"/><Relationship Id="rId1798" Type="http://schemas.openxmlformats.org/officeDocument/2006/relationships/hyperlink" Target="https://drive.google.com/open?id=1RmMD0NC3KkMZRSTWo0I-2YviLNly9wcN&amp;authuser=jay.agg%40gmail.com&amp;usp=drive_fs" TargetMode="External"/><Relationship Id="rId63" Type="http://schemas.openxmlformats.org/officeDocument/2006/relationships/hyperlink" Target="https://drive.google.com/open?id=1kbzVI_uBssvCinpL3dZ9wH1Jui_TpKYg&amp;authuser=jay.agg%40gmail.com&amp;usp=drive_fs" TargetMode="External"/><Relationship Id="rId1315" Type="http://schemas.openxmlformats.org/officeDocument/2006/relationships/hyperlink" Target="https://drive.google.com/open?id=1VsYrfQeGh2np_xqVg256v2BGmqfSgzbv&amp;usp=drive_fs" TargetMode="External"/><Relationship Id="rId1799" Type="http://schemas.openxmlformats.org/officeDocument/2006/relationships/hyperlink" Target="https://drive.google.com/open?id=1TVXDdTO9futFNXxRjRouhRZJGuw-73oi&amp;authuser=jay.agg%40gmail.com&amp;usp=drive_fs" TargetMode="External"/><Relationship Id="rId66" Type="http://schemas.openxmlformats.org/officeDocument/2006/relationships/hyperlink" Target="https://drive.google.com/open?id=1vtI3gFYe4EfOAW5EDBmKlMVhDnt-LVRp&amp;authuser=jay.agg%40gmail.com&amp;usp=drive_fs" TargetMode="External"/><Relationship Id="rId1316" Type="http://schemas.openxmlformats.org/officeDocument/2006/relationships/hyperlink" Target="https://drive.google.com/open?id=1Vu73jc4Tr9AwblLsp9qjOMNvT5IAD6aA&amp;usp=drive_fs" TargetMode="External"/><Relationship Id="rId65" Type="http://schemas.openxmlformats.org/officeDocument/2006/relationships/hyperlink" Target="https://drive.google.com/open?id=1vi_oh5u057Uf1mW38jKLDCDhaCesIRJ6&amp;authuser=jay.agg%40gmail.com&amp;usp=drive_fs" TargetMode="External"/><Relationship Id="rId1317" Type="http://schemas.openxmlformats.org/officeDocument/2006/relationships/hyperlink" Target="https://drive.google.com/open?id=1-E50CJQVzgjGNw5XOu9LyhUzzwTFqzVZ&amp;usp=drive_fs" TargetMode="External"/><Relationship Id="rId68" Type="http://schemas.openxmlformats.org/officeDocument/2006/relationships/hyperlink" Target="https://drive.google.com/open?id=1vwNQFKjxq95t5HUdEQrv67O2PD5Xbz0C&amp;authuser=jay.agg%40gmail.com&amp;usp=drive_fs" TargetMode="External"/><Relationship Id="rId1318" Type="http://schemas.openxmlformats.org/officeDocument/2006/relationships/hyperlink" Target="https://drive.google.com/open?id=1OdqDvC676mv6Epkfqc90iYWQvKxVO9xI&amp;usp=drive_fs" TargetMode="External"/><Relationship Id="rId67" Type="http://schemas.openxmlformats.org/officeDocument/2006/relationships/hyperlink" Target="https://drive.google.com/open?id=1vvHzI10sjF-t1QJqgL6gPrwdKM_5HWlI&amp;authuser=jay.agg%40gmail.com&amp;usp=drive_fs" TargetMode="External"/><Relationship Id="rId1319" Type="http://schemas.openxmlformats.org/officeDocument/2006/relationships/hyperlink" Target="https://drive.google.com/open?id=1OcgYx42x8aRg7r9nxaZiv0mUIaIctUPK&amp;usp=drive_fs" TargetMode="External"/><Relationship Id="rId729" Type="http://schemas.openxmlformats.org/officeDocument/2006/relationships/hyperlink" Target="https://drive.google.com/open?id=1Zno3LqhrdnXJwqaTVbcPt6dXupmV3W1k&amp;authuser=jay.agg%40gmail.com&amp;usp=drive_fs" TargetMode="External"/><Relationship Id="rId728" Type="http://schemas.openxmlformats.org/officeDocument/2006/relationships/hyperlink" Target="https://drive.google.com/open?id=1VZh6JQ1LSWa43HBeEcbu8UUDElUWKKRQ&amp;authuser=jay.agg%40gmail.com&amp;usp=drive_fs" TargetMode="External"/><Relationship Id="rId60" Type="http://schemas.openxmlformats.org/officeDocument/2006/relationships/hyperlink" Target="https://drive.google.com/open?id=1kXgxyUCzMWuDZla2UQzX7nAQkwyLTrjJ&amp;authuser=jay.agg%40gmail.com&amp;usp=drive_fs" TargetMode="External"/><Relationship Id="rId723" Type="http://schemas.openxmlformats.org/officeDocument/2006/relationships/hyperlink" Target="https://drive.google.com/open?id=1VCdERoSQpQv_-6STNSCmfmhxsa0kk4PA&amp;authuser=jay.agg%40gmail.com&amp;usp=drive_fs" TargetMode="External"/><Relationship Id="rId722" Type="http://schemas.openxmlformats.org/officeDocument/2006/relationships/hyperlink" Target="https://drive.google.com/open?id=1UMzkG6O_uGUpQW1QcapwiXSY1lQr2iQu&amp;authuser=jay.agg%40gmail.com&amp;usp=drive_fs" TargetMode="External"/><Relationship Id="rId721" Type="http://schemas.openxmlformats.org/officeDocument/2006/relationships/hyperlink" Target="https://drive.google.com/open?id=1UOWv0i-CWe3fNXBtnYHTgkmXvVgsggjG&amp;authuser=jay.agg%40gmail.com&amp;usp=drive_fs" TargetMode="External"/><Relationship Id="rId720" Type="http://schemas.openxmlformats.org/officeDocument/2006/relationships/hyperlink" Target="https://drive.google.com/open?id=1KcGO1hZSwV9KvjSC1EnHeiMfD3ziqul9&amp;authuser=jay.agg%40gmail.com&amp;usp=drive_fs" TargetMode="External"/><Relationship Id="rId727" Type="http://schemas.openxmlformats.org/officeDocument/2006/relationships/hyperlink" Target="https://drive.google.com/open?id=1VVU8RuF9ogNUe272DUIydXVcg_8H9mnE&amp;authuser=jay.agg%40gmail.com&amp;usp=drive_fs" TargetMode="External"/><Relationship Id="rId726" Type="http://schemas.openxmlformats.org/officeDocument/2006/relationships/hyperlink" Target="https://drive.google.com/open?id=1VT7uh77oEHBZF4hL9o7toUKnRrTVIKMj&amp;authuser=jay.agg%40gmail.com&amp;usp=drive_fs" TargetMode="External"/><Relationship Id="rId725" Type="http://schemas.openxmlformats.org/officeDocument/2006/relationships/hyperlink" Target="https://drive.google.com/open?id=1VSzcZkzjESC9xVKZiOTVohgyZdeeszVX&amp;authuser=jay.agg%40gmail.com&amp;usp=drive_fs" TargetMode="External"/><Relationship Id="rId724" Type="http://schemas.openxmlformats.org/officeDocument/2006/relationships/hyperlink" Target="https://drive.google.com/open?id=1VFhAtXVuW29bGKrNGlUucOXipAF070Aq&amp;authuser=jay.agg%40gmail.com&amp;usp=drive_fs" TargetMode="External"/><Relationship Id="rId69" Type="http://schemas.openxmlformats.org/officeDocument/2006/relationships/hyperlink" Target="https://drive.google.com/open?id=1yNJdPJ5wM9hDZwlvLwgDC8I9hKNokFGS&amp;authuser=jay.agg%40gmail.com&amp;usp=drive_fs" TargetMode="External"/><Relationship Id="rId1790" Type="http://schemas.openxmlformats.org/officeDocument/2006/relationships/hyperlink" Target="https://drive.google.com/open?id=1NI-wvizjoWmHeLgaFRvfPXg1QnlZq7jD&amp;authuser=jay.agg%40gmail.com&amp;usp=drive_fs" TargetMode="External"/><Relationship Id="rId1791" Type="http://schemas.openxmlformats.org/officeDocument/2006/relationships/hyperlink" Target="https://drive.google.com/open?id=1O0HK4BEngequgqsna5LVTgULui1w9h48&amp;authuser=jay.agg%40gmail.com&amp;usp=drive_fs" TargetMode="External"/><Relationship Id="rId1792" Type="http://schemas.openxmlformats.org/officeDocument/2006/relationships/hyperlink" Target="https://drive.google.com/open?id=1OHegWMwKHsAF2U_boxq892EXrBYTrspZ&amp;authuser=jay.agg%40gmail.com&amp;usp=drive_fs" TargetMode="External"/><Relationship Id="rId1793" Type="http://schemas.openxmlformats.org/officeDocument/2006/relationships/hyperlink" Target="https://drive.google.com/open?id=1Brcna8bD0RMe2WMxzNganRmYnX5UoD65&amp;authuser=jay.agg%40gmail.com&amp;usp=drive_fs" TargetMode="External"/><Relationship Id="rId1310" Type="http://schemas.openxmlformats.org/officeDocument/2006/relationships/hyperlink" Target="https://drive.google.com/open?id=1KUWKst6la2C9H6k3VRYAOGiCM5Zq-PEx&amp;usp=drive_fs" TargetMode="External"/><Relationship Id="rId1794" Type="http://schemas.openxmlformats.org/officeDocument/2006/relationships/hyperlink" Target="https://drive.google.com/open?id=1HB3xIrhDd098ddpekm2LJxsbfhB7Pd0I&amp;authuser=jay.agg%40gmail.com&amp;usp=drive_fs" TargetMode="External"/><Relationship Id="rId1311" Type="http://schemas.openxmlformats.org/officeDocument/2006/relationships/hyperlink" Target="https://drive.google.com/open?id=1PAPHcqfkezpd-rHHhqy3OGXT7Y7zhRTZ&amp;usp=drive_fs" TargetMode="External"/><Relationship Id="rId1795" Type="http://schemas.openxmlformats.org/officeDocument/2006/relationships/hyperlink" Target="https://drive.google.com/open?id=1HCASeHmQZp2HMxTzBuhJ78PcxKRzG52A&amp;authuser=jay.agg%40gmail.com&amp;usp=drive_fs" TargetMode="External"/><Relationship Id="rId51" Type="http://schemas.openxmlformats.org/officeDocument/2006/relationships/hyperlink" Target="https://drive.google.com/open?id=1DHaMZ1QnErcaSj_LcdiDEVQYe2tObkDZ&amp;authuser=jay.agg%40gmail.com&amp;usp=drive_fs" TargetMode="External"/><Relationship Id="rId1301" Type="http://schemas.openxmlformats.org/officeDocument/2006/relationships/hyperlink" Target="https://drive.google.com/open?id=1iFjIqB-V4KkP-xOfBVFIjo7_-DmSoGbL&amp;authuser=jay.agg%40gmail.com&amp;usp=drive_fs" TargetMode="External"/><Relationship Id="rId1785" Type="http://schemas.openxmlformats.org/officeDocument/2006/relationships/hyperlink" Target="https://drive.google.com/open?id=18fP_8SuY2p9mFWweHe6JGLIAzl-RegyU&amp;authuser=jay.agg%40gmail.com&amp;usp=drive_fs" TargetMode="External"/><Relationship Id="rId50" Type="http://schemas.openxmlformats.org/officeDocument/2006/relationships/hyperlink" Target="https://drive.google.com/open?id=1DDss4qO8DBAGFNPejcBwCZDUZDOgXZDG&amp;authuser=jay.agg%40gmail.com&amp;usp=drive_fs" TargetMode="External"/><Relationship Id="rId1302" Type="http://schemas.openxmlformats.org/officeDocument/2006/relationships/hyperlink" Target="https://drive.google.com/open?id=1BpJfWsf5U1wi8ZcHnZXiKPFJSRm-rxrR&amp;authuser=jay.agg%40gmail.com&amp;usp=drive_fs" TargetMode="External"/><Relationship Id="rId1786" Type="http://schemas.openxmlformats.org/officeDocument/2006/relationships/hyperlink" Target="https://drive.google.com/open?id=19I9Lb8ySema2fDB6BgtJYsxpt2EzhdFu&amp;authuser=jay.agg%40gmail.com&amp;usp=drive_fs" TargetMode="External"/><Relationship Id="rId53" Type="http://schemas.openxmlformats.org/officeDocument/2006/relationships/hyperlink" Target="https://drive.google.com/open?id=1DMfON-zOqgFm0bnjgTjTOL8tJeXVzm3Q&amp;authuser=jay.agg%40gmail.com&amp;usp=drive_fs" TargetMode="External"/><Relationship Id="rId1303" Type="http://schemas.openxmlformats.org/officeDocument/2006/relationships/hyperlink" Target="https://drive.google.com/open?id=1Q4_G9FzGRiQo-gwSKfULW-Ar2QWRlpE2&amp;authuser=jay.agg%40gmail.com&amp;usp=drive_fs" TargetMode="External"/><Relationship Id="rId1787" Type="http://schemas.openxmlformats.org/officeDocument/2006/relationships/hyperlink" Target="https://drive.google.com/open?id=19K_Mv2y63vefiW8VWjrlQBHVRWJwfi5v&amp;authuser=jay.agg%40gmail.com&amp;usp=drive_fs" TargetMode="External"/><Relationship Id="rId52" Type="http://schemas.openxmlformats.org/officeDocument/2006/relationships/hyperlink" Target="https://drive.google.com/open?id=1DIez7AFMxwjkcyyyqHNRoK6BEnN7cojd&amp;authuser=jay.agg%40gmail.com&amp;usp=drive_fs" TargetMode="External"/><Relationship Id="rId1304" Type="http://schemas.openxmlformats.org/officeDocument/2006/relationships/hyperlink" Target="https://drive.google.com/open?id=1Q7T-fK5DliBiiWF_bb7Q4JJkhIOCzqm3&amp;authuser=jay.agg%40gmail.com&amp;usp=drive_fs" TargetMode="External"/><Relationship Id="rId1788" Type="http://schemas.openxmlformats.org/officeDocument/2006/relationships/hyperlink" Target="https://drive.google.com/open?id=19LWo4UDht15nGAbPvwbNRgDdeCSvvkhR&amp;authuser=jay.agg%40gmail.com&amp;usp=drive_fs" TargetMode="External"/><Relationship Id="rId55" Type="http://schemas.openxmlformats.org/officeDocument/2006/relationships/hyperlink" Target="https://drive.google.com/open?id=1Cwo3CFtWdcaB3IU1IR0tfmOjw_m65rvC&amp;authuser=jay.agg%40gmail.com&amp;usp=drive_fs" TargetMode="External"/><Relationship Id="rId1305" Type="http://schemas.openxmlformats.org/officeDocument/2006/relationships/hyperlink" Target="https://drive.google.com/open?id=11v5Sy-4NsUAROKQlH6xw21-ROC0Jb-jR&amp;authuser=jay.agg%40gmail.com&amp;usp=drive_fs" TargetMode="External"/><Relationship Id="rId1789" Type="http://schemas.openxmlformats.org/officeDocument/2006/relationships/hyperlink" Target="https://drive.google.com/open?id=1A6zJNLe71G8BiIzYrBjt0iRve1q4oMOS&amp;authuser=jay.agg%40gmail.com&amp;usp=drive_fs" TargetMode="External"/><Relationship Id="rId54" Type="http://schemas.openxmlformats.org/officeDocument/2006/relationships/hyperlink" Target="https://drive.google.com/open?id=1CrqdROzMFKpI9wIAXmHU6jKtSLo6JUvj&amp;authuser=jay.agg%40gmail.com&amp;usp=drive_fs" TargetMode="External"/><Relationship Id="rId1306" Type="http://schemas.openxmlformats.org/officeDocument/2006/relationships/hyperlink" Target="https://drive.google.com/open?id=1Z1TUrT438xqVwts9yTpJpTWXdAAca8t9&amp;authuser=jay.agg%40gmail.com&amp;usp=drive_fs" TargetMode="External"/><Relationship Id="rId57" Type="http://schemas.openxmlformats.org/officeDocument/2006/relationships/hyperlink" Target="https://drive.google.com/open?id=1CvVBubfcaGdQvmnZaNUvLsM4OQ1FQ7lQ&amp;authuser=jay.agg%40gmail.com&amp;usp=drive_fs" TargetMode="External"/><Relationship Id="rId1307" Type="http://schemas.openxmlformats.org/officeDocument/2006/relationships/hyperlink" Target="https://drive.google.com/open?id=1ZT6_RiW23JJyziK773giawKt-Pm1kkgn&amp;authuser=jay.agg%40gmail.com&amp;usp=drive_fs" TargetMode="External"/><Relationship Id="rId56" Type="http://schemas.openxmlformats.org/officeDocument/2006/relationships/hyperlink" Target="https://drive.google.com/open?id=1Cy2TXtmdMfcKUQblfF3m1eaueEzrB_cg&amp;authuser=jay.agg%40gmail.com&amp;usp=drive_fs" TargetMode="External"/><Relationship Id="rId1308" Type="http://schemas.openxmlformats.org/officeDocument/2006/relationships/hyperlink" Target="https://drive.google.com/open?id=1ZVTVthB-5TALSuQYKhhIz_izzVcjCAwA&amp;authuser=jay.agg%40gmail.com&amp;usp=drive_fs" TargetMode="External"/><Relationship Id="rId1309" Type="http://schemas.openxmlformats.org/officeDocument/2006/relationships/hyperlink" Target="https://drive.google.com/open?id=1ZYiKn6C7S-7D952ByFrM-9EigSo5a1Xq&amp;authuser=jay.agg%40gmail.com&amp;usp=drive_fs" TargetMode="External"/><Relationship Id="rId719" Type="http://schemas.openxmlformats.org/officeDocument/2006/relationships/hyperlink" Target="https://drive.google.com/open?id=1KJbC2cMd0lEOUN-dU38T1x1a2tH9hIba&amp;authuser=jay.agg%40gmail.com&amp;usp=drive_fs" TargetMode="External"/><Relationship Id="rId718" Type="http://schemas.openxmlformats.org/officeDocument/2006/relationships/hyperlink" Target="https://drive.google.com/open?id=1Hjtk-eLy8I3FTKs9tqvpqtJH1_rCy2Qn&amp;authuser=jay.agg%40gmail.com&amp;usp=drive_fs" TargetMode="External"/><Relationship Id="rId717" Type="http://schemas.openxmlformats.org/officeDocument/2006/relationships/hyperlink" Target="https://drive.google.com/open?id=1HV1TSt3WDnCTLR9ZGJlRC5-4t166p95E&amp;authuser=jay.agg%40gmail.com&amp;usp=drive_fs" TargetMode="External"/><Relationship Id="rId712" Type="http://schemas.openxmlformats.org/officeDocument/2006/relationships/hyperlink" Target="https://drive.google.com/open?id=1GzUSKJW57V07SU137xe7oXINwq2aWE2J&amp;authuser=jay.agg%40gmail.com&amp;usp=drive_fs" TargetMode="External"/><Relationship Id="rId711" Type="http://schemas.openxmlformats.org/officeDocument/2006/relationships/hyperlink" Target="https://drive.google.com/open?id=1GwbrJ4AwmshgcktEjkJ_rnu67hg0BCtI&amp;authuser=jay.agg%40gmail.com&amp;usp=drive_fs" TargetMode="External"/><Relationship Id="rId710" Type="http://schemas.openxmlformats.org/officeDocument/2006/relationships/hyperlink" Target="https://drive.google.com/open?id=1Gv3BQ3cW3dns0fD05bZm4RAPq-2muYwh&amp;authuser=jay.agg%40gmail.com&amp;usp=drive_fs" TargetMode="External"/><Relationship Id="rId716" Type="http://schemas.openxmlformats.org/officeDocument/2006/relationships/hyperlink" Target="https://drive.google.com/open?id=1HLHQKZv6PKRou07-m76H8Gn0nQPTRVUQ&amp;authuser=jay.agg%40gmail.com&amp;usp=drive_fs" TargetMode="External"/><Relationship Id="rId715" Type="http://schemas.openxmlformats.org/officeDocument/2006/relationships/hyperlink" Target="https://drive.google.com/open?id=1TcTUqqK-Qk_tcPO_xjn3nm00RUkKKIav&amp;authuser=jay.agg%40gmail.com&amp;usp=drive_fs" TargetMode="External"/><Relationship Id="rId714" Type="http://schemas.openxmlformats.org/officeDocument/2006/relationships/hyperlink" Target="https://drive.google.com/open?id=1H3iD9oGc_Tw7N791uItdYxdEEQHwjaFV&amp;authuser=jay.agg%40gmail.com&amp;usp=drive_fs" TargetMode="External"/><Relationship Id="rId713" Type="http://schemas.openxmlformats.org/officeDocument/2006/relationships/hyperlink" Target="https://drive.google.com/open?id=1H31rhCCfdH9t4TJt3ioavgrzAbJ-DArK&amp;authuser=jay.agg%40gmail.com&amp;usp=drive_fs" TargetMode="External"/><Relationship Id="rId59" Type="http://schemas.openxmlformats.org/officeDocument/2006/relationships/hyperlink" Target="https://drive.google.com/open?id=1jupEAX1hy9u7oyg0xa7LURlnlIVx6WoI&amp;authuser=jay.agg%40gmail.com&amp;usp=drive_fs" TargetMode="External"/><Relationship Id="rId58" Type="http://schemas.openxmlformats.org/officeDocument/2006/relationships/hyperlink" Target="https://drive.google.com/open?id=1AGEiilBXkTvQHi-8IsvbeHWjdEKNVLP9&amp;authuser=jay.agg%40gmail.com&amp;usp=drive_fs" TargetMode="External"/><Relationship Id="rId1780" Type="http://schemas.openxmlformats.org/officeDocument/2006/relationships/hyperlink" Target="https://drive.google.com/open?id=1KbqFz6PhFpOa3RmTKSp8evoWR-8YllGJ&amp;authuser=jay.agg%40gmail.com&amp;usp=drive_fs" TargetMode="External"/><Relationship Id="rId1781" Type="http://schemas.openxmlformats.org/officeDocument/2006/relationships/hyperlink" Target="https://drive.google.com/open?id=1KSvb19Yb_jXw_e4WmojY9aMpd-w89L7H&amp;authuser=jay.agg%40gmail.com&amp;usp=drive_fs" TargetMode="External"/><Relationship Id="rId1782" Type="http://schemas.openxmlformats.org/officeDocument/2006/relationships/hyperlink" Target="https://drive.google.com/open?id=1KT2usLxTc4TQXw0DREk8npMKl8ruo_EU&amp;authuser=jay.agg%40gmail.com&amp;usp=drive_fs" TargetMode="External"/><Relationship Id="rId1783" Type="http://schemas.openxmlformats.org/officeDocument/2006/relationships/hyperlink" Target="https://drive.google.com/open?id=1KSauhoJ0ASePuN-KeApF8bQwrGkSMbVf&amp;authuser=jay.agg%40gmail.com&amp;usp=drive_fs" TargetMode="External"/><Relationship Id="rId1300" Type="http://schemas.openxmlformats.org/officeDocument/2006/relationships/hyperlink" Target="https://drive.google.com/open?id=14_8D-Hu2ewqO9lEoQttYfSg4FnJPrhpY&amp;authuser=jay.agg%40gmail.com&amp;usp=drive_fs" TargetMode="External"/><Relationship Id="rId1784" Type="http://schemas.openxmlformats.org/officeDocument/2006/relationships/hyperlink" Target="https://drive.google.com/open?id=17M-cdR88I5zuVpzQpZ-QA2CuGk9UzMwE&amp;authuser=jay.agg%40gmail.com&amp;usp=drive_fs" TargetMode="External"/><Relationship Id="rId349" Type="http://schemas.openxmlformats.org/officeDocument/2006/relationships/hyperlink" Target="https://drive.google.com/open?id=1HIlj0O3SC7_4YU4zXygcbBJ0tPZTG12H&amp;authuser=jay.agg%40gmail.com&amp;usp=drive_fs" TargetMode="External"/><Relationship Id="rId348" Type="http://schemas.openxmlformats.org/officeDocument/2006/relationships/hyperlink" Target="https://drive.google.com/open?id=1HB4yp2gkgueWCSt9JH2n_9aJE6PZAT3y&amp;authuser=jay.agg%40gmail.com&amp;usp=drive_fs" TargetMode="External"/><Relationship Id="rId347" Type="http://schemas.openxmlformats.org/officeDocument/2006/relationships/hyperlink" Target="https://drive.google.com/open?id=1H7buoaN-v3yvCEymPpuahMKISxAvs_gJ&amp;authuser=jay.agg%40gmail.com&amp;usp=drive_fs" TargetMode="External"/><Relationship Id="rId346" Type="http://schemas.openxmlformats.org/officeDocument/2006/relationships/hyperlink" Target="https://drive.google.com/open?id=1HV0TvYCkw3iNWTf64Mdzxb60aZSRDMoT&amp;authuser=jay.agg%40gmail.com&amp;usp=drive_fs" TargetMode="External"/><Relationship Id="rId341" Type="http://schemas.openxmlformats.org/officeDocument/2006/relationships/hyperlink" Target="https://drive.google.com/open?id=1QPBNqsi1d597dhAtqohymDk7NWz4FuTt&amp;authuser=jay.agg%40gmail.com&amp;usp=drive_fs" TargetMode="External"/><Relationship Id="rId340" Type="http://schemas.openxmlformats.org/officeDocument/2006/relationships/hyperlink" Target="https://drive.google.com/open?id=1QUqqkq2IMo63NzK9anCStez57QQmMIvD&amp;authuser=jay.agg%40gmail.com&amp;usp=drive_fs" TargetMode="External"/><Relationship Id="rId345" Type="http://schemas.openxmlformats.org/officeDocument/2006/relationships/hyperlink" Target="https://drive.google.com/open?id=1HUwMLuHs5_xniJ5dNcWlb4mr3Q4THc8O&amp;authuser=jay.agg%40gmail.com&amp;usp=drive_fs" TargetMode="External"/><Relationship Id="rId344" Type="http://schemas.openxmlformats.org/officeDocument/2006/relationships/hyperlink" Target="https://drive.google.com/open?id=1H7zU8fITK0MDAdRF0Bewa4xuGDk6ji_o&amp;authuser=jay.agg%40gmail.com&amp;usp=drive_fs" TargetMode="External"/><Relationship Id="rId343" Type="http://schemas.openxmlformats.org/officeDocument/2006/relationships/hyperlink" Target="https://drive.google.com/open?id=1H8cayY3iwA2QnDZtRUmcOxlyQrhUvYjr&amp;authuser=jay.agg%40gmail.com&amp;usp=drive_fs" TargetMode="External"/><Relationship Id="rId342" Type="http://schemas.openxmlformats.org/officeDocument/2006/relationships/hyperlink" Target="https://drive.google.com/open?id=1UuF_xbWmnuGnrfycKBCgxt4gRVqmweOi&amp;authuser=jay.agg%40gmail.com&amp;usp=drive_fs" TargetMode="External"/><Relationship Id="rId338" Type="http://schemas.openxmlformats.org/officeDocument/2006/relationships/hyperlink" Target="https://drive.google.com/open?id=1H6VO9kcEnrFWgNmCySmxql7fFJmxAo2x&amp;authuser=jay.agg%40gmail.com&amp;usp=drive_fs" TargetMode="External"/><Relationship Id="rId337" Type="http://schemas.openxmlformats.org/officeDocument/2006/relationships/hyperlink" Target="https://drive.google.com/open?id=1AT8COyVu1i54kTQbeZJnxYi8bjYPzfhK&amp;authuser=jay.agg%40gmail.com&amp;usp=drive_fs" TargetMode="External"/><Relationship Id="rId336" Type="http://schemas.openxmlformats.org/officeDocument/2006/relationships/hyperlink" Target="https://drive.google.com/open?id=1UTkpXVoPFsaGI580XmDefn_FCcnJ0qwl&amp;authuser=jay.agg%40gmail.com&amp;usp=drive_fs" TargetMode="External"/><Relationship Id="rId335" Type="http://schemas.openxmlformats.org/officeDocument/2006/relationships/hyperlink" Target="https://drive.google.com/open?id=1QOSLkPjVevZdt5GRIEEg3QHCaHGwxoPb&amp;usp=drive_fs" TargetMode="External"/><Relationship Id="rId339" Type="http://schemas.openxmlformats.org/officeDocument/2006/relationships/hyperlink" Target="https://drive.google.com/open?id=1QRa2MXfguAnLkStyeMG5S-fFrzTjS4Sz&amp;authuser=jay.agg%40gmail.com&amp;usp=drive_fs" TargetMode="External"/><Relationship Id="rId330" Type="http://schemas.openxmlformats.org/officeDocument/2006/relationships/hyperlink" Target="https://drive.google.com/open?id=19G95-0lQAImBZ2JBP-5ToYoryfVbkYj2&amp;usp=drive_fs" TargetMode="External"/><Relationship Id="rId334" Type="http://schemas.openxmlformats.org/officeDocument/2006/relationships/hyperlink" Target="https://drive.google.com/open?id=1QJntdcmePhKohHZtMAkxodX4TmGoLaGg&amp;usp=drive_fs" TargetMode="External"/><Relationship Id="rId333" Type="http://schemas.openxmlformats.org/officeDocument/2006/relationships/hyperlink" Target="https://drive.google.com/open?id=19OZ9t9rIkVfeAyXRXLKMllbpXY0SgksT&amp;usp=drive_fs" TargetMode="External"/><Relationship Id="rId332" Type="http://schemas.openxmlformats.org/officeDocument/2006/relationships/hyperlink" Target="https://drive.google.com/open?id=19KLbEA0kstz_OTwXJ4TBl84tr8xO5kEd&amp;usp=drive_fs" TargetMode="External"/><Relationship Id="rId331" Type="http://schemas.openxmlformats.org/officeDocument/2006/relationships/hyperlink" Target="https://drive.google.com/open?id=19H7v5iltAnmlcgqHAlTh6TVtyNo6UqB1&amp;usp=drive_fs" TargetMode="External"/><Relationship Id="rId370" Type="http://schemas.openxmlformats.org/officeDocument/2006/relationships/hyperlink" Target="https://drive.google.com/open?id=1B7kw4r1ubP78rXhqEyfWlE6NpdtvV4aL&amp;authuser=jay.agg%40gmail.com&amp;usp=drive_fs" TargetMode="External"/><Relationship Id="rId369" Type="http://schemas.openxmlformats.org/officeDocument/2006/relationships/hyperlink" Target="https://drive.google.com/open?id=1B9rYdky9_GlhoyFLssx_P2CsAHKwkclm&amp;authuser=jay.agg%40gmail.com&amp;usp=drive_fs" TargetMode="External"/><Relationship Id="rId368" Type="http://schemas.openxmlformats.org/officeDocument/2006/relationships/hyperlink" Target="https://drive.google.com/open?id=1lHnMtXhr9G3SJf8uKeSbYuegZiSXiBHu&amp;authuser=jay.agg%40gmail.com&amp;usp=drive_fs" TargetMode="External"/><Relationship Id="rId363" Type="http://schemas.openxmlformats.org/officeDocument/2006/relationships/hyperlink" Target="https://drive.google.com/open?id=1JScpmp15VNnE37xm83nuqKRfFENe61XV&amp;authuser=jay.agg%40gmail.com&amp;usp=drive_fs" TargetMode="External"/><Relationship Id="rId362" Type="http://schemas.openxmlformats.org/officeDocument/2006/relationships/hyperlink" Target="https://drive.google.com/open?id=1brGTvqnm627FjShTzwRiusj7tYVdatik&amp;authuser=jay.agg%40gmail.com&amp;usp=drive_fs" TargetMode="External"/><Relationship Id="rId361" Type="http://schemas.openxmlformats.org/officeDocument/2006/relationships/hyperlink" Target="https://drive.google.com/open?id=1bi40bd0mPChtXh5RehwZH8t-MzELbn2C&amp;authuser=jay.agg%40gmail.com&amp;usp=drive_fs" TargetMode="External"/><Relationship Id="rId360" Type="http://schemas.openxmlformats.org/officeDocument/2006/relationships/hyperlink" Target="https://drive.google.com/open?id=17lJl33SB588mFVxsjxF0KpjshyODe1i0&amp;authuser=jay.agg%40gmail.com&amp;usp=drive_fs" TargetMode="External"/><Relationship Id="rId367" Type="http://schemas.openxmlformats.org/officeDocument/2006/relationships/hyperlink" Target="https://drive.google.com/open?id=1LZppN6NA9XeczIiQR7GEVIOAsiK1EtMU&amp;authuser=jay.agg%40gmail.com&amp;usp=drive_fs" TargetMode="External"/><Relationship Id="rId366" Type="http://schemas.openxmlformats.org/officeDocument/2006/relationships/hyperlink" Target="https://drive.google.com/open?id=1LUg_q7ajwl_8zxYAG_2uNlhhQZeUuO9j&amp;authuser=jay.agg%40gmail.com&amp;usp=drive_fs" TargetMode="External"/><Relationship Id="rId365" Type="http://schemas.openxmlformats.org/officeDocument/2006/relationships/hyperlink" Target="https://drive.google.com/open?id=1LLSXH5mjm902d4wsNTqmBu8ZtqjlNJDP&amp;authuser=jay.agg%40gmail.com&amp;usp=drive_fs" TargetMode="External"/><Relationship Id="rId364" Type="http://schemas.openxmlformats.org/officeDocument/2006/relationships/hyperlink" Target="https://drive.google.com/open?id=1YHq3U11hlZNt7NZ7lpoGKQLS87Lt8xk0&amp;authuser=jay.agg%40gmail.com&amp;usp=drive_fs" TargetMode="External"/><Relationship Id="rId95" Type="http://schemas.openxmlformats.org/officeDocument/2006/relationships/hyperlink" Target="https://drive.google.com/open?id=1HLGtCwmzKf0h-JhpxJsxtv3DOO25mLmE&amp;authuser=jay.agg%40gmail.com&amp;usp=drive_fs" TargetMode="External"/><Relationship Id="rId94" Type="http://schemas.openxmlformats.org/officeDocument/2006/relationships/hyperlink" Target="https://drive.google.com/open?id=120Q2-JnJ8hqkLL05FcUEh-rM27uuzlq8&amp;authuser=jay.agg%40gmail.com&amp;usp=drive_fs" TargetMode="External"/><Relationship Id="rId97" Type="http://schemas.openxmlformats.org/officeDocument/2006/relationships/hyperlink" Target="https://drive.google.com/open?id=1NKGv-Ks-yz56_gZTpyYi5f7yYwJc-6Yt&amp;authuser=jay.agg%40gmail.com&amp;usp=drive_fs" TargetMode="External"/><Relationship Id="rId96" Type="http://schemas.openxmlformats.org/officeDocument/2006/relationships/hyperlink" Target="https://drive.google.com/open?id=1NG1UKHL6emjl_tTuVmChdvhFh6fZffsf&amp;authuser=jay.agg%40gmail.com&amp;usp=drive_fs" TargetMode="External"/><Relationship Id="rId99" Type="http://schemas.openxmlformats.org/officeDocument/2006/relationships/hyperlink" Target="https://drive.google.com/open?id=1NrhiH1LpJu2kDm9XeedMDXA1Q89EEiRh&amp;authuser=jay.agg%40gmail.com&amp;usp=drive_fs" TargetMode="External"/><Relationship Id="rId98" Type="http://schemas.openxmlformats.org/officeDocument/2006/relationships/hyperlink" Target="https://drive.google.com/open?id=1Na8bBXppINJaLAil_2cToG4rkR3GPVhK&amp;authuser=jay.agg%40gmail.com&amp;usp=drive_fs" TargetMode="External"/><Relationship Id="rId91" Type="http://schemas.openxmlformats.org/officeDocument/2006/relationships/hyperlink" Target="https://drive.google.com/open?id=1aJPOSy5xB-ZTIOMV7k_Ri9jlJ6Lf5YkH&amp;authuser=jay.agg%40gmail.com&amp;usp=drive_fs" TargetMode="External"/><Relationship Id="rId90" Type="http://schemas.openxmlformats.org/officeDocument/2006/relationships/hyperlink" Target="https://drive.google.com/open?id=1aH1GxDgvrhBlXBZv-t57uYO_hZeMnMiR&amp;authuser=jay.agg%40gmail.com&amp;usp=drive_fs" TargetMode="External"/><Relationship Id="rId93" Type="http://schemas.openxmlformats.org/officeDocument/2006/relationships/hyperlink" Target="https://drive.google.com/open?id=11uWGmOMUpyJzroR7t7Fo8xtwxbAGIfss&amp;authuser=jay.agg%40gmail.com&amp;usp=drive_fs" TargetMode="External"/><Relationship Id="rId92" Type="http://schemas.openxmlformats.org/officeDocument/2006/relationships/hyperlink" Target="https://drive.google.com/open?id=1aNz0x49xav24v8xJrbvkeEsdr2pEyMhz&amp;authuser=jay.agg%40gmail.com&amp;usp=drive_fs" TargetMode="External"/><Relationship Id="rId359" Type="http://schemas.openxmlformats.org/officeDocument/2006/relationships/hyperlink" Target="https://drive.google.com/open?id=17QUDqvVhibqdvnuI397J7H6P3NthuxYJ&amp;authuser=jay.agg%40gmail.com&amp;usp=drive_fs" TargetMode="External"/><Relationship Id="rId358" Type="http://schemas.openxmlformats.org/officeDocument/2006/relationships/hyperlink" Target="https://drive.google.com/open?id=1XIOGr34O2pDqseh_tfZvgKrpkBEI-1Jc&amp;authuser=jay.agg%40gmail.com&amp;usp=drive_fs" TargetMode="External"/><Relationship Id="rId357" Type="http://schemas.openxmlformats.org/officeDocument/2006/relationships/hyperlink" Target="https://drive.google.com/open?id=1XDlDq76yGOrSvmfrDyMb3J7ZqNjgxz3m&amp;authuser=jay.agg%40gmail.com&amp;usp=drive_fs" TargetMode="External"/><Relationship Id="rId352" Type="http://schemas.openxmlformats.org/officeDocument/2006/relationships/hyperlink" Target="https://drive.google.com/open?id=1M9rORJ_JB8MvWe3Pizjdey5Prv-zCsBT&amp;authuser=jay.agg%40gmail.com&amp;usp=drive_fs" TargetMode="External"/><Relationship Id="rId351" Type="http://schemas.openxmlformats.org/officeDocument/2006/relationships/hyperlink" Target="https://drive.google.com/open?id=1HRNWzt7faqfM6CvnC-FMO-I2kd6rYPks&amp;authuser=jay.agg%40gmail.com&amp;usp=drive_fs" TargetMode="External"/><Relationship Id="rId350" Type="http://schemas.openxmlformats.org/officeDocument/2006/relationships/hyperlink" Target="https://drive.google.com/open?id=1HP_-Hg6sFyPIABq2-_DDHjf4iUqmxP_r&amp;authuser=jay.agg%40gmail.com&amp;usp=drive_fs" TargetMode="External"/><Relationship Id="rId356" Type="http://schemas.openxmlformats.org/officeDocument/2006/relationships/hyperlink" Target="https://drive.google.com/open?id=1XBj7CM-y4US92NdjQWl4RsFVKM8NfNcm&amp;authuser=jay.agg%40gmail.com&amp;usp=drive_fs" TargetMode="External"/><Relationship Id="rId355" Type="http://schemas.openxmlformats.org/officeDocument/2006/relationships/hyperlink" Target="https://drive.google.com/open?id=1X9LiE8kXQ78vJv45fJ9gAxjlVBKH-iJN&amp;authuser=jay.agg%40gmail.com&amp;usp=drive_fs" TargetMode="External"/><Relationship Id="rId354" Type="http://schemas.openxmlformats.org/officeDocument/2006/relationships/hyperlink" Target="https://drive.google.com/open?id=1C7x3dlmDOUUmHgVPQ2ADFyKbvImoz8KT&amp;authuser=jay.agg%40gmail.com&amp;usp=drive_fs" TargetMode="External"/><Relationship Id="rId353" Type="http://schemas.openxmlformats.org/officeDocument/2006/relationships/hyperlink" Target="https://drive.google.com/open?id=1MAxh0SavcDCEEVGz7mz7s3pWE9TMhrU9&amp;authuser=jay.agg%40gmail.com&amp;usp=drive_fs" TargetMode="External"/><Relationship Id="rId1378" Type="http://schemas.openxmlformats.org/officeDocument/2006/relationships/hyperlink" Target="https://drive.google.com/open?id=1XVMziL5t6jCI27vtg32RbooAhzXDa4Vj&amp;authuser=jay.agg%40gmail.com&amp;usp=drive_fs" TargetMode="External"/><Relationship Id="rId1379" Type="http://schemas.openxmlformats.org/officeDocument/2006/relationships/hyperlink" Target="https://drive.google.com/open?id=1XZvUHWQVcLusGFNu2unYWk-TzRnRR8RF&amp;authuser=jay.agg%40gmail.com&amp;usp=drive_fs" TargetMode="External"/><Relationship Id="rId305" Type="http://schemas.openxmlformats.org/officeDocument/2006/relationships/hyperlink" Target="https://drive.google.com/open?id=1Gmertk7574YUx104gk9nmPD4V-DpAl91&amp;authuser=jay.agg%40gmail.com&amp;usp=drive_fs" TargetMode="External"/><Relationship Id="rId789" Type="http://schemas.openxmlformats.org/officeDocument/2006/relationships/hyperlink" Target="https://drive.google.com/open?id=10KIt-a0krr5ALXmKS2meH5KDbglXX1zj&amp;authuser=jay.agg%40gmail.com&amp;usp=drive_fs" TargetMode="External"/><Relationship Id="rId304" Type="http://schemas.openxmlformats.org/officeDocument/2006/relationships/hyperlink" Target="https://drive.google.com/open?id=1Gp06Eve9abByXVJK68HfEECc0lUsahXz&amp;authuser=jay.agg%40gmail.com&amp;usp=drive_fs" TargetMode="External"/><Relationship Id="rId788" Type="http://schemas.openxmlformats.org/officeDocument/2006/relationships/hyperlink" Target="https://drive.google.com/open?id=1YoqkWRxutA0290DVkajVW6cUeStCveLk&amp;authuser=jay.agg%40gmail.com&amp;usp=drive_fs" TargetMode="External"/><Relationship Id="rId303" Type="http://schemas.openxmlformats.org/officeDocument/2006/relationships/hyperlink" Target="https://drive.google.com/open?id=1Gk0dO6SuVRr85HD3TWp0w6An2wS1YiNJ&amp;authuser=jay.agg%40gmail.com&amp;usp=drive_fs" TargetMode="External"/><Relationship Id="rId787" Type="http://schemas.openxmlformats.org/officeDocument/2006/relationships/hyperlink" Target="https://drive.google.com/open?id=1-cWSHOa86BsXIsyjHBT_9-e9IbFFHrcc&amp;authuser=jay.agg%40gmail.com&amp;usp=drive_fs" TargetMode="External"/><Relationship Id="rId302" Type="http://schemas.openxmlformats.org/officeDocument/2006/relationships/hyperlink" Target="https://drive.google.com/open?id=1GYWljFBLhgYwEzdhZBlUJh19KzAZtECG&amp;authuser=jay.agg%40gmail.com&amp;usp=drive_fs" TargetMode="External"/><Relationship Id="rId786" Type="http://schemas.openxmlformats.org/officeDocument/2006/relationships/hyperlink" Target="https://drive.google.com/open?id=12-_YZd3E24uJ5mUOSzuZ-iUGkHS_K58N&amp;authuser=jay.agg%40gmail.com&amp;usp=drive_fs" TargetMode="External"/><Relationship Id="rId309" Type="http://schemas.openxmlformats.org/officeDocument/2006/relationships/hyperlink" Target="https://drive.google.com/open?id=1GUii82v79OsbtYorrcUDclazLu0MlnVV&amp;authuser=jay.agg%40gmail.com&amp;usp=drive_fs" TargetMode="External"/><Relationship Id="rId308" Type="http://schemas.openxmlformats.org/officeDocument/2006/relationships/hyperlink" Target="https://drive.google.com/open?id=1GTn3VhMzeTo-v33tTg7IKNreZRtapTUQ&amp;authuser=jay.agg%40gmail.com&amp;usp=drive_fs" TargetMode="External"/><Relationship Id="rId307" Type="http://schemas.openxmlformats.org/officeDocument/2006/relationships/hyperlink" Target="https://drive.google.com/open?id=1GTT2ju62Y6gjEPnCG7J_7FugspxzLFpQ&amp;authuser=jay.agg%40gmail.com&amp;usp=drive_fs" TargetMode="External"/><Relationship Id="rId306" Type="http://schemas.openxmlformats.org/officeDocument/2006/relationships/hyperlink" Target="https://drive.google.com/open?id=1GS46Z_ASOJy3kAckynAwO1PVX9_ED6ik&amp;authuser=jay.agg%40gmail.com&amp;usp=drive_fs" TargetMode="External"/><Relationship Id="rId781" Type="http://schemas.openxmlformats.org/officeDocument/2006/relationships/hyperlink" Target="https://drive.google.com/open?id=10zdgN_JuWqzuaAd4XR-2EYR3wsGzaZpS&amp;authuser=jay.agg%40gmail.com&amp;usp=drive_fs" TargetMode="External"/><Relationship Id="rId1370" Type="http://schemas.openxmlformats.org/officeDocument/2006/relationships/hyperlink" Target="https://drive.google.com/open?id=1XZhu9T-LxL0Yk3I5GxuG2ip8-z4k5yBh&amp;authuser=jay.agg%40gmail.com&amp;usp=drive_fs" TargetMode="External"/><Relationship Id="rId780" Type="http://schemas.openxmlformats.org/officeDocument/2006/relationships/hyperlink" Target="https://drive.google.com/open?id=10zYD9Ux1kF8-ZDrNJMCHGllEWF2cpvQZ&amp;authuser=jay.agg%40gmail.com&amp;usp=drive_fs" TargetMode="External"/><Relationship Id="rId1371" Type="http://schemas.openxmlformats.org/officeDocument/2006/relationships/hyperlink" Target="https://drive.google.com/open?id=1XhY7-jcFjiH1bJHT5AeZ4akk2oezXr2N&amp;authuser=jay.agg%40gmail.com&amp;usp=drive_fs" TargetMode="External"/><Relationship Id="rId1372" Type="http://schemas.openxmlformats.org/officeDocument/2006/relationships/hyperlink" Target="https://drive.google.com/open?id=1XigLaHjjVLlksqrYYpHKiVcP4CBWJ-BQ&amp;authuser=jay.agg%40gmail.com&amp;usp=drive_fs" TargetMode="External"/><Relationship Id="rId1373" Type="http://schemas.openxmlformats.org/officeDocument/2006/relationships/hyperlink" Target="https://drive.google.com/open?id=1XBZ7e28xZMkZx9RXLSjFILyUDpnhOOsj&amp;authuser=jay.agg%40gmail.com&amp;usp=drive_fs" TargetMode="External"/><Relationship Id="rId301" Type="http://schemas.openxmlformats.org/officeDocument/2006/relationships/hyperlink" Target="https://drive.google.com/open?id=1GvworE5g8zNCMBi0IwucU-y775YGZPBt&amp;authuser=jay.agg%40gmail.com&amp;usp=drive_fs" TargetMode="External"/><Relationship Id="rId785" Type="http://schemas.openxmlformats.org/officeDocument/2006/relationships/hyperlink" Target="https://drive.google.com/open?id=1R6LqymeMIykRp2OoxhSuUfVNXwRU3IuE&amp;authuser=jay.agg%40gmail.com&amp;usp=drive_fs" TargetMode="External"/><Relationship Id="rId1374" Type="http://schemas.openxmlformats.org/officeDocument/2006/relationships/hyperlink" Target="https://drive.google.com/open?id=1i8C4Cypir4kVnc0Ls2IfeqTzCOr7EpZ3&amp;authuser=jay.agg%40gmail.com&amp;usp=drive_fs" TargetMode="External"/><Relationship Id="rId300" Type="http://schemas.openxmlformats.org/officeDocument/2006/relationships/hyperlink" Target="https://drive.google.com/open?id=1gn5GR-7sB7qIO_8bavt-0FVobLqi-Guo&amp;usp=drive_fs" TargetMode="External"/><Relationship Id="rId784" Type="http://schemas.openxmlformats.org/officeDocument/2006/relationships/hyperlink" Target="https://drive.google.com/open?id=1R69PogUzlw66VxbBzrKDvHUtkqR9J9o-&amp;authuser=jay.agg%40gmail.com&amp;usp=drive_fs" TargetMode="External"/><Relationship Id="rId1375" Type="http://schemas.openxmlformats.org/officeDocument/2006/relationships/hyperlink" Target="https://drive.google.com/open?id=1Xl_d_0mvrdOlb_IQksdGpb4AdHUt-x_G&amp;authuser=jay.agg%40gmail.com&amp;usp=drive_fs" TargetMode="External"/><Relationship Id="rId783" Type="http://schemas.openxmlformats.org/officeDocument/2006/relationships/hyperlink" Target="https://drive.google.com/open?id=11-bIJE5rxWHq-HVZRU-VJxrSSTsm9xh8&amp;authuser=jay.agg%40gmail.com&amp;usp=drive_fs" TargetMode="External"/><Relationship Id="rId1376" Type="http://schemas.openxmlformats.org/officeDocument/2006/relationships/hyperlink" Target="https://drive.google.com/open?id=1X9zNyToYaZY8fl6j7w8IuFwiAS6PzmjA&amp;authuser=jay.agg%40gmail.com&amp;usp=drive_fs" TargetMode="External"/><Relationship Id="rId782" Type="http://schemas.openxmlformats.org/officeDocument/2006/relationships/hyperlink" Target="https://drive.google.com/open?id=11-XpG0kIJinOKf5aLXTX1A6UcZxBGNsY&amp;authuser=jay.agg%40gmail.com&amp;usp=drive_fs" TargetMode="External"/><Relationship Id="rId1377" Type="http://schemas.openxmlformats.org/officeDocument/2006/relationships/hyperlink" Target="https://drive.google.com/open?id=1kpk5SHfrNyV5z35dajqoOPh7H1Di9UIv&amp;authuser=jay.agg%40gmail.com&amp;usp=drive_fs" TargetMode="External"/><Relationship Id="rId1367" Type="http://schemas.openxmlformats.org/officeDocument/2006/relationships/hyperlink" Target="https://drive.google.com/open?id=1-bLfU44NApVGX1bk2HVjueeUYeAbbtPH&amp;usp=drive_fs" TargetMode="External"/><Relationship Id="rId1368" Type="http://schemas.openxmlformats.org/officeDocument/2006/relationships/hyperlink" Target="https://drive.google.com/open?id=1-qnys_nt7aK9i5LUoWZ32M2rbzAtVvHg&amp;usp=drive_fs" TargetMode="External"/><Relationship Id="rId1369" Type="http://schemas.openxmlformats.org/officeDocument/2006/relationships/hyperlink" Target="https://drive.google.com/open?id=1XM2XLA47KwV2FSU8w1rruKDaU81cIhx2&amp;authuser=jay.agg%40gmail.com&amp;usp=drive_fs" TargetMode="External"/><Relationship Id="rId778" Type="http://schemas.openxmlformats.org/officeDocument/2006/relationships/hyperlink" Target="https://drive.google.com/open?id=1CgN0iMgcKqzwr61hEHwUFz6H-OF28W3c&amp;authuser=jay.agg%40gmail.com&amp;usp=drive_fs" TargetMode="External"/><Relationship Id="rId777" Type="http://schemas.openxmlformats.org/officeDocument/2006/relationships/hyperlink" Target="https://drive.google.com/open?id=1CdQoHrpEEc5ndjdtRcMiwc47csgvDTBP&amp;authuser=jay.agg%40gmail.com&amp;usp=drive_fs" TargetMode="External"/><Relationship Id="rId776" Type="http://schemas.openxmlformats.org/officeDocument/2006/relationships/hyperlink" Target="https://drive.google.com/open?id=1CPFfh8O3nx9xPUS2yD8enugBCIJqRrOl&amp;authuser=jay.agg%40gmail.com&amp;usp=drive_fs" TargetMode="External"/><Relationship Id="rId775" Type="http://schemas.openxmlformats.org/officeDocument/2006/relationships/hyperlink" Target="https://drive.google.com/open?id=1CFZ0HCxQw3eJAWz4N3lVBEEraUZGnam6&amp;authuser=jay.agg%40gmail.com&amp;usp=drive_fs" TargetMode="External"/><Relationship Id="rId779" Type="http://schemas.openxmlformats.org/officeDocument/2006/relationships/hyperlink" Target="https://drive.google.com/open?id=10iZZZnfCekFsgWTAk-wGRIjtTATjgcmB&amp;authuser=jay.agg%40gmail.com&amp;usp=drive_fs" TargetMode="External"/><Relationship Id="rId770" Type="http://schemas.openxmlformats.org/officeDocument/2006/relationships/hyperlink" Target="https://drive.google.com/open?id=19dyZbjLZFJb4o6J_LS30-aQxq2m8HFfG&amp;authuser=jay.agg%40gmail.com&amp;usp=drive_fs" TargetMode="External"/><Relationship Id="rId1360" Type="http://schemas.openxmlformats.org/officeDocument/2006/relationships/hyperlink" Target="https://drive.google.com/open?id=10igiwXSXW3IWaI9CGvNpcVLfFuNOhRS5&amp;authuser=jay.agg%40gmail.com&amp;usp=drive_fs" TargetMode="External"/><Relationship Id="rId1361" Type="http://schemas.openxmlformats.org/officeDocument/2006/relationships/hyperlink" Target="https://drive.google.com/open?id=10rB21UJ2Gq0M744tLEtIhwY-PC1FLXSZ&amp;authuser=jay.agg%40gmail.com&amp;usp=drive_fs" TargetMode="External"/><Relationship Id="rId1362" Type="http://schemas.openxmlformats.org/officeDocument/2006/relationships/hyperlink" Target="https://drive.google.com/open?id=10rBC-sTRmPotwxh4tR8VIZL4zoMPcndK&amp;authuser=jay.agg%40gmail.com&amp;usp=drive_fs" TargetMode="External"/><Relationship Id="rId774" Type="http://schemas.openxmlformats.org/officeDocument/2006/relationships/hyperlink" Target="https://drive.google.com/open?id=1BkNAFaTbkOEwF0GVU8xBWRO3T4OPLmjW&amp;authuser=jay.agg%40gmail.com&amp;usp=drive_fs" TargetMode="External"/><Relationship Id="rId1363" Type="http://schemas.openxmlformats.org/officeDocument/2006/relationships/hyperlink" Target="https://drive.google.com/open?id=1OXMzqVhBH_VhW9CPx2DQjLa6D0FlMd9M&amp;authuser=jay.agg%40gmail.com&amp;usp=drive_fs" TargetMode="External"/><Relationship Id="rId773" Type="http://schemas.openxmlformats.org/officeDocument/2006/relationships/hyperlink" Target="https://drive.google.com/open?id=1BT8_qAaxegNKthJOzmUiOMU2F0daBVKe&amp;authuser=jay.agg%40gmail.com&amp;usp=drive_fs" TargetMode="External"/><Relationship Id="rId1364" Type="http://schemas.openxmlformats.org/officeDocument/2006/relationships/hyperlink" Target="https://drive.google.com/open?id=1diKUbSwvBAxq_qbzqYtP_8UAn97o5nYg&amp;authuser=jay.agg%40gmail.com&amp;usp=drive_fs" TargetMode="External"/><Relationship Id="rId772" Type="http://schemas.openxmlformats.org/officeDocument/2006/relationships/hyperlink" Target="https://drive.google.com/open?id=1BGkETsSjBKS8ZO3GT2_ynhPfhiLDMnw0&amp;authuser=jay.agg%40gmail.com&amp;usp=drive_fs" TargetMode="External"/><Relationship Id="rId1365" Type="http://schemas.openxmlformats.org/officeDocument/2006/relationships/hyperlink" Target="https://drive.google.com/open?id=1-RECyMj8HD5pDCkYNC8GONxpaanP3nEQ&amp;usp=drive_fs" TargetMode="External"/><Relationship Id="rId771" Type="http://schemas.openxmlformats.org/officeDocument/2006/relationships/hyperlink" Target="https://drive.google.com/open?id=1Abvzw9iYsOv8km0cOHQUuMlkZijfyf6l&amp;authuser=jay.agg%40gmail.com&amp;usp=drive_fs" TargetMode="External"/><Relationship Id="rId1366" Type="http://schemas.openxmlformats.org/officeDocument/2006/relationships/hyperlink" Target="https://drive.google.com/open?id=1-SxuyrFjjet84T0cfzVEZJALLnuW5SSi&amp;usp=drive_fs" TargetMode="External"/><Relationship Id="rId327" Type="http://schemas.openxmlformats.org/officeDocument/2006/relationships/hyperlink" Target="https://drive.google.com/open?id=1NG1152NAevWf2sXrH_1If7nwx8YWYXmI&amp;usp=drive_fs" TargetMode="External"/><Relationship Id="rId326" Type="http://schemas.openxmlformats.org/officeDocument/2006/relationships/hyperlink" Target="https://drive.google.com/open?id=1fLQrprvZcmmCCNX1y-z1vIH0VmEmnc9_&amp;authuser=jay.agg%40gmail.com&amp;usp=drive_fs" TargetMode="External"/><Relationship Id="rId325" Type="http://schemas.openxmlformats.org/officeDocument/2006/relationships/hyperlink" Target="https://drive.google.com/open?id=1fj6imJBZM1upDYGUCwpXhRSvDL2sJeMR&amp;authuser=jay.agg%40gmail.com&amp;usp=drive_fs" TargetMode="External"/><Relationship Id="rId324" Type="http://schemas.openxmlformats.org/officeDocument/2006/relationships/hyperlink" Target="https://drive.google.com/open?id=1SEUOeVHs3SpR2HcjVPTI0DLadVSc2SEa&amp;authuser=jay.agg%40gmail.com&amp;usp=drive_fs" TargetMode="External"/><Relationship Id="rId329" Type="http://schemas.openxmlformats.org/officeDocument/2006/relationships/hyperlink" Target="https://drive.google.com/open?id=16gwRQ4fPXldGMT8WRiIe7mq639QAha3I&amp;usp=drive_fs" TargetMode="External"/><Relationship Id="rId1390" Type="http://schemas.openxmlformats.org/officeDocument/2006/relationships/hyperlink" Target="https://drive.google.com/open?id=1Zjc3xaBCdOHc_zScVwjyT21isWWbA0Rc&amp;authuser=jay.agg%40gmail.com&amp;usp=drive_fs" TargetMode="External"/><Relationship Id="rId328" Type="http://schemas.openxmlformats.org/officeDocument/2006/relationships/hyperlink" Target="https://drive.google.com/open?id=1NR96XkpTrW_w9ZrnyoRhV94wmFA02gGE&amp;usp=drive_fs" TargetMode="External"/><Relationship Id="rId1391" Type="http://schemas.openxmlformats.org/officeDocument/2006/relationships/hyperlink" Target="https://drive.google.com/open?id=17PfmHbqXPW57kD76wYBtBoZU1jlTlB6w&amp;authuser=jay.agg%40gmail.com&amp;usp=drive_fs" TargetMode="External"/><Relationship Id="rId1392" Type="http://schemas.openxmlformats.org/officeDocument/2006/relationships/hyperlink" Target="https://drive.google.com/open?id=11YBPhqbDo1xylx7YiuA9BXpOO6SA_fLe&amp;authuser=jay.agg%40gmail.com&amp;usp=drive_fs" TargetMode="External"/><Relationship Id="rId1393" Type="http://schemas.openxmlformats.org/officeDocument/2006/relationships/hyperlink" Target="https://drive.google.com/open?id=11dsT6jKL9johPKupLuyWttMlSTkXRooL&amp;authuser=jay.agg%40gmail.com&amp;usp=drive_fs" TargetMode="External"/><Relationship Id="rId1394" Type="http://schemas.openxmlformats.org/officeDocument/2006/relationships/hyperlink" Target="https://drive.google.com/open?id=167fUUtmSeq23sd65lDAYooWQ1iqnq867&amp;authuser=jay.agg%40gmail.com&amp;usp=drive_fs" TargetMode="External"/><Relationship Id="rId1395" Type="http://schemas.openxmlformats.org/officeDocument/2006/relationships/hyperlink" Target="https://drive.google.com/open?id=168VCd14-RDlLkB43ncJuLgyav9N6JDs2&amp;authuser=jay.agg%40gmail.com&amp;usp=drive_fs" TargetMode="External"/><Relationship Id="rId323" Type="http://schemas.openxmlformats.org/officeDocument/2006/relationships/hyperlink" Target="https://drive.google.com/open?id=1AhbUtF59Up0jnQxZ9L6FScjV4wMbiJH6&amp;authuser=jay.agg%40gmail.com&amp;usp=drive_fs" TargetMode="External"/><Relationship Id="rId1396" Type="http://schemas.openxmlformats.org/officeDocument/2006/relationships/hyperlink" Target="https://drive.google.com/open?id=1PArW7fsm9IdhFjF8c4gTSKIhQ6XDTGgR&amp;authuser=jay.agg%40gmail.com&amp;usp=drive_fs" TargetMode="External"/><Relationship Id="rId322" Type="http://schemas.openxmlformats.org/officeDocument/2006/relationships/hyperlink" Target="https://drive.google.com/open?id=1QWWRTSLbqa95EGw1oYJnssK6HQ7LuAOl&amp;authuser=jay.agg%40gmail.com&amp;usp=drive_fs" TargetMode="External"/><Relationship Id="rId1397" Type="http://schemas.openxmlformats.org/officeDocument/2006/relationships/hyperlink" Target="https://drive.google.com/open?id=1E4xU_4pSofJDeUzgsCTQrv8es69ZLbZS&amp;authuser=jay.agg%40gmail.com&amp;usp=drive_fs" TargetMode="External"/><Relationship Id="rId321" Type="http://schemas.openxmlformats.org/officeDocument/2006/relationships/hyperlink" Target="https://drive.google.com/open?id=1PU1_vuxRPViOALzO-OqdFb2MFblUEXkl&amp;authuser=jay.agg%40gmail.com&amp;usp=drive_fs" TargetMode="External"/><Relationship Id="rId1398" Type="http://schemas.openxmlformats.org/officeDocument/2006/relationships/hyperlink" Target="https://drive.google.com/open?id=1E5a_mAgnD2j36mvrb7J5c7cYH1Npmgly&amp;authuser=jay.agg%40gmail.com&amp;usp=drive_fs" TargetMode="External"/><Relationship Id="rId320" Type="http://schemas.openxmlformats.org/officeDocument/2006/relationships/hyperlink" Target="https://drive.google.com/open?id=1PSHP6sFKxmNxlTDPB3t6cP4MrmJ1mgn6&amp;authuser=jay.agg%40gmail.com&amp;usp=drive_fs" TargetMode="External"/><Relationship Id="rId1399" Type="http://schemas.openxmlformats.org/officeDocument/2006/relationships/hyperlink" Target="https://drive.google.com/open?id=1TmnvgzSv40adgVeGhIHf_SVyQRCKYzmV&amp;authuser=jay.agg%40gmail.com&amp;usp=drive_fs" TargetMode="External"/><Relationship Id="rId1389" Type="http://schemas.openxmlformats.org/officeDocument/2006/relationships/hyperlink" Target="https://drive.google.com/open?id=141oIVeUiNoWB_WfLvkNL-rZQGBKqcP26&amp;authuser=jay.agg%40gmail.com&amp;usp=drive_fs" TargetMode="External"/><Relationship Id="rId316" Type="http://schemas.openxmlformats.org/officeDocument/2006/relationships/hyperlink" Target="https://drive.google.com/open?id=10Pqcp5t6jR9uvk_Ug6JrjYgY5ri0Sxbs&amp;authuser=jay.agg%40gmail.com&amp;usp=drive_fs" TargetMode="External"/><Relationship Id="rId315" Type="http://schemas.openxmlformats.org/officeDocument/2006/relationships/hyperlink" Target="https://drive.google.com/open?id=1wKh4x0VxK3J607GypTLJ2D2nUOktyibD&amp;authuser=jay.agg%40gmail.com&amp;usp=drive_fs" TargetMode="External"/><Relationship Id="rId799" Type="http://schemas.openxmlformats.org/officeDocument/2006/relationships/hyperlink" Target="https://drive.google.com/open?id=1hdp7WjJge4Y195PwrugOB_MoAXYENzi2&amp;authuser=jay.agg%40gmail.com&amp;usp=drive_fs" TargetMode="External"/><Relationship Id="rId314" Type="http://schemas.openxmlformats.org/officeDocument/2006/relationships/hyperlink" Target="https://drive.google.com/open?id=1mQYy7LyACsSyFr5-rZ5INzPHenaMG9JK&amp;authuser=jay.agg%40gmail.com&amp;usp=drive_fs" TargetMode="External"/><Relationship Id="rId798" Type="http://schemas.openxmlformats.org/officeDocument/2006/relationships/hyperlink" Target="https://drive.google.com/open?id=1CfN8AMS1irvT9P0qsgCtrTKoUfn4xfga&amp;authuser=jay.agg%40gmail.com&amp;usp=drive_fs" TargetMode="External"/><Relationship Id="rId313" Type="http://schemas.openxmlformats.org/officeDocument/2006/relationships/hyperlink" Target="https://drive.google.com/open?id=1lsrNSGQf4w0sf6eDYWUIvxNdk7RPAu0c&amp;authuser=jay.agg%40gmail.com&amp;usp=drive_fs" TargetMode="External"/><Relationship Id="rId797" Type="http://schemas.openxmlformats.org/officeDocument/2006/relationships/hyperlink" Target="https://drive.google.com/open?id=1egOeE_I6_v48ITY4TAkgm5Uu0ZS1euNw&amp;authuser=jay.agg%40gmail.com&amp;usp=drive_fs" TargetMode="External"/><Relationship Id="rId319" Type="http://schemas.openxmlformats.org/officeDocument/2006/relationships/hyperlink" Target="https://drive.google.com/open?id=1-acH7SRa_28vGhIUTt64MA9mutQzV6M8&amp;authuser=jay.agg%40gmail.com&amp;usp=drive_fs" TargetMode="External"/><Relationship Id="rId318" Type="http://schemas.openxmlformats.org/officeDocument/2006/relationships/hyperlink" Target="https://drive.google.com/open?id=1Xn6fAZ87CCSpKfUUcilRDKCWDZRLKll8&amp;authuser=jay.agg%40gmail.com&amp;usp=drive_fs" TargetMode="External"/><Relationship Id="rId317" Type="http://schemas.openxmlformats.org/officeDocument/2006/relationships/hyperlink" Target="https://drive.google.com/open?id=1UAe6f5lkLn1w7VNv38K0bpUPOLQ47PEP&amp;authuser=jay.agg%40gmail.com&amp;usp=drive_fs" TargetMode="External"/><Relationship Id="rId1380" Type="http://schemas.openxmlformats.org/officeDocument/2006/relationships/hyperlink" Target="https://drive.google.com/open?id=1XDP3ah7iqOfRWo5lIyAdqbMqNuV2abRI&amp;authuser=jay.agg%40gmail.com&amp;usp=drive_fs" TargetMode="External"/><Relationship Id="rId792" Type="http://schemas.openxmlformats.org/officeDocument/2006/relationships/hyperlink" Target="https://drive.google.com/open?id=15i7tH5n09weNj12b2qQ0XjckrY-JQUbS&amp;authuser=jay.agg%40gmail.com&amp;usp=drive_fs" TargetMode="External"/><Relationship Id="rId1381" Type="http://schemas.openxmlformats.org/officeDocument/2006/relationships/hyperlink" Target="https://drive.google.com/open?id=1X0O_Z3Q6tE_NXp1P6TDJD4PRX3jLI1cn&amp;authuser=jay.agg%40gmail.com&amp;usp=drive_fs" TargetMode="External"/><Relationship Id="rId791" Type="http://schemas.openxmlformats.org/officeDocument/2006/relationships/hyperlink" Target="https://drive.google.com/open?id=15_lZlltj-T_vSHJNGzqoZzWmB0oPVMyv&amp;authuser=jay.agg%40gmail.com&amp;usp=drive_fs" TargetMode="External"/><Relationship Id="rId1382" Type="http://schemas.openxmlformats.org/officeDocument/2006/relationships/hyperlink" Target="https://drive.google.com/open?id=1XDVvsxmorge5nNFL0NSSQC5D1eUDlXiO&amp;authuser=jay.agg%40gmail.com&amp;usp=drive_fs" TargetMode="External"/><Relationship Id="rId790" Type="http://schemas.openxmlformats.org/officeDocument/2006/relationships/hyperlink" Target="https://drive.google.com/open?id=1bR5OJG6n07riET0EgkDzThpEZmWiz5c8&amp;authuser=jay.agg%40gmail.com&amp;usp=drive_fs" TargetMode="External"/><Relationship Id="rId1383" Type="http://schemas.openxmlformats.org/officeDocument/2006/relationships/hyperlink" Target="https://drive.google.com/open?id=1X299jf6MT3jIfiPYPKkfh5lhZzv9yLu7&amp;authuser=jay.agg%40gmail.com&amp;usp=drive_fs" TargetMode="External"/><Relationship Id="rId1384" Type="http://schemas.openxmlformats.org/officeDocument/2006/relationships/hyperlink" Target="https://drive.google.com/open?id=1X79XUiRxP2yfepBhcZDdpaKvqltfxkRw&amp;authuser=jay.agg%40gmail.com&amp;usp=drive_fs" TargetMode="External"/><Relationship Id="rId312" Type="http://schemas.openxmlformats.org/officeDocument/2006/relationships/hyperlink" Target="https://drive.google.com/open?id=1lrmg2zTSIodI-7KyMGWjTJzMJRyMHr-c&amp;authuser=jay.agg%40gmail.com&amp;usp=drive_fs" TargetMode="External"/><Relationship Id="rId796" Type="http://schemas.openxmlformats.org/officeDocument/2006/relationships/hyperlink" Target="https://drive.google.com/open?id=1ef97oVh6KFpfGGHAAFeGj287iJnqtjbi&amp;authuser=jay.agg%40gmail.com&amp;usp=drive_fs" TargetMode="External"/><Relationship Id="rId1385" Type="http://schemas.openxmlformats.org/officeDocument/2006/relationships/hyperlink" Target="https://drive.google.com/open?id=1X9fCgTvU-xvg8JIkvyvN_7UEf0JNAJc9&amp;authuser=jay.agg%40gmail.com&amp;usp=drive_fs" TargetMode="External"/><Relationship Id="rId311" Type="http://schemas.openxmlformats.org/officeDocument/2006/relationships/hyperlink" Target="https://drive.google.com/open?id=1GJEPVP9ZMyc0Q30sbbA_EXyEnmSOTVdz&amp;authuser=jay.agg%40gmail.com&amp;usp=drive_fs" TargetMode="External"/><Relationship Id="rId795" Type="http://schemas.openxmlformats.org/officeDocument/2006/relationships/hyperlink" Target="https://drive.google.com/open?id=1dJzvbZhSge4QJUnneoTNdwvYMEL3K0y0&amp;authuser=jay.agg%40gmail.com&amp;usp=drive_fs" TargetMode="External"/><Relationship Id="rId1386" Type="http://schemas.openxmlformats.org/officeDocument/2006/relationships/hyperlink" Target="https://drive.google.com/open?id=1X1YbzNYG-fZqOvI5pRXHjV8Ez2M_MiQ5&amp;authuser=jay.agg%40gmail.com&amp;usp=drive_fs" TargetMode="External"/><Relationship Id="rId310" Type="http://schemas.openxmlformats.org/officeDocument/2006/relationships/hyperlink" Target="https://drive.google.com/open?id=1GELVnm6_6zuRrqMJN3hvnpyMEOh4-WkR&amp;authuser=jay.agg%40gmail.com&amp;usp=drive_fs" TargetMode="External"/><Relationship Id="rId794" Type="http://schemas.openxmlformats.org/officeDocument/2006/relationships/hyperlink" Target="https://drive.google.com/open?id=16cfR53rh8DAh7IQn0w86m6j0qLgObnxk&amp;authuser=jay.agg%40gmail.com&amp;usp=drive_fs" TargetMode="External"/><Relationship Id="rId1387" Type="http://schemas.openxmlformats.org/officeDocument/2006/relationships/hyperlink" Target="https://drive.google.com/open?id=1sg-ef2-ULSL6YwAwlJ2aN7XKKwWzXZZ-&amp;authuser=jay.agg%40gmail.com&amp;usp=drive_fs" TargetMode="External"/><Relationship Id="rId793" Type="http://schemas.openxmlformats.org/officeDocument/2006/relationships/hyperlink" Target="https://drive.google.com/open?id=15jYX12Y9cQ5GmMul6Wafy8RKPw8DL7hz&amp;authuser=jay.agg%40gmail.com&amp;usp=drive_fs" TargetMode="External"/><Relationship Id="rId1388" Type="http://schemas.openxmlformats.org/officeDocument/2006/relationships/hyperlink" Target="https://drive.google.com/open?id=105StM7fEz3AmzSeuDlFDOc-v4xInN2Ze&amp;authuser=jay.agg%40gmail.com&amp;usp=drive_fs" TargetMode="External"/><Relationship Id="rId297" Type="http://schemas.openxmlformats.org/officeDocument/2006/relationships/hyperlink" Target="https://drive.google.com/open?id=1fjfB_89WPsFcmk8Y8lQJi6CuJmbbuWhp&amp;usp=drive_fs" TargetMode="External"/><Relationship Id="rId296" Type="http://schemas.openxmlformats.org/officeDocument/2006/relationships/hyperlink" Target="https://drive.google.com/open?id=1-CNlGiro2bIkVWx_qu7zMlOjfUfZXrQf&amp;usp=drive_fs" TargetMode="External"/><Relationship Id="rId295" Type="http://schemas.openxmlformats.org/officeDocument/2006/relationships/hyperlink" Target="https://drive.google.com/open?id=1hox3SGKgkdgXzA36anhnE4VykIsWmBT8&amp;usp=drive_fs" TargetMode="External"/><Relationship Id="rId294" Type="http://schemas.openxmlformats.org/officeDocument/2006/relationships/hyperlink" Target="https://drive.google.com/open?id=1VcltB0nOZZDQedVoJowHMsdeC5t0ZY0w&amp;usp=drive_fs" TargetMode="External"/><Relationship Id="rId299" Type="http://schemas.openxmlformats.org/officeDocument/2006/relationships/hyperlink" Target="https://drive.google.com/open?id=1o7r67nIl_jEtuIDtM_-P8smnKLMuDiP7&amp;usp=drive_fs" TargetMode="External"/><Relationship Id="rId298" Type="http://schemas.openxmlformats.org/officeDocument/2006/relationships/hyperlink" Target="https://drive.google.com/open?id=1sejzB66Uvhi836TzdmvU-DhEso8RxPeT&amp;usp=drive_fs" TargetMode="External"/><Relationship Id="rId271" Type="http://schemas.openxmlformats.org/officeDocument/2006/relationships/hyperlink" Target="https://drive.google.com/open?id=1VmEJ0hMWEVDOnhhwbRNmklx7KgW6I6qS&amp;usp=drive_fs" TargetMode="External"/><Relationship Id="rId270" Type="http://schemas.openxmlformats.org/officeDocument/2006/relationships/hyperlink" Target="https://drive.google.com/open?id=1j6srDsN8h0Eoih228t_1pP30sH9z7iaz&amp;usp=drive_fs" TargetMode="External"/><Relationship Id="rId269" Type="http://schemas.openxmlformats.org/officeDocument/2006/relationships/hyperlink" Target="https://drive.google.com/open?id=1ydjOEP2AsU6zcRL7OI7td7ba8ikvCRtH&amp;usp=drive_fs" TargetMode="External"/><Relationship Id="rId264" Type="http://schemas.openxmlformats.org/officeDocument/2006/relationships/hyperlink" Target="https://drive.google.com/open?id=1SHQg_xgiDD-S_fSmTj4BBaPbb-HsVH-U&amp;authuser=jay.agg%40gmail.com&amp;usp=drive_fs" TargetMode="External"/><Relationship Id="rId263" Type="http://schemas.openxmlformats.org/officeDocument/2006/relationships/hyperlink" Target="https://drive.google.com/open?id=1NvduVlo_CJsEgebAQz07GSvPs7uxSe-G&amp;authuser=jay.agg%40gmail.com&amp;usp=drive_fs" TargetMode="External"/><Relationship Id="rId262" Type="http://schemas.openxmlformats.org/officeDocument/2006/relationships/hyperlink" Target="https://drive.google.com/open?id=1NujrgZ7l36_tUSyxUUHE53H_lXCnUMIV&amp;authuser=jay.agg%40gmail.com&amp;usp=drive_fs" TargetMode="External"/><Relationship Id="rId261" Type="http://schemas.openxmlformats.org/officeDocument/2006/relationships/hyperlink" Target="https://drive.google.com/open?id=1NraUWBTtBENg0PBMT1-DyR6G2b8qMEE5&amp;authuser=jay.agg%40gmail.com&amp;usp=drive_fs" TargetMode="External"/><Relationship Id="rId268" Type="http://schemas.openxmlformats.org/officeDocument/2006/relationships/hyperlink" Target="https://drive.google.com/open?id=1_FGMX4rvRKmWcMmH06d2I5qOwXuJWE4c&amp;authuser=jay.agg%40gmail.com&amp;usp=drive_fs" TargetMode="External"/><Relationship Id="rId267" Type="http://schemas.openxmlformats.org/officeDocument/2006/relationships/hyperlink" Target="https://drive.google.com/open?id=1SVgAzLMy6bhn29VqobVJrlBP9zpBfdfI&amp;authuser=jay.agg%40gmail.com&amp;usp=drive_fs" TargetMode="External"/><Relationship Id="rId266" Type="http://schemas.openxmlformats.org/officeDocument/2006/relationships/hyperlink" Target="https://drive.google.com/open?id=1SQEn-oWOvionQX_bmZiY40xVOPPEHQmG&amp;authuser=jay.agg%40gmail.com&amp;usp=drive_fs" TargetMode="External"/><Relationship Id="rId265" Type="http://schemas.openxmlformats.org/officeDocument/2006/relationships/hyperlink" Target="https://drive.google.com/open?id=1SIQbhZto4agrr3VUlE0ELACCgHiRr5YG&amp;authuser=jay.agg%40gmail.com&amp;usp=drive_fs" TargetMode="External"/><Relationship Id="rId260" Type="http://schemas.openxmlformats.org/officeDocument/2006/relationships/hyperlink" Target="https://drive.google.com/open?id=1SzBRhBz1r5yiIA3X7_GdVdHvr5G0Syv2&amp;usp=drive_fs" TargetMode="External"/><Relationship Id="rId259" Type="http://schemas.openxmlformats.org/officeDocument/2006/relationships/hyperlink" Target="https://drive.google.com/open?id=1SvLtzmJs76wN-Lf7-5MGBykae88u-fhd&amp;usp=drive_fs" TargetMode="External"/><Relationship Id="rId258" Type="http://schemas.openxmlformats.org/officeDocument/2006/relationships/hyperlink" Target="https://drive.google.com/open?id=1SsFonBC8XuEwUzNwTRLS7FMnlypI7YI_&amp;usp=drive_fs" TargetMode="External"/><Relationship Id="rId253" Type="http://schemas.openxmlformats.org/officeDocument/2006/relationships/hyperlink" Target="https://drive.google.com/open?id=12ZAWHnOPBOLdmRyppylacRf8Mqz-FK9w&amp;authuser=jay.agg%40gmail.com&amp;usp=drive_fs" TargetMode="External"/><Relationship Id="rId252" Type="http://schemas.openxmlformats.org/officeDocument/2006/relationships/hyperlink" Target="https://drive.google.com/open?id=1JPDIVHOBa5yuE6I7I8j9AUCu-EuTlc0c&amp;authuser=jay.agg%40gmail.com&amp;usp=drive_fs" TargetMode="External"/><Relationship Id="rId251" Type="http://schemas.openxmlformats.org/officeDocument/2006/relationships/hyperlink" Target="https://drive.google.com/open?id=1Otn6o383NE_PJKb8-zaSXVXITkNMUR5v&amp;authuser=jay.agg%40gmail.com&amp;usp=drive_fs" TargetMode="External"/><Relationship Id="rId250" Type="http://schemas.openxmlformats.org/officeDocument/2006/relationships/hyperlink" Target="https://drive.google.com/open?id=1O1p9NeaySuYpDHiU-aguDwNIvvQdIAbw&amp;authuser=jay.agg%40gmail.com&amp;usp=drive_fs" TargetMode="External"/><Relationship Id="rId257" Type="http://schemas.openxmlformats.org/officeDocument/2006/relationships/hyperlink" Target="https://drive.google.com/open?id=1SrtmifLAjRPgA6hA5OrHSfnVGbch_iIg&amp;usp=drive_fs" TargetMode="External"/><Relationship Id="rId256" Type="http://schemas.openxmlformats.org/officeDocument/2006/relationships/hyperlink" Target="https://drive.google.com/open?id=1SiFd4TsI4Hdpa_zhYmdasJRGWLQkUbxE&amp;usp=drive_fs" TargetMode="External"/><Relationship Id="rId255" Type="http://schemas.openxmlformats.org/officeDocument/2006/relationships/hyperlink" Target="https://drive.google.com/open?id=1ScOaWAX91gw_9bROSvvCvzEmu34xN0oX&amp;usp=drive_fs" TargetMode="External"/><Relationship Id="rId254" Type="http://schemas.openxmlformats.org/officeDocument/2006/relationships/hyperlink" Target="https://drive.google.com/open?id=12biCOessiEK-ORG9FXj41gCyyAEqIVlJ&amp;authuser=jay.agg%40gmail.com&amp;usp=drive_fs" TargetMode="External"/><Relationship Id="rId293" Type="http://schemas.openxmlformats.org/officeDocument/2006/relationships/hyperlink" Target="https://drive.google.com/open?id=1oggOvHJ_KGBeRWAWm-Cg0xrtVweIuyd5&amp;usp=drive_fs" TargetMode="External"/><Relationship Id="rId292" Type="http://schemas.openxmlformats.org/officeDocument/2006/relationships/hyperlink" Target="https://drive.google.com/open?id=1NAAHAPREtF73jpo_TVOv22zTZuBz9aKA&amp;usp=drive_fs" TargetMode="External"/><Relationship Id="rId291" Type="http://schemas.openxmlformats.org/officeDocument/2006/relationships/hyperlink" Target="https://drive.google.com/open?id=1eyG-5Hxz4JoK3IR67YlxZMNTz0LaDVxt&amp;usp=drive_fs" TargetMode="External"/><Relationship Id="rId290" Type="http://schemas.openxmlformats.org/officeDocument/2006/relationships/hyperlink" Target="https://drive.google.com/open?id=1-dMmhetr5vycnU3W0q2TEJNZo7uZ4FSq&amp;usp=drive_fs" TargetMode="External"/><Relationship Id="rId286" Type="http://schemas.openxmlformats.org/officeDocument/2006/relationships/hyperlink" Target="https://drive.google.com/open?id=1GJtXDB0-u5Q3GwwDWogn48CGmbKDzDV5&amp;usp=drive_fs" TargetMode="External"/><Relationship Id="rId285" Type="http://schemas.openxmlformats.org/officeDocument/2006/relationships/hyperlink" Target="https://drive.google.com/open?id=1uoC7q6-EiQME2l-_8ueeEx4p71VHllzC&amp;usp=drive_fs" TargetMode="External"/><Relationship Id="rId284" Type="http://schemas.openxmlformats.org/officeDocument/2006/relationships/hyperlink" Target="https://drive.google.com/open?id=1NSydsj0hfR7pRCW6Wv-WoDmFhIfPVJMn&amp;usp=drive_fs" TargetMode="External"/><Relationship Id="rId283" Type="http://schemas.openxmlformats.org/officeDocument/2006/relationships/hyperlink" Target="https://drive.google.com/open?id=10i1M2t9YnsdSqxfrMKGzdLbJgc2sQfgS&amp;usp=drive_fs" TargetMode="External"/><Relationship Id="rId289" Type="http://schemas.openxmlformats.org/officeDocument/2006/relationships/hyperlink" Target="https://drive.google.com/open?id=1NtPWGCC3XPwCK2ZQROumcDT92lSUlPuU&amp;usp=drive_fs" TargetMode="External"/><Relationship Id="rId288" Type="http://schemas.openxmlformats.org/officeDocument/2006/relationships/hyperlink" Target="https://drive.google.com/open?id=1e9W_X_VkzJuC256VCX-eebiRkq0S-DT5&amp;usp=drive_fs" TargetMode="External"/><Relationship Id="rId287" Type="http://schemas.openxmlformats.org/officeDocument/2006/relationships/hyperlink" Target="https://drive.google.com/open?id=1J7vu8xecLoV-XuTyPNy1rvzn-O_SLgZ_&amp;usp=drive_fs" TargetMode="External"/><Relationship Id="rId282" Type="http://schemas.openxmlformats.org/officeDocument/2006/relationships/hyperlink" Target="https://drive.google.com/open?id=18AO4CIGwhrt_PCm1-MDukXE3xQgvIUsC&amp;usp=drive_fs" TargetMode="External"/><Relationship Id="rId281" Type="http://schemas.openxmlformats.org/officeDocument/2006/relationships/hyperlink" Target="https://drive.google.com/open?id=1fIG1J1xMLrwBsXuROOkttFOnR23XAa3C&amp;usp=drive_fs" TargetMode="External"/><Relationship Id="rId280" Type="http://schemas.openxmlformats.org/officeDocument/2006/relationships/hyperlink" Target="https://drive.google.com/open?id=1GV2jJfFbiomIh7OgxMUTs7fiGLYf6qBZ&amp;usp=drive_fs" TargetMode="External"/><Relationship Id="rId275" Type="http://schemas.openxmlformats.org/officeDocument/2006/relationships/hyperlink" Target="https://drive.google.com/open?id=1W0xoEC7RS-SF40vt1nUGmtRBMrBjO-xC&amp;usp=drive_fs" TargetMode="External"/><Relationship Id="rId274" Type="http://schemas.openxmlformats.org/officeDocument/2006/relationships/hyperlink" Target="https://drive.google.com/open?id=1FOs4LqDgyWqfDzsKarrF3_N8xMfV7bww&amp;usp=drive_fs" TargetMode="External"/><Relationship Id="rId273" Type="http://schemas.openxmlformats.org/officeDocument/2006/relationships/hyperlink" Target="https://drive.google.com/open?id=1hAszShJMuZjq5N9JMu0a1hw87U8Vs5m1&amp;usp=drive_fs" TargetMode="External"/><Relationship Id="rId272" Type="http://schemas.openxmlformats.org/officeDocument/2006/relationships/hyperlink" Target="https://drive.google.com/open?id=19GPz8u-TRBxP2gvirYMVYL9210bnRTmb&amp;usp=drive_fs" TargetMode="External"/><Relationship Id="rId279" Type="http://schemas.openxmlformats.org/officeDocument/2006/relationships/hyperlink" Target="https://drive.google.com/open?id=1GV2jJfFbiomIh7OgxMUTs7fiGLYf6qBZ&amp;usp=drive_fs" TargetMode="External"/><Relationship Id="rId278" Type="http://schemas.openxmlformats.org/officeDocument/2006/relationships/hyperlink" Target="https://drive.google.com/open?id=1AW0Sk0TkUSfcUJJLcq9TWFtuehe_D6TO&amp;usp=drive_fs" TargetMode="External"/><Relationship Id="rId277" Type="http://schemas.openxmlformats.org/officeDocument/2006/relationships/hyperlink" Target="https://drive.google.com/open?id=1AW0Sk0TkUSfcUJJLcq9TWFtuehe_D6TO&amp;usp=drive_fs" TargetMode="External"/><Relationship Id="rId276" Type="http://schemas.openxmlformats.org/officeDocument/2006/relationships/hyperlink" Target="https://drive.google.com/open?id=1DDTN8BnAKiF6Ft1h5EHsQ7whXVJcRtOu&amp;usp=drive_fs" TargetMode="External"/><Relationship Id="rId1851" Type="http://schemas.openxmlformats.org/officeDocument/2006/relationships/hyperlink" Target="https://drive.google.com/open?id=1AT8COyVu1i54kTQbeZJnxYi8bjYPzfhK&amp;authuser=jay.agg%40gmail.com&amp;usp=drive_fs" TargetMode="External"/><Relationship Id="rId1852" Type="http://schemas.openxmlformats.org/officeDocument/2006/relationships/hyperlink" Target="https://drive.google.com/open?id=1AT8COyVu1i54kTQbeZJnxYi8bjYPzfhK&amp;authuser=jay.agg%40gmail.com&amp;usp=drive_fs" TargetMode="External"/><Relationship Id="rId1853" Type="http://schemas.openxmlformats.org/officeDocument/2006/relationships/hyperlink" Target="https://drive.google.com/open?id=1AT8COyVu1i54kTQbeZJnxYi8bjYPzfhK&amp;authuser=jay.agg%40gmail.com&amp;usp=drive_fs" TargetMode="External"/><Relationship Id="rId1854" Type="http://schemas.openxmlformats.org/officeDocument/2006/relationships/hyperlink" Target="https://drive.google.com/open?id=1AT8COyVu1i54kTQbeZJnxYi8bjYPzfhK&amp;authuser=jay.agg%40gmail.com&amp;usp=drive_fs" TargetMode="External"/><Relationship Id="rId1855" Type="http://schemas.openxmlformats.org/officeDocument/2006/relationships/hyperlink" Target="https://drive.google.com/open?id=1AT8COyVu1i54kTQbeZJnxYi8bjYPzfhK&amp;authuser=jay.agg%40gmail.com&amp;usp=drive_fs" TargetMode="External"/><Relationship Id="rId1856" Type="http://schemas.openxmlformats.org/officeDocument/2006/relationships/hyperlink" Target="https://drive.google.com/open?id=1AT8COyVu1i54kTQbeZJnxYi8bjYPzfhK&amp;authuser=jay.agg%40gmail.com&amp;usp=drive_fs" TargetMode="External"/><Relationship Id="rId1857" Type="http://schemas.openxmlformats.org/officeDocument/2006/relationships/hyperlink" Target="https://drive.google.com/open?id=1AT8COyVu1i54kTQbeZJnxYi8bjYPzfhK&amp;authuser=jay.agg%40gmail.com&amp;usp=drive_fs" TargetMode="External"/><Relationship Id="rId1858" Type="http://schemas.openxmlformats.org/officeDocument/2006/relationships/hyperlink" Target="https://drive.google.com/open?id=1AT8COyVu1i54kTQbeZJnxYi8bjYPzfhK&amp;authuser=jay.agg%40gmail.com&amp;usp=drive_fs" TargetMode="External"/><Relationship Id="rId1859" Type="http://schemas.openxmlformats.org/officeDocument/2006/relationships/hyperlink" Target="https://drive.google.com/open?id=1AT8COyVu1i54kTQbeZJnxYi8bjYPzfhK&amp;authuser=jay.agg%40gmail.com&amp;usp=drive_fs" TargetMode="External"/><Relationship Id="rId1850" Type="http://schemas.openxmlformats.org/officeDocument/2006/relationships/hyperlink" Target="https://drive.google.com/open?id=10X2BG7cYDYlpSJG3mQKHtoHj6eC2p2fd&amp;usp=drive_fs" TargetMode="External"/><Relationship Id="rId1840" Type="http://schemas.openxmlformats.org/officeDocument/2006/relationships/hyperlink" Target="https://drive.google.com/open?id=1BzQM7IwFu-xAlJdC03m_KcrzA97-_xag&amp;usp=drive_fs" TargetMode="External"/><Relationship Id="rId1841" Type="http://schemas.openxmlformats.org/officeDocument/2006/relationships/hyperlink" Target="https://drive.google.com/open?id=1C1JNL_BlzvPwtmQ9htpO4bNVWfzwZrIj&amp;usp=drive_fs" TargetMode="External"/><Relationship Id="rId1842" Type="http://schemas.openxmlformats.org/officeDocument/2006/relationships/hyperlink" Target="https://drive.google.com/open?id=1COF-M_SVKhLQTRitRH71cPZ8vsOfS9L4&amp;usp=drive_fs" TargetMode="External"/><Relationship Id="rId1843" Type="http://schemas.openxmlformats.org/officeDocument/2006/relationships/hyperlink" Target="https://drive.google.com/open?id=1SSOqoq8rZzFU7EJFqdN8IqbzfJbsD0iz&amp;usp=drive_fs" TargetMode="External"/><Relationship Id="rId1844" Type="http://schemas.openxmlformats.org/officeDocument/2006/relationships/hyperlink" Target="https://drive.google.com/open?id=1SUDtdgkX89kfBR2T2Ptobqht3Mr_fFqh&amp;usp=drive_fs" TargetMode="External"/><Relationship Id="rId1845" Type="http://schemas.openxmlformats.org/officeDocument/2006/relationships/hyperlink" Target="https://drive.google.com/open?id=1SYz6I2_NSCRRSYBZL8t54Yi-Z-3YUPa-&amp;usp=drive_fs" TargetMode="External"/><Relationship Id="rId1846" Type="http://schemas.openxmlformats.org/officeDocument/2006/relationships/hyperlink" Target="https://drive.google.com/open?id=1Kk2B26XvZmlA8GJ8tPzZBQlUjz3OXj3d&amp;usp=drive_fs" TargetMode="External"/><Relationship Id="rId1847" Type="http://schemas.openxmlformats.org/officeDocument/2006/relationships/hyperlink" Target="https://drive.google.com/open?id=13bU-Ea3-N5Jl3ZE23nOyJwcYXMIxeovC&amp;usp=drive_fs" TargetMode="External"/><Relationship Id="rId1848" Type="http://schemas.openxmlformats.org/officeDocument/2006/relationships/hyperlink" Target="https://drive.google.com/open?id=14TUpx4FWooVgLTGqTB54WJ2D-hXZR3lg&amp;usp=drive_fs" TargetMode="External"/><Relationship Id="rId1849" Type="http://schemas.openxmlformats.org/officeDocument/2006/relationships/hyperlink" Target="https://drive.google.com/open?id=15whr5kfQ-ZTo6t6CWmIhmlirn-86ZlhY&amp;usp=drive_fs" TargetMode="External"/><Relationship Id="rId1873" Type="http://schemas.openxmlformats.org/officeDocument/2006/relationships/hyperlink" Target="https://drive.google.com/open?id=1aW4-M_og5WaVQQ4iizA2NS19wRQUIaUE&amp;authuser=jay.agg%40gmail.com&amp;usp=drive_fs" TargetMode="External"/><Relationship Id="rId1874" Type="http://schemas.openxmlformats.org/officeDocument/2006/relationships/hyperlink" Target="https://drive.google.com/open?id=1aUqTN3Yfja9uGrvVFJCXOeSB61Z_WUGg&amp;authuser=jay.agg%40gmail.com&amp;usp=drive_fs" TargetMode="External"/><Relationship Id="rId1875" Type="http://schemas.openxmlformats.org/officeDocument/2006/relationships/hyperlink" Target="https://drive.google.com/open?id=1aUiaC-vF4683g7c5wBnETHAU2BoeMozw&amp;authuser=jay.agg%40gmail.com&amp;usp=drive_fs" TargetMode="External"/><Relationship Id="rId1876" Type="http://schemas.openxmlformats.org/officeDocument/2006/relationships/hyperlink" Target="https://drive.google.com/open?id=1kHug4D5B3xmPw98bs17ceLDkoSYJEXP9&amp;authuser=jay.agg%40gmail.com&amp;usp=drive_fs" TargetMode="External"/><Relationship Id="rId1877" Type="http://schemas.openxmlformats.org/officeDocument/2006/relationships/hyperlink" Target="https://drive.google.com/open?id=1kcneFD5NOIG2Vho_TXTG9oHyo678Cj_y&amp;authuser=jay.agg%40gmail.com&amp;usp=drive_fs" TargetMode="External"/><Relationship Id="rId1878" Type="http://schemas.openxmlformats.org/officeDocument/2006/relationships/hyperlink" Target="https://drive.google.com/open?id=1kgr2vxS8_nkwFA1LUohYONJiz8sJAFXk&amp;authuser=jay.agg%40gmail.com&amp;usp=drive_fs" TargetMode="External"/><Relationship Id="rId1879" Type="http://schemas.openxmlformats.org/officeDocument/2006/relationships/hyperlink" Target="https://drive.google.com/open?id=1l9wv1vyEdQa8QK_TyX1phOH_FDO3HwTb&amp;authuser=jay.agg%40gmail.com&amp;usp=drive_fs" TargetMode="External"/><Relationship Id="rId1870" Type="http://schemas.openxmlformats.org/officeDocument/2006/relationships/hyperlink" Target="https://drive.google.com/open?id=1AT8COyVu1i54kTQbeZJnxYi8bjYPzfhK&amp;authuser=jay.agg%40gmail.com&amp;usp=drive_fs" TargetMode="External"/><Relationship Id="rId1871" Type="http://schemas.openxmlformats.org/officeDocument/2006/relationships/hyperlink" Target="https://drive.google.com/open?id=1an5CMDBewYe74ImHHlBr6Fkqe1xKNv4A&amp;authuser=jay.agg%40gmail.com&amp;usp=drive_fs" TargetMode="External"/><Relationship Id="rId1872" Type="http://schemas.openxmlformats.org/officeDocument/2006/relationships/hyperlink" Target="https://drive.google.com/open?id=1aZhE49nbNks5v5NF8xTOwqNgOWqHetPT&amp;authuser=jay.agg%40gmail.com&amp;usp=drive_fs" TargetMode="External"/><Relationship Id="rId1862" Type="http://schemas.openxmlformats.org/officeDocument/2006/relationships/hyperlink" Target="https://drive.google.com/open?id=1AT8COyVu1i54kTQbeZJnxYi8bjYPzfhK&amp;authuser=jay.agg%40gmail.com&amp;usp=drive_fs" TargetMode="External"/><Relationship Id="rId1863" Type="http://schemas.openxmlformats.org/officeDocument/2006/relationships/hyperlink" Target="https://drive.google.com/open?id=1lGTcPJhDe8dDbqwEnyeWOeNDd8qptLSd&amp;authuser=jay.agg%40gmail.com&amp;usp=drive_fs" TargetMode="External"/><Relationship Id="rId1864" Type="http://schemas.openxmlformats.org/officeDocument/2006/relationships/hyperlink" Target="https://drive.google.com/open?id=14ZgFjtk4ixUvZY8HCgSt1u9T2wW2pDH_&amp;authuser=jay.agg%40gmail.com&amp;usp=drive_fs" TargetMode="External"/><Relationship Id="rId1865" Type="http://schemas.openxmlformats.org/officeDocument/2006/relationships/hyperlink" Target="https://drive.google.com/open?id=1Km3vKxcP6AK0KnTLdlJZLhCSAjBgPXGM&amp;authuser=jay.agg%40gmail.com&amp;usp=drive_fs" TargetMode="External"/><Relationship Id="rId1866" Type="http://schemas.openxmlformats.org/officeDocument/2006/relationships/hyperlink" Target="https://drive.google.com/open?id=1UHFO5vYGglxzts3NaOsfsLTVwS7d6n69&amp;authuser=jay.agg%40gmail.com&amp;usp=drive_fs" TargetMode="External"/><Relationship Id="rId1867" Type="http://schemas.openxmlformats.org/officeDocument/2006/relationships/hyperlink" Target="https://drive.google.com/open?id=1AT8COyVu1i54kTQbeZJnxYi8bjYPzfhK&amp;authuser=jay.agg%40gmail.com&amp;usp=drive_fs" TargetMode="External"/><Relationship Id="rId1868" Type="http://schemas.openxmlformats.org/officeDocument/2006/relationships/hyperlink" Target="https://drive.google.com/open?id=16QquY8bEJohLFNmwCcmrh_kQH7_Sdq2Z&amp;authuser=jay.agg%40gmail.com&amp;usp=drive_fs" TargetMode="External"/><Relationship Id="rId1869" Type="http://schemas.openxmlformats.org/officeDocument/2006/relationships/hyperlink" Target="https://drive.google.com/open?id=16NQDHMOJH-LU7bzQdw4XaRNCFN08NYa0&amp;authuser=jay.agg%40gmail.com&amp;usp=drive_fs" TargetMode="External"/><Relationship Id="rId1860" Type="http://schemas.openxmlformats.org/officeDocument/2006/relationships/hyperlink" Target="https://drive.google.com/open?id=1AT8COyVu1i54kTQbeZJnxYi8bjYPzfhK&amp;authuser=jay.agg%40gmail.com&amp;usp=drive_fs" TargetMode="External"/><Relationship Id="rId1861" Type="http://schemas.openxmlformats.org/officeDocument/2006/relationships/hyperlink" Target="https://drive.google.com/open?id=1MpUlyn5Pt1wbs484JlIy1BrK0mSarnzf&amp;authuser=jay.agg%40gmail.com&amp;usp=drive_fs" TargetMode="External"/><Relationship Id="rId1810" Type="http://schemas.openxmlformats.org/officeDocument/2006/relationships/hyperlink" Target="https://drive.google.com/open?id=1bwie9jDVp9kvp0yMeeqmrx9FuffOS6Ug&amp;authuser=jay.agg%40gmail.com&amp;usp=drive_fs" TargetMode="External"/><Relationship Id="rId1811" Type="http://schemas.openxmlformats.org/officeDocument/2006/relationships/hyperlink" Target="https://drive.google.com/open?id=1c2d8BMo9nDDidUQWdCpS04Sih0j7Jv_b&amp;authuser=jay.agg%40gmail.com&amp;usp=drive_fs" TargetMode="External"/><Relationship Id="rId1812" Type="http://schemas.openxmlformats.org/officeDocument/2006/relationships/hyperlink" Target="https://drive.google.com/open?id=1a0vK4Yc5d_KTKXjRdtFeUQ8yzIqYCSh7&amp;authuser=jay.agg%40gmail.com&amp;usp=drive_fs" TargetMode="External"/><Relationship Id="rId1813" Type="http://schemas.openxmlformats.org/officeDocument/2006/relationships/hyperlink" Target="https://drive.google.com/open?id=1hHeyP_VZM_U_574WDDhEsT060aKxy6Qe&amp;authuser=jay.agg%40gmail.com&amp;usp=drive_fs" TargetMode="External"/><Relationship Id="rId1814" Type="http://schemas.openxmlformats.org/officeDocument/2006/relationships/hyperlink" Target="https://drive.google.com/open?id=16NCOFjBd2p5u2A7QLXY1oKjx9phOpqYD&amp;authuser=jay.agg%40gmail.com&amp;usp=drive_fs" TargetMode="External"/><Relationship Id="rId1815" Type="http://schemas.openxmlformats.org/officeDocument/2006/relationships/hyperlink" Target="https://drive.google.com/open?id=17AK4TTtz2h1zqqdwSz-GfGfTnclqx9fE&amp;authuser=jay.agg%40gmail.com&amp;usp=drive_fs" TargetMode="External"/><Relationship Id="rId1816" Type="http://schemas.openxmlformats.org/officeDocument/2006/relationships/hyperlink" Target="https://drive.google.com/open?id=17GKWsaEs1sEHY2Gic_Ifm6NVkqeoL4qA&amp;authuser=jay.agg%40gmail.com&amp;usp=drive_fs" TargetMode="External"/><Relationship Id="rId1817" Type="http://schemas.openxmlformats.org/officeDocument/2006/relationships/hyperlink" Target="https://drive.google.com/open?id=17HULbzCp75mQjv2bUNTN_N0OkxiMX_YG&amp;authuser=jay.agg%40gmail.com&amp;usp=drive_fs" TargetMode="External"/><Relationship Id="rId1818" Type="http://schemas.openxmlformats.org/officeDocument/2006/relationships/hyperlink" Target="https://drive.google.com/open?id=17HjKIYWtfY8YBWD24jMT6dKd3tMCY-Wd&amp;authuser=jay.agg%40gmail.com&amp;usp=drive_fs" TargetMode="External"/><Relationship Id="rId1819" Type="http://schemas.openxmlformats.org/officeDocument/2006/relationships/hyperlink" Target="https://drive.google.com/open?id=1AZyjluSlVFWg_-vHuybojM4S_Kb18jJH&amp;authuser=jay.agg%40gmail.com&amp;usp=drive_fs" TargetMode="External"/><Relationship Id="rId1800" Type="http://schemas.openxmlformats.org/officeDocument/2006/relationships/hyperlink" Target="https://drive.google.com/open?id=1YgxAizKUS2SH82sexfKAkGGz_vXcR8jj&amp;authuser=jay.agg%40gmail.com&amp;usp=drive_fs" TargetMode="External"/><Relationship Id="rId1801" Type="http://schemas.openxmlformats.org/officeDocument/2006/relationships/hyperlink" Target="https://drive.google.com/open?id=12LVcKi_Bf7Ww5HUC6UzCcRUAa4wOQ1Iq&amp;authuser=jay.agg%40gmail.com&amp;usp=drive_fs" TargetMode="External"/><Relationship Id="rId1802" Type="http://schemas.openxmlformats.org/officeDocument/2006/relationships/hyperlink" Target="https://drive.google.com/open?id=17nTZG9GX7n0_V0dmHNv7QopbcNEvxGaI&amp;authuser=jay.agg%40gmail.com&amp;usp=drive_fs" TargetMode="External"/><Relationship Id="rId1803" Type="http://schemas.openxmlformats.org/officeDocument/2006/relationships/hyperlink" Target="https://drive.google.com/open?id=11Ssj4ssWzixBU1uxPlVv1UUN400BTPyj&amp;authuser=jay.agg%40gmail.com&amp;usp=drive_fs" TargetMode="External"/><Relationship Id="rId1804" Type="http://schemas.openxmlformats.org/officeDocument/2006/relationships/hyperlink" Target="https://drive.google.com/open?id=19Z4dw9weOsQYA_zcVBI3_2jaBNqVQCJs&amp;authuser=jay.agg%40gmail.com&amp;usp=drive_fs" TargetMode="External"/><Relationship Id="rId1805" Type="http://schemas.openxmlformats.org/officeDocument/2006/relationships/hyperlink" Target="https://drive.google.com/open?id=1DI-iQg6YHye_Ej8jl0WHJPqTsxYKuIGz&amp;authuser=jay.agg%40gmail.com&amp;usp=drive_fs" TargetMode="External"/><Relationship Id="rId1806" Type="http://schemas.openxmlformats.org/officeDocument/2006/relationships/hyperlink" Target="https://drive.google.com/open?id=1GAbfZlw_5yBtDp4CBf6opegaYfl5bti4&amp;authuser=jay.agg%40gmail.com&amp;usp=drive_fs" TargetMode="External"/><Relationship Id="rId1807" Type="http://schemas.openxmlformats.org/officeDocument/2006/relationships/hyperlink" Target="https://drive.google.com/open?id=1P5cirJ40Og5s-Z960sUu395NTwbFgAcY&amp;authuser=jay.agg%40gmail.com&amp;usp=drive_fs" TargetMode="External"/><Relationship Id="rId1808" Type="http://schemas.openxmlformats.org/officeDocument/2006/relationships/hyperlink" Target="https://drive.google.com/open?id=1XSUeHNu4gYcUT3s9MjYBljmBwokHxr4o&amp;authuser=jay.agg%40gmail.com&amp;usp=drive_fs" TargetMode="External"/><Relationship Id="rId1809" Type="http://schemas.openxmlformats.org/officeDocument/2006/relationships/hyperlink" Target="https://drive.google.com/open?id=1XSUeHNu4gYcUT3s9MjYBljmBwokHxr4o&amp;authuser=jay.agg%40gmail.com&amp;usp=drive_fs" TargetMode="External"/><Relationship Id="rId1830" Type="http://schemas.openxmlformats.org/officeDocument/2006/relationships/hyperlink" Target="https://drive.google.com/open?id=122f2_83lz72nz498vK4YOojn4OjkG_2k&amp;authuser=jay.agg%40gmail.com&amp;usp=drive_fs" TargetMode="External"/><Relationship Id="rId1831" Type="http://schemas.openxmlformats.org/officeDocument/2006/relationships/hyperlink" Target="https://drive.google.com/open?id=1YgCRJee892XlmQPkRvEmTyTlr8FKfJ7G&amp;authuser=jay.agg%40gmail.com&amp;usp=drive_fs" TargetMode="External"/><Relationship Id="rId1832" Type="http://schemas.openxmlformats.org/officeDocument/2006/relationships/hyperlink" Target="https://drive.google.com/open?id=1Yz8toFC4OGeiiWMrdoMIvHsUKDe4lf-Q&amp;authuser=jay.agg%40gmail.com&amp;usp=drive_fs" TargetMode="External"/><Relationship Id="rId1833" Type="http://schemas.openxmlformats.org/officeDocument/2006/relationships/hyperlink" Target="https://drive.google.com/open?id=1YzZC65UjSPgnSgEDgtj55Z2T1Q2GXb-e&amp;authuser=jay.agg%40gmail.com&amp;usp=drive_fs" TargetMode="External"/><Relationship Id="rId1834" Type="http://schemas.openxmlformats.org/officeDocument/2006/relationships/hyperlink" Target="https://drive.google.com/open?id=10Aosq1_XFgdrcXI42USwpmTWCyHJzZtD&amp;authuser=jay.agg%40gmail.com&amp;usp=drive_fs" TargetMode="External"/><Relationship Id="rId1835" Type="http://schemas.openxmlformats.org/officeDocument/2006/relationships/hyperlink" Target="https://drive.google.com/open?id=1MZlhJskq2J1_HjqnWSvrK3Di3iIwHVxZ&amp;usp=drive_fs" TargetMode="External"/><Relationship Id="rId1836" Type="http://schemas.openxmlformats.org/officeDocument/2006/relationships/hyperlink" Target="https://drive.google.com/open?id=1OdeBZ3Ubs70xtp6VKfM2bBWK_4zcBxKy&amp;usp=drive_fs" TargetMode="External"/><Relationship Id="rId1837" Type="http://schemas.openxmlformats.org/officeDocument/2006/relationships/hyperlink" Target="https://drive.google.com/open?id=195IXaazbSUSn_llZiMcFcRxWBKwIIwpj&amp;usp=drive_fs" TargetMode="External"/><Relationship Id="rId1838" Type="http://schemas.openxmlformats.org/officeDocument/2006/relationships/hyperlink" Target="https://drive.google.com/open?id=1BwbDHultEoBbMTmxTawpZEmwacQVxIAB&amp;usp=drive_fs" TargetMode="External"/><Relationship Id="rId1839" Type="http://schemas.openxmlformats.org/officeDocument/2006/relationships/hyperlink" Target="https://drive.google.com/open?id=1ByvD7x5kWjK2pyE6tiCF7UWbRNMzZUhQ&amp;usp=drive_fs" TargetMode="External"/><Relationship Id="rId1820" Type="http://schemas.openxmlformats.org/officeDocument/2006/relationships/hyperlink" Target="https://drive.google.com/open?id=1AZyjluSlVFWg_-vHuybojM4S_Kb18jJH&amp;authuser=jay.agg%40gmail.com&amp;usp=drive_fs" TargetMode="External"/><Relationship Id="rId1821" Type="http://schemas.openxmlformats.org/officeDocument/2006/relationships/hyperlink" Target="https://drive.google.com/open?id=1Bs3BJXBMXT7nUqoBUfarZQXKZ3Ms-8Q7&amp;authuser=jay.agg%40gmail.com&amp;usp=drive_fs" TargetMode="External"/><Relationship Id="rId1822" Type="http://schemas.openxmlformats.org/officeDocument/2006/relationships/hyperlink" Target="https://drive.google.com/open?id=1CVP33VHWZ9H_-N30RkdWoZ5_ttH26j3k&amp;authuser=jay.agg%40gmail.com&amp;usp=drive_fs" TargetMode="External"/><Relationship Id="rId1823" Type="http://schemas.openxmlformats.org/officeDocument/2006/relationships/hyperlink" Target="https://drive.google.com/open?id=1NFB5thMglqEaSsk_-iEgjBeKLs_lszlm&amp;authuser=jay.agg%40gmail.com&amp;usp=drive_fs" TargetMode="External"/><Relationship Id="rId1824" Type="http://schemas.openxmlformats.org/officeDocument/2006/relationships/hyperlink" Target="https://drive.google.com/open?id=1NHBQh_M-agNIZjAg331eHGrolzhVgV7p&amp;authuser=jay.agg%40gmail.com&amp;usp=drive_fs" TargetMode="External"/><Relationship Id="rId1825" Type="http://schemas.openxmlformats.org/officeDocument/2006/relationships/hyperlink" Target="https://drive.google.com/open?id=1QzScwO412dZQ4jkgTxtwYpD8IhD3_sT5&amp;authuser=jay.agg%40gmail.com&amp;usp=drive_fs" TargetMode="External"/><Relationship Id="rId1826" Type="http://schemas.openxmlformats.org/officeDocument/2006/relationships/hyperlink" Target="https://drive.google.com/open?id=1TsRvXKWhOEoBfewaqDySdMJVHKGWrhUa&amp;authuser=jay.agg%40gmail.com&amp;usp=drive_fs" TargetMode="External"/><Relationship Id="rId1827" Type="http://schemas.openxmlformats.org/officeDocument/2006/relationships/hyperlink" Target="https://drive.google.com/open?id=1Um4Owdo76TznadEzSpAeEnrjQZ2ynQFQ&amp;authuser=jay.agg%40gmail.com&amp;usp=drive_fs" TargetMode="External"/><Relationship Id="rId1828" Type="http://schemas.openxmlformats.org/officeDocument/2006/relationships/hyperlink" Target="https://drive.google.com/open?id=1UpNxeD07yd8ktkJV4T18Xj92McpTF_I3&amp;authuser=jay.agg%40gmail.com&amp;usp=drive_fs" TargetMode="External"/><Relationship Id="rId1829" Type="http://schemas.openxmlformats.org/officeDocument/2006/relationships/hyperlink" Target="https://drive.google.com/open?id=122dUccBPLtRzneGGz94GyghY-_8T7Ivs&amp;authuser=jay.agg%40gmail.com&amp;usp=drive_fs" TargetMode="External"/><Relationship Id="rId1455" Type="http://schemas.openxmlformats.org/officeDocument/2006/relationships/hyperlink" Target="https://drive.google.com/open?id=1HQX0d0h1jNEmJESrNTTEbcwZBmD_3BUX&amp;authuser=jay.agg%40gmail.com&amp;usp=drive_fs" TargetMode="External"/><Relationship Id="rId1456" Type="http://schemas.openxmlformats.org/officeDocument/2006/relationships/hyperlink" Target="https://drive.google.com/open?id=1HT7wAyUd77VuxlTFZdCO0YimUvCISXL5&amp;authuser=jay.agg%40gmail.com&amp;usp=drive_fs" TargetMode="External"/><Relationship Id="rId1457" Type="http://schemas.openxmlformats.org/officeDocument/2006/relationships/hyperlink" Target="https://drive.google.com/open?id=1SBNZ9XKZENOrh6z_O8d2VCnO3mbdg_Mr&amp;authuser=jay.agg%40gmail.com&amp;usp=drive_fs" TargetMode="External"/><Relationship Id="rId1458" Type="http://schemas.openxmlformats.org/officeDocument/2006/relationships/hyperlink" Target="https://drive.google.com/open?id=1YL88kyVp5NVEJTjQJE60-uOyWbMeoPLd&amp;authuser=jay.agg%40gmail.com&amp;usp=drive_fs" TargetMode="External"/><Relationship Id="rId1459" Type="http://schemas.openxmlformats.org/officeDocument/2006/relationships/hyperlink" Target="https://drive.google.com/open?id=1Uk9DhEwdgmZJpl7N6mThE6rONUxm7CIp&amp;authuser=jay.agg%40gmail.com&amp;usp=drive_fs" TargetMode="External"/><Relationship Id="rId629" Type="http://schemas.openxmlformats.org/officeDocument/2006/relationships/hyperlink" Target="https://drive.google.com/open?id=1J7N_Emz3m9_noZLGvgTC_0eEamNxHO5o&amp;authuser=jay.agg%40gmail.com&amp;usp=drive_fs" TargetMode="External"/><Relationship Id="rId624" Type="http://schemas.openxmlformats.org/officeDocument/2006/relationships/hyperlink" Target="https://drive.google.com/open?id=1LufqyFjq4gr4Y3PE2ay4OrOd1VTHNK3z&amp;authuser=jay.agg%40gmail.com&amp;usp=drive_fs" TargetMode="External"/><Relationship Id="rId623" Type="http://schemas.openxmlformats.org/officeDocument/2006/relationships/hyperlink" Target="https://drive.google.com/open?id=1LBludiD6Oc_rZNQbSbrutSUY2Ecvu3-X&amp;authuser=jay.agg%40gmail.com&amp;usp=drive_fs" TargetMode="External"/><Relationship Id="rId622" Type="http://schemas.openxmlformats.org/officeDocument/2006/relationships/hyperlink" Target="https://drive.google.com/open?id=1Lsm1sdPOoaSN5o5RmB7bfzftefWNvXUS&amp;authuser=jay.agg%40gmail.com&amp;usp=drive_fs" TargetMode="External"/><Relationship Id="rId621" Type="http://schemas.openxmlformats.org/officeDocument/2006/relationships/hyperlink" Target="https://drive.google.com/open?id=1LhJ2ZZbgBfSRXKjp2Vm9d-fSgDgWZt5u&amp;authuser=jay.agg%40gmail.com&amp;usp=drive_fs" TargetMode="External"/><Relationship Id="rId628" Type="http://schemas.openxmlformats.org/officeDocument/2006/relationships/hyperlink" Target="https://drive.google.com/open?id=1LHQt4rrMiq4NVUX4Gu4LvqvOvGh9Izfc&amp;authuser=jay.agg%40gmail.com&amp;usp=drive_fs" TargetMode="External"/><Relationship Id="rId627" Type="http://schemas.openxmlformats.org/officeDocument/2006/relationships/hyperlink" Target="https://drive.google.com/open?id=1LDuXK2LMWOpJx80u7T1pETk6xOLDqyUj&amp;authuser=jay.agg%40gmail.com&amp;usp=drive_fs" TargetMode="External"/><Relationship Id="rId626" Type="http://schemas.openxmlformats.org/officeDocument/2006/relationships/hyperlink" Target="https://drive.google.com/open?id=1KcbWT-vGSAkr7konOOzz84Kf0Ew0LQyN&amp;authuser=jay.agg%40gmail.com&amp;usp=drive_fs" TargetMode="External"/><Relationship Id="rId625" Type="http://schemas.openxmlformats.org/officeDocument/2006/relationships/hyperlink" Target="https://drive.google.com/open?id=1KjoWHLSpmgniePIsJzMYKUqch4Q7lF5i&amp;authuser=jay.agg%40gmail.com&amp;usp=drive_fs" TargetMode="External"/><Relationship Id="rId1450" Type="http://schemas.openxmlformats.org/officeDocument/2006/relationships/hyperlink" Target="https://drive.google.com/open?id=1QtP9wZOyolgWVvmLYDZRPMcej922wZ5v&amp;authuser=jay.agg%40gmail.com&amp;usp=drive_fs" TargetMode="External"/><Relationship Id="rId620" Type="http://schemas.openxmlformats.org/officeDocument/2006/relationships/hyperlink" Target="https://drive.google.com/open?id=1J0-zGGjroSMOJtc02dtfoyEYkLwlz4fT&amp;authuser=jay.agg%40gmail.com&amp;usp=drive_fs" TargetMode="External"/><Relationship Id="rId1451" Type="http://schemas.openxmlformats.org/officeDocument/2006/relationships/hyperlink" Target="https://drive.google.com/open?id=1Qux2u2uhL4-xjgM6pjBVL5IJgs9z5EMz&amp;authuser=jay.agg%40gmail.com&amp;usp=drive_fs" TargetMode="External"/><Relationship Id="rId1452" Type="http://schemas.openxmlformats.org/officeDocument/2006/relationships/hyperlink" Target="https://drive.google.com/open?id=1REDbRs5gYL_6WV6RTTGBCZMs2Sc15K7c&amp;authuser=jay.agg%40gmail.com&amp;usp=drive_fs" TargetMode="External"/><Relationship Id="rId1453" Type="http://schemas.openxmlformats.org/officeDocument/2006/relationships/hyperlink" Target="https://drive.google.com/open?id=1ENN4gbEyx39nRDZTqUOqrNacz1AK31Iy&amp;authuser=jay.agg%40gmail.com&amp;usp=drive_fs" TargetMode="External"/><Relationship Id="rId1454" Type="http://schemas.openxmlformats.org/officeDocument/2006/relationships/hyperlink" Target="https://drive.google.com/open?id=1GAXVxlp5SObAqECl6eASUfJhSUM5c0hd&amp;authuser=jay.agg%40gmail.com&amp;usp=drive_fs" TargetMode="External"/><Relationship Id="rId1444" Type="http://schemas.openxmlformats.org/officeDocument/2006/relationships/hyperlink" Target="https://drive.google.com/open?id=1B5OWmwwWOdAC97CIjuz7kFkKORijaDpC&amp;authuser=jay.agg%40gmail.com&amp;usp=drive_fs" TargetMode="External"/><Relationship Id="rId1445" Type="http://schemas.openxmlformats.org/officeDocument/2006/relationships/hyperlink" Target="https://drive.google.com/open?id=1BXXLTxS1keLlpSEP-qozc2FtJBNq3H_h&amp;authuser=jay.agg%40gmail.com&amp;usp=drive_fs" TargetMode="External"/><Relationship Id="rId1446" Type="http://schemas.openxmlformats.org/officeDocument/2006/relationships/hyperlink" Target="https://drive.google.com/open?id=1Bycg4J-cztxO4jDmAdUkaak7iCAvY61D&amp;authuser=jay.agg%40gmail.com&amp;usp=drive_fs" TargetMode="External"/><Relationship Id="rId1447" Type="http://schemas.openxmlformats.org/officeDocument/2006/relationships/hyperlink" Target="https://drive.google.com/open?id=1C2rwdGASv0OvetfacXFALBcD7mdnff7F&amp;authuser=jay.agg%40gmail.com&amp;usp=drive_fs" TargetMode="External"/><Relationship Id="rId1448" Type="http://schemas.openxmlformats.org/officeDocument/2006/relationships/hyperlink" Target="https://drive.google.com/open?id=1C6w4ZkycCo7BgXCJY59hc27yC1wDteno&amp;authuser=jay.agg%40gmail.com&amp;usp=drive_fs" TargetMode="External"/><Relationship Id="rId1449" Type="http://schemas.openxmlformats.org/officeDocument/2006/relationships/hyperlink" Target="https://drive.google.com/open?id=1QBdzeB2f091LGgAyMC6Y745U2LIB3Uec&amp;authuser=jay.agg%40gmail.com&amp;usp=drive_fs" TargetMode="External"/><Relationship Id="rId619" Type="http://schemas.openxmlformats.org/officeDocument/2006/relationships/hyperlink" Target="https://drive.google.com/open?id=1L6OiNNqO3VIbhlNPu8nGYYX5roxt0pwn&amp;authuser=jay.agg%40gmail.com&amp;usp=drive_fs" TargetMode="External"/><Relationship Id="rId618" Type="http://schemas.openxmlformats.org/officeDocument/2006/relationships/hyperlink" Target="https://drive.google.com/open?id=1KtolPS5CoUUEq81FFPAOSc8M2h71-n1T&amp;authuser=jay.agg%40gmail.com&amp;usp=drive_fs" TargetMode="External"/><Relationship Id="rId613" Type="http://schemas.openxmlformats.org/officeDocument/2006/relationships/hyperlink" Target="https://drive.google.com/open?id=1KRtBZoNHGtATI6P_5UXSiv1sONozyTQJ&amp;authuser=jay.agg%40gmail.com&amp;usp=drive_fs" TargetMode="External"/><Relationship Id="rId612" Type="http://schemas.openxmlformats.org/officeDocument/2006/relationships/hyperlink" Target="https://drive.google.com/open?id=1KOFDn5Fze_OqDjAOfrxLpgk6qHiYchEr&amp;authuser=jay.agg%40gmail.com&amp;usp=drive_fs" TargetMode="External"/><Relationship Id="rId611" Type="http://schemas.openxmlformats.org/officeDocument/2006/relationships/hyperlink" Target="https://drive.google.com/open?id=1K5Y3Ez7G1r0WyD0o_yoxYrV__R3-4zC5&amp;authuser=jay.agg%40gmail.com&amp;usp=drive_fs" TargetMode="External"/><Relationship Id="rId610" Type="http://schemas.openxmlformats.org/officeDocument/2006/relationships/hyperlink" Target="https://drive.google.com/open?id=1La8rAfuBBV89azcIvcd5-zLVGexOe0ot&amp;authuser=jay.agg%40gmail.com&amp;usp=drive_fs" TargetMode="External"/><Relationship Id="rId617" Type="http://schemas.openxmlformats.org/officeDocument/2006/relationships/hyperlink" Target="https://drive.google.com/open?id=1K_Blo3ztb0PgHM_KRMwUZzg57MBcvW2F&amp;authuser=jay.agg%40gmail.com&amp;usp=drive_fs" TargetMode="External"/><Relationship Id="rId616" Type="http://schemas.openxmlformats.org/officeDocument/2006/relationships/hyperlink" Target="https://drive.google.com/open?id=1KZbmhXGjtCzDd3NzNyDNIyKyKIFVPxa6&amp;authuser=jay.agg%40gmail.com&amp;usp=drive_fs" TargetMode="External"/><Relationship Id="rId615" Type="http://schemas.openxmlformats.org/officeDocument/2006/relationships/hyperlink" Target="https://drive.google.com/open?id=1KZGO_qzZgCo2OgBSnPum8kOyM24CJUJa&amp;authuser=jay.agg%40gmail.com&amp;usp=drive_fs" TargetMode="External"/><Relationship Id="rId614" Type="http://schemas.openxmlformats.org/officeDocument/2006/relationships/hyperlink" Target="https://drive.google.com/open?id=1KUJcINMK--eJ4hUkOROzlYJ4qjNZlPKV&amp;authuser=jay.agg%40gmail.com&amp;usp=drive_fs" TargetMode="External"/><Relationship Id="rId1440" Type="http://schemas.openxmlformats.org/officeDocument/2006/relationships/hyperlink" Target="https://drive.google.com/open?id=1I7LNmtBWX7SsMxUnEeEL6TRrDA6zvVIC&amp;authuser=jay.agg%40gmail.com&amp;usp=drive_fs" TargetMode="External"/><Relationship Id="rId1441" Type="http://schemas.openxmlformats.org/officeDocument/2006/relationships/hyperlink" Target="https://drive.google.com/open?id=14DCkhp551q50ZqtmR_3IgJkP3-OtqM2O&amp;authuser=jay.agg%40gmail.com&amp;usp=drive_fs" TargetMode="External"/><Relationship Id="rId1442" Type="http://schemas.openxmlformats.org/officeDocument/2006/relationships/hyperlink" Target="https://drive.google.com/open?id=14N1QAHu_wleuB_B_3fFxsM0tMaIgJ2Z5&amp;authuser=jay.agg%40gmail.com&amp;usp=drive_fs" TargetMode="External"/><Relationship Id="rId1443" Type="http://schemas.openxmlformats.org/officeDocument/2006/relationships/hyperlink" Target="https://drive.google.com/open?id=1MOUmnlDJsHYjun6A3EYGgokjaNsoecwJ&amp;authuser=jay.agg%40gmail.com&amp;usp=drive_fs" TargetMode="External"/><Relationship Id="rId1477" Type="http://schemas.openxmlformats.org/officeDocument/2006/relationships/hyperlink" Target="https://drive.google.com/open?id=1MhI2lx4zqj0NPZABxkp81w_2XjK5lS5I&amp;authuser=jay.agg%40gmail.com&amp;usp=drive_fs" TargetMode="External"/><Relationship Id="rId1478" Type="http://schemas.openxmlformats.org/officeDocument/2006/relationships/hyperlink" Target="https://drive.google.com/open?id=1MnVPIT_P_CZqTU-A9qUWiGixInrkfsXI&amp;authuser=jay.agg%40gmail.com&amp;usp=drive_fs" TargetMode="External"/><Relationship Id="rId1479" Type="http://schemas.openxmlformats.org/officeDocument/2006/relationships/hyperlink" Target="https://drive.google.com/open?id=1anmCm413FuAp4rPRhBUkQx9-uZhmRoFI&amp;authuser=jay.agg%40gmail.com&amp;usp=drive_fs" TargetMode="External"/><Relationship Id="rId646" Type="http://schemas.openxmlformats.org/officeDocument/2006/relationships/hyperlink" Target="https://drive.google.com/open?id=1JHODC4mivV4KxR_7fJ7ZGNBuVLTgJk06&amp;authuser=jay.agg%40gmail.com&amp;usp=drive_fs" TargetMode="External"/><Relationship Id="rId645" Type="http://schemas.openxmlformats.org/officeDocument/2006/relationships/hyperlink" Target="https://drive.google.com/open?id=1AZEKdCJDMH-2WS7tZTNosO0ZlZeF222E&amp;authuser=jay.agg%40gmail.com&amp;usp=drive_fs" TargetMode="External"/><Relationship Id="rId644" Type="http://schemas.openxmlformats.org/officeDocument/2006/relationships/hyperlink" Target="https://drive.google.com/open?id=1I1_k5B7ycYc0pYOF4XELNzy41XzqCmeM&amp;authuser=jay.agg%40gmail.com&amp;usp=drive_fs" TargetMode="External"/><Relationship Id="rId643" Type="http://schemas.openxmlformats.org/officeDocument/2006/relationships/hyperlink" Target="https://drive.google.com/open?id=1I9uzHxvbtWCS5konUIo5MJtKD-TH-YRH&amp;authuser=jay.agg%40gmail.com&amp;usp=drive_fs" TargetMode="External"/><Relationship Id="rId649" Type="http://schemas.openxmlformats.org/officeDocument/2006/relationships/hyperlink" Target="https://drive.google.com/open?id=1JZ9VIiX8wi7Ob991y_HsJwknLQdibCNE&amp;authuser=jay.agg%40gmail.com&amp;usp=drive_fs" TargetMode="External"/><Relationship Id="rId648" Type="http://schemas.openxmlformats.org/officeDocument/2006/relationships/hyperlink" Target="https://drive.google.com/open?id=1JQKVsSqsamKj9GgFzwfW6oLyRlRjoov7&amp;authuser=jay.agg%40gmail.com&amp;usp=drive_fs" TargetMode="External"/><Relationship Id="rId647" Type="http://schemas.openxmlformats.org/officeDocument/2006/relationships/hyperlink" Target="https://drive.google.com/open?id=1JPWpWCvSvWqhxfhBh6Wb1MAZ_vFmkvDZ&amp;authuser=jay.agg%40gmail.com&amp;usp=drive_fs" TargetMode="External"/><Relationship Id="rId1470" Type="http://schemas.openxmlformats.org/officeDocument/2006/relationships/hyperlink" Target="https://drive.google.com/open?id=122DWcNVbMBYGfHoWx7IoTYhLYLcbPWuW&amp;authuser=jay.agg%40gmail.com&amp;usp=drive_fs" TargetMode="External"/><Relationship Id="rId1471" Type="http://schemas.openxmlformats.org/officeDocument/2006/relationships/hyperlink" Target="https://drive.google.com/open?id=125Y_2ZW3fq8dlFSivHwvfrpoiizUirb9&amp;authuser=jay.agg%40gmail.com&amp;usp=drive_fs" TargetMode="External"/><Relationship Id="rId1472" Type="http://schemas.openxmlformats.org/officeDocument/2006/relationships/hyperlink" Target="https://drive.google.com/open?id=1GGqKC8bHcJ806_ZAD6uBP6YOIUEK3Jq9&amp;authuser=jay.agg%40gmail.com&amp;usp=drive_fs" TargetMode="External"/><Relationship Id="rId642" Type="http://schemas.openxmlformats.org/officeDocument/2006/relationships/hyperlink" Target="https://drive.google.com/open?id=1IR92fP8qdU6BvCGzsHQHPvMwejZ0T9cz&amp;authuser=jay.agg%40gmail.com&amp;usp=drive_fs" TargetMode="External"/><Relationship Id="rId1473" Type="http://schemas.openxmlformats.org/officeDocument/2006/relationships/hyperlink" Target="https://drive.google.com/open?id=1Gyl9QmpCelTfKVoxNS5dajJQk7JzHdFP&amp;authuser=jay.agg%40gmail.com&amp;usp=drive_fs" TargetMode="External"/><Relationship Id="rId641" Type="http://schemas.openxmlformats.org/officeDocument/2006/relationships/hyperlink" Target="https://drive.google.com/open?id=1IOyJbl4GNct61zrISFm1aJ5Daaqj-B_R&amp;authuser=jay.agg%40gmail.com&amp;usp=drive_fs" TargetMode="External"/><Relationship Id="rId1474" Type="http://schemas.openxmlformats.org/officeDocument/2006/relationships/hyperlink" Target="https://drive.google.com/open?id=1AdXXex1EliYp7jvUubvZEMlzEIu47jsB&amp;authuser=jay.agg%40gmail.com&amp;usp=drive_fs" TargetMode="External"/><Relationship Id="rId640" Type="http://schemas.openxmlformats.org/officeDocument/2006/relationships/hyperlink" Target="https://drive.google.com/open?id=1IXBjeYGAVsfvhrn7cOKM0Aejf1io_U-t&amp;authuser=jay.agg%40gmail.com&amp;usp=drive_fs" TargetMode="External"/><Relationship Id="rId1475" Type="http://schemas.openxmlformats.org/officeDocument/2006/relationships/hyperlink" Target="https://drive.google.com/open?id=1BV_7rvRLA0Y3f-UTSr0H1i6GXGwcX4jp&amp;authuser=jay.agg%40gmail.com&amp;usp=drive_fs" TargetMode="External"/><Relationship Id="rId1476" Type="http://schemas.openxmlformats.org/officeDocument/2006/relationships/hyperlink" Target="https://drive.google.com/open?id=1TR2sLgdPxQ_u2MdfwSF_SEaHbyADeNwI&amp;authuser=jay.agg%40gmail.com&amp;usp=drive_fs" TargetMode="External"/><Relationship Id="rId1466" Type="http://schemas.openxmlformats.org/officeDocument/2006/relationships/hyperlink" Target="https://drive.google.com/open?id=12BzRrEWVOdg1rk7tkzZa1Uw-bnk8yDhn&amp;authuser=jay.agg%40gmail.com&amp;usp=drive_fs" TargetMode="External"/><Relationship Id="rId1467" Type="http://schemas.openxmlformats.org/officeDocument/2006/relationships/hyperlink" Target="https://drive.google.com/open?id=16ytGu9HP9ZuUzpzX_vBqEr8Jes6YWhBG&amp;authuser=jay.agg%40gmail.com&amp;usp=drive_fs" TargetMode="External"/><Relationship Id="rId1468" Type="http://schemas.openxmlformats.org/officeDocument/2006/relationships/hyperlink" Target="https://drive.google.com/open?id=174qSO5lE2tjrPqjiGeha5BJN8kNv8hD2&amp;authuser=jay.agg%40gmail.com&amp;usp=drive_fs" TargetMode="External"/><Relationship Id="rId1469" Type="http://schemas.openxmlformats.org/officeDocument/2006/relationships/hyperlink" Target="https://drive.google.com/open?id=121LcT3Jlk7QML542-odkJuczMCx_vrJA&amp;authuser=jay.agg%40gmail.com&amp;usp=drive_fs" TargetMode="External"/><Relationship Id="rId635" Type="http://schemas.openxmlformats.org/officeDocument/2006/relationships/hyperlink" Target="https://drive.google.com/open?id=1idjwFS-GYI7IAVU0CWFDOp1vi_2m1jdy&amp;authuser=jay.agg%40gmail.com&amp;usp=drive_fs" TargetMode="External"/><Relationship Id="rId634" Type="http://schemas.openxmlformats.org/officeDocument/2006/relationships/hyperlink" Target="https://drive.google.com/open?id=1J0j6aKVGWU_hPsmCWefvbTiQGsAkQgCo&amp;authuser=jay.agg%40gmail.com&amp;usp=drive_fs" TargetMode="External"/><Relationship Id="rId633" Type="http://schemas.openxmlformats.org/officeDocument/2006/relationships/hyperlink" Target="https://drive.google.com/open?id=1JEQ1UhyziAPqJ_CsHpB_0cjiDNisYFlD&amp;authuser=jay.agg%40gmail.com&amp;usp=drive_fs" TargetMode="External"/><Relationship Id="rId632" Type="http://schemas.openxmlformats.org/officeDocument/2006/relationships/hyperlink" Target="https://drive.google.com/open?id=1Ka4qN7YBxWbRLQ_MzbBWb14rp9AuPH0e&amp;authuser=jay.agg%40gmail.com&amp;usp=drive_fs" TargetMode="External"/><Relationship Id="rId639" Type="http://schemas.openxmlformats.org/officeDocument/2006/relationships/hyperlink" Target="https://drive.google.com/open?id=1IXKRdk4xQ0vLsmJJWcglUm32xpa3UsRB&amp;authuser=jay.agg%40gmail.com&amp;usp=drive_fs" TargetMode="External"/><Relationship Id="rId638" Type="http://schemas.openxmlformats.org/officeDocument/2006/relationships/hyperlink" Target="https://drive.google.com/open?id=1I_2lpa1bOhUYDJlyixode73IeFcPIC6x&amp;authuser=jay.agg%40gmail.com&amp;usp=drive_fs" TargetMode="External"/><Relationship Id="rId637" Type="http://schemas.openxmlformats.org/officeDocument/2006/relationships/hyperlink" Target="https://drive.google.com/open?id=1Iew70STC5DDLFu4l3qX6yVhmSkiyiA8i&amp;authuser=jay.agg%40gmail.com&amp;usp=drive_fs" TargetMode="External"/><Relationship Id="rId636" Type="http://schemas.openxmlformats.org/officeDocument/2006/relationships/hyperlink" Target="https://drive.google.com/open?id=1Isob5jV27b_CsEvbMNHRgNTabQeN-JmO&amp;authuser=jay.agg%40gmail.com&amp;usp=drive_fs" TargetMode="External"/><Relationship Id="rId1460" Type="http://schemas.openxmlformats.org/officeDocument/2006/relationships/hyperlink" Target="https://drive.google.com/open?id=11HKadoShBx6MmjMR_K2YvAeWNQ-47eTV&amp;authuser=jay.agg%40gmail.com&amp;usp=drive_fs" TargetMode="External"/><Relationship Id="rId1461" Type="http://schemas.openxmlformats.org/officeDocument/2006/relationships/hyperlink" Target="https://drive.google.com/open?id=11Tt76EB9Xm61jvNOQVfZVXNPOylCAyGz&amp;authuser=jay.agg%40gmail.com&amp;usp=drive_fs" TargetMode="External"/><Relationship Id="rId631" Type="http://schemas.openxmlformats.org/officeDocument/2006/relationships/hyperlink" Target="https://drive.google.com/open?id=1J1xrBvVPs9bg-vMHcPxuuglti5hihyoa&amp;authuser=jay.agg%40gmail.com&amp;usp=drive_fs" TargetMode="External"/><Relationship Id="rId1462" Type="http://schemas.openxmlformats.org/officeDocument/2006/relationships/hyperlink" Target="https://drive.google.com/open?id=11WVcIndz9U-t8Sigq0C7HrabjN1aU4gO&amp;authuser=jay.agg%40gmail.com&amp;usp=drive_fs" TargetMode="External"/><Relationship Id="rId630" Type="http://schemas.openxmlformats.org/officeDocument/2006/relationships/hyperlink" Target="https://drive.google.com/open?id=1KvcJMWNh36CRpKHopUwod5wv8jaSFIvY&amp;authuser=jay.agg%40gmail.com&amp;usp=drive_fs" TargetMode="External"/><Relationship Id="rId1463" Type="http://schemas.openxmlformats.org/officeDocument/2006/relationships/hyperlink" Target="https://drive.google.com/open?id=11YRwP4MYz2toYD3GEN5r1OBfA07FQR3r&amp;authuser=jay.agg%40gmail.com&amp;usp=drive_fs" TargetMode="External"/><Relationship Id="rId1464" Type="http://schemas.openxmlformats.org/officeDocument/2006/relationships/hyperlink" Target="https://drive.google.com/open?id=11d-HjctfZhLpnojDHcAh0b4EpJQHqB97&amp;authuser=jay.agg%40gmail.com&amp;usp=drive_fs" TargetMode="External"/><Relationship Id="rId1465" Type="http://schemas.openxmlformats.org/officeDocument/2006/relationships/hyperlink" Target="https://drive.google.com/open?id=1-Um2m9yDhXH572HPnMMeiOM3K-7yjmap&amp;authuser=jay.agg%40gmail.com&amp;usp=drive_fs" TargetMode="External"/><Relationship Id="rId1411" Type="http://schemas.openxmlformats.org/officeDocument/2006/relationships/hyperlink" Target="https://drive.google.com/open?id=12hf7W7RAewtPF7HnSeJrMav_-FLjvVjm&amp;usp=drive_fs" TargetMode="External"/><Relationship Id="rId1895" Type="http://schemas.openxmlformats.org/officeDocument/2006/relationships/hyperlink" Target="https://drive.google.com/open?id=1VVZH6xAd3hC2qix7f76UtuOXMndP98Z9&amp;authuser=jay.agg%40gmail.com&amp;usp=drive_fs" TargetMode="External"/><Relationship Id="rId1412" Type="http://schemas.openxmlformats.org/officeDocument/2006/relationships/hyperlink" Target="https://drive.google.com/open?id=1dD5T1uYO6DQhR3YvrpHNAi4p4ZCWN5RB&amp;usp=drive_fs" TargetMode="External"/><Relationship Id="rId1896" Type="http://schemas.openxmlformats.org/officeDocument/2006/relationships/hyperlink" Target="https://drive.google.com/open?id=1T9f66pR2twqyKE8JPZpkKenZ5eTSE4g2&amp;authuser=jay.agg%40gmail.com&amp;usp=drive_fs" TargetMode="External"/><Relationship Id="rId1413" Type="http://schemas.openxmlformats.org/officeDocument/2006/relationships/hyperlink" Target="https://drive.google.com/open?id=14spaHVnuTRfhHyDllL17xnSujqou-4YG&amp;usp=drive_fs" TargetMode="External"/><Relationship Id="rId1897" Type="http://schemas.openxmlformats.org/officeDocument/2006/relationships/hyperlink" Target="https://drive.google.com/open?id=119x5njRbYsg3PsWzGZRi1jLzMtLVgdpk&amp;authuser=jay.agg%40gmail.com&amp;usp=drive_fs" TargetMode="External"/><Relationship Id="rId1414" Type="http://schemas.openxmlformats.org/officeDocument/2006/relationships/hyperlink" Target="https://drive.google.com/open?id=115gxAIDmrdKImQPpw4T9T9InEasjE9f1&amp;usp=drive_fs" TargetMode="External"/><Relationship Id="rId1898" Type="http://schemas.openxmlformats.org/officeDocument/2006/relationships/hyperlink" Target="https://drive.google.com/open?id=1BFb9dG-s75MwnYiCIP_OWQ1fmLiOMXWo&amp;authuser=jay.agg%40gmail.com&amp;usp=drive_fs" TargetMode="External"/><Relationship Id="rId1415" Type="http://schemas.openxmlformats.org/officeDocument/2006/relationships/hyperlink" Target="https://drive.google.com/open?id=115gxAIDmrdKImQPpw4T9T9InEasjE9f1&amp;usp=drive_fs" TargetMode="External"/><Relationship Id="rId1899" Type="http://schemas.openxmlformats.org/officeDocument/2006/relationships/hyperlink" Target="https://drive.google.com/open?id=1BLyVflSLPcwbuXVbvoH8q3tEPc2NLBzm&amp;authuser=jay.agg%40gmail.com&amp;usp=drive_fs" TargetMode="External"/><Relationship Id="rId1416" Type="http://schemas.openxmlformats.org/officeDocument/2006/relationships/hyperlink" Target="https://drive.google.com/open?id=1SxWaVhaJrE_qJmuIBaFr5VhfEI8nWnzg&amp;authuser=jay.agg%40gmail.com&amp;usp=drive_fs" TargetMode="External"/><Relationship Id="rId1417" Type="http://schemas.openxmlformats.org/officeDocument/2006/relationships/hyperlink" Target="https://drive.google.com/open?id=1T8x6vALQp1fFQLKABilwF70nY7-sGph1&amp;authuser=jay.agg%40gmail.com&amp;usp=drive_fs" TargetMode="External"/><Relationship Id="rId1418" Type="http://schemas.openxmlformats.org/officeDocument/2006/relationships/hyperlink" Target="https://drive.google.com/open?id=1T3OZfCqAxItafnqlA9E4ZO9U89k0U--q&amp;authuser=jay.agg%40gmail.com&amp;usp=drive_fs" TargetMode="External"/><Relationship Id="rId1419" Type="http://schemas.openxmlformats.org/officeDocument/2006/relationships/hyperlink" Target="https://drive.google.com/open?id=1T3AZfG8I_U-DqfP5JMLGp265aXQAgO77&amp;authuser=jay.agg%40gmail.com&amp;usp=drive_fs" TargetMode="External"/><Relationship Id="rId1890" Type="http://schemas.openxmlformats.org/officeDocument/2006/relationships/hyperlink" Target="https://drive.google.com/open?id=1NIMZ4mcTtm0DazVPOrRylU4bJTc_O5hy&amp;authuser=jay.agg%40gmail.com&amp;usp=drive_fs" TargetMode="External"/><Relationship Id="rId1891" Type="http://schemas.openxmlformats.org/officeDocument/2006/relationships/hyperlink" Target="https://drive.google.com/open?id=1BoQBoC_PBBbEfX9tmjKAXSBHsvtLYEh-&amp;authuser=jay.agg%40gmail.com&amp;usp=drive_fs" TargetMode="External"/><Relationship Id="rId1892" Type="http://schemas.openxmlformats.org/officeDocument/2006/relationships/hyperlink" Target="https://drive.google.com/open?id=1UgBVUI5wLMOT9nkAjjyjXEgu8aZiwxVg&amp;authuser=jay.agg%40gmail.com&amp;usp=drive_fs" TargetMode="External"/><Relationship Id="rId1893" Type="http://schemas.openxmlformats.org/officeDocument/2006/relationships/hyperlink" Target="https://drive.google.com/open?id=1VREwrNDUe3eCRR5sK2CifnUl7CQKKjGX&amp;authuser=jay.agg%40gmail.com&amp;usp=drive_fs" TargetMode="External"/><Relationship Id="rId1410" Type="http://schemas.openxmlformats.org/officeDocument/2006/relationships/hyperlink" Target="https://drive.google.com/open?id=1KjD98vKcHpjk8-lCZgE2KVWpMvl9UCRQ&amp;usp=drive_fs" TargetMode="External"/><Relationship Id="rId1894" Type="http://schemas.openxmlformats.org/officeDocument/2006/relationships/hyperlink" Target="https://drive.google.com/open?id=1VU0AJQGMn3yy57nWyJ5fGlHACwfcfQ2B&amp;authuser=jay.agg%40gmail.com&amp;usp=drive_fs" TargetMode="External"/><Relationship Id="rId1400" Type="http://schemas.openxmlformats.org/officeDocument/2006/relationships/hyperlink" Target="https://drive.google.com/open?id=1G19gWvthfqJjVsvNWkq7DZaTG6WnFFTu&amp;authuser=jay.agg%40gmail.com&amp;usp=drive_fs" TargetMode="External"/><Relationship Id="rId1884" Type="http://schemas.openxmlformats.org/officeDocument/2006/relationships/hyperlink" Target="https://drive.google.com/open?id=1ygrVRyYCHNIbeF4n4pPY6TM1ZI3HRK9n&amp;authuser=jay.agg%40gmail.com&amp;usp=drive_fs" TargetMode="External"/><Relationship Id="rId1401" Type="http://schemas.openxmlformats.org/officeDocument/2006/relationships/hyperlink" Target="https://drive.google.com/open?id=1ZuSpy5nITCpczDwK6TFTGtFxWJj_Ic2P&amp;authuser=jay.agg%40gmail.com&amp;usp=drive_fs" TargetMode="External"/><Relationship Id="rId1885" Type="http://schemas.openxmlformats.org/officeDocument/2006/relationships/hyperlink" Target="https://drive.google.com/open?id=132hJCp7SAKBPmiRbcXPCGonhEm5Xe_CX&amp;authuser=jay.agg%40gmail.com&amp;usp=drive_fs" TargetMode="External"/><Relationship Id="rId1402" Type="http://schemas.openxmlformats.org/officeDocument/2006/relationships/hyperlink" Target="https://drive.google.com/open?id=1eHoPeBt2etm4o-nsfU_9Wyxa2cQBLzif&amp;authuser=jay.agg%40gmail.com&amp;usp=drive_fs" TargetMode="External"/><Relationship Id="rId1886" Type="http://schemas.openxmlformats.org/officeDocument/2006/relationships/hyperlink" Target="https://drive.google.com/open?id=1LHaKv8BlL995tIH1gf0V5h7crjmYdx6u&amp;authuser=jay.agg%40gmail.com&amp;usp=drive_fs" TargetMode="External"/><Relationship Id="rId1403" Type="http://schemas.openxmlformats.org/officeDocument/2006/relationships/hyperlink" Target="https://drive.google.com/open?id=1hr4jfwDgGzTsRpuCagI1V6JMdcaq0vOT&amp;authuser=jay.agg%40gmail.com&amp;usp=drive_fs" TargetMode="External"/><Relationship Id="rId1887" Type="http://schemas.openxmlformats.org/officeDocument/2006/relationships/hyperlink" Target="https://drive.google.com/open?id=15tMZKSWUz-j4PiYjy-F4KVUe3ik_8HTr&amp;authuser=jay.agg%40gmail.com&amp;usp=drive_fs" TargetMode="External"/><Relationship Id="rId1404" Type="http://schemas.openxmlformats.org/officeDocument/2006/relationships/hyperlink" Target="https://drive.google.com/open?id=13zxq3jBbQAwOXiz5Dkw9FL5W5LgD9rJy&amp;authuser=jay.agg%40gmail.com&amp;usp=drive_fs" TargetMode="External"/><Relationship Id="rId1888" Type="http://schemas.openxmlformats.org/officeDocument/2006/relationships/hyperlink" Target="https://drive.google.com/open?id=18XQQZQF9yCRB5QfaOh8y-eDw00VH8XRn&amp;authuser=jay.agg%40gmail.com&amp;usp=drive_fs" TargetMode="External"/><Relationship Id="rId1405" Type="http://schemas.openxmlformats.org/officeDocument/2006/relationships/hyperlink" Target="https://drive.google.com/open?id=10MmJIp7cd45MQJUvo46U2Q_WkKPZEsBV&amp;authuser=jay.agg%40gmail.com&amp;usp=drive_fs" TargetMode="External"/><Relationship Id="rId1889" Type="http://schemas.openxmlformats.org/officeDocument/2006/relationships/hyperlink" Target="https://drive.google.com/open?id=1NIM49-1dk9bUFnRaPZaxGVTztPeAazzm&amp;authuser=jay.agg%40gmail.com&amp;usp=drive_fs" TargetMode="External"/><Relationship Id="rId1406" Type="http://schemas.openxmlformats.org/officeDocument/2006/relationships/hyperlink" Target="https://drive.google.com/open?id=1KaP2Cq-j8mbPnoC1sE31DgpfTsZ49KMI&amp;usp=drive_fs" TargetMode="External"/><Relationship Id="rId1407" Type="http://schemas.openxmlformats.org/officeDocument/2006/relationships/hyperlink" Target="https://drive.google.com/open?id=17LyYyLsvO5VkLV66_qDrkw9CghjHMUsR&amp;usp=drive_fs" TargetMode="External"/><Relationship Id="rId1408" Type="http://schemas.openxmlformats.org/officeDocument/2006/relationships/hyperlink" Target="https://drive.google.com/open?id=18fpwvoEx_K8-Q1zN0yIV4J836V92MIQy&amp;usp=drive_fs" TargetMode="External"/><Relationship Id="rId1409" Type="http://schemas.openxmlformats.org/officeDocument/2006/relationships/hyperlink" Target="https://drive.google.com/open?id=1I3-Ohb42ikOqqNrB2aF6zxHpQ3tZjwLb&amp;usp=drive_fs" TargetMode="External"/><Relationship Id="rId1880" Type="http://schemas.openxmlformats.org/officeDocument/2006/relationships/hyperlink" Target="https://drive.google.com/open?id=1l9LS-dTYvbKqJHVtCTJzqXTvyESiNfvt&amp;authuser=jay.agg%40gmail.com&amp;usp=drive_fs" TargetMode="External"/><Relationship Id="rId1881" Type="http://schemas.openxmlformats.org/officeDocument/2006/relationships/hyperlink" Target="https://drive.google.com/open?id=1ppt9a3zwe3675KKsqJl_J-T8zDDOt5Iy&amp;authuser=jay.agg%40gmail.com&amp;usp=drive_fs" TargetMode="External"/><Relationship Id="rId1882" Type="http://schemas.openxmlformats.org/officeDocument/2006/relationships/hyperlink" Target="https://drive.google.com/open?id=1r7zJXkiJaYoCgVxBJkwyPXAVQ0-RWrlj&amp;authuser=jay.agg%40gmail.com&amp;usp=drive_fs" TargetMode="External"/><Relationship Id="rId1883" Type="http://schemas.openxmlformats.org/officeDocument/2006/relationships/hyperlink" Target="https://drive.google.com/open?id=1sc6Tx7R2rybjk_RUgA23O0CvpyuQ4EHm&amp;authuser=jay.agg%40gmail.com&amp;usp=drive_fs" TargetMode="External"/><Relationship Id="rId1433" Type="http://schemas.openxmlformats.org/officeDocument/2006/relationships/hyperlink" Target="https://drive.google.com/open?id=1oh0WQUDIYvTyh5IRTdoQpl0l50XGRh6S&amp;authuser=jay.agg%40gmail.com&amp;usp=drive_fs" TargetMode="External"/><Relationship Id="rId1434" Type="http://schemas.openxmlformats.org/officeDocument/2006/relationships/hyperlink" Target="https://drive.google.com/open?id=1pollF5hATnGNuDIqhgI_G8fm4W_zwlIf&amp;authuser=jay.agg%40gmail.com&amp;usp=drive_fs" TargetMode="External"/><Relationship Id="rId1435" Type="http://schemas.openxmlformats.org/officeDocument/2006/relationships/hyperlink" Target="https://drive.google.com/open?id=1sMEGY-Zc37bc0q3SG6fRim0-bDciUjGm&amp;authuser=jay.agg%40gmail.com&amp;usp=drive_fs" TargetMode="External"/><Relationship Id="rId1436" Type="http://schemas.openxmlformats.org/officeDocument/2006/relationships/hyperlink" Target="https://drive.google.com/open?id=1sT8eVCTcKqhGluU89N8h3xJIqTayGiBJ&amp;authuser=jay.agg%40gmail.com&amp;usp=drive_fs" TargetMode="External"/><Relationship Id="rId1437" Type="http://schemas.openxmlformats.org/officeDocument/2006/relationships/hyperlink" Target="https://drive.google.com/open?id=1tf3iaVO9FHKIKSYyvwxpCL9eXf0FbZU6&amp;authuser=jay.agg%40gmail.com&amp;usp=drive_fs" TargetMode="External"/><Relationship Id="rId1438" Type="http://schemas.openxmlformats.org/officeDocument/2006/relationships/hyperlink" Target="https://drive.google.com/open?id=1tmASBEI_UI2DJcrvyM2TEa2Tddm5odsI&amp;authuser=jay.agg%40gmail.com&amp;usp=drive_fs" TargetMode="External"/><Relationship Id="rId1439" Type="http://schemas.openxmlformats.org/officeDocument/2006/relationships/hyperlink" Target="https://drive.google.com/open?id=1HmFxVcJPHf_yvTStqkkR2-NisBzRPhMl&amp;authuser=jay.agg%40gmail.com&amp;usp=drive_fs" TargetMode="External"/><Relationship Id="rId609" Type="http://schemas.openxmlformats.org/officeDocument/2006/relationships/hyperlink" Target="https://drive.google.com/open?id=1OkkdCTc3xubl3lVair5UpNZvPOVxAh71&amp;usp=drive_fs" TargetMode="External"/><Relationship Id="rId608" Type="http://schemas.openxmlformats.org/officeDocument/2006/relationships/hyperlink" Target="https://drive.google.com/open?id=1K6ngpnJyom2_HB84-QLQM3JUg7vu5XZR&amp;usp=drive_fs" TargetMode="External"/><Relationship Id="rId607" Type="http://schemas.openxmlformats.org/officeDocument/2006/relationships/hyperlink" Target="https://drive.google.com/open?id=1K2Y80ssczhhKm_rkpHVIvZmFOwvLOHrY&amp;usp=drive_fs" TargetMode="External"/><Relationship Id="rId602" Type="http://schemas.openxmlformats.org/officeDocument/2006/relationships/hyperlink" Target="https://drive.google.com/open?id=1TQE-iK49dy9CQ4lZtp9piEHOB1YwMwSr&amp;usp=drive_fs" TargetMode="External"/><Relationship Id="rId601" Type="http://schemas.openxmlformats.org/officeDocument/2006/relationships/hyperlink" Target="https://drive.google.com/open?id=1TQ-DDXpHBQ497UhzmzsdmGst3tUM8aq-&amp;usp=drive_fs" TargetMode="External"/><Relationship Id="rId600" Type="http://schemas.openxmlformats.org/officeDocument/2006/relationships/hyperlink" Target="https://drive.google.com/open?id=1THnPr2RI5qrrFUQJW_Opp0A9C-8fTqgn&amp;usp=drive_fs" TargetMode="External"/><Relationship Id="rId606" Type="http://schemas.openxmlformats.org/officeDocument/2006/relationships/hyperlink" Target="https://drive.google.com/open?id=1K1m-DNGDs3Ui7ytHXpZPhNXzlG0QeliV&amp;usp=drive_fs" TargetMode="External"/><Relationship Id="rId605" Type="http://schemas.openxmlformats.org/officeDocument/2006/relationships/hyperlink" Target="https://drive.google.com/open?id=1K1PJoQI8QBjjc6XvxRjeQTYBZav2ho4f&amp;usp=drive_fs" TargetMode="External"/><Relationship Id="rId604" Type="http://schemas.openxmlformats.org/officeDocument/2006/relationships/hyperlink" Target="https://drive.google.com/open?id=1JtzAJbxHjmOMeDPBEtZrBlG6yUHGLls3&amp;usp=drive_fs" TargetMode="External"/><Relationship Id="rId603" Type="http://schemas.openxmlformats.org/officeDocument/2006/relationships/hyperlink" Target="https://drive.google.com/open?id=1JircPvjVegY3VZOTGib6QVtpdIEggNKw&amp;usp=drive_fs" TargetMode="External"/><Relationship Id="rId1430" Type="http://schemas.openxmlformats.org/officeDocument/2006/relationships/hyperlink" Target="https://drive.google.com/open?id=1jyTkG6OobKMk06vTp6BOOVtf_vLO2VTl&amp;authuser=jay.agg%40gmail.com&amp;usp=drive_fs" TargetMode="External"/><Relationship Id="rId1431" Type="http://schemas.openxmlformats.org/officeDocument/2006/relationships/hyperlink" Target="https://drive.google.com/open?id=1l5-RtEG-YukiNWHbyUHGcMemwjGqewQz&amp;authuser=jay.agg%40gmail.com&amp;usp=drive_fs" TargetMode="External"/><Relationship Id="rId1432" Type="http://schemas.openxmlformats.org/officeDocument/2006/relationships/hyperlink" Target="https://drive.google.com/open?id=1l8OBkNwia_fB-RXO5ud_t6Kf9aIw1S0q&amp;authuser=jay.agg%40gmail.com&amp;usp=drive_fs" TargetMode="External"/><Relationship Id="rId1422" Type="http://schemas.openxmlformats.org/officeDocument/2006/relationships/hyperlink" Target="https://drive.google.com/open?id=1T1saAtpFellKFd9fJ1mludcKIHQRzlmW&amp;authuser=jay.agg%40gmail.com&amp;usp=drive_fs" TargetMode="External"/><Relationship Id="rId1423" Type="http://schemas.openxmlformats.org/officeDocument/2006/relationships/hyperlink" Target="https://drive.google.com/open?id=1SoTuPTytsQ6tSMELwTPzwyfUbXsmr5wp&amp;authuser=jay.agg%40gmail.com&amp;usp=drive_fs" TargetMode="External"/><Relationship Id="rId1424" Type="http://schemas.openxmlformats.org/officeDocument/2006/relationships/hyperlink" Target="https://drive.google.com/open?id=1Ss6AQgUd3SMw3DrtVF7cf-zQmwbLUg97&amp;authuser=jay.agg%40gmail.com&amp;usp=drive_fs" TargetMode="External"/><Relationship Id="rId1425" Type="http://schemas.openxmlformats.org/officeDocument/2006/relationships/hyperlink" Target="https://drive.google.com/open?id=1SuH32ho4oruWWRvkT4pUHXmj0n-oFVQl&amp;authuser=jay.agg%40gmail.com&amp;usp=drive_fs" TargetMode="External"/><Relationship Id="rId1426" Type="http://schemas.openxmlformats.org/officeDocument/2006/relationships/hyperlink" Target="https://drive.google.com/open?id=1SwKEnJFcGg-jdaqaexcSwPbNcFYD32dS&amp;authuser=jay.agg%40gmail.com&amp;usp=drive_fs" TargetMode="External"/><Relationship Id="rId1427" Type="http://schemas.openxmlformats.org/officeDocument/2006/relationships/hyperlink" Target="https://drive.google.com/open?id=1SwuTg2z8ZbQuSyTGEYLIIdJppiGmmJDy&amp;authuser=jay.agg%40gmail.com&amp;usp=drive_fs" TargetMode="External"/><Relationship Id="rId1428" Type="http://schemas.openxmlformats.org/officeDocument/2006/relationships/hyperlink" Target="https://drive.google.com/open?id=1SnFU6ssiopmwlB4Wx2O2VO4D71YVg4CF&amp;authuser=jay.agg%40gmail.com&amp;usp=drive_fs" TargetMode="External"/><Relationship Id="rId1429" Type="http://schemas.openxmlformats.org/officeDocument/2006/relationships/hyperlink" Target="https://drive.google.com/open?id=1ShNpmhe2zVpVVZh_t333ACpr2NCkoshh&amp;authuser=jay.agg%40gmail.com&amp;usp=drive_fs" TargetMode="External"/><Relationship Id="rId1420" Type="http://schemas.openxmlformats.org/officeDocument/2006/relationships/hyperlink" Target="https://drive.google.com/open?id=1T2j5yHy_uj7S8IOZtk2X8fC46LgyDN2Z&amp;authuser=jay.agg%40gmail.com&amp;usp=drive_fs" TargetMode="External"/><Relationship Id="rId1421" Type="http://schemas.openxmlformats.org/officeDocument/2006/relationships/hyperlink" Target="https://drive.google.com/open?id=1T-Rz5eXwZhp6oYSNCAQOrSXNe9xsZ93d&amp;authuser=jay.agg%40gmail.com&amp;usp=drive_fs" TargetMode="External"/><Relationship Id="rId1059" Type="http://schemas.openxmlformats.org/officeDocument/2006/relationships/hyperlink" Target="https://drive.google.com/open?id=1_BYrh5PiI1PUa-jQ8mSQ_IwsCp6wLaef&amp;authuser=jay.agg%40gmail.com&amp;usp=drive_fs" TargetMode="External"/><Relationship Id="rId228" Type="http://schemas.openxmlformats.org/officeDocument/2006/relationships/hyperlink" Target="https://drive.google.com/open?id=1_6tHtVuDDp5jsI7rI8lA2Q9tuEKd25fK&amp;authuser=jay.agg%40gmail.com&amp;usp=drive_fs" TargetMode="External"/><Relationship Id="rId227" Type="http://schemas.openxmlformats.org/officeDocument/2006/relationships/hyperlink" Target="https://drive.google.com/open?id=1_6gY_p2Ngkrp4dRREvOvsBmhqSfT6K6A&amp;authuser=jay.agg%40gmail.com&amp;usp=drive_fs" TargetMode="External"/><Relationship Id="rId226" Type="http://schemas.openxmlformats.org/officeDocument/2006/relationships/hyperlink" Target="https://drive.google.com/open?id=1G6ze5Nviswjd8iKMydwQUA-7KdEa1O1q&amp;authuser=jay.agg%40gmail.com&amp;usp=drive_fs" TargetMode="External"/><Relationship Id="rId225" Type="http://schemas.openxmlformats.org/officeDocument/2006/relationships/hyperlink" Target="https://drive.google.com/open?id=1FweUEAlBdSogFaLu9ry2rPwkaiA6Ui7v&amp;authuser=jay.agg%40gmail.com&amp;usp=drive_fs" TargetMode="External"/><Relationship Id="rId229" Type="http://schemas.openxmlformats.org/officeDocument/2006/relationships/hyperlink" Target="https://drive.google.com/open?id=1XU8XcHb7x8nJMGoIr_mmxGyw9lJpOa9k&amp;authuser=jay.agg%40gmail.com&amp;usp=drive_fs" TargetMode="External"/><Relationship Id="rId1050" Type="http://schemas.openxmlformats.org/officeDocument/2006/relationships/hyperlink" Target="https://drive.google.com/open?id=1dX3m8TvTFH5qpp5dMUIvG7gQBbLd6vBv&amp;authuser=jay.agg%40gmail.com&amp;usp=drive_fs" TargetMode="External"/><Relationship Id="rId220" Type="http://schemas.openxmlformats.org/officeDocument/2006/relationships/hyperlink" Target="https://drive.google.com/open?id=1QV_u9_OOlMj2VLLmrcCZ-ed3hGD8e1c5&amp;authuser=jay.agg%40gmail.com&amp;usp=drive_fs" TargetMode="External"/><Relationship Id="rId1051" Type="http://schemas.openxmlformats.org/officeDocument/2006/relationships/hyperlink" Target="https://drive.google.com/open?id=1dYlC4gKu8fQYz-OomaO_kO_e0KKD_YSt&amp;authuser=jay.agg%40gmail.com&amp;usp=drive_fs" TargetMode="External"/><Relationship Id="rId1052" Type="http://schemas.openxmlformats.org/officeDocument/2006/relationships/hyperlink" Target="https://drive.google.com/open?id=1dj9J53lqqgX_yfNnMrzokWQVJ8a_QmSH&amp;authuser=jay.agg%40gmail.com&amp;usp=drive_fs" TargetMode="External"/><Relationship Id="rId1053" Type="http://schemas.openxmlformats.org/officeDocument/2006/relationships/hyperlink" Target="https://drive.google.com/open?id=1dnD7qOP87fN098haHaUJfOFg2W3SStM7&amp;authuser=jay.agg%40gmail.com&amp;usp=drive_fs" TargetMode="External"/><Relationship Id="rId1054" Type="http://schemas.openxmlformats.org/officeDocument/2006/relationships/hyperlink" Target="https://drive.google.com/open?id=1e2s88RT9okkY31rDxfMCKKXy3n-fpbxK&amp;authuser=jay.agg%40gmail.com&amp;usp=drive_fs" TargetMode="External"/><Relationship Id="rId224" Type="http://schemas.openxmlformats.org/officeDocument/2006/relationships/hyperlink" Target="https://drive.google.com/open?id=1Fu9dFIxoiVysLL_I0_W1IPtXyAGvljDk&amp;authuser=jay.agg%40gmail.com&amp;usp=drive_fs" TargetMode="External"/><Relationship Id="rId1055" Type="http://schemas.openxmlformats.org/officeDocument/2006/relationships/hyperlink" Target="https://drive.google.com/open?id=1e2s88RT9okkY31rDxfMCKKXy3n-fpbxK&amp;authuser=jay.agg%40gmail.com&amp;usp=drive_fs" TargetMode="External"/><Relationship Id="rId223" Type="http://schemas.openxmlformats.org/officeDocument/2006/relationships/hyperlink" Target="https://drive.google.com/open?id=1QnGF7Kdhx3Dk7evbvqi_sjVcF9E40Hn3&amp;authuser=jay.agg%40gmail.com&amp;usp=drive_fs" TargetMode="External"/><Relationship Id="rId1056" Type="http://schemas.openxmlformats.org/officeDocument/2006/relationships/hyperlink" Target="https://drive.google.com/open?id=1e8M1V0L_wvsJUHF-PbWRpaB1-5B3kKBU&amp;authuser=jay.agg%40gmail.com&amp;usp=drive_fs" TargetMode="External"/><Relationship Id="rId222" Type="http://schemas.openxmlformats.org/officeDocument/2006/relationships/hyperlink" Target="https://drive.google.com/open?id=1QmjFgXyrczv1CE0371upxXOhMSdcfbi6&amp;authuser=jay.agg%40gmail.com&amp;usp=drive_fs" TargetMode="External"/><Relationship Id="rId1057" Type="http://schemas.openxmlformats.org/officeDocument/2006/relationships/hyperlink" Target="https://drive.google.com/open?id=1e8M1V0L_wvsJUHF-PbWRpaB1-5B3kKBU&amp;authuser=jay.agg%40gmail.com&amp;usp=drive_fs" TargetMode="External"/><Relationship Id="rId221" Type="http://schemas.openxmlformats.org/officeDocument/2006/relationships/hyperlink" Target="https://drive.google.com/open?id=1Ppsvq19b5NnvSe7lTazS3CUXSGxHiDS-&amp;authuser=jay.agg%40gmail.com&amp;usp=drive_fs" TargetMode="External"/><Relationship Id="rId1058" Type="http://schemas.openxmlformats.org/officeDocument/2006/relationships/hyperlink" Target="https://drive.google.com/open?id=1Zl-XEursFIe2qATwpKH2i0nMA27x05hp&amp;authuser=jay.agg%40gmail.com&amp;usp=drive_fs" TargetMode="External"/><Relationship Id="rId1048" Type="http://schemas.openxmlformats.org/officeDocument/2006/relationships/hyperlink" Target="https://drive.google.com/open?id=1d3eYz3LAr7hLrax7XlafVMCJHT3RpwI2&amp;authuser=jay.agg%40gmail.com&amp;usp=drive_fs" TargetMode="External"/><Relationship Id="rId1049" Type="http://schemas.openxmlformats.org/officeDocument/2006/relationships/hyperlink" Target="https://drive.google.com/open?id=1dVKLg_YohjAIv0buvuZM9lKt8Z6cwiYQ&amp;authuser=jay.agg%40gmail.com&amp;usp=drive_fs" TargetMode="External"/><Relationship Id="rId217" Type="http://schemas.openxmlformats.org/officeDocument/2006/relationships/hyperlink" Target="https://drive.google.com/open?id=1Qb7ECoQL9JGP8FFrz-mUNuRU0sevEp5M&amp;authuser=jay.agg%40gmail.com&amp;usp=drive_fs" TargetMode="External"/><Relationship Id="rId216" Type="http://schemas.openxmlformats.org/officeDocument/2006/relationships/hyperlink" Target="https://drive.google.com/open?id=1Qb7ECoQL9JGP8FFrz-mUNuRU0sevEp5M&amp;authuser=jay.agg%40gmail.com&amp;usp=drive_fs" TargetMode="External"/><Relationship Id="rId215" Type="http://schemas.openxmlformats.org/officeDocument/2006/relationships/hyperlink" Target="https://drive.google.com/open?id=1QdO0BP_hrM4d6SsfjW-aNz4iq6yGZmw1&amp;authuser=jay.agg%40gmail.com&amp;usp=drive_fs" TargetMode="External"/><Relationship Id="rId699" Type="http://schemas.openxmlformats.org/officeDocument/2006/relationships/hyperlink" Target="https://drive.google.com/open?id=1M1LcGDzdw5r7vKm8l5I93fsq-AdS66nH&amp;authuser=jay.agg%40gmail.com&amp;usp=drive_fs" TargetMode="External"/><Relationship Id="rId214" Type="http://schemas.openxmlformats.org/officeDocument/2006/relationships/hyperlink" Target="https://drive.google.com/open?id=1QdO0BP_hrM4d6SsfjW-aNz4iq6yGZmw1&amp;authuser=jay.agg%40gmail.com&amp;usp=drive_fs" TargetMode="External"/><Relationship Id="rId698" Type="http://schemas.openxmlformats.org/officeDocument/2006/relationships/hyperlink" Target="https://drive.google.com/open?id=1Lz0XmeZRIl2vA-f_lDEB6W3iOTdFvXPs&amp;authuser=jay.agg%40gmail.com&amp;usp=drive_fs" TargetMode="External"/><Relationship Id="rId219" Type="http://schemas.openxmlformats.org/officeDocument/2006/relationships/hyperlink" Target="https://drive.google.com/open?id=1QV_u9_OOlMj2VLLmrcCZ-ed3hGD8e1c5&amp;authuser=jay.agg%40gmail.com&amp;usp=drive_fs" TargetMode="External"/><Relationship Id="rId218" Type="http://schemas.openxmlformats.org/officeDocument/2006/relationships/hyperlink" Target="https://drive.google.com/open?id=1Qb7ECoQL9JGP8FFrz-mUNuRU0sevEp5M&amp;authuser=jay.agg%40gmail.com&amp;usp=drive_fs" TargetMode="External"/><Relationship Id="rId693" Type="http://schemas.openxmlformats.org/officeDocument/2006/relationships/hyperlink" Target="https://drive.google.com/open?id=1fbFd2vTLrxePtcCEblZSM0fMIWNLtIkn&amp;usp=drive_fs" TargetMode="External"/><Relationship Id="rId1040" Type="http://schemas.openxmlformats.org/officeDocument/2006/relationships/hyperlink" Target="https://drive.google.com/open?id=1cVGC95lD8FILuv7GIGTUPf3N-ZfRx8MG&amp;authuser=jay.agg%40gmail.com&amp;usp=drive_fs" TargetMode="External"/><Relationship Id="rId692" Type="http://schemas.openxmlformats.org/officeDocument/2006/relationships/hyperlink" Target="https://drive.google.com/open?id=1IuKwHdeHoeDV8K_hdVHP01GLN-KdBwy4&amp;authuser=jay.agg%40gmail.com&amp;usp=drive_fs" TargetMode="External"/><Relationship Id="rId1041" Type="http://schemas.openxmlformats.org/officeDocument/2006/relationships/hyperlink" Target="https://drive.google.com/open?id=1c_uTwy3Lwk3r1OGpaY2ETWXZ6pjESZx3&amp;authuser=jay.agg%40gmail.com&amp;usp=drive_fs" TargetMode="External"/><Relationship Id="rId691" Type="http://schemas.openxmlformats.org/officeDocument/2006/relationships/hyperlink" Target="https://drive.google.com/open?id=1IGLrwykcYcUl-ohWrDGLpxew16sb41IE&amp;authuser=jay.agg%40gmail.com&amp;usp=drive_fs" TargetMode="External"/><Relationship Id="rId1042" Type="http://schemas.openxmlformats.org/officeDocument/2006/relationships/hyperlink" Target="https://drive.google.com/open?id=1cgh9z4ORVO42yzGP_A6xeqwU5VG2yogo&amp;authuser=jay.agg%40gmail.com&amp;usp=drive_fs" TargetMode="External"/><Relationship Id="rId690" Type="http://schemas.openxmlformats.org/officeDocument/2006/relationships/hyperlink" Target="https://drive.google.com/open?id=1IBZZ3_HmDeoVx6p2tA3NZuzRKoJjes5o&amp;authuser=jay.agg%40gmail.com&amp;usp=drive_fs" TargetMode="External"/><Relationship Id="rId1043" Type="http://schemas.openxmlformats.org/officeDocument/2006/relationships/hyperlink" Target="https://drive.google.com/open?id=1cheXIZj8gZYGfo0JH9ikCDkEiWzD2B8d&amp;authuser=jay.agg%40gmail.com&amp;usp=drive_fs" TargetMode="External"/><Relationship Id="rId213" Type="http://schemas.openxmlformats.org/officeDocument/2006/relationships/hyperlink" Target="https://drive.google.com/open?id=1Pny7h9jpvEMO3_pACrZHgBP6lPctJls3&amp;authuser=jay.agg%40gmail.com&amp;usp=drive_fs" TargetMode="External"/><Relationship Id="rId697" Type="http://schemas.openxmlformats.org/officeDocument/2006/relationships/hyperlink" Target="https://drive.google.com/open?id=13zhx5fG-fKLjlKQUCaUiwwDa_rFrmgef&amp;authuser=jay.agg%40gmail.com&amp;usp=drive_fs" TargetMode="External"/><Relationship Id="rId1044" Type="http://schemas.openxmlformats.org/officeDocument/2006/relationships/hyperlink" Target="https://drive.google.com/open?id=1coqzoSuTK3JrsByZL_VB8IvNQUgZ51b9&amp;authuser=jay.agg%40gmail.com&amp;usp=drive_fs" TargetMode="External"/><Relationship Id="rId212" Type="http://schemas.openxmlformats.org/officeDocument/2006/relationships/hyperlink" Target="https://drive.google.com/open?id=1Pgfe8ksCwJ1QLlLAEJ-ISr7kMBXa6jhu&amp;authuser=jay.agg%40gmail.com&amp;usp=drive_fs" TargetMode="External"/><Relationship Id="rId696" Type="http://schemas.openxmlformats.org/officeDocument/2006/relationships/hyperlink" Target="https://drive.google.com/open?id=1Jty2thkM1v3pZSFUNPJyBYBRtY9F7Ztd&amp;authuser=jay.agg%40gmail.com&amp;usp=drive_fs" TargetMode="External"/><Relationship Id="rId1045" Type="http://schemas.openxmlformats.org/officeDocument/2006/relationships/hyperlink" Target="https://drive.google.com/open?id=1cvpcbF5qwI-PPHoARgSOxhXTkP9Gm6eJ&amp;authuser=jay.agg%40gmail.com&amp;usp=drive_fs" TargetMode="External"/><Relationship Id="rId211" Type="http://schemas.openxmlformats.org/officeDocument/2006/relationships/hyperlink" Target="https://drive.google.com/open?id=1Pgfe8ksCwJ1QLlLAEJ-ISr7kMBXa6jhu&amp;authuser=jay.agg%40gmail.com&amp;usp=drive_fs" TargetMode="External"/><Relationship Id="rId695" Type="http://schemas.openxmlformats.org/officeDocument/2006/relationships/hyperlink" Target="https://drive.google.com/open?id=1Jgl20GWMI8ddDX4-u3TXxoPMXJJ9xugj&amp;authuser=jay.agg%40gmail.com&amp;usp=drive_fs" TargetMode="External"/><Relationship Id="rId1046" Type="http://schemas.openxmlformats.org/officeDocument/2006/relationships/hyperlink" Target="https://drive.google.com/open?id=1cyGTlU0pHNOmNXVGjaNvbDo0aCMS1vZM&amp;authuser=jay.agg%40gmail.com&amp;usp=drive_fs" TargetMode="External"/><Relationship Id="rId210" Type="http://schemas.openxmlformats.org/officeDocument/2006/relationships/hyperlink" Target="https://drive.google.com/open?id=1QTPA9WUEV2j8fkEkgcASZTdsr3jy70lO&amp;authuser=jay.agg%40gmail.com&amp;usp=drive_fs" TargetMode="External"/><Relationship Id="rId694" Type="http://schemas.openxmlformats.org/officeDocument/2006/relationships/hyperlink" Target="https://drive.google.com/open?id=1JhSv_vUmIfx4kupr0hGmv88JWssnIUpt&amp;authuser=jay.agg%40gmail.com&amp;usp=drive_fs" TargetMode="External"/><Relationship Id="rId1047" Type="http://schemas.openxmlformats.org/officeDocument/2006/relationships/hyperlink" Target="https://drive.google.com/open?id=1cyZ_XiAZLhYagFb1bazRwtzuWOf1UXXW&amp;authuser=jay.agg%40gmail.com&amp;usp=drive_fs" TargetMode="External"/><Relationship Id="rId249" Type="http://schemas.openxmlformats.org/officeDocument/2006/relationships/hyperlink" Target="https://drive.google.com/open?id=1FsVcVg6DKbZfmqUjy8m7HohXJ-b6LSWa&amp;authuser=jay.agg%40gmail.com&amp;usp=drive_fs" TargetMode="External"/><Relationship Id="rId248" Type="http://schemas.openxmlformats.org/officeDocument/2006/relationships/hyperlink" Target="https://drive.google.com/open?id=1NKo9EGEy_OTROxqHiyGwdFTKamnXBFl-&amp;authuser=jay.agg%40gmail.com&amp;usp=drive_fs" TargetMode="External"/><Relationship Id="rId247" Type="http://schemas.openxmlformats.org/officeDocument/2006/relationships/hyperlink" Target="https://drive.google.com/open?id=1_G7b1mPmZjiwLTeBiXS7eTE-FTiZXWfc&amp;authuser=jay.agg%40gmail.com&amp;usp=drive_fs" TargetMode="External"/><Relationship Id="rId1070" Type="http://schemas.openxmlformats.org/officeDocument/2006/relationships/hyperlink" Target="https://drive.google.com/open?id=1oroVxcUDNujmzKUqTL-wwmQSNBTee668&amp;authuser=jay.agg%40gmail.com&amp;usp=drive_fs" TargetMode="External"/><Relationship Id="rId1071" Type="http://schemas.openxmlformats.org/officeDocument/2006/relationships/hyperlink" Target="https://drive.google.com/open?id=16JOlO9uJegkjlMHtkKbhnsDk3TfXug_s&amp;authuser=jay.agg%40gmail.com&amp;usp=drive_fs" TargetMode="External"/><Relationship Id="rId1072" Type="http://schemas.openxmlformats.org/officeDocument/2006/relationships/hyperlink" Target="https://drive.google.com/open?id=185JJStzmKnmq6iEa5gsiDbI5gcwueh6H&amp;authuser=jay.agg%40gmail.com&amp;usp=drive_fs" TargetMode="External"/><Relationship Id="rId242" Type="http://schemas.openxmlformats.org/officeDocument/2006/relationships/hyperlink" Target="https://drive.google.com/open?id=1PYPDbj_KioszcQGU8fDTTkviyRugm-lG&amp;authuser=jay.agg%40gmail.com&amp;usp=drive_fs" TargetMode="External"/><Relationship Id="rId1073" Type="http://schemas.openxmlformats.org/officeDocument/2006/relationships/hyperlink" Target="https://drive.google.com/open?id=183Ob4cvJ9MHnezNeWn4my_m7xG5y_0kP&amp;authuser=jay.agg%40gmail.com&amp;usp=drive_fs" TargetMode="External"/><Relationship Id="rId241" Type="http://schemas.openxmlformats.org/officeDocument/2006/relationships/hyperlink" Target="https://drive.google.com/open?id=1_IYAtpQ7QHBnyWnkn1bC12fS5uaC2iM5&amp;authuser=jay.agg%40gmail.com&amp;usp=drive_fs" TargetMode="External"/><Relationship Id="rId1074" Type="http://schemas.openxmlformats.org/officeDocument/2006/relationships/hyperlink" Target="https://drive.google.com/open?id=1-fjyTecvivYJ7Pn-ktlhKoMzHFP0Nxdk&amp;authuser=jay.agg%40gmail.com&amp;usp=drive_fs" TargetMode="External"/><Relationship Id="rId240" Type="http://schemas.openxmlformats.org/officeDocument/2006/relationships/hyperlink" Target="https://drive.google.com/open?id=1_IojcNaVo_YCq9bPYDD_m8dGQAOP-fy_&amp;authuser=jay.agg%40gmail.com&amp;usp=drive_fs" TargetMode="External"/><Relationship Id="rId1075" Type="http://schemas.openxmlformats.org/officeDocument/2006/relationships/hyperlink" Target="https://drive.google.com/open?id=1-gJxWqC7qaIkNPtpzz6EhY1EBbwwMB8M&amp;authuser=jay.agg%40gmail.com&amp;usp=drive_fs" TargetMode="External"/><Relationship Id="rId1076" Type="http://schemas.openxmlformats.org/officeDocument/2006/relationships/hyperlink" Target="https://drive.google.com/open?id=19h_15EmyfzpSmK6eV00bAGEnKJIE7ZYY&amp;authuser=jay.agg%40gmail.com&amp;usp=drive_fs" TargetMode="External"/><Relationship Id="rId246" Type="http://schemas.openxmlformats.org/officeDocument/2006/relationships/hyperlink" Target="https://drive.google.com/open?id=1PYai3boge0F3B6OWTx4KX20HJUME5zZZ&amp;authuser=jay.agg%40gmail.com&amp;usp=drive_fs" TargetMode="External"/><Relationship Id="rId1077" Type="http://schemas.openxmlformats.org/officeDocument/2006/relationships/hyperlink" Target="https://drive.google.com/open?id=1-o8oI24Lqp8Fz_8I-wHi1aJ4e6WLRF04&amp;authuser=jay.agg%40gmail.com&amp;usp=drive_fs" TargetMode="External"/><Relationship Id="rId245" Type="http://schemas.openxmlformats.org/officeDocument/2006/relationships/hyperlink" Target="https://drive.google.com/open?id=1PYai3boge0F3B6OWTx4KX20HJUME5zZZ&amp;authuser=jay.agg%40gmail.com&amp;usp=drive_fs" TargetMode="External"/><Relationship Id="rId1078" Type="http://schemas.openxmlformats.org/officeDocument/2006/relationships/hyperlink" Target="https://drive.google.com/open?id=1-oT6y8vhavi5PpfM4kP-BHY6_Ngd9_gI&amp;authuser=jay.agg%40gmail.com&amp;usp=drive_fs" TargetMode="External"/><Relationship Id="rId244" Type="http://schemas.openxmlformats.org/officeDocument/2006/relationships/hyperlink" Target="https://drive.google.com/open?id=1PYPDbj_KioszcQGU8fDTTkviyRugm-lG&amp;authuser=jay.agg%40gmail.com&amp;usp=drive_fs" TargetMode="External"/><Relationship Id="rId1079" Type="http://schemas.openxmlformats.org/officeDocument/2006/relationships/hyperlink" Target="https://drive.google.com/open?id=1AdqBigX6Pn_sAWYBwXiFcHUaw_tiHWuF&amp;authuser=jay.agg%40gmail.com&amp;usp=drive_fs" TargetMode="External"/><Relationship Id="rId243" Type="http://schemas.openxmlformats.org/officeDocument/2006/relationships/hyperlink" Target="https://drive.google.com/open?id=1PYPDbj_KioszcQGU8fDTTkviyRugm-lG&amp;authuser=jay.agg%40gmail.com&amp;usp=drive_fs" TargetMode="External"/><Relationship Id="rId239" Type="http://schemas.openxmlformats.org/officeDocument/2006/relationships/hyperlink" Target="https://drive.google.com/open?id=1_Jx7Fn-zfETE12M0GM3xN4hhMBE6ZIuZ&amp;authuser=jay.agg%40gmail.com&amp;usp=drive_fs" TargetMode="External"/><Relationship Id="rId238" Type="http://schemas.openxmlformats.org/officeDocument/2006/relationships/hyperlink" Target="https://drive.google.com/open?id=1QBv4xRVMKAnQ8ZyPenbNmKkxplHtu39X&amp;authuser=jay.agg%40gmail.com&amp;usp=drive_fs" TargetMode="External"/><Relationship Id="rId237" Type="http://schemas.openxmlformats.org/officeDocument/2006/relationships/hyperlink" Target="https://drive.google.com/open?id=1QBv4xRVMKAnQ8ZyPenbNmKkxplHtu39X&amp;authuser=jay.agg%40gmail.com&amp;usp=drive_fs" TargetMode="External"/><Relationship Id="rId236" Type="http://schemas.openxmlformats.org/officeDocument/2006/relationships/hyperlink" Target="https://drive.google.com/open?id=1QKXJeqf1R_wijJQzM__ywSlBkAg_OqSi&amp;authuser=jay.agg%40gmail.com&amp;usp=drive_fs" TargetMode="External"/><Relationship Id="rId1060" Type="http://schemas.openxmlformats.org/officeDocument/2006/relationships/hyperlink" Target="https://drive.google.com/open?id=1eQDLnmfEu_9K-BBzTK_pYkvtd57_WSjW&amp;authuser=jay.agg%40gmail.com&amp;usp=drive_fs" TargetMode="External"/><Relationship Id="rId1061" Type="http://schemas.openxmlformats.org/officeDocument/2006/relationships/hyperlink" Target="https://drive.google.com/open?id=1eRLAo9d8DiVbvwNiRDComuYzDcqiCWJp&amp;authuser=jay.agg%40gmail.com&amp;usp=drive_fs" TargetMode="External"/><Relationship Id="rId231" Type="http://schemas.openxmlformats.org/officeDocument/2006/relationships/hyperlink" Target="https://drive.google.com/open?id=1Q3X4ohT7uRUA39Iu-Mcr4W8QiAw86PoH&amp;authuser=jay.agg%40gmail.com&amp;usp=drive_fs" TargetMode="External"/><Relationship Id="rId1062" Type="http://schemas.openxmlformats.org/officeDocument/2006/relationships/hyperlink" Target="https://drive.google.com/open?id=1azlb0WzLVLWI56A9ao925_NavPqzLPO_&amp;authuser=jay.agg%40gmail.com&amp;usp=drive_fs" TargetMode="External"/><Relationship Id="rId230" Type="http://schemas.openxmlformats.org/officeDocument/2006/relationships/hyperlink" Target="https://drive.google.com/open?id=1XU8XcHb7x8nJMGoIr_mmxGyw9lJpOa9k&amp;authuser=jay.agg%40gmail.com&amp;usp=drive_fs" TargetMode="External"/><Relationship Id="rId1063" Type="http://schemas.openxmlformats.org/officeDocument/2006/relationships/hyperlink" Target="https://drive.google.com/open?id=1gxqH9e07wdipxz5OxnfZfQHphLFA559y&amp;authuser=jay.agg%40gmail.com&amp;usp=drive_fs" TargetMode="External"/><Relationship Id="rId1064" Type="http://schemas.openxmlformats.org/officeDocument/2006/relationships/hyperlink" Target="https://drive.google.com/open?id=1h1gMwsvCLe3Q3bOBRNVUEyzn8SVrFjon&amp;authuser=jay.agg%40gmail.com&amp;usp=drive_fs" TargetMode="External"/><Relationship Id="rId1065" Type="http://schemas.openxmlformats.org/officeDocument/2006/relationships/hyperlink" Target="https://drive.google.com/open?id=13JCSvpcyTWuEqioltHSap6PCWyZifsCV&amp;authuser=jay.agg%40gmail.com&amp;usp=drive_fs" TargetMode="External"/><Relationship Id="rId235" Type="http://schemas.openxmlformats.org/officeDocument/2006/relationships/hyperlink" Target="https://drive.google.com/open?id=1QKXJeqf1R_wijJQzM__ywSlBkAg_OqSi&amp;authuser=jay.agg%40gmail.com&amp;usp=drive_fs" TargetMode="External"/><Relationship Id="rId1066" Type="http://schemas.openxmlformats.org/officeDocument/2006/relationships/hyperlink" Target="https://drive.google.com/open?id=13qseTC_P8kAqW7SosbkH3_BCEOUoHD0I&amp;authuser=jay.agg%40gmail.com&amp;usp=drive_fs" TargetMode="External"/><Relationship Id="rId234" Type="http://schemas.openxmlformats.org/officeDocument/2006/relationships/hyperlink" Target="https://drive.google.com/open?id=1QKwy1Eq8szzn7NRzbprwaUTyA-pN07bb&amp;authuser=jay.agg%40gmail.com&amp;usp=drive_fs" TargetMode="External"/><Relationship Id="rId1067" Type="http://schemas.openxmlformats.org/officeDocument/2006/relationships/hyperlink" Target="https://drive.google.com/open?id=13sR1vnoNslQcY5qDCrD-_m_VrXyaCWj2&amp;authuser=jay.agg%40gmail.com&amp;usp=drive_fs" TargetMode="External"/><Relationship Id="rId233" Type="http://schemas.openxmlformats.org/officeDocument/2006/relationships/hyperlink" Target="https://drive.google.com/open?id=1QKwy1Eq8szzn7NRzbprwaUTyA-pN07bb&amp;authuser=jay.agg%40gmail.com&amp;usp=drive_fs" TargetMode="External"/><Relationship Id="rId1068" Type="http://schemas.openxmlformats.org/officeDocument/2006/relationships/hyperlink" Target="https://drive.google.com/open?id=167g4JlzR0We72-s-rJEFYsXfsoureruK&amp;authuser=jay.agg%40gmail.com&amp;usp=drive_fs" TargetMode="External"/><Relationship Id="rId232" Type="http://schemas.openxmlformats.org/officeDocument/2006/relationships/hyperlink" Target="https://drive.google.com/open?id=1Q3X4ohT7uRUA39Iu-Mcr4W8QiAw86PoH&amp;authuser=jay.agg%40gmail.com&amp;usp=drive_fs" TargetMode="External"/><Relationship Id="rId1069" Type="http://schemas.openxmlformats.org/officeDocument/2006/relationships/hyperlink" Target="https://drive.google.com/open?id=1ojxccNs17sS_hpoy0kJLnvahIDc5Ojpo&amp;authuser=jay.agg%40gmail.com&amp;usp=drive_fs" TargetMode="External"/><Relationship Id="rId1015" Type="http://schemas.openxmlformats.org/officeDocument/2006/relationships/hyperlink" Target="https://drive.google.com/open?id=1C22Fmp-iikp8lJHK8I3Zzh_qgIItIU1e&amp;authuser=jay.agg%40gmail.com&amp;usp=drive_fs" TargetMode="External"/><Relationship Id="rId1499" Type="http://schemas.openxmlformats.org/officeDocument/2006/relationships/hyperlink" Target="https://drive.google.com/open?id=1iBtMK6LfMSH9zRKY-q6FLhPljHzsYIbm&amp;authuser=jay.agg%40gmail.com&amp;usp=drive_fs" TargetMode="External"/><Relationship Id="rId1016" Type="http://schemas.openxmlformats.org/officeDocument/2006/relationships/hyperlink" Target="https://drive.google.com/open?id=1CKqQpvLGbMzH2O6QTTazvgUpvzQlllMB&amp;authuser=jay.agg%40gmail.com&amp;usp=drive_fs" TargetMode="External"/><Relationship Id="rId1017" Type="http://schemas.openxmlformats.org/officeDocument/2006/relationships/hyperlink" Target="https://drive.google.com/open?id=1D5PrDkRh5NSfwGGrMo9-8-3--WX3L0Ft&amp;authuser=jay.agg%40gmail.com&amp;usp=drive_fs" TargetMode="External"/><Relationship Id="rId1018" Type="http://schemas.openxmlformats.org/officeDocument/2006/relationships/hyperlink" Target="https://drive.google.com/open?id=1D6D48kO1Ul1ZLDDzrzde2t-VuNuOQ4v4&amp;authuser=jay.agg%40gmail.com&amp;usp=drive_fs" TargetMode="External"/><Relationship Id="rId1019" Type="http://schemas.openxmlformats.org/officeDocument/2006/relationships/hyperlink" Target="https://drive.google.com/open?id=1DH_jtAZrmS4oA_LljmC6xnetppeIi0w7&amp;authuser=jay.agg%40gmail.com&amp;usp=drive_fs" TargetMode="External"/><Relationship Id="rId668" Type="http://schemas.openxmlformats.org/officeDocument/2006/relationships/hyperlink" Target="https://drive.google.com/open?id=1GjRdzqABm0JQP5KgaqpLeaK9V8qJ0ZoA&amp;authuser=jay.agg%40gmail.com&amp;usp=drive_fs" TargetMode="External"/><Relationship Id="rId667" Type="http://schemas.openxmlformats.org/officeDocument/2006/relationships/hyperlink" Target="https://drive.google.com/open?id=1pAYNI_wFrkfDy1kfR_VR7XZNkF3xF4C6&amp;authuser=jay.agg%40gmail.com&amp;usp=drive_fs" TargetMode="External"/><Relationship Id="rId666" Type="http://schemas.openxmlformats.org/officeDocument/2006/relationships/hyperlink" Target="https://drive.google.com/open?id=1pAM1OZbXy4o8q06VTZeK4tPMYumrmObB&amp;authuser=jay.agg%40gmail.com&amp;usp=drive_fs" TargetMode="External"/><Relationship Id="rId665" Type="http://schemas.openxmlformats.org/officeDocument/2006/relationships/hyperlink" Target="https://drive.google.com/open?id=1oNEr7_Ao4OviZmC6mGtEEEyg_7f5vqXC&amp;authuser=jay.agg%40gmail.com&amp;usp=drive_fs" TargetMode="External"/><Relationship Id="rId669" Type="http://schemas.openxmlformats.org/officeDocument/2006/relationships/hyperlink" Target="https://drive.google.com/open?id=1pCLLf5tXT5OvytmrZaM8c45UrmdgeUuu&amp;authuser=jay.agg%40gmail.com&amp;usp=drive_fs" TargetMode="External"/><Relationship Id="rId1490" Type="http://schemas.openxmlformats.org/officeDocument/2006/relationships/hyperlink" Target="https://drive.google.com/open?id=1mRZ1bBGDXw_1ZpHz9t0JpCeGOdQujIq5&amp;authuser=jay.agg%40gmail.com&amp;usp=drive_fs" TargetMode="External"/><Relationship Id="rId660" Type="http://schemas.openxmlformats.org/officeDocument/2006/relationships/hyperlink" Target="https://drive.google.com/open?id=1jv5wYbzpnj5TFpggaNRzcKuZ2zdSJXAr&amp;authuser=jay.agg%40gmail.com&amp;usp=drive_fs" TargetMode="External"/><Relationship Id="rId1491" Type="http://schemas.openxmlformats.org/officeDocument/2006/relationships/hyperlink" Target="https://drive.google.com/open?id=1mT7aNXSr7hcc6KX1dUDkMq_1hgYasGw3&amp;authuser=jay.agg%40gmail.com&amp;usp=drive_fs" TargetMode="External"/><Relationship Id="rId1492" Type="http://schemas.openxmlformats.org/officeDocument/2006/relationships/hyperlink" Target="https://drive.google.com/open?id=1mW5n4nj5BRA4lfDYWaUGHafSTq5ZpX0b&amp;authuser=jay.agg%40gmail.com&amp;usp=drive_fs" TargetMode="External"/><Relationship Id="rId1493" Type="http://schemas.openxmlformats.org/officeDocument/2006/relationships/hyperlink" Target="https://drive.google.com/open?id=1mdrkhpr7a_RWpjy_xWIXXC68_RVYm3sT&amp;authuser=jay.agg%40gmail.com&amp;usp=drive_fs" TargetMode="External"/><Relationship Id="rId1010" Type="http://schemas.openxmlformats.org/officeDocument/2006/relationships/hyperlink" Target="https://drive.google.com/open?id=1DDicBlFYcVtWEZF0YUdJ8f7l9y1UIKJw&amp;authuser=jay.agg%40gmail.com&amp;usp=drive_fs" TargetMode="External"/><Relationship Id="rId1494" Type="http://schemas.openxmlformats.org/officeDocument/2006/relationships/hyperlink" Target="https://drive.google.com/open?id=1meZqkv9qLiLCd8l3xNROWK9vVxyDBt0a&amp;authuser=jay.agg%40gmail.com&amp;usp=drive_fs" TargetMode="External"/><Relationship Id="rId664" Type="http://schemas.openxmlformats.org/officeDocument/2006/relationships/hyperlink" Target="https://drive.google.com/open?id=1lfMXlK65ldyN9sLH9TGVtQZT23ZshOsy&amp;authuser=jay.agg%40gmail.com&amp;usp=drive_fs" TargetMode="External"/><Relationship Id="rId1011" Type="http://schemas.openxmlformats.org/officeDocument/2006/relationships/hyperlink" Target="https://drive.google.com/open?id=1S0JoeVa-x8xAselnMXu64Vmh1ngS_Cud&amp;authuser=jay.agg%40gmail.com&amp;usp=drive_fs" TargetMode="External"/><Relationship Id="rId1495" Type="http://schemas.openxmlformats.org/officeDocument/2006/relationships/hyperlink" Target="https://drive.google.com/open?id=1hbDL1QDeGjE6Oq-2ylkBW_JAf8uepF1e&amp;authuser=jay.agg%40gmail.com&amp;usp=drive_fs" TargetMode="External"/><Relationship Id="rId663" Type="http://schemas.openxmlformats.org/officeDocument/2006/relationships/hyperlink" Target="https://drive.google.com/open?id=1lW8235AG5JoVgWQKTbwcKpQ6rqnK53Oc&amp;authuser=jay.agg%40gmail.com&amp;usp=drive_fs" TargetMode="External"/><Relationship Id="rId1012" Type="http://schemas.openxmlformats.org/officeDocument/2006/relationships/hyperlink" Target="https://drive.google.com/open?id=1AUtF9453AsscwlYGhU2_slTjqLRIF5-J&amp;authuser=jay.agg%40gmail.com&amp;usp=drive_fs" TargetMode="External"/><Relationship Id="rId1496" Type="http://schemas.openxmlformats.org/officeDocument/2006/relationships/hyperlink" Target="https://drive.google.com/open?id=1hmC2ImPW8ekTdgHQjfK7KXXaFyru2HpY&amp;authuser=jay.agg%40gmail.com&amp;usp=drive_fs" TargetMode="External"/><Relationship Id="rId662" Type="http://schemas.openxmlformats.org/officeDocument/2006/relationships/hyperlink" Target="https://drive.google.com/open?id=1lUKK3mKF424aqkhZb80WMehb8wmh6mCE&amp;authuser=jay.agg%40gmail.com&amp;usp=drive_fs" TargetMode="External"/><Relationship Id="rId1013" Type="http://schemas.openxmlformats.org/officeDocument/2006/relationships/hyperlink" Target="https://drive.google.com/open?id=1BAIIhR_t7CFMjNdm29pTFbTOYqLj8-1N&amp;authuser=jay.agg%40gmail.com&amp;usp=drive_fs" TargetMode="External"/><Relationship Id="rId1497" Type="http://schemas.openxmlformats.org/officeDocument/2006/relationships/hyperlink" Target="https://drive.google.com/open?id=1hnBUQHNCQpKbt3IdVorJuGiBP6TMcAW3&amp;authuser=jay.agg%40gmail.com&amp;usp=drive_fs" TargetMode="External"/><Relationship Id="rId661" Type="http://schemas.openxmlformats.org/officeDocument/2006/relationships/hyperlink" Target="https://drive.google.com/open?id=1lL3fY0JqL55UqaNQTgLjc2WLX02nTy-i&amp;authuser=jay.agg%40gmail.com&amp;usp=drive_fs" TargetMode="External"/><Relationship Id="rId1014" Type="http://schemas.openxmlformats.org/officeDocument/2006/relationships/hyperlink" Target="https://drive.google.com/open?id=1ByfbDMn70rz3SfUWd9dftPugVYPyZXSX&amp;authuser=jay.agg%40gmail.com&amp;usp=drive_fs" TargetMode="External"/><Relationship Id="rId1498" Type="http://schemas.openxmlformats.org/officeDocument/2006/relationships/hyperlink" Target="https://drive.google.com/open?id=1hqgRulwvwfe1w7nTvAktVqNA2dV_73wD&amp;authuser=jay.agg%40gmail.com&amp;usp=drive_fs" TargetMode="External"/><Relationship Id="rId1004" Type="http://schemas.openxmlformats.org/officeDocument/2006/relationships/hyperlink" Target="https://drive.google.com/open?id=1X5PjIAZXIE8xlRMRcdx9A7o928ykZfZe&amp;authuser=jay.agg%40gmail.com&amp;usp=drive_fs" TargetMode="External"/><Relationship Id="rId1488" Type="http://schemas.openxmlformats.org/officeDocument/2006/relationships/hyperlink" Target="https://drive.google.com/open?id=1mJ4LNIomST48naNYIhpUUr7Sx0mM8Fx3&amp;authuser=jay.agg%40gmail.com&amp;usp=drive_fs" TargetMode="External"/><Relationship Id="rId1005" Type="http://schemas.openxmlformats.org/officeDocument/2006/relationships/hyperlink" Target="https://drive.google.com/open?id=1XRdxqvruzscLoyb9QY96v6kTiDz1KoV1&amp;authuser=jay.agg%40gmail.com&amp;usp=drive_fs" TargetMode="External"/><Relationship Id="rId1489" Type="http://schemas.openxmlformats.org/officeDocument/2006/relationships/hyperlink" Target="https://drive.google.com/open?id=1mMoFbwq2RjcnwvUT750poqaHk2HxAw3Y&amp;authuser=jay.agg%40gmail.com&amp;usp=drive_fs" TargetMode="External"/><Relationship Id="rId1006" Type="http://schemas.openxmlformats.org/officeDocument/2006/relationships/hyperlink" Target="https://drive.google.com/open?id=1_aW6Kpq_ImJfWMyFKdVseB6BTAdKY3Mg&amp;authuser=jay.agg%40gmail.com&amp;usp=drive_fs" TargetMode="External"/><Relationship Id="rId1007" Type="http://schemas.openxmlformats.org/officeDocument/2006/relationships/hyperlink" Target="https://drive.google.com/open?id=12FIiLxoPpTrdQa5g9hjGPxPQQzXqY7NY&amp;authuser=jay.agg%40gmail.com&amp;usp=drive_fs" TargetMode="External"/><Relationship Id="rId1008" Type="http://schemas.openxmlformats.org/officeDocument/2006/relationships/hyperlink" Target="https://drive.google.com/open?id=17Cs2gXrf0bk_owVb5U8fSdi86T1r_Le4&amp;authuser=jay.agg%40gmail.com&amp;usp=drive_fs" TargetMode="External"/><Relationship Id="rId1009" Type="http://schemas.openxmlformats.org/officeDocument/2006/relationships/hyperlink" Target="https://drive.google.com/open?id=1Crzlye474h-9wF00fQsxJwyCqlOGjSD8&amp;authuser=jay.agg%40gmail.com&amp;usp=drive_fs" TargetMode="External"/><Relationship Id="rId657" Type="http://schemas.openxmlformats.org/officeDocument/2006/relationships/hyperlink" Target="https://drive.google.com/open?id=1j8UHMYlqwTGgBMl4ThiwV1zebbtYfiVe&amp;authuser=jay.agg%40gmail.com&amp;usp=drive_fs" TargetMode="External"/><Relationship Id="rId656" Type="http://schemas.openxmlformats.org/officeDocument/2006/relationships/hyperlink" Target="https://drive.google.com/open?id=1ilCK3TO9i-kXMnEvwd2yn2tFBdAPcy-y&amp;authuser=jay.agg%40gmail.com&amp;usp=drive_fs" TargetMode="External"/><Relationship Id="rId655" Type="http://schemas.openxmlformats.org/officeDocument/2006/relationships/hyperlink" Target="https://drive.google.com/open?id=1K1Z9Zxq3cLNUceJfZFhecmYSTXQsVkxG&amp;authuser=jay.agg%40gmail.com&amp;usp=drive_fs" TargetMode="External"/><Relationship Id="rId654" Type="http://schemas.openxmlformats.org/officeDocument/2006/relationships/hyperlink" Target="https://drive.google.com/open?id=1JyH50_LSo0kV2QzZXzqYk3NVeMRhBrc_&amp;authuser=jay.agg%40gmail.com&amp;usp=drive_fs" TargetMode="External"/><Relationship Id="rId659" Type="http://schemas.openxmlformats.org/officeDocument/2006/relationships/hyperlink" Target="https://drive.google.com/open?id=1jkIjYMKHGVEOsiLiTbxwfjNyMb7dlNte&amp;authuser=jay.agg%40gmail.com&amp;usp=drive_fs" TargetMode="External"/><Relationship Id="rId658" Type="http://schemas.openxmlformats.org/officeDocument/2006/relationships/hyperlink" Target="https://drive.google.com/open?id=1jAys8nIwI3mposxVOfjK-4EdLn7_XH5q&amp;authuser=jay.agg%40gmail.com&amp;usp=drive_fs" TargetMode="External"/><Relationship Id="rId1480" Type="http://schemas.openxmlformats.org/officeDocument/2006/relationships/hyperlink" Target="https://drive.google.com/open?id=1gnqtfU7mTLpUXx00lqTMmP1uhFY3xQ-5&amp;authuser=jay.agg%40gmail.com&amp;usp=drive_fs" TargetMode="External"/><Relationship Id="rId1481" Type="http://schemas.openxmlformats.org/officeDocument/2006/relationships/hyperlink" Target="https://drive.google.com/open?id=1gp0yf1CTyo9NhcaPQSI3DH1vAojnLAR8&amp;authuser=jay.agg%40gmail.com&amp;usp=drive_fs" TargetMode="External"/><Relationship Id="rId1482" Type="http://schemas.openxmlformats.org/officeDocument/2006/relationships/hyperlink" Target="https://drive.google.com/open?id=1gNe715hw9nWnRjVcejJhWT8N-voj7j25&amp;authuser=jay.agg%40gmail.com&amp;usp=drive_fs" TargetMode="External"/><Relationship Id="rId1483" Type="http://schemas.openxmlformats.org/officeDocument/2006/relationships/hyperlink" Target="https://drive.google.com/open?id=1lW4mhHLemqb8Pe8gXPKRReoEFyH1n07w&amp;authuser=jay.agg%40gmail.com&amp;usp=drive_fs" TargetMode="External"/><Relationship Id="rId653" Type="http://schemas.openxmlformats.org/officeDocument/2006/relationships/hyperlink" Target="https://drive.google.com/open?id=1JrehHNpJM_0lUUeJ6GUDs3UcFFSUtLpP&amp;authuser=jay.agg%40gmail.com&amp;usp=drive_fs" TargetMode="External"/><Relationship Id="rId1000" Type="http://schemas.openxmlformats.org/officeDocument/2006/relationships/hyperlink" Target="https://drive.google.com/open?id=1PP_neZsWA5cyLtoIgy7kH8o3NIYpT0kG&amp;authuser=jay.agg%40gmail.com&amp;usp=drive_fs" TargetMode="External"/><Relationship Id="rId1484" Type="http://schemas.openxmlformats.org/officeDocument/2006/relationships/hyperlink" Target="https://drive.google.com/open?id=1loj68WXHUa-QxDFMtMknknCFQivST9K7&amp;authuser=jay.agg%40gmail.com&amp;usp=drive_fs" TargetMode="External"/><Relationship Id="rId652" Type="http://schemas.openxmlformats.org/officeDocument/2006/relationships/hyperlink" Target="https://drive.google.com/open?id=1JlTR9Kd1tMUaOrQHDFUw45DgqVzcqWCb&amp;authuser=jay.agg%40gmail.com&amp;usp=drive_fs" TargetMode="External"/><Relationship Id="rId1001" Type="http://schemas.openxmlformats.org/officeDocument/2006/relationships/hyperlink" Target="https://drive.google.com/open?id=1SB1fkOosvR_f90I2hjw3Mt7nTCrWfKpN&amp;authuser=jay.agg%40gmail.com&amp;usp=drive_fs" TargetMode="External"/><Relationship Id="rId1485" Type="http://schemas.openxmlformats.org/officeDocument/2006/relationships/hyperlink" Target="https://drive.google.com/open?id=1mEyYi6_k9yM-vHv8JhPwq4qEJXJsxwI8&amp;authuser=jay.agg%40gmail.com&amp;usp=drive_fs" TargetMode="External"/><Relationship Id="rId651" Type="http://schemas.openxmlformats.org/officeDocument/2006/relationships/hyperlink" Target="https://drive.google.com/open?id=1JdDxediGg_ZfUtouyQLxvCxbjWH3ivEA&amp;authuser=jay.agg%40gmail.com&amp;usp=drive_fs" TargetMode="External"/><Relationship Id="rId1002" Type="http://schemas.openxmlformats.org/officeDocument/2006/relationships/hyperlink" Target="https://drive.google.com/open?id=1TKLWete5--55wBRFs3xveb5fDxiB-I4-&amp;authuser=jay.agg%40gmail.com&amp;usp=drive_fs" TargetMode="External"/><Relationship Id="rId1486" Type="http://schemas.openxmlformats.org/officeDocument/2006/relationships/hyperlink" Target="https://drive.google.com/open?id=1mGCSmHUEb_de72eBajB4ybbECVkT7Vz6&amp;authuser=jay.agg%40gmail.com&amp;usp=drive_fs" TargetMode="External"/><Relationship Id="rId650" Type="http://schemas.openxmlformats.org/officeDocument/2006/relationships/hyperlink" Target="https://drive.google.com/open?id=1Jblgy_onFJTAER0vE3PHaCYl1BjASmwG&amp;authuser=jay.agg%40gmail.com&amp;usp=drive_fs" TargetMode="External"/><Relationship Id="rId1003" Type="http://schemas.openxmlformats.org/officeDocument/2006/relationships/hyperlink" Target="https://drive.google.com/open?id=1TQZw00wR5JvWtj5NG5OjZK3sXFWuSHo8&amp;authuser=jay.agg%40gmail.com&amp;usp=drive_fs" TargetMode="External"/><Relationship Id="rId1487" Type="http://schemas.openxmlformats.org/officeDocument/2006/relationships/hyperlink" Target="https://drive.google.com/open?id=1mH1fqUlJRA5fugVKTZkOI5ucDcumCJMZ&amp;authuser=jay.agg%40gmail.com&amp;usp=drive_fs" TargetMode="External"/><Relationship Id="rId1037" Type="http://schemas.openxmlformats.org/officeDocument/2006/relationships/hyperlink" Target="https://drive.google.com/open?id=1bu696xsT3kcj5Rq3y0z5VaE0FRBzU4hJ&amp;authuser=jay.agg%40gmail.com&amp;usp=drive_fs" TargetMode="External"/><Relationship Id="rId1038" Type="http://schemas.openxmlformats.org/officeDocument/2006/relationships/hyperlink" Target="https://drive.google.com/open?id=1cQZ1nLDZbcrBAbbuejJB5gYu4UDh2ip4&amp;authuser=jay.agg%40gmail.com&amp;usp=drive_fs" TargetMode="External"/><Relationship Id="rId1039" Type="http://schemas.openxmlformats.org/officeDocument/2006/relationships/hyperlink" Target="https://drive.google.com/open?id=1cU17WcKhUy0IEwwgaJbbKg6a20l_eH8x&amp;authuser=jay.agg%40gmail.com&amp;usp=drive_fs" TargetMode="External"/><Relationship Id="rId206" Type="http://schemas.openxmlformats.org/officeDocument/2006/relationships/hyperlink" Target="https://drive.google.com/open?id=1S98BnAjgzMnqK0gaSeAjfURAnE4p6GGL&amp;authuser=jay.agg%40gmail.com&amp;usp=drive_fs" TargetMode="External"/><Relationship Id="rId205" Type="http://schemas.openxmlformats.org/officeDocument/2006/relationships/hyperlink" Target="https://drive.google.com/open?id=1S2Ulg3xJ-_8STATOpgFi2hN69eQZOJ0z&amp;authuser=jay.agg%40gmail.com&amp;usp=drive_fs" TargetMode="External"/><Relationship Id="rId689" Type="http://schemas.openxmlformats.org/officeDocument/2006/relationships/hyperlink" Target="https://drive.google.com/open?id=1IDc9g1sruf7g1KQdTE7NRrdk7KNBGP_N&amp;authuser=jay.agg%40gmail.com&amp;usp=drive_fs" TargetMode="External"/><Relationship Id="rId204" Type="http://schemas.openxmlformats.org/officeDocument/2006/relationships/hyperlink" Target="https://drive.google.com/open?id=1S1-oItrjrPuZogp4E743RrdwmIfIYIEF&amp;authuser=jay.agg%40gmail.com&amp;usp=drive_fs" TargetMode="External"/><Relationship Id="rId688" Type="http://schemas.openxmlformats.org/officeDocument/2006/relationships/hyperlink" Target="https://drive.google.com/open?id=10h_p0sNAH2pM0EZFmpUIbnczPPv-GuHk&amp;authuser=jay.agg%40gmail.com&amp;usp=drive_fs" TargetMode="External"/><Relationship Id="rId203" Type="http://schemas.openxmlformats.org/officeDocument/2006/relationships/hyperlink" Target="https://drive.google.com/open?id=1S0Z7-qXziQR2o-50ZN_Wj4QZgEHujSeM&amp;authuser=jay.agg%40gmail.com&amp;usp=drive_fs" TargetMode="External"/><Relationship Id="rId687" Type="http://schemas.openxmlformats.org/officeDocument/2006/relationships/hyperlink" Target="https://drive.google.com/open?id=10fI25xNNp2NVzniSjr3n5PRpuMA3-ns_&amp;authuser=jay.agg%40gmail.com&amp;usp=drive_fs" TargetMode="External"/><Relationship Id="rId209" Type="http://schemas.openxmlformats.org/officeDocument/2006/relationships/hyperlink" Target="https://drive.google.com/open?id=1QTPA9WUEV2j8fkEkgcASZTdsr3jy70lO&amp;authuser=jay.agg%40gmail.com&amp;usp=drive_fs" TargetMode="External"/><Relationship Id="rId208" Type="http://schemas.openxmlformats.org/officeDocument/2006/relationships/hyperlink" Target="https://drive.google.com/open?id=1PpZmDlcNh_1V1ZpVdq__IRl0I1kPw1Qd&amp;authuser=jay.agg%40gmail.com&amp;usp=drive_fs" TargetMode="External"/><Relationship Id="rId207" Type="http://schemas.openxmlformats.org/officeDocument/2006/relationships/hyperlink" Target="https://drive.google.com/open?id=1PnzMu0Gj44pVCfBcfv9xMTpVe_jmAs4T&amp;authuser=jay.agg%40gmail.com&amp;usp=drive_fs" TargetMode="External"/><Relationship Id="rId682" Type="http://schemas.openxmlformats.org/officeDocument/2006/relationships/hyperlink" Target="https://drive.google.com/open?id=1v4cGd5gQhdsCSwESCzqIuwLHXBQ61FZ3&amp;authuser=jay.agg%40gmail.com&amp;usp=drive_fs" TargetMode="External"/><Relationship Id="rId681" Type="http://schemas.openxmlformats.org/officeDocument/2006/relationships/hyperlink" Target="https://drive.google.com/open?id=1v3tdvQa0X4PwePvgg3n7Pnu_kEO291iJ&amp;authuser=jay.agg%40gmail.com&amp;usp=drive_fs" TargetMode="External"/><Relationship Id="rId1030" Type="http://schemas.openxmlformats.org/officeDocument/2006/relationships/hyperlink" Target="https://drive.google.com/open?id=1SBLkVNmqnX4OYK4aJO7joLQzUcHSj3tX&amp;authuser=jay.agg%40gmail.com&amp;usp=drive_fs" TargetMode="External"/><Relationship Id="rId680" Type="http://schemas.openxmlformats.org/officeDocument/2006/relationships/hyperlink" Target="https://drive.google.com/open?id=1sJMXBqzsbmsPQ_aOz-Rc_QnSKKUcxatB&amp;authuser=jay.agg%40gmail.com&amp;usp=drive_fs" TargetMode="External"/><Relationship Id="rId1031" Type="http://schemas.openxmlformats.org/officeDocument/2006/relationships/hyperlink" Target="https://drive.google.com/open?id=1bZ1xCuANVfYF3FIC18rTJsMQhSFLnJNm&amp;authuser=jay.agg%40gmail.com&amp;usp=drive_fs" TargetMode="External"/><Relationship Id="rId1032" Type="http://schemas.openxmlformats.org/officeDocument/2006/relationships/hyperlink" Target="https://drive.google.com/open?id=1bcZpGfPoMXDPTbSxzxMxjn7Rxt7adn7l&amp;authuser=jay.agg%40gmail.com&amp;usp=drive_fs" TargetMode="External"/><Relationship Id="rId202" Type="http://schemas.openxmlformats.org/officeDocument/2006/relationships/hyperlink" Target="https://drive.google.com/open?id=1RsN-5kbxnytBeeqYRPBafhzEPINgMI6a&amp;authuser=jay.agg%40gmail.com&amp;usp=drive_fs" TargetMode="External"/><Relationship Id="rId686" Type="http://schemas.openxmlformats.org/officeDocument/2006/relationships/hyperlink" Target="https://drive.google.com/open?id=1-NcNyDUBjr07xIK6idbrZmn0_xFW7jen&amp;authuser=jay.agg%40gmail.com&amp;usp=drive_fs" TargetMode="External"/><Relationship Id="rId1033" Type="http://schemas.openxmlformats.org/officeDocument/2006/relationships/hyperlink" Target="https://drive.google.com/open?id=1TdHmVW8TpujDIJ9hmo96hi9fIYAhzrOL&amp;authuser=jay.agg%40gmail.com&amp;usp=drive_fs" TargetMode="External"/><Relationship Id="rId201" Type="http://schemas.openxmlformats.org/officeDocument/2006/relationships/hyperlink" Target="https://drive.google.com/open?id=1N4B92ANkI-56ydIrP1GkifkdOXM1UzMm&amp;authuser=jay.agg%40gmail.com&amp;usp=drive_fs" TargetMode="External"/><Relationship Id="rId685" Type="http://schemas.openxmlformats.org/officeDocument/2006/relationships/hyperlink" Target="https://drive.google.com/open?id=1xrSN9jdf39LshriFDuihCoc325rMT_Vw&amp;authuser=jay.agg%40gmail.com&amp;usp=drive_fs" TargetMode="External"/><Relationship Id="rId1034" Type="http://schemas.openxmlformats.org/officeDocument/2006/relationships/hyperlink" Target="https://drive.google.com/open?id=1TeYHEy8TxqYIbPsxfxDa3-2Cc7CS_8AY&amp;authuser=jay.agg%40gmail.com&amp;usp=drive_fs" TargetMode="External"/><Relationship Id="rId200" Type="http://schemas.openxmlformats.org/officeDocument/2006/relationships/hyperlink" Target="https://drive.google.com/open?id=129Tc2pA_aD6fw-eEZeX6LXlb4uoy1j5_&amp;authuser=jay.agg%40gmail.com&amp;usp=drive_fs" TargetMode="External"/><Relationship Id="rId684" Type="http://schemas.openxmlformats.org/officeDocument/2006/relationships/hyperlink" Target="https://drive.google.com/open?id=1xj2HsIQmnDmtMA6pmw9bPIVejGD2enHj&amp;authuser=jay.agg%40gmail.com&amp;usp=drive_fs" TargetMode="External"/><Relationship Id="rId1035" Type="http://schemas.openxmlformats.org/officeDocument/2006/relationships/hyperlink" Target="https://drive.google.com/open?id=1br_Bmmo5BouaDD0ySdIBxeB0Zho9elM9&amp;authuser=jay.agg%40gmail.com&amp;usp=drive_fs" TargetMode="External"/><Relationship Id="rId683" Type="http://schemas.openxmlformats.org/officeDocument/2006/relationships/hyperlink" Target="https://drive.google.com/open?id=1i2Orf0sLUfj3yGrBd2tW3ehcbIKI7yhR&amp;authuser=jay.agg%40gmail.com&amp;usp=drive_fs" TargetMode="External"/><Relationship Id="rId1036" Type="http://schemas.openxmlformats.org/officeDocument/2006/relationships/hyperlink" Target="https://drive.google.com/open?id=1btVQf7Al07HEYIVxn9NCb5ooWJnS6fi0&amp;authuser=jay.agg%40gmail.com&amp;usp=drive_fs" TargetMode="External"/><Relationship Id="rId1026" Type="http://schemas.openxmlformats.org/officeDocument/2006/relationships/hyperlink" Target="https://drive.google.com/open?id=1XbuBMiGIeJeLMlNdqinMKyIq2LAVN3Vo&amp;authuser=jay.agg%40gmail.com&amp;usp=drive_fs" TargetMode="External"/><Relationship Id="rId1027" Type="http://schemas.openxmlformats.org/officeDocument/2006/relationships/hyperlink" Target="https://drive.google.com/open?id=1Zs1KOwwl0A7lPwcA-lFX7Uz5eZHgcnOh&amp;authuser=jay.agg%40gmail.com&amp;usp=drive_fs" TargetMode="External"/><Relationship Id="rId1028" Type="http://schemas.openxmlformats.org/officeDocument/2006/relationships/hyperlink" Target="https://drive.google.com/open?id=1OUeI1hjrKsYImhu02Q5Rv64yicLMPFRa&amp;authuser=jay.agg%40gmail.com&amp;usp=drive_fs" TargetMode="External"/><Relationship Id="rId1029" Type="http://schemas.openxmlformats.org/officeDocument/2006/relationships/hyperlink" Target="https://drive.google.com/open?id=1RbVA9G0GfOooAXiRtSrF3W27xwr7sRW5&amp;authuser=jay.agg%40gmail.com&amp;usp=drive_fs" TargetMode="External"/><Relationship Id="rId679" Type="http://schemas.openxmlformats.org/officeDocument/2006/relationships/hyperlink" Target="https://drive.google.com/open?id=1sFxPz5jwFvxTbutdV0o375qxDelHRLab&amp;authuser=jay.agg%40gmail.com&amp;usp=drive_fs" TargetMode="External"/><Relationship Id="rId678" Type="http://schemas.openxmlformats.org/officeDocument/2006/relationships/hyperlink" Target="https://drive.google.com/open?id=1s7UWWXnciXeNoXsRHC3JYkc1c6ST73V3&amp;authuser=jay.agg%40gmail.com&amp;usp=drive_fs" TargetMode="External"/><Relationship Id="rId677" Type="http://schemas.openxmlformats.org/officeDocument/2006/relationships/hyperlink" Target="https://drive.google.com/open?id=1ruGNdXVwWS66Gqd44ZsXne3LoN4w_Aei&amp;authuser=jay.agg%40gmail.com&amp;usp=drive_fs" TargetMode="External"/><Relationship Id="rId676" Type="http://schemas.openxmlformats.org/officeDocument/2006/relationships/hyperlink" Target="https://drive.google.com/open?id=1qYFO5fPf3ge82nOv-244Opkzt8dMWr6B&amp;authuser=jay.agg%40gmail.com&amp;usp=drive_fs" TargetMode="External"/><Relationship Id="rId671" Type="http://schemas.openxmlformats.org/officeDocument/2006/relationships/hyperlink" Target="https://drive.google.com/open?id=1qM8tGq_LKW_k-jLOtgniTJY3C9h8Rn7D&amp;authuser=jay.agg%40gmail.com&amp;usp=drive_fs" TargetMode="External"/><Relationship Id="rId670" Type="http://schemas.openxmlformats.org/officeDocument/2006/relationships/hyperlink" Target="https://drive.google.com/open?id=1q-PlnMC42ATc4SqGwarKZ65Jg2JCXcs5&amp;authuser=jay.agg%40gmail.com&amp;usp=drive_fs" TargetMode="External"/><Relationship Id="rId1020" Type="http://schemas.openxmlformats.org/officeDocument/2006/relationships/hyperlink" Target="https://drive.google.com/open?id=1EDFHLal9OFKDcKtdrwzHrFcodX9TQmQF&amp;authuser=jay.agg%40gmail.com&amp;usp=drive_fs" TargetMode="External"/><Relationship Id="rId1021" Type="http://schemas.openxmlformats.org/officeDocument/2006/relationships/hyperlink" Target="https://drive.google.com/open?id=1ECt9F1f6-PNDi3P7M8-WDLzuWoONz4Pm&amp;authuser=jay.agg%40gmail.com&amp;usp=drive_fs" TargetMode="External"/><Relationship Id="rId675" Type="http://schemas.openxmlformats.org/officeDocument/2006/relationships/hyperlink" Target="https://drive.google.com/open?id=1qXaRhL7-BF4uylP1W6khaGnBtQernXlR&amp;authuser=jay.agg%40gmail.com&amp;usp=drive_fs" TargetMode="External"/><Relationship Id="rId1022" Type="http://schemas.openxmlformats.org/officeDocument/2006/relationships/hyperlink" Target="https://drive.google.com/open?id=1VnjDLGsZHYLMpIHTAPBXgjAaWeFFe8Co&amp;authuser=jay.agg%40gmail.com&amp;usp=drive_fs" TargetMode="External"/><Relationship Id="rId674" Type="http://schemas.openxmlformats.org/officeDocument/2006/relationships/hyperlink" Target="https://drive.google.com/open?id=1qXXNkf1aNKdWFNOdbfRXe0e5obI1qZvj&amp;authuser=jay.agg%40gmail.com&amp;usp=drive_fs" TargetMode="External"/><Relationship Id="rId1023" Type="http://schemas.openxmlformats.org/officeDocument/2006/relationships/hyperlink" Target="https://drive.google.com/open?id=1W8K3LGsxJqHIDtIbqdtppHLaxRx4D66i&amp;authuser=jay.agg%40gmail.com&amp;usp=drive_fs" TargetMode="External"/><Relationship Id="rId673" Type="http://schemas.openxmlformats.org/officeDocument/2006/relationships/hyperlink" Target="https://drive.google.com/open?id=1qVJmR4BcSZPRj3qqXKg2xSr-hWcJcppi&amp;authuser=jay.agg%40gmail.com&amp;usp=drive_fs" TargetMode="External"/><Relationship Id="rId1024" Type="http://schemas.openxmlformats.org/officeDocument/2006/relationships/hyperlink" Target="https://drive.google.com/open?id=1MZcgRJR6eRn0bLxw4dJgnt1Z8c1PCcAl&amp;authuser=jay.agg%40gmail.com&amp;usp=drive_fs" TargetMode="External"/><Relationship Id="rId672" Type="http://schemas.openxmlformats.org/officeDocument/2006/relationships/hyperlink" Target="https://drive.google.com/open?id=1qNZsSgx3B5By9yKca-pdOBSdKE6YG-Uy&amp;authuser=jay.agg%40gmail.com&amp;usp=drive_fs" TargetMode="External"/><Relationship Id="rId1025" Type="http://schemas.openxmlformats.org/officeDocument/2006/relationships/hyperlink" Target="https://drive.google.com/open?id=1MfcBn_GQd5c1R_1f3A6p3lcJJN1Ro3F6&amp;authuser=jay.agg%40gmail.com&amp;usp=drive_fs" TargetMode="External"/><Relationship Id="rId190" Type="http://schemas.openxmlformats.org/officeDocument/2006/relationships/hyperlink" Target="https://drive.google.com/open?id=1Emi--XIoiuXckSxqBeNw1IyXwinydrah&amp;authuser=jay.agg%40gmail.com&amp;usp=drive_fs" TargetMode="External"/><Relationship Id="rId194" Type="http://schemas.openxmlformats.org/officeDocument/2006/relationships/hyperlink" Target="https://drive.google.com/open?id=1UJH96vToCz3tFBDTJUV37JMn8WUK64XB&amp;authuser=jay.agg%40gmail.com&amp;usp=drive_fs" TargetMode="External"/><Relationship Id="rId193" Type="http://schemas.openxmlformats.org/officeDocument/2006/relationships/hyperlink" Target="https://drive.google.com/open?id=1UGXtEEpa2olcD_7mskNUz4fN8hxaqzux&amp;authuser=jay.agg%40gmail.com&amp;usp=drive_fs" TargetMode="External"/><Relationship Id="rId192" Type="http://schemas.openxmlformats.org/officeDocument/2006/relationships/hyperlink" Target="https://drive.google.com/open?id=1-ipabbVYYqsWTc752HmG2v6Wr2iaJEam&amp;authuser=jay.agg%40gmail.com&amp;usp=drive_fs" TargetMode="External"/><Relationship Id="rId191" Type="http://schemas.openxmlformats.org/officeDocument/2006/relationships/hyperlink" Target="https://drive.google.com/open?id=1UExgVL2URLNjfjV1HAWg4VIoUNyPdo8-&amp;authuser=jay.agg%40gmail.com&amp;usp=drive_fs" TargetMode="External"/><Relationship Id="rId187" Type="http://schemas.openxmlformats.org/officeDocument/2006/relationships/hyperlink" Target="https://drive.google.com/open?id=1FnsatBoPLTPp4pCKqLg30CDtg4dTkM3n&amp;authuser=jay.agg%40gmail.com&amp;usp=drive_fs" TargetMode="External"/><Relationship Id="rId186" Type="http://schemas.openxmlformats.org/officeDocument/2006/relationships/hyperlink" Target="https://drive.google.com/open?id=1FWVuQA0GcqzoUWWLjQLAJFIX0SWSEdFr&amp;authuser=jay.agg%40gmail.com&amp;usp=drive_fs" TargetMode="External"/><Relationship Id="rId185" Type="http://schemas.openxmlformats.org/officeDocument/2006/relationships/hyperlink" Target="https://drive.google.com/open?id=1Fjk4IQZJ34_nyzhqW73UOkG39mmThBYf&amp;authuser=jay.agg%40gmail.com&amp;usp=drive_fs" TargetMode="External"/><Relationship Id="rId184" Type="http://schemas.openxmlformats.org/officeDocument/2006/relationships/hyperlink" Target="https://drive.google.com/open?id=1FY_BWfKhFUF1b3v5HB3Hc0DrhkEhW1dk&amp;authuser=jay.agg%40gmail.com&amp;usp=drive_fs" TargetMode="External"/><Relationship Id="rId189" Type="http://schemas.openxmlformats.org/officeDocument/2006/relationships/hyperlink" Target="https://drive.google.com/open?id=1FL99kMLlavpUPir5t5GYIF7llvaOg0-z&amp;authuser=jay.agg%40gmail.com&amp;usp=drive_fs" TargetMode="External"/><Relationship Id="rId188" Type="http://schemas.openxmlformats.org/officeDocument/2006/relationships/hyperlink" Target="https://drive.google.com/open?id=1FMsvYWKgEmPGYiFaJx5tzMiNTtJ-Dj6o&amp;authuser=jay.agg%40gmail.com&amp;usp=drive_fs" TargetMode="External"/><Relationship Id="rId183" Type="http://schemas.openxmlformats.org/officeDocument/2006/relationships/hyperlink" Target="https://drive.google.com/open?id=1FiqaCWv8mXhiNA9bdlWazF9ffvu_ueSN&amp;authuser=jay.agg%40gmail.com&amp;usp=drive_fs" TargetMode="External"/><Relationship Id="rId182" Type="http://schemas.openxmlformats.org/officeDocument/2006/relationships/hyperlink" Target="https://drive.google.com/open?id=1Fc9oTKR7b821HkTrG_zI5QSWnLPrSVLg&amp;authuser=jay.agg%40gmail.com&amp;usp=drive_fs" TargetMode="External"/><Relationship Id="rId181" Type="http://schemas.openxmlformats.org/officeDocument/2006/relationships/hyperlink" Target="https://drive.google.com/open?id=1D3hjwUP0P8lFx9WD_i9STXsfY7uqE-26&amp;authuser=jay.agg%40gmail.com&amp;usp=drive_fs" TargetMode="External"/><Relationship Id="rId180" Type="http://schemas.openxmlformats.org/officeDocument/2006/relationships/hyperlink" Target="https://drive.google.com/open?id=1CxpmydiWdrTgZTCnku5c5rEHVSJSeEOZ&amp;authuser=jay.agg%40gmail.com&amp;usp=drive_fs" TargetMode="External"/><Relationship Id="rId176" Type="http://schemas.openxmlformats.org/officeDocument/2006/relationships/hyperlink" Target="https://drive.google.com/open?id=1PO6TlEGisYQjmf11rTDA_SVjC9lIieBe&amp;authuser=jay.agg%40gmail.com&amp;usp=drive_fs" TargetMode="External"/><Relationship Id="rId175" Type="http://schemas.openxmlformats.org/officeDocument/2006/relationships/hyperlink" Target="https://drive.google.com/open?id=1PGaH2FJqFiaNcamQsnlEdWRhmJohB2nf&amp;authuser=jay.agg%40gmail.com&amp;usp=drive_fs" TargetMode="External"/><Relationship Id="rId174" Type="http://schemas.openxmlformats.org/officeDocument/2006/relationships/hyperlink" Target="https://drive.google.com/open?id=1_JKl-tnZg0v5n2NxfPWcjmDL9ReCUQx2&amp;authuser=jay.agg%40gmail.com&amp;usp=drive_fs" TargetMode="External"/><Relationship Id="rId173" Type="http://schemas.openxmlformats.org/officeDocument/2006/relationships/hyperlink" Target="https://drive.google.com/open?id=1NKo9EGEy_OTROxqHiyGwdFTKamnXBFl-&amp;authuser=jay.agg%40gmail.com&amp;usp=drive_fs" TargetMode="External"/><Relationship Id="rId179" Type="http://schemas.openxmlformats.org/officeDocument/2006/relationships/hyperlink" Target="https://drive.google.com/open?id=1PWnDnFzKi-u__xJcDPQikhHsJcC-t9Bj&amp;authuser=jay.agg%40gmail.com&amp;usp=drive_fs" TargetMode="External"/><Relationship Id="rId178" Type="http://schemas.openxmlformats.org/officeDocument/2006/relationships/hyperlink" Target="https://drive.google.com/open?id=1PR-nafINydU3fQWPFdZ7QXfirO1hPosI&amp;authuser=jay.agg%40gmail.com&amp;usp=drive_fs" TargetMode="External"/><Relationship Id="rId177" Type="http://schemas.openxmlformats.org/officeDocument/2006/relationships/hyperlink" Target="https://drive.google.com/open?id=1PQJOexa-4GtuFZKuNhr0dfS6GSSoeVyQ&amp;authuser=jay.agg%40gmail.com&amp;usp=drive_fs" TargetMode="External"/><Relationship Id="rId1910" Type="http://schemas.openxmlformats.org/officeDocument/2006/relationships/hyperlink" Target="https://drive.google.com/open?id=1OhFTsX8xGqXDihpiMiq2H5UZWsaBPPXI&amp;usp=drive_fs" TargetMode="External"/><Relationship Id="rId1911" Type="http://schemas.openxmlformats.org/officeDocument/2006/relationships/hyperlink" Target="https://drive.google.com/open?id=16UTm1Lc8Xim55KAtOHFaI082ra3Ro8di&amp;usp=drive_fs" TargetMode="External"/><Relationship Id="rId1912" Type="http://schemas.openxmlformats.org/officeDocument/2006/relationships/hyperlink" Target="https://drive.google.com/open?id=18ASYfyzOOV0ljVDm23rMcAWH0d2piy9j&amp;usp=drive_fs" TargetMode="External"/><Relationship Id="rId1913" Type="http://schemas.openxmlformats.org/officeDocument/2006/relationships/hyperlink" Target="https://drive.google.com/open?id=1Qt7H0qUkKnBrSde5uh5hA3Y1BoFEXSFW&amp;usp=drive_fs" TargetMode="External"/><Relationship Id="rId1914" Type="http://schemas.openxmlformats.org/officeDocument/2006/relationships/hyperlink" Target="https://drive.google.com/open?id=1c6wZa1_7tY_F2JNsEYBi-ZabcocIsDPO&amp;authuser=jay.agg%40gmail.com&amp;usp=drive_fs" TargetMode="External"/><Relationship Id="rId1915" Type="http://schemas.openxmlformats.org/officeDocument/2006/relationships/hyperlink" Target="https://drive.google.com/open?id=1c7VnR2r1wUIRaRQFPcQdQjUEoyEhm3Ry&amp;authuser=jay.agg%40gmail.com&amp;usp=drive_fs" TargetMode="External"/><Relationship Id="rId1916" Type="http://schemas.openxmlformats.org/officeDocument/2006/relationships/hyperlink" Target="https://drive.google.com/open?id=1cG4F570DE8TZdmEFMVHicJq2Ozl4BktK&amp;authuser=jay.agg%40gmail.com&amp;usp=drive_fs" TargetMode="External"/><Relationship Id="rId1917" Type="http://schemas.openxmlformats.org/officeDocument/2006/relationships/hyperlink" Target="https://drive.google.com/open?id=1cGCy0seFMOVCBxKqv6q5yzaAH_MDz2x5&amp;authuser=jay.agg%40gmail.com&amp;usp=drive_fs" TargetMode="External"/><Relationship Id="rId1918" Type="http://schemas.openxmlformats.org/officeDocument/2006/relationships/hyperlink" Target="https://drive.google.com/open?id=1cJUsz6Yy9cgIh3myniNaPCpKem3IcZyI&amp;authuser=jay.agg%40gmail.com&amp;usp=drive_fs" TargetMode="External"/><Relationship Id="rId1919" Type="http://schemas.openxmlformats.org/officeDocument/2006/relationships/hyperlink" Target="https://drive.google.com/open?id=1cdWJyuBwrj5h3FE7t2k_bK3_uDenWx-u&amp;authuser=jay.agg%40gmail.com&amp;usp=drive_fs" TargetMode="External"/><Relationship Id="rId1900" Type="http://schemas.openxmlformats.org/officeDocument/2006/relationships/hyperlink" Target="https://drive.google.com/open?id=1C6ZnEqjF8Jcl2mEjD_9Gdn7SVnS0sVpX&amp;authuser=jay.agg%40gmail.com&amp;usp=drive_fs" TargetMode="External"/><Relationship Id="rId1901" Type="http://schemas.openxmlformats.org/officeDocument/2006/relationships/hyperlink" Target="https://drive.google.com/open?id=1E0ff2Mzed10Rhqg7TxP2BLIrT7nYhorO&amp;authuser=jay.agg%40gmail.com&amp;usp=drive_fs" TargetMode="External"/><Relationship Id="rId1902" Type="http://schemas.openxmlformats.org/officeDocument/2006/relationships/hyperlink" Target="https://drive.google.com/open?id=1EtkqClGoPAil0pHMmlUMOZwsmeqjKAhP&amp;authuser=jay.agg%40gmail.com&amp;usp=drive_fs" TargetMode="External"/><Relationship Id="rId1903" Type="http://schemas.openxmlformats.org/officeDocument/2006/relationships/hyperlink" Target="https://drive.google.com/open?id=1TrcyqeqdVGcF60o8hyBOSVxGjkLqiEcF&amp;authuser=jay.agg%40gmail.com&amp;usp=drive_fs" TargetMode="External"/><Relationship Id="rId1904" Type="http://schemas.openxmlformats.org/officeDocument/2006/relationships/hyperlink" Target="https://drive.google.com/open?id=1CVjOibiP1XKiqEYR7SOAOjKOvR0srYg0&amp;authuser=jay.agg%40gmail.com&amp;usp=drive_fs" TargetMode="External"/><Relationship Id="rId1905" Type="http://schemas.openxmlformats.org/officeDocument/2006/relationships/hyperlink" Target="https://drive.google.com/open?id=10LYhdPPIlAoiJSn_98BazZ6pyPn_IPCx&amp;authuser=jay.agg%40gmail.com&amp;usp=drive_fs" TargetMode="External"/><Relationship Id="rId1906" Type="http://schemas.openxmlformats.org/officeDocument/2006/relationships/hyperlink" Target="https://drive.google.com/open?id=15FZ6wmmVQmF6GB-FGsymBS1Tf7eKyw0-&amp;authuser=jay.agg%40gmail.com&amp;usp=drive_fs" TargetMode="External"/><Relationship Id="rId1907" Type="http://schemas.openxmlformats.org/officeDocument/2006/relationships/hyperlink" Target="https://drive.google.com/open?id=11EwwKW5nD3l2kosrBUvPoLj5XD5H5lZx&amp;usp=drive_fs" TargetMode="External"/><Relationship Id="rId1908" Type="http://schemas.openxmlformats.org/officeDocument/2006/relationships/hyperlink" Target="https://drive.google.com/open?id=11pfml--W8qNDG5nhI5sUXygZ61_njZ98&amp;usp=drive_fs" TargetMode="External"/><Relationship Id="rId1909" Type="http://schemas.openxmlformats.org/officeDocument/2006/relationships/hyperlink" Target="https://drive.google.com/open?id=1NRVuu0I3p467Yfx3XRSyWAFKEKUk5NvN&amp;usp=drive_fs" TargetMode="External"/><Relationship Id="rId198" Type="http://schemas.openxmlformats.org/officeDocument/2006/relationships/hyperlink" Target="https://drive.google.com/open?id=1UMXrLqrUmqp7-d9mhQWMYtxxeVypNWrE&amp;authuser=jay.agg%40gmail.com&amp;usp=drive_fs" TargetMode="External"/><Relationship Id="rId197" Type="http://schemas.openxmlformats.org/officeDocument/2006/relationships/hyperlink" Target="https://drive.google.com/open?id=1ULAv4zyHUgIT5p3O-6qqMuw-LleJ-C23&amp;authuser=jay.agg%40gmail.com&amp;usp=drive_fs" TargetMode="External"/><Relationship Id="rId196" Type="http://schemas.openxmlformats.org/officeDocument/2006/relationships/hyperlink" Target="https://drive.google.com/open?id=1UKaFW_6Czxw3fTtHjztdAcLhYJr2xVrI&amp;authuser=jay.agg%40gmail.com&amp;usp=drive_fs" TargetMode="External"/><Relationship Id="rId195" Type="http://schemas.openxmlformats.org/officeDocument/2006/relationships/hyperlink" Target="https://drive.google.com/open?id=1UJKPj6iM9WGYg1F9TNcXQM00SgdnfjKK&amp;authuser=jay.agg%40gmail.com&amp;usp=drive_fs" TargetMode="External"/><Relationship Id="rId199" Type="http://schemas.openxmlformats.org/officeDocument/2006/relationships/hyperlink" Target="https://drive.google.com/open?id=1UNsN6lw6eJp3EmppFBALQPeknHOYuu7F&amp;authuser=jay.agg%40gmail.com&amp;usp=drive_fs" TargetMode="External"/><Relationship Id="rId150" Type="http://schemas.openxmlformats.org/officeDocument/2006/relationships/hyperlink" Target="https://drive.google.com/open?id=128zHpI7XkiKCR_R8rKQGokf6kCUkSdBO&amp;usp=drive_fs" TargetMode="External"/><Relationship Id="rId149" Type="http://schemas.openxmlformats.org/officeDocument/2006/relationships/hyperlink" Target="https://drive.google.com/open?id=123v16qlnJcvIgd6LZNXziJ_y0lW5xG6U&amp;usp=drive_fs" TargetMode="External"/><Relationship Id="rId148" Type="http://schemas.openxmlformats.org/officeDocument/2006/relationships/hyperlink" Target="https://drive.google.com/open?id=120l4XLhCzkF2qQfMJP6T1kM_4bvnjoV-&amp;usp=drive_fs" TargetMode="External"/><Relationship Id="rId1090" Type="http://schemas.openxmlformats.org/officeDocument/2006/relationships/hyperlink" Target="https://drive.google.com/open?id=10A4X1h2gJ16Jz3LA0SJ8drkzDJjnvHDX&amp;authuser=jay.agg%40gmail.com&amp;usp=drive_fs" TargetMode="External"/><Relationship Id="rId1091" Type="http://schemas.openxmlformats.org/officeDocument/2006/relationships/hyperlink" Target="https://drive.google.com/open?id=10A2WDSt2n4x8BmP8y_I_U99z0kqyKa9w&amp;authuser=jay.agg%40gmail.com&amp;usp=drive_fs" TargetMode="External"/><Relationship Id="rId1092" Type="http://schemas.openxmlformats.org/officeDocument/2006/relationships/hyperlink" Target="https://drive.google.com/open?id=109_tJWIB9rGPhzUrkGJj1s7wwUjYpEyX&amp;authuser=jay.agg%40gmail.com&amp;usp=drive_fs" TargetMode="External"/><Relationship Id="rId1093" Type="http://schemas.openxmlformats.org/officeDocument/2006/relationships/hyperlink" Target="https://drive.google.com/open?id=10DWOfQFgNO7twHPpeQFD8uJC_bYu_fDO&amp;authuser=jay.agg%40gmail.com&amp;usp=drive_fs" TargetMode="External"/><Relationship Id="rId1094" Type="http://schemas.openxmlformats.org/officeDocument/2006/relationships/hyperlink" Target="https://drive.google.com/open?id=1D88rBIIrHVq4Ky7DjmXeB-X-2I47xUeM&amp;authuser=jay.agg%40gmail.com&amp;usp=drive_fs" TargetMode="External"/><Relationship Id="rId143" Type="http://schemas.openxmlformats.org/officeDocument/2006/relationships/hyperlink" Target="https://drive.google.com/open?id=14M048j_F1XCvO9A45rRq3NCL-Y4Vf4Hd&amp;authuser=jay.agg%40gmail.com&amp;usp=drive_fs" TargetMode="External"/><Relationship Id="rId1095" Type="http://schemas.openxmlformats.org/officeDocument/2006/relationships/hyperlink" Target="https://drive.google.com/open?id=1DhrExbNS8AvSeGQo5qvKtthB-kzJQdq3&amp;authuser=jay.agg%40gmail.com&amp;usp=drive_fs" TargetMode="External"/><Relationship Id="rId142" Type="http://schemas.openxmlformats.org/officeDocument/2006/relationships/hyperlink" Target="https://drive.google.com/open?id=1Gk8EFo89PvhNIZh-LmzSxoUKa6LjX_tn&amp;authuser=jay.agg%40gmail.com&amp;usp=drive_fs" TargetMode="External"/><Relationship Id="rId1096" Type="http://schemas.openxmlformats.org/officeDocument/2006/relationships/hyperlink" Target="https://drive.google.com/open?id=1Dk55LI1DwN4UeS2nebqj1Z6iQs6z78Qo&amp;authuser=jay.agg%40gmail.com&amp;usp=drive_fs" TargetMode="External"/><Relationship Id="rId141" Type="http://schemas.openxmlformats.org/officeDocument/2006/relationships/hyperlink" Target="https://drive.google.com/open?id=1dHWKswVjYgfIqxwnPYP534zHori1EUah&amp;authuser=jay.agg%40gmail.com&amp;usp=drive_fs" TargetMode="External"/><Relationship Id="rId1097" Type="http://schemas.openxmlformats.org/officeDocument/2006/relationships/hyperlink" Target="https://drive.google.com/open?id=10jigd_uY9YVzFCB8NG_UWKI39OS2O90Q&amp;authuser=jay.agg%40gmail.com&amp;usp=drive_fs" TargetMode="External"/><Relationship Id="rId140" Type="http://schemas.openxmlformats.org/officeDocument/2006/relationships/hyperlink" Target="https://drive.google.com/open?id=1dFUmPtxjA0tss4Kfo_9SLk7qvw604kcq&amp;authuser=jay.agg%40gmail.com&amp;usp=drive_fs" TargetMode="External"/><Relationship Id="rId1098" Type="http://schemas.openxmlformats.org/officeDocument/2006/relationships/hyperlink" Target="https://drive.google.com/open?id=1Jy0IGyE8jXMI5kkXDu2ihZKU4bQc5Eix&amp;authuser=jay.agg%40gmail.com&amp;usp=drive_fs" TargetMode="External"/><Relationship Id="rId147" Type="http://schemas.openxmlformats.org/officeDocument/2006/relationships/hyperlink" Target="https://drive.google.com/open?id=11zKE_1hD0nf8OC--HSsIIJ3AChtYTFaO&amp;usp=drive_fs" TargetMode="External"/><Relationship Id="rId1099" Type="http://schemas.openxmlformats.org/officeDocument/2006/relationships/hyperlink" Target="https://drive.google.com/open?id=1KVTCi5VQjWZR6035WK4CRodcaIefGoQL&amp;authuser=jay.agg%40gmail.com&amp;usp=drive_fs" TargetMode="External"/><Relationship Id="rId146" Type="http://schemas.openxmlformats.org/officeDocument/2006/relationships/hyperlink" Target="https://drive.google.com/open?id=15g17QO6svB9P3eswaobMWLtGAA18hWuZ&amp;usp=drive_fs" TargetMode="External"/><Relationship Id="rId145" Type="http://schemas.openxmlformats.org/officeDocument/2006/relationships/hyperlink" Target="https://drive.google.com/open?id=15f9flqdcn8nw7F_EFmkZh4ioQfoja5aG&amp;usp=drive_fs" TargetMode="External"/><Relationship Id="rId144" Type="http://schemas.openxmlformats.org/officeDocument/2006/relationships/hyperlink" Target="https://drive.google.com/open?id=15R2RhqoR7dpT0CwL0kQWNeVQ04rqeDCM&amp;usp=drive_fs" TargetMode="External"/><Relationship Id="rId139" Type="http://schemas.openxmlformats.org/officeDocument/2006/relationships/hyperlink" Target="https://drive.google.com/open?id=1dEqwl37CF2910O8lCmqJ1CTRgaExyXax&amp;authuser=jay.agg%40gmail.com&amp;usp=drive_fs" TargetMode="External"/><Relationship Id="rId138" Type="http://schemas.openxmlformats.org/officeDocument/2006/relationships/hyperlink" Target="https://drive.google.com/open?id=1d4KRSKiu4YVoCAj6ylgAzOrZRowTCY-w&amp;authuser=jay.agg%40gmail.com&amp;usp=drive_fs" TargetMode="External"/><Relationship Id="rId137" Type="http://schemas.openxmlformats.org/officeDocument/2006/relationships/hyperlink" Target="https://drive.google.com/open?id=1ZKQY3dFfUJFI_omJ4R2MhpzzZUg-IJ5U&amp;authuser=jay.agg%40gmail.com&amp;usp=drive_fs" TargetMode="External"/><Relationship Id="rId1080" Type="http://schemas.openxmlformats.org/officeDocument/2006/relationships/hyperlink" Target="https://drive.google.com/open?id=1BYi6RVT0eoWigrpRqRCPROnVYKmhXiec&amp;authuser=jay.agg%40gmail.com&amp;usp=drive_fs" TargetMode="External"/><Relationship Id="rId1081" Type="http://schemas.openxmlformats.org/officeDocument/2006/relationships/hyperlink" Target="https://drive.google.com/open?id=1B_xNu6ohe1QHqVncNRMjW5w6ogYyczx9&amp;authuser=jay.agg%40gmail.com&amp;usp=drive_fs" TargetMode="External"/><Relationship Id="rId1082" Type="http://schemas.openxmlformats.org/officeDocument/2006/relationships/hyperlink" Target="https://drive.google.com/open?id=1BxDmiNEIPSwpW9_10C_5j9fFG9Yo7vmz&amp;authuser=jay.agg%40gmail.com&amp;usp=drive_fs" TargetMode="External"/><Relationship Id="rId1083" Type="http://schemas.openxmlformats.org/officeDocument/2006/relationships/hyperlink" Target="https://drive.google.com/open?id=1Bz4sUWWZOHATSdDMf6kCEQpB_dsTmHMM&amp;authuser=jay.agg%40gmail.com&amp;usp=drive_fs" TargetMode="External"/><Relationship Id="rId132" Type="http://schemas.openxmlformats.org/officeDocument/2006/relationships/hyperlink" Target="https://drive.google.com/open?id=1YbrFB4TacdSJ2fp7Um9Aj76Cw1Ms1kvz&amp;authuser=jay.agg%40gmail.com&amp;usp=drive_fs" TargetMode="External"/><Relationship Id="rId1084" Type="http://schemas.openxmlformats.org/officeDocument/2006/relationships/hyperlink" Target="https://drive.google.com/open?id=1C-CRZiDnbDfI4lGQzqIferHB26ea_TYM&amp;authuser=jay.agg%40gmail.com&amp;usp=drive_fs" TargetMode="External"/><Relationship Id="rId131" Type="http://schemas.openxmlformats.org/officeDocument/2006/relationships/hyperlink" Target="https://drive.google.com/open?id=1VBgZiZbo2hc65GwBZSThVB0JsowwGI2u&amp;authuser=jay.agg%40gmail.com&amp;usp=drive_fs" TargetMode="External"/><Relationship Id="rId1085" Type="http://schemas.openxmlformats.org/officeDocument/2006/relationships/hyperlink" Target="https://drive.google.com/open?id=1C-hPAU7lZGI54aBv2jnwvWxEGtK8YQKH&amp;authuser=jay.agg%40gmail.com&amp;usp=drive_fs" TargetMode="External"/><Relationship Id="rId130" Type="http://schemas.openxmlformats.org/officeDocument/2006/relationships/hyperlink" Target="https://drive.google.com/open?id=11ze_iIPPBtZJvSs0-tEMR6O2aykbUy-P&amp;authuser=jay.agg%40gmail.com&amp;usp=drive_fs" TargetMode="External"/><Relationship Id="rId1086" Type="http://schemas.openxmlformats.org/officeDocument/2006/relationships/hyperlink" Target="https://drive.google.com/open?id=1C1V8mEwIFOpLLkCO4rRHQP5zjhpBvFK1&amp;authuser=jay.agg%40gmail.com&amp;usp=drive_fs" TargetMode="External"/><Relationship Id="rId1087" Type="http://schemas.openxmlformats.org/officeDocument/2006/relationships/hyperlink" Target="https://drive.google.com/open?id=1CK8J3ZrX4YL__ZcN-JufPFpUUDftle7d&amp;authuser=jay.agg%40gmail.com&amp;usp=drive_fs" TargetMode="External"/><Relationship Id="rId136" Type="http://schemas.openxmlformats.org/officeDocument/2006/relationships/hyperlink" Target="https://drive.google.com/open?id=1ZJGfoYul0qSsNHnY8upzAGyZG1P37RF2&amp;authuser=jay.agg%40gmail.com&amp;usp=drive_fs" TargetMode="External"/><Relationship Id="rId1088" Type="http://schemas.openxmlformats.org/officeDocument/2006/relationships/hyperlink" Target="https://drive.google.com/open?id=1CMWjxufnzEIEc6MuQ-UB75qlK_zbJtdC&amp;authuser=jay.agg%40gmail.com&amp;usp=drive_fs" TargetMode="External"/><Relationship Id="rId135" Type="http://schemas.openxmlformats.org/officeDocument/2006/relationships/hyperlink" Target="https://drive.google.com/open?id=1YeZUQVnVSD6RSLrn1n068W1yeVusH60s&amp;authuser=jay.agg%40gmail.com&amp;usp=drive_fs" TargetMode="External"/><Relationship Id="rId1089" Type="http://schemas.openxmlformats.org/officeDocument/2006/relationships/hyperlink" Target="https://drive.google.com/open?id=1CkZHA61S0kTLlqGA6hbNyHiOe8-WoNKw&amp;authuser=jay.agg%40gmail.com&amp;usp=drive_fs" TargetMode="External"/><Relationship Id="rId134" Type="http://schemas.openxmlformats.org/officeDocument/2006/relationships/hyperlink" Target="https://drive.google.com/open?id=1YcMBTEytSkQKZJzq5F-4RAT-cLcTblcb&amp;authuser=jay.agg%40gmail.com&amp;usp=drive_fs" TargetMode="External"/><Relationship Id="rId133" Type="http://schemas.openxmlformats.org/officeDocument/2006/relationships/hyperlink" Target="https://drive.google.com/open?id=1YcMBTEytSkQKZJzq5F-4RAT-cLcTblcb&amp;authuser=jay.agg%40gmail.com&amp;usp=drive_fs" TargetMode="External"/><Relationship Id="rId172" Type="http://schemas.openxmlformats.org/officeDocument/2006/relationships/hyperlink" Target="https://drive.google.com/open?id=1P3tbAVUb9rgsCLuz3mWDqM8bXi6sUp6K&amp;authuser=jay.agg%40gmail.com&amp;usp=drive_fs" TargetMode="External"/><Relationship Id="rId171" Type="http://schemas.openxmlformats.org/officeDocument/2006/relationships/hyperlink" Target="https://drive.google.com/open?id=1P1qVjLlcYO2PpKu_xhl6aPeCZBCymvJ_&amp;authuser=jay.agg%40gmail.com&amp;usp=drive_fs" TargetMode="External"/><Relationship Id="rId170" Type="http://schemas.openxmlformats.org/officeDocument/2006/relationships/hyperlink" Target="https://drive.google.com/open?id=1NLrZ9Hf7XX7ORpYJXuBzVfkGVvuPoBZu&amp;authuser=jay.agg%40gmail.com&amp;usp=drive_fs" TargetMode="External"/><Relationship Id="rId165" Type="http://schemas.openxmlformats.org/officeDocument/2006/relationships/hyperlink" Target="https://drive.google.com/open?id=11ZS3zjPn4ckiDhD9Ncbyb39PV5lfp8Zi&amp;authuser=jay.agg%40gmail.com&amp;usp=drive_fs" TargetMode="External"/><Relationship Id="rId164" Type="http://schemas.openxmlformats.org/officeDocument/2006/relationships/hyperlink" Target="https://drive.google.com/open?id=1QSfJCl_a_8hzxm0mxTMHXZKB9ENiyBlE&amp;authuser=jay.agg%40gmail.com&amp;usp=drive_fs" TargetMode="External"/><Relationship Id="rId163" Type="http://schemas.openxmlformats.org/officeDocument/2006/relationships/hyperlink" Target="https://drive.google.com/open?id=1EI_IdyX1D1Be9epWz1yAhwiP78LsJ2JN&amp;authuser=jay.agg%40gmail.com&amp;usp=drive_fs" TargetMode="External"/><Relationship Id="rId162" Type="http://schemas.openxmlformats.org/officeDocument/2006/relationships/hyperlink" Target="https://drive.google.com/open?id=1c3FAlhx3xAfFNcd6o7C9-FMlCjhNCOqi&amp;authuser=jay.agg%40gmail.com&amp;usp=drive_fs" TargetMode="External"/><Relationship Id="rId169" Type="http://schemas.openxmlformats.org/officeDocument/2006/relationships/hyperlink" Target="https://drive.google.com/open?id=1SKrBVoEF3dcL6O1nir2epYeqg2h9PMxu&amp;authuser=jay.agg%40gmail.com&amp;usp=drive_fs" TargetMode="External"/><Relationship Id="rId168" Type="http://schemas.openxmlformats.org/officeDocument/2006/relationships/hyperlink" Target="https://drive.google.com/open?id=1OOzpjMlbgO_BIBR35dYEeoPst2YAxA58&amp;usp=drive_fs" TargetMode="External"/><Relationship Id="rId167" Type="http://schemas.openxmlformats.org/officeDocument/2006/relationships/hyperlink" Target="https://drive.google.com/open?id=1-YEEFoeeuLDK0urOsPVIDZvP50O3tyXd&amp;authuser=jay.agg%40gmail.com&amp;usp=drive_fs" TargetMode="External"/><Relationship Id="rId166" Type="http://schemas.openxmlformats.org/officeDocument/2006/relationships/hyperlink" Target="https://drive.google.com/open?id=1-O0grWXDJeWNPGbU8945Pt0Z_4uXo-AN&amp;authuser=jay.agg%40gmail.com&amp;usp=drive_fs" TargetMode="External"/><Relationship Id="rId161" Type="http://schemas.openxmlformats.org/officeDocument/2006/relationships/hyperlink" Target="https://drive.google.com/open?id=19FBKKWcwG27DeR28FbMfcVXAlStYZk8w&amp;authuser=jay.agg%40gmail.com&amp;usp=drive_fs" TargetMode="External"/><Relationship Id="rId160" Type="http://schemas.openxmlformats.org/officeDocument/2006/relationships/hyperlink" Target="https://drive.google.com/open?id=1mpN2mYLUT9FRYBGbHusC6KuSdGv0KX5K&amp;authuser=jay.agg%40gmail.com&amp;usp=drive_fs" TargetMode="External"/><Relationship Id="rId159" Type="http://schemas.openxmlformats.org/officeDocument/2006/relationships/hyperlink" Target="https://drive.google.com/open?id=1H1UoBpJejSEa9SGm4SXJqQYa_NdV9oNA&amp;authuser=jay.agg%40gmail.com&amp;usp=drive_fs" TargetMode="External"/><Relationship Id="rId154" Type="http://schemas.openxmlformats.org/officeDocument/2006/relationships/hyperlink" Target="https://drive.google.com/open?id=14n9zC_JEDq5wPamvA7xIUh3DdQTB6Cmq&amp;usp=drive_fs" TargetMode="External"/><Relationship Id="rId153" Type="http://schemas.openxmlformats.org/officeDocument/2006/relationships/hyperlink" Target="https://drive.google.com/open?id=1HsrQ0Om1SMb_2nRQvW9idwKif0nKCN--&amp;usp=drive_fs" TargetMode="External"/><Relationship Id="rId152" Type="http://schemas.openxmlformats.org/officeDocument/2006/relationships/hyperlink" Target="https://drive.google.com/open?id=1HqJcw6t9EGx0LoHEzGBLMiT0lZBbkEN7&amp;usp=drive_fs" TargetMode="External"/><Relationship Id="rId151" Type="http://schemas.openxmlformats.org/officeDocument/2006/relationships/hyperlink" Target="https://drive.google.com/open?id=1HnsvMW2pID3fLv9btruUDxQ3p3pIrIOy&amp;usp=drive_fs" TargetMode="External"/><Relationship Id="rId158" Type="http://schemas.openxmlformats.org/officeDocument/2006/relationships/hyperlink" Target="https://drive.google.com/open?id=1GyZtRsGRk2q_6D1pn-eKgZvlye_YmANA&amp;authuser=jay.agg%40gmail.com&amp;usp=drive_fs" TargetMode="External"/><Relationship Id="rId157" Type="http://schemas.openxmlformats.org/officeDocument/2006/relationships/hyperlink" Target="https://drive.google.com/open?id=1et7gQyiZA5Hcov4wsmv9t8eKePy2mEnX&amp;usp=drive_fs" TargetMode="External"/><Relationship Id="rId156" Type="http://schemas.openxmlformats.org/officeDocument/2006/relationships/hyperlink" Target="https://drive.google.com/open?id=14w9PuoHsOkwL-AQzzLHk6CjCMdeqC0I2&amp;usp=drive_fs" TargetMode="External"/><Relationship Id="rId155" Type="http://schemas.openxmlformats.org/officeDocument/2006/relationships/hyperlink" Target="https://drive.google.com/open?id=14oaHNF771MDxVAHQaZZpWY-ZzDhpRKzl&amp;usp=drive_fs" TargetMode="External"/><Relationship Id="rId1510" Type="http://schemas.openxmlformats.org/officeDocument/2006/relationships/hyperlink" Target="https://drive.google.com/open?id=1OmLj8yrA8_Akb9Jb29P9gUS5r0cyJKFP&amp;authuser=jay.agg%40gmail.com&amp;usp=drive_fs" TargetMode="External"/><Relationship Id="rId1511" Type="http://schemas.openxmlformats.org/officeDocument/2006/relationships/hyperlink" Target="https://drive.google.com/open?id=1RWyE-uaMz6QeNZNnCgEgklw8SCCKcH0D&amp;authuser=jay.agg%40gmail.com&amp;usp=drive_fs" TargetMode="External"/><Relationship Id="rId1512" Type="http://schemas.openxmlformats.org/officeDocument/2006/relationships/hyperlink" Target="https://drive.google.com/open?id=1RXVp-Jc7Tg0eQZUNVttTsaM5coouFLSi&amp;authuser=jay.agg%40gmail.com&amp;usp=drive_fs" TargetMode="External"/><Relationship Id="rId1513" Type="http://schemas.openxmlformats.org/officeDocument/2006/relationships/hyperlink" Target="https://drive.google.com/open?id=1Rcc1fXyP-y74vnvYpvEeQCMOoPNxr-FT&amp;authuser=jay.agg%40gmail.com&amp;usp=drive_fs" TargetMode="External"/><Relationship Id="rId1514" Type="http://schemas.openxmlformats.org/officeDocument/2006/relationships/hyperlink" Target="https://drive.google.com/open?id=11ik4i3Y0AT3p5Q7-G4zFWkt7WM0jyKMO&amp;authuser=jay.agg%40gmail.com&amp;usp=drive_fs" TargetMode="External"/><Relationship Id="rId1515" Type="http://schemas.openxmlformats.org/officeDocument/2006/relationships/hyperlink" Target="https://drive.google.com/open?id=1ViIqQBzM4pd-qgsXrjzLHIqwYqxIqq-p&amp;authuser=jay.agg%40gmail.com&amp;usp=drive_fs" TargetMode="External"/><Relationship Id="rId1516" Type="http://schemas.openxmlformats.org/officeDocument/2006/relationships/hyperlink" Target="https://drive.google.com/open?id=1XoshQo9E2GrgP0BBaVyLWoWTpwwYOZVM&amp;authuser=jay.agg%40gmail.com&amp;usp=drive_fs" TargetMode="External"/><Relationship Id="rId1517" Type="http://schemas.openxmlformats.org/officeDocument/2006/relationships/hyperlink" Target="https://drive.google.com/open?id=1XpykB9xqG3wrMAKCgfY4qh5TozrBQPc7&amp;authuser=jay.agg%40gmail.com&amp;usp=drive_fs" TargetMode="External"/><Relationship Id="rId1518" Type="http://schemas.openxmlformats.org/officeDocument/2006/relationships/hyperlink" Target="https://drive.google.com/open?id=1bGa0iw9xJC-7lKxV-auv-Zw2jCFN5KwJ&amp;authuser=jay.agg%40gmail.com&amp;usp=drive_fs" TargetMode="External"/><Relationship Id="rId1519" Type="http://schemas.openxmlformats.org/officeDocument/2006/relationships/hyperlink" Target="https://drive.google.com/open?id=15X1LubLJDlOUqygGHaVF5UdKBB8ALdpf&amp;authuser=jay.agg%40gmail.com&amp;usp=drive_fs" TargetMode="External"/><Relationship Id="rId1500" Type="http://schemas.openxmlformats.org/officeDocument/2006/relationships/hyperlink" Target="https://drive.google.com/open?id=1iDRicH9H-MEHnI4WFzRO2aPdIGQbATES&amp;authuser=jay.agg%40gmail.com&amp;usp=drive_fs" TargetMode="External"/><Relationship Id="rId1501" Type="http://schemas.openxmlformats.org/officeDocument/2006/relationships/hyperlink" Target="https://drive.google.com/open?id=1mr11bZHkCN6yMieeE0b8UTHUUezeNMpV&amp;authuser=jay.agg%40gmail.com&amp;usp=drive_fs" TargetMode="External"/><Relationship Id="rId1502" Type="http://schemas.openxmlformats.org/officeDocument/2006/relationships/hyperlink" Target="https://drive.google.com/open?id=1-ZUW1EHUjpv9YCvr_Z1d-slsQxqNTBPg&amp;authuser=jay.agg%40gmail.com&amp;usp=drive_fs" TargetMode="External"/><Relationship Id="rId1503" Type="http://schemas.openxmlformats.org/officeDocument/2006/relationships/hyperlink" Target="https://drive.google.com/open?id=18KNSeIrE4U-Ht5jzKjZZf_1Lr36JXNRu&amp;authuser=jay.agg%40gmail.com&amp;usp=drive_fs" TargetMode="External"/><Relationship Id="rId1504" Type="http://schemas.openxmlformats.org/officeDocument/2006/relationships/hyperlink" Target="https://drive.google.com/open?id=18NbXyvi-pgw01ClkV_7iUmOEw600nhpb&amp;authuser=jay.agg%40gmail.com&amp;usp=drive_fs" TargetMode="External"/><Relationship Id="rId1505" Type="http://schemas.openxmlformats.org/officeDocument/2006/relationships/hyperlink" Target="https://drive.google.com/open?id=1BPU4HLtR9qg3a1yMh1_r8vx_i9TTaqfE&amp;authuser=jay.agg%40gmail.com&amp;usp=drive_fs" TargetMode="External"/><Relationship Id="rId1506" Type="http://schemas.openxmlformats.org/officeDocument/2006/relationships/hyperlink" Target="https://drive.google.com/open?id=1BVuEkrzG5Z9OimOTXLUGVYhFMD9I4znO&amp;authuser=jay.agg%40gmail.com&amp;usp=drive_fs" TargetMode="External"/><Relationship Id="rId1507" Type="http://schemas.openxmlformats.org/officeDocument/2006/relationships/hyperlink" Target="https://drive.google.com/open?id=101h7H8AZyvh5FiCOrLONktTZCI6Na6i8&amp;authuser=jay.agg%40gmail.com&amp;usp=drive_fs" TargetMode="External"/><Relationship Id="rId1508" Type="http://schemas.openxmlformats.org/officeDocument/2006/relationships/hyperlink" Target="https://drive.google.com/open?id=1Ojf3G9MOdzpZsiSTfBO14leSF-YQIKXH&amp;authuser=jay.agg%40gmail.com&amp;usp=drive_fs" TargetMode="External"/><Relationship Id="rId1509" Type="http://schemas.openxmlformats.org/officeDocument/2006/relationships/hyperlink" Target="https://drive.google.com/open?id=1OkIcVcEShMCmF0cWZqmmmmkTymg2G9XJ&amp;authuser=jay.agg%40gmail.com&amp;usp=drive_fs" TargetMode="External"/><Relationship Id="rId1930" Type="http://schemas.openxmlformats.org/officeDocument/2006/relationships/hyperlink" Target="https://drive.google.com/open?id=17DLgKKAOCDlH4_hUZWnaQl-WrUJhkm79&amp;authuser=jay.agg%40gmail.com&amp;usp=drive_fs" TargetMode="External"/><Relationship Id="rId1931" Type="http://schemas.openxmlformats.org/officeDocument/2006/relationships/hyperlink" Target="https://drive.google.com/open?id=17KqWkKfBKd8f3BUG-_9yoV8_Ug1i5PM1&amp;authuser=jay.agg%40gmail.com&amp;usp=drive_fs" TargetMode="External"/><Relationship Id="rId1932" Type="http://schemas.openxmlformats.org/officeDocument/2006/relationships/hyperlink" Target="https://drive.google.com/open?id=1DIPSsSWrK6EbM8GeWh0jtuvFEf3L40VZ&amp;authuser=jay.agg%40gmail.com&amp;usp=drive_fs" TargetMode="External"/><Relationship Id="rId1933" Type="http://schemas.openxmlformats.org/officeDocument/2006/relationships/hyperlink" Target="https://drive.google.com/open?id=1SfwFaU9dSeTon3Rl0emBCy46wPe6rNGR&amp;authuser=jay.agg%40gmail.com&amp;usp=drive_fs" TargetMode="External"/><Relationship Id="rId1934" Type="http://schemas.openxmlformats.org/officeDocument/2006/relationships/hyperlink" Target="https://drive.google.com/open?id=1JTBc_y6LhLYkSwdkEfIgpeTVxe0Mizc0&amp;authuser=jay.agg%40gmail.com&amp;usp=drive_fs" TargetMode="External"/><Relationship Id="rId1935" Type="http://schemas.openxmlformats.org/officeDocument/2006/relationships/hyperlink" Target="https://drive.google.com/open?id=1JT_e-4jC-uR9aNpZJhLHItxIpvaTNwGg&amp;authuser=jay.agg%40gmail.com&amp;usp=drive_fs" TargetMode="External"/><Relationship Id="rId1936" Type="http://schemas.openxmlformats.org/officeDocument/2006/relationships/hyperlink" Target="https://drive.google.com/open?id=1W_Y9ZmQ6FB5WrT--4oZK-1Xt7_zb-S1a&amp;authuser=jay.agg%40gmail.com&amp;usp=drive_fs" TargetMode="External"/><Relationship Id="rId1937" Type="http://schemas.openxmlformats.org/officeDocument/2006/relationships/hyperlink" Target="https://drive.google.com/open?id=1eJiz7rgSV0XDTWQVK8jwGhtO9xNjR8_5&amp;authuser=jay.agg%40gmail.com&amp;usp=drive_fs" TargetMode="External"/><Relationship Id="rId1938" Type="http://schemas.openxmlformats.org/officeDocument/2006/relationships/hyperlink" Target="https://drive.google.com/open?id=1eQ9DRF6yC-pz9ISEQXa1Qp_y39-858H3&amp;authuser=jay.agg%40gmail.com&amp;usp=drive_fs" TargetMode="External"/><Relationship Id="rId1939" Type="http://schemas.openxmlformats.org/officeDocument/2006/relationships/hyperlink" Target="https://drive.google.com/open?id=1_u-jekuWuSGMhw_JHQZTXUqn6fjPCHcd&amp;authuser=jay.agg%40gmail.com&amp;usp=drive_fs" TargetMode="External"/><Relationship Id="rId1920" Type="http://schemas.openxmlformats.org/officeDocument/2006/relationships/hyperlink" Target="https://drive.google.com/open?id=1qDxzrpF_NOLqyITKD8JAkW2_3ySz0qVY&amp;authuser=jay.agg%40gmail.com&amp;usp=drive_fs" TargetMode="External"/><Relationship Id="rId1921" Type="http://schemas.openxmlformats.org/officeDocument/2006/relationships/hyperlink" Target="https://drive.google.com/open?id=1qD1LKuU-yoPCZbT05ZB7lmmWSkJG3bib&amp;authuser=jay.agg%40gmail.com&amp;usp=drive_fs" TargetMode="External"/><Relationship Id="rId1922" Type="http://schemas.openxmlformats.org/officeDocument/2006/relationships/hyperlink" Target="https://drive.google.com/open?id=1rdEXc8ueTaoCfCTLxBLO3hE3PIp9LI1l&amp;authuser=jay.agg%40gmail.com&amp;usp=drive_fs" TargetMode="External"/><Relationship Id="rId1923" Type="http://schemas.openxmlformats.org/officeDocument/2006/relationships/hyperlink" Target="https://drive.google.com/open?id=1rn9qubLuNyivrWE_Z7_ILZythfqL3goj&amp;authuser=jay.agg%40gmail.com&amp;usp=drive_fs" TargetMode="External"/><Relationship Id="rId1924" Type="http://schemas.openxmlformats.org/officeDocument/2006/relationships/hyperlink" Target="https://drive.google.com/open?id=1rsruCraol7t-mu1pjj7mGlvmzDoPqKuT&amp;authuser=jay.agg%40gmail.com&amp;usp=drive_fs" TargetMode="External"/><Relationship Id="rId1925" Type="http://schemas.openxmlformats.org/officeDocument/2006/relationships/hyperlink" Target="https://drive.google.com/open?id=15jeXEyVAs6lFFXNVR46XTRaNN_t8BFqj&amp;authuser=jay.agg%40gmail.com&amp;usp=drive_fs" TargetMode="External"/><Relationship Id="rId1926" Type="http://schemas.openxmlformats.org/officeDocument/2006/relationships/hyperlink" Target="https://drive.google.com/open?id=15o4chvdjtWtdLmCa8Ly8ONqfJcBDHdyH&amp;authuser=jay.agg%40gmail.com&amp;usp=drive_fs" TargetMode="External"/><Relationship Id="rId1927" Type="http://schemas.openxmlformats.org/officeDocument/2006/relationships/hyperlink" Target="https://drive.google.com/open?id=15pGqMU9i2_05VF925Yc7cIOIOTEtZnq-&amp;authuser=jay.agg%40gmail.com&amp;usp=drive_fs" TargetMode="External"/><Relationship Id="rId1928" Type="http://schemas.openxmlformats.org/officeDocument/2006/relationships/hyperlink" Target="https://drive.google.com/open?id=1_N05N0l2_etTeNOB1u6aoPReBeUtiiXD&amp;authuser=jay.agg%40gmail.com&amp;usp=drive_fs" TargetMode="External"/><Relationship Id="rId1929" Type="http://schemas.openxmlformats.org/officeDocument/2006/relationships/hyperlink" Target="https://drive.google.com/open?id=1Pn6qTQSCWs62VgMjfn6JG5WbnQ0Hf8PS&amp;authuser=jay.agg%40gmail.com&amp;usp=drive_fs" TargetMode="External"/><Relationship Id="rId1950" Type="http://schemas.openxmlformats.org/officeDocument/2006/relationships/hyperlink" Target="https://drive.google.com/open?id=141ftr5aQ6uRP-_C-OtSlnmc2c0O0LpmV&amp;usp=drive_fs" TargetMode="External"/><Relationship Id="rId1951" Type="http://schemas.openxmlformats.org/officeDocument/2006/relationships/hyperlink" Target="https://drive.google.com/open?id=18Cjd8cHg4GVGO4KYSh-enPA1ipt4XrJW&amp;usp=drive_fs" TargetMode="External"/><Relationship Id="rId1952" Type="http://schemas.openxmlformats.org/officeDocument/2006/relationships/hyperlink" Target="https://drive.google.com/open?id=1QKWAVd5gbn1uZB7PJ2LubbGvRU-JnMV3&amp;usp=drive_fs" TargetMode="External"/><Relationship Id="rId1953" Type="http://schemas.openxmlformats.org/officeDocument/2006/relationships/drawing" Target="../drawings/drawing10.xml"/><Relationship Id="rId1940" Type="http://schemas.openxmlformats.org/officeDocument/2006/relationships/hyperlink" Target="https://drive.google.com/open?id=1pYQoCjnY1T8YXjtVF8ZMdd2gLCZYp7ud&amp;authuser=jay.agg%40gmail.com&amp;usp=drive_fs" TargetMode="External"/><Relationship Id="rId1941" Type="http://schemas.openxmlformats.org/officeDocument/2006/relationships/hyperlink" Target="https://drive.google.com/open?id=1-uFbOwfht1QRiVMqglKVmUxuTQWyBZju&amp;authuser=jay.agg%40gmail.com&amp;usp=drive_fs" TargetMode="External"/><Relationship Id="rId1942" Type="http://schemas.openxmlformats.org/officeDocument/2006/relationships/hyperlink" Target="https://drive.google.com/open?id=1BstTcPBpwqYE5QsPG7YdRrqOoEt0dfAL&amp;authuser=jay.agg%40gmail.com&amp;usp=drive_fs" TargetMode="External"/><Relationship Id="rId1943" Type="http://schemas.openxmlformats.org/officeDocument/2006/relationships/hyperlink" Target="https://drive.google.com/open?id=1CJL5ZUvDIeNqiqybITlnCnSeVF1PGYIg&amp;authuser=jay.agg%40gmail.com&amp;usp=drive_fs" TargetMode="External"/><Relationship Id="rId1944" Type="http://schemas.openxmlformats.org/officeDocument/2006/relationships/hyperlink" Target="https://drive.google.com/open?id=10RVoN3SbIXaehRIPnMKkA2ynu2TpqEfx&amp;authuser=jay.agg%40gmail.com&amp;usp=drive_fs" TargetMode="External"/><Relationship Id="rId1945" Type="http://schemas.openxmlformats.org/officeDocument/2006/relationships/hyperlink" Target="https://drive.google.com/open?id=10RuDJR2IQDfXWlkOFCfrtmYavV2DDRZK&amp;authuser=jay.agg%40gmail.com&amp;usp=drive_fs" TargetMode="External"/><Relationship Id="rId1946" Type="http://schemas.openxmlformats.org/officeDocument/2006/relationships/hyperlink" Target="https://drive.google.com/open?id=1QxUTbzreYg0Oe2eDW2K2Vo-jnWE8P5Bs&amp;authuser=jay.agg%40gmail.com&amp;usp=drive_fs" TargetMode="External"/><Relationship Id="rId1947" Type="http://schemas.openxmlformats.org/officeDocument/2006/relationships/hyperlink" Target="https://drive.google.com/open?id=1R7nGwqnFnYRRdKnvbNa_v1JuAL6J6V9r&amp;authuser=jay.agg%40gmail.com&amp;usp=drive_fs" TargetMode="External"/><Relationship Id="rId1948" Type="http://schemas.openxmlformats.org/officeDocument/2006/relationships/hyperlink" Target="https://drive.google.com/open?id=128vadS46mNxLYmQ5hMuDHo4qOE-aluWK&amp;authuser=jay.agg%40gmail.com&amp;usp=drive_fs" TargetMode="External"/><Relationship Id="rId1949" Type="http://schemas.openxmlformats.org/officeDocument/2006/relationships/hyperlink" Target="https://drive.google.com/open?id=1-NcvP9BRvX7niCUgPD4VT8oXDE0QY4Fm&amp;usp=drive_fs" TargetMode="External"/><Relationship Id="rId1576" Type="http://schemas.openxmlformats.org/officeDocument/2006/relationships/hyperlink" Target="https://drive.google.com/open?id=13gwnoCIJ1WNpXRrDHG8il0ml0Qx_TrvM&amp;authuser=jay.agg%40gmail.com&amp;usp=drive_fs" TargetMode="External"/><Relationship Id="rId1577" Type="http://schemas.openxmlformats.org/officeDocument/2006/relationships/hyperlink" Target="https://drive.google.com/open?id=13kuaDlFa0fBEHCs_YUfPW3elmJ4Hmn13&amp;authuser=jay.agg%40gmail.com&amp;usp=drive_fs" TargetMode="External"/><Relationship Id="rId1578" Type="http://schemas.openxmlformats.org/officeDocument/2006/relationships/hyperlink" Target="https://drive.google.com/open?id=1-gr1V63gaCmPRVUZgCF2MROeMJvPYpiB&amp;authuser=jay.agg%40gmail.com&amp;usp=drive_fs" TargetMode="External"/><Relationship Id="rId1579" Type="http://schemas.openxmlformats.org/officeDocument/2006/relationships/hyperlink" Target="https://drive.google.com/open?id=1-j9fKQVGW8_czS8RgSbsu1t8UGQII8w0&amp;authuser=jay.agg%40gmail.com&amp;usp=drive_fs" TargetMode="External"/><Relationship Id="rId509" Type="http://schemas.openxmlformats.org/officeDocument/2006/relationships/hyperlink" Target="https://drive.google.com/open?id=10w3-pbzyMt2YnU-eKJvW9iNwN2XwGtmy&amp;authuser=jay.agg%40gmail.com&amp;usp=drive_fs" TargetMode="External"/><Relationship Id="rId508" Type="http://schemas.openxmlformats.org/officeDocument/2006/relationships/hyperlink" Target="https://drive.google.com/open?id=10jMEkoHOWS13dKjgCUqa-FSKhE6WCYcC&amp;authuser=jay.agg%40gmail.com&amp;usp=drive_fs" TargetMode="External"/><Relationship Id="rId503" Type="http://schemas.openxmlformats.org/officeDocument/2006/relationships/hyperlink" Target="https://drive.google.com/open?id=17R7VY4WCavQpw2te6dpphTHsW9m2kDh0&amp;authuser=jay.agg%40gmail.com&amp;usp=drive_fs" TargetMode="External"/><Relationship Id="rId987" Type="http://schemas.openxmlformats.org/officeDocument/2006/relationships/hyperlink" Target="https://drive.google.com/open?id=18WtWUp82-bxe5E36yJ652kShQ0NBVp9t&amp;authuser=jay.agg%40gmail.com&amp;usp=drive_fs" TargetMode="External"/><Relationship Id="rId502" Type="http://schemas.openxmlformats.org/officeDocument/2006/relationships/hyperlink" Target="https://drive.google.com/open?id=17Ld3lx3BCLkZb_8KTnK0R93is_jxLXrQ&amp;authuser=jay.agg%40gmail.com&amp;usp=drive_fs" TargetMode="External"/><Relationship Id="rId986" Type="http://schemas.openxmlformats.org/officeDocument/2006/relationships/hyperlink" Target="https://drive.google.com/open?id=1MM1rWUjsBimB1oEX-BTeoKxBdLPyBOd8&amp;authuser=jay.agg%40gmail.com&amp;usp=drive_fs" TargetMode="External"/><Relationship Id="rId501" Type="http://schemas.openxmlformats.org/officeDocument/2006/relationships/hyperlink" Target="https://drive.google.com/open?id=10i0C5YKC82My5a3GaR6IDxByvI-70EpA&amp;authuser=jay.agg%40gmail.com&amp;usp=drive_fs" TargetMode="External"/><Relationship Id="rId985" Type="http://schemas.openxmlformats.org/officeDocument/2006/relationships/hyperlink" Target="https://drive.google.com/open?id=1LnxmtJvvSGJY7VkJq3aAu_pl1Ts7X2OV&amp;authuser=jay.agg%40gmail.com&amp;usp=drive_fs" TargetMode="External"/><Relationship Id="rId500" Type="http://schemas.openxmlformats.org/officeDocument/2006/relationships/hyperlink" Target="https://drive.google.com/open?id=1A3X8GkMBdrKQbFXLJXrxixgI0oSImxX6&amp;authuser=jay.agg%40gmail.com&amp;usp=drive_fs" TargetMode="External"/><Relationship Id="rId984" Type="http://schemas.openxmlformats.org/officeDocument/2006/relationships/hyperlink" Target="https://drive.google.com/open?id=16rGecGFRPqzZiav5oiujTYJBYkBawRPk&amp;authuser=jay.agg%40gmail.com&amp;usp=drive_fs" TargetMode="External"/><Relationship Id="rId507" Type="http://schemas.openxmlformats.org/officeDocument/2006/relationships/hyperlink" Target="https://drive.google.com/open?id=10jDX0wCNe3WUqom3cmeM9HV46oTS7MDC&amp;authuser=jay.agg%40gmail.com&amp;usp=drive_fs" TargetMode="External"/><Relationship Id="rId506" Type="http://schemas.openxmlformats.org/officeDocument/2006/relationships/hyperlink" Target="https://drive.google.com/open?id=10j6xjh1ydxV5pa9CqvseL1zjL3on8rK_&amp;authuser=jay.agg%40gmail.com&amp;usp=drive_fs" TargetMode="External"/><Relationship Id="rId505" Type="http://schemas.openxmlformats.org/officeDocument/2006/relationships/hyperlink" Target="https://drive.google.com/open?id=1DtuXoqiYiUUA24Fh4yDyphxxCZZPSPTB&amp;authuser=jay.agg%40gmail.com&amp;usp=drive_fs" TargetMode="External"/><Relationship Id="rId989" Type="http://schemas.openxmlformats.org/officeDocument/2006/relationships/hyperlink" Target="https://drive.google.com/open?id=1Mk8KwkQiUvbHItBUpcNASorFhKK9mzY3&amp;authuser=jay.agg%40gmail.com&amp;usp=drive_fs" TargetMode="External"/><Relationship Id="rId504" Type="http://schemas.openxmlformats.org/officeDocument/2006/relationships/hyperlink" Target="https://drive.google.com/open?id=1DxVAylVii5WQEZTzTXptLDc2E8LAV2oB&amp;authuser=jay.agg%40gmail.com&amp;usp=drive_fs" TargetMode="External"/><Relationship Id="rId988" Type="http://schemas.openxmlformats.org/officeDocument/2006/relationships/hyperlink" Target="https://drive.google.com/open?id=1sJOiUA7Cg8Dnqu2sHtqanOPoz9thjI2G&amp;authuser=jay.agg%40gmail.com&amp;usp=drive_fs" TargetMode="External"/><Relationship Id="rId1570" Type="http://schemas.openxmlformats.org/officeDocument/2006/relationships/hyperlink" Target="https://drive.google.com/open?id=1TYfCDXNFlvY8ctWfxxYIJmxSS8pdWAAe&amp;authuser=jay.agg%40gmail.com&amp;usp=drive_fs" TargetMode="External"/><Relationship Id="rId1571" Type="http://schemas.openxmlformats.org/officeDocument/2006/relationships/hyperlink" Target="https://drive.google.com/open?id=1Tf0FmEZ2hQEYhFduPzmb28fpALxQ21x8&amp;authuser=jay.agg%40gmail.com&amp;usp=drive_fs" TargetMode="External"/><Relationship Id="rId983" Type="http://schemas.openxmlformats.org/officeDocument/2006/relationships/hyperlink" Target="https://drive.google.com/open?id=1yW-6rS7DrydjnRfme_YMtpVLN0LPOEG3&amp;authuser=jay.agg%40gmail.com&amp;usp=drive_fs" TargetMode="External"/><Relationship Id="rId1572" Type="http://schemas.openxmlformats.org/officeDocument/2006/relationships/hyperlink" Target="https://drive.google.com/open?id=1YW_8P1_DjbJX0HgTdgInF_wKijOQ5Qvl&amp;authuser=jay.agg%40gmail.com&amp;usp=drive_fs" TargetMode="External"/><Relationship Id="rId982" Type="http://schemas.openxmlformats.org/officeDocument/2006/relationships/hyperlink" Target="https://drive.google.com/open?id=1wtvYpY8aQ2dYsGMZNWZHepkN93W2bRIs&amp;authuser=jay.agg%40gmail.com&amp;usp=drive_fs" TargetMode="External"/><Relationship Id="rId1573" Type="http://schemas.openxmlformats.org/officeDocument/2006/relationships/hyperlink" Target="https://drive.google.com/open?id=19f2EeompT9d2_pjFwb3Nvy3SP1ZW1wZw&amp;authuser=jay.agg%40gmail.com&amp;usp=drive_fs" TargetMode="External"/><Relationship Id="rId981" Type="http://schemas.openxmlformats.org/officeDocument/2006/relationships/hyperlink" Target="https://drive.google.com/open?id=1sp_9QJ74BN0EliJ8M8A64Pg3lvPXme-q&amp;authuser=jay.agg%40gmail.com&amp;usp=drive_fs" TargetMode="External"/><Relationship Id="rId1574" Type="http://schemas.openxmlformats.org/officeDocument/2006/relationships/hyperlink" Target="https://drive.google.com/open?id=19qMWQ8jzUc7NIlLJJMauWQlMMfi-zlRP&amp;authuser=jay.agg%40gmail.com&amp;usp=drive_fs" TargetMode="External"/><Relationship Id="rId980" Type="http://schemas.openxmlformats.org/officeDocument/2006/relationships/hyperlink" Target="https://drive.google.com/open?id=1w7snRg3lAxc0KM66W8RpVqDwD0jEOGQk&amp;authuser=jay.agg%40gmail.com&amp;usp=drive_fs" TargetMode="External"/><Relationship Id="rId1575" Type="http://schemas.openxmlformats.org/officeDocument/2006/relationships/hyperlink" Target="https://drive.google.com/open?id=1SGniNgYFPvGsEoZQWtlm0L8R5nhsWb2V&amp;authuser=jay.agg%40gmail.com&amp;usp=drive_fs" TargetMode="External"/><Relationship Id="rId1565" Type="http://schemas.openxmlformats.org/officeDocument/2006/relationships/hyperlink" Target="https://drive.google.com/open?id=16pMQ6TUSlGFFEQs2FQapc3c_-MOOLL2i&amp;authuser=jay.agg%40gmail.com&amp;usp=drive_fs" TargetMode="External"/><Relationship Id="rId1566" Type="http://schemas.openxmlformats.org/officeDocument/2006/relationships/hyperlink" Target="https://drive.google.com/open?id=16q746O635t4H66ymRddA340DT79jWSkd&amp;authuser=jay.agg%40gmail.com&amp;usp=drive_fs" TargetMode="External"/><Relationship Id="rId1567" Type="http://schemas.openxmlformats.org/officeDocument/2006/relationships/hyperlink" Target="https://drive.google.com/open?id=1NXjq62uSsjVe41092aRi-kzaFGTVvZel&amp;authuser=jay.agg%40gmail.com&amp;usp=drive_fs" TargetMode="External"/><Relationship Id="rId1568" Type="http://schemas.openxmlformats.org/officeDocument/2006/relationships/hyperlink" Target="https://drive.google.com/open?id=1NW5XPwKZMhNW6QiLigw6KsbsqNenEfk9&amp;authuser=jay.agg%40gmail.com&amp;usp=drive_fs" TargetMode="External"/><Relationship Id="rId1569" Type="http://schemas.openxmlformats.org/officeDocument/2006/relationships/hyperlink" Target="https://drive.google.com/open?id=1TWNJqFV2dmUN-aOdE1vslmG4WMlz3ZUL&amp;authuser=jay.agg%40gmail.com&amp;usp=drive_fs" TargetMode="External"/><Relationship Id="rId976" Type="http://schemas.openxmlformats.org/officeDocument/2006/relationships/hyperlink" Target="https://drive.google.com/open?id=1jPSj61Xjqqhp0yAUgpJijU3oteatln8h&amp;authuser=jay.agg%40gmail.com&amp;usp=drive_fs" TargetMode="External"/><Relationship Id="rId975" Type="http://schemas.openxmlformats.org/officeDocument/2006/relationships/hyperlink" Target="https://drive.google.com/open?id=1jPGlPvth33ow0BsuXPn_9Fd0aGa4tOR5&amp;authuser=jay.agg%40gmail.com&amp;usp=drive_fs" TargetMode="External"/><Relationship Id="rId974" Type="http://schemas.openxmlformats.org/officeDocument/2006/relationships/hyperlink" Target="https://drive.google.com/open?id=1jIKxVpMBt0sYXYuHJ9pjoEVFnOlIpxpb&amp;authuser=jay.agg%40gmail.com&amp;usp=drive_fs" TargetMode="External"/><Relationship Id="rId973" Type="http://schemas.openxmlformats.org/officeDocument/2006/relationships/hyperlink" Target="https://drive.google.com/open?id=1j2Ak7n2uIi0WIIJrDAWZ9xkRCHIeqUHe&amp;authuser=jay.agg%40gmail.com&amp;usp=drive_fs" TargetMode="External"/><Relationship Id="rId979" Type="http://schemas.openxmlformats.org/officeDocument/2006/relationships/hyperlink" Target="https://drive.google.com/open?id=1pOGW1xVCuMnUABRqNq-5cbJ_ByoO8G5w&amp;authuser=jay.agg%40gmail.com&amp;usp=drive_fs" TargetMode="External"/><Relationship Id="rId978" Type="http://schemas.openxmlformats.org/officeDocument/2006/relationships/hyperlink" Target="https://drive.google.com/open?id=1pIykPqoOxble5EREsGAMRPdA1QccQ1AJ&amp;authuser=jay.agg%40gmail.com&amp;usp=drive_fs" TargetMode="External"/><Relationship Id="rId977" Type="http://schemas.openxmlformats.org/officeDocument/2006/relationships/hyperlink" Target="https://drive.google.com/open?id=1n4sM_hMizxMor4aS4-NffW1QEWkmmRaC&amp;authuser=jay.agg%40gmail.com&amp;usp=drive_fs" TargetMode="External"/><Relationship Id="rId1560" Type="http://schemas.openxmlformats.org/officeDocument/2006/relationships/hyperlink" Target="https://drive.google.com/open?id=1p8aRRGRponCrGr86b2C9yjEPcePkA-XS&amp;authuser=jay.agg%40gmail.com&amp;usp=drive_fs" TargetMode="External"/><Relationship Id="rId972" Type="http://schemas.openxmlformats.org/officeDocument/2006/relationships/hyperlink" Target="https://drive.google.com/open?id=1QtXn0evE-9VW4-ZQJmVDufU_5NTVKUY6&amp;authuser=jay.agg%40gmail.com&amp;usp=drive_fs" TargetMode="External"/><Relationship Id="rId1561" Type="http://schemas.openxmlformats.org/officeDocument/2006/relationships/hyperlink" Target="https://drive.google.com/open?id=16JKdR97-ygngNE2EgUJgnw8zbkzf2pPA&amp;authuser=jay.agg%40gmail.com&amp;usp=drive_fs" TargetMode="External"/><Relationship Id="rId971" Type="http://schemas.openxmlformats.org/officeDocument/2006/relationships/hyperlink" Target="https://drive.google.com/open?id=1QQdUxmlDOPkf9Hsc7uKFwvH0Xou6f57E&amp;authuser=jay.agg%40gmail.com&amp;usp=drive_fs" TargetMode="External"/><Relationship Id="rId1562" Type="http://schemas.openxmlformats.org/officeDocument/2006/relationships/hyperlink" Target="https://drive.google.com/open?id=16KDz8Hb9c000oTSJ6tcXjBWqcW61d6wV&amp;authuser=jay.agg%40gmail.com&amp;usp=drive_fs" TargetMode="External"/><Relationship Id="rId970" Type="http://schemas.openxmlformats.org/officeDocument/2006/relationships/hyperlink" Target="https://drive.google.com/open?id=1QRiCFXEjTTmENEZKNbx8VjC2NioVX2p8&amp;authuser=jay.agg%40gmail.com&amp;usp=drive_fs" TargetMode="External"/><Relationship Id="rId1563" Type="http://schemas.openxmlformats.org/officeDocument/2006/relationships/hyperlink" Target="https://drive.google.com/open?id=16OaowQN3EEmU9JJubmPR5qnrVeSQb1qo&amp;authuser=jay.agg%40gmail.com&amp;usp=drive_fs" TargetMode="External"/><Relationship Id="rId1564" Type="http://schemas.openxmlformats.org/officeDocument/2006/relationships/hyperlink" Target="https://drive.google.com/open?id=16Txk4bWredH4OglpUn2s8qHOqILchP54&amp;authuser=jay.agg%40gmail.com&amp;usp=drive_fs" TargetMode="External"/><Relationship Id="rId1114" Type="http://schemas.openxmlformats.org/officeDocument/2006/relationships/hyperlink" Target="https://drive.google.com/open?id=1UXq4aYbOvZBtHFfL1uV-0Y9CRhvlg0lM&amp;authuser=jay.agg%40gmail.com&amp;usp=drive_fs" TargetMode="External"/><Relationship Id="rId1598" Type="http://schemas.openxmlformats.org/officeDocument/2006/relationships/hyperlink" Target="https://drive.google.com/open?id=12V20aGB-4tMTiJ-t90vOKyZk6cmTnX5A&amp;authuser=jay.agg%40gmail.com&amp;usp=drive_fs" TargetMode="External"/><Relationship Id="rId1115" Type="http://schemas.openxmlformats.org/officeDocument/2006/relationships/hyperlink" Target="https://drive.google.com/open?id=11ufCv9M6ujNVks21kFmWgNRtFiYJJKWp&amp;authuser=jay.agg%40gmail.com&amp;usp=drive_fs" TargetMode="External"/><Relationship Id="rId1599" Type="http://schemas.openxmlformats.org/officeDocument/2006/relationships/hyperlink" Target="https://drive.google.com/open?id=12X1-4HHc90n4Y4DUJcw46rq8zsiynzxJ&amp;authuser=jay.agg%40gmail.com&amp;usp=drive_fs" TargetMode="External"/><Relationship Id="rId1116" Type="http://schemas.openxmlformats.org/officeDocument/2006/relationships/hyperlink" Target="https://drive.google.com/open?id=1Us1ElEj4PonyN7j71xJf_f61UC8csGlv&amp;authuser=jay.agg%40gmail.com&amp;usp=drive_fs" TargetMode="External"/><Relationship Id="rId1117" Type="http://schemas.openxmlformats.org/officeDocument/2006/relationships/hyperlink" Target="https://drive.google.com/open?id=11z7nb5UTvxnWAHYOT3zsexzEJQtwjMIf&amp;authuser=jay.agg%40gmail.com&amp;usp=drive_fs" TargetMode="External"/><Relationship Id="rId1118" Type="http://schemas.openxmlformats.org/officeDocument/2006/relationships/hyperlink" Target="https://drive.google.com/open?id=1VMl9jjOG0y0CEXPVIbbJYqnllpYngwd5&amp;authuser=jay.agg%40gmail.com&amp;usp=drive_fs" TargetMode="External"/><Relationship Id="rId1119" Type="http://schemas.openxmlformats.org/officeDocument/2006/relationships/hyperlink" Target="https://drive.google.com/open?id=1VV6-_xXxlfUNALNcR6FpeQW3DbsiAdi4&amp;authuser=jay.agg%40gmail.com&amp;usp=drive_fs" TargetMode="External"/><Relationship Id="rId525" Type="http://schemas.openxmlformats.org/officeDocument/2006/relationships/hyperlink" Target="https://drive.google.com/open?id=12-53KlE7VMxQ34UMot3tNdT_3ZP4I-ya&amp;authuser=jay.agg%40gmail.com&amp;usp=drive_fs" TargetMode="External"/><Relationship Id="rId524" Type="http://schemas.openxmlformats.org/officeDocument/2006/relationships/hyperlink" Target="https://drive.google.com/open?id=11z0LRnNJpRi_5qdbRLGsBDysidYswuvI&amp;authuser=jay.agg%40gmail.com&amp;usp=drive_fs" TargetMode="External"/><Relationship Id="rId523" Type="http://schemas.openxmlformats.org/officeDocument/2006/relationships/hyperlink" Target="https://drive.google.com/open?id=11ucy9g2D6oIGTFFi-c9nwyY29iLBmMCK&amp;authuser=jay.agg%40gmail.com&amp;usp=drive_fs" TargetMode="External"/><Relationship Id="rId522" Type="http://schemas.openxmlformats.org/officeDocument/2006/relationships/hyperlink" Target="https://drive.google.com/open?id=1UH6qhsqaJTFpFHKIpAHSnM9o-agkmEls&amp;authuser=jay.agg%40gmail.com&amp;usp=drive_fs" TargetMode="External"/><Relationship Id="rId529" Type="http://schemas.openxmlformats.org/officeDocument/2006/relationships/hyperlink" Target="https://drive.google.com/open?id=1WTRhYYOWigneiK3BwIeu1kWc30zDdE_m&amp;authuser=jay.agg%40gmail.com&amp;usp=drive_fs" TargetMode="External"/><Relationship Id="rId528" Type="http://schemas.openxmlformats.org/officeDocument/2006/relationships/hyperlink" Target="https://drive.google.com/open?id=1WFAOxXWV-ZpZGd8GN4AOR3gDvUnMMYoG&amp;authuser=jay.agg%40gmail.com&amp;usp=drive_fs" TargetMode="External"/><Relationship Id="rId527" Type="http://schemas.openxmlformats.org/officeDocument/2006/relationships/hyperlink" Target="https://drive.google.com/open?id=1WCbN5MRTWnZvtDV69Cfcost4AYNLLEPQ&amp;authuser=jay.agg%40gmail.com&amp;usp=drive_fs" TargetMode="External"/><Relationship Id="rId526" Type="http://schemas.openxmlformats.org/officeDocument/2006/relationships/hyperlink" Target="https://drive.google.com/open?id=1VQtPbaN6ZLVKRKshEY_p4vLrpVs5FMfP&amp;authuser=jay.agg%40gmail.com&amp;usp=drive_fs" TargetMode="External"/><Relationship Id="rId1590" Type="http://schemas.openxmlformats.org/officeDocument/2006/relationships/hyperlink" Target="https://drive.google.com/open?id=10MG8ALo6TOki7yNMxKl6I8Y1ku5aLx5U&amp;authuser=jay.agg%40gmail.com&amp;usp=drive_fs" TargetMode="External"/><Relationship Id="rId1591" Type="http://schemas.openxmlformats.org/officeDocument/2006/relationships/hyperlink" Target="https://drive.google.com/open?id=10MhOrAEovcSihst8TODE5AZLjrr-WIc8&amp;authuser=jay.agg%40gmail.com&amp;usp=drive_fs" TargetMode="External"/><Relationship Id="rId1592" Type="http://schemas.openxmlformats.org/officeDocument/2006/relationships/hyperlink" Target="https://drive.google.com/open?id=1_EKg2yUAq2DRFHNcPb2ExYuWwoK2Ka6Y&amp;authuser=jay.agg%40gmail.com&amp;usp=drive_fs" TargetMode="External"/><Relationship Id="rId1593" Type="http://schemas.openxmlformats.org/officeDocument/2006/relationships/hyperlink" Target="https://drive.google.com/open?id=10_vqI8TCKUzfrIsIZ92OcRkr7__vSyFa&amp;authuser=jay.agg%40gmail.com&amp;usp=drive_fs" TargetMode="External"/><Relationship Id="rId521" Type="http://schemas.openxmlformats.org/officeDocument/2006/relationships/hyperlink" Target="https://drive.google.com/open?id=1TvRcIXObKjjXg5p4Duq7lc9x9V24s-Hg&amp;authuser=jay.agg%40gmail.com&amp;usp=drive_fs" TargetMode="External"/><Relationship Id="rId1110" Type="http://schemas.openxmlformats.org/officeDocument/2006/relationships/hyperlink" Target="https://drive.google.com/open?id=1Tdo-O3f-fQtFix5vjW5eC61G1X3QOUAO&amp;authuser=jay.agg%40gmail.com&amp;usp=drive_fs" TargetMode="External"/><Relationship Id="rId1594" Type="http://schemas.openxmlformats.org/officeDocument/2006/relationships/hyperlink" Target="https://drive.google.com/open?id=10abcV5_otU87DkrjsKiPznbHvMh97chO&amp;authuser=jay.agg%40gmail.com&amp;usp=drive_fs" TargetMode="External"/><Relationship Id="rId520" Type="http://schemas.openxmlformats.org/officeDocument/2006/relationships/hyperlink" Target="https://drive.google.com/open?id=1TvPO_kB9Ofp09WpOZWFsdwKK0qlgM_ES&amp;authuser=jay.agg%40gmail.com&amp;usp=drive_fs" TargetMode="External"/><Relationship Id="rId1111" Type="http://schemas.openxmlformats.org/officeDocument/2006/relationships/hyperlink" Target="https://drive.google.com/open?id=1TbqT-0UAqm3f3AdE7H4MZOvOs0QV4nJL&amp;authuser=jay.agg%40gmail.com&amp;usp=drive_fs" TargetMode="External"/><Relationship Id="rId1595" Type="http://schemas.openxmlformats.org/officeDocument/2006/relationships/hyperlink" Target="https://drive.google.com/open?id=1KFHiXHbeq92-AUDS0yNwhtecv5YBMBLL&amp;authuser=jay.agg%40gmail.com&amp;usp=drive_fs" TargetMode="External"/><Relationship Id="rId1112" Type="http://schemas.openxmlformats.org/officeDocument/2006/relationships/hyperlink" Target="https://drive.google.com/open?id=11jYZmuAyNiyAARBjkGEIqU8WM_NykyMj&amp;authuser=jay.agg%40gmail.com&amp;usp=drive_fs" TargetMode="External"/><Relationship Id="rId1596" Type="http://schemas.openxmlformats.org/officeDocument/2006/relationships/hyperlink" Target="https://drive.google.com/open?id=119nbtwAkR396ui_3K1kkQDPAUWOR-TTU&amp;authuser=jay.agg%40gmail.com&amp;usp=drive_fs" TargetMode="External"/><Relationship Id="rId1113" Type="http://schemas.openxmlformats.org/officeDocument/2006/relationships/hyperlink" Target="https://drive.google.com/open?id=11kDeF-pXyau2Akghg6wU4Wp7VJTKno76&amp;authuser=jay.agg%40gmail.com&amp;usp=drive_fs" TargetMode="External"/><Relationship Id="rId1597" Type="http://schemas.openxmlformats.org/officeDocument/2006/relationships/hyperlink" Target="https://drive.google.com/open?id=12BTGEAyRzcHPz2sq6LbApXNh9ah-DYoP&amp;authuser=jay.agg%40gmail.com&amp;usp=drive_fs" TargetMode="External"/><Relationship Id="rId1103" Type="http://schemas.openxmlformats.org/officeDocument/2006/relationships/hyperlink" Target="https://drive.google.com/open?id=1Me9FQd1ys1KeHQ0A1Jx7KZH2JDdcTkiS&amp;authuser=jay.agg%40gmail.com&amp;usp=drive_fs" TargetMode="External"/><Relationship Id="rId1587" Type="http://schemas.openxmlformats.org/officeDocument/2006/relationships/hyperlink" Target="https://drive.google.com/open?id=1DNp4d36wFa8qqakcdhC9a8wnblWsfM7u&amp;authuser=jay.agg%40gmail.com&amp;usp=drive_fs" TargetMode="External"/><Relationship Id="rId1104" Type="http://schemas.openxmlformats.org/officeDocument/2006/relationships/hyperlink" Target="https://drive.google.com/open?id=1O-W2xh1yhrWCisjwnh9_upXi7VCecSHh&amp;authuser=jay.agg%40gmail.com&amp;usp=drive_fs" TargetMode="External"/><Relationship Id="rId1588" Type="http://schemas.openxmlformats.org/officeDocument/2006/relationships/hyperlink" Target="https://drive.google.com/open?id=10NoN1i7_K1rHnWbdm9nXitvNzTkqXiHV&amp;authuser=jay.agg%40gmail.com&amp;usp=drive_fs" TargetMode="External"/><Relationship Id="rId1105" Type="http://schemas.openxmlformats.org/officeDocument/2006/relationships/hyperlink" Target="https://drive.google.com/open?id=1Nz3utm_QH5ZDA8upBnLT9hUAljy1zUEo&amp;authuser=jay.agg%40gmail.com&amp;usp=drive_fs" TargetMode="External"/><Relationship Id="rId1589" Type="http://schemas.openxmlformats.org/officeDocument/2006/relationships/hyperlink" Target="https://drive.google.com/open?id=10Odw8qHJqLfe5TgLJ1OsNCSUaimudpuG&amp;authuser=jay.agg%40gmail.com&amp;usp=drive_fs" TargetMode="External"/><Relationship Id="rId1106" Type="http://schemas.openxmlformats.org/officeDocument/2006/relationships/hyperlink" Target="https://drive.google.com/open?id=1OcBosxL0fggx1qyLgXXE4tDQ8PF9N-iv&amp;authuser=jay.agg%40gmail.com&amp;usp=drive_fs" TargetMode="External"/><Relationship Id="rId1107" Type="http://schemas.openxmlformats.org/officeDocument/2006/relationships/hyperlink" Target="https://drive.google.com/open?id=1QtJky2CoK2viBm-q9JnI2yzxDyOa34yI&amp;authuser=jay.agg%40gmail.com&amp;usp=drive_fs" TargetMode="External"/><Relationship Id="rId1108" Type="http://schemas.openxmlformats.org/officeDocument/2006/relationships/hyperlink" Target="https://drive.google.com/open?id=1Qu8ubF-2d1gbzCam5dOxqLYJi0vaDiX-&amp;authuser=jay.agg%40gmail.com&amp;usp=drive_fs" TargetMode="External"/><Relationship Id="rId1109" Type="http://schemas.openxmlformats.org/officeDocument/2006/relationships/hyperlink" Target="https://drive.google.com/open?id=1T4472d4EPtR_7r6q3g95g8WQTId21WGn&amp;authuser=jay.agg%40gmail.com&amp;usp=drive_fs" TargetMode="External"/><Relationship Id="rId519" Type="http://schemas.openxmlformats.org/officeDocument/2006/relationships/hyperlink" Target="https://drive.google.com/open?id=1Tk1bQysOUgs9ltsmecXqQZvkH8ygXK1P&amp;authuser=jay.agg%40gmail.com&amp;usp=drive_fs" TargetMode="External"/><Relationship Id="rId514" Type="http://schemas.openxmlformats.org/officeDocument/2006/relationships/hyperlink" Target="https://drive.google.com/open?id=1PbKtxnYoLhuHU_b7oiRh6LspLV5PMjeJ&amp;authuser=jay.agg%40gmail.com&amp;usp=drive_fs" TargetMode="External"/><Relationship Id="rId998" Type="http://schemas.openxmlformats.org/officeDocument/2006/relationships/hyperlink" Target="https://drive.google.com/open?id=1Oo0o_Uf6_P3cO3tp05t4Mu8X7X5OlgLf&amp;authuser=jay.agg%40gmail.com&amp;usp=drive_fs" TargetMode="External"/><Relationship Id="rId513" Type="http://schemas.openxmlformats.org/officeDocument/2006/relationships/hyperlink" Target="https://drive.google.com/open?id=10zL70vxYTlijm50vQq-fBS5vospSQr8R&amp;authuser=jay.agg%40gmail.com&amp;usp=drive_fs" TargetMode="External"/><Relationship Id="rId997" Type="http://schemas.openxmlformats.org/officeDocument/2006/relationships/hyperlink" Target="https://drive.google.com/open?id=1OzRhqM1WSTTxUyiXmK-uo6qHSLFo1J6W&amp;authuser=jay.agg%40gmail.com&amp;usp=drive_fs" TargetMode="External"/><Relationship Id="rId512" Type="http://schemas.openxmlformats.org/officeDocument/2006/relationships/hyperlink" Target="https://drive.google.com/open?id=1LlbM49qDP0bejhkgBN2720k3_umhVAjY&amp;authuser=jay.agg%40gmail.com&amp;usp=drive_fs" TargetMode="External"/><Relationship Id="rId996" Type="http://schemas.openxmlformats.org/officeDocument/2006/relationships/hyperlink" Target="https://drive.google.com/open?id=1O_3sh0g_XSvMgDCFr3QaNGWrPCMmR6No&amp;authuser=jay.agg%40gmail.com&amp;usp=drive_fs" TargetMode="External"/><Relationship Id="rId511" Type="http://schemas.openxmlformats.org/officeDocument/2006/relationships/hyperlink" Target="https://drive.google.com/open?id=1LiDZZ9bvAoIdhWtdQQG_DnbcwIUuuSlK&amp;authuser=jay.agg%40gmail.com&amp;usp=drive_fs" TargetMode="External"/><Relationship Id="rId995" Type="http://schemas.openxmlformats.org/officeDocument/2006/relationships/hyperlink" Target="https://drive.google.com/open?id=1OQZ-ePtmH2eRW6YsfL_Pau-Vk4pj3Ge2&amp;authuser=jay.agg%40gmail.com&amp;usp=drive_fs" TargetMode="External"/><Relationship Id="rId518" Type="http://schemas.openxmlformats.org/officeDocument/2006/relationships/hyperlink" Target="https://drive.google.com/open?id=11ipbOVTv4bxJEyfmikuCx1OhH5tLRUIB&amp;authuser=jay.agg%40gmail.com&amp;usp=drive_fs" TargetMode="External"/><Relationship Id="rId517" Type="http://schemas.openxmlformats.org/officeDocument/2006/relationships/hyperlink" Target="https://drive.google.com/open?id=1Y8xw7hZxjyNmIHNhN7RFzl8RAUkIjU5H&amp;authuser=jay.agg%40gmail.com&amp;usp=drive_fs" TargetMode="External"/><Relationship Id="rId516" Type="http://schemas.openxmlformats.org/officeDocument/2006/relationships/hyperlink" Target="https://drive.google.com/open?id=1PaIhXq6oJWPb-VG23BlXjvPStev6l4QQ&amp;authuser=jay.agg%40gmail.com&amp;usp=drive_fs" TargetMode="External"/><Relationship Id="rId515" Type="http://schemas.openxmlformats.org/officeDocument/2006/relationships/hyperlink" Target="https://drive.google.com/open?id=1PaYrpHnbunE3SfPTYGwR_ef9_SwUI8mU&amp;authuser=jay.agg%40gmail.com&amp;usp=drive_fs" TargetMode="External"/><Relationship Id="rId999" Type="http://schemas.openxmlformats.org/officeDocument/2006/relationships/hyperlink" Target="https://drive.google.com/open?id=1PI4Qj-_AjnweI9SrJuQ8sE4p2KI5ldj8&amp;authuser=jay.agg%40gmail.com&amp;usp=drive_fs" TargetMode="External"/><Relationship Id="rId990" Type="http://schemas.openxmlformats.org/officeDocument/2006/relationships/hyperlink" Target="https://drive.google.com/open?id=1NmrEWzL0jccCY3gRhr0OT_AIXLqaAYOX&amp;authuser=jay.agg%40gmail.com&amp;usp=drive_fs" TargetMode="External"/><Relationship Id="rId1580" Type="http://schemas.openxmlformats.org/officeDocument/2006/relationships/hyperlink" Target="https://drive.google.com/open?id=1D1XGGUL2tR-wudD-WxRYFAxVPcXyOS-4&amp;authuser=jay.agg%40gmail.com&amp;usp=drive_fs" TargetMode="External"/><Relationship Id="rId1581" Type="http://schemas.openxmlformats.org/officeDocument/2006/relationships/hyperlink" Target="https://drive.google.com/open?id=1D2SmtpvOAkZ9FSxmrpCPEQr9NoZAQ-Aw&amp;authuser=jay.agg%40gmail.com&amp;usp=drive_fs" TargetMode="External"/><Relationship Id="rId1582" Type="http://schemas.openxmlformats.org/officeDocument/2006/relationships/hyperlink" Target="https://drive.google.com/open?id=1D1XGGUL2tR-wudD-WxRYFAxVPcXyOS-4&amp;authuser=jay.agg%40gmail.com&amp;usp=drive_fs" TargetMode="External"/><Relationship Id="rId510" Type="http://schemas.openxmlformats.org/officeDocument/2006/relationships/hyperlink" Target="https://drive.google.com/open?id=1Lhm0h94LbQvLjDW9rVbGbd97L5AjlaVS&amp;authuser=jay.agg%40gmail.com&amp;usp=drive_fs" TargetMode="External"/><Relationship Id="rId994" Type="http://schemas.openxmlformats.org/officeDocument/2006/relationships/hyperlink" Target="https://drive.google.com/open?id=1Brn9QCMkUjdGOnRuWsTH_LaeUOxtQZ9b&amp;authuser=jay.agg%40gmail.com&amp;usp=drive_fs" TargetMode="External"/><Relationship Id="rId1583" Type="http://schemas.openxmlformats.org/officeDocument/2006/relationships/hyperlink" Target="https://drive.google.com/open?id=1D2SmtpvOAkZ9FSxmrpCPEQr9NoZAQ-Aw&amp;authuser=jay.agg%40gmail.com&amp;usp=drive_fs" TargetMode="External"/><Relationship Id="rId993" Type="http://schemas.openxmlformats.org/officeDocument/2006/relationships/hyperlink" Target="https://drive.google.com/open?id=1Bnsb0frEED9Anr-37j2jzpXfxbfcoGZE&amp;authuser=jay.agg%40gmail.com&amp;usp=drive_fs" TargetMode="External"/><Relationship Id="rId1100" Type="http://schemas.openxmlformats.org/officeDocument/2006/relationships/hyperlink" Target="https://drive.google.com/open?id=1LePyOCyeOrtyssU-5qPjC4ID7YN--4e9&amp;authuser=jay.agg%40gmail.com&amp;usp=drive_fs" TargetMode="External"/><Relationship Id="rId1584" Type="http://schemas.openxmlformats.org/officeDocument/2006/relationships/hyperlink" Target="https://drive.google.com/open?id=1D1XGGUL2tR-wudD-WxRYFAxVPcXyOS-4&amp;authuser=jay.agg%40gmail.com&amp;usp=drive_fs" TargetMode="External"/><Relationship Id="rId992" Type="http://schemas.openxmlformats.org/officeDocument/2006/relationships/hyperlink" Target="https://drive.google.com/open?id=1OChsXdmJLOGgS9j_u_FIIbtfxgE_RFPu&amp;authuser=jay.agg%40gmail.com&amp;usp=drive_fs" TargetMode="External"/><Relationship Id="rId1101" Type="http://schemas.openxmlformats.org/officeDocument/2006/relationships/hyperlink" Target="https://drive.google.com/open?id=113wK8dUd60uG8PzOUXaeRqAXPkRfcpy6&amp;authuser=jay.agg%40gmail.com&amp;usp=drive_fs" TargetMode="External"/><Relationship Id="rId1585" Type="http://schemas.openxmlformats.org/officeDocument/2006/relationships/hyperlink" Target="https://drive.google.com/open?id=1D2SmtpvOAkZ9FSxmrpCPEQr9NoZAQ-Aw&amp;authuser=jay.agg%40gmail.com&amp;usp=drive_fs" TargetMode="External"/><Relationship Id="rId991" Type="http://schemas.openxmlformats.org/officeDocument/2006/relationships/hyperlink" Target="https://drive.google.com/open?id=1O3DBsUn3E9JvBhXZN8erEkDTKD49qVs-&amp;authuser=jay.agg%40gmail.com&amp;usp=drive_fs" TargetMode="External"/><Relationship Id="rId1102" Type="http://schemas.openxmlformats.org/officeDocument/2006/relationships/hyperlink" Target="https://drive.google.com/open?id=1McKTHyNWoXxF0G8hIHpHO7egFGvmlqg4&amp;authuser=jay.agg%40gmail.com&amp;usp=drive_fs" TargetMode="External"/><Relationship Id="rId1586" Type="http://schemas.openxmlformats.org/officeDocument/2006/relationships/hyperlink" Target="https://drive.google.com/open?id=1DNhnyCw2pwGCDtS8ddGQBMm7bK0Ap7Cr&amp;authuser=jay.agg%40gmail.com&amp;usp=drive_fs" TargetMode="External"/><Relationship Id="rId1532" Type="http://schemas.openxmlformats.org/officeDocument/2006/relationships/hyperlink" Target="https://drive.google.com/open?id=1WcEROCbZAQrzFV8U2tXZ8xBXWZZlusx-&amp;authuser=jay.agg%40gmail.com&amp;usp=drive_fs" TargetMode="External"/><Relationship Id="rId1533" Type="http://schemas.openxmlformats.org/officeDocument/2006/relationships/hyperlink" Target="https://drive.google.com/open?id=1WiwENX2OXbqGtZImummaw69V1QZvIUmI&amp;authuser=jay.agg%40gmail.com&amp;usp=drive_fs" TargetMode="External"/><Relationship Id="rId1534" Type="http://schemas.openxmlformats.org/officeDocument/2006/relationships/hyperlink" Target="https://drive.google.com/open?id=1WjdIHZnsmG9Xe4DSSnFt65ZtIl_qw1S5&amp;authuser=jay.agg%40gmail.com&amp;usp=drive_fs" TargetMode="External"/><Relationship Id="rId1535" Type="http://schemas.openxmlformats.org/officeDocument/2006/relationships/hyperlink" Target="https://drive.google.com/open?id=1Emi--XIoiuXckSxqBeNw1IyXwinydrah&amp;authuser=jay.agg%40gmail.com&amp;usp=drive_fs" TargetMode="External"/><Relationship Id="rId1536" Type="http://schemas.openxmlformats.org/officeDocument/2006/relationships/hyperlink" Target="https://drive.google.com/open?id=1Wosbq19T-CU3cAZZBsGO1-uK-rVVCFnR&amp;authuser=jay.agg%40gmail.com&amp;usp=drive_fs" TargetMode="External"/><Relationship Id="rId1537" Type="http://schemas.openxmlformats.org/officeDocument/2006/relationships/hyperlink" Target="https://drive.google.com/open?id=1W1vqJdQa_BeBgh7ncpXytp9uCtwzxlwg&amp;authuser=jay.agg%40gmail.com&amp;usp=drive_fs" TargetMode="External"/><Relationship Id="rId1538" Type="http://schemas.openxmlformats.org/officeDocument/2006/relationships/hyperlink" Target="https://drive.google.com/open?id=1W2sNQTmyMcnQ2YhSqD8QjL7sQdVFO7xY&amp;authuser=jay.agg%40gmail.com&amp;usp=drive_fs" TargetMode="External"/><Relationship Id="rId1539" Type="http://schemas.openxmlformats.org/officeDocument/2006/relationships/hyperlink" Target="https://drive.google.com/open?id=1W2y2uWmud2-9hqRNW3wya8fpKG2W7xkX&amp;authuser=jay.agg%40gmail.com&amp;usp=drive_fs" TargetMode="External"/><Relationship Id="rId949" Type="http://schemas.openxmlformats.org/officeDocument/2006/relationships/hyperlink" Target="https://drive.google.com/open?id=1sYbn-91TcJ6k1qnExCutklm_E0zBCd66&amp;usp=drive_fs" TargetMode="External"/><Relationship Id="rId948" Type="http://schemas.openxmlformats.org/officeDocument/2006/relationships/hyperlink" Target="https://drive.google.com/open?id=11bQ2idGe7Tk2-EYMdTYrVX7Z9H7JWKYt&amp;usp=drive_fs" TargetMode="External"/><Relationship Id="rId943" Type="http://schemas.openxmlformats.org/officeDocument/2006/relationships/hyperlink" Target="https://drive.google.com/open?id=1W85O5gA9lHW6Vj2M7SBBjoecG6YyzzfB&amp;authuser=jay.agg%40gmail.com&amp;usp=drive_fs" TargetMode="External"/><Relationship Id="rId942" Type="http://schemas.openxmlformats.org/officeDocument/2006/relationships/hyperlink" Target="https://drive.google.com/open?id=1W4zJeOM6U5H5syZL-CIBy2tFDQrxLESX&amp;authuser=jay.agg%40gmail.com&amp;usp=drive_fs" TargetMode="External"/><Relationship Id="rId941" Type="http://schemas.openxmlformats.org/officeDocument/2006/relationships/hyperlink" Target="https://drive.google.com/open?id=1Dbong3UqqqJhKFbaeUGFLjmmC8EuYNXK&amp;authuser=jay.agg%40gmail.com&amp;usp=drive_fs" TargetMode="External"/><Relationship Id="rId940" Type="http://schemas.openxmlformats.org/officeDocument/2006/relationships/hyperlink" Target="https://drive.google.com/open?id=1fR6qIMQtWiERHUaNJL37KgKJW7ZR7dqd&amp;authuser=jay.agg%40gmail.com&amp;usp=drive_fs" TargetMode="External"/><Relationship Id="rId947" Type="http://schemas.openxmlformats.org/officeDocument/2006/relationships/hyperlink" Target="https://drive.google.com/open?id=11G-QG4nEld1KIBWmmxpSrsK6hLZJxsuq&amp;usp=drive_fs" TargetMode="External"/><Relationship Id="rId946" Type="http://schemas.openxmlformats.org/officeDocument/2006/relationships/hyperlink" Target="https://drive.google.com/open?id=1Rqaz5ZUV6zamA-EJghQ_XXbVz7SZUiuh&amp;usp=drive_fs" TargetMode="External"/><Relationship Id="rId945" Type="http://schemas.openxmlformats.org/officeDocument/2006/relationships/hyperlink" Target="https://drive.google.com/open?id=16K89i-X8viZhEjAvh_APrkWkGgMZot_Q&amp;usp=drive_fs" TargetMode="External"/><Relationship Id="rId944" Type="http://schemas.openxmlformats.org/officeDocument/2006/relationships/hyperlink" Target="https://drive.google.com/open?id=16BE0phGUKyPQm8rtBp3BWs9EhgsBhHa_&amp;usp=drive_fs" TargetMode="External"/><Relationship Id="rId1530" Type="http://schemas.openxmlformats.org/officeDocument/2006/relationships/hyperlink" Target="https://drive.google.com/open?id=1csRczAo_xvrhWCJrfHW4pL60a02-tV1r&amp;usp=drive_fs" TargetMode="External"/><Relationship Id="rId1531" Type="http://schemas.openxmlformats.org/officeDocument/2006/relationships/hyperlink" Target="https://drive.google.com/open?id=1WXc-mKAHr93suwVRA5wtpWh8v-nT5-e9&amp;authuser=jay.agg%40gmail.com&amp;usp=drive_fs" TargetMode="External"/><Relationship Id="rId1521" Type="http://schemas.openxmlformats.org/officeDocument/2006/relationships/hyperlink" Target="https://drive.google.com/open?id=1GbpLP7OM5pecWm1PlWxXrH5d5f4cPr_c&amp;authuser=jay.agg%40gmail.com&amp;usp=drive_fs" TargetMode="External"/><Relationship Id="rId1522" Type="http://schemas.openxmlformats.org/officeDocument/2006/relationships/hyperlink" Target="https://drive.google.com/open?id=1H6xAR9VvWCigL3V9dOWD-QbL3-auWFbQ&amp;authuser=jay.agg%40gmail.com&amp;usp=drive_fs" TargetMode="External"/><Relationship Id="rId1523" Type="http://schemas.openxmlformats.org/officeDocument/2006/relationships/hyperlink" Target="https://drive.google.com/open?id=1KcvnFJt3qJEm2oUC8J0yboxcfnwwM4Q0&amp;usp=drive_fs" TargetMode="External"/><Relationship Id="rId1524" Type="http://schemas.openxmlformats.org/officeDocument/2006/relationships/hyperlink" Target="https://drive.google.com/open?id=1KetwlxxV-3PqaGVqiIR1pPYJP1X9rXxk&amp;usp=drive_fs" TargetMode="External"/><Relationship Id="rId1525" Type="http://schemas.openxmlformats.org/officeDocument/2006/relationships/hyperlink" Target="https://drive.google.com/open?id=19gBunONLWBS71QPUU9sbURhOcQ5HB-Kn&amp;usp=drive_fs" TargetMode="External"/><Relationship Id="rId1526" Type="http://schemas.openxmlformats.org/officeDocument/2006/relationships/hyperlink" Target="https://drive.google.com/open?id=1B2AhWG7KXDjvcWLeR6_sjLGKznM-D0oM&amp;usp=drive_fs" TargetMode="External"/><Relationship Id="rId1527" Type="http://schemas.openxmlformats.org/officeDocument/2006/relationships/hyperlink" Target="https://drive.google.com/open?id=1B6x-6XHT7PQQGkGWTMisLAZjbzHOcTuX&amp;usp=drive_fs" TargetMode="External"/><Relationship Id="rId1528" Type="http://schemas.openxmlformats.org/officeDocument/2006/relationships/hyperlink" Target="https://drive.google.com/open?id=1B7rfQjDqRY_6tbssF_mrXsdeWH-tzoxs&amp;usp=drive_fs" TargetMode="External"/><Relationship Id="rId1529" Type="http://schemas.openxmlformats.org/officeDocument/2006/relationships/hyperlink" Target="https://drive.google.com/open?id=1-zaxLKbEGveSFYg8coseEoKUL6-XRLkX&amp;usp=drive_fs" TargetMode="External"/><Relationship Id="rId939" Type="http://schemas.openxmlformats.org/officeDocument/2006/relationships/hyperlink" Target="https://drive.google.com/open?id=1fPDHSEEgxm6cu__iL1BiCDwBTJMULsl5&amp;authuser=jay.agg%40gmail.com&amp;usp=drive_fs" TargetMode="External"/><Relationship Id="rId938" Type="http://schemas.openxmlformats.org/officeDocument/2006/relationships/hyperlink" Target="https://drive.google.com/open?id=1CNKaDde2hyrmbRq2XhhXH4KQEGR6mBpi&amp;authuser=jay.agg%40gmail.com&amp;usp=drive_fs" TargetMode="External"/><Relationship Id="rId937" Type="http://schemas.openxmlformats.org/officeDocument/2006/relationships/hyperlink" Target="https://drive.google.com/open?id=1VRCAaf-S9TM8m-bCQn9aEl-UZTVXccSo&amp;authuser=jay.agg%40gmail.com&amp;usp=drive_fs" TargetMode="External"/><Relationship Id="rId932" Type="http://schemas.openxmlformats.org/officeDocument/2006/relationships/hyperlink" Target="https://drive.google.com/open?id=1VOXmj7AbaptFoiPvavhB-kouUScgwAcu&amp;authuser=jay.agg%40gmail.com&amp;usp=drive_fs" TargetMode="External"/><Relationship Id="rId931" Type="http://schemas.openxmlformats.org/officeDocument/2006/relationships/hyperlink" Target="https://drive.google.com/open?id=1KvIiAxgBbDwtxsehYFRE_Zzi8a6YBT1H&amp;authuser=jay.agg%40gmail.com&amp;usp=drive_fs" TargetMode="External"/><Relationship Id="rId930" Type="http://schemas.openxmlformats.org/officeDocument/2006/relationships/hyperlink" Target="https://drive.google.com/open?id=1KccqGAeApkeEEdKrvZID-LOur3jWMqPt&amp;authuser=jay.agg%40gmail.com&amp;usp=drive_fs" TargetMode="External"/><Relationship Id="rId936" Type="http://schemas.openxmlformats.org/officeDocument/2006/relationships/hyperlink" Target="https://drive.google.com/open?id=1VOXmj7AbaptFoiPvavhB-kouUScgwAcu&amp;authuser=jay.agg%40gmail.com&amp;usp=drive_fs" TargetMode="External"/><Relationship Id="rId935" Type="http://schemas.openxmlformats.org/officeDocument/2006/relationships/hyperlink" Target="https://drive.google.com/open?id=1VhVQdiFWpd9YWXCbcuAc5nSXyXT7yMep&amp;authuser=jay.agg%40gmail.com&amp;usp=drive_fs" TargetMode="External"/><Relationship Id="rId934" Type="http://schemas.openxmlformats.org/officeDocument/2006/relationships/hyperlink" Target="https://drive.google.com/open?id=1T64KY6TrnoZZsgbwhvxDqHfxl__6F5-N&amp;authuser=jay.agg%40gmail.com&amp;usp=drive_fs" TargetMode="External"/><Relationship Id="rId933" Type="http://schemas.openxmlformats.org/officeDocument/2006/relationships/hyperlink" Target="https://drive.google.com/open?id=1VRCAaf-S9TM8m-bCQn9aEl-UZTVXccSo&amp;authuser=jay.agg%40gmail.com&amp;usp=drive_fs" TargetMode="External"/><Relationship Id="rId1520" Type="http://schemas.openxmlformats.org/officeDocument/2006/relationships/hyperlink" Target="https://drive.google.com/open?id=15XfhLEDmWrIxqgWgqz-DeDESI_sZctJ0&amp;authuser=jay.agg%40gmail.com&amp;usp=drive_fs" TargetMode="External"/><Relationship Id="rId1554" Type="http://schemas.openxmlformats.org/officeDocument/2006/relationships/hyperlink" Target="https://drive.google.com/open?id=1W0Gn-ZpgFavI6U_i6lkrRggmkpEUA12o&amp;authuser=jay.agg%40gmail.com&amp;usp=drive_fs" TargetMode="External"/><Relationship Id="rId1555" Type="http://schemas.openxmlformats.org/officeDocument/2006/relationships/hyperlink" Target="https://drive.google.com/open?id=1W0X0xgnjVP7OosahJk5m0R11OOZUeqRs&amp;authuser=jay.agg%40gmail.com&amp;usp=drive_fs" TargetMode="External"/><Relationship Id="rId1556" Type="http://schemas.openxmlformats.org/officeDocument/2006/relationships/hyperlink" Target="https://drive.google.com/open?id=1kkQstTwjGv83dKmYDWaH7bmgHWwXP61g&amp;authuser=jay.agg%40gmail.com&amp;usp=drive_fs" TargetMode="External"/><Relationship Id="rId1557" Type="http://schemas.openxmlformats.org/officeDocument/2006/relationships/hyperlink" Target="https://drive.google.com/open?id=1knvyf7t5GxVECa_JUGsDwwRyylW7hHGP&amp;authuser=jay.agg%40gmail.com&amp;usp=drive_fs" TargetMode="External"/><Relationship Id="rId1558" Type="http://schemas.openxmlformats.org/officeDocument/2006/relationships/hyperlink" Target="https://drive.google.com/open?id=1ovQiycdDxXeO53FWi_N954j9_1Ur9w55&amp;authuser=jay.agg%40gmail.com&amp;usp=drive_fs" TargetMode="External"/><Relationship Id="rId1559" Type="http://schemas.openxmlformats.org/officeDocument/2006/relationships/hyperlink" Target="https://drive.google.com/open?id=1p5PQykSb0nIJtoE3sd3gzY_XXM0WlWVi&amp;authuser=jay.agg%40gmail.com&amp;usp=drive_fs" TargetMode="External"/><Relationship Id="rId965" Type="http://schemas.openxmlformats.org/officeDocument/2006/relationships/hyperlink" Target="https://drive.google.com/open?id=1R69JTM091j0R6Hbk7JlIcmy1o0TJXQlC&amp;authuser=jay.agg%40gmail.com&amp;usp=drive_fs" TargetMode="External"/><Relationship Id="rId964" Type="http://schemas.openxmlformats.org/officeDocument/2006/relationships/hyperlink" Target="https://drive.google.com/open?id=1R61V6cd_s3Pq01sfSW5K3t7WSGP_L0As&amp;authuser=jay.agg%40gmail.com&amp;usp=drive_fs" TargetMode="External"/><Relationship Id="rId963" Type="http://schemas.openxmlformats.org/officeDocument/2006/relationships/hyperlink" Target="https://drive.google.com/open?id=1R0wA1QXQbAwYILUJUKO7z4Ci3IcHThXO&amp;authuser=jay.agg%40gmail.com&amp;usp=drive_fs" TargetMode="External"/><Relationship Id="rId962" Type="http://schemas.openxmlformats.org/officeDocument/2006/relationships/hyperlink" Target="https://drive.google.com/open?id=1Qwbp_CBztdhd4Oo6pQJ3VR0q6w7viL0j&amp;authuser=jay.agg%40gmail.com&amp;usp=drive_fs" TargetMode="External"/><Relationship Id="rId969" Type="http://schemas.openxmlformats.org/officeDocument/2006/relationships/hyperlink" Target="https://drive.google.com/open?id=1QUlYw3yWCJ5eG6Uy83i49XImWyIv8ly_&amp;authuser=jay.agg%40gmail.com&amp;usp=drive_fs" TargetMode="External"/><Relationship Id="rId968" Type="http://schemas.openxmlformats.org/officeDocument/2006/relationships/hyperlink" Target="https://drive.google.com/open?id=1Qhw5hCt6AslPxvpSURfZvOXwooNNK0lB&amp;authuser=jay.agg%40gmail.com&amp;usp=drive_fs" TargetMode="External"/><Relationship Id="rId967" Type="http://schemas.openxmlformats.org/officeDocument/2006/relationships/hyperlink" Target="https://drive.google.com/open?id=1QhZ36zVV0AY4GNL7jcG9woN0_jfH4vH2&amp;authuser=jay.agg%40gmail.com&amp;usp=drive_fs" TargetMode="External"/><Relationship Id="rId966" Type="http://schemas.openxmlformats.org/officeDocument/2006/relationships/hyperlink" Target="https://drive.google.com/open?id=1QTWTuFZk9eNr_4lY0kX3TKgeYtsriRPs&amp;authuser=jay.agg%40gmail.com&amp;usp=drive_fs" TargetMode="External"/><Relationship Id="rId961" Type="http://schemas.openxmlformats.org/officeDocument/2006/relationships/hyperlink" Target="https://drive.google.com/open?id=1Qvbr4-fdTQ4l4YcjYooE-rNrrYyvW8zx&amp;authuser=jay.agg%40gmail.com&amp;usp=drive_fs" TargetMode="External"/><Relationship Id="rId1550" Type="http://schemas.openxmlformats.org/officeDocument/2006/relationships/hyperlink" Target="https://drive.google.com/open?id=1VrnbAQfw40315mHJzxlJfQgaFll_AeOn&amp;authuser=jay.agg%40gmail.com&amp;usp=drive_fs" TargetMode="External"/><Relationship Id="rId960" Type="http://schemas.openxmlformats.org/officeDocument/2006/relationships/hyperlink" Target="https://drive.google.com/open?id=1QvJB9MhtDcXsNtKIflALdqXkVyq8VOgJ&amp;authuser=jay.agg%40gmail.com&amp;usp=drive_fs" TargetMode="External"/><Relationship Id="rId1551" Type="http://schemas.openxmlformats.org/officeDocument/2006/relationships/hyperlink" Target="https://drive.google.com/open?id=1VxJNrUqV9CSOKxlgGxRkN1kWJyIbW4QT&amp;authuser=jay.agg%40gmail.com&amp;usp=drive_fs" TargetMode="External"/><Relationship Id="rId1552" Type="http://schemas.openxmlformats.org/officeDocument/2006/relationships/hyperlink" Target="https://drive.google.com/open?id=1W-bKbywRFgZKk4OIT4FHoObQgjbQReEb&amp;authuser=jay.agg%40gmail.com&amp;usp=drive_fs" TargetMode="External"/><Relationship Id="rId1553" Type="http://schemas.openxmlformats.org/officeDocument/2006/relationships/hyperlink" Target="https://drive.google.com/open?id=1W0BfPEOQXXRF7nZ7uGa4ixksRxiDRfBh&amp;authuser=jay.agg%40gmail.com&amp;usp=drive_fs" TargetMode="External"/><Relationship Id="rId1543" Type="http://schemas.openxmlformats.org/officeDocument/2006/relationships/hyperlink" Target="https://drive.google.com/open?id=1WB1Gc6rLFJdLXQN6dDr8QovLCdZ0Frse&amp;authuser=jay.agg%40gmail.com&amp;usp=drive_fs" TargetMode="External"/><Relationship Id="rId1544" Type="http://schemas.openxmlformats.org/officeDocument/2006/relationships/hyperlink" Target="https://drive.google.com/open?id=1WGnc03m_rOcEsRw9mzc5rV4bCIFXBEfU&amp;authuser=jay.agg%40gmail.com&amp;usp=drive_fs" TargetMode="External"/><Relationship Id="rId1545" Type="http://schemas.openxmlformats.org/officeDocument/2006/relationships/hyperlink" Target="https://drive.google.com/open?id=1WHAuatUQ3wAiDtOhs95WQfMKRfFm5V-w&amp;authuser=jay.agg%40gmail.com&amp;usp=drive_fs" TargetMode="External"/><Relationship Id="rId1546" Type="http://schemas.openxmlformats.org/officeDocument/2006/relationships/hyperlink" Target="https://drive.google.com/open?id=1WIcp56NZpTp1JddV166biVPZHqDqO9VB&amp;authuser=jay.agg%40gmail.com&amp;usp=drive_fs" TargetMode="External"/><Relationship Id="rId1547" Type="http://schemas.openxmlformats.org/officeDocument/2006/relationships/hyperlink" Target="https://drive.google.com/open?id=1WpVOg5N1Mt8KOZaXc9oeWidt1WZ98kyK&amp;authuser=jay.agg%40gmail.com&amp;usp=drive_fs" TargetMode="External"/><Relationship Id="rId1548" Type="http://schemas.openxmlformats.org/officeDocument/2006/relationships/hyperlink" Target="https://drive.google.com/open?id=1W1n5mj3UUcKlB-iSe4HMh9zcNVZjWupm&amp;authuser=jay.agg%40gmail.com&amp;usp=drive_fs" TargetMode="External"/><Relationship Id="rId1549" Type="http://schemas.openxmlformats.org/officeDocument/2006/relationships/hyperlink" Target="https://drive.google.com/open?id=1VhfpCdreCicsyU5h80igbH5W3YYNDRwF&amp;authuser=jay.agg%40gmail.com&amp;usp=drive_fs" TargetMode="External"/><Relationship Id="rId959" Type="http://schemas.openxmlformats.org/officeDocument/2006/relationships/hyperlink" Target="https://drive.google.com/open?id=1R-6x1155ykPUIHal2qHhsGUOhJ93l5nv&amp;authuser=jay.agg%40gmail.com&amp;usp=drive_fs" TargetMode="External"/><Relationship Id="rId954" Type="http://schemas.openxmlformats.org/officeDocument/2006/relationships/hyperlink" Target="https://drive.google.com/open?id=103eUaQW3TOopHbdy0GliRZ7gKva8MSsT&amp;usp=drive_fs" TargetMode="External"/><Relationship Id="rId953" Type="http://schemas.openxmlformats.org/officeDocument/2006/relationships/hyperlink" Target="https://drive.google.com/open?id=13EyUq2Rf8KdMjDakDiaIbNYiLJC0Brkf&amp;usp=drive_fs" TargetMode="External"/><Relationship Id="rId952" Type="http://schemas.openxmlformats.org/officeDocument/2006/relationships/hyperlink" Target="https://drive.google.com/open?id=13EyUq2Rf8KdMjDakDiaIbNYiLJC0Brkf&amp;usp=drive_fs" TargetMode="External"/><Relationship Id="rId951" Type="http://schemas.openxmlformats.org/officeDocument/2006/relationships/hyperlink" Target="https://drive.google.com/open?id=1DIzuCfOgOoga4-tVukRBSgOSg9LbEkP2&amp;usp=drive_fs" TargetMode="External"/><Relationship Id="rId958" Type="http://schemas.openxmlformats.org/officeDocument/2006/relationships/hyperlink" Target="https://drive.google.com/open?id=1RFhjQczaMAqJxxKHOOgWIUcetju9JHbB&amp;authuser=jay.agg%40gmail.com&amp;usp=drive_fs" TargetMode="External"/><Relationship Id="rId957" Type="http://schemas.openxmlformats.org/officeDocument/2006/relationships/hyperlink" Target="https://drive.google.com/open?id=1RCVTOA7UAiI06kh64ajGkxHXq7kK4A7v&amp;authuser=jay.agg%40gmail.com&amp;usp=drive_fs" TargetMode="External"/><Relationship Id="rId956" Type="http://schemas.openxmlformats.org/officeDocument/2006/relationships/hyperlink" Target="https://drive.google.com/open?id=1OlfRZKTmd_ijgtSyMUHvacO-Nspi_jb5&amp;usp=drive_fs" TargetMode="External"/><Relationship Id="rId955" Type="http://schemas.openxmlformats.org/officeDocument/2006/relationships/hyperlink" Target="https://drive.google.com/open?id=1RI1_lqeRICB3J2rXl6svwx08H_tGe2wj&amp;usp=drive_fs" TargetMode="External"/><Relationship Id="rId950" Type="http://schemas.openxmlformats.org/officeDocument/2006/relationships/hyperlink" Target="https://drive.google.com/open?id=1aCEUR_6aUmRp26d0Su4BvT9rDrYzZwla&amp;usp=drive_fs" TargetMode="External"/><Relationship Id="rId1540" Type="http://schemas.openxmlformats.org/officeDocument/2006/relationships/hyperlink" Target="https://drive.google.com/open?id=1W0XiqhuqlHu6gasTOb0JvbFcXSD9bYEB&amp;authuser=jay.agg%40gmail.com&amp;usp=drive_fs" TargetMode="External"/><Relationship Id="rId1541" Type="http://schemas.openxmlformats.org/officeDocument/2006/relationships/hyperlink" Target="https://drive.google.com/open?id=1W4dIq4ve52YcyBHL5SlGfNPxNSXsPMNx&amp;authuser=jay.agg%40gmail.com&amp;usp=drive_fs" TargetMode="External"/><Relationship Id="rId1542" Type="http://schemas.openxmlformats.org/officeDocument/2006/relationships/hyperlink" Target="https://drive.google.com/open?id=1W6f_vCAMuG37be0jZF_jqzvvPw_kgr06&amp;authuser=jay.agg%40gmail.com&amp;usp=drive_fs" TargetMode="External"/><Relationship Id="rId590" Type="http://schemas.openxmlformats.org/officeDocument/2006/relationships/hyperlink" Target="https://drive.google.com/open?id=1BE9TUqxWXCZYWZmnGbvcgOFyNUACilgB&amp;usp=drive_fs" TargetMode="External"/><Relationship Id="rId107" Type="http://schemas.openxmlformats.org/officeDocument/2006/relationships/hyperlink" Target="https://drive.google.com/open?id=1XLJ010eFFtn3EzdeChDJs_LMcOt8ZmsX&amp;authuser=jay.agg%40gmail.com&amp;usp=drive_fs" TargetMode="External"/><Relationship Id="rId106" Type="http://schemas.openxmlformats.org/officeDocument/2006/relationships/hyperlink" Target="https://drive.google.com/open?id=1XOl_6Mx1H56YgfnMdCHEhZ56dn7qN8J-&amp;authuser=jay.agg%40gmail.com&amp;usp=drive_fs" TargetMode="External"/><Relationship Id="rId105" Type="http://schemas.openxmlformats.org/officeDocument/2006/relationships/hyperlink" Target="https://drive.google.com/open?id=1XKS54q27cyK3ZFAxyAwuDlDzL9uay8tM&amp;authuser=jay.agg%40gmail.com&amp;usp=drive_fs" TargetMode="External"/><Relationship Id="rId589" Type="http://schemas.openxmlformats.org/officeDocument/2006/relationships/hyperlink" Target="https://drive.google.com/open?id=1BCfjhiPbDXjBT0n75qNnJvxcY6rLt9Qx&amp;usp=drive_fs" TargetMode="External"/><Relationship Id="rId104" Type="http://schemas.openxmlformats.org/officeDocument/2006/relationships/hyperlink" Target="https://drive.google.com/open?id=1XJij-6Q3hC_KUcvzWgC4yUpfVD5MkEjJ&amp;authuser=jay.agg%40gmail.com&amp;usp=drive_fs" TargetMode="External"/><Relationship Id="rId588" Type="http://schemas.openxmlformats.org/officeDocument/2006/relationships/hyperlink" Target="https://drive.google.com/open?id=1RqArPyA1zFwvIMG-oQWTcdiSaDgra4Jz&amp;usp=drive_fs" TargetMode="External"/><Relationship Id="rId109" Type="http://schemas.openxmlformats.org/officeDocument/2006/relationships/hyperlink" Target="https://drive.google.com/open?id=1bQv2C87uEmZL8TFVHls7MtybCweRqpiq&amp;authuser=jay.agg%40gmail.com&amp;usp=drive_fs" TargetMode="External"/><Relationship Id="rId1170" Type="http://schemas.openxmlformats.org/officeDocument/2006/relationships/hyperlink" Target="https://drive.google.com/open?id=1XnYOYuxtwHDxkf2c_6R4dOR0f0wH2jWr&amp;authuser=jay.agg%40gmail.com&amp;usp=drive_fs" TargetMode="External"/><Relationship Id="rId108" Type="http://schemas.openxmlformats.org/officeDocument/2006/relationships/hyperlink" Target="https://drive.google.com/open?id=1RLK3iHCpKWknzjPkHTyHlq6o67WeGlzs&amp;authuser=jay.agg%40gmail.com&amp;usp=drive_fs" TargetMode="External"/><Relationship Id="rId1171" Type="http://schemas.openxmlformats.org/officeDocument/2006/relationships/hyperlink" Target="https://drive.google.com/open?id=1ucWiMYWr_mmLlCZd-016Gh_IeMaI_hbW&amp;authuser=jay.agg%40gmail.com&amp;usp=drive_fs" TargetMode="External"/><Relationship Id="rId583" Type="http://schemas.openxmlformats.org/officeDocument/2006/relationships/hyperlink" Target="https://drive.google.com/open?id=1Qu275nkuDgTS7urauvuRBGIVTS3hzVHh&amp;usp=drive_fs" TargetMode="External"/><Relationship Id="rId1172" Type="http://schemas.openxmlformats.org/officeDocument/2006/relationships/hyperlink" Target="https://drive.google.com/open?id=1uce8EPMQnla54Pd2-t7qqiCsvTkNvd5j&amp;authuser=jay.agg%40gmail.com&amp;usp=drive_fs" TargetMode="External"/><Relationship Id="rId582" Type="http://schemas.openxmlformats.org/officeDocument/2006/relationships/hyperlink" Target="https://drive.google.com/open?id=1Qh3ijcyUcqVd1XVTh7zw0wErTVdf5X1q&amp;usp=drive_fs" TargetMode="External"/><Relationship Id="rId1173" Type="http://schemas.openxmlformats.org/officeDocument/2006/relationships/hyperlink" Target="https://drive.google.com/open?id=1LAdBjKHaQIlc1sPglFlkHbBdGXnlxrjE&amp;authuser=jay.agg%40gmail.com&amp;usp=drive_fs" TargetMode="External"/><Relationship Id="rId581" Type="http://schemas.openxmlformats.org/officeDocument/2006/relationships/hyperlink" Target="https://drive.google.com/open?id=187xWmykLzhij8LNE5ryLW4K_2jI_iPgO&amp;usp=drive_fs" TargetMode="External"/><Relationship Id="rId1174" Type="http://schemas.openxmlformats.org/officeDocument/2006/relationships/hyperlink" Target="https://drive.google.com/open?id=1LAdBjKHaQIlc1sPglFlkHbBdGXnlxrjE&amp;authuser=jay.agg%40gmail.com&amp;usp=drive_fs" TargetMode="External"/><Relationship Id="rId580" Type="http://schemas.openxmlformats.org/officeDocument/2006/relationships/hyperlink" Target="https://drive.google.com/open?id=1871TKfxhD4cXTiHo6P8oouSTIo3fc_Ik&amp;usp=drive_fs" TargetMode="External"/><Relationship Id="rId1175" Type="http://schemas.openxmlformats.org/officeDocument/2006/relationships/hyperlink" Target="https://drive.google.com/open?id=1V8y_N3GAYGSBodz97XAGbXOO4etDpgut&amp;authuser=jay.agg%40gmail.com&amp;usp=drive_fs" TargetMode="External"/><Relationship Id="rId103" Type="http://schemas.openxmlformats.org/officeDocument/2006/relationships/hyperlink" Target="https://drive.google.com/open?id=1XAADA-h3Mpav5Ua_w9VOFvaGqADLdgE3&amp;authuser=jay.agg%40gmail.com&amp;usp=drive_fs" TargetMode="External"/><Relationship Id="rId587" Type="http://schemas.openxmlformats.org/officeDocument/2006/relationships/hyperlink" Target="https://drive.google.com/open?id=1R9MPkTRd3bj8TMGYsSERrLjaO3hn9ynP&amp;usp=drive_fs" TargetMode="External"/><Relationship Id="rId1176" Type="http://schemas.openxmlformats.org/officeDocument/2006/relationships/hyperlink" Target="https://drive.google.com/open?id=1VB_sDmRhMLUMMpiQ-7NIn-CVOUOKhlip&amp;authuser=jay.agg%40gmail.com&amp;usp=drive_fs" TargetMode="External"/><Relationship Id="rId102" Type="http://schemas.openxmlformats.org/officeDocument/2006/relationships/hyperlink" Target="https://drive.google.com/open?id=1X6CvK05925P3I059K-7edqlT-ZxbVW6K&amp;authuser=jay.agg%40gmail.com&amp;usp=drive_fs" TargetMode="External"/><Relationship Id="rId586" Type="http://schemas.openxmlformats.org/officeDocument/2006/relationships/hyperlink" Target="https://drive.google.com/open?id=19kxjgfVI7pY14-wi5635oqd4sWj0bBIz&amp;usp=drive_fs" TargetMode="External"/><Relationship Id="rId1177" Type="http://schemas.openxmlformats.org/officeDocument/2006/relationships/hyperlink" Target="https://drive.google.com/open?id=1bEXMrQuBmwS5wMpb3nK1aZOFV21mDnmB&amp;authuser=jay.agg%40gmail.com&amp;usp=drive_fs" TargetMode="External"/><Relationship Id="rId101" Type="http://schemas.openxmlformats.org/officeDocument/2006/relationships/hyperlink" Target="https://drive.google.com/open?id=1WyO9ygAuueHvi7lhxQa2NxWtb5s3vArU&amp;authuser=jay.agg%40gmail.com&amp;usp=drive_fs" TargetMode="External"/><Relationship Id="rId585" Type="http://schemas.openxmlformats.org/officeDocument/2006/relationships/hyperlink" Target="https://drive.google.com/open?id=19k0CayZblb7CJlAucRFPaU1gDv37GiqR&amp;usp=drive_fs" TargetMode="External"/><Relationship Id="rId1178" Type="http://schemas.openxmlformats.org/officeDocument/2006/relationships/hyperlink" Target="https://drive.google.com/open?id=16DOHyXOSxt-3_1uStMtO1rpwoLPVqnjv&amp;authuser=jay.agg%40gmail.com&amp;usp=drive_fs" TargetMode="External"/><Relationship Id="rId100" Type="http://schemas.openxmlformats.org/officeDocument/2006/relationships/hyperlink" Target="https://drive.google.com/open?id=1Wotz1_nNCs2NVrPrJusoJsRSpeLedTLB&amp;authuser=jay.agg%40gmail.com&amp;usp=drive_fs" TargetMode="External"/><Relationship Id="rId584" Type="http://schemas.openxmlformats.org/officeDocument/2006/relationships/hyperlink" Target="https://drive.google.com/open?id=19ijkkbe5TdqmQDAdRAin1ZgPLxPbFXhh&amp;usp=drive_fs" TargetMode="External"/><Relationship Id="rId1179" Type="http://schemas.openxmlformats.org/officeDocument/2006/relationships/hyperlink" Target="https://drive.google.com/open?id=1-sRDVUAsurfp1z68qsvNq88bS9xHEH8n&amp;authuser=jay.agg%40gmail.com&amp;usp=drive_fs" TargetMode="External"/><Relationship Id="rId1169" Type="http://schemas.openxmlformats.org/officeDocument/2006/relationships/hyperlink" Target="https://drive.google.com/open?id=1XsvL0sW8bfLftSRiQluO4aaIWEmzYt48&amp;authuser=jay.agg%40gmail.com&amp;usp=drive_fs" TargetMode="External"/><Relationship Id="rId579" Type="http://schemas.openxmlformats.org/officeDocument/2006/relationships/hyperlink" Target="https://drive.google.com/open?id=17xTLYhDbkSn4Elpnc52RSLsCzZ2TtBJs&amp;usp=drive_fs" TargetMode="External"/><Relationship Id="rId578" Type="http://schemas.openxmlformats.org/officeDocument/2006/relationships/hyperlink" Target="https://drive.google.com/open?id=17vW21R5RcSIaWUaEOon9VtLcFyi93hBA&amp;usp=drive_fs" TargetMode="External"/><Relationship Id="rId577" Type="http://schemas.openxmlformats.org/officeDocument/2006/relationships/hyperlink" Target="https://drive.google.com/open?id=17rVKvL95B054GiOQNHp4AyOKFxLBwqbq&amp;usp=drive_fs" TargetMode="External"/><Relationship Id="rId1160" Type="http://schemas.openxmlformats.org/officeDocument/2006/relationships/hyperlink" Target="https://drive.google.com/open?id=1-16c5viRDTAozDTnHrPsfgXdZhFQ6nyf&amp;usp=drive_fs" TargetMode="External"/><Relationship Id="rId572" Type="http://schemas.openxmlformats.org/officeDocument/2006/relationships/hyperlink" Target="https://drive.google.com/open?id=16Q96V1feabBgs7eIxi-ZJCjHgsIdJ5KZ&amp;usp=drive_fs" TargetMode="External"/><Relationship Id="rId1161" Type="http://schemas.openxmlformats.org/officeDocument/2006/relationships/hyperlink" Target="https://drive.google.com/open?id=10TdVob68TA08qHvPOTrFUTFm1J7USNBq&amp;usp=drive_fs" TargetMode="External"/><Relationship Id="rId571" Type="http://schemas.openxmlformats.org/officeDocument/2006/relationships/hyperlink" Target="https://drive.google.com/open?id=1OroAPDC7A4dYPek1wjcoad4p-9i28SdX&amp;usp=drive_fs" TargetMode="External"/><Relationship Id="rId1162" Type="http://schemas.openxmlformats.org/officeDocument/2006/relationships/hyperlink" Target="https://drive.google.com/open?id=10hz4BWKLk-weRC6GND1qwbz0WSrKMB5i&amp;usp=drive_fs" TargetMode="External"/><Relationship Id="rId570" Type="http://schemas.openxmlformats.org/officeDocument/2006/relationships/hyperlink" Target="https://drive.google.com/open?id=1OrBIFvgyncYltJ_gSjtm61AzXTOFGtZg&amp;usp=drive_fs" TargetMode="External"/><Relationship Id="rId1163" Type="http://schemas.openxmlformats.org/officeDocument/2006/relationships/hyperlink" Target="https://drive.google.com/open?id=10oPuzGTFkTPT4jhRFCWOBwtCuMO0XTMV&amp;usp=drive_fs" TargetMode="External"/><Relationship Id="rId1164" Type="http://schemas.openxmlformats.org/officeDocument/2006/relationships/hyperlink" Target="https://drive.google.com/open?id=1d_mDqe4Y6-QGkTSvZyKD_DApDIqvX1Vu&amp;usp=drive_fs" TargetMode="External"/><Relationship Id="rId576" Type="http://schemas.openxmlformats.org/officeDocument/2006/relationships/hyperlink" Target="https://drive.google.com/open?id=1OxqcURsGqpUwl_9jsixsaQ7AHjd0BiS_&amp;usp=drive_fs" TargetMode="External"/><Relationship Id="rId1165" Type="http://schemas.openxmlformats.org/officeDocument/2006/relationships/hyperlink" Target="https://drive.google.com/open?id=1hXYsZDpW2jiQGmuawjFB_viq2zn_XJEe&amp;usp=drive_fs" TargetMode="External"/><Relationship Id="rId575" Type="http://schemas.openxmlformats.org/officeDocument/2006/relationships/hyperlink" Target="https://drive.google.com/open?id=16wxH_H-B2vHyNn_Ku_AnHBdIHVTxY_n4&amp;usp=drive_fs" TargetMode="External"/><Relationship Id="rId1166" Type="http://schemas.openxmlformats.org/officeDocument/2006/relationships/hyperlink" Target="https://drive.google.com/open?id=1ElNmuZgjfXk_oQuxqKo6JsAGQr3toI8J&amp;usp=drive_fs" TargetMode="External"/><Relationship Id="rId574" Type="http://schemas.openxmlformats.org/officeDocument/2006/relationships/hyperlink" Target="https://drive.google.com/open?id=1OuCiURMsc0FJ6FZStZt9eTCwbNaQWQQh&amp;usp=drive_fs" TargetMode="External"/><Relationship Id="rId1167" Type="http://schemas.openxmlformats.org/officeDocument/2006/relationships/hyperlink" Target="https://drive.google.com/open?id=1MQCRYtSibVOLlKv41Vuxod0ajQq3Rzpq&amp;authuser=jay.agg%40gmail.com&amp;usp=drive_fs" TargetMode="External"/><Relationship Id="rId573" Type="http://schemas.openxmlformats.org/officeDocument/2006/relationships/hyperlink" Target="https://drive.google.com/open?id=16daeH6OjYrMKjRoXZGIgUCBt6dDR7x26&amp;usp=drive_fs" TargetMode="External"/><Relationship Id="rId1168" Type="http://schemas.openxmlformats.org/officeDocument/2006/relationships/hyperlink" Target="https://drive.google.com/open?id=1MVv3zUN31g-DlY1zt5Dfd9aCDM6EJyfp&amp;authuser=jay.agg%40gmail.com&amp;usp=drive_fs" TargetMode="External"/><Relationship Id="rId129" Type="http://schemas.openxmlformats.org/officeDocument/2006/relationships/hyperlink" Target="https://drive.google.com/open?id=11xvD61LR3RW9oPm7qvf5z5dN8oBlu5y_&amp;authuser=jay.agg%40gmail.com&amp;usp=drive_fs" TargetMode="External"/><Relationship Id="rId128" Type="http://schemas.openxmlformats.org/officeDocument/2006/relationships/hyperlink" Target="https://drive.google.com/open?id=11wNXysck6ewecK9kz5pqnql9mCz_xXqa&amp;authuser=jay.agg%40gmail.com&amp;usp=drive_fs" TargetMode="External"/><Relationship Id="rId127" Type="http://schemas.openxmlformats.org/officeDocument/2006/relationships/hyperlink" Target="https://drive.google.com/open?id=11wBJFt1nA3tR6evtdoax0XfE3EKxF2BT&amp;authuser=jay.agg%40gmail.com&amp;usp=drive_fs" TargetMode="External"/><Relationship Id="rId126" Type="http://schemas.openxmlformats.org/officeDocument/2006/relationships/hyperlink" Target="https://drive.google.com/open?id=10qnNFqngacoP1Zrl-C5aIoYJCgebnpp5&amp;authuser=jay.agg%40gmail.com&amp;usp=drive_fs" TargetMode="External"/><Relationship Id="rId1190" Type="http://schemas.openxmlformats.org/officeDocument/2006/relationships/hyperlink" Target="https://drive.google.com/open?id=1VLY6ck-ImzYvb9d3zRM95dLIti8ZKSbY&amp;authuser=jay.agg%40gmail.com&amp;usp=drive_fs" TargetMode="External"/><Relationship Id="rId1191" Type="http://schemas.openxmlformats.org/officeDocument/2006/relationships/hyperlink" Target="https://drive.google.com/open?id=1VLupmqgbBjy4Y0BeibjqJEEbTjFwX0qe&amp;authuser=jay.agg%40gmail.com&amp;usp=drive_fs" TargetMode="External"/><Relationship Id="rId1192" Type="http://schemas.openxmlformats.org/officeDocument/2006/relationships/hyperlink" Target="https://drive.google.com/open?id=1VOSyAuZn8Ew3AzWLgWUMxF5uHddDGzSs&amp;authuser=jay.agg%40gmail.com&amp;usp=drive_fs" TargetMode="External"/><Relationship Id="rId1193" Type="http://schemas.openxmlformats.org/officeDocument/2006/relationships/hyperlink" Target="https://drive.google.com/open?id=1VXyvllD1qv3s9Wq9HM-ioYhThRSguORG&amp;authuser=jay.agg%40gmail.com&amp;usp=drive_fs" TargetMode="External"/><Relationship Id="rId121" Type="http://schemas.openxmlformats.org/officeDocument/2006/relationships/hyperlink" Target="https://drive.google.com/open?id=1BjCNakaAKYzXSOcZRrei5FMc1ytwRK12&amp;authuser=jay.agg%40gmail.com&amp;usp=drive_fs" TargetMode="External"/><Relationship Id="rId1194" Type="http://schemas.openxmlformats.org/officeDocument/2006/relationships/hyperlink" Target="https://drive.google.com/open?id=1AT8COyVu1i54kTQbeZJnxYi8bjYPzfhK&amp;authuser=jay.agg%40gmail.com&amp;usp=drive_fs" TargetMode="External"/><Relationship Id="rId120" Type="http://schemas.openxmlformats.org/officeDocument/2006/relationships/hyperlink" Target="https://drive.google.com/open?id=1Bh5ohrNIS0PCZEcxiPwUNrE5QjLBXnpq&amp;authuser=jay.agg%40gmail.com&amp;usp=drive_fs" TargetMode="External"/><Relationship Id="rId1195" Type="http://schemas.openxmlformats.org/officeDocument/2006/relationships/hyperlink" Target="https://drive.google.com/open?id=1AT8COyVu1i54kTQbeZJnxYi8bjYPzfhK&amp;authuser=jay.agg%40gmail.com&amp;usp=drive_fs" TargetMode="External"/><Relationship Id="rId1196" Type="http://schemas.openxmlformats.org/officeDocument/2006/relationships/hyperlink" Target="https://drive.google.com/open?id=1AT8COyVu1i54kTQbeZJnxYi8bjYPzfhK&amp;authuser=jay.agg%40gmail.com&amp;usp=drive_fs" TargetMode="External"/><Relationship Id="rId1197" Type="http://schemas.openxmlformats.org/officeDocument/2006/relationships/hyperlink" Target="https://drive.google.com/open?id=1AT8COyVu1i54kTQbeZJnxYi8bjYPzfhK&amp;authuser=jay.agg%40gmail.com&amp;usp=drive_fs" TargetMode="External"/><Relationship Id="rId125" Type="http://schemas.openxmlformats.org/officeDocument/2006/relationships/hyperlink" Target="https://drive.google.com/open?id=10qX7ocYHxhgBAigGdOB6O7dHj_9YUWHR&amp;authuser=jay.agg%40gmail.com&amp;usp=drive_fs" TargetMode="External"/><Relationship Id="rId1198" Type="http://schemas.openxmlformats.org/officeDocument/2006/relationships/hyperlink" Target="https://drive.google.com/open?id=1AT8COyVu1i54kTQbeZJnxYi8bjYPzfhK&amp;authuser=jay.agg%40gmail.com&amp;usp=drive_fs" TargetMode="External"/><Relationship Id="rId124" Type="http://schemas.openxmlformats.org/officeDocument/2006/relationships/hyperlink" Target="https://drive.google.com/open?id=10ivGXp1vhK34ZEZ3rbO5jypTddyeQrL5&amp;authuser=jay.agg%40gmail.com&amp;usp=drive_fs" TargetMode="External"/><Relationship Id="rId1199" Type="http://schemas.openxmlformats.org/officeDocument/2006/relationships/hyperlink" Target="https://drive.google.com/open?id=1RJ8kBYWBSZCOsfikzFTQDA4CWZxt8ssy&amp;authuser=jay.agg%40gmail.com&amp;usp=drive_fs" TargetMode="External"/><Relationship Id="rId123" Type="http://schemas.openxmlformats.org/officeDocument/2006/relationships/hyperlink" Target="https://drive.google.com/open?id=1Jan-7hFCPxYeasjzWT2p1BdeUFpFRdEC&amp;authuser=jay.agg%40gmail.com&amp;usp=drive_fs" TargetMode="External"/><Relationship Id="rId122" Type="http://schemas.openxmlformats.org/officeDocument/2006/relationships/hyperlink" Target="https://drive.google.com/open?id=103HtRAhuWwotV7x4Ki1hOiKuQkbVHviP&amp;authuser=jay.agg%40gmail.com&amp;usp=drive_fs" TargetMode="External"/><Relationship Id="rId118" Type="http://schemas.openxmlformats.org/officeDocument/2006/relationships/hyperlink" Target="https://drive.google.com/open?id=1A8lyyuemJZsn0FYQHlZFBYVy2dynzMEr&amp;authuser=jay.agg%40gmail.com&amp;usp=drive_fs" TargetMode="External"/><Relationship Id="rId117" Type="http://schemas.openxmlformats.org/officeDocument/2006/relationships/hyperlink" Target="https://drive.google.com/open?id=1A6tNz8-oPdOBSOzxVrN4BfyTwlB7jFyr&amp;authuser=jay.agg%40gmail.com&amp;usp=drive_fs" TargetMode="External"/><Relationship Id="rId116" Type="http://schemas.openxmlformats.org/officeDocument/2006/relationships/hyperlink" Target="https://drive.google.com/open?id=1imODLTlxrS6O93vaoqMeHcu84F3vIJ63&amp;authuser=jay.agg%40gmail.com&amp;usp=drive_fs" TargetMode="External"/><Relationship Id="rId115" Type="http://schemas.openxmlformats.org/officeDocument/2006/relationships/hyperlink" Target="https://drive.google.com/open?id=1fR6qIMQtWiERHUaNJL37KgKJW7ZR7dqd&amp;authuser=jay.agg%40gmail.com&amp;usp=drive_fs" TargetMode="External"/><Relationship Id="rId599" Type="http://schemas.openxmlformats.org/officeDocument/2006/relationships/hyperlink" Target="https://drive.google.com/open?id=1TD79oGzdrZLTlJD3fXsld000M-ehS73M&amp;usp=drive_fs" TargetMode="External"/><Relationship Id="rId1180" Type="http://schemas.openxmlformats.org/officeDocument/2006/relationships/hyperlink" Target="https://drive.google.com/open?id=10ncXLWaN-FH0Wijq1vXo0Gzb5KgUCtKF&amp;authuser=jay.agg%40gmail.com&amp;usp=drive_fs" TargetMode="External"/><Relationship Id="rId1181" Type="http://schemas.openxmlformats.org/officeDocument/2006/relationships/hyperlink" Target="https://drive.google.com/open?id=1UsJ_jRsmsJxNbRL4cSf6PCv_XjsbVDjZ&amp;authuser=jay.agg%40gmail.com&amp;usp=drive_fs" TargetMode="External"/><Relationship Id="rId119" Type="http://schemas.openxmlformats.org/officeDocument/2006/relationships/hyperlink" Target="https://drive.google.com/open?id=1AAyR2gvLloT_O4mbMGIKW4_90oGPj-fn&amp;authuser=jay.agg%40gmail.com&amp;usp=drive_fs" TargetMode="External"/><Relationship Id="rId1182" Type="http://schemas.openxmlformats.org/officeDocument/2006/relationships/hyperlink" Target="https://drive.google.com/open?id=1UtuWirvgvbqa9z_rB9pCG60cZLHA8RKB&amp;authuser=jay.agg%40gmail.com&amp;usp=drive_fs" TargetMode="External"/><Relationship Id="rId110" Type="http://schemas.openxmlformats.org/officeDocument/2006/relationships/hyperlink" Target="https://drive.google.com/open?id=1SMaW-SDPc-uH9b6W33r_sov9TOVWHQOr&amp;authuser=jay.agg%40gmail.com&amp;usp=drive_fs" TargetMode="External"/><Relationship Id="rId594" Type="http://schemas.openxmlformats.org/officeDocument/2006/relationships/hyperlink" Target="https://drive.google.com/open?id=1C7wp0NYnbUoLCj0ORUGBYSzwC4Wt-4vH&amp;usp=drive_fs" TargetMode="External"/><Relationship Id="rId1183" Type="http://schemas.openxmlformats.org/officeDocument/2006/relationships/hyperlink" Target="https://drive.google.com/open?id=1UwpFIJftj8RuUkmFCZHn1pw-Rhy401kP&amp;authuser=jay.agg%40gmail.com&amp;usp=drive_fs" TargetMode="External"/><Relationship Id="rId593" Type="http://schemas.openxmlformats.org/officeDocument/2006/relationships/hyperlink" Target="https://drive.google.com/open?id=1BcNEeSBcEXzER1SjNG0uGFYb0zy44SR3&amp;usp=drive_fs" TargetMode="External"/><Relationship Id="rId1184" Type="http://schemas.openxmlformats.org/officeDocument/2006/relationships/hyperlink" Target="https://drive.google.com/open?id=1UyuhrlzKPrrBVaEb2AqkfwZQdFczO0aq&amp;authuser=jay.agg%40gmail.com&amp;usp=drive_fs" TargetMode="External"/><Relationship Id="rId592" Type="http://schemas.openxmlformats.org/officeDocument/2006/relationships/hyperlink" Target="https://drive.google.com/open?id=1BNiOolrr6My7R4xcgIM4Ied9Bj09tn9Z&amp;usp=drive_fs" TargetMode="External"/><Relationship Id="rId1185" Type="http://schemas.openxmlformats.org/officeDocument/2006/relationships/hyperlink" Target="https://drive.google.com/open?id=1UzQGaq0zWfLAl-tKyK4lAyunLxwuTRHx&amp;authuser=jay.agg%40gmail.com&amp;usp=drive_fs" TargetMode="External"/><Relationship Id="rId591" Type="http://schemas.openxmlformats.org/officeDocument/2006/relationships/hyperlink" Target="https://drive.google.com/open?id=1BLCrB9DhuerLJ5YzPQ-n-ZhjsqkbNfFW&amp;usp=drive_fs" TargetMode="External"/><Relationship Id="rId1186" Type="http://schemas.openxmlformats.org/officeDocument/2006/relationships/hyperlink" Target="https://drive.google.com/open?id=1VF-8dpQdWAmaSPY9w5XC3eFXPHOdTPHF&amp;authuser=jay.agg%40gmail.com&amp;usp=drive_fs" TargetMode="External"/><Relationship Id="rId114" Type="http://schemas.openxmlformats.org/officeDocument/2006/relationships/hyperlink" Target="https://drive.google.com/open?id=1fPDHSEEgxm6cu__iL1BiCDwBTJMULsl5&amp;authuser=jay.agg%40gmail.com&amp;usp=drive_fs" TargetMode="External"/><Relationship Id="rId598" Type="http://schemas.openxmlformats.org/officeDocument/2006/relationships/hyperlink" Target="https://drive.google.com/open?id=1TCIj-rPSeAQ3T1jb5cDjjzRur5xzFh0D&amp;usp=drive_fs" TargetMode="External"/><Relationship Id="rId1187" Type="http://schemas.openxmlformats.org/officeDocument/2006/relationships/hyperlink" Target="https://drive.google.com/open?id=1VEyoZV9A5qhFQOc_bXkpriTUOqxTYzLN&amp;authuser=jay.agg%40gmail.com&amp;usp=drive_fs" TargetMode="External"/><Relationship Id="rId113" Type="http://schemas.openxmlformats.org/officeDocument/2006/relationships/hyperlink" Target="https://drive.google.com/open?id=1f76ufCIKWq2jDPAuOc6GZSowe1tuE3R9&amp;authuser=jay.agg%40gmail.com&amp;usp=drive_fs" TargetMode="External"/><Relationship Id="rId597" Type="http://schemas.openxmlformats.org/officeDocument/2006/relationships/hyperlink" Target="https://drive.google.com/open?id=1I6Hx_0B2Xy1QmC598d2LxymN1T8vI8gb&amp;usp=drive_fs" TargetMode="External"/><Relationship Id="rId1188" Type="http://schemas.openxmlformats.org/officeDocument/2006/relationships/hyperlink" Target="https://drive.google.com/open?id=1VIpVwW_ZgeuKgeyotzi4HqWLtuTfQBOp&amp;authuser=jay.agg%40gmail.com&amp;usp=drive_fs" TargetMode="External"/><Relationship Id="rId112" Type="http://schemas.openxmlformats.org/officeDocument/2006/relationships/hyperlink" Target="https://drive.google.com/open?id=1eKVzyCDvBnoZBqvIN6bCkPCXBLjMkFKE&amp;authuser=jay.agg%40gmail.com&amp;usp=drive_fs" TargetMode="External"/><Relationship Id="rId596" Type="http://schemas.openxmlformats.org/officeDocument/2006/relationships/hyperlink" Target="https://drive.google.com/open?id=1CIBJ6PVGLE9B-K5MEXIX269hfDPM9e8i&amp;usp=drive_fs" TargetMode="External"/><Relationship Id="rId1189" Type="http://schemas.openxmlformats.org/officeDocument/2006/relationships/hyperlink" Target="https://drive.google.com/open?id=1VKGMoXrTkgLyo3ES8tESi-lMYrXaXO3t&amp;authuser=jay.agg%40gmail.com&amp;usp=drive_fs" TargetMode="External"/><Relationship Id="rId111" Type="http://schemas.openxmlformats.org/officeDocument/2006/relationships/hyperlink" Target="https://drive.google.com/open?id=1SMcTAGbtRAzCc3Who4ruCrdkpKO5g719&amp;authuser=jay.agg%40gmail.com&amp;usp=drive_fs" TargetMode="External"/><Relationship Id="rId595" Type="http://schemas.openxmlformats.org/officeDocument/2006/relationships/hyperlink" Target="https://drive.google.com/open?id=1CE_VbBoMX-A-oWg0PRxOrGg8tzmU0I1n&amp;usp=drive_fs" TargetMode="External"/><Relationship Id="rId1136" Type="http://schemas.openxmlformats.org/officeDocument/2006/relationships/hyperlink" Target="https://drive.google.com/open?id=1-dnkaE3JqGRCoaXhHXd-SsVffqLLplpu&amp;usp=drive_fs" TargetMode="External"/><Relationship Id="rId1137" Type="http://schemas.openxmlformats.org/officeDocument/2006/relationships/hyperlink" Target="https://drive.google.com/open?id=160nMxST03MeYTvCOCyVror80KMBQeeR2&amp;usp=drive_fs" TargetMode="External"/><Relationship Id="rId1138" Type="http://schemas.openxmlformats.org/officeDocument/2006/relationships/hyperlink" Target="https://drive.google.com/open?id=163DP4gNBjXvtp1PIwgI-x12dSCihcgMB&amp;usp=drive_fs" TargetMode="External"/><Relationship Id="rId1139" Type="http://schemas.openxmlformats.org/officeDocument/2006/relationships/hyperlink" Target="https://drive.google.com/open?id=1OiBMBd6pWhGa6xIf_fNu5zGQo7s1CCLF&amp;usp=drive_fs" TargetMode="External"/><Relationship Id="rId547" Type="http://schemas.openxmlformats.org/officeDocument/2006/relationships/hyperlink" Target="https://drive.google.com/open?id=1dLzlu1hdzm0lTF0jKspGn9OCeU8P-0qy&amp;authuser=jay.agg%40gmail.com&amp;usp=drive_fs" TargetMode="External"/><Relationship Id="rId546" Type="http://schemas.openxmlformats.org/officeDocument/2006/relationships/hyperlink" Target="https://drive.google.com/open?id=17R65lEkZg_lAJHShsZpzWuEjCNPWNfjL&amp;authuser=jay.agg%40gmail.com&amp;usp=drive_fs" TargetMode="External"/><Relationship Id="rId545" Type="http://schemas.openxmlformats.org/officeDocument/2006/relationships/hyperlink" Target="https://drive.google.com/open?id=16RD4nheWNq-8N3AXZExFHfMqKq_bjMnn&amp;authuser=jay.agg%40gmail.com&amp;usp=drive_fs" TargetMode="External"/><Relationship Id="rId544" Type="http://schemas.openxmlformats.org/officeDocument/2006/relationships/hyperlink" Target="https://drive.google.com/open?id=15r9is-XbosBQyir20ngjdi2PtQy8iDJB&amp;authuser=jay.agg%40gmail.com&amp;usp=drive_fs" TargetMode="External"/><Relationship Id="rId549" Type="http://schemas.openxmlformats.org/officeDocument/2006/relationships/hyperlink" Target="https://drive.google.com/open?id=1eOWpN4aqpvM42tIVhG1mDNlMCsZLyGgo&amp;authuser=jay.agg%40gmail.com&amp;usp=drive_fs" TargetMode="External"/><Relationship Id="rId548" Type="http://schemas.openxmlformats.org/officeDocument/2006/relationships/hyperlink" Target="https://drive.google.com/open?id=1dkCwl8uafmMMhmuNBwjOjj-21RLigeRl&amp;authuser=jay.agg%40gmail.com&amp;usp=drive_fs" TargetMode="External"/><Relationship Id="rId1130" Type="http://schemas.openxmlformats.org/officeDocument/2006/relationships/hyperlink" Target="https://drive.google.com/open?id=1d4LH8thoMWnrJlwLXN7kuC9mMxrUBnkU&amp;authuser=jay.agg%40gmail.com&amp;usp=drive_fs" TargetMode="External"/><Relationship Id="rId1131" Type="http://schemas.openxmlformats.org/officeDocument/2006/relationships/hyperlink" Target="https://drive.google.com/open?id=1ekFCXf4uF2EOTPUCm-oziHk6Qedd-FgN&amp;authuser=jay.agg%40gmail.com&amp;usp=drive_fs" TargetMode="External"/><Relationship Id="rId543" Type="http://schemas.openxmlformats.org/officeDocument/2006/relationships/hyperlink" Target="https://drive.google.com/open?id=15lMRmZccGRak2x6YXoCIiY5p_yYiIQak&amp;authuser=jay.agg%40gmail.com&amp;usp=drive_fs" TargetMode="External"/><Relationship Id="rId1132" Type="http://schemas.openxmlformats.org/officeDocument/2006/relationships/hyperlink" Target="https://drive.google.com/open?id=1DahvWI_S0KPujPMDEft9OYzMQHr5bBC2&amp;authuser=jay.agg%40gmail.com&amp;usp=drive_fs" TargetMode="External"/><Relationship Id="rId542" Type="http://schemas.openxmlformats.org/officeDocument/2006/relationships/hyperlink" Target="https://drive.google.com/open?id=15WpUXahhLy87Qt8GgaQDyjwXDgcNjg2B&amp;authuser=jay.agg%40gmail.com&amp;usp=drive_fs" TargetMode="External"/><Relationship Id="rId1133" Type="http://schemas.openxmlformats.org/officeDocument/2006/relationships/hyperlink" Target="https://drive.google.com/open?id=1-LL_YnjOk-IwXLlRYhmC95bTW-RLah6x&amp;authuser=jay.agg%40gmail.com&amp;usp=drive_fs" TargetMode="External"/><Relationship Id="rId541" Type="http://schemas.openxmlformats.org/officeDocument/2006/relationships/hyperlink" Target="https://drive.google.com/open?id=15TrW7oScI8W_5gJI2GGg86mbPO5qy0Lf&amp;authuser=jay.agg%40gmail.com&amp;usp=drive_fs" TargetMode="External"/><Relationship Id="rId1134" Type="http://schemas.openxmlformats.org/officeDocument/2006/relationships/hyperlink" Target="https://drive.google.com/open?id=1H98Dr42-xGZpIY9CPjKuPJ4gxZthXnp6&amp;authuser=jay.agg%40gmail.com&amp;usp=drive_fs" TargetMode="External"/><Relationship Id="rId540" Type="http://schemas.openxmlformats.org/officeDocument/2006/relationships/hyperlink" Target="https://drive.google.com/open?id=1bLfJOhL2IxDo6E6TG-ZF8sMkbBGFdL43&amp;authuser=jay.agg%40gmail.com&amp;usp=drive_fs" TargetMode="External"/><Relationship Id="rId1135" Type="http://schemas.openxmlformats.org/officeDocument/2006/relationships/hyperlink" Target="https://drive.google.com/open?id=1-Q7O4YHcnZBMcNpBb_F605zC5VlEkgCN&amp;usp=drive_fs" TargetMode="External"/><Relationship Id="rId1125" Type="http://schemas.openxmlformats.org/officeDocument/2006/relationships/hyperlink" Target="https://drive.google.com/open?id=1YRjWSq0GBSuWENEWOH_TB2uYNJg-tnLj&amp;authuser=jay.agg%40gmail.com&amp;usp=drive_fs" TargetMode="External"/><Relationship Id="rId1126" Type="http://schemas.openxmlformats.org/officeDocument/2006/relationships/hyperlink" Target="https://drive.google.com/open?id=16VbhqNAZCEmxcSqUdLZMo8kJ07F4D0dx&amp;authuser=jay.agg%40gmail.com&amp;usp=drive_fs" TargetMode="External"/><Relationship Id="rId1127" Type="http://schemas.openxmlformats.org/officeDocument/2006/relationships/hyperlink" Target="https://drive.google.com/open?id=178ZR2LM7Wd0FhqR84Cx7gA2nv-UyQIf8&amp;authuser=jay.agg%40gmail.com&amp;usp=drive_fs" TargetMode="External"/><Relationship Id="rId1128" Type="http://schemas.openxmlformats.org/officeDocument/2006/relationships/hyperlink" Target="https://drive.google.com/open?id=17BGlK5WNvxgl2D7j-sH5Y4C4eS5MVXcb&amp;authuser=jay.agg%40gmail.com&amp;usp=drive_fs" TargetMode="External"/><Relationship Id="rId1129" Type="http://schemas.openxmlformats.org/officeDocument/2006/relationships/hyperlink" Target="https://drive.google.com/open?id=17DOlrTtJpAnMh9wurUpiomk0CBIXkTQ3&amp;authuser=jay.agg%40gmail.com&amp;usp=drive_fs" TargetMode="External"/><Relationship Id="rId536" Type="http://schemas.openxmlformats.org/officeDocument/2006/relationships/hyperlink" Target="https://drive.google.com/open?id=13-IEH4sPN2ozfUMYoqwqFrD-DB0xyB5E&amp;authuser=jay.agg%40gmail.com&amp;usp=drive_fs" TargetMode="External"/><Relationship Id="rId535" Type="http://schemas.openxmlformats.org/officeDocument/2006/relationships/hyperlink" Target="https://drive.google.com/open?id=1YUWOabxgOFeQHtLZ5K4bEAq8dFvA19Pe&amp;authuser=jay.agg%40gmail.com&amp;usp=drive_fs" TargetMode="External"/><Relationship Id="rId534" Type="http://schemas.openxmlformats.org/officeDocument/2006/relationships/hyperlink" Target="https://drive.google.com/open?id=1YHgL3B-JkkuFqwAuKhWQwQpMr54Slzlk&amp;authuser=jay.agg%40gmail.com&amp;usp=drive_fs" TargetMode="External"/><Relationship Id="rId533" Type="http://schemas.openxmlformats.org/officeDocument/2006/relationships/hyperlink" Target="https://drive.google.com/open?id=1YGfJLnWWnDPvu6W3e1oD8-4IYGa42vjz&amp;authuser=jay.agg%40gmail.com&amp;usp=drive_fs" TargetMode="External"/><Relationship Id="rId539" Type="http://schemas.openxmlformats.org/officeDocument/2006/relationships/hyperlink" Target="https://drive.google.com/open?id=14dXpdNp5JX1FfInNZ0_m3f1Lc7vikQyf&amp;authuser=jay.agg%40gmail.com&amp;usp=drive_fs" TargetMode="External"/><Relationship Id="rId538" Type="http://schemas.openxmlformats.org/officeDocument/2006/relationships/hyperlink" Target="https://drive.google.com/open?id=14_TTfsrrzwn9woxcZNdi1VRzZIEI5arv&amp;authuser=jay.agg%40gmail.com&amp;usp=drive_fs" TargetMode="External"/><Relationship Id="rId537" Type="http://schemas.openxmlformats.org/officeDocument/2006/relationships/hyperlink" Target="https://drive.google.com/open?id=14ZWzKxxIa3QdCUIa7gYtvbkWunUj8G88&amp;authuser=jay.agg%40gmail.com&amp;usp=drive_fs" TargetMode="External"/><Relationship Id="rId1120" Type="http://schemas.openxmlformats.org/officeDocument/2006/relationships/hyperlink" Target="https://drive.google.com/open?id=12AbeDa6erfPhtfJ9kOKWsBpFapsdq6ND&amp;authuser=jay.agg%40gmail.com&amp;usp=drive_fs" TargetMode="External"/><Relationship Id="rId532" Type="http://schemas.openxmlformats.org/officeDocument/2006/relationships/hyperlink" Target="https://drive.google.com/open?id=1YALJM6u-N0KR0ldAmeh9kUdzdBVaxLm6&amp;authuser=jay.agg%40gmail.com&amp;usp=drive_fs" TargetMode="External"/><Relationship Id="rId1121" Type="http://schemas.openxmlformats.org/officeDocument/2006/relationships/hyperlink" Target="https://drive.google.com/open?id=12AmYyGgvcGTgd6E6GsA7YzY0Cn0TbuoR&amp;authuser=jay.agg%40gmail.com&amp;usp=drive_fs" TargetMode="External"/><Relationship Id="rId531" Type="http://schemas.openxmlformats.org/officeDocument/2006/relationships/hyperlink" Target="https://drive.google.com/open?id=1Y5H_kMOe6mRSpy0Cy1q-frifYWF0schV&amp;authuser=jay.agg%40gmail.com&amp;usp=drive_fs" TargetMode="External"/><Relationship Id="rId1122" Type="http://schemas.openxmlformats.org/officeDocument/2006/relationships/hyperlink" Target="https://drive.google.com/open?id=1WtkhXZajw8MnRT7b89jNmX4llkq0a5Rl&amp;authuser=jay.agg%40gmail.com&amp;usp=drive_fs" TargetMode="External"/><Relationship Id="rId530" Type="http://schemas.openxmlformats.org/officeDocument/2006/relationships/hyperlink" Target="https://drive.google.com/open?id=1-1RXCcl5004gLp12jL_kojCs_gJpplUl&amp;authuser=jay.agg%40gmail.com&amp;usp=drive_fs" TargetMode="External"/><Relationship Id="rId1123" Type="http://schemas.openxmlformats.org/officeDocument/2006/relationships/hyperlink" Target="https://drive.google.com/open?id=1Y-rhez72TWoWfZBDirF-IZVtMudYCA91&amp;authuser=jay.agg%40gmail.com&amp;usp=drive_fs" TargetMode="External"/><Relationship Id="rId1124" Type="http://schemas.openxmlformats.org/officeDocument/2006/relationships/hyperlink" Target="https://drive.google.com/open?id=1YO2XZhcwTKKHcGDJ7IJJr_usHDUwe1ys&amp;authuser=jay.agg%40gmail.com&amp;usp=drive_fs" TargetMode="External"/><Relationship Id="rId1158" Type="http://schemas.openxmlformats.org/officeDocument/2006/relationships/hyperlink" Target="https://drive.google.com/open?id=1KkeFiNYg6uqGgov5SB0woAVKHAHI2hc5&amp;usp=drive_fs" TargetMode="External"/><Relationship Id="rId1159" Type="http://schemas.openxmlformats.org/officeDocument/2006/relationships/hyperlink" Target="https://drive.google.com/open?id=14i9hRmI4QzF0Jyn5nV1HE0o21AsR7gO9&amp;usp=drive_fs" TargetMode="External"/><Relationship Id="rId569" Type="http://schemas.openxmlformats.org/officeDocument/2006/relationships/hyperlink" Target="https://drive.google.com/open?id=13rHXmgff0LdXZKLh7LShTxyWqtH30n8r&amp;usp=drive_fs" TargetMode="External"/><Relationship Id="rId568" Type="http://schemas.openxmlformats.org/officeDocument/2006/relationships/hyperlink" Target="https://drive.google.com/open?id=1MgSqgKmIU--BGTxdAPY7JQUcbnF-yg6k&amp;usp=drive_fs" TargetMode="External"/><Relationship Id="rId567" Type="http://schemas.openxmlformats.org/officeDocument/2006/relationships/hyperlink" Target="https://drive.google.com/open?id=1McFWsEgGErptZThXBzszq3gZoy2Vycc8&amp;usp=drive_fs" TargetMode="External"/><Relationship Id="rId566" Type="http://schemas.openxmlformats.org/officeDocument/2006/relationships/hyperlink" Target="https://drive.google.com/open?id=11RtUeSZ7xnzviYd7EqAJ-HWLFDVdg05_&amp;usp=drive_fs" TargetMode="External"/><Relationship Id="rId561" Type="http://schemas.openxmlformats.org/officeDocument/2006/relationships/hyperlink" Target="https://drive.google.com/open?id=1KHDy4nxo9RhzVE9nG63xlQA1p4BKSSNL&amp;usp=drive_fs" TargetMode="External"/><Relationship Id="rId1150" Type="http://schemas.openxmlformats.org/officeDocument/2006/relationships/hyperlink" Target="https://drive.google.com/open?id=1TZZ2hHKKC59-SZn3f6kQmLr2dpcNuO3d&amp;usp=drive_fs" TargetMode="External"/><Relationship Id="rId560" Type="http://schemas.openxmlformats.org/officeDocument/2006/relationships/hyperlink" Target="https://drive.google.com/open?id=1NQHm3TgrrgGhqQkgYV5Bqf3u-8f1Eb_h&amp;usp=drive_fs" TargetMode="External"/><Relationship Id="rId1151" Type="http://schemas.openxmlformats.org/officeDocument/2006/relationships/hyperlink" Target="https://drive.google.com/open?id=1KkeFiNYg6uqGgov5SB0woAVKHAHI2hc5&amp;usp=drive_fs" TargetMode="External"/><Relationship Id="rId1152" Type="http://schemas.openxmlformats.org/officeDocument/2006/relationships/hyperlink" Target="https://drive.google.com/open?id=1Kv597v7WsF3ZgMrFsLEHGe31_66-i-2H&amp;usp=drive_fs" TargetMode="External"/><Relationship Id="rId1153" Type="http://schemas.openxmlformats.org/officeDocument/2006/relationships/hyperlink" Target="https://drive.google.com/open?id=1-tYOanmmgWUQeAjR5yhb4mufS1Up8igb&amp;usp=drive_fs" TargetMode="External"/><Relationship Id="rId565" Type="http://schemas.openxmlformats.org/officeDocument/2006/relationships/hyperlink" Target="https://drive.google.com/open?id=1NQHm3TgrrgGhqQkgYV5Bqf3u-8f1Eb_h&amp;usp=drive_fs" TargetMode="External"/><Relationship Id="rId1154" Type="http://schemas.openxmlformats.org/officeDocument/2006/relationships/hyperlink" Target="https://drive.google.com/open?id=13KbV0afuPYgDjMP1RAdPJfZ8H3Sisl_p&amp;usp=drive_fs" TargetMode="External"/><Relationship Id="rId564" Type="http://schemas.openxmlformats.org/officeDocument/2006/relationships/hyperlink" Target="https://drive.google.com/open?id=1KnxP-OcN8emorIvIxEWaxaLbWfvGMnZx&amp;usp=drive_fs" TargetMode="External"/><Relationship Id="rId1155" Type="http://schemas.openxmlformats.org/officeDocument/2006/relationships/hyperlink" Target="https://drive.google.com/open?id=13KbV0afuPYgDjMP1RAdPJfZ8H3Sisl_p&amp;usp=drive_fs" TargetMode="External"/><Relationship Id="rId563" Type="http://schemas.openxmlformats.org/officeDocument/2006/relationships/hyperlink" Target="https://drive.google.com/open?id=1KTHkMIbtUbNkZ65_4R3cs3ib8gpDzifL&amp;usp=drive_fs" TargetMode="External"/><Relationship Id="rId1156" Type="http://schemas.openxmlformats.org/officeDocument/2006/relationships/hyperlink" Target="https://drive.google.com/open?id=1a9gsZC63HaCI-X3ih2w00s-7DUIMJJBe&amp;usp=drive_fs" TargetMode="External"/><Relationship Id="rId562" Type="http://schemas.openxmlformats.org/officeDocument/2006/relationships/hyperlink" Target="https://drive.google.com/open?id=1142yUbkC1UXoPdEUubY_vu87HcXHIVBW&amp;usp=drive_fs" TargetMode="External"/><Relationship Id="rId1157" Type="http://schemas.openxmlformats.org/officeDocument/2006/relationships/hyperlink" Target="https://drive.google.com/open?id=1bk7ngFpS_OMyhaj5M4fAEytb26akAKZV&amp;usp=drive_fs" TargetMode="External"/><Relationship Id="rId1147" Type="http://schemas.openxmlformats.org/officeDocument/2006/relationships/hyperlink" Target="https://drive.google.com/open?id=1HF-0qCi2yykJ81PPp-XWVC4NEQz38xps&amp;usp=drive_fs" TargetMode="External"/><Relationship Id="rId1148" Type="http://schemas.openxmlformats.org/officeDocument/2006/relationships/hyperlink" Target="https://drive.google.com/open?id=1T7HzJHssetYB7zg4wp6q_AlMMqt2bKqd&amp;usp=drive_fs" TargetMode="External"/><Relationship Id="rId1149" Type="http://schemas.openxmlformats.org/officeDocument/2006/relationships/hyperlink" Target="https://drive.google.com/open?id=1TBZ3bH_2LByQpoUh-4q1lZHVYmkK7MCE&amp;usp=drive_fs" TargetMode="External"/><Relationship Id="rId558" Type="http://schemas.openxmlformats.org/officeDocument/2006/relationships/hyperlink" Target="https://drive.google.com/open?id=1Ja5zPIv0sP4aofByIC69g51J49N6gUc-&amp;usp=drive_fs" TargetMode="External"/><Relationship Id="rId557" Type="http://schemas.openxmlformats.org/officeDocument/2006/relationships/hyperlink" Target="https://drive.google.com/open?id=1JY0l4I1n5ZZ1Pn6nooeQcoC2ZSgBwtwk&amp;usp=drive_fs" TargetMode="External"/><Relationship Id="rId556" Type="http://schemas.openxmlformats.org/officeDocument/2006/relationships/hyperlink" Target="https://drive.google.com/open?id=1HHzwtCC0LakNx9Yj8fJDH8XcvicEp7RK&amp;authuser=jay.agg%40gmail.com&amp;usp=drive_fs" TargetMode="External"/><Relationship Id="rId555" Type="http://schemas.openxmlformats.org/officeDocument/2006/relationships/hyperlink" Target="https://drive.google.com/open?id=10GzVYFGkewRh5UxlFIJ_8dd_W514Xz0t&amp;authuser=jay.agg%40gmail.com&amp;usp=drive_fs" TargetMode="External"/><Relationship Id="rId559" Type="http://schemas.openxmlformats.org/officeDocument/2006/relationships/hyperlink" Target="https://drive.google.com/open?id=15-3TqwX3sJKKAH0wDwbnAzWzAm-maVkW&amp;usp=drive_fs" TargetMode="External"/><Relationship Id="rId550" Type="http://schemas.openxmlformats.org/officeDocument/2006/relationships/hyperlink" Target="https://drive.google.com/open?id=1eimYuGG5buTe5xyo2l9Je7LY1Muo7cK4&amp;authuser=jay.agg%40gmail.com&amp;usp=drive_fs" TargetMode="External"/><Relationship Id="rId1140" Type="http://schemas.openxmlformats.org/officeDocument/2006/relationships/hyperlink" Target="https://drive.google.com/open?id=1P-GuKFaajpLVtPs_ZqCl5l79jYnLZt0Y&amp;usp=drive_fs" TargetMode="External"/><Relationship Id="rId1141" Type="http://schemas.openxmlformats.org/officeDocument/2006/relationships/hyperlink" Target="https://drive.google.com/open?id=18Ma5SHED7b_vXPW8I4nplHA3s3zCJ3zo&amp;usp=drive_fs" TargetMode="External"/><Relationship Id="rId1142" Type="http://schemas.openxmlformats.org/officeDocument/2006/relationships/hyperlink" Target="https://drive.google.com/open?id=18iEGCjSalqmRpvU1Y7mkHW3XFLZy9Se4&amp;usp=drive_fs" TargetMode="External"/><Relationship Id="rId554" Type="http://schemas.openxmlformats.org/officeDocument/2006/relationships/hyperlink" Target="https://drive.google.com/open?id=10GTk9WdAMmZHMXzZJcDincBIAr9v7IYH&amp;authuser=jay.agg%40gmail.com&amp;usp=drive_fs" TargetMode="External"/><Relationship Id="rId1143" Type="http://schemas.openxmlformats.org/officeDocument/2006/relationships/hyperlink" Target="https://drive.google.com/open?id=18prqDHDovH5hRQGsnysleHbFmVLs25rI&amp;usp=drive_fs" TargetMode="External"/><Relationship Id="rId553" Type="http://schemas.openxmlformats.org/officeDocument/2006/relationships/hyperlink" Target="https://drive.google.com/open?id=1H5sEJnDDpqroQG6LGmzgUnze-yi86SnM&amp;authuser=jay.agg%40gmail.com&amp;usp=drive_fs" TargetMode="External"/><Relationship Id="rId1144" Type="http://schemas.openxmlformats.org/officeDocument/2006/relationships/hyperlink" Target="https://drive.google.com/open?id=1QgXRVjAYlCNjeZLpw4F1-6rKvuLi6TdH&amp;usp=drive_fs" TargetMode="External"/><Relationship Id="rId552" Type="http://schemas.openxmlformats.org/officeDocument/2006/relationships/hyperlink" Target="https://drive.google.com/open?id=1H-WeL2C1VrbZlUSk4riI8zYhCyxLmbf1&amp;authuser=jay.agg%40gmail.com&amp;usp=drive_fs" TargetMode="External"/><Relationship Id="rId1145" Type="http://schemas.openxmlformats.org/officeDocument/2006/relationships/hyperlink" Target="https://drive.google.com/open?id=196iwhfptVeDMjR7bnMOEjTzEVh1Wx8bE&amp;usp=drive_fs" TargetMode="External"/><Relationship Id="rId551" Type="http://schemas.openxmlformats.org/officeDocument/2006/relationships/hyperlink" Target="https://drive.google.com/open?id=1f9Y1cvxf0kcb0jkCiZJWEsm9qWG13nNI&amp;authuser=jay.agg%40gmail.com&amp;usp=drive_fs" TargetMode="External"/><Relationship Id="rId1146" Type="http://schemas.openxmlformats.org/officeDocument/2006/relationships/hyperlink" Target="https://drive.google.com/open?id=1CK-CrDZ7SlWu1RDyIdTKgOn1eXU5e_cg&amp;usp=drive_fs" TargetMode="External"/><Relationship Id="rId495" Type="http://schemas.openxmlformats.org/officeDocument/2006/relationships/hyperlink" Target="https://drive.google.com/open?id=1ZJoPZzFLa3jWW91HS6zg2jknsNdKa12Q&amp;usp=drive_fs" TargetMode="External"/><Relationship Id="rId494" Type="http://schemas.openxmlformats.org/officeDocument/2006/relationships/hyperlink" Target="https://drive.google.com/open?id=1XRCBWVhhcrRDM2hQ2Tsdg0s14YrCAQvf&amp;usp=drive_fs" TargetMode="External"/><Relationship Id="rId493" Type="http://schemas.openxmlformats.org/officeDocument/2006/relationships/hyperlink" Target="https://drive.google.com/open?id=1q4sSQ6_tnh9jNmbN9NZ8wVzaHAa6V1Tj&amp;usp=drive_fs" TargetMode="External"/><Relationship Id="rId492" Type="http://schemas.openxmlformats.org/officeDocument/2006/relationships/hyperlink" Target="https://drive.google.com/open?id=1rSoMLYAZljhaKkSbxBjsnOl1NJUdG3E9&amp;usp=drive_fs" TargetMode="External"/><Relationship Id="rId499" Type="http://schemas.openxmlformats.org/officeDocument/2006/relationships/hyperlink" Target="https://drive.google.com/open?id=1A2azO5DYUfzAo62p4Q5GuQtfYrs4-idE&amp;authuser=jay.agg%40gmail.com&amp;usp=drive_fs" TargetMode="External"/><Relationship Id="rId498" Type="http://schemas.openxmlformats.org/officeDocument/2006/relationships/hyperlink" Target="https://drive.google.com/open?id=1zykrBg-uXWLhBYmwjgL99YmT8duK817r&amp;authuser=jay.agg%40gmail.com&amp;usp=drive_fs" TargetMode="External"/><Relationship Id="rId497" Type="http://schemas.openxmlformats.org/officeDocument/2006/relationships/hyperlink" Target="https://drive.google.com/open?id=1Hw6KFCYu4ALB-4d36DycItgPyE2OGXEN&amp;authuser=jay.agg%40gmail.com&amp;usp=drive_fs" TargetMode="External"/><Relationship Id="rId496" Type="http://schemas.openxmlformats.org/officeDocument/2006/relationships/hyperlink" Target="https://drive.google.com/open?id=1HbaZDStDNaNpadvSCSpYkvmYu6z4IXcf&amp;authuser=jay.agg%40gmail.com&amp;usp=drive_fs" TargetMode="External"/><Relationship Id="rId1610" Type="http://schemas.openxmlformats.org/officeDocument/2006/relationships/hyperlink" Target="https://drive.google.com/open?id=1aFdFJDvyL0DVq5FrlK3q-1P8AlKdwvsX&amp;authuser=jay.agg%40gmail.com&amp;usp=drive_fs" TargetMode="External"/><Relationship Id="rId1611" Type="http://schemas.openxmlformats.org/officeDocument/2006/relationships/hyperlink" Target="https://drive.google.com/open?id=1aKHb4bIFlqb9VEElAU9bElJpCmCrWMw_&amp;authuser=jay.agg%40gmail.com&amp;usp=drive_fs" TargetMode="External"/><Relationship Id="rId1612" Type="http://schemas.openxmlformats.org/officeDocument/2006/relationships/hyperlink" Target="https://drive.google.com/open?id=1a4mReNw_xGXA0bWR-xsgh2_2qec7KzqY&amp;authuser=jay.agg%40gmail.com&amp;usp=drive_fs" TargetMode="External"/><Relationship Id="rId1613" Type="http://schemas.openxmlformats.org/officeDocument/2006/relationships/hyperlink" Target="https://drive.google.com/open?id=1aEJNmL2GFzqbQLUDY5TPXmxgOPMfWvDW&amp;authuser=jay.agg%40gmail.com&amp;usp=drive_fs" TargetMode="External"/><Relationship Id="rId1614" Type="http://schemas.openxmlformats.org/officeDocument/2006/relationships/hyperlink" Target="https://drive.google.com/open?id=1a1N4FNifq7F6B7rsEl3Ko2j-R5dnTBT_&amp;authuser=jay.agg%40gmail.com&amp;usp=drive_fs" TargetMode="External"/><Relationship Id="rId1615" Type="http://schemas.openxmlformats.org/officeDocument/2006/relationships/hyperlink" Target="https://drive.google.com/open?id=1a3Kl6TKZg8my-p4xktjyVXOEKcSwuD7D&amp;authuser=jay.agg%40gmail.com&amp;usp=drive_fs" TargetMode="External"/><Relationship Id="rId1616" Type="http://schemas.openxmlformats.org/officeDocument/2006/relationships/hyperlink" Target="https://drive.google.com/open?id=1a0BIJshnwUOKbN7yAWwc-25So9H5FzvG&amp;authuser=jay.agg%40gmail.com&amp;usp=drive_fs" TargetMode="External"/><Relationship Id="rId907" Type="http://schemas.openxmlformats.org/officeDocument/2006/relationships/hyperlink" Target="https://drive.google.com/open?id=1Q0HGuA4qggwog_aEXRxZQAzZrfK2TE9x&amp;authuser=jay.agg%40gmail.com&amp;usp=drive_fs" TargetMode="External"/><Relationship Id="rId1617" Type="http://schemas.openxmlformats.org/officeDocument/2006/relationships/hyperlink" Target="https://drive.google.com/open?id=1_zrBDHhbziDPRwB4MtklXL43yuO09JjM&amp;authuser=jay.agg%40gmail.com&amp;usp=drive_fs" TargetMode="External"/><Relationship Id="rId906" Type="http://schemas.openxmlformats.org/officeDocument/2006/relationships/hyperlink" Target="https://drive.google.com/open?id=1PsNlyHFd63rxQjXHN7Q4YIsEFvnQ5OiX&amp;authuser=jay.agg%40gmail.com&amp;usp=drive_fs" TargetMode="External"/><Relationship Id="rId1618" Type="http://schemas.openxmlformats.org/officeDocument/2006/relationships/hyperlink" Target="https://drive.google.com/open?id=1lkgJI4j1k_AjCniFadLnwXjntNQYr8d-&amp;authuser=jay.agg%40gmail.com&amp;usp=drive_fs" TargetMode="External"/><Relationship Id="rId905" Type="http://schemas.openxmlformats.org/officeDocument/2006/relationships/hyperlink" Target="https://drive.google.com/open?id=1PSw0JUueJe6Td4Mtu9Z2M2RuAzejyH4N&amp;authuser=jay.agg%40gmail.com&amp;usp=drive_fs" TargetMode="External"/><Relationship Id="rId1619" Type="http://schemas.openxmlformats.org/officeDocument/2006/relationships/hyperlink" Target="https://drive.google.com/open?id=1oNvXnhHi0jvh69SNoVociLqv5Jjxz-vS&amp;authuser=jay.agg%40gmail.com&amp;usp=drive_fs" TargetMode="External"/><Relationship Id="rId904" Type="http://schemas.openxmlformats.org/officeDocument/2006/relationships/hyperlink" Target="https://drive.google.com/open?id=1PY1ku0Jl0qBW-wAUwMQ0Vo6lVbe0lLjO&amp;authuser=jay.agg%40gmail.com&amp;usp=drive_fs" TargetMode="External"/><Relationship Id="rId909" Type="http://schemas.openxmlformats.org/officeDocument/2006/relationships/hyperlink" Target="https://drive.google.com/open?id=1P20OEO6M7-Chneqrua5ANpJPKVta3c_Z&amp;authuser=jay.agg%40gmail.com&amp;usp=drive_fs" TargetMode="External"/><Relationship Id="rId908" Type="http://schemas.openxmlformats.org/officeDocument/2006/relationships/hyperlink" Target="https://drive.google.com/open?id=1PQK4nF_-GponoaAY-Xe8e2_7OtTTUAfR&amp;authuser=jay.agg%40gmail.com&amp;usp=drive_fs" TargetMode="External"/><Relationship Id="rId903" Type="http://schemas.openxmlformats.org/officeDocument/2006/relationships/hyperlink" Target="https://drive.google.com/open?id=1PfAJfYWPAGLSdyoGMgHDluxdnDEqddjW&amp;authuser=jay.agg%40gmail.com&amp;usp=drive_fs" TargetMode="External"/><Relationship Id="rId902" Type="http://schemas.openxmlformats.org/officeDocument/2006/relationships/hyperlink" Target="https://drive.google.com/open?id=1PwtiLZP7yWspPxUAxWuL2_bo-bvfrtOd&amp;authuser=jay.agg%40gmail.com&amp;usp=drive_fs" TargetMode="External"/><Relationship Id="rId901" Type="http://schemas.openxmlformats.org/officeDocument/2006/relationships/hyperlink" Target="https://drive.google.com/open?id=1QIofikIJ52qj8DufiD7z-uRHQewhqVlm&amp;authuser=jay.agg%40gmail.com&amp;usp=drive_fs" TargetMode="External"/><Relationship Id="rId900" Type="http://schemas.openxmlformats.org/officeDocument/2006/relationships/hyperlink" Target="https://drive.google.com/open?id=1QNrEJ7fKWqeakouRKXjvDbAD62uJma09&amp;authuser=jay.agg%40gmail.com&amp;usp=drive_fs" TargetMode="External"/><Relationship Id="rId1600" Type="http://schemas.openxmlformats.org/officeDocument/2006/relationships/hyperlink" Target="https://drive.google.com/open?id=12Z9WTfJtpICN7QjT-Lc5Q_jEasc_ZNeR&amp;authuser=jay.agg%40gmail.com&amp;usp=drive_fs" TargetMode="External"/><Relationship Id="rId1601" Type="http://schemas.openxmlformats.org/officeDocument/2006/relationships/hyperlink" Target="https://drive.google.com/open?id=12M_o2tHcL9u78ycjP18fnvEewrEBpr3u&amp;authuser=jay.agg%40gmail.com&amp;usp=drive_fs" TargetMode="External"/><Relationship Id="rId1602" Type="http://schemas.openxmlformats.org/officeDocument/2006/relationships/hyperlink" Target="https://drive.google.com/open?id=12NXhdgqIscOowfzDgX-pOrdj7P-Ggldn&amp;authuser=jay.agg%40gmail.com&amp;usp=drive_fs" TargetMode="External"/><Relationship Id="rId1603" Type="http://schemas.openxmlformats.org/officeDocument/2006/relationships/hyperlink" Target="https://drive.google.com/open?id=12SEFI3JINJF50-12PjJKbVvY8MIqG9vo&amp;authuser=jay.agg%40gmail.com&amp;usp=drive_fs" TargetMode="External"/><Relationship Id="rId1604" Type="http://schemas.openxmlformats.org/officeDocument/2006/relationships/hyperlink" Target="https://drive.google.com/open?id=1HA0WKRmSK1wuyXBxyFPxDzSBE0WDh8UE&amp;authuser=jay.agg%40gmail.com&amp;usp=drive_fs" TargetMode="External"/><Relationship Id="rId1605" Type="http://schemas.openxmlformats.org/officeDocument/2006/relationships/hyperlink" Target="https://drive.google.com/open?id=1TYdzw2MbUlaBN9NhTpeMkoUrPbyqfpD_&amp;authuser=jay.agg%40gmail.com&amp;usp=drive_fs" TargetMode="External"/><Relationship Id="rId1606" Type="http://schemas.openxmlformats.org/officeDocument/2006/relationships/hyperlink" Target="https://drive.google.com/open?id=19REsjbpwHHbbWr61hOoLE3q9oalpUrrz&amp;usp=drive_fs" TargetMode="External"/><Relationship Id="rId1607" Type="http://schemas.openxmlformats.org/officeDocument/2006/relationships/hyperlink" Target="https://drive.google.com/open?id=19Ro-MrmGOlF00pk4bKh7143k87xL9oT2&amp;usp=drive_fs" TargetMode="External"/><Relationship Id="rId1608" Type="http://schemas.openxmlformats.org/officeDocument/2006/relationships/hyperlink" Target="https://drive.google.com/open?id=1cK0uID3ln6MzbsDMnvg6z3rcLgNwCSpi&amp;usp=drive_fs" TargetMode="External"/><Relationship Id="rId1609" Type="http://schemas.openxmlformats.org/officeDocument/2006/relationships/hyperlink" Target="https://drive.google.com/open?id=1aEbfzdVAWkzUK5jGIeD455ew2wlnIBwd&amp;authuser=jay.agg%40gmail.com&amp;usp=drive_fs" TargetMode="External"/><Relationship Id="rId1631" Type="http://schemas.openxmlformats.org/officeDocument/2006/relationships/hyperlink" Target="https://drive.google.com/open?id=1IPMi69sXMAuKZIKvrDpuPkaXxkXFxk7F&amp;authuser=jay.agg%40gmail.com&amp;usp=drive_fs" TargetMode="External"/><Relationship Id="rId1632" Type="http://schemas.openxmlformats.org/officeDocument/2006/relationships/hyperlink" Target="https://drive.google.com/open?id=1KNWTOEuSZDiIHH9Ypek-LajBbxH5IB1D&amp;authuser=jay.agg%40gmail.com&amp;usp=drive_fs" TargetMode="External"/><Relationship Id="rId1633" Type="http://schemas.openxmlformats.org/officeDocument/2006/relationships/hyperlink" Target="https://drive.google.com/open?id=1KODiRts8-Adx0nL065sGPIGdkNubRjxn&amp;authuser=jay.agg%40gmail.com&amp;usp=drive_fs" TargetMode="External"/><Relationship Id="rId1634" Type="http://schemas.openxmlformats.org/officeDocument/2006/relationships/hyperlink" Target="https://drive.google.com/open?id=16wAu8oqzG1Wfumi8pCDgcq8asHgonHdF&amp;authuser=jay.agg%40gmail.com&amp;usp=drive_fs" TargetMode="External"/><Relationship Id="rId1635" Type="http://schemas.openxmlformats.org/officeDocument/2006/relationships/hyperlink" Target="https://drive.google.com/open?id=19gbaQIuxrMBG7HvBwhrxto62Z7njdrJ0&amp;authuser=jay.agg%40gmail.com&amp;usp=drive_fs" TargetMode="External"/><Relationship Id="rId1636" Type="http://schemas.openxmlformats.org/officeDocument/2006/relationships/hyperlink" Target="https://drive.google.com/open?id=1NDJewmHkV0iWUUnK410iooog4gqrkJrS&amp;authuser=jay.agg%40gmail.com&amp;usp=drive_fs" TargetMode="External"/><Relationship Id="rId1637" Type="http://schemas.openxmlformats.org/officeDocument/2006/relationships/hyperlink" Target="https://drive.google.com/open?id=1N_EKAmwOJs2EZBSe8FH-b_A-OJilN5B2&amp;authuser=jay.agg%40gmail.com&amp;usp=drive_fs" TargetMode="External"/><Relationship Id="rId1638" Type="http://schemas.openxmlformats.org/officeDocument/2006/relationships/hyperlink" Target="https://drive.google.com/open?id=1NaWfCCOuyirGwZn6_wYendcKgmGp3xYt&amp;authuser=jay.agg%40gmail.com&amp;usp=drive_fs" TargetMode="External"/><Relationship Id="rId929" Type="http://schemas.openxmlformats.org/officeDocument/2006/relationships/hyperlink" Target="https://drive.google.com/open?id=1G5kwn2xszRpbabSW4dbdQd_N_SKkS8va&amp;authuser=jay.agg%40gmail.com&amp;usp=drive_fs" TargetMode="External"/><Relationship Id="rId1639" Type="http://schemas.openxmlformats.org/officeDocument/2006/relationships/hyperlink" Target="https://drive.google.com/open?id=1NoQ9H8pjXJdpKdcMXc9jvrE2IrcqYIyQ&amp;authuser=jay.agg%40gmail.com&amp;usp=drive_fs" TargetMode="External"/><Relationship Id="rId928" Type="http://schemas.openxmlformats.org/officeDocument/2006/relationships/hyperlink" Target="https://drive.google.com/open?id=1FfeiVDr8o26516PRoz2xmlK-abtDTJIh&amp;authuser=jay.agg%40gmail.com&amp;usp=drive_fs" TargetMode="External"/><Relationship Id="rId927" Type="http://schemas.openxmlformats.org/officeDocument/2006/relationships/hyperlink" Target="https://drive.google.com/open?id=1FfeiVDr8o26516PRoz2xmlK-abtDTJIh&amp;authuser=jay.agg%40gmail.com&amp;usp=drive_fs" TargetMode="External"/><Relationship Id="rId926" Type="http://schemas.openxmlformats.org/officeDocument/2006/relationships/hyperlink" Target="https://drive.google.com/open?id=1BqAz4P1lqiGRfG58eM8N39U4aqGfBXjK&amp;authuser=jay.agg%40gmail.com&amp;usp=drive_fs" TargetMode="External"/><Relationship Id="rId921" Type="http://schemas.openxmlformats.org/officeDocument/2006/relationships/hyperlink" Target="https://drive.google.com/open?id=1nn4LIuJwrbap4nFAmaTN3xy_VshZMcbi&amp;authuser=jay.agg%40gmail.com&amp;usp=drive_fs" TargetMode="External"/><Relationship Id="rId920" Type="http://schemas.openxmlformats.org/officeDocument/2006/relationships/hyperlink" Target="https://drive.google.com/open?id=1Q02xEFu0u54IsdwnJR8W_VJp1TRzyirb&amp;authuser=jay.agg%40gmail.com&amp;usp=drive_fs" TargetMode="External"/><Relationship Id="rId925" Type="http://schemas.openxmlformats.org/officeDocument/2006/relationships/hyperlink" Target="https://drive.google.com/open?id=1BjqNqY__bc62-fvDPGIB4XSD2ax_0hlu&amp;authuser=jay.agg%40gmail.com&amp;usp=drive_fs" TargetMode="External"/><Relationship Id="rId924" Type="http://schemas.openxmlformats.org/officeDocument/2006/relationships/hyperlink" Target="https://drive.google.com/open?id=1Bistb2N3boPlvwT1QLLlmDhQ2JrQ_J1s&amp;authuser=jay.agg%40gmail.com&amp;usp=drive_fs" TargetMode="External"/><Relationship Id="rId923" Type="http://schemas.openxmlformats.org/officeDocument/2006/relationships/hyperlink" Target="https://drive.google.com/open?id=1suG0BvUaNvjp8lkXGDcPSyTBhrQtZEFB&amp;authuser=jay.agg%40gmail.com&amp;usp=drive_fs" TargetMode="External"/><Relationship Id="rId922" Type="http://schemas.openxmlformats.org/officeDocument/2006/relationships/hyperlink" Target="https://drive.google.com/open?id=1niGZJZLc1lqmPQJRc13vkitT2o8NwNT2&amp;authuser=jay.agg%40gmail.com&amp;usp=drive_fs" TargetMode="External"/><Relationship Id="rId1630" Type="http://schemas.openxmlformats.org/officeDocument/2006/relationships/hyperlink" Target="https://drive.google.com/open?id=11QlGBx770zXHab9g9hLz7IHTOSZQVPMO&amp;authuser=jay.agg%40gmail.com&amp;usp=drive_fs" TargetMode="External"/><Relationship Id="rId1620" Type="http://schemas.openxmlformats.org/officeDocument/2006/relationships/hyperlink" Target="https://drive.google.com/open?id=1r_IM5uLV3OqmklQ1dmJH84ac8jDRwCqh&amp;authuser=jay.agg%40gmail.com&amp;usp=drive_fs" TargetMode="External"/><Relationship Id="rId1621" Type="http://schemas.openxmlformats.org/officeDocument/2006/relationships/hyperlink" Target="https://drive.google.com/open?id=1rbLBfu-CR5g_0Rk3YTblUDfsfzSpQE9k&amp;authuser=jay.agg%40gmail.com&amp;usp=drive_fs" TargetMode="External"/><Relationship Id="rId1622" Type="http://schemas.openxmlformats.org/officeDocument/2006/relationships/hyperlink" Target="https://drive.google.com/open?id=1rbXNU2953IpxMMNCnrswfWNCq1SksYS3&amp;authuser=jay.agg%40gmail.com&amp;usp=drive_fs" TargetMode="External"/><Relationship Id="rId1623" Type="http://schemas.openxmlformats.org/officeDocument/2006/relationships/hyperlink" Target="https://drive.google.com/open?id=1x7mHQfv86pLbkSlxuME5w2_yg6r7mc8K&amp;authuser=jay.agg%40gmail.com&amp;usp=drive_fs" TargetMode="External"/><Relationship Id="rId1624" Type="http://schemas.openxmlformats.org/officeDocument/2006/relationships/hyperlink" Target="https://drive.google.com/open?id=1-iuHpOUAOJO4noMgjiDFSuPSxqA_YI2S&amp;authuser=jay.agg%40gmail.com&amp;usp=drive_fs" TargetMode="External"/><Relationship Id="rId1625" Type="http://schemas.openxmlformats.org/officeDocument/2006/relationships/hyperlink" Target="https://drive.google.com/open?id=1-jaT3KM-AnuDANWhRNLyOM923_Sg0Fv0&amp;authuser=jay.agg%40gmail.com&amp;usp=drive_fs" TargetMode="External"/><Relationship Id="rId1626" Type="http://schemas.openxmlformats.org/officeDocument/2006/relationships/hyperlink" Target="https://drive.google.com/open?id=112Ao5xqino_9TjJnrIWPerR9hRzmO8lW&amp;authuser=jay.agg%40gmail.com&amp;usp=drive_fs" TargetMode="External"/><Relationship Id="rId1627" Type="http://schemas.openxmlformats.org/officeDocument/2006/relationships/hyperlink" Target="https://drive.google.com/open?id=110bKlZbyqy-2w8HTZh0R7vf3qxOqBQgD&amp;authuser=jay.agg%40gmail.com&amp;usp=drive_fs" TargetMode="External"/><Relationship Id="rId918" Type="http://schemas.openxmlformats.org/officeDocument/2006/relationships/hyperlink" Target="https://drive.google.com/open?id=1P7II6393OPwxKUYIEej2VhlxLndSF_pR&amp;authuser=jay.agg%40gmail.com&amp;usp=drive_fs" TargetMode="External"/><Relationship Id="rId1628" Type="http://schemas.openxmlformats.org/officeDocument/2006/relationships/hyperlink" Target="https://drive.google.com/open?id=115Eyh9c7SfH1NbJRxMV3kA9D8qAPdNg1&amp;authuser=jay.agg%40gmail.com&amp;usp=drive_fs" TargetMode="External"/><Relationship Id="rId917" Type="http://schemas.openxmlformats.org/officeDocument/2006/relationships/hyperlink" Target="https://drive.google.com/open?id=1OeW9KKcX2n_QCtgWhJW9Df73VVOq1Nrd&amp;authuser=jay.agg%40gmail.com&amp;usp=drive_fs" TargetMode="External"/><Relationship Id="rId1629" Type="http://schemas.openxmlformats.org/officeDocument/2006/relationships/hyperlink" Target="https://drive.google.com/open?id=11LXsbUcKEo2quLWga2Tzzq7vP08rVQgX&amp;authuser=jay.agg%40gmail.com&amp;usp=drive_fs" TargetMode="External"/><Relationship Id="rId916" Type="http://schemas.openxmlformats.org/officeDocument/2006/relationships/hyperlink" Target="https://drive.google.com/open?id=1Obfmq9xBQVyDJRcGzAOm9Gp9Gw4ilESi&amp;authuser=jay.agg%40gmail.com&amp;usp=drive_fs" TargetMode="External"/><Relationship Id="rId915" Type="http://schemas.openxmlformats.org/officeDocument/2006/relationships/hyperlink" Target="https://drive.google.com/open?id=1P04o4rAY55J7bsOidLzLWHms53X-h9ty&amp;authuser=jay.agg%40gmail.com&amp;usp=drive_fs" TargetMode="External"/><Relationship Id="rId919" Type="http://schemas.openxmlformats.org/officeDocument/2006/relationships/hyperlink" Target="https://drive.google.com/open?id=1OZ42Nq8h_Rr0Km_shdjHPNAkUHSDwjSt&amp;authuser=jay.agg%40gmail.com&amp;usp=drive_fs" TargetMode="External"/><Relationship Id="rId910" Type="http://schemas.openxmlformats.org/officeDocument/2006/relationships/hyperlink" Target="https://drive.google.com/open?id=1PPYvNYUrFu3BV-ZPIr8GTPoxY9uIrQIe&amp;authuser=jay.agg%40gmail.com&amp;usp=drive_fs" TargetMode="External"/><Relationship Id="rId914" Type="http://schemas.openxmlformats.org/officeDocument/2006/relationships/hyperlink" Target="https://drive.google.com/open?id=1OjnEnSRx3DqKa6lX3dBJup_dTh-MHEur&amp;authuser=jay.agg%40gmail.com&amp;usp=drive_fs" TargetMode="External"/><Relationship Id="rId913" Type="http://schemas.openxmlformats.org/officeDocument/2006/relationships/hyperlink" Target="https://drive.google.com/open?id=1OfbalrPi3BHvWqJrpHbDnqRJwVzmCzLC&amp;authuser=jay.agg%40gmail.com&amp;usp=drive_fs" TargetMode="External"/><Relationship Id="rId912" Type="http://schemas.openxmlformats.org/officeDocument/2006/relationships/hyperlink" Target="https://drive.google.com/open?id=1PMle0vAOx5bo3sgb-9QyaRtpIUW23uR9&amp;authuser=jay.agg%40gmail.com&amp;usp=drive_fs" TargetMode="External"/><Relationship Id="rId911" Type="http://schemas.openxmlformats.org/officeDocument/2006/relationships/hyperlink" Target="https://drive.google.com/open?id=1QOgw3nvLnrWrPLfHe9ER4SjeI21ghOSO&amp;authuser=jay.agg%40gmail.com&amp;usp=drive_fs" TargetMode="External"/><Relationship Id="rId1213" Type="http://schemas.openxmlformats.org/officeDocument/2006/relationships/hyperlink" Target="https://drive.google.com/open?id=1S17Hw-2E5A05j0NQu7IixYjPSuAcYbbI&amp;authuser=jay.agg%40gmail.com&amp;usp=drive_fs" TargetMode="External"/><Relationship Id="rId1697" Type="http://schemas.openxmlformats.org/officeDocument/2006/relationships/hyperlink" Target="https://drive.google.com/open?id=115_fcBczXc1rHugupP-vxOty5C2CmPQ2&amp;authuser=jay.agg%40gmail.com&amp;usp=drive_fs" TargetMode="External"/><Relationship Id="rId1214" Type="http://schemas.openxmlformats.org/officeDocument/2006/relationships/hyperlink" Target="https://drive.google.com/open?id=1S3FbCts2sPXVKQkJJPRokw5m2r97vDAG&amp;authuser=jay.agg%40gmail.com&amp;usp=drive_fs" TargetMode="External"/><Relationship Id="rId1698" Type="http://schemas.openxmlformats.org/officeDocument/2006/relationships/hyperlink" Target="https://drive.google.com/open?id=1R41it4XeN6XtLX0NA8LqCGh4WCp3AobM&amp;authuser=jay.agg%40gmail.com&amp;usp=drive_fs" TargetMode="External"/><Relationship Id="rId1215" Type="http://schemas.openxmlformats.org/officeDocument/2006/relationships/hyperlink" Target="https://drive.google.com/open?id=1RktzYMGAFP55SVALXVayb6O9v_QAiVdb&amp;authuser=jay.agg%40gmail.com&amp;usp=drive_fs" TargetMode="External"/><Relationship Id="rId1699" Type="http://schemas.openxmlformats.org/officeDocument/2006/relationships/hyperlink" Target="https://drive.google.com/open?id=1UqH2hTcCO6_8s9_nyWBnRZVuSW1x0py6&amp;authuser=jay.agg%40gmail.com&amp;usp=drive_fs" TargetMode="External"/><Relationship Id="rId1216" Type="http://schemas.openxmlformats.org/officeDocument/2006/relationships/hyperlink" Target="https://drive.google.com/open?id=1RsIG-rgth_gAsuwcltszIL0lkmMPMbfl&amp;authuser=jay.agg%40gmail.com&amp;usp=drive_fs" TargetMode="External"/><Relationship Id="rId1217" Type="http://schemas.openxmlformats.org/officeDocument/2006/relationships/hyperlink" Target="https://drive.google.com/open?id=1zcmatLRnsQIbVDaPIHG487WBXVNufEy0&amp;authuser=jay.agg%40gmail.com&amp;usp=drive_fs" TargetMode="External"/><Relationship Id="rId1218" Type="http://schemas.openxmlformats.org/officeDocument/2006/relationships/hyperlink" Target="https://drive.google.com/open?id=1zeifprY3cnO3DCX5_aXQVHZc51nhIm6s&amp;authuser=jay.agg%40gmail.com&amp;usp=drive_fs" TargetMode="External"/><Relationship Id="rId1219" Type="http://schemas.openxmlformats.org/officeDocument/2006/relationships/hyperlink" Target="https://drive.google.com/open?id=1-pAmYkxEtoOgcKUcPdd87nHSZw08o-1i&amp;usp=drive_fs" TargetMode="External"/><Relationship Id="rId866" Type="http://schemas.openxmlformats.org/officeDocument/2006/relationships/hyperlink" Target="https://drive.google.com/open?id=1OMyUUVCX0CAECmFeuake0qy32V_3AVWp&amp;authuser=jay.agg%40gmail.com&amp;usp=drive_fs" TargetMode="External"/><Relationship Id="rId865" Type="http://schemas.openxmlformats.org/officeDocument/2006/relationships/hyperlink" Target="https://drive.google.com/open?id=1OMv4GJJo2f7Sqhd4qRouATGo_Ah0uCCW&amp;authuser=jay.agg%40gmail.com&amp;usp=drive_fs" TargetMode="External"/><Relationship Id="rId864" Type="http://schemas.openxmlformats.org/officeDocument/2006/relationships/hyperlink" Target="https://drive.google.com/open?id=1OMFA32LV4ws71sRTqsBJDqx91zlnZElx&amp;authuser=jay.agg%40gmail.com&amp;usp=drive_fs" TargetMode="External"/><Relationship Id="rId863" Type="http://schemas.openxmlformats.org/officeDocument/2006/relationships/hyperlink" Target="https://drive.google.com/open?id=1OHdO8Q9jblNuX6pAm_ObpNciE7cPhKpV&amp;authuser=jay.agg%40gmail.com&amp;usp=drive_fs" TargetMode="External"/><Relationship Id="rId869" Type="http://schemas.openxmlformats.org/officeDocument/2006/relationships/hyperlink" Target="https://drive.google.com/open?id=1vTKd5oE34N76Zr90KiGP3ONL6bSD03-d&amp;authuser=jay.agg%40gmail.com&amp;usp=drive_fs" TargetMode="External"/><Relationship Id="rId868" Type="http://schemas.openxmlformats.org/officeDocument/2006/relationships/hyperlink" Target="https://drive.google.com/open?id=1v9em8Kep7xmz_yOogZKUwAasKE9RjuOs&amp;authuser=jay.agg%40gmail.com&amp;usp=drive_fs" TargetMode="External"/><Relationship Id="rId867" Type="http://schemas.openxmlformats.org/officeDocument/2006/relationships/hyperlink" Target="https://drive.google.com/open?id=1OPvCgC0mpoDlokvspfu6iRMidi604EEG&amp;authuser=jay.agg%40gmail.com&amp;usp=drive_fs" TargetMode="External"/><Relationship Id="rId1690" Type="http://schemas.openxmlformats.org/officeDocument/2006/relationships/hyperlink" Target="https://drive.google.com/open?id=1echw208nuRQhzBpnFbrHEnBPkVD7BbQq&amp;authuser=jay.agg%40gmail.com&amp;usp=drive_fs" TargetMode="External"/><Relationship Id="rId1691" Type="http://schemas.openxmlformats.org/officeDocument/2006/relationships/hyperlink" Target="https://drive.google.com/open?id=1eaD0QuaOdqg0X8EFMNJF_GwKwxyK9sVQ&amp;authuser=jay.agg%40gmail.com&amp;usp=drive_fs" TargetMode="External"/><Relationship Id="rId1692" Type="http://schemas.openxmlformats.org/officeDocument/2006/relationships/hyperlink" Target="https://drive.google.com/open?id=1h6OOg2NvjnuL5RtpHa_O8h-vzKFxfHtB&amp;authuser=jay.agg%40gmail.com&amp;usp=drive_fs" TargetMode="External"/><Relationship Id="rId862" Type="http://schemas.openxmlformats.org/officeDocument/2006/relationships/hyperlink" Target="https://drive.google.com/open?id=1OCBgtn1i4DqusYwASpSbagkAaNXwSaHm&amp;authuser=jay.agg%40gmail.com&amp;usp=drive_fs" TargetMode="External"/><Relationship Id="rId1693" Type="http://schemas.openxmlformats.org/officeDocument/2006/relationships/hyperlink" Target="https://drive.google.com/open?id=1fIg8vj3h1r8Qyryj9lV6gQ0nUCBtSkUr&amp;authuser=jay.agg%40gmail.com&amp;usp=drive_fs" TargetMode="External"/><Relationship Id="rId861" Type="http://schemas.openxmlformats.org/officeDocument/2006/relationships/hyperlink" Target="https://drive.google.com/open?id=1O6fcvTmYevLEiCYDQy9NeNqbp2BCkBiT&amp;authuser=jay.agg%40gmail.com&amp;usp=drive_fs" TargetMode="External"/><Relationship Id="rId1210" Type="http://schemas.openxmlformats.org/officeDocument/2006/relationships/hyperlink" Target="https://drive.google.com/open?id=11hJ5oJzzbENXFJ9naAN4V6EX3f-nnEkB&amp;authuser=jay.agg%40gmail.com&amp;usp=drive_fs" TargetMode="External"/><Relationship Id="rId1694" Type="http://schemas.openxmlformats.org/officeDocument/2006/relationships/hyperlink" Target="https://drive.google.com/open?id=18yxWm_V7GA6VDXBBDdMjfnf92c2Qae-T&amp;authuser=jay.agg%40gmail.com&amp;usp=drive_fs" TargetMode="External"/><Relationship Id="rId860" Type="http://schemas.openxmlformats.org/officeDocument/2006/relationships/hyperlink" Target="https://drive.google.com/open?id=1O0lQnoL4ivV39DGOMKUvCDDKk4T5sfq-&amp;authuser=jay.agg%40gmail.com&amp;usp=drive_fs" TargetMode="External"/><Relationship Id="rId1211" Type="http://schemas.openxmlformats.org/officeDocument/2006/relationships/hyperlink" Target="https://drive.google.com/open?id=11g_3s8agsDHiWYIM0SilTKUTbAedTExc&amp;authuser=jay.agg%40gmail.com&amp;usp=drive_fs" TargetMode="External"/><Relationship Id="rId1695" Type="http://schemas.openxmlformats.org/officeDocument/2006/relationships/hyperlink" Target="https://drive.google.com/open?id=1085cajIG52cTIi4Dh7fZY0OZWmWY3HIa&amp;authuser=jay.agg%40gmail.com&amp;usp=drive_fs" TargetMode="External"/><Relationship Id="rId1212" Type="http://schemas.openxmlformats.org/officeDocument/2006/relationships/hyperlink" Target="https://drive.google.com/open?id=11gVaj9yympk3bP-kGA36Q7ZVF-crnV1l&amp;authuser=jay.agg%40gmail.com&amp;usp=drive_fs" TargetMode="External"/><Relationship Id="rId1696" Type="http://schemas.openxmlformats.org/officeDocument/2006/relationships/hyperlink" Target="https://drive.google.com/open?id=1JKfKrr_qXJw7eWeh6I2d4W6KgDe_PK3U&amp;authuser=jay.agg%40gmail.com&amp;usp=drive_fs" TargetMode="External"/><Relationship Id="rId1202" Type="http://schemas.openxmlformats.org/officeDocument/2006/relationships/hyperlink" Target="https://drive.google.com/open?id=1RU3JrSJqD1wVjUS1rycxLHWxsZR0pIVE&amp;authuser=jay.agg%40gmail.com&amp;usp=drive_fs" TargetMode="External"/><Relationship Id="rId1686" Type="http://schemas.openxmlformats.org/officeDocument/2006/relationships/hyperlink" Target="https://drive.google.com/open?id=1cE4dZQ4dySI4ONeQjtlmYbXeAZ5v4g-k&amp;authuser=jay.agg%40gmail.com&amp;usp=drive_fs" TargetMode="External"/><Relationship Id="rId1203" Type="http://schemas.openxmlformats.org/officeDocument/2006/relationships/hyperlink" Target="https://drive.google.com/open?id=1RV0GLPJ_uU-GCaMQS1sX31oYwdgMCLGS&amp;authuser=jay.agg%40gmail.com&amp;usp=drive_fs" TargetMode="External"/><Relationship Id="rId1687" Type="http://schemas.openxmlformats.org/officeDocument/2006/relationships/hyperlink" Target="https://drive.google.com/open?id=1cQ-hws4HSbipr5Ll88bsi-1dli5t2lK7&amp;authuser=jay.agg%40gmail.com&amp;usp=drive_fs" TargetMode="External"/><Relationship Id="rId1204" Type="http://schemas.openxmlformats.org/officeDocument/2006/relationships/hyperlink" Target="https://drive.google.com/open?id=1RZUWcRcv3wMcaYpqIDvVAPkdiFxwqYK7&amp;authuser=jay.agg%40gmail.com&amp;usp=drive_fs" TargetMode="External"/><Relationship Id="rId1688" Type="http://schemas.openxmlformats.org/officeDocument/2006/relationships/hyperlink" Target="https://drive.google.com/open?id=1ds6IESPKLBs5ibM6447nFdQWecV3Ikq6&amp;authuser=jay.agg%40gmail.com&amp;usp=drive_fs" TargetMode="External"/><Relationship Id="rId1205" Type="http://schemas.openxmlformats.org/officeDocument/2006/relationships/hyperlink" Target="https://drive.google.com/open?id=1RIk5WaB4-CQi9WvSa2Xln9GCBTr2gPDY&amp;authuser=jay.agg%40gmail.com&amp;usp=drive_fs" TargetMode="External"/><Relationship Id="rId1689" Type="http://schemas.openxmlformats.org/officeDocument/2006/relationships/hyperlink" Target="https://drive.google.com/open?id=1ePPtsJTB71sBimBKOySLubOpfhpnADTJ&amp;authuser=jay.agg%40gmail.com&amp;usp=drive_fs" TargetMode="External"/><Relationship Id="rId1206" Type="http://schemas.openxmlformats.org/officeDocument/2006/relationships/hyperlink" Target="https://drive.google.com/open?id=1M7Mwh-CsOJ38szMTbYx1FnvxgH8L7wrE&amp;authuser=jay.agg%40gmail.com&amp;usp=drive_fs" TargetMode="External"/><Relationship Id="rId1207" Type="http://schemas.openxmlformats.org/officeDocument/2006/relationships/hyperlink" Target="https://drive.google.com/open?id=1ZuFmstbuApSfgZ9ENxSylcu_GnonRKeW&amp;authuser=jay.agg%40gmail.com&amp;usp=drive_fs" TargetMode="External"/><Relationship Id="rId1208" Type="http://schemas.openxmlformats.org/officeDocument/2006/relationships/hyperlink" Target="https://drive.google.com/open?id=10_m9KyQtMIDFm-RPQ2eSkc_kH_QYuPIP&amp;authuser=jay.agg%40gmail.com&amp;usp=drive_fs" TargetMode="External"/><Relationship Id="rId1209" Type="http://schemas.openxmlformats.org/officeDocument/2006/relationships/hyperlink" Target="https://drive.google.com/open?id=1OVCrvnYi5r0uur_n6aswt33pZOP8OS74&amp;authuser=jay.agg%40gmail.com&amp;usp=drive_fs" TargetMode="External"/><Relationship Id="rId855" Type="http://schemas.openxmlformats.org/officeDocument/2006/relationships/hyperlink" Target="https://drive.google.com/open?id=1NRETeZcBsx1ayFIyOeikauqJ3DZFUQ8K&amp;authuser=jay.agg%40gmail.com&amp;usp=drive_fs" TargetMode="External"/><Relationship Id="rId854" Type="http://schemas.openxmlformats.org/officeDocument/2006/relationships/hyperlink" Target="https://drive.google.com/open?id=1N_MVCEfsCWk6E8ztfAqCR-MSTbzOjDhC&amp;authuser=jay.agg%40gmail.com&amp;usp=drive_fs" TargetMode="External"/><Relationship Id="rId853" Type="http://schemas.openxmlformats.org/officeDocument/2006/relationships/hyperlink" Target="https://drive.google.com/open?id=1NQBSJEkQNL7fEUS9Oka8Z2io4-o2Y4AJ&amp;authuser=jay.agg%40gmail.com&amp;usp=drive_fs" TargetMode="External"/><Relationship Id="rId852" Type="http://schemas.openxmlformats.org/officeDocument/2006/relationships/hyperlink" Target="https://drive.google.com/open?id=1NeGKY9a08I2WW_Z4zoq2dJDdhxw5zAdV&amp;authuser=jay.agg%40gmail.com&amp;usp=drive_fs" TargetMode="External"/><Relationship Id="rId859" Type="http://schemas.openxmlformats.org/officeDocument/2006/relationships/hyperlink" Target="https://drive.google.com/open?id=1NDeRTDLiV8Zd9jzJHs2MjnhDKGriWYoq&amp;authuser=jay.agg%40gmail.com&amp;usp=drive_fs" TargetMode="External"/><Relationship Id="rId858" Type="http://schemas.openxmlformats.org/officeDocument/2006/relationships/hyperlink" Target="https://drive.google.com/open?id=1NI1nrKVMs9UoyMPEvIziGcfs4MKPc4xO&amp;authuser=jay.agg%40gmail.com&amp;usp=drive_fs" TargetMode="External"/><Relationship Id="rId857" Type="http://schemas.openxmlformats.org/officeDocument/2006/relationships/hyperlink" Target="https://drive.google.com/open?id=1NHTOAG_waX_ow3VVG_QpjUhGtcvR_CsP&amp;authuser=jay.agg%40gmail.com&amp;usp=drive_fs" TargetMode="External"/><Relationship Id="rId856" Type="http://schemas.openxmlformats.org/officeDocument/2006/relationships/hyperlink" Target="https://drive.google.com/open?id=1NcJdJOHci3HUDlwOpe78U1yYHXfeKt5r&amp;authuser=jay.agg%40gmail.com&amp;usp=drive_fs" TargetMode="External"/><Relationship Id="rId1680" Type="http://schemas.openxmlformats.org/officeDocument/2006/relationships/hyperlink" Target="https://drive.google.com/open?id=1RuPf2FF9RqvePEGfc-Gt9LSOJfWURP-d&amp;authuser=jay.agg%40gmail.com&amp;usp=drive_fs" TargetMode="External"/><Relationship Id="rId1681" Type="http://schemas.openxmlformats.org/officeDocument/2006/relationships/hyperlink" Target="https://drive.google.com/open?id=1S9bZRJOD1fqaLtqt0Rxr48plOd6hHZfn&amp;authuser=jay.agg%40gmail.com&amp;usp=drive_fs" TargetMode="External"/><Relationship Id="rId851" Type="http://schemas.openxmlformats.org/officeDocument/2006/relationships/hyperlink" Target="https://drive.google.com/open?id=1NdVETi5eMNJ3dtnRehVxYonod05uRFzC&amp;authuser=jay.agg%40gmail.com&amp;usp=drive_fs" TargetMode="External"/><Relationship Id="rId1682" Type="http://schemas.openxmlformats.org/officeDocument/2006/relationships/hyperlink" Target="https://drive.google.com/open?id=1RzahXEnEEwUyta01tfJEkeSWYIr6YbE_&amp;authuser=jay.agg%40gmail.com&amp;usp=drive_fs" TargetMode="External"/><Relationship Id="rId850" Type="http://schemas.openxmlformats.org/officeDocument/2006/relationships/hyperlink" Target="https://drive.google.com/open?id=1Nk6H_vDlF5QmA_1GV_7_8MaLvb_Jzu5C&amp;authuser=jay.agg%40gmail.com&amp;usp=drive_fs" TargetMode="External"/><Relationship Id="rId1683" Type="http://schemas.openxmlformats.org/officeDocument/2006/relationships/hyperlink" Target="https://drive.google.com/open?id=1Rz75A626ixvuza7bQxwq19kbeTmnMQnh&amp;authuser=jay.agg%40gmail.com&amp;usp=drive_fs" TargetMode="External"/><Relationship Id="rId1200" Type="http://schemas.openxmlformats.org/officeDocument/2006/relationships/hyperlink" Target="https://drive.google.com/open?id=1ROYRR5i9Sx7oIyaBfIcKY7Q60DQBgEc8&amp;authuser=jay.agg%40gmail.com&amp;usp=drive_fs" TargetMode="External"/><Relationship Id="rId1684" Type="http://schemas.openxmlformats.org/officeDocument/2006/relationships/hyperlink" Target="https://drive.google.com/open?id=1RxH2_HEYVKutEOMDG1XkgXATp21eDM0F&amp;authuser=jay.agg%40gmail.com&amp;usp=drive_fs" TargetMode="External"/><Relationship Id="rId1201" Type="http://schemas.openxmlformats.org/officeDocument/2006/relationships/hyperlink" Target="https://drive.google.com/open?id=1RTszxpUDLCVhCVdPNHpYSdhjXFciCtTe&amp;authuser=jay.agg%40gmail.com&amp;usp=drive_fs" TargetMode="External"/><Relationship Id="rId1685" Type="http://schemas.openxmlformats.org/officeDocument/2006/relationships/hyperlink" Target="https://drive.google.com/open?id=1cBop9ZgFH3pMTwMQxBtgc3vDrJLJUY6f&amp;authuser=jay.agg%40gmail.com&amp;usp=drive_fs" TargetMode="External"/><Relationship Id="rId1235" Type="http://schemas.openxmlformats.org/officeDocument/2006/relationships/hyperlink" Target="https://drive.google.com/open?id=1_Ka1WzdPdTEnoWa29IPVjKGxsdfFuqwN&amp;authuser=jay.agg%40gmail.com&amp;usp=drive_fs" TargetMode="External"/><Relationship Id="rId1236" Type="http://schemas.openxmlformats.org/officeDocument/2006/relationships/hyperlink" Target="https://drive.google.com/open?id=1_R3p3FSjGJ_1Xu3xHQTag1eWg6qsa3Qm&amp;authuser=jay.agg%40gmail.com&amp;usp=drive_fs" TargetMode="External"/><Relationship Id="rId1237" Type="http://schemas.openxmlformats.org/officeDocument/2006/relationships/hyperlink" Target="https://drive.google.com/open?id=1_T71sjiytXKkjTlhie6SshfROAtG1uwh&amp;authuser=jay.agg%40gmail.com&amp;usp=drive_fs" TargetMode="External"/><Relationship Id="rId1238" Type="http://schemas.openxmlformats.org/officeDocument/2006/relationships/hyperlink" Target="https://drive.google.com/open?id=1Z0gikjNW39FRkYSCnMg62yiaiUF7w0MD&amp;authuser=jay.agg%40gmail.com&amp;usp=drive_fs" TargetMode="External"/><Relationship Id="rId1239" Type="http://schemas.openxmlformats.org/officeDocument/2006/relationships/hyperlink" Target="https://drive.google.com/open?id=1ZT2S3_0yGi4A8cjuuPMPSORiGqG3KqUB&amp;authuser=jay.agg%40gmail.com&amp;usp=drive_fs" TargetMode="External"/><Relationship Id="rId409" Type="http://schemas.openxmlformats.org/officeDocument/2006/relationships/hyperlink" Target="https://drive.google.com/open?id=1JqM2WqhY-w0RmkHV6tZM9I3oTmMpA_FJ&amp;authuser=jay.agg%40gmail.com&amp;usp=drive_fs" TargetMode="External"/><Relationship Id="rId404" Type="http://schemas.openxmlformats.org/officeDocument/2006/relationships/hyperlink" Target="https://drive.google.com/open?id=1Q_NLNkeUUALbYLIallf6tVkMCbGLWOrC&amp;authuser=jay.agg%40gmail.com&amp;usp=drive_fs" TargetMode="External"/><Relationship Id="rId888" Type="http://schemas.openxmlformats.org/officeDocument/2006/relationships/hyperlink" Target="https://drive.google.com/open?id=1S4nzrjrqiOVoPsggpmtLxz4IGadZ4DCK&amp;usp=drive_fs" TargetMode="External"/><Relationship Id="rId403" Type="http://schemas.openxmlformats.org/officeDocument/2006/relationships/hyperlink" Target="https://drive.google.com/open?id=1QYrsn12YYKgzXepNw8ZwddaMTXU-ykpA&amp;authuser=jay.agg%40gmail.com&amp;usp=drive_fs" TargetMode="External"/><Relationship Id="rId887" Type="http://schemas.openxmlformats.org/officeDocument/2006/relationships/hyperlink" Target="https://drive.google.com/open?id=1S3gbjo6H7S_hvMv4SjJhqEvdI325SuWv&amp;usp=drive_fs" TargetMode="External"/><Relationship Id="rId402" Type="http://schemas.openxmlformats.org/officeDocument/2006/relationships/hyperlink" Target="https://drive.google.com/open?id=1NjvTBGWZQuD6HKnTGHi1HCWLnxLnJll0&amp;authuser=jay.agg%40gmail.com&amp;usp=drive_fs" TargetMode="External"/><Relationship Id="rId886" Type="http://schemas.openxmlformats.org/officeDocument/2006/relationships/hyperlink" Target="https://drive.google.com/open?id=1RsB1tP83fjMbHhbIQsUi5acZKYiTRESC&amp;usp=drive_fs" TargetMode="External"/><Relationship Id="rId401" Type="http://schemas.openxmlformats.org/officeDocument/2006/relationships/hyperlink" Target="https://drive.google.com/open?id=1YjAgDba4kfhOH98Yyxd7ua6U3DDpEHGv&amp;authuser=jay.agg%40gmail.com&amp;usp=drive_fs" TargetMode="External"/><Relationship Id="rId885" Type="http://schemas.openxmlformats.org/officeDocument/2006/relationships/hyperlink" Target="https://drive.google.com/open?id=1Rs-_WjB0WhkdTKJ91s9d5cBi-JLVo1iJ&amp;usp=drive_fs" TargetMode="External"/><Relationship Id="rId408" Type="http://schemas.openxmlformats.org/officeDocument/2006/relationships/hyperlink" Target="https://drive.google.com/open?id=1Tr4Y3ISXQdPOjoWoC84OUWbLt1qchT3B&amp;authuser=jay.agg%40gmail.com&amp;usp=drive_fs" TargetMode="External"/><Relationship Id="rId407" Type="http://schemas.openxmlformats.org/officeDocument/2006/relationships/hyperlink" Target="https://drive.google.com/open?id=1Tqy2SaIVJLhNhueErOPzNDpKK50XJHR7&amp;authuser=jay.agg%40gmail.com&amp;usp=drive_fs" TargetMode="External"/><Relationship Id="rId406" Type="http://schemas.openxmlformats.org/officeDocument/2006/relationships/hyperlink" Target="https://drive.google.com/open?id=1TowihNMVRt_EyV5nyrK_5gNuK3aWZ5aV&amp;authuser=jay.agg%40gmail.com&amp;usp=drive_fs" TargetMode="External"/><Relationship Id="rId405" Type="http://schemas.openxmlformats.org/officeDocument/2006/relationships/hyperlink" Target="https://drive.google.com/open?id=1FIsaYAa2L0oFbKBzjikN2vu4Zv7XG2wt&amp;authuser=jay.agg%40gmail.com&amp;usp=drive_fs" TargetMode="External"/><Relationship Id="rId889" Type="http://schemas.openxmlformats.org/officeDocument/2006/relationships/hyperlink" Target="https://drive.google.com/open?id=1SA7pBKUOmHsbmdvYuSXg11A6__EUHbwV&amp;usp=drive_fs" TargetMode="External"/><Relationship Id="rId880" Type="http://schemas.openxmlformats.org/officeDocument/2006/relationships/hyperlink" Target="https://drive.google.com/open?id=1-wGF15oJssDghuF6VKkcy9NdDedVv1mj&amp;authuser=jay.agg%40gmail.com&amp;usp=drive_fs" TargetMode="External"/><Relationship Id="rId1230" Type="http://schemas.openxmlformats.org/officeDocument/2006/relationships/hyperlink" Target="https://drive.google.com/open?id=1Zy1ErltPTUHMw07xPSmsxXAU2lwtwzvG&amp;authuser=jay.agg%40gmail.com&amp;usp=drive_fs" TargetMode="External"/><Relationship Id="rId400" Type="http://schemas.openxmlformats.org/officeDocument/2006/relationships/hyperlink" Target="https://drive.google.com/open?id=1WsoYaEPIRV7-23QB3p0ubfw3jsJjsodk&amp;authuser=jay.agg%40gmail.com&amp;usp=drive_fs" TargetMode="External"/><Relationship Id="rId884" Type="http://schemas.openxmlformats.org/officeDocument/2006/relationships/hyperlink" Target="https://drive.google.com/open?id=1Rs-9sFnmtf-dXsZczfgDuj2I4ZR9B15L&amp;usp=drive_fs" TargetMode="External"/><Relationship Id="rId1231" Type="http://schemas.openxmlformats.org/officeDocument/2006/relationships/hyperlink" Target="https://drive.google.com/open?id=1ZyXjherW0rVrZyb7GYJ9saoVfbCMq9Dk&amp;authuser=jay.agg%40gmail.com&amp;usp=drive_fs" TargetMode="External"/><Relationship Id="rId883" Type="http://schemas.openxmlformats.org/officeDocument/2006/relationships/hyperlink" Target="https://drive.google.com/open?id=1RrfqkkFkbHFjpoXf2FvPV0gcRgmAR9rY&amp;usp=drive_fs" TargetMode="External"/><Relationship Id="rId1232" Type="http://schemas.openxmlformats.org/officeDocument/2006/relationships/hyperlink" Target="https://drive.google.com/open?id=1ZnGi8lepE6aAv4wEM_zOVZpspVa-it3n&amp;authuser=jay.agg%40gmail.com&amp;usp=drive_fs" TargetMode="External"/><Relationship Id="rId882" Type="http://schemas.openxmlformats.org/officeDocument/2006/relationships/hyperlink" Target="https://drive.google.com/open?id=13_7op81AASFcILjBUe3ntq1mHLBCwGh5&amp;usp=drive_fs" TargetMode="External"/><Relationship Id="rId1233" Type="http://schemas.openxmlformats.org/officeDocument/2006/relationships/hyperlink" Target="https://drive.google.com/open?id=1Zn1bpozERkvLev3o7E6u6DPsXvkjUvRS&amp;authuser=jay.agg%40gmail.com&amp;usp=drive_fs" TargetMode="External"/><Relationship Id="rId881" Type="http://schemas.openxmlformats.org/officeDocument/2006/relationships/hyperlink" Target="https://drive.google.com/open?id=10qTwb-F5Ypf9kLLmChFUKbPzk7uBHOu0&amp;authuser=jay.agg%40gmail.com&amp;usp=drive_fs" TargetMode="External"/><Relationship Id="rId1234" Type="http://schemas.openxmlformats.org/officeDocument/2006/relationships/hyperlink" Target="https://drive.google.com/open?id=1ioHWFlrGONBsfRf4tggzyzKF5UpjJovt&amp;authuser=jay.agg%40gmail.com&amp;usp=drive_fs" TargetMode="External"/><Relationship Id="rId1224" Type="http://schemas.openxmlformats.org/officeDocument/2006/relationships/hyperlink" Target="https://drive.google.com/open?id=19-K-9pdzMvviTiUJ5HKn-tTqyQFsWTyL&amp;usp=drive_fs" TargetMode="External"/><Relationship Id="rId1225" Type="http://schemas.openxmlformats.org/officeDocument/2006/relationships/hyperlink" Target="https://drive.google.com/open?id=1Z-thwm9XkM7GKY05LgBT7222yxyLFG8j&amp;authuser=jay.agg%40gmail.com&amp;usp=drive_fs" TargetMode="External"/><Relationship Id="rId1226" Type="http://schemas.openxmlformats.org/officeDocument/2006/relationships/hyperlink" Target="https://drive.google.com/open?id=1AT8COyVu1i54kTQbeZJnxYi8bjYPzfhK&amp;authuser=jay.agg%40gmail.com&amp;usp=drive_fs" TargetMode="External"/><Relationship Id="rId1227" Type="http://schemas.openxmlformats.org/officeDocument/2006/relationships/hyperlink" Target="https://drive.google.com/open?id=1ZUq25Sf77UB1gch5Yh1EJOpDvrpTutcD&amp;authuser=jay.agg%40gmail.com&amp;usp=drive_fs" TargetMode="External"/><Relationship Id="rId1228" Type="http://schemas.openxmlformats.org/officeDocument/2006/relationships/hyperlink" Target="https://drive.google.com/open?id=1Yvj8znXzt8543TGAMVrTY-vuVosjRZ2M&amp;authuser=jay.agg%40gmail.com&amp;usp=drive_fs" TargetMode="External"/><Relationship Id="rId1229" Type="http://schemas.openxmlformats.org/officeDocument/2006/relationships/hyperlink" Target="https://drive.google.com/open?id=1irJ57BIzMH4zSkzj-o5_6-uV3tP5g6Qb&amp;authuser=jay.agg%40gmail.com&amp;usp=drive_fs" TargetMode="External"/><Relationship Id="rId877" Type="http://schemas.openxmlformats.org/officeDocument/2006/relationships/hyperlink" Target="https://drive.google.com/open?id=1Qop6n-HkVaNOBJeozfSeG2EhYb4W-dlz&amp;authuser=jay.agg%40gmail.com&amp;usp=drive_fs" TargetMode="External"/><Relationship Id="rId876" Type="http://schemas.openxmlformats.org/officeDocument/2006/relationships/hyperlink" Target="https://drive.google.com/open?id=1OADDGgraq7CGIT_kstPmExT6zx9UgSuW&amp;authuser=jay.agg%40gmail.com&amp;usp=drive_fs" TargetMode="External"/><Relationship Id="rId875" Type="http://schemas.openxmlformats.org/officeDocument/2006/relationships/hyperlink" Target="https://drive.google.com/open?id=10pHCCW_7MpHpWHNJimjV-Mf0pKnbR3g2&amp;authuser=jay.agg%40gmail.com&amp;usp=drive_fs" TargetMode="External"/><Relationship Id="rId874" Type="http://schemas.openxmlformats.org/officeDocument/2006/relationships/hyperlink" Target="https://drive.google.com/open?id=1MexBpfN5PgVOXPpg_mlv1S0hOh5h79Tt&amp;authuser=jay.agg%40gmail.com&amp;usp=drive_fs" TargetMode="External"/><Relationship Id="rId879" Type="http://schemas.openxmlformats.org/officeDocument/2006/relationships/hyperlink" Target="https://drive.google.com/open?id=1f-Vki1JJlYNe3gOb0UevdG4EA4kqNue_&amp;authuser=jay.agg%40gmail.com&amp;usp=drive_fs" TargetMode="External"/><Relationship Id="rId878" Type="http://schemas.openxmlformats.org/officeDocument/2006/relationships/hyperlink" Target="https://drive.google.com/open?id=1Ot_-ATzRT3FJHv4BKisDK6nvsTdNwgZS&amp;authuser=jay.agg%40gmail.com&amp;usp=drive_fs" TargetMode="External"/><Relationship Id="rId873" Type="http://schemas.openxmlformats.org/officeDocument/2006/relationships/hyperlink" Target="https://drive.google.com/open?id=1HnoVc_WDgdU3_Yv5D33a-mtW7A-s2yrn&amp;authuser=jay.agg%40gmail.com&amp;usp=drive_fs" TargetMode="External"/><Relationship Id="rId1220" Type="http://schemas.openxmlformats.org/officeDocument/2006/relationships/hyperlink" Target="https://drive.google.com/open?id=1-l6730m73Ogl-R8tplJ7-v0iQCZRddmg&amp;usp=drive_fs" TargetMode="External"/><Relationship Id="rId872" Type="http://schemas.openxmlformats.org/officeDocument/2006/relationships/hyperlink" Target="https://drive.google.com/open?id=19WgYuKpFuxqHjNCcdVN7IpvTBqaZrgDu&amp;authuser=jay.agg%40gmail.com&amp;usp=drive_fs" TargetMode="External"/><Relationship Id="rId1221" Type="http://schemas.openxmlformats.org/officeDocument/2006/relationships/hyperlink" Target="https://drive.google.com/open?id=1-pAmYkxEtoOgcKUcPdd87nHSZw08o-1i&amp;usp=drive_fs" TargetMode="External"/><Relationship Id="rId871" Type="http://schemas.openxmlformats.org/officeDocument/2006/relationships/hyperlink" Target="https://drive.google.com/open?id=18eq8LAm_YKEYNTKSTPpXoxc1jRU5WibS&amp;authuser=jay.agg%40gmail.com&amp;usp=drive_fs" TargetMode="External"/><Relationship Id="rId1222" Type="http://schemas.openxmlformats.org/officeDocument/2006/relationships/hyperlink" Target="https://drive.google.com/open?id=19-K-9pdzMvviTiUJ5HKn-tTqyQFsWTyL&amp;usp=drive_fs" TargetMode="External"/><Relationship Id="rId870" Type="http://schemas.openxmlformats.org/officeDocument/2006/relationships/hyperlink" Target="https://drive.google.com/open?id=10EEJB8b-g7Ny7JJPEKZwO92MOaDR0bJf&amp;authuser=jay.agg%40gmail.com&amp;usp=drive_fs" TargetMode="External"/><Relationship Id="rId1223" Type="http://schemas.openxmlformats.org/officeDocument/2006/relationships/hyperlink" Target="https://drive.google.com/open?id=1BpV6DlCK3aKv1D19vchav_jnQDPt_Xfv&amp;usp=drive_fs" TargetMode="External"/><Relationship Id="rId1653" Type="http://schemas.openxmlformats.org/officeDocument/2006/relationships/hyperlink" Target="https://drive.google.com/open?id=12TQQy06vq0UZMsfn_9LCSV13k6mNw2cX&amp;authuser=jay.agg%40gmail.com&amp;usp=drive_fs" TargetMode="External"/><Relationship Id="rId1654" Type="http://schemas.openxmlformats.org/officeDocument/2006/relationships/hyperlink" Target="https://drive.google.com/open?id=12Yc9qliQdnw5mSwPp7BwotV8eTAyOyVK&amp;authuser=jay.agg%40gmail.com&amp;usp=drive_fs" TargetMode="External"/><Relationship Id="rId1655" Type="http://schemas.openxmlformats.org/officeDocument/2006/relationships/hyperlink" Target="https://drive.google.com/open?id=12V51HEZfKbDLYlo8xtKITSnspDKi8tVm&amp;authuser=jay.agg%40gmail.com&amp;usp=drive_fs" TargetMode="External"/><Relationship Id="rId1656" Type="http://schemas.openxmlformats.org/officeDocument/2006/relationships/hyperlink" Target="https://drive.google.com/open?id=12_i0T3We7yW8UCho5Pj4ePiOQZX19fGL&amp;authuser=jay.agg%40gmail.com&amp;usp=drive_fs" TargetMode="External"/><Relationship Id="rId1657" Type="http://schemas.openxmlformats.org/officeDocument/2006/relationships/hyperlink" Target="https://drive.google.com/open?id=12d7UEbAp_vNKXfAMh0A5H84PP7D3Ow_k&amp;authuser=jay.agg%40gmail.com&amp;usp=drive_fs" TargetMode="External"/><Relationship Id="rId1658" Type="http://schemas.openxmlformats.org/officeDocument/2006/relationships/hyperlink" Target="https://drive.google.com/open?id=12b-mr1RUvNYMspWZBh73NkFbNzij_rxn&amp;authuser=jay.agg%40gmail.com&amp;usp=drive_fs" TargetMode="External"/><Relationship Id="rId1659" Type="http://schemas.openxmlformats.org/officeDocument/2006/relationships/hyperlink" Target="https://drive.google.com/open?id=1BnuJ4jUgURfg3w_Qt2F4uif21-hBTTqt&amp;authuser=jay.agg%40gmail.com&amp;usp=drive_fs" TargetMode="External"/><Relationship Id="rId829" Type="http://schemas.openxmlformats.org/officeDocument/2006/relationships/hyperlink" Target="https://drive.google.com/open?id=1dFKywOXctIF-xF4cWRH9OerygdGtYOtU&amp;usp=drive_fs" TargetMode="External"/><Relationship Id="rId828" Type="http://schemas.openxmlformats.org/officeDocument/2006/relationships/hyperlink" Target="https://drive.google.com/open?id=1dMfI38upa8bZq1F4Vvvx8j1bAhvIuru3&amp;usp=drive_fs" TargetMode="External"/><Relationship Id="rId827" Type="http://schemas.openxmlformats.org/officeDocument/2006/relationships/hyperlink" Target="https://drive.google.com/open?id=1dMjJc6o7Ns1uD0UiVcktHKzwt-5cCGQx&amp;usp=drive_fs" TargetMode="External"/><Relationship Id="rId822" Type="http://schemas.openxmlformats.org/officeDocument/2006/relationships/hyperlink" Target="https://drive.google.com/open?id=1QyDb3socqoMiO1j9MYzzRMOCxVSJQ_Ba&amp;usp=drive_fs" TargetMode="External"/><Relationship Id="rId821" Type="http://schemas.openxmlformats.org/officeDocument/2006/relationships/hyperlink" Target="https://drive.google.com/open?id=1Qq1bxGCmy-TvaCurmGhITxCoQC-u3NSs&amp;usp=drive_fs" TargetMode="External"/><Relationship Id="rId820" Type="http://schemas.openxmlformats.org/officeDocument/2006/relationships/hyperlink" Target="https://drive.google.com/open?id=1Qq-jUTacwXeGE5UV5wU0qFIr-M4L5g2I&amp;usp=drive_fs" TargetMode="External"/><Relationship Id="rId826" Type="http://schemas.openxmlformats.org/officeDocument/2006/relationships/hyperlink" Target="https://drive.google.com/open?id=1dODNXq0simrmTDHxwDVVhFb59bkJa7X7&amp;usp=drive_fs" TargetMode="External"/><Relationship Id="rId825" Type="http://schemas.openxmlformats.org/officeDocument/2006/relationships/hyperlink" Target="https://drive.google.com/open?id=1dVRZxM7lxt2wPm_DL_cbGEkma-9TJUwR&amp;usp=drive_fs" TargetMode="External"/><Relationship Id="rId824" Type="http://schemas.openxmlformats.org/officeDocument/2006/relationships/hyperlink" Target="https://drive.google.com/open?id=142b3by8nM5MN9Lf4AOGE_euFv6oX7lCi&amp;usp=drive_fs" TargetMode="External"/><Relationship Id="rId823" Type="http://schemas.openxmlformats.org/officeDocument/2006/relationships/hyperlink" Target="https://drive.google.com/open?id=1R-LVnWz1vUHwrZXcuMen6rWl3QWjQnGD&amp;usp=drive_fs" TargetMode="External"/><Relationship Id="rId1650" Type="http://schemas.openxmlformats.org/officeDocument/2006/relationships/hyperlink" Target="https://drive.google.com/open?id=12CqjSlKhdRU-70uFo4KrEifBwDjnRVwt&amp;authuser=jay.agg%40gmail.com&amp;usp=drive_fs" TargetMode="External"/><Relationship Id="rId1651" Type="http://schemas.openxmlformats.org/officeDocument/2006/relationships/hyperlink" Target="https://drive.google.com/open?id=12HIr3MLq-Gfk4eUQU-HM_chT36krSnOH&amp;authuser=jay.agg%40gmail.com&amp;usp=drive_fs" TargetMode="External"/><Relationship Id="rId1652" Type="http://schemas.openxmlformats.org/officeDocument/2006/relationships/hyperlink" Target="https://drive.google.com/open?id=12HIr3MLq-Gfk4eUQU-HM_chT36krSnOH&amp;authuser=jay.agg%40gmail.com&amp;usp=drive_fs" TargetMode="External"/><Relationship Id="rId1642" Type="http://schemas.openxmlformats.org/officeDocument/2006/relationships/hyperlink" Target="https://drive.google.com/open?id=1FvmgvW1Fs5QO6I9IpVcW0yiyjKB-Ph4H&amp;authuser=jay.agg%40gmail.com&amp;usp=drive_fs" TargetMode="External"/><Relationship Id="rId1643" Type="http://schemas.openxmlformats.org/officeDocument/2006/relationships/hyperlink" Target="https://drive.google.com/open?id=1H6nXTaWRHYNCEhpLFhSxhKSoWTm1WZ1X&amp;authuser=jay.agg%40gmail.com&amp;usp=drive_fs" TargetMode="External"/><Relationship Id="rId1644" Type="http://schemas.openxmlformats.org/officeDocument/2006/relationships/hyperlink" Target="https://drive.google.com/open?id=1UCJbkR0Ww_y-POU5eel3SDSgL7o6NG3w&amp;authuser=jay.agg%40gmail.com&amp;usp=drive_fs" TargetMode="External"/><Relationship Id="rId1645" Type="http://schemas.openxmlformats.org/officeDocument/2006/relationships/hyperlink" Target="https://drive.google.com/open?id=1WUu9wWDVR3Cj-DFnBvB42Sal6aNOUAi-&amp;authuser=jay.agg%40gmail.com&amp;usp=drive_fs" TargetMode="External"/><Relationship Id="rId1646" Type="http://schemas.openxmlformats.org/officeDocument/2006/relationships/hyperlink" Target="https://drive.google.com/open?id=1-3Hz7aWWnvSvSXDb9AT-al_1lrS63QyB&amp;authuser=jay.agg%40gmail.com&amp;usp=drive_fs" TargetMode="External"/><Relationship Id="rId1647" Type="http://schemas.openxmlformats.org/officeDocument/2006/relationships/hyperlink" Target="https://drive.google.com/open?id=1-5FwVpT8j0PQTYmm51EoF1dDu1tV2MK_&amp;authuser=jay.agg%40gmail.com&amp;usp=drive_fs" TargetMode="External"/><Relationship Id="rId1648" Type="http://schemas.openxmlformats.org/officeDocument/2006/relationships/hyperlink" Target="https://drive.google.com/open?id=11zSCmDHcxjWWCn6-1YoGWwJOvqL_JVp7&amp;authuser=jay.agg%40gmail.com&amp;usp=drive_fs" TargetMode="External"/><Relationship Id="rId1649" Type="http://schemas.openxmlformats.org/officeDocument/2006/relationships/hyperlink" Target="https://drive.google.com/open?id=12-MMIvjb-Czv2e2cxR4rS299s9MjKLtP&amp;authuser=jay.agg%40gmail.com&amp;usp=drive_fs" TargetMode="External"/><Relationship Id="rId819" Type="http://schemas.openxmlformats.org/officeDocument/2006/relationships/hyperlink" Target="https://drive.google.com/open?id=1QpZBbjvP7VOh0U6u8D4Xe-BsVRsn0WlW&amp;usp=drive_fs" TargetMode="External"/><Relationship Id="rId818" Type="http://schemas.openxmlformats.org/officeDocument/2006/relationships/hyperlink" Target="https://drive.google.com/open?id=11QUEMfY6Teas1lV22_Szp_zVHOa0ceBo&amp;usp=drive_fs" TargetMode="External"/><Relationship Id="rId817" Type="http://schemas.openxmlformats.org/officeDocument/2006/relationships/hyperlink" Target="https://drive.google.com/open?id=1OeUU6Y1R5YuQlkzSVdIlruzY5ZvFY7wR&amp;usp=drive_fs" TargetMode="External"/><Relationship Id="rId816" Type="http://schemas.openxmlformats.org/officeDocument/2006/relationships/hyperlink" Target="https://drive.google.com/open?id=1OPKNPC4OVxibfnRmJk703L1WhF-J2fCF&amp;usp=drive_fs" TargetMode="External"/><Relationship Id="rId811" Type="http://schemas.openxmlformats.org/officeDocument/2006/relationships/hyperlink" Target="https://drive.google.com/open?id=1R4gJNBbumNBln4DLu26MKMqyh5WdS02l&amp;usp=drive_fs" TargetMode="External"/><Relationship Id="rId810" Type="http://schemas.openxmlformats.org/officeDocument/2006/relationships/hyperlink" Target="https://drive.google.com/open?id=1PV-SUP0AEE4pi0VrbfCEazrfeNh2NYzo&amp;usp=drive_fs" TargetMode="External"/><Relationship Id="rId815" Type="http://schemas.openxmlformats.org/officeDocument/2006/relationships/hyperlink" Target="https://drive.google.com/open?id=1VyhXGubGLuGh2r142t-qJmvufwfEtO88&amp;usp=drive_fs" TargetMode="External"/><Relationship Id="rId814" Type="http://schemas.openxmlformats.org/officeDocument/2006/relationships/hyperlink" Target="https://drive.google.com/open?id=1Im--jK83imkopy4jN5FBa3_HeSQW_I1l&amp;usp=drive_fs" TargetMode="External"/><Relationship Id="rId813" Type="http://schemas.openxmlformats.org/officeDocument/2006/relationships/hyperlink" Target="https://drive.google.com/open?id=1IgoX8JNq6QGoh9xKxe4v1ELMCpTFufIh&amp;usp=drive_fs" TargetMode="External"/><Relationship Id="rId812" Type="http://schemas.openxmlformats.org/officeDocument/2006/relationships/hyperlink" Target="https://drive.google.com/open?id=1HnqmdmgomlhPEKS9kyPw905EAKelou6q&amp;usp=drive_fs" TargetMode="External"/><Relationship Id="rId1640" Type="http://schemas.openxmlformats.org/officeDocument/2006/relationships/hyperlink" Target="https://drive.google.com/open?id=1Nye8HYLifb1y58D1mBk7eMQ6gHDV4WCB&amp;authuser=jay.agg%40gmail.com&amp;usp=drive_fs" TargetMode="External"/><Relationship Id="rId1641" Type="http://schemas.openxmlformats.org/officeDocument/2006/relationships/hyperlink" Target="https://drive.google.com/open?id=1CRU4JBp3WYLIKLHP3IjdtE_j0DEw390i&amp;authuser=jay.agg%40gmail.com&amp;usp=drive_fs" TargetMode="External"/><Relationship Id="rId1675" Type="http://schemas.openxmlformats.org/officeDocument/2006/relationships/hyperlink" Target="https://drive.google.com/open?id=1JF3ew30KZGziAMsnA3EcVjCnXZV4Tq8o&amp;authuser=jay.agg%40gmail.com&amp;usp=drive_fs" TargetMode="External"/><Relationship Id="rId1676" Type="http://schemas.openxmlformats.org/officeDocument/2006/relationships/hyperlink" Target="https://drive.google.com/open?id=1JOs-mYoUdwbNJ0MsqRbrHGkT1eCiQdSP&amp;authuser=jay.agg%40gmail.com&amp;usp=drive_fs" TargetMode="External"/><Relationship Id="rId1677" Type="http://schemas.openxmlformats.org/officeDocument/2006/relationships/hyperlink" Target="https://drive.google.com/open?id=1JRTUPnj-Fa5PoN3YUDJjbbuR1SoGJ6__&amp;authuser=jay.agg%40gmail.com&amp;usp=drive_fs" TargetMode="External"/><Relationship Id="rId1678" Type="http://schemas.openxmlformats.org/officeDocument/2006/relationships/hyperlink" Target="https://drive.google.com/open?id=1JSU5KuBIETzchUDRbOL0h4pYB7R2Hi04&amp;authuser=jay.agg%40gmail.com&amp;usp=drive_fs" TargetMode="External"/><Relationship Id="rId1679" Type="http://schemas.openxmlformats.org/officeDocument/2006/relationships/hyperlink" Target="https://drive.google.com/open?id=1WW6RQDMEEMhmQ8CCLcn7FMcj0SiSi6DT&amp;authuser=jay.agg%40gmail.com&amp;usp=drive_fs" TargetMode="External"/><Relationship Id="rId849" Type="http://schemas.openxmlformats.org/officeDocument/2006/relationships/hyperlink" Target="https://drive.google.com/open?id=1NomQr41znC6fQmCkVvpfpYeN_eaWYV7F&amp;authuser=jay.agg%40gmail.com&amp;usp=drive_fs" TargetMode="External"/><Relationship Id="rId844" Type="http://schemas.openxmlformats.org/officeDocument/2006/relationships/hyperlink" Target="https://drive.google.com/open?id=16Rz87-Ewz1l8y0qb7D0iNojws4wbigXV&amp;usp=drive_fs" TargetMode="External"/><Relationship Id="rId843" Type="http://schemas.openxmlformats.org/officeDocument/2006/relationships/hyperlink" Target="https://drive.google.com/open?id=1I-Jc6lIMaohQrrOzwPq286uI_nfrU7VO&amp;usp=drive_fs" TargetMode="External"/><Relationship Id="rId842" Type="http://schemas.openxmlformats.org/officeDocument/2006/relationships/hyperlink" Target="https://drive.google.com/open?id=1QkfPGnpAWTpZ8MMPUHV7aL9g6N4HVtcM&amp;usp=drive_fs" TargetMode="External"/><Relationship Id="rId841" Type="http://schemas.openxmlformats.org/officeDocument/2006/relationships/hyperlink" Target="https://drive.google.com/open?id=1pcdQNWHucyMLJmo0R5GDo4c1Wfxh-S2x&amp;usp=drive_fs" TargetMode="External"/><Relationship Id="rId848" Type="http://schemas.openxmlformats.org/officeDocument/2006/relationships/hyperlink" Target="https://drive.google.com/open?id=1NuEYa6izYjgh_i4oDqnymZzTwwyui_nd&amp;authuser=jay.agg%40gmail.com&amp;usp=drive_fs" TargetMode="External"/><Relationship Id="rId847" Type="http://schemas.openxmlformats.org/officeDocument/2006/relationships/hyperlink" Target="https://drive.google.com/open?id=1NwIsP_P9kushhCWr83PhkGQul_Dp1EU0&amp;authuser=jay.agg%40gmail.com&amp;usp=drive_fs" TargetMode="External"/><Relationship Id="rId846" Type="http://schemas.openxmlformats.org/officeDocument/2006/relationships/hyperlink" Target="https://drive.google.com/open?id=1NwNWmkGeLleoH3Z78NAZyLiN5TR7Et2e&amp;authuser=jay.agg%40gmail.com&amp;usp=drive_fs" TargetMode="External"/><Relationship Id="rId845" Type="http://schemas.openxmlformats.org/officeDocument/2006/relationships/hyperlink" Target="https://drive.google.com/open?id=1OQGCFmPSxZoOhWLHW9qH4eodZwrkwhIR&amp;authuser=jay.agg%40gmail.com&amp;usp=drive_fs" TargetMode="External"/><Relationship Id="rId1670" Type="http://schemas.openxmlformats.org/officeDocument/2006/relationships/hyperlink" Target="https://drive.google.com/open?id=1D8UDOya_hVwtLHfig4xse8PqP1TM9Bxv&amp;authuser=jay.agg%40gmail.com&amp;usp=drive_fs" TargetMode="External"/><Relationship Id="rId840" Type="http://schemas.openxmlformats.org/officeDocument/2006/relationships/hyperlink" Target="https://drive.google.com/open?id=1-rhcS5gYM8iVCYnEVD1FWnJejIZCbqUH&amp;usp=drive_fs" TargetMode="External"/><Relationship Id="rId1671" Type="http://schemas.openxmlformats.org/officeDocument/2006/relationships/hyperlink" Target="https://drive.google.com/open?id=1DdIQoi2loL8HCwH67FhueVJIxM2l-KQO&amp;authuser=jay.agg%40gmail.com&amp;usp=drive_fs" TargetMode="External"/><Relationship Id="rId1672" Type="http://schemas.openxmlformats.org/officeDocument/2006/relationships/hyperlink" Target="https://drive.google.com/open?id=1EwKgctvRe78YNHrYLmjrt0H8ZBjXCrXk&amp;authuser=jay.agg%40gmail.com&amp;usp=drive_fs" TargetMode="External"/><Relationship Id="rId1673" Type="http://schemas.openxmlformats.org/officeDocument/2006/relationships/hyperlink" Target="https://drive.google.com/open?id=1EzzMv7DyOgblPe1nVLD28mtM7oNqK5l7&amp;authuser=jay.agg%40gmail.com&amp;usp=drive_fs" TargetMode="External"/><Relationship Id="rId1674" Type="http://schemas.openxmlformats.org/officeDocument/2006/relationships/hyperlink" Target="https://drive.google.com/open?id=1SpG4SVMwK0Z4WCMWvPzzp3aagVzjEsj8&amp;authuser=jay.agg%40gmail.com&amp;usp=drive_fs" TargetMode="External"/><Relationship Id="rId1664" Type="http://schemas.openxmlformats.org/officeDocument/2006/relationships/hyperlink" Target="https://drive.google.com/open?id=1H-XxAKeHsanCT7RXBVtCY-L5Cn1hEkq5&amp;authuser=jay.agg%40gmail.com&amp;usp=drive_fs" TargetMode="External"/><Relationship Id="rId1665" Type="http://schemas.openxmlformats.org/officeDocument/2006/relationships/hyperlink" Target="https://drive.google.com/open?id=15HezeF0SBLq3pkBPoxoBqSeN79vXDACI&amp;authuser=jay.agg%40gmail.com&amp;usp=drive_fs" TargetMode="External"/><Relationship Id="rId1666" Type="http://schemas.openxmlformats.org/officeDocument/2006/relationships/hyperlink" Target="https://drive.google.com/open?id=15ghmS6mwlgT0zML__FpRsCrOxckgMpXZ&amp;authuser=jay.agg%40gmail.com&amp;usp=drive_fs" TargetMode="External"/><Relationship Id="rId1667" Type="http://schemas.openxmlformats.org/officeDocument/2006/relationships/hyperlink" Target="https://drive.google.com/open?id=1PXlU5qb3i7Y5LSnDGngRkAqg0Ks4CxNm&amp;authuser=jay.agg%40gmail.com&amp;usp=drive_fs" TargetMode="External"/><Relationship Id="rId1668" Type="http://schemas.openxmlformats.org/officeDocument/2006/relationships/hyperlink" Target="https://drive.google.com/open?id=1PiBukSUJ10wcNvtXeyGWNqe1_8llMk7E&amp;authuser=jay.agg%40gmail.com&amp;usp=drive_fs" TargetMode="External"/><Relationship Id="rId1669" Type="http://schemas.openxmlformats.org/officeDocument/2006/relationships/hyperlink" Target="https://drive.google.com/open?id=1Pj_fSrLZP9D7oGowjNRCEK4qqsxcu3sU&amp;authuser=jay.agg%40gmail.com&amp;usp=drive_fs" TargetMode="External"/><Relationship Id="rId839" Type="http://schemas.openxmlformats.org/officeDocument/2006/relationships/hyperlink" Target="https://drive.google.com/open?id=1-mb6vYbjaMsRCAGb9cayjqKH-DfaRDup&amp;usp=drive_fs" TargetMode="External"/><Relationship Id="rId838" Type="http://schemas.openxmlformats.org/officeDocument/2006/relationships/hyperlink" Target="https://drive.google.com/open?id=17b4U_3b1lWws8aAiVmlAbwZEUqU4PTBZ&amp;usp=drive_fs" TargetMode="External"/><Relationship Id="rId833" Type="http://schemas.openxmlformats.org/officeDocument/2006/relationships/hyperlink" Target="https://drive.google.com/open?id=1eE5b6h--PIBhsxWLWPmZZlFpskVVj6ti&amp;usp=drive_fs" TargetMode="External"/><Relationship Id="rId832" Type="http://schemas.openxmlformats.org/officeDocument/2006/relationships/hyperlink" Target="https://drive.google.com/open?id=14gCz_4eIL-6jP7EvupbmIuJTldbKBS_t&amp;usp=drive_fs" TargetMode="External"/><Relationship Id="rId831" Type="http://schemas.openxmlformats.org/officeDocument/2006/relationships/hyperlink" Target="https://drive.google.com/open?id=1d_febLDJw0zk-BFmLYTthIhr6IClX6kS&amp;usp=drive_fs" TargetMode="External"/><Relationship Id="rId830" Type="http://schemas.openxmlformats.org/officeDocument/2006/relationships/hyperlink" Target="https://drive.google.com/open?id=1dDQzZ8mnD9fcvHjxpMjZZCLFEjmLKwFk&amp;usp=drive_fs" TargetMode="External"/><Relationship Id="rId837" Type="http://schemas.openxmlformats.org/officeDocument/2006/relationships/hyperlink" Target="https://drive.google.com/open?id=15uhnVLtWsjNdwcPYWdNFeze8-eUDUavR&amp;usp=drive_fs" TargetMode="External"/><Relationship Id="rId836" Type="http://schemas.openxmlformats.org/officeDocument/2006/relationships/hyperlink" Target="https://drive.google.com/open?id=1fzVoi2d3f7ZtwSA1u6LUj3AV3QWD-GwV&amp;usp=drive_fs" TargetMode="External"/><Relationship Id="rId835" Type="http://schemas.openxmlformats.org/officeDocument/2006/relationships/hyperlink" Target="https://drive.google.com/open?id=1ftZEXeRpzEO1DV76oJkLuban_dszQw9o&amp;usp=drive_fs" TargetMode="External"/><Relationship Id="rId834" Type="http://schemas.openxmlformats.org/officeDocument/2006/relationships/hyperlink" Target="https://drive.google.com/open?id=1em4BcQq2KfNyZyh2gUyPl44FXEPJg7Od&amp;usp=drive_fs" TargetMode="External"/><Relationship Id="rId1660" Type="http://schemas.openxmlformats.org/officeDocument/2006/relationships/hyperlink" Target="https://drive.google.com/open?id=1CBt-MY17SZcCIiqpcSwjMALWwW-RQelJ&amp;authuser=jay.agg%40gmail.com&amp;usp=drive_fs" TargetMode="External"/><Relationship Id="rId1661" Type="http://schemas.openxmlformats.org/officeDocument/2006/relationships/hyperlink" Target="https://drive.google.com/open?id=1CDTbKfP19eJWmf1410aKOSRFI_9DTCHP&amp;authuser=jay.agg%40gmail.com&amp;usp=drive_fs" TargetMode="External"/><Relationship Id="rId1662" Type="http://schemas.openxmlformats.org/officeDocument/2006/relationships/hyperlink" Target="https://drive.google.com/open?id=1DI9LPTgvn41rrhOCSB2dzzspdlPVzMLK&amp;authuser=jay.agg%40gmail.com&amp;usp=drive_fs" TargetMode="External"/><Relationship Id="rId1663" Type="http://schemas.openxmlformats.org/officeDocument/2006/relationships/hyperlink" Target="https://drive.google.com/open?id=1DQLlyFMW_lGkfw6deDFs8zQhBDlkCS1G&amp;authuser=jay.agg%40gmail.com&amp;usp=drive_fs" TargetMode="External"/><Relationship Id="rId469" Type="http://schemas.openxmlformats.org/officeDocument/2006/relationships/hyperlink" Target="https://drive.google.com/open?id=1SObkdPaCWqHytg3xlUQK8MBbBd2EDqpK&amp;usp=drive_fs" TargetMode="External"/><Relationship Id="rId468" Type="http://schemas.openxmlformats.org/officeDocument/2006/relationships/hyperlink" Target="https://drive.google.com/open?id=1SHbRjzuHIQ6WFTx-sS00z3YIuSMGY2Y0&amp;usp=drive_fs" TargetMode="External"/><Relationship Id="rId467" Type="http://schemas.openxmlformats.org/officeDocument/2006/relationships/hyperlink" Target="https://drive.google.com/open?id=194-cDTx5TGipf8wg8Hoz3NrTM6e4LJ3T&amp;usp=drive_fs" TargetMode="External"/><Relationship Id="rId1290" Type="http://schemas.openxmlformats.org/officeDocument/2006/relationships/hyperlink" Target="https://drive.google.com/open?id=10yuAQUL5Jm0Ci77CD0uISq4CdKhw7F49&amp;authuser=jay.agg%40gmail.com&amp;usp=drive_fs" TargetMode="External"/><Relationship Id="rId1291" Type="http://schemas.openxmlformats.org/officeDocument/2006/relationships/hyperlink" Target="https://drive.google.com/open?id=13q6rfK7Zve_Pkqr8tfqYFj2ytNw6NZxI&amp;authuser=jay.agg%40gmail.com&amp;usp=drive_fs" TargetMode="External"/><Relationship Id="rId1292" Type="http://schemas.openxmlformats.org/officeDocument/2006/relationships/hyperlink" Target="https://drive.google.com/open?id=17Cf_FTsCRKD87DUXscAx2-U6X12H8LYl&amp;authuser=jay.agg%40gmail.com&amp;usp=drive_fs" TargetMode="External"/><Relationship Id="rId462" Type="http://schemas.openxmlformats.org/officeDocument/2006/relationships/hyperlink" Target="https://drive.google.com/open?id=18EQmuCoIyA9Rh61aHxQWHSV53k0GVkk_&amp;usp=drive_fs" TargetMode="External"/><Relationship Id="rId1293" Type="http://schemas.openxmlformats.org/officeDocument/2006/relationships/hyperlink" Target="https://drive.google.com/open?id=1MgD_XUGpDCE8e_LkG_WiKpPZlzmudyCj&amp;authuser=jay.agg%40gmail.com&amp;usp=drive_fs" TargetMode="External"/><Relationship Id="rId461" Type="http://schemas.openxmlformats.org/officeDocument/2006/relationships/hyperlink" Target="https://drive.google.com/open?id=1FEEmMAXqGuQRU93pBeHbeqIyEK4msQKN&amp;authuser=jay.agg%40gmail.com&amp;usp=drive_fs" TargetMode="External"/><Relationship Id="rId1294" Type="http://schemas.openxmlformats.org/officeDocument/2006/relationships/hyperlink" Target="https://drive.google.com/open?id=1OOVwwB6KNnh9H_x5-OEsY9xgDxUgmm9p&amp;authuser=jay.agg%40gmail.com&amp;usp=drive_fs" TargetMode="External"/><Relationship Id="rId460" Type="http://schemas.openxmlformats.org/officeDocument/2006/relationships/hyperlink" Target="https://drive.google.com/open?id=1-CLr-UkVxJtxVCo3mqe4LHghEn_jXG07&amp;authuser=jay.agg%40gmail.com&amp;usp=drive_fs" TargetMode="External"/><Relationship Id="rId1295" Type="http://schemas.openxmlformats.org/officeDocument/2006/relationships/hyperlink" Target="https://drive.google.com/open?id=17oIMUdqVNe7ASgeRyuYZJndEq94MwBwg&amp;authuser=jay.agg%40gmail.com&amp;usp=drive_fs" TargetMode="External"/><Relationship Id="rId1296" Type="http://schemas.openxmlformats.org/officeDocument/2006/relationships/hyperlink" Target="https://drive.google.com/open?id=11JX12IM4e5Tnfo3Gn9rZ6DJKHxv5hmCJ&amp;authuser=jay.agg%40gmail.com&amp;usp=drive_fs" TargetMode="External"/><Relationship Id="rId466" Type="http://schemas.openxmlformats.org/officeDocument/2006/relationships/hyperlink" Target="https://drive.google.com/open?id=192xkOjyuqQss9hXlUWxhob_35IdXslLT&amp;usp=drive_fs" TargetMode="External"/><Relationship Id="rId1297" Type="http://schemas.openxmlformats.org/officeDocument/2006/relationships/hyperlink" Target="https://drive.google.com/open?id=11FLcK-4Z8vm4aOJIFZ7ZfTJNrMJyEDlq&amp;authuser=jay.agg%40gmail.com&amp;usp=drive_fs" TargetMode="External"/><Relationship Id="rId465" Type="http://schemas.openxmlformats.org/officeDocument/2006/relationships/hyperlink" Target="https://drive.google.com/open?id=18wSvDL-YFdzoLRJ15wkONUMwcl6u1IDx&amp;usp=drive_fs" TargetMode="External"/><Relationship Id="rId1298" Type="http://schemas.openxmlformats.org/officeDocument/2006/relationships/hyperlink" Target="https://drive.google.com/open?id=128EQdpkTYD_BlhqIc8bXr2tiyeb_u5rz&amp;authuser=jay.agg%40gmail.com&amp;usp=drive_fs" TargetMode="External"/><Relationship Id="rId464" Type="http://schemas.openxmlformats.org/officeDocument/2006/relationships/hyperlink" Target="https://drive.google.com/open?id=18iCN72BgpbDCh2cOTcvvjQM9PnJjvGEO&amp;usp=drive_fs" TargetMode="External"/><Relationship Id="rId1299" Type="http://schemas.openxmlformats.org/officeDocument/2006/relationships/hyperlink" Target="https://drive.google.com/open?id=12CgJlx648QJZ87Kq_5t7dgHz43giXEz0&amp;authuser=jay.agg%40gmail.com&amp;usp=drive_fs" TargetMode="External"/><Relationship Id="rId463" Type="http://schemas.openxmlformats.org/officeDocument/2006/relationships/hyperlink" Target="https://drive.google.com/open?id=1QWJvNs0Qz9qhvf3qe7b0pTA_hFCapC28&amp;usp=drive_fs" TargetMode="External"/><Relationship Id="rId459" Type="http://schemas.openxmlformats.org/officeDocument/2006/relationships/hyperlink" Target="https://drive.google.com/open?id=1CXPDjxvyzTIt_k1u9Gkn2MgS-obc5ozQ&amp;authuser=jay.agg%40gmail.com&amp;usp=drive_fs" TargetMode="External"/><Relationship Id="rId458" Type="http://schemas.openxmlformats.org/officeDocument/2006/relationships/hyperlink" Target="https://drive.google.com/open?id=1cnyIdRLmCOBRgidIlu7C7n8s1a2zMqKR&amp;authuser=jay.agg%40gmail.com&amp;usp=drive_fs" TargetMode="External"/><Relationship Id="rId457" Type="http://schemas.openxmlformats.org/officeDocument/2006/relationships/hyperlink" Target="https://drive.google.com/open?id=1-c8etHL68eEyoCOWZIzWphkBZB9c5Se0&amp;authuser=jay.agg%40gmail.com&amp;usp=drive_fs" TargetMode="External"/><Relationship Id="rId456" Type="http://schemas.openxmlformats.org/officeDocument/2006/relationships/hyperlink" Target="https://drive.google.com/open?id=1VDsny2b9rpCdrrQOtrnfNPH6pqREJ1M4&amp;authuser=jay.agg%40gmail.com&amp;usp=drive_fs" TargetMode="External"/><Relationship Id="rId1280" Type="http://schemas.openxmlformats.org/officeDocument/2006/relationships/hyperlink" Target="https://drive.google.com/open?id=1tqCw1FKRgv6Wn_cNPjvHP_eojax1clDj&amp;authuser=jay.agg%40gmail.com&amp;usp=drive_fs" TargetMode="External"/><Relationship Id="rId1281" Type="http://schemas.openxmlformats.org/officeDocument/2006/relationships/hyperlink" Target="https://drive.google.com/open?id=1ttfeQvpRzuMwCXP8orC_fxUzJbrINPnW&amp;authuser=jay.agg%40gmail.com&amp;usp=drive_fs" TargetMode="External"/><Relationship Id="rId451" Type="http://schemas.openxmlformats.org/officeDocument/2006/relationships/hyperlink" Target="https://drive.google.com/open?id=1Src_u0SqpnMvwwBeA0dA0n-dpK1q0-nO&amp;authuser=jay.agg%40gmail.com&amp;usp=drive_fs" TargetMode="External"/><Relationship Id="rId1282" Type="http://schemas.openxmlformats.org/officeDocument/2006/relationships/hyperlink" Target="https://drive.google.com/open?id=1tx53preCAUIY3JjRLhoCBY5Rvd67lxYP&amp;authuser=jay.agg%40gmail.com&amp;usp=drive_fs" TargetMode="External"/><Relationship Id="rId450" Type="http://schemas.openxmlformats.org/officeDocument/2006/relationships/hyperlink" Target="https://drive.google.com/open?id=1Qds1B0_Z1ebvYNVsIztoqCkJ1jdYLtDj&amp;authuser=jay.agg%40gmail.com&amp;usp=drive_fs" TargetMode="External"/><Relationship Id="rId1283" Type="http://schemas.openxmlformats.org/officeDocument/2006/relationships/hyperlink" Target="https://drive.google.com/open?id=1u3jKPLKjjzsPbjk62ICXBSJp4SqP8BXa&amp;authuser=jay.agg%40gmail.com&amp;usp=drive_fs" TargetMode="External"/><Relationship Id="rId1284" Type="http://schemas.openxmlformats.org/officeDocument/2006/relationships/hyperlink" Target="https://drive.google.com/open?id=1u1Y2WJdoQ31VZ83pjgWePgJWB2qv9VFE&amp;authuser=jay.agg%40gmail.com&amp;usp=drive_fs" TargetMode="External"/><Relationship Id="rId1285" Type="http://schemas.openxmlformats.org/officeDocument/2006/relationships/hyperlink" Target="https://drive.google.com/open?id=1u0nJaYohqPzEw8x_OWAUMBFq4dHUKTfL&amp;authuser=jay.agg%40gmail.com&amp;usp=drive_fs" TargetMode="External"/><Relationship Id="rId455" Type="http://schemas.openxmlformats.org/officeDocument/2006/relationships/hyperlink" Target="https://drive.google.com/open?id=1UjqH9I2T6ssJRQnDZ5-7-DRsWJdUvdxZ&amp;authuser=jay.agg%40gmail.com&amp;usp=drive_fs" TargetMode="External"/><Relationship Id="rId1286" Type="http://schemas.openxmlformats.org/officeDocument/2006/relationships/hyperlink" Target="https://drive.google.com/open?id=1u4Myvnl-dwd1GxqGEdpnjZWVJQ8mMz2A&amp;authuser=jay.agg%40gmail.com&amp;usp=drive_fs" TargetMode="External"/><Relationship Id="rId454" Type="http://schemas.openxmlformats.org/officeDocument/2006/relationships/hyperlink" Target="https://drive.google.com/open?id=1UhiKn8J4hTkngWqRxXMkmKJT50M2YHGx&amp;authuser=jay.agg%40gmail.com&amp;usp=drive_fs" TargetMode="External"/><Relationship Id="rId1287" Type="http://schemas.openxmlformats.org/officeDocument/2006/relationships/hyperlink" Target="https://drive.google.com/open?id=1uEPNPIy4Ege8BcYemvlQe-cEDW6zshqI&amp;authuser=jay.agg%40gmail.com&amp;usp=drive_fs" TargetMode="External"/><Relationship Id="rId453" Type="http://schemas.openxmlformats.org/officeDocument/2006/relationships/hyperlink" Target="https://drive.google.com/open?id=1TCRZ8ZaKhoAFGf0e-S0ZgDfN5DFQPxVc&amp;authuser=jay.agg%40gmail.com&amp;usp=drive_fs" TargetMode="External"/><Relationship Id="rId1288" Type="http://schemas.openxmlformats.org/officeDocument/2006/relationships/hyperlink" Target="https://drive.google.com/open?id=1uFWOrxGtTmqjYzHj4_B-lRXK3j-4FmmA&amp;authuser=jay.agg%40gmail.com&amp;usp=drive_fs" TargetMode="External"/><Relationship Id="rId452" Type="http://schemas.openxmlformats.org/officeDocument/2006/relationships/hyperlink" Target="https://drive.google.com/open?id=1TB1_4YeZ3hGAlcGXk1_QOz4N0vqsyR57&amp;authuser=jay.agg%40gmail.com&amp;usp=drive_fs" TargetMode="External"/><Relationship Id="rId1289" Type="http://schemas.openxmlformats.org/officeDocument/2006/relationships/hyperlink" Target="https://drive.google.com/open?id=1uM4AIu05MkeVwxkHIEiYYxM9IS6mxVli&amp;authuser=jay.agg%40gmail.com&amp;usp=drive_fs" TargetMode="External"/><Relationship Id="rId491" Type="http://schemas.openxmlformats.org/officeDocument/2006/relationships/hyperlink" Target="https://drive.google.com/open?id=1kX-pwF4iO9GDbyGPQ7yTKbEuskDJhr2L&amp;usp=drive_fs" TargetMode="External"/><Relationship Id="rId490" Type="http://schemas.openxmlformats.org/officeDocument/2006/relationships/hyperlink" Target="https://drive.google.com/open?id=1kX-pwF4iO9GDbyGPQ7yTKbEuskDJhr2L&amp;usp=drive_fs" TargetMode="External"/><Relationship Id="rId489" Type="http://schemas.openxmlformats.org/officeDocument/2006/relationships/hyperlink" Target="https://drive.google.com/open?id=1NMe_Pgzn3626R5tdiYTZSrLRHIdmOcQn&amp;usp=drive_fs" TargetMode="External"/><Relationship Id="rId484" Type="http://schemas.openxmlformats.org/officeDocument/2006/relationships/hyperlink" Target="https://drive.google.com/open?id=1-NnGYjqV0g7KvsWQw81sAAEcTykO5xRk&amp;usp=drive_fs" TargetMode="External"/><Relationship Id="rId483" Type="http://schemas.openxmlformats.org/officeDocument/2006/relationships/hyperlink" Target="https://drive.google.com/open?id=1-FjI7fnmACr80dWFpeVvC_IVoRx5NPkL&amp;usp=drive_fs" TargetMode="External"/><Relationship Id="rId482" Type="http://schemas.openxmlformats.org/officeDocument/2006/relationships/hyperlink" Target="https://drive.google.com/open?id=1fxvTj8645tGtVC8-i7HL8MAxYdM80Y7B&amp;usp=drive_fs" TargetMode="External"/><Relationship Id="rId481" Type="http://schemas.openxmlformats.org/officeDocument/2006/relationships/hyperlink" Target="https://drive.google.com/open?id=10jeB26ywQ_aoIuiKQqytgsVyH5khrg3_&amp;usp=drive_fs" TargetMode="External"/><Relationship Id="rId488" Type="http://schemas.openxmlformats.org/officeDocument/2006/relationships/hyperlink" Target="https://drive.google.com/open?id=10CeX_z2D2KB_NF5skuek-FFfx7UKPcli&amp;usp=drive_fs" TargetMode="External"/><Relationship Id="rId487" Type="http://schemas.openxmlformats.org/officeDocument/2006/relationships/hyperlink" Target="https://drive.google.com/open?id=10CeX_z2D2KB_NF5skuek-FFfx7UKPcli&amp;usp=drive_fs" TargetMode="External"/><Relationship Id="rId486" Type="http://schemas.openxmlformats.org/officeDocument/2006/relationships/hyperlink" Target="https://drive.google.com/open?id=1-R1ONEmh78DfkS3-l3dJI8cEhIMf1w27&amp;usp=drive_fs" TargetMode="External"/><Relationship Id="rId485" Type="http://schemas.openxmlformats.org/officeDocument/2006/relationships/hyperlink" Target="https://drive.google.com/open?id=1-HYfqbsYoulTYJEJ8NVhahYjFHk71o4Z&amp;usp=drive_fs" TargetMode="External"/><Relationship Id="rId480" Type="http://schemas.openxmlformats.org/officeDocument/2006/relationships/hyperlink" Target="https://drive.google.com/open?id=144XNvBa2vONJCB_soomiXmUUUKVoqTAN&amp;usp=drive_fs" TargetMode="External"/><Relationship Id="rId479" Type="http://schemas.openxmlformats.org/officeDocument/2006/relationships/hyperlink" Target="https://drive.google.com/open?id=141KZNx8qzw0UA3pHnvXOn70BoiRoViNW&amp;usp=drive_fs" TargetMode="External"/><Relationship Id="rId478" Type="http://schemas.openxmlformats.org/officeDocument/2006/relationships/hyperlink" Target="https://drive.google.com/open?id=1R2ZgkydTJ1utYzRqJWsk16_E-YcNyZXI&amp;usp=drive_fs" TargetMode="External"/><Relationship Id="rId473" Type="http://schemas.openxmlformats.org/officeDocument/2006/relationships/hyperlink" Target="https://drive.google.com/open?id=1OPf2hOgxA_Xc1TxSUfm1icaSE3ySD0dj&amp;usp=drive_fs" TargetMode="External"/><Relationship Id="rId472" Type="http://schemas.openxmlformats.org/officeDocument/2006/relationships/hyperlink" Target="https://drive.google.com/open?id=1IF4Nj9MShwOZ7oM_gJJRos_I1rJabW-U&amp;usp=drive_fs" TargetMode="External"/><Relationship Id="rId471" Type="http://schemas.openxmlformats.org/officeDocument/2006/relationships/hyperlink" Target="https://drive.google.com/open?id=1BavIH7W0d3CyVUn1T_n0kc_j9diEg16S&amp;usp=drive_fs" TargetMode="External"/><Relationship Id="rId470" Type="http://schemas.openxmlformats.org/officeDocument/2006/relationships/hyperlink" Target="https://drive.google.com/open?id=1BV7658YsyZ-dDIF1uiAcoq2RhkfjbOYm&amp;usp=drive_fs" TargetMode="External"/><Relationship Id="rId477" Type="http://schemas.openxmlformats.org/officeDocument/2006/relationships/hyperlink" Target="https://drive.google.com/open?id=14052XphC2xZvyH9zbf5g6oafVNuimGL1&amp;usp=drive_fs" TargetMode="External"/><Relationship Id="rId476" Type="http://schemas.openxmlformats.org/officeDocument/2006/relationships/hyperlink" Target="https://drive.google.com/open?id=12XphRf0GeM_3YzseA4uaVhdrRYjSZ32f&amp;usp=drive_fs" TargetMode="External"/><Relationship Id="rId475" Type="http://schemas.openxmlformats.org/officeDocument/2006/relationships/hyperlink" Target="https://drive.google.com/open?id=1Pg4BB9bmHSTOcKBWEGXOFg4UcaExCPiS&amp;usp=drive_fs" TargetMode="External"/><Relationship Id="rId474" Type="http://schemas.openxmlformats.org/officeDocument/2006/relationships/hyperlink" Target="https://drive.google.com/open?id=10jeB26ywQ_aoIuiKQqytgsVyH5khrg3_&amp;usp=drive_fs" TargetMode="External"/><Relationship Id="rId1257" Type="http://schemas.openxmlformats.org/officeDocument/2006/relationships/hyperlink" Target="https://drive.google.com/open?id=1YFCgc_BWabEvGjWs_0b6l3d8aEn1xxgY&amp;authuser=jay.agg%40gmail.com&amp;usp=drive_fs" TargetMode="External"/><Relationship Id="rId1258" Type="http://schemas.openxmlformats.org/officeDocument/2006/relationships/hyperlink" Target="https://drive.google.com/open?id=1ZBMC_jae-XNLK_NSe0ayTfFuAUZkBaqp&amp;authuser=jay.agg%40gmail.com&amp;usp=drive_fs" TargetMode="External"/><Relationship Id="rId1259" Type="http://schemas.openxmlformats.org/officeDocument/2006/relationships/hyperlink" Target="https://drive.google.com/open?id=1ZR2NVn81JdyS6hQXJPzTlFXNyVy39F5A&amp;authuser=jay.agg%40gmail.com&amp;usp=drive_fs" TargetMode="External"/><Relationship Id="rId426" Type="http://schemas.openxmlformats.org/officeDocument/2006/relationships/hyperlink" Target="https://drive.google.com/open?id=1iOdpJVBfDAl33QYlojvH99PNBK0GaDWK&amp;authuser=jay.agg%40gmail.com&amp;usp=drive_fs" TargetMode="External"/><Relationship Id="rId425" Type="http://schemas.openxmlformats.org/officeDocument/2006/relationships/hyperlink" Target="https://drive.google.com/open?id=1hSeyKJ1hBQ6G-yX5IwyCjff-lO39iQWq&amp;authuser=jay.agg%40gmail.com&amp;usp=drive_fs" TargetMode="External"/><Relationship Id="rId424" Type="http://schemas.openxmlformats.org/officeDocument/2006/relationships/hyperlink" Target="https://drive.google.com/open?id=1aIybgTeiRLRTGuxBBZThhDTM8WSBgdZ3&amp;authuser=jay.agg%40gmail.com&amp;usp=drive_fs" TargetMode="External"/><Relationship Id="rId423" Type="http://schemas.openxmlformats.org/officeDocument/2006/relationships/hyperlink" Target="https://drive.google.com/open?id=1aIusfbEUnh2y61fcUtLN1s69x_Tqs8Th&amp;authuser=jay.agg%40gmail.com&amp;usp=drive_fs" TargetMode="External"/><Relationship Id="rId429" Type="http://schemas.openxmlformats.org/officeDocument/2006/relationships/hyperlink" Target="https://drive.google.com/open?id=161OP8BBrNf_sCnzWa3Ps9JYbqCNp5wIR&amp;authuser=jay.agg%40gmail.com&amp;usp=drive_fs" TargetMode="External"/><Relationship Id="rId428" Type="http://schemas.openxmlformats.org/officeDocument/2006/relationships/hyperlink" Target="https://drive.google.com/open?id=1np649eha-fKQtYVp-SNyj2b86Vw6RxAr&amp;authuser=jay.agg%40gmail.com&amp;usp=drive_fs" TargetMode="External"/><Relationship Id="rId427" Type="http://schemas.openxmlformats.org/officeDocument/2006/relationships/hyperlink" Target="https://drive.google.com/open?id=1nh0I77l1wz06xfCgEVGjce1i8903ajsc&amp;authuser=jay.agg%40gmail.com&amp;usp=drive_fs" TargetMode="External"/><Relationship Id="rId1250" Type="http://schemas.openxmlformats.org/officeDocument/2006/relationships/hyperlink" Target="https://drive.google.com/open?id=1_wFpgnTX4Ksj-g67Sr1-AF3D12fUtL9p&amp;authuser=jay.agg%40gmail.com&amp;usp=drive_fs" TargetMode="External"/><Relationship Id="rId1251" Type="http://schemas.openxmlformats.org/officeDocument/2006/relationships/hyperlink" Target="https://drive.google.com/open?id=1YKVA-U_oqNlt19wgurE6i4_9nmcs7l8T&amp;authuser=jay.agg%40gmail.com&amp;usp=drive_fs" TargetMode="External"/><Relationship Id="rId1252" Type="http://schemas.openxmlformats.org/officeDocument/2006/relationships/hyperlink" Target="https://drive.google.com/open?id=1YLqPET4lvJZtMujnW5b57W_BY3q-qHTB&amp;authuser=jay.agg%40gmail.com&amp;usp=drive_fs" TargetMode="External"/><Relationship Id="rId422" Type="http://schemas.openxmlformats.org/officeDocument/2006/relationships/hyperlink" Target="https://drive.google.com/open?id=1aDFrqvaIXY4BsXjbD-d0XxClXe1HnyTO&amp;authuser=jay.agg%40gmail.com&amp;usp=drive_fs" TargetMode="External"/><Relationship Id="rId1253" Type="http://schemas.openxmlformats.org/officeDocument/2006/relationships/hyperlink" Target="https://drive.google.com/open?id=1YModxDDaYFJ3CWSaplz_hWjKWxqDHYky&amp;authuser=jay.agg%40gmail.com&amp;usp=drive_fs" TargetMode="External"/><Relationship Id="rId421" Type="http://schemas.openxmlformats.org/officeDocument/2006/relationships/hyperlink" Target="https://drive.google.com/open?id=1YskJyOgYLxXjMNASIyEpSB-Yst-LBCIA&amp;authuser=jay.agg%40gmail.com&amp;usp=drive_fs" TargetMode="External"/><Relationship Id="rId1254" Type="http://schemas.openxmlformats.org/officeDocument/2006/relationships/hyperlink" Target="https://drive.google.com/open?id=1YTaq9nHT9gMNgFiktQ2gsVP0tfv2lbi3&amp;authuser=jay.agg%40gmail.com&amp;usp=drive_fs" TargetMode="External"/><Relationship Id="rId420" Type="http://schemas.openxmlformats.org/officeDocument/2006/relationships/hyperlink" Target="https://drive.google.com/open?id=1YzGUf9bOviSOMjIbbBzeEmCQ4GVl1TRQ&amp;authuser=jay.agg%40gmail.com&amp;usp=drive_fs" TargetMode="External"/><Relationship Id="rId1255" Type="http://schemas.openxmlformats.org/officeDocument/2006/relationships/hyperlink" Target="https://drive.google.com/open?id=1_1bkwJfvvXKOZ7gkez59jFow9rVWUjtV&amp;authuser=jay.agg%40gmail.com&amp;usp=drive_fs" TargetMode="External"/><Relationship Id="rId1256" Type="http://schemas.openxmlformats.org/officeDocument/2006/relationships/hyperlink" Target="https://drive.google.com/open?id=1_ChbYSnFIXai7VRMu-5N6Il1Eg_fMLjp&amp;authuser=jay.agg%40gmail.com&amp;usp=drive_fs" TargetMode="External"/><Relationship Id="rId1246" Type="http://schemas.openxmlformats.org/officeDocument/2006/relationships/hyperlink" Target="https://drive.google.com/open?id=1Yn4c9YB52LP9uvlU9t-TomZUXeGPs-4O&amp;authuser=jay.agg%40gmail.com&amp;usp=drive_fs" TargetMode="External"/><Relationship Id="rId1247" Type="http://schemas.openxmlformats.org/officeDocument/2006/relationships/hyperlink" Target="https://drive.google.com/open?id=1YUlhLQONnN3oBPtAVM4w3yKzCUsMlDr8&amp;authuser=jay.agg%40gmail.com&amp;usp=drive_fs" TargetMode="External"/><Relationship Id="rId1248" Type="http://schemas.openxmlformats.org/officeDocument/2006/relationships/hyperlink" Target="https://drive.google.com/open?id=1YjHvIruwVfg_H8pqLP1kkfF3FafmFgBz&amp;authuser=jay.agg%40gmail.com&amp;usp=drive_fs" TargetMode="External"/><Relationship Id="rId1249" Type="http://schemas.openxmlformats.org/officeDocument/2006/relationships/hyperlink" Target="https://drive.google.com/open?id=1YWyUV_3Q8yPaZ907JeUOoH41yW4MiB5z&amp;authuser=jay.agg%40gmail.com&amp;usp=drive_fs" TargetMode="External"/><Relationship Id="rId415" Type="http://schemas.openxmlformats.org/officeDocument/2006/relationships/hyperlink" Target="https://drive.google.com/open?id=1WDOMiNczbhrYDZC9ra9Uw51BrftkxjEQ&amp;authuser=jay.agg%40gmail.com&amp;usp=drive_fs" TargetMode="External"/><Relationship Id="rId899" Type="http://schemas.openxmlformats.org/officeDocument/2006/relationships/hyperlink" Target="https://drive.google.com/open?id=1QGfHkimxnL39kvC50q3u19VqZdqa0o4c&amp;authuser=jay.agg%40gmail.com&amp;usp=drive_fs" TargetMode="External"/><Relationship Id="rId414" Type="http://schemas.openxmlformats.org/officeDocument/2006/relationships/hyperlink" Target="https://drive.google.com/open?id=1WAKvpMRrVWLeLLttdpovl0k7_OdCIJUe&amp;authuser=jay.agg%40gmail.com&amp;usp=drive_fs" TargetMode="External"/><Relationship Id="rId898" Type="http://schemas.openxmlformats.org/officeDocument/2006/relationships/hyperlink" Target="https://drive.google.com/open?id=1QDY3zesdEh7HbNnGO5mDym9903dLvJeQ&amp;authuser=jay.agg%40gmail.com&amp;usp=drive_fs" TargetMode="External"/><Relationship Id="rId413" Type="http://schemas.openxmlformats.org/officeDocument/2006/relationships/hyperlink" Target="https://drive.google.com/open?id=1W90pC_F2FPCf-oYpkZkOgEIfUUEKiIRo&amp;authuser=jay.agg%40gmail.com&amp;usp=drive_fs" TargetMode="External"/><Relationship Id="rId897" Type="http://schemas.openxmlformats.org/officeDocument/2006/relationships/hyperlink" Target="https://drive.google.com/open?id=1QD0jg_m-r75K3BU_DYlMHBvZaA05oB4C&amp;authuser=jay.agg%40gmail.com&amp;usp=drive_fs" TargetMode="External"/><Relationship Id="rId412" Type="http://schemas.openxmlformats.org/officeDocument/2006/relationships/hyperlink" Target="https://drive.google.com/open?id=1K8lfCTHW1bbXOZl2FXMzJJ4mCqDpkk30&amp;authuser=jay.agg%40gmail.com&amp;usp=drive_fs" TargetMode="External"/><Relationship Id="rId896" Type="http://schemas.openxmlformats.org/officeDocument/2006/relationships/hyperlink" Target="https://drive.google.com/open?id=1Q96eByObfYzP3WFc2a7m7E_vhaIYua3C&amp;authuser=jay.agg%40gmail.com&amp;usp=drive_fs" TargetMode="External"/><Relationship Id="rId419" Type="http://schemas.openxmlformats.org/officeDocument/2006/relationships/hyperlink" Target="https://drive.google.com/open?id=1bFJMouqJKUUp7OyZoS5hr1YdMefZnQe2&amp;authuser=jay.agg%40gmail.com&amp;usp=drive_fs" TargetMode="External"/><Relationship Id="rId418" Type="http://schemas.openxmlformats.org/officeDocument/2006/relationships/hyperlink" Target="https://drive.google.com/open?id=1a1Nmjj6669Z-54xKxQzzpdtdmX4euyEp&amp;authuser=jay.agg%40gmail.com&amp;usp=drive_fs" TargetMode="External"/><Relationship Id="rId417" Type="http://schemas.openxmlformats.org/officeDocument/2006/relationships/hyperlink" Target="https://drive.google.com/open?id=1Zr48u6JCb198CIjYkRE8oCjFiir4ZNaM&amp;authuser=jay.agg%40gmail.com&amp;usp=drive_fs" TargetMode="External"/><Relationship Id="rId416" Type="http://schemas.openxmlformats.org/officeDocument/2006/relationships/hyperlink" Target="https://drive.google.com/open?id=1X2YIn8VnpTC3T_Ufu_6EWi4K9K89qvQs&amp;authuser=jay.agg%40gmail.com&amp;usp=drive_fs" TargetMode="External"/><Relationship Id="rId891" Type="http://schemas.openxmlformats.org/officeDocument/2006/relationships/hyperlink" Target="https://drive.google.com/open?id=1SFTmrq_nk6FAgnaHFIwvZrUp0IrljROy&amp;usp=drive_fs" TargetMode="External"/><Relationship Id="rId890" Type="http://schemas.openxmlformats.org/officeDocument/2006/relationships/hyperlink" Target="https://drive.google.com/open?id=1SDJypEYfvIJSFlJ4vR6WsXAS5Pj5eAST&amp;usp=drive_fs" TargetMode="External"/><Relationship Id="rId1240" Type="http://schemas.openxmlformats.org/officeDocument/2006/relationships/hyperlink" Target="https://drive.google.com/open?id=1Yq-hrEjFe-XIi1V0UEZd-SFoC275GTAy&amp;authuser=jay.agg%40gmail.com&amp;usp=drive_fs" TargetMode="External"/><Relationship Id="rId1241" Type="http://schemas.openxmlformats.org/officeDocument/2006/relationships/hyperlink" Target="https://drive.google.com/open?id=1_AWwlBI8LuPzDTIjMnnyKRGt9Mng8sJb&amp;authuser=jay.agg%40gmail.com&amp;usp=drive_fs" TargetMode="External"/><Relationship Id="rId411" Type="http://schemas.openxmlformats.org/officeDocument/2006/relationships/hyperlink" Target="https://drive.google.com/open?id=1JrfjwU2aciON4uiv3-ztci73aqHDWtCu&amp;authuser=jay.agg%40gmail.com&amp;usp=drive_fs" TargetMode="External"/><Relationship Id="rId895" Type="http://schemas.openxmlformats.org/officeDocument/2006/relationships/hyperlink" Target="https://drive.google.com/open?id=10kkkbl0znzrEV69o7cR5beC4Xi4u0UJ-&amp;usp=drive_fs" TargetMode="External"/><Relationship Id="rId1242" Type="http://schemas.openxmlformats.org/officeDocument/2006/relationships/hyperlink" Target="https://drive.google.com/open?id=1__BV3XbF_qq0tDy49EpzUi0BsPmJO0E3&amp;authuser=jay.agg%40gmail.com&amp;usp=drive_fs" TargetMode="External"/><Relationship Id="rId410" Type="http://schemas.openxmlformats.org/officeDocument/2006/relationships/hyperlink" Target="https://drive.google.com/open?id=1JrOu7OcHfcdd5sY3Lxb8Hbo5nZy4NTtp&amp;authuser=jay.agg%40gmail.com&amp;usp=drive_fs" TargetMode="External"/><Relationship Id="rId894" Type="http://schemas.openxmlformats.org/officeDocument/2006/relationships/hyperlink" Target="https://drive.google.com/open?id=10d8qLayMZG95wa_WsckR0X9lFS1GS3yB&amp;usp=drive_fs" TargetMode="External"/><Relationship Id="rId1243" Type="http://schemas.openxmlformats.org/officeDocument/2006/relationships/hyperlink" Target="https://drive.google.com/open?id=1_elbvOGnKzMwb05H4V47vGDf_rwgR1EB&amp;authuser=jay.agg%40gmail.com&amp;usp=drive_fs" TargetMode="External"/><Relationship Id="rId893" Type="http://schemas.openxmlformats.org/officeDocument/2006/relationships/hyperlink" Target="https://drive.google.com/open?id=1-HGkZFWVfEU28-aDIRnakrFbMJpUL1Jp&amp;usp=drive_fs" TargetMode="External"/><Relationship Id="rId1244" Type="http://schemas.openxmlformats.org/officeDocument/2006/relationships/hyperlink" Target="https://drive.google.com/open?id=1_h46tSikSHieyaC6MU82IqxzLfzLRVmB&amp;authuser=jay.agg%40gmail.com&amp;usp=drive_fs" TargetMode="External"/><Relationship Id="rId892" Type="http://schemas.openxmlformats.org/officeDocument/2006/relationships/hyperlink" Target="https://drive.google.com/open?id=1cJwjEUbIvXy8cVkjf9mHhP9-zyvqhxzp&amp;usp=drive_fs" TargetMode="External"/><Relationship Id="rId1245" Type="http://schemas.openxmlformats.org/officeDocument/2006/relationships/hyperlink" Target="https://drive.google.com/open?id=1_tt6Z4igFefQiydqOB8eFcN4mD68a68h&amp;authuser=jay.agg%40gmail.com&amp;usp=drive_fs" TargetMode="External"/><Relationship Id="rId1279" Type="http://schemas.openxmlformats.org/officeDocument/2006/relationships/hyperlink" Target="https://drive.google.com/open?id=1toz0hXzFTCzofS5tY8Nw0n37jbL1AgUC&amp;authuser=jay.agg%40gmail.com&amp;usp=drive_fs" TargetMode="External"/><Relationship Id="rId448" Type="http://schemas.openxmlformats.org/officeDocument/2006/relationships/hyperlink" Target="https://drive.google.com/open?id=114K5WMS2hmb2PA1OFsGsrnib5j8zBkQt&amp;authuser=jay.agg%40gmail.com&amp;usp=drive_fs" TargetMode="External"/><Relationship Id="rId447" Type="http://schemas.openxmlformats.org/officeDocument/2006/relationships/hyperlink" Target="https://drive.google.com/open?id=1LpgEWa1h3MLhyxWbstImqTcLqy4Xn46P&amp;authuser=jay.agg%40gmail.com&amp;usp=drive_fs" TargetMode="External"/><Relationship Id="rId446" Type="http://schemas.openxmlformats.org/officeDocument/2006/relationships/hyperlink" Target="https://drive.google.com/open?id=10vNY-Y9mfg7s2G1K37G23q9ewhnLtGT8&amp;authuser=jay.agg%40gmail.com&amp;usp=drive_fs" TargetMode="External"/><Relationship Id="rId445" Type="http://schemas.openxmlformats.org/officeDocument/2006/relationships/hyperlink" Target="https://drive.google.com/open?id=1JDYGW0j0rB6c8vpw15mcB-rgMFO2rw6Q&amp;authuser=jay.agg%40gmail.com&amp;usp=drive_fs" TargetMode="External"/><Relationship Id="rId449" Type="http://schemas.openxmlformats.org/officeDocument/2006/relationships/hyperlink" Target="https://drive.google.com/open?id=1ObXTRsv-uTpLKGqk9mA2pt69BR9boS81&amp;authuser=jay.agg%40gmail.com&amp;usp=drive_fs" TargetMode="External"/><Relationship Id="rId1270" Type="http://schemas.openxmlformats.org/officeDocument/2006/relationships/hyperlink" Target="https://drive.google.com/open?id=1XzWUNO3U6jbwadXYr_jlw16jgt7w0awu&amp;authuser=jay.agg%40gmail.com&amp;usp=drive_fs" TargetMode="External"/><Relationship Id="rId440" Type="http://schemas.openxmlformats.org/officeDocument/2006/relationships/hyperlink" Target="https://drive.google.com/open?id=1E6F1fU6dG-pnbsXaetD6PNHnarn5U0uQ&amp;authuser=jay.agg%40gmail.com&amp;usp=drive_fs" TargetMode="External"/><Relationship Id="rId1271" Type="http://schemas.openxmlformats.org/officeDocument/2006/relationships/hyperlink" Target="https://drive.google.com/open?id=1Y2pS_2bi5dOZzhozxjL_DTZyjRYS8p3Z&amp;authuser=jay.agg%40gmail.com&amp;usp=drive_fs" TargetMode="External"/><Relationship Id="rId1272" Type="http://schemas.openxmlformats.org/officeDocument/2006/relationships/hyperlink" Target="https://drive.google.com/open?id=1XwDEEqnP0anMCcrt-3qDHDgETY4XxP8U&amp;authuser=jay.agg%40gmail.com&amp;usp=drive_fs" TargetMode="External"/><Relationship Id="rId1273" Type="http://schemas.openxmlformats.org/officeDocument/2006/relationships/hyperlink" Target="https://drive.google.com/open?id=1XyBV623jaFoQbuKbphomjEHX2qxWv0O-&amp;authuser=jay.agg%40gmail.com&amp;usp=drive_fs" TargetMode="External"/><Relationship Id="rId1274" Type="http://schemas.openxmlformats.org/officeDocument/2006/relationships/hyperlink" Target="https://drive.google.com/open?id=1AWoNdBQY3h-qI7Ekib_A_JlD2peru43R&amp;authuser=jay.agg%40gmail.com&amp;usp=drive_fs" TargetMode="External"/><Relationship Id="rId444" Type="http://schemas.openxmlformats.org/officeDocument/2006/relationships/hyperlink" Target="https://drive.google.com/open?id=1EC5x4cMgm7e5xxPfSvSTPqg4B1qpUq-H&amp;authuser=jay.agg%40gmail.com&amp;usp=drive_fs" TargetMode="External"/><Relationship Id="rId1275" Type="http://schemas.openxmlformats.org/officeDocument/2006/relationships/hyperlink" Target="https://drive.google.com/open?id=1itKMTr__Zf31FsmZllR3qjJjXaR_Zk2N&amp;authuser=jay.agg%40gmail.com&amp;usp=drive_fs" TargetMode="External"/><Relationship Id="rId443" Type="http://schemas.openxmlformats.org/officeDocument/2006/relationships/hyperlink" Target="https://drive.google.com/open?id=1EBYorjPX26SvKx89E7oYflox3ES-n8X6&amp;authuser=jay.agg%40gmail.com&amp;usp=drive_fs" TargetMode="External"/><Relationship Id="rId1276" Type="http://schemas.openxmlformats.org/officeDocument/2006/relationships/hyperlink" Target="https://drive.google.com/open?id=1izjCpxAax81B8OM-wwqbhOLKDqM8wXbz&amp;authuser=jay.agg%40gmail.com&amp;usp=drive_fs" TargetMode="External"/><Relationship Id="rId442" Type="http://schemas.openxmlformats.org/officeDocument/2006/relationships/hyperlink" Target="https://drive.google.com/open?id=1EAihm2AFoVVP7GkNl8yW21MtGJw4RM2E&amp;authuser=jay.agg%40gmail.com&amp;usp=drive_fs" TargetMode="External"/><Relationship Id="rId1277" Type="http://schemas.openxmlformats.org/officeDocument/2006/relationships/hyperlink" Target="https://drive.google.com/open?id=1juETAHW9fP62G4lr5T2vJ8YSjYGfSP3j&amp;authuser=jay.agg%40gmail.com&amp;usp=drive_fs" TargetMode="External"/><Relationship Id="rId441" Type="http://schemas.openxmlformats.org/officeDocument/2006/relationships/hyperlink" Target="https://drive.google.com/open?id=1E9naA_DJ0XBPIUNV9GixH8sJ5REStzBo&amp;authuser=jay.agg%40gmail.com&amp;usp=drive_fs" TargetMode="External"/><Relationship Id="rId1278" Type="http://schemas.openxmlformats.org/officeDocument/2006/relationships/hyperlink" Target="https://drive.google.com/open?id=1lKTu8QVEUOueINv0RRIGrNwVD6J52e-6&amp;authuser=jay.agg%40gmail.com&amp;usp=drive_fs" TargetMode="External"/><Relationship Id="rId1268" Type="http://schemas.openxmlformats.org/officeDocument/2006/relationships/hyperlink" Target="https://drive.google.com/open?id=1Y65vGCAddvGE85yyjyBL_OFxJaTVylhE&amp;authuser=jay.agg%40gmail.com&amp;usp=drive_fs" TargetMode="External"/><Relationship Id="rId1269" Type="http://schemas.openxmlformats.org/officeDocument/2006/relationships/hyperlink" Target="https://drive.google.com/open?id=1Y6jFhLce0ZYe2GxI6zZHiSqcyZlepi-M&amp;authuser=jay.agg%40gmail.com&amp;usp=drive_fs" TargetMode="External"/><Relationship Id="rId437" Type="http://schemas.openxmlformats.org/officeDocument/2006/relationships/hyperlink" Target="https://drive.google.com/open?id=10JVuAHkXCO4ozpO4sLysA6zoQlw8iSNc&amp;authuser=jay.agg%40gmail.com&amp;usp=drive_fs" TargetMode="External"/><Relationship Id="rId436" Type="http://schemas.openxmlformats.org/officeDocument/2006/relationships/hyperlink" Target="https://drive.google.com/open?id=1Cp9gZ7SDwDOIWoqBwwcgNnwqB48domq7&amp;authuser=jay.agg%40gmail.com&amp;usp=drive_fs" TargetMode="External"/><Relationship Id="rId435" Type="http://schemas.openxmlformats.org/officeDocument/2006/relationships/hyperlink" Target="https://drive.google.com/open?id=102feuvfaFLuOTioYV-23G-9gLkcE-CAD&amp;authuser=jay.agg%40gmail.com&amp;usp=drive_fs" TargetMode="External"/><Relationship Id="rId434" Type="http://schemas.openxmlformats.org/officeDocument/2006/relationships/hyperlink" Target="https://drive.google.com/open?id=1Agk1Sg6DOwdwTq0jXRNsXWBynaOfFLIH&amp;authuser=jay.agg%40gmail.com&amp;usp=drive_fs" TargetMode="External"/><Relationship Id="rId439" Type="http://schemas.openxmlformats.org/officeDocument/2006/relationships/hyperlink" Target="https://drive.google.com/open?id=1E62MlzKiaCvTNp2q3XlBQzjEKm8W3qdi&amp;authuser=jay.agg%40gmail.com&amp;usp=drive_fs" TargetMode="External"/><Relationship Id="rId438" Type="http://schemas.openxmlformats.org/officeDocument/2006/relationships/hyperlink" Target="https://drive.google.com/open?id=1E5d4c5mHudvntRA0gotf6v-_eppPCZPu&amp;authuser=jay.agg%40gmail.com&amp;usp=drive_fs" TargetMode="External"/><Relationship Id="rId1260" Type="http://schemas.openxmlformats.org/officeDocument/2006/relationships/hyperlink" Target="https://drive.google.com/open?id=1ZOgPzEakhpotGXkpBwaqHxKC0uRTRTPw&amp;authuser=jay.agg%40gmail.com&amp;usp=drive_fs" TargetMode="External"/><Relationship Id="rId1261" Type="http://schemas.openxmlformats.org/officeDocument/2006/relationships/hyperlink" Target="https://drive.google.com/open?id=1ZLQjRwMjHl4R3HsQmovRrlzchK4rzv0y&amp;authuser=jay.agg%40gmail.com&amp;usp=drive_fs" TargetMode="External"/><Relationship Id="rId1262" Type="http://schemas.openxmlformats.org/officeDocument/2006/relationships/hyperlink" Target="https://drive.google.com/open?id=1ZIFnyNVkUmCGe7-apfnF8-oeRg9Bkqsv&amp;authuser=jay.agg%40gmail.com&amp;usp=drive_fs" TargetMode="External"/><Relationship Id="rId1263" Type="http://schemas.openxmlformats.org/officeDocument/2006/relationships/hyperlink" Target="https://drive.google.com/open?id=1ZESplArTHnRcuqJDczmjSbve1AVfrWTr&amp;authuser=jay.agg%40gmail.com&amp;usp=drive_fs" TargetMode="External"/><Relationship Id="rId433" Type="http://schemas.openxmlformats.org/officeDocument/2006/relationships/hyperlink" Target="https://drive.google.com/open?id=1ABy2JfHXKMM3U4PZRChkjsWo49fyroSW&amp;authuser=jay.agg%40gmail.com&amp;usp=drive_fs" TargetMode="External"/><Relationship Id="rId1264" Type="http://schemas.openxmlformats.org/officeDocument/2006/relationships/hyperlink" Target="https://drive.google.com/open?id=1ZEFBloZVR9FSCNUtDeDZhsN9bVfSJ7iL&amp;authuser=jay.agg%40gmail.com&amp;usp=drive_fs" TargetMode="External"/><Relationship Id="rId432" Type="http://schemas.openxmlformats.org/officeDocument/2006/relationships/hyperlink" Target="https://drive.google.com/open?id=19fDLan4UTr9GpNqPN8vY5vIJKaJ5h_VP&amp;authuser=jay.agg%40gmail.com&amp;usp=drive_fs" TargetMode="External"/><Relationship Id="rId1265" Type="http://schemas.openxmlformats.org/officeDocument/2006/relationships/hyperlink" Target="https://drive.google.com/open?id=1ZE0zSvD8INLgl9lkx1PKQ65mmou_WrXX&amp;authuser=jay.agg%40gmail.com&amp;usp=drive_fs" TargetMode="External"/><Relationship Id="rId431" Type="http://schemas.openxmlformats.org/officeDocument/2006/relationships/hyperlink" Target="https://drive.google.com/open?id=1-jtXClvluvzexYFFGBL0FRBPhBHdkIhz&amp;authuser=jay.agg%40gmail.com&amp;usp=drive_fs" TargetMode="External"/><Relationship Id="rId1266" Type="http://schemas.openxmlformats.org/officeDocument/2006/relationships/hyperlink" Target="https://drive.google.com/open?id=1YJ987P1ghhODb38W-O1JJlWXtE9gQay9&amp;authuser=jay.agg%40gmail.com&amp;usp=drive_fs" TargetMode="External"/><Relationship Id="rId430" Type="http://schemas.openxmlformats.org/officeDocument/2006/relationships/hyperlink" Target="https://drive.google.com/open?id=164bCGfb5k2SRbVbnZ6i4u0PuP4u4Z3rt&amp;authuser=jay.agg%40gmail.com&amp;usp=drive_fs" TargetMode="External"/><Relationship Id="rId1267" Type="http://schemas.openxmlformats.org/officeDocument/2006/relationships/hyperlink" Target="https://drive.google.com/open?id=1Y4PlaxbKDhrcm5e4Z37IJu-rcdYJES6B&amp;authuser=jay.agg%40gmail.com&amp;usp=drive_fs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B9rYdky9_GlhoyFLssx_P2CsAHKwkclm&amp;authuser=jay.agg%40gmail.com&amp;usp=drive_fs" TargetMode="External"/><Relationship Id="rId2" Type="http://schemas.openxmlformats.org/officeDocument/2006/relationships/hyperlink" Target="https://drive.google.com/open?id=1LUg_q7ajwl_8zxYAG_2uNlhhQZeUuO9j&amp;authuser=jay.agg%40gmail.com&amp;usp=drive_fs" TargetMode="External"/><Relationship Id="rId3" Type="http://schemas.openxmlformats.org/officeDocument/2006/relationships/hyperlink" Target="https://drive.google.com/open?id=1B7kw4r1ubP78rXhqEyfWlE6NpdtvV4aL&amp;authuser=jay.agg%40gmail.com&amp;usp=drive_fs" TargetMode="External"/><Relationship Id="rId4" Type="http://schemas.openxmlformats.org/officeDocument/2006/relationships/hyperlink" Target="https://drive.google.com/open?id=1LZppN6NA9XeczIiQR7GEVIOAsiK1EtMU&amp;authuser=jay.agg%40gmail.com&amp;usp=drive_fs" TargetMode="External"/><Relationship Id="rId9" Type="http://schemas.openxmlformats.org/officeDocument/2006/relationships/hyperlink" Target="https://drive.google.com/open?id=1UjUJCgz92x793VrkiQcdxVoWh95tY_vy&amp;authuser=jay.agg%40gmail.com&amp;usp=drive_fs" TargetMode="External"/><Relationship Id="rId5" Type="http://schemas.openxmlformats.org/officeDocument/2006/relationships/hyperlink" Target="https://drive.google.com/open?id=1D4uH39QrRZfXmBsB8G93VY9_0eAGmYEy&amp;authuser=jay.agg%40gmail.com&amp;usp=drive_fs" TargetMode="External"/><Relationship Id="rId6" Type="http://schemas.openxmlformats.org/officeDocument/2006/relationships/hyperlink" Target="https://drive.google.com/open?id=1lHnMtXhr9G3SJf8uKeSbYuegZiSXiBHu&amp;authuser=jay.agg%40gmail.com&amp;usp=drive_fs" TargetMode="External"/><Relationship Id="rId7" Type="http://schemas.openxmlformats.org/officeDocument/2006/relationships/hyperlink" Target="https://drive.google.com/open?id=1B9rYdky9_GlhoyFLssx_P2CsAHKwkclm&amp;authuser=jay.agg%40gmail.com&amp;usp=drive_fs" TargetMode="External"/><Relationship Id="rId8" Type="http://schemas.openxmlformats.org/officeDocument/2006/relationships/hyperlink" Target="https://drive.google.com/open?id=1B7kw4r1ubP78rXhqEyfWlE6NpdtvV4aL&amp;authuser=jay.agg%40gmail.com&amp;usp=drive_fs" TargetMode="External"/><Relationship Id="rId11" Type="http://schemas.openxmlformats.org/officeDocument/2006/relationships/hyperlink" Target="https://drive.google.com/open?id=1776chak7uaIih4AiETRmQb4kidXbpKey&amp;authuser=jay.agg%40gmail.com&amp;usp=drive_fs" TargetMode="External"/><Relationship Id="rId10" Type="http://schemas.openxmlformats.org/officeDocument/2006/relationships/hyperlink" Target="https://drive.google.com/open?id=1Uj5SOd_yzSK3Dv3qjoOaS9tV0owM8eYg&amp;authuser=jay.agg%40gmail.com&amp;usp=drive_fs" TargetMode="External"/><Relationship Id="rId13" Type="http://schemas.openxmlformats.org/officeDocument/2006/relationships/hyperlink" Target="https://drive.google.com/open?id=18JW5RWEWbLqsK1MUKfCyTsOUrbkb5ckp&amp;authuser=jay.agg%40gmail.com&amp;usp=drive_fs" TargetMode="External"/><Relationship Id="rId12" Type="http://schemas.openxmlformats.org/officeDocument/2006/relationships/hyperlink" Target="https://drive.google.com/open?id=18GYx422KvAw5NGCNjJ65WZ-t5IXTMZLT&amp;authuser=jay.agg%40gmail.com&amp;usp=drive_fs" TargetMode="External"/><Relationship Id="rId15" Type="http://schemas.openxmlformats.org/officeDocument/2006/relationships/drawing" Target="../drawings/drawing11.xml"/><Relationship Id="rId14" Type="http://schemas.openxmlformats.org/officeDocument/2006/relationships/hyperlink" Target="https://drive.google.com/open?id=1D4uH39QrRZfXmBsB8G93VY9_0eAGmYEy&amp;authuser=jay.agg%40gmail.com&amp;usp=drive_fs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T8COyVu1i54kTQbeZJnxYi8bjYPzfhK&amp;authuser=jay.agg%40gmail.com&amp;usp=drive_fs" TargetMode="External"/><Relationship Id="rId2" Type="http://schemas.openxmlformats.org/officeDocument/2006/relationships/hyperlink" Target="https://drive.google.com/open?id=1AT8COyVu1i54kTQbeZJnxYi8bjYPzfhK&amp;authuser=jay.agg%40gmail.com&amp;usp=drive_fs" TargetMode="External"/><Relationship Id="rId3" Type="http://schemas.openxmlformats.org/officeDocument/2006/relationships/hyperlink" Target="https://drive.google.com/open?id=1aFdFJDvyL0DVq5FrlK3q-1P8AlKdwvsX&amp;authuser=jay.agg%40gmail.com&amp;usp=drive_fs" TargetMode="External"/><Relationship Id="rId4" Type="http://schemas.openxmlformats.org/officeDocument/2006/relationships/hyperlink" Target="https://drive.google.com/open?id=1aKHb4bIFlqb9VEElAU9bElJpCmCrWMw_&amp;authuser=jay.agg%40gmail.com&amp;usp=drive_fs" TargetMode="External"/><Relationship Id="rId9" Type="http://schemas.openxmlformats.org/officeDocument/2006/relationships/hyperlink" Target="https://drive.google.com/open?id=115Eyh9c7SfH1NbJRxMV3kA9D8qAPdNg1&amp;authuser=jay.agg%40gmail.com&amp;usp=drive_fs" TargetMode="External"/><Relationship Id="rId5" Type="http://schemas.openxmlformats.org/officeDocument/2006/relationships/hyperlink" Target="https://drive.google.com/open?id=1_zrBDHhbziDPRwB4MtklXL43yuO09JjM&amp;authuser=jay.agg%40gmail.com&amp;usp=drive_fs" TargetMode="External"/><Relationship Id="rId6" Type="http://schemas.openxmlformats.org/officeDocument/2006/relationships/hyperlink" Target="https://drive.google.com/open?id=1a4mReNw_xGXA0bWR-xsgh2_2qec7KzqY&amp;authuser=jay.agg%40gmail.com&amp;usp=drive_fs" TargetMode="External"/><Relationship Id="rId7" Type="http://schemas.openxmlformats.org/officeDocument/2006/relationships/hyperlink" Target="https://drive.google.com/open?id=1lkgJI4j1k_AjCniFadLnwXjntNQYr8d-&amp;authuser=jay.agg%40gmail.com&amp;usp=drive_fs" TargetMode="External"/><Relationship Id="rId8" Type="http://schemas.openxmlformats.org/officeDocument/2006/relationships/hyperlink" Target="https://drive.google.com/open?id=1aEJNmL2GFzqbQLUDY5TPXmxgOPMfWvDW&amp;authuser=jay.agg%40gmail.com&amp;usp=drive_fs" TargetMode="External"/><Relationship Id="rId40" Type="http://schemas.openxmlformats.org/officeDocument/2006/relationships/hyperlink" Target="https://drive.google.com/open?id=11LXsbUcKEo2quLWga2Tzzq7vP08rVQgX&amp;authuser=jay.agg%40gmail.com&amp;usp=drive_fs" TargetMode="External"/><Relationship Id="rId42" Type="http://schemas.openxmlformats.org/officeDocument/2006/relationships/hyperlink" Target="https://drive.google.com/open?id=11QlGBx770zXHab9g9hLz7IHTOSZQVPMO&amp;authuser=jay.agg%40gmail.com&amp;usp=drive_fs" TargetMode="External"/><Relationship Id="rId41" Type="http://schemas.openxmlformats.org/officeDocument/2006/relationships/hyperlink" Target="https://drive.google.com/open?id=1CBt-MY17SZcCIiqpcSwjMALWwW-RQelJ&amp;authuser=jay.agg%40gmail.com&amp;usp=drive_fs" TargetMode="External"/><Relationship Id="rId44" Type="http://schemas.openxmlformats.org/officeDocument/2006/relationships/hyperlink" Target="https://drive.google.com/open?id=1IPMi69sXMAuKZIKvrDpuPkaXxkXFxk7F&amp;authuser=jay.agg%40gmail.com&amp;usp=drive_fs" TargetMode="External"/><Relationship Id="rId43" Type="http://schemas.openxmlformats.org/officeDocument/2006/relationships/hyperlink" Target="https://drive.google.com/open?id=1CDTbKfP19eJWmf1410aKOSRFI_9DTCHP&amp;authuser=jay.agg%40gmail.com&amp;usp=drive_fs" TargetMode="External"/><Relationship Id="rId46" Type="http://schemas.openxmlformats.org/officeDocument/2006/relationships/hyperlink" Target="https://drive.google.com/open?id=1KODiRts8-Adx0nL065sGPIGdkNubRjxn&amp;authuser=jay.agg%40gmail.com&amp;usp=drive_fs" TargetMode="External"/><Relationship Id="rId45" Type="http://schemas.openxmlformats.org/officeDocument/2006/relationships/hyperlink" Target="https://drive.google.com/open?id=1KNWTOEuSZDiIHH9Ypek-LajBbxH5IB1D&amp;authuser=jay.agg%40gmail.com&amp;usp=drive_fs" TargetMode="External"/><Relationship Id="rId48" Type="http://schemas.openxmlformats.org/officeDocument/2006/relationships/hyperlink" Target="https://drive.google.com/open?id=19gbaQIuxrMBG7HvBwhrxto62Z7njdrJ0&amp;authuser=jay.agg%40gmail.com&amp;usp=drive_fs" TargetMode="External"/><Relationship Id="rId47" Type="http://schemas.openxmlformats.org/officeDocument/2006/relationships/hyperlink" Target="https://drive.google.com/open?id=16wAu8oqzG1Wfumi8pCDgcq8asHgonHdF&amp;authuser=jay.agg%40gmail.com&amp;usp=drive_fs" TargetMode="External"/><Relationship Id="rId49" Type="http://schemas.openxmlformats.org/officeDocument/2006/relationships/hyperlink" Target="https://drive.google.com/open?id=1NDJewmHkV0iWUUnK410iooog4gqrkJrS&amp;authuser=jay.agg%40gmail.com&amp;usp=drive_fs" TargetMode="External"/><Relationship Id="rId31" Type="http://schemas.openxmlformats.org/officeDocument/2006/relationships/hyperlink" Target="https://drive.google.com/open?id=12-MMIvjb-Czv2e2cxR4rS299s9MjKLtP&amp;authuser=jay.agg%40gmail.com&amp;usp=drive_fs" TargetMode="External"/><Relationship Id="rId30" Type="http://schemas.openxmlformats.org/officeDocument/2006/relationships/hyperlink" Target="https://drive.google.com/open?id=1-iuHpOUAOJO4noMgjiDFSuPSxqA_YI2S&amp;authuser=jay.agg%40gmail.com&amp;usp=drive_fs" TargetMode="External"/><Relationship Id="rId33" Type="http://schemas.openxmlformats.org/officeDocument/2006/relationships/hyperlink" Target="https://drive.google.com/open?id=12CqjSlKhdRU-70uFo4KrEifBwDjnRVwt&amp;authuser=jay.agg%40gmail.com&amp;usp=drive_fs" TargetMode="External"/><Relationship Id="rId32" Type="http://schemas.openxmlformats.org/officeDocument/2006/relationships/hyperlink" Target="https://drive.google.com/open?id=1-jaT3KM-AnuDANWhRNLyOM923_Sg0Fv0&amp;authuser=jay.agg%40gmail.com&amp;usp=drive_fs" TargetMode="External"/><Relationship Id="rId35" Type="http://schemas.openxmlformats.org/officeDocument/2006/relationships/hyperlink" Target="https://drive.google.com/open?id=12HIr3MLq-Gfk4eUQU-HM_chT36krSnOH&amp;authuser=jay.agg%40gmail.com&amp;usp=drive_fs" TargetMode="External"/><Relationship Id="rId34" Type="http://schemas.openxmlformats.org/officeDocument/2006/relationships/hyperlink" Target="https://drive.google.com/open?id=112Ao5xqino_9TjJnrIWPerR9hRzmO8lW&amp;authuser=jay.agg%40gmail.com&amp;usp=drive_fs" TargetMode="External"/><Relationship Id="rId37" Type="http://schemas.openxmlformats.org/officeDocument/2006/relationships/hyperlink" Target="https://drive.google.com/open?id=12HIr3MLq-Gfk4eUQU-HM_chT36krSnOH&amp;authuser=jay.agg%40gmail.com&amp;usp=drive_fs" TargetMode="External"/><Relationship Id="rId36" Type="http://schemas.openxmlformats.org/officeDocument/2006/relationships/hyperlink" Target="https://drive.google.com/open?id=110bKlZbyqy-2w8HTZh0R7vf3qxOqBQgD&amp;authuser=jay.agg%40gmail.com&amp;usp=drive_fs" TargetMode="External"/><Relationship Id="rId39" Type="http://schemas.openxmlformats.org/officeDocument/2006/relationships/hyperlink" Target="https://drive.google.com/open?id=1BnuJ4jUgURfg3w_Qt2F4uif21-hBTTqt&amp;authuser=jay.agg%40gmail.com&amp;usp=drive_fs" TargetMode="External"/><Relationship Id="rId38" Type="http://schemas.openxmlformats.org/officeDocument/2006/relationships/hyperlink" Target="https://drive.google.com/open?id=115Eyh9c7SfH1NbJRxMV3kA9D8qAPdNg1&amp;authuser=jay.agg%40gmail.com&amp;usp=drive_fs" TargetMode="External"/><Relationship Id="rId20" Type="http://schemas.openxmlformats.org/officeDocument/2006/relationships/hyperlink" Target="https://drive.google.com/open?id=1oNvXnhHi0jvh69SNoVociLqv5Jjxz-vS&amp;authuser=jay.agg%40gmail.com&amp;usp=drive_fs" TargetMode="External"/><Relationship Id="rId22" Type="http://schemas.openxmlformats.org/officeDocument/2006/relationships/hyperlink" Target="https://drive.google.com/open?id=1r_IM5uLV3OqmklQ1dmJH84ac8jDRwCqh&amp;authuser=jay.agg%40gmail.com&amp;usp=drive_fs" TargetMode="External"/><Relationship Id="rId21" Type="http://schemas.openxmlformats.org/officeDocument/2006/relationships/hyperlink" Target="https://drive.google.com/open?id=1NoQ9H8pjXJdpKdcMXc9jvrE2IrcqYIyQ&amp;authuser=jay.agg%40gmail.com&amp;usp=drive_fs" TargetMode="External"/><Relationship Id="rId24" Type="http://schemas.openxmlformats.org/officeDocument/2006/relationships/hyperlink" Target="https://drive.google.com/open?id=1rbLBfu-CR5g_0Rk3YTblUDfsfzSpQE9k&amp;authuser=jay.agg%40gmail.com&amp;usp=drive_fs" TargetMode="External"/><Relationship Id="rId23" Type="http://schemas.openxmlformats.org/officeDocument/2006/relationships/hyperlink" Target="https://drive.google.com/open?id=1FvmgvW1Fs5QO6I9IpVcW0yiyjKB-Ph4H&amp;authuser=jay.agg%40gmail.com&amp;usp=drive_fs" TargetMode="External"/><Relationship Id="rId26" Type="http://schemas.openxmlformats.org/officeDocument/2006/relationships/hyperlink" Target="https://drive.google.com/open?id=1rbXNU2953IpxMMNCnrswfWNCq1SksYS3&amp;authuser=jay.agg%40gmail.com&amp;usp=drive_fs" TargetMode="External"/><Relationship Id="rId25" Type="http://schemas.openxmlformats.org/officeDocument/2006/relationships/hyperlink" Target="https://drive.google.com/open?id=1-3Hz7aWWnvSvSXDb9AT-al_1lrS63QyB&amp;authuser=jay.agg%40gmail.com&amp;usp=drive_fs" TargetMode="External"/><Relationship Id="rId28" Type="http://schemas.openxmlformats.org/officeDocument/2006/relationships/hyperlink" Target="https://drive.google.com/open?id=1x7mHQfv86pLbkSlxuME5w2_yg6r7mc8K&amp;authuser=jay.agg%40gmail.com&amp;usp=drive_fs" TargetMode="External"/><Relationship Id="rId27" Type="http://schemas.openxmlformats.org/officeDocument/2006/relationships/hyperlink" Target="https://drive.google.com/open?id=1-5FwVpT8j0PQTYmm51EoF1dDu1tV2MK_&amp;authuser=jay.agg%40gmail.com&amp;usp=drive_fs" TargetMode="External"/><Relationship Id="rId29" Type="http://schemas.openxmlformats.org/officeDocument/2006/relationships/hyperlink" Target="https://drive.google.com/open?id=11zSCmDHcxjWWCn6-1YoGWwJOvqL_JVp7&amp;authuser=jay.agg%40gmail.com&amp;usp=drive_fs" TargetMode="External"/><Relationship Id="rId11" Type="http://schemas.openxmlformats.org/officeDocument/2006/relationships/hyperlink" Target="https://drive.google.com/open?id=16wAu8oqzG1Wfumi8pCDgcq8asHgonHdF&amp;authuser=jay.agg%40gmail.com&amp;usp=drive_fs" TargetMode="External"/><Relationship Id="rId10" Type="http://schemas.openxmlformats.org/officeDocument/2006/relationships/hyperlink" Target="https://drive.google.com/open?id=1a1N4FNifq7F6B7rsEl3Ko2j-R5dnTBT_&amp;authuser=jay.agg%40gmail.com&amp;usp=drive_fs" TargetMode="External"/><Relationship Id="rId13" Type="http://schemas.openxmlformats.org/officeDocument/2006/relationships/hyperlink" Target="https://drive.google.com/open?id=19gbaQIuxrMBG7HvBwhrxto62Z7njdrJ0&amp;authuser=jay.agg%40gmail.com&amp;usp=drive_fs" TargetMode="External"/><Relationship Id="rId12" Type="http://schemas.openxmlformats.org/officeDocument/2006/relationships/hyperlink" Target="https://drive.google.com/open?id=1a3Kl6TKZg8my-p4xktjyVXOEKcSwuD7D&amp;authuser=jay.agg%40gmail.com&amp;usp=drive_fs" TargetMode="External"/><Relationship Id="rId15" Type="http://schemas.openxmlformats.org/officeDocument/2006/relationships/hyperlink" Target="https://drive.google.com/open?id=1NDJewmHkV0iWUUnK410iooog4gqrkJrS&amp;authuser=jay.agg%40gmail.com&amp;usp=drive_fs" TargetMode="External"/><Relationship Id="rId14" Type="http://schemas.openxmlformats.org/officeDocument/2006/relationships/hyperlink" Target="https://drive.google.com/open?id=1a0BIJshnwUOKbN7yAWwc-25So9H5FzvG&amp;authuser=jay.agg%40gmail.com&amp;usp=drive_fs" TargetMode="External"/><Relationship Id="rId17" Type="http://schemas.openxmlformats.org/officeDocument/2006/relationships/hyperlink" Target="https://drive.google.com/open?id=1N_EKAmwOJs2EZBSe8FH-b_A-OJilN5B2&amp;authuser=jay.agg%40gmail.com&amp;usp=drive_fs" TargetMode="External"/><Relationship Id="rId16" Type="http://schemas.openxmlformats.org/officeDocument/2006/relationships/hyperlink" Target="https://drive.google.com/open?id=1_zrBDHhbziDPRwB4MtklXL43yuO09JjM&amp;authuser=jay.agg%40gmail.com&amp;usp=drive_fs" TargetMode="External"/><Relationship Id="rId19" Type="http://schemas.openxmlformats.org/officeDocument/2006/relationships/hyperlink" Target="https://drive.google.com/open?id=1NaWfCCOuyirGwZn6_wYendcKgmGp3xYt&amp;authuser=jay.agg%40gmail.com&amp;usp=drive_fs" TargetMode="External"/><Relationship Id="rId18" Type="http://schemas.openxmlformats.org/officeDocument/2006/relationships/hyperlink" Target="https://drive.google.com/open?id=1lkgJI4j1k_AjCniFadLnwXjntNQYr8d-&amp;authuser=jay.agg%40gmail.com&amp;usp=drive_fs" TargetMode="External"/><Relationship Id="rId73" Type="http://schemas.openxmlformats.org/officeDocument/2006/relationships/hyperlink" Target="https://drive.google.com/open?id=1CDTbKfP19eJWmf1410aKOSRFI_9DTCHP&amp;authuser=jay.agg%40gmail.com&amp;usp=drive_fs" TargetMode="External"/><Relationship Id="rId72" Type="http://schemas.openxmlformats.org/officeDocument/2006/relationships/hyperlink" Target="https://drive.google.com/open?id=1CBt-MY17SZcCIiqpcSwjMALWwW-RQelJ&amp;authuser=jay.agg%40gmail.com&amp;usp=drive_fs" TargetMode="External"/><Relationship Id="rId75" Type="http://schemas.openxmlformats.org/officeDocument/2006/relationships/hyperlink" Target="https://drive.google.com/open?id=1DQLlyFMW_lGkfw6deDFs8zQhBDlkCS1G&amp;authuser=jay.agg%40gmail.com&amp;usp=drive_fs" TargetMode="External"/><Relationship Id="rId74" Type="http://schemas.openxmlformats.org/officeDocument/2006/relationships/hyperlink" Target="https://drive.google.com/open?id=1DI9LPTgvn41rrhOCSB2dzzspdlPVzMLK&amp;authuser=jay.agg%40gmail.com&amp;usp=drive_fs" TargetMode="External"/><Relationship Id="rId76" Type="http://schemas.openxmlformats.org/officeDocument/2006/relationships/drawing" Target="../drawings/drawing12.xml"/><Relationship Id="rId71" Type="http://schemas.openxmlformats.org/officeDocument/2006/relationships/hyperlink" Target="https://drive.google.com/open?id=1BnuJ4jUgURfg3w_Qt2F4uif21-hBTTqt&amp;authuser=jay.agg%40gmail.com&amp;usp=drive_fs" TargetMode="External"/><Relationship Id="rId70" Type="http://schemas.openxmlformats.org/officeDocument/2006/relationships/hyperlink" Target="https://drive.google.com/open?id=12b-mr1RUvNYMspWZBh73NkFbNzij_rxn&amp;authuser=jay.agg%40gmail.com&amp;usp=drive_fs" TargetMode="External"/><Relationship Id="rId62" Type="http://schemas.openxmlformats.org/officeDocument/2006/relationships/hyperlink" Target="https://drive.google.com/open?id=12-MMIvjb-Czv2e2cxR4rS299s9MjKLtP&amp;authuser=jay.agg%40gmail.com&amp;usp=drive_fs" TargetMode="External"/><Relationship Id="rId61" Type="http://schemas.openxmlformats.org/officeDocument/2006/relationships/hyperlink" Target="https://drive.google.com/open?id=11zSCmDHcxjWWCn6-1YoGWwJOvqL_JVp7&amp;authuser=jay.agg%40gmail.com&amp;usp=drive_fs" TargetMode="External"/><Relationship Id="rId64" Type="http://schemas.openxmlformats.org/officeDocument/2006/relationships/hyperlink" Target="https://drive.google.com/open?id=12HIr3MLq-Gfk4eUQU-HM_chT36krSnOH&amp;authuser=jay.agg%40gmail.com&amp;usp=drive_fs" TargetMode="External"/><Relationship Id="rId63" Type="http://schemas.openxmlformats.org/officeDocument/2006/relationships/hyperlink" Target="https://drive.google.com/open?id=12CqjSlKhdRU-70uFo4KrEifBwDjnRVwt&amp;authuser=jay.agg%40gmail.com&amp;usp=drive_fs" TargetMode="External"/><Relationship Id="rId66" Type="http://schemas.openxmlformats.org/officeDocument/2006/relationships/hyperlink" Target="https://drive.google.com/open?id=12TQQy06vq0UZMsfn_9LCSV13k6mNw2cX&amp;authuser=jay.agg%40gmail.com&amp;usp=drive_fs" TargetMode="External"/><Relationship Id="rId65" Type="http://schemas.openxmlformats.org/officeDocument/2006/relationships/hyperlink" Target="https://drive.google.com/open?id=12HIr3MLq-Gfk4eUQU-HM_chT36krSnOH&amp;authuser=jay.agg%40gmail.com&amp;usp=drive_fs" TargetMode="External"/><Relationship Id="rId68" Type="http://schemas.openxmlformats.org/officeDocument/2006/relationships/hyperlink" Target="https://drive.google.com/open?id=12V51HEZfKbDLYlo8xtKITSnspDKi8tVm&amp;authuser=jay.agg%40gmail.com&amp;usp=drive_fs" TargetMode="External"/><Relationship Id="rId67" Type="http://schemas.openxmlformats.org/officeDocument/2006/relationships/hyperlink" Target="https://drive.google.com/open?id=12Yc9qliQdnw5mSwPp7BwotV8eTAyOyVK&amp;authuser=jay.agg%40gmail.com&amp;usp=drive_fs" TargetMode="External"/><Relationship Id="rId60" Type="http://schemas.openxmlformats.org/officeDocument/2006/relationships/hyperlink" Target="https://drive.google.com/open?id=1-5FwVpT8j0PQTYmm51EoF1dDu1tV2MK_&amp;authuser=jay.agg%40gmail.com&amp;usp=drive_fs" TargetMode="External"/><Relationship Id="rId69" Type="http://schemas.openxmlformats.org/officeDocument/2006/relationships/hyperlink" Target="https://drive.google.com/open?id=12d7UEbAp_vNKXfAMh0A5H84PP7D3Ow_k&amp;authuser=jay.agg%40gmail.com&amp;usp=drive_fs" TargetMode="External"/><Relationship Id="rId51" Type="http://schemas.openxmlformats.org/officeDocument/2006/relationships/hyperlink" Target="https://drive.google.com/open?id=1NaWfCCOuyirGwZn6_wYendcKgmGp3xYt&amp;authuser=jay.agg%40gmail.com&amp;usp=drive_fs" TargetMode="External"/><Relationship Id="rId50" Type="http://schemas.openxmlformats.org/officeDocument/2006/relationships/hyperlink" Target="https://drive.google.com/open?id=1N_EKAmwOJs2EZBSe8FH-b_A-OJilN5B2&amp;authuser=jay.agg%40gmail.com&amp;usp=drive_fs" TargetMode="External"/><Relationship Id="rId53" Type="http://schemas.openxmlformats.org/officeDocument/2006/relationships/hyperlink" Target="https://drive.google.com/open?id=1Nye8HYLifb1y58D1mBk7eMQ6gHDV4WCB&amp;authuser=jay.agg%40gmail.com&amp;usp=drive_fs" TargetMode="External"/><Relationship Id="rId52" Type="http://schemas.openxmlformats.org/officeDocument/2006/relationships/hyperlink" Target="https://drive.google.com/open?id=1NoQ9H8pjXJdpKdcMXc9jvrE2IrcqYIyQ&amp;authuser=jay.agg%40gmail.com&amp;usp=drive_fs" TargetMode="External"/><Relationship Id="rId55" Type="http://schemas.openxmlformats.org/officeDocument/2006/relationships/hyperlink" Target="https://drive.google.com/open?id=1FvmgvW1Fs5QO6I9IpVcW0yiyjKB-Ph4H&amp;authuser=jay.agg%40gmail.com&amp;usp=drive_fs" TargetMode="External"/><Relationship Id="rId54" Type="http://schemas.openxmlformats.org/officeDocument/2006/relationships/hyperlink" Target="https://drive.google.com/open?id=1CRU4JBp3WYLIKLHP3IjdtE_j0DEw390i&amp;authuser=jay.agg%40gmail.com&amp;usp=drive_fs" TargetMode="External"/><Relationship Id="rId57" Type="http://schemas.openxmlformats.org/officeDocument/2006/relationships/hyperlink" Target="https://drive.google.com/open?id=1UCJbkR0Ww_y-POU5eel3SDSgL7o6NG3w&amp;authuser=jay.agg%40gmail.com&amp;usp=drive_fs" TargetMode="External"/><Relationship Id="rId56" Type="http://schemas.openxmlformats.org/officeDocument/2006/relationships/hyperlink" Target="https://drive.google.com/open?id=1H6nXTaWRHYNCEhpLFhSxhKSoWTm1WZ1X&amp;authuser=jay.agg%40gmail.com&amp;usp=drive_fs" TargetMode="External"/><Relationship Id="rId59" Type="http://schemas.openxmlformats.org/officeDocument/2006/relationships/hyperlink" Target="https://drive.google.com/open?id=1-3Hz7aWWnvSvSXDb9AT-al_1lrS63QyB&amp;authuser=jay.agg%40gmail.com&amp;usp=drive_fs" TargetMode="External"/><Relationship Id="rId58" Type="http://schemas.openxmlformats.org/officeDocument/2006/relationships/hyperlink" Target="https://drive.google.com/open?id=1WUu9wWDVR3Cj-DFnBvB42Sal6aNOUAi-&amp;authuser=jay.agg%40gmail.com&amp;usp=drive_fs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www.indoomakase.com/" TargetMode="External"/><Relationship Id="rId2" Type="http://schemas.openxmlformats.org/officeDocument/2006/relationships/hyperlink" Target="http://www.iopl.co/" TargetMode="External"/><Relationship Id="rId3" Type="http://schemas.openxmlformats.org/officeDocument/2006/relationships/hyperlink" Target="http://www.packagingbox.co.in/" TargetMode="External"/><Relationship Id="rId4" Type="http://schemas.openxmlformats.org/officeDocument/2006/relationships/hyperlink" Target="https://api.whatsapp.com/send?phone=919953302917&amp;text=Got%20reference%20from%20your%20Quotation.%20Want%20to%20know%20more%20on%20your%20products%20and%20quotation." TargetMode="External"/><Relationship Id="rId5" Type="http://schemas.openxmlformats.org/officeDocument/2006/relationships/hyperlink" Target="https://iopl.co/OfficeDBC.pdf" TargetMode="External"/><Relationship Id="rId6" Type="http://schemas.openxmlformats.org/officeDocument/2006/relationships/hyperlink" Target="https://rzp.io/l/indoomakase" TargetMode="External"/><Relationship Id="rId7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7" max="20" width="12.63"/>
    <col hidden="1" min="40" max="46" width="12.63"/>
    <col customWidth="1" hidden="1" min="47" max="47" width="41.38"/>
    <col hidden="1" min="48" max="4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2" t="s">
        <v>11</v>
      </c>
      <c r="M1" s="6" t="s">
        <v>12</v>
      </c>
      <c r="N1" s="6" t="s">
        <v>13</v>
      </c>
      <c r="O1" s="6"/>
      <c r="P1" s="2" t="s">
        <v>14</v>
      </c>
      <c r="Q1" s="2"/>
      <c r="R1" s="2"/>
      <c r="S1" s="3"/>
      <c r="T1" s="3"/>
      <c r="U1" s="3" t="s">
        <v>15</v>
      </c>
      <c r="V1" s="4" t="s">
        <v>16</v>
      </c>
      <c r="W1" s="7" t="s">
        <v>17</v>
      </c>
      <c r="X1" s="8" t="s">
        <v>18</v>
      </c>
      <c r="Y1" s="9" t="s">
        <v>19</v>
      </c>
      <c r="Z1" s="10" t="s">
        <v>20</v>
      </c>
      <c r="AA1" s="11" t="s">
        <v>21</v>
      </c>
      <c r="AB1" s="12" t="s">
        <v>22</v>
      </c>
      <c r="AC1" s="9" t="s">
        <v>23</v>
      </c>
      <c r="AD1" s="12" t="s">
        <v>24</v>
      </c>
      <c r="AE1" s="4" t="s">
        <v>25</v>
      </c>
      <c r="AF1" s="2" t="s">
        <v>26</v>
      </c>
      <c r="AG1" s="13" t="s">
        <v>14</v>
      </c>
      <c r="AH1" s="13" t="s">
        <v>27</v>
      </c>
      <c r="AI1" s="3" t="s">
        <v>28</v>
      </c>
      <c r="AJ1" s="3" t="s">
        <v>29</v>
      </c>
      <c r="AK1" s="3" t="s">
        <v>30</v>
      </c>
      <c r="AL1" s="3" t="s">
        <v>15</v>
      </c>
      <c r="AM1" s="3" t="s">
        <v>31</v>
      </c>
      <c r="AN1" s="14"/>
      <c r="AO1" s="15"/>
      <c r="AP1" s="16"/>
      <c r="AQ1" s="15"/>
      <c r="AR1" s="17"/>
      <c r="AS1" s="17"/>
      <c r="AT1" s="17"/>
      <c r="AU1" s="17"/>
      <c r="AV1" s="17"/>
      <c r="AW1" s="18" t="s">
        <v>32</v>
      </c>
      <c r="AX1" s="18" t="s">
        <v>33</v>
      </c>
      <c r="AY1" s="18" t="s">
        <v>34</v>
      </c>
      <c r="AZ1" s="18" t="s">
        <v>35</v>
      </c>
      <c r="BA1" s="19" t="s">
        <v>36</v>
      </c>
      <c r="BB1" s="20" t="s">
        <v>37</v>
      </c>
      <c r="BC1" s="18" t="s">
        <v>38</v>
      </c>
      <c r="BD1" s="21" t="s">
        <v>39</v>
      </c>
      <c r="BE1" s="22"/>
      <c r="BF1" s="22"/>
      <c r="BG1" s="18" t="s">
        <v>40</v>
      </c>
      <c r="BH1" s="18" t="s">
        <v>41</v>
      </c>
      <c r="BI1" s="18" t="s">
        <v>42</v>
      </c>
      <c r="BJ1" s="23" t="s">
        <v>43</v>
      </c>
      <c r="BK1" s="23" t="s">
        <v>44</v>
      </c>
      <c r="BL1" s="24" t="s">
        <v>45</v>
      </c>
      <c r="BM1" s="24" t="s">
        <v>46</v>
      </c>
      <c r="BN1" s="24" t="s">
        <v>47</v>
      </c>
      <c r="BO1" s="25" t="s">
        <v>48</v>
      </c>
      <c r="BP1" s="25" t="s">
        <v>49</v>
      </c>
      <c r="BQ1" s="25" t="s">
        <v>50</v>
      </c>
      <c r="BR1" s="24" t="s">
        <v>51</v>
      </c>
      <c r="BS1" s="26" t="s">
        <v>52</v>
      </c>
      <c r="BT1" s="26" t="s">
        <v>53</v>
      </c>
      <c r="BU1" s="26" t="s">
        <v>54</v>
      </c>
    </row>
    <row r="2">
      <c r="A2" s="27" t="str">
        <f>Sheet2!A2</f>
        <v>https://drive.google.com/open?id=1NLrZ9Hf7XX7ORpYJXuBzVfkGVvuPoBZu&amp;authuser=jay.agg%40gmail.com&amp;usp=drive_fs</v>
      </c>
      <c r="B2" s="28" t="str">
        <f>Sheet2!B2</f>
        <v>Bakery</v>
      </c>
      <c r="C2" s="28" t="str">
        <f>Sheet2!C2</f>
        <v>Brownie 2</v>
      </c>
      <c r="D2" s="28" t="str">
        <f>Sheet2!D2</f>
        <v>180*70*35 mm | 7*2.75*1.4 inch</v>
      </c>
      <c r="E2" s="29">
        <f>Max(Sheet2!E2,Sheet2!E4)</f>
        <v>4</v>
      </c>
      <c r="F2" s="30">
        <f>Product!CF155</f>
        <v>2029</v>
      </c>
      <c r="G2" s="28">
        <f>Product!BI45</f>
        <v>1926</v>
      </c>
      <c r="H2" s="28">
        <f>Max(Sheet2!G2,Sheet2!G4)</f>
        <v>19</v>
      </c>
      <c r="I2" s="28">
        <f>Max(Sheet2!H2,Sheet2!H4)</f>
        <v>20</v>
      </c>
      <c r="J2" s="28">
        <f>L5</f>
        <v>280</v>
      </c>
      <c r="K2" s="28">
        <f>IFNA(Product!H2,"")</f>
        <v>10</v>
      </c>
      <c r="L2" s="31">
        <f t="shared" ref="L2:L4" si="2">ROUNDUP((K2/E2)+80,0)</f>
        <v>83</v>
      </c>
      <c r="M2" s="31">
        <f>ROUNDUP(((K2/E2)*Sheet2!$AB$5)+80,0)</f>
        <v>83</v>
      </c>
      <c r="N2" s="31">
        <f t="shared" ref="N2:N4" si="3">Roundup((K2/E2),0)</f>
        <v>3</v>
      </c>
      <c r="O2" s="31"/>
      <c r="P2" s="31">
        <f>(Roundup((((((H2*I2)/1550)*(J2/1000))*(Product!$CC$5+2))*L2)+((L2/144)*15),0))</f>
        <v>21</v>
      </c>
      <c r="Q2" s="32"/>
      <c r="R2" s="32"/>
      <c r="S2" s="33"/>
      <c r="T2" s="33"/>
      <c r="U2" s="33">
        <f>Roundup(((((Product!$BZ$5+1))*L2)+((L2/144)*10)),0)</f>
        <v>7144</v>
      </c>
      <c r="V2" s="31">
        <v>100.0</v>
      </c>
      <c r="W2" s="28">
        <f>Roundup(F5*I2*M2*Sheet2!E79*Sheet2!E71,0)</f>
        <v>0</v>
      </c>
      <c r="X2" s="34">
        <f>IFNA((IFS(F2=1926,LOOKUP(M2,(Price!$AA$1:$AB$300),(Price!$AC$1:$AC$300)),F2=2029,LOOKUP(M2,(Price!$AA$1:$AB$300),(Price!$AF$1:$AF$300)),F2=3001,LOOKUP(N2,(Price!$AI$2:$AJ$8),(Price!$AK$2:$AK$8)),F2=2030,LOOKUP(M2,(Price!$AA$1:$AB$300),(Price!$BE$1:$BE$300)),F2=2841,LOOKUP(M2,(Price!$AA$1:$AB$300),(Price!$BF$1:$BF$300)),F2=2840,LOOKUP(M2,(Price!$AA$1:$AB$300),(Price!$AG$1:$AG$300)))),"")*Product!$BB$15+$AH$5+W2</f>
        <v>575</v>
      </c>
      <c r="Y2" s="35">
        <f>IFNA(IFS(G2=1002,LOOKUP(O2,(Price!$AI$2:$AJ$8),(Price!$AL$2:$AL$8)),G2=1003,lookup(O2,(Price!$AI$2:$AJ$8),(Price!$AM$2:$AM$8)),G2=1004,lookup(O2,(Price!$AI$2:$AJ$8),(Price!$AN$2:$AN$8))),"")*Product!$BB$15</f>
        <v>0</v>
      </c>
      <c r="Z2" s="32">
        <f>(LOOKUP(L2,(Price!$AA$2:$AB$300),(Price!$AD$2:$AD$300)))*Sheet2!Z11</f>
        <v>300</v>
      </c>
      <c r="AA2" s="28" t="str">
        <f>Sheet2!K2</f>
        <v/>
      </c>
      <c r="AB2" s="32">
        <f>Sheet2!L2</f>
        <v>1</v>
      </c>
      <c r="AC2" s="28" t="str">
        <f>Sheet2!M2</f>
        <v/>
      </c>
      <c r="AD2" s="31">
        <f t="shared" ref="AD2:AD4" si="5">ROUNDUP(((K2*AB2)+((K2*AB2)*5%))+(Max(((L2*E2)*AC2),200)+1),0)</f>
        <v>212</v>
      </c>
      <c r="AE2" s="36">
        <f t="shared" ref="AE2:AE4" si="6">ROUNDUP(V2+Z2+AA2+AB2+AC2,0)</f>
        <v>401</v>
      </c>
      <c r="AF2" s="31">
        <f t="shared" ref="AF2:AF4" si="7">K2</f>
        <v>10</v>
      </c>
      <c r="AG2" s="37">
        <f t="shared" ref="AG2:AG4" si="8">(((((P2+AE2+X2+AD2)/AF2))*(0))+((P2+AE2+X2+AD2)/AF2))+$AG$5</f>
        <v>120.9</v>
      </c>
      <c r="AH2" s="38"/>
      <c r="AI2" s="39"/>
      <c r="AJ2" s="40"/>
      <c r="AK2" s="39"/>
      <c r="AL2" s="40">
        <f t="shared" ref="AL2:AL4" si="9">(((((U2+AE2+X2+AD2)/AF2)*(0))+((U2+AE2+X2+AD2)/AF2)))+$AJ$5</f>
        <v>833.2</v>
      </c>
      <c r="AM2" s="41">
        <f>((((((Roundup((((((AL$5*AM$5)/1550)*(J2/1000))*(Product!$CC$5+2))*L2)+((L2/144)*15),0))+AE2+X2+AD2)/AF2))*(0))+(((Roundup((((((AL$5*AM$5)/1550)*(J2/1000))*(Product!$CC$5+2))*L2)+((L2/144)*15),0))+AE2+X2+AD2)/AF2))+$AG$5</f>
        <v>119.7</v>
      </c>
      <c r="AN2" s="42"/>
      <c r="AO2" s="40"/>
      <c r="AP2" s="40"/>
      <c r="AQ2" s="40"/>
      <c r="AR2" s="40"/>
      <c r="AS2" s="40"/>
      <c r="AT2" s="40"/>
      <c r="AU2" s="43"/>
      <c r="AV2" s="40"/>
      <c r="AW2" s="44">
        <f>MAX((((H2*I2)*(Price!$T$2)*L2)/AF2),300/AF2)</f>
        <v>30</v>
      </c>
      <c r="AX2" s="39">
        <f>MAX((((H2*I2)*(Price!$S$2)*L2)/AF2),300/AF2)</f>
        <v>30</v>
      </c>
      <c r="AY2" s="39">
        <f>MAX((((H2*I2)*(Price!$S$3)*L2)/AF2),300/AF2)</f>
        <v>30</v>
      </c>
      <c r="AZ2" s="39">
        <f>MAX((((H2*I2)*(Price!$V$2)*L2)/AF2),300/AF2)</f>
        <v>30</v>
      </c>
      <c r="BA2" s="40">
        <f>MAX(((((H2*I2)*(Price!$W$2)*L2)/AF2)+(350/AF2)),500/AF2)</f>
        <v>50</v>
      </c>
      <c r="BB2" s="40">
        <f>MAX(((((H2*I2)*(Price!$Y$7)*L2)/AF2)+(350/AF2)),2500/AF2)+AW2</f>
        <v>280</v>
      </c>
      <c r="BC2" s="39">
        <f>MAX(((((H2*I2)*(Price!$U$2)*L2)/AF2)+(350/AF2)),2500/AF2)</f>
        <v>250</v>
      </c>
      <c r="BD2" s="39">
        <f t="shared" ref="BD2:BD4" si="10">(MAX(BE2:BF2))</f>
        <v>175</v>
      </c>
      <c r="BE2" s="39">
        <f>(MAX((((((((Price!$X$2)*0.17)+(Price!$X$2))*L2)+(350))/AF2)+AW2),500/AF2))</f>
        <v>74.711</v>
      </c>
      <c r="BF2" s="39">
        <f>((((Price!$Y$2)+350)/AF2)+AW2)</f>
        <v>175</v>
      </c>
      <c r="BG2" s="45" t="str">
        <f>IFERROR(__xludf.DUMMYFUNCTION("(SPLIT(Quotation!$D$22,""*""))"),"#VALUE!")</f>
        <v>#VALUE!</v>
      </c>
      <c r="BH2" s="45"/>
      <c r="BI2" s="45">
        <f>(Max(((((((H2*I2)*Price!$R$7)*L2)/AF2)*0)+((((H2*I2)*Price!$R$7)*L2)/AF2)+BQ2),500/AF2))</f>
        <v>50</v>
      </c>
      <c r="BJ2" s="45" t="str">
        <f>(MAX((((BG2*2)*Price!$S$7)+(((BG2*2)*Price!$S$7)*0)+BQ2),500/AF2))</f>
        <v>#VALUE!</v>
      </c>
      <c r="BK2" s="46" t="str">
        <f>(MAX(((((BG2*2)+(BH2*2))*Price!$S$7)+((((BG2*2)+(BH2*2))*Price!$S$7)*0)+BQ2),500/AF2))</f>
        <v>#VALUE!</v>
      </c>
      <c r="BL2" s="46">
        <f>(MAX((((LOOKUP(K2,(Price!$AA$2:$AB$1199),(Price!$AE$2:$AE$1199)))+((LOOKUP(K2,(Price!$AA$2:$AB$1199),(Price!$AE$2:$AE$1199)))*0))+BQ2),500/AF2))</f>
        <v>50</v>
      </c>
      <c r="BM2" s="45">
        <f>(MAX(((((Price!$U$7)+((Price!$U$7)*0))/K2)+BL2),500/AF2))</f>
        <v>55</v>
      </c>
      <c r="BN2" s="46">
        <f>(MAX(((((Price!$V$7)+((Price!$V$7)*0))/K2)+BL2),500/AF2))</f>
        <v>60</v>
      </c>
      <c r="BO2" s="46">
        <f t="shared" ref="BO2:BO4" si="11">(((MAX((($BO$5*L2)),300))/E2)/L2)</f>
        <v>0.9036144578</v>
      </c>
      <c r="BP2" s="47">
        <f t="shared" ref="BP2:BP4" si="12">(((MAX((($BP$5*L2)),300))/E2)/L2)</f>
        <v>0.9036144578</v>
      </c>
      <c r="BQ2" s="46">
        <f t="shared" ref="BQ2:BQ4" si="13">(((MAX((($BQ$5*L2)),300))/L2)/E2)</f>
        <v>0.9036144578</v>
      </c>
      <c r="BR2" s="48" t="str">
        <f>((((MAX((((($BI$5*$BJ$5)*Price!$S$7)*L2)),300))/E2)/L2)+((((MAX((((($BI$5*$BJ$5)*Price!$S$7)*L2)),300))/E2)/L2)*Sheet2!Z33))</f>
        <v>#VALUE!</v>
      </c>
      <c r="BS2" s="49">
        <f>((MAX((K2*Price!$U$12),300))/K2)</f>
        <v>30</v>
      </c>
      <c r="BT2" s="49">
        <f>((MAX((K2*Price!$V$12),300))/K2)</f>
        <v>30</v>
      </c>
      <c r="BU2" s="33">
        <f>(iferror(roundup((((MAX((L2*E2*BR5*BS$5*BT$5*Price!Z21),1500))+(BR5*BS5*BT5*E2*Price!Y21)))+((((MAX((L2*E2*BR5*BS$5*BT$5*Price!Z21),1500))+(BR5*BS5*BT5*E2*Price!Y21)))*Sheet2!Z33),0),""))*Product!CF87</f>
        <v>0</v>
      </c>
    </row>
    <row r="3">
      <c r="A3" s="27" t="str">
        <f t="shared" ref="A3:J3" si="1">A2</f>
        <v>https://drive.google.com/open?id=1NLrZ9Hf7XX7ORpYJXuBzVfkGVvuPoBZu&amp;authuser=jay.agg%40gmail.com&amp;usp=drive_fs</v>
      </c>
      <c r="B3" s="28" t="str">
        <f t="shared" si="1"/>
        <v>Bakery</v>
      </c>
      <c r="C3" s="28" t="str">
        <f t="shared" si="1"/>
        <v>Brownie 2</v>
      </c>
      <c r="D3" s="28" t="str">
        <f t="shared" si="1"/>
        <v>180*70*35 mm | 7*2.75*1.4 inch</v>
      </c>
      <c r="E3" s="29">
        <f t="shared" si="1"/>
        <v>4</v>
      </c>
      <c r="F3" s="28">
        <f t="shared" si="1"/>
        <v>2029</v>
      </c>
      <c r="G3" s="28">
        <f t="shared" si="1"/>
        <v>1926</v>
      </c>
      <c r="H3" s="28">
        <f t="shared" si="1"/>
        <v>19</v>
      </c>
      <c r="I3" s="28">
        <f t="shared" si="1"/>
        <v>20</v>
      </c>
      <c r="J3" s="28">
        <f t="shared" si="1"/>
        <v>280</v>
      </c>
      <c r="K3" s="33">
        <f>IFNA(Product!H4,"")</f>
        <v>90</v>
      </c>
      <c r="L3" s="31">
        <f t="shared" si="2"/>
        <v>103</v>
      </c>
      <c r="M3" s="31">
        <f>ROUNDUP(((K3/E3)*Sheet2!$AB$5)+80,0)</f>
        <v>103</v>
      </c>
      <c r="N3" s="31">
        <f t="shared" si="3"/>
        <v>23</v>
      </c>
      <c r="O3" s="31"/>
      <c r="P3" s="31">
        <f>(Roundup((((((H3*I3)/1550)*(J3/1000))*(Product!$CC$5+2))*L3)+((L3/144)*15),0))</f>
        <v>25</v>
      </c>
      <c r="Q3" s="32"/>
      <c r="R3" s="32"/>
      <c r="S3" s="33"/>
      <c r="T3" s="33"/>
      <c r="U3" s="33">
        <f>Roundup(((((Product!$BZ$5+1))*L3)+((L3/144)*10)),0)</f>
        <v>8866</v>
      </c>
      <c r="V3" s="28">
        <f>V2</f>
        <v>100</v>
      </c>
      <c r="W3" s="28">
        <f>Roundup(F5*I2*M3*Sheet2!E79*Sheet2!E71,0)</f>
        <v>0</v>
      </c>
      <c r="X3" s="34">
        <f>IFNA((IFS(F3=1926,LOOKUP(M3,(Price!$AA$1:$AB$300),(Price!$AC$1:$AC$300)),F3=2029,LOOKUP(M3,(Price!$AA$1:$AB$300),(Price!$AF$1:$AF$300)),F3=3001,LOOKUP(N3,(Price!$AI$2:$AJ$8),(Price!$AK$2:$AK$8)),F3=2030,LOOKUP(M3,(Price!$AA$1:$AB$300),(Price!$BE$1:$BE$300)),F3=2841,LOOKUP(M3,(Price!$AA$1:$AB$300),(Price!$BF$1:$BF$300)),F3=2840,LOOKUP(M3,(Price!$AA$1:$AB$300),(Price!$AG$1:$AG$300)))),"")*Product!$BB$15+$AH$5+W3</f>
        <v>575</v>
      </c>
      <c r="Y3" s="35">
        <f>IFNA(IFS(G3=1002,LOOKUP(O3,(Price!$AI$2:$AJ$8),(Price!$AL$2:$AL$8)),G3=1003,lookup(O3,(Price!$AI$2:$AJ$8),(Price!$AM$2:$AM$8)),G3=1004,lookup(O3,(Price!$AI$2:$AJ$8),(Price!$AN$2:$AN$8))),"")*Product!$BB$15</f>
        <v>0</v>
      </c>
      <c r="Z3" s="32">
        <f>(LOOKUP(L3,(Price!$AA$2:$AB$300),(Price!$AD$2:$AD$300)))*Sheet2!Z11</f>
        <v>300</v>
      </c>
      <c r="AA3" s="28" t="str">
        <f t="shared" ref="AA3:AC3" si="4">AA2</f>
        <v/>
      </c>
      <c r="AB3" s="28">
        <f t="shared" si="4"/>
        <v>1</v>
      </c>
      <c r="AC3" s="28" t="str">
        <f t="shared" si="4"/>
        <v/>
      </c>
      <c r="AD3" s="31">
        <f t="shared" si="5"/>
        <v>296</v>
      </c>
      <c r="AE3" s="36">
        <f t="shared" si="6"/>
        <v>401</v>
      </c>
      <c r="AF3" s="28">
        <f t="shared" si="7"/>
        <v>90</v>
      </c>
      <c r="AG3" s="37">
        <f t="shared" si="8"/>
        <v>14.41111111</v>
      </c>
      <c r="AH3" s="38"/>
      <c r="AI3" s="39"/>
      <c r="AJ3" s="40"/>
      <c r="AK3" s="39"/>
      <c r="AL3" s="40">
        <f t="shared" si="9"/>
        <v>112.6444444</v>
      </c>
      <c r="AM3" s="41">
        <f>((((((Roundup((((((AL$5*AM$5)/1550)*(J3/1000))*(Product!$CC$5+2))*L3)+((L3/144)*15),0))+AE3+X3+AD3)/AF3))*(0))+(((Roundup((((((AL$5*AM$5)/1550)*(J3/1000))*(Product!$CC$5+2))*L3)+((L3/144)*15),0))+AE3+X3+AD3)/AF3))+$AG$5</f>
        <v>14.25555556</v>
      </c>
      <c r="AN3" s="42"/>
      <c r="AO3" s="40"/>
      <c r="AP3" s="40"/>
      <c r="AQ3" s="40"/>
      <c r="AR3" s="40"/>
      <c r="AS3" s="40"/>
      <c r="AT3" s="40"/>
      <c r="AU3" s="40"/>
      <c r="AV3" s="40"/>
      <c r="AW3" s="44">
        <f>MAX((((H3*I3)*(Price!$T$2)*L3)/AF3),300/AF3)</f>
        <v>3.479111111</v>
      </c>
      <c r="AX3" s="39">
        <f>MAX((((H3*I3)*(Price!$S$2)*L3)/AF3),300/AF3)</f>
        <v>3.333333333</v>
      </c>
      <c r="AY3" s="39">
        <f>MAX((((H3*I3)*(Price!$S$3)*L3)/AF3),300/AF3)</f>
        <v>3.333333333</v>
      </c>
      <c r="AZ3" s="39">
        <f>MAX((((H3*I3)*(Price!$V$2)*L3)/AF3),300/AF3)</f>
        <v>3.333333333</v>
      </c>
      <c r="BA3" s="40">
        <f>MAX(((((H3*I3)*(Price!$W$2)*L3)/AF3)+(350/AF3)),500/AF3)</f>
        <v>5.555555556</v>
      </c>
      <c r="BB3" s="40">
        <f>MAX(((((H3*I3)*(Price!$Y$7)*L3)/AF3)+(350/AF3)),2500/AF3)+AW3</f>
        <v>31.25688889</v>
      </c>
      <c r="BC3" s="39">
        <f>MAX(((((H3*I3)*(Price!$U$2)*L3)/AF3)+(350/AF3)),2500/AF3)</f>
        <v>27.77777778</v>
      </c>
      <c r="BD3" s="39">
        <f t="shared" si="10"/>
        <v>19.59022222</v>
      </c>
      <c r="BE3" s="39">
        <f>(MAX((((((((Price!$X$2)*0.17)+(Price!$X$2))*L3)+(350))/AF3)+AW3),500/AF3))</f>
        <v>8.707</v>
      </c>
      <c r="BF3" s="39">
        <f>((((Price!$Y$2)+350)/AF3)+AW3)</f>
        <v>19.59022222</v>
      </c>
      <c r="BG3" s="45" t="str">
        <f>IFERROR(__xludf.DUMMYFUNCTION("(SPLIT(Quotation!$D$22,""*""))"),"#VALUE!")</f>
        <v>#VALUE!</v>
      </c>
      <c r="BH3" s="45"/>
      <c r="BI3" s="45">
        <f>(Max(((((((H3*I3)*Price!$R$7)*L3)/AF3)*0)+((((H3*I3)*Price!$R$7)*L3)/AF3)+BQ3),500/AF3))</f>
        <v>6.164266451</v>
      </c>
      <c r="BJ3" s="45" t="str">
        <f>(MAX((((BG3*2)*Price!$S$7)+(((BG3*2)*Price!$S$7)*0)+BQ3),500/AF3))</f>
        <v>#VALUE!</v>
      </c>
      <c r="BK3" s="46" t="str">
        <f>(MAX(((((BG3*2)+(BH3*2))*Price!$S$7)+((((BG3*2)+(BH3*2))*Price!$S$7)*0)+BQ3),500/AF3))</f>
        <v>#VALUE!</v>
      </c>
      <c r="BL3" s="46">
        <f>(MAX((((LOOKUP(K3,(Price!$AA$2:$AB$1199),(Price!$AE$2:$AE$1199)))+((LOOKUP(K3,(Price!$AA$2:$AB$1199),(Price!$AE$2:$AE$1199)))*0))+BQ3),500/AF3))</f>
        <v>5.555555556</v>
      </c>
      <c r="BM3" s="45">
        <f>(MAX(((((Price!$U$7)+((Price!$U$7)*0))/K3)+BL3),500/AF3))</f>
        <v>6.111111111</v>
      </c>
      <c r="BN3" s="46">
        <f>(MAX(((((Price!$V$7)+((Price!$V$7)*0))/K3)+BL3),500/AF3))</f>
        <v>6.666666667</v>
      </c>
      <c r="BO3" s="46">
        <f t="shared" si="11"/>
        <v>0.7281553398</v>
      </c>
      <c r="BP3" s="47">
        <f t="shared" si="12"/>
        <v>0.7281553398</v>
      </c>
      <c r="BQ3" s="46">
        <f t="shared" si="13"/>
        <v>0.7281553398</v>
      </c>
      <c r="BR3" s="48" t="str">
        <f>((((MAX((((($BI$5*$BJ$5)*Price!$S$7)*L3)),300))/E3)/L3)+((((MAX((((($BI$5*$BJ$5)*Price!$S$7)*L3)),300))/E3)/L3)*Sheet2!Z34))</f>
        <v>#VALUE!</v>
      </c>
      <c r="BS3" s="49">
        <f>((MAX((K3*Price!$U$12),300))/K3)</f>
        <v>5</v>
      </c>
      <c r="BT3" s="49">
        <f>((MAX((K3*Price!$V$12),300))/K3)</f>
        <v>6</v>
      </c>
    </row>
    <row r="4">
      <c r="A4" s="27" t="str">
        <f t="shared" ref="A4:J4" si="14">A2</f>
        <v>https://drive.google.com/open?id=1NLrZ9Hf7XX7ORpYJXuBzVfkGVvuPoBZu&amp;authuser=jay.agg%40gmail.com&amp;usp=drive_fs</v>
      </c>
      <c r="B4" s="28" t="str">
        <f t="shared" si="14"/>
        <v>Bakery</v>
      </c>
      <c r="C4" s="28" t="str">
        <f t="shared" si="14"/>
        <v>Brownie 2</v>
      </c>
      <c r="D4" s="28" t="str">
        <f t="shared" si="14"/>
        <v>180*70*35 mm | 7*2.75*1.4 inch</v>
      </c>
      <c r="E4" s="29">
        <f t="shared" si="14"/>
        <v>4</v>
      </c>
      <c r="F4" s="28">
        <f t="shared" si="14"/>
        <v>2029</v>
      </c>
      <c r="G4" s="28">
        <f t="shared" si="14"/>
        <v>1926</v>
      </c>
      <c r="H4" s="28">
        <f t="shared" si="14"/>
        <v>19</v>
      </c>
      <c r="I4" s="28">
        <f t="shared" si="14"/>
        <v>20</v>
      </c>
      <c r="J4" s="28">
        <f t="shared" si="14"/>
        <v>280</v>
      </c>
      <c r="K4" s="33">
        <f>IFNA(Product!H6,"")</f>
        <v>100</v>
      </c>
      <c r="L4" s="31">
        <f t="shared" si="2"/>
        <v>105</v>
      </c>
      <c r="M4" s="31">
        <f>ROUNDUP(((K4/E4)*Sheet2!$AB$5)+80,0)</f>
        <v>105</v>
      </c>
      <c r="N4" s="31">
        <f t="shared" si="3"/>
        <v>25</v>
      </c>
      <c r="O4" s="31"/>
      <c r="P4" s="31">
        <f>(Roundup((((((H4*I4)/1550)*(J4/1000))*(Product!$CC$5+2))*L4)+((L4/144)*15),0))</f>
        <v>26</v>
      </c>
      <c r="Q4" s="32"/>
      <c r="R4" s="32"/>
      <c r="S4" s="33"/>
      <c r="T4" s="33"/>
      <c r="U4" s="33">
        <f>Roundup(((((Product!$BZ$5+1))*L4)+((L4/144)*10)),0)</f>
        <v>9038</v>
      </c>
      <c r="V4" s="28">
        <f>V2</f>
        <v>100</v>
      </c>
      <c r="W4" s="28">
        <f>Roundup(F5*I2*M4*Sheet2!E79*Sheet2!E71,0)</f>
        <v>0</v>
      </c>
      <c r="X4" s="34">
        <f>IFNA((IFS(F4=1926,LOOKUP(M4,(Price!$AA$1:$AB$300),(Price!$AC$1:$AC$300)),F4=2029,LOOKUP(M4,(Price!$AA$1:$AB$300),(Price!$AF$1:$AF$300)),F4=3001,LOOKUP(N4,(Price!$AI$2:$AJ$8),(Price!$AK$2:$AK$8)),F4=2030,LOOKUP(M4,(Price!$AA$1:$AB$300),(Price!$BE$1:$BE$300)),F4=2841,LOOKUP(M4,(Price!$AA$1:$AB$300),(Price!$BF$1:$BF$300)),F4=2840,LOOKUP(M4,(Price!$AA$1:$AB$300),(Price!$AG$1:$AG$300)))),"")*Product!$BB$15+$AH$5+W4</f>
        <v>575</v>
      </c>
      <c r="Y4" s="35">
        <f>IFNA(IFS(G4=1002,LOOKUP(O4,(Price!$AI$2:$AJ$8),(Price!$AL$2:$AL$8)),G4=1003,lookup(O4,(Price!$AI$2:$AJ$8),(Price!$AM$2:$AM$8)),G4=1004,lookup(O4,(Price!$AI$2:$AJ$8),(Price!$AN$2:$AN$8))),"")*Product!$BB$15</f>
        <v>0</v>
      </c>
      <c r="Z4" s="32">
        <f>(LOOKUP(L4,(Price!$AA$2:$AB$300),(Price!$AD$2:$AD$300)))*Sheet2!Z11</f>
        <v>300</v>
      </c>
      <c r="AA4" s="28" t="str">
        <f t="shared" ref="AA4:AC4" si="15">AA2</f>
        <v/>
      </c>
      <c r="AB4" s="28">
        <f t="shared" si="15"/>
        <v>1</v>
      </c>
      <c r="AC4" s="28" t="str">
        <f t="shared" si="15"/>
        <v/>
      </c>
      <c r="AD4" s="31">
        <f t="shared" si="5"/>
        <v>306</v>
      </c>
      <c r="AE4" s="36">
        <f t="shared" si="6"/>
        <v>401</v>
      </c>
      <c r="AF4" s="28">
        <f t="shared" si="7"/>
        <v>100</v>
      </c>
      <c r="AG4" s="37">
        <f t="shared" si="8"/>
        <v>13.08</v>
      </c>
      <c r="AH4" s="38"/>
      <c r="AI4" s="39"/>
      <c r="AJ4" s="40"/>
      <c r="AK4" s="39"/>
      <c r="AL4" s="40">
        <f t="shared" si="9"/>
        <v>103.2</v>
      </c>
      <c r="AM4" s="41">
        <f>((((((Roundup((((((AL$5*AM$5)/1550)*(J4/1000))*(Product!$CC$5+2))*L4)+((L4/144)*15),0))+AE4+X4+AD4)/AF4))*(0))+(((Roundup((((((AL$5*AM$5)/1550)*(J4/1000))*(Product!$CC$5+2))*L4)+((L4/144)*15),0))+AE4+X4+AD4)/AF4))+$AG$5</f>
        <v>12.93</v>
      </c>
      <c r="AN4" s="42"/>
      <c r="AO4" s="40"/>
      <c r="AP4" s="40"/>
      <c r="AQ4" s="40"/>
      <c r="AR4" s="40"/>
      <c r="AS4" s="40"/>
      <c r="AT4" s="40"/>
      <c r="AU4" s="40"/>
      <c r="AV4" s="40"/>
      <c r="AW4" s="44">
        <f>MAX((((H4*I4)*(Price!$T$2)*L4)/AF4),300/AF4)</f>
        <v>3.192</v>
      </c>
      <c r="AX4" s="39">
        <f>MAX((((H4*I4)*(Price!$S$2)*L4)/AF4),300/AF4)</f>
        <v>3</v>
      </c>
      <c r="AY4" s="39">
        <f>MAX((((H4*I4)*(Price!$S$3)*L4)/AF4),300/AF4)</f>
        <v>3</v>
      </c>
      <c r="AZ4" s="39">
        <f>MAX((((H4*I4)*(Price!$V$2)*L4)/AF4),300/AF4)</f>
        <v>3</v>
      </c>
      <c r="BA4" s="40">
        <f>MAX(((((H4*I4)*(Price!$W$2)*L4)/AF4)+(350/AF4)),500/AF4)</f>
        <v>5</v>
      </c>
      <c r="BB4" s="40">
        <f>MAX(((((H4*I4)*(Price!$Y$7)*L4)/AF4)+(350/AF4)),2500/AF4)+AW4</f>
        <v>28.192</v>
      </c>
      <c r="BC4" s="39">
        <f>MAX(((((H4*I4)*(Price!$U$2)*L4)/AF4)+(350/AF4)),2500/AF4)</f>
        <v>25</v>
      </c>
      <c r="BD4" s="39">
        <f t="shared" si="10"/>
        <v>17.692</v>
      </c>
      <c r="BE4" s="39">
        <f>(MAX((((((((Price!$X$2)*0.17)+(Price!$X$2))*L4)+(350))/AF4)+AW4),500/AF4))</f>
        <v>7.9205</v>
      </c>
      <c r="BF4" s="39">
        <f>((((Price!$Y$2)+350)/AF4)+AW4)</f>
        <v>17.692</v>
      </c>
      <c r="BG4" s="45" t="str">
        <f>IFERROR(__xludf.DUMMYFUNCTION("(SPLIT(Quotation!$D$22,""*""))"),"#VALUE!")</f>
        <v>#VALUE!</v>
      </c>
      <c r="BH4" s="45"/>
      <c r="BI4" s="45">
        <f>(Max(((((((H4*I4)*Price!$R$7)*L4)/AF4)*0)+((((H4*I4)*Price!$R$7)*L4)/AF4)+BQ4),500/AF4))</f>
        <v>5.701785714</v>
      </c>
      <c r="BJ4" s="45" t="str">
        <f>(MAX((((BG4*2)*Price!$S$7)+(((BG4*2)*Price!$S$7)*0)+BQ4),500/AF4))</f>
        <v>#VALUE!</v>
      </c>
      <c r="BK4" s="46" t="str">
        <f>(MAX(((((BG4*2)+(BH4*2))*Price!$S$7)+((((BG4*2)+(BH4*2))*Price!$S$7)*0)+BQ4),500/AF4))</f>
        <v>#VALUE!</v>
      </c>
      <c r="BL4" s="46">
        <f>(MAX((((LOOKUP(K4,(Price!$AA$2:$AB$1199),(Price!$AE$2:$AE$1199)))+((LOOKUP(K4,(Price!$AA$2:$AB$1199),(Price!$AE$2:$AE$1199)))*0))+BQ4),500/AF4))</f>
        <v>5</v>
      </c>
      <c r="BM4" s="45">
        <f>(MAX(((((Price!$U$7)+((Price!$U$7)*0))/K4)+BL4),500/AF4))</f>
        <v>5.5</v>
      </c>
      <c r="BN4" s="46">
        <f>(MAX(((((Price!$V$7)+((Price!$V$7)*0))/K4)+BL4),500/AF4))</f>
        <v>6</v>
      </c>
      <c r="BO4" s="46">
        <f t="shared" si="11"/>
        <v>0.7142857143</v>
      </c>
      <c r="BP4" s="47">
        <f t="shared" si="12"/>
        <v>0.7142857143</v>
      </c>
      <c r="BQ4" s="46">
        <f t="shared" si="13"/>
        <v>0.7142857143</v>
      </c>
      <c r="BR4" s="48" t="str">
        <f>((((MAX((((($BI$5*$BJ$5)*Price!$S$7)*L4)),300))/E4)/L4)+((((MAX((((($BI$5*$BJ$5)*Price!$S$7)*L4)),300))/E4)/L4)*Sheet2!Z35))</f>
        <v>#VALUE!</v>
      </c>
      <c r="BS4" s="49">
        <f>((MAX((K4*Price!$U$12),300))/K4)</f>
        <v>5</v>
      </c>
      <c r="BT4" s="49">
        <f>((MAX((K4*Price!$V$12),300))/K4)</f>
        <v>6</v>
      </c>
    </row>
    <row r="5">
      <c r="A5" s="50" t="s">
        <v>55</v>
      </c>
      <c r="B5" s="28"/>
      <c r="C5" s="28"/>
      <c r="D5" s="33">
        <f>(ROUNDUP(((($H$2*$I$2)/1550)*($J$2/1000))*($K$2/$E$2),0))</f>
        <v>1</v>
      </c>
      <c r="E5" s="28"/>
      <c r="F5" s="28">
        <f>ROUNDUP(H2,0)</f>
        <v>19</v>
      </c>
      <c r="G5" s="28">
        <f>(H2*I2)/144</f>
        <v>2.638888889</v>
      </c>
      <c r="H5" s="28" t="str">
        <f>(CONCATENATE(F5,(ROUNDUP(I2,0))))</f>
        <v>1920</v>
      </c>
      <c r="I5" s="40" t="str">
        <f>IFERROR(__xludf.DUMMYFUNCTION("SPLIT(Quotation!D22,""*"")"),"#VALUE!")</f>
        <v>#VALUE!</v>
      </c>
      <c r="J5" s="51"/>
      <c r="K5" s="28" t="str">
        <f>((ROUNDUP(I5,0))*(ROUNDUP(J5,0)))</f>
        <v>#VALUE!</v>
      </c>
      <c r="L5" s="31">
        <f>IFERROR(__xludf.DUMMYFUNCTION("SPLIT(Product!CG5,"" "")"),280.0)</f>
        <v>280</v>
      </c>
      <c r="M5" s="31" t="str">
        <f>IFERROR(__xludf.DUMMYFUNCTION("""COMPUTED_VALUE"""),"GSM")</f>
        <v>GSM</v>
      </c>
      <c r="N5" s="33"/>
      <c r="O5" s="31"/>
      <c r="P5" s="31"/>
      <c r="Q5" s="32"/>
      <c r="R5" s="32"/>
      <c r="S5" s="33"/>
      <c r="T5" s="33"/>
      <c r="U5" s="32"/>
      <c r="V5" s="31"/>
      <c r="W5" s="28"/>
      <c r="X5" s="34"/>
      <c r="Y5" s="35"/>
      <c r="Z5" s="32"/>
      <c r="AA5" s="28"/>
      <c r="AB5" s="32"/>
      <c r="AC5" s="28"/>
      <c r="AD5" s="31"/>
      <c r="AE5" s="36"/>
      <c r="AF5" s="31"/>
      <c r="AG5" s="37">
        <f>((((F5*I2)*Price!W12)/E2)*Product!CF74)</f>
        <v>0</v>
      </c>
      <c r="AH5" s="38">
        <f>(Product!$CH$155*Product!$CG$110*Product!$BB$15)</f>
        <v>275</v>
      </c>
      <c r="AI5" s="39"/>
      <c r="AJ5" s="40">
        <f>((((F5*I2)*Price!X12)/E2)*Product!CF74)</f>
        <v>0</v>
      </c>
      <c r="AK5" s="39"/>
      <c r="AL5" s="42" t="str">
        <f>IFERROR(__xludf.DUMMYFUNCTION("iferror((SPLIT(Quotation!E21,""*"")))"),"")</f>
        <v/>
      </c>
      <c r="AM5" s="52"/>
      <c r="AN5" s="42"/>
      <c r="AO5" s="40"/>
      <c r="AP5" s="40"/>
      <c r="AQ5" s="40"/>
      <c r="AR5" s="40"/>
      <c r="AS5" s="43"/>
      <c r="AT5" s="40"/>
      <c r="AU5" s="53"/>
      <c r="AV5" s="40"/>
      <c r="AW5" s="44" t="str">
        <f>(Quotation!B26)</f>
        <v/>
      </c>
      <c r="AX5" s="39"/>
      <c r="AY5" s="39"/>
      <c r="AZ5" s="39"/>
      <c r="BA5" s="40"/>
      <c r="BB5" s="40"/>
      <c r="BC5" s="39"/>
      <c r="BD5" s="39"/>
      <c r="BE5" s="39"/>
      <c r="BF5" s="39"/>
      <c r="BG5" s="39"/>
      <c r="BH5" s="39"/>
      <c r="BI5" s="48" t="str">
        <f>IFERROR(__xludf.DUMMYFUNCTION("(SPLIT(Quotation!E26,""*""))"),"#VALUE!")</f>
        <v>#VALUE!</v>
      </c>
      <c r="BJ5" s="54"/>
      <c r="BK5" s="39"/>
      <c r="BL5" s="39"/>
      <c r="BM5" s="39"/>
      <c r="BN5" s="55"/>
      <c r="BO5" s="56">
        <f>((((((Product5!$Z16+Product5!$AA16)+((Product5!$Z16+Product5!$AA16)*0.2))*Price!$W7)))+((((((Product5!$Z16+Product5!$AA16)+((Product5!$Z16+Product5!$AA16)*0.2))*Price!$W7)))*0))</f>
        <v>0</v>
      </c>
      <c r="BP5" s="56">
        <f>(((Price!$W$7*2)+((Price!$W$7*2)*0.2)))</f>
        <v>0.24</v>
      </c>
      <c r="BQ5" s="56">
        <f>((((((Product5!$Z16+Product5!$AA16)+((Product5!$Z16+Product5!$AA16)*0.2))*Price!$X7)))+((((((Product5!$Z16+Product5!$AA16)+((Product5!$Z16+Product5!$AA16)*0.2))*Price!$X7)))*0))</f>
        <v>0</v>
      </c>
      <c r="BR5" s="40" t="str">
        <f>IFERROR(__xludf.DUMMYFUNCTION("(SPLIT(Quotation!E27,""*""))"),"#VALUE!")</f>
        <v>#VALUE!</v>
      </c>
      <c r="BS5" s="33"/>
      <c r="BU5" s="57">
        <f>Quotation!H27/AF2</f>
        <v>0</v>
      </c>
    </row>
    <row r="6">
      <c r="A6" s="28" t="str">
        <f>Sheet2!A6</f>
        <v>#N/A</v>
      </c>
      <c r="B6" s="28" t="str">
        <f>Sheet2!B6</f>
        <v/>
      </c>
      <c r="C6" s="28" t="str">
        <f>Sheet2!C6</f>
        <v/>
      </c>
      <c r="D6" s="28" t="str">
        <f>Sheet2!D6</f>
        <v/>
      </c>
      <c r="E6" s="29">
        <f>Max(Sheet2!E6,Sheet2!E8)</f>
        <v>2</v>
      </c>
      <c r="F6" s="28">
        <f>Product2!CE74</f>
        <v>2029</v>
      </c>
      <c r="G6" s="58">
        <f>Product2!BI45</f>
        <v>1926</v>
      </c>
      <c r="H6" s="28">
        <f>Max(Sheet2!G6,Sheet2!G8)</f>
        <v>18</v>
      </c>
      <c r="I6" s="28">
        <f>Max(Sheet2!H6,Sheet2!H8)</f>
        <v>25</v>
      </c>
      <c r="J6" s="28">
        <f>L9</f>
        <v>170</v>
      </c>
      <c r="K6" s="28">
        <f>Product2!H2</f>
        <v>500</v>
      </c>
      <c r="L6" s="31">
        <f t="shared" ref="L6:L8" si="17">ROUNDUP((K6/E6)+80,0)</f>
        <v>330</v>
      </c>
      <c r="M6" s="33">
        <f>ROUNDUP(((K6/E6)*Sheet2!$AB$6)+80,0)</f>
        <v>330</v>
      </c>
      <c r="N6" s="31">
        <f t="shared" ref="N6:N8" si="18">Roundup((K6/E6),0)</f>
        <v>250</v>
      </c>
      <c r="O6" s="59"/>
      <c r="P6" s="31">
        <f>(Roundup((((((H6*I6)/1550)*(J6/1000))*(Product2!$CC$5+2))*L6)+((L6/144)*15),0))</f>
        <v>1289</v>
      </c>
      <c r="Q6" s="32"/>
      <c r="R6" s="32"/>
      <c r="S6" s="33"/>
      <c r="T6" s="33"/>
      <c r="U6" s="33">
        <f>Roundup(((((Product2!$BZ$5+1))*L6)+((L6/144)*10)),0)</f>
        <v>25103</v>
      </c>
      <c r="V6" s="31">
        <v>100.0</v>
      </c>
      <c r="W6" s="60">
        <f>Roundup(F9*I6*M6*Sheet2!E80*Sheet2!E72,0)</f>
        <v>0</v>
      </c>
      <c r="X6" s="34">
        <f>IFNA((IFS(F6=1926,LOOKUP(M6,(Price!$AA$1:$AB$300),(Price!$AC$1:$AC$300)),F6=2029,LOOKUP(M6,(Price!$AA$1:$AB$300),(Price!$AF$1:$AF$300)),F6=3001,LOOKUP(N6,(Price!$AI$2:$AJ$8),(Price!$AK$2:$AK$8)),F6=2030,LOOKUP(M6,(Price!$AA$1:$AB$300),(Price!$BE$1:$BE$300)),F6=2841,LOOKUP(M6,(Price!$AA$1:$AB$300),(Price!$BF$1:$BF$300)),F6=2840,LOOKUP(M6,(Price!$AA$1:$AB$300),(Price!$AG$1:$AG$300)))),"")*Product2!$BB$15+$AH$9+W6</f>
        <v>2300</v>
      </c>
      <c r="Y6" s="35">
        <f>IFNA(IFS(G6=1002,LOOKUP(O6,(Price!$AI$2:$AJ$8),(Price!$AL$2:$AL$8)),G6=1003,lookup(O6,(Price!$AI$2:$AJ$8),(Price!$AM$2:$AM$8)),G6=1004,lookup(O6,(Price!$AI$2:$AJ$8),(Price!$AN$2:$AN$8))),"")*Product2!$BB$15</f>
        <v>0</v>
      </c>
      <c r="Z6" s="32">
        <f>(LOOKUP(L6,(Price!$AA$2:$AB$300),(Price!$AD$2:$AD$300)))*Sheet2!Z12</f>
        <v>300</v>
      </c>
      <c r="AA6" s="28" t="str">
        <f>Sheet2!K6</f>
        <v/>
      </c>
      <c r="AB6" s="28" t="str">
        <f>Sheet2!L6</f>
        <v/>
      </c>
      <c r="AC6" s="28" t="str">
        <f>Sheet2!M6</f>
        <v/>
      </c>
      <c r="AD6" s="31">
        <f t="shared" ref="AD6:AD8" si="20">ROUNDUP(((K6*AB6)+((K6*AB6)*5%))+(Max(((L6*E6)*AC6),200)+1),0)</f>
        <v>201</v>
      </c>
      <c r="AE6" s="36">
        <f t="shared" ref="AE6:AE8" si="21">ROUNDUP(V6+Z6+AA6+AB6+AC6,0)</f>
        <v>400</v>
      </c>
      <c r="AF6" s="31">
        <f t="shared" ref="AF6:AF8" si="22">K6</f>
        <v>500</v>
      </c>
      <c r="AG6" s="37">
        <f t="shared" ref="AG6:AG8" si="23">(((((P6+AE6+X6+AD6)/AF6))*(0))+((P6+AE6+X6+AD6)/AF6))+$AG$9</f>
        <v>8.38</v>
      </c>
      <c r="AH6" s="38"/>
      <c r="AI6" s="39"/>
      <c r="AJ6" s="40"/>
      <c r="AK6" s="39"/>
      <c r="AL6" s="40">
        <f t="shared" ref="AL6:AL8" si="24">(((((U6+AE6+X6+AD6)/AF6)*(0))+((U6+AE6+X6+AD6)/AF6)))+$AJ$9</f>
        <v>56.008</v>
      </c>
      <c r="AM6" s="41">
        <f>((((((Roundup((((((AL$9*AM$9)/1550)*(J6/1000))*(Product2!$CC$5+2))*L6)+((L6/144)*15),0))+AE6+X6+AD6)/AF6))*(0))+(((Roundup((((((AL$9*AM$9)/1550)*(J6/1000))*(Product2!$CC$5+2))*L6)+((L6/144)*15),0))+AE6+X6+AD6)/AF6))+$AG$9</f>
        <v>8.38</v>
      </c>
      <c r="AN6" s="42"/>
      <c r="AO6" s="40"/>
      <c r="AP6" s="40"/>
      <c r="AQ6" s="40"/>
      <c r="AR6" s="40"/>
      <c r="AS6" s="40"/>
      <c r="AT6" s="40"/>
      <c r="AU6" s="40"/>
      <c r="AV6" s="40"/>
      <c r="AW6" s="44">
        <f>MAX((((H6*I6)*(Price!$T$2)*L6)/AF6),300/AF6)</f>
        <v>2.376</v>
      </c>
      <c r="AX6" s="39">
        <f>MAX((((H6*I6)*(Price!$S$2)*L6)/AF6),300/AF6)</f>
        <v>0.9801</v>
      </c>
      <c r="AY6" s="39">
        <f>MAX((((H6*I6)*(Price!$S$3)*L6)/AF6),300/AF6)</f>
        <v>1.3068</v>
      </c>
      <c r="AZ6" s="39">
        <f>MAX((((H6*I6)*(Price!$V$2)*L6)/AF6),300/AF6)</f>
        <v>0.6</v>
      </c>
      <c r="BA6" s="40">
        <f>MAX(((((H6*I6)*(Price!$W$2)*L6)/AF6)+(350/AF6)),500/AF6)</f>
        <v>1.4425</v>
      </c>
      <c r="BB6" s="40">
        <f>MAX(((((H6*I6)*(Price!$Y$7)*L6)/AF6)+(350/AF6)),2500/AF6)+AW6</f>
        <v>7.376</v>
      </c>
      <c r="BC6" s="39">
        <f>MAX(((((H6*I6)*(Price!$U$2)*L6)/AF6)+(350/AF6)),2500/AF6)</f>
        <v>5</v>
      </c>
      <c r="BD6" s="39">
        <f t="shared" ref="BD6:BD8" si="25">(MAX(BE6:BF6))</f>
        <v>5.276</v>
      </c>
      <c r="BE6" s="39">
        <f>(MAX((((((((Price!$X$2)*0.17)+(Price!$X$2))*L6)+(350))/AF6)+AW6),500/AF6))</f>
        <v>3.8482</v>
      </c>
      <c r="BF6" s="39">
        <f>((((Price!$Y$2)+350)/AF6)+AW6)</f>
        <v>5.276</v>
      </c>
      <c r="BG6" s="45" t="str">
        <f>IFERROR(__xludf.DUMMYFUNCTION("(SPLIT(Quotation!$D$30,""*""))"),"#VALUE!")</f>
        <v>#VALUE!</v>
      </c>
      <c r="BH6" s="45"/>
      <c r="BI6" s="45">
        <f>(Max(((((((H6*I6)*Price!$R$7)*L6)/AF6)*0)+((((H6*I6)*Price!$R$7)*L6)/AF6)+BQ6),500/AF6))</f>
        <v>4.167045455</v>
      </c>
      <c r="BJ6" s="45" t="str">
        <f>(MAX((((BG6*2)*Price!$S$7)+(((BG6*2)*Price!$S$7)*0)+BQ6),500/AF6))</f>
        <v>#VALUE!</v>
      </c>
      <c r="BK6" s="46" t="str">
        <f>(MAX(((((BG6*2)+(BH6*2))*Price!$S$7)+((((BG6*2)+(BH6*2))*Price!$S$7)*0)+BQ6),500/AF6))</f>
        <v>#VALUE!</v>
      </c>
      <c r="BL6" s="46">
        <f>(MAX((((LOOKUP(K6,(Price!$AA$2:$AB$1199),(Price!$AE$2:$AE$1199)))+((LOOKUP(K6,(Price!$AA$2:$AB$1199),(Price!$AE$2:$AE$1199)))*0))+BQ6),500/AF6))</f>
        <v>1</v>
      </c>
      <c r="BM6" s="45">
        <f>(MAX(((((Price!$U$7)+((Price!$U$7)*0))/K6)+BL6),500/AF6))</f>
        <v>1.1</v>
      </c>
      <c r="BN6" s="46">
        <f>(MAX(((((Price!$V$7)+((Price!$V$7)*0))/K6)+BL6),500/AF6))</f>
        <v>1.2</v>
      </c>
      <c r="BO6" s="45">
        <f t="shared" ref="BO6:BO8" si="26">(((MAX((Roundup($BO$9*L6,0)),300))/E6)/L6)</f>
        <v>0.4545454545</v>
      </c>
      <c r="BP6" s="61">
        <f t="shared" ref="BP6:BP8" si="27">(((MAX((Roundup($BP$5*L6,0)),300))/E6)/L6)</f>
        <v>0.4545454545</v>
      </c>
      <c r="BQ6" s="45">
        <f t="shared" ref="BQ6:BQ8" si="28">(((MAX((($BQ$9*L6)),300))/L6)/E6)</f>
        <v>0.4545454545</v>
      </c>
      <c r="BR6" s="48" t="str">
        <f>((((MAX((((($BI$9*$BJ$9)*Price!$S$7)*L6)),300))/E6)/L6)+((((MAX((((($BI$9*$BJ$9)*Price!$S$7)*L6)),300))/E6)/L6)*Sheet2!Z37))</f>
        <v>#VALUE!</v>
      </c>
      <c r="BS6" s="49">
        <f>((MAX((K6*Price!$U$12),300))/K6)</f>
        <v>5</v>
      </c>
      <c r="BT6" s="49">
        <f>((MAX((K6*Price!$V$12),300))/K6)</f>
        <v>6</v>
      </c>
      <c r="BU6" s="33">
        <f>(iferror(roundup((((MAX((L6*E6*BR9*BS$9*BT$9*Price!Z21),1500))+(BR9*BS9*BT9*E6*Price!Y21)))+((((MAX((L6*E6*BR9*BS$9*BT$9*Price!Z21),1500))+(BR9*BS9*BT9*E6*Price!Y21)))*Sheet2!Z33),0),""))*Product2!CF87</f>
        <v>0</v>
      </c>
    </row>
    <row r="7">
      <c r="A7" s="28" t="str">
        <f t="shared" ref="A7:J7" si="16">A6</f>
        <v>#N/A</v>
      </c>
      <c r="B7" s="28" t="str">
        <f t="shared" si="16"/>
        <v/>
      </c>
      <c r="C7" s="28" t="str">
        <f t="shared" si="16"/>
        <v/>
      </c>
      <c r="D7" s="28" t="str">
        <f t="shared" si="16"/>
        <v/>
      </c>
      <c r="E7" s="29">
        <f t="shared" si="16"/>
        <v>2</v>
      </c>
      <c r="F7" s="28">
        <f t="shared" si="16"/>
        <v>2029</v>
      </c>
      <c r="G7" s="28">
        <f t="shared" si="16"/>
        <v>1926</v>
      </c>
      <c r="H7" s="28">
        <f t="shared" si="16"/>
        <v>18</v>
      </c>
      <c r="I7" s="28">
        <f t="shared" si="16"/>
        <v>25</v>
      </c>
      <c r="J7" s="28">
        <f t="shared" si="16"/>
        <v>170</v>
      </c>
      <c r="K7" s="28">
        <f>Product2!H4</f>
        <v>35000</v>
      </c>
      <c r="L7" s="31">
        <f t="shared" si="17"/>
        <v>17580</v>
      </c>
      <c r="M7" s="33">
        <f>ROUNDUP(((K7/E7)*Sheet2!$AB$6)+80,0)</f>
        <v>17580</v>
      </c>
      <c r="N7" s="31">
        <f t="shared" si="18"/>
        <v>17500</v>
      </c>
      <c r="O7" s="59"/>
      <c r="P7" s="31">
        <f>(Roundup((((((H7*I7)/1550)*(J7/1000))*(Product2!$CC$5+2))*L7)+((L7/144)*15),0))</f>
        <v>68641</v>
      </c>
      <c r="Q7" s="32"/>
      <c r="R7" s="32"/>
      <c r="S7" s="33"/>
      <c r="T7" s="33"/>
      <c r="U7" s="33">
        <f>Roundup(((((Product2!$BZ$5+1))*L7)+((L7/144)*10)),0)</f>
        <v>1337301</v>
      </c>
      <c r="V7" s="28">
        <f>V6</f>
        <v>100</v>
      </c>
      <c r="W7" s="60">
        <f>Roundup(F9*I6*M7*Sheet2!E80*Sheet2!E72,0)</f>
        <v>0</v>
      </c>
      <c r="X7" s="34">
        <f>IFNA((IFS(F7=1926,LOOKUP(M7,(Price!$AA$1:$AB$300),(Price!$AC$1:$AC$300)),F7=2029,LOOKUP(M7,(Price!$AA$1:$AB$300),(Price!$AF$1:$AF$300)),F7=3001,LOOKUP(N7,(Price!$AI$2:$AJ$8),(Price!$AK$2:$AK$8)),F7=2030,LOOKUP(M7,(Price!$AA$1:$AB$300),(Price!$BE$1:$BE$300)),F7=2841,LOOKUP(M7,(Price!$AA$1:$AB$300),(Price!$BF$1:$BF$300)),F7=2840,LOOKUP(M7,(Price!$AA$1:$AB$300),(Price!$AG$1:$AG$300)))),"")*Product2!$BB$15+$AH$9+W7</f>
        <v>9100</v>
      </c>
      <c r="Y7" s="35">
        <f>IFNA(IFS(G7=1002,LOOKUP(O7,(Price!$AI$2:$AJ$8),(Price!$AL$2:$AL$8)),G7=1003,lookup(O7,(Price!$AI$2:$AJ$8),(Price!$AM$2:$AM$8)),G7=1004,lookup(O7,(Price!$AI$2:$AJ$8),(Price!$AN$2:$AN$8))),"")*Product2!$BB$15</f>
        <v>0</v>
      </c>
      <c r="Z7" s="32">
        <f>(LOOKUP(L7,(Price!$AA$2:$AB$300),(Price!$AD$2:$AD$300)))*Sheet2!Z12</f>
        <v>5400</v>
      </c>
      <c r="AA7" s="28" t="str">
        <f t="shared" ref="AA7:AC7" si="19">AA6</f>
        <v/>
      </c>
      <c r="AB7" s="28" t="str">
        <f t="shared" si="19"/>
        <v/>
      </c>
      <c r="AC7" s="28" t="str">
        <f t="shared" si="19"/>
        <v/>
      </c>
      <c r="AD7" s="31">
        <f t="shared" si="20"/>
        <v>201</v>
      </c>
      <c r="AE7" s="36">
        <f t="shared" si="21"/>
        <v>5500</v>
      </c>
      <c r="AF7" s="28">
        <f t="shared" si="22"/>
        <v>35000</v>
      </c>
      <c r="AG7" s="37">
        <f t="shared" si="23"/>
        <v>2.384057143</v>
      </c>
      <c r="AH7" s="38"/>
      <c r="AI7" s="39"/>
      <c r="AJ7" s="40"/>
      <c r="AK7" s="39"/>
      <c r="AL7" s="40">
        <f t="shared" si="24"/>
        <v>38.63148571</v>
      </c>
      <c r="AM7" s="41">
        <f>((((((Roundup((((((AL$9*AM$9)/1550)*(J7/1000))*(Product2!$CC$5+2))*L7)+((L7/144)*15),0))+AE7+X7+AD7)/AF7))*(0))+(((Roundup((((((AL$9*AM$9)/1550)*(J7/1000))*(Product2!$CC$5+2))*L7)+((L7/144)*15),0))+AE7+X7+AD7)/AF7))+$AG$9</f>
        <v>2.384057143</v>
      </c>
      <c r="AN7" s="42"/>
      <c r="AO7" s="40"/>
      <c r="AP7" s="40"/>
      <c r="AQ7" s="40"/>
      <c r="AR7" s="40"/>
      <c r="AS7" s="40"/>
      <c r="AT7" s="40"/>
      <c r="AU7" s="40"/>
      <c r="AV7" s="40"/>
      <c r="AW7" s="44">
        <f>MAX((((H7*I7)*(Price!$T$2)*L7)/AF7),300/AF7)</f>
        <v>1.808228571</v>
      </c>
      <c r="AX7" s="39">
        <f>MAX((((H7*I7)*(Price!$S$2)*L7)/AF7),300/AF7)</f>
        <v>0.7458942857</v>
      </c>
      <c r="AY7" s="39">
        <f>MAX((((H7*I7)*(Price!$S$3)*L7)/AF7),300/AF7)</f>
        <v>0.9945257143</v>
      </c>
      <c r="AZ7" s="39">
        <f>MAX((((H7*I7)*(Price!$V$2)*L7)/AF7),300/AF7)</f>
        <v>0.31644</v>
      </c>
      <c r="BA7" s="40">
        <f>MAX(((((H7*I7)*(Price!$W$2)*L7)/AF7)+(350/AF7)),500/AF7)</f>
        <v>0.5750714286</v>
      </c>
      <c r="BB7" s="40">
        <f>MAX(((((H7*I7)*(Price!$Y$7)*L7)/AF7)+(350/AF7)),2500/AF7)+AW7</f>
        <v>3.061385714</v>
      </c>
      <c r="BC7" s="39">
        <f>MAX(((((H7*I7)*(Price!$U$2)*L7)/AF7)+(350/AF7)),2500/AF7)</f>
        <v>1.027128571</v>
      </c>
      <c r="BD7" s="39">
        <f t="shared" si="25"/>
        <v>2.405902857</v>
      </c>
      <c r="BE7" s="39">
        <f>(MAX((((((((Price!$X$2)*0.17)+(Price!$X$2))*L7)+(350))/AF7)+AW7),500/AF7))</f>
        <v>2.405902857</v>
      </c>
      <c r="BF7" s="39">
        <f>((((Price!$Y$2)+350)/AF7)+AW7)</f>
        <v>1.849657143</v>
      </c>
      <c r="BG7" s="45" t="str">
        <f>IFERROR(__xludf.DUMMYFUNCTION("(SPLIT(Quotation!$D$30,""*""))"),"#VALUE!")</f>
        <v>#VALUE!</v>
      </c>
      <c r="BH7" s="45"/>
      <c r="BI7" s="45">
        <f>(Max(((((((H7*I7)*Price!$R$7)*L7)/AF7)*0)+((((H7*I7)*Price!$R$7)*L7)/AF7)+BQ7),500/AF7))</f>
        <v>2.833889566</v>
      </c>
      <c r="BJ7" s="45" t="str">
        <f>(MAX((((BG7*2)*Price!$S$7)+(((BG7*2)*Price!$S$7)*0)+BQ7),500/AF7))</f>
        <v>#VALUE!</v>
      </c>
      <c r="BK7" s="46" t="str">
        <f>(MAX(((((BG7*2)+(BH7*2))*Price!$S$7)+((((BG7*2)+(BH7*2))*Price!$S$7)*0)+BQ7),500/AF7))</f>
        <v>#VALUE!</v>
      </c>
      <c r="BL7" s="46">
        <f>(MAX((((LOOKUP(K7,(Price!$AA$2:$AB$1199),(Price!$AE$2:$AE$1199)))+((LOOKUP(K7,(Price!$AA$2:$AB$1199),(Price!$AE$2:$AE$1199)))*0))+BQ7),500/AF7))</f>
        <v>0.1585324232</v>
      </c>
      <c r="BM7" s="45">
        <f>(MAX(((((Price!$U$7)+((Price!$U$7)*0))/K7)+BL7),500/AF7))</f>
        <v>0.1599609946</v>
      </c>
      <c r="BN7" s="46">
        <f>(MAX(((((Price!$V$7)+((Price!$V$7)*0))/K7)+BL7),500/AF7))</f>
        <v>0.1613895661</v>
      </c>
      <c r="BO7" s="45">
        <f t="shared" si="26"/>
        <v>0.008532423208</v>
      </c>
      <c r="BP7" s="61">
        <f t="shared" si="27"/>
        <v>0.1200227531</v>
      </c>
      <c r="BQ7" s="45">
        <f t="shared" si="28"/>
        <v>0.008532423208</v>
      </c>
      <c r="BR7" s="48" t="str">
        <f>((((MAX((((($BI$9*$BJ$9)*Price!$S$7)*L7)),300))/E7)/L7)+((((MAX((((($BI$9*$BJ$9)*Price!$S$7)*L7)),300))/E7)/L7)*Sheet2!Z38))</f>
        <v>#VALUE!</v>
      </c>
      <c r="BS7" s="49">
        <f>((MAX((K7*Price!$U$12),300))/K7)</f>
        <v>5</v>
      </c>
      <c r="BT7" s="49">
        <f>((MAX((K7*Price!$V$12),300))/K7)</f>
        <v>6</v>
      </c>
    </row>
    <row r="8">
      <c r="A8" s="28" t="str">
        <f t="shared" ref="A8:J8" si="29">A6</f>
        <v>#N/A</v>
      </c>
      <c r="B8" s="28" t="str">
        <f t="shared" si="29"/>
        <v/>
      </c>
      <c r="C8" s="28" t="str">
        <f t="shared" si="29"/>
        <v/>
      </c>
      <c r="D8" s="28" t="str">
        <f t="shared" si="29"/>
        <v/>
      </c>
      <c r="E8" s="29">
        <f t="shared" si="29"/>
        <v>2</v>
      </c>
      <c r="F8" s="28">
        <f t="shared" si="29"/>
        <v>2029</v>
      </c>
      <c r="G8" s="28">
        <f t="shared" si="29"/>
        <v>1926</v>
      </c>
      <c r="H8" s="28">
        <f t="shared" si="29"/>
        <v>18</v>
      </c>
      <c r="I8" s="28">
        <f t="shared" si="29"/>
        <v>25</v>
      </c>
      <c r="J8" s="28">
        <f t="shared" si="29"/>
        <v>170</v>
      </c>
      <c r="K8" s="28" t="str">
        <f>Product2!H6</f>
        <v/>
      </c>
      <c r="L8" s="31">
        <f t="shared" si="17"/>
        <v>80</v>
      </c>
      <c r="M8" s="33">
        <f>ROUNDUP(((K8/E8)*Sheet2!$AB$6)+80,0)</f>
        <v>80</v>
      </c>
      <c r="N8" s="31">
        <f t="shared" si="18"/>
        <v>0</v>
      </c>
      <c r="O8" s="59"/>
      <c r="P8" s="31">
        <f>(Roundup((((((H8*I8)/1550)*(J8/1000))*(Product2!$CC$5+2))*L8)+((L8/144)*15),0))</f>
        <v>313</v>
      </c>
      <c r="Q8" s="32"/>
      <c r="R8" s="32"/>
      <c r="S8" s="33"/>
      <c r="T8" s="33"/>
      <c r="U8" s="33">
        <f>Roundup(((((Product2!$BZ$5+1))*L8)+((L8/144)*10)),0)</f>
        <v>6086</v>
      </c>
      <c r="V8" s="28">
        <f>V6</f>
        <v>100</v>
      </c>
      <c r="W8" s="60">
        <f>Roundup(F9*I6*M8*Sheet2!E80*Sheet2!E72,0)</f>
        <v>0</v>
      </c>
      <c r="X8" s="34">
        <f>IFNA((IFS(F8=1926,LOOKUP(M8,(Price!$AA$1:$AB$300),(Price!$AC$1:$AC$300)),F8=2029,LOOKUP(M8,(Price!$AA$1:$AB$300),(Price!$AF$1:$AF$300)),F8=3001,LOOKUP(N8,(Price!$AI$2:$AJ$8),(Price!$AK$2:$AK$8)),F8=2030,LOOKUP(M8,(Price!$AA$1:$AB$300),(Price!$BE$1:$BE$300)),F8=2841,LOOKUP(M8,(Price!$AA$1:$AB$300),(Price!$BF$1:$BF$300)),F8=2840,LOOKUP(M8,(Price!$AA$1:$AB$300),(Price!$AG$1:$AG$300)))),"")*Product2!$BB$15+$AH$9+W8</f>
        <v>2300</v>
      </c>
      <c r="Y8" s="35">
        <f>IFNA(IFS(G8=1002,LOOKUP(O8,(Price!$AI$2:$AJ$8),(Price!$AL$2:$AL$8)),G8=1003,lookup(O8,(Price!$AI$2:$AJ$8),(Price!$AM$2:$AM$8)),G8=1004,lookup(O8,(Price!$AI$2:$AJ$8),(Price!$AN$2:$AN$8))),"")*Product2!$BB$15</f>
        <v>0</v>
      </c>
      <c r="Z8" s="32">
        <f>(LOOKUP(L8,(Price!$AA$2:$AB$300),(Price!$AD$2:$AD$300)))*Sheet2!Z12</f>
        <v>300</v>
      </c>
      <c r="AA8" s="28" t="str">
        <f t="shared" ref="AA8:AC8" si="30">AA6</f>
        <v/>
      </c>
      <c r="AB8" s="28" t="str">
        <f t="shared" si="30"/>
        <v/>
      </c>
      <c r="AC8" s="28" t="str">
        <f t="shared" si="30"/>
        <v/>
      </c>
      <c r="AD8" s="31">
        <f t="shared" si="20"/>
        <v>201</v>
      </c>
      <c r="AE8" s="36">
        <f t="shared" si="21"/>
        <v>400</v>
      </c>
      <c r="AF8" s="28" t="str">
        <f t="shared" si="22"/>
        <v/>
      </c>
      <c r="AG8" s="37" t="str">
        <f t="shared" si="23"/>
        <v>#DIV/0!</v>
      </c>
      <c r="AH8" s="38"/>
      <c r="AI8" s="39"/>
      <c r="AJ8" s="40"/>
      <c r="AK8" s="39"/>
      <c r="AL8" s="40" t="str">
        <f t="shared" si="24"/>
        <v>#DIV/0!</v>
      </c>
      <c r="AM8" s="62" t="str">
        <f>((((((Roundup((((((AL$9*AM$9)/1550)*(J8/1000))*(Product2!$CC$5+2))*L8)+((L8/144)*15),0))+AE8+X8+AD8)/AF8))*(0))+(((Roundup((((((AL$9*AM$9)/1550)*(J8/1000))*(Product2!$CC$5+2))*L8)+((L8/144)*15),0))+AE8+X8+AD8)/AF8))+$AG$9</f>
        <v>#DIV/0!</v>
      </c>
      <c r="AN8" s="42"/>
      <c r="AO8" s="40"/>
      <c r="AP8" s="40"/>
      <c r="AQ8" s="40"/>
      <c r="AR8" s="40"/>
      <c r="AS8" s="40"/>
      <c r="AT8" s="40"/>
      <c r="AU8" s="40"/>
      <c r="AV8" s="40"/>
      <c r="AW8" s="44" t="str">
        <f>MAX((((H8*I8)*(Price!$T$2)*L8)/AF8),300/AF8)</f>
        <v>#DIV/0!</v>
      </c>
      <c r="AX8" s="39" t="str">
        <f>MAX((((H8*I8)*(Price!$S$2)*L8)/AF8),300/AF8)</f>
        <v>#DIV/0!</v>
      </c>
      <c r="AY8" s="39" t="str">
        <f>MAX((((H8*I8)*(Price!$S$3)*L8)/AF8),300/AF8)</f>
        <v>#DIV/0!</v>
      </c>
      <c r="AZ8" s="39" t="str">
        <f>MAX((((H8*I8)*(Price!$V$2)*L8)/AF8),300/AF8)</f>
        <v>#DIV/0!</v>
      </c>
      <c r="BA8" s="40" t="str">
        <f>MAX(((((H8*I8)*(Price!$W$2)*L8)/AF8)+(350/AF8)),500/AF8)</f>
        <v>#DIV/0!</v>
      </c>
      <c r="BB8" s="40" t="str">
        <f>MAX(((((H8*I8)*(Price!$Y$7)*L8)/AF8)+(350/AF8)),2500/AF8)+AW8</f>
        <v>#DIV/0!</v>
      </c>
      <c r="BC8" s="39" t="str">
        <f>MAX(((((H8*I8)*(Price!$U$2)*L8)/AF8)+(350/AF8)),2500/AF8)</f>
        <v>#DIV/0!</v>
      </c>
      <c r="BD8" s="39" t="str">
        <f t="shared" si="25"/>
        <v>#DIV/0!</v>
      </c>
      <c r="BE8" s="39" t="str">
        <f>(MAX((((((((Price!$X$2)*0.17)+(Price!$X$2))*L8)+(350))/AF8)+AW8),500/AF8))</f>
        <v>#DIV/0!</v>
      </c>
      <c r="BF8" s="39" t="str">
        <f>((((Price!$Y$2)+350)/AF8)+AW8)</f>
        <v>#DIV/0!</v>
      </c>
      <c r="BG8" s="45" t="str">
        <f>IFERROR(__xludf.DUMMYFUNCTION("(SPLIT(Quotation!$D$30,""*""))"),"#VALUE!")</f>
        <v>#VALUE!</v>
      </c>
      <c r="BH8" s="45"/>
      <c r="BI8" s="45" t="str">
        <f>(Max(((((((H8*I8)*Price!$R$7)*L8)/AF8)*0)+((((H8*I8)*Price!$R$7)*L8)/AF8)+BQ8),500/AF8))</f>
        <v>#DIV/0!</v>
      </c>
      <c r="BJ8" s="45" t="str">
        <f>(MAX((((BG8*2)*Price!$S$7)+(((BG8*2)*Price!$S$7)*0)+BQ8),500/AF8))</f>
        <v>#VALUE!</v>
      </c>
      <c r="BK8" s="46" t="str">
        <f>(MAX(((((BG8*2)+(BH8*2))*Price!$S$7)+((((BG8*2)+(BH8*2))*Price!$S$7)*0)+BQ8),500/AF8))</f>
        <v>#VALUE!</v>
      </c>
      <c r="BL8" s="46" t="str">
        <f>(MAX((((LOOKUP(K8,(Price!$AA$2:$AB$1199),(Price!$AE$2:$AE$1199)))+((LOOKUP(K8,(Price!$AA$2:$AB$1199),(Price!$AE$2:$AE$1199)))*0))+BQ8),500/AF8))</f>
        <v>#N/A</v>
      </c>
      <c r="BM8" s="45" t="str">
        <f>(MAX(((((Price!$U$7)+((Price!$U$7)*0))/K8)+BL8),500/AF8))</f>
        <v>#DIV/0!</v>
      </c>
      <c r="BN8" s="46" t="str">
        <f>(MAX(((((Price!$V$7)+((Price!$V$7)*0))/K8)+BL8),500/AF8))</f>
        <v>#DIV/0!</v>
      </c>
      <c r="BO8" s="45">
        <f t="shared" si="26"/>
        <v>1.875</v>
      </c>
      <c r="BP8" s="61">
        <f t="shared" si="27"/>
        <v>1.875</v>
      </c>
      <c r="BQ8" s="45">
        <f t="shared" si="28"/>
        <v>1.875</v>
      </c>
      <c r="BR8" s="48" t="str">
        <f>((((MAX((((($BI$9*$BJ$9)*Price!$S$7)*L8)),300))/E8)/L8)+((((MAX((((($BI$9*$BJ$9)*Price!$S$7)*L8)),300))/E8)/L8)*Sheet2!Z39))</f>
        <v>#VALUE!</v>
      </c>
      <c r="BS8" s="49" t="str">
        <f>((MAX((K8*Price!$U$12),300))/K8)</f>
        <v>#DIV/0!</v>
      </c>
      <c r="BT8" s="49" t="str">
        <f>((MAX((K8*Price!$V$12),300))/K8)</f>
        <v>#DIV/0!</v>
      </c>
    </row>
    <row r="9">
      <c r="A9" s="28"/>
      <c r="B9" s="28"/>
      <c r="C9" s="28"/>
      <c r="D9" s="33">
        <f>(ROUNDUP(((($H$6*$I$6)/1550)*($J$6/1000))*($K$6/$E$6),0))</f>
        <v>13</v>
      </c>
      <c r="E9" s="28"/>
      <c r="F9" s="28">
        <f>ROUNDUP(H6,0)</f>
        <v>18</v>
      </c>
      <c r="G9" s="28">
        <f>(H6*I6)/144</f>
        <v>3.125</v>
      </c>
      <c r="H9" s="28" t="str">
        <f>CONCATENATE(F9,ROUNDUP(I6,0))</f>
        <v>1825</v>
      </c>
      <c r="I9" s="40" t="str">
        <f>IFERROR(__xludf.DUMMYFUNCTION("SPLIT(Quotation!D30,""*"")"),"#VALUE!")</f>
        <v>#VALUE!</v>
      </c>
      <c r="J9" s="51"/>
      <c r="K9" s="28" t="str">
        <f>((ROUNDUP(I9,0))*(ROUNDUP(J9,0)))</f>
        <v>#VALUE!</v>
      </c>
      <c r="L9" s="33">
        <f>IFERROR(__xludf.DUMMYFUNCTION("SPLIT(Product2!CG5,"" "")"),170.0)</f>
        <v>170</v>
      </c>
      <c r="M9" s="31"/>
      <c r="N9" s="31"/>
      <c r="O9" s="31"/>
      <c r="P9" s="31"/>
      <c r="Q9" s="32"/>
      <c r="R9" s="32"/>
      <c r="S9" s="33"/>
      <c r="T9" s="33"/>
      <c r="U9" s="32"/>
      <c r="V9" s="31"/>
      <c r="W9" s="28"/>
      <c r="X9" s="34"/>
      <c r="Y9" s="35"/>
      <c r="Z9" s="32"/>
      <c r="AA9" s="28"/>
      <c r="AB9" s="32"/>
      <c r="AC9" s="28"/>
      <c r="AD9" s="31"/>
      <c r="AE9" s="36"/>
      <c r="AF9" s="31"/>
      <c r="AG9" s="37">
        <f>((((F9*I6)*Price!W12)/E6)*Product2!CF74)</f>
        <v>0</v>
      </c>
      <c r="AH9" s="63">
        <f>(Product2!$CG$74*Product2!$CG$110*Product2!$BB$15)</f>
        <v>1100</v>
      </c>
      <c r="AI9" s="39"/>
      <c r="AJ9" s="40">
        <f>((((F9*I6)*Price!X12)/E6)*Product2!CF74)</f>
        <v>0</v>
      </c>
      <c r="AK9" s="39"/>
      <c r="AL9" s="42">
        <f>IFERROR(__xludf.DUMMYFUNCTION("iferror((SPLIT(Quotation!E29,""*"")))"),18.0)</f>
        <v>18</v>
      </c>
      <c r="AM9" s="52">
        <f>IFERROR(__xludf.DUMMYFUNCTION("""COMPUTED_VALUE"""),25.0)</f>
        <v>25</v>
      </c>
      <c r="AN9" s="42">
        <f>IFERROR(__xludf.DUMMYFUNCTION("""COMPUTED_VALUE"""),2.0)</f>
        <v>2</v>
      </c>
      <c r="AO9" s="40"/>
      <c r="AP9" s="40"/>
      <c r="AQ9" s="40"/>
      <c r="AR9" s="40"/>
      <c r="AS9" s="40"/>
      <c r="AT9" s="40"/>
      <c r="AU9" s="53"/>
      <c r="AV9" s="40"/>
      <c r="AW9" s="44" t="str">
        <f>(Quotation!B34)</f>
        <v/>
      </c>
      <c r="AX9" s="39"/>
      <c r="AY9" s="39"/>
      <c r="AZ9" s="39"/>
      <c r="BA9" s="40"/>
      <c r="BB9" s="40"/>
      <c r="BC9" s="39"/>
      <c r="BD9" s="39"/>
      <c r="BE9" s="39"/>
      <c r="BF9" s="39"/>
      <c r="BG9" s="39"/>
      <c r="BH9" s="39"/>
      <c r="BI9" s="45" t="str">
        <f>IFERROR(__xludf.DUMMYFUNCTION("(SPLIT(Quotation!E34,""*""))"),"#VALUE!")</f>
        <v>#VALUE!</v>
      </c>
      <c r="BJ9" s="39"/>
      <c r="BK9" s="39"/>
      <c r="BL9" s="39"/>
      <c r="BM9" s="39"/>
      <c r="BN9" s="39"/>
      <c r="BO9" s="56">
        <f>((((((Product6!$Z16+Product6!$AA16)+((Product6!$Z16+Product6!$AA16)*0.2))*Price!$W7)))+((((((Product6!$Z16+Product6!$AA16)+((Product6!$Z16+Product6!$AA16)*0.2))*Price!$W7)))*0))</f>
        <v>0</v>
      </c>
      <c r="BP9" s="39"/>
      <c r="BQ9" s="56">
        <f>((((((Product6!$Z16+Product6!$AA16)+((Product6!$Z16+Product6!$AA16)*0.2))*Price!$X7)))+((((((Product6!$Z16+Product6!$AA16)+((Product6!$Z16+Product6!$AA16)*0.2))*Price!$X7)))*0))</f>
        <v>0</v>
      </c>
      <c r="BR9" s="40" t="str">
        <f>IFERROR(__xludf.DUMMYFUNCTION("(SPLIT(Quotation!E35,""*""))"),"#VALUE!")</f>
        <v>#VALUE!</v>
      </c>
      <c r="BS9" s="33"/>
    </row>
    <row r="10">
      <c r="A10" s="28" t="str">
        <f>Sheet2!A10</f>
        <v/>
      </c>
      <c r="B10" s="28" t="str">
        <f>Sheet2!B10</f>
        <v>All</v>
      </c>
      <c r="C10" s="28" t="str">
        <f>Sheet2!C10</f>
        <v>Cashify</v>
      </c>
      <c r="D10" s="28" t="str">
        <f>Sheet2!D10</f>
        <v>Custom Size</v>
      </c>
      <c r="E10" s="29">
        <f>Max(Sheet2!E10,Sheet2!E12)</f>
        <v>3</v>
      </c>
      <c r="F10" s="28">
        <f>Product3!CE74</f>
        <v>2029</v>
      </c>
      <c r="G10" s="58">
        <f>Product3!BI45</f>
        <v>1926</v>
      </c>
      <c r="H10" s="28">
        <f>Max(Sheet2!G10,Sheet2!G12)</f>
        <v>20</v>
      </c>
      <c r="I10" s="28">
        <f>Max(Sheet2!H10,Sheet2!H12)</f>
        <v>30</v>
      </c>
      <c r="J10" s="28">
        <f>L13</f>
        <v>90</v>
      </c>
      <c r="K10" s="28">
        <f>IFNA(Product3!H2,"")</f>
        <v>30000</v>
      </c>
      <c r="L10" s="31">
        <f t="shared" ref="L10:L12" si="32">ROUNDUP((K10/E10)+80,0)</f>
        <v>10080</v>
      </c>
      <c r="M10" s="33">
        <f>ROUNDUP(((K10/E10)*Sheet2!$AB$7)+80,0)</f>
        <v>10080</v>
      </c>
      <c r="N10" s="31">
        <f t="shared" ref="N10:N12" si="33">Roundup((K10/E10),0)</f>
        <v>10000</v>
      </c>
      <c r="O10" s="59"/>
      <c r="P10" s="31">
        <f>(Roundup((((((H10*I10)/1550)*(J10/1000))*(Product3!$CC$5+2))*L10)+((L10/144)*15),0))</f>
        <v>38626</v>
      </c>
      <c r="Q10" s="32"/>
      <c r="R10" s="32"/>
      <c r="S10" s="33"/>
      <c r="T10" s="33"/>
      <c r="U10" s="33">
        <f>Roundup(((((Product3!$BZ$5+1))*L10)+((L10/144)*10)),0)</f>
        <v>1069180</v>
      </c>
      <c r="V10" s="31">
        <v>100.0</v>
      </c>
      <c r="W10" s="60">
        <f>Roundup(F13*I10*M10*Sheet2!E81*Sheet2!E73,0)</f>
        <v>0</v>
      </c>
      <c r="X10" s="34">
        <f>IFNA((IFS(F10=1926,LOOKUP(M10,(Price!$AA$1:$AB$300),(Price!$AC$1:$AC$300)),F10=2029,LOOKUP(M10,(Price!$AA$1:$AB$300),(Price!$AF$1:$AF$300)),F10=3001,LOOKUP(N10,(Price!$AI$2:$AJ$8),(Price!$AK$2:$AK$8)),F10=2030,LOOKUP(M10,(Price!$AA$1:$AB$300),(Price!$BE$1:$BE$300)),F10=2841,LOOKUP(M10,(Price!$AA$1:$AB$300),(Price!$BF$1:$BF$300)),F10=2840,LOOKUP(M10,(Price!$AA$1:$AB$300),(Price!$AG$1:$AG$300)))),"")*Product3!$BB$15+$AH$13+W10</f>
        <v>5900</v>
      </c>
      <c r="Y10" s="35">
        <f>IFNA(IFS(G10=1002,LOOKUP(O10,(Price!$AI$2:$AJ$8),(Price!$AL$2:$AL$8)),G10=1003,lookup(O10,(Price!$AI$2:$AJ$8),(Price!$AM$2:$AM$8)),G10=1004,lookup(O10,(Price!$AI$2:$AJ$8),(Price!$AN$2:$AN$8))),"")*Product3!$BB$15</f>
        <v>0</v>
      </c>
      <c r="Z10" s="32">
        <f>(LOOKUP(L10,(Price!$AA$2:$AB$300),(Price!$AD$2:$AD$300)))*Sheet2!Z13</f>
        <v>3000</v>
      </c>
      <c r="AA10" s="28" t="str">
        <f>Sheet2!K10</f>
        <v/>
      </c>
      <c r="AB10" s="28" t="str">
        <f>Sheet2!L10</f>
        <v/>
      </c>
      <c r="AC10" s="28" t="str">
        <f>Sheet2!M10</f>
        <v/>
      </c>
      <c r="AD10" s="31">
        <f t="shared" ref="AD10:AD12" si="35">ROUNDUP(((K10*AB10)+((K10*AB10)*5%))+(Max(((L10*E10)*AC10),200)+1),0)</f>
        <v>201</v>
      </c>
      <c r="AE10" s="36">
        <f t="shared" ref="AE10:AE12" si="36">ROUNDUP(V10+Z10+AA10+AB10+AC10,0)</f>
        <v>3100</v>
      </c>
      <c r="AF10" s="31">
        <f t="shared" ref="AF10:AF12" si="37">K10</f>
        <v>30000</v>
      </c>
      <c r="AG10" s="37">
        <f t="shared" ref="AG10:AG12" si="38">(((((P10+AE10+X10+AD10)/AF10))*(0))+((P10+AE10+X10+AD10)/AF10))+$AG$13</f>
        <v>1.594233333</v>
      </c>
      <c r="AH10" s="38"/>
      <c r="AI10" s="39"/>
      <c r="AJ10" s="40"/>
      <c r="AK10" s="39"/>
      <c r="AL10" s="40">
        <f t="shared" ref="AL10:AL12" si="39">(((((U10+AE10+X10+AD10)/AF10)*(0))+((U10+AE10+X10+AD10)/AF10)))+$AJ$13</f>
        <v>35.94603333</v>
      </c>
      <c r="AM10" s="41">
        <f>((((((Roundup((((((AL$13*AM$13)/1550)*(J10/1000))*(Product3!$CC$5+2))*L10)+((L10/144)*15),0))+AE10+X10+AD10)/AF10))*(0))+(((Roundup((((((AL$13*AM$13)/1550)*(J10/1000))*(Product3!$CC$5+2))*L10)+((L10/144)*15),0))+AE10+X10+AD10)/AF10))+$AG$13</f>
        <v>1.594233333</v>
      </c>
      <c r="AN10" s="42"/>
      <c r="AO10" s="40"/>
      <c r="AP10" s="40"/>
      <c r="AQ10" s="40"/>
      <c r="AR10" s="40"/>
      <c r="AS10" s="40"/>
      <c r="AT10" s="40"/>
      <c r="AU10" s="40"/>
      <c r="AV10" s="40"/>
      <c r="AW10" s="44">
        <f>MAX((((H10*I10)*(Price!$T$2)*L10)/AF10),300/AF10)</f>
        <v>1.6128</v>
      </c>
      <c r="AX10" s="39">
        <f>MAX((((H10*I10)*(Price!$S$2)*L10)/AF10),300/AF10)</f>
        <v>0.66528</v>
      </c>
      <c r="AY10" s="39">
        <f>MAX((((H10*I10)*(Price!$S$3)*L10)/AF10),300/AF10)</f>
        <v>0.88704</v>
      </c>
      <c r="AZ10" s="39">
        <f>MAX((((H10*I10)*(Price!$V$2)*L10)/AF10),300/AF10)</f>
        <v>0.28224</v>
      </c>
      <c r="BA10" s="40">
        <f>MAX(((((H10*I10)*(Price!$W$2)*L10)/AF10)+(350/AF10)),500/AF10)</f>
        <v>0.5156666667</v>
      </c>
      <c r="BB10" s="40">
        <f>MAX(((((H10*I10)*(Price!$Y$7)*L10)/AF10)+(350/AF10)),2500/AF10)+AW10</f>
        <v>2.733266667</v>
      </c>
      <c r="BC10" s="39">
        <f>MAX(((((H10*I10)*(Price!$U$2)*L10)/AF10)+(350/AF10)),2500/AF10)</f>
        <v>0.9188666667</v>
      </c>
      <c r="BD10" s="39">
        <f t="shared" ref="BD10:BD12" si="40">(MAX(BE10:BF10))</f>
        <v>2.017586667</v>
      </c>
      <c r="BE10" s="39">
        <f>(MAX((((((((Price!$X$2)*0.17)+(Price!$X$2))*L10)+(350))/AF10)+AW10),500/AF10))</f>
        <v>2.017586667</v>
      </c>
      <c r="BF10" s="39">
        <f>((((Price!$Y$2)+350)/AF10)+AW10)</f>
        <v>1.661133333</v>
      </c>
      <c r="BG10" s="45" t="str">
        <f>IFERROR(__xludf.DUMMYFUNCTION("(SPLIT(Quotation!$D$38,""*""))"),"#VALUE!")</f>
        <v>#VALUE!</v>
      </c>
      <c r="BH10" s="45"/>
      <c r="BI10" s="45">
        <f>(Max(((((((H10*I10)*Price!$R$7)*L10)/AF10)*0)+((((H10*I10)*Price!$R$7)*L10)/AF10)+BQ10),500/AF10))</f>
        <v>2.529920635</v>
      </c>
      <c r="BJ10" s="45" t="str">
        <f>(MAX((((BG10*2)*Price!$S$7)+(((BG10*2)*Price!$S$7)*0)+BQ10),500/AF10))</f>
        <v>#VALUE!</v>
      </c>
      <c r="BK10" s="46" t="str">
        <f>(MAX(((((BG10*2)+(BH10*2))*Price!$S$7)+((((BG10*2)+(BH10*2))*Price!$S$7)*0)+BQ10),500/AF10))</f>
        <v>#VALUE!</v>
      </c>
      <c r="BL10" s="46">
        <f>(MAX((((LOOKUP(K10,(Price!$AA$2:$AB$1199),(Price!$AE$2:$AE$1199)))+((LOOKUP(K10,(Price!$AA$2:$AB$1199),(Price!$AE$2:$AE$1199)))*0))+BQ10),500/AF10))</f>
        <v>0.1599206349</v>
      </c>
      <c r="BM10" s="45">
        <f>(MAX(((((Price!$U$7)+((Price!$U$7)*0))/K10)+BL10),500/AF10))</f>
        <v>0.1615873016</v>
      </c>
      <c r="BN10" s="46">
        <f>(MAX(((((Price!$V$7)+((Price!$V$7)*0))/K10)+BL10),500/AF10))</f>
        <v>0.1632539683</v>
      </c>
      <c r="BO10" s="46">
        <f t="shared" ref="BO10:BO12" si="41">(((MAX((Roundup($BO$13*L10,0)),300))/E10)/L10)</f>
        <v>0.009920634921</v>
      </c>
      <c r="BP10" s="47">
        <f t="shared" ref="BP10:BP12" si="42">(((MAX((Roundup($BP$5*L10,0)),300))/E10)/L10)</f>
        <v>0.08002645503</v>
      </c>
      <c r="BQ10" s="46">
        <f t="shared" ref="BQ10:BQ12" si="43">(((MAX((($BQ$13*L10)),300))/L10)/E10)</f>
        <v>0.009920634921</v>
      </c>
      <c r="BR10" s="48" t="str">
        <f>((((MAX((((($BI$13*$BJ$14)*Price!$S$7)*L10)),300))/E10)/L10)+((((MAX((((($BI$13*$BJ$13)*Price!$S$7)*L10)),300))/E10)/L10)*Sheet2!Z41))</f>
        <v>#VALUE!</v>
      </c>
      <c r="BS10" s="49">
        <f>((MAX((K10*Price!$U$12),300))/K10)</f>
        <v>5</v>
      </c>
      <c r="BT10" s="49">
        <f>((MAX((K10*Price!$V$12),300))/K10)</f>
        <v>6</v>
      </c>
      <c r="BU10" s="33">
        <f>(iferror(roundup(((((MAX((L10*E10*BR13*BS$13*BT$13*Price!Z21),1500))+(BR13*BS13*BT13*E10*Price!Y21)))+((((MAX((L10*E10*BR13*BS$13*BT$13*Price!Z21),1500))+(BS13*BR13*BT13*E10*Price!Y21)))*Sheet2!Z33)),0),""))*Product3!CF87</f>
        <v>0</v>
      </c>
    </row>
    <row r="11">
      <c r="A11" s="28" t="str">
        <f t="shared" ref="A11:J11" si="31">A10</f>
        <v/>
      </c>
      <c r="B11" s="28" t="str">
        <f t="shared" si="31"/>
        <v>All</v>
      </c>
      <c r="C11" s="28" t="str">
        <f t="shared" si="31"/>
        <v>Cashify</v>
      </c>
      <c r="D11" s="28" t="str">
        <f t="shared" si="31"/>
        <v>Custom Size</v>
      </c>
      <c r="E11" s="29">
        <f t="shared" si="31"/>
        <v>3</v>
      </c>
      <c r="F11" s="28">
        <f t="shared" si="31"/>
        <v>2029</v>
      </c>
      <c r="G11" s="28">
        <f t="shared" si="31"/>
        <v>1926</v>
      </c>
      <c r="H11" s="28">
        <f t="shared" si="31"/>
        <v>20</v>
      </c>
      <c r="I11" s="28">
        <f t="shared" si="31"/>
        <v>30</v>
      </c>
      <c r="J11" s="28">
        <f t="shared" si="31"/>
        <v>90</v>
      </c>
      <c r="K11" s="28">
        <f>IFNA(Product3!H4,"")</f>
        <v>35000</v>
      </c>
      <c r="L11" s="31">
        <f t="shared" si="32"/>
        <v>11747</v>
      </c>
      <c r="M11" s="33">
        <f>ROUNDUP(((K11/E11)*Sheet2!$AB$7)+80,0)</f>
        <v>11747</v>
      </c>
      <c r="N11" s="31">
        <f t="shared" si="33"/>
        <v>11667</v>
      </c>
      <c r="O11" s="59"/>
      <c r="P11" s="31">
        <f>(Roundup((((((H11*I11)/1550)*(J11/1000))*(Product3!$CC$5+2))*L11)+((L11/144)*15),0))</f>
        <v>45014</v>
      </c>
      <c r="Q11" s="32"/>
      <c r="R11" s="32"/>
      <c r="S11" s="33"/>
      <c r="T11" s="33"/>
      <c r="U11" s="33">
        <f>Roundup(((((Product3!$BZ$5+1))*L11)+((L11/144)*10)),0)</f>
        <v>1245998</v>
      </c>
      <c r="V11" s="28">
        <f>V10</f>
        <v>100</v>
      </c>
      <c r="W11" s="60">
        <f>Roundup(F13*I10*M11*Sheet2!E81*Sheet2!E73,0)</f>
        <v>0</v>
      </c>
      <c r="X11" s="34">
        <f>IFNA((IFS(F11=1926,LOOKUP(M11,(Price!$AA$1:$AB$300),(Price!$AC$1:$AC$300)),F11=2029,LOOKUP(M11,(Price!$AA$1:$AB$300),(Price!$AF$1:$AF$300)),F11=3001,LOOKUP(N11,(Price!$AI$2:$AJ$8),(Price!$AK$2:$AK$8)),F11=2030,LOOKUP(M11,(Price!$AA$1:$AB$300),(Price!$BE$1:$BE$300)),F11=2841,LOOKUP(M11,(Price!$AA$1:$AB$300),(Price!$BF$1:$BF$300)),F11=2840,LOOKUP(M11,(Price!$AA$1:$AB$300),(Price!$AG$1:$AG$300)))),"")*Product3!$BB$15+$AH$13+W11</f>
        <v>6700</v>
      </c>
      <c r="Y11" s="35">
        <f>IFNA(IFS(G11=1002,LOOKUP(O11,(Price!$AI$2:$AJ$8),(Price!$AL$2:$AL$8)),G11=1003,lookup(O11,(Price!$AI$2:$AJ$8),(Price!$AM$2:$AM$8)),G11=1004,lookup(O11,(Price!$AI$2:$AJ$8),(Price!$AN$2:$AN$8))),"")*Product3!$BB$15</f>
        <v>0</v>
      </c>
      <c r="Z11" s="32">
        <f>(LOOKUP(L11,(Price!$AA$2:$AB$300),(Price!$AD$2:$AD$300)))*Sheet2!Z13</f>
        <v>3600</v>
      </c>
      <c r="AA11" s="28" t="str">
        <f t="shared" ref="AA11:AC11" si="34">AA10</f>
        <v/>
      </c>
      <c r="AB11" s="28" t="str">
        <f t="shared" si="34"/>
        <v/>
      </c>
      <c r="AC11" s="28" t="str">
        <f t="shared" si="34"/>
        <v/>
      </c>
      <c r="AD11" s="31">
        <f t="shared" si="35"/>
        <v>201</v>
      </c>
      <c r="AE11" s="36">
        <f t="shared" si="36"/>
        <v>3700</v>
      </c>
      <c r="AF11" s="28">
        <f t="shared" si="37"/>
        <v>35000</v>
      </c>
      <c r="AG11" s="37">
        <f t="shared" si="38"/>
        <v>1.589</v>
      </c>
      <c r="AH11" s="38"/>
      <c r="AI11" s="39"/>
      <c r="AJ11" s="40"/>
      <c r="AK11" s="39"/>
      <c r="AL11" s="40">
        <f t="shared" si="39"/>
        <v>35.90282857</v>
      </c>
      <c r="AM11" s="41">
        <f>((((((Roundup((((((AL$13*AM$13)/1550)*(J11/1000))*(Product3!$CC$5+2))*L11)+((L11/144)*15),0))+AE11+X11+AD11)/AF11))*(0))+(((Roundup((((((AL$13*AM$13)/1550)*(J11/1000))*(Product3!$CC$5+2))*L11)+((L11/144)*15),0))+AE11+X11+AD11)/AF11))+$AG$13</f>
        <v>1.589</v>
      </c>
      <c r="AN11" s="42"/>
      <c r="AO11" s="40"/>
      <c r="AP11" s="40"/>
      <c r="AQ11" s="40"/>
      <c r="AR11" s="40"/>
      <c r="AS11" s="40"/>
      <c r="AT11" s="40"/>
      <c r="AU11" s="40"/>
      <c r="AV11" s="40"/>
      <c r="AW11" s="44">
        <f>MAX((((H11*I11)*(Price!$T$2)*L11)/AF11),300/AF11)</f>
        <v>1.611017143</v>
      </c>
      <c r="AX11" s="39">
        <f>MAX((((H11*I11)*(Price!$S$2)*L11)/AF11),300/AF11)</f>
        <v>0.6645445714</v>
      </c>
      <c r="AY11" s="39">
        <f>MAX((((H11*I11)*(Price!$S$3)*L11)/AF11),300/AF11)</f>
        <v>0.8860594286</v>
      </c>
      <c r="AZ11" s="39">
        <f>MAX((((H11*I11)*(Price!$V$2)*L11)/AF11),300/AF11)</f>
        <v>0.281928</v>
      </c>
      <c r="BA11" s="40">
        <f>MAX(((((H11*I11)*(Price!$W$2)*L11)/AF11)+(350/AF11)),500/AF11)</f>
        <v>0.5134428571</v>
      </c>
      <c r="BB11" s="40">
        <f>MAX(((((H11*I11)*(Price!$Y$7)*L11)/AF11)+(350/AF11)),2500/AF11)+AW11</f>
        <v>2.728591429</v>
      </c>
      <c r="BC11" s="39">
        <f>MAX(((((H11*I11)*(Price!$U$2)*L11)/AF11)+(350/AF11)),2500/AF11)</f>
        <v>0.9161971429</v>
      </c>
      <c r="BD11" s="39">
        <f t="shared" si="40"/>
        <v>2.013702571</v>
      </c>
      <c r="BE11" s="39">
        <f>(MAX((((((((Price!$X$2)*0.17)+(Price!$X$2))*L11)+(350))/AF11)+AW11),500/AF11))</f>
        <v>2.013702571</v>
      </c>
      <c r="BF11" s="39">
        <f>((((Price!$Y$2)+350)/AF11)+AW11)</f>
        <v>1.652445714</v>
      </c>
      <c r="BG11" s="45" t="str">
        <f>IFERROR(__xludf.DUMMYFUNCTION("(SPLIT(Quotation!$D$38,""*""))"),"#VALUE!")</f>
        <v>#VALUE!</v>
      </c>
      <c r="BH11" s="45"/>
      <c r="BI11" s="45">
        <f>(Max(((((((H11*I11)*Price!$R$7)*L11)/AF11)*0)+((((H11*I11)*Price!$R$7)*L11)/AF11)+BQ11),500/AF11))</f>
        <v>2.525727097</v>
      </c>
      <c r="BJ11" s="45" t="str">
        <f>(MAX((((BG11*2)*Price!$S$7)+(((BG11*2)*Price!$S$7)*0)+BQ11),500/AF11))</f>
        <v>#VALUE!</v>
      </c>
      <c r="BK11" s="46" t="str">
        <f>(MAX(((((BG11*2)+(BH11*2))*Price!$S$7)+((((BG11*2)+(BH11*2))*Price!$S$7)*0)+BQ11),500/AF11))</f>
        <v>#VALUE!</v>
      </c>
      <c r="BL11" s="46">
        <f>(MAX((((LOOKUP(K11,(Price!$AA$2:$AB$1199),(Price!$AE$2:$AE$1199)))+((LOOKUP(K11,(Price!$AA$2:$AB$1199),(Price!$AE$2:$AE$1199)))*0))+BQ11),500/AF11))</f>
        <v>0.1585128118</v>
      </c>
      <c r="BM11" s="45">
        <f>(MAX(((((Price!$U$7)+((Price!$U$7)*0))/K11)+BL11),500/AF11))</f>
        <v>0.1599413832</v>
      </c>
      <c r="BN11" s="46">
        <f>(MAX(((((Price!$V$7)+((Price!$V$7)*0))/K11)+BL11),500/AF11))</f>
        <v>0.1613699546</v>
      </c>
      <c r="BO11" s="46">
        <f t="shared" si="41"/>
        <v>0.008512811782</v>
      </c>
      <c r="BP11" s="47">
        <f t="shared" si="42"/>
        <v>0.08002043075</v>
      </c>
      <c r="BQ11" s="46">
        <f t="shared" si="43"/>
        <v>0.008512811782</v>
      </c>
      <c r="BR11" s="48" t="str">
        <f>((((MAX((((($BI$13*$BJ$14)*Price!$S$7)*L11)),300))/E11)/L11)+((((MAX((((($BI$13*$BJ$13)*Price!$S$7)*L11)),300))/E11)/L11)*Sheet2!Z42))</f>
        <v>#VALUE!</v>
      </c>
      <c r="BS11" s="49">
        <f>((MAX((K11*Price!$U$12),300))/K11)</f>
        <v>5</v>
      </c>
      <c r="BT11" s="49">
        <f>((MAX((K11*Price!$V$12),300))/K11)</f>
        <v>6</v>
      </c>
    </row>
    <row r="12">
      <c r="A12" s="28" t="str">
        <f t="shared" ref="A12:J12" si="44">A10</f>
        <v/>
      </c>
      <c r="B12" s="28" t="str">
        <f t="shared" si="44"/>
        <v>All</v>
      </c>
      <c r="C12" s="28" t="str">
        <f t="shared" si="44"/>
        <v>Cashify</v>
      </c>
      <c r="D12" s="28" t="str">
        <f t="shared" si="44"/>
        <v>Custom Size</v>
      </c>
      <c r="E12" s="29">
        <f t="shared" si="44"/>
        <v>3</v>
      </c>
      <c r="F12" s="28">
        <f t="shared" si="44"/>
        <v>2029</v>
      </c>
      <c r="G12" s="28">
        <f t="shared" si="44"/>
        <v>1926</v>
      </c>
      <c r="H12" s="28">
        <f t="shared" si="44"/>
        <v>20</v>
      </c>
      <c r="I12" s="28">
        <f t="shared" si="44"/>
        <v>30</v>
      </c>
      <c r="J12" s="28">
        <f t="shared" si="44"/>
        <v>90</v>
      </c>
      <c r="K12" s="28" t="str">
        <f>IFNA(Product3!H6,"")</f>
        <v/>
      </c>
      <c r="L12" s="31">
        <f t="shared" si="32"/>
        <v>80</v>
      </c>
      <c r="M12" s="33">
        <f>ROUNDUP(((K12/E12)*Sheet2!$AB$7)+80,0)</f>
        <v>80</v>
      </c>
      <c r="N12" s="31">
        <f t="shared" si="33"/>
        <v>0</v>
      </c>
      <c r="O12" s="59"/>
      <c r="P12" s="31">
        <f>(Roundup((((((H12*I12)/1550)*(J12/1000))*(Product3!$CC$5+2))*L12)+((L12/144)*15),0))</f>
        <v>307</v>
      </c>
      <c r="Q12" s="32"/>
      <c r="R12" s="32"/>
      <c r="S12" s="33"/>
      <c r="T12" s="33"/>
      <c r="U12" s="33">
        <f>Roundup(((((Product3!$BZ$5+1))*L12)+((L12/144)*10)),0)</f>
        <v>8486</v>
      </c>
      <c r="V12" s="28">
        <f>V10</f>
        <v>100</v>
      </c>
      <c r="W12" s="60">
        <f>Roundup(F13*I10*M12*Sheet2!E81*Sheet2!E73,0)</f>
        <v>0</v>
      </c>
      <c r="X12" s="34">
        <f>IFNA((IFS(F12=1926,LOOKUP(M12,(Price!$AA$1:$AB$300),(Price!$AC$1:$AC$300)),F12=2029,LOOKUP(M12,(Price!$AA$1:$AB$300),(Price!$AF$1:$AF$300)),F12=3001,LOOKUP(N12,(Price!$AI$2:$AJ$8),(Price!$AK$2:$AK$8)),F12=2030,LOOKUP(M12,(Price!$AA$1:$AB$300),(Price!$BE$1:$BE$300)),F12=2841,LOOKUP(M12,(Price!$AA$1:$AB$300),(Price!$BF$1:$BF$300)),F12=2840,LOOKUP(M12,(Price!$AA$1:$AB$300),(Price!$AG$1:$AG$300)))),"")*Product3!$BB$15+$AH$13+W12</f>
        <v>2300</v>
      </c>
      <c r="Y12" s="35">
        <f>IFNA(IFS(G12=1002,LOOKUP(O12,(Price!$AI$2:$AJ$8),(Price!$AL$2:$AL$8)),G12=1003,lookup(O12,(Price!$AI$2:$AJ$8),(Price!$AM$2:$AM$8)),G12=1004,lookup(O12,(Price!$AI$2:$AJ$8),(Price!$AN$2:$AN$8))),"")*Product3!$BB$15</f>
        <v>0</v>
      </c>
      <c r="Z12" s="32">
        <f>(LOOKUP(L12,(Price!$AA$2:$AB$300),(Price!$AD$2:$AD$300)))*Sheet2!Z13</f>
        <v>300</v>
      </c>
      <c r="AA12" s="28" t="str">
        <f t="shared" ref="AA12:AC12" si="45">AA10</f>
        <v/>
      </c>
      <c r="AB12" s="28" t="str">
        <f t="shared" si="45"/>
        <v/>
      </c>
      <c r="AC12" s="28" t="str">
        <f t="shared" si="45"/>
        <v/>
      </c>
      <c r="AD12" s="31">
        <f t="shared" si="35"/>
        <v>201</v>
      </c>
      <c r="AE12" s="36">
        <f t="shared" si="36"/>
        <v>400</v>
      </c>
      <c r="AF12" s="28" t="str">
        <f t="shared" si="37"/>
        <v/>
      </c>
      <c r="AG12" s="37" t="str">
        <f t="shared" si="38"/>
        <v>#DIV/0!</v>
      </c>
      <c r="AH12" s="38"/>
      <c r="AI12" s="39"/>
      <c r="AJ12" s="40"/>
      <c r="AK12" s="39"/>
      <c r="AL12" s="40" t="str">
        <f t="shared" si="39"/>
        <v>#DIV/0!</v>
      </c>
      <c r="AM12" s="62" t="str">
        <f>((((((Roundup((((((AL$13*AM$13)/1550)*(J12/1000))*(Product3!$CC$5+2))*L12)+((L12/144)*15),0))+AE12+X12+AD12)/AF12))*(0))+(((Roundup((((((AL$13*AM$13)/1550)*(J12/1000))*(Product3!$CC$5+2))*L12)+((L12/144)*15),0))+AE12+X12+AD12)/AF12))+$AG$13</f>
        <v>#DIV/0!</v>
      </c>
      <c r="AN12" s="42"/>
      <c r="AO12" s="40"/>
      <c r="AP12" s="40"/>
      <c r="AQ12" s="40"/>
      <c r="AR12" s="40"/>
      <c r="AS12" s="40"/>
      <c r="AT12" s="40"/>
      <c r="AU12" s="40"/>
      <c r="AV12" s="40"/>
      <c r="AW12" s="44" t="str">
        <f>MAX((((H12*I12)*(Price!$T$2)*L12)/AF12),300/AF12)</f>
        <v>#DIV/0!</v>
      </c>
      <c r="AX12" s="39" t="str">
        <f>MAX((((H12*I12)*(Price!$S$2)*L12)/AF12),300/AF12)</f>
        <v>#DIV/0!</v>
      </c>
      <c r="AY12" s="39" t="str">
        <f>MAX((((H12*I12)*(Price!$S$3)*L12)/AF12),300/AF12)</f>
        <v>#DIV/0!</v>
      </c>
      <c r="AZ12" s="39" t="str">
        <f>MAX((((H12*I12)*(Price!$V$2)*L12)/AF12),300/AF12)</f>
        <v>#DIV/0!</v>
      </c>
      <c r="BA12" s="40" t="str">
        <f>MAX(((((H12*I12)*(Price!$W$2)*L12)/AF12)+(350/AF12)),500/AF12)</f>
        <v>#DIV/0!</v>
      </c>
      <c r="BB12" s="40" t="str">
        <f>MAX(((((H12*I12)*(Price!$Y$7)*L12)/AF12)+(350/AF12)),2500/AF12)+AW12</f>
        <v>#DIV/0!</v>
      </c>
      <c r="BC12" s="39" t="str">
        <f>MAX(((((H12*I12)*(Price!$U$2)*L12)/AF12)+(350/AF12)),2500/AF12)</f>
        <v>#DIV/0!</v>
      </c>
      <c r="BD12" s="39" t="str">
        <f t="shared" si="40"/>
        <v>#DIV/0!</v>
      </c>
      <c r="BE12" s="39" t="str">
        <f>(MAX((((((((Price!$X$2)*0.17)+(Price!$X$2))*L12)+(350))/AF12)+AW12),500/AF12))</f>
        <v>#DIV/0!</v>
      </c>
      <c r="BF12" s="39" t="str">
        <f>((((Price!$Y$2)+350)/AF12)+AW12)</f>
        <v>#DIV/0!</v>
      </c>
      <c r="BG12" s="45" t="str">
        <f>IFERROR(__xludf.DUMMYFUNCTION("(SPLIT(Quotation!$D$38,""*""))"),"#VALUE!")</f>
        <v>#VALUE!</v>
      </c>
      <c r="BH12" s="45"/>
      <c r="BI12" s="45" t="str">
        <f>(Max(((((((H12*I12)*Price!$R$7)*L12)/AF12)*0)+((((H12*I12)*Price!$R$7)*L12)/AF12)+BQ12),500/AF12))</f>
        <v>#DIV/0!</v>
      </c>
      <c r="BJ12" s="45" t="str">
        <f>(MAX((((BG12*2)*Price!$S$7)+(((BG12*2)*Price!$S$7)*0)+BQ12),500/AF12))</f>
        <v>#VALUE!</v>
      </c>
      <c r="BK12" s="46" t="str">
        <f>(MAX(((((BG12*2)+(BH12*2))*Price!$S$7)+((((BG12*2)+(BH12*2))*Price!$S$7)*0)+BQ12),500/AF12))</f>
        <v>#VALUE!</v>
      </c>
      <c r="BL12" s="46" t="str">
        <f>(MAX((((LOOKUP(K12,(Price!$AA$2:$AB$1199),(Price!$AE$2:$AE$1199)))+((LOOKUP(K12,(Price!$AA$2:$AB$1199),(Price!$AE$2:$AE$1199)))*0))+BQ12),500/AF12))</f>
        <v>#N/A</v>
      </c>
      <c r="BM12" s="45" t="str">
        <f>(MAX(((((Price!$U$7)+((Price!$U$7)*0))/K12)+BL12),500/AF12))</f>
        <v>#DIV/0!</v>
      </c>
      <c r="BN12" s="46" t="str">
        <f>(MAX(((((Price!$V$7)+((Price!$V$7)*0))/K12)+BL12),500/AF12))</f>
        <v>#DIV/0!</v>
      </c>
      <c r="BO12" s="46">
        <f t="shared" si="41"/>
        <v>1.25</v>
      </c>
      <c r="BP12" s="47">
        <f t="shared" si="42"/>
        <v>1.25</v>
      </c>
      <c r="BQ12" s="46">
        <f t="shared" si="43"/>
        <v>1.25</v>
      </c>
      <c r="BR12" s="48" t="str">
        <f>((((MAX((((($BI$13*$BJ$14)*Price!$S$7)*L12)),300))/E12)/L12)+((((MAX((((($BI$13*$BJ$13)*Price!$S$7)*L12)),300))/E12)/L12)*Sheet2!Z43))</f>
        <v>#VALUE!</v>
      </c>
      <c r="BS12" s="49" t="str">
        <f>((MAX((K12*Price!$U$12),300))/K12)</f>
        <v>#DIV/0!</v>
      </c>
      <c r="BT12" s="49" t="str">
        <f>((MAX((K12*Price!$V$12),300))/K12)</f>
        <v>#DIV/0!</v>
      </c>
    </row>
    <row r="13">
      <c r="A13" s="28"/>
      <c r="B13" s="28"/>
      <c r="C13" s="28"/>
      <c r="D13" s="33">
        <f>(ROUNDUP(((($H$10*$I$10)/1550)*($J$10/1000))*($K$10/$E$10),0))</f>
        <v>349</v>
      </c>
      <c r="E13" s="28"/>
      <c r="F13" s="28">
        <f>ROUNDUP(H10,0)</f>
        <v>20</v>
      </c>
      <c r="G13" s="28">
        <f>(H10*I10)/144</f>
        <v>4.166666667</v>
      </c>
      <c r="H13" s="28" t="str">
        <f>CONCATENATE(F13,ROUNDUP(I10,0))</f>
        <v>2030</v>
      </c>
      <c r="I13" s="40" t="str">
        <f>IFERROR(__xludf.DUMMYFUNCTION("SPLIT(Quotation!D38,""*"")"),"#VALUE!")</f>
        <v>#VALUE!</v>
      </c>
      <c r="J13" s="64"/>
      <c r="K13" s="28" t="str">
        <f>((ROUNDUP(I13,0))*(ROUNDUP(J13,0)))</f>
        <v>#VALUE!</v>
      </c>
      <c r="L13" s="33">
        <f>IFERROR(__xludf.DUMMYFUNCTION("SPLIT(Product3!CG5,"" "")"),90.0)</f>
        <v>90</v>
      </c>
      <c r="M13" s="31"/>
      <c r="N13" s="31"/>
      <c r="O13" s="31"/>
      <c r="P13" s="31"/>
      <c r="Q13" s="32"/>
      <c r="R13" s="32"/>
      <c r="S13" s="33"/>
      <c r="T13" s="33"/>
      <c r="U13" s="32"/>
      <c r="V13" s="31"/>
      <c r="W13" s="28"/>
      <c r="X13" s="34"/>
      <c r="Y13" s="35"/>
      <c r="Z13" s="32"/>
      <c r="AA13" s="28"/>
      <c r="AB13" s="32"/>
      <c r="AC13" s="28"/>
      <c r="AD13" s="31"/>
      <c r="AE13" s="36"/>
      <c r="AF13" s="31"/>
      <c r="AG13" s="37">
        <f>((((F13*I10)*Price!W12)/E10)*Product3!CF74)</f>
        <v>0</v>
      </c>
      <c r="AH13" s="63">
        <f>(Product3!$CG$74*Product3!$CG$110*Product3!$BB$15)</f>
        <v>1100</v>
      </c>
      <c r="AI13" s="39"/>
      <c r="AJ13" s="40">
        <f>((((F13*I10)*Price!X12)/E10)*Product3!CF74)</f>
        <v>0</v>
      </c>
      <c r="AK13" s="39"/>
      <c r="AL13" s="42">
        <f>IFERROR(__xludf.DUMMYFUNCTION("iferror((SPLIT(Quotation!E37,""*"")))"),20.0)</f>
        <v>20</v>
      </c>
      <c r="AM13" s="52">
        <f>IFERROR(__xludf.DUMMYFUNCTION("""COMPUTED_VALUE"""),30.0)</f>
        <v>30</v>
      </c>
      <c r="AN13" s="42">
        <f>IFERROR(__xludf.DUMMYFUNCTION("""COMPUTED_VALUE"""),3.0)</f>
        <v>3</v>
      </c>
      <c r="AO13" s="40"/>
      <c r="AP13" s="40"/>
      <c r="AQ13" s="40"/>
      <c r="AR13" s="40"/>
      <c r="AS13" s="40"/>
      <c r="AT13" s="40"/>
      <c r="AU13" s="53"/>
      <c r="AV13" s="40"/>
      <c r="AW13" s="44" t="str">
        <f>(Quotation!B42)</f>
        <v/>
      </c>
      <c r="AX13" s="39"/>
      <c r="AY13" s="39"/>
      <c r="AZ13" s="39"/>
      <c r="BA13" s="40"/>
      <c r="BB13" s="40"/>
      <c r="BC13" s="39"/>
      <c r="BD13" s="39"/>
      <c r="BE13" s="39"/>
      <c r="BF13" s="39"/>
      <c r="BG13" s="39"/>
      <c r="BH13" s="39"/>
      <c r="BI13" s="45" t="str">
        <f>IFERROR(__xludf.DUMMYFUNCTION("(SPLIT(Quotation!E42,""*""))"),"#VALUE!")</f>
        <v>#VALUE!</v>
      </c>
      <c r="BJ13" s="39"/>
      <c r="BK13" s="39"/>
      <c r="BL13" s="39"/>
      <c r="BM13" s="39"/>
      <c r="BN13" s="39"/>
      <c r="BO13" s="56">
        <f>((((((Product7!$Z16+Product7!$AA16)+((Product7!$Z16+Product7!$AA16)*0.2))*Price!$W7)))+((((((Product7!$Z16+Product7!$AA16)+((Product7!$Z16+Product7!$AA16)*0.2))*Price!$W7)))*0))</f>
        <v>0</v>
      </c>
      <c r="BP13" s="39"/>
      <c r="BQ13" s="56">
        <f>((((((Product7!$Z16+Product7!$AA16)+((Product7!$Z16+Product7!$AA16)*0.2))*Price!$X7)))+((((((Product7!$Z16+Product7!$AA16)+((Product7!$Z16+Product7!$AA16)*0.2))*Price!$X7)))*0))</f>
        <v>0</v>
      </c>
      <c r="BR13" s="40" t="str">
        <f>IFERROR(__xludf.DUMMYFUNCTION("(SPLIT(Quotation!E43,""*""))"),"#VALUE!")</f>
        <v>#VALUE!</v>
      </c>
      <c r="BS13" s="33"/>
    </row>
    <row r="14">
      <c r="A14" s="27" t="str">
        <f>Sheet2!A14</f>
        <v>https://drive.google.com/open?id=1AT8COyVu1i54kTQbeZJnxYi8bjYPzfhK&amp;authuser=jay.agg%40gmail.com&amp;usp=drive_fs</v>
      </c>
      <c r="B14" s="28" t="str">
        <f>Sheet2!B14</f>
        <v>Flyer</v>
      </c>
      <c r="C14" s="28" t="str">
        <f>Sheet2!C14</f>
        <v>A5</v>
      </c>
      <c r="D14" s="28" t="str">
        <f>Sheet2!D14</f>
        <v>148 × 210 millimeters or 5.8 × 8.3 inches</v>
      </c>
      <c r="E14" s="29">
        <f>Max(Sheet2!E14,Sheet2!E16)</f>
        <v>8</v>
      </c>
      <c r="F14" s="28">
        <f>Product4!CE74</f>
        <v>1926</v>
      </c>
      <c r="G14" s="58">
        <f>Product4!BI45</f>
        <v>1926</v>
      </c>
      <c r="H14" s="28">
        <f>Max(Sheet2!G14,Sheet2!G16)</f>
        <v>18</v>
      </c>
      <c r="I14" s="28">
        <f>Max(Sheet2!H14,Sheet2!H16)</f>
        <v>25</v>
      </c>
      <c r="J14" s="28">
        <f>L17</f>
        <v>90</v>
      </c>
      <c r="K14" s="28">
        <f>IFNA(Product4!H2,"")</f>
        <v>100000</v>
      </c>
      <c r="L14" s="31">
        <f t="shared" ref="L14:L16" si="47">ROUNDUP((K14/E14)+80,0)</f>
        <v>12580</v>
      </c>
      <c r="M14" s="33">
        <f>ROUNDUP(((K14/E14)*Sheet2!$AB$8)+80,0)</f>
        <v>25080</v>
      </c>
      <c r="N14" s="31">
        <f t="shared" ref="N14:N16" si="48">Roundup((K14/E14),0)</f>
        <v>12500</v>
      </c>
      <c r="O14" s="59"/>
      <c r="P14" s="31">
        <f>(Roundup((((((H14*I14)/1550)*(J14/1000))*(Product4!$CC$5+2))*L14)+((L14/144)*15),0))</f>
        <v>39769</v>
      </c>
      <c r="Q14" s="32"/>
      <c r="R14" s="32"/>
      <c r="S14" s="33"/>
      <c r="T14" s="33"/>
      <c r="U14" s="33">
        <f>Roundup(((((Product4!$BZ$5+1))*L14)+((L14/144)*10)),0)</f>
        <v>1460154</v>
      </c>
      <c r="V14" s="65">
        <v>100.0</v>
      </c>
      <c r="W14" s="60">
        <f>Roundup(F17*I14*M14*Sheet2!E82*Sheet2!E74,0)</f>
        <v>0</v>
      </c>
      <c r="X14" s="34">
        <f>IFNA((IFS(F14=1926,LOOKUP(M14,(Price!$AA$1:$AB$300),(Price!$AC$1:$AC$300)),F14=2029,LOOKUP(M14,(Price!$AA$1:$AB$300),(Price!$AF$1:$AF$300)),F14=3001,LOOKUP(N14,(Price!$AI$2:$AJ$8),(Price!$AK$2:$AK$8)),F14=2030,LOOKUP(M14,(Price!$AA$1:$AB$300),(Price!$BE$1:$BE$300)),F14=2841,LOOKUP(M14,(Price!$AA$1:$AB$300),(Price!$BF$1:$BF$300)),F14=2840,LOOKUP(M14,(Price!$AA$1:$AB$300),(Price!$AG$1:$AG$300)))),"")*Product4!$BB$15+$AH$17+W14</f>
        <v>13500</v>
      </c>
      <c r="Y14" s="35">
        <f>IFNA(IFS(G14=1002,LOOKUP(O14,(Price!$AI$2:$AJ$8),(Price!$AL$2:$AL$8)),G14=1003,lookup(O14,(Price!$AI$2:$AJ$8),(Price!$AM$2:$AM$8)),G14=1004,lookup(O14,(Price!$AI$2:$AJ$8),(Price!$AN$2:$AN$8))),"")*Product4!$BB$15</f>
        <v>0</v>
      </c>
      <c r="Z14" s="32">
        <f>(LOOKUP(L14,(Price!$AA$2:$AB$300),(Price!$AD$2:$AD$300)))*Sheet2!Z14</f>
        <v>0</v>
      </c>
      <c r="AA14" s="28" t="str">
        <f>Sheet2!K14</f>
        <v/>
      </c>
      <c r="AB14" s="28" t="str">
        <f>Sheet2!L14</f>
        <v/>
      </c>
      <c r="AC14" s="28">
        <f>Sheet2!M14</f>
        <v>0.03</v>
      </c>
      <c r="AD14" s="31">
        <f t="shared" ref="AD14:AD16" si="50">ROUNDUP(((K14*AB14)+((K14*AB14)*5%))+(Max(((L14*E14)*AC14),200)+1),0)</f>
        <v>3021</v>
      </c>
      <c r="AE14" s="36">
        <f t="shared" ref="AE14:AE16" si="51">ROUNDUP(V14+Z14+AA14+AB14+AC14,0)</f>
        <v>101</v>
      </c>
      <c r="AF14" s="31">
        <f t="shared" ref="AF14:AF16" si="52">K14</f>
        <v>100000</v>
      </c>
      <c r="AG14" s="37">
        <f t="shared" ref="AG14:AG16" si="53">(((((P14+AE14+X14+AD14)/AF14))*(0))+((P14+AE14+X14+AD14)/AF14))+$AG$17</f>
        <v>0.56391</v>
      </c>
      <c r="AH14" s="38"/>
      <c r="AI14" s="39"/>
      <c r="AJ14" s="40"/>
      <c r="AK14" s="39"/>
      <c r="AL14" s="40">
        <f t="shared" ref="AL14:AL16" si="54">(((((U14+AE14+X14+AD14)/AF14)*(0))+((U14+AE14+X14+AD14)/AF14)))+$AJ$17</f>
        <v>14.76776</v>
      </c>
      <c r="AM14" s="41">
        <f>((((((Roundup((((((AL$17*AM$17)/1550)*(J14/1000))*(Product4!$CC$5+2))*L14)+((L14/144)*15),0))+AE14+X14+AD14)/AF14))*(0))+(((Roundup((((((AL$17*AM$17)/1550)*(J14/1000))*(Product4!$CC$5+2))*L14)+((L14/144)*15),0))+AE14+X14+AD14)/AF14))+$AG$17</f>
        <v>0.17933</v>
      </c>
      <c r="AN14" s="42"/>
      <c r="AO14" s="40"/>
      <c r="AP14" s="40"/>
      <c r="AQ14" s="40"/>
      <c r="AR14" s="40"/>
      <c r="AS14" s="40"/>
      <c r="AT14" s="40"/>
      <c r="AU14" s="40"/>
      <c r="AV14" s="40"/>
      <c r="AW14" s="44">
        <f>MAX((((H14*I14)*(Price!$T$2)*L14)/AF14),300/AF14)</f>
        <v>0.45288</v>
      </c>
      <c r="AX14" s="39">
        <f>MAX((((H14*I14)*(Price!$S$2)*L14)/AF14),300/AF14)</f>
        <v>0.186813</v>
      </c>
      <c r="AY14" s="39">
        <f>MAX((((H14*I14)*(Price!$S$3)*L14)/AF14),300/AF14)</f>
        <v>0.249084</v>
      </c>
      <c r="AZ14" s="39">
        <f>MAX((((H14*I14)*(Price!$V$2)*L14)/AF14),300/AF14)</f>
        <v>0.079254</v>
      </c>
      <c r="BA14" s="40">
        <f>MAX(((((H14*I14)*(Price!$W$2)*L14)/AF14)+(350/AF14)),500/AF14)</f>
        <v>0.145025</v>
      </c>
      <c r="BB14" s="40">
        <f>MAX(((((H14*I14)*(Price!$Y$7)*L14)/AF14)+(350/AF14)),2500/AF14)+AW14</f>
        <v>0.767735</v>
      </c>
      <c r="BC14" s="39">
        <f>MAX(((((H14*I14)*(Price!$U$2)*L14)/AF14)+(350/AF14)),2500/AF14)</f>
        <v>0.258245</v>
      </c>
      <c r="BD14" s="39">
        <f t="shared" ref="BD14:BD16" si="55">(MAX(BE14:BF14))</f>
        <v>0.603566</v>
      </c>
      <c r="BE14" s="39">
        <f>(MAX((((((((Price!$X$2)*0.17)+(Price!$X$2))*L14)+(350))/AF14)+AW14),500/AF14))</f>
        <v>0.603566</v>
      </c>
      <c r="BF14" s="39">
        <f>((((Price!$Y$2)+350)/AF14)+AW14)</f>
        <v>0.46738</v>
      </c>
      <c r="BG14" s="45" t="str">
        <f>IFERROR(__xludf.DUMMYFUNCTION("(SPLIT(Quotation!$D$46,""*""))"),"#VALUE!")</f>
        <v>#VALUE!</v>
      </c>
      <c r="BH14" s="45"/>
      <c r="BI14" s="45">
        <f>(Max(((((((H14*I14)*Price!$R$7)*L14)/AF14)*0)+((((H14*I14)*Price!$R$7)*L14)/AF14)+BQ14),500/AF14))</f>
        <v>0.7106059221</v>
      </c>
      <c r="BJ14" s="45" t="str">
        <f>(MAX((((BG14*2)*Price!$S$7)+(((BG14*2)*Price!$S$7)*0)+BQ14),500/AF14))</f>
        <v>#VALUE!</v>
      </c>
      <c r="BK14" s="46" t="str">
        <f>(MAX(((((BG14*2)+(BH14*2))*Price!$S$7)+((((BG14*2)+(BH14*2))*Price!$S$7)*0)+BQ14),500/AF14))</f>
        <v>#VALUE!</v>
      </c>
      <c r="BL14" s="46">
        <f>(MAX((((LOOKUP(K14,(Price!$AA$2:$AB$1199),(Price!$AE$2:$AE$1199)))+((LOOKUP(K14,(Price!$AA$2:$AB$1199),(Price!$AE$2:$AE$1199)))*0))+BQ14),500/AF14))</f>
        <v>0.1529809221</v>
      </c>
      <c r="BM14" s="45">
        <f>(MAX(((((Price!$U$7)+((Price!$U$7)*0))/K14)+BL14),500/AF14))</f>
        <v>0.1534809221</v>
      </c>
      <c r="BN14" s="46">
        <f>(MAX(((((Price!$V$7)+((Price!$V$7)*0))/K14)+BL14),500/AF14))</f>
        <v>0.1539809221</v>
      </c>
      <c r="BO14" s="46">
        <f t="shared" ref="BO14:BO16" si="56">(((MAX((Roundup($BO$17*L14,0)),300))/E14)/L14)</f>
        <v>0.002980922099</v>
      </c>
      <c r="BP14" s="47">
        <f t="shared" ref="BP14:BP16" si="57">(((MAX((Roundup($BP$5*L14,0)),300))/E14)/L14)</f>
        <v>0.03000794913</v>
      </c>
      <c r="BQ14" s="46">
        <f t="shared" ref="BQ14:BQ16" si="58">(((MAX((($BQ$17*L14)),300))/L14)/E14)</f>
        <v>0.002980922099</v>
      </c>
      <c r="BR14" s="48" t="str">
        <f>((((MAX((((($BI$17*$BJ$17)*Price!$S$7)*L14)),300))/E14)/L14)+((((MAX((((($BI$17*$BJ$17)*Price!$S$7)*L14)),300))/E14)/L14)*Sheet2!Z45))</f>
        <v>#VALUE!</v>
      </c>
      <c r="BS14" s="49">
        <f>((MAX((K14*Price!$U$12),300))/K14)</f>
        <v>5</v>
      </c>
      <c r="BT14" s="49">
        <f>((MAX((K14*Price!$V$12),300))/K14)</f>
        <v>6</v>
      </c>
      <c r="BU14" s="33">
        <f>(iferror(roundup((((MAX((L14*E14*BR17*BS$17*BT$17*Price!Z21),1500))+(BR17*BS17*BT17*E14*Price!Y21)))+((((MAX((L14*E14*BR17*BS$17*BT$17*Price!Z21),1500))+(BR17*BS17*BT17*E14*Price!Y21)))*Sheet2!Z33),0),""))*Product4!CF87</f>
        <v>0</v>
      </c>
    </row>
    <row r="15">
      <c r="A15" s="27" t="str">
        <f t="shared" ref="A15:J15" si="46">A14</f>
        <v>https://drive.google.com/open?id=1AT8COyVu1i54kTQbeZJnxYi8bjYPzfhK&amp;authuser=jay.agg%40gmail.com&amp;usp=drive_fs</v>
      </c>
      <c r="B15" s="28" t="str">
        <f t="shared" si="46"/>
        <v>Flyer</v>
      </c>
      <c r="C15" s="28" t="str">
        <f t="shared" si="46"/>
        <v>A5</v>
      </c>
      <c r="D15" s="28" t="str">
        <f t="shared" si="46"/>
        <v>148 × 210 millimeters or 5.8 × 8.3 inches</v>
      </c>
      <c r="E15" s="29">
        <f t="shared" si="46"/>
        <v>8</v>
      </c>
      <c r="F15" s="28">
        <f t="shared" si="46"/>
        <v>1926</v>
      </c>
      <c r="G15" s="28">
        <f t="shared" si="46"/>
        <v>1926</v>
      </c>
      <c r="H15" s="28">
        <f t="shared" si="46"/>
        <v>18</v>
      </c>
      <c r="I15" s="28">
        <f t="shared" si="46"/>
        <v>25</v>
      </c>
      <c r="J15" s="28">
        <f t="shared" si="46"/>
        <v>90</v>
      </c>
      <c r="K15" s="33">
        <f>IFNA(Product4!H4,"")</f>
        <v>50000</v>
      </c>
      <c r="L15" s="31">
        <f t="shared" si="47"/>
        <v>6330</v>
      </c>
      <c r="M15" s="33">
        <f>ROUNDUP(((K15/E15)*Sheet2!$AB$8)+80,0)</f>
        <v>12580</v>
      </c>
      <c r="N15" s="31">
        <f t="shared" si="48"/>
        <v>6250</v>
      </c>
      <c r="O15" s="59"/>
      <c r="P15" s="31">
        <f>(Roundup((((((H15*I15)/1550)*(J15/1000))*(Product4!$CC$5+2))*L15)+((L15/144)*15),0))</f>
        <v>20011</v>
      </c>
      <c r="Q15" s="32"/>
      <c r="R15" s="32"/>
      <c r="S15" s="33"/>
      <c r="T15" s="33"/>
      <c r="U15" s="33">
        <f>Roundup(((((Product4!$BZ$5+1))*L15)+((L15/144)*10)),0)</f>
        <v>734720</v>
      </c>
      <c r="V15" s="28">
        <f>V14</f>
        <v>100</v>
      </c>
      <c r="W15" s="60">
        <f>Roundup(F17*I14*M15*Sheet2!E82*Sheet2!E74,0)</f>
        <v>0</v>
      </c>
      <c r="X15" s="34">
        <f>IFNA((IFS(F15=1926,LOOKUP(M15,(Price!$AA$1:$AB$300),(Price!$AC$1:$AC$300)),F15=2029,LOOKUP(M15,(Price!$AA$1:$AB$300),(Price!$AF$1:$AF$300)),F15=3001,LOOKUP(N15,(Price!$AI$2:$AJ$8),(Price!$AK$2:$AK$8)),F15=2030,LOOKUP(M15,(Price!$AA$1:$AB$300),(Price!$BE$1:$BE$300)),F15=2841,LOOKUP(M15,(Price!$AA$1:$AB$300),(Price!$BF$1:$BF$300)),F15=2840,LOOKUP(M15,(Price!$AA$1:$AB$300),(Price!$AG$1:$AG$300)))),"")*Product4!$BB$15+$AH$17+W15</f>
        <v>7500</v>
      </c>
      <c r="Y15" s="35">
        <f>IFNA(IFS(G15=1002,LOOKUP(O15,(Price!$AI$2:$AJ$8),(Price!$AL$2:$AL$8)),G15=1003,lookup(O15,(Price!$AI$2:$AJ$8),(Price!$AM$2:$AM$8)),G15=1004,lookup(O15,(Price!$AI$2:$AJ$8),(Price!$AN$2:$AN$8))),"")*Product4!$BB$15</f>
        <v>0</v>
      </c>
      <c r="Z15" s="32">
        <f>(LOOKUP(L15,(Price!$AA$2:$AB$300),(Price!$AD$2:$AD$300)))*Sheet2!Z14</f>
        <v>0</v>
      </c>
      <c r="AA15" s="28" t="str">
        <f t="shared" ref="AA15:AC15" si="49">AA14</f>
        <v/>
      </c>
      <c r="AB15" s="28" t="str">
        <f t="shared" si="49"/>
        <v/>
      </c>
      <c r="AC15" s="28">
        <f t="shared" si="49"/>
        <v>0.03</v>
      </c>
      <c r="AD15" s="31">
        <f t="shared" si="50"/>
        <v>1521</v>
      </c>
      <c r="AE15" s="36">
        <f t="shared" si="51"/>
        <v>101</v>
      </c>
      <c r="AF15" s="28">
        <f t="shared" si="52"/>
        <v>50000</v>
      </c>
      <c r="AG15" s="37">
        <f t="shared" si="53"/>
        <v>0.58266</v>
      </c>
      <c r="AH15" s="38"/>
      <c r="AI15" s="39"/>
      <c r="AJ15" s="40"/>
      <c r="AK15" s="39"/>
      <c r="AL15" s="40">
        <f t="shared" si="54"/>
        <v>14.87684</v>
      </c>
      <c r="AM15" s="41">
        <f>((((((Roundup((((((AL$17*AM$17)/1550)*(J15/1000))*(Product4!$CC$5+2))*L15)+((L15/144)*15),0))+AE15+X15+AD15)/AF15))*(0))+(((Roundup((((((AL$17*AM$17)/1550)*(J15/1000))*(Product4!$CC$5+2))*L15)+((L15/144)*15),0))+AE15+X15+AD15)/AF15))+$AG$17</f>
        <v>0.19564</v>
      </c>
      <c r="AN15" s="42"/>
      <c r="AO15" s="40"/>
      <c r="AP15" s="40"/>
      <c r="AQ15" s="40"/>
      <c r="AR15" s="40"/>
      <c r="AS15" s="40"/>
      <c r="AT15" s="40"/>
      <c r="AU15" s="40"/>
      <c r="AV15" s="40"/>
      <c r="AW15" s="44">
        <f>MAX((((H15*I15)*(Price!$T$2)*L15)/AF15),300/AF15)</f>
        <v>0.45576</v>
      </c>
      <c r="AX15" s="39">
        <f>MAX((((H15*I15)*(Price!$S$2)*L15)/AF15),300/AF15)</f>
        <v>0.188001</v>
      </c>
      <c r="AY15" s="39">
        <f>MAX((((H15*I15)*(Price!$S$3)*L15)/AF15),300/AF15)</f>
        <v>0.250668</v>
      </c>
      <c r="AZ15" s="39">
        <f>MAX((((H15*I15)*(Price!$V$2)*L15)/AF15),300/AF15)</f>
        <v>0.079758</v>
      </c>
      <c r="BA15" s="40">
        <f>MAX(((((H15*I15)*(Price!$W$2)*L15)/AF15)+(350/AF15)),500/AF15)</f>
        <v>0.149425</v>
      </c>
      <c r="BB15" s="40">
        <f>MAX(((((H15*I15)*(Price!$Y$7)*L15)/AF15)+(350/AF15)),2500/AF15)+AW15</f>
        <v>0.776095</v>
      </c>
      <c r="BC15" s="39">
        <f>MAX(((((H15*I15)*(Price!$U$2)*L15)/AF15)+(350/AF15)),2500/AF15)</f>
        <v>0.263365</v>
      </c>
      <c r="BD15" s="39">
        <f t="shared" si="55"/>
        <v>0.610882</v>
      </c>
      <c r="BE15" s="39">
        <f>(MAX((((((((Price!$X$2)*0.17)+(Price!$X$2))*L15)+(350))/AF15)+AW15),500/AF15))</f>
        <v>0.610882</v>
      </c>
      <c r="BF15" s="39">
        <f>((((Price!$Y$2)+350)/AF15)+AW15)</f>
        <v>0.48476</v>
      </c>
      <c r="BG15" s="45" t="str">
        <f>IFERROR(__xludf.DUMMYFUNCTION("(SPLIT(Quotation!$D$46,""*""))"),"#VALUE!")</f>
        <v>#VALUE!</v>
      </c>
      <c r="BH15" s="45"/>
      <c r="BI15" s="45">
        <f>(Max(((((((H15*I15)*Price!$R$7)*L15)/AF15)*0)+((((H15*I15)*Price!$R$7)*L15)/AF15)+BQ15),500/AF15))</f>
        <v>0.7180491706</v>
      </c>
      <c r="BJ15" s="45" t="str">
        <f>(MAX((((BG15*2)*Price!$S$7)+(((BG15*2)*Price!$S$7)*0)+BQ15),500/AF15))</f>
        <v>#VALUE!</v>
      </c>
      <c r="BK15" s="46" t="str">
        <f>(MAX(((((BG15*2)+(BH15*2))*Price!$S$7)+((((BG15*2)+(BH15*2))*Price!$S$7)*0)+BQ15),500/AF15))</f>
        <v>#VALUE!</v>
      </c>
      <c r="BL15" s="46">
        <f>(MAX((((LOOKUP(K15,(Price!$AA$2:$AB$1199),(Price!$AE$2:$AE$1199)))+((LOOKUP(K15,(Price!$AA$2:$AB$1199),(Price!$AE$2:$AE$1199)))*0))+BQ15),500/AF15))</f>
        <v>0.1559241706</v>
      </c>
      <c r="BM15" s="45">
        <f>(MAX(((((Price!$U$7)+((Price!$U$7)*0))/K15)+BL15),500/AF15))</f>
        <v>0.1569241706</v>
      </c>
      <c r="BN15" s="46">
        <f>(MAX(((((Price!$V$7)+((Price!$V$7)*0))/K15)+BL15),500/AF15))</f>
        <v>0.1579241706</v>
      </c>
      <c r="BO15" s="46">
        <f t="shared" si="56"/>
        <v>0.005924170616</v>
      </c>
      <c r="BP15" s="47">
        <f t="shared" si="57"/>
        <v>0.03001579779</v>
      </c>
      <c r="BQ15" s="46">
        <f t="shared" si="58"/>
        <v>0.005924170616</v>
      </c>
      <c r="BR15" s="48" t="str">
        <f>((((MAX((((($BI$17*$BJ$17)*Price!$S$7)*L15)),300))/E15)/L15)+((((MAX((((($BI$17*$BJ$17)*Price!$S$7)*L15)),300))/E15)/L15)*Sheet2!Z46))</f>
        <v>#VALUE!</v>
      </c>
      <c r="BS15" s="49">
        <f>((MAX((K15*Price!$U$12),300))/K15)</f>
        <v>5</v>
      </c>
      <c r="BT15" s="49">
        <f>((MAX((K15*Price!$V$12),300))/K15)</f>
        <v>6</v>
      </c>
    </row>
    <row r="16">
      <c r="A16" s="27" t="str">
        <f t="shared" ref="A16:J16" si="59">A14</f>
        <v>https://drive.google.com/open?id=1AT8COyVu1i54kTQbeZJnxYi8bjYPzfhK&amp;authuser=jay.agg%40gmail.com&amp;usp=drive_fs</v>
      </c>
      <c r="B16" s="28" t="str">
        <f t="shared" si="59"/>
        <v>Flyer</v>
      </c>
      <c r="C16" s="28" t="str">
        <f t="shared" si="59"/>
        <v>A5</v>
      </c>
      <c r="D16" s="28" t="str">
        <f t="shared" si="59"/>
        <v>148 × 210 millimeters or 5.8 × 8.3 inches</v>
      </c>
      <c r="E16" s="29">
        <f t="shared" si="59"/>
        <v>8</v>
      </c>
      <c r="F16" s="28">
        <f t="shared" si="59"/>
        <v>1926</v>
      </c>
      <c r="G16" s="28">
        <f t="shared" si="59"/>
        <v>1926</v>
      </c>
      <c r="H16" s="28">
        <f t="shared" si="59"/>
        <v>18</v>
      </c>
      <c r="I16" s="28">
        <f t="shared" si="59"/>
        <v>25</v>
      </c>
      <c r="J16" s="28">
        <f t="shared" si="59"/>
        <v>90</v>
      </c>
      <c r="K16" s="33" t="str">
        <f>IFNA(Product4!H6,"")</f>
        <v/>
      </c>
      <c r="L16" s="31">
        <f t="shared" si="47"/>
        <v>80</v>
      </c>
      <c r="M16" s="33">
        <f>ROUNDUP(((K16/E16)*Sheet2!$AB$8)+80,0)</f>
        <v>80</v>
      </c>
      <c r="N16" s="31">
        <f t="shared" si="48"/>
        <v>0</v>
      </c>
      <c r="O16" s="59"/>
      <c r="P16" s="31">
        <f>(Roundup((((((H16*I16)/1550)*(J16/1000))*(Product4!$CC$5+2))*L16)+((L16/144)*15),0))</f>
        <v>253</v>
      </c>
      <c r="Q16" s="32"/>
      <c r="R16" s="32"/>
      <c r="S16" s="33"/>
      <c r="T16" s="33"/>
      <c r="U16" s="33">
        <f>Roundup(((((Product4!$BZ$5+1))*L16)+((L16/144)*10)),0)</f>
        <v>9286</v>
      </c>
      <c r="V16" s="28">
        <f>V14</f>
        <v>100</v>
      </c>
      <c r="W16" s="60">
        <f>Roundup(F17*I14*M16*Sheet2!E82*Sheet2!E74,0)</f>
        <v>0</v>
      </c>
      <c r="X16" s="34">
        <f>IFNA((IFS(F16=1926,LOOKUP(M16,(Price!$AA$1:$AB$300),(Price!$AC$1:$AC$300)),F16=2029,LOOKUP(M16,(Price!$AA$1:$AB$300),(Price!$AF$1:$AF$300)),F16=3001,LOOKUP(N16,(Price!$AI$2:$AJ$8),(Price!$AK$2:$AK$8)),F16=2030,LOOKUP(M16,(Price!$AA$1:$AB$300),(Price!$BE$1:$BE$300)),F16=2841,LOOKUP(M16,(Price!$AA$1:$AB$300),(Price!$BF$1:$BF$300)),F16=2840,LOOKUP(M16,(Price!$AA$1:$AB$300),(Price!$AG$1:$AG$300)))),"")*Product4!$BB$15+$AH$17+W16</f>
        <v>2000</v>
      </c>
      <c r="Y16" s="35">
        <f>IFNA(IFS(G16=1002,LOOKUP(O16,(Price!$AI$2:$AJ$8),(Price!$AL$2:$AL$8)),G16=1003,lookup(O16,(Price!$AI$2:$AJ$8),(Price!$AM$2:$AM$8)),G16=1004,lookup(O16,(Price!$AI$2:$AJ$8),(Price!$AN$2:$AN$8))),"")*Product4!$BB$15</f>
        <v>0</v>
      </c>
      <c r="Z16" s="32">
        <f>(LOOKUP(L16,(Price!$AA$2:$AB$300),(Price!$AD$2:$AD$300)))*Sheet2!Z14</f>
        <v>0</v>
      </c>
      <c r="AA16" s="28" t="str">
        <f t="shared" ref="AA16:AC16" si="60">AA14</f>
        <v/>
      </c>
      <c r="AB16" s="28" t="str">
        <f t="shared" si="60"/>
        <v/>
      </c>
      <c r="AC16" s="28">
        <f t="shared" si="60"/>
        <v>0.03</v>
      </c>
      <c r="AD16" s="31">
        <f t="shared" si="50"/>
        <v>201</v>
      </c>
      <c r="AE16" s="36">
        <f t="shared" si="51"/>
        <v>101</v>
      </c>
      <c r="AF16" s="28" t="str">
        <f t="shared" si="52"/>
        <v/>
      </c>
      <c r="AG16" s="37" t="str">
        <f t="shared" si="53"/>
        <v>#DIV/0!</v>
      </c>
      <c r="AH16" s="38"/>
      <c r="AI16" s="39"/>
      <c r="AJ16" s="40"/>
      <c r="AK16" s="39"/>
      <c r="AL16" s="40" t="str">
        <f t="shared" si="54"/>
        <v>#DIV/0!</v>
      </c>
      <c r="AM16" s="62" t="str">
        <f>((((((Roundup((((((AL$17*AM$17)/1550)*(J16/1000))*(Product4!$CC$5+2))*L16)+((L16/144)*15),0))+AE16+X16+AD16)/AF16))*(0))+(((Roundup((((((AL$17*AM$17)/1550)*(J16/1000))*(Product4!$CC$5+2))*L16)+((L16/144)*15),0))+AE16+X16+AD16)/AF16))+$AG$17</f>
        <v>#DIV/0!</v>
      </c>
      <c r="AN16" s="42"/>
      <c r="AO16" s="40"/>
      <c r="AP16" s="40"/>
      <c r="AQ16" s="40"/>
      <c r="AR16" s="40"/>
      <c r="AS16" s="40"/>
      <c r="AT16" s="40"/>
      <c r="AU16" s="40"/>
      <c r="AV16" s="40"/>
      <c r="AW16" s="44" t="str">
        <f>MAX((((H16*I16)*(Price!$T$2)*L16)/AF16),300/AF16)</f>
        <v>#DIV/0!</v>
      </c>
      <c r="AX16" s="39" t="str">
        <f>MAX((((H16*I16)*(Price!$S$2)*L16)/AF16),300/AF16)</f>
        <v>#DIV/0!</v>
      </c>
      <c r="AY16" s="39" t="str">
        <f>MAX((((H16*I16)*(Price!$S$3)*L16)/AF16),300/AF16)</f>
        <v>#DIV/0!</v>
      </c>
      <c r="AZ16" s="39" t="str">
        <f>MAX((((H16*I16)*(Price!$V$2)*L16)/AF16),300/AF16)</f>
        <v>#DIV/0!</v>
      </c>
      <c r="BA16" s="40" t="str">
        <f>MAX(((((H16*I16)*(Price!$W$2)*L16)/AF16)+(350/AF16)),500/AF16)</f>
        <v>#DIV/0!</v>
      </c>
      <c r="BB16" s="40" t="str">
        <f>MAX(((((H16*I16)*(Price!$Y$7)*L16)/AF16)+(350/AF16)),2500/AF16)+AW16</f>
        <v>#DIV/0!</v>
      </c>
      <c r="BC16" s="39" t="str">
        <f>MAX(((((H16*I16)*(Price!$U$2)*L16)/AF16)+(350/AF16)),2500/AF16)</f>
        <v>#DIV/0!</v>
      </c>
      <c r="BD16" s="39" t="str">
        <f t="shared" si="55"/>
        <v>#DIV/0!</v>
      </c>
      <c r="BE16" s="39" t="str">
        <f>(MAX((((((((Price!$X$2)*0.17)+(Price!$X$2))*L16)+(350))/AF16)+AW16),500/AF16))</f>
        <v>#DIV/0!</v>
      </c>
      <c r="BF16" s="39" t="str">
        <f>((((Price!$Y$2)+350)/AF16)+AW16)</f>
        <v>#DIV/0!</v>
      </c>
      <c r="BG16" s="45" t="str">
        <f>IFERROR(__xludf.DUMMYFUNCTION("(SPLIT(Quotation!$D$46,""*""))"),"#VALUE!")</f>
        <v>#VALUE!</v>
      </c>
      <c r="BH16" s="45"/>
      <c r="BI16" s="45" t="str">
        <f>(Max(((((((H16*I16)*Price!$R$7)*L16)/AF16)*0)+((((H16*I16)*Price!$R$7)*L16)/AF16)+BQ16),500/AF16))</f>
        <v>#DIV/0!</v>
      </c>
      <c r="BJ16" s="45" t="str">
        <f>(MAX((((BG16*2)*Price!$S$7)+(((BG16*2)*Price!$S$7)*0)+BQ16),500/AF16))</f>
        <v>#VALUE!</v>
      </c>
      <c r="BK16" s="46" t="str">
        <f>(MAX(((((BG16*2)+(BH16*2))*Price!$S$7)+((((BG16*2)+(BH16*2))*Price!$S$7)*0)+BQ16),500/AF16))</f>
        <v>#VALUE!</v>
      </c>
      <c r="BL16" s="46" t="str">
        <f>(MAX((((LOOKUP(K16,(Price!$AA$2:$AB$1199),(Price!$AE$2:$AE$1199)))+((LOOKUP(K16,(Price!$AA$2:$AB$1199),(Price!$AE$2:$AE$1199)))*0))+BQ16),500/AF16))</f>
        <v>#N/A</v>
      </c>
      <c r="BM16" s="45" t="str">
        <f>(MAX(((((Price!$U$7)+((Price!$U$7)*0))/K16)+BL16),500/AF16))</f>
        <v>#DIV/0!</v>
      </c>
      <c r="BN16" s="46" t="str">
        <f>(MAX(((((Price!$V$7)+((Price!$V$7)*0))/K16)+BL16),500/AF16))</f>
        <v>#DIV/0!</v>
      </c>
      <c r="BO16" s="46">
        <f t="shared" si="56"/>
        <v>0.46875</v>
      </c>
      <c r="BP16" s="47">
        <f t="shared" si="57"/>
        <v>0.46875</v>
      </c>
      <c r="BQ16" s="46">
        <f t="shared" si="58"/>
        <v>0.46875</v>
      </c>
      <c r="BR16" s="48" t="str">
        <f>((((MAX((((($BI$17*$BJ$17)*Price!$S$7)*L16)),300))/E16)/L16)+((((MAX((((($BI$17*$BJ$17)*Price!$S$7)*L16)),300))/E16)/L16)*Sheet2!Z47))</f>
        <v>#VALUE!</v>
      </c>
      <c r="BS16" s="49" t="str">
        <f>((MAX((K16*Price!$U$12),300))/K16)</f>
        <v>#DIV/0!</v>
      </c>
      <c r="BT16" s="49" t="str">
        <f>((MAX((K16*Price!$V$12),300))/K16)</f>
        <v>#DIV/0!</v>
      </c>
    </row>
    <row r="17">
      <c r="A17" s="28"/>
      <c r="B17" s="28"/>
      <c r="C17" s="28"/>
      <c r="D17" s="33">
        <f>(ROUNDUP(((($H$14*$I$14)/1550)*($J$14/1000))*($K$14/$E$14),0))</f>
        <v>327</v>
      </c>
      <c r="E17" s="28"/>
      <c r="F17" s="28">
        <f>ROUNDUP(H14,0)</f>
        <v>18</v>
      </c>
      <c r="G17" s="28">
        <f>(H14*I14)/144</f>
        <v>3.125</v>
      </c>
      <c r="H17" s="28" t="str">
        <f>CONCATENATE(F17,ROUNDUP(I14,0))</f>
        <v>1825</v>
      </c>
      <c r="I17" s="40" t="str">
        <f>IFERROR(__xludf.DUMMYFUNCTION("SPLIT(Quotation!D46,""*"")"),"#VALUE!")</f>
        <v>#VALUE!</v>
      </c>
      <c r="J17" s="51"/>
      <c r="K17" s="28" t="str">
        <f>((ROUNDUP(I17,0))*(ROUNDUP(J17,0)))</f>
        <v>#VALUE!</v>
      </c>
      <c r="L17" s="33">
        <f>IFERROR(__xludf.DUMMYFUNCTION("SPLIT(Product4!CG5,"" "")"),90.0)</f>
        <v>90</v>
      </c>
      <c r="M17" s="33" t="str">
        <f>IFERROR(__xludf.DUMMYFUNCTION("""COMPUTED_VALUE"""),"GSM")</f>
        <v>GSM</v>
      </c>
      <c r="N17" s="33"/>
      <c r="O17" s="33"/>
      <c r="P17" s="31"/>
      <c r="Q17" s="32"/>
      <c r="R17" s="32"/>
      <c r="S17" s="33"/>
      <c r="T17" s="33"/>
      <c r="U17" s="33"/>
      <c r="V17" s="28"/>
      <c r="W17" s="28"/>
      <c r="X17" s="34"/>
      <c r="Y17" s="32"/>
      <c r="Z17" s="32"/>
      <c r="AA17" s="28"/>
      <c r="AB17" s="32"/>
      <c r="AC17" s="28"/>
      <c r="AD17" s="31"/>
      <c r="AE17" s="36"/>
      <c r="AF17" s="28"/>
      <c r="AG17" s="37">
        <f>((((F17*I14)*Price!W12)/E14)*Product4!CF74)</f>
        <v>0</v>
      </c>
      <c r="AH17" s="63">
        <f>(Product4!$CG$74*Product4!$CG$110*Product4!$BB$15)</f>
        <v>1000</v>
      </c>
      <c r="AI17" s="39"/>
      <c r="AJ17" s="40">
        <f>((((F17*I14)*Price!X12)/E14)*Product4!CF74)</f>
        <v>0</v>
      </c>
      <c r="AK17" s="39"/>
      <c r="AL17" s="42" t="str">
        <f>IFERROR(__xludf.DUMMYFUNCTION("iferror((SPLIT(Quotation!E45,""*"")))"),"")</f>
        <v/>
      </c>
      <c r="AM17" s="42"/>
      <c r="AN17" s="40"/>
      <c r="AO17" s="40"/>
      <c r="AP17" s="40"/>
      <c r="AQ17" s="40"/>
      <c r="AR17" s="40"/>
      <c r="AS17" s="40"/>
      <c r="AT17" s="40"/>
      <c r="AU17" s="40" t="str">
        <f>(Quotation!E50)</f>
        <v/>
      </c>
      <c r="AV17" s="40" t="str">
        <f>(Quotation!E51)</f>
        <v/>
      </c>
      <c r="AW17" s="44" t="str">
        <f>(Quotation!B50)</f>
        <v/>
      </c>
      <c r="AX17" s="39"/>
      <c r="AY17" s="39"/>
      <c r="AZ17" s="39"/>
      <c r="BA17" s="39"/>
      <c r="BB17" s="39"/>
      <c r="BC17" s="39"/>
      <c r="BD17" s="39"/>
      <c r="BE17" s="39"/>
      <c r="BF17" s="39"/>
      <c r="BG17" s="45"/>
      <c r="BH17" s="45"/>
      <c r="BI17" s="45" t="str">
        <f>IFERROR(__xludf.DUMMYFUNCTION("(SPLIT(Quotation!E50,""*""))"),"#VALUE!")</f>
        <v>#VALUE!</v>
      </c>
      <c r="BJ17" s="45"/>
      <c r="BK17" s="45"/>
      <c r="BL17" s="45"/>
      <c r="BM17" s="45"/>
      <c r="BN17" s="45"/>
      <c r="BO17" s="56">
        <f>((((((Product8!$Z16+Product8!$AA16)+((Product8!$Z16+Product8!$AA16)*0.2))*Price!$W7)))+((((((Product8!$Z16+Product8!$AA16)+((Product8!$Z16+Product8!$AA16)*0.2))*Price!$W7)))*0))</f>
        <v>0</v>
      </c>
      <c r="BP17" s="45"/>
      <c r="BQ17" s="56">
        <f>((((((Product8!$Z16+Product8!$AA16)+((Product8!$Z16+Product8!$AA16)*0.2))*Price!$X7)))+((((((Product8!$Z16+Product8!$AA16)+((Product8!$Z16+Product8!$AA16)*0.2))*Price!$X7)))*0))</f>
        <v>0</v>
      </c>
      <c r="BR17" s="40" t="str">
        <f>IFERROR(__xludf.DUMMYFUNCTION("(SPLIT(Quotation!E51,""*""))"),"#VALUE!")</f>
        <v>#VALUE!</v>
      </c>
      <c r="BS17" s="40"/>
      <c r="BT17" s="55"/>
      <c r="BU17" s="55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33"/>
      <c r="M18" s="33"/>
      <c r="N18" s="33"/>
      <c r="O18" s="33"/>
      <c r="P18" s="31"/>
      <c r="Q18" s="32"/>
      <c r="R18" s="32"/>
      <c r="S18" s="33"/>
      <c r="T18" s="33"/>
      <c r="U18" s="33"/>
      <c r="V18" s="31"/>
      <c r="W18" s="28"/>
      <c r="X18" s="34"/>
      <c r="Y18" s="32"/>
      <c r="Z18" s="32"/>
      <c r="AA18" s="28"/>
      <c r="AB18" s="28"/>
      <c r="AC18" s="28"/>
      <c r="AD18" s="31"/>
      <c r="AE18" s="36"/>
      <c r="AF18" s="28"/>
      <c r="AG18" s="66"/>
      <c r="AH18" s="38"/>
      <c r="AI18" s="39"/>
      <c r="AJ18" s="40"/>
      <c r="AK18" s="39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4"/>
      <c r="AX18" s="39"/>
      <c r="AY18" s="39"/>
      <c r="AZ18" s="39"/>
      <c r="BA18" s="39"/>
      <c r="BB18" s="39"/>
      <c r="BC18" s="39"/>
      <c r="BD18" s="39"/>
      <c r="BE18" s="39"/>
      <c r="BF18" s="39"/>
      <c r="BG18" s="45"/>
      <c r="BH18" s="45"/>
      <c r="BI18" s="45"/>
      <c r="BJ18" s="45"/>
      <c r="BK18" s="55"/>
      <c r="BL18" s="55"/>
      <c r="BM18" s="45"/>
      <c r="BN18" s="55"/>
      <c r="BO18" s="55"/>
      <c r="BP18" s="55"/>
      <c r="BQ18" s="55"/>
      <c r="BR18" s="55"/>
      <c r="BS18" s="55"/>
      <c r="BT18" s="55"/>
      <c r="BU18" s="55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33"/>
      <c r="M19" s="33"/>
      <c r="N19" s="33"/>
      <c r="O19" s="33"/>
      <c r="P19" s="31"/>
      <c r="Q19" s="32"/>
      <c r="R19" s="32"/>
      <c r="S19" s="33"/>
      <c r="T19" s="33"/>
      <c r="U19" s="33"/>
      <c r="V19" s="28"/>
      <c r="W19" s="28"/>
      <c r="X19" s="34"/>
      <c r="Y19" s="32"/>
      <c r="Z19" s="32"/>
      <c r="AA19" s="28"/>
      <c r="AB19" s="28"/>
      <c r="AC19" s="28"/>
      <c r="AD19" s="31"/>
      <c r="AE19" s="36"/>
      <c r="AF19" s="28"/>
      <c r="AG19" s="66"/>
      <c r="AH19" s="38"/>
      <c r="AI19" s="39"/>
      <c r="AJ19" s="40"/>
      <c r="AK19" s="39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4"/>
      <c r="AX19" s="39"/>
      <c r="AY19" s="39"/>
      <c r="AZ19" s="39"/>
      <c r="BA19" s="39"/>
      <c r="BB19" s="39"/>
      <c r="BC19" s="39"/>
      <c r="BD19" s="39"/>
      <c r="BE19" s="39"/>
      <c r="BF19" s="39"/>
      <c r="BG19" s="45"/>
      <c r="BH19" s="45"/>
      <c r="BI19" s="45"/>
      <c r="BJ19" s="45"/>
      <c r="BK19" s="55"/>
      <c r="BL19" s="55"/>
      <c r="BM19" s="45"/>
      <c r="BN19" s="55"/>
      <c r="BO19" s="55"/>
      <c r="BP19" s="55"/>
      <c r="BQ19" s="55"/>
      <c r="BR19" s="55"/>
      <c r="BS19" s="55"/>
      <c r="BT19" s="55"/>
      <c r="BU19" s="55"/>
    </row>
    <row r="20">
      <c r="A20" s="28"/>
      <c r="B20" s="28"/>
      <c r="C20" s="67"/>
      <c r="D20" s="28"/>
      <c r="E20" s="28"/>
      <c r="F20" s="67"/>
      <c r="G20" s="28"/>
      <c r="H20" s="28"/>
      <c r="I20" s="28"/>
      <c r="J20" s="28"/>
      <c r="K20" s="28"/>
      <c r="L20" s="33"/>
      <c r="M20" s="33"/>
      <c r="N20" s="33"/>
      <c r="O20" s="33"/>
      <c r="P20" s="31"/>
      <c r="Q20" s="32"/>
      <c r="R20" s="32"/>
      <c r="S20" s="33"/>
      <c r="T20" s="33"/>
      <c r="U20" s="33"/>
      <c r="V20" s="28"/>
      <c r="W20" s="28"/>
      <c r="X20" s="34"/>
      <c r="Y20" s="32"/>
      <c r="Z20" s="32"/>
      <c r="AA20" s="28"/>
      <c r="AB20" s="28"/>
      <c r="AC20" s="28"/>
      <c r="AD20" s="31"/>
      <c r="AE20" s="36"/>
      <c r="AF20" s="28"/>
      <c r="AG20" s="66"/>
      <c r="AH20" s="38"/>
      <c r="AI20" s="39"/>
      <c r="AJ20" s="40"/>
      <c r="AK20" s="39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4"/>
      <c r="AX20" s="39"/>
      <c r="AY20" s="39"/>
      <c r="AZ20" s="39"/>
      <c r="BA20" s="39"/>
      <c r="BB20" s="39"/>
      <c r="BC20" s="39"/>
      <c r="BD20" s="39"/>
      <c r="BE20" s="39"/>
      <c r="BF20" s="39"/>
      <c r="BG20" s="45"/>
      <c r="BH20" s="45"/>
      <c r="BI20" s="45"/>
      <c r="BJ20" s="45"/>
      <c r="BK20" s="55"/>
      <c r="BL20" s="55"/>
      <c r="BM20" s="45"/>
      <c r="BN20" s="55"/>
      <c r="BO20" s="55"/>
      <c r="BP20" s="55"/>
      <c r="BQ20" s="55"/>
      <c r="BR20" s="55"/>
      <c r="BS20" s="55"/>
      <c r="BT20" s="55"/>
      <c r="BU20" s="55"/>
    </row>
    <row r="21">
      <c r="A21" s="33"/>
      <c r="B21" s="33"/>
      <c r="C21" s="33"/>
      <c r="E21" s="50"/>
      <c r="G21" s="50"/>
      <c r="H21" s="50"/>
      <c r="I21" s="28"/>
      <c r="J21" s="50"/>
      <c r="K21" s="67"/>
      <c r="L21" s="31"/>
      <c r="M21" s="31"/>
      <c r="N21" s="31"/>
      <c r="O21" s="31"/>
      <c r="P21" s="31"/>
      <c r="Q21" s="32"/>
      <c r="R21" s="32"/>
      <c r="S21" s="32"/>
      <c r="T21" s="32"/>
      <c r="U21" s="32"/>
      <c r="V21" s="31"/>
      <c r="W21" s="28"/>
      <c r="X21" s="34"/>
      <c r="Y21" s="32"/>
      <c r="Z21" s="32"/>
      <c r="AA21" s="28"/>
      <c r="AB21" s="32"/>
      <c r="AC21" s="28"/>
      <c r="AD21" s="31"/>
      <c r="AE21" s="36"/>
      <c r="AF21" s="31"/>
      <c r="AG21" s="66"/>
      <c r="AH21" s="38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44"/>
      <c r="AX21" s="39"/>
      <c r="AY21" s="39"/>
      <c r="AZ21" s="39"/>
      <c r="BA21" s="39"/>
      <c r="BB21" s="39"/>
      <c r="BC21" s="39"/>
      <c r="BD21" s="39"/>
      <c r="BE21" s="39"/>
      <c r="BF21" s="39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</row>
    <row r="22">
      <c r="A22" s="42"/>
      <c r="B22" s="42"/>
      <c r="C22" s="42"/>
      <c r="E22" s="50"/>
      <c r="G22" s="68"/>
      <c r="H22" s="50"/>
      <c r="I22" s="28"/>
      <c r="J22" s="50"/>
      <c r="K22" s="50"/>
      <c r="L22" s="35"/>
      <c r="M22" s="35"/>
      <c r="N22" s="35"/>
      <c r="O22" s="33"/>
      <c r="P22" s="35"/>
      <c r="Q22" s="32"/>
      <c r="R22" s="32"/>
      <c r="S22" s="33"/>
      <c r="T22" s="33"/>
      <c r="U22" s="33"/>
      <c r="V22" s="31"/>
      <c r="W22" s="28"/>
      <c r="X22" s="34"/>
      <c r="Y22" s="32"/>
      <c r="Z22" s="32"/>
      <c r="AA22" s="28"/>
      <c r="AB22" s="28"/>
      <c r="AC22" s="28"/>
      <c r="AD22" s="31"/>
      <c r="AE22" s="36"/>
      <c r="AF22" s="28"/>
      <c r="AG22" s="66"/>
      <c r="AH22" s="38"/>
      <c r="AI22" s="39"/>
      <c r="AJ22" s="40"/>
      <c r="AK22" s="39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4"/>
      <c r="AX22" s="39"/>
      <c r="AY22" s="39"/>
      <c r="AZ22" s="39"/>
      <c r="BA22" s="39"/>
      <c r="BB22" s="39"/>
      <c r="BC22" s="39"/>
      <c r="BD22" s="39"/>
      <c r="BE22" s="39"/>
      <c r="BF22" s="39"/>
      <c r="BG22" s="45"/>
      <c r="BH22" s="45"/>
      <c r="BI22" s="45"/>
      <c r="BJ22" s="45"/>
      <c r="BK22" s="55"/>
      <c r="BL22" s="55"/>
      <c r="BM22" s="45"/>
      <c r="BN22" s="55"/>
      <c r="BO22" s="55"/>
      <c r="BP22" s="55"/>
      <c r="BQ22" s="55"/>
      <c r="BR22" s="55"/>
      <c r="BS22" s="55"/>
      <c r="BT22" s="55"/>
      <c r="BU22" s="55"/>
    </row>
    <row r="23">
      <c r="A23" s="35"/>
      <c r="B23" s="28"/>
      <c r="C23" s="33"/>
      <c r="D23" s="28"/>
      <c r="E23" s="50"/>
      <c r="G23" s="50"/>
      <c r="H23" s="50"/>
      <c r="I23" s="28"/>
      <c r="J23" s="28"/>
      <c r="K23" s="28"/>
      <c r="L23" s="33"/>
      <c r="M23" s="33"/>
      <c r="N23" s="33"/>
      <c r="O23" s="33"/>
      <c r="P23" s="31"/>
      <c r="Q23" s="32"/>
      <c r="R23" s="32"/>
      <c r="S23" s="33"/>
      <c r="T23" s="33"/>
      <c r="U23" s="33"/>
      <c r="V23" s="28"/>
      <c r="W23" s="28"/>
      <c r="X23" s="34"/>
      <c r="Y23" s="32"/>
      <c r="Z23" s="32"/>
      <c r="AA23" s="28"/>
      <c r="AB23" s="28"/>
      <c r="AC23" s="28"/>
      <c r="AD23" s="31"/>
      <c r="AE23" s="36"/>
      <c r="AF23" s="28"/>
      <c r="AG23" s="66"/>
      <c r="AH23" s="38"/>
      <c r="AI23" s="39"/>
      <c r="AJ23" s="40"/>
      <c r="AK23" s="39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4"/>
      <c r="AX23" s="39"/>
      <c r="AY23" s="39"/>
      <c r="AZ23" s="39"/>
      <c r="BA23" s="39"/>
      <c r="BB23" s="39"/>
      <c r="BC23" s="39"/>
      <c r="BD23" s="39"/>
      <c r="BE23" s="39"/>
      <c r="BF23" s="39"/>
      <c r="BG23" s="45"/>
      <c r="BH23" s="45"/>
      <c r="BI23" s="45"/>
      <c r="BJ23" s="45"/>
      <c r="BK23" s="55"/>
      <c r="BL23" s="55"/>
      <c r="BM23" s="45"/>
      <c r="BN23" s="55"/>
      <c r="BO23" s="55"/>
      <c r="BP23" s="55"/>
      <c r="BQ23" s="55"/>
      <c r="BR23" s="55"/>
      <c r="BS23" s="55"/>
      <c r="BT23" s="55"/>
      <c r="BU23" s="55"/>
    </row>
    <row r="24">
      <c r="A24" s="28"/>
      <c r="AE24" s="36"/>
      <c r="AF24" s="28"/>
      <c r="AG24" s="66"/>
      <c r="AH24" s="38"/>
      <c r="AI24" s="39"/>
      <c r="AJ24" s="40"/>
      <c r="AK24" s="39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BC24" s="39"/>
      <c r="BD24" s="39"/>
      <c r="BE24" s="39"/>
      <c r="BF24" s="39"/>
      <c r="BG24" s="45"/>
      <c r="BH24" s="45"/>
      <c r="BI24" s="45"/>
      <c r="BJ24" s="45"/>
      <c r="BK24" s="55"/>
      <c r="BL24" s="55"/>
      <c r="BM24" s="45"/>
      <c r="BN24" s="55"/>
      <c r="BO24" s="55"/>
      <c r="BP24" s="55"/>
      <c r="BQ24" s="55"/>
      <c r="BR24" s="55"/>
      <c r="BS24" s="55"/>
      <c r="BT24" s="55"/>
      <c r="BU24" s="55"/>
    </row>
    <row r="25">
      <c r="A25" s="28"/>
      <c r="AE25" s="36"/>
      <c r="AF25" s="31"/>
      <c r="AG25" s="66"/>
      <c r="AH25" s="38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BC25" s="39"/>
      <c r="BD25" s="39"/>
      <c r="BE25" s="39"/>
      <c r="BF25" s="39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</row>
    <row r="26">
      <c r="A26" s="28"/>
      <c r="B26" s="28"/>
      <c r="AE26" s="36"/>
      <c r="AF26" s="28"/>
      <c r="AG26" s="66"/>
      <c r="AH26" s="38"/>
      <c r="AI26" s="39"/>
      <c r="AJ26" s="40"/>
      <c r="AK26" s="39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BC26" s="39"/>
      <c r="BD26" s="39"/>
      <c r="BE26" s="39"/>
      <c r="BF26" s="39"/>
      <c r="BG26" s="45"/>
      <c r="BH26" s="45"/>
      <c r="BI26" s="45"/>
      <c r="BJ26" s="45"/>
      <c r="BK26" s="55"/>
      <c r="BL26" s="55"/>
      <c r="BM26" s="45"/>
      <c r="BN26" s="55"/>
      <c r="BO26" s="55"/>
      <c r="BP26" s="55"/>
      <c r="BQ26" s="55"/>
      <c r="BR26" s="55"/>
      <c r="BS26" s="55"/>
      <c r="BT26" s="55"/>
      <c r="BU26" s="55"/>
    </row>
    <row r="27">
      <c r="A27" s="28"/>
      <c r="B27" s="28"/>
      <c r="AE27" s="36"/>
      <c r="AF27" s="28"/>
      <c r="AG27" s="66"/>
      <c r="AH27" s="38"/>
      <c r="AI27" s="39"/>
      <c r="AJ27" s="40"/>
      <c r="AK27" s="39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BC27" s="39"/>
      <c r="BD27" s="39"/>
      <c r="BE27" s="39"/>
      <c r="BF27" s="39"/>
      <c r="BG27" s="45"/>
      <c r="BH27" s="45"/>
      <c r="BI27" s="45"/>
      <c r="BJ27" s="45"/>
      <c r="BK27" s="55"/>
      <c r="BL27" s="55"/>
      <c r="BM27" s="45"/>
      <c r="BN27" s="55"/>
      <c r="BO27" s="55"/>
      <c r="BP27" s="55"/>
      <c r="BQ27" s="55"/>
      <c r="BR27" s="55"/>
      <c r="BS27" s="55"/>
      <c r="BT27" s="55"/>
      <c r="BU27" s="55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33"/>
      <c r="M28" s="33"/>
      <c r="N28" s="33"/>
      <c r="O28" s="33"/>
      <c r="P28" s="31"/>
      <c r="Q28" s="32"/>
      <c r="R28" s="32"/>
      <c r="S28" s="33"/>
      <c r="T28" s="33"/>
      <c r="U28" s="33"/>
      <c r="V28" s="31"/>
      <c r="W28" s="28"/>
      <c r="X28" s="34"/>
      <c r="Y28" s="32"/>
      <c r="Z28" s="32"/>
      <c r="AA28" s="28"/>
      <c r="AB28" s="28"/>
      <c r="AC28" s="28"/>
      <c r="AD28" s="31"/>
      <c r="AE28" s="36"/>
      <c r="AF28" s="28"/>
      <c r="AG28" s="66"/>
      <c r="AH28" s="38"/>
      <c r="AI28" s="39"/>
      <c r="AJ28" s="40"/>
      <c r="AK28" s="39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4"/>
      <c r="AX28" s="39"/>
      <c r="AY28" s="39"/>
      <c r="AZ28" s="39"/>
      <c r="BA28" s="39"/>
      <c r="BB28" s="39"/>
      <c r="BC28" s="39"/>
      <c r="BD28" s="39"/>
      <c r="BE28" s="39"/>
      <c r="BF28" s="39"/>
      <c r="BG28" s="45"/>
      <c r="BH28" s="45"/>
      <c r="BI28" s="45"/>
      <c r="BJ28" s="45"/>
      <c r="BK28" s="40"/>
      <c r="BL28" s="40"/>
      <c r="BM28" s="45"/>
      <c r="BN28" s="40"/>
      <c r="BO28" s="40"/>
      <c r="BP28" s="40"/>
      <c r="BQ28" s="40"/>
      <c r="BR28" s="40"/>
      <c r="BS28" s="40"/>
      <c r="BT28" s="40"/>
      <c r="BU28" s="40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31"/>
      <c r="M29" s="31"/>
      <c r="N29" s="31"/>
      <c r="O29" s="31"/>
      <c r="P29" s="31"/>
      <c r="Q29" s="32"/>
      <c r="R29" s="32"/>
      <c r="S29" s="32"/>
      <c r="T29" s="32"/>
      <c r="U29" s="32"/>
      <c r="V29" s="31"/>
      <c r="W29" s="28"/>
      <c r="X29" s="34"/>
      <c r="Y29" s="32"/>
      <c r="Z29" s="32"/>
      <c r="AA29" s="28"/>
      <c r="AB29" s="32"/>
      <c r="AC29" s="28"/>
      <c r="AD29" s="31"/>
      <c r="AE29" s="36"/>
      <c r="AF29" s="31"/>
      <c r="AG29" s="66"/>
      <c r="AH29" s="38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44"/>
      <c r="AX29" s="39"/>
      <c r="AY29" s="39"/>
      <c r="AZ29" s="39"/>
      <c r="BA29" s="39"/>
      <c r="BB29" s="39"/>
      <c r="BC29" s="39"/>
      <c r="BD29" s="39"/>
      <c r="BE29" s="39"/>
      <c r="BF29" s="39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</row>
    <row r="30">
      <c r="A30" s="33"/>
      <c r="B30" s="28"/>
      <c r="C30" s="28"/>
      <c r="D30" s="33"/>
      <c r="E30" s="28"/>
      <c r="F30" s="28"/>
      <c r="G30" s="28"/>
      <c r="H30" s="28"/>
      <c r="I30" s="28"/>
      <c r="J30" s="28"/>
      <c r="K30" s="28"/>
      <c r="L30" s="33"/>
      <c r="M30" s="33"/>
      <c r="N30" s="33"/>
      <c r="O30" s="33"/>
      <c r="P30" s="31"/>
      <c r="Q30" s="32"/>
      <c r="R30" s="32"/>
      <c r="S30" s="33"/>
      <c r="T30" s="33"/>
      <c r="U30" s="33"/>
      <c r="V30" s="31"/>
      <c r="W30" s="28"/>
      <c r="X30" s="34"/>
      <c r="Y30" s="32"/>
      <c r="Z30" s="32"/>
      <c r="AA30" s="28"/>
      <c r="AB30" s="28"/>
      <c r="AC30" s="28"/>
      <c r="AD30" s="31"/>
      <c r="AE30" s="36"/>
      <c r="AF30" s="28"/>
      <c r="AG30" s="66"/>
      <c r="AH30" s="38"/>
      <c r="AI30" s="39"/>
      <c r="AJ30" s="40"/>
      <c r="AK30" s="39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4"/>
      <c r="AX30" s="39"/>
      <c r="AY30" s="39"/>
      <c r="AZ30" s="39"/>
      <c r="BA30" s="39"/>
      <c r="BB30" s="39"/>
      <c r="BC30" s="39"/>
      <c r="BD30" s="39"/>
      <c r="BE30" s="39"/>
      <c r="BF30" s="39"/>
      <c r="BG30" s="45"/>
      <c r="BH30" s="45"/>
      <c r="BI30" s="45"/>
      <c r="BJ30" s="45"/>
      <c r="BK30" s="40"/>
      <c r="BL30" s="40"/>
      <c r="BM30" s="45"/>
      <c r="BN30" s="40"/>
      <c r="BO30" s="40"/>
      <c r="BP30" s="40"/>
      <c r="BQ30" s="40"/>
      <c r="BR30" s="40"/>
      <c r="BS30" s="40"/>
      <c r="BT30" s="40"/>
      <c r="BU30" s="40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33"/>
      <c r="M31" s="33"/>
      <c r="N31" s="33"/>
      <c r="O31" s="33"/>
      <c r="P31" s="31"/>
      <c r="Q31" s="32"/>
      <c r="R31" s="32"/>
      <c r="S31" s="33"/>
      <c r="T31" s="33"/>
      <c r="U31" s="33"/>
      <c r="V31" s="31"/>
      <c r="W31" s="28"/>
      <c r="X31" s="34"/>
      <c r="Y31" s="32"/>
      <c r="Z31" s="32"/>
      <c r="AA31" s="28"/>
      <c r="AB31" s="28"/>
      <c r="AC31" s="28"/>
      <c r="AD31" s="31"/>
      <c r="AE31" s="36"/>
      <c r="AF31" s="28"/>
      <c r="AG31" s="66"/>
      <c r="AH31" s="38"/>
      <c r="AI31" s="39"/>
      <c r="AJ31" s="40"/>
      <c r="AK31" s="39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4"/>
      <c r="AX31" s="39"/>
      <c r="AY31" s="39"/>
      <c r="AZ31" s="39"/>
      <c r="BA31" s="39"/>
      <c r="BB31" s="39"/>
      <c r="BC31" s="39"/>
      <c r="BD31" s="39"/>
      <c r="BE31" s="39"/>
      <c r="BF31" s="39"/>
      <c r="BG31" s="45"/>
      <c r="BH31" s="45"/>
      <c r="BI31" s="45"/>
      <c r="BJ31" s="45"/>
      <c r="BK31" s="40"/>
      <c r="BL31" s="40"/>
      <c r="BM31" s="45"/>
      <c r="BN31" s="40"/>
      <c r="BO31" s="40"/>
      <c r="BP31" s="40"/>
      <c r="BQ31" s="40"/>
      <c r="BR31" s="40"/>
      <c r="BS31" s="40"/>
      <c r="BT31" s="40"/>
      <c r="BU31" s="40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33"/>
      <c r="M32" s="33"/>
      <c r="N32" s="33"/>
      <c r="O32" s="33"/>
      <c r="P32" s="31"/>
      <c r="Q32" s="32"/>
      <c r="R32" s="32"/>
      <c r="S32" s="33"/>
      <c r="T32" s="33"/>
      <c r="U32" s="33"/>
      <c r="V32" s="31"/>
      <c r="W32" s="28"/>
      <c r="X32" s="34"/>
      <c r="Y32" s="32"/>
      <c r="Z32" s="32"/>
      <c r="AA32" s="28"/>
      <c r="AB32" s="28"/>
      <c r="AC32" s="28"/>
      <c r="AD32" s="31"/>
      <c r="AE32" s="36"/>
      <c r="AF32" s="28"/>
      <c r="AG32" s="66"/>
      <c r="AH32" s="38"/>
      <c r="AI32" s="39"/>
      <c r="AJ32" s="40"/>
      <c r="AK32" s="39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4"/>
      <c r="AX32" s="39"/>
      <c r="AY32" s="39"/>
      <c r="AZ32" s="39"/>
      <c r="BA32" s="39"/>
      <c r="BB32" s="39"/>
      <c r="BC32" s="39"/>
      <c r="BD32" s="39"/>
      <c r="BE32" s="39"/>
      <c r="BF32" s="39"/>
      <c r="BG32" s="45"/>
      <c r="BH32" s="45"/>
      <c r="BI32" s="45"/>
      <c r="BJ32" s="45"/>
      <c r="BK32" s="40"/>
      <c r="BL32" s="40"/>
      <c r="BM32" s="45"/>
      <c r="BN32" s="40"/>
      <c r="BO32" s="40"/>
      <c r="BP32" s="40"/>
      <c r="BQ32" s="40"/>
      <c r="BR32" s="40"/>
      <c r="BS32" s="40"/>
      <c r="BT32" s="40"/>
      <c r="BU32" s="40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31"/>
      <c r="M33" s="31"/>
      <c r="N33" s="31"/>
      <c r="O33" s="31"/>
      <c r="P33" s="31"/>
      <c r="Q33" s="32"/>
      <c r="R33" s="32"/>
      <c r="S33" s="32"/>
      <c r="T33" s="32"/>
      <c r="U33" s="32"/>
      <c r="V33" s="31"/>
      <c r="W33" s="28"/>
      <c r="X33" s="34"/>
      <c r="Y33" s="32"/>
      <c r="Z33" s="32"/>
      <c r="AA33" s="28"/>
      <c r="AB33" s="32"/>
      <c r="AC33" s="28"/>
      <c r="AD33" s="31"/>
      <c r="AE33" s="36"/>
      <c r="AF33" s="31"/>
      <c r="AG33" s="66"/>
      <c r="AH33" s="38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44"/>
      <c r="AX33" s="39"/>
      <c r="AY33" s="39"/>
      <c r="AZ33" s="39"/>
      <c r="BA33" s="39"/>
      <c r="BB33" s="39"/>
      <c r="BC33" s="39"/>
      <c r="BD33" s="39"/>
      <c r="BE33" s="39"/>
      <c r="BF33" s="39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31"/>
      <c r="M34" s="31"/>
      <c r="N34" s="31"/>
      <c r="O34" s="31"/>
      <c r="P34" s="31"/>
      <c r="Q34" s="32"/>
      <c r="R34" s="32"/>
      <c r="S34" s="32"/>
      <c r="T34" s="32"/>
      <c r="U34" s="32"/>
      <c r="V34" s="31"/>
      <c r="W34" s="28"/>
      <c r="X34" s="34"/>
      <c r="Y34" s="32"/>
      <c r="Z34" s="32"/>
      <c r="AA34" s="28"/>
      <c r="AB34" s="32"/>
      <c r="AC34" s="28"/>
      <c r="AD34" s="31"/>
      <c r="AE34" s="36"/>
      <c r="AF34" s="31"/>
      <c r="AG34" s="66"/>
      <c r="AH34" s="38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44"/>
      <c r="AX34" s="39"/>
      <c r="AY34" s="39"/>
      <c r="AZ34" s="39"/>
      <c r="BA34" s="39"/>
      <c r="BB34" s="39"/>
      <c r="BC34" s="39"/>
      <c r="BD34" s="39"/>
      <c r="BE34" s="39"/>
      <c r="BF34" s="39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31"/>
      <c r="M35" s="31"/>
      <c r="N35" s="31"/>
      <c r="O35" s="31"/>
      <c r="P35" s="31"/>
      <c r="Q35" s="32"/>
      <c r="R35" s="32"/>
      <c r="S35" s="32"/>
      <c r="T35" s="32"/>
      <c r="U35" s="32"/>
      <c r="V35" s="31"/>
      <c r="W35" s="28"/>
      <c r="X35" s="34"/>
      <c r="Y35" s="32"/>
      <c r="Z35" s="32"/>
      <c r="AA35" s="28"/>
      <c r="AB35" s="32"/>
      <c r="AC35" s="28"/>
      <c r="AD35" s="31"/>
      <c r="AE35" s="36"/>
      <c r="AF35" s="31"/>
      <c r="AG35" s="69"/>
      <c r="AH35" s="38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70"/>
      <c r="AX35" s="32"/>
      <c r="AY35" s="32"/>
      <c r="AZ35" s="32"/>
      <c r="BA35" s="32"/>
      <c r="BB35" s="32"/>
      <c r="BC35" s="32"/>
      <c r="BD35" s="32"/>
      <c r="BE35" s="32"/>
      <c r="BF35" s="32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31"/>
      <c r="M36" s="31"/>
      <c r="N36" s="31"/>
      <c r="O36" s="31"/>
      <c r="P36" s="31"/>
      <c r="Q36" s="32"/>
      <c r="R36" s="32"/>
      <c r="S36" s="32"/>
      <c r="T36" s="32"/>
      <c r="U36" s="32"/>
      <c r="V36" s="31"/>
      <c r="W36" s="28"/>
      <c r="X36" s="34"/>
      <c r="Y36" s="32"/>
      <c r="Z36" s="32"/>
      <c r="AA36" s="28"/>
      <c r="AB36" s="32"/>
      <c r="AC36" s="28"/>
      <c r="AD36" s="31"/>
      <c r="AE36" s="36"/>
      <c r="AF36" s="31"/>
      <c r="AG36" s="69"/>
      <c r="AH36" s="38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70"/>
      <c r="AX36" s="32"/>
      <c r="AY36" s="32"/>
      <c r="AZ36" s="32"/>
      <c r="BA36" s="32"/>
      <c r="BB36" s="32"/>
      <c r="BC36" s="32"/>
      <c r="BD36" s="32"/>
      <c r="BE36" s="32"/>
      <c r="BF36" s="32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31"/>
      <c r="M37" s="31"/>
      <c r="N37" s="31"/>
      <c r="O37" s="31"/>
      <c r="P37" s="31"/>
      <c r="Q37" s="32"/>
      <c r="R37" s="32"/>
      <c r="S37" s="32"/>
      <c r="T37" s="32"/>
      <c r="U37" s="32"/>
      <c r="V37" s="31"/>
      <c r="W37" s="28"/>
      <c r="X37" s="34"/>
      <c r="Y37" s="32"/>
      <c r="Z37" s="32"/>
      <c r="AA37" s="28"/>
      <c r="AB37" s="32"/>
      <c r="AC37" s="28"/>
      <c r="AD37" s="31"/>
      <c r="AE37" s="36"/>
      <c r="AF37" s="31"/>
      <c r="AG37" s="69"/>
      <c r="AH37" s="38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70"/>
      <c r="AX37" s="32"/>
      <c r="AY37" s="32"/>
      <c r="AZ37" s="32"/>
      <c r="BA37" s="32"/>
      <c r="BB37" s="32"/>
      <c r="BC37" s="32"/>
      <c r="BD37" s="32"/>
      <c r="BE37" s="32"/>
      <c r="BF37" s="32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31"/>
      <c r="M38" s="31"/>
      <c r="N38" s="31"/>
      <c r="O38" s="31"/>
      <c r="P38" s="31"/>
      <c r="Q38" s="32"/>
      <c r="R38" s="32"/>
      <c r="S38" s="32"/>
      <c r="T38" s="32"/>
      <c r="U38" s="32"/>
      <c r="V38" s="31"/>
      <c r="W38" s="28"/>
      <c r="X38" s="34"/>
      <c r="Y38" s="32"/>
      <c r="Z38" s="32"/>
      <c r="AA38" s="28"/>
      <c r="AB38" s="32"/>
      <c r="AC38" s="28"/>
      <c r="AD38" s="31"/>
      <c r="AE38" s="36"/>
      <c r="AF38" s="31"/>
      <c r="AG38" s="69"/>
      <c r="AH38" s="38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70"/>
      <c r="AX38" s="32"/>
      <c r="AY38" s="32"/>
      <c r="AZ38" s="32"/>
      <c r="BA38" s="32"/>
      <c r="BB38" s="32"/>
      <c r="BC38" s="32"/>
      <c r="BD38" s="32"/>
      <c r="BE38" s="32"/>
      <c r="BF38" s="32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31"/>
      <c r="M39" s="31"/>
      <c r="N39" s="31"/>
      <c r="O39" s="31"/>
      <c r="P39" s="31"/>
      <c r="Q39" s="32"/>
      <c r="R39" s="32"/>
      <c r="S39" s="32"/>
      <c r="T39" s="32"/>
      <c r="U39" s="32"/>
      <c r="V39" s="31"/>
      <c r="W39" s="28"/>
      <c r="X39" s="34"/>
      <c r="Y39" s="32"/>
      <c r="Z39" s="32"/>
      <c r="AA39" s="28"/>
      <c r="AB39" s="32"/>
      <c r="AC39" s="28"/>
      <c r="AD39" s="31"/>
      <c r="AE39" s="36"/>
      <c r="AF39" s="31"/>
      <c r="AG39" s="69"/>
      <c r="AH39" s="38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70"/>
      <c r="AX39" s="32"/>
      <c r="AY39" s="32"/>
      <c r="AZ39" s="32"/>
      <c r="BA39" s="32"/>
      <c r="BB39" s="32"/>
      <c r="BC39" s="32"/>
      <c r="BD39" s="32"/>
      <c r="BE39" s="32"/>
      <c r="BF39" s="32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31"/>
      <c r="M40" s="31"/>
      <c r="N40" s="31"/>
      <c r="O40" s="31"/>
      <c r="P40" s="31"/>
      <c r="Q40" s="32"/>
      <c r="R40" s="32"/>
      <c r="S40" s="32"/>
      <c r="T40" s="32"/>
      <c r="U40" s="32"/>
      <c r="V40" s="31"/>
      <c r="W40" s="28"/>
      <c r="X40" s="34"/>
      <c r="Y40" s="32"/>
      <c r="Z40" s="32"/>
      <c r="AA40" s="28"/>
      <c r="AB40" s="32"/>
      <c r="AC40" s="28"/>
      <c r="AD40" s="31"/>
      <c r="AE40" s="36"/>
      <c r="AF40" s="31"/>
      <c r="AG40" s="69"/>
      <c r="AH40" s="38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70"/>
      <c r="AX40" s="32"/>
      <c r="AY40" s="32"/>
      <c r="AZ40" s="32"/>
      <c r="BA40" s="32"/>
      <c r="BB40" s="32"/>
      <c r="BC40" s="32"/>
      <c r="BD40" s="32"/>
      <c r="BE40" s="32"/>
      <c r="BF40" s="32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31"/>
      <c r="M41" s="31"/>
      <c r="N41" s="31"/>
      <c r="O41" s="31"/>
      <c r="P41" s="31"/>
      <c r="Q41" s="32"/>
      <c r="R41" s="32"/>
      <c r="S41" s="32"/>
      <c r="T41" s="32"/>
      <c r="U41" s="32"/>
      <c r="V41" s="31"/>
      <c r="W41" s="28"/>
      <c r="X41" s="34"/>
      <c r="Y41" s="32"/>
      <c r="Z41" s="32"/>
      <c r="AA41" s="28"/>
      <c r="AB41" s="32"/>
      <c r="AC41" s="28"/>
      <c r="AD41" s="31"/>
      <c r="AE41" s="36"/>
      <c r="AF41" s="31"/>
      <c r="AG41" s="69"/>
      <c r="AH41" s="38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70"/>
      <c r="AX41" s="32"/>
      <c r="AY41" s="32"/>
      <c r="AZ41" s="32"/>
      <c r="BA41" s="32"/>
      <c r="BB41" s="32"/>
      <c r="BC41" s="32"/>
      <c r="BD41" s="32"/>
      <c r="BE41" s="32"/>
      <c r="BF41" s="32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31"/>
      <c r="M42" s="31"/>
      <c r="N42" s="31"/>
      <c r="O42" s="31"/>
      <c r="P42" s="31"/>
      <c r="Q42" s="32"/>
      <c r="R42" s="32"/>
      <c r="S42" s="32"/>
      <c r="T42" s="32"/>
      <c r="U42" s="32"/>
      <c r="V42" s="31"/>
      <c r="W42" s="28"/>
      <c r="X42" s="34"/>
      <c r="Y42" s="32"/>
      <c r="Z42" s="32"/>
      <c r="AA42" s="28"/>
      <c r="AB42" s="32"/>
      <c r="AC42" s="28"/>
      <c r="AD42" s="31"/>
      <c r="AE42" s="36"/>
      <c r="AF42" s="31"/>
      <c r="AG42" s="69"/>
      <c r="AH42" s="38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70"/>
      <c r="AX42" s="32"/>
      <c r="AY42" s="32"/>
      <c r="AZ42" s="32"/>
      <c r="BA42" s="32"/>
      <c r="BB42" s="32"/>
      <c r="BC42" s="32"/>
      <c r="BD42" s="32"/>
      <c r="BE42" s="32"/>
      <c r="BF42" s="32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31"/>
      <c r="M43" s="31"/>
      <c r="N43" s="31"/>
      <c r="O43" s="31"/>
      <c r="P43" s="31"/>
      <c r="Q43" s="32"/>
      <c r="R43" s="32"/>
      <c r="S43" s="32"/>
      <c r="T43" s="32"/>
      <c r="U43" s="32"/>
      <c r="V43" s="31"/>
      <c r="W43" s="28"/>
      <c r="X43" s="34"/>
      <c r="Y43" s="32"/>
      <c r="Z43" s="32"/>
      <c r="AA43" s="28"/>
      <c r="AB43" s="32"/>
      <c r="AC43" s="28"/>
      <c r="AD43" s="31"/>
      <c r="AE43" s="36"/>
      <c r="AF43" s="31"/>
      <c r="AG43" s="69"/>
      <c r="AH43" s="38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70"/>
      <c r="AX43" s="32"/>
      <c r="AY43" s="32"/>
      <c r="AZ43" s="32"/>
      <c r="BA43" s="32"/>
      <c r="BB43" s="32"/>
      <c r="BC43" s="32"/>
      <c r="BD43" s="32"/>
      <c r="BE43" s="32"/>
      <c r="BF43" s="32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31"/>
      <c r="M44" s="31"/>
      <c r="N44" s="31"/>
      <c r="O44" s="31"/>
      <c r="P44" s="31"/>
      <c r="Q44" s="32"/>
      <c r="R44" s="32"/>
      <c r="S44" s="32"/>
      <c r="T44" s="32"/>
      <c r="U44" s="32"/>
      <c r="V44" s="31"/>
      <c r="W44" s="28"/>
      <c r="X44" s="34"/>
      <c r="Y44" s="32"/>
      <c r="Z44" s="32"/>
      <c r="AA44" s="28"/>
      <c r="AB44" s="32"/>
      <c r="AC44" s="28"/>
      <c r="AD44" s="31"/>
      <c r="AE44" s="36"/>
      <c r="AF44" s="31"/>
      <c r="AG44" s="69"/>
      <c r="AH44" s="38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70"/>
      <c r="AX44" s="32"/>
      <c r="AY44" s="32"/>
      <c r="AZ44" s="32"/>
      <c r="BA44" s="32"/>
      <c r="BB44" s="32"/>
      <c r="BC44" s="32"/>
      <c r="BD44" s="32"/>
      <c r="BE44" s="32"/>
      <c r="BF44" s="32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31"/>
      <c r="M45" s="31"/>
      <c r="N45" s="31"/>
      <c r="O45" s="31"/>
      <c r="P45" s="31"/>
      <c r="Q45" s="32"/>
      <c r="R45" s="32"/>
      <c r="S45" s="32"/>
      <c r="T45" s="32"/>
      <c r="U45" s="32"/>
      <c r="V45" s="31"/>
      <c r="W45" s="28"/>
      <c r="X45" s="34"/>
      <c r="Y45" s="32"/>
      <c r="Z45" s="32"/>
      <c r="AA45" s="28"/>
      <c r="AB45" s="32"/>
      <c r="AC45" s="28"/>
      <c r="AD45" s="31"/>
      <c r="AE45" s="36"/>
      <c r="AF45" s="31"/>
      <c r="AG45" s="69"/>
      <c r="AH45" s="38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70"/>
      <c r="AX45" s="32"/>
      <c r="AY45" s="32"/>
      <c r="AZ45" s="32"/>
      <c r="BA45" s="32"/>
      <c r="BB45" s="32"/>
      <c r="BC45" s="32"/>
      <c r="BD45" s="32"/>
      <c r="BE45" s="32"/>
      <c r="BF45" s="32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31"/>
      <c r="M46" s="31"/>
      <c r="N46" s="31"/>
      <c r="O46" s="31"/>
      <c r="P46" s="31"/>
      <c r="Q46" s="32"/>
      <c r="R46" s="32"/>
      <c r="S46" s="32"/>
      <c r="T46" s="32"/>
      <c r="U46" s="32"/>
      <c r="V46" s="31"/>
      <c r="W46" s="28"/>
      <c r="X46" s="34"/>
      <c r="Y46" s="32"/>
      <c r="Z46" s="32"/>
      <c r="AA46" s="28"/>
      <c r="AB46" s="32"/>
      <c r="AC46" s="28"/>
      <c r="AD46" s="31"/>
      <c r="AE46" s="36"/>
      <c r="AF46" s="31"/>
      <c r="AG46" s="69"/>
      <c r="AH46" s="38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70"/>
      <c r="AX46" s="32"/>
      <c r="AY46" s="32"/>
      <c r="AZ46" s="32"/>
      <c r="BA46" s="32"/>
      <c r="BB46" s="32"/>
      <c r="BC46" s="32"/>
      <c r="BD46" s="32"/>
      <c r="BE46" s="32"/>
      <c r="BF46" s="32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31"/>
      <c r="M47" s="31"/>
      <c r="N47" s="31"/>
      <c r="O47" s="31"/>
      <c r="P47" s="31"/>
      <c r="Q47" s="32"/>
      <c r="R47" s="32"/>
      <c r="S47" s="32"/>
      <c r="T47" s="32"/>
      <c r="U47" s="32"/>
      <c r="V47" s="31"/>
      <c r="W47" s="28"/>
      <c r="X47" s="34"/>
      <c r="Y47" s="32"/>
      <c r="Z47" s="32"/>
      <c r="AA47" s="28"/>
      <c r="AB47" s="32"/>
      <c r="AC47" s="28"/>
      <c r="AD47" s="31"/>
      <c r="AE47" s="36"/>
      <c r="AF47" s="31"/>
      <c r="AG47" s="69"/>
      <c r="AH47" s="38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70"/>
      <c r="AX47" s="32"/>
      <c r="AY47" s="32"/>
      <c r="AZ47" s="32"/>
      <c r="BA47" s="32"/>
      <c r="BB47" s="32"/>
      <c r="BC47" s="32"/>
      <c r="BD47" s="32"/>
      <c r="BE47" s="32"/>
      <c r="BF47" s="32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31"/>
      <c r="M48" s="31"/>
      <c r="N48" s="31"/>
      <c r="O48" s="31"/>
      <c r="P48" s="31"/>
      <c r="Q48" s="32"/>
      <c r="R48" s="32"/>
      <c r="S48" s="32"/>
      <c r="T48" s="32"/>
      <c r="U48" s="32"/>
      <c r="V48" s="31"/>
      <c r="W48" s="28"/>
      <c r="X48" s="34"/>
      <c r="Y48" s="32"/>
      <c r="Z48" s="32"/>
      <c r="AA48" s="28"/>
      <c r="AB48" s="32"/>
      <c r="AC48" s="28"/>
      <c r="AD48" s="31"/>
      <c r="AE48" s="36"/>
      <c r="AF48" s="31"/>
      <c r="AG48" s="69"/>
      <c r="AH48" s="38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70"/>
      <c r="AX48" s="32"/>
      <c r="AY48" s="32"/>
      <c r="AZ48" s="32"/>
      <c r="BA48" s="32"/>
      <c r="BB48" s="32"/>
      <c r="BC48" s="32"/>
      <c r="BD48" s="32"/>
      <c r="BE48" s="32"/>
      <c r="BF48" s="32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31"/>
      <c r="M49" s="31"/>
      <c r="N49" s="31"/>
      <c r="O49" s="31"/>
      <c r="P49" s="31"/>
      <c r="Q49" s="32"/>
      <c r="R49" s="32"/>
      <c r="S49" s="32"/>
      <c r="T49" s="32"/>
      <c r="U49" s="32"/>
      <c r="V49" s="31"/>
      <c r="W49" s="28"/>
      <c r="X49" s="34"/>
      <c r="Y49" s="32"/>
      <c r="Z49" s="32"/>
      <c r="AA49" s="28"/>
      <c r="AB49" s="32"/>
      <c r="AC49" s="28"/>
      <c r="AD49" s="31"/>
      <c r="AE49" s="36"/>
      <c r="AF49" s="31"/>
      <c r="AG49" s="69"/>
      <c r="AH49" s="38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70"/>
      <c r="AX49" s="32"/>
      <c r="AY49" s="32"/>
      <c r="AZ49" s="32"/>
      <c r="BA49" s="32"/>
      <c r="BB49" s="32"/>
      <c r="BC49" s="32"/>
      <c r="BD49" s="32"/>
      <c r="BE49" s="32"/>
      <c r="BF49" s="32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31"/>
      <c r="M50" s="31"/>
      <c r="N50" s="31"/>
      <c r="O50" s="31"/>
      <c r="P50" s="31"/>
      <c r="Q50" s="32"/>
      <c r="R50" s="32"/>
      <c r="S50" s="32"/>
      <c r="T50" s="32"/>
      <c r="U50" s="32"/>
      <c r="V50" s="31"/>
      <c r="W50" s="28"/>
      <c r="X50" s="34"/>
      <c r="Y50" s="32"/>
      <c r="Z50" s="32"/>
      <c r="AA50" s="28"/>
      <c r="AB50" s="32"/>
      <c r="AC50" s="28"/>
      <c r="AD50" s="31"/>
      <c r="AE50" s="36"/>
      <c r="AF50" s="31"/>
      <c r="AG50" s="69"/>
      <c r="AH50" s="38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70"/>
      <c r="AX50" s="32"/>
      <c r="AY50" s="32"/>
      <c r="AZ50" s="32"/>
      <c r="BA50" s="32"/>
      <c r="BB50" s="32"/>
      <c r="BC50" s="32"/>
      <c r="BD50" s="32"/>
      <c r="BE50" s="32"/>
      <c r="BF50" s="32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31"/>
      <c r="M51" s="31"/>
      <c r="N51" s="31"/>
      <c r="O51" s="31"/>
      <c r="P51" s="31"/>
      <c r="Q51" s="32"/>
      <c r="R51" s="32"/>
      <c r="S51" s="32"/>
      <c r="T51" s="32"/>
      <c r="U51" s="32"/>
      <c r="V51" s="31"/>
      <c r="W51" s="28"/>
      <c r="X51" s="34"/>
      <c r="Y51" s="32"/>
      <c r="Z51" s="32"/>
      <c r="AA51" s="28"/>
      <c r="AB51" s="32"/>
      <c r="AC51" s="28"/>
      <c r="AD51" s="31"/>
      <c r="AE51" s="36"/>
      <c r="AF51" s="31"/>
      <c r="AG51" s="69"/>
      <c r="AH51" s="38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70"/>
      <c r="AX51" s="32"/>
      <c r="AY51" s="32"/>
      <c r="AZ51" s="32"/>
      <c r="BA51" s="32"/>
      <c r="BB51" s="32"/>
      <c r="BC51" s="32"/>
      <c r="BD51" s="32"/>
      <c r="BE51" s="32"/>
      <c r="BF51" s="32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31"/>
      <c r="M52" s="31"/>
      <c r="N52" s="31"/>
      <c r="O52" s="31"/>
      <c r="P52" s="31"/>
      <c r="Q52" s="32"/>
      <c r="R52" s="32"/>
      <c r="S52" s="32"/>
      <c r="T52" s="32"/>
      <c r="U52" s="32"/>
      <c r="V52" s="31"/>
      <c r="W52" s="28"/>
      <c r="X52" s="34"/>
      <c r="Y52" s="32"/>
      <c r="Z52" s="32"/>
      <c r="AA52" s="28"/>
      <c r="AB52" s="32"/>
      <c r="AC52" s="28"/>
      <c r="AD52" s="31"/>
      <c r="AE52" s="36"/>
      <c r="AF52" s="31"/>
      <c r="AG52" s="69"/>
      <c r="AH52" s="38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70"/>
      <c r="AX52" s="32"/>
      <c r="AY52" s="32"/>
      <c r="AZ52" s="32"/>
      <c r="BA52" s="32"/>
      <c r="BB52" s="32"/>
      <c r="BC52" s="32"/>
      <c r="BD52" s="32"/>
      <c r="BE52" s="32"/>
      <c r="BF52" s="32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31"/>
      <c r="M53" s="31"/>
      <c r="N53" s="31"/>
      <c r="O53" s="31"/>
      <c r="P53" s="31"/>
      <c r="Q53" s="32"/>
      <c r="R53" s="32"/>
      <c r="S53" s="32"/>
      <c r="T53" s="32"/>
      <c r="U53" s="32"/>
      <c r="V53" s="31"/>
      <c r="W53" s="28"/>
      <c r="X53" s="34"/>
      <c r="Y53" s="32"/>
      <c r="Z53" s="32"/>
      <c r="AA53" s="28"/>
      <c r="AB53" s="32"/>
      <c r="AC53" s="28"/>
      <c r="AD53" s="31"/>
      <c r="AE53" s="36"/>
      <c r="AF53" s="31"/>
      <c r="AG53" s="69"/>
      <c r="AH53" s="38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70"/>
      <c r="AX53" s="32"/>
      <c r="AY53" s="32"/>
      <c r="AZ53" s="32"/>
      <c r="BA53" s="32"/>
      <c r="BB53" s="32"/>
      <c r="BC53" s="32"/>
      <c r="BD53" s="32"/>
      <c r="BE53" s="32"/>
      <c r="BF53" s="32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31"/>
      <c r="M54" s="31"/>
      <c r="N54" s="31"/>
      <c r="O54" s="31"/>
      <c r="P54" s="31"/>
      <c r="Q54" s="32"/>
      <c r="R54" s="32"/>
      <c r="S54" s="32"/>
      <c r="T54" s="32"/>
      <c r="U54" s="32"/>
      <c r="V54" s="31"/>
      <c r="W54" s="28"/>
      <c r="X54" s="34"/>
      <c r="Y54" s="32"/>
      <c r="Z54" s="32"/>
      <c r="AA54" s="28"/>
      <c r="AB54" s="32"/>
      <c r="AC54" s="28"/>
      <c r="AD54" s="31"/>
      <c r="AE54" s="36"/>
      <c r="AF54" s="31"/>
      <c r="AG54" s="69"/>
      <c r="AH54" s="38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70"/>
      <c r="AX54" s="32"/>
      <c r="AY54" s="32"/>
      <c r="AZ54" s="32"/>
      <c r="BA54" s="32"/>
      <c r="BB54" s="32"/>
      <c r="BC54" s="32"/>
      <c r="BD54" s="32"/>
      <c r="BE54" s="32"/>
      <c r="BF54" s="32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31"/>
      <c r="M55" s="31"/>
      <c r="N55" s="31"/>
      <c r="O55" s="31"/>
      <c r="P55" s="31"/>
      <c r="Q55" s="32"/>
      <c r="R55" s="32"/>
      <c r="S55" s="32"/>
      <c r="T55" s="32"/>
      <c r="U55" s="32"/>
      <c r="V55" s="31"/>
      <c r="W55" s="28"/>
      <c r="X55" s="34"/>
      <c r="Y55" s="32"/>
      <c r="Z55" s="32"/>
      <c r="AA55" s="28"/>
      <c r="AB55" s="32"/>
      <c r="AC55" s="28"/>
      <c r="AD55" s="31"/>
      <c r="AE55" s="36"/>
      <c r="AF55" s="31"/>
      <c r="AG55" s="69"/>
      <c r="AH55" s="38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70"/>
      <c r="AX55" s="32"/>
      <c r="AY55" s="32"/>
      <c r="AZ55" s="32"/>
      <c r="BA55" s="32"/>
      <c r="BB55" s="32"/>
      <c r="BC55" s="32"/>
      <c r="BD55" s="32"/>
      <c r="BE55" s="32"/>
      <c r="BF55" s="32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31"/>
      <c r="M56" s="31"/>
      <c r="N56" s="31"/>
      <c r="O56" s="31"/>
      <c r="P56" s="31"/>
      <c r="Q56" s="32"/>
      <c r="R56" s="32"/>
      <c r="S56" s="32"/>
      <c r="T56" s="32"/>
      <c r="U56" s="32"/>
      <c r="V56" s="31"/>
      <c r="W56" s="28"/>
      <c r="X56" s="34"/>
      <c r="Y56" s="32"/>
      <c r="Z56" s="32"/>
      <c r="AA56" s="28"/>
      <c r="AB56" s="32"/>
      <c r="AC56" s="28"/>
      <c r="AD56" s="31"/>
      <c r="AE56" s="36"/>
      <c r="AF56" s="31"/>
      <c r="AG56" s="69"/>
      <c r="AH56" s="38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70"/>
      <c r="AX56" s="32"/>
      <c r="AY56" s="32"/>
      <c r="AZ56" s="32"/>
      <c r="BA56" s="32"/>
      <c r="BB56" s="32"/>
      <c r="BC56" s="32"/>
      <c r="BD56" s="32"/>
      <c r="BE56" s="32"/>
      <c r="BF56" s="32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31"/>
      <c r="M57" s="31"/>
      <c r="N57" s="31"/>
      <c r="O57" s="31"/>
      <c r="P57" s="31"/>
      <c r="Q57" s="32"/>
      <c r="R57" s="32"/>
      <c r="S57" s="32"/>
      <c r="T57" s="32"/>
      <c r="U57" s="32"/>
      <c r="V57" s="31"/>
      <c r="W57" s="28"/>
      <c r="X57" s="34"/>
      <c r="Y57" s="32"/>
      <c r="Z57" s="32"/>
      <c r="AA57" s="28"/>
      <c r="AB57" s="32"/>
      <c r="AC57" s="28"/>
      <c r="AD57" s="31"/>
      <c r="AE57" s="36"/>
      <c r="AF57" s="31"/>
      <c r="AG57" s="69"/>
      <c r="AH57" s="38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70"/>
      <c r="AX57" s="32"/>
      <c r="AY57" s="32"/>
      <c r="AZ57" s="32"/>
      <c r="BA57" s="32"/>
      <c r="BB57" s="32"/>
      <c r="BC57" s="32"/>
      <c r="BD57" s="32"/>
      <c r="BE57" s="32"/>
      <c r="BF57" s="32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31"/>
      <c r="M58" s="31"/>
      <c r="N58" s="31"/>
      <c r="O58" s="31"/>
      <c r="P58" s="31"/>
      <c r="Q58" s="32"/>
      <c r="R58" s="32"/>
      <c r="S58" s="32"/>
      <c r="T58" s="32"/>
      <c r="U58" s="32"/>
      <c r="V58" s="31"/>
      <c r="W58" s="28"/>
      <c r="X58" s="34"/>
      <c r="Y58" s="32"/>
      <c r="Z58" s="32"/>
      <c r="AA58" s="28"/>
      <c r="AB58" s="32"/>
      <c r="AC58" s="28"/>
      <c r="AD58" s="31"/>
      <c r="AE58" s="36"/>
      <c r="AF58" s="31"/>
      <c r="AG58" s="69"/>
      <c r="AH58" s="38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70"/>
      <c r="AX58" s="32"/>
      <c r="AY58" s="32"/>
      <c r="AZ58" s="32"/>
      <c r="BA58" s="32"/>
      <c r="BB58" s="32"/>
      <c r="BC58" s="32"/>
      <c r="BD58" s="32"/>
      <c r="BE58" s="32"/>
      <c r="BF58" s="32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31"/>
      <c r="M59" s="31"/>
      <c r="N59" s="31"/>
      <c r="O59" s="31"/>
      <c r="P59" s="31"/>
      <c r="Q59" s="32"/>
      <c r="R59" s="32"/>
      <c r="S59" s="32"/>
      <c r="T59" s="32"/>
      <c r="U59" s="32"/>
      <c r="V59" s="31"/>
      <c r="W59" s="28"/>
      <c r="X59" s="34"/>
      <c r="Y59" s="32"/>
      <c r="Z59" s="32"/>
      <c r="AA59" s="28"/>
      <c r="AB59" s="32"/>
      <c r="AC59" s="28"/>
      <c r="AD59" s="31"/>
      <c r="AE59" s="36"/>
      <c r="AF59" s="31"/>
      <c r="AG59" s="69"/>
      <c r="AH59" s="38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70"/>
      <c r="AX59" s="32"/>
      <c r="AY59" s="32"/>
      <c r="AZ59" s="32"/>
      <c r="BA59" s="32"/>
      <c r="BB59" s="32"/>
      <c r="BC59" s="32"/>
      <c r="BD59" s="32"/>
      <c r="BE59" s="32"/>
      <c r="BF59" s="32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31"/>
      <c r="M60" s="31"/>
      <c r="N60" s="31"/>
      <c r="O60" s="31"/>
      <c r="P60" s="31"/>
      <c r="Q60" s="32"/>
      <c r="R60" s="32"/>
      <c r="S60" s="32"/>
      <c r="T60" s="32"/>
      <c r="U60" s="32"/>
      <c r="V60" s="31"/>
      <c r="W60" s="28"/>
      <c r="X60" s="34"/>
      <c r="Y60" s="32"/>
      <c r="Z60" s="32"/>
      <c r="AA60" s="28"/>
      <c r="AB60" s="32"/>
      <c r="AC60" s="28"/>
      <c r="AD60" s="31"/>
      <c r="AE60" s="36"/>
      <c r="AF60" s="31"/>
      <c r="AG60" s="69"/>
      <c r="AH60" s="38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70"/>
      <c r="AX60" s="32"/>
      <c r="AY60" s="32"/>
      <c r="AZ60" s="32"/>
      <c r="BA60" s="32"/>
      <c r="BB60" s="32"/>
      <c r="BC60" s="32"/>
      <c r="BD60" s="32"/>
      <c r="BE60" s="32"/>
      <c r="BF60" s="32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31"/>
      <c r="M61" s="31"/>
      <c r="N61" s="31"/>
      <c r="O61" s="31"/>
      <c r="P61" s="31"/>
      <c r="Q61" s="32"/>
      <c r="R61" s="32"/>
      <c r="S61" s="32"/>
      <c r="T61" s="32"/>
      <c r="U61" s="32"/>
      <c r="V61" s="31"/>
      <c r="W61" s="28"/>
      <c r="X61" s="34"/>
      <c r="Y61" s="32"/>
      <c r="Z61" s="32"/>
      <c r="AA61" s="28"/>
      <c r="AB61" s="32"/>
      <c r="AC61" s="28"/>
      <c r="AD61" s="31"/>
      <c r="AE61" s="36"/>
      <c r="AF61" s="31"/>
      <c r="AG61" s="69"/>
      <c r="AH61" s="38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70"/>
      <c r="AX61" s="32"/>
      <c r="AY61" s="32"/>
      <c r="AZ61" s="32"/>
      <c r="BA61" s="32"/>
      <c r="BB61" s="32"/>
      <c r="BC61" s="32"/>
      <c r="BD61" s="32"/>
      <c r="BE61" s="32"/>
      <c r="BF61" s="32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31"/>
      <c r="M62" s="31"/>
      <c r="N62" s="31"/>
      <c r="O62" s="31"/>
      <c r="P62" s="31"/>
      <c r="Q62" s="32"/>
      <c r="R62" s="32"/>
      <c r="S62" s="32"/>
      <c r="T62" s="32"/>
      <c r="U62" s="32"/>
      <c r="V62" s="31"/>
      <c r="W62" s="28"/>
      <c r="X62" s="34"/>
      <c r="Y62" s="32"/>
      <c r="Z62" s="32"/>
      <c r="AA62" s="28"/>
      <c r="AB62" s="32"/>
      <c r="AC62" s="28"/>
      <c r="AD62" s="31"/>
      <c r="AE62" s="36"/>
      <c r="AF62" s="31"/>
      <c r="AG62" s="69"/>
      <c r="AH62" s="38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70"/>
      <c r="AX62" s="32"/>
      <c r="AY62" s="32"/>
      <c r="AZ62" s="32"/>
      <c r="BA62" s="32"/>
      <c r="BB62" s="32"/>
      <c r="BC62" s="32"/>
      <c r="BD62" s="32"/>
      <c r="BE62" s="32"/>
      <c r="BF62" s="32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31"/>
      <c r="M63" s="31"/>
      <c r="N63" s="31"/>
      <c r="O63" s="31"/>
      <c r="P63" s="31"/>
      <c r="Q63" s="32"/>
      <c r="R63" s="32"/>
      <c r="S63" s="32"/>
      <c r="T63" s="32"/>
      <c r="U63" s="32"/>
      <c r="V63" s="31"/>
      <c r="W63" s="28"/>
      <c r="X63" s="34"/>
      <c r="Y63" s="32"/>
      <c r="Z63" s="32"/>
      <c r="AA63" s="28"/>
      <c r="AB63" s="32"/>
      <c r="AC63" s="28"/>
      <c r="AD63" s="31"/>
      <c r="AE63" s="36"/>
      <c r="AF63" s="31"/>
      <c r="AG63" s="69"/>
      <c r="AH63" s="38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70"/>
      <c r="AX63" s="32"/>
      <c r="AY63" s="32"/>
      <c r="AZ63" s="32"/>
      <c r="BA63" s="32"/>
      <c r="BB63" s="32"/>
      <c r="BC63" s="32"/>
      <c r="BD63" s="32"/>
      <c r="BE63" s="32"/>
      <c r="BF63" s="32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31"/>
      <c r="M64" s="31"/>
      <c r="N64" s="31"/>
      <c r="O64" s="31"/>
      <c r="P64" s="31"/>
      <c r="Q64" s="32"/>
      <c r="R64" s="32"/>
      <c r="S64" s="32"/>
      <c r="T64" s="32"/>
      <c r="U64" s="32"/>
      <c r="V64" s="31"/>
      <c r="W64" s="28"/>
      <c r="X64" s="34"/>
      <c r="Y64" s="32"/>
      <c r="Z64" s="32"/>
      <c r="AA64" s="28"/>
      <c r="AB64" s="32"/>
      <c r="AC64" s="28"/>
      <c r="AD64" s="31"/>
      <c r="AE64" s="36"/>
      <c r="AF64" s="31"/>
      <c r="AG64" s="69"/>
      <c r="AH64" s="38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70"/>
      <c r="AX64" s="32"/>
      <c r="AY64" s="32"/>
      <c r="AZ64" s="32"/>
      <c r="BA64" s="32"/>
      <c r="BB64" s="32"/>
      <c r="BC64" s="32"/>
      <c r="BD64" s="32"/>
      <c r="BE64" s="32"/>
      <c r="BF64" s="32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31"/>
      <c r="M65" s="31"/>
      <c r="N65" s="31"/>
      <c r="O65" s="31"/>
      <c r="P65" s="31"/>
      <c r="Q65" s="32"/>
      <c r="R65" s="32"/>
      <c r="S65" s="32"/>
      <c r="T65" s="32"/>
      <c r="U65" s="32"/>
      <c r="V65" s="31"/>
      <c r="W65" s="28"/>
      <c r="X65" s="34"/>
      <c r="Y65" s="32"/>
      <c r="Z65" s="32"/>
      <c r="AA65" s="28"/>
      <c r="AB65" s="32"/>
      <c r="AC65" s="28"/>
      <c r="AD65" s="31"/>
      <c r="AE65" s="36"/>
      <c r="AF65" s="31"/>
      <c r="AG65" s="69"/>
      <c r="AH65" s="38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70"/>
      <c r="AX65" s="32"/>
      <c r="AY65" s="32"/>
      <c r="AZ65" s="32"/>
      <c r="BA65" s="32"/>
      <c r="BB65" s="32"/>
      <c r="BC65" s="32"/>
      <c r="BD65" s="32"/>
      <c r="BE65" s="32"/>
      <c r="BF65" s="32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31"/>
      <c r="M66" s="31"/>
      <c r="N66" s="31"/>
      <c r="O66" s="31"/>
      <c r="P66" s="31"/>
      <c r="Q66" s="32"/>
      <c r="R66" s="32"/>
      <c r="S66" s="32"/>
      <c r="T66" s="32"/>
      <c r="U66" s="32"/>
      <c r="V66" s="31"/>
      <c r="W66" s="28"/>
      <c r="X66" s="34"/>
      <c r="Y66" s="32"/>
      <c r="Z66" s="32"/>
      <c r="AA66" s="28"/>
      <c r="AB66" s="32"/>
      <c r="AC66" s="28"/>
      <c r="AD66" s="31"/>
      <c r="AE66" s="36"/>
      <c r="AF66" s="31"/>
      <c r="AG66" s="69"/>
      <c r="AH66" s="38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70"/>
      <c r="AX66" s="32"/>
      <c r="AY66" s="32"/>
      <c r="AZ66" s="32"/>
      <c r="BA66" s="32"/>
      <c r="BB66" s="32"/>
      <c r="BC66" s="32"/>
      <c r="BD66" s="32"/>
      <c r="BE66" s="32"/>
      <c r="BF66" s="32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31"/>
      <c r="M67" s="31"/>
      <c r="N67" s="31"/>
      <c r="O67" s="31"/>
      <c r="P67" s="31"/>
      <c r="Q67" s="32"/>
      <c r="R67" s="32"/>
      <c r="S67" s="32"/>
      <c r="T67" s="32"/>
      <c r="U67" s="32"/>
      <c r="V67" s="31"/>
      <c r="W67" s="28"/>
      <c r="X67" s="34"/>
      <c r="Y67" s="32"/>
      <c r="Z67" s="32"/>
      <c r="AA67" s="28"/>
      <c r="AB67" s="32"/>
      <c r="AC67" s="28"/>
      <c r="AD67" s="31"/>
      <c r="AE67" s="36"/>
      <c r="AF67" s="31"/>
      <c r="AG67" s="69"/>
      <c r="AH67" s="38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70"/>
      <c r="AX67" s="32"/>
      <c r="AY67" s="32"/>
      <c r="AZ67" s="32"/>
      <c r="BA67" s="32"/>
      <c r="BB67" s="32"/>
      <c r="BC67" s="32"/>
      <c r="BD67" s="32"/>
      <c r="BE67" s="32"/>
      <c r="BF67" s="32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31"/>
      <c r="M68" s="31"/>
      <c r="N68" s="31"/>
      <c r="O68" s="31"/>
      <c r="P68" s="31"/>
      <c r="Q68" s="32"/>
      <c r="R68" s="32"/>
      <c r="S68" s="32"/>
      <c r="T68" s="32"/>
      <c r="U68" s="32"/>
      <c r="V68" s="31"/>
      <c r="W68" s="28"/>
      <c r="X68" s="34"/>
      <c r="Y68" s="32"/>
      <c r="Z68" s="32"/>
      <c r="AA68" s="28"/>
      <c r="AB68" s="32"/>
      <c r="AC68" s="28"/>
      <c r="AD68" s="31"/>
      <c r="AE68" s="36"/>
      <c r="AF68" s="31"/>
      <c r="AG68" s="69"/>
      <c r="AH68" s="38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70"/>
      <c r="AX68" s="32"/>
      <c r="AY68" s="32"/>
      <c r="AZ68" s="32"/>
      <c r="BA68" s="32"/>
      <c r="BB68" s="32"/>
      <c r="BC68" s="32"/>
      <c r="BD68" s="32"/>
      <c r="BE68" s="32"/>
      <c r="BF68" s="32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31"/>
      <c r="M69" s="31"/>
      <c r="N69" s="31"/>
      <c r="O69" s="31"/>
      <c r="P69" s="31"/>
      <c r="Q69" s="32"/>
      <c r="R69" s="32"/>
      <c r="S69" s="32"/>
      <c r="T69" s="32"/>
      <c r="U69" s="32"/>
      <c r="V69" s="31"/>
      <c r="W69" s="28"/>
      <c r="X69" s="34"/>
      <c r="Y69" s="32"/>
      <c r="Z69" s="32"/>
      <c r="AA69" s="28"/>
      <c r="AB69" s="32"/>
      <c r="AC69" s="28"/>
      <c r="AD69" s="31"/>
      <c r="AE69" s="36"/>
      <c r="AF69" s="31"/>
      <c r="AG69" s="69"/>
      <c r="AH69" s="38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70"/>
      <c r="AX69" s="32"/>
      <c r="AY69" s="32"/>
      <c r="AZ69" s="32"/>
      <c r="BA69" s="32"/>
      <c r="BB69" s="32"/>
      <c r="BC69" s="32"/>
      <c r="BD69" s="32"/>
      <c r="BE69" s="32"/>
      <c r="BF69" s="32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31"/>
      <c r="M70" s="31"/>
      <c r="N70" s="31"/>
      <c r="O70" s="31"/>
      <c r="P70" s="31"/>
      <c r="Q70" s="32"/>
      <c r="R70" s="32"/>
      <c r="S70" s="32"/>
      <c r="T70" s="32"/>
      <c r="U70" s="32"/>
      <c r="V70" s="31"/>
      <c r="W70" s="28"/>
      <c r="X70" s="34"/>
      <c r="Y70" s="32"/>
      <c r="Z70" s="32"/>
      <c r="AA70" s="28"/>
      <c r="AB70" s="32"/>
      <c r="AC70" s="28"/>
      <c r="AD70" s="31"/>
      <c r="AE70" s="36"/>
      <c r="AF70" s="31"/>
      <c r="AG70" s="69"/>
      <c r="AH70" s="38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70"/>
      <c r="AX70" s="32"/>
      <c r="AY70" s="32"/>
      <c r="AZ70" s="32"/>
      <c r="BA70" s="32"/>
      <c r="BB70" s="32"/>
      <c r="BC70" s="32"/>
      <c r="BD70" s="32"/>
      <c r="BE70" s="32"/>
      <c r="BF70" s="32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31"/>
      <c r="M71" s="31"/>
      <c r="N71" s="31"/>
      <c r="O71" s="31"/>
      <c r="P71" s="31"/>
      <c r="Q71" s="32"/>
      <c r="R71" s="32"/>
      <c r="S71" s="32"/>
      <c r="T71" s="32"/>
      <c r="U71" s="32"/>
      <c r="V71" s="31"/>
      <c r="W71" s="28"/>
      <c r="X71" s="34"/>
      <c r="Y71" s="32"/>
      <c r="Z71" s="32"/>
      <c r="AA71" s="28"/>
      <c r="AB71" s="32"/>
      <c r="AC71" s="28"/>
      <c r="AD71" s="31"/>
      <c r="AE71" s="36"/>
      <c r="AF71" s="31"/>
      <c r="AG71" s="69"/>
      <c r="AH71" s="38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70"/>
      <c r="AX71" s="32"/>
      <c r="AY71" s="32"/>
      <c r="AZ71" s="32"/>
      <c r="BA71" s="32"/>
      <c r="BB71" s="32"/>
      <c r="BC71" s="32"/>
      <c r="BD71" s="32"/>
      <c r="BE71" s="32"/>
      <c r="BF71" s="32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31"/>
      <c r="M72" s="31"/>
      <c r="N72" s="31"/>
      <c r="O72" s="31"/>
      <c r="P72" s="31"/>
      <c r="Q72" s="32"/>
      <c r="R72" s="32"/>
      <c r="S72" s="32"/>
      <c r="T72" s="32"/>
      <c r="U72" s="32"/>
      <c r="V72" s="31"/>
      <c r="W72" s="28"/>
      <c r="X72" s="34"/>
      <c r="Y72" s="32"/>
      <c r="Z72" s="32"/>
      <c r="AA72" s="28"/>
      <c r="AB72" s="32"/>
      <c r="AC72" s="28"/>
      <c r="AD72" s="31"/>
      <c r="AE72" s="36"/>
      <c r="AF72" s="31"/>
      <c r="AG72" s="69"/>
      <c r="AH72" s="38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70"/>
      <c r="AX72" s="32"/>
      <c r="AY72" s="32"/>
      <c r="AZ72" s="32"/>
      <c r="BA72" s="32"/>
      <c r="BB72" s="32"/>
      <c r="BC72" s="32"/>
      <c r="BD72" s="32"/>
      <c r="BE72" s="32"/>
      <c r="BF72" s="32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31"/>
      <c r="M73" s="31"/>
      <c r="N73" s="31"/>
      <c r="O73" s="31"/>
      <c r="P73" s="31"/>
      <c r="Q73" s="32"/>
      <c r="R73" s="32"/>
      <c r="S73" s="32"/>
      <c r="T73" s="32"/>
      <c r="U73" s="32"/>
      <c r="V73" s="31"/>
      <c r="W73" s="28"/>
      <c r="X73" s="34"/>
      <c r="Y73" s="32"/>
      <c r="Z73" s="32"/>
      <c r="AA73" s="28"/>
      <c r="AB73" s="32"/>
      <c r="AC73" s="28"/>
      <c r="AD73" s="31"/>
      <c r="AE73" s="36"/>
      <c r="AF73" s="31"/>
      <c r="AG73" s="69"/>
      <c r="AH73" s="38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70"/>
      <c r="AX73" s="32"/>
      <c r="AY73" s="32"/>
      <c r="AZ73" s="32"/>
      <c r="BA73" s="32"/>
      <c r="BB73" s="32"/>
      <c r="BC73" s="32"/>
      <c r="BD73" s="32"/>
      <c r="BE73" s="32"/>
      <c r="BF73" s="32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31"/>
      <c r="M74" s="31"/>
      <c r="N74" s="31"/>
      <c r="O74" s="31"/>
      <c r="P74" s="31"/>
      <c r="Q74" s="32"/>
      <c r="R74" s="32"/>
      <c r="S74" s="32"/>
      <c r="T74" s="32"/>
      <c r="U74" s="32"/>
      <c r="V74" s="31"/>
      <c r="W74" s="28"/>
      <c r="X74" s="34"/>
      <c r="Y74" s="32"/>
      <c r="Z74" s="32"/>
      <c r="AA74" s="28"/>
      <c r="AB74" s="32"/>
      <c r="AC74" s="28"/>
      <c r="AD74" s="31"/>
      <c r="AE74" s="36"/>
      <c r="AF74" s="31"/>
      <c r="AG74" s="69"/>
      <c r="AH74" s="38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70"/>
      <c r="AX74" s="32"/>
      <c r="AY74" s="32"/>
      <c r="AZ74" s="32"/>
      <c r="BA74" s="32"/>
      <c r="BB74" s="32"/>
      <c r="BC74" s="32"/>
      <c r="BD74" s="32"/>
      <c r="BE74" s="32"/>
      <c r="BF74" s="32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31"/>
      <c r="M75" s="31"/>
      <c r="N75" s="31"/>
      <c r="O75" s="31"/>
      <c r="P75" s="31"/>
      <c r="Q75" s="32"/>
      <c r="R75" s="32"/>
      <c r="S75" s="32"/>
      <c r="T75" s="32"/>
      <c r="U75" s="32"/>
      <c r="V75" s="31"/>
      <c r="W75" s="28"/>
      <c r="X75" s="34"/>
      <c r="Y75" s="32"/>
      <c r="Z75" s="32"/>
      <c r="AA75" s="28"/>
      <c r="AB75" s="32"/>
      <c r="AC75" s="28"/>
      <c r="AD75" s="31"/>
      <c r="AE75" s="36"/>
      <c r="AF75" s="31"/>
      <c r="AG75" s="69"/>
      <c r="AH75" s="38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70"/>
      <c r="AX75" s="32"/>
      <c r="AY75" s="32"/>
      <c r="AZ75" s="32"/>
      <c r="BA75" s="32"/>
      <c r="BB75" s="32"/>
      <c r="BC75" s="32"/>
      <c r="BD75" s="32"/>
      <c r="BE75" s="32"/>
      <c r="BF75" s="32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31"/>
      <c r="M76" s="31"/>
      <c r="N76" s="31"/>
      <c r="O76" s="31"/>
      <c r="P76" s="31"/>
      <c r="Q76" s="32"/>
      <c r="R76" s="32"/>
      <c r="S76" s="32"/>
      <c r="T76" s="32"/>
      <c r="U76" s="32"/>
      <c r="V76" s="31"/>
      <c r="W76" s="28"/>
      <c r="X76" s="34"/>
      <c r="Y76" s="32"/>
      <c r="Z76" s="32"/>
      <c r="AA76" s="28"/>
      <c r="AB76" s="32"/>
      <c r="AC76" s="28"/>
      <c r="AD76" s="31"/>
      <c r="AE76" s="36"/>
      <c r="AF76" s="31"/>
      <c r="AG76" s="69"/>
      <c r="AH76" s="38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70"/>
      <c r="AX76" s="32"/>
      <c r="AY76" s="32"/>
      <c r="AZ76" s="32"/>
      <c r="BA76" s="32"/>
      <c r="BB76" s="32"/>
      <c r="BC76" s="32"/>
      <c r="BD76" s="32"/>
      <c r="BE76" s="32"/>
      <c r="BF76" s="32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31"/>
      <c r="M77" s="31"/>
      <c r="N77" s="31"/>
      <c r="O77" s="31"/>
      <c r="P77" s="31"/>
      <c r="Q77" s="32"/>
      <c r="R77" s="32"/>
      <c r="S77" s="32"/>
      <c r="T77" s="32"/>
      <c r="U77" s="32"/>
      <c r="V77" s="31"/>
      <c r="W77" s="28"/>
      <c r="X77" s="34"/>
      <c r="Y77" s="32"/>
      <c r="Z77" s="32"/>
      <c r="AA77" s="28"/>
      <c r="AB77" s="32"/>
      <c r="AC77" s="28"/>
      <c r="AD77" s="31"/>
      <c r="AE77" s="36"/>
      <c r="AF77" s="31"/>
      <c r="AG77" s="69"/>
      <c r="AH77" s="38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70"/>
      <c r="AX77" s="32"/>
      <c r="AY77" s="32"/>
      <c r="AZ77" s="32"/>
      <c r="BA77" s="32"/>
      <c r="BB77" s="32"/>
      <c r="BC77" s="32"/>
      <c r="BD77" s="32"/>
      <c r="BE77" s="32"/>
      <c r="BF77" s="32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31"/>
      <c r="M78" s="31"/>
      <c r="N78" s="31"/>
      <c r="O78" s="31"/>
      <c r="P78" s="31"/>
      <c r="Q78" s="32"/>
      <c r="R78" s="32"/>
      <c r="S78" s="32"/>
      <c r="T78" s="32"/>
      <c r="U78" s="32"/>
      <c r="V78" s="31"/>
      <c r="W78" s="28"/>
      <c r="X78" s="34"/>
      <c r="Y78" s="32"/>
      <c r="Z78" s="32"/>
      <c r="AA78" s="28"/>
      <c r="AB78" s="32"/>
      <c r="AC78" s="28"/>
      <c r="AD78" s="31"/>
      <c r="AE78" s="36"/>
      <c r="AF78" s="31"/>
      <c r="AG78" s="69"/>
      <c r="AH78" s="38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70"/>
      <c r="AX78" s="32"/>
      <c r="AY78" s="32"/>
      <c r="AZ78" s="32"/>
      <c r="BA78" s="32"/>
      <c r="BB78" s="32"/>
      <c r="BC78" s="32"/>
      <c r="BD78" s="32"/>
      <c r="BE78" s="32"/>
      <c r="BF78" s="32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31"/>
      <c r="M79" s="31"/>
      <c r="N79" s="31"/>
      <c r="O79" s="31"/>
      <c r="P79" s="31"/>
      <c r="Q79" s="32"/>
      <c r="R79" s="32"/>
      <c r="S79" s="32"/>
      <c r="T79" s="32"/>
      <c r="U79" s="32"/>
      <c r="V79" s="31"/>
      <c r="W79" s="28"/>
      <c r="X79" s="34"/>
      <c r="Y79" s="32"/>
      <c r="Z79" s="32"/>
      <c r="AA79" s="28"/>
      <c r="AB79" s="32"/>
      <c r="AC79" s="28"/>
      <c r="AD79" s="31"/>
      <c r="AE79" s="36"/>
      <c r="AF79" s="31"/>
      <c r="AG79" s="69"/>
      <c r="AH79" s="38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70"/>
      <c r="AX79" s="32"/>
      <c r="AY79" s="32"/>
      <c r="AZ79" s="32"/>
      <c r="BA79" s="32"/>
      <c r="BB79" s="32"/>
      <c r="BC79" s="32"/>
      <c r="BD79" s="32"/>
      <c r="BE79" s="32"/>
      <c r="BF79" s="32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31"/>
      <c r="M80" s="31"/>
      <c r="N80" s="31"/>
      <c r="O80" s="31"/>
      <c r="P80" s="31"/>
      <c r="Q80" s="32"/>
      <c r="R80" s="32"/>
      <c r="S80" s="32"/>
      <c r="T80" s="32"/>
      <c r="U80" s="32"/>
      <c r="V80" s="31"/>
      <c r="W80" s="28"/>
      <c r="X80" s="34"/>
      <c r="Y80" s="32"/>
      <c r="Z80" s="32"/>
      <c r="AA80" s="28"/>
      <c r="AB80" s="32"/>
      <c r="AC80" s="28"/>
      <c r="AD80" s="31"/>
      <c r="AE80" s="36"/>
      <c r="AF80" s="31"/>
      <c r="AG80" s="69"/>
      <c r="AH80" s="38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70"/>
      <c r="AX80" s="32"/>
      <c r="AY80" s="32"/>
      <c r="AZ80" s="32"/>
      <c r="BA80" s="32"/>
      <c r="BB80" s="32"/>
      <c r="BC80" s="32"/>
      <c r="BD80" s="32"/>
      <c r="BE80" s="32"/>
      <c r="BF80" s="32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31"/>
      <c r="M81" s="31"/>
      <c r="N81" s="31"/>
      <c r="O81" s="31"/>
      <c r="P81" s="31"/>
      <c r="Q81" s="32"/>
      <c r="R81" s="32"/>
      <c r="S81" s="32"/>
      <c r="T81" s="32"/>
      <c r="U81" s="32"/>
      <c r="V81" s="31"/>
      <c r="W81" s="28"/>
      <c r="X81" s="34"/>
      <c r="Y81" s="32"/>
      <c r="Z81" s="32"/>
      <c r="AA81" s="28"/>
      <c r="AB81" s="32"/>
      <c r="AC81" s="28"/>
      <c r="AD81" s="31"/>
      <c r="AE81" s="36"/>
      <c r="AF81" s="31"/>
      <c r="AG81" s="69"/>
      <c r="AH81" s="38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70"/>
      <c r="AX81" s="32"/>
      <c r="AY81" s="32"/>
      <c r="AZ81" s="32"/>
      <c r="BA81" s="32"/>
      <c r="BB81" s="32"/>
      <c r="BC81" s="32"/>
      <c r="BD81" s="32"/>
      <c r="BE81" s="32"/>
      <c r="BF81" s="32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31"/>
      <c r="M82" s="31"/>
      <c r="N82" s="31"/>
      <c r="O82" s="31"/>
      <c r="P82" s="31"/>
      <c r="Q82" s="32"/>
      <c r="R82" s="32"/>
      <c r="S82" s="32"/>
      <c r="T82" s="32"/>
      <c r="U82" s="32"/>
      <c r="V82" s="31"/>
      <c r="W82" s="28"/>
      <c r="X82" s="34"/>
      <c r="Y82" s="32"/>
      <c r="Z82" s="32"/>
      <c r="AA82" s="28"/>
      <c r="AB82" s="32"/>
      <c r="AC82" s="28"/>
      <c r="AD82" s="31"/>
      <c r="AE82" s="36"/>
      <c r="AF82" s="31"/>
      <c r="AG82" s="69"/>
      <c r="AH82" s="38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70"/>
      <c r="AX82" s="32"/>
      <c r="AY82" s="32"/>
      <c r="AZ82" s="32"/>
      <c r="BA82" s="32"/>
      <c r="BB82" s="32"/>
      <c r="BC82" s="32"/>
      <c r="BD82" s="32"/>
      <c r="BE82" s="32"/>
      <c r="BF82" s="32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31"/>
      <c r="M83" s="31"/>
      <c r="N83" s="31"/>
      <c r="O83" s="31"/>
      <c r="P83" s="31"/>
      <c r="Q83" s="32"/>
      <c r="R83" s="32"/>
      <c r="S83" s="32"/>
      <c r="T83" s="32"/>
      <c r="U83" s="32"/>
      <c r="V83" s="31"/>
      <c r="W83" s="28"/>
      <c r="X83" s="34"/>
      <c r="Y83" s="32"/>
      <c r="Z83" s="32"/>
      <c r="AA83" s="28"/>
      <c r="AB83" s="32"/>
      <c r="AC83" s="28"/>
      <c r="AD83" s="31"/>
      <c r="AE83" s="36"/>
      <c r="AF83" s="31"/>
      <c r="AG83" s="69"/>
      <c r="AH83" s="38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70"/>
      <c r="AX83" s="32"/>
      <c r="AY83" s="32"/>
      <c r="AZ83" s="32"/>
      <c r="BA83" s="32"/>
      <c r="BB83" s="32"/>
      <c r="BC83" s="32"/>
      <c r="BD83" s="32"/>
      <c r="BE83" s="32"/>
      <c r="BF83" s="32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31"/>
      <c r="M84" s="31"/>
      <c r="N84" s="31"/>
      <c r="O84" s="31"/>
      <c r="P84" s="31"/>
      <c r="Q84" s="32"/>
      <c r="R84" s="32"/>
      <c r="S84" s="32"/>
      <c r="T84" s="32"/>
      <c r="U84" s="32"/>
      <c r="V84" s="31"/>
      <c r="W84" s="28"/>
      <c r="X84" s="34"/>
      <c r="Y84" s="32"/>
      <c r="Z84" s="32"/>
      <c r="AA84" s="28"/>
      <c r="AB84" s="32"/>
      <c r="AC84" s="28"/>
      <c r="AD84" s="31"/>
      <c r="AE84" s="36"/>
      <c r="AF84" s="31"/>
      <c r="AG84" s="69"/>
      <c r="AH84" s="38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70"/>
      <c r="AX84" s="32"/>
      <c r="AY84" s="32"/>
      <c r="AZ84" s="32"/>
      <c r="BA84" s="32"/>
      <c r="BB84" s="32"/>
      <c r="BC84" s="32"/>
      <c r="BD84" s="32"/>
      <c r="BE84" s="32"/>
      <c r="BF84" s="32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31"/>
      <c r="M85" s="31"/>
      <c r="N85" s="31"/>
      <c r="O85" s="31"/>
      <c r="P85" s="31"/>
      <c r="Q85" s="32"/>
      <c r="R85" s="32"/>
      <c r="S85" s="32"/>
      <c r="T85" s="32"/>
      <c r="U85" s="32"/>
      <c r="V85" s="31"/>
      <c r="W85" s="28"/>
      <c r="X85" s="34"/>
      <c r="Y85" s="32"/>
      <c r="Z85" s="32"/>
      <c r="AA85" s="28"/>
      <c r="AB85" s="32"/>
      <c r="AC85" s="28"/>
      <c r="AD85" s="31"/>
      <c r="AE85" s="36"/>
      <c r="AF85" s="31"/>
      <c r="AG85" s="69"/>
      <c r="AH85" s="38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70"/>
      <c r="AX85" s="32"/>
      <c r="AY85" s="32"/>
      <c r="AZ85" s="32"/>
      <c r="BA85" s="32"/>
      <c r="BB85" s="32"/>
      <c r="BC85" s="32"/>
      <c r="BD85" s="32"/>
      <c r="BE85" s="32"/>
      <c r="BF85" s="32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31"/>
      <c r="M86" s="31"/>
      <c r="N86" s="31"/>
      <c r="O86" s="31"/>
      <c r="P86" s="31"/>
      <c r="Q86" s="32"/>
      <c r="R86" s="32"/>
      <c r="S86" s="32"/>
      <c r="T86" s="32"/>
      <c r="U86" s="32"/>
      <c r="V86" s="31"/>
      <c r="W86" s="28"/>
      <c r="X86" s="34"/>
      <c r="Y86" s="32"/>
      <c r="Z86" s="32"/>
      <c r="AA86" s="28"/>
      <c r="AB86" s="32"/>
      <c r="AC86" s="28"/>
      <c r="AD86" s="31"/>
      <c r="AE86" s="36"/>
      <c r="AF86" s="31"/>
      <c r="AG86" s="69"/>
      <c r="AH86" s="38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70"/>
      <c r="AX86" s="32"/>
      <c r="AY86" s="32"/>
      <c r="AZ86" s="32"/>
      <c r="BA86" s="32"/>
      <c r="BB86" s="32"/>
      <c r="BC86" s="32"/>
      <c r="BD86" s="32"/>
      <c r="BE86" s="32"/>
      <c r="BF86" s="32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31"/>
      <c r="M87" s="31"/>
      <c r="N87" s="31"/>
      <c r="O87" s="31"/>
      <c r="P87" s="31"/>
      <c r="Q87" s="32"/>
      <c r="R87" s="32"/>
      <c r="S87" s="32"/>
      <c r="T87" s="32"/>
      <c r="U87" s="32"/>
      <c r="V87" s="31"/>
      <c r="W87" s="28"/>
      <c r="X87" s="34"/>
      <c r="Y87" s="32"/>
      <c r="Z87" s="32"/>
      <c r="AA87" s="28"/>
      <c r="AB87" s="32"/>
      <c r="AC87" s="28"/>
      <c r="AD87" s="31"/>
      <c r="AE87" s="36"/>
      <c r="AF87" s="31"/>
      <c r="AG87" s="69"/>
      <c r="AH87" s="38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70"/>
      <c r="AX87" s="32"/>
      <c r="AY87" s="32"/>
      <c r="AZ87" s="32"/>
      <c r="BA87" s="32"/>
      <c r="BB87" s="32"/>
      <c r="BC87" s="32"/>
      <c r="BD87" s="32"/>
      <c r="BE87" s="32"/>
      <c r="BF87" s="32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31"/>
      <c r="M88" s="31"/>
      <c r="N88" s="31"/>
      <c r="O88" s="31"/>
      <c r="P88" s="31"/>
      <c r="Q88" s="32"/>
      <c r="R88" s="32"/>
      <c r="S88" s="32"/>
      <c r="T88" s="32"/>
      <c r="U88" s="32"/>
      <c r="V88" s="31"/>
      <c r="W88" s="28"/>
      <c r="X88" s="34"/>
      <c r="Y88" s="32"/>
      <c r="Z88" s="32"/>
      <c r="AA88" s="28"/>
      <c r="AB88" s="32"/>
      <c r="AC88" s="28"/>
      <c r="AD88" s="31"/>
      <c r="AE88" s="36"/>
      <c r="AF88" s="31"/>
      <c r="AG88" s="69"/>
      <c r="AH88" s="38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70"/>
      <c r="AX88" s="32"/>
      <c r="AY88" s="32"/>
      <c r="AZ88" s="32"/>
      <c r="BA88" s="32"/>
      <c r="BB88" s="32"/>
      <c r="BC88" s="32"/>
      <c r="BD88" s="32"/>
      <c r="BE88" s="32"/>
      <c r="BF88" s="32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31"/>
      <c r="M89" s="31"/>
      <c r="N89" s="31"/>
      <c r="O89" s="31"/>
      <c r="P89" s="31"/>
      <c r="Q89" s="32"/>
      <c r="R89" s="32"/>
      <c r="S89" s="32"/>
      <c r="T89" s="32"/>
      <c r="U89" s="32"/>
      <c r="V89" s="31"/>
      <c r="W89" s="28"/>
      <c r="X89" s="34"/>
      <c r="Y89" s="32"/>
      <c r="Z89" s="32"/>
      <c r="AA89" s="28"/>
      <c r="AB89" s="32"/>
      <c r="AC89" s="28"/>
      <c r="AD89" s="31"/>
      <c r="AE89" s="36"/>
      <c r="AF89" s="31"/>
      <c r="AG89" s="69"/>
      <c r="AH89" s="38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70"/>
      <c r="AX89" s="32"/>
      <c r="AY89" s="32"/>
      <c r="AZ89" s="32"/>
      <c r="BA89" s="32"/>
      <c r="BB89" s="32"/>
      <c r="BC89" s="32"/>
      <c r="BD89" s="32"/>
      <c r="BE89" s="32"/>
      <c r="BF89" s="32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31"/>
      <c r="M90" s="31"/>
      <c r="N90" s="31"/>
      <c r="O90" s="31"/>
      <c r="P90" s="31"/>
      <c r="Q90" s="32"/>
      <c r="R90" s="32"/>
      <c r="S90" s="32"/>
      <c r="T90" s="32"/>
      <c r="U90" s="32"/>
      <c r="V90" s="31"/>
      <c r="W90" s="28"/>
      <c r="X90" s="34"/>
      <c r="Y90" s="32"/>
      <c r="Z90" s="32"/>
      <c r="AA90" s="28"/>
      <c r="AB90" s="32"/>
      <c r="AC90" s="28"/>
      <c r="AD90" s="31"/>
      <c r="AE90" s="36"/>
      <c r="AF90" s="31"/>
      <c r="AG90" s="69"/>
      <c r="AH90" s="38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70"/>
      <c r="AX90" s="32"/>
      <c r="AY90" s="32"/>
      <c r="AZ90" s="32"/>
      <c r="BA90" s="32"/>
      <c r="BB90" s="32"/>
      <c r="BC90" s="32"/>
      <c r="BD90" s="32"/>
      <c r="BE90" s="32"/>
      <c r="BF90" s="32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31"/>
      <c r="M91" s="31"/>
      <c r="N91" s="31"/>
      <c r="O91" s="31"/>
      <c r="P91" s="31"/>
      <c r="Q91" s="32"/>
      <c r="R91" s="32"/>
      <c r="S91" s="32"/>
      <c r="T91" s="32"/>
      <c r="U91" s="32"/>
      <c r="V91" s="31"/>
      <c r="W91" s="28"/>
      <c r="X91" s="34"/>
      <c r="Y91" s="32"/>
      <c r="Z91" s="32"/>
      <c r="AA91" s="28"/>
      <c r="AB91" s="32"/>
      <c r="AC91" s="28"/>
      <c r="AD91" s="31"/>
      <c r="AE91" s="36"/>
      <c r="AF91" s="31"/>
      <c r="AG91" s="69"/>
      <c r="AH91" s="38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70"/>
      <c r="AX91" s="32"/>
      <c r="AY91" s="32"/>
      <c r="AZ91" s="32"/>
      <c r="BA91" s="32"/>
      <c r="BB91" s="32"/>
      <c r="BC91" s="32"/>
      <c r="BD91" s="32"/>
      <c r="BE91" s="32"/>
      <c r="BF91" s="32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31"/>
      <c r="M92" s="31"/>
      <c r="N92" s="31"/>
      <c r="O92" s="31"/>
      <c r="P92" s="31"/>
      <c r="Q92" s="32"/>
      <c r="R92" s="32"/>
      <c r="S92" s="32"/>
      <c r="T92" s="32"/>
      <c r="U92" s="32"/>
      <c r="V92" s="31"/>
      <c r="W92" s="28"/>
      <c r="X92" s="34"/>
      <c r="Y92" s="32"/>
      <c r="Z92" s="32"/>
      <c r="AA92" s="28"/>
      <c r="AB92" s="32"/>
      <c r="AC92" s="28"/>
      <c r="AD92" s="31"/>
      <c r="AE92" s="36"/>
      <c r="AF92" s="31"/>
      <c r="AG92" s="69"/>
      <c r="AH92" s="38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70"/>
      <c r="AX92" s="32"/>
      <c r="AY92" s="32"/>
      <c r="AZ92" s="32"/>
      <c r="BA92" s="32"/>
      <c r="BB92" s="32"/>
      <c r="BC92" s="32"/>
      <c r="BD92" s="32"/>
      <c r="BE92" s="32"/>
      <c r="BF92" s="32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31"/>
      <c r="M93" s="31"/>
      <c r="N93" s="31"/>
      <c r="O93" s="31"/>
      <c r="P93" s="31"/>
      <c r="Q93" s="32"/>
      <c r="R93" s="32"/>
      <c r="S93" s="32"/>
      <c r="T93" s="32"/>
      <c r="U93" s="32"/>
      <c r="V93" s="31"/>
      <c r="W93" s="28"/>
      <c r="X93" s="34"/>
      <c r="Y93" s="32"/>
      <c r="Z93" s="32"/>
      <c r="AA93" s="28"/>
      <c r="AB93" s="32"/>
      <c r="AC93" s="28"/>
      <c r="AD93" s="31"/>
      <c r="AE93" s="36"/>
      <c r="AF93" s="31"/>
      <c r="AG93" s="69"/>
      <c r="AH93" s="38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70"/>
      <c r="AX93" s="32"/>
      <c r="AY93" s="32"/>
      <c r="AZ93" s="32"/>
      <c r="BA93" s="32"/>
      <c r="BB93" s="32"/>
      <c r="BC93" s="32"/>
      <c r="BD93" s="32"/>
      <c r="BE93" s="32"/>
      <c r="BF93" s="32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31"/>
      <c r="M94" s="31"/>
      <c r="N94" s="31"/>
      <c r="O94" s="31"/>
      <c r="P94" s="31"/>
      <c r="Q94" s="32"/>
      <c r="R94" s="32"/>
      <c r="S94" s="32"/>
      <c r="T94" s="32"/>
      <c r="U94" s="32"/>
      <c r="V94" s="31"/>
      <c r="W94" s="28"/>
      <c r="X94" s="34"/>
      <c r="Y94" s="32"/>
      <c r="Z94" s="32"/>
      <c r="AA94" s="28"/>
      <c r="AB94" s="32"/>
      <c r="AC94" s="28"/>
      <c r="AD94" s="31"/>
      <c r="AE94" s="36"/>
      <c r="AF94" s="31"/>
      <c r="AG94" s="69"/>
      <c r="AH94" s="38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70"/>
      <c r="AX94" s="32"/>
      <c r="AY94" s="32"/>
      <c r="AZ94" s="32"/>
      <c r="BA94" s="32"/>
      <c r="BB94" s="32"/>
      <c r="BC94" s="32"/>
      <c r="BD94" s="32"/>
      <c r="BE94" s="32"/>
      <c r="BF94" s="32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31"/>
      <c r="M95" s="31"/>
      <c r="N95" s="31"/>
      <c r="O95" s="31"/>
      <c r="P95" s="31"/>
      <c r="Q95" s="32"/>
      <c r="R95" s="32"/>
      <c r="S95" s="32"/>
      <c r="T95" s="32"/>
      <c r="U95" s="32"/>
      <c r="V95" s="31"/>
      <c r="W95" s="28"/>
      <c r="X95" s="34"/>
      <c r="Y95" s="32"/>
      <c r="Z95" s="32"/>
      <c r="AA95" s="28"/>
      <c r="AB95" s="32"/>
      <c r="AC95" s="28"/>
      <c r="AD95" s="31"/>
      <c r="AE95" s="36"/>
      <c r="AF95" s="31"/>
      <c r="AG95" s="69"/>
      <c r="AH95" s="38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70"/>
      <c r="AX95" s="32"/>
      <c r="AY95" s="32"/>
      <c r="AZ95" s="32"/>
      <c r="BA95" s="32"/>
      <c r="BB95" s="32"/>
      <c r="BC95" s="32"/>
      <c r="BD95" s="32"/>
      <c r="BE95" s="32"/>
      <c r="BF95" s="32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31"/>
      <c r="M96" s="31"/>
      <c r="N96" s="31"/>
      <c r="O96" s="31"/>
      <c r="P96" s="31"/>
      <c r="Q96" s="32"/>
      <c r="R96" s="32"/>
      <c r="S96" s="32"/>
      <c r="T96" s="32"/>
      <c r="U96" s="32"/>
      <c r="V96" s="31"/>
      <c r="W96" s="28"/>
      <c r="X96" s="34"/>
      <c r="Y96" s="32"/>
      <c r="Z96" s="32"/>
      <c r="AA96" s="28"/>
      <c r="AB96" s="32"/>
      <c r="AC96" s="28"/>
      <c r="AD96" s="31"/>
      <c r="AE96" s="36"/>
      <c r="AF96" s="31"/>
      <c r="AG96" s="69"/>
      <c r="AH96" s="38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70"/>
      <c r="AX96" s="32"/>
      <c r="AY96" s="32"/>
      <c r="AZ96" s="32"/>
      <c r="BA96" s="32"/>
      <c r="BB96" s="32"/>
      <c r="BC96" s="32"/>
      <c r="BD96" s="32"/>
      <c r="BE96" s="32"/>
      <c r="BF96" s="32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31"/>
      <c r="M97" s="31"/>
      <c r="N97" s="31"/>
      <c r="O97" s="31"/>
      <c r="P97" s="31"/>
      <c r="Q97" s="32"/>
      <c r="R97" s="32"/>
      <c r="S97" s="32"/>
      <c r="T97" s="32"/>
      <c r="U97" s="32"/>
      <c r="V97" s="31"/>
      <c r="W97" s="28"/>
      <c r="X97" s="34"/>
      <c r="Y97" s="32"/>
      <c r="Z97" s="32"/>
      <c r="AA97" s="28"/>
      <c r="AB97" s="32"/>
      <c r="AC97" s="28"/>
      <c r="AD97" s="31"/>
      <c r="AE97" s="36"/>
      <c r="AF97" s="31"/>
      <c r="AG97" s="69"/>
      <c r="AH97" s="38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70"/>
      <c r="AX97" s="32"/>
      <c r="AY97" s="32"/>
      <c r="AZ97" s="32"/>
      <c r="BA97" s="32"/>
      <c r="BB97" s="32"/>
      <c r="BC97" s="32"/>
      <c r="BD97" s="32"/>
      <c r="BE97" s="32"/>
      <c r="BF97" s="32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31"/>
      <c r="M98" s="31"/>
      <c r="N98" s="31"/>
      <c r="O98" s="31"/>
      <c r="P98" s="31"/>
      <c r="Q98" s="32"/>
      <c r="R98" s="32"/>
      <c r="S98" s="32"/>
      <c r="T98" s="32"/>
      <c r="U98" s="32"/>
      <c r="V98" s="31"/>
      <c r="W98" s="28"/>
      <c r="X98" s="34"/>
      <c r="Y98" s="32"/>
      <c r="Z98" s="32"/>
      <c r="AA98" s="28"/>
      <c r="AB98" s="32"/>
      <c r="AC98" s="28"/>
      <c r="AD98" s="31"/>
      <c r="AE98" s="36"/>
      <c r="AF98" s="31"/>
      <c r="AG98" s="69"/>
      <c r="AH98" s="38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70"/>
      <c r="AX98" s="32"/>
      <c r="AY98" s="32"/>
      <c r="AZ98" s="32"/>
      <c r="BA98" s="32"/>
      <c r="BB98" s="32"/>
      <c r="BC98" s="32"/>
      <c r="BD98" s="32"/>
      <c r="BE98" s="32"/>
      <c r="BF98" s="32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31"/>
      <c r="M99" s="31"/>
      <c r="N99" s="31"/>
      <c r="O99" s="31"/>
      <c r="P99" s="31"/>
      <c r="Q99" s="32"/>
      <c r="R99" s="32"/>
      <c r="S99" s="32"/>
      <c r="T99" s="32"/>
      <c r="U99" s="32"/>
      <c r="V99" s="31"/>
      <c r="W99" s="28"/>
      <c r="X99" s="34"/>
      <c r="Y99" s="32"/>
      <c r="Z99" s="32"/>
      <c r="AA99" s="28"/>
      <c r="AB99" s="32"/>
      <c r="AC99" s="28"/>
      <c r="AD99" s="31"/>
      <c r="AE99" s="36"/>
      <c r="AF99" s="31"/>
      <c r="AG99" s="69"/>
      <c r="AH99" s="38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70"/>
      <c r="AX99" s="32"/>
      <c r="AY99" s="32"/>
      <c r="AZ99" s="32"/>
      <c r="BA99" s="32"/>
      <c r="BB99" s="32"/>
      <c r="BC99" s="32"/>
      <c r="BD99" s="32"/>
      <c r="BE99" s="32"/>
      <c r="BF99" s="32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31"/>
      <c r="M100" s="31"/>
      <c r="N100" s="31"/>
      <c r="O100" s="31"/>
      <c r="P100" s="31"/>
      <c r="Q100" s="32"/>
      <c r="R100" s="32"/>
      <c r="S100" s="32"/>
      <c r="T100" s="32"/>
      <c r="U100" s="32"/>
      <c r="V100" s="31"/>
      <c r="W100" s="28"/>
      <c r="X100" s="34"/>
      <c r="Y100" s="32"/>
      <c r="Z100" s="32"/>
      <c r="AA100" s="28"/>
      <c r="AB100" s="32"/>
      <c r="AC100" s="28"/>
      <c r="AD100" s="31"/>
      <c r="AE100" s="36"/>
      <c r="AF100" s="31"/>
      <c r="AG100" s="69"/>
      <c r="AH100" s="38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70"/>
      <c r="AX100" s="32"/>
      <c r="AY100" s="32"/>
      <c r="AZ100" s="32"/>
      <c r="BA100" s="32"/>
      <c r="BB100" s="32"/>
      <c r="BC100" s="32"/>
      <c r="BD100" s="32"/>
      <c r="BE100" s="32"/>
      <c r="BF100" s="32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31"/>
      <c r="M101" s="31"/>
      <c r="N101" s="31"/>
      <c r="O101" s="31"/>
      <c r="P101" s="31"/>
      <c r="Q101" s="32"/>
      <c r="R101" s="32"/>
      <c r="S101" s="32"/>
      <c r="T101" s="32"/>
      <c r="U101" s="32"/>
      <c r="V101" s="31"/>
      <c r="W101" s="28"/>
      <c r="X101" s="34"/>
      <c r="Y101" s="32"/>
      <c r="Z101" s="32"/>
      <c r="AA101" s="28"/>
      <c r="AB101" s="32"/>
      <c r="AC101" s="28"/>
      <c r="AD101" s="31"/>
      <c r="AE101" s="36"/>
      <c r="AF101" s="31"/>
      <c r="AG101" s="69"/>
      <c r="AH101" s="38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70"/>
      <c r="AX101" s="32"/>
      <c r="AY101" s="32"/>
      <c r="AZ101" s="32"/>
      <c r="BA101" s="32"/>
      <c r="BB101" s="32"/>
      <c r="BC101" s="32"/>
      <c r="BD101" s="32"/>
      <c r="BE101" s="32"/>
      <c r="BF101" s="32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31"/>
      <c r="M102" s="31"/>
      <c r="N102" s="31"/>
      <c r="O102" s="31"/>
      <c r="P102" s="31"/>
      <c r="Q102" s="32"/>
      <c r="R102" s="32"/>
      <c r="S102" s="32"/>
      <c r="T102" s="32"/>
      <c r="U102" s="32"/>
      <c r="V102" s="31"/>
      <c r="W102" s="28"/>
      <c r="X102" s="34"/>
      <c r="Y102" s="32"/>
      <c r="Z102" s="32"/>
      <c r="AA102" s="28"/>
      <c r="AB102" s="32"/>
      <c r="AC102" s="28"/>
      <c r="AD102" s="31"/>
      <c r="AE102" s="36"/>
      <c r="AF102" s="31"/>
      <c r="AG102" s="69"/>
      <c r="AH102" s="38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70"/>
      <c r="AX102" s="32"/>
      <c r="AY102" s="32"/>
      <c r="AZ102" s="32"/>
      <c r="BA102" s="32"/>
      <c r="BB102" s="32"/>
      <c r="BC102" s="32"/>
      <c r="BD102" s="32"/>
      <c r="BE102" s="32"/>
      <c r="BF102" s="32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31"/>
      <c r="M103" s="31"/>
      <c r="N103" s="31"/>
      <c r="O103" s="31"/>
      <c r="P103" s="31"/>
      <c r="Q103" s="32"/>
      <c r="R103" s="32"/>
      <c r="S103" s="32"/>
      <c r="T103" s="32"/>
      <c r="U103" s="32"/>
      <c r="V103" s="31"/>
      <c r="W103" s="28"/>
      <c r="X103" s="34"/>
      <c r="Y103" s="32"/>
      <c r="Z103" s="32"/>
      <c r="AA103" s="28"/>
      <c r="AB103" s="32"/>
      <c r="AC103" s="28"/>
      <c r="AD103" s="31"/>
      <c r="AE103" s="36"/>
      <c r="AF103" s="31"/>
      <c r="AG103" s="69"/>
      <c r="AH103" s="38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70"/>
      <c r="AX103" s="32"/>
      <c r="AY103" s="32"/>
      <c r="AZ103" s="32"/>
      <c r="BA103" s="32"/>
      <c r="BB103" s="32"/>
      <c r="BC103" s="32"/>
      <c r="BD103" s="32"/>
      <c r="BE103" s="32"/>
      <c r="BF103" s="32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31"/>
      <c r="M104" s="31"/>
      <c r="N104" s="31"/>
      <c r="O104" s="31"/>
      <c r="P104" s="31"/>
      <c r="Q104" s="32"/>
      <c r="R104" s="32"/>
      <c r="S104" s="32"/>
      <c r="T104" s="32"/>
      <c r="U104" s="32"/>
      <c r="V104" s="31"/>
      <c r="W104" s="28"/>
      <c r="X104" s="34"/>
      <c r="Y104" s="32"/>
      <c r="Z104" s="32"/>
      <c r="AA104" s="28"/>
      <c r="AB104" s="32"/>
      <c r="AC104" s="28"/>
      <c r="AD104" s="31"/>
      <c r="AE104" s="36"/>
      <c r="AF104" s="31"/>
      <c r="AG104" s="69"/>
      <c r="AH104" s="38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70"/>
      <c r="AX104" s="32"/>
      <c r="AY104" s="32"/>
      <c r="AZ104" s="32"/>
      <c r="BA104" s="32"/>
      <c r="BB104" s="32"/>
      <c r="BC104" s="32"/>
      <c r="BD104" s="32"/>
      <c r="BE104" s="32"/>
      <c r="BF104" s="32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31"/>
      <c r="M105" s="31"/>
      <c r="N105" s="31"/>
      <c r="O105" s="31"/>
      <c r="P105" s="31"/>
      <c r="Q105" s="32"/>
      <c r="R105" s="32"/>
      <c r="S105" s="32"/>
      <c r="T105" s="32"/>
      <c r="U105" s="32"/>
      <c r="V105" s="31"/>
      <c r="W105" s="28"/>
      <c r="X105" s="34"/>
      <c r="Y105" s="32"/>
      <c r="Z105" s="32"/>
      <c r="AA105" s="28"/>
      <c r="AB105" s="32"/>
      <c r="AC105" s="28"/>
      <c r="AD105" s="31"/>
      <c r="AE105" s="36"/>
      <c r="AF105" s="31"/>
      <c r="AG105" s="69"/>
      <c r="AH105" s="38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70"/>
      <c r="AX105" s="32"/>
      <c r="AY105" s="32"/>
      <c r="AZ105" s="32"/>
      <c r="BA105" s="32"/>
      <c r="BB105" s="32"/>
      <c r="BC105" s="32"/>
      <c r="BD105" s="32"/>
      <c r="BE105" s="32"/>
      <c r="BF105" s="32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31"/>
      <c r="M106" s="31"/>
      <c r="N106" s="31"/>
      <c r="O106" s="31"/>
      <c r="P106" s="31"/>
      <c r="Q106" s="32"/>
      <c r="R106" s="32"/>
      <c r="S106" s="32"/>
      <c r="T106" s="32"/>
      <c r="U106" s="32"/>
      <c r="V106" s="31"/>
      <c r="W106" s="28"/>
      <c r="X106" s="34"/>
      <c r="Y106" s="32"/>
      <c r="Z106" s="32"/>
      <c r="AA106" s="28"/>
      <c r="AB106" s="32"/>
      <c r="AC106" s="28"/>
      <c r="AD106" s="31"/>
      <c r="AE106" s="36"/>
      <c r="AF106" s="31"/>
      <c r="AG106" s="69"/>
      <c r="AH106" s="38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70"/>
      <c r="AX106" s="32"/>
      <c r="AY106" s="32"/>
      <c r="AZ106" s="32"/>
      <c r="BA106" s="32"/>
      <c r="BB106" s="32"/>
      <c r="BC106" s="32"/>
      <c r="BD106" s="32"/>
      <c r="BE106" s="32"/>
      <c r="BF106" s="32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31"/>
      <c r="M107" s="31"/>
      <c r="N107" s="31"/>
      <c r="O107" s="31"/>
      <c r="P107" s="31"/>
      <c r="Q107" s="32"/>
      <c r="R107" s="32"/>
      <c r="S107" s="32"/>
      <c r="T107" s="32"/>
      <c r="U107" s="32"/>
      <c r="V107" s="31"/>
      <c r="W107" s="28"/>
      <c r="X107" s="34"/>
      <c r="Y107" s="32"/>
      <c r="Z107" s="32"/>
      <c r="AA107" s="28"/>
      <c r="AB107" s="32"/>
      <c r="AC107" s="28"/>
      <c r="AD107" s="31"/>
      <c r="AE107" s="36"/>
      <c r="AF107" s="31"/>
      <c r="AG107" s="69"/>
      <c r="AH107" s="38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70"/>
      <c r="AX107" s="32"/>
      <c r="AY107" s="32"/>
      <c r="AZ107" s="32"/>
      <c r="BA107" s="32"/>
      <c r="BB107" s="32"/>
      <c r="BC107" s="32"/>
      <c r="BD107" s="32"/>
      <c r="BE107" s="32"/>
      <c r="BF107" s="32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31"/>
      <c r="M108" s="31"/>
      <c r="N108" s="31"/>
      <c r="O108" s="31"/>
      <c r="P108" s="31"/>
      <c r="Q108" s="32"/>
      <c r="R108" s="32"/>
      <c r="S108" s="32"/>
      <c r="T108" s="32"/>
      <c r="U108" s="32"/>
      <c r="V108" s="31"/>
      <c r="W108" s="28"/>
      <c r="X108" s="34"/>
      <c r="Y108" s="32"/>
      <c r="Z108" s="32"/>
      <c r="AA108" s="28"/>
      <c r="AB108" s="32"/>
      <c r="AC108" s="28"/>
      <c r="AD108" s="31"/>
      <c r="AE108" s="36"/>
      <c r="AF108" s="31"/>
      <c r="AG108" s="69"/>
      <c r="AH108" s="38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70"/>
      <c r="AX108" s="32"/>
      <c r="AY108" s="32"/>
      <c r="AZ108" s="32"/>
      <c r="BA108" s="32"/>
      <c r="BB108" s="32"/>
      <c r="BC108" s="32"/>
      <c r="BD108" s="32"/>
      <c r="BE108" s="32"/>
      <c r="BF108" s="32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31"/>
      <c r="M109" s="31"/>
      <c r="N109" s="31"/>
      <c r="O109" s="31"/>
      <c r="P109" s="31"/>
      <c r="Q109" s="32"/>
      <c r="R109" s="32"/>
      <c r="S109" s="32"/>
      <c r="T109" s="32"/>
      <c r="U109" s="32"/>
      <c r="V109" s="31"/>
      <c r="W109" s="28"/>
      <c r="X109" s="34"/>
      <c r="Y109" s="32"/>
      <c r="Z109" s="32"/>
      <c r="AA109" s="28"/>
      <c r="AB109" s="32"/>
      <c r="AC109" s="28"/>
      <c r="AD109" s="31"/>
      <c r="AE109" s="36"/>
      <c r="AF109" s="31"/>
      <c r="AG109" s="69"/>
      <c r="AH109" s="38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70"/>
      <c r="AX109" s="32"/>
      <c r="AY109" s="32"/>
      <c r="AZ109" s="32"/>
      <c r="BA109" s="32"/>
      <c r="BB109" s="32"/>
      <c r="BC109" s="32"/>
      <c r="BD109" s="32"/>
      <c r="BE109" s="32"/>
      <c r="BF109" s="32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31"/>
      <c r="M110" s="31"/>
      <c r="N110" s="31"/>
      <c r="O110" s="31"/>
      <c r="P110" s="31"/>
      <c r="Q110" s="32"/>
      <c r="R110" s="32"/>
      <c r="S110" s="32"/>
      <c r="T110" s="32"/>
      <c r="U110" s="32"/>
      <c r="V110" s="31"/>
      <c r="W110" s="28"/>
      <c r="X110" s="34"/>
      <c r="Y110" s="32"/>
      <c r="Z110" s="32"/>
      <c r="AA110" s="28"/>
      <c r="AB110" s="32"/>
      <c r="AC110" s="28"/>
      <c r="AD110" s="31"/>
      <c r="AE110" s="36"/>
      <c r="AF110" s="31"/>
      <c r="AG110" s="69"/>
      <c r="AH110" s="38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70"/>
      <c r="AX110" s="32"/>
      <c r="AY110" s="32"/>
      <c r="AZ110" s="32"/>
      <c r="BA110" s="32"/>
      <c r="BB110" s="32"/>
      <c r="BC110" s="32"/>
      <c r="BD110" s="32"/>
      <c r="BE110" s="32"/>
      <c r="BF110" s="32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31"/>
      <c r="M111" s="31"/>
      <c r="N111" s="31"/>
      <c r="O111" s="31"/>
      <c r="P111" s="31"/>
      <c r="Q111" s="32"/>
      <c r="R111" s="32"/>
      <c r="S111" s="32"/>
      <c r="T111" s="32"/>
      <c r="U111" s="32"/>
      <c r="V111" s="31"/>
      <c r="W111" s="28"/>
      <c r="X111" s="34"/>
      <c r="Y111" s="32"/>
      <c r="Z111" s="32"/>
      <c r="AA111" s="28"/>
      <c r="AB111" s="32"/>
      <c r="AC111" s="28"/>
      <c r="AD111" s="31"/>
      <c r="AE111" s="36"/>
      <c r="AF111" s="31"/>
      <c r="AG111" s="69"/>
      <c r="AH111" s="38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70"/>
      <c r="AX111" s="32"/>
      <c r="AY111" s="32"/>
      <c r="AZ111" s="32"/>
      <c r="BA111" s="32"/>
      <c r="BB111" s="32"/>
      <c r="BC111" s="32"/>
      <c r="BD111" s="32"/>
      <c r="BE111" s="32"/>
      <c r="BF111" s="32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31"/>
      <c r="M112" s="31"/>
      <c r="N112" s="31"/>
      <c r="O112" s="31"/>
      <c r="P112" s="31"/>
      <c r="Q112" s="32"/>
      <c r="R112" s="32"/>
      <c r="S112" s="32"/>
      <c r="T112" s="32"/>
      <c r="U112" s="32"/>
      <c r="V112" s="31"/>
      <c r="W112" s="28"/>
      <c r="X112" s="34"/>
      <c r="Y112" s="32"/>
      <c r="Z112" s="32"/>
      <c r="AA112" s="28"/>
      <c r="AB112" s="32"/>
      <c r="AC112" s="28"/>
      <c r="AD112" s="31"/>
      <c r="AE112" s="36"/>
      <c r="AF112" s="31"/>
      <c r="AG112" s="69"/>
      <c r="AH112" s="38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70"/>
      <c r="AX112" s="32"/>
      <c r="AY112" s="32"/>
      <c r="AZ112" s="32"/>
      <c r="BA112" s="32"/>
      <c r="BB112" s="32"/>
      <c r="BC112" s="32"/>
      <c r="BD112" s="32"/>
      <c r="BE112" s="32"/>
      <c r="BF112" s="32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31"/>
      <c r="M113" s="31"/>
      <c r="N113" s="31"/>
      <c r="O113" s="31"/>
      <c r="P113" s="31"/>
      <c r="Q113" s="32"/>
      <c r="R113" s="32"/>
      <c r="S113" s="32"/>
      <c r="T113" s="32"/>
      <c r="U113" s="32"/>
      <c r="V113" s="31"/>
      <c r="W113" s="28"/>
      <c r="X113" s="34"/>
      <c r="Y113" s="32"/>
      <c r="Z113" s="32"/>
      <c r="AA113" s="28"/>
      <c r="AB113" s="32"/>
      <c r="AC113" s="28"/>
      <c r="AD113" s="31"/>
      <c r="AE113" s="36"/>
      <c r="AF113" s="31"/>
      <c r="AG113" s="69"/>
      <c r="AH113" s="38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70"/>
      <c r="AX113" s="32"/>
      <c r="AY113" s="32"/>
      <c r="AZ113" s="32"/>
      <c r="BA113" s="32"/>
      <c r="BB113" s="32"/>
      <c r="BC113" s="32"/>
      <c r="BD113" s="32"/>
      <c r="BE113" s="32"/>
      <c r="BF113" s="32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31"/>
      <c r="M114" s="31"/>
      <c r="N114" s="31"/>
      <c r="O114" s="31"/>
      <c r="P114" s="31"/>
      <c r="Q114" s="32"/>
      <c r="R114" s="32"/>
      <c r="S114" s="32"/>
      <c r="T114" s="32"/>
      <c r="U114" s="32"/>
      <c r="V114" s="31"/>
      <c r="W114" s="28"/>
      <c r="X114" s="34"/>
      <c r="Y114" s="32"/>
      <c r="Z114" s="32"/>
      <c r="AA114" s="28"/>
      <c r="AB114" s="32"/>
      <c r="AC114" s="28"/>
      <c r="AD114" s="31"/>
      <c r="AE114" s="36"/>
      <c r="AF114" s="31"/>
      <c r="AG114" s="69"/>
      <c r="AH114" s="38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70"/>
      <c r="AX114" s="32"/>
      <c r="AY114" s="32"/>
      <c r="AZ114" s="32"/>
      <c r="BA114" s="32"/>
      <c r="BB114" s="32"/>
      <c r="BC114" s="32"/>
      <c r="BD114" s="32"/>
      <c r="BE114" s="32"/>
      <c r="BF114" s="32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31"/>
      <c r="M115" s="31"/>
      <c r="N115" s="31"/>
      <c r="O115" s="31"/>
      <c r="P115" s="31"/>
      <c r="Q115" s="32"/>
      <c r="R115" s="32"/>
      <c r="S115" s="32"/>
      <c r="T115" s="32"/>
      <c r="U115" s="32"/>
      <c r="V115" s="31"/>
      <c r="W115" s="28"/>
      <c r="X115" s="34"/>
      <c r="Y115" s="32"/>
      <c r="Z115" s="32"/>
      <c r="AA115" s="28"/>
      <c r="AB115" s="32"/>
      <c r="AC115" s="28"/>
      <c r="AD115" s="31"/>
      <c r="AE115" s="36"/>
      <c r="AF115" s="31"/>
      <c r="AG115" s="69"/>
      <c r="AH115" s="38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70"/>
      <c r="AX115" s="32"/>
      <c r="AY115" s="32"/>
      <c r="AZ115" s="32"/>
      <c r="BA115" s="32"/>
      <c r="BB115" s="32"/>
      <c r="BC115" s="32"/>
      <c r="BD115" s="32"/>
      <c r="BE115" s="32"/>
      <c r="BF115" s="32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31"/>
      <c r="M116" s="31"/>
      <c r="N116" s="31"/>
      <c r="O116" s="31"/>
      <c r="P116" s="31"/>
      <c r="Q116" s="32"/>
      <c r="R116" s="32"/>
      <c r="S116" s="32"/>
      <c r="T116" s="32"/>
      <c r="U116" s="32"/>
      <c r="V116" s="31"/>
      <c r="W116" s="28"/>
      <c r="X116" s="34"/>
      <c r="Y116" s="32"/>
      <c r="Z116" s="32"/>
      <c r="AA116" s="28"/>
      <c r="AB116" s="32"/>
      <c r="AC116" s="28"/>
      <c r="AD116" s="31"/>
      <c r="AE116" s="36"/>
      <c r="AF116" s="31"/>
      <c r="AG116" s="69"/>
      <c r="AH116" s="38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70"/>
      <c r="AX116" s="32"/>
      <c r="AY116" s="32"/>
      <c r="AZ116" s="32"/>
      <c r="BA116" s="32"/>
      <c r="BB116" s="32"/>
      <c r="BC116" s="32"/>
      <c r="BD116" s="32"/>
      <c r="BE116" s="32"/>
      <c r="BF116" s="32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31"/>
      <c r="M117" s="31"/>
      <c r="N117" s="31"/>
      <c r="O117" s="31"/>
      <c r="P117" s="31"/>
      <c r="Q117" s="32"/>
      <c r="R117" s="32"/>
      <c r="S117" s="32"/>
      <c r="T117" s="32"/>
      <c r="U117" s="32"/>
      <c r="V117" s="31"/>
      <c r="W117" s="28"/>
      <c r="X117" s="34"/>
      <c r="Y117" s="32"/>
      <c r="Z117" s="32"/>
      <c r="AA117" s="28"/>
      <c r="AB117" s="32"/>
      <c r="AC117" s="28"/>
      <c r="AD117" s="31"/>
      <c r="AE117" s="36"/>
      <c r="AF117" s="31"/>
      <c r="AG117" s="69"/>
      <c r="AH117" s="38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70"/>
      <c r="AX117" s="32"/>
      <c r="AY117" s="32"/>
      <c r="AZ117" s="32"/>
      <c r="BA117" s="32"/>
      <c r="BB117" s="32"/>
      <c r="BC117" s="32"/>
      <c r="BD117" s="32"/>
      <c r="BE117" s="32"/>
      <c r="BF117" s="32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31"/>
      <c r="M118" s="31"/>
      <c r="N118" s="31"/>
      <c r="O118" s="31"/>
      <c r="P118" s="31"/>
      <c r="Q118" s="32"/>
      <c r="R118" s="32"/>
      <c r="S118" s="32"/>
      <c r="T118" s="32"/>
      <c r="U118" s="32"/>
      <c r="V118" s="31"/>
      <c r="W118" s="28"/>
      <c r="X118" s="34"/>
      <c r="Y118" s="32"/>
      <c r="Z118" s="32"/>
      <c r="AA118" s="28"/>
      <c r="AB118" s="32"/>
      <c r="AC118" s="28"/>
      <c r="AD118" s="31"/>
      <c r="AE118" s="36"/>
      <c r="AF118" s="31"/>
      <c r="AG118" s="69"/>
      <c r="AH118" s="38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70"/>
      <c r="AX118" s="32"/>
      <c r="AY118" s="32"/>
      <c r="AZ118" s="32"/>
      <c r="BA118" s="32"/>
      <c r="BB118" s="32"/>
      <c r="BC118" s="32"/>
      <c r="BD118" s="32"/>
      <c r="BE118" s="32"/>
      <c r="BF118" s="32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31"/>
      <c r="M119" s="31"/>
      <c r="N119" s="31"/>
      <c r="O119" s="31"/>
      <c r="P119" s="31"/>
      <c r="Q119" s="32"/>
      <c r="R119" s="32"/>
      <c r="S119" s="32"/>
      <c r="T119" s="32"/>
      <c r="U119" s="32"/>
      <c r="V119" s="31"/>
      <c r="W119" s="28"/>
      <c r="X119" s="34"/>
      <c r="Y119" s="32"/>
      <c r="Z119" s="32"/>
      <c r="AA119" s="28"/>
      <c r="AB119" s="32"/>
      <c r="AC119" s="28"/>
      <c r="AD119" s="31"/>
      <c r="AE119" s="36"/>
      <c r="AF119" s="31"/>
      <c r="AG119" s="69"/>
      <c r="AH119" s="38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70"/>
      <c r="AX119" s="32"/>
      <c r="AY119" s="32"/>
      <c r="AZ119" s="32"/>
      <c r="BA119" s="32"/>
      <c r="BB119" s="32"/>
      <c r="BC119" s="32"/>
      <c r="BD119" s="32"/>
      <c r="BE119" s="32"/>
      <c r="BF119" s="32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75"/>
    <col customWidth="1" min="4" max="4" width="23.5"/>
    <col customWidth="1" min="5" max="5" width="22.13"/>
  </cols>
  <sheetData>
    <row r="1">
      <c r="A1" s="15" t="s">
        <v>56</v>
      </c>
      <c r="B1" s="15" t="s">
        <v>57</v>
      </c>
      <c r="C1" s="15" t="s">
        <v>58</v>
      </c>
      <c r="D1" s="15" t="s">
        <v>59</v>
      </c>
      <c r="E1" s="15" t="s">
        <v>60</v>
      </c>
      <c r="F1" s="15" t="s">
        <v>18</v>
      </c>
      <c r="G1" s="15"/>
      <c r="H1" s="15" t="s">
        <v>5</v>
      </c>
      <c r="I1" s="50" t="s">
        <v>61</v>
      </c>
      <c r="J1" s="50" t="s">
        <v>61</v>
      </c>
      <c r="K1" s="15" t="s">
        <v>20</v>
      </c>
      <c r="L1" s="16" t="s">
        <v>62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72" t="s">
        <v>63</v>
      </c>
      <c r="B2" s="73" t="s">
        <v>64</v>
      </c>
      <c r="C2" s="73" t="s">
        <v>14</v>
      </c>
      <c r="D2" s="74" t="s">
        <v>52</v>
      </c>
      <c r="E2" s="73" t="s">
        <v>32</v>
      </c>
      <c r="F2" s="75" t="s">
        <v>65</v>
      </c>
      <c r="G2" s="76">
        <v>1.0</v>
      </c>
      <c r="H2" s="77">
        <v>1926.0</v>
      </c>
      <c r="I2" s="78" t="s">
        <v>66</v>
      </c>
      <c r="J2" s="79" t="s">
        <v>54</v>
      </c>
      <c r="K2" s="77" t="s">
        <v>67</v>
      </c>
      <c r="L2" s="75" t="s">
        <v>68</v>
      </c>
      <c r="M2" s="33" t="str">
        <f t="array" ref="M2:N84">UNIQUE(SORT((ALLDATA!Q2:R3000)))</f>
        <v>Commercial</v>
      </c>
      <c r="N2" s="75" t="s">
        <v>29</v>
      </c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>
      <c r="A3" s="72" t="s">
        <v>63</v>
      </c>
      <c r="B3" s="73" t="s">
        <v>64</v>
      </c>
      <c r="C3" s="73" t="s">
        <v>27</v>
      </c>
      <c r="D3" s="74" t="s">
        <v>53</v>
      </c>
      <c r="E3" s="75" t="s">
        <v>33</v>
      </c>
      <c r="F3" s="80" t="s">
        <v>69</v>
      </c>
      <c r="G3" s="76">
        <v>2.0</v>
      </c>
      <c r="H3" s="77">
        <v>2029.0</v>
      </c>
      <c r="I3" s="81" t="s">
        <v>70</v>
      </c>
      <c r="J3" s="79" t="s">
        <v>54</v>
      </c>
      <c r="K3" s="77" t="s">
        <v>71</v>
      </c>
      <c r="L3" s="75" t="s">
        <v>68</v>
      </c>
      <c r="M3" s="75" t="s">
        <v>72</v>
      </c>
      <c r="N3" s="75" t="s">
        <v>73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</row>
    <row r="4">
      <c r="A4" s="72" t="s">
        <v>63</v>
      </c>
      <c r="B4" s="73" t="s">
        <v>64</v>
      </c>
      <c r="C4" s="75" t="s">
        <v>28</v>
      </c>
      <c r="D4" s="73" t="s">
        <v>74</v>
      </c>
      <c r="E4" s="75" t="s">
        <v>34</v>
      </c>
      <c r="F4" s="80" t="s">
        <v>75</v>
      </c>
      <c r="G4" s="76">
        <v>4.0</v>
      </c>
      <c r="H4" s="77">
        <v>2840.0</v>
      </c>
      <c r="I4" s="78" t="s">
        <v>66</v>
      </c>
      <c r="J4" s="79" t="s">
        <v>54</v>
      </c>
      <c r="K4" s="77" t="s">
        <v>67</v>
      </c>
      <c r="L4" s="75" t="s">
        <v>68</v>
      </c>
      <c r="M4" s="75" t="s">
        <v>72</v>
      </c>
      <c r="N4" s="75" t="s">
        <v>76</v>
      </c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</row>
    <row r="5">
      <c r="A5" s="72" t="s">
        <v>63</v>
      </c>
      <c r="B5" s="73" t="s">
        <v>64</v>
      </c>
      <c r="C5" s="79" t="s">
        <v>77</v>
      </c>
      <c r="D5" s="73" t="s">
        <v>74</v>
      </c>
      <c r="E5" s="75" t="s">
        <v>35</v>
      </c>
      <c r="F5" s="73" t="s">
        <v>78</v>
      </c>
      <c r="G5" s="78">
        <v>6.75</v>
      </c>
      <c r="H5" s="77">
        <v>1926.0</v>
      </c>
      <c r="I5" s="81" t="s">
        <v>70</v>
      </c>
      <c r="J5" s="79" t="s">
        <v>54</v>
      </c>
      <c r="K5" s="77" t="s">
        <v>71</v>
      </c>
      <c r="L5" s="75" t="s">
        <v>68</v>
      </c>
      <c r="M5" s="75" t="s">
        <v>72</v>
      </c>
      <c r="N5" s="75" t="s">
        <v>79</v>
      </c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>
      <c r="A6" s="72" t="s">
        <v>63</v>
      </c>
      <c r="B6" s="73" t="s">
        <v>64</v>
      </c>
      <c r="C6" s="79" t="s">
        <v>31</v>
      </c>
      <c r="D6" s="73" t="s">
        <v>74</v>
      </c>
      <c r="E6" s="75" t="s">
        <v>38</v>
      </c>
      <c r="F6" s="73" t="s">
        <v>80</v>
      </c>
      <c r="G6" s="78">
        <v>7.75</v>
      </c>
      <c r="H6" s="77">
        <v>1926.0</v>
      </c>
      <c r="I6" s="78" t="s">
        <v>66</v>
      </c>
      <c r="J6" s="79" t="s">
        <v>54</v>
      </c>
      <c r="K6" s="77" t="s">
        <v>67</v>
      </c>
      <c r="L6" s="75" t="s">
        <v>68</v>
      </c>
      <c r="M6" s="75" t="s">
        <v>72</v>
      </c>
      <c r="N6" s="75" t="s">
        <v>81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</row>
    <row r="7">
      <c r="A7" s="72" t="s">
        <v>63</v>
      </c>
      <c r="B7" s="73" t="s">
        <v>64</v>
      </c>
      <c r="C7" s="75" t="s">
        <v>15</v>
      </c>
      <c r="D7" s="73" t="s">
        <v>74</v>
      </c>
      <c r="E7" s="75" t="s">
        <v>36</v>
      </c>
      <c r="F7" s="80" t="s">
        <v>82</v>
      </c>
      <c r="G7" s="78">
        <v>9.75</v>
      </c>
      <c r="H7" s="77">
        <v>1926.0</v>
      </c>
      <c r="I7" s="81" t="s">
        <v>70</v>
      </c>
      <c r="J7" s="79" t="s">
        <v>54</v>
      </c>
      <c r="K7" s="77" t="s">
        <v>71</v>
      </c>
      <c r="L7" s="75" t="s">
        <v>68</v>
      </c>
      <c r="M7" s="75" t="s">
        <v>72</v>
      </c>
      <c r="N7" s="75" t="s">
        <v>83</v>
      </c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</row>
    <row r="8">
      <c r="A8" s="72" t="s">
        <v>63</v>
      </c>
      <c r="B8" s="73" t="s">
        <v>64</v>
      </c>
      <c r="C8" s="75" t="s">
        <v>15</v>
      </c>
      <c r="D8" s="73" t="s">
        <v>74</v>
      </c>
      <c r="E8" s="75" t="s">
        <v>39</v>
      </c>
      <c r="F8" s="80" t="s">
        <v>84</v>
      </c>
      <c r="G8" s="77">
        <v>0.0</v>
      </c>
      <c r="H8" s="77">
        <v>1926.0</v>
      </c>
      <c r="I8" s="78" t="s">
        <v>66</v>
      </c>
      <c r="J8" s="79" t="s">
        <v>54</v>
      </c>
      <c r="K8" s="77" t="s">
        <v>67</v>
      </c>
      <c r="L8" s="75" t="s">
        <v>68</v>
      </c>
      <c r="M8" s="75" t="s">
        <v>72</v>
      </c>
      <c r="N8" s="75" t="s">
        <v>85</v>
      </c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</row>
    <row r="9">
      <c r="A9" s="72" t="s">
        <v>63</v>
      </c>
      <c r="B9" s="73" t="s">
        <v>64</v>
      </c>
      <c r="C9" s="75" t="s">
        <v>15</v>
      </c>
      <c r="D9" s="73" t="s">
        <v>74</v>
      </c>
      <c r="E9" s="74" t="s">
        <v>37</v>
      </c>
      <c r="F9" s="80" t="s">
        <v>84</v>
      </c>
      <c r="G9" s="82">
        <v>0.0</v>
      </c>
      <c r="H9" s="77">
        <v>1926.0</v>
      </c>
      <c r="I9" s="81" t="s">
        <v>70</v>
      </c>
      <c r="J9" s="79" t="s">
        <v>54</v>
      </c>
      <c r="K9" s="77" t="s">
        <v>71</v>
      </c>
      <c r="L9" s="75" t="s">
        <v>68</v>
      </c>
      <c r="M9" s="75" t="s">
        <v>72</v>
      </c>
      <c r="N9" s="75" t="s">
        <v>86</v>
      </c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</row>
    <row r="10">
      <c r="A10" s="72" t="s">
        <v>63</v>
      </c>
      <c r="B10" s="73" t="s">
        <v>64</v>
      </c>
      <c r="C10" s="75" t="s">
        <v>15</v>
      </c>
      <c r="D10" s="73" t="s">
        <v>74</v>
      </c>
      <c r="E10" s="73" t="s">
        <v>74</v>
      </c>
      <c r="F10" s="80" t="s">
        <v>84</v>
      </c>
      <c r="G10" s="82">
        <v>0.0</v>
      </c>
      <c r="H10" s="77">
        <v>1926.0</v>
      </c>
      <c r="I10" s="83"/>
      <c r="J10" s="79" t="s">
        <v>54</v>
      </c>
      <c r="K10" s="77" t="s">
        <v>71</v>
      </c>
      <c r="L10" s="75" t="s">
        <v>68</v>
      </c>
      <c r="M10" s="73" t="s">
        <v>72</v>
      </c>
      <c r="N10" s="73" t="s">
        <v>87</v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</row>
    <row r="11">
      <c r="A11" s="72"/>
      <c r="B11" s="80"/>
      <c r="C11" s="75"/>
      <c r="D11" s="73"/>
      <c r="E11" s="75"/>
      <c r="F11" s="80"/>
      <c r="G11" s="80"/>
      <c r="H11" s="77"/>
      <c r="I11" s="73"/>
      <c r="J11" s="80"/>
      <c r="K11" s="77"/>
      <c r="L11" s="73"/>
      <c r="M11" s="73" t="s">
        <v>72</v>
      </c>
      <c r="N11" s="73" t="s">
        <v>88</v>
      </c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</row>
    <row r="12">
      <c r="A12" s="72" t="s">
        <v>63</v>
      </c>
      <c r="B12" s="80" t="s">
        <v>72</v>
      </c>
      <c r="C12" s="75" t="s">
        <v>30</v>
      </c>
      <c r="D12" s="73" t="s">
        <v>43</v>
      </c>
      <c r="E12" s="73" t="s">
        <v>32</v>
      </c>
      <c r="F12" s="75" t="s">
        <v>65</v>
      </c>
      <c r="G12" s="76">
        <v>1.0</v>
      </c>
      <c r="H12" s="77">
        <v>1926.0</v>
      </c>
      <c r="I12" s="78" t="s">
        <v>66</v>
      </c>
      <c r="J12" s="79" t="s">
        <v>54</v>
      </c>
      <c r="K12" s="77" t="s">
        <v>67</v>
      </c>
      <c r="L12" s="75" t="s">
        <v>68</v>
      </c>
      <c r="M12" s="75" t="s">
        <v>72</v>
      </c>
      <c r="N12" s="75" t="s">
        <v>89</v>
      </c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</row>
    <row r="13">
      <c r="A13" s="72" t="s">
        <v>63</v>
      </c>
      <c r="B13" s="80" t="s">
        <v>72</v>
      </c>
      <c r="C13" s="75" t="s">
        <v>29</v>
      </c>
      <c r="D13" s="73" t="s">
        <v>44</v>
      </c>
      <c r="E13" s="75" t="s">
        <v>33</v>
      </c>
      <c r="F13" s="80" t="s">
        <v>69</v>
      </c>
      <c r="G13" s="76">
        <v>2.0</v>
      </c>
      <c r="H13" s="77">
        <v>2029.0</v>
      </c>
      <c r="I13" s="81" t="s">
        <v>70</v>
      </c>
      <c r="J13" s="79" t="s">
        <v>54</v>
      </c>
      <c r="K13" s="77" t="s">
        <v>71</v>
      </c>
      <c r="L13" s="84" t="s">
        <v>12</v>
      </c>
      <c r="M13" s="84" t="s">
        <v>72</v>
      </c>
      <c r="N13" s="84" t="s">
        <v>90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>
      <c r="A14" s="72" t="s">
        <v>63</v>
      </c>
      <c r="B14" s="80" t="s">
        <v>72</v>
      </c>
      <c r="C14" s="79" t="s">
        <v>31</v>
      </c>
      <c r="D14" s="73" t="s">
        <v>51</v>
      </c>
      <c r="E14" s="75" t="s">
        <v>34</v>
      </c>
      <c r="F14" s="80" t="s">
        <v>75</v>
      </c>
      <c r="G14" s="76">
        <v>4.0</v>
      </c>
      <c r="H14" s="77">
        <v>2840.0</v>
      </c>
      <c r="I14" s="78" t="s">
        <v>66</v>
      </c>
      <c r="J14" s="79" t="s">
        <v>54</v>
      </c>
      <c r="K14" s="77" t="s">
        <v>67</v>
      </c>
      <c r="L14" s="75" t="s">
        <v>68</v>
      </c>
      <c r="M14" s="75" t="s">
        <v>72</v>
      </c>
      <c r="N14" s="75" t="s">
        <v>91</v>
      </c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</row>
    <row r="15">
      <c r="A15" s="72" t="s">
        <v>63</v>
      </c>
      <c r="B15" s="80" t="s">
        <v>72</v>
      </c>
      <c r="C15" s="75" t="s">
        <v>15</v>
      </c>
      <c r="D15" s="73" t="s">
        <v>92</v>
      </c>
      <c r="E15" s="75" t="s">
        <v>35</v>
      </c>
      <c r="F15" s="73" t="s">
        <v>78</v>
      </c>
      <c r="G15" s="78">
        <v>6.75</v>
      </c>
      <c r="H15" s="77">
        <v>1926.0</v>
      </c>
      <c r="I15" s="81" t="s">
        <v>70</v>
      </c>
      <c r="J15" s="79" t="s">
        <v>54</v>
      </c>
      <c r="K15" s="77" t="s">
        <v>71</v>
      </c>
      <c r="L15" s="75" t="s">
        <v>68</v>
      </c>
      <c r="M15" s="75" t="s">
        <v>72</v>
      </c>
      <c r="N15" s="75" t="s">
        <v>93</v>
      </c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</row>
    <row r="16">
      <c r="A16" s="72" t="s">
        <v>63</v>
      </c>
      <c r="B16" s="80" t="s">
        <v>72</v>
      </c>
      <c r="C16" s="75" t="s">
        <v>15</v>
      </c>
      <c r="D16" s="73" t="s">
        <v>94</v>
      </c>
      <c r="E16" s="75" t="s">
        <v>38</v>
      </c>
      <c r="F16" s="73" t="s">
        <v>80</v>
      </c>
      <c r="G16" s="78">
        <v>7.75</v>
      </c>
      <c r="H16" s="77">
        <v>1926.0</v>
      </c>
      <c r="I16" s="78" t="s">
        <v>66</v>
      </c>
      <c r="J16" s="79" t="s">
        <v>54</v>
      </c>
      <c r="K16" s="77" t="s">
        <v>67</v>
      </c>
      <c r="L16" s="75" t="s">
        <v>68</v>
      </c>
      <c r="M16" s="75" t="s">
        <v>72</v>
      </c>
      <c r="N16" s="75" t="s">
        <v>95</v>
      </c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</row>
    <row r="17">
      <c r="A17" s="72" t="s">
        <v>63</v>
      </c>
      <c r="B17" s="80" t="s">
        <v>72</v>
      </c>
      <c r="C17" s="75" t="s">
        <v>15</v>
      </c>
      <c r="D17" s="73" t="s">
        <v>47</v>
      </c>
      <c r="E17" s="75" t="s">
        <v>36</v>
      </c>
      <c r="F17" s="80" t="s">
        <v>82</v>
      </c>
      <c r="G17" s="78">
        <v>9.75</v>
      </c>
      <c r="H17" s="77">
        <v>1926.0</v>
      </c>
      <c r="I17" s="81" t="s">
        <v>70</v>
      </c>
      <c r="J17" s="79" t="s">
        <v>54</v>
      </c>
      <c r="K17" s="77" t="s">
        <v>71</v>
      </c>
      <c r="L17" s="75" t="s">
        <v>68</v>
      </c>
      <c r="M17" s="75" t="s">
        <v>96</v>
      </c>
      <c r="N17" s="75" t="s">
        <v>95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</row>
    <row r="18">
      <c r="A18" s="72" t="s">
        <v>63</v>
      </c>
      <c r="B18" s="80" t="s">
        <v>72</v>
      </c>
      <c r="C18" s="75" t="s">
        <v>15</v>
      </c>
      <c r="D18" s="73" t="s">
        <v>48</v>
      </c>
      <c r="E18" s="75" t="s">
        <v>39</v>
      </c>
      <c r="F18" s="80" t="s">
        <v>84</v>
      </c>
      <c r="G18" s="77">
        <v>0.0</v>
      </c>
      <c r="H18" s="77">
        <v>1926.0</v>
      </c>
      <c r="I18" s="78" t="s">
        <v>66</v>
      </c>
      <c r="J18" s="79" t="s">
        <v>54</v>
      </c>
      <c r="K18" s="77" t="s">
        <v>67</v>
      </c>
      <c r="L18" s="75" t="s">
        <v>68</v>
      </c>
      <c r="M18" s="75" t="s">
        <v>87</v>
      </c>
      <c r="N18" s="75" t="s">
        <v>87</v>
      </c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</row>
    <row r="19">
      <c r="A19" s="72" t="s">
        <v>63</v>
      </c>
      <c r="B19" s="80" t="s">
        <v>72</v>
      </c>
      <c r="C19" s="75" t="s">
        <v>15</v>
      </c>
      <c r="D19" s="80" t="s">
        <v>49</v>
      </c>
      <c r="E19" s="74" t="s">
        <v>37</v>
      </c>
      <c r="F19" s="80" t="s">
        <v>84</v>
      </c>
      <c r="G19" s="77">
        <v>0.0</v>
      </c>
      <c r="H19" s="77">
        <v>1926.0</v>
      </c>
      <c r="I19" s="81" t="s">
        <v>70</v>
      </c>
      <c r="J19" s="79" t="s">
        <v>54</v>
      </c>
      <c r="K19" s="77" t="s">
        <v>71</v>
      </c>
      <c r="L19" s="75" t="s">
        <v>68</v>
      </c>
      <c r="M19" s="75" t="s">
        <v>64</v>
      </c>
      <c r="N19" s="75" t="s">
        <v>97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>
      <c r="A20" s="72" t="s">
        <v>63</v>
      </c>
      <c r="B20" s="80" t="s">
        <v>72</v>
      </c>
      <c r="C20" s="75" t="s">
        <v>15</v>
      </c>
      <c r="D20" s="80" t="s">
        <v>50</v>
      </c>
      <c r="E20" s="73" t="s">
        <v>74</v>
      </c>
      <c r="F20" s="80" t="s">
        <v>84</v>
      </c>
      <c r="G20" s="77">
        <v>0.0</v>
      </c>
      <c r="H20" s="77">
        <v>1926.0</v>
      </c>
      <c r="I20" s="78" t="s">
        <v>66</v>
      </c>
      <c r="J20" s="79" t="s">
        <v>54</v>
      </c>
      <c r="K20" s="77" t="s">
        <v>67</v>
      </c>
      <c r="L20" s="75" t="s">
        <v>68</v>
      </c>
      <c r="M20" s="75" t="s">
        <v>64</v>
      </c>
      <c r="N20" s="75" t="s">
        <v>98</v>
      </c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</row>
    <row r="21">
      <c r="A21" s="72" t="s">
        <v>63</v>
      </c>
      <c r="B21" s="80" t="s">
        <v>72</v>
      </c>
      <c r="C21" s="75" t="s">
        <v>15</v>
      </c>
      <c r="D21" s="74" t="s">
        <v>52</v>
      </c>
      <c r="E21" s="73" t="s">
        <v>74</v>
      </c>
      <c r="F21" s="80" t="s">
        <v>84</v>
      </c>
      <c r="G21" s="77">
        <v>0.0</v>
      </c>
      <c r="H21" s="77">
        <v>1926.0</v>
      </c>
      <c r="I21" s="81" t="s">
        <v>70</v>
      </c>
      <c r="J21" s="79" t="s">
        <v>54</v>
      </c>
      <c r="K21" s="77" t="s">
        <v>71</v>
      </c>
      <c r="L21" s="75" t="s">
        <v>68</v>
      </c>
      <c r="M21" s="75" t="s">
        <v>64</v>
      </c>
      <c r="N21" s="75" t="s">
        <v>99</v>
      </c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>
      <c r="A22" s="72" t="s">
        <v>63</v>
      </c>
      <c r="B22" s="80" t="s">
        <v>72</v>
      </c>
      <c r="C22" s="75" t="s">
        <v>15</v>
      </c>
      <c r="D22" s="74" t="s">
        <v>53</v>
      </c>
      <c r="E22" s="73" t="s">
        <v>74</v>
      </c>
      <c r="F22" s="80" t="s">
        <v>84</v>
      </c>
      <c r="G22" s="77">
        <v>0.0</v>
      </c>
      <c r="H22" s="77">
        <v>1926.0</v>
      </c>
      <c r="I22" s="78" t="s">
        <v>66</v>
      </c>
      <c r="J22" s="79" t="s">
        <v>54</v>
      </c>
      <c r="K22" s="77" t="s">
        <v>67</v>
      </c>
      <c r="L22" s="75" t="s">
        <v>68</v>
      </c>
      <c r="M22" s="75" t="s">
        <v>64</v>
      </c>
      <c r="N22" s="75" t="s">
        <v>100</v>
      </c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</row>
    <row r="23">
      <c r="A23" s="72" t="s">
        <v>63</v>
      </c>
      <c r="B23" s="80" t="s">
        <v>72</v>
      </c>
      <c r="C23" s="75" t="s">
        <v>15</v>
      </c>
      <c r="D23" s="73" t="s">
        <v>74</v>
      </c>
      <c r="E23" s="73" t="s">
        <v>74</v>
      </c>
      <c r="F23" s="80" t="s">
        <v>84</v>
      </c>
      <c r="G23" s="77">
        <v>0.0</v>
      </c>
      <c r="H23" s="77">
        <v>1926.0</v>
      </c>
      <c r="I23" s="81" t="s">
        <v>70</v>
      </c>
      <c r="J23" s="79" t="s">
        <v>54</v>
      </c>
      <c r="K23" s="77" t="s">
        <v>71</v>
      </c>
      <c r="L23" s="75" t="s">
        <v>68</v>
      </c>
      <c r="M23" s="75" t="s">
        <v>64</v>
      </c>
      <c r="N23" s="75" t="s">
        <v>101</v>
      </c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 t="s">
        <v>64</v>
      </c>
      <c r="N24" s="73" t="s">
        <v>102</v>
      </c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</row>
    <row r="25">
      <c r="C25" s="85"/>
      <c r="D25" s="73"/>
      <c r="E25" s="74"/>
      <c r="H25" s="86"/>
      <c r="J25" s="79"/>
      <c r="K25" s="77"/>
      <c r="L25" s="75"/>
      <c r="M25" s="49" t="s">
        <v>64</v>
      </c>
      <c r="N25" s="49" t="s">
        <v>103</v>
      </c>
    </row>
    <row r="26">
      <c r="C26" s="85"/>
      <c r="D26" s="73"/>
      <c r="E26" s="35"/>
      <c r="H26" s="86"/>
      <c r="J26" s="79"/>
      <c r="K26" s="77"/>
      <c r="L26" s="84"/>
      <c r="M26" s="49" t="s">
        <v>64</v>
      </c>
      <c r="N26" s="49" t="s">
        <v>104</v>
      </c>
    </row>
    <row r="27">
      <c r="C27" s="87"/>
      <c r="D27" s="73"/>
      <c r="E27" s="35"/>
      <c r="H27" s="86"/>
      <c r="J27" s="79"/>
      <c r="K27" s="77"/>
      <c r="L27" s="75"/>
      <c r="M27" s="49" t="s">
        <v>64</v>
      </c>
      <c r="N27" s="49" t="s">
        <v>105</v>
      </c>
    </row>
    <row r="28">
      <c r="C28" s="74"/>
      <c r="D28" s="73"/>
      <c r="E28" s="35"/>
      <c r="F28" s="80"/>
      <c r="G28" s="77"/>
      <c r="H28" s="86"/>
      <c r="J28" s="79"/>
      <c r="K28" s="77"/>
      <c r="L28" s="84"/>
      <c r="M28" s="49" t="s">
        <v>64</v>
      </c>
      <c r="N28" s="49" t="s">
        <v>106</v>
      </c>
    </row>
    <row r="29">
      <c r="C29" s="88"/>
      <c r="D29" s="73"/>
      <c r="E29" s="35"/>
      <c r="F29" s="80"/>
      <c r="G29" s="77"/>
      <c r="H29" s="86"/>
      <c r="J29" s="79"/>
      <c r="K29" s="77"/>
      <c r="L29" s="75"/>
      <c r="M29" s="49" t="s">
        <v>64</v>
      </c>
      <c r="N29" s="49" t="s">
        <v>107</v>
      </c>
    </row>
    <row r="30">
      <c r="C30" s="79"/>
      <c r="D30" s="73"/>
      <c r="E30" s="35"/>
      <c r="F30" s="80"/>
      <c r="G30" s="77"/>
      <c r="H30" s="86"/>
      <c r="J30" s="79"/>
      <c r="K30" s="77"/>
      <c r="L30" s="84"/>
      <c r="M30" s="49" t="s">
        <v>64</v>
      </c>
      <c r="N30" s="49" t="s">
        <v>108</v>
      </c>
    </row>
    <row r="31">
      <c r="C31" s="79"/>
      <c r="D31" s="73"/>
      <c r="E31" s="35"/>
      <c r="F31" s="80"/>
      <c r="G31" s="77"/>
      <c r="H31" s="86"/>
      <c r="J31" s="79"/>
      <c r="K31" s="77"/>
      <c r="L31" s="75"/>
      <c r="M31" s="49" t="s">
        <v>64</v>
      </c>
      <c r="N31" s="49" t="s">
        <v>109</v>
      </c>
    </row>
    <row r="32">
      <c r="C32" s="79"/>
      <c r="D32" s="80"/>
      <c r="E32" s="74"/>
      <c r="H32" s="86"/>
      <c r="J32" s="79"/>
      <c r="K32" s="77"/>
      <c r="L32" s="84"/>
      <c r="M32" s="49" t="s">
        <v>64</v>
      </c>
      <c r="N32" s="49" t="s">
        <v>110</v>
      </c>
    </row>
    <row r="33">
      <c r="C33" s="85"/>
      <c r="D33" s="80"/>
      <c r="E33" s="73"/>
      <c r="H33" s="86"/>
      <c r="J33" s="79"/>
      <c r="K33" s="77"/>
      <c r="L33" s="75"/>
      <c r="M33" s="49" t="s">
        <v>64</v>
      </c>
      <c r="N33" s="49" t="s">
        <v>111</v>
      </c>
    </row>
    <row r="34">
      <c r="C34" s="85"/>
      <c r="D34" s="73"/>
      <c r="E34" s="73"/>
      <c r="H34" s="86"/>
      <c r="J34" s="79"/>
      <c r="K34" s="77"/>
      <c r="L34" s="84"/>
      <c r="M34" s="49" t="s">
        <v>64</v>
      </c>
      <c r="N34" s="49" t="s">
        <v>112</v>
      </c>
    </row>
    <row r="35">
      <c r="M35" s="49" t="s">
        <v>64</v>
      </c>
      <c r="N35" s="49" t="s">
        <v>113</v>
      </c>
    </row>
    <row r="36">
      <c r="B36" s="88"/>
      <c r="C36" s="89"/>
      <c r="D36" s="90"/>
      <c r="E36" s="89"/>
      <c r="I36" s="73"/>
      <c r="J36" s="90"/>
      <c r="K36" s="77"/>
      <c r="L36" s="75"/>
      <c r="M36" s="49" t="s">
        <v>64</v>
      </c>
      <c r="N36" s="49" t="s">
        <v>114</v>
      </c>
    </row>
    <row r="37">
      <c r="B37" s="88"/>
      <c r="C37" s="89"/>
      <c r="D37" s="54"/>
      <c r="E37" s="89"/>
      <c r="F37" s="80"/>
      <c r="G37" s="77"/>
      <c r="I37" s="73"/>
      <c r="J37" s="90"/>
      <c r="K37" s="77"/>
      <c r="L37" s="75"/>
      <c r="M37" s="49" t="s">
        <v>64</v>
      </c>
      <c r="N37" s="49" t="s">
        <v>115</v>
      </c>
    </row>
    <row r="38">
      <c r="B38" s="88"/>
      <c r="C38" s="89"/>
      <c r="D38" s="54"/>
      <c r="E38" s="89"/>
      <c r="I38" s="73"/>
      <c r="J38" s="90"/>
      <c r="K38" s="77"/>
      <c r="L38" s="75"/>
      <c r="M38" s="49" t="s">
        <v>64</v>
      </c>
      <c r="N38" s="49" t="s">
        <v>79</v>
      </c>
    </row>
    <row r="39">
      <c r="B39" s="88"/>
      <c r="C39" s="89"/>
      <c r="D39" s="88"/>
      <c r="E39" s="89"/>
      <c r="F39" s="80"/>
      <c r="G39" s="77"/>
      <c r="I39" s="72"/>
      <c r="K39" s="77"/>
      <c r="L39" s="75"/>
      <c r="M39" s="49" t="s">
        <v>64</v>
      </c>
      <c r="N39" s="49" t="s">
        <v>116</v>
      </c>
    </row>
    <row r="40">
      <c r="B40" s="88"/>
      <c r="C40" s="89"/>
      <c r="D40" s="54"/>
      <c r="E40" s="89"/>
      <c r="I40" s="73"/>
      <c r="K40" s="77"/>
      <c r="L40" s="75"/>
      <c r="M40" s="49" t="s">
        <v>64</v>
      </c>
      <c r="N40" s="49" t="s">
        <v>117</v>
      </c>
    </row>
    <row r="41">
      <c r="B41" s="88"/>
      <c r="C41" s="89"/>
      <c r="D41" s="54"/>
      <c r="E41" s="89"/>
      <c r="F41" s="80"/>
      <c r="G41" s="77"/>
      <c r="I41" s="73"/>
      <c r="K41" s="77"/>
      <c r="L41" s="75"/>
      <c r="M41" s="49" t="s">
        <v>64</v>
      </c>
      <c r="N41" s="49" t="s">
        <v>118</v>
      </c>
    </row>
    <row r="42">
      <c r="B42" s="88"/>
      <c r="C42" s="89"/>
      <c r="D42" s="54"/>
      <c r="E42" s="89"/>
      <c r="K42" s="77"/>
      <c r="L42" s="75"/>
      <c r="M42" s="49" t="s">
        <v>64</v>
      </c>
      <c r="N42" s="49" t="s">
        <v>119</v>
      </c>
    </row>
    <row r="43">
      <c r="B43" s="88"/>
      <c r="D43" s="54"/>
      <c r="E43" s="89"/>
      <c r="F43" s="80"/>
      <c r="G43" s="77"/>
      <c r="K43" s="77"/>
      <c r="L43" s="75"/>
      <c r="M43" s="49" t="s">
        <v>64</v>
      </c>
      <c r="N43" s="49" t="s">
        <v>120</v>
      </c>
    </row>
    <row r="44">
      <c r="B44" s="88"/>
      <c r="C44" s="73"/>
      <c r="D44" s="54"/>
      <c r="E44" s="89"/>
      <c r="K44" s="77"/>
      <c r="L44" s="75"/>
      <c r="M44" s="49" t="s">
        <v>64</v>
      </c>
      <c r="N44" s="49" t="s">
        <v>121</v>
      </c>
    </row>
    <row r="45">
      <c r="B45" s="88"/>
      <c r="C45" s="73"/>
      <c r="D45" s="54"/>
      <c r="E45" s="89"/>
      <c r="F45" s="80"/>
      <c r="G45" s="77"/>
      <c r="K45" s="77"/>
      <c r="L45" s="75"/>
      <c r="M45" s="49" t="s">
        <v>64</v>
      </c>
      <c r="N45" s="49" t="s">
        <v>122</v>
      </c>
    </row>
    <row r="46">
      <c r="B46" s="88"/>
      <c r="C46" s="89"/>
      <c r="D46" s="54"/>
      <c r="E46" s="89"/>
      <c r="K46" s="77"/>
      <c r="L46" s="75"/>
      <c r="M46" s="49" t="s">
        <v>64</v>
      </c>
      <c r="N46" s="49" t="s">
        <v>123</v>
      </c>
    </row>
    <row r="47">
      <c r="B47" s="88"/>
      <c r="C47" s="89"/>
      <c r="D47" s="54"/>
      <c r="E47" s="89"/>
      <c r="F47" s="80"/>
      <c r="G47" s="77"/>
      <c r="K47" s="77"/>
      <c r="L47" s="75"/>
      <c r="M47" s="49" t="s">
        <v>64</v>
      </c>
      <c r="N47" s="49" t="s">
        <v>124</v>
      </c>
    </row>
    <row r="48">
      <c r="B48" s="88"/>
      <c r="C48" s="89"/>
      <c r="D48" s="88"/>
      <c r="E48" s="89"/>
      <c r="K48" s="77"/>
      <c r="L48" s="75"/>
      <c r="M48" s="49" t="s">
        <v>64</v>
      </c>
      <c r="N48" s="49" t="s">
        <v>87</v>
      </c>
    </row>
    <row r="49">
      <c r="B49" s="88"/>
      <c r="C49" s="89"/>
      <c r="D49" s="74"/>
      <c r="E49" s="89"/>
      <c r="F49" s="80"/>
      <c r="G49" s="77"/>
      <c r="K49" s="77"/>
      <c r="L49" s="75"/>
      <c r="M49" s="49" t="s">
        <v>64</v>
      </c>
      <c r="N49" s="49" t="s">
        <v>125</v>
      </c>
    </row>
    <row r="50">
      <c r="B50" s="88"/>
      <c r="C50" s="89"/>
      <c r="D50" s="74"/>
      <c r="E50" s="89"/>
      <c r="F50" s="80"/>
      <c r="G50" s="77"/>
      <c r="K50" s="77"/>
      <c r="L50" s="75"/>
      <c r="M50" s="49" t="s">
        <v>64</v>
      </c>
      <c r="N50" s="49" t="s">
        <v>126</v>
      </c>
    </row>
    <row r="51">
      <c r="A51" s="73"/>
      <c r="B51" s="88"/>
      <c r="C51" s="90"/>
      <c r="D51" s="90"/>
      <c r="E51" s="89"/>
      <c r="I51" s="73"/>
      <c r="J51" s="90"/>
      <c r="K51" s="77"/>
      <c r="L51" s="75"/>
      <c r="M51" s="49" t="s">
        <v>64</v>
      </c>
      <c r="N51" s="49" t="s">
        <v>127</v>
      </c>
    </row>
    <row r="52">
      <c r="A52" s="73"/>
      <c r="B52" s="88"/>
      <c r="C52" s="90"/>
      <c r="D52" s="54"/>
      <c r="E52" s="89"/>
      <c r="F52" s="80"/>
      <c r="G52" s="77"/>
      <c r="I52" s="73"/>
      <c r="J52" s="90"/>
      <c r="K52" s="77"/>
      <c r="L52" s="75"/>
      <c r="M52" s="49" t="s">
        <v>64</v>
      </c>
      <c r="N52" s="49" t="s">
        <v>128</v>
      </c>
    </row>
    <row r="53">
      <c r="A53" s="73"/>
      <c r="B53" s="88"/>
      <c r="C53" s="90"/>
      <c r="D53" s="54"/>
      <c r="E53" s="89"/>
      <c r="I53" s="73"/>
      <c r="J53" s="90"/>
      <c r="K53" s="77"/>
      <c r="L53" s="75"/>
      <c r="M53" s="49" t="s">
        <v>64</v>
      </c>
      <c r="N53" s="49" t="s">
        <v>129</v>
      </c>
    </row>
    <row r="54">
      <c r="A54" s="73"/>
      <c r="B54" s="88"/>
      <c r="C54" s="72"/>
      <c r="D54" s="88"/>
      <c r="E54" s="89"/>
      <c r="F54" s="80"/>
      <c r="G54" s="77"/>
      <c r="I54" s="72"/>
      <c r="K54" s="77"/>
      <c r="L54" s="75"/>
      <c r="M54" s="49" t="s">
        <v>64</v>
      </c>
      <c r="N54" s="49" t="s">
        <v>130</v>
      </c>
    </row>
    <row r="55">
      <c r="A55" s="73"/>
      <c r="B55" s="88"/>
      <c r="C55" s="72"/>
      <c r="D55" s="54"/>
      <c r="E55" s="89"/>
      <c r="I55" s="73"/>
      <c r="K55" s="77"/>
      <c r="L55" s="75"/>
      <c r="M55" s="49" t="s">
        <v>64</v>
      </c>
      <c r="N55" s="49" t="s">
        <v>131</v>
      </c>
    </row>
    <row r="56">
      <c r="A56" s="73"/>
      <c r="B56" s="88"/>
      <c r="C56" s="72"/>
      <c r="D56" s="54"/>
      <c r="E56" s="89"/>
      <c r="F56" s="80"/>
      <c r="G56" s="77"/>
      <c r="I56" s="73"/>
      <c r="K56" s="77"/>
      <c r="L56" s="75"/>
      <c r="M56" s="49" t="s">
        <v>64</v>
      </c>
      <c r="N56" s="49" t="s">
        <v>132</v>
      </c>
    </row>
    <row r="57">
      <c r="A57" s="73"/>
      <c r="B57" s="88"/>
      <c r="C57" s="72"/>
      <c r="D57" s="54"/>
      <c r="E57" s="89"/>
      <c r="K57" s="77"/>
      <c r="L57" s="75"/>
      <c r="M57" s="49" t="s">
        <v>64</v>
      </c>
      <c r="N57" s="49" t="s">
        <v>133</v>
      </c>
    </row>
    <row r="58">
      <c r="A58" s="73"/>
      <c r="B58" s="88"/>
      <c r="C58" s="73"/>
      <c r="D58" s="54"/>
      <c r="E58" s="89"/>
      <c r="F58" s="80"/>
      <c r="G58" s="77"/>
      <c r="K58" s="77"/>
      <c r="L58" s="75"/>
      <c r="M58" s="49" t="s">
        <v>64</v>
      </c>
      <c r="N58" s="49" t="s">
        <v>134</v>
      </c>
    </row>
    <row r="59">
      <c r="A59" s="73"/>
      <c r="B59" s="88"/>
      <c r="C59" s="73"/>
      <c r="D59" s="54"/>
      <c r="E59" s="89"/>
      <c r="K59" s="77"/>
      <c r="L59" s="75"/>
      <c r="M59" s="49" t="s">
        <v>64</v>
      </c>
      <c r="N59" s="49" t="s">
        <v>135</v>
      </c>
    </row>
    <row r="60">
      <c r="A60" s="73"/>
      <c r="B60" s="88"/>
      <c r="C60" s="73"/>
      <c r="D60" s="54"/>
      <c r="E60" s="89"/>
      <c r="F60" s="80"/>
      <c r="G60" s="77"/>
      <c r="K60" s="77"/>
      <c r="L60" s="75"/>
      <c r="M60" s="49" t="s">
        <v>64</v>
      </c>
      <c r="N60" s="49" t="s">
        <v>136</v>
      </c>
    </row>
    <row r="61">
      <c r="A61" s="73"/>
      <c r="B61" s="88"/>
      <c r="C61" s="73"/>
      <c r="D61" s="54"/>
      <c r="E61" s="89"/>
      <c r="K61" s="77"/>
      <c r="L61" s="75"/>
      <c r="M61" s="49" t="s">
        <v>64</v>
      </c>
      <c r="N61" s="49" t="s">
        <v>137</v>
      </c>
    </row>
    <row r="62">
      <c r="A62" s="73"/>
      <c r="B62" s="88"/>
      <c r="C62" s="91"/>
      <c r="D62" s="54"/>
      <c r="E62" s="89"/>
      <c r="F62" s="80"/>
      <c r="G62" s="77"/>
      <c r="K62" s="77"/>
      <c r="L62" s="75"/>
      <c r="M62" s="49" t="s">
        <v>64</v>
      </c>
      <c r="N62" s="49" t="s">
        <v>138</v>
      </c>
    </row>
    <row r="63">
      <c r="A63" s="73"/>
      <c r="B63" s="88"/>
      <c r="C63" s="88"/>
      <c r="D63" s="88"/>
      <c r="E63" s="89"/>
      <c r="K63" s="77"/>
      <c r="L63" s="75"/>
      <c r="M63" s="49" t="s">
        <v>64</v>
      </c>
      <c r="N63" s="49" t="s">
        <v>139</v>
      </c>
    </row>
    <row r="64">
      <c r="A64" s="73"/>
      <c r="B64" s="88"/>
      <c r="C64" s="88"/>
      <c r="D64" s="74"/>
      <c r="E64" s="89"/>
      <c r="F64" s="80"/>
      <c r="G64" s="77"/>
      <c r="K64" s="77"/>
      <c r="L64" s="75"/>
      <c r="M64" s="49" t="s">
        <v>64</v>
      </c>
      <c r="N64" s="49" t="s">
        <v>140</v>
      </c>
    </row>
    <row r="65">
      <c r="A65" s="73"/>
      <c r="B65" s="88"/>
      <c r="C65" s="88"/>
      <c r="D65" s="74"/>
      <c r="E65" s="89"/>
      <c r="K65" s="77"/>
      <c r="L65" s="75"/>
      <c r="M65" s="49" t="s">
        <v>64</v>
      </c>
      <c r="N65" s="49" t="s">
        <v>90</v>
      </c>
    </row>
    <row r="66">
      <c r="A66" s="73"/>
      <c r="B66" s="88"/>
      <c r="C66" s="88"/>
      <c r="D66" s="74"/>
      <c r="E66" s="89"/>
      <c r="F66" s="80"/>
      <c r="G66" s="77"/>
      <c r="K66" s="77"/>
      <c r="L66" s="75"/>
      <c r="M66" s="49" t="s">
        <v>64</v>
      </c>
      <c r="N66" s="49" t="s">
        <v>141</v>
      </c>
    </row>
    <row r="67">
      <c r="A67" s="73"/>
      <c r="B67" s="88"/>
      <c r="C67" s="88"/>
      <c r="D67" s="74"/>
      <c r="E67" s="89"/>
      <c r="F67" s="80"/>
      <c r="G67" s="77"/>
      <c r="K67" s="77"/>
      <c r="L67" s="75"/>
      <c r="M67" s="49" t="s">
        <v>64</v>
      </c>
      <c r="N67" s="49" t="s">
        <v>142</v>
      </c>
    </row>
    <row r="68">
      <c r="A68" s="73"/>
      <c r="B68" s="88"/>
      <c r="C68" s="90"/>
      <c r="D68" s="90"/>
      <c r="E68" s="89"/>
      <c r="I68" s="73"/>
      <c r="J68" s="90"/>
      <c r="K68" s="77"/>
      <c r="L68" s="75"/>
      <c r="M68" s="49" t="s">
        <v>64</v>
      </c>
      <c r="N68" s="49" t="s">
        <v>143</v>
      </c>
    </row>
    <row r="69">
      <c r="A69" s="73"/>
      <c r="B69" s="88"/>
      <c r="C69" s="90"/>
      <c r="D69" s="54"/>
      <c r="E69" s="89"/>
      <c r="F69" s="80"/>
      <c r="G69" s="77"/>
      <c r="I69" s="73"/>
      <c r="J69" s="90"/>
      <c r="K69" s="77"/>
      <c r="L69" s="75"/>
      <c r="M69" s="49" t="s">
        <v>64</v>
      </c>
      <c r="N69" s="49" t="s">
        <v>144</v>
      </c>
    </row>
    <row r="70">
      <c r="A70" s="73"/>
      <c r="B70" s="88"/>
      <c r="C70" s="90"/>
      <c r="D70" s="54"/>
      <c r="E70" s="89"/>
      <c r="I70" s="73"/>
      <c r="J70" s="90"/>
      <c r="K70" s="77"/>
      <c r="L70" s="75"/>
      <c r="M70" s="49" t="s">
        <v>64</v>
      </c>
      <c r="N70" s="49" t="s">
        <v>145</v>
      </c>
    </row>
    <row r="71">
      <c r="A71" s="73"/>
      <c r="B71" s="88"/>
      <c r="C71" s="72"/>
      <c r="D71" s="88"/>
      <c r="E71" s="89"/>
      <c r="F71" s="80"/>
      <c r="G71" s="77"/>
      <c r="I71" s="72"/>
      <c r="K71" s="77"/>
      <c r="L71" s="75"/>
      <c r="M71" s="49" t="s">
        <v>64</v>
      </c>
      <c r="N71" s="49" t="s">
        <v>146</v>
      </c>
    </row>
    <row r="72">
      <c r="A72" s="73"/>
      <c r="B72" s="88"/>
      <c r="C72" s="72"/>
      <c r="D72" s="54"/>
      <c r="E72" s="89"/>
      <c r="I72" s="73"/>
      <c r="K72" s="77"/>
      <c r="L72" s="75"/>
      <c r="M72" s="49" t="s">
        <v>64</v>
      </c>
      <c r="N72" s="49" t="s">
        <v>147</v>
      </c>
    </row>
    <row r="73">
      <c r="A73" s="73"/>
      <c r="B73" s="88"/>
      <c r="C73" s="72"/>
      <c r="D73" s="54"/>
      <c r="E73" s="89"/>
      <c r="F73" s="80"/>
      <c r="G73" s="77"/>
      <c r="I73" s="73"/>
      <c r="K73" s="77"/>
      <c r="L73" s="75"/>
      <c r="M73" s="49" t="s">
        <v>64</v>
      </c>
      <c r="N73" s="49" t="s">
        <v>148</v>
      </c>
    </row>
    <row r="74">
      <c r="A74" s="73"/>
      <c r="B74" s="88"/>
      <c r="C74" s="72"/>
      <c r="D74" s="54"/>
      <c r="E74" s="89"/>
      <c r="K74" s="77"/>
      <c r="L74" s="75"/>
      <c r="M74" s="49" t="s">
        <v>64</v>
      </c>
      <c r="N74" s="49" t="s">
        <v>149</v>
      </c>
    </row>
    <row r="75">
      <c r="A75" s="73"/>
      <c r="B75" s="88"/>
      <c r="C75" s="73"/>
      <c r="D75" s="54"/>
      <c r="E75" s="89"/>
      <c r="F75" s="80"/>
      <c r="G75" s="77"/>
      <c r="K75" s="77"/>
      <c r="L75" s="75"/>
      <c r="M75" s="49" t="s">
        <v>64</v>
      </c>
      <c r="N75" s="49" t="s">
        <v>150</v>
      </c>
    </row>
    <row r="76">
      <c r="A76" s="73"/>
      <c r="B76" s="88"/>
      <c r="C76" s="73"/>
      <c r="D76" s="54"/>
      <c r="E76" s="89"/>
      <c r="K76" s="77"/>
      <c r="L76" s="75"/>
      <c r="M76" s="49" t="s">
        <v>64</v>
      </c>
      <c r="N76" s="49" t="s">
        <v>151</v>
      </c>
    </row>
    <row r="77">
      <c r="A77" s="73"/>
      <c r="B77" s="88"/>
      <c r="C77" s="73"/>
      <c r="D77" s="54"/>
      <c r="E77" s="89"/>
      <c r="F77" s="80"/>
      <c r="G77" s="77"/>
      <c r="K77" s="77"/>
      <c r="L77" s="75"/>
      <c r="M77" s="49" t="s">
        <v>64</v>
      </c>
      <c r="N77" s="49" t="s">
        <v>152</v>
      </c>
    </row>
    <row r="78">
      <c r="A78" s="73"/>
      <c r="B78" s="88"/>
      <c r="C78" s="73"/>
      <c r="D78" s="54"/>
      <c r="E78" s="89"/>
      <c r="K78" s="77"/>
      <c r="L78" s="75"/>
      <c r="M78" s="49" t="s">
        <v>64</v>
      </c>
      <c r="N78" s="49" t="s">
        <v>153</v>
      </c>
    </row>
    <row r="79">
      <c r="A79" s="73"/>
      <c r="B79" s="88"/>
      <c r="C79" s="91"/>
      <c r="D79" s="54"/>
      <c r="E79" s="89"/>
      <c r="F79" s="80"/>
      <c r="G79" s="77"/>
      <c r="K79" s="77"/>
      <c r="L79" s="75"/>
      <c r="M79" s="49" t="s">
        <v>64</v>
      </c>
      <c r="N79" s="49" t="s">
        <v>154</v>
      </c>
    </row>
    <row r="80">
      <c r="A80" s="73"/>
      <c r="B80" s="73"/>
      <c r="C80" s="73"/>
      <c r="D80" s="88"/>
      <c r="E80" s="89"/>
      <c r="K80" s="77"/>
      <c r="L80" s="75"/>
      <c r="M80" s="49" t="s">
        <v>64</v>
      </c>
      <c r="N80" s="49" t="s">
        <v>155</v>
      </c>
    </row>
    <row r="81">
      <c r="A81" s="73"/>
      <c r="B81" s="73"/>
      <c r="C81" s="73"/>
      <c r="D81" s="74"/>
      <c r="E81" s="89"/>
      <c r="F81" s="80"/>
      <c r="G81" s="77"/>
      <c r="K81" s="77"/>
      <c r="L81" s="75"/>
      <c r="M81" s="49" t="s">
        <v>64</v>
      </c>
      <c r="N81" s="49" t="s">
        <v>156</v>
      </c>
    </row>
    <row r="82">
      <c r="A82" s="73"/>
      <c r="B82" s="73"/>
      <c r="C82" s="73"/>
      <c r="D82" s="74"/>
      <c r="E82" s="89"/>
      <c r="K82" s="77"/>
      <c r="L82" s="75"/>
      <c r="M82" s="49" t="s">
        <v>64</v>
      </c>
      <c r="N82" s="49" t="s">
        <v>157</v>
      </c>
    </row>
    <row r="83">
      <c r="A83" s="73"/>
      <c r="B83" s="73"/>
      <c r="C83" s="73"/>
      <c r="D83" s="74"/>
      <c r="E83" s="89"/>
      <c r="F83" s="80"/>
      <c r="G83" s="77"/>
      <c r="K83" s="77"/>
      <c r="L83" s="75"/>
      <c r="M83" s="49"/>
      <c r="N83" s="49" t="s">
        <v>102</v>
      </c>
    </row>
    <row r="84">
      <c r="M84" s="49"/>
      <c r="N84" s="49"/>
    </row>
    <row r="85">
      <c r="A85" s="73"/>
      <c r="B85" s="75"/>
      <c r="C85" s="54"/>
      <c r="D85" s="54"/>
      <c r="E85" s="89"/>
      <c r="K85" s="77"/>
      <c r="L85" s="75"/>
    </row>
    <row r="86">
      <c r="A86" s="73"/>
      <c r="B86" s="75"/>
      <c r="C86" s="54"/>
      <c r="D86" s="54"/>
      <c r="E86" s="89"/>
      <c r="F86" s="80"/>
      <c r="G86" s="77"/>
      <c r="K86" s="77"/>
      <c r="L86" s="75"/>
    </row>
    <row r="87">
      <c r="A87" s="73"/>
      <c r="B87" s="75"/>
      <c r="C87" s="54"/>
      <c r="D87" s="54"/>
      <c r="E87" s="89"/>
      <c r="K87" s="77"/>
      <c r="L87" s="75"/>
    </row>
    <row r="88">
      <c r="A88" s="73"/>
      <c r="B88" s="75"/>
      <c r="C88" s="54"/>
      <c r="D88" s="54"/>
      <c r="E88" s="89"/>
      <c r="F88" s="80"/>
      <c r="G88" s="77"/>
      <c r="K88" s="77"/>
      <c r="L88" s="75"/>
    </row>
    <row r="89">
      <c r="A89" s="73"/>
      <c r="B89" s="75"/>
      <c r="C89" s="54"/>
      <c r="D89" s="54"/>
      <c r="E89" s="89"/>
      <c r="K89" s="77"/>
      <c r="L89" s="75"/>
    </row>
    <row r="90">
      <c r="A90" s="73"/>
      <c r="B90" s="75"/>
      <c r="C90" s="54"/>
      <c r="D90" s="54"/>
      <c r="E90" s="89"/>
      <c r="F90" s="80"/>
      <c r="G90" s="77"/>
      <c r="K90" s="77"/>
      <c r="L90" s="75"/>
    </row>
    <row r="91">
      <c r="A91" s="73"/>
      <c r="B91" s="75"/>
      <c r="C91" s="54"/>
      <c r="D91" s="54"/>
      <c r="E91" s="89"/>
      <c r="F91" s="80"/>
      <c r="G91" s="77"/>
      <c r="K91" s="77"/>
      <c r="L91" s="75"/>
    </row>
    <row r="92">
      <c r="A92" s="73"/>
      <c r="B92" s="75"/>
      <c r="C92" s="90"/>
      <c r="D92" s="90"/>
    </row>
    <row r="93">
      <c r="A93" s="73"/>
      <c r="B93" s="75"/>
      <c r="C93" s="54"/>
      <c r="D93" s="54"/>
    </row>
    <row r="94">
      <c r="A94" s="73"/>
      <c r="B94" s="75"/>
      <c r="C94" s="54"/>
      <c r="D94" s="54"/>
    </row>
    <row r="96">
      <c r="A96" s="72" t="s">
        <v>63</v>
      </c>
      <c r="B96" s="82" t="s">
        <v>158</v>
      </c>
      <c r="C96" s="75" t="s">
        <v>30</v>
      </c>
      <c r="D96" s="92" t="s">
        <v>159</v>
      </c>
      <c r="E96" s="73" t="s">
        <v>32</v>
      </c>
      <c r="F96" s="75" t="s">
        <v>65</v>
      </c>
      <c r="G96" s="76">
        <v>1.0</v>
      </c>
      <c r="H96" s="78" t="s">
        <v>160</v>
      </c>
      <c r="I96" s="78" t="s">
        <v>66</v>
      </c>
      <c r="J96" s="79" t="s">
        <v>54</v>
      </c>
      <c r="K96" s="77" t="s">
        <v>67</v>
      </c>
      <c r="L96" s="75" t="s">
        <v>68</v>
      </c>
    </row>
    <row r="97">
      <c r="A97" s="72" t="s">
        <v>63</v>
      </c>
      <c r="B97" s="82" t="s">
        <v>158</v>
      </c>
      <c r="C97" s="75" t="s">
        <v>29</v>
      </c>
      <c r="D97" s="92" t="s">
        <v>161</v>
      </c>
      <c r="E97" s="75" t="s">
        <v>33</v>
      </c>
      <c r="F97" s="80" t="s">
        <v>69</v>
      </c>
      <c r="G97" s="76">
        <v>2.0</v>
      </c>
      <c r="H97" s="78" t="s">
        <v>162</v>
      </c>
      <c r="I97" s="81" t="s">
        <v>70</v>
      </c>
      <c r="J97" s="79" t="s">
        <v>54</v>
      </c>
      <c r="K97" s="77" t="s">
        <v>71</v>
      </c>
      <c r="L97" s="84" t="s">
        <v>12</v>
      </c>
    </row>
    <row r="98">
      <c r="A98" s="72" t="s">
        <v>63</v>
      </c>
      <c r="B98" s="82" t="s">
        <v>158</v>
      </c>
      <c r="C98" s="79" t="s">
        <v>31</v>
      </c>
      <c r="D98" s="92" t="s">
        <v>163</v>
      </c>
      <c r="E98" s="75" t="s">
        <v>34</v>
      </c>
      <c r="F98" s="80" t="s">
        <v>75</v>
      </c>
      <c r="G98" s="76">
        <v>4.0</v>
      </c>
      <c r="H98" s="78" t="s">
        <v>164</v>
      </c>
      <c r="I98" s="78" t="s">
        <v>66</v>
      </c>
      <c r="J98" s="79" t="s">
        <v>54</v>
      </c>
      <c r="K98" s="77" t="s">
        <v>67</v>
      </c>
      <c r="L98" s="75" t="s">
        <v>68</v>
      </c>
    </row>
    <row r="99">
      <c r="A99" s="72" t="s">
        <v>63</v>
      </c>
      <c r="B99" s="82" t="s">
        <v>158</v>
      </c>
      <c r="C99" s="75" t="s">
        <v>15</v>
      </c>
      <c r="D99" s="92" t="s">
        <v>165</v>
      </c>
      <c r="E99" s="75" t="s">
        <v>35</v>
      </c>
      <c r="F99" s="73" t="s">
        <v>78</v>
      </c>
      <c r="G99" s="78">
        <v>6.75</v>
      </c>
      <c r="H99" s="78" t="s">
        <v>160</v>
      </c>
      <c r="I99" s="81" t="s">
        <v>70</v>
      </c>
      <c r="J99" s="79" t="s">
        <v>54</v>
      </c>
      <c r="K99" s="77" t="s">
        <v>71</v>
      </c>
      <c r="L99" s="75" t="s">
        <v>68</v>
      </c>
    </row>
    <row r="100">
      <c r="A100" s="72" t="s">
        <v>63</v>
      </c>
      <c r="B100" s="82" t="s">
        <v>158</v>
      </c>
      <c r="C100" s="75" t="s">
        <v>15</v>
      </c>
      <c r="D100" s="92" t="s">
        <v>166</v>
      </c>
      <c r="E100" s="75" t="s">
        <v>38</v>
      </c>
      <c r="F100" s="73" t="s">
        <v>80</v>
      </c>
      <c r="G100" s="78">
        <v>7.75</v>
      </c>
      <c r="H100" s="78" t="s">
        <v>160</v>
      </c>
      <c r="I100" s="78" t="s">
        <v>66</v>
      </c>
      <c r="J100" s="79" t="s">
        <v>54</v>
      </c>
      <c r="K100" s="77" t="s">
        <v>67</v>
      </c>
      <c r="L100" s="75" t="s">
        <v>68</v>
      </c>
    </row>
    <row r="101">
      <c r="A101" s="72" t="s">
        <v>63</v>
      </c>
      <c r="B101" s="82" t="s">
        <v>158</v>
      </c>
      <c r="C101" s="79" t="s">
        <v>31</v>
      </c>
      <c r="D101" s="92" t="s">
        <v>167</v>
      </c>
      <c r="E101" s="75" t="s">
        <v>36</v>
      </c>
      <c r="F101" s="80" t="s">
        <v>82</v>
      </c>
      <c r="G101" s="78">
        <v>9.75</v>
      </c>
      <c r="H101" s="78" t="s">
        <v>160</v>
      </c>
      <c r="I101" s="81" t="s">
        <v>70</v>
      </c>
      <c r="J101" s="79" t="s">
        <v>54</v>
      </c>
      <c r="K101" s="77" t="s">
        <v>71</v>
      </c>
      <c r="L101" s="75" t="s">
        <v>68</v>
      </c>
    </row>
    <row r="102">
      <c r="A102" s="72" t="s">
        <v>63</v>
      </c>
      <c r="B102" s="82" t="s">
        <v>158</v>
      </c>
      <c r="C102" s="79" t="s">
        <v>31</v>
      </c>
      <c r="D102" s="92" t="s">
        <v>168</v>
      </c>
      <c r="E102" s="75" t="s">
        <v>39</v>
      </c>
      <c r="F102" s="80" t="s">
        <v>84</v>
      </c>
      <c r="G102" s="77">
        <v>0.0</v>
      </c>
      <c r="H102" s="78" t="s">
        <v>160</v>
      </c>
      <c r="I102" s="78" t="s">
        <v>66</v>
      </c>
      <c r="J102" s="79" t="s">
        <v>54</v>
      </c>
      <c r="K102" s="77" t="s">
        <v>67</v>
      </c>
      <c r="L102" s="75" t="s">
        <v>68</v>
      </c>
    </row>
    <row r="103">
      <c r="A103" s="72" t="s">
        <v>63</v>
      </c>
      <c r="B103" s="82" t="s">
        <v>158</v>
      </c>
      <c r="C103" s="79" t="s">
        <v>31</v>
      </c>
      <c r="D103" s="92" t="s">
        <v>169</v>
      </c>
      <c r="E103" s="74" t="s">
        <v>37</v>
      </c>
    </row>
    <row r="104">
      <c r="A104" s="72" t="s">
        <v>63</v>
      </c>
      <c r="B104" s="82" t="s">
        <v>158</v>
      </c>
      <c r="C104" s="79" t="s">
        <v>31</v>
      </c>
      <c r="E104" s="73" t="s">
        <v>74</v>
      </c>
    </row>
    <row r="105">
      <c r="E105" s="73"/>
    </row>
    <row r="106">
      <c r="E106" s="73"/>
    </row>
    <row r="107">
      <c r="E107" s="7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7.5"/>
    <col customWidth="1" min="24" max="24" width="16.5"/>
    <col customWidth="1" min="25" max="25" width="19.0"/>
    <col customWidth="1" min="47" max="47" width="15.13"/>
    <col customWidth="1" min="49" max="49" width="14.75"/>
    <col customWidth="1" min="51" max="51" width="18.75"/>
    <col customWidth="1" min="55" max="55" width="16.63"/>
  </cols>
  <sheetData>
    <row r="1">
      <c r="A1" s="93" t="str">
        <f>IFERROR(__xludf.DUMMYFUNCTION("IMPORTRANGE(""1CaFBcMkv9PQybJ7XLhF00F3kSBmON_F1yL7g51r4TjQ"",""'Master'!A14:G"")"),"Sheet Type")</f>
        <v>Sheet Type</v>
      </c>
      <c r="B1" s="18" t="str">
        <f>IFERROR(__xludf.DUMMYFUNCTION("""COMPUTED_VALUE"""),"Sheet Size")</f>
        <v>Sheet Size</v>
      </c>
      <c r="C1" s="94" t="str">
        <f>IFERROR(__xludf.DUMMYFUNCTION("""COMPUTED_VALUE"""),"Size")</f>
        <v>Size</v>
      </c>
      <c r="D1" s="18" t="str">
        <f>IFERROR(__xludf.DUMMYFUNCTION("""COMPUTED_VALUE"""),"Sheet Price")</f>
        <v>Sheet Price</v>
      </c>
      <c r="E1" s="18" t="str">
        <f>IFERROR(__xludf.DUMMYFUNCTION("""COMPUTED_VALUE"""),"Machine")</f>
        <v>Machine</v>
      </c>
      <c r="F1" s="95" t="str">
        <f>IFERROR(__xludf.DUMMYFUNCTION("""COMPUTED_VALUE"""),"Sheet Type")</f>
        <v>Sheet Type</v>
      </c>
      <c r="G1" s="80"/>
      <c r="H1" s="80"/>
      <c r="I1" s="80"/>
      <c r="J1" s="80"/>
      <c r="K1" s="80"/>
      <c r="L1" s="80"/>
      <c r="M1" s="80"/>
      <c r="N1" s="80"/>
      <c r="O1" s="80"/>
      <c r="P1" s="96" t="str">
        <f>IFERROR(__xludf.DUMMYFUNCTION("IMPORTRANGE(""1CaFBcMkv9PQybJ7XLhF00F3kSBmON_F1yL7g51r4TjQ"",""'Master'!A1:AO300"")"),"SBS")</f>
        <v>SBS</v>
      </c>
      <c r="Q1" s="97" t="str">
        <f>IFERROR(__xludf.DUMMYFUNCTION("""COMPUTED_VALUE"""),"WHITEBACK")</f>
        <v>WHITEBACK</v>
      </c>
      <c r="R1" s="97" t="str">
        <f>IFERROR(__xludf.DUMMYFUNCTION("""COMPUTED_VALUE"""),"GREYBACK")</f>
        <v>GREYBACK</v>
      </c>
      <c r="S1" s="97" t="str">
        <f>IFERROR(__xludf.DUMMYFUNCTION("""COMPUTED_VALUE"""),"Normal Gloss/Matt")</f>
        <v>Normal Gloss/Matt</v>
      </c>
      <c r="T1" s="97" t="str">
        <f>IFERROR(__xludf.DUMMYFUNCTION("""COMPUTED_VALUE"""),"Thermal")</f>
        <v>Thermal</v>
      </c>
      <c r="U1" s="97" t="str">
        <f>IFERROR(__xludf.DUMMYFUNCTION("""COMPUTED_VALUE"""),"Hybrid UV")</f>
        <v>Hybrid UV</v>
      </c>
      <c r="V1" s="97" t="str">
        <f>IFERROR(__xludf.DUMMYFUNCTION("""COMPUTED_VALUE"""),"Varnish")</f>
        <v>Varnish</v>
      </c>
      <c r="W1" s="97" t="str">
        <f>IFERROR(__xludf.DUMMYFUNCTION("""COMPUTED_VALUE"""),"Hybrid Flat")</f>
        <v>Hybrid Flat</v>
      </c>
      <c r="X1" s="97" t="str">
        <f>IFERROR(__xludf.DUMMYFUNCTION("""COMPUTED_VALUE"""),"Spot UV")</f>
        <v>Spot UV</v>
      </c>
      <c r="Y1" s="97" t="str">
        <f>IFERROR(__xludf.DUMMYFUNCTION("""COMPUTED_VALUE"""),"Minimum UV Charges")</f>
        <v>Minimum UV Charges</v>
      </c>
      <c r="Z1" s="97" t="str">
        <f>IFERROR(__xludf.DUMMYFUNCTION("""COMPUTED_VALUE"""),"Blister Gumming")</f>
        <v>Blister Gumming</v>
      </c>
      <c r="AA1" s="98" t="str">
        <f>IFERROR(__xludf.DUMMYFUNCTION("""COMPUTED_VALUE"""),"Sheets")</f>
        <v>Sheets</v>
      </c>
      <c r="AB1" s="98" t="str">
        <f>IFERROR(__xludf.DUMMYFUNCTION("""COMPUTED_VALUE"""),"Sheet 2")</f>
        <v>Sheet 2</v>
      </c>
      <c r="AC1" s="98" t="str">
        <f>IFERROR(__xludf.DUMMYFUNCTION("""COMPUTED_VALUE"""),"Printing 19*26")</f>
        <v>Printing 19*26</v>
      </c>
      <c r="AD1" s="98" t="str">
        <f>IFERROR(__xludf.DUMMYFUNCTION("""COMPUTED_VALUE"""),"Dye")</f>
        <v>Dye</v>
      </c>
      <c r="AE1" s="98" t="str">
        <f>IFERROR(__xludf.DUMMYFUNCTION("""COMPUTED_VALUE"""),"Dangler Making")</f>
        <v>Dangler Making</v>
      </c>
      <c r="AF1" s="98" t="str">
        <f>IFERROR(__xludf.DUMMYFUNCTION("""COMPUTED_VALUE"""),"Printing 20*29")</f>
        <v>Printing 20*29</v>
      </c>
      <c r="AG1" s="98" t="str">
        <f>IFERROR(__xludf.DUMMYFUNCTION("""COMPUTED_VALUE"""),"Printing 28*40")</f>
        <v>Printing 28*40</v>
      </c>
      <c r="AH1" s="98" t="str">
        <f>IFERROR(__xludf.DUMMYFUNCTION("""COMPUTED_VALUE"""),"Corrugation")</f>
        <v>Corrugation</v>
      </c>
      <c r="AI1" s="98" t="str">
        <f>IFERROR(__xludf.DUMMYFUNCTION("""COMPUTED_VALUE"""),"Digital Sheets")</f>
        <v>Digital Sheets</v>
      </c>
      <c r="AJ1" s="98" t="str">
        <f>IFERROR(__xludf.DUMMYFUNCTION("""COMPUTED_VALUE"""),"Digital Sheet 2")</f>
        <v>Digital Sheet 2</v>
      </c>
      <c r="AK1" s="98" t="str">
        <f>IFERROR(__xludf.DUMMYFUNCTION("""COMPUTED_VALUE"""),"Digital 13*45")</f>
        <v>Digital 13*45</v>
      </c>
      <c r="AL1" s="98" t="str">
        <f>IFERROR(__xludf.DUMMYFUNCTION("""COMPUTED_VALUE"""),"Solvent")</f>
        <v>Solvent</v>
      </c>
      <c r="AM1" s="98" t="str">
        <f>IFERROR(__xludf.DUMMYFUNCTION("""COMPUTED_VALUE"""),"Eco Solvent")</f>
        <v>Eco Solvent</v>
      </c>
      <c r="AN1" s="98" t="str">
        <f>IFERROR(__xludf.DUMMYFUNCTION("""COMPUTED_VALUE"""),"HP Latex")</f>
        <v>HP Latex</v>
      </c>
      <c r="AO1" s="98" t="str">
        <f>IFERROR(__xludf.DUMMYFUNCTION("""COMPUTED_VALUE"""),"Material")</f>
        <v>Material</v>
      </c>
      <c r="AP1" s="99" t="str">
        <f>IFERROR(__xludf.DUMMYFUNCTION("""COMPUTED_VALUE"""),"HardBound")</f>
        <v>HardBound</v>
      </c>
      <c r="AQ1" s="99" t="str">
        <f>IFERROR(__xludf.DUMMYFUNCTION("""COMPUTED_VALUE"""),"MM")</f>
        <v>MM</v>
      </c>
      <c r="AR1" s="99" t="str">
        <f>IFERROR(__xludf.DUMMYFUNCTION("""COMPUTED_VALUE"""),"No of Boards")</f>
        <v>No of Boards</v>
      </c>
      <c r="AS1" s="88" t="str">
        <f>IFERROR(__xludf.DUMMYFUNCTION("""COMPUTED_VALUE"""),"Price")</f>
        <v>Price</v>
      </c>
      <c r="AT1" s="100" t="str">
        <f>IFERROR(__xludf.DUMMYFUNCTION("""COMPUTED_VALUE"""),"Per Bundle Price")</f>
        <v>Per Bundle Price</v>
      </c>
      <c r="AU1" s="100" t="str">
        <f>IFERROR(__xludf.DUMMYFUNCTION("""COMPUTED_VALUE"""),"Machine")</f>
        <v>Machine</v>
      </c>
      <c r="AV1" s="100" t="str">
        <f>IFERROR(__xludf.DUMMYFUNCTION("""COMPUTED_VALUE"""),"Price")</f>
        <v>Price</v>
      </c>
      <c r="AW1" s="100" t="str">
        <f>IFERROR(__xludf.DUMMYFUNCTION("""COMPUTED_VALUE"""),"Material")</f>
        <v>Material</v>
      </c>
      <c r="AX1" s="101" t="str">
        <f>IFERROR(__xludf.DUMMYFUNCTION("""COMPUTED_VALUE"""),"Price")</f>
        <v>Price</v>
      </c>
      <c r="AY1" s="100" t="str">
        <f>IFERROR(__xludf.DUMMYFUNCTION("""COMPUTED_VALUE"""),"Printable Media")</f>
        <v>Printable Media</v>
      </c>
      <c r="AZ1" s="100" t="str">
        <f>IFERROR(__xludf.DUMMYFUNCTION("""COMPUTED_VALUE"""),"Price")</f>
        <v>Price</v>
      </c>
      <c r="BA1" s="100" t="str">
        <f>IFERROR(__xludf.DUMMYFUNCTION("""COMPUTED_VALUE"""),"Add On")</f>
        <v>Add On</v>
      </c>
      <c r="BB1" s="100" t="str">
        <f>IFERROR(__xludf.DUMMYFUNCTION("""COMPUTED_VALUE"""),"Price")</f>
        <v>Price</v>
      </c>
      <c r="BC1" s="100" t="str">
        <f>IFERROR(__xludf.DUMMYFUNCTION("""COMPUTED_VALUE"""),"Add On 2")</f>
        <v>Add On 2</v>
      </c>
      <c r="BD1" s="50" t="str">
        <f>IFERROR(__xludf.DUMMYFUNCTION("""COMPUTED_VALUE"""),"Price")</f>
        <v>Price</v>
      </c>
      <c r="BE1" s="50" t="s">
        <v>170</v>
      </c>
      <c r="BF1" s="50" t="s">
        <v>171</v>
      </c>
    </row>
    <row r="2">
      <c r="A2" s="86" t="str">
        <f>IFERROR(__xludf.DUMMYFUNCTION("""COMPUTED_VALUE"""),"AD Chromo")</f>
        <v>AD Chromo</v>
      </c>
      <c r="B2" s="86">
        <f>IFERROR(__xludf.DUMMYFUNCTION("""COMPUTED_VALUE"""),1520.0)</f>
        <v>1520</v>
      </c>
      <c r="C2" s="86" t="str">
        <f>IFERROR(__xludf.DUMMYFUNCTION("""COMPUTED_VALUE"""),"15*20")</f>
        <v>15*20</v>
      </c>
      <c r="D2" s="86">
        <f>IFERROR(__xludf.DUMMYFUNCTION("""COMPUTED_VALUE"""),6.0)</f>
        <v>6</v>
      </c>
      <c r="E2" s="102">
        <f>IFERROR(__xludf.DUMMYFUNCTION("""COMPUTED_VALUE"""),1926.0)</f>
        <v>1926</v>
      </c>
      <c r="F2" s="103" t="str">
        <f>IFERROR(__xludf.DUMMYFUNCTION("""COMPUTED_VALUE"""),"Gumming Sticker")</f>
        <v>Gumming Sticker</v>
      </c>
      <c r="G2" s="80"/>
      <c r="H2" s="104"/>
      <c r="I2" s="80"/>
      <c r="J2" s="80"/>
      <c r="K2" s="80"/>
      <c r="L2" s="80"/>
      <c r="M2" s="80"/>
      <c r="N2" s="80"/>
      <c r="O2" s="80"/>
      <c r="P2" s="102">
        <f>IFERROR(__xludf.DUMMYFUNCTION("""COMPUTED_VALUE"""),85.0)</f>
        <v>85</v>
      </c>
      <c r="Q2" s="102">
        <f>IFERROR(__xludf.DUMMYFUNCTION("""COMPUTED_VALUE"""),78.0)</f>
        <v>78</v>
      </c>
      <c r="R2" s="102">
        <f>IFERROR(__xludf.DUMMYFUNCTION("""COMPUTED_VALUE"""),70.0)</f>
        <v>70</v>
      </c>
      <c r="S2" s="102">
        <f>IFERROR(__xludf.DUMMYFUNCTION("""COMPUTED_VALUE"""),0.0033)</f>
        <v>0.0033</v>
      </c>
      <c r="T2" s="102">
        <f>IFERROR(__xludf.DUMMYFUNCTION("""COMPUTED_VALUE"""),0.008)</f>
        <v>0.008</v>
      </c>
      <c r="U2" s="102">
        <f>IFERROR(__xludf.DUMMYFUNCTION("""COMPUTED_VALUE"""),0.0045)</f>
        <v>0.0045</v>
      </c>
      <c r="V2" s="102">
        <f>IFERROR(__xludf.DUMMYFUNCTION("""COMPUTED_VALUE"""),0.0014)</f>
        <v>0.0014</v>
      </c>
      <c r="W2" s="102">
        <f>IFERROR(__xludf.DUMMYFUNCTION("""COMPUTED_VALUE"""),0.0025)</f>
        <v>0.0025</v>
      </c>
      <c r="X2" s="102">
        <f>IFERROR(__xludf.DUMMYFUNCTION("""COMPUTED_VALUE"""),1.0)</f>
        <v>1</v>
      </c>
      <c r="Y2" s="102">
        <f>IFERROR(__xludf.DUMMYFUNCTION("""COMPUTED_VALUE"""),1100.0)</f>
        <v>1100</v>
      </c>
      <c r="Z2" s="102">
        <f>IFERROR(__xludf.DUMMYFUNCTION("""COMPUTED_VALUE"""),0.0025)</f>
        <v>0.0025</v>
      </c>
      <c r="AA2" s="86">
        <f>IFERROR(__xludf.DUMMYFUNCTION("""COMPUTED_VALUE"""),1.0)</f>
        <v>1</v>
      </c>
      <c r="AB2" s="86">
        <f>IFERROR(__xludf.DUMMYFUNCTION("""COMPUTED_VALUE"""),1080.0)</f>
        <v>1080</v>
      </c>
      <c r="AC2" s="86">
        <f>IFERROR(__xludf.DUMMYFUNCTION("""COMPUTED_VALUE"""),250.0)</f>
        <v>250</v>
      </c>
      <c r="AD2" s="86">
        <f>IFERROR(__xludf.DUMMYFUNCTION("""COMPUTED_VALUE"""),300.0)</f>
        <v>300</v>
      </c>
      <c r="AE2" s="86">
        <f>IFERROR(__xludf.DUMMYFUNCTION("""COMPUTED_VALUE"""),0.25)</f>
        <v>0.25</v>
      </c>
      <c r="AF2" s="86">
        <f>IFERROR(__xludf.DUMMYFUNCTION("""COMPUTED_VALUE"""),300.0)</f>
        <v>300</v>
      </c>
      <c r="AG2" s="86">
        <f>IFERROR(__xludf.DUMMYFUNCTION("""COMPUTED_VALUE"""),750.0)</f>
        <v>750</v>
      </c>
      <c r="AH2" s="86"/>
      <c r="AI2" s="86">
        <f>IFERROR(__xludf.DUMMYFUNCTION("""COMPUTED_VALUE"""),0.0)</f>
        <v>0</v>
      </c>
      <c r="AJ2" s="86">
        <f>IFERROR(__xludf.DUMMYFUNCTION("""COMPUTED_VALUE"""),50.0)</f>
        <v>50</v>
      </c>
      <c r="AK2" s="86">
        <f>IFERROR(__xludf.DUMMYFUNCTION("""COMPUTED_VALUE"""),8.0)</f>
        <v>8</v>
      </c>
      <c r="AL2" s="86">
        <f>IFERROR(__xludf.DUMMYFUNCTION("""COMPUTED_VALUE"""),6.0)</f>
        <v>6</v>
      </c>
      <c r="AM2" s="86">
        <f>IFERROR(__xludf.DUMMYFUNCTION("""COMPUTED_VALUE"""),20.0)</f>
        <v>20</v>
      </c>
      <c r="AN2" s="86">
        <f>IFERROR(__xludf.DUMMYFUNCTION("""COMPUTED_VALUE"""),60.0)</f>
        <v>60</v>
      </c>
      <c r="AO2" s="88">
        <f>IFERROR(__xludf.DUMMYFUNCTION("""COMPUTED_VALUE"""),0.15)</f>
        <v>0.15</v>
      </c>
      <c r="AP2" s="86" t="str">
        <f>IFERROR(__xludf.DUMMYFUNCTION("""COMPUTED_VALUE"""),"13*28")</f>
        <v>13*28</v>
      </c>
      <c r="AQ2" s="86">
        <f>IFERROR(__xludf.DUMMYFUNCTION("""COMPUTED_VALUE"""),1.75)</f>
        <v>1.75</v>
      </c>
      <c r="AR2" s="86">
        <f>IFERROR(__xludf.DUMMYFUNCTION("""COMPUTED_VALUE"""),55.0)</f>
        <v>55</v>
      </c>
      <c r="AS2" s="86">
        <f>IFERROR(__xludf.DUMMYFUNCTION("""COMPUTED_VALUE"""),12.0)</f>
        <v>12</v>
      </c>
      <c r="AT2" s="100">
        <f>IFERROR(__xludf.DUMMYFUNCTION("""COMPUTED_VALUE"""),650.0)</f>
        <v>650</v>
      </c>
      <c r="AU2" s="86" t="str">
        <f>IFERROR(__xludf.DUMMYFUNCTION("""COMPUTED_VALUE"""),"Plotter Cutting")</f>
        <v>Plotter Cutting</v>
      </c>
      <c r="AV2" s="90">
        <f>IFERROR(__xludf.DUMMYFUNCTION("""COMPUTED_VALUE"""),12.0)</f>
        <v>12</v>
      </c>
      <c r="AW2" s="102" t="str">
        <f>IFERROR(__xludf.DUMMYFUNCTION("""COMPUTED_VALUE"""),"SunBoard 2mm")</f>
        <v>SunBoard 2mm</v>
      </c>
      <c r="AX2" s="54">
        <f>IFERROR(__xludf.DUMMYFUNCTION("""COMPUTED_VALUE"""),10.0)</f>
        <v>10</v>
      </c>
      <c r="AY2" s="102" t="str">
        <f>IFERROR(__xludf.DUMMYFUNCTION("""COMPUTED_VALUE"""),"Vinyl Normal")</f>
        <v>Vinyl Normal</v>
      </c>
      <c r="AZ2" s="88">
        <f>IFERROR(__xludf.DUMMYFUNCTION("""COMPUTED_VALUE"""),5.0)</f>
        <v>5</v>
      </c>
      <c r="BA2" s="102" t="str">
        <f>IFERROR(__xludf.DUMMYFUNCTION("""COMPUTED_VALUE"""),"Standee 3*6")</f>
        <v>Standee 3*6</v>
      </c>
      <c r="BB2" s="90">
        <f>IFERROR(__xludf.DUMMYFUNCTION("""COMPUTED_VALUE"""),550.0)</f>
        <v>550</v>
      </c>
      <c r="BC2" s="102" t="str">
        <f>IFERROR(__xludf.DUMMYFUNCTION("""COMPUTED_VALUE"""),"Lamination Gloss 3M")</f>
        <v>Lamination Gloss 3M</v>
      </c>
      <c r="BD2" s="89">
        <f>IFERROR(__xludf.DUMMYFUNCTION("""COMPUTED_VALUE"""),14.0)</f>
        <v>14</v>
      </c>
      <c r="BE2" s="89">
        <v>2250.0</v>
      </c>
      <c r="BF2" s="89">
        <v>3300.0</v>
      </c>
    </row>
    <row r="3">
      <c r="A3" s="86" t="str">
        <f>IFERROR(__xludf.DUMMYFUNCTION("""COMPUTED_VALUE"""),"AD Chromo")</f>
        <v>AD Chromo</v>
      </c>
      <c r="B3" s="86">
        <f>IFERROR(__xludf.DUMMYFUNCTION("""COMPUTED_VALUE"""),1823.0)</f>
        <v>1823</v>
      </c>
      <c r="C3" s="86" t="str">
        <f>IFERROR(__xludf.DUMMYFUNCTION("""COMPUTED_VALUE"""),"18*23")</f>
        <v>18*23</v>
      </c>
      <c r="D3" s="86">
        <f>IFERROR(__xludf.DUMMYFUNCTION("""COMPUTED_VALUE"""),8.0)</f>
        <v>8</v>
      </c>
      <c r="E3" s="102">
        <f>IFERROR(__xludf.DUMMYFUNCTION("""COMPUTED_VALUE"""),1926.0)</f>
        <v>1926</v>
      </c>
      <c r="F3" s="103" t="str">
        <f>IFERROR(__xludf.DUMMYFUNCTION("""COMPUTED_VALUE"""),"Gumming Sticker")</f>
        <v>Gumming Sticker</v>
      </c>
      <c r="G3" s="80"/>
      <c r="H3" s="104"/>
      <c r="I3" s="80"/>
      <c r="J3" s="80"/>
      <c r="K3" s="80"/>
      <c r="L3" s="80"/>
      <c r="M3" s="80"/>
      <c r="N3" s="80"/>
      <c r="O3" s="80"/>
      <c r="P3" s="102">
        <f>IFERROR(__xludf.DUMMYFUNCTION("""COMPUTED_VALUE"""),80.0)</f>
        <v>80</v>
      </c>
      <c r="Q3" s="102">
        <f>IFERROR(__xludf.DUMMYFUNCTION("""COMPUTED_VALUE"""),55.0)</f>
        <v>55</v>
      </c>
      <c r="R3" s="102">
        <f>IFERROR(__xludf.DUMMYFUNCTION("""COMPUTED_VALUE"""),50.0)</f>
        <v>50</v>
      </c>
      <c r="S3" s="102">
        <f>IFERROR(__xludf.DUMMYFUNCTION("""COMPUTED_VALUE"""),0.0044)</f>
        <v>0.0044</v>
      </c>
      <c r="T3" s="102">
        <f>IFERROR(__xludf.DUMMYFUNCTION("""COMPUTED_VALUE"""),0.008)</f>
        <v>0.008</v>
      </c>
      <c r="U3" s="102">
        <f>IFERROR(__xludf.DUMMYFUNCTION("""COMPUTED_VALUE"""),0.004)</f>
        <v>0.004</v>
      </c>
      <c r="V3" s="80"/>
      <c r="W3" s="80"/>
      <c r="X3" s="104"/>
      <c r="Y3" s="80"/>
      <c r="Z3" s="80"/>
      <c r="AA3" s="86">
        <f>IFERROR(__xludf.DUMMYFUNCTION("""COMPUTED_VALUE"""),1081.0)</f>
        <v>1081</v>
      </c>
      <c r="AB3" s="86">
        <f>IFERROR(__xludf.DUMMYFUNCTION("""COMPUTED_VALUE"""),2080.0)</f>
        <v>2080</v>
      </c>
      <c r="AC3" s="86">
        <f>IFERROR(__xludf.DUMMYFUNCTION("""COMPUTED_VALUE"""),350.0)</f>
        <v>350</v>
      </c>
      <c r="AD3" s="86">
        <f>IFERROR(__xludf.DUMMYFUNCTION("""COMPUTED_VALUE"""),600.0)</f>
        <v>600</v>
      </c>
      <c r="AE3" s="86">
        <f>IFERROR(__xludf.DUMMYFUNCTION("""COMPUTED_VALUE"""),0.25)</f>
        <v>0.25</v>
      </c>
      <c r="AF3" s="86">
        <f>IFERROR(__xludf.DUMMYFUNCTION("""COMPUTED_VALUE"""),400.0)</f>
        <v>400</v>
      </c>
      <c r="AG3" s="86">
        <f>IFERROR(__xludf.DUMMYFUNCTION("""COMPUTED_VALUE"""),750.0)</f>
        <v>750</v>
      </c>
      <c r="AH3" s="86"/>
      <c r="AI3" s="86">
        <f>IFERROR(__xludf.DUMMYFUNCTION("""COMPUTED_VALUE"""),51.0)</f>
        <v>51</v>
      </c>
      <c r="AJ3" s="86">
        <f>IFERROR(__xludf.DUMMYFUNCTION("""COMPUTED_VALUE"""),100.0)</f>
        <v>100</v>
      </c>
      <c r="AK3" s="86">
        <f>IFERROR(__xludf.DUMMYFUNCTION("""COMPUTED_VALUE"""),7.0)</f>
        <v>7</v>
      </c>
      <c r="AL3" s="86">
        <f>IFERROR(__xludf.DUMMYFUNCTION("""COMPUTED_VALUE"""),5.0)</f>
        <v>5</v>
      </c>
      <c r="AM3" s="86">
        <f>IFERROR(__xludf.DUMMYFUNCTION("""COMPUTED_VALUE"""),15.0)</f>
        <v>15</v>
      </c>
      <c r="AN3" s="86">
        <f>IFERROR(__xludf.DUMMYFUNCTION("""COMPUTED_VALUE"""),50.0)</f>
        <v>50</v>
      </c>
      <c r="AO3" s="88">
        <f>IFERROR(__xludf.DUMMYFUNCTION("""COMPUTED_VALUE"""),0.12)</f>
        <v>0.12</v>
      </c>
      <c r="AP3" s="86" t="str">
        <f>IFERROR(__xludf.DUMMYFUNCTION("""COMPUTED_VALUE"""),"17*32")</f>
        <v>17*32</v>
      </c>
      <c r="AQ3" s="86">
        <f>IFERROR(__xludf.DUMMYFUNCTION("""COMPUTED_VALUE"""),1.75)</f>
        <v>1.75</v>
      </c>
      <c r="AR3" s="86">
        <f>IFERROR(__xludf.DUMMYFUNCTION("""COMPUTED_VALUE"""),30.0)</f>
        <v>30</v>
      </c>
      <c r="AS3" s="86">
        <f>IFERROR(__xludf.DUMMYFUNCTION("""COMPUTED_VALUE"""),22.0)</f>
        <v>22</v>
      </c>
      <c r="AT3" s="100">
        <f>IFERROR(__xludf.DUMMYFUNCTION("""COMPUTED_VALUE"""),650.0)</f>
        <v>650</v>
      </c>
      <c r="AU3" s="76" t="str">
        <f>IFERROR(__xludf.DUMMYFUNCTION("""COMPUTED_VALUE"""),"Pasting")</f>
        <v>Pasting</v>
      </c>
      <c r="AV3" s="54">
        <f>IFERROR(__xludf.DUMMYFUNCTION("""COMPUTED_VALUE"""),5.0)</f>
        <v>5</v>
      </c>
      <c r="AW3" s="102" t="str">
        <f>IFERROR(__xludf.DUMMYFUNCTION("""COMPUTED_VALUE"""),"SunBoard 3mm")</f>
        <v>SunBoard 3mm</v>
      </c>
      <c r="AX3" s="54">
        <f>IFERROR(__xludf.DUMMYFUNCTION("""COMPUTED_VALUE"""),12.0)</f>
        <v>12</v>
      </c>
      <c r="AY3" s="102" t="str">
        <f>IFERROR(__xludf.DUMMYFUNCTION("""COMPUTED_VALUE"""),"Vinyl LG / 3M")</f>
        <v>Vinyl LG / 3M</v>
      </c>
      <c r="AZ3" s="88">
        <f>IFERROR(__xludf.DUMMYFUNCTION("""COMPUTED_VALUE"""),9.0)</f>
        <v>9</v>
      </c>
      <c r="BA3" s="102" t="str">
        <f>IFERROR(__xludf.DUMMYFUNCTION("""COMPUTED_VALUE"""),"Standee 2.5*6")</f>
        <v>Standee 2.5*6</v>
      </c>
      <c r="BB3" s="90">
        <f>IFERROR(__xludf.DUMMYFUNCTION("""COMPUTED_VALUE"""),450.0)</f>
        <v>450</v>
      </c>
      <c r="BC3" s="102" t="str">
        <f>IFERROR(__xludf.DUMMYFUNCTION("""COMPUTED_VALUE"""),"Lamination Matt 3M")</f>
        <v>Lamination Matt 3M</v>
      </c>
      <c r="BD3" s="89">
        <f>IFERROR(__xludf.DUMMYFUNCTION("""COMPUTED_VALUE"""),14.0)</f>
        <v>14</v>
      </c>
      <c r="BE3" s="89">
        <v>2250.0</v>
      </c>
      <c r="BF3" s="89">
        <v>3300.0</v>
      </c>
    </row>
    <row r="4">
      <c r="A4" s="86" t="str">
        <f>IFERROR(__xludf.DUMMYFUNCTION("""COMPUTED_VALUE"""),"AD Chromo")</f>
        <v>AD Chromo</v>
      </c>
      <c r="B4" s="86">
        <f>IFERROR(__xludf.DUMMYFUNCTION("""COMPUTED_VALUE"""),1825.0)</f>
        <v>1825</v>
      </c>
      <c r="C4" s="86" t="str">
        <f>IFERROR(__xludf.DUMMYFUNCTION("""COMPUTED_VALUE"""),"18*25")</f>
        <v>18*25</v>
      </c>
      <c r="D4" s="86">
        <f>IFERROR(__xludf.DUMMYFUNCTION("""COMPUTED_VALUE"""),8.5)</f>
        <v>8.5</v>
      </c>
      <c r="E4" s="102">
        <f>IFERROR(__xludf.DUMMYFUNCTION("""COMPUTED_VALUE"""),1926.0)</f>
        <v>1926</v>
      </c>
      <c r="F4" s="103" t="str">
        <f>IFERROR(__xludf.DUMMYFUNCTION("""COMPUTED_VALUE"""),"Gumming Sticker")</f>
        <v>Gumming Sticker</v>
      </c>
      <c r="G4" s="80"/>
      <c r="H4" s="104"/>
      <c r="I4" s="80"/>
      <c r="J4" s="80"/>
      <c r="K4" s="80"/>
      <c r="L4" s="80"/>
      <c r="M4" s="80"/>
      <c r="N4" s="80"/>
      <c r="O4" s="80"/>
      <c r="P4" s="102">
        <f>IFERROR(__xludf.DUMMYFUNCTION("""COMPUTED_VALUE"""),82.0)</f>
        <v>82</v>
      </c>
      <c r="Q4" s="102">
        <f>IFERROR(__xludf.DUMMYFUNCTION("""COMPUTED_VALUE"""),52.0)</f>
        <v>52</v>
      </c>
      <c r="R4" s="102">
        <f>IFERROR(__xludf.DUMMYFUNCTION("""COMPUTED_VALUE"""),47.0)</f>
        <v>47</v>
      </c>
      <c r="S4" s="80"/>
      <c r="T4" s="80">
        <f>IFERROR(__xludf.DUMMYFUNCTION("""COMPUTED_VALUE"""),0.225)</f>
        <v>0.225</v>
      </c>
      <c r="U4" s="80"/>
      <c r="V4" s="80"/>
      <c r="W4" s="80"/>
      <c r="X4" s="80"/>
      <c r="Y4" s="80"/>
      <c r="Z4" s="80"/>
      <c r="AA4" s="86">
        <f>IFERROR(__xludf.DUMMYFUNCTION("""COMPUTED_VALUE"""),2081.0)</f>
        <v>2081</v>
      </c>
      <c r="AB4" s="86">
        <f>IFERROR(__xludf.DUMMYFUNCTION("""COMPUTED_VALUE"""),3080.0)</f>
        <v>3080</v>
      </c>
      <c r="AC4" s="86">
        <f>IFERROR(__xludf.DUMMYFUNCTION("""COMPUTED_VALUE"""),475.0)</f>
        <v>475</v>
      </c>
      <c r="AD4" s="86">
        <f>IFERROR(__xludf.DUMMYFUNCTION("""COMPUTED_VALUE"""),900.0)</f>
        <v>900</v>
      </c>
      <c r="AE4" s="86">
        <f>IFERROR(__xludf.DUMMYFUNCTION("""COMPUTED_VALUE"""),0.25)</f>
        <v>0.25</v>
      </c>
      <c r="AF4" s="86">
        <f>IFERROR(__xludf.DUMMYFUNCTION("""COMPUTED_VALUE"""),500.0)</f>
        <v>500</v>
      </c>
      <c r="AG4" s="86">
        <f>IFERROR(__xludf.DUMMYFUNCTION("""COMPUTED_VALUE"""),750.0)</f>
        <v>750</v>
      </c>
      <c r="AH4" s="86"/>
      <c r="AI4" s="86">
        <f>IFERROR(__xludf.DUMMYFUNCTION("""COMPUTED_VALUE"""),101.0)</f>
        <v>101</v>
      </c>
      <c r="AJ4" s="86">
        <f>IFERROR(__xludf.DUMMYFUNCTION("""COMPUTED_VALUE"""),500.0)</f>
        <v>500</v>
      </c>
      <c r="AK4" s="86">
        <f>IFERROR(__xludf.DUMMYFUNCTION("""COMPUTED_VALUE"""),6.0)</f>
        <v>6</v>
      </c>
      <c r="AL4" s="86">
        <f>IFERROR(__xludf.DUMMYFUNCTION("""COMPUTED_VALUE"""),4.0)</f>
        <v>4</v>
      </c>
      <c r="AM4" s="86">
        <f>IFERROR(__xludf.DUMMYFUNCTION("""COMPUTED_VALUE"""),10.0)</f>
        <v>10</v>
      </c>
      <c r="AN4" s="86">
        <f>IFERROR(__xludf.DUMMYFUNCTION("""COMPUTED_VALUE"""),40.0)</f>
        <v>40</v>
      </c>
      <c r="AO4" s="88">
        <f>IFERROR(__xludf.DUMMYFUNCTION("""COMPUTED_VALUE"""),0.1)</f>
        <v>0.1</v>
      </c>
      <c r="AP4" s="86" t="str">
        <f>IFERROR(__xludf.DUMMYFUNCTION("""COMPUTED_VALUE"""),"27.5*32")</f>
        <v>27.5*32</v>
      </c>
      <c r="AQ4" s="86">
        <f>IFERROR(__xludf.DUMMYFUNCTION("""COMPUTED_VALUE"""),1.5)</f>
        <v>1.5</v>
      </c>
      <c r="AR4" s="86">
        <f>IFERROR(__xludf.DUMMYFUNCTION("""COMPUTED_VALUE"""),37.0)</f>
        <v>37</v>
      </c>
      <c r="AS4" s="86">
        <f>IFERROR(__xludf.DUMMYFUNCTION("""COMPUTED_VALUE"""),18.0)</f>
        <v>18</v>
      </c>
      <c r="AT4" s="100">
        <f>IFERROR(__xludf.DUMMYFUNCTION("""COMPUTED_VALUE"""),650.0)</f>
        <v>650</v>
      </c>
      <c r="AU4" s="102" t="str">
        <f>IFERROR(__xludf.DUMMYFUNCTION("""COMPUTED_VALUE"""),"Laser Cutting")</f>
        <v>Laser Cutting</v>
      </c>
      <c r="AV4" s="54">
        <f>IFERROR(__xludf.DUMMYFUNCTION("""COMPUTED_VALUE"""),250.0)</f>
        <v>250</v>
      </c>
      <c r="AW4" s="102" t="str">
        <f>IFERROR(__xludf.DUMMYFUNCTION("""COMPUTED_VALUE"""),"SunBoard 5mm")</f>
        <v>SunBoard 5mm</v>
      </c>
      <c r="AX4" s="54">
        <f>IFERROR(__xludf.DUMMYFUNCTION("""COMPUTED_VALUE"""),15.0)</f>
        <v>15</v>
      </c>
      <c r="AY4" s="102" t="str">
        <f>IFERROR(__xludf.DUMMYFUNCTION("""COMPUTED_VALUE"""),"Vinyl Clear Gloss")</f>
        <v>Vinyl Clear Gloss</v>
      </c>
      <c r="AZ4" s="88">
        <f>IFERROR(__xludf.DUMMYFUNCTION("""COMPUTED_VALUE"""),4.0)</f>
        <v>4</v>
      </c>
      <c r="BA4" s="102" t="str">
        <f>IFERROR(__xludf.DUMMYFUNCTION("""COMPUTED_VALUE"""),"Standee 2*5")</f>
        <v>Standee 2*5</v>
      </c>
      <c r="BB4" s="90">
        <f>IFERROR(__xludf.DUMMYFUNCTION("""COMPUTED_VALUE"""),400.0)</f>
        <v>400</v>
      </c>
      <c r="BC4" s="102" t="str">
        <f>IFERROR(__xludf.DUMMYFUNCTION("""COMPUTED_VALUE"""),"Lamination Gloss Normal")</f>
        <v>Lamination Gloss Normal</v>
      </c>
      <c r="BD4" s="89">
        <f>IFERROR(__xludf.DUMMYFUNCTION("""COMPUTED_VALUE"""),11.0)</f>
        <v>11</v>
      </c>
      <c r="BE4" s="89">
        <v>2250.0</v>
      </c>
      <c r="BF4" s="89">
        <v>3300.0</v>
      </c>
    </row>
    <row r="5">
      <c r="A5" s="86" t="str">
        <f>IFERROR(__xludf.DUMMYFUNCTION("""COMPUTED_VALUE"""),"WC Chromo")</f>
        <v>WC Chromo</v>
      </c>
      <c r="B5" s="86">
        <f>IFERROR(__xludf.DUMMYFUNCTION("""COMPUTED_VALUE"""),1520.0)</f>
        <v>1520</v>
      </c>
      <c r="C5" s="86" t="str">
        <f>IFERROR(__xludf.DUMMYFUNCTION("""COMPUTED_VALUE"""),"15*20")</f>
        <v>15*20</v>
      </c>
      <c r="D5" s="86">
        <f>IFERROR(__xludf.DUMMYFUNCTION("""COMPUTED_VALUE"""),4.0)</f>
        <v>4</v>
      </c>
      <c r="E5" s="102">
        <f>IFERROR(__xludf.DUMMYFUNCTION("""COMPUTED_VALUE"""),1926.0)</f>
        <v>1926</v>
      </c>
      <c r="F5" s="103" t="str">
        <f>IFERROR(__xludf.DUMMYFUNCTION("""COMPUTED_VALUE"""),"Gumming Sticker")</f>
        <v>Gumming Sticker</v>
      </c>
      <c r="G5" s="80"/>
      <c r="H5" s="104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6">
        <f>IFERROR(__xludf.DUMMYFUNCTION("""COMPUTED_VALUE"""),3081.0)</f>
        <v>3081</v>
      </c>
      <c r="AB5" s="86">
        <f>IFERROR(__xludf.DUMMYFUNCTION("""COMPUTED_VALUE"""),4080.0)</f>
        <v>4080</v>
      </c>
      <c r="AC5" s="86">
        <f>IFERROR(__xludf.DUMMYFUNCTION("""COMPUTED_VALUE"""),600.0)</f>
        <v>600</v>
      </c>
      <c r="AD5" s="86">
        <f>IFERROR(__xludf.DUMMYFUNCTION("""COMPUTED_VALUE"""),1200.0)</f>
        <v>1200</v>
      </c>
      <c r="AE5" s="86">
        <f>IFERROR(__xludf.DUMMYFUNCTION("""COMPUTED_VALUE"""),0.25)</f>
        <v>0.25</v>
      </c>
      <c r="AF5" s="86">
        <f>IFERROR(__xludf.DUMMYFUNCTION("""COMPUTED_VALUE"""),600.0)</f>
        <v>600</v>
      </c>
      <c r="AG5" s="86">
        <f>IFERROR(__xludf.DUMMYFUNCTION("""COMPUTED_VALUE"""),925.0)</f>
        <v>925</v>
      </c>
      <c r="AH5" s="86"/>
      <c r="AI5" s="86">
        <f>IFERROR(__xludf.DUMMYFUNCTION("""COMPUTED_VALUE"""),501.0)</f>
        <v>501</v>
      </c>
      <c r="AJ5" s="86">
        <f>IFERROR(__xludf.DUMMYFUNCTION("""COMPUTED_VALUE"""),2000.0)</f>
        <v>2000</v>
      </c>
      <c r="AK5" s="86">
        <f>IFERROR(__xludf.DUMMYFUNCTION("""COMPUTED_VALUE"""),5.0)</f>
        <v>5</v>
      </c>
      <c r="AL5" s="86">
        <f>IFERROR(__xludf.DUMMYFUNCTION("""COMPUTED_VALUE"""),3.0)</f>
        <v>3</v>
      </c>
      <c r="AM5" s="86">
        <f>IFERROR(__xludf.DUMMYFUNCTION("""COMPUTED_VALUE"""),9.0)</f>
        <v>9</v>
      </c>
      <c r="AN5" s="86">
        <f>IFERROR(__xludf.DUMMYFUNCTION("""COMPUTED_VALUE"""),35.0)</f>
        <v>35</v>
      </c>
      <c r="AO5" s="88">
        <f>IFERROR(__xludf.DUMMYFUNCTION("""COMPUTED_VALUE"""),0.09)</f>
        <v>0.09</v>
      </c>
      <c r="AP5" s="86" t="str">
        <f>IFERROR(__xludf.DUMMYFUNCTION("""COMPUTED_VALUE"""),"27.5*32")</f>
        <v>27.5*32</v>
      </c>
      <c r="AQ5" s="86">
        <f>IFERROR(__xludf.DUMMYFUNCTION("""COMPUTED_VALUE"""),1.7)</f>
        <v>1.7</v>
      </c>
      <c r="AR5" s="86">
        <f>IFERROR(__xludf.DUMMYFUNCTION("""COMPUTED_VALUE"""),31.0)</f>
        <v>31</v>
      </c>
      <c r="AS5" s="86">
        <f>IFERROR(__xludf.DUMMYFUNCTION("""COMPUTED_VALUE"""),21.0)</f>
        <v>21</v>
      </c>
      <c r="AT5" s="100">
        <f>IFERROR(__xludf.DUMMYFUNCTION("""COMPUTED_VALUE"""),650.0)</f>
        <v>650</v>
      </c>
      <c r="AU5" s="86" t="str">
        <f>IFERROR(__xludf.DUMMYFUNCTION("""COMPUTED_VALUE"""),"Plain")</f>
        <v>Plain</v>
      </c>
      <c r="AV5" s="88">
        <f>IFERROR(__xludf.DUMMYFUNCTION("""COMPUTED_VALUE"""),0.0)</f>
        <v>0</v>
      </c>
      <c r="AW5" s="102" t="str">
        <f>IFERROR(__xludf.DUMMYFUNCTION("""COMPUTED_VALUE"""),"SunBoard 8mm")</f>
        <v>SunBoard 8mm</v>
      </c>
      <c r="AX5" s="54">
        <f>IFERROR(__xludf.DUMMYFUNCTION("""COMPUTED_VALUE"""),20.0)</f>
        <v>20</v>
      </c>
      <c r="AY5" s="102" t="str">
        <f>IFERROR(__xludf.DUMMYFUNCTION("""COMPUTED_VALUE"""),"Vinyl Clear Matt")</f>
        <v>Vinyl Clear Matt</v>
      </c>
      <c r="AZ5" s="54">
        <f>IFERROR(__xludf.DUMMYFUNCTION("""COMPUTED_VALUE"""),4.5)</f>
        <v>4.5</v>
      </c>
      <c r="BA5" s="102" t="str">
        <f>IFERROR(__xludf.DUMMYFUNCTION("""COMPUTED_VALUE"""),"Promo Table")</f>
        <v>Promo Table</v>
      </c>
      <c r="BB5" s="90">
        <f>IFERROR(__xludf.DUMMYFUNCTION("""COMPUTED_VALUE"""),1400.0)</f>
        <v>1400</v>
      </c>
      <c r="BC5" s="102" t="str">
        <f>IFERROR(__xludf.DUMMYFUNCTION("""COMPUTED_VALUE"""),"Lamination Matt Normal")</f>
        <v>Lamination Matt Normal</v>
      </c>
      <c r="BD5" s="89">
        <f>IFERROR(__xludf.DUMMYFUNCTION("""COMPUTED_VALUE"""),11.0)</f>
        <v>11</v>
      </c>
      <c r="BE5" s="89">
        <v>3000.0</v>
      </c>
      <c r="BF5" s="89">
        <v>4400.0</v>
      </c>
    </row>
    <row r="6">
      <c r="A6" s="102" t="str">
        <f>IFERROR(__xludf.DUMMYFUNCTION("""COMPUTED_VALUE"""),"WC Chromo")</f>
        <v>WC Chromo</v>
      </c>
      <c r="B6" s="86">
        <f>IFERROR(__xludf.DUMMYFUNCTION("""COMPUTED_VALUE"""),1823.0)</f>
        <v>1823</v>
      </c>
      <c r="C6" s="86" t="str">
        <f>IFERROR(__xludf.DUMMYFUNCTION("""COMPUTED_VALUE"""),"18*23")</f>
        <v>18*23</v>
      </c>
      <c r="D6" s="102">
        <f>IFERROR(__xludf.DUMMYFUNCTION("""COMPUTED_VALUE"""),5.5)</f>
        <v>5.5</v>
      </c>
      <c r="E6" s="102">
        <f>IFERROR(__xludf.DUMMYFUNCTION("""COMPUTED_VALUE"""),1926.0)</f>
        <v>1926</v>
      </c>
      <c r="F6" s="103" t="str">
        <f>IFERROR(__xludf.DUMMYFUNCTION("""COMPUTED_VALUE"""),"Gumming Sticker")</f>
        <v>Gumming Sticker</v>
      </c>
      <c r="G6" s="80"/>
      <c r="H6" s="104"/>
      <c r="I6" s="80"/>
      <c r="J6" s="80"/>
      <c r="K6" s="80"/>
      <c r="L6" s="80"/>
      <c r="M6" s="80"/>
      <c r="N6" s="80"/>
      <c r="O6" s="80"/>
      <c r="P6" s="105" t="str">
        <f>IFERROR(__xludf.DUMMYFUNCTION("""COMPUTED_VALUE"""),"Art Card")</f>
        <v>Art Card</v>
      </c>
      <c r="Q6" s="105" t="str">
        <f>IFERROR(__xludf.DUMMYFUNCTION("""COMPUTED_VALUE"""),"Maplitho")</f>
        <v>Maplitho</v>
      </c>
      <c r="R6" s="105" t="str">
        <f>IFERROR(__xludf.DUMMYFUNCTION("""COMPUTED_VALUE"""),"Gumming Full")</f>
        <v>Gumming Full</v>
      </c>
      <c r="S6" s="105" t="str">
        <f>IFERROR(__xludf.DUMMYFUNCTION("""COMPUTED_VALUE"""),"Gumming Top Bottom")</f>
        <v>Gumming Top Bottom</v>
      </c>
      <c r="T6" s="105" t="str">
        <f>IFERROR(__xludf.DUMMYFUNCTION("""COMPUTED_VALUE"""),"Gumming 4 Sides")</f>
        <v>Gumming 4 Sides</v>
      </c>
      <c r="U6" s="105" t="str">
        <f>IFERROR(__xludf.DUMMYFUNCTION("""COMPUTED_VALUE"""),"Dangle With Ribbit")</f>
        <v>Dangle With Ribbit</v>
      </c>
      <c r="V6" s="105" t="str">
        <f>IFERROR(__xludf.DUMMYFUNCTION("""COMPUTED_VALUE"""),"Dangler With Ribbit and Elastic")</f>
        <v>Dangler With Ribbit and Elastic</v>
      </c>
      <c r="W6" s="105" t="str">
        <f>IFERROR(__xludf.DUMMYFUNCTION("""COMPUTED_VALUE"""),"Half Cut By Hand")</f>
        <v>Half Cut By Hand</v>
      </c>
      <c r="X6" s="97" t="str">
        <f>IFERROR(__xludf.DUMMYFUNCTION("""COMPUTED_VALUE"""),"Cutting")</f>
        <v>Cutting</v>
      </c>
      <c r="Y6" s="97" t="str">
        <f>IFERROR(__xludf.DUMMYFUNCTION("""COMPUTED_VALUE"""),"Cristal UV")</f>
        <v>Cristal UV</v>
      </c>
      <c r="Z6" s="97" t="str">
        <f>IFERROR(__xludf.DUMMYFUNCTION("""COMPUTED_VALUE"""),"Labour Per Hour Per Person")</f>
        <v>Labour Per Hour Per Person</v>
      </c>
      <c r="AA6" s="86">
        <f>IFERROR(__xludf.DUMMYFUNCTION("""COMPUTED_VALUE"""),4081.0)</f>
        <v>4081</v>
      </c>
      <c r="AB6" s="86">
        <f>IFERROR(__xludf.DUMMYFUNCTION("""COMPUTED_VALUE"""),5080.0)</f>
        <v>5080</v>
      </c>
      <c r="AC6" s="86">
        <f>IFERROR(__xludf.DUMMYFUNCTION("""COMPUTED_VALUE"""),725.0)</f>
        <v>725</v>
      </c>
      <c r="AD6" s="86">
        <f>IFERROR(__xludf.DUMMYFUNCTION("""COMPUTED_VALUE"""),1500.0)</f>
        <v>1500</v>
      </c>
      <c r="AE6" s="86">
        <f>IFERROR(__xludf.DUMMYFUNCTION("""COMPUTED_VALUE"""),0.25)</f>
        <v>0.25</v>
      </c>
      <c r="AF6" s="86">
        <f>IFERROR(__xludf.DUMMYFUNCTION("""COMPUTED_VALUE"""),700.0)</f>
        <v>700</v>
      </c>
      <c r="AG6" s="86">
        <f>IFERROR(__xludf.DUMMYFUNCTION("""COMPUTED_VALUE"""),875.0)</f>
        <v>875</v>
      </c>
      <c r="AH6" s="86"/>
      <c r="AI6" s="86">
        <f>IFERROR(__xludf.DUMMYFUNCTION("""COMPUTED_VALUE"""),2001.0)</f>
        <v>2001</v>
      </c>
      <c r="AJ6" s="86">
        <f>IFERROR(__xludf.DUMMYFUNCTION("""COMPUTED_VALUE"""),5000.0)</f>
        <v>5000</v>
      </c>
      <c r="AK6" s="86">
        <f>IFERROR(__xludf.DUMMYFUNCTION("""COMPUTED_VALUE"""),4.0)</f>
        <v>4</v>
      </c>
      <c r="AL6" s="86">
        <f>IFERROR(__xludf.DUMMYFUNCTION("""COMPUTED_VALUE"""),2.0)</f>
        <v>2</v>
      </c>
      <c r="AM6" s="86">
        <f>IFERROR(__xludf.DUMMYFUNCTION("""COMPUTED_VALUE"""),8.0)</f>
        <v>8</v>
      </c>
      <c r="AN6" s="86">
        <f>IFERROR(__xludf.DUMMYFUNCTION("""COMPUTED_VALUE"""),25.0)</f>
        <v>25</v>
      </c>
      <c r="AO6" s="88">
        <f>IFERROR(__xludf.DUMMYFUNCTION("""COMPUTED_VALUE"""),0.08)</f>
        <v>0.08</v>
      </c>
      <c r="AP6" s="86" t="str">
        <f>IFERROR(__xludf.DUMMYFUNCTION("""COMPUTED_VALUE"""),"27.5*32")</f>
        <v>27.5*32</v>
      </c>
      <c r="AQ6" s="86">
        <f>IFERROR(__xludf.DUMMYFUNCTION("""COMPUTED_VALUE"""),2.15)</f>
        <v>2.15</v>
      </c>
      <c r="AR6" s="86">
        <f>IFERROR(__xludf.DUMMYFUNCTION("""COMPUTED_VALUE"""),27.0)</f>
        <v>27</v>
      </c>
      <c r="AS6" s="86">
        <f>IFERROR(__xludf.DUMMYFUNCTION("""COMPUTED_VALUE"""),25.0)</f>
        <v>25</v>
      </c>
      <c r="AT6" s="28">
        <f>IFERROR(__xludf.DUMMYFUNCTION("""COMPUTED_VALUE"""),650.0)</f>
        <v>650</v>
      </c>
      <c r="AU6" s="76"/>
      <c r="AV6" s="54"/>
      <c r="AW6" s="102" t="str">
        <f>IFERROR(__xludf.DUMMYFUNCTION("""COMPUTED_VALUE"""),"Acrylic 2mm")</f>
        <v>Acrylic 2mm</v>
      </c>
      <c r="AX6" s="54">
        <f>IFERROR(__xludf.DUMMYFUNCTION("""COMPUTED_VALUE"""),30.0)</f>
        <v>30</v>
      </c>
      <c r="AY6" s="102" t="str">
        <f>IFERROR(__xludf.DUMMYFUNCTION("""COMPUTED_VALUE"""),"Flex Normal")</f>
        <v>Flex Normal</v>
      </c>
      <c r="AZ6" s="88">
        <f>IFERROR(__xludf.DUMMYFUNCTION("""COMPUTED_VALUE"""),2.5)</f>
        <v>2.5</v>
      </c>
      <c r="BA6" s="76" t="str">
        <f>IFERROR(__xludf.DUMMYFUNCTION("""COMPUTED_VALUE"""),"Essel Standee 4ft")</f>
        <v>Essel Standee 4ft</v>
      </c>
      <c r="BB6" s="90">
        <f>IFERROR(__xludf.DUMMYFUNCTION("""COMPUTED_VALUE"""),750.0)</f>
        <v>750</v>
      </c>
      <c r="BC6" s="102" t="str">
        <f>IFERROR(__xludf.DUMMYFUNCTION("""COMPUTED_VALUE"""),"Pasting on Wall")</f>
        <v>Pasting on Wall</v>
      </c>
      <c r="BD6" s="89">
        <f>IFERROR(__xludf.DUMMYFUNCTION("""COMPUTED_VALUE"""),15.0)</f>
        <v>15</v>
      </c>
      <c r="BE6" s="89">
        <v>3750.0</v>
      </c>
      <c r="BF6" s="89">
        <v>5500.0</v>
      </c>
    </row>
    <row r="7">
      <c r="A7" s="102" t="str">
        <f>IFERROR(__xludf.DUMMYFUNCTION("""COMPUTED_VALUE"""),"WC Chromo")</f>
        <v>WC Chromo</v>
      </c>
      <c r="B7" s="86">
        <f>IFERROR(__xludf.DUMMYFUNCTION("""COMPUTED_VALUE"""),1825.0)</f>
        <v>1825</v>
      </c>
      <c r="C7" s="86" t="str">
        <f>IFERROR(__xludf.DUMMYFUNCTION("""COMPUTED_VALUE"""),"18*25")</f>
        <v>18*25</v>
      </c>
      <c r="D7" s="102">
        <f>IFERROR(__xludf.DUMMYFUNCTION("""COMPUTED_VALUE"""),6.0)</f>
        <v>6</v>
      </c>
      <c r="E7" s="102">
        <f>IFERROR(__xludf.DUMMYFUNCTION("""COMPUTED_VALUE"""),1926.0)</f>
        <v>1926</v>
      </c>
      <c r="F7" s="103" t="str">
        <f>IFERROR(__xludf.DUMMYFUNCTION("""COMPUTED_VALUE"""),"Gumming Sticker")</f>
        <v>Gumming Sticker</v>
      </c>
      <c r="G7" s="80"/>
      <c r="H7" s="104"/>
      <c r="I7" s="80"/>
      <c r="J7" s="80"/>
      <c r="K7" s="80"/>
      <c r="L7" s="80"/>
      <c r="M7" s="80"/>
      <c r="N7" s="80"/>
      <c r="O7" s="80"/>
      <c r="P7" s="102">
        <f>IFERROR(__xludf.DUMMYFUNCTION("""COMPUTED_VALUE"""),115.0)</f>
        <v>115</v>
      </c>
      <c r="Q7" s="102">
        <f>IFERROR(__xludf.DUMMYFUNCTION("""COMPUTED_VALUE"""),78.0)</f>
        <v>78</v>
      </c>
      <c r="R7" s="102">
        <f>IFERROR(__xludf.DUMMYFUNCTION("""COMPUTED_VALUE"""),0.0125)</f>
        <v>0.0125</v>
      </c>
      <c r="S7" s="102">
        <f>IFERROR(__xludf.DUMMYFUNCTION("""COMPUTED_VALUE"""),0.017)</f>
        <v>0.017</v>
      </c>
      <c r="T7" s="102">
        <f>IFERROR(__xludf.DUMMYFUNCTION("""COMPUTED_VALUE"""),0.017)</f>
        <v>0.017</v>
      </c>
      <c r="U7" s="102">
        <f>IFERROR(__xludf.DUMMYFUNCTION("""COMPUTED_VALUE"""),50.0)</f>
        <v>50</v>
      </c>
      <c r="V7" s="102">
        <f>IFERROR(__xludf.DUMMYFUNCTION("""COMPUTED_VALUE"""),100.0)</f>
        <v>100</v>
      </c>
      <c r="W7" s="102">
        <f>IFERROR(__xludf.DUMMYFUNCTION("""COMPUTED_VALUE"""),0.1)</f>
        <v>0.1</v>
      </c>
      <c r="X7" s="102">
        <f>IFERROR(__xludf.DUMMYFUNCTION("""COMPUTED_VALUE"""),0.06)</f>
        <v>0.06</v>
      </c>
      <c r="Y7" s="102">
        <f>IFERROR(__xludf.DUMMYFUNCTION("""COMPUTED_VALUE"""),0.0055)</f>
        <v>0.0055</v>
      </c>
      <c r="Z7" s="102">
        <f>IFERROR(__xludf.DUMMYFUNCTION("""COMPUTED_VALUE"""),150.0)</f>
        <v>150</v>
      </c>
      <c r="AA7" s="86">
        <f>IFERROR(__xludf.DUMMYFUNCTION("""COMPUTED_VALUE"""),5081.0)</f>
        <v>5081</v>
      </c>
      <c r="AB7" s="86">
        <f>IFERROR(__xludf.DUMMYFUNCTION("""COMPUTED_VALUE"""),6080.0)</f>
        <v>6080</v>
      </c>
      <c r="AC7" s="86">
        <f>IFERROR(__xludf.DUMMYFUNCTION("""COMPUTED_VALUE"""),750.0)</f>
        <v>750</v>
      </c>
      <c r="AD7" s="86">
        <f>IFERROR(__xludf.DUMMYFUNCTION("""COMPUTED_VALUE"""),1800.0)</f>
        <v>1800</v>
      </c>
      <c r="AE7" s="86">
        <f>IFERROR(__xludf.DUMMYFUNCTION("""COMPUTED_VALUE"""),0.2)</f>
        <v>0.2</v>
      </c>
      <c r="AF7" s="86">
        <f>IFERROR(__xludf.DUMMYFUNCTION("""COMPUTED_VALUE"""),800.0)</f>
        <v>800</v>
      </c>
      <c r="AG7" s="86">
        <f>IFERROR(__xludf.DUMMYFUNCTION("""COMPUTED_VALUE"""),1050.0)</f>
        <v>1050</v>
      </c>
      <c r="AH7" s="86"/>
      <c r="AI7" s="86">
        <f>IFERROR(__xludf.DUMMYFUNCTION("""COMPUTED_VALUE"""),5001.0)</f>
        <v>5001</v>
      </c>
      <c r="AJ7" s="86">
        <f>IFERROR(__xludf.DUMMYFUNCTION("""COMPUTED_VALUE"""),10000.0)</f>
        <v>10000</v>
      </c>
      <c r="AK7" s="86">
        <f>IFERROR(__xludf.DUMMYFUNCTION("""COMPUTED_VALUE"""),4.0)</f>
        <v>4</v>
      </c>
      <c r="AL7" s="86">
        <f>IFERROR(__xludf.DUMMYFUNCTION("""COMPUTED_VALUE"""),1.9)</f>
        <v>1.9</v>
      </c>
      <c r="AM7" s="86">
        <f>IFERROR(__xludf.DUMMYFUNCTION("""COMPUTED_VALUE"""),7.75)</f>
        <v>7.75</v>
      </c>
      <c r="AN7" s="86">
        <f>IFERROR(__xludf.DUMMYFUNCTION("""COMPUTED_VALUE"""),20.0)</f>
        <v>20</v>
      </c>
      <c r="AO7" s="88">
        <f>IFERROR(__xludf.DUMMYFUNCTION("""COMPUTED_VALUE"""),0.075)</f>
        <v>0.075</v>
      </c>
      <c r="AP7" s="86" t="str">
        <f>IFERROR(__xludf.DUMMYFUNCTION("""COMPUTED_VALUE"""),"31*41")</f>
        <v>31*41</v>
      </c>
      <c r="AQ7" s="86">
        <f>IFERROR(__xludf.DUMMYFUNCTION("""COMPUTED_VALUE"""),1.5)</f>
        <v>1.5</v>
      </c>
      <c r="AR7" s="86">
        <f>IFERROR(__xludf.DUMMYFUNCTION("""COMPUTED_VALUE"""),70.0)</f>
        <v>70</v>
      </c>
      <c r="AS7" s="86">
        <f>IFERROR(__xludf.DUMMYFUNCTION("""COMPUTED_VALUE"""),55.0)</f>
        <v>55</v>
      </c>
      <c r="AT7" s="28">
        <f>IFERROR(__xludf.DUMMYFUNCTION("""COMPUTED_VALUE"""),3535.0)</f>
        <v>3535</v>
      </c>
      <c r="AU7" s="102"/>
      <c r="AV7" s="54"/>
      <c r="AW7" s="102" t="str">
        <f>IFERROR(__xludf.DUMMYFUNCTION("""COMPUTED_VALUE"""),"Acrylic 3mm")</f>
        <v>Acrylic 3mm</v>
      </c>
      <c r="AX7" s="54">
        <f>IFERROR(__xludf.DUMMYFUNCTION("""COMPUTED_VALUE"""),40.0)</f>
        <v>40</v>
      </c>
      <c r="AY7" s="102" t="str">
        <f>IFERROR(__xludf.DUMMYFUNCTION("""COMPUTED_VALUE"""),"Flex Star")</f>
        <v>Flex Star</v>
      </c>
      <c r="AZ7" s="88">
        <f>IFERROR(__xludf.DUMMYFUNCTION("""COMPUTED_VALUE"""),6.0)</f>
        <v>6</v>
      </c>
      <c r="BA7" s="76" t="str">
        <f>IFERROR(__xludf.DUMMYFUNCTION("""COMPUTED_VALUE"""),"Essel Standee 5ft")</f>
        <v>Essel Standee 5ft</v>
      </c>
      <c r="BB7" s="90">
        <f>IFERROR(__xludf.DUMMYFUNCTION("""COMPUTED_VALUE"""),950.0)</f>
        <v>950</v>
      </c>
      <c r="BC7" s="102" t="str">
        <f>IFERROR(__xludf.DUMMYFUNCTION("""COMPUTED_VALUE"""),"Pasting Normal")</f>
        <v>Pasting Normal</v>
      </c>
      <c r="BD7" s="89">
        <f>IFERROR(__xludf.DUMMYFUNCTION("""COMPUTED_VALUE"""),5.0)</f>
        <v>5</v>
      </c>
      <c r="BE7" s="89">
        <v>4500.0</v>
      </c>
      <c r="BF7" s="89">
        <v>6600.0</v>
      </c>
    </row>
    <row r="8">
      <c r="A8" s="102" t="str">
        <f>IFERROR(__xludf.DUMMYFUNCTION("""COMPUTED_VALUE"""),"Art Card")</f>
        <v>Art Card</v>
      </c>
      <c r="B8" s="86">
        <f>IFERROR(__xludf.DUMMYFUNCTION("""COMPUTED_VALUE"""),1823.0)</f>
        <v>1823</v>
      </c>
      <c r="C8" s="86" t="str">
        <f>IFERROR(__xludf.DUMMYFUNCTION("""COMPUTED_VALUE"""),"18*23")</f>
        <v>18*23</v>
      </c>
      <c r="D8" s="102"/>
      <c r="E8" s="102">
        <f>IFERROR(__xludf.DUMMYFUNCTION("""COMPUTED_VALUE"""),1926.0)</f>
        <v>1926</v>
      </c>
      <c r="F8" s="90" t="str">
        <f>IFERROR(__xludf.DUMMYFUNCTION("""COMPUTED_VALUE"""),"Art Card")</f>
        <v>Art Card</v>
      </c>
      <c r="G8" s="80"/>
      <c r="H8" s="104"/>
      <c r="I8" s="80"/>
      <c r="J8" s="80"/>
      <c r="K8" s="80"/>
      <c r="L8" s="80"/>
      <c r="M8" s="80"/>
      <c r="N8" s="80"/>
      <c r="O8" s="80"/>
      <c r="P8" s="80"/>
      <c r="Q8" s="102">
        <f>IFERROR(__xludf.DUMMYFUNCTION("""COMPUTED_VALUE"""),71.0)</f>
        <v>71</v>
      </c>
      <c r="R8" s="80"/>
      <c r="S8" s="80"/>
      <c r="T8" s="80"/>
      <c r="U8" s="80"/>
      <c r="V8" s="80"/>
      <c r="W8" s="80"/>
      <c r="X8" s="80"/>
      <c r="Y8" s="102">
        <f>IFERROR(__xludf.DUMMYFUNCTION("""COMPUTED_VALUE"""),0.0052)</f>
        <v>0.0052</v>
      </c>
      <c r="Z8" s="80"/>
      <c r="AA8" s="86">
        <f>IFERROR(__xludf.DUMMYFUNCTION("""COMPUTED_VALUE"""),6081.0)</f>
        <v>6081</v>
      </c>
      <c r="AB8" s="86">
        <f>IFERROR(__xludf.DUMMYFUNCTION("""COMPUTED_VALUE"""),7080.0)</f>
        <v>7080</v>
      </c>
      <c r="AC8" s="86">
        <f>IFERROR(__xludf.DUMMYFUNCTION("""COMPUTED_VALUE"""),875.0)</f>
        <v>875</v>
      </c>
      <c r="AD8" s="86">
        <f>IFERROR(__xludf.DUMMYFUNCTION("""COMPUTED_VALUE"""),2100.0)</f>
        <v>2100</v>
      </c>
      <c r="AE8" s="86">
        <f>IFERROR(__xludf.DUMMYFUNCTION("""COMPUTED_VALUE"""),0.2)</f>
        <v>0.2</v>
      </c>
      <c r="AF8" s="86">
        <f>IFERROR(__xludf.DUMMYFUNCTION("""COMPUTED_VALUE"""),900.0)</f>
        <v>900</v>
      </c>
      <c r="AG8" s="86">
        <f>IFERROR(__xludf.DUMMYFUNCTION("""COMPUTED_VALUE"""),1225.0)</f>
        <v>1225</v>
      </c>
      <c r="AH8" s="86"/>
      <c r="AI8" s="86">
        <f>IFERROR(__xludf.DUMMYFUNCTION("""COMPUTED_VALUE"""),10001.0)</f>
        <v>10001</v>
      </c>
      <c r="AJ8" s="86">
        <f>IFERROR(__xludf.DUMMYFUNCTION("""COMPUTED_VALUE"""),2000000.0)</f>
        <v>2000000</v>
      </c>
      <c r="AK8" s="86">
        <f>IFERROR(__xludf.DUMMYFUNCTION("""COMPUTED_VALUE"""),3.5)</f>
        <v>3.5</v>
      </c>
      <c r="AL8" s="86">
        <f>IFERROR(__xludf.DUMMYFUNCTION("""COMPUTED_VALUE"""),1.75)</f>
        <v>1.75</v>
      </c>
      <c r="AM8" s="86">
        <f>IFERROR(__xludf.DUMMYFUNCTION("""COMPUTED_VALUE"""),7.5)</f>
        <v>7.5</v>
      </c>
      <c r="AN8" s="86">
        <f>IFERROR(__xludf.DUMMYFUNCTION("""COMPUTED_VALUE"""),18.0)</f>
        <v>18</v>
      </c>
      <c r="AO8" s="88">
        <f>IFERROR(__xludf.DUMMYFUNCTION("""COMPUTED_VALUE"""),0.07)</f>
        <v>0.07</v>
      </c>
      <c r="AP8" s="86" t="str">
        <f>IFERROR(__xludf.DUMMYFUNCTION("""COMPUTED_VALUE"""),"31*41")</f>
        <v>31*41</v>
      </c>
      <c r="AQ8" s="86">
        <f>IFERROR(__xludf.DUMMYFUNCTION("""COMPUTED_VALUE"""),3.0)</f>
        <v>3</v>
      </c>
      <c r="AR8" s="86">
        <f>IFERROR(__xludf.DUMMYFUNCTION("""COMPUTED_VALUE"""),34.0)</f>
        <v>34</v>
      </c>
      <c r="AS8" s="86">
        <f>IFERROR(__xludf.DUMMYFUNCTION("""COMPUTED_VALUE"""),95.0)</f>
        <v>95</v>
      </c>
      <c r="AT8" s="28">
        <f>IFERROR(__xludf.DUMMYFUNCTION("""COMPUTED_VALUE"""),3212.0)</f>
        <v>3212</v>
      </c>
      <c r="AU8" s="54"/>
      <c r="AV8" s="54"/>
      <c r="AW8" s="102" t="str">
        <f>IFERROR(__xludf.DUMMYFUNCTION("""COMPUTED_VALUE"""),"Acrylic 4mm")</f>
        <v>Acrylic 4mm</v>
      </c>
      <c r="AX8" s="54">
        <f>IFERROR(__xludf.DUMMYFUNCTION("""COMPUTED_VALUE"""),50.0)</f>
        <v>50</v>
      </c>
      <c r="AY8" s="102" t="str">
        <f>IFERROR(__xludf.DUMMYFUNCTION("""COMPUTED_VALUE"""),"Flex BlackBack")</f>
        <v>Flex BlackBack</v>
      </c>
      <c r="AZ8" s="90">
        <f>IFERROR(__xludf.DUMMYFUNCTION("""COMPUTED_VALUE"""),4.0)</f>
        <v>4</v>
      </c>
      <c r="BA8" s="102" t="str">
        <f>IFERROR(__xludf.DUMMYFUNCTION("""COMPUTED_VALUE"""),"N/A")</f>
        <v>N/A</v>
      </c>
      <c r="BB8" s="90">
        <f>IFERROR(__xludf.DUMMYFUNCTION("""COMPUTED_VALUE"""),0.0)</f>
        <v>0</v>
      </c>
      <c r="BC8" s="102" t="str">
        <f>IFERROR(__xludf.DUMMYFUNCTION("""COMPUTED_VALUE"""),"Plain")</f>
        <v>Plain</v>
      </c>
      <c r="BD8" s="89">
        <f>IFERROR(__xludf.DUMMYFUNCTION("""COMPUTED_VALUE"""),0.0)</f>
        <v>0</v>
      </c>
      <c r="BE8" s="89">
        <v>5250.0</v>
      </c>
      <c r="BF8" s="89">
        <v>7700.0</v>
      </c>
    </row>
    <row r="9">
      <c r="A9" s="102" t="str">
        <f>IFERROR(__xludf.DUMMYFUNCTION("""COMPUTED_VALUE"""),"Art Card")</f>
        <v>Art Card</v>
      </c>
      <c r="B9" s="86">
        <f>IFERROR(__xludf.DUMMYFUNCTION("""COMPUTED_VALUE"""),1824.0)</f>
        <v>1824</v>
      </c>
      <c r="C9" s="86" t="str">
        <f>IFERROR(__xludf.DUMMYFUNCTION("""COMPUTED_VALUE"""),"18*24")</f>
        <v>18*24</v>
      </c>
      <c r="D9" s="102"/>
      <c r="E9" s="102">
        <f>IFERROR(__xludf.DUMMYFUNCTION("""COMPUTED_VALUE"""),1926.0)</f>
        <v>1926</v>
      </c>
      <c r="F9" s="90" t="str">
        <f>IFERROR(__xludf.DUMMYFUNCTION("""COMPUTED_VALUE"""),"Art Card")</f>
        <v>Art Card</v>
      </c>
      <c r="G9" s="80"/>
      <c r="H9" s="104"/>
      <c r="I9" s="80"/>
      <c r="J9" s="80"/>
      <c r="K9" s="80"/>
      <c r="L9" s="80"/>
      <c r="M9" s="80"/>
      <c r="N9" s="80"/>
      <c r="O9" s="80"/>
      <c r="P9" s="80" t="str">
        <f>IFERROR(__xludf.DUMMYFUNCTION("""COMPUTED_VALUE"""),"Kraft")</f>
        <v>Kraft</v>
      </c>
      <c r="Q9" s="80" t="str">
        <f>IFERROR(__xludf.DUMMYFUNCTION("""COMPUTED_VALUE"""),"SemiKraft")</f>
        <v>SemiKraft</v>
      </c>
      <c r="R9" s="80" t="str">
        <f>IFERROR(__xludf.DUMMYFUNCTION("""COMPUTED_VALUE"""),"BleachKraft")</f>
        <v>BleachKraft</v>
      </c>
      <c r="S9" s="80" t="str">
        <f>IFERROR(__xludf.DUMMYFUNCTION("""COMPUTED_VALUE"""),"Imported Kraft")</f>
        <v>Imported Kraft</v>
      </c>
      <c r="T9" s="80" t="str">
        <f>IFERROR(__xludf.DUMMYFUNCTION("""COMPUTED_VALUE"""),"Velvet Lamination")</f>
        <v>Velvet Lamination</v>
      </c>
      <c r="U9" s="80" t="str">
        <f>IFERROR(__xludf.DUMMYFUNCTION("""COMPUTED_VALUE"""),"Kappa Grey Grey")</f>
        <v>Kappa Grey Grey</v>
      </c>
      <c r="V9" s="80" t="str">
        <f>IFERROR(__xludf.DUMMYFUNCTION("""COMPUTED_VALUE"""),"Kappa Grey White")</f>
        <v>Kappa Grey White</v>
      </c>
      <c r="W9" s="80" t="str">
        <f>IFERROR(__xludf.DUMMYFUNCTION("""COMPUTED_VALUE"""),"Kappa WPE")</f>
        <v>Kappa WPE</v>
      </c>
      <c r="X9" s="80" t="str">
        <f>IFERROR(__xludf.DUMMYFUNCTION("""COMPUTED_VALUE"""),"Indian Mill Board")</f>
        <v>Indian Mill Board</v>
      </c>
      <c r="Y9" s="80" t="str">
        <f>IFERROR(__xludf.DUMMYFUNCTION("""COMPUTED_VALUE"""),"Kappa Grey Black")</f>
        <v>Kappa Grey Black</v>
      </c>
      <c r="Z9" s="80"/>
      <c r="AA9" s="86">
        <f>IFERROR(__xludf.DUMMYFUNCTION("""COMPUTED_VALUE"""),7081.0)</f>
        <v>7081</v>
      </c>
      <c r="AB9" s="86">
        <f>IFERROR(__xludf.DUMMYFUNCTION("""COMPUTED_VALUE"""),8080.0)</f>
        <v>8080</v>
      </c>
      <c r="AC9" s="86">
        <f>IFERROR(__xludf.DUMMYFUNCTION("""COMPUTED_VALUE"""),1000.0)</f>
        <v>1000</v>
      </c>
      <c r="AD9" s="86">
        <f>IFERROR(__xludf.DUMMYFUNCTION("""COMPUTED_VALUE"""),2400.0)</f>
        <v>2400</v>
      </c>
      <c r="AE9" s="86">
        <f>IFERROR(__xludf.DUMMYFUNCTION("""COMPUTED_VALUE"""),0.2)</f>
        <v>0.2</v>
      </c>
      <c r="AF9" s="86">
        <f>IFERROR(__xludf.DUMMYFUNCTION("""COMPUTED_VALUE"""),1000.0)</f>
        <v>1000</v>
      </c>
      <c r="AG9" s="86">
        <f>IFERROR(__xludf.DUMMYFUNCTION("""COMPUTED_VALUE"""),1400.0)</f>
        <v>1400</v>
      </c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28"/>
      <c r="AU9" s="90"/>
      <c r="AV9" s="54"/>
      <c r="AW9" s="76" t="str">
        <f>IFERROR(__xludf.DUMMYFUNCTION("""COMPUTED_VALUE"""),"Acrylic 5mm")</f>
        <v>Acrylic 5mm</v>
      </c>
      <c r="AX9" s="54">
        <f>IFERROR(__xludf.DUMMYFUNCTION("""COMPUTED_VALUE"""),60.0)</f>
        <v>60</v>
      </c>
      <c r="AY9" s="102" t="str">
        <f>IFERROR(__xludf.DUMMYFUNCTION("""COMPUTED_VALUE"""),"Flex BackLit Star")</f>
        <v>Flex BackLit Star</v>
      </c>
      <c r="AZ9" s="80">
        <f>IFERROR(__xludf.DUMMYFUNCTION("""COMPUTED_VALUE"""),9.0)</f>
        <v>9</v>
      </c>
      <c r="BA9" s="80"/>
      <c r="BB9" s="80"/>
      <c r="BC9" s="80"/>
      <c r="BD9" s="72"/>
      <c r="BE9" s="89">
        <v>6000.0</v>
      </c>
      <c r="BF9" s="89">
        <v>8800.0</v>
      </c>
    </row>
    <row r="10">
      <c r="A10" s="102" t="str">
        <f>IFERROR(__xludf.DUMMYFUNCTION("""COMPUTED_VALUE"""),"Art Card")</f>
        <v>Art Card</v>
      </c>
      <c r="B10" s="102">
        <f>IFERROR(__xludf.DUMMYFUNCTION("""COMPUTED_VALUE"""),1825.0)</f>
        <v>1825</v>
      </c>
      <c r="C10" s="102" t="str">
        <f>IFERROR(__xludf.DUMMYFUNCTION("""COMPUTED_VALUE"""),"18*25")</f>
        <v>18*25</v>
      </c>
      <c r="D10" s="80"/>
      <c r="E10" s="102">
        <f>IFERROR(__xludf.DUMMYFUNCTION("""COMPUTED_VALUE"""),1926.0)</f>
        <v>1926</v>
      </c>
      <c r="F10" s="90" t="str">
        <f>IFERROR(__xludf.DUMMYFUNCTION("""COMPUTED_VALUE"""),"Art Card")</f>
        <v>Art Card</v>
      </c>
      <c r="G10" s="80"/>
      <c r="H10" s="104"/>
      <c r="I10" s="80"/>
      <c r="J10" s="80"/>
      <c r="K10" s="80"/>
      <c r="L10" s="80"/>
      <c r="M10" s="80"/>
      <c r="N10" s="80"/>
      <c r="O10" s="80"/>
      <c r="P10" s="80">
        <f>IFERROR(__xludf.DUMMYFUNCTION("""COMPUTED_VALUE"""),31.0)</f>
        <v>31</v>
      </c>
      <c r="Q10" s="80">
        <f>IFERROR(__xludf.DUMMYFUNCTION("""COMPUTED_VALUE"""),30.0)</f>
        <v>30</v>
      </c>
      <c r="R10" s="80">
        <f>IFERROR(__xludf.DUMMYFUNCTION("""COMPUTED_VALUE"""),78.0)</f>
        <v>78</v>
      </c>
      <c r="S10" s="80">
        <f>IFERROR(__xludf.DUMMYFUNCTION("""COMPUTED_VALUE"""),80.0)</f>
        <v>80</v>
      </c>
      <c r="T10" s="80">
        <f>IFERROR(__xludf.DUMMYFUNCTION("""COMPUTED_VALUE"""),0.025)</f>
        <v>0.025</v>
      </c>
      <c r="U10" s="80">
        <f>IFERROR(__xludf.DUMMYFUNCTION("""COMPUTED_VALUE"""),47.0)</f>
        <v>47</v>
      </c>
      <c r="V10" s="80">
        <f>IFERROR(__xludf.DUMMYFUNCTION("""COMPUTED_VALUE"""),55.0)</f>
        <v>55</v>
      </c>
      <c r="W10" s="80">
        <f>IFERROR(__xludf.DUMMYFUNCTION("""COMPUTED_VALUE"""),72.0)</f>
        <v>72</v>
      </c>
      <c r="X10" s="80">
        <f>IFERROR(__xludf.DUMMYFUNCTION("""COMPUTED_VALUE"""),28.0)</f>
        <v>28</v>
      </c>
      <c r="Y10" s="80">
        <f>IFERROR(__xludf.DUMMYFUNCTION("""COMPUTED_VALUE"""),60.0)</f>
        <v>60</v>
      </c>
      <c r="Z10" s="80"/>
      <c r="AA10" s="86">
        <f>IFERROR(__xludf.DUMMYFUNCTION("""COMPUTED_VALUE"""),8081.0)</f>
        <v>8081</v>
      </c>
      <c r="AB10" s="86">
        <f>IFERROR(__xludf.DUMMYFUNCTION("""COMPUTED_VALUE"""),9080.0)</f>
        <v>9080</v>
      </c>
      <c r="AC10" s="86">
        <f>IFERROR(__xludf.DUMMYFUNCTION("""COMPUTED_VALUE"""),1125.0)</f>
        <v>1125</v>
      </c>
      <c r="AD10" s="86">
        <f>IFERROR(__xludf.DUMMYFUNCTION("""COMPUTED_VALUE"""),2700.0)</f>
        <v>2700</v>
      </c>
      <c r="AE10" s="86">
        <f>IFERROR(__xludf.DUMMYFUNCTION("""COMPUTED_VALUE"""),0.2)</f>
        <v>0.2</v>
      </c>
      <c r="AF10" s="86">
        <f>IFERROR(__xludf.DUMMYFUNCTION("""COMPUTED_VALUE"""),1100.0)</f>
        <v>1100</v>
      </c>
      <c r="AG10" s="86">
        <f>IFERROR(__xludf.DUMMYFUNCTION("""COMPUTED_VALUE"""),1575.0)</f>
        <v>1575</v>
      </c>
      <c r="AH10" s="73"/>
      <c r="AI10" s="73"/>
      <c r="AJ10" s="73"/>
      <c r="AK10" s="73"/>
      <c r="AL10" s="73"/>
      <c r="AM10" s="73"/>
      <c r="AN10" s="73"/>
      <c r="AO10" s="80"/>
      <c r="AP10" s="73"/>
      <c r="AQ10" s="73"/>
      <c r="AR10" s="73"/>
      <c r="AS10" s="73"/>
      <c r="AT10" s="104"/>
      <c r="AU10" s="54"/>
      <c r="AV10" s="54"/>
      <c r="AW10" s="102" t="str">
        <f>IFERROR(__xludf.DUMMYFUNCTION("""COMPUTED_VALUE"""),"Acrylic Acast 3mm")</f>
        <v>Acrylic Acast 3mm</v>
      </c>
      <c r="AX10" s="88">
        <f>IFERROR(__xludf.DUMMYFUNCTION("""COMPUTED_VALUE"""),80.0)</f>
        <v>80</v>
      </c>
      <c r="AY10" s="76" t="str">
        <f>IFERROR(__xludf.DUMMYFUNCTION("""COMPUTED_VALUE"""),"Banner Media")</f>
        <v>Banner Media</v>
      </c>
      <c r="AZ10" s="80">
        <f>IFERROR(__xludf.DUMMYFUNCTION("""COMPUTED_VALUE"""),12.0)</f>
        <v>12</v>
      </c>
      <c r="BA10" s="80"/>
      <c r="BB10" s="80"/>
      <c r="BC10" s="80"/>
      <c r="BD10" s="72"/>
      <c r="BE10" s="89">
        <v>6750.0</v>
      </c>
      <c r="BF10" s="89">
        <v>9900.0</v>
      </c>
    </row>
    <row r="11">
      <c r="A11" s="102" t="str">
        <f>IFERROR(__xludf.DUMMYFUNCTION("""COMPUTED_VALUE"""),"Art Card")</f>
        <v>Art Card</v>
      </c>
      <c r="B11" s="102">
        <f>IFERROR(__xludf.DUMMYFUNCTION("""COMPUTED_VALUE"""),1525.0)</f>
        <v>1525</v>
      </c>
      <c r="C11" s="102" t="str">
        <f>IFERROR(__xludf.DUMMYFUNCTION("""COMPUTED_VALUE"""),"15*25")</f>
        <v>15*25</v>
      </c>
      <c r="D11" s="80"/>
      <c r="E11" s="102">
        <f>IFERROR(__xludf.DUMMYFUNCTION("""COMPUTED_VALUE"""),1926.0)</f>
        <v>1926</v>
      </c>
      <c r="F11" s="90" t="str">
        <f>IFERROR(__xludf.DUMMYFUNCTION("""COMPUTED_VALUE"""),"Art Card")</f>
        <v>Art Card</v>
      </c>
      <c r="G11" s="80"/>
      <c r="H11" s="104"/>
      <c r="I11" s="80"/>
      <c r="J11" s="80"/>
      <c r="K11" s="80"/>
      <c r="L11" s="80"/>
      <c r="M11" s="80"/>
      <c r="N11" s="80"/>
      <c r="O11" s="80"/>
      <c r="P11" s="97" t="str">
        <f>IFERROR(__xludf.DUMMYFUNCTION("""COMPUTED_VALUE"""),"Art Card 1319")</f>
        <v>Art Card 1319</v>
      </c>
      <c r="Q11" s="97" t="str">
        <f>IFERROR(__xludf.DUMMYFUNCTION("""COMPUTED_VALUE"""),"Gumming AD 1319")</f>
        <v>Gumming AD 1319</v>
      </c>
      <c r="R11" s="97" t="str">
        <f>IFERROR(__xludf.DUMMYFUNCTION("""COMPUTED_VALUE"""),"PVC AD 1319")</f>
        <v>PVC AD 1319</v>
      </c>
      <c r="S11" s="97" t="str">
        <f>IFERROR(__xludf.DUMMYFUNCTION("""COMPUTED_VALUE"""),"Vinyl AD 1319")</f>
        <v>Vinyl AD 1319</v>
      </c>
      <c r="T11" s="97" t="str">
        <f>IFERROR(__xludf.DUMMYFUNCTION("""COMPUTED_VALUE"""),"Digital Lamination Thermal")</f>
        <v>Digital Lamination Thermal</v>
      </c>
      <c r="U11" s="97" t="str">
        <f>IFERROR(__xludf.DUMMYFUNCTION("""COMPUTED_VALUE"""),"Carry Bag Single Pasting")</f>
        <v>Carry Bag Single Pasting</v>
      </c>
      <c r="V11" s="97" t="str">
        <f>IFERROR(__xludf.DUMMYFUNCTION("""COMPUTED_VALUE"""),"Carry Bag Double Pasting")</f>
        <v>Carry Bag Double Pasting</v>
      </c>
      <c r="W11" s="97" t="str">
        <f>IFERROR(__xludf.DUMMYFUNCTION("""COMPUTED_VALUE"""),"Silver Foiling Duplex")</f>
        <v>Silver Foiling Duplex</v>
      </c>
      <c r="X11" s="97" t="str">
        <f>IFERROR(__xludf.DUMMYFUNCTION("""COMPUTED_VALUE"""),"Silver Foiling Paper")</f>
        <v>Silver Foiling Paper</v>
      </c>
      <c r="Y11" s="97" t="str">
        <f>IFERROR(__xludf.DUMMYFUNCTION("""COMPUTED_VALUE"""),"MetPet Plate 20*28")</f>
        <v>MetPet Plate 20*28</v>
      </c>
      <c r="Z11" s="97" t="str">
        <f>IFERROR(__xludf.DUMMYFUNCTION("""COMPUTED_VALUE"""),"MetPet Plate 28*40")</f>
        <v>MetPet Plate 28*40</v>
      </c>
      <c r="AA11" s="86">
        <f>IFERROR(__xludf.DUMMYFUNCTION("""COMPUTED_VALUE"""),9081.0)</f>
        <v>9081</v>
      </c>
      <c r="AB11" s="86">
        <f>IFERROR(__xludf.DUMMYFUNCTION("""COMPUTED_VALUE"""),10080.0)</f>
        <v>10080</v>
      </c>
      <c r="AC11" s="86">
        <f>IFERROR(__xludf.DUMMYFUNCTION("""COMPUTED_VALUE"""),1250.0)</f>
        <v>1250</v>
      </c>
      <c r="AD11" s="86">
        <f>IFERROR(__xludf.DUMMYFUNCTION("""COMPUTED_VALUE"""),3000.0)</f>
        <v>3000</v>
      </c>
      <c r="AE11" s="86">
        <f>IFERROR(__xludf.DUMMYFUNCTION("""COMPUTED_VALUE"""),0.2)</f>
        <v>0.2</v>
      </c>
      <c r="AF11" s="86">
        <f>IFERROR(__xludf.DUMMYFUNCTION("""COMPUTED_VALUE"""),1200.0)</f>
        <v>1200</v>
      </c>
      <c r="AG11" s="86">
        <f>IFERROR(__xludf.DUMMYFUNCTION("""COMPUTED_VALUE"""),1750.0)</f>
        <v>1750</v>
      </c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80"/>
      <c r="AU11" s="80"/>
      <c r="AV11" s="54"/>
      <c r="AW11" s="76" t="str">
        <f>IFERROR(__xludf.DUMMYFUNCTION("""COMPUTED_VALUE"""),"Acrylic Acast 4mm")</f>
        <v>Acrylic Acast 4mm</v>
      </c>
      <c r="AX11" s="88">
        <f>IFERROR(__xludf.DUMMYFUNCTION("""COMPUTED_VALUE"""),95.0)</f>
        <v>95</v>
      </c>
      <c r="AY11" s="76" t="str">
        <f>IFERROR(__xludf.DUMMYFUNCTION("""COMPUTED_VALUE"""),"Fabric")</f>
        <v>Fabric</v>
      </c>
      <c r="AZ11" s="80">
        <f>IFERROR(__xludf.DUMMYFUNCTION("""COMPUTED_VALUE"""),7.0)</f>
        <v>7</v>
      </c>
      <c r="BA11" s="80"/>
      <c r="BB11" s="80"/>
      <c r="BC11" s="80"/>
      <c r="BD11" s="72"/>
      <c r="BE11" s="89">
        <v>7500.0</v>
      </c>
      <c r="BF11" s="89">
        <v>11000.0</v>
      </c>
    </row>
    <row r="12">
      <c r="A12" s="102" t="str">
        <f>IFERROR(__xludf.DUMMYFUNCTION("""COMPUTED_VALUE"""),"Art Card")</f>
        <v>Art Card</v>
      </c>
      <c r="B12" s="102">
        <f>IFERROR(__xludf.DUMMYFUNCTION("""COMPUTED_VALUE"""),1520.0)</f>
        <v>1520</v>
      </c>
      <c r="C12" s="102" t="str">
        <f>IFERROR(__xludf.DUMMYFUNCTION("""COMPUTED_VALUE"""),"15*20")</f>
        <v>15*20</v>
      </c>
      <c r="D12" s="80"/>
      <c r="E12" s="102">
        <f>IFERROR(__xludf.DUMMYFUNCTION("""COMPUTED_VALUE"""),1926.0)</f>
        <v>1926</v>
      </c>
      <c r="F12" s="90" t="str">
        <f>IFERROR(__xludf.DUMMYFUNCTION("""COMPUTED_VALUE"""),"Art Card")</f>
        <v>Art Card</v>
      </c>
      <c r="G12" s="80"/>
      <c r="H12" s="104"/>
      <c r="I12" s="80"/>
      <c r="J12" s="80"/>
      <c r="K12" s="80"/>
      <c r="L12" s="80"/>
      <c r="M12" s="80"/>
      <c r="N12" s="80"/>
      <c r="O12" s="80"/>
      <c r="P12" s="102">
        <f>IFERROR(__xludf.DUMMYFUNCTION("""COMPUTED_VALUE"""),4.0)</f>
        <v>4</v>
      </c>
      <c r="Q12" s="102">
        <f>IFERROR(__xludf.DUMMYFUNCTION("""COMPUTED_VALUE"""),6.0)</f>
        <v>6</v>
      </c>
      <c r="R12" s="102">
        <f>IFERROR(__xludf.DUMMYFUNCTION("""COMPUTED_VALUE"""),13.0)</f>
        <v>13</v>
      </c>
      <c r="S12" s="102">
        <f>IFERROR(__xludf.DUMMYFUNCTION("""COMPUTED_VALUE"""),12.0)</f>
        <v>12</v>
      </c>
      <c r="T12" s="102">
        <f>IFERROR(__xludf.DUMMYFUNCTION("""COMPUTED_VALUE"""),0.017)</f>
        <v>0.017</v>
      </c>
      <c r="U12" s="102">
        <f>IFERROR(__xludf.DUMMYFUNCTION("""COMPUTED_VALUE"""),5.0)</f>
        <v>5</v>
      </c>
      <c r="V12" s="102">
        <f>IFERROR(__xludf.DUMMYFUNCTION("""COMPUTED_VALUE"""),6.0)</f>
        <v>6</v>
      </c>
      <c r="W12" s="102">
        <f>IFERROR(__xludf.DUMMYFUNCTION("""COMPUTED_VALUE"""),0.0051)</f>
        <v>0.0051</v>
      </c>
      <c r="X12" s="102">
        <f>IFERROR(__xludf.DUMMYFUNCTION("""COMPUTED_VALUE"""),0.0052)</f>
        <v>0.0052</v>
      </c>
      <c r="Y12" s="102">
        <f>IFERROR(__xludf.DUMMYFUNCTION("""COMPUTED_VALUE"""),425.0)</f>
        <v>425</v>
      </c>
      <c r="Z12" s="102">
        <f>IFERROR(__xludf.DUMMYFUNCTION("""COMPUTED_VALUE"""),700.0)</f>
        <v>700</v>
      </c>
      <c r="AA12" s="86">
        <f>IFERROR(__xludf.DUMMYFUNCTION("""COMPUTED_VALUE"""),10081.0)</f>
        <v>10081</v>
      </c>
      <c r="AB12" s="86">
        <f>IFERROR(__xludf.DUMMYFUNCTION("""COMPUTED_VALUE"""),11080.0)</f>
        <v>11080</v>
      </c>
      <c r="AC12" s="86">
        <f>IFERROR(__xludf.DUMMYFUNCTION("""COMPUTED_VALUE"""),1375.0)</f>
        <v>1375</v>
      </c>
      <c r="AD12" s="86">
        <f>IFERROR(__xludf.DUMMYFUNCTION("""COMPUTED_VALUE"""),3300.0)</f>
        <v>3300</v>
      </c>
      <c r="AE12" s="86">
        <f>IFERROR(__xludf.DUMMYFUNCTION("""COMPUTED_VALUE"""),0.2)</f>
        <v>0.2</v>
      </c>
      <c r="AF12" s="86">
        <f>IFERROR(__xludf.DUMMYFUNCTION("""COMPUTED_VALUE"""),1300.0)</f>
        <v>1300</v>
      </c>
      <c r="AG12" s="86">
        <f>IFERROR(__xludf.DUMMYFUNCTION("""COMPUTED_VALUE"""),1925.0)</f>
        <v>1925</v>
      </c>
      <c r="AH12" s="73"/>
      <c r="AI12" s="73"/>
      <c r="AJ12" s="73"/>
      <c r="AK12" s="73"/>
      <c r="AL12" s="73"/>
      <c r="AM12" s="73"/>
      <c r="AN12" s="73"/>
      <c r="AO12" s="80"/>
      <c r="AP12" s="88"/>
      <c r="AQ12" s="73"/>
      <c r="AR12" s="73"/>
      <c r="AS12" s="73"/>
      <c r="AT12" s="104"/>
      <c r="AU12" s="80"/>
      <c r="AV12" s="54"/>
      <c r="AW12" s="76" t="str">
        <f>IFERROR(__xludf.DUMMYFUNCTION("""COMPUTED_VALUE"""),"Acrylic Acast 5mm")</f>
        <v>Acrylic Acast 5mm</v>
      </c>
      <c r="AX12" s="88">
        <f>IFERROR(__xludf.DUMMYFUNCTION("""COMPUTED_VALUE"""),115.0)</f>
        <v>115</v>
      </c>
      <c r="AY12" s="76" t="str">
        <f>IFERROR(__xludf.DUMMYFUNCTION("""COMPUTED_VALUE"""),"Canvas")</f>
        <v>Canvas</v>
      </c>
      <c r="AZ12" s="80">
        <f>IFERROR(__xludf.DUMMYFUNCTION("""COMPUTED_VALUE"""),18.0)</f>
        <v>18</v>
      </c>
      <c r="BA12" s="80"/>
      <c r="BB12" s="80"/>
      <c r="BC12" s="80"/>
      <c r="BD12" s="72"/>
      <c r="BE12" s="89">
        <v>8250.0</v>
      </c>
      <c r="BF12" s="89">
        <v>12100.0</v>
      </c>
    </row>
    <row r="13">
      <c r="A13" s="102" t="str">
        <f>IFERROR(__xludf.DUMMYFUNCTION("""COMPUTED_VALUE"""),"Digital")</f>
        <v>Digital</v>
      </c>
      <c r="B13" s="102">
        <f>IFERROR(__xludf.DUMMYFUNCTION("""COMPUTED_VALUE"""),1319.0)</f>
        <v>1319</v>
      </c>
      <c r="C13" s="102" t="str">
        <f>IFERROR(__xludf.DUMMYFUNCTION("""COMPUTED_VALUE"""),"13*19")</f>
        <v>13*19</v>
      </c>
      <c r="D13" s="80"/>
      <c r="E13" s="102">
        <f>IFERROR(__xludf.DUMMYFUNCTION("""COMPUTED_VALUE"""),1001.0)</f>
        <v>1001</v>
      </c>
      <c r="F13" s="90" t="str">
        <f>IFERROR(__xludf.DUMMYFUNCTION("""COMPUTED_VALUE"""),"Digital Paper")</f>
        <v>Digital Paper</v>
      </c>
      <c r="G13" s="80"/>
      <c r="H13" s="104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6">
        <f>IFERROR(__xludf.DUMMYFUNCTION("""COMPUTED_VALUE"""),11081.0)</f>
        <v>11081</v>
      </c>
      <c r="AB13" s="86">
        <f>IFERROR(__xludf.DUMMYFUNCTION("""COMPUTED_VALUE"""),12080.0)</f>
        <v>12080</v>
      </c>
      <c r="AC13" s="86">
        <f>IFERROR(__xludf.DUMMYFUNCTION("""COMPUTED_VALUE"""),1500.0)</f>
        <v>1500</v>
      </c>
      <c r="AD13" s="86">
        <f>IFERROR(__xludf.DUMMYFUNCTION("""COMPUTED_VALUE"""),3600.0)</f>
        <v>3600</v>
      </c>
      <c r="AE13" s="86">
        <f>IFERROR(__xludf.DUMMYFUNCTION("""COMPUTED_VALUE"""),0.2)</f>
        <v>0.2</v>
      </c>
      <c r="AF13" s="86">
        <f>IFERROR(__xludf.DUMMYFUNCTION("""COMPUTED_VALUE"""),1400.0)</f>
        <v>1400</v>
      </c>
      <c r="AG13" s="86">
        <f>IFERROR(__xludf.DUMMYFUNCTION("""COMPUTED_VALUE"""),2100.0)</f>
        <v>2100</v>
      </c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80"/>
      <c r="AU13" s="80"/>
      <c r="AV13" s="54"/>
      <c r="AW13" s="102" t="str">
        <f>IFERROR(__xludf.DUMMYFUNCTION("""COMPUTED_VALUE"""),"Clip On")</f>
        <v>Clip On</v>
      </c>
      <c r="AX13" s="88">
        <f>IFERROR(__xludf.DUMMYFUNCTION("""COMPUTED_VALUE"""),400.0)</f>
        <v>400</v>
      </c>
      <c r="AY13" s="76" t="str">
        <f>IFERROR(__xludf.DUMMYFUNCTION("""COMPUTED_VALUE"""),"Translite")</f>
        <v>Translite</v>
      </c>
      <c r="AZ13" s="80">
        <f>IFERROR(__xludf.DUMMYFUNCTION("""COMPUTED_VALUE"""),25.0)</f>
        <v>25</v>
      </c>
      <c r="BA13" s="80"/>
      <c r="BB13" s="80"/>
      <c r="BC13" s="80"/>
      <c r="BD13" s="72"/>
      <c r="BE13" s="89">
        <v>9000.0</v>
      </c>
      <c r="BF13" s="89">
        <v>13200.0</v>
      </c>
    </row>
    <row r="14">
      <c r="A14" s="102" t="str">
        <f>IFERROR(__xludf.DUMMYFUNCTION("""COMPUTED_VALUE"""),"Acrylic Imported 2mm")</f>
        <v>Acrylic Imported 2mm</v>
      </c>
      <c r="B14" s="102">
        <f>IFERROR(__xludf.DUMMYFUNCTION("""COMPUTED_VALUE"""),4872.0)</f>
        <v>4872</v>
      </c>
      <c r="C14" s="102" t="str">
        <f>IFERROR(__xludf.DUMMYFUNCTION("""COMPUTED_VALUE"""),"48*72")</f>
        <v>48*72</v>
      </c>
      <c r="D14" s="102">
        <f>IFERROR(__xludf.DUMMYFUNCTION("""COMPUTED_VALUE"""),650.0)</f>
        <v>650</v>
      </c>
      <c r="E14" s="102">
        <f>IFERROR(__xludf.DUMMYFUNCTION("""COMPUTED_VALUE"""),1005.0)</f>
        <v>1005</v>
      </c>
      <c r="F14" s="90" t="str">
        <f>IFERROR(__xludf.DUMMYFUNCTION("""COMPUTED_VALUE"""),"Acrylic")</f>
        <v>Acrylic</v>
      </c>
      <c r="G14" s="80"/>
      <c r="H14" s="104"/>
      <c r="I14" s="80"/>
      <c r="J14" s="80"/>
      <c r="K14" s="80"/>
      <c r="L14" s="80"/>
      <c r="M14" s="80"/>
      <c r="N14" s="80"/>
      <c r="O14" s="80"/>
      <c r="P14" s="54" t="str">
        <f>IFERROR(__xludf.DUMMYFUNCTION("""COMPUTED_VALUE"""),"Sheet Type")</f>
        <v>Sheet Type</v>
      </c>
      <c r="Q14" s="54" t="str">
        <f>IFERROR(__xludf.DUMMYFUNCTION("""COMPUTED_VALUE"""),"Sheet Size")</f>
        <v>Sheet Size</v>
      </c>
      <c r="R14" s="54" t="str">
        <f>IFERROR(__xludf.DUMMYFUNCTION("""COMPUTED_VALUE"""),"Size")</f>
        <v>Size</v>
      </c>
      <c r="S14" s="54" t="str">
        <f>IFERROR(__xludf.DUMMYFUNCTION("""COMPUTED_VALUE"""),"Sheet Price")</f>
        <v>Sheet Price</v>
      </c>
      <c r="T14" s="54" t="str">
        <f>IFERROR(__xludf.DUMMYFUNCTION("""COMPUTED_VALUE"""),"Machine")</f>
        <v>Machine</v>
      </c>
      <c r="U14" s="54" t="str">
        <f>IFERROR(__xludf.DUMMYFUNCTION("""COMPUTED_VALUE"""),"Sheet Type")</f>
        <v>Sheet Type</v>
      </c>
      <c r="V14" s="80"/>
      <c r="W14" s="54" t="str">
        <f>IFERROR(__xludf.DUMMYFUNCTION("""COMPUTED_VALUE"""),"MetPet Hybrid 20*28")</f>
        <v>MetPet Hybrid 20*28</v>
      </c>
      <c r="X14" s="106" t="str">
        <f>IFERROR(__xludf.DUMMYFUNCTION("""COMPUTED_VALUE"""),"MetPet Hybrid 28*40")</f>
        <v>MetPet Hybrid 28*40</v>
      </c>
      <c r="Y14" s="54" t="str">
        <f>IFERROR(__xludf.DUMMYFUNCTION("""COMPUTED_VALUE"""),"Normal Plate 19*26")</f>
        <v>Normal Plate 19*26</v>
      </c>
      <c r="Z14" s="54" t="str">
        <f>IFERROR(__xludf.DUMMYFUNCTION("""COMPUTED_VALUE"""),"Normal Plate 20*29")</f>
        <v>Normal Plate 20*29</v>
      </c>
      <c r="AA14" s="86">
        <f>IFERROR(__xludf.DUMMYFUNCTION("""COMPUTED_VALUE"""),12081.0)</f>
        <v>12081</v>
      </c>
      <c r="AB14" s="86">
        <f>IFERROR(__xludf.DUMMYFUNCTION("""COMPUTED_VALUE"""),13080.0)</f>
        <v>13080</v>
      </c>
      <c r="AC14" s="86">
        <f>IFERROR(__xludf.DUMMYFUNCTION("""COMPUTED_VALUE"""),1625.0)</f>
        <v>1625</v>
      </c>
      <c r="AD14" s="86">
        <f>IFERROR(__xludf.DUMMYFUNCTION("""COMPUTED_VALUE"""),3900.0)</f>
        <v>3900</v>
      </c>
      <c r="AE14" s="86">
        <f>IFERROR(__xludf.DUMMYFUNCTION("""COMPUTED_VALUE"""),0.2)</f>
        <v>0.2</v>
      </c>
      <c r="AF14" s="86">
        <f>IFERROR(__xludf.DUMMYFUNCTION("""COMPUTED_VALUE"""),1500.0)</f>
        <v>1500</v>
      </c>
      <c r="AG14" s="86">
        <f>IFERROR(__xludf.DUMMYFUNCTION("""COMPUTED_VALUE"""),2275.0)</f>
        <v>2275</v>
      </c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104"/>
      <c r="AU14" s="80"/>
      <c r="AV14" s="54"/>
      <c r="AW14" s="102" t="str">
        <f>IFERROR(__xludf.DUMMYFUNCTION("""COMPUTED_VALUE"""),"Block Out")</f>
        <v>Block Out</v>
      </c>
      <c r="AX14" s="88">
        <f>IFERROR(__xludf.DUMMYFUNCTION("""COMPUTED_VALUE"""),650.0)</f>
        <v>650</v>
      </c>
      <c r="AY14" s="76" t="str">
        <f>IFERROR(__xludf.DUMMYFUNCTION("""COMPUTED_VALUE"""),"OneWay Vision 3M")</f>
        <v>OneWay Vision 3M</v>
      </c>
      <c r="AZ14" s="80">
        <f>IFERROR(__xludf.DUMMYFUNCTION("""COMPUTED_VALUE"""),17.0)</f>
        <v>17</v>
      </c>
      <c r="BA14" s="80"/>
      <c r="BB14" s="80"/>
      <c r="BC14" s="80"/>
      <c r="BD14" s="72"/>
      <c r="BE14" s="89">
        <v>9750.0</v>
      </c>
      <c r="BF14" s="89">
        <v>14300.0</v>
      </c>
    </row>
    <row r="15">
      <c r="A15" s="102" t="str">
        <f>IFERROR(__xludf.DUMMYFUNCTION("""COMPUTED_VALUE"""),"Acrylic Imported 3mm")</f>
        <v>Acrylic Imported 3mm</v>
      </c>
      <c r="B15" s="102">
        <f>IFERROR(__xludf.DUMMYFUNCTION("""COMPUTED_VALUE"""),4872.0)</f>
        <v>4872</v>
      </c>
      <c r="C15" s="102" t="str">
        <f>IFERROR(__xludf.DUMMYFUNCTION("""COMPUTED_VALUE"""),"48*72")</f>
        <v>48*72</v>
      </c>
      <c r="D15" s="102">
        <f>IFERROR(__xludf.DUMMYFUNCTION("""COMPUTED_VALUE"""),750.0)</f>
        <v>750</v>
      </c>
      <c r="E15" s="102">
        <f>IFERROR(__xludf.DUMMYFUNCTION("""COMPUTED_VALUE"""),1005.0)</f>
        <v>1005</v>
      </c>
      <c r="F15" s="54" t="str">
        <f>IFERROR(__xludf.DUMMYFUNCTION("""COMPUTED_VALUE"""),"Acrylic")</f>
        <v>Acrylic</v>
      </c>
      <c r="G15" s="80"/>
      <c r="H15" s="104"/>
      <c r="I15" s="80"/>
      <c r="J15" s="80"/>
      <c r="K15" s="80"/>
      <c r="L15" s="80"/>
      <c r="M15" s="80"/>
      <c r="N15" s="80"/>
      <c r="O15" s="80"/>
      <c r="P15" s="54" t="str">
        <f>IFERROR(__xludf.DUMMYFUNCTION("""COMPUTED_VALUE"""),"AD Chromo")</f>
        <v>AD Chromo</v>
      </c>
      <c r="Q15" s="102">
        <f>IFERROR(__xludf.DUMMYFUNCTION("""COMPUTED_VALUE"""),1520.0)</f>
        <v>1520</v>
      </c>
      <c r="R15" s="54" t="str">
        <f>IFERROR(__xludf.DUMMYFUNCTION("""COMPUTED_VALUE"""),"15*20")</f>
        <v>15*20</v>
      </c>
      <c r="S15" s="102">
        <f>IFERROR(__xludf.DUMMYFUNCTION("""COMPUTED_VALUE"""),6.0)</f>
        <v>6</v>
      </c>
      <c r="T15" s="102">
        <f>IFERROR(__xludf.DUMMYFUNCTION("""COMPUTED_VALUE"""),1926.0)</f>
        <v>1926</v>
      </c>
      <c r="U15" s="106" t="str">
        <f>IFERROR(__xludf.DUMMYFUNCTION("""COMPUTED_VALUE"""),"Gumming Sticker")</f>
        <v>Gumming Sticker</v>
      </c>
      <c r="V15" s="80"/>
      <c r="W15" s="102">
        <f>IFERROR(__xludf.DUMMYFUNCTION("""COMPUTED_VALUE"""),0.006)</f>
        <v>0.006</v>
      </c>
      <c r="X15" s="102">
        <f>IFERROR(__xludf.DUMMYFUNCTION("""COMPUTED_VALUE"""),0.0054)</f>
        <v>0.0054</v>
      </c>
      <c r="Y15" s="54">
        <f>IFERROR(__xludf.DUMMYFUNCTION("""COMPUTED_VALUE"""),250.0)</f>
        <v>250</v>
      </c>
      <c r="Z15" s="54">
        <f>IFERROR(__xludf.DUMMYFUNCTION("""COMPUTED_VALUE"""),275.0)</f>
        <v>275</v>
      </c>
      <c r="AA15" s="86">
        <f>IFERROR(__xludf.DUMMYFUNCTION("""COMPUTED_VALUE"""),13081.0)</f>
        <v>13081</v>
      </c>
      <c r="AB15" s="86">
        <f>IFERROR(__xludf.DUMMYFUNCTION("""COMPUTED_VALUE"""),14080.0)</f>
        <v>14080</v>
      </c>
      <c r="AC15" s="86">
        <f>IFERROR(__xludf.DUMMYFUNCTION("""COMPUTED_VALUE"""),1750.0)</f>
        <v>1750</v>
      </c>
      <c r="AD15" s="86">
        <f>IFERROR(__xludf.DUMMYFUNCTION("""COMPUTED_VALUE"""),4200.0)</f>
        <v>4200</v>
      </c>
      <c r="AE15" s="86">
        <f>IFERROR(__xludf.DUMMYFUNCTION("""COMPUTED_VALUE"""),0.2)</f>
        <v>0.2</v>
      </c>
      <c r="AF15" s="86">
        <f>IFERROR(__xludf.DUMMYFUNCTION("""COMPUTED_VALUE"""),1600.0)</f>
        <v>1600</v>
      </c>
      <c r="AG15" s="86">
        <f>IFERROR(__xludf.DUMMYFUNCTION("""COMPUTED_VALUE"""),2450.0)</f>
        <v>2450</v>
      </c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80"/>
      <c r="AU15" s="80"/>
      <c r="AV15" s="88"/>
      <c r="AW15" s="76" t="str">
        <f>IFERROR(__xludf.DUMMYFUNCTION("""COMPUTED_VALUE"""),"ACP Sheet")</f>
        <v>ACP Sheet</v>
      </c>
      <c r="AX15" s="88">
        <f>IFERROR(__xludf.DUMMYFUNCTION("""COMPUTED_VALUE"""),80.0)</f>
        <v>80</v>
      </c>
      <c r="AY15" s="76" t="str">
        <f>IFERROR(__xludf.DUMMYFUNCTION("""COMPUTED_VALUE"""),"OneWay Vision")</f>
        <v>OneWay Vision</v>
      </c>
      <c r="AZ15" s="80">
        <f>IFERROR(__xludf.DUMMYFUNCTION("""COMPUTED_VALUE"""),15.0)</f>
        <v>15</v>
      </c>
      <c r="BA15" s="80"/>
      <c r="BB15" s="80"/>
      <c r="BC15" s="80"/>
      <c r="BD15" s="72"/>
      <c r="BE15" s="89">
        <v>10500.0</v>
      </c>
      <c r="BF15" s="89">
        <v>15400.0</v>
      </c>
    </row>
    <row r="16">
      <c r="A16" s="102" t="str">
        <f>IFERROR(__xludf.DUMMYFUNCTION("""COMPUTED_VALUE"""),"Acrylic Imported 4mm")</f>
        <v>Acrylic Imported 4mm</v>
      </c>
      <c r="B16" s="102">
        <f>IFERROR(__xludf.DUMMYFUNCTION("""COMPUTED_VALUE"""),4872.0)</f>
        <v>4872</v>
      </c>
      <c r="C16" s="102" t="str">
        <f>IFERROR(__xludf.DUMMYFUNCTION("""COMPUTED_VALUE"""),"48*72")</f>
        <v>48*72</v>
      </c>
      <c r="D16" s="102">
        <f>IFERROR(__xludf.DUMMYFUNCTION("""COMPUTED_VALUE"""),1200.0)</f>
        <v>1200</v>
      </c>
      <c r="E16" s="102">
        <f>IFERROR(__xludf.DUMMYFUNCTION("""COMPUTED_VALUE"""),1005.0)</f>
        <v>1005</v>
      </c>
      <c r="F16" s="54" t="str">
        <f>IFERROR(__xludf.DUMMYFUNCTION("""COMPUTED_VALUE"""),"Acrylic")</f>
        <v>Acrylic</v>
      </c>
      <c r="G16" s="80"/>
      <c r="H16" s="104"/>
      <c r="I16" s="80"/>
      <c r="J16" s="80"/>
      <c r="K16" s="80"/>
      <c r="L16" s="80"/>
      <c r="M16" s="80"/>
      <c r="N16" s="80"/>
      <c r="O16" s="80"/>
      <c r="P16" s="54" t="str">
        <f>IFERROR(__xludf.DUMMYFUNCTION("""COMPUTED_VALUE"""),"AD Chromo")</f>
        <v>AD Chromo</v>
      </c>
      <c r="Q16" s="102">
        <f>IFERROR(__xludf.DUMMYFUNCTION("""COMPUTED_VALUE"""),1823.0)</f>
        <v>1823</v>
      </c>
      <c r="R16" s="54" t="str">
        <f>IFERROR(__xludf.DUMMYFUNCTION("""COMPUTED_VALUE"""),"18*23")</f>
        <v>18*23</v>
      </c>
      <c r="S16" s="102">
        <f>IFERROR(__xludf.DUMMYFUNCTION("""COMPUTED_VALUE"""),8.0)</f>
        <v>8</v>
      </c>
      <c r="T16" s="102">
        <f>IFERROR(__xludf.DUMMYFUNCTION("""COMPUTED_VALUE"""),1926.0)</f>
        <v>1926</v>
      </c>
      <c r="U16" s="106" t="str">
        <f>IFERROR(__xludf.DUMMYFUNCTION("""COMPUTED_VALUE"""),"Gumming Sticker")</f>
        <v>Gumming Sticker</v>
      </c>
      <c r="V16" s="80"/>
      <c r="W16" s="80"/>
      <c r="X16" s="80"/>
      <c r="Y16" s="80"/>
      <c r="Z16" s="80"/>
      <c r="AA16" s="86">
        <f>IFERROR(__xludf.DUMMYFUNCTION("""COMPUTED_VALUE"""),14081.0)</f>
        <v>14081</v>
      </c>
      <c r="AB16" s="86">
        <f>IFERROR(__xludf.DUMMYFUNCTION("""COMPUTED_VALUE"""),15080.0)</f>
        <v>15080</v>
      </c>
      <c r="AC16" s="86">
        <f>IFERROR(__xludf.DUMMYFUNCTION("""COMPUTED_VALUE"""),1875.0)</f>
        <v>1875</v>
      </c>
      <c r="AD16" s="86">
        <f>IFERROR(__xludf.DUMMYFUNCTION("""COMPUTED_VALUE"""),4500.0)</f>
        <v>4500</v>
      </c>
      <c r="AE16" s="86">
        <f>IFERROR(__xludf.DUMMYFUNCTION("""COMPUTED_VALUE"""),0.2)</f>
        <v>0.2</v>
      </c>
      <c r="AF16" s="86">
        <f>IFERROR(__xludf.DUMMYFUNCTION("""COMPUTED_VALUE"""),1700.0)</f>
        <v>1700</v>
      </c>
      <c r="AG16" s="86">
        <f>IFERROR(__xludf.DUMMYFUNCTION("""COMPUTED_VALUE"""),2625.0)</f>
        <v>2625</v>
      </c>
      <c r="AH16" s="73"/>
      <c r="AI16" s="73"/>
      <c r="AJ16" s="73"/>
      <c r="AK16" s="73"/>
      <c r="AL16" s="73"/>
      <c r="AM16" s="73"/>
      <c r="AN16" s="73"/>
      <c r="AO16" s="73"/>
      <c r="AP16" s="73" t="str">
        <f>IFERROR(__xludf.DUMMYFUNCTION("""COMPUTED_VALUE"""),"")</f>
        <v/>
      </c>
      <c r="AQ16" s="73"/>
      <c r="AR16" s="73"/>
      <c r="AS16" s="73"/>
      <c r="AT16" s="80"/>
      <c r="AU16" s="80"/>
      <c r="AV16" s="54"/>
      <c r="AW16" s="76" t="str">
        <f>IFERROR(__xludf.DUMMYFUNCTION("""COMPUTED_VALUE"""),"Plain")</f>
        <v>Plain</v>
      </c>
      <c r="AX16" s="88">
        <f>IFERROR(__xludf.DUMMYFUNCTION("""COMPUTED_VALUE"""),0.0)</f>
        <v>0</v>
      </c>
      <c r="AY16" s="76" t="str">
        <f>IFERROR(__xludf.DUMMYFUNCTION("""COMPUTED_VALUE"""),"Reflective Non Tearable")</f>
        <v>Reflective Non Tearable</v>
      </c>
      <c r="AZ16" s="80">
        <f>IFERROR(__xludf.DUMMYFUNCTION("""COMPUTED_VALUE"""),24.0)</f>
        <v>24</v>
      </c>
      <c r="BA16" s="80"/>
      <c r="BB16" s="80"/>
      <c r="BC16" s="80"/>
      <c r="BD16" s="72"/>
      <c r="BE16" s="89">
        <v>11250.0</v>
      </c>
      <c r="BF16" s="89">
        <v>16500.0</v>
      </c>
    </row>
    <row r="17">
      <c r="A17" s="102" t="str">
        <f>IFERROR(__xludf.DUMMYFUNCTION("""COMPUTED_VALUE"""),"Acrylic Imported 5mm")</f>
        <v>Acrylic Imported 5mm</v>
      </c>
      <c r="B17" s="102">
        <f>IFERROR(__xludf.DUMMYFUNCTION("""COMPUTED_VALUE"""),4872.0)</f>
        <v>4872</v>
      </c>
      <c r="C17" s="102" t="str">
        <f>IFERROR(__xludf.DUMMYFUNCTION("""COMPUTED_VALUE"""),"48*72")</f>
        <v>48*72</v>
      </c>
      <c r="D17" s="102">
        <f>IFERROR(__xludf.DUMMYFUNCTION("""COMPUTED_VALUE"""),1500.0)</f>
        <v>1500</v>
      </c>
      <c r="E17" s="102">
        <f>IFERROR(__xludf.DUMMYFUNCTION("""COMPUTED_VALUE"""),1005.0)</f>
        <v>1005</v>
      </c>
      <c r="F17" s="54" t="str">
        <f>IFERROR(__xludf.DUMMYFUNCTION("""COMPUTED_VALUE"""),"Acrylic")</f>
        <v>Acrylic</v>
      </c>
      <c r="G17" s="80"/>
      <c r="H17" s="104"/>
      <c r="I17" s="80"/>
      <c r="J17" s="80"/>
      <c r="K17" s="80"/>
      <c r="L17" s="80"/>
      <c r="M17" s="80"/>
      <c r="N17" s="80"/>
      <c r="O17" s="80"/>
      <c r="P17" s="54" t="str">
        <f>IFERROR(__xludf.DUMMYFUNCTION("""COMPUTED_VALUE"""),"AD Chromo")</f>
        <v>AD Chromo</v>
      </c>
      <c r="Q17" s="102">
        <f>IFERROR(__xludf.DUMMYFUNCTION("""COMPUTED_VALUE"""),1825.0)</f>
        <v>1825</v>
      </c>
      <c r="R17" s="54" t="str">
        <f>IFERROR(__xludf.DUMMYFUNCTION("""COMPUTED_VALUE"""),"18*25")</f>
        <v>18*25</v>
      </c>
      <c r="S17" s="102">
        <f>IFERROR(__xludf.DUMMYFUNCTION("""COMPUTED_VALUE"""),8.5)</f>
        <v>8.5</v>
      </c>
      <c r="T17" s="102">
        <f>IFERROR(__xludf.DUMMYFUNCTION("""COMPUTED_VALUE"""),1926.0)</f>
        <v>1926</v>
      </c>
      <c r="U17" s="106" t="str">
        <f>IFERROR(__xludf.DUMMYFUNCTION("""COMPUTED_VALUE"""),"Gumming Sticker")</f>
        <v>Gumming Sticker</v>
      </c>
      <c r="V17" s="80"/>
      <c r="W17" s="80"/>
      <c r="X17" s="80"/>
      <c r="Y17" s="54" t="str">
        <f>IFERROR(__xludf.DUMMYFUNCTION("""COMPUTED_VALUE"""),"Normal Plate 28*40")</f>
        <v>Normal Plate 28*40</v>
      </c>
      <c r="Z17" s="80"/>
      <c r="AA17" s="86">
        <f>IFERROR(__xludf.DUMMYFUNCTION("""COMPUTED_VALUE"""),15081.0)</f>
        <v>15081</v>
      </c>
      <c r="AB17" s="86">
        <f>IFERROR(__xludf.DUMMYFUNCTION("""COMPUTED_VALUE"""),16080.0)</f>
        <v>16080</v>
      </c>
      <c r="AC17" s="86">
        <f>IFERROR(__xludf.DUMMYFUNCTION("""COMPUTED_VALUE"""),2000.0)</f>
        <v>2000</v>
      </c>
      <c r="AD17" s="86">
        <f>IFERROR(__xludf.DUMMYFUNCTION("""COMPUTED_VALUE"""),4800.0)</f>
        <v>4800</v>
      </c>
      <c r="AE17" s="86">
        <f>IFERROR(__xludf.DUMMYFUNCTION("""COMPUTED_VALUE"""),0.2)</f>
        <v>0.2</v>
      </c>
      <c r="AF17" s="86">
        <f>IFERROR(__xludf.DUMMYFUNCTION("""COMPUTED_VALUE"""),1800.0)</f>
        <v>1800</v>
      </c>
      <c r="AG17" s="86">
        <f>IFERROR(__xludf.DUMMYFUNCTION("""COMPUTED_VALUE"""),2800.0)</f>
        <v>2800</v>
      </c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80"/>
      <c r="AU17" s="80"/>
      <c r="AV17" s="80"/>
      <c r="AW17" s="102"/>
      <c r="AX17" s="88"/>
      <c r="AY17" s="76" t="str">
        <f>IFERROR(__xludf.DUMMYFUNCTION("""COMPUTED_VALUE"""),"Reflective Tearable")</f>
        <v>Reflective Tearable</v>
      </c>
      <c r="AZ17" s="80">
        <f>IFERROR(__xludf.DUMMYFUNCTION("""COMPUTED_VALUE"""),16.0)</f>
        <v>16</v>
      </c>
      <c r="BA17" s="80"/>
      <c r="BB17" s="80"/>
      <c r="BC17" s="80"/>
      <c r="BD17" s="72"/>
      <c r="BE17" s="89">
        <v>12000.0</v>
      </c>
      <c r="BF17" s="89">
        <v>17600.0</v>
      </c>
    </row>
    <row r="18">
      <c r="A18" s="102" t="str">
        <f>IFERROR(__xludf.DUMMYFUNCTION("""COMPUTED_VALUE"""),"Maplitho")</f>
        <v>Maplitho</v>
      </c>
      <c r="B18" s="102">
        <f>IFERROR(__xludf.DUMMYFUNCTION("""COMPUTED_VALUE"""),1823.0)</f>
        <v>1823</v>
      </c>
      <c r="C18" s="102" t="str">
        <f>IFERROR(__xludf.DUMMYFUNCTION("""COMPUTED_VALUE"""),"18*23")</f>
        <v>18*23</v>
      </c>
      <c r="D18" s="80"/>
      <c r="E18" s="102">
        <f>IFERROR(__xludf.DUMMYFUNCTION("""COMPUTED_VALUE"""),1926.0)</f>
        <v>1926</v>
      </c>
      <c r="F18" s="54" t="str">
        <f>IFERROR(__xludf.DUMMYFUNCTION("""COMPUTED_VALUE"""),"Maplitho")</f>
        <v>Maplitho</v>
      </c>
      <c r="G18" s="80"/>
      <c r="H18" s="104"/>
      <c r="I18" s="80"/>
      <c r="J18" s="80"/>
      <c r="K18" s="80"/>
      <c r="L18" s="80"/>
      <c r="M18" s="80"/>
      <c r="N18" s="80"/>
      <c r="O18" s="80"/>
      <c r="P18" s="54" t="str">
        <f>IFERROR(__xludf.DUMMYFUNCTION("""COMPUTED_VALUE"""),"WC Chromo")</f>
        <v>WC Chromo</v>
      </c>
      <c r="Q18" s="102">
        <f>IFERROR(__xludf.DUMMYFUNCTION("""COMPUTED_VALUE"""),1520.0)</f>
        <v>1520</v>
      </c>
      <c r="R18" s="54" t="str">
        <f>IFERROR(__xludf.DUMMYFUNCTION("""COMPUTED_VALUE"""),"15*20")</f>
        <v>15*20</v>
      </c>
      <c r="S18" s="102">
        <f>IFERROR(__xludf.DUMMYFUNCTION("""COMPUTED_VALUE"""),4.0)</f>
        <v>4</v>
      </c>
      <c r="T18" s="102">
        <f>IFERROR(__xludf.DUMMYFUNCTION("""COMPUTED_VALUE"""),1926.0)</f>
        <v>1926</v>
      </c>
      <c r="U18" s="106" t="str">
        <f>IFERROR(__xludf.DUMMYFUNCTION("""COMPUTED_VALUE"""),"Gumming Sticker")</f>
        <v>Gumming Sticker</v>
      </c>
      <c r="V18" s="80"/>
      <c r="W18" s="80"/>
      <c r="X18" s="80"/>
      <c r="Y18" s="54">
        <f>IFERROR(__xludf.DUMMYFUNCTION("""COMPUTED_VALUE"""),650.0)</f>
        <v>650</v>
      </c>
      <c r="Z18" s="80"/>
      <c r="AA18" s="86">
        <f>IFERROR(__xludf.DUMMYFUNCTION("""COMPUTED_VALUE"""),16081.0)</f>
        <v>16081</v>
      </c>
      <c r="AB18" s="86">
        <f>IFERROR(__xludf.DUMMYFUNCTION("""COMPUTED_VALUE"""),17080.0)</f>
        <v>17080</v>
      </c>
      <c r="AC18" s="86">
        <f>IFERROR(__xludf.DUMMYFUNCTION("""COMPUTED_VALUE"""),2125.0)</f>
        <v>2125</v>
      </c>
      <c r="AD18" s="86">
        <f>IFERROR(__xludf.DUMMYFUNCTION("""COMPUTED_VALUE"""),5100.0)</f>
        <v>5100</v>
      </c>
      <c r="AE18" s="86">
        <f>IFERROR(__xludf.DUMMYFUNCTION("""COMPUTED_VALUE"""),0.2)</f>
        <v>0.2</v>
      </c>
      <c r="AF18" s="86">
        <f>IFERROR(__xludf.DUMMYFUNCTION("""COMPUTED_VALUE"""),1900.0)</f>
        <v>1900</v>
      </c>
      <c r="AG18" s="86">
        <f>IFERROR(__xludf.DUMMYFUNCTION("""COMPUTED_VALUE"""),2975.0)</f>
        <v>2975</v>
      </c>
      <c r="AH18" s="73"/>
      <c r="AI18" s="73"/>
      <c r="AJ18" s="73"/>
      <c r="AK18" s="73"/>
      <c r="AL18" s="73"/>
      <c r="AM18" s="73"/>
      <c r="AN18" s="73"/>
      <c r="AO18" s="80"/>
      <c r="AP18" s="73"/>
      <c r="AQ18" s="73"/>
      <c r="AR18" s="73"/>
      <c r="AS18" s="73"/>
      <c r="AT18" s="80"/>
      <c r="AU18" s="80"/>
      <c r="AV18" s="80"/>
      <c r="AW18" s="102"/>
      <c r="AX18" s="88"/>
      <c r="AY18" s="76" t="str">
        <f>IFERROR(__xludf.DUMMYFUNCTION("""COMPUTED_VALUE"""),"Photo Paper")</f>
        <v>Photo Paper</v>
      </c>
      <c r="AZ18" s="80">
        <f>IFERROR(__xludf.DUMMYFUNCTION("""COMPUTED_VALUE"""),20.0)</f>
        <v>20</v>
      </c>
      <c r="BA18" s="80"/>
      <c r="BB18" s="80"/>
      <c r="BC18" s="80"/>
      <c r="BD18" s="72"/>
      <c r="BE18" s="89">
        <v>12750.0</v>
      </c>
      <c r="BF18" s="89">
        <v>18700.0</v>
      </c>
    </row>
    <row r="19">
      <c r="A19" s="102" t="str">
        <f>IFERROR(__xludf.DUMMYFUNCTION("""COMPUTED_VALUE"""),"Maplitho")</f>
        <v>Maplitho</v>
      </c>
      <c r="B19" s="102">
        <f>IFERROR(__xludf.DUMMYFUNCTION("""COMPUTED_VALUE"""),1824.0)</f>
        <v>1824</v>
      </c>
      <c r="C19" s="102" t="str">
        <f>IFERROR(__xludf.DUMMYFUNCTION("""COMPUTED_VALUE"""),"18*24")</f>
        <v>18*24</v>
      </c>
      <c r="D19" s="80"/>
      <c r="E19" s="102">
        <f>IFERROR(__xludf.DUMMYFUNCTION("""COMPUTED_VALUE"""),1926.0)</f>
        <v>1926</v>
      </c>
      <c r="F19" s="54" t="str">
        <f>IFERROR(__xludf.DUMMYFUNCTION("""COMPUTED_VALUE"""),"Maplitho")</f>
        <v>Maplitho</v>
      </c>
      <c r="G19" s="80"/>
      <c r="H19" s="104"/>
      <c r="I19" s="80"/>
      <c r="J19" s="80"/>
      <c r="K19" s="80"/>
      <c r="L19" s="80"/>
      <c r="M19" s="80"/>
      <c r="N19" s="80"/>
      <c r="O19" s="80"/>
      <c r="P19" s="54" t="str">
        <f>IFERROR(__xludf.DUMMYFUNCTION("""COMPUTED_VALUE"""),"WC Chromo")</f>
        <v>WC Chromo</v>
      </c>
      <c r="Q19" s="102">
        <f>IFERROR(__xludf.DUMMYFUNCTION("""COMPUTED_VALUE"""),1823.0)</f>
        <v>1823</v>
      </c>
      <c r="R19" s="54" t="str">
        <f>IFERROR(__xludf.DUMMYFUNCTION("""COMPUTED_VALUE"""),"18*23")</f>
        <v>18*23</v>
      </c>
      <c r="S19" s="102">
        <f>IFERROR(__xludf.DUMMYFUNCTION("""COMPUTED_VALUE"""),5.5)</f>
        <v>5.5</v>
      </c>
      <c r="T19" s="102">
        <f>IFERROR(__xludf.DUMMYFUNCTION("""COMPUTED_VALUE"""),1926.0)</f>
        <v>1926</v>
      </c>
      <c r="U19" s="106" t="str">
        <f>IFERROR(__xludf.DUMMYFUNCTION("""COMPUTED_VALUE"""),"Gumming Sticker")</f>
        <v>Gumming Sticker</v>
      </c>
      <c r="V19" s="80"/>
      <c r="W19" s="80"/>
      <c r="X19" s="80"/>
      <c r="Y19" s="80"/>
      <c r="Z19" s="80"/>
      <c r="AA19" s="86">
        <f>IFERROR(__xludf.DUMMYFUNCTION("""COMPUTED_VALUE"""),17081.0)</f>
        <v>17081</v>
      </c>
      <c r="AB19" s="86">
        <f>IFERROR(__xludf.DUMMYFUNCTION("""COMPUTED_VALUE"""),18080.0)</f>
        <v>18080</v>
      </c>
      <c r="AC19" s="86">
        <f>IFERROR(__xludf.DUMMYFUNCTION("""COMPUTED_VALUE"""),2250.0)</f>
        <v>2250</v>
      </c>
      <c r="AD19" s="86">
        <f>IFERROR(__xludf.DUMMYFUNCTION("""COMPUTED_VALUE"""),5400.0)</f>
        <v>5400</v>
      </c>
      <c r="AE19" s="86">
        <f>IFERROR(__xludf.DUMMYFUNCTION("""COMPUTED_VALUE"""),0.2)</f>
        <v>0.2</v>
      </c>
      <c r="AF19" s="86">
        <f>IFERROR(__xludf.DUMMYFUNCTION("""COMPUTED_VALUE"""),2000.0)</f>
        <v>2000</v>
      </c>
      <c r="AG19" s="86">
        <f>IFERROR(__xludf.DUMMYFUNCTION("""COMPUTED_VALUE"""),3150.0)</f>
        <v>3150</v>
      </c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80"/>
      <c r="AU19" s="80"/>
      <c r="AV19" s="73"/>
      <c r="AW19" s="54"/>
      <c r="AX19" s="54"/>
      <c r="AY19" s="80"/>
      <c r="AZ19" s="80"/>
      <c r="BA19" s="80"/>
      <c r="BB19" s="80"/>
      <c r="BC19" s="80"/>
      <c r="BD19" s="72"/>
      <c r="BE19" s="89">
        <v>13500.0</v>
      </c>
      <c r="BF19" s="89">
        <v>19800.0</v>
      </c>
    </row>
    <row r="20">
      <c r="A20" s="102" t="str">
        <f>IFERROR(__xludf.DUMMYFUNCTION("""COMPUTED_VALUE"""),"Maplitho")</f>
        <v>Maplitho</v>
      </c>
      <c r="B20" s="102">
        <f>IFERROR(__xludf.DUMMYFUNCTION("""COMPUTED_VALUE"""),1825.0)</f>
        <v>1825</v>
      </c>
      <c r="C20" s="102" t="str">
        <f>IFERROR(__xludf.DUMMYFUNCTION("""COMPUTED_VALUE"""),"18*25")</f>
        <v>18*25</v>
      </c>
      <c r="D20" s="80"/>
      <c r="E20" s="102">
        <f>IFERROR(__xludf.DUMMYFUNCTION("""COMPUTED_VALUE"""),1926.0)</f>
        <v>1926</v>
      </c>
      <c r="F20" s="54" t="str">
        <f>IFERROR(__xludf.DUMMYFUNCTION("""COMPUTED_VALUE"""),"Maplitho")</f>
        <v>Maplitho</v>
      </c>
      <c r="G20" s="80"/>
      <c r="H20" s="104"/>
      <c r="I20" s="80"/>
      <c r="J20" s="80"/>
      <c r="K20" s="80"/>
      <c r="L20" s="80"/>
      <c r="M20" s="80"/>
      <c r="N20" s="80"/>
      <c r="O20" s="80"/>
      <c r="P20" s="54" t="str">
        <f>IFERROR(__xludf.DUMMYFUNCTION("""COMPUTED_VALUE"""),"WC Chromo")</f>
        <v>WC Chromo</v>
      </c>
      <c r="Q20" s="102">
        <f>IFERROR(__xludf.DUMMYFUNCTION("""COMPUTED_VALUE"""),1825.0)</f>
        <v>1825</v>
      </c>
      <c r="R20" s="54" t="str">
        <f>IFERROR(__xludf.DUMMYFUNCTION("""COMPUTED_VALUE"""),"18*25")</f>
        <v>18*25</v>
      </c>
      <c r="S20" s="102">
        <f>IFERROR(__xludf.DUMMYFUNCTION("""COMPUTED_VALUE"""),6.0)</f>
        <v>6</v>
      </c>
      <c r="T20" s="102">
        <f>IFERROR(__xludf.DUMMYFUNCTION("""COMPUTED_VALUE"""),1926.0)</f>
        <v>1926</v>
      </c>
      <c r="U20" s="106" t="str">
        <f>IFERROR(__xludf.DUMMYFUNCTION("""COMPUTED_VALUE"""),"Gumming Sticker")</f>
        <v>Gumming Sticker</v>
      </c>
      <c r="V20" s="80"/>
      <c r="W20" s="80"/>
      <c r="X20" s="80" t="str">
        <f>IFERROR(__xludf.DUMMYFUNCTION("""COMPUTED_VALUE"""),"Block Making Copper Leaf")</f>
        <v>Block Making Copper Leaf</v>
      </c>
      <c r="Y20" s="80" t="str">
        <f>IFERROR(__xludf.DUMMYFUNCTION("""COMPUTED_VALUE"""),"Block Making Local Leaf")</f>
        <v>Block Making Local Leaf</v>
      </c>
      <c r="Z20" s="80" t="str">
        <f>IFERROR(__xludf.DUMMYFUNCTION("""COMPUTED_VALUE"""),"Impression Rate")</f>
        <v>Impression Rate</v>
      </c>
      <c r="AA20" s="86">
        <f>IFERROR(__xludf.DUMMYFUNCTION("""COMPUTED_VALUE"""),18081.0)</f>
        <v>18081</v>
      </c>
      <c r="AB20" s="86">
        <f>IFERROR(__xludf.DUMMYFUNCTION("""COMPUTED_VALUE"""),19080.0)</f>
        <v>19080</v>
      </c>
      <c r="AC20" s="86">
        <f>IFERROR(__xludf.DUMMYFUNCTION("""COMPUTED_VALUE"""),2375.0)</f>
        <v>2375</v>
      </c>
      <c r="AD20" s="86">
        <f>IFERROR(__xludf.DUMMYFUNCTION("""COMPUTED_VALUE"""),5700.0)</f>
        <v>5700</v>
      </c>
      <c r="AE20" s="86">
        <f>IFERROR(__xludf.DUMMYFUNCTION("""COMPUTED_VALUE"""),0.2)</f>
        <v>0.2</v>
      </c>
      <c r="AF20" s="86">
        <f>IFERROR(__xludf.DUMMYFUNCTION("""COMPUTED_VALUE"""),2100.0)</f>
        <v>2100</v>
      </c>
      <c r="AG20" s="86">
        <f>IFERROR(__xludf.DUMMYFUNCTION("""COMPUTED_VALUE"""),3325.0)</f>
        <v>3325</v>
      </c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80"/>
      <c r="AU20" s="80"/>
      <c r="AV20" s="73"/>
      <c r="AW20" s="54"/>
      <c r="AX20" s="54"/>
      <c r="AY20" s="80"/>
      <c r="AZ20" s="80"/>
      <c r="BA20" s="80"/>
      <c r="BB20" s="80"/>
      <c r="BC20" s="80"/>
      <c r="BD20" s="72"/>
      <c r="BE20" s="89">
        <v>14250.0</v>
      </c>
      <c r="BF20" s="89">
        <v>20900.0</v>
      </c>
    </row>
    <row r="21">
      <c r="A21" s="102" t="str">
        <f>IFERROR(__xludf.DUMMYFUNCTION("""COMPUTED_VALUE"""),"Maplitho")</f>
        <v>Maplitho</v>
      </c>
      <c r="B21" s="102">
        <f>IFERROR(__xludf.DUMMYFUNCTION("""COMPUTED_VALUE"""),1525.0)</f>
        <v>1525</v>
      </c>
      <c r="C21" s="102" t="str">
        <f>IFERROR(__xludf.DUMMYFUNCTION("""COMPUTED_VALUE"""),"15*25")</f>
        <v>15*25</v>
      </c>
      <c r="D21" s="80"/>
      <c r="E21" s="102">
        <f>IFERROR(__xludf.DUMMYFUNCTION("""COMPUTED_VALUE"""),1926.0)</f>
        <v>1926</v>
      </c>
      <c r="F21" s="54" t="str">
        <f>IFERROR(__xludf.DUMMYFUNCTION("""COMPUTED_VALUE"""),"Maplitho")</f>
        <v>Maplitho</v>
      </c>
      <c r="G21" s="80"/>
      <c r="H21" s="104"/>
      <c r="I21" s="80"/>
      <c r="J21" s="80"/>
      <c r="K21" s="80"/>
      <c r="L21" s="80"/>
      <c r="M21" s="80"/>
      <c r="N21" s="80"/>
      <c r="O21" s="80"/>
      <c r="P21" s="54" t="str">
        <f>IFERROR(__xludf.DUMMYFUNCTION("""COMPUTED_VALUE"""),"Art Card")</f>
        <v>Art Card</v>
      </c>
      <c r="Q21" s="102">
        <f>IFERROR(__xludf.DUMMYFUNCTION("""COMPUTED_VALUE"""),1823.0)</f>
        <v>1823</v>
      </c>
      <c r="R21" s="54" t="str">
        <f>IFERROR(__xludf.DUMMYFUNCTION("""COMPUTED_VALUE"""),"18*23")</f>
        <v>18*23</v>
      </c>
      <c r="S21" s="80"/>
      <c r="T21" s="102">
        <f>IFERROR(__xludf.DUMMYFUNCTION("""COMPUTED_VALUE"""),1926.0)</f>
        <v>1926</v>
      </c>
      <c r="U21" s="54" t="str">
        <f>IFERROR(__xludf.DUMMYFUNCTION("""COMPUTED_VALUE"""),"Art Card")</f>
        <v>Art Card</v>
      </c>
      <c r="V21" s="80"/>
      <c r="W21" s="80"/>
      <c r="X21" s="80">
        <f>IFERROR(__xludf.DUMMYFUNCTION("""COMPUTED_VALUE"""),20.0)</f>
        <v>20</v>
      </c>
      <c r="Y21" s="80">
        <f>IFERROR(__xludf.DUMMYFUNCTION("""COMPUTED_VALUE"""),8.0)</f>
        <v>8</v>
      </c>
      <c r="Z21" s="80">
        <f>IFERROR(__xludf.DUMMYFUNCTION("""COMPUTED_VALUE"""),0.015)</f>
        <v>0.015</v>
      </c>
      <c r="AA21" s="86">
        <f>IFERROR(__xludf.DUMMYFUNCTION("""COMPUTED_VALUE"""),19081.0)</f>
        <v>19081</v>
      </c>
      <c r="AB21" s="86">
        <f>IFERROR(__xludf.DUMMYFUNCTION("""COMPUTED_VALUE"""),20080.0)</f>
        <v>20080</v>
      </c>
      <c r="AC21" s="86">
        <f>IFERROR(__xludf.DUMMYFUNCTION("""COMPUTED_VALUE"""),2500.0)</f>
        <v>2500</v>
      </c>
      <c r="AD21" s="86">
        <f>IFERROR(__xludf.DUMMYFUNCTION("""COMPUTED_VALUE"""),6000.0)</f>
        <v>6000</v>
      </c>
      <c r="AE21" s="86">
        <f>IFERROR(__xludf.DUMMYFUNCTION("""COMPUTED_VALUE"""),0.2)</f>
        <v>0.2</v>
      </c>
      <c r="AF21" s="86">
        <f>IFERROR(__xludf.DUMMYFUNCTION("""COMPUTED_VALUE"""),2200.0)</f>
        <v>2200</v>
      </c>
      <c r="AG21" s="86">
        <f>IFERROR(__xludf.DUMMYFUNCTION("""COMPUTED_VALUE"""),3500.0)</f>
        <v>3500</v>
      </c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80"/>
      <c r="AU21" s="80"/>
      <c r="AV21" s="73"/>
      <c r="AW21" s="54"/>
      <c r="AX21" s="54"/>
      <c r="AY21" s="80"/>
      <c r="AZ21" s="80"/>
      <c r="BA21" s="80"/>
      <c r="BB21" s="80"/>
      <c r="BC21" s="80"/>
      <c r="BD21" s="72"/>
      <c r="BE21" s="89">
        <v>15000.0</v>
      </c>
      <c r="BF21" s="89">
        <v>22000.0</v>
      </c>
    </row>
    <row r="22">
      <c r="A22" s="102" t="str">
        <f>IFERROR(__xludf.DUMMYFUNCTION("""COMPUTED_VALUE"""),"Maplitho")</f>
        <v>Maplitho</v>
      </c>
      <c r="B22" s="102">
        <f>IFERROR(__xludf.DUMMYFUNCTION("""COMPUTED_VALUE"""),1520.0)</f>
        <v>1520</v>
      </c>
      <c r="C22" s="102" t="str">
        <f>IFERROR(__xludf.DUMMYFUNCTION("""COMPUTED_VALUE"""),"15*20")</f>
        <v>15*20</v>
      </c>
      <c r="D22" s="80"/>
      <c r="E22" s="102">
        <f>IFERROR(__xludf.DUMMYFUNCTION("""COMPUTED_VALUE"""),1926.0)</f>
        <v>1926</v>
      </c>
      <c r="F22" s="54" t="str">
        <f>IFERROR(__xludf.DUMMYFUNCTION("""COMPUTED_VALUE"""),"Maplitho")</f>
        <v>Maplitho</v>
      </c>
      <c r="G22" s="80"/>
      <c r="H22" s="104"/>
      <c r="I22" s="80"/>
      <c r="J22" s="80"/>
      <c r="K22" s="80"/>
      <c r="L22" s="80"/>
      <c r="M22" s="80"/>
      <c r="N22" s="80"/>
      <c r="O22" s="80"/>
      <c r="P22" s="54" t="str">
        <f>IFERROR(__xludf.DUMMYFUNCTION("""COMPUTED_VALUE"""),"Art Card")</f>
        <v>Art Card</v>
      </c>
      <c r="Q22" s="102">
        <f>IFERROR(__xludf.DUMMYFUNCTION("""COMPUTED_VALUE"""),1824.0)</f>
        <v>1824</v>
      </c>
      <c r="R22" s="54" t="str">
        <f>IFERROR(__xludf.DUMMYFUNCTION("""COMPUTED_VALUE"""),"18*24")</f>
        <v>18*24</v>
      </c>
      <c r="S22" s="80"/>
      <c r="T22" s="102">
        <f>IFERROR(__xludf.DUMMYFUNCTION("""COMPUTED_VALUE"""),1926.0)</f>
        <v>1926</v>
      </c>
      <c r="U22" s="54" t="str">
        <f>IFERROR(__xludf.DUMMYFUNCTION("""COMPUTED_VALUE"""),"Art Card")</f>
        <v>Art Card</v>
      </c>
      <c r="V22" s="80"/>
      <c r="W22" s="80"/>
      <c r="X22" s="80"/>
      <c r="Y22" s="80"/>
      <c r="Z22" s="80"/>
      <c r="AA22" s="86">
        <f>IFERROR(__xludf.DUMMYFUNCTION("""COMPUTED_VALUE"""),20081.0)</f>
        <v>20081</v>
      </c>
      <c r="AB22" s="86">
        <f>IFERROR(__xludf.DUMMYFUNCTION("""COMPUTED_VALUE"""),21080.0)</f>
        <v>21080</v>
      </c>
      <c r="AC22" s="86">
        <f>IFERROR(__xludf.DUMMYFUNCTION("""COMPUTED_VALUE"""),2625.0)</f>
        <v>2625</v>
      </c>
      <c r="AD22" s="86">
        <f>IFERROR(__xludf.DUMMYFUNCTION("""COMPUTED_VALUE"""),6300.0)</f>
        <v>6300</v>
      </c>
      <c r="AE22" s="86">
        <f>IFERROR(__xludf.DUMMYFUNCTION("""COMPUTED_VALUE"""),0.2)</f>
        <v>0.2</v>
      </c>
      <c r="AF22" s="86">
        <f>IFERROR(__xludf.DUMMYFUNCTION("""COMPUTED_VALUE"""),2300.0)</f>
        <v>2300</v>
      </c>
      <c r="AG22" s="86">
        <f>IFERROR(__xludf.DUMMYFUNCTION("""COMPUTED_VALUE"""),3675.0)</f>
        <v>3675</v>
      </c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80"/>
      <c r="AU22" s="80"/>
      <c r="AV22" s="73"/>
      <c r="AW22" s="54"/>
      <c r="AX22" s="54"/>
      <c r="AY22" s="80"/>
      <c r="AZ22" s="80"/>
      <c r="BA22" s="80"/>
      <c r="BB22" s="80"/>
      <c r="BC22" s="80"/>
      <c r="BD22" s="72"/>
      <c r="BE22" s="89">
        <v>15750.0</v>
      </c>
      <c r="BF22" s="89">
        <v>23100.0</v>
      </c>
    </row>
    <row r="23">
      <c r="A23" s="102" t="str">
        <f>IFERROR(__xludf.DUMMYFUNCTION("""COMPUTED_VALUE"""),"Art Card")</f>
        <v>Art Card</v>
      </c>
      <c r="B23" s="102">
        <f>IFERROR(__xludf.DUMMYFUNCTION("""COMPUTED_VALUE"""),2336.0)</f>
        <v>2336</v>
      </c>
      <c r="C23" s="102" t="str">
        <f>IFERROR(__xludf.DUMMYFUNCTION("""COMPUTED_VALUE"""),"23*36")</f>
        <v>23*36</v>
      </c>
      <c r="D23" s="102"/>
      <c r="E23" s="102">
        <f>IFERROR(__xludf.DUMMYFUNCTION("""COMPUTED_VALUE"""),2840.0)</f>
        <v>2840</v>
      </c>
      <c r="F23" s="54" t="str">
        <f>IFERROR(__xludf.DUMMYFUNCTION("""COMPUTED_VALUE"""),"Art Card")</f>
        <v>Art Card</v>
      </c>
      <c r="G23" s="80"/>
      <c r="H23" s="104"/>
      <c r="I23" s="80"/>
      <c r="J23" s="80"/>
      <c r="K23" s="80"/>
      <c r="L23" s="80"/>
      <c r="M23" s="80"/>
      <c r="N23" s="80"/>
      <c r="O23" s="80"/>
      <c r="P23" s="54" t="str">
        <f>IFERROR(__xludf.DUMMYFUNCTION("""COMPUTED_VALUE"""),"Art Card")</f>
        <v>Art Card</v>
      </c>
      <c r="Q23" s="102">
        <f>IFERROR(__xludf.DUMMYFUNCTION("""COMPUTED_VALUE"""),1825.0)</f>
        <v>1825</v>
      </c>
      <c r="R23" s="54" t="str">
        <f>IFERROR(__xludf.DUMMYFUNCTION("""COMPUTED_VALUE"""),"18*25")</f>
        <v>18*25</v>
      </c>
      <c r="S23" s="80"/>
      <c r="T23" s="102">
        <f>IFERROR(__xludf.DUMMYFUNCTION("""COMPUTED_VALUE"""),1926.0)</f>
        <v>1926</v>
      </c>
      <c r="U23" s="54" t="str">
        <f>IFERROR(__xludf.DUMMYFUNCTION("""COMPUTED_VALUE"""),"Art Card")</f>
        <v>Art Card</v>
      </c>
      <c r="V23" s="80"/>
      <c r="W23" s="80"/>
      <c r="X23" s="80" t="str">
        <f>IFERROR(__xludf.DUMMYFUNCTION("""COMPUTED_VALUE"""),"Plastic Sheet")</f>
        <v>Plastic Sheet</v>
      </c>
      <c r="Y23" s="80" t="str">
        <f>IFERROR(__xludf.DUMMYFUNCTION("""COMPUTED_VALUE"""),"10*15")</f>
        <v>10*15</v>
      </c>
      <c r="Z23" s="80">
        <f>IFERROR(__xludf.DUMMYFUNCTION("""COMPUTED_VALUE"""),2.0)</f>
        <v>2</v>
      </c>
      <c r="AA23" s="86">
        <f>IFERROR(__xludf.DUMMYFUNCTION("""COMPUTED_VALUE"""),21081.0)</f>
        <v>21081</v>
      </c>
      <c r="AB23" s="86">
        <f>IFERROR(__xludf.DUMMYFUNCTION("""COMPUTED_VALUE"""),22080.0)</f>
        <v>22080</v>
      </c>
      <c r="AC23" s="86">
        <f>IFERROR(__xludf.DUMMYFUNCTION("""COMPUTED_VALUE"""),2750.0)</f>
        <v>2750</v>
      </c>
      <c r="AD23" s="86">
        <f>IFERROR(__xludf.DUMMYFUNCTION("""COMPUTED_VALUE"""),6600.0)</f>
        <v>6600</v>
      </c>
      <c r="AE23" s="86">
        <f>IFERROR(__xludf.DUMMYFUNCTION("""COMPUTED_VALUE"""),0.2)</f>
        <v>0.2</v>
      </c>
      <c r="AF23" s="86">
        <f>IFERROR(__xludf.DUMMYFUNCTION("""COMPUTED_VALUE"""),2400.0)</f>
        <v>2400</v>
      </c>
      <c r="AG23" s="86">
        <f>IFERROR(__xludf.DUMMYFUNCTION("""COMPUTED_VALUE"""),3850.0)</f>
        <v>3850</v>
      </c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80"/>
      <c r="AU23" s="80"/>
      <c r="AV23" s="73"/>
      <c r="AW23" s="54"/>
      <c r="AX23" s="54"/>
      <c r="AY23" s="80"/>
      <c r="AZ23" s="80"/>
      <c r="BA23" s="80"/>
      <c r="BB23" s="80"/>
      <c r="BC23" s="80"/>
      <c r="BD23" s="72"/>
      <c r="BE23" s="89">
        <v>16500.0</v>
      </c>
      <c r="BF23" s="89">
        <v>24200.0</v>
      </c>
    </row>
    <row r="24">
      <c r="A24" s="102" t="str">
        <f>IFERROR(__xludf.DUMMYFUNCTION("""COMPUTED_VALUE"""),"Art Card")</f>
        <v>Art Card</v>
      </c>
      <c r="B24" s="102">
        <f>IFERROR(__xludf.DUMMYFUNCTION("""COMPUTED_VALUE"""),2536.0)</f>
        <v>2536</v>
      </c>
      <c r="C24" s="102" t="str">
        <f>IFERROR(__xludf.DUMMYFUNCTION("""COMPUTED_VALUE"""),"25*36")</f>
        <v>25*36</v>
      </c>
      <c r="D24" s="102"/>
      <c r="E24" s="102">
        <f>IFERROR(__xludf.DUMMYFUNCTION("""COMPUTED_VALUE"""),2840.0)</f>
        <v>2840</v>
      </c>
      <c r="F24" s="54" t="str">
        <f>IFERROR(__xludf.DUMMYFUNCTION("""COMPUTED_VALUE"""),"Art Card")</f>
        <v>Art Card</v>
      </c>
      <c r="G24" s="80"/>
      <c r="H24" s="104"/>
      <c r="I24" s="80"/>
      <c r="J24" s="80"/>
      <c r="K24" s="80"/>
      <c r="L24" s="80"/>
      <c r="M24" s="80"/>
      <c r="N24" s="80"/>
      <c r="O24" s="80"/>
      <c r="P24" s="54" t="str">
        <f>IFERROR(__xludf.DUMMYFUNCTION("""COMPUTED_VALUE"""),"Art Card")</f>
        <v>Art Card</v>
      </c>
      <c r="Q24" s="102">
        <f>IFERROR(__xludf.DUMMYFUNCTION("""COMPUTED_VALUE"""),1525.0)</f>
        <v>1525</v>
      </c>
      <c r="R24" s="54" t="str">
        <f>IFERROR(__xludf.DUMMYFUNCTION("""COMPUTED_VALUE"""),"15*25")</f>
        <v>15*25</v>
      </c>
      <c r="S24" s="80"/>
      <c r="T24" s="102">
        <f>IFERROR(__xludf.DUMMYFUNCTION("""COMPUTED_VALUE"""),1926.0)</f>
        <v>1926</v>
      </c>
      <c r="U24" s="54" t="str">
        <f>IFERROR(__xludf.DUMMYFUNCTION("""COMPUTED_VALUE"""),"Art Card")</f>
        <v>Art Card</v>
      </c>
      <c r="V24" s="80"/>
      <c r="W24" s="80"/>
      <c r="X24" s="80"/>
      <c r="Y24" s="80"/>
      <c r="Z24" s="80"/>
      <c r="AA24" s="86">
        <f>IFERROR(__xludf.DUMMYFUNCTION("""COMPUTED_VALUE"""),22081.0)</f>
        <v>22081</v>
      </c>
      <c r="AB24" s="86">
        <f>IFERROR(__xludf.DUMMYFUNCTION("""COMPUTED_VALUE"""),23080.0)</f>
        <v>23080</v>
      </c>
      <c r="AC24" s="86">
        <f>IFERROR(__xludf.DUMMYFUNCTION("""COMPUTED_VALUE"""),2875.0)</f>
        <v>2875</v>
      </c>
      <c r="AD24" s="86">
        <f>IFERROR(__xludf.DUMMYFUNCTION("""COMPUTED_VALUE"""),6900.0)</f>
        <v>6900</v>
      </c>
      <c r="AE24" s="86">
        <f>IFERROR(__xludf.DUMMYFUNCTION("""COMPUTED_VALUE"""),0.2)</f>
        <v>0.2</v>
      </c>
      <c r="AF24" s="86">
        <f>IFERROR(__xludf.DUMMYFUNCTION("""COMPUTED_VALUE"""),2500.0)</f>
        <v>2500</v>
      </c>
      <c r="AG24" s="86">
        <f>IFERROR(__xludf.DUMMYFUNCTION("""COMPUTED_VALUE"""),4025.0)</f>
        <v>4025</v>
      </c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80"/>
      <c r="AU24" s="80"/>
      <c r="AV24" s="73"/>
      <c r="AW24" s="54"/>
      <c r="AX24" s="54"/>
      <c r="AY24" s="80"/>
      <c r="AZ24" s="80"/>
      <c r="BA24" s="80"/>
      <c r="BB24" s="80"/>
      <c r="BC24" s="80"/>
      <c r="BD24" s="72"/>
      <c r="BE24" s="89">
        <v>17250.0</v>
      </c>
      <c r="BF24" s="89">
        <v>25300.0</v>
      </c>
    </row>
    <row r="25">
      <c r="A25" s="102" t="str">
        <f>IFERROR(__xludf.DUMMYFUNCTION("""COMPUTED_VALUE"""),"Art Card")</f>
        <v>Art Card</v>
      </c>
      <c r="B25" s="102">
        <f>IFERROR(__xludf.DUMMYFUNCTION("""COMPUTED_VALUE"""),2530.0)</f>
        <v>2530</v>
      </c>
      <c r="C25" s="102" t="str">
        <f>IFERROR(__xludf.DUMMYFUNCTION("""COMPUTED_VALUE"""),"25*30")</f>
        <v>25*30</v>
      </c>
      <c r="D25" s="102"/>
      <c r="E25" s="102">
        <f>IFERROR(__xludf.DUMMYFUNCTION("""COMPUTED_VALUE"""),2840.0)</f>
        <v>2840</v>
      </c>
      <c r="F25" s="54" t="str">
        <f>IFERROR(__xludf.DUMMYFUNCTION("""COMPUTED_VALUE"""),"Art Card")</f>
        <v>Art Card</v>
      </c>
      <c r="G25" s="80"/>
      <c r="H25" s="104"/>
      <c r="I25" s="80"/>
      <c r="J25" s="80"/>
      <c r="K25" s="80"/>
      <c r="L25" s="80"/>
      <c r="M25" s="80"/>
      <c r="N25" s="80"/>
      <c r="O25" s="80"/>
      <c r="P25" s="54" t="str">
        <f>IFERROR(__xludf.DUMMYFUNCTION("""COMPUTED_VALUE"""),"Art Card")</f>
        <v>Art Card</v>
      </c>
      <c r="Q25" s="102">
        <f>IFERROR(__xludf.DUMMYFUNCTION("""COMPUTED_VALUE"""),1520.0)</f>
        <v>1520</v>
      </c>
      <c r="R25" s="54" t="str">
        <f>IFERROR(__xludf.DUMMYFUNCTION("""COMPUTED_VALUE"""),"15*20")</f>
        <v>15*20</v>
      </c>
      <c r="S25" s="80"/>
      <c r="T25" s="102">
        <f>IFERROR(__xludf.DUMMYFUNCTION("""COMPUTED_VALUE"""),1926.0)</f>
        <v>1926</v>
      </c>
      <c r="U25" s="54" t="str">
        <f>IFERROR(__xludf.DUMMYFUNCTION("""COMPUTED_VALUE"""),"Art Card")</f>
        <v>Art Card</v>
      </c>
      <c r="V25" s="80"/>
      <c r="W25" s="80"/>
      <c r="X25" s="80"/>
      <c r="Y25" s="80"/>
      <c r="Z25" s="80"/>
      <c r="AA25" s="86">
        <f>IFERROR(__xludf.DUMMYFUNCTION("""COMPUTED_VALUE"""),23081.0)</f>
        <v>23081</v>
      </c>
      <c r="AB25" s="86">
        <f>IFERROR(__xludf.DUMMYFUNCTION("""COMPUTED_VALUE"""),24080.0)</f>
        <v>24080</v>
      </c>
      <c r="AC25" s="86">
        <f>IFERROR(__xludf.DUMMYFUNCTION("""COMPUTED_VALUE"""),3000.0)</f>
        <v>3000</v>
      </c>
      <c r="AD25" s="86">
        <f>IFERROR(__xludf.DUMMYFUNCTION("""COMPUTED_VALUE"""),7200.0)</f>
        <v>7200</v>
      </c>
      <c r="AE25" s="86">
        <f>IFERROR(__xludf.DUMMYFUNCTION("""COMPUTED_VALUE"""),0.2)</f>
        <v>0.2</v>
      </c>
      <c r="AF25" s="86">
        <f>IFERROR(__xludf.DUMMYFUNCTION("""COMPUTED_VALUE"""),2600.0)</f>
        <v>2600</v>
      </c>
      <c r="AG25" s="86">
        <f>IFERROR(__xludf.DUMMYFUNCTION("""COMPUTED_VALUE"""),4200.0)</f>
        <v>4200</v>
      </c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80"/>
      <c r="AU25" s="80"/>
      <c r="AV25" s="73"/>
      <c r="AW25" s="54"/>
      <c r="AX25" s="54"/>
      <c r="AY25" s="80"/>
      <c r="AZ25" s="80"/>
      <c r="BA25" s="80"/>
      <c r="BB25" s="80"/>
      <c r="BC25" s="80"/>
      <c r="BD25" s="72"/>
      <c r="BE25" s="89">
        <v>18000.0</v>
      </c>
      <c r="BF25" s="89">
        <v>26400.0</v>
      </c>
    </row>
    <row r="26">
      <c r="A26" s="102" t="str">
        <f>IFERROR(__xludf.DUMMYFUNCTION("""COMPUTED_VALUE"""),"Maplitho")</f>
        <v>Maplitho</v>
      </c>
      <c r="B26" s="102">
        <f>IFERROR(__xludf.DUMMYFUNCTION("""COMPUTED_VALUE"""),2336.0)</f>
        <v>2336</v>
      </c>
      <c r="C26" s="102" t="str">
        <f>IFERROR(__xludf.DUMMYFUNCTION("""COMPUTED_VALUE"""),"23*36")</f>
        <v>23*36</v>
      </c>
      <c r="D26" s="102"/>
      <c r="E26" s="102">
        <f>IFERROR(__xludf.DUMMYFUNCTION("""COMPUTED_VALUE"""),2840.0)</f>
        <v>2840</v>
      </c>
      <c r="F26" s="54" t="str">
        <f>IFERROR(__xludf.DUMMYFUNCTION("""COMPUTED_VALUE"""),"Maplitho")</f>
        <v>Maplitho</v>
      </c>
      <c r="G26" s="80"/>
      <c r="H26" s="104"/>
      <c r="I26" s="80"/>
      <c r="J26" s="80"/>
      <c r="K26" s="80"/>
      <c r="L26" s="80"/>
      <c r="M26" s="80"/>
      <c r="N26" s="80"/>
      <c r="O26" s="80"/>
      <c r="P26" s="54" t="str">
        <f>IFERROR(__xludf.DUMMYFUNCTION("""COMPUTED_VALUE"""),"Digital")</f>
        <v>Digital</v>
      </c>
      <c r="Q26" s="102">
        <f>IFERROR(__xludf.DUMMYFUNCTION("""COMPUTED_VALUE"""),1319.0)</f>
        <v>1319</v>
      </c>
      <c r="R26" s="54" t="str">
        <f>IFERROR(__xludf.DUMMYFUNCTION("""COMPUTED_VALUE"""),"13*19")</f>
        <v>13*19</v>
      </c>
      <c r="S26" s="80"/>
      <c r="T26" s="102">
        <f>IFERROR(__xludf.DUMMYFUNCTION("""COMPUTED_VALUE"""),1001.0)</f>
        <v>1001</v>
      </c>
      <c r="U26" s="54" t="str">
        <f>IFERROR(__xludf.DUMMYFUNCTION("""COMPUTED_VALUE"""),"Digital Paper")</f>
        <v>Digital Paper</v>
      </c>
      <c r="V26" s="80"/>
      <c r="W26" s="80"/>
      <c r="X26" s="80" t="str">
        <f>IFERROR(__xludf.DUMMYFUNCTION("""COMPUTED_VALUE"""),"Excel Bond")</f>
        <v>Excel Bond</v>
      </c>
      <c r="Y26" s="80"/>
      <c r="Z26" s="80"/>
      <c r="AA26" s="86">
        <f>IFERROR(__xludf.DUMMYFUNCTION("""COMPUTED_VALUE"""),24081.0)</f>
        <v>24081</v>
      </c>
      <c r="AB26" s="86">
        <f>IFERROR(__xludf.DUMMYFUNCTION("""COMPUTED_VALUE"""),25080.0)</f>
        <v>25080</v>
      </c>
      <c r="AC26" s="86">
        <f>IFERROR(__xludf.DUMMYFUNCTION("""COMPUTED_VALUE"""),3125.0)</f>
        <v>3125</v>
      </c>
      <c r="AD26" s="86">
        <f>IFERROR(__xludf.DUMMYFUNCTION("""COMPUTED_VALUE"""),7500.0)</f>
        <v>7500</v>
      </c>
      <c r="AE26" s="86">
        <f>IFERROR(__xludf.DUMMYFUNCTION("""COMPUTED_VALUE"""),0.2)</f>
        <v>0.2</v>
      </c>
      <c r="AF26" s="86">
        <f>IFERROR(__xludf.DUMMYFUNCTION("""COMPUTED_VALUE"""),2700.0)</f>
        <v>2700</v>
      </c>
      <c r="AG26" s="86">
        <f>IFERROR(__xludf.DUMMYFUNCTION("""COMPUTED_VALUE"""),4375.0)</f>
        <v>4375</v>
      </c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80"/>
      <c r="AU26" s="80"/>
      <c r="AV26" s="73"/>
      <c r="AW26" s="80"/>
      <c r="AX26" s="54"/>
      <c r="AY26" s="80"/>
      <c r="AZ26" s="80"/>
      <c r="BA26" s="80"/>
      <c r="BB26" s="80"/>
      <c r="BC26" s="80"/>
      <c r="BD26" s="72"/>
      <c r="BE26" s="89">
        <v>18750.0</v>
      </c>
      <c r="BF26" s="89">
        <v>27500.0</v>
      </c>
    </row>
    <row r="27">
      <c r="A27" s="102" t="str">
        <f>IFERROR(__xludf.DUMMYFUNCTION("""COMPUTED_VALUE"""),"Maplitho")</f>
        <v>Maplitho</v>
      </c>
      <c r="B27" s="102">
        <f>IFERROR(__xludf.DUMMYFUNCTION("""COMPUTED_VALUE"""),2536.0)</f>
        <v>2536</v>
      </c>
      <c r="C27" s="102" t="str">
        <f>IFERROR(__xludf.DUMMYFUNCTION("""COMPUTED_VALUE"""),"25*36")</f>
        <v>25*36</v>
      </c>
      <c r="D27" s="102"/>
      <c r="E27" s="102">
        <f>IFERROR(__xludf.DUMMYFUNCTION("""COMPUTED_VALUE"""),2840.0)</f>
        <v>2840</v>
      </c>
      <c r="F27" s="54" t="str">
        <f>IFERROR(__xludf.DUMMYFUNCTION("""COMPUTED_VALUE"""),"Maplitho")</f>
        <v>Maplitho</v>
      </c>
      <c r="G27" s="104"/>
      <c r="H27" s="80"/>
      <c r="I27" s="104"/>
      <c r="J27" s="80"/>
      <c r="K27" s="80"/>
      <c r="L27" s="80"/>
      <c r="M27" s="80"/>
      <c r="N27" s="80"/>
      <c r="O27" s="80"/>
      <c r="P27" s="54" t="str">
        <f>IFERROR(__xludf.DUMMYFUNCTION("""COMPUTED_VALUE"""),"Acrylic Imported 2mm")</f>
        <v>Acrylic Imported 2mm</v>
      </c>
      <c r="Q27" s="102">
        <f>IFERROR(__xludf.DUMMYFUNCTION("""COMPUTED_VALUE"""),4872.0)</f>
        <v>4872</v>
      </c>
      <c r="R27" s="54" t="str">
        <f>IFERROR(__xludf.DUMMYFUNCTION("""COMPUTED_VALUE"""),"48*72")</f>
        <v>48*72</v>
      </c>
      <c r="S27" s="102">
        <f>IFERROR(__xludf.DUMMYFUNCTION("""COMPUTED_VALUE"""),650.0)</f>
        <v>650</v>
      </c>
      <c r="T27" s="102">
        <f>IFERROR(__xludf.DUMMYFUNCTION("""COMPUTED_VALUE"""),1005.0)</f>
        <v>1005</v>
      </c>
      <c r="U27" s="54" t="str">
        <f>IFERROR(__xludf.DUMMYFUNCTION("""COMPUTED_VALUE"""),"Acrylic")</f>
        <v>Acrylic</v>
      </c>
      <c r="V27" s="80"/>
      <c r="W27" s="80"/>
      <c r="X27" s="80" t="str">
        <f>IFERROR(__xludf.DUMMYFUNCTION("""COMPUTED_VALUE"""),"1300 17*24")</f>
        <v>1300 17*24</v>
      </c>
      <c r="Y27" s="80"/>
      <c r="Z27" s="80"/>
      <c r="AA27" s="86">
        <f>IFERROR(__xludf.DUMMYFUNCTION("""COMPUTED_VALUE"""),25081.0)</f>
        <v>25081</v>
      </c>
      <c r="AB27" s="86">
        <f>IFERROR(__xludf.DUMMYFUNCTION("""COMPUTED_VALUE"""),26080.0)</f>
        <v>26080</v>
      </c>
      <c r="AC27" s="86">
        <f>IFERROR(__xludf.DUMMYFUNCTION("""COMPUTED_VALUE"""),3250.0)</f>
        <v>3250</v>
      </c>
      <c r="AD27" s="86">
        <f>IFERROR(__xludf.DUMMYFUNCTION("""COMPUTED_VALUE"""),7800.0)</f>
        <v>7800</v>
      </c>
      <c r="AE27" s="86">
        <f>IFERROR(__xludf.DUMMYFUNCTION("""COMPUTED_VALUE"""),0.2)</f>
        <v>0.2</v>
      </c>
      <c r="AF27" s="86">
        <f>IFERROR(__xludf.DUMMYFUNCTION("""COMPUTED_VALUE"""),2800.0)</f>
        <v>2800</v>
      </c>
      <c r="AG27" s="86">
        <f>IFERROR(__xludf.DUMMYFUNCTION("""COMPUTED_VALUE"""),4550.0)</f>
        <v>4550</v>
      </c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80"/>
      <c r="AU27" s="80"/>
      <c r="AV27" s="80"/>
      <c r="AW27" s="102"/>
      <c r="AX27" s="80"/>
      <c r="AY27" s="80"/>
      <c r="AZ27" s="80"/>
      <c r="BA27" s="80"/>
      <c r="BB27" s="80"/>
      <c r="BC27" s="80"/>
      <c r="BD27" s="72"/>
      <c r="BE27" s="89">
        <v>19500.0</v>
      </c>
      <c r="BF27" s="89">
        <v>28600.0</v>
      </c>
    </row>
    <row r="28">
      <c r="A28" s="104" t="str">
        <f>IFERROR(__xludf.DUMMYFUNCTION("""COMPUTED_VALUE"""),"Maplitho")</f>
        <v>Maplitho</v>
      </c>
      <c r="B28" s="80">
        <f>IFERROR(__xludf.DUMMYFUNCTION("""COMPUTED_VALUE"""),2530.0)</f>
        <v>2530</v>
      </c>
      <c r="C28" s="104" t="str">
        <f>IFERROR(__xludf.DUMMYFUNCTION("""COMPUTED_VALUE"""),"25*30")</f>
        <v>25*30</v>
      </c>
      <c r="D28" s="80"/>
      <c r="E28" s="80">
        <f>IFERROR(__xludf.DUMMYFUNCTION("""COMPUTED_VALUE"""),2840.0)</f>
        <v>2840</v>
      </c>
      <c r="F28" s="80" t="str">
        <f>IFERROR(__xludf.DUMMYFUNCTION("""COMPUTED_VALUE"""),"Maplitho")</f>
        <v>Maplitho</v>
      </c>
      <c r="G28" s="104"/>
      <c r="H28" s="80"/>
      <c r="I28" s="104"/>
      <c r="J28" s="80"/>
      <c r="K28" s="80"/>
      <c r="L28" s="80"/>
      <c r="M28" s="80"/>
      <c r="N28" s="80"/>
      <c r="O28" s="80"/>
      <c r="P28" s="54" t="str">
        <f>IFERROR(__xludf.DUMMYFUNCTION("""COMPUTED_VALUE"""),"Acrylic Imported 3mm")</f>
        <v>Acrylic Imported 3mm</v>
      </c>
      <c r="Q28" s="102">
        <f>IFERROR(__xludf.DUMMYFUNCTION("""COMPUTED_VALUE"""),4872.0)</f>
        <v>4872</v>
      </c>
      <c r="R28" s="54" t="str">
        <f>IFERROR(__xludf.DUMMYFUNCTION("""COMPUTED_VALUE"""),"48*72")</f>
        <v>48*72</v>
      </c>
      <c r="S28" s="102">
        <f>IFERROR(__xludf.DUMMYFUNCTION("""COMPUTED_VALUE"""),750.0)</f>
        <v>750</v>
      </c>
      <c r="T28" s="102">
        <f>IFERROR(__xludf.DUMMYFUNCTION("""COMPUTED_VALUE"""),1005.0)</f>
        <v>1005</v>
      </c>
      <c r="U28" s="54" t="str">
        <f>IFERROR(__xludf.DUMMYFUNCTION("""COMPUTED_VALUE"""),"Acrylic")</f>
        <v>Acrylic</v>
      </c>
      <c r="V28" s="80"/>
      <c r="W28" s="80"/>
      <c r="X28" s="80"/>
      <c r="Y28" s="80"/>
      <c r="Z28" s="80"/>
      <c r="AA28" s="86">
        <f>IFERROR(__xludf.DUMMYFUNCTION("""COMPUTED_VALUE"""),26081.0)</f>
        <v>26081</v>
      </c>
      <c r="AB28" s="86">
        <f>IFERROR(__xludf.DUMMYFUNCTION("""COMPUTED_VALUE"""),27080.0)</f>
        <v>27080</v>
      </c>
      <c r="AC28" s="86">
        <f>IFERROR(__xludf.DUMMYFUNCTION("""COMPUTED_VALUE"""),3375.0)</f>
        <v>3375</v>
      </c>
      <c r="AD28" s="86">
        <f>IFERROR(__xludf.DUMMYFUNCTION("""COMPUTED_VALUE"""),8100.0)</f>
        <v>8100</v>
      </c>
      <c r="AE28" s="86">
        <f>IFERROR(__xludf.DUMMYFUNCTION("""COMPUTED_VALUE"""),0.2)</f>
        <v>0.2</v>
      </c>
      <c r="AF28" s="86">
        <f>IFERROR(__xludf.DUMMYFUNCTION("""COMPUTED_VALUE"""),2900.0)</f>
        <v>2900</v>
      </c>
      <c r="AG28" s="86">
        <f>IFERROR(__xludf.DUMMYFUNCTION("""COMPUTED_VALUE"""),4725.0)</f>
        <v>4725</v>
      </c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80"/>
      <c r="AU28" s="80"/>
      <c r="AV28" s="80"/>
      <c r="AW28" s="102"/>
      <c r="AX28" s="80"/>
      <c r="AY28" s="80"/>
      <c r="AZ28" s="80"/>
      <c r="BA28" s="80"/>
      <c r="BB28" s="80"/>
      <c r="BC28" s="80"/>
      <c r="BD28" s="72"/>
      <c r="BE28" s="89">
        <v>20250.0</v>
      </c>
      <c r="BF28" s="89">
        <v>29700.0</v>
      </c>
    </row>
    <row r="29">
      <c r="A29" s="104" t="str">
        <f>IFERROR(__xludf.DUMMYFUNCTION("""COMPUTED_VALUE"""),"AD Chromo")</f>
        <v>AD Chromo</v>
      </c>
      <c r="B29" s="80">
        <f>IFERROR(__xludf.DUMMYFUNCTION("""COMPUTED_VALUE"""),2030.0)</f>
        <v>2030</v>
      </c>
      <c r="C29" s="104" t="str">
        <f>IFERROR(__xludf.DUMMYFUNCTION("""COMPUTED_VALUE"""),"20*30")</f>
        <v>20*30</v>
      </c>
      <c r="D29" s="80">
        <f>IFERROR(__xludf.DUMMYFUNCTION("""COMPUTED_VALUE"""),11.0)</f>
        <v>11</v>
      </c>
      <c r="E29" s="80">
        <f>IFERROR(__xludf.DUMMYFUNCTION("""COMPUTED_VALUE"""),2029.0)</f>
        <v>2029</v>
      </c>
      <c r="F29" s="80" t="str">
        <f>IFERROR(__xludf.DUMMYFUNCTION("""COMPUTED_VALUE"""),"Gumming Sticker")</f>
        <v>Gumming Sticker</v>
      </c>
      <c r="G29" s="104"/>
      <c r="H29" s="80"/>
      <c r="I29" s="104"/>
      <c r="J29" s="80"/>
      <c r="K29" s="80"/>
      <c r="L29" s="80"/>
      <c r="M29" s="80"/>
      <c r="N29" s="80"/>
      <c r="O29" s="80"/>
      <c r="P29" s="54" t="str">
        <f>IFERROR(__xludf.DUMMYFUNCTION("""COMPUTED_VALUE"""),"Acrylic Imported 4mm")</f>
        <v>Acrylic Imported 4mm</v>
      </c>
      <c r="Q29" s="102">
        <f>IFERROR(__xludf.DUMMYFUNCTION("""COMPUTED_VALUE"""),4872.0)</f>
        <v>4872</v>
      </c>
      <c r="R29" s="54" t="str">
        <f>IFERROR(__xludf.DUMMYFUNCTION("""COMPUTED_VALUE"""),"48*72")</f>
        <v>48*72</v>
      </c>
      <c r="S29" s="102">
        <f>IFERROR(__xludf.DUMMYFUNCTION("""COMPUTED_VALUE"""),1200.0)</f>
        <v>1200</v>
      </c>
      <c r="T29" s="102">
        <f>IFERROR(__xludf.DUMMYFUNCTION("""COMPUTED_VALUE"""),1005.0)</f>
        <v>1005</v>
      </c>
      <c r="U29" s="54" t="str">
        <f>IFERROR(__xludf.DUMMYFUNCTION("""COMPUTED_VALUE"""),"Acrylic")</f>
        <v>Acrylic</v>
      </c>
      <c r="V29" s="80"/>
      <c r="W29" s="80"/>
      <c r="X29" s="80" t="str">
        <f>IFERROR(__xludf.DUMMYFUNCTION("""COMPUTED_VALUE"""),"Reel")</f>
        <v>Reel</v>
      </c>
      <c r="Y29" s="80"/>
      <c r="Z29" s="80"/>
      <c r="AA29" s="86">
        <f>IFERROR(__xludf.DUMMYFUNCTION("""COMPUTED_VALUE"""),27081.0)</f>
        <v>27081</v>
      </c>
      <c r="AB29" s="86">
        <f>IFERROR(__xludf.DUMMYFUNCTION("""COMPUTED_VALUE"""),28080.0)</f>
        <v>28080</v>
      </c>
      <c r="AC29" s="86">
        <f>IFERROR(__xludf.DUMMYFUNCTION("""COMPUTED_VALUE"""),3500.0)</f>
        <v>3500</v>
      </c>
      <c r="AD29" s="86">
        <f>IFERROR(__xludf.DUMMYFUNCTION("""COMPUTED_VALUE"""),8400.0)</f>
        <v>8400</v>
      </c>
      <c r="AE29" s="86">
        <f>IFERROR(__xludf.DUMMYFUNCTION("""COMPUTED_VALUE"""),0.2)</f>
        <v>0.2</v>
      </c>
      <c r="AF29" s="86">
        <f>IFERROR(__xludf.DUMMYFUNCTION("""COMPUTED_VALUE"""),3000.0)</f>
        <v>3000</v>
      </c>
      <c r="AG29" s="86">
        <f>IFERROR(__xludf.DUMMYFUNCTION("""COMPUTED_VALUE"""),4900.0)</f>
        <v>4900</v>
      </c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80"/>
      <c r="AU29" s="80"/>
      <c r="AV29" s="80"/>
      <c r="AW29" s="102"/>
      <c r="AX29" s="80"/>
      <c r="AY29" s="80"/>
      <c r="AZ29" s="80"/>
      <c r="BA29" s="80"/>
      <c r="BB29" s="80"/>
      <c r="BC29" s="80"/>
      <c r="BD29" s="72"/>
      <c r="BE29" s="89">
        <v>21000.0</v>
      </c>
      <c r="BF29" s="89">
        <v>30800.0</v>
      </c>
    </row>
    <row r="30">
      <c r="A30" s="104" t="str">
        <f>IFERROR(__xludf.DUMMYFUNCTION("""COMPUTED_VALUE"""),"AD Chromo")</f>
        <v>AD Chromo</v>
      </c>
      <c r="B30" s="80">
        <f>IFERROR(__xludf.DUMMYFUNCTION("""COMPUTED_VALUE"""),2336.0)</f>
        <v>2336</v>
      </c>
      <c r="C30" s="104" t="str">
        <f>IFERROR(__xludf.DUMMYFUNCTION("""COMPUTED_VALUE"""),"23*36")</f>
        <v>23*36</v>
      </c>
      <c r="D30" s="80">
        <f>IFERROR(__xludf.DUMMYFUNCTION("""COMPUTED_VALUE"""),15.0)</f>
        <v>15</v>
      </c>
      <c r="E30" s="80">
        <f>IFERROR(__xludf.DUMMYFUNCTION("""COMPUTED_VALUE"""),2840.0)</f>
        <v>2840</v>
      </c>
      <c r="F30" s="80" t="str">
        <f>IFERROR(__xludf.DUMMYFUNCTION("""COMPUTED_VALUE"""),"Gumming Sticker")</f>
        <v>Gumming Sticker</v>
      </c>
      <c r="G30" s="80"/>
      <c r="H30" s="104"/>
      <c r="I30" s="80"/>
      <c r="J30" s="80"/>
      <c r="K30" s="80"/>
      <c r="L30" s="80"/>
      <c r="M30" s="80"/>
      <c r="N30" s="80"/>
      <c r="O30" s="80"/>
      <c r="P30" s="54" t="str">
        <f>IFERROR(__xludf.DUMMYFUNCTION("""COMPUTED_VALUE"""),"Acrylic Imported 5mm")</f>
        <v>Acrylic Imported 5mm</v>
      </c>
      <c r="Q30" s="102">
        <f>IFERROR(__xludf.DUMMYFUNCTION("""COMPUTED_VALUE"""),4872.0)</f>
        <v>4872</v>
      </c>
      <c r="R30" s="54" t="str">
        <f>IFERROR(__xludf.DUMMYFUNCTION("""COMPUTED_VALUE"""),"48*72")</f>
        <v>48*72</v>
      </c>
      <c r="S30" s="102">
        <f>IFERROR(__xludf.DUMMYFUNCTION("""COMPUTED_VALUE"""),1500.0)</f>
        <v>1500</v>
      </c>
      <c r="T30" s="102">
        <f>IFERROR(__xludf.DUMMYFUNCTION("""COMPUTED_VALUE"""),1005.0)</f>
        <v>1005</v>
      </c>
      <c r="U30" s="54" t="str">
        <f>IFERROR(__xludf.DUMMYFUNCTION("""COMPUTED_VALUE"""),"Acrylic")</f>
        <v>Acrylic</v>
      </c>
      <c r="V30" s="80"/>
      <c r="W30" s="80"/>
      <c r="X30" s="80">
        <f>IFERROR(__xludf.DUMMYFUNCTION("""COMPUTED_VALUE"""),3.5)</f>
        <v>3.5</v>
      </c>
      <c r="Y30" s="80"/>
      <c r="Z30" s="80"/>
      <c r="AA30" s="86">
        <f>IFERROR(__xludf.DUMMYFUNCTION("""COMPUTED_VALUE"""),28081.0)</f>
        <v>28081</v>
      </c>
      <c r="AB30" s="86">
        <f>IFERROR(__xludf.DUMMYFUNCTION("""COMPUTED_VALUE"""),29080.0)</f>
        <v>29080</v>
      </c>
      <c r="AC30" s="86">
        <f>IFERROR(__xludf.DUMMYFUNCTION("""COMPUTED_VALUE"""),3625.0)</f>
        <v>3625</v>
      </c>
      <c r="AD30" s="86">
        <f>IFERROR(__xludf.DUMMYFUNCTION("""COMPUTED_VALUE"""),8700.0)</f>
        <v>8700</v>
      </c>
      <c r="AE30" s="86">
        <f>IFERROR(__xludf.DUMMYFUNCTION("""COMPUTED_VALUE"""),0.2)</f>
        <v>0.2</v>
      </c>
      <c r="AF30" s="86">
        <f>IFERROR(__xludf.DUMMYFUNCTION("""COMPUTED_VALUE"""),3100.0)</f>
        <v>3100</v>
      </c>
      <c r="AG30" s="86">
        <f>IFERROR(__xludf.DUMMYFUNCTION("""COMPUTED_VALUE"""),5075.0)</f>
        <v>5075</v>
      </c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80"/>
      <c r="AU30" s="80"/>
      <c r="AV30" s="80"/>
      <c r="AW30" s="76"/>
      <c r="AX30" s="80"/>
      <c r="AY30" s="80"/>
      <c r="AZ30" s="80"/>
      <c r="BA30" s="80"/>
      <c r="BB30" s="80"/>
      <c r="BC30" s="80"/>
      <c r="BD30" s="72"/>
      <c r="BE30" s="89">
        <v>21750.0</v>
      </c>
      <c r="BF30" s="89">
        <v>31900.0</v>
      </c>
    </row>
    <row r="31">
      <c r="A31" s="49" t="str">
        <f>IFERROR(__xludf.DUMMYFUNCTION("""COMPUTED_VALUE"""),"AD Chromo")</f>
        <v>AD Chromo</v>
      </c>
      <c r="B31" s="49">
        <f>IFERROR(__xludf.DUMMYFUNCTION("""COMPUTED_VALUE"""),2536.0)</f>
        <v>2536</v>
      </c>
      <c r="C31" s="49" t="str">
        <f>IFERROR(__xludf.DUMMYFUNCTION("""COMPUTED_VALUE"""),"25*36")</f>
        <v>25*36</v>
      </c>
      <c r="D31" s="49">
        <f>IFERROR(__xludf.DUMMYFUNCTION("""COMPUTED_VALUE"""),16.0)</f>
        <v>16</v>
      </c>
      <c r="E31" s="49">
        <f>IFERROR(__xludf.DUMMYFUNCTION("""COMPUTED_VALUE"""),2840.0)</f>
        <v>2840</v>
      </c>
      <c r="F31" s="49" t="str">
        <f>IFERROR(__xludf.DUMMYFUNCTION("""COMPUTED_VALUE"""),"Gumming Sticker")</f>
        <v>Gumming Sticker</v>
      </c>
      <c r="G31" s="80"/>
      <c r="H31" s="104"/>
      <c r="I31" s="80"/>
      <c r="J31" s="80"/>
      <c r="K31" s="80"/>
      <c r="L31" s="80"/>
      <c r="M31" s="80"/>
      <c r="N31" s="80"/>
      <c r="O31" s="80"/>
      <c r="P31" s="54" t="str">
        <f>IFERROR(__xludf.DUMMYFUNCTION("""COMPUTED_VALUE"""),"Maplitho")</f>
        <v>Maplitho</v>
      </c>
      <c r="Q31" s="102">
        <f>IFERROR(__xludf.DUMMYFUNCTION("""COMPUTED_VALUE"""),1823.0)</f>
        <v>1823</v>
      </c>
      <c r="R31" s="54" t="str">
        <f>IFERROR(__xludf.DUMMYFUNCTION("""COMPUTED_VALUE"""),"18*23")</f>
        <v>18*23</v>
      </c>
      <c r="S31" s="80"/>
      <c r="T31" s="102">
        <f>IFERROR(__xludf.DUMMYFUNCTION("""COMPUTED_VALUE"""),1926.0)</f>
        <v>1926</v>
      </c>
      <c r="U31" s="54" t="str">
        <f>IFERROR(__xludf.DUMMYFUNCTION("""COMPUTED_VALUE"""),"Maplitho")</f>
        <v>Maplitho</v>
      </c>
      <c r="V31" s="80"/>
      <c r="W31" s="80"/>
      <c r="X31" s="80"/>
      <c r="Y31" s="80"/>
      <c r="Z31" s="80"/>
      <c r="AA31" s="86">
        <f>IFERROR(__xludf.DUMMYFUNCTION("""COMPUTED_VALUE"""),29081.0)</f>
        <v>29081</v>
      </c>
      <c r="AB31" s="86">
        <f>IFERROR(__xludf.DUMMYFUNCTION("""COMPUTED_VALUE"""),30080.0)</f>
        <v>30080</v>
      </c>
      <c r="AC31" s="86">
        <f>IFERROR(__xludf.DUMMYFUNCTION("""COMPUTED_VALUE"""),3750.0)</f>
        <v>3750</v>
      </c>
      <c r="AD31" s="86">
        <f>IFERROR(__xludf.DUMMYFUNCTION("""COMPUTED_VALUE"""),9000.0)</f>
        <v>9000</v>
      </c>
      <c r="AE31" s="86">
        <f>IFERROR(__xludf.DUMMYFUNCTION("""COMPUTED_VALUE"""),0.15)</f>
        <v>0.15</v>
      </c>
      <c r="AF31" s="86">
        <f>IFERROR(__xludf.DUMMYFUNCTION("""COMPUTED_VALUE"""),3200.0)</f>
        <v>3200</v>
      </c>
      <c r="AG31" s="86">
        <f>IFERROR(__xludf.DUMMYFUNCTION("""COMPUTED_VALUE"""),5250.0)</f>
        <v>5250</v>
      </c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80"/>
      <c r="AU31" s="80"/>
      <c r="AV31" s="80"/>
      <c r="AW31" s="102"/>
      <c r="AX31" s="80"/>
      <c r="AY31" s="80"/>
      <c r="AZ31" s="80"/>
      <c r="BA31" s="80"/>
      <c r="BB31" s="80"/>
      <c r="BC31" s="80"/>
      <c r="BD31" s="72"/>
      <c r="BE31" s="89">
        <v>22500.0</v>
      </c>
      <c r="BF31" s="89">
        <v>33000.0</v>
      </c>
    </row>
    <row r="32">
      <c r="A32" s="49" t="str">
        <f>IFERROR(__xludf.DUMMYFUNCTION("""COMPUTED_VALUE"""),"WC Chromo")</f>
        <v>WC Chromo</v>
      </c>
      <c r="B32" s="49">
        <f>IFERROR(__xludf.DUMMYFUNCTION("""COMPUTED_VALUE"""),2030.0)</f>
        <v>2030</v>
      </c>
      <c r="C32" s="49" t="str">
        <f>IFERROR(__xludf.DUMMYFUNCTION("""COMPUTED_VALUE"""),"20*30")</f>
        <v>20*30</v>
      </c>
      <c r="D32" s="49">
        <f>IFERROR(__xludf.DUMMYFUNCTION("""COMPUTED_VALUE"""),8.0)</f>
        <v>8</v>
      </c>
      <c r="E32" s="49">
        <f>IFERROR(__xludf.DUMMYFUNCTION("""COMPUTED_VALUE"""),2029.0)</f>
        <v>2029</v>
      </c>
      <c r="F32" s="49" t="str">
        <f>IFERROR(__xludf.DUMMYFUNCTION("""COMPUTED_VALUE"""),"Gumming Sticker")</f>
        <v>Gumming Sticker</v>
      </c>
      <c r="G32" s="80"/>
      <c r="H32" s="104"/>
      <c r="I32" s="80"/>
      <c r="J32" s="80"/>
      <c r="K32" s="80"/>
      <c r="L32" s="80"/>
      <c r="M32" s="80"/>
      <c r="N32" s="80"/>
      <c r="O32" s="80"/>
      <c r="P32" s="54" t="str">
        <f>IFERROR(__xludf.DUMMYFUNCTION("""COMPUTED_VALUE"""),"Maplitho")</f>
        <v>Maplitho</v>
      </c>
      <c r="Q32" s="102">
        <f>IFERROR(__xludf.DUMMYFUNCTION("""COMPUTED_VALUE"""),1824.0)</f>
        <v>1824</v>
      </c>
      <c r="R32" s="54" t="str">
        <f>IFERROR(__xludf.DUMMYFUNCTION("""COMPUTED_VALUE"""),"18*24")</f>
        <v>18*24</v>
      </c>
      <c r="S32" s="80"/>
      <c r="T32" s="102">
        <f>IFERROR(__xludf.DUMMYFUNCTION("""COMPUTED_VALUE"""),1926.0)</f>
        <v>1926</v>
      </c>
      <c r="U32" s="54" t="str">
        <f>IFERROR(__xludf.DUMMYFUNCTION("""COMPUTED_VALUE"""),"Maplitho")</f>
        <v>Maplitho</v>
      </c>
      <c r="V32" s="80"/>
      <c r="W32" s="80"/>
      <c r="X32" s="80"/>
      <c r="Y32" s="80"/>
      <c r="Z32" s="80"/>
      <c r="AA32" s="86">
        <f>IFERROR(__xludf.DUMMYFUNCTION("""COMPUTED_VALUE"""),30081.0)</f>
        <v>30081</v>
      </c>
      <c r="AB32" s="86">
        <f>IFERROR(__xludf.DUMMYFUNCTION("""COMPUTED_VALUE"""),31080.0)</f>
        <v>31080</v>
      </c>
      <c r="AC32" s="86">
        <f>IFERROR(__xludf.DUMMYFUNCTION("""COMPUTED_VALUE"""),3875.0)</f>
        <v>3875</v>
      </c>
      <c r="AD32" s="86">
        <f>IFERROR(__xludf.DUMMYFUNCTION("""COMPUTED_VALUE"""),9300.0)</f>
        <v>9300</v>
      </c>
      <c r="AE32" s="86">
        <f>IFERROR(__xludf.DUMMYFUNCTION("""COMPUTED_VALUE"""),0.15)</f>
        <v>0.15</v>
      </c>
      <c r="AF32" s="86">
        <f>IFERROR(__xludf.DUMMYFUNCTION("""COMPUTED_VALUE"""),3300.0)</f>
        <v>3300</v>
      </c>
      <c r="AG32" s="86">
        <f>IFERROR(__xludf.DUMMYFUNCTION("""COMPUTED_VALUE"""),5425.0)</f>
        <v>5425</v>
      </c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80"/>
      <c r="AU32" s="80"/>
      <c r="AV32" s="80"/>
      <c r="AW32" s="76"/>
      <c r="AX32" s="80"/>
      <c r="AY32" s="80"/>
      <c r="AZ32" s="80"/>
      <c r="BA32" s="80"/>
      <c r="BB32" s="80"/>
      <c r="BC32" s="80"/>
      <c r="BD32" s="72"/>
      <c r="BE32" s="89">
        <v>23250.0</v>
      </c>
      <c r="BF32" s="89">
        <v>34100.0</v>
      </c>
    </row>
    <row r="33">
      <c r="A33" s="49" t="str">
        <f>IFERROR(__xludf.DUMMYFUNCTION("""COMPUTED_VALUE"""),"WC Chromo")</f>
        <v>WC Chromo</v>
      </c>
      <c r="B33" s="49">
        <f>IFERROR(__xludf.DUMMYFUNCTION("""COMPUTED_VALUE"""),2336.0)</f>
        <v>2336</v>
      </c>
      <c r="C33" s="49" t="str">
        <f>IFERROR(__xludf.DUMMYFUNCTION("""COMPUTED_VALUE"""),"23*36")</f>
        <v>23*36</v>
      </c>
      <c r="D33" s="49">
        <f>IFERROR(__xludf.DUMMYFUNCTION("""COMPUTED_VALUE"""),10.0)</f>
        <v>10</v>
      </c>
      <c r="E33" s="49">
        <f>IFERROR(__xludf.DUMMYFUNCTION("""COMPUTED_VALUE"""),2840.0)</f>
        <v>2840</v>
      </c>
      <c r="F33" s="49" t="str">
        <f>IFERROR(__xludf.DUMMYFUNCTION("""COMPUTED_VALUE"""),"Gumming Sticker")</f>
        <v>Gumming Sticker</v>
      </c>
      <c r="G33" s="80"/>
      <c r="H33" s="104"/>
      <c r="I33" s="80"/>
      <c r="J33" s="80"/>
      <c r="K33" s="80"/>
      <c r="L33" s="80"/>
      <c r="M33" s="80"/>
      <c r="N33" s="80"/>
      <c r="O33" s="80"/>
      <c r="P33" s="54" t="str">
        <f>IFERROR(__xludf.DUMMYFUNCTION("""COMPUTED_VALUE"""),"Maplitho")</f>
        <v>Maplitho</v>
      </c>
      <c r="Q33" s="102">
        <f>IFERROR(__xludf.DUMMYFUNCTION("""COMPUTED_VALUE"""),1825.0)</f>
        <v>1825</v>
      </c>
      <c r="R33" s="54" t="str">
        <f>IFERROR(__xludf.DUMMYFUNCTION("""COMPUTED_VALUE"""),"18*25")</f>
        <v>18*25</v>
      </c>
      <c r="S33" s="80"/>
      <c r="T33" s="102">
        <f>IFERROR(__xludf.DUMMYFUNCTION("""COMPUTED_VALUE"""),1926.0)</f>
        <v>1926</v>
      </c>
      <c r="U33" s="54" t="str">
        <f>IFERROR(__xludf.DUMMYFUNCTION("""COMPUTED_VALUE"""),"Maplitho")</f>
        <v>Maplitho</v>
      </c>
      <c r="V33" s="80"/>
      <c r="W33" s="80"/>
      <c r="X33" s="80"/>
      <c r="Y33" s="80"/>
      <c r="Z33" s="80"/>
      <c r="AA33" s="86">
        <f>IFERROR(__xludf.DUMMYFUNCTION("""COMPUTED_VALUE"""),31081.0)</f>
        <v>31081</v>
      </c>
      <c r="AB33" s="86">
        <f>IFERROR(__xludf.DUMMYFUNCTION("""COMPUTED_VALUE"""),32080.0)</f>
        <v>32080</v>
      </c>
      <c r="AC33" s="86">
        <f>IFERROR(__xludf.DUMMYFUNCTION("""COMPUTED_VALUE"""),4000.0)</f>
        <v>4000</v>
      </c>
      <c r="AD33" s="86">
        <f>IFERROR(__xludf.DUMMYFUNCTION("""COMPUTED_VALUE"""),9600.0)</f>
        <v>9600</v>
      </c>
      <c r="AE33" s="86">
        <f>IFERROR(__xludf.DUMMYFUNCTION("""COMPUTED_VALUE"""),0.15)</f>
        <v>0.15</v>
      </c>
      <c r="AF33" s="86">
        <f>IFERROR(__xludf.DUMMYFUNCTION("""COMPUTED_VALUE"""),3400.0)</f>
        <v>3400</v>
      </c>
      <c r="AG33" s="86">
        <f>IFERROR(__xludf.DUMMYFUNCTION("""COMPUTED_VALUE"""),5600.0)</f>
        <v>5600</v>
      </c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80"/>
      <c r="AU33" s="80"/>
      <c r="AV33" s="80"/>
      <c r="AW33" s="76"/>
      <c r="AX33" s="80"/>
      <c r="AY33" s="80"/>
      <c r="AZ33" s="80"/>
      <c r="BA33" s="80"/>
      <c r="BB33" s="80"/>
      <c r="BC33" s="80"/>
      <c r="BD33" s="72"/>
      <c r="BE33" s="89">
        <v>24000.0</v>
      </c>
      <c r="BF33" s="89">
        <v>35200.0</v>
      </c>
    </row>
    <row r="34">
      <c r="A34" s="104" t="str">
        <f>IFERROR(__xludf.DUMMYFUNCTION("""COMPUTED_VALUE"""),"WC Chromo")</f>
        <v>WC Chromo</v>
      </c>
      <c r="B34" s="80">
        <f>IFERROR(__xludf.DUMMYFUNCTION("""COMPUTED_VALUE"""),2536.0)</f>
        <v>2536</v>
      </c>
      <c r="C34" s="104" t="str">
        <f>IFERROR(__xludf.DUMMYFUNCTION("""COMPUTED_VALUE"""),"25*36")</f>
        <v>25*36</v>
      </c>
      <c r="D34" s="80">
        <f>IFERROR(__xludf.DUMMYFUNCTION("""COMPUTED_VALUE"""),12.0)</f>
        <v>12</v>
      </c>
      <c r="E34" s="80">
        <f>IFERROR(__xludf.DUMMYFUNCTION("""COMPUTED_VALUE"""),2840.0)</f>
        <v>2840</v>
      </c>
      <c r="F34" s="80" t="str">
        <f>IFERROR(__xludf.DUMMYFUNCTION("""COMPUTED_VALUE"""),"Gumming Sticker")</f>
        <v>Gumming Sticker</v>
      </c>
      <c r="G34" s="80"/>
      <c r="H34" s="104"/>
      <c r="I34" s="80"/>
      <c r="J34" s="80"/>
      <c r="K34" s="80"/>
      <c r="L34" s="80"/>
      <c r="M34" s="80"/>
      <c r="N34" s="80"/>
      <c r="O34" s="80"/>
      <c r="P34" s="54" t="str">
        <f>IFERROR(__xludf.DUMMYFUNCTION("""COMPUTED_VALUE"""),"Maplitho")</f>
        <v>Maplitho</v>
      </c>
      <c r="Q34" s="102">
        <f>IFERROR(__xludf.DUMMYFUNCTION("""COMPUTED_VALUE"""),1525.0)</f>
        <v>1525</v>
      </c>
      <c r="R34" s="54" t="str">
        <f>IFERROR(__xludf.DUMMYFUNCTION("""COMPUTED_VALUE"""),"15*25")</f>
        <v>15*25</v>
      </c>
      <c r="S34" s="80"/>
      <c r="T34" s="102">
        <f>IFERROR(__xludf.DUMMYFUNCTION("""COMPUTED_VALUE"""),1926.0)</f>
        <v>1926</v>
      </c>
      <c r="U34" s="54" t="str">
        <f>IFERROR(__xludf.DUMMYFUNCTION("""COMPUTED_VALUE"""),"Maplitho")</f>
        <v>Maplitho</v>
      </c>
      <c r="V34" s="80"/>
      <c r="W34" s="80"/>
      <c r="X34" s="80"/>
      <c r="Y34" s="80"/>
      <c r="Z34" s="80"/>
      <c r="AA34" s="86">
        <f>IFERROR(__xludf.DUMMYFUNCTION("""COMPUTED_VALUE"""),32081.0)</f>
        <v>32081</v>
      </c>
      <c r="AB34" s="86">
        <f>IFERROR(__xludf.DUMMYFUNCTION("""COMPUTED_VALUE"""),33080.0)</f>
        <v>33080</v>
      </c>
      <c r="AC34" s="86">
        <f>IFERROR(__xludf.DUMMYFUNCTION("""COMPUTED_VALUE"""),4125.0)</f>
        <v>4125</v>
      </c>
      <c r="AD34" s="86">
        <f>IFERROR(__xludf.DUMMYFUNCTION("""COMPUTED_VALUE"""),9900.0)</f>
        <v>9900</v>
      </c>
      <c r="AE34" s="86">
        <f>IFERROR(__xludf.DUMMYFUNCTION("""COMPUTED_VALUE"""),0.15)</f>
        <v>0.15</v>
      </c>
      <c r="AF34" s="86">
        <f>IFERROR(__xludf.DUMMYFUNCTION("""COMPUTED_VALUE"""),3500.0)</f>
        <v>3500</v>
      </c>
      <c r="AG34" s="86">
        <f>IFERROR(__xludf.DUMMYFUNCTION("""COMPUTED_VALUE"""),5775.0)</f>
        <v>5775</v>
      </c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80"/>
      <c r="AU34" s="80"/>
      <c r="AV34" s="80"/>
      <c r="AW34" s="104"/>
      <c r="AX34" s="80"/>
      <c r="AY34" s="80"/>
      <c r="AZ34" s="80"/>
      <c r="BA34" s="80"/>
      <c r="BB34" s="80"/>
      <c r="BC34" s="80"/>
      <c r="BD34" s="72"/>
      <c r="BE34" s="89">
        <v>24750.0</v>
      </c>
      <c r="BF34" s="89">
        <v>36300.0</v>
      </c>
    </row>
    <row r="35">
      <c r="A35" s="104" t="str">
        <f>IFERROR(__xludf.DUMMYFUNCTION("""COMPUTED_VALUE"""),"Star 1 WPE")</f>
        <v>Star 1 WPE</v>
      </c>
      <c r="B35" s="80">
        <f>IFERROR(__xludf.DUMMYFUNCTION("""COMPUTED_VALUE"""),1721.0)</f>
        <v>1721</v>
      </c>
      <c r="C35" s="104" t="str">
        <f>IFERROR(__xludf.DUMMYFUNCTION("""COMPUTED_VALUE"""),"17*21")</f>
        <v>17*21</v>
      </c>
      <c r="D35" s="80">
        <f>IFERROR(__xludf.DUMMYFUNCTION("""COMPUTED_VALUE"""),12.0)</f>
        <v>12</v>
      </c>
      <c r="E35" s="80">
        <f>IFERROR(__xludf.DUMMYFUNCTION("""COMPUTED_VALUE"""),1926.0)</f>
        <v>1926</v>
      </c>
      <c r="F35" s="80" t="str">
        <f>IFERROR(__xludf.DUMMYFUNCTION("""COMPUTED_VALUE"""),"Hard Bound")</f>
        <v>Hard Bound</v>
      </c>
      <c r="G35" s="80"/>
      <c r="H35" s="104"/>
      <c r="I35" s="80"/>
      <c r="J35" s="80"/>
      <c r="K35" s="80"/>
      <c r="L35" s="80"/>
      <c r="M35" s="80"/>
      <c r="N35" s="80"/>
      <c r="O35" s="80"/>
      <c r="P35" s="54" t="str">
        <f>IFERROR(__xludf.DUMMYFUNCTION("""COMPUTED_VALUE"""),"Maplitho")</f>
        <v>Maplitho</v>
      </c>
      <c r="Q35" s="102">
        <f>IFERROR(__xludf.DUMMYFUNCTION("""COMPUTED_VALUE"""),1520.0)</f>
        <v>1520</v>
      </c>
      <c r="R35" s="54" t="str">
        <f>IFERROR(__xludf.DUMMYFUNCTION("""COMPUTED_VALUE"""),"15*20")</f>
        <v>15*20</v>
      </c>
      <c r="S35" s="80"/>
      <c r="T35" s="102">
        <f>IFERROR(__xludf.DUMMYFUNCTION("""COMPUTED_VALUE"""),1926.0)</f>
        <v>1926</v>
      </c>
      <c r="U35" s="54" t="str">
        <f>IFERROR(__xludf.DUMMYFUNCTION("""COMPUTED_VALUE"""),"Maplitho")</f>
        <v>Maplitho</v>
      </c>
      <c r="V35" s="80"/>
      <c r="W35" s="80"/>
      <c r="X35" s="80"/>
      <c r="Y35" s="80"/>
      <c r="Z35" s="80"/>
      <c r="AA35" s="86">
        <f>IFERROR(__xludf.DUMMYFUNCTION("""COMPUTED_VALUE"""),33081.0)</f>
        <v>33081</v>
      </c>
      <c r="AB35" s="86">
        <f>IFERROR(__xludf.DUMMYFUNCTION("""COMPUTED_VALUE"""),34080.0)</f>
        <v>34080</v>
      </c>
      <c r="AC35" s="86">
        <f>IFERROR(__xludf.DUMMYFUNCTION("""COMPUTED_VALUE"""),4250.0)</f>
        <v>4250</v>
      </c>
      <c r="AD35" s="86">
        <f>IFERROR(__xludf.DUMMYFUNCTION("""COMPUTED_VALUE"""),10200.0)</f>
        <v>10200</v>
      </c>
      <c r="AE35" s="86">
        <f>IFERROR(__xludf.DUMMYFUNCTION("""COMPUTED_VALUE"""),0.15)</f>
        <v>0.15</v>
      </c>
      <c r="AF35" s="86">
        <f>IFERROR(__xludf.DUMMYFUNCTION("""COMPUTED_VALUE"""),3600.0)</f>
        <v>3600</v>
      </c>
      <c r="AG35" s="86">
        <f>IFERROR(__xludf.DUMMYFUNCTION("""COMPUTED_VALUE"""),5950.0)</f>
        <v>5950</v>
      </c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80"/>
      <c r="AU35" s="80"/>
      <c r="AV35" s="80"/>
      <c r="AW35" s="104"/>
      <c r="AX35" s="80"/>
      <c r="AY35" s="80"/>
      <c r="AZ35" s="80"/>
      <c r="BA35" s="80"/>
      <c r="BB35" s="80"/>
      <c r="BC35" s="80"/>
      <c r="BD35" s="72"/>
      <c r="BE35" s="89">
        <v>25500.0</v>
      </c>
      <c r="BF35" s="89">
        <v>37400.0</v>
      </c>
    </row>
    <row r="36">
      <c r="A36" s="104" t="str">
        <f>IFERROR(__xludf.DUMMYFUNCTION("""COMPUTED_VALUE"""),"Star 1 GG")</f>
        <v>Star 1 GG</v>
      </c>
      <c r="B36" s="80">
        <f>IFERROR(__xludf.DUMMYFUNCTION("""COMPUTED_VALUE"""),3141.0)</f>
        <v>3141</v>
      </c>
      <c r="C36" s="104" t="str">
        <f>IFERROR(__xludf.DUMMYFUNCTION("""COMPUTED_VALUE"""),"31*41")</f>
        <v>31*41</v>
      </c>
      <c r="D36" s="80">
        <f>IFERROR(__xludf.DUMMYFUNCTION("""COMPUTED_VALUE"""),27.0)</f>
        <v>27</v>
      </c>
      <c r="E36" s="80">
        <f>IFERROR(__xludf.DUMMYFUNCTION("""COMPUTED_VALUE"""),1926.0)</f>
        <v>1926</v>
      </c>
      <c r="F36" s="80" t="str">
        <f>IFERROR(__xludf.DUMMYFUNCTION("""COMPUTED_VALUE"""),"Hard Bound")</f>
        <v>Hard Bound</v>
      </c>
      <c r="G36" s="80"/>
      <c r="H36" s="104"/>
      <c r="I36" s="80"/>
      <c r="J36" s="80"/>
      <c r="K36" s="80"/>
      <c r="L36" s="80"/>
      <c r="M36" s="80"/>
      <c r="N36" s="80"/>
      <c r="O36" s="80"/>
      <c r="P36" s="54" t="str">
        <f>IFERROR(__xludf.DUMMYFUNCTION("""COMPUTED_VALUE"""),"Art Card")</f>
        <v>Art Card</v>
      </c>
      <c r="Q36" s="102">
        <f>IFERROR(__xludf.DUMMYFUNCTION("""COMPUTED_VALUE"""),2336.0)</f>
        <v>2336</v>
      </c>
      <c r="R36" s="54" t="str">
        <f>IFERROR(__xludf.DUMMYFUNCTION("""COMPUTED_VALUE"""),"23*36")</f>
        <v>23*36</v>
      </c>
      <c r="S36" s="102"/>
      <c r="T36" s="102">
        <f>IFERROR(__xludf.DUMMYFUNCTION("""COMPUTED_VALUE"""),2840.0)</f>
        <v>2840</v>
      </c>
      <c r="U36" s="54" t="str">
        <f>IFERROR(__xludf.DUMMYFUNCTION("""COMPUTED_VALUE"""),"Art Card")</f>
        <v>Art Card</v>
      </c>
      <c r="V36" s="80"/>
      <c r="W36" s="80"/>
      <c r="X36" s="80"/>
      <c r="Y36" s="80"/>
      <c r="Z36" s="80"/>
      <c r="AA36" s="86">
        <f>IFERROR(__xludf.DUMMYFUNCTION("""COMPUTED_VALUE"""),34081.0)</f>
        <v>34081</v>
      </c>
      <c r="AB36" s="86">
        <f>IFERROR(__xludf.DUMMYFUNCTION("""COMPUTED_VALUE"""),35080.0)</f>
        <v>35080</v>
      </c>
      <c r="AC36" s="86">
        <f>IFERROR(__xludf.DUMMYFUNCTION("""COMPUTED_VALUE"""),4375.0)</f>
        <v>4375</v>
      </c>
      <c r="AD36" s="86">
        <f>IFERROR(__xludf.DUMMYFUNCTION("""COMPUTED_VALUE"""),10500.0)</f>
        <v>10500</v>
      </c>
      <c r="AE36" s="86">
        <f>IFERROR(__xludf.DUMMYFUNCTION("""COMPUTED_VALUE"""),0.15)</f>
        <v>0.15</v>
      </c>
      <c r="AF36" s="86">
        <f>IFERROR(__xludf.DUMMYFUNCTION("""COMPUTED_VALUE"""),3700.0)</f>
        <v>3700</v>
      </c>
      <c r="AG36" s="86">
        <f>IFERROR(__xludf.DUMMYFUNCTION("""COMPUTED_VALUE"""),6125.0)</f>
        <v>6125</v>
      </c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80"/>
      <c r="AU36" s="80"/>
      <c r="AV36" s="73"/>
      <c r="AW36" s="80"/>
      <c r="AX36" s="80"/>
      <c r="AY36" s="80"/>
      <c r="AZ36" s="80"/>
      <c r="BA36" s="80"/>
      <c r="BB36" s="80"/>
      <c r="BC36" s="80"/>
      <c r="BD36" s="72"/>
      <c r="BE36" s="89">
        <v>26250.0</v>
      </c>
      <c r="BF36" s="89">
        <v>38500.0</v>
      </c>
    </row>
    <row r="37">
      <c r="A37" s="104" t="str">
        <f>IFERROR(__xludf.DUMMYFUNCTION("""COMPUTED_VALUE"""),"Star 1 GG")</f>
        <v>Star 1 GG</v>
      </c>
      <c r="B37" s="80">
        <f>IFERROR(__xludf.DUMMYFUNCTION("""COMPUTED_VALUE"""),2536.0)</f>
        <v>2536</v>
      </c>
      <c r="C37" s="104" t="str">
        <f>IFERROR(__xludf.DUMMYFUNCTION("""COMPUTED_VALUE"""),"25*36")</f>
        <v>25*36</v>
      </c>
      <c r="D37" s="80">
        <f>IFERROR(__xludf.DUMMYFUNCTION("""COMPUTED_VALUE"""),19.0)</f>
        <v>19</v>
      </c>
      <c r="E37" s="80">
        <f>IFERROR(__xludf.DUMMYFUNCTION("""COMPUTED_VALUE"""),1926.0)</f>
        <v>1926</v>
      </c>
      <c r="F37" s="80" t="str">
        <f>IFERROR(__xludf.DUMMYFUNCTION("""COMPUTED_VALUE"""),"Hard Bound")</f>
        <v>Hard Bound</v>
      </c>
      <c r="G37" s="80"/>
      <c r="H37" s="104"/>
      <c r="I37" s="80"/>
      <c r="J37" s="80"/>
      <c r="K37" s="80"/>
      <c r="L37" s="80"/>
      <c r="M37" s="80"/>
      <c r="N37" s="80"/>
      <c r="O37" s="80"/>
      <c r="P37" s="54" t="str">
        <f>IFERROR(__xludf.DUMMYFUNCTION("""COMPUTED_VALUE"""),"Art Card")</f>
        <v>Art Card</v>
      </c>
      <c r="Q37" s="102">
        <f>IFERROR(__xludf.DUMMYFUNCTION("""COMPUTED_VALUE"""),2536.0)</f>
        <v>2536</v>
      </c>
      <c r="R37" s="54" t="str">
        <f>IFERROR(__xludf.DUMMYFUNCTION("""COMPUTED_VALUE"""),"25*36")</f>
        <v>25*36</v>
      </c>
      <c r="S37" s="102"/>
      <c r="T37" s="102">
        <f>IFERROR(__xludf.DUMMYFUNCTION("""COMPUTED_VALUE"""),2840.0)</f>
        <v>2840</v>
      </c>
      <c r="U37" s="54" t="str">
        <f>IFERROR(__xludf.DUMMYFUNCTION("""COMPUTED_VALUE"""),"Art Card")</f>
        <v>Art Card</v>
      </c>
      <c r="V37" s="80"/>
      <c r="W37" s="80"/>
      <c r="X37" s="80"/>
      <c r="Y37" s="80"/>
      <c r="Z37" s="80"/>
      <c r="AA37" s="86">
        <f>IFERROR(__xludf.DUMMYFUNCTION("""COMPUTED_VALUE"""),35081.0)</f>
        <v>35081</v>
      </c>
      <c r="AB37" s="86">
        <f>IFERROR(__xludf.DUMMYFUNCTION("""COMPUTED_VALUE"""),36080.0)</f>
        <v>36080</v>
      </c>
      <c r="AC37" s="86">
        <f>IFERROR(__xludf.DUMMYFUNCTION("""COMPUTED_VALUE"""),4500.0)</f>
        <v>4500</v>
      </c>
      <c r="AD37" s="86">
        <f>IFERROR(__xludf.DUMMYFUNCTION("""COMPUTED_VALUE"""),10800.0)</f>
        <v>10800</v>
      </c>
      <c r="AE37" s="86">
        <f>IFERROR(__xludf.DUMMYFUNCTION("""COMPUTED_VALUE"""),0.15)</f>
        <v>0.15</v>
      </c>
      <c r="AF37" s="86">
        <f>IFERROR(__xludf.DUMMYFUNCTION("""COMPUTED_VALUE"""),3800.0)</f>
        <v>3800</v>
      </c>
      <c r="AG37" s="86">
        <f>IFERROR(__xludf.DUMMYFUNCTION("""COMPUTED_VALUE"""),6300.0)</f>
        <v>6300</v>
      </c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80"/>
      <c r="AU37" s="80"/>
      <c r="AV37" s="73"/>
      <c r="AW37" s="80"/>
      <c r="AX37" s="80"/>
      <c r="AY37" s="80"/>
      <c r="AZ37" s="80"/>
      <c r="BA37" s="80"/>
      <c r="BB37" s="80"/>
      <c r="BC37" s="80"/>
      <c r="BD37" s="72"/>
      <c r="BE37" s="89">
        <v>27000.0</v>
      </c>
      <c r="BF37" s="89">
        <v>39600.0</v>
      </c>
    </row>
    <row r="38">
      <c r="A38" s="104" t="str">
        <f>IFERROR(__xludf.DUMMYFUNCTION("""COMPUTED_VALUE"""),"Star 1 GW")</f>
        <v>Star 1 GW</v>
      </c>
      <c r="B38" s="80">
        <f>IFERROR(__xludf.DUMMYFUNCTION("""COMPUTED_VALUE"""),3141.0)</f>
        <v>3141</v>
      </c>
      <c r="C38" s="104" t="str">
        <f>IFERROR(__xludf.DUMMYFUNCTION("""COMPUTED_VALUE"""),"31*41")</f>
        <v>31*41</v>
      </c>
      <c r="D38" s="80">
        <f>IFERROR(__xludf.DUMMYFUNCTION("""COMPUTED_VALUE"""),32.0)</f>
        <v>32</v>
      </c>
      <c r="E38" s="80">
        <f>IFERROR(__xludf.DUMMYFUNCTION("""COMPUTED_VALUE"""),1926.0)</f>
        <v>1926</v>
      </c>
      <c r="F38" s="80" t="str">
        <f>IFERROR(__xludf.DUMMYFUNCTION("""COMPUTED_VALUE"""),"Hard Bound")</f>
        <v>Hard Bound</v>
      </c>
      <c r="G38" s="80"/>
      <c r="H38" s="104"/>
      <c r="I38" s="80"/>
      <c r="J38" s="80"/>
      <c r="K38" s="80"/>
      <c r="L38" s="80"/>
      <c r="M38" s="80"/>
      <c r="N38" s="80"/>
      <c r="O38" s="80"/>
      <c r="P38" s="54" t="str">
        <f>IFERROR(__xludf.DUMMYFUNCTION("""COMPUTED_VALUE"""),"Art Card")</f>
        <v>Art Card</v>
      </c>
      <c r="Q38" s="102">
        <f>IFERROR(__xludf.DUMMYFUNCTION("""COMPUTED_VALUE"""),2530.0)</f>
        <v>2530</v>
      </c>
      <c r="R38" s="54" t="str">
        <f>IFERROR(__xludf.DUMMYFUNCTION("""COMPUTED_VALUE"""),"25*30")</f>
        <v>25*30</v>
      </c>
      <c r="S38" s="102"/>
      <c r="T38" s="102">
        <f>IFERROR(__xludf.DUMMYFUNCTION("""COMPUTED_VALUE"""),2840.0)</f>
        <v>2840</v>
      </c>
      <c r="U38" s="54" t="str">
        <f>IFERROR(__xludf.DUMMYFUNCTION("""COMPUTED_VALUE"""),"Art Card")</f>
        <v>Art Card</v>
      </c>
      <c r="V38" s="80"/>
      <c r="W38" s="80"/>
      <c r="X38" s="80"/>
      <c r="Y38" s="80"/>
      <c r="Z38" s="80"/>
      <c r="AA38" s="86">
        <f>IFERROR(__xludf.DUMMYFUNCTION("""COMPUTED_VALUE"""),36081.0)</f>
        <v>36081</v>
      </c>
      <c r="AB38" s="86">
        <f>IFERROR(__xludf.DUMMYFUNCTION("""COMPUTED_VALUE"""),37080.0)</f>
        <v>37080</v>
      </c>
      <c r="AC38" s="86">
        <f>IFERROR(__xludf.DUMMYFUNCTION("""COMPUTED_VALUE"""),4625.0)</f>
        <v>4625</v>
      </c>
      <c r="AD38" s="86">
        <f>IFERROR(__xludf.DUMMYFUNCTION("""COMPUTED_VALUE"""),11100.0)</f>
        <v>11100</v>
      </c>
      <c r="AE38" s="86">
        <f>IFERROR(__xludf.DUMMYFUNCTION("""COMPUTED_VALUE"""),0.15)</f>
        <v>0.15</v>
      </c>
      <c r="AF38" s="86">
        <f>IFERROR(__xludf.DUMMYFUNCTION("""COMPUTED_VALUE"""),3900.0)</f>
        <v>3900</v>
      </c>
      <c r="AG38" s="86">
        <f>IFERROR(__xludf.DUMMYFUNCTION("""COMPUTED_VALUE"""),6475.0)</f>
        <v>6475</v>
      </c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80"/>
      <c r="AU38" s="80"/>
      <c r="AV38" s="73"/>
      <c r="AW38" s="80"/>
      <c r="AX38" s="80"/>
      <c r="AY38" s="80"/>
      <c r="AZ38" s="80"/>
      <c r="BA38" s="80"/>
      <c r="BB38" s="80"/>
      <c r="BC38" s="80"/>
      <c r="BD38" s="72"/>
      <c r="BE38" s="89">
        <v>27750.0</v>
      </c>
      <c r="BF38" s="89">
        <v>40700.0</v>
      </c>
    </row>
    <row r="39">
      <c r="A39" s="104" t="str">
        <f>IFERROR(__xludf.DUMMYFUNCTION("""COMPUTED_VALUE"""),"Star 1 GW")</f>
        <v>Star 1 GW</v>
      </c>
      <c r="B39" s="80">
        <f>IFERROR(__xludf.DUMMYFUNCTION("""COMPUTED_VALUE"""),2536.0)</f>
        <v>2536</v>
      </c>
      <c r="C39" s="104" t="str">
        <f>IFERROR(__xludf.DUMMYFUNCTION("""COMPUTED_VALUE"""),"25*36")</f>
        <v>25*36</v>
      </c>
      <c r="D39" s="80">
        <f>IFERROR(__xludf.DUMMYFUNCTION("""COMPUTED_VALUE"""),23.0)</f>
        <v>23</v>
      </c>
      <c r="E39" s="80">
        <f>IFERROR(__xludf.DUMMYFUNCTION("""COMPUTED_VALUE"""),1926.0)</f>
        <v>1926</v>
      </c>
      <c r="F39" s="80" t="str">
        <f>IFERROR(__xludf.DUMMYFUNCTION("""COMPUTED_VALUE"""),"Hard Bound")</f>
        <v>Hard Bound</v>
      </c>
      <c r="G39" s="80"/>
      <c r="H39" s="104"/>
      <c r="I39" s="80"/>
      <c r="J39" s="80"/>
      <c r="K39" s="80"/>
      <c r="L39" s="80"/>
      <c r="M39" s="80"/>
      <c r="N39" s="80"/>
      <c r="O39" s="80"/>
      <c r="P39" s="54" t="str">
        <f>IFERROR(__xludf.DUMMYFUNCTION("""COMPUTED_VALUE"""),"Maplitho")</f>
        <v>Maplitho</v>
      </c>
      <c r="Q39" s="102">
        <f>IFERROR(__xludf.DUMMYFUNCTION("""COMPUTED_VALUE"""),2336.0)</f>
        <v>2336</v>
      </c>
      <c r="R39" s="54" t="str">
        <f>IFERROR(__xludf.DUMMYFUNCTION("""COMPUTED_VALUE"""),"23*36")</f>
        <v>23*36</v>
      </c>
      <c r="S39" s="102"/>
      <c r="T39" s="102">
        <f>IFERROR(__xludf.DUMMYFUNCTION("""COMPUTED_VALUE"""),2840.0)</f>
        <v>2840</v>
      </c>
      <c r="U39" s="54" t="str">
        <f>IFERROR(__xludf.DUMMYFUNCTION("""COMPUTED_VALUE"""),"Maplitho")</f>
        <v>Maplitho</v>
      </c>
      <c r="V39" s="80"/>
      <c r="W39" s="80"/>
      <c r="X39" s="80"/>
      <c r="Y39" s="80"/>
      <c r="Z39" s="80"/>
      <c r="AA39" s="86">
        <f>IFERROR(__xludf.DUMMYFUNCTION("""COMPUTED_VALUE"""),37081.0)</f>
        <v>37081</v>
      </c>
      <c r="AB39" s="86">
        <f>IFERROR(__xludf.DUMMYFUNCTION("""COMPUTED_VALUE"""),38080.0)</f>
        <v>38080</v>
      </c>
      <c r="AC39" s="86">
        <f>IFERROR(__xludf.DUMMYFUNCTION("""COMPUTED_VALUE"""),4750.0)</f>
        <v>4750</v>
      </c>
      <c r="AD39" s="86">
        <f>IFERROR(__xludf.DUMMYFUNCTION("""COMPUTED_VALUE"""),11400.0)</f>
        <v>11400</v>
      </c>
      <c r="AE39" s="86">
        <f>IFERROR(__xludf.DUMMYFUNCTION("""COMPUTED_VALUE"""),0.15)</f>
        <v>0.15</v>
      </c>
      <c r="AF39" s="86">
        <f>IFERROR(__xludf.DUMMYFUNCTION("""COMPUTED_VALUE"""),4000.0)</f>
        <v>4000</v>
      </c>
      <c r="AG39" s="86">
        <f>IFERROR(__xludf.DUMMYFUNCTION("""COMPUTED_VALUE"""),6650.0)</f>
        <v>6650</v>
      </c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80"/>
      <c r="AU39" s="80"/>
      <c r="AV39" s="73"/>
      <c r="AW39" s="80"/>
      <c r="AX39" s="80"/>
      <c r="AY39" s="80"/>
      <c r="AZ39" s="80"/>
      <c r="BA39" s="80"/>
      <c r="BB39" s="80"/>
      <c r="BC39" s="80"/>
      <c r="BD39" s="72"/>
      <c r="BE39" s="89">
        <v>28500.0</v>
      </c>
      <c r="BF39" s="89">
        <v>41800.0</v>
      </c>
    </row>
    <row r="40">
      <c r="A40" s="104" t="str">
        <f>IFERROR(__xludf.DUMMYFUNCTION("""COMPUTED_VALUE"""),"Star 1.2 GG")</f>
        <v>Star 1.2 GG</v>
      </c>
      <c r="B40" s="80">
        <f>IFERROR(__xludf.DUMMYFUNCTION("""COMPUTED_VALUE"""),3141.0)</f>
        <v>3141</v>
      </c>
      <c r="C40" s="104" t="str">
        <f>IFERROR(__xludf.DUMMYFUNCTION("""COMPUTED_VALUE"""),"31*41")</f>
        <v>31*41</v>
      </c>
      <c r="D40" s="80">
        <f>IFERROR(__xludf.DUMMYFUNCTION("""COMPUTED_VALUE"""),32.0)</f>
        <v>32</v>
      </c>
      <c r="E40" s="80">
        <f>IFERROR(__xludf.DUMMYFUNCTION("""COMPUTED_VALUE"""),1926.0)</f>
        <v>1926</v>
      </c>
      <c r="F40" s="80" t="str">
        <f>IFERROR(__xludf.DUMMYFUNCTION("""COMPUTED_VALUE"""),"Hard Bound")</f>
        <v>Hard Bound</v>
      </c>
      <c r="G40" s="80"/>
      <c r="H40" s="104"/>
      <c r="I40" s="80"/>
      <c r="J40" s="80"/>
      <c r="K40" s="80"/>
      <c r="L40" s="80"/>
      <c r="M40" s="80"/>
      <c r="N40" s="80"/>
      <c r="O40" s="80"/>
      <c r="P40" s="54" t="str">
        <f>IFERROR(__xludf.DUMMYFUNCTION("""COMPUTED_VALUE"""),"Maplitho")</f>
        <v>Maplitho</v>
      </c>
      <c r="Q40" s="102">
        <f>IFERROR(__xludf.DUMMYFUNCTION("""COMPUTED_VALUE"""),2536.0)</f>
        <v>2536</v>
      </c>
      <c r="R40" s="54" t="str">
        <f>IFERROR(__xludf.DUMMYFUNCTION("""COMPUTED_VALUE"""),"25*36")</f>
        <v>25*36</v>
      </c>
      <c r="S40" s="102"/>
      <c r="T40" s="102">
        <f>IFERROR(__xludf.DUMMYFUNCTION("""COMPUTED_VALUE"""),2840.0)</f>
        <v>2840</v>
      </c>
      <c r="U40" s="54" t="str">
        <f>IFERROR(__xludf.DUMMYFUNCTION("""COMPUTED_VALUE"""),"Maplitho")</f>
        <v>Maplitho</v>
      </c>
      <c r="V40" s="80"/>
      <c r="W40" s="80"/>
      <c r="X40" s="80"/>
      <c r="Y40" s="80"/>
      <c r="Z40" s="80"/>
      <c r="AA40" s="86">
        <f>IFERROR(__xludf.DUMMYFUNCTION("""COMPUTED_VALUE"""),38081.0)</f>
        <v>38081</v>
      </c>
      <c r="AB40" s="86">
        <f>IFERROR(__xludf.DUMMYFUNCTION("""COMPUTED_VALUE"""),39080.0)</f>
        <v>39080</v>
      </c>
      <c r="AC40" s="86">
        <f>IFERROR(__xludf.DUMMYFUNCTION("""COMPUTED_VALUE"""),4875.0)</f>
        <v>4875</v>
      </c>
      <c r="AD40" s="86">
        <f>IFERROR(__xludf.DUMMYFUNCTION("""COMPUTED_VALUE"""),11700.0)</f>
        <v>11700</v>
      </c>
      <c r="AE40" s="86">
        <f>IFERROR(__xludf.DUMMYFUNCTION("""COMPUTED_VALUE"""),0.15)</f>
        <v>0.15</v>
      </c>
      <c r="AF40" s="86">
        <f>IFERROR(__xludf.DUMMYFUNCTION("""COMPUTED_VALUE"""),4100.0)</f>
        <v>4100</v>
      </c>
      <c r="AG40" s="86">
        <f>IFERROR(__xludf.DUMMYFUNCTION("""COMPUTED_VALUE"""),6825.0)</f>
        <v>6825</v>
      </c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80"/>
      <c r="AU40" s="80"/>
      <c r="AV40" s="73"/>
      <c r="AW40" s="80"/>
      <c r="AX40" s="80"/>
      <c r="AY40" s="80"/>
      <c r="AZ40" s="80"/>
      <c r="BA40" s="80"/>
      <c r="BB40" s="80"/>
      <c r="BC40" s="80"/>
      <c r="BD40" s="72"/>
      <c r="BE40" s="89">
        <v>29250.0</v>
      </c>
      <c r="BF40" s="89">
        <v>42900.0</v>
      </c>
    </row>
    <row r="41">
      <c r="A41" s="104" t="str">
        <f>IFERROR(__xludf.DUMMYFUNCTION("""COMPUTED_VALUE"""),"Star 1.2 GG")</f>
        <v>Star 1.2 GG</v>
      </c>
      <c r="B41" s="80">
        <f>IFERROR(__xludf.DUMMYFUNCTION("""COMPUTED_VALUE"""),2536.0)</f>
        <v>2536</v>
      </c>
      <c r="C41" s="104" t="str">
        <f>IFERROR(__xludf.DUMMYFUNCTION("""COMPUTED_VALUE"""),"25*36")</f>
        <v>25*36</v>
      </c>
      <c r="D41" s="80">
        <f>IFERROR(__xludf.DUMMYFUNCTION("""COMPUTED_VALUE"""),23.0)</f>
        <v>23</v>
      </c>
      <c r="E41" s="80">
        <f>IFERROR(__xludf.DUMMYFUNCTION("""COMPUTED_VALUE"""),1926.0)</f>
        <v>1926</v>
      </c>
      <c r="F41" s="80" t="str">
        <f>IFERROR(__xludf.DUMMYFUNCTION("""COMPUTED_VALUE"""),"Hard Bound")</f>
        <v>Hard Bound</v>
      </c>
      <c r="G41" s="80"/>
      <c r="H41" s="104"/>
      <c r="I41" s="80"/>
      <c r="J41" s="80"/>
      <c r="K41" s="80"/>
      <c r="L41" s="80"/>
      <c r="M41" s="80"/>
      <c r="N41" s="80"/>
      <c r="O41" s="80"/>
      <c r="P41" s="80" t="str">
        <f>IFERROR(__xludf.DUMMYFUNCTION("""COMPUTED_VALUE"""),"Maplitho")</f>
        <v>Maplitho</v>
      </c>
      <c r="Q41" s="80">
        <f>IFERROR(__xludf.DUMMYFUNCTION("""COMPUTED_VALUE"""),2530.0)</f>
        <v>2530</v>
      </c>
      <c r="R41" s="80" t="str">
        <f>IFERROR(__xludf.DUMMYFUNCTION("""COMPUTED_VALUE"""),"25*30")</f>
        <v>25*30</v>
      </c>
      <c r="S41" s="80"/>
      <c r="T41" s="80">
        <f>IFERROR(__xludf.DUMMYFUNCTION("""COMPUTED_VALUE"""),2840.0)</f>
        <v>2840</v>
      </c>
      <c r="U41" s="80" t="str">
        <f>IFERROR(__xludf.DUMMYFUNCTION("""COMPUTED_VALUE"""),"Maplitho")</f>
        <v>Maplitho</v>
      </c>
      <c r="V41" s="80"/>
      <c r="W41" s="80"/>
      <c r="X41" s="80"/>
      <c r="Y41" s="80"/>
      <c r="Z41" s="80"/>
      <c r="AA41" s="86">
        <f>IFERROR(__xludf.DUMMYFUNCTION("""COMPUTED_VALUE"""),39081.0)</f>
        <v>39081</v>
      </c>
      <c r="AB41" s="86">
        <f>IFERROR(__xludf.DUMMYFUNCTION("""COMPUTED_VALUE"""),40080.0)</f>
        <v>40080</v>
      </c>
      <c r="AC41" s="86">
        <f>IFERROR(__xludf.DUMMYFUNCTION("""COMPUTED_VALUE"""),5000.0)</f>
        <v>5000</v>
      </c>
      <c r="AD41" s="86">
        <f>IFERROR(__xludf.DUMMYFUNCTION("""COMPUTED_VALUE"""),12000.0)</f>
        <v>12000</v>
      </c>
      <c r="AE41" s="86">
        <f>IFERROR(__xludf.DUMMYFUNCTION("""COMPUTED_VALUE"""),0.15)</f>
        <v>0.15</v>
      </c>
      <c r="AF41" s="86">
        <f>IFERROR(__xludf.DUMMYFUNCTION("""COMPUTED_VALUE"""),4200.0)</f>
        <v>4200</v>
      </c>
      <c r="AG41" s="86">
        <f>IFERROR(__xludf.DUMMYFUNCTION("""COMPUTED_VALUE"""),7000.0)</f>
        <v>7000</v>
      </c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80"/>
      <c r="AU41" s="80"/>
      <c r="AV41" s="73"/>
      <c r="AW41" s="80"/>
      <c r="AX41" s="80"/>
      <c r="AY41" s="80"/>
      <c r="AZ41" s="80"/>
      <c r="BA41" s="80"/>
      <c r="BB41" s="80"/>
      <c r="BC41" s="80"/>
      <c r="BD41" s="72"/>
      <c r="BE41" s="89">
        <v>30000.0</v>
      </c>
      <c r="BF41" s="89">
        <v>44000.0</v>
      </c>
    </row>
    <row r="42">
      <c r="A42" s="104" t="str">
        <f>IFERROR(__xludf.DUMMYFUNCTION("""COMPUTED_VALUE"""),"Star 1.2 GW")</f>
        <v>Star 1.2 GW</v>
      </c>
      <c r="B42" s="80">
        <f>IFERROR(__xludf.DUMMYFUNCTION("""COMPUTED_VALUE"""),3141.0)</f>
        <v>3141</v>
      </c>
      <c r="C42" s="104" t="str">
        <f>IFERROR(__xludf.DUMMYFUNCTION("""COMPUTED_VALUE"""),"31*41")</f>
        <v>31*41</v>
      </c>
      <c r="D42" s="80">
        <f>IFERROR(__xludf.DUMMYFUNCTION("""COMPUTED_VALUE"""),39.0)</f>
        <v>39</v>
      </c>
      <c r="E42" s="80">
        <f>IFERROR(__xludf.DUMMYFUNCTION("""COMPUTED_VALUE"""),1926.0)</f>
        <v>1926</v>
      </c>
      <c r="F42" s="80" t="str">
        <f>IFERROR(__xludf.DUMMYFUNCTION("""COMPUTED_VALUE"""),"Hard Bound")</f>
        <v>Hard Bound</v>
      </c>
      <c r="G42" s="80"/>
      <c r="H42" s="104"/>
      <c r="I42" s="80"/>
      <c r="J42" s="80"/>
      <c r="K42" s="80"/>
      <c r="L42" s="80"/>
      <c r="M42" s="80"/>
      <c r="N42" s="80"/>
      <c r="O42" s="80"/>
      <c r="P42" s="80" t="str">
        <f>IFERROR(__xludf.DUMMYFUNCTION("""COMPUTED_VALUE"""),"AD Chromo")</f>
        <v>AD Chromo</v>
      </c>
      <c r="Q42" s="80">
        <f>IFERROR(__xludf.DUMMYFUNCTION("""COMPUTED_VALUE"""),2030.0)</f>
        <v>2030</v>
      </c>
      <c r="R42" s="80" t="str">
        <f>IFERROR(__xludf.DUMMYFUNCTION("""COMPUTED_VALUE"""),"20*30")</f>
        <v>20*30</v>
      </c>
      <c r="S42" s="80">
        <f>IFERROR(__xludf.DUMMYFUNCTION("""COMPUTED_VALUE"""),11.0)</f>
        <v>11</v>
      </c>
      <c r="T42" s="80">
        <f>IFERROR(__xludf.DUMMYFUNCTION("""COMPUTED_VALUE"""),2029.0)</f>
        <v>2029</v>
      </c>
      <c r="U42" s="80" t="str">
        <f>IFERROR(__xludf.DUMMYFUNCTION("""COMPUTED_VALUE"""),"Gumming Sticker")</f>
        <v>Gumming Sticker</v>
      </c>
      <c r="V42" s="80"/>
      <c r="W42" s="80"/>
      <c r="X42" s="80"/>
      <c r="Y42" s="80"/>
      <c r="Z42" s="80"/>
      <c r="AA42" s="86">
        <f>IFERROR(__xludf.DUMMYFUNCTION("""COMPUTED_VALUE"""),40081.0)</f>
        <v>40081</v>
      </c>
      <c r="AB42" s="86">
        <f>IFERROR(__xludf.DUMMYFUNCTION("""COMPUTED_VALUE"""),41080.0)</f>
        <v>41080</v>
      </c>
      <c r="AC42" s="86">
        <f>IFERROR(__xludf.DUMMYFUNCTION("""COMPUTED_VALUE"""),5125.0)</f>
        <v>5125</v>
      </c>
      <c r="AD42" s="86">
        <f>IFERROR(__xludf.DUMMYFUNCTION("""COMPUTED_VALUE"""),12300.0)</f>
        <v>12300</v>
      </c>
      <c r="AE42" s="86">
        <f>IFERROR(__xludf.DUMMYFUNCTION("""COMPUTED_VALUE"""),0.15)</f>
        <v>0.15</v>
      </c>
      <c r="AF42" s="86">
        <f>IFERROR(__xludf.DUMMYFUNCTION("""COMPUTED_VALUE"""),4300.0)</f>
        <v>4300</v>
      </c>
      <c r="AG42" s="86">
        <f>IFERROR(__xludf.DUMMYFUNCTION("""COMPUTED_VALUE"""),7175.0)</f>
        <v>7175</v>
      </c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80"/>
      <c r="AU42" s="80"/>
      <c r="AV42" s="73"/>
      <c r="AW42" s="80"/>
      <c r="AX42" s="80"/>
      <c r="AY42" s="80"/>
      <c r="AZ42" s="80"/>
      <c r="BA42" s="80"/>
      <c r="BB42" s="80"/>
      <c r="BC42" s="80"/>
      <c r="BD42" s="72"/>
      <c r="BE42" s="89">
        <v>30750.0</v>
      </c>
      <c r="BF42" s="89">
        <v>45100.0</v>
      </c>
    </row>
    <row r="43">
      <c r="A43" s="104" t="str">
        <f>IFERROR(__xludf.DUMMYFUNCTION("""COMPUTED_VALUE"""),"Star 1.2 GW")</f>
        <v>Star 1.2 GW</v>
      </c>
      <c r="B43" s="80">
        <f>IFERROR(__xludf.DUMMYFUNCTION("""COMPUTED_VALUE"""),2536.0)</f>
        <v>2536</v>
      </c>
      <c r="C43" s="104" t="str">
        <f>IFERROR(__xludf.DUMMYFUNCTION("""COMPUTED_VALUE"""),"25*36")</f>
        <v>25*36</v>
      </c>
      <c r="D43" s="80">
        <f>IFERROR(__xludf.DUMMYFUNCTION("""COMPUTED_VALUE"""),28.0)</f>
        <v>28</v>
      </c>
      <c r="E43" s="80">
        <f>IFERROR(__xludf.DUMMYFUNCTION("""COMPUTED_VALUE"""),1926.0)</f>
        <v>1926</v>
      </c>
      <c r="F43" s="80" t="str">
        <f>IFERROR(__xludf.DUMMYFUNCTION("""COMPUTED_VALUE"""),"Hard Bound")</f>
        <v>Hard Bound</v>
      </c>
      <c r="G43" s="80"/>
      <c r="H43" s="104"/>
      <c r="I43" s="80"/>
      <c r="J43" s="80"/>
      <c r="K43" s="80"/>
      <c r="L43" s="80"/>
      <c r="M43" s="80"/>
      <c r="N43" s="80"/>
      <c r="O43" s="80"/>
      <c r="P43" s="80" t="str">
        <f>IFERROR(__xludf.DUMMYFUNCTION("""COMPUTED_VALUE"""),"AD Chromo")</f>
        <v>AD Chromo</v>
      </c>
      <c r="Q43" s="80">
        <f>IFERROR(__xludf.DUMMYFUNCTION("""COMPUTED_VALUE"""),2336.0)</f>
        <v>2336</v>
      </c>
      <c r="R43" s="80" t="str">
        <f>IFERROR(__xludf.DUMMYFUNCTION("""COMPUTED_VALUE"""),"23*36")</f>
        <v>23*36</v>
      </c>
      <c r="S43" s="80">
        <f>IFERROR(__xludf.DUMMYFUNCTION("""COMPUTED_VALUE"""),15.0)</f>
        <v>15</v>
      </c>
      <c r="T43" s="80">
        <f>IFERROR(__xludf.DUMMYFUNCTION("""COMPUTED_VALUE"""),2840.0)</f>
        <v>2840</v>
      </c>
      <c r="U43" s="80" t="str">
        <f>IFERROR(__xludf.DUMMYFUNCTION("""COMPUTED_VALUE"""),"Gumming Sticker")</f>
        <v>Gumming Sticker</v>
      </c>
      <c r="V43" s="80"/>
      <c r="W43" s="80"/>
      <c r="X43" s="80"/>
      <c r="Y43" s="80"/>
      <c r="Z43" s="80"/>
      <c r="AA43" s="86">
        <f>IFERROR(__xludf.DUMMYFUNCTION("""COMPUTED_VALUE"""),41081.0)</f>
        <v>41081</v>
      </c>
      <c r="AB43" s="86">
        <f>IFERROR(__xludf.DUMMYFUNCTION("""COMPUTED_VALUE"""),42080.0)</f>
        <v>42080</v>
      </c>
      <c r="AC43" s="86">
        <f>IFERROR(__xludf.DUMMYFUNCTION("""COMPUTED_VALUE"""),5250.0)</f>
        <v>5250</v>
      </c>
      <c r="AD43" s="86">
        <f>IFERROR(__xludf.DUMMYFUNCTION("""COMPUTED_VALUE"""),12600.0)</f>
        <v>12600</v>
      </c>
      <c r="AE43" s="86">
        <f>IFERROR(__xludf.DUMMYFUNCTION("""COMPUTED_VALUE"""),0.15)</f>
        <v>0.15</v>
      </c>
      <c r="AF43" s="86">
        <f>IFERROR(__xludf.DUMMYFUNCTION("""COMPUTED_VALUE"""),4400.0)</f>
        <v>4400</v>
      </c>
      <c r="AG43" s="86">
        <f>IFERROR(__xludf.DUMMYFUNCTION("""COMPUTED_VALUE"""),7350.0)</f>
        <v>7350</v>
      </c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80"/>
      <c r="AU43" s="80"/>
      <c r="AV43" s="80"/>
      <c r="AW43" s="104"/>
      <c r="AX43" s="80"/>
      <c r="AY43" s="80"/>
      <c r="AZ43" s="80"/>
      <c r="BA43" s="80"/>
      <c r="BB43" s="80"/>
      <c r="BC43" s="80"/>
      <c r="BD43" s="72"/>
      <c r="BE43" s="89">
        <v>31500.0</v>
      </c>
      <c r="BF43" s="89">
        <v>46200.0</v>
      </c>
    </row>
    <row r="44">
      <c r="A44" s="104" t="str">
        <f>IFERROR(__xludf.DUMMYFUNCTION("""COMPUTED_VALUE"""),"Star 1.5 GG")</f>
        <v>Star 1.5 GG</v>
      </c>
      <c r="B44" s="80">
        <f>IFERROR(__xludf.DUMMYFUNCTION("""COMPUTED_VALUE"""),3141.0)</f>
        <v>3141</v>
      </c>
      <c r="C44" s="104" t="str">
        <f>IFERROR(__xludf.DUMMYFUNCTION("""COMPUTED_VALUE"""),"31*41")</f>
        <v>31*41</v>
      </c>
      <c r="D44" s="80">
        <f>IFERROR(__xludf.DUMMYFUNCTION("""COMPUTED_VALUE"""),40.0)</f>
        <v>40</v>
      </c>
      <c r="E44" s="80">
        <f>IFERROR(__xludf.DUMMYFUNCTION("""COMPUTED_VALUE"""),1926.0)</f>
        <v>1926</v>
      </c>
      <c r="F44" s="80" t="str">
        <f>IFERROR(__xludf.DUMMYFUNCTION("""COMPUTED_VALUE"""),"Hard Bound")</f>
        <v>Hard Bound</v>
      </c>
      <c r="G44" s="80"/>
      <c r="H44" s="104"/>
      <c r="I44" s="80"/>
      <c r="J44" s="80"/>
      <c r="K44" s="80"/>
      <c r="L44" s="80"/>
      <c r="M44" s="80"/>
      <c r="N44" s="80"/>
      <c r="O44" s="80"/>
      <c r="P44" s="80" t="str">
        <f>IFERROR(__xludf.DUMMYFUNCTION("""COMPUTED_VALUE"""),"AD Chromo")</f>
        <v>AD Chromo</v>
      </c>
      <c r="Q44" s="80">
        <f>IFERROR(__xludf.DUMMYFUNCTION("""COMPUTED_VALUE"""),2536.0)</f>
        <v>2536</v>
      </c>
      <c r="R44" s="80" t="str">
        <f>IFERROR(__xludf.DUMMYFUNCTION("""COMPUTED_VALUE"""),"25*36")</f>
        <v>25*36</v>
      </c>
      <c r="S44" s="80">
        <f>IFERROR(__xludf.DUMMYFUNCTION("""COMPUTED_VALUE"""),16.0)</f>
        <v>16</v>
      </c>
      <c r="T44" s="80">
        <f>IFERROR(__xludf.DUMMYFUNCTION("""COMPUTED_VALUE"""),2840.0)</f>
        <v>2840</v>
      </c>
      <c r="U44" s="80" t="str">
        <f>IFERROR(__xludf.DUMMYFUNCTION("""COMPUTED_VALUE"""),"Gumming Sticker")</f>
        <v>Gumming Sticker</v>
      </c>
      <c r="V44" s="80"/>
      <c r="W44" s="80"/>
      <c r="X44" s="80"/>
      <c r="Y44" s="80"/>
      <c r="Z44" s="80"/>
      <c r="AA44" s="86">
        <f>IFERROR(__xludf.DUMMYFUNCTION("""COMPUTED_VALUE"""),42081.0)</f>
        <v>42081</v>
      </c>
      <c r="AB44" s="86">
        <f>IFERROR(__xludf.DUMMYFUNCTION("""COMPUTED_VALUE"""),43080.0)</f>
        <v>43080</v>
      </c>
      <c r="AC44" s="86">
        <f>IFERROR(__xludf.DUMMYFUNCTION("""COMPUTED_VALUE"""),5375.0)</f>
        <v>5375</v>
      </c>
      <c r="AD44" s="86">
        <f>IFERROR(__xludf.DUMMYFUNCTION("""COMPUTED_VALUE"""),12900.0)</f>
        <v>12900</v>
      </c>
      <c r="AE44" s="86">
        <f>IFERROR(__xludf.DUMMYFUNCTION("""COMPUTED_VALUE"""),0.15)</f>
        <v>0.15</v>
      </c>
      <c r="AF44" s="86">
        <f>IFERROR(__xludf.DUMMYFUNCTION("""COMPUTED_VALUE"""),4500.0)</f>
        <v>4500</v>
      </c>
      <c r="AG44" s="86">
        <f>IFERROR(__xludf.DUMMYFUNCTION("""COMPUTED_VALUE"""),7525.0)</f>
        <v>7525</v>
      </c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80"/>
      <c r="AU44" s="80"/>
      <c r="AV44" s="80"/>
      <c r="AW44" s="104"/>
      <c r="AX44" s="80"/>
      <c r="AY44" s="80"/>
      <c r="AZ44" s="80"/>
      <c r="BA44" s="80"/>
      <c r="BB44" s="80"/>
      <c r="BC44" s="80"/>
      <c r="BD44" s="72"/>
      <c r="BE44" s="89">
        <v>32250.0</v>
      </c>
      <c r="BF44" s="89">
        <v>47300.0</v>
      </c>
    </row>
    <row r="45">
      <c r="A45" s="104" t="str">
        <f>IFERROR(__xludf.DUMMYFUNCTION("""COMPUTED_VALUE"""),"Star 1.5 GG")</f>
        <v>Star 1.5 GG</v>
      </c>
      <c r="B45" s="80">
        <f>IFERROR(__xludf.DUMMYFUNCTION("""COMPUTED_VALUE"""),2536.0)</f>
        <v>2536</v>
      </c>
      <c r="C45" s="104" t="str">
        <f>IFERROR(__xludf.DUMMYFUNCTION("""COMPUTED_VALUE"""),"25*36")</f>
        <v>25*36</v>
      </c>
      <c r="D45" s="80">
        <f>IFERROR(__xludf.DUMMYFUNCTION("""COMPUTED_VALUE"""),29.0)</f>
        <v>29</v>
      </c>
      <c r="E45" s="80">
        <f>IFERROR(__xludf.DUMMYFUNCTION("""COMPUTED_VALUE"""),1926.0)</f>
        <v>1926</v>
      </c>
      <c r="F45" s="80" t="str">
        <f>IFERROR(__xludf.DUMMYFUNCTION("""COMPUTED_VALUE"""),"Hard Bound")</f>
        <v>Hard Bound</v>
      </c>
      <c r="G45" s="80"/>
      <c r="H45" s="104"/>
      <c r="I45" s="80"/>
      <c r="J45" s="80"/>
      <c r="K45" s="80"/>
      <c r="L45" s="80"/>
      <c r="M45" s="80"/>
      <c r="N45" s="80"/>
      <c r="O45" s="80"/>
      <c r="P45" s="80" t="str">
        <f>IFERROR(__xludf.DUMMYFUNCTION("""COMPUTED_VALUE"""),"WC Chromo")</f>
        <v>WC Chromo</v>
      </c>
      <c r="Q45" s="80">
        <f>IFERROR(__xludf.DUMMYFUNCTION("""COMPUTED_VALUE"""),2030.0)</f>
        <v>2030</v>
      </c>
      <c r="R45" s="80" t="str">
        <f>IFERROR(__xludf.DUMMYFUNCTION("""COMPUTED_VALUE"""),"20*30")</f>
        <v>20*30</v>
      </c>
      <c r="S45" s="80">
        <f>IFERROR(__xludf.DUMMYFUNCTION("""COMPUTED_VALUE"""),8.0)</f>
        <v>8</v>
      </c>
      <c r="T45" s="80">
        <f>IFERROR(__xludf.DUMMYFUNCTION("""COMPUTED_VALUE"""),2029.0)</f>
        <v>2029</v>
      </c>
      <c r="U45" s="80" t="str">
        <f>IFERROR(__xludf.DUMMYFUNCTION("""COMPUTED_VALUE"""),"Gumming Sticker")</f>
        <v>Gumming Sticker</v>
      </c>
      <c r="V45" s="80"/>
      <c r="W45" s="80"/>
      <c r="X45" s="80"/>
      <c r="Y45" s="80"/>
      <c r="Z45" s="80"/>
      <c r="AA45" s="86">
        <f>IFERROR(__xludf.DUMMYFUNCTION("""COMPUTED_VALUE"""),43081.0)</f>
        <v>43081</v>
      </c>
      <c r="AB45" s="86">
        <f>IFERROR(__xludf.DUMMYFUNCTION("""COMPUTED_VALUE"""),44080.0)</f>
        <v>44080</v>
      </c>
      <c r="AC45" s="86">
        <f>IFERROR(__xludf.DUMMYFUNCTION("""COMPUTED_VALUE"""),5500.0)</f>
        <v>5500</v>
      </c>
      <c r="AD45" s="86">
        <f>IFERROR(__xludf.DUMMYFUNCTION("""COMPUTED_VALUE"""),13200.0)</f>
        <v>13200</v>
      </c>
      <c r="AE45" s="86">
        <f>IFERROR(__xludf.DUMMYFUNCTION("""COMPUTED_VALUE"""),0.15)</f>
        <v>0.15</v>
      </c>
      <c r="AF45" s="86">
        <f>IFERROR(__xludf.DUMMYFUNCTION("""COMPUTED_VALUE"""),4600.0)</f>
        <v>4600</v>
      </c>
      <c r="AG45" s="86">
        <f>IFERROR(__xludf.DUMMYFUNCTION("""COMPUTED_VALUE"""),7700.0)</f>
        <v>7700</v>
      </c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80"/>
      <c r="AU45" s="80"/>
      <c r="AV45" s="80"/>
      <c r="AW45" s="104"/>
      <c r="AX45" s="80"/>
      <c r="AY45" s="80"/>
      <c r="AZ45" s="80"/>
      <c r="BA45" s="80"/>
      <c r="BB45" s="80"/>
      <c r="BC45" s="80"/>
      <c r="BD45" s="72"/>
      <c r="BE45" s="89">
        <v>33000.0</v>
      </c>
      <c r="BF45" s="89">
        <v>48400.0</v>
      </c>
    </row>
    <row r="46">
      <c r="A46" s="104" t="str">
        <f>IFERROR(__xludf.DUMMYFUNCTION("""COMPUTED_VALUE"""),"Star 1.5 GW")</f>
        <v>Star 1.5 GW</v>
      </c>
      <c r="B46" s="80">
        <f>IFERROR(__xludf.DUMMYFUNCTION("""COMPUTED_VALUE"""),3141.0)</f>
        <v>3141</v>
      </c>
      <c r="C46" s="104" t="str">
        <f>IFERROR(__xludf.DUMMYFUNCTION("""COMPUTED_VALUE"""),"31*41")</f>
        <v>31*41</v>
      </c>
      <c r="D46" s="80">
        <f>IFERROR(__xludf.DUMMYFUNCTION("""COMPUTED_VALUE"""),48.0)</f>
        <v>48</v>
      </c>
      <c r="E46" s="80">
        <f>IFERROR(__xludf.DUMMYFUNCTION("""COMPUTED_VALUE"""),1926.0)</f>
        <v>1926</v>
      </c>
      <c r="F46" s="80" t="str">
        <f>IFERROR(__xludf.DUMMYFUNCTION("""COMPUTED_VALUE"""),"Hard Bound")</f>
        <v>Hard Bound</v>
      </c>
      <c r="G46" s="80"/>
      <c r="H46" s="104"/>
      <c r="I46" s="80"/>
      <c r="J46" s="80"/>
      <c r="K46" s="80"/>
      <c r="L46" s="80"/>
      <c r="M46" s="80"/>
      <c r="N46" s="80"/>
      <c r="O46" s="80"/>
      <c r="P46" s="80" t="str">
        <f>IFERROR(__xludf.DUMMYFUNCTION("""COMPUTED_VALUE"""),"WC Chromo")</f>
        <v>WC Chromo</v>
      </c>
      <c r="Q46" s="80">
        <f>IFERROR(__xludf.DUMMYFUNCTION("""COMPUTED_VALUE"""),2336.0)</f>
        <v>2336</v>
      </c>
      <c r="R46" s="80" t="str">
        <f>IFERROR(__xludf.DUMMYFUNCTION("""COMPUTED_VALUE"""),"23*36")</f>
        <v>23*36</v>
      </c>
      <c r="S46" s="80">
        <f>IFERROR(__xludf.DUMMYFUNCTION("""COMPUTED_VALUE"""),10.0)</f>
        <v>10</v>
      </c>
      <c r="T46" s="80">
        <f>IFERROR(__xludf.DUMMYFUNCTION("""COMPUTED_VALUE"""),2840.0)</f>
        <v>2840</v>
      </c>
      <c r="U46" s="80" t="str">
        <f>IFERROR(__xludf.DUMMYFUNCTION("""COMPUTED_VALUE"""),"Gumming Sticker")</f>
        <v>Gumming Sticker</v>
      </c>
      <c r="V46" s="80"/>
      <c r="W46" s="80"/>
      <c r="X46" s="80"/>
      <c r="Y46" s="80"/>
      <c r="Z46" s="80"/>
      <c r="AA46" s="86">
        <f>IFERROR(__xludf.DUMMYFUNCTION("""COMPUTED_VALUE"""),44081.0)</f>
        <v>44081</v>
      </c>
      <c r="AB46" s="86">
        <f>IFERROR(__xludf.DUMMYFUNCTION("""COMPUTED_VALUE"""),45080.0)</f>
        <v>45080</v>
      </c>
      <c r="AC46" s="86">
        <f>IFERROR(__xludf.DUMMYFUNCTION("""COMPUTED_VALUE"""),5625.0)</f>
        <v>5625</v>
      </c>
      <c r="AD46" s="86">
        <f>IFERROR(__xludf.DUMMYFUNCTION("""COMPUTED_VALUE"""),13500.0)</f>
        <v>13500</v>
      </c>
      <c r="AE46" s="86">
        <f>IFERROR(__xludf.DUMMYFUNCTION("""COMPUTED_VALUE"""),0.15)</f>
        <v>0.15</v>
      </c>
      <c r="AF46" s="86">
        <f>IFERROR(__xludf.DUMMYFUNCTION("""COMPUTED_VALUE"""),4700.0)</f>
        <v>4700</v>
      </c>
      <c r="AG46" s="86">
        <f>IFERROR(__xludf.DUMMYFUNCTION("""COMPUTED_VALUE"""),7875.0)</f>
        <v>7875</v>
      </c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80"/>
      <c r="AU46" s="80"/>
      <c r="AV46" s="80"/>
      <c r="AW46" s="107"/>
      <c r="AX46" s="80"/>
      <c r="AY46" s="80"/>
      <c r="AZ46" s="80"/>
      <c r="BA46" s="80"/>
      <c r="BB46" s="80"/>
      <c r="BC46" s="80"/>
      <c r="BD46" s="72"/>
      <c r="BE46" s="89">
        <v>33750.0</v>
      </c>
      <c r="BF46" s="89">
        <v>49500.0</v>
      </c>
    </row>
    <row r="47">
      <c r="A47" s="104" t="str">
        <f>IFERROR(__xludf.DUMMYFUNCTION("""COMPUTED_VALUE"""),"Star 1.5 GW")</f>
        <v>Star 1.5 GW</v>
      </c>
      <c r="B47" s="80">
        <f>IFERROR(__xludf.DUMMYFUNCTION("""COMPUTED_VALUE"""),2536.0)</f>
        <v>2536</v>
      </c>
      <c r="C47" s="104" t="str">
        <f>IFERROR(__xludf.DUMMYFUNCTION("""COMPUTED_VALUE"""),"25*36")</f>
        <v>25*36</v>
      </c>
      <c r="D47" s="80">
        <f>IFERROR(__xludf.DUMMYFUNCTION("""COMPUTED_VALUE"""),34.0)</f>
        <v>34</v>
      </c>
      <c r="E47" s="80">
        <f>IFERROR(__xludf.DUMMYFUNCTION("""COMPUTED_VALUE"""),1926.0)</f>
        <v>1926</v>
      </c>
      <c r="F47" s="80" t="str">
        <f>IFERROR(__xludf.DUMMYFUNCTION("""COMPUTED_VALUE"""),"Hard Bound")</f>
        <v>Hard Bound</v>
      </c>
      <c r="G47" s="80"/>
      <c r="H47" s="104"/>
      <c r="I47" s="80"/>
      <c r="J47" s="80"/>
      <c r="K47" s="80"/>
      <c r="L47" s="80"/>
      <c r="M47" s="80"/>
      <c r="N47" s="80"/>
      <c r="O47" s="80"/>
      <c r="P47" s="80" t="str">
        <f>IFERROR(__xludf.DUMMYFUNCTION("""COMPUTED_VALUE"""),"WC Chromo")</f>
        <v>WC Chromo</v>
      </c>
      <c r="Q47" s="80">
        <f>IFERROR(__xludf.DUMMYFUNCTION("""COMPUTED_VALUE"""),2536.0)</f>
        <v>2536</v>
      </c>
      <c r="R47" s="80" t="str">
        <f>IFERROR(__xludf.DUMMYFUNCTION("""COMPUTED_VALUE"""),"25*36")</f>
        <v>25*36</v>
      </c>
      <c r="S47" s="80">
        <f>IFERROR(__xludf.DUMMYFUNCTION("""COMPUTED_VALUE"""),12.0)</f>
        <v>12</v>
      </c>
      <c r="T47" s="80">
        <f>IFERROR(__xludf.DUMMYFUNCTION("""COMPUTED_VALUE"""),2840.0)</f>
        <v>2840</v>
      </c>
      <c r="U47" s="80" t="str">
        <f>IFERROR(__xludf.DUMMYFUNCTION("""COMPUTED_VALUE"""),"Gumming Sticker")</f>
        <v>Gumming Sticker</v>
      </c>
      <c r="V47" s="80"/>
      <c r="W47" s="80"/>
      <c r="X47" s="80"/>
      <c r="Y47" s="80"/>
      <c r="Z47" s="80"/>
      <c r="AA47" s="86">
        <f>IFERROR(__xludf.DUMMYFUNCTION("""COMPUTED_VALUE"""),45081.0)</f>
        <v>45081</v>
      </c>
      <c r="AB47" s="86">
        <f>IFERROR(__xludf.DUMMYFUNCTION("""COMPUTED_VALUE"""),46080.0)</f>
        <v>46080</v>
      </c>
      <c r="AC47" s="86">
        <f>IFERROR(__xludf.DUMMYFUNCTION("""COMPUTED_VALUE"""),5750.0)</f>
        <v>5750</v>
      </c>
      <c r="AD47" s="86">
        <f>IFERROR(__xludf.DUMMYFUNCTION("""COMPUTED_VALUE"""),13800.0)</f>
        <v>13800</v>
      </c>
      <c r="AE47" s="86">
        <f>IFERROR(__xludf.DUMMYFUNCTION("""COMPUTED_VALUE"""),0.15)</f>
        <v>0.15</v>
      </c>
      <c r="AF47" s="86">
        <f>IFERROR(__xludf.DUMMYFUNCTION("""COMPUTED_VALUE"""),4800.0)</f>
        <v>4800</v>
      </c>
      <c r="AG47" s="86">
        <f>IFERROR(__xludf.DUMMYFUNCTION("""COMPUTED_VALUE"""),8050.0)</f>
        <v>8050</v>
      </c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80"/>
      <c r="AU47" s="80"/>
      <c r="AV47" s="80"/>
      <c r="AW47" s="104"/>
      <c r="AX47" s="80"/>
      <c r="AY47" s="80"/>
      <c r="AZ47" s="80"/>
      <c r="BA47" s="80"/>
      <c r="BB47" s="80"/>
      <c r="BC47" s="80"/>
      <c r="BD47" s="72"/>
      <c r="BE47" s="89">
        <v>34500.0</v>
      </c>
      <c r="BF47" s="89">
        <v>50600.0</v>
      </c>
    </row>
    <row r="48">
      <c r="A48" s="104" t="str">
        <f>IFERROR(__xludf.DUMMYFUNCTION("""COMPUTED_VALUE"""),"Star 1.7 GG")</f>
        <v>Star 1.7 GG</v>
      </c>
      <c r="B48" s="80">
        <f>IFERROR(__xludf.DUMMYFUNCTION("""COMPUTED_VALUE"""),3141.0)</f>
        <v>3141</v>
      </c>
      <c r="C48" s="104" t="str">
        <f>IFERROR(__xludf.DUMMYFUNCTION("""COMPUTED_VALUE"""),"31*41")</f>
        <v>31*41</v>
      </c>
      <c r="D48" s="80">
        <f>IFERROR(__xludf.DUMMYFUNCTION("""COMPUTED_VALUE"""),46.0)</f>
        <v>46</v>
      </c>
      <c r="E48" s="80">
        <f>IFERROR(__xludf.DUMMYFUNCTION("""COMPUTED_VALUE"""),1926.0)</f>
        <v>1926</v>
      </c>
      <c r="F48" s="80" t="str">
        <f>IFERROR(__xludf.DUMMYFUNCTION("""COMPUTED_VALUE"""),"Hard Bound")</f>
        <v>Hard Bound</v>
      </c>
      <c r="G48" s="80"/>
      <c r="H48" s="104"/>
      <c r="I48" s="80"/>
      <c r="J48" s="80"/>
      <c r="K48" s="80"/>
      <c r="L48" s="80"/>
      <c r="M48" s="80"/>
      <c r="N48" s="80"/>
      <c r="O48" s="80"/>
      <c r="P48" s="80" t="str">
        <f>IFERROR(__xludf.DUMMYFUNCTION("""COMPUTED_VALUE"""),"Star 1 WPE")</f>
        <v>Star 1 WPE</v>
      </c>
      <c r="Q48" s="80">
        <f>IFERROR(__xludf.DUMMYFUNCTION("""COMPUTED_VALUE"""),1721.0)</f>
        <v>1721</v>
      </c>
      <c r="R48" s="80" t="str">
        <f>IFERROR(__xludf.DUMMYFUNCTION("""COMPUTED_VALUE"""),"17*21")</f>
        <v>17*21</v>
      </c>
      <c r="S48" s="80">
        <f>IFERROR(__xludf.DUMMYFUNCTION("""COMPUTED_VALUE"""),12.0)</f>
        <v>12</v>
      </c>
      <c r="T48" s="80">
        <f>IFERROR(__xludf.DUMMYFUNCTION("""COMPUTED_VALUE"""),1926.0)</f>
        <v>1926</v>
      </c>
      <c r="U48" s="80" t="str">
        <f>IFERROR(__xludf.DUMMYFUNCTION("""COMPUTED_VALUE"""),"Hard Bound")</f>
        <v>Hard Bound</v>
      </c>
      <c r="V48" s="80"/>
      <c r="W48" s="80"/>
      <c r="X48" s="80"/>
      <c r="Y48" s="80"/>
      <c r="Z48" s="80"/>
      <c r="AA48" s="86">
        <f>IFERROR(__xludf.DUMMYFUNCTION("""COMPUTED_VALUE"""),46081.0)</f>
        <v>46081</v>
      </c>
      <c r="AB48" s="86">
        <f>IFERROR(__xludf.DUMMYFUNCTION("""COMPUTED_VALUE"""),47080.0)</f>
        <v>47080</v>
      </c>
      <c r="AC48" s="86">
        <f>IFERROR(__xludf.DUMMYFUNCTION("""COMPUTED_VALUE"""),5875.0)</f>
        <v>5875</v>
      </c>
      <c r="AD48" s="86">
        <f>IFERROR(__xludf.DUMMYFUNCTION("""COMPUTED_VALUE"""),14100.0)</f>
        <v>14100</v>
      </c>
      <c r="AE48" s="86">
        <f>IFERROR(__xludf.DUMMYFUNCTION("""COMPUTED_VALUE"""),0.15)</f>
        <v>0.15</v>
      </c>
      <c r="AF48" s="86">
        <f>IFERROR(__xludf.DUMMYFUNCTION("""COMPUTED_VALUE"""),4900.0)</f>
        <v>4900</v>
      </c>
      <c r="AG48" s="86">
        <f>IFERROR(__xludf.DUMMYFUNCTION("""COMPUTED_VALUE"""),8225.0)</f>
        <v>8225</v>
      </c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80"/>
      <c r="AU48" s="80"/>
      <c r="AV48" s="80"/>
      <c r="AW48" s="107"/>
      <c r="AX48" s="80"/>
      <c r="AY48" s="80"/>
      <c r="AZ48" s="80"/>
      <c r="BA48" s="80"/>
      <c r="BB48" s="80"/>
      <c r="BC48" s="80"/>
      <c r="BD48" s="72"/>
      <c r="BE48" s="89">
        <v>35250.0</v>
      </c>
      <c r="BF48" s="89">
        <v>51700.0</v>
      </c>
    </row>
    <row r="49">
      <c r="A49" s="104" t="str">
        <f>IFERROR(__xludf.DUMMYFUNCTION("""COMPUTED_VALUE"""),"Star 1.7 GG")</f>
        <v>Star 1.7 GG</v>
      </c>
      <c r="B49" s="80">
        <f>IFERROR(__xludf.DUMMYFUNCTION("""COMPUTED_VALUE"""),2536.0)</f>
        <v>2536</v>
      </c>
      <c r="C49" s="104" t="str">
        <f>IFERROR(__xludf.DUMMYFUNCTION("""COMPUTED_VALUE"""),"25*36")</f>
        <v>25*36</v>
      </c>
      <c r="D49" s="80">
        <f>IFERROR(__xludf.DUMMYFUNCTION("""COMPUTED_VALUE"""),32.0)</f>
        <v>32</v>
      </c>
      <c r="E49" s="80">
        <f>IFERROR(__xludf.DUMMYFUNCTION("""COMPUTED_VALUE"""),1926.0)</f>
        <v>1926</v>
      </c>
      <c r="F49" s="80" t="str">
        <f>IFERROR(__xludf.DUMMYFUNCTION("""COMPUTED_VALUE"""),"Hard Bound")</f>
        <v>Hard Bound</v>
      </c>
      <c r="G49" s="80"/>
      <c r="H49" s="104"/>
      <c r="I49" s="80"/>
      <c r="J49" s="80"/>
      <c r="K49" s="80"/>
      <c r="L49" s="80"/>
      <c r="M49" s="80"/>
      <c r="N49" s="80"/>
      <c r="O49" s="80"/>
      <c r="P49" s="80" t="str">
        <f>IFERROR(__xludf.DUMMYFUNCTION("""COMPUTED_VALUE"""),"Star 1 GG")</f>
        <v>Star 1 GG</v>
      </c>
      <c r="Q49" s="80">
        <f>IFERROR(__xludf.DUMMYFUNCTION("""COMPUTED_VALUE"""),3141.0)</f>
        <v>3141</v>
      </c>
      <c r="R49" s="80" t="str">
        <f>IFERROR(__xludf.DUMMYFUNCTION("""COMPUTED_VALUE"""),"31*41")</f>
        <v>31*41</v>
      </c>
      <c r="S49" s="80">
        <f>IFERROR(__xludf.DUMMYFUNCTION("""COMPUTED_VALUE"""),27.0)</f>
        <v>27</v>
      </c>
      <c r="T49" s="80">
        <f>IFERROR(__xludf.DUMMYFUNCTION("""COMPUTED_VALUE"""),1926.0)</f>
        <v>1926</v>
      </c>
      <c r="U49" s="80" t="str">
        <f>IFERROR(__xludf.DUMMYFUNCTION("""COMPUTED_VALUE"""),"Hard Bound")</f>
        <v>Hard Bound</v>
      </c>
      <c r="V49" s="80"/>
      <c r="W49" s="80"/>
      <c r="X49" s="80"/>
      <c r="Y49" s="80"/>
      <c r="Z49" s="80"/>
      <c r="AA49" s="86">
        <f>IFERROR(__xludf.DUMMYFUNCTION("""COMPUTED_VALUE"""),47081.0)</f>
        <v>47081</v>
      </c>
      <c r="AB49" s="86">
        <f>IFERROR(__xludf.DUMMYFUNCTION("""COMPUTED_VALUE"""),48080.0)</f>
        <v>48080</v>
      </c>
      <c r="AC49" s="86">
        <f>IFERROR(__xludf.DUMMYFUNCTION("""COMPUTED_VALUE"""),6000.0)</f>
        <v>6000</v>
      </c>
      <c r="AD49" s="86">
        <f>IFERROR(__xludf.DUMMYFUNCTION("""COMPUTED_VALUE"""),14400.0)</f>
        <v>14400</v>
      </c>
      <c r="AE49" s="86">
        <f>IFERROR(__xludf.DUMMYFUNCTION("""COMPUTED_VALUE"""),0.15)</f>
        <v>0.15</v>
      </c>
      <c r="AF49" s="86">
        <f>IFERROR(__xludf.DUMMYFUNCTION("""COMPUTED_VALUE"""),5000.0)</f>
        <v>5000</v>
      </c>
      <c r="AG49" s="86">
        <f>IFERROR(__xludf.DUMMYFUNCTION("""COMPUTED_VALUE"""),8400.0)</f>
        <v>8400</v>
      </c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80"/>
      <c r="AU49" s="80"/>
      <c r="AV49" s="80"/>
      <c r="AW49" s="107"/>
      <c r="AX49" s="80"/>
      <c r="AY49" s="80"/>
      <c r="AZ49" s="80"/>
      <c r="BA49" s="80"/>
      <c r="BB49" s="80"/>
      <c r="BC49" s="80"/>
      <c r="BD49" s="72"/>
      <c r="BE49" s="89">
        <v>36000.0</v>
      </c>
      <c r="BF49" s="89">
        <v>52800.0</v>
      </c>
    </row>
    <row r="50">
      <c r="A50" s="104" t="str">
        <f>IFERROR(__xludf.DUMMYFUNCTION("""COMPUTED_VALUE"""),"Star 1.7 GW")</f>
        <v>Star 1.7 GW</v>
      </c>
      <c r="B50" s="80">
        <f>IFERROR(__xludf.DUMMYFUNCTION("""COMPUTED_VALUE"""),3141.0)</f>
        <v>3141</v>
      </c>
      <c r="C50" s="104" t="str">
        <f>IFERROR(__xludf.DUMMYFUNCTION("""COMPUTED_VALUE"""),"31*41")</f>
        <v>31*41</v>
      </c>
      <c r="D50" s="80">
        <f>IFERROR(__xludf.DUMMYFUNCTION("""COMPUTED_VALUE"""),55.0)</f>
        <v>55</v>
      </c>
      <c r="E50" s="80">
        <f>IFERROR(__xludf.DUMMYFUNCTION("""COMPUTED_VALUE"""),1926.0)</f>
        <v>1926</v>
      </c>
      <c r="F50" s="80" t="str">
        <f>IFERROR(__xludf.DUMMYFUNCTION("""COMPUTED_VALUE"""),"Hard Bound")</f>
        <v>Hard Bound</v>
      </c>
      <c r="G50" s="80"/>
      <c r="H50" s="104"/>
      <c r="I50" s="80"/>
      <c r="J50" s="80"/>
      <c r="K50" s="80"/>
      <c r="L50" s="80"/>
      <c r="M50" s="80"/>
      <c r="N50" s="80"/>
      <c r="O50" s="80"/>
      <c r="P50" s="80" t="str">
        <f>IFERROR(__xludf.DUMMYFUNCTION("""COMPUTED_VALUE"""),"Star 1 GG")</f>
        <v>Star 1 GG</v>
      </c>
      <c r="Q50" s="80">
        <f>IFERROR(__xludf.DUMMYFUNCTION("""COMPUTED_VALUE"""),2536.0)</f>
        <v>2536</v>
      </c>
      <c r="R50" s="80" t="str">
        <f>IFERROR(__xludf.DUMMYFUNCTION("""COMPUTED_VALUE"""),"25*36")</f>
        <v>25*36</v>
      </c>
      <c r="S50" s="80">
        <f>IFERROR(__xludf.DUMMYFUNCTION("""COMPUTED_VALUE"""),19.0)</f>
        <v>19</v>
      </c>
      <c r="T50" s="80">
        <f>IFERROR(__xludf.DUMMYFUNCTION("""COMPUTED_VALUE"""),1926.0)</f>
        <v>1926</v>
      </c>
      <c r="U50" s="80" t="str">
        <f>IFERROR(__xludf.DUMMYFUNCTION("""COMPUTED_VALUE"""),"Hard Bound")</f>
        <v>Hard Bound</v>
      </c>
      <c r="V50" s="80"/>
      <c r="W50" s="80"/>
      <c r="X50" s="80"/>
      <c r="Y50" s="80"/>
      <c r="Z50" s="80"/>
      <c r="AA50" s="86">
        <f>IFERROR(__xludf.DUMMYFUNCTION("""COMPUTED_VALUE"""),48081.0)</f>
        <v>48081</v>
      </c>
      <c r="AB50" s="86">
        <f>IFERROR(__xludf.DUMMYFUNCTION("""COMPUTED_VALUE"""),49080.0)</f>
        <v>49080</v>
      </c>
      <c r="AC50" s="86">
        <f>IFERROR(__xludf.DUMMYFUNCTION("""COMPUTED_VALUE"""),6125.0)</f>
        <v>6125</v>
      </c>
      <c r="AD50" s="86">
        <f>IFERROR(__xludf.DUMMYFUNCTION("""COMPUTED_VALUE"""),14700.0)</f>
        <v>14700</v>
      </c>
      <c r="AE50" s="86">
        <f>IFERROR(__xludf.DUMMYFUNCTION("""COMPUTED_VALUE"""),0.15)</f>
        <v>0.15</v>
      </c>
      <c r="AF50" s="86">
        <f>IFERROR(__xludf.DUMMYFUNCTION("""COMPUTED_VALUE"""),5100.0)</f>
        <v>5100</v>
      </c>
      <c r="AG50" s="86">
        <f>IFERROR(__xludf.DUMMYFUNCTION("""COMPUTED_VALUE"""),8575.0)</f>
        <v>8575</v>
      </c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80"/>
      <c r="AU50" s="80"/>
      <c r="AV50" s="80"/>
      <c r="AW50" s="104"/>
      <c r="AX50" s="80"/>
      <c r="AY50" s="80"/>
      <c r="AZ50" s="80"/>
      <c r="BA50" s="80"/>
      <c r="BB50" s="80"/>
      <c r="BC50" s="80"/>
      <c r="BD50" s="72"/>
      <c r="BE50" s="89">
        <v>36750.0</v>
      </c>
      <c r="BF50" s="89">
        <v>53900.0</v>
      </c>
    </row>
    <row r="51">
      <c r="A51" s="104" t="str">
        <f>IFERROR(__xludf.DUMMYFUNCTION("""COMPUTED_VALUE"""),"Star 1.7 GW")</f>
        <v>Star 1.7 GW</v>
      </c>
      <c r="B51" s="80">
        <f>IFERROR(__xludf.DUMMYFUNCTION("""COMPUTED_VALUE"""),2536.0)</f>
        <v>2536</v>
      </c>
      <c r="C51" s="104" t="str">
        <f>IFERROR(__xludf.DUMMYFUNCTION("""COMPUTED_VALUE"""),"25*36")</f>
        <v>25*36</v>
      </c>
      <c r="D51" s="80">
        <f>IFERROR(__xludf.DUMMYFUNCTION("""COMPUTED_VALUE"""),39.0)</f>
        <v>39</v>
      </c>
      <c r="E51" s="80">
        <f>IFERROR(__xludf.DUMMYFUNCTION("""COMPUTED_VALUE"""),1926.0)</f>
        <v>1926</v>
      </c>
      <c r="F51" s="80" t="str">
        <f>IFERROR(__xludf.DUMMYFUNCTION("""COMPUTED_VALUE"""),"Hard Bound")</f>
        <v>Hard Bound</v>
      </c>
      <c r="G51" s="80"/>
      <c r="H51" s="104"/>
      <c r="I51" s="80"/>
      <c r="J51" s="80"/>
      <c r="K51" s="80"/>
      <c r="L51" s="80"/>
      <c r="M51" s="80"/>
      <c r="N51" s="80"/>
      <c r="O51" s="80"/>
      <c r="P51" s="80" t="str">
        <f>IFERROR(__xludf.DUMMYFUNCTION("""COMPUTED_VALUE"""),"Star 1 GW")</f>
        <v>Star 1 GW</v>
      </c>
      <c r="Q51" s="80">
        <f>IFERROR(__xludf.DUMMYFUNCTION("""COMPUTED_VALUE"""),3141.0)</f>
        <v>3141</v>
      </c>
      <c r="R51" s="80" t="str">
        <f>IFERROR(__xludf.DUMMYFUNCTION("""COMPUTED_VALUE"""),"31*41")</f>
        <v>31*41</v>
      </c>
      <c r="S51" s="80">
        <f>IFERROR(__xludf.DUMMYFUNCTION("""COMPUTED_VALUE"""),32.0)</f>
        <v>32</v>
      </c>
      <c r="T51" s="80">
        <f>IFERROR(__xludf.DUMMYFUNCTION("""COMPUTED_VALUE"""),1926.0)</f>
        <v>1926</v>
      </c>
      <c r="U51" s="80" t="str">
        <f>IFERROR(__xludf.DUMMYFUNCTION("""COMPUTED_VALUE"""),"Hard Bound")</f>
        <v>Hard Bound</v>
      </c>
      <c r="V51" s="80"/>
      <c r="W51" s="80"/>
      <c r="X51" s="80"/>
      <c r="Y51" s="80"/>
      <c r="Z51" s="80"/>
      <c r="AA51" s="86">
        <f>IFERROR(__xludf.DUMMYFUNCTION("""COMPUTED_VALUE"""),49081.0)</f>
        <v>49081</v>
      </c>
      <c r="AB51" s="86">
        <f>IFERROR(__xludf.DUMMYFUNCTION("""COMPUTED_VALUE"""),50080.0)</f>
        <v>50080</v>
      </c>
      <c r="AC51" s="86">
        <f>IFERROR(__xludf.DUMMYFUNCTION("""COMPUTED_VALUE"""),6250.0)</f>
        <v>6250</v>
      </c>
      <c r="AD51" s="86">
        <f>IFERROR(__xludf.DUMMYFUNCTION("""COMPUTED_VALUE"""),15000.0)</f>
        <v>15000</v>
      </c>
      <c r="AE51" s="86">
        <f>IFERROR(__xludf.DUMMYFUNCTION("""COMPUTED_VALUE"""),0.15)</f>
        <v>0.15</v>
      </c>
      <c r="AF51" s="86">
        <f>IFERROR(__xludf.DUMMYFUNCTION("""COMPUTED_VALUE"""),5200.0)</f>
        <v>5200</v>
      </c>
      <c r="AG51" s="86">
        <f>IFERROR(__xludf.DUMMYFUNCTION("""COMPUTED_VALUE"""),8750.0)</f>
        <v>8750</v>
      </c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80"/>
      <c r="AU51" s="80"/>
      <c r="AV51" s="80"/>
      <c r="AW51" s="104"/>
      <c r="AX51" s="80"/>
      <c r="AY51" s="80"/>
      <c r="AZ51" s="80"/>
      <c r="BA51" s="80"/>
      <c r="BB51" s="80"/>
      <c r="BC51" s="80"/>
      <c r="BD51" s="72"/>
      <c r="BE51" s="89">
        <v>37500.0</v>
      </c>
      <c r="BF51" s="89">
        <v>55000.0</v>
      </c>
    </row>
    <row r="52">
      <c r="A52" s="104" t="str">
        <f>IFERROR(__xludf.DUMMYFUNCTION("""COMPUTED_VALUE"""),"Star 1.9 GG")</f>
        <v>Star 1.9 GG</v>
      </c>
      <c r="B52" s="80">
        <f>IFERROR(__xludf.DUMMYFUNCTION("""COMPUTED_VALUE"""),3141.0)</f>
        <v>3141</v>
      </c>
      <c r="C52" s="104" t="str">
        <f>IFERROR(__xludf.DUMMYFUNCTION("""COMPUTED_VALUE"""),"31*41")</f>
        <v>31*41</v>
      </c>
      <c r="D52" s="80">
        <f>IFERROR(__xludf.DUMMYFUNCTION("""COMPUTED_VALUE"""),51.0)</f>
        <v>51</v>
      </c>
      <c r="E52" s="80">
        <f>IFERROR(__xludf.DUMMYFUNCTION("""COMPUTED_VALUE"""),1926.0)</f>
        <v>1926</v>
      </c>
      <c r="F52" s="80" t="str">
        <f>IFERROR(__xludf.DUMMYFUNCTION("""COMPUTED_VALUE"""),"Hard Bound")</f>
        <v>Hard Bound</v>
      </c>
      <c r="G52" s="80"/>
      <c r="H52" s="104"/>
      <c r="I52" s="80"/>
      <c r="J52" s="80"/>
      <c r="K52" s="80"/>
      <c r="L52" s="80"/>
      <c r="M52" s="80"/>
      <c r="N52" s="80"/>
      <c r="O52" s="80"/>
      <c r="P52" s="80" t="str">
        <f>IFERROR(__xludf.DUMMYFUNCTION("""COMPUTED_VALUE"""),"Star 1 GW")</f>
        <v>Star 1 GW</v>
      </c>
      <c r="Q52" s="80">
        <f>IFERROR(__xludf.DUMMYFUNCTION("""COMPUTED_VALUE"""),2536.0)</f>
        <v>2536</v>
      </c>
      <c r="R52" s="80" t="str">
        <f>IFERROR(__xludf.DUMMYFUNCTION("""COMPUTED_VALUE"""),"25*36")</f>
        <v>25*36</v>
      </c>
      <c r="S52" s="80">
        <f>IFERROR(__xludf.DUMMYFUNCTION("""COMPUTED_VALUE"""),23.0)</f>
        <v>23</v>
      </c>
      <c r="T52" s="80">
        <f>IFERROR(__xludf.DUMMYFUNCTION("""COMPUTED_VALUE"""),1926.0)</f>
        <v>1926</v>
      </c>
      <c r="U52" s="80" t="str">
        <f>IFERROR(__xludf.DUMMYFUNCTION("""COMPUTED_VALUE"""),"Hard Bound")</f>
        <v>Hard Bound</v>
      </c>
      <c r="V52" s="80"/>
      <c r="W52" s="80"/>
      <c r="X52" s="80"/>
      <c r="Y52" s="80"/>
      <c r="Z52" s="80"/>
      <c r="AA52" s="86">
        <f>IFERROR(__xludf.DUMMYFUNCTION("""COMPUTED_VALUE"""),50081.0)</f>
        <v>50081</v>
      </c>
      <c r="AB52" s="86">
        <f>IFERROR(__xludf.DUMMYFUNCTION("""COMPUTED_VALUE"""),51080.0)</f>
        <v>51080</v>
      </c>
      <c r="AC52" s="86">
        <f>IFERROR(__xludf.DUMMYFUNCTION("""COMPUTED_VALUE"""),6375.0)</f>
        <v>6375</v>
      </c>
      <c r="AD52" s="86">
        <f>IFERROR(__xludf.DUMMYFUNCTION("""COMPUTED_VALUE"""),15300.0)</f>
        <v>15300</v>
      </c>
      <c r="AE52" s="86">
        <f>IFERROR(__xludf.DUMMYFUNCTION("""COMPUTED_VALUE"""),0.15)</f>
        <v>0.15</v>
      </c>
      <c r="AF52" s="86">
        <f>IFERROR(__xludf.DUMMYFUNCTION("""COMPUTED_VALUE"""),5300.0)</f>
        <v>5300</v>
      </c>
      <c r="AG52" s="86">
        <f>IFERROR(__xludf.DUMMYFUNCTION("""COMPUTED_VALUE"""),8925.0)</f>
        <v>8925</v>
      </c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72"/>
      <c r="BE52" s="89">
        <v>38250.0</v>
      </c>
      <c r="BF52" s="89">
        <v>56100.0</v>
      </c>
    </row>
    <row r="53">
      <c r="A53" s="104" t="str">
        <f>IFERROR(__xludf.DUMMYFUNCTION("""COMPUTED_VALUE"""),"Star 1.9 GG")</f>
        <v>Star 1.9 GG</v>
      </c>
      <c r="B53" s="80">
        <f>IFERROR(__xludf.DUMMYFUNCTION("""COMPUTED_VALUE"""),2536.0)</f>
        <v>2536</v>
      </c>
      <c r="C53" s="104" t="str">
        <f>IFERROR(__xludf.DUMMYFUNCTION("""COMPUTED_VALUE"""),"25*36")</f>
        <v>25*36</v>
      </c>
      <c r="D53" s="80">
        <f>IFERROR(__xludf.DUMMYFUNCTION("""COMPUTED_VALUE"""),36.0)</f>
        <v>36</v>
      </c>
      <c r="E53" s="80">
        <f>IFERROR(__xludf.DUMMYFUNCTION("""COMPUTED_VALUE"""),1926.0)</f>
        <v>1926</v>
      </c>
      <c r="F53" s="80" t="str">
        <f>IFERROR(__xludf.DUMMYFUNCTION("""COMPUTED_VALUE"""),"Hard Bound")</f>
        <v>Hard Bound</v>
      </c>
      <c r="G53" s="80"/>
      <c r="H53" s="104"/>
      <c r="I53" s="80"/>
      <c r="J53" s="80"/>
      <c r="K53" s="80"/>
      <c r="L53" s="80"/>
      <c r="M53" s="80"/>
      <c r="N53" s="80"/>
      <c r="O53" s="80"/>
      <c r="P53" s="80" t="str">
        <f>IFERROR(__xludf.DUMMYFUNCTION("""COMPUTED_VALUE"""),"Star 1.2 GG")</f>
        <v>Star 1.2 GG</v>
      </c>
      <c r="Q53" s="80">
        <f>IFERROR(__xludf.DUMMYFUNCTION("""COMPUTED_VALUE"""),3141.0)</f>
        <v>3141</v>
      </c>
      <c r="R53" s="80" t="str">
        <f>IFERROR(__xludf.DUMMYFUNCTION("""COMPUTED_VALUE"""),"31*41")</f>
        <v>31*41</v>
      </c>
      <c r="S53" s="80">
        <f>IFERROR(__xludf.DUMMYFUNCTION("""COMPUTED_VALUE"""),32.0)</f>
        <v>32</v>
      </c>
      <c r="T53" s="80">
        <f>IFERROR(__xludf.DUMMYFUNCTION("""COMPUTED_VALUE"""),1926.0)</f>
        <v>1926</v>
      </c>
      <c r="U53" s="80" t="str">
        <f>IFERROR(__xludf.DUMMYFUNCTION("""COMPUTED_VALUE"""),"Hard Bound")</f>
        <v>Hard Bound</v>
      </c>
      <c r="V53" s="80"/>
      <c r="W53" s="80"/>
      <c r="X53" s="80"/>
      <c r="Y53" s="80"/>
      <c r="Z53" s="80"/>
      <c r="AA53" s="86">
        <f>IFERROR(__xludf.DUMMYFUNCTION("""COMPUTED_VALUE"""),51081.0)</f>
        <v>51081</v>
      </c>
      <c r="AB53" s="86">
        <f>IFERROR(__xludf.DUMMYFUNCTION("""COMPUTED_VALUE"""),52080.0)</f>
        <v>52080</v>
      </c>
      <c r="AC53" s="86">
        <f>IFERROR(__xludf.DUMMYFUNCTION("""COMPUTED_VALUE"""),6500.0)</f>
        <v>6500</v>
      </c>
      <c r="AD53" s="86">
        <f>IFERROR(__xludf.DUMMYFUNCTION("""COMPUTED_VALUE"""),15600.0)</f>
        <v>15600</v>
      </c>
      <c r="AE53" s="86">
        <f>IFERROR(__xludf.DUMMYFUNCTION("""COMPUTED_VALUE"""),0.15)</f>
        <v>0.15</v>
      </c>
      <c r="AF53" s="86">
        <f>IFERROR(__xludf.DUMMYFUNCTION("""COMPUTED_VALUE"""),5400.0)</f>
        <v>5400</v>
      </c>
      <c r="AG53" s="86">
        <f>IFERROR(__xludf.DUMMYFUNCTION("""COMPUTED_VALUE"""),9100.0)</f>
        <v>9100</v>
      </c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72"/>
      <c r="BE53" s="89">
        <v>39000.0</v>
      </c>
      <c r="BF53" s="89">
        <v>57200.0</v>
      </c>
    </row>
    <row r="54">
      <c r="A54" s="104" t="str">
        <f>IFERROR(__xludf.DUMMYFUNCTION("""COMPUTED_VALUE"""),"Star 1.9 GW")</f>
        <v>Star 1.9 GW</v>
      </c>
      <c r="B54" s="80">
        <f>IFERROR(__xludf.DUMMYFUNCTION("""COMPUTED_VALUE"""),3141.0)</f>
        <v>3141</v>
      </c>
      <c r="C54" s="104" t="str">
        <f>IFERROR(__xludf.DUMMYFUNCTION("""COMPUTED_VALUE"""),"31*41")</f>
        <v>31*41</v>
      </c>
      <c r="D54" s="80">
        <f>IFERROR(__xludf.DUMMYFUNCTION("""COMPUTED_VALUE"""),61.0)</f>
        <v>61</v>
      </c>
      <c r="E54" s="80">
        <f>IFERROR(__xludf.DUMMYFUNCTION("""COMPUTED_VALUE"""),1926.0)</f>
        <v>1926</v>
      </c>
      <c r="F54" s="80" t="str">
        <f>IFERROR(__xludf.DUMMYFUNCTION("""COMPUTED_VALUE"""),"Hard Bound")</f>
        <v>Hard Bound</v>
      </c>
      <c r="G54" s="80"/>
      <c r="H54" s="104"/>
      <c r="I54" s="80"/>
      <c r="J54" s="80"/>
      <c r="K54" s="80"/>
      <c r="L54" s="80"/>
      <c r="M54" s="80"/>
      <c r="N54" s="80"/>
      <c r="O54" s="80"/>
      <c r="P54" s="80" t="str">
        <f>IFERROR(__xludf.DUMMYFUNCTION("""COMPUTED_VALUE"""),"Star 1.2 GG")</f>
        <v>Star 1.2 GG</v>
      </c>
      <c r="Q54" s="80">
        <f>IFERROR(__xludf.DUMMYFUNCTION("""COMPUTED_VALUE"""),2536.0)</f>
        <v>2536</v>
      </c>
      <c r="R54" s="80" t="str">
        <f>IFERROR(__xludf.DUMMYFUNCTION("""COMPUTED_VALUE"""),"25*36")</f>
        <v>25*36</v>
      </c>
      <c r="S54" s="80">
        <f>IFERROR(__xludf.DUMMYFUNCTION("""COMPUTED_VALUE"""),23.0)</f>
        <v>23</v>
      </c>
      <c r="T54" s="80">
        <f>IFERROR(__xludf.DUMMYFUNCTION("""COMPUTED_VALUE"""),1926.0)</f>
        <v>1926</v>
      </c>
      <c r="U54" s="80" t="str">
        <f>IFERROR(__xludf.DUMMYFUNCTION("""COMPUTED_VALUE"""),"Hard Bound")</f>
        <v>Hard Bound</v>
      </c>
      <c r="V54" s="80"/>
      <c r="W54" s="80"/>
      <c r="X54" s="80"/>
      <c r="Y54" s="80"/>
      <c r="Z54" s="80"/>
      <c r="AA54" s="86">
        <f>IFERROR(__xludf.DUMMYFUNCTION("""COMPUTED_VALUE"""),52081.0)</f>
        <v>52081</v>
      </c>
      <c r="AB54" s="86">
        <f>IFERROR(__xludf.DUMMYFUNCTION("""COMPUTED_VALUE"""),53080.0)</f>
        <v>53080</v>
      </c>
      <c r="AC54" s="86">
        <f>IFERROR(__xludf.DUMMYFUNCTION("""COMPUTED_VALUE"""),6625.0)</f>
        <v>6625</v>
      </c>
      <c r="AD54" s="86">
        <f>IFERROR(__xludf.DUMMYFUNCTION("""COMPUTED_VALUE"""),15900.0)</f>
        <v>15900</v>
      </c>
      <c r="AE54" s="86">
        <f>IFERROR(__xludf.DUMMYFUNCTION("""COMPUTED_VALUE"""),0.15)</f>
        <v>0.15</v>
      </c>
      <c r="AF54" s="86">
        <f>IFERROR(__xludf.DUMMYFUNCTION("""COMPUTED_VALUE"""),5500.0)</f>
        <v>5500</v>
      </c>
      <c r="AG54" s="86">
        <f>IFERROR(__xludf.DUMMYFUNCTION("""COMPUTED_VALUE"""),9275.0)</f>
        <v>9275</v>
      </c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72"/>
      <c r="BE54" s="89">
        <v>39750.0</v>
      </c>
      <c r="BF54" s="89">
        <v>58300.0</v>
      </c>
    </row>
    <row r="55">
      <c r="A55" s="104" t="str">
        <f>IFERROR(__xludf.DUMMYFUNCTION("""COMPUTED_VALUE"""),"Star 1.9 GW")</f>
        <v>Star 1.9 GW</v>
      </c>
      <c r="B55" s="80">
        <f>IFERROR(__xludf.DUMMYFUNCTION("""COMPUTED_VALUE"""),2536.0)</f>
        <v>2536</v>
      </c>
      <c r="C55" s="104" t="str">
        <f>IFERROR(__xludf.DUMMYFUNCTION("""COMPUTED_VALUE"""),"25*36")</f>
        <v>25*36</v>
      </c>
      <c r="D55" s="80">
        <f>IFERROR(__xludf.DUMMYFUNCTION("""COMPUTED_VALUE"""),43.0)</f>
        <v>43</v>
      </c>
      <c r="E55" s="80">
        <f>IFERROR(__xludf.DUMMYFUNCTION("""COMPUTED_VALUE"""),1926.0)</f>
        <v>1926</v>
      </c>
      <c r="F55" s="80" t="str">
        <f>IFERROR(__xludf.DUMMYFUNCTION("""COMPUTED_VALUE"""),"Hard Bound")</f>
        <v>Hard Bound</v>
      </c>
      <c r="G55" s="80"/>
      <c r="H55" s="104"/>
      <c r="I55" s="80"/>
      <c r="J55" s="80"/>
      <c r="K55" s="80"/>
      <c r="L55" s="80"/>
      <c r="M55" s="80"/>
      <c r="N55" s="80"/>
      <c r="O55" s="80"/>
      <c r="P55" s="80" t="str">
        <f>IFERROR(__xludf.DUMMYFUNCTION("""COMPUTED_VALUE"""),"Star 1.2 GW")</f>
        <v>Star 1.2 GW</v>
      </c>
      <c r="Q55" s="80">
        <f>IFERROR(__xludf.DUMMYFUNCTION("""COMPUTED_VALUE"""),3141.0)</f>
        <v>3141</v>
      </c>
      <c r="R55" s="80" t="str">
        <f>IFERROR(__xludf.DUMMYFUNCTION("""COMPUTED_VALUE"""),"31*41")</f>
        <v>31*41</v>
      </c>
      <c r="S55" s="80">
        <f>IFERROR(__xludf.DUMMYFUNCTION("""COMPUTED_VALUE"""),39.0)</f>
        <v>39</v>
      </c>
      <c r="T55" s="80">
        <f>IFERROR(__xludf.DUMMYFUNCTION("""COMPUTED_VALUE"""),1926.0)</f>
        <v>1926</v>
      </c>
      <c r="U55" s="80" t="str">
        <f>IFERROR(__xludf.DUMMYFUNCTION("""COMPUTED_VALUE"""),"Hard Bound")</f>
        <v>Hard Bound</v>
      </c>
      <c r="V55" s="80"/>
      <c r="W55" s="80"/>
      <c r="X55" s="80"/>
      <c r="Y55" s="80"/>
      <c r="Z55" s="80"/>
      <c r="AA55" s="86">
        <f>IFERROR(__xludf.DUMMYFUNCTION("""COMPUTED_VALUE"""),53081.0)</f>
        <v>53081</v>
      </c>
      <c r="AB55" s="86">
        <f>IFERROR(__xludf.DUMMYFUNCTION("""COMPUTED_VALUE"""),54080.0)</f>
        <v>54080</v>
      </c>
      <c r="AC55" s="86">
        <f>IFERROR(__xludf.DUMMYFUNCTION("""COMPUTED_VALUE"""),6750.0)</f>
        <v>6750</v>
      </c>
      <c r="AD55" s="86">
        <f>IFERROR(__xludf.DUMMYFUNCTION("""COMPUTED_VALUE"""),16200.0)</f>
        <v>16200</v>
      </c>
      <c r="AE55" s="86">
        <f>IFERROR(__xludf.DUMMYFUNCTION("""COMPUTED_VALUE"""),0.15)</f>
        <v>0.15</v>
      </c>
      <c r="AF55" s="86">
        <f>IFERROR(__xludf.DUMMYFUNCTION("""COMPUTED_VALUE"""),5600.0)</f>
        <v>5600</v>
      </c>
      <c r="AG55" s="86">
        <f>IFERROR(__xludf.DUMMYFUNCTION("""COMPUTED_VALUE"""),9450.0)</f>
        <v>9450</v>
      </c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72"/>
      <c r="BE55" s="89">
        <v>40500.0</v>
      </c>
      <c r="BF55" s="89">
        <v>59400.0</v>
      </c>
    </row>
    <row r="56">
      <c r="A56" s="104" t="str">
        <f>IFERROR(__xludf.DUMMYFUNCTION("""COMPUTED_VALUE"""),"Star 2.4 GG")</f>
        <v>Star 2.4 GG</v>
      </c>
      <c r="B56" s="80">
        <f>IFERROR(__xludf.DUMMYFUNCTION("""COMPUTED_VALUE"""),3141.0)</f>
        <v>3141</v>
      </c>
      <c r="C56" s="104" t="str">
        <f>IFERROR(__xludf.DUMMYFUNCTION("""COMPUTED_VALUE"""),"31*41")</f>
        <v>31*41</v>
      </c>
      <c r="D56" s="80">
        <f>IFERROR(__xludf.DUMMYFUNCTION("""COMPUTED_VALUE"""),64.0)</f>
        <v>64</v>
      </c>
      <c r="E56" s="80">
        <f>IFERROR(__xludf.DUMMYFUNCTION("""COMPUTED_VALUE"""),1926.0)</f>
        <v>1926</v>
      </c>
      <c r="F56" s="80" t="str">
        <f>IFERROR(__xludf.DUMMYFUNCTION("""COMPUTED_VALUE"""),"Hard Bound")</f>
        <v>Hard Bound</v>
      </c>
      <c r="G56" s="80"/>
      <c r="H56" s="104"/>
      <c r="I56" s="80"/>
      <c r="J56" s="80"/>
      <c r="K56" s="80"/>
      <c r="L56" s="80"/>
      <c r="M56" s="80"/>
      <c r="N56" s="80"/>
      <c r="O56" s="80"/>
      <c r="P56" s="80" t="str">
        <f>IFERROR(__xludf.DUMMYFUNCTION("""COMPUTED_VALUE"""),"Star 1.2 GW")</f>
        <v>Star 1.2 GW</v>
      </c>
      <c r="Q56" s="80">
        <f>IFERROR(__xludf.DUMMYFUNCTION("""COMPUTED_VALUE"""),2536.0)</f>
        <v>2536</v>
      </c>
      <c r="R56" s="80" t="str">
        <f>IFERROR(__xludf.DUMMYFUNCTION("""COMPUTED_VALUE"""),"25*36")</f>
        <v>25*36</v>
      </c>
      <c r="S56" s="80">
        <f>IFERROR(__xludf.DUMMYFUNCTION("""COMPUTED_VALUE"""),28.0)</f>
        <v>28</v>
      </c>
      <c r="T56" s="80">
        <f>IFERROR(__xludf.DUMMYFUNCTION("""COMPUTED_VALUE"""),1926.0)</f>
        <v>1926</v>
      </c>
      <c r="U56" s="80" t="str">
        <f>IFERROR(__xludf.DUMMYFUNCTION("""COMPUTED_VALUE"""),"Hard Bound")</f>
        <v>Hard Bound</v>
      </c>
      <c r="V56" s="80"/>
      <c r="W56" s="80"/>
      <c r="X56" s="80"/>
      <c r="Y56" s="80"/>
      <c r="Z56" s="80"/>
      <c r="AA56" s="86">
        <f>IFERROR(__xludf.DUMMYFUNCTION("""COMPUTED_VALUE"""),54081.0)</f>
        <v>54081</v>
      </c>
      <c r="AB56" s="86">
        <f>IFERROR(__xludf.DUMMYFUNCTION("""COMPUTED_VALUE"""),55080.0)</f>
        <v>55080</v>
      </c>
      <c r="AC56" s="86">
        <f>IFERROR(__xludf.DUMMYFUNCTION("""COMPUTED_VALUE"""),6875.0)</f>
        <v>6875</v>
      </c>
      <c r="AD56" s="86">
        <f>IFERROR(__xludf.DUMMYFUNCTION("""COMPUTED_VALUE"""),16500.0)</f>
        <v>16500</v>
      </c>
      <c r="AE56" s="86">
        <f>IFERROR(__xludf.DUMMYFUNCTION("""COMPUTED_VALUE"""),0.15)</f>
        <v>0.15</v>
      </c>
      <c r="AF56" s="86">
        <f>IFERROR(__xludf.DUMMYFUNCTION("""COMPUTED_VALUE"""),5700.0)</f>
        <v>5700</v>
      </c>
      <c r="AG56" s="86">
        <f>IFERROR(__xludf.DUMMYFUNCTION("""COMPUTED_VALUE"""),9625.0)</f>
        <v>9625</v>
      </c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72"/>
      <c r="BE56" s="89">
        <v>41250.0</v>
      </c>
      <c r="BF56" s="89">
        <v>60500.0</v>
      </c>
    </row>
    <row r="57">
      <c r="A57" s="104" t="str">
        <f>IFERROR(__xludf.DUMMYFUNCTION("""COMPUTED_VALUE"""),"Star 2.4 GG")</f>
        <v>Star 2.4 GG</v>
      </c>
      <c r="B57" s="80">
        <f>IFERROR(__xludf.DUMMYFUNCTION("""COMPUTED_VALUE"""),2536.0)</f>
        <v>2536</v>
      </c>
      <c r="C57" s="104" t="str">
        <f>IFERROR(__xludf.DUMMYFUNCTION("""COMPUTED_VALUE"""),"25*36")</f>
        <v>25*36</v>
      </c>
      <c r="D57" s="80">
        <f>IFERROR(__xludf.DUMMYFUNCTION("""COMPUTED_VALUE"""),46.0)</f>
        <v>46</v>
      </c>
      <c r="E57" s="80">
        <f>IFERROR(__xludf.DUMMYFUNCTION("""COMPUTED_VALUE"""),1926.0)</f>
        <v>1926</v>
      </c>
      <c r="F57" s="80" t="str">
        <f>IFERROR(__xludf.DUMMYFUNCTION("""COMPUTED_VALUE"""),"Hard Bound")</f>
        <v>Hard Bound</v>
      </c>
      <c r="G57" s="80"/>
      <c r="H57" s="104"/>
      <c r="I57" s="80"/>
      <c r="J57" s="80"/>
      <c r="K57" s="80"/>
      <c r="L57" s="80"/>
      <c r="M57" s="80"/>
      <c r="N57" s="80"/>
      <c r="O57" s="80"/>
      <c r="P57" s="80" t="str">
        <f>IFERROR(__xludf.DUMMYFUNCTION("""COMPUTED_VALUE"""),"Star 1.5 GG")</f>
        <v>Star 1.5 GG</v>
      </c>
      <c r="Q57" s="80">
        <f>IFERROR(__xludf.DUMMYFUNCTION("""COMPUTED_VALUE"""),3141.0)</f>
        <v>3141</v>
      </c>
      <c r="R57" s="80" t="str">
        <f>IFERROR(__xludf.DUMMYFUNCTION("""COMPUTED_VALUE"""),"31*41")</f>
        <v>31*41</v>
      </c>
      <c r="S57" s="80">
        <f>IFERROR(__xludf.DUMMYFUNCTION("""COMPUTED_VALUE"""),40.0)</f>
        <v>40</v>
      </c>
      <c r="T57" s="80">
        <f>IFERROR(__xludf.DUMMYFUNCTION("""COMPUTED_VALUE"""),1926.0)</f>
        <v>1926</v>
      </c>
      <c r="U57" s="80" t="str">
        <f>IFERROR(__xludf.DUMMYFUNCTION("""COMPUTED_VALUE"""),"Hard Bound")</f>
        <v>Hard Bound</v>
      </c>
      <c r="V57" s="80"/>
      <c r="W57" s="80"/>
      <c r="X57" s="80"/>
      <c r="Y57" s="80"/>
      <c r="Z57" s="80"/>
      <c r="AA57" s="86">
        <f>IFERROR(__xludf.DUMMYFUNCTION("""COMPUTED_VALUE"""),55081.0)</f>
        <v>55081</v>
      </c>
      <c r="AB57" s="86">
        <f>IFERROR(__xludf.DUMMYFUNCTION("""COMPUTED_VALUE"""),56080.0)</f>
        <v>56080</v>
      </c>
      <c r="AC57" s="86">
        <f>IFERROR(__xludf.DUMMYFUNCTION("""COMPUTED_VALUE"""),7000.0)</f>
        <v>7000</v>
      </c>
      <c r="AD57" s="86">
        <f>IFERROR(__xludf.DUMMYFUNCTION("""COMPUTED_VALUE"""),16800.0)</f>
        <v>16800</v>
      </c>
      <c r="AE57" s="86">
        <f>IFERROR(__xludf.DUMMYFUNCTION("""COMPUTED_VALUE"""),0.15)</f>
        <v>0.15</v>
      </c>
      <c r="AF57" s="86">
        <f>IFERROR(__xludf.DUMMYFUNCTION("""COMPUTED_VALUE"""),5800.0)</f>
        <v>5800</v>
      </c>
      <c r="AG57" s="86">
        <f>IFERROR(__xludf.DUMMYFUNCTION("""COMPUTED_VALUE"""),9800.0)</f>
        <v>9800</v>
      </c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72"/>
      <c r="BE57" s="89">
        <v>42000.0</v>
      </c>
      <c r="BF57" s="89">
        <v>61600.0</v>
      </c>
    </row>
    <row r="58">
      <c r="A58" s="104" t="str">
        <f>IFERROR(__xludf.DUMMYFUNCTION("""COMPUTED_VALUE"""),"Star 2.4 GW")</f>
        <v>Star 2.4 GW</v>
      </c>
      <c r="B58" s="80">
        <f>IFERROR(__xludf.DUMMYFUNCTION("""COMPUTED_VALUE"""),3141.0)</f>
        <v>3141</v>
      </c>
      <c r="C58" s="104" t="str">
        <f>IFERROR(__xludf.DUMMYFUNCTION("""COMPUTED_VALUE"""),"31*41")</f>
        <v>31*41</v>
      </c>
      <c r="D58" s="80">
        <f>IFERROR(__xludf.DUMMYFUNCTION("""COMPUTED_VALUE"""),77.0)</f>
        <v>77</v>
      </c>
      <c r="E58" s="80">
        <f>IFERROR(__xludf.DUMMYFUNCTION("""COMPUTED_VALUE"""),1926.0)</f>
        <v>1926</v>
      </c>
      <c r="F58" s="80" t="str">
        <f>IFERROR(__xludf.DUMMYFUNCTION("""COMPUTED_VALUE"""),"Hard Bound")</f>
        <v>Hard Bound</v>
      </c>
      <c r="G58" s="80"/>
      <c r="H58" s="104"/>
      <c r="I58" s="80"/>
      <c r="J58" s="80"/>
      <c r="K58" s="80"/>
      <c r="L58" s="80"/>
      <c r="M58" s="80"/>
      <c r="N58" s="80"/>
      <c r="O58" s="80"/>
      <c r="P58" s="80" t="str">
        <f>IFERROR(__xludf.DUMMYFUNCTION("""COMPUTED_VALUE"""),"Star 1.5 GG")</f>
        <v>Star 1.5 GG</v>
      </c>
      <c r="Q58" s="80">
        <f>IFERROR(__xludf.DUMMYFUNCTION("""COMPUTED_VALUE"""),2536.0)</f>
        <v>2536</v>
      </c>
      <c r="R58" s="80" t="str">
        <f>IFERROR(__xludf.DUMMYFUNCTION("""COMPUTED_VALUE"""),"25*36")</f>
        <v>25*36</v>
      </c>
      <c r="S58" s="80">
        <f>IFERROR(__xludf.DUMMYFUNCTION("""COMPUTED_VALUE"""),29.0)</f>
        <v>29</v>
      </c>
      <c r="T58" s="80">
        <f>IFERROR(__xludf.DUMMYFUNCTION("""COMPUTED_VALUE"""),1926.0)</f>
        <v>1926</v>
      </c>
      <c r="U58" s="80" t="str">
        <f>IFERROR(__xludf.DUMMYFUNCTION("""COMPUTED_VALUE"""),"Hard Bound")</f>
        <v>Hard Bound</v>
      </c>
      <c r="V58" s="80"/>
      <c r="W58" s="80"/>
      <c r="X58" s="80"/>
      <c r="Y58" s="80"/>
      <c r="Z58" s="80"/>
      <c r="AA58" s="86">
        <f>IFERROR(__xludf.DUMMYFUNCTION("""COMPUTED_VALUE"""),56081.0)</f>
        <v>56081</v>
      </c>
      <c r="AB58" s="86">
        <f>IFERROR(__xludf.DUMMYFUNCTION("""COMPUTED_VALUE"""),57080.0)</f>
        <v>57080</v>
      </c>
      <c r="AC58" s="86">
        <f>IFERROR(__xludf.DUMMYFUNCTION("""COMPUTED_VALUE"""),7125.0)</f>
        <v>7125</v>
      </c>
      <c r="AD58" s="86">
        <f>IFERROR(__xludf.DUMMYFUNCTION("""COMPUTED_VALUE"""),17100.0)</f>
        <v>17100</v>
      </c>
      <c r="AE58" s="86">
        <f>IFERROR(__xludf.DUMMYFUNCTION("""COMPUTED_VALUE"""),0.15)</f>
        <v>0.15</v>
      </c>
      <c r="AF58" s="86">
        <f>IFERROR(__xludf.DUMMYFUNCTION("""COMPUTED_VALUE"""),5900.0)</f>
        <v>5900</v>
      </c>
      <c r="AG58" s="86">
        <f>IFERROR(__xludf.DUMMYFUNCTION("""COMPUTED_VALUE"""),9975.0)</f>
        <v>9975</v>
      </c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72"/>
      <c r="BE58" s="89">
        <v>42750.0</v>
      </c>
      <c r="BF58" s="89">
        <v>62700.0</v>
      </c>
    </row>
    <row r="59">
      <c r="A59" s="104" t="str">
        <f>IFERROR(__xludf.DUMMYFUNCTION("""COMPUTED_VALUE"""),"Star 2.4 GW")</f>
        <v>Star 2.4 GW</v>
      </c>
      <c r="B59" s="80">
        <f>IFERROR(__xludf.DUMMYFUNCTION("""COMPUTED_VALUE"""),2536.0)</f>
        <v>2536</v>
      </c>
      <c r="C59" s="104" t="str">
        <f>IFERROR(__xludf.DUMMYFUNCTION("""COMPUTED_VALUE"""),"25*36")</f>
        <v>25*36</v>
      </c>
      <c r="D59" s="80">
        <f>IFERROR(__xludf.DUMMYFUNCTION("""COMPUTED_VALUE"""),55.0)</f>
        <v>55</v>
      </c>
      <c r="E59" s="80">
        <f>IFERROR(__xludf.DUMMYFUNCTION("""COMPUTED_VALUE"""),1926.0)</f>
        <v>1926</v>
      </c>
      <c r="F59" s="80" t="str">
        <f>IFERROR(__xludf.DUMMYFUNCTION("""COMPUTED_VALUE"""),"Hard Bound")</f>
        <v>Hard Bound</v>
      </c>
      <c r="G59" s="80"/>
      <c r="H59" s="104"/>
      <c r="I59" s="80"/>
      <c r="J59" s="80"/>
      <c r="K59" s="80"/>
      <c r="L59" s="80"/>
      <c r="M59" s="80"/>
      <c r="N59" s="80"/>
      <c r="O59" s="80"/>
      <c r="P59" s="80" t="str">
        <f>IFERROR(__xludf.DUMMYFUNCTION("""COMPUTED_VALUE"""),"Star 1.5 GW")</f>
        <v>Star 1.5 GW</v>
      </c>
      <c r="Q59" s="80">
        <f>IFERROR(__xludf.DUMMYFUNCTION("""COMPUTED_VALUE"""),3141.0)</f>
        <v>3141</v>
      </c>
      <c r="R59" s="80" t="str">
        <f>IFERROR(__xludf.DUMMYFUNCTION("""COMPUTED_VALUE"""),"31*41")</f>
        <v>31*41</v>
      </c>
      <c r="S59" s="80">
        <f>IFERROR(__xludf.DUMMYFUNCTION("""COMPUTED_VALUE"""),48.0)</f>
        <v>48</v>
      </c>
      <c r="T59" s="80">
        <f>IFERROR(__xludf.DUMMYFUNCTION("""COMPUTED_VALUE"""),1926.0)</f>
        <v>1926</v>
      </c>
      <c r="U59" s="80" t="str">
        <f>IFERROR(__xludf.DUMMYFUNCTION("""COMPUTED_VALUE"""),"Hard Bound")</f>
        <v>Hard Bound</v>
      </c>
      <c r="V59" s="80"/>
      <c r="W59" s="80"/>
      <c r="X59" s="80"/>
      <c r="Y59" s="80"/>
      <c r="Z59" s="80"/>
      <c r="AA59" s="86">
        <f>IFERROR(__xludf.DUMMYFUNCTION("""COMPUTED_VALUE"""),57081.0)</f>
        <v>57081</v>
      </c>
      <c r="AB59" s="86">
        <f>IFERROR(__xludf.DUMMYFUNCTION("""COMPUTED_VALUE"""),58080.0)</f>
        <v>58080</v>
      </c>
      <c r="AC59" s="86">
        <f>IFERROR(__xludf.DUMMYFUNCTION("""COMPUTED_VALUE"""),7250.0)</f>
        <v>7250</v>
      </c>
      <c r="AD59" s="86">
        <f>IFERROR(__xludf.DUMMYFUNCTION("""COMPUTED_VALUE"""),17400.0)</f>
        <v>17400</v>
      </c>
      <c r="AE59" s="86">
        <f>IFERROR(__xludf.DUMMYFUNCTION("""COMPUTED_VALUE"""),0.15)</f>
        <v>0.15</v>
      </c>
      <c r="AF59" s="86">
        <f>IFERROR(__xludf.DUMMYFUNCTION("""COMPUTED_VALUE"""),6000.0)</f>
        <v>6000</v>
      </c>
      <c r="AG59" s="86">
        <f>IFERROR(__xludf.DUMMYFUNCTION("""COMPUTED_VALUE"""),10150.0)</f>
        <v>10150</v>
      </c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72"/>
      <c r="BE59" s="89">
        <v>43500.0</v>
      </c>
      <c r="BF59" s="89">
        <v>63800.0</v>
      </c>
    </row>
    <row r="60">
      <c r="A60" s="104" t="str">
        <f>IFERROR(__xludf.DUMMYFUNCTION("""COMPUTED_VALUE"""),"Star 2.9 GG")</f>
        <v>Star 2.9 GG</v>
      </c>
      <c r="B60" s="80">
        <f>IFERROR(__xludf.DUMMYFUNCTION("""COMPUTED_VALUE"""),3141.0)</f>
        <v>3141</v>
      </c>
      <c r="C60" s="104" t="str">
        <f>IFERROR(__xludf.DUMMYFUNCTION("""COMPUTED_VALUE"""),"31*41")</f>
        <v>31*41</v>
      </c>
      <c r="D60" s="80">
        <f>IFERROR(__xludf.DUMMYFUNCTION("""COMPUTED_VALUE"""),77.0)</f>
        <v>77</v>
      </c>
      <c r="E60" s="80">
        <f>IFERROR(__xludf.DUMMYFUNCTION("""COMPUTED_VALUE"""),1926.0)</f>
        <v>1926</v>
      </c>
      <c r="F60" s="80" t="str">
        <f>IFERROR(__xludf.DUMMYFUNCTION("""COMPUTED_VALUE"""),"Hard Bound")</f>
        <v>Hard Bound</v>
      </c>
      <c r="G60" s="80"/>
      <c r="H60" s="104"/>
      <c r="I60" s="80"/>
      <c r="J60" s="80"/>
      <c r="K60" s="80"/>
      <c r="L60" s="80"/>
      <c r="M60" s="80"/>
      <c r="N60" s="80"/>
      <c r="O60" s="80"/>
      <c r="P60" s="80" t="str">
        <f>IFERROR(__xludf.DUMMYFUNCTION("""COMPUTED_VALUE"""),"Star 1.5 GW")</f>
        <v>Star 1.5 GW</v>
      </c>
      <c r="Q60" s="80">
        <f>IFERROR(__xludf.DUMMYFUNCTION("""COMPUTED_VALUE"""),2536.0)</f>
        <v>2536</v>
      </c>
      <c r="R60" s="80" t="str">
        <f>IFERROR(__xludf.DUMMYFUNCTION("""COMPUTED_VALUE"""),"25*36")</f>
        <v>25*36</v>
      </c>
      <c r="S60" s="80">
        <f>IFERROR(__xludf.DUMMYFUNCTION("""COMPUTED_VALUE"""),34.0)</f>
        <v>34</v>
      </c>
      <c r="T60" s="80">
        <f>IFERROR(__xludf.DUMMYFUNCTION("""COMPUTED_VALUE"""),1926.0)</f>
        <v>1926</v>
      </c>
      <c r="U60" s="80" t="str">
        <f>IFERROR(__xludf.DUMMYFUNCTION("""COMPUTED_VALUE"""),"Hard Bound")</f>
        <v>Hard Bound</v>
      </c>
      <c r="V60" s="80"/>
      <c r="W60" s="80"/>
      <c r="X60" s="80"/>
      <c r="Y60" s="80"/>
      <c r="Z60" s="80"/>
      <c r="AA60" s="86">
        <f>IFERROR(__xludf.DUMMYFUNCTION("""COMPUTED_VALUE"""),58081.0)</f>
        <v>58081</v>
      </c>
      <c r="AB60" s="86">
        <f>IFERROR(__xludf.DUMMYFUNCTION("""COMPUTED_VALUE"""),59080.0)</f>
        <v>59080</v>
      </c>
      <c r="AC60" s="86">
        <f>IFERROR(__xludf.DUMMYFUNCTION("""COMPUTED_VALUE"""),7375.0)</f>
        <v>7375</v>
      </c>
      <c r="AD60" s="86">
        <f>IFERROR(__xludf.DUMMYFUNCTION("""COMPUTED_VALUE"""),17700.0)</f>
        <v>17700</v>
      </c>
      <c r="AE60" s="86">
        <f>IFERROR(__xludf.DUMMYFUNCTION("""COMPUTED_VALUE"""),0.15)</f>
        <v>0.15</v>
      </c>
      <c r="AF60" s="86">
        <f>IFERROR(__xludf.DUMMYFUNCTION("""COMPUTED_VALUE"""),6100.0)</f>
        <v>6100</v>
      </c>
      <c r="AG60" s="86">
        <f>IFERROR(__xludf.DUMMYFUNCTION("""COMPUTED_VALUE"""),10325.0)</f>
        <v>10325</v>
      </c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72"/>
      <c r="BE60" s="89">
        <v>44250.0</v>
      </c>
      <c r="BF60" s="89">
        <v>64900.0</v>
      </c>
    </row>
    <row r="61">
      <c r="A61" s="104" t="str">
        <f>IFERROR(__xludf.DUMMYFUNCTION("""COMPUTED_VALUE"""),"Star 2.9 GG")</f>
        <v>Star 2.9 GG</v>
      </c>
      <c r="B61" s="80">
        <f>IFERROR(__xludf.DUMMYFUNCTION("""COMPUTED_VALUE"""),2536.0)</f>
        <v>2536</v>
      </c>
      <c r="C61" s="104" t="str">
        <f>IFERROR(__xludf.DUMMYFUNCTION("""COMPUTED_VALUE"""),"25*36")</f>
        <v>25*36</v>
      </c>
      <c r="D61" s="80">
        <f>IFERROR(__xludf.DUMMYFUNCTION("""COMPUTED_VALUE"""),55.0)</f>
        <v>55</v>
      </c>
      <c r="E61" s="80">
        <f>IFERROR(__xludf.DUMMYFUNCTION("""COMPUTED_VALUE"""),1926.0)</f>
        <v>1926</v>
      </c>
      <c r="F61" s="80" t="str">
        <f>IFERROR(__xludf.DUMMYFUNCTION("""COMPUTED_VALUE"""),"Hard Bound")</f>
        <v>Hard Bound</v>
      </c>
      <c r="G61" s="80"/>
      <c r="H61" s="104"/>
      <c r="I61" s="80"/>
      <c r="J61" s="80"/>
      <c r="K61" s="80"/>
      <c r="L61" s="80"/>
      <c r="M61" s="80"/>
      <c r="N61" s="80"/>
      <c r="O61" s="80"/>
      <c r="P61" s="80" t="str">
        <f>IFERROR(__xludf.DUMMYFUNCTION("""COMPUTED_VALUE"""),"Star 1.7 GG")</f>
        <v>Star 1.7 GG</v>
      </c>
      <c r="Q61" s="80">
        <f>IFERROR(__xludf.DUMMYFUNCTION("""COMPUTED_VALUE"""),3141.0)</f>
        <v>3141</v>
      </c>
      <c r="R61" s="80" t="str">
        <f>IFERROR(__xludf.DUMMYFUNCTION("""COMPUTED_VALUE"""),"31*41")</f>
        <v>31*41</v>
      </c>
      <c r="S61" s="80">
        <f>IFERROR(__xludf.DUMMYFUNCTION("""COMPUTED_VALUE"""),46.0)</f>
        <v>46</v>
      </c>
      <c r="T61" s="80">
        <f>IFERROR(__xludf.DUMMYFUNCTION("""COMPUTED_VALUE"""),1926.0)</f>
        <v>1926</v>
      </c>
      <c r="U61" s="80" t="str">
        <f>IFERROR(__xludf.DUMMYFUNCTION("""COMPUTED_VALUE"""),"Hard Bound")</f>
        <v>Hard Bound</v>
      </c>
      <c r="V61" s="80"/>
      <c r="W61" s="80"/>
      <c r="X61" s="80"/>
      <c r="Y61" s="80"/>
      <c r="Z61" s="80"/>
      <c r="AA61" s="86">
        <f>IFERROR(__xludf.DUMMYFUNCTION("""COMPUTED_VALUE"""),59081.0)</f>
        <v>59081</v>
      </c>
      <c r="AB61" s="86">
        <f>IFERROR(__xludf.DUMMYFUNCTION("""COMPUTED_VALUE"""),60080.0)</f>
        <v>60080</v>
      </c>
      <c r="AC61" s="86">
        <f>IFERROR(__xludf.DUMMYFUNCTION("""COMPUTED_VALUE"""),7500.0)</f>
        <v>7500</v>
      </c>
      <c r="AD61" s="86">
        <f>IFERROR(__xludf.DUMMYFUNCTION("""COMPUTED_VALUE"""),18000.0)</f>
        <v>18000</v>
      </c>
      <c r="AE61" s="86">
        <f>IFERROR(__xludf.DUMMYFUNCTION("""COMPUTED_VALUE"""),0.15)</f>
        <v>0.15</v>
      </c>
      <c r="AF61" s="86">
        <f>IFERROR(__xludf.DUMMYFUNCTION("""COMPUTED_VALUE"""),6200.0)</f>
        <v>6200</v>
      </c>
      <c r="AG61" s="86">
        <f>IFERROR(__xludf.DUMMYFUNCTION("""COMPUTED_VALUE"""),10500.0)</f>
        <v>10500</v>
      </c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72"/>
      <c r="BE61" s="89">
        <v>45000.0</v>
      </c>
      <c r="BF61" s="89">
        <v>66000.0</v>
      </c>
    </row>
    <row r="62">
      <c r="A62" s="104" t="str">
        <f>IFERROR(__xludf.DUMMYFUNCTION("""COMPUTED_VALUE"""),"Star 2.9 GW")</f>
        <v>Star 2.9 GW</v>
      </c>
      <c r="B62" s="80">
        <f>IFERROR(__xludf.DUMMYFUNCTION("""COMPUTED_VALUE"""),3141.0)</f>
        <v>3141</v>
      </c>
      <c r="C62" s="104" t="str">
        <f>IFERROR(__xludf.DUMMYFUNCTION("""COMPUTED_VALUE"""),"31*41")</f>
        <v>31*41</v>
      </c>
      <c r="D62" s="80">
        <f>IFERROR(__xludf.DUMMYFUNCTION("""COMPUTED_VALUE"""),93.0)</f>
        <v>93</v>
      </c>
      <c r="E62" s="80">
        <f>IFERROR(__xludf.DUMMYFUNCTION("""COMPUTED_VALUE"""),1926.0)</f>
        <v>1926</v>
      </c>
      <c r="F62" s="80" t="str">
        <f>IFERROR(__xludf.DUMMYFUNCTION("""COMPUTED_VALUE"""),"Hard Bound")</f>
        <v>Hard Bound</v>
      </c>
      <c r="G62" s="80"/>
      <c r="H62" s="104"/>
      <c r="I62" s="80"/>
      <c r="J62" s="80"/>
      <c r="K62" s="80"/>
      <c r="L62" s="80"/>
      <c r="M62" s="80"/>
      <c r="N62" s="80"/>
      <c r="O62" s="80"/>
      <c r="P62" s="80" t="str">
        <f>IFERROR(__xludf.DUMMYFUNCTION("""COMPUTED_VALUE"""),"Star 1.7 GG")</f>
        <v>Star 1.7 GG</v>
      </c>
      <c r="Q62" s="80">
        <f>IFERROR(__xludf.DUMMYFUNCTION("""COMPUTED_VALUE"""),2536.0)</f>
        <v>2536</v>
      </c>
      <c r="R62" s="80" t="str">
        <f>IFERROR(__xludf.DUMMYFUNCTION("""COMPUTED_VALUE"""),"25*36")</f>
        <v>25*36</v>
      </c>
      <c r="S62" s="80">
        <f>IFERROR(__xludf.DUMMYFUNCTION("""COMPUTED_VALUE"""),32.0)</f>
        <v>32</v>
      </c>
      <c r="T62" s="80">
        <f>IFERROR(__xludf.DUMMYFUNCTION("""COMPUTED_VALUE"""),1926.0)</f>
        <v>1926</v>
      </c>
      <c r="U62" s="80" t="str">
        <f>IFERROR(__xludf.DUMMYFUNCTION("""COMPUTED_VALUE"""),"Hard Bound")</f>
        <v>Hard Bound</v>
      </c>
      <c r="V62" s="80"/>
      <c r="W62" s="80"/>
      <c r="X62" s="80"/>
      <c r="Y62" s="80"/>
      <c r="Z62" s="80"/>
      <c r="AA62" s="86">
        <f>IFERROR(__xludf.DUMMYFUNCTION("""COMPUTED_VALUE"""),60081.0)</f>
        <v>60081</v>
      </c>
      <c r="AB62" s="86">
        <f>IFERROR(__xludf.DUMMYFUNCTION("""COMPUTED_VALUE"""),61080.0)</f>
        <v>61080</v>
      </c>
      <c r="AC62" s="86">
        <f>IFERROR(__xludf.DUMMYFUNCTION("""COMPUTED_VALUE"""),7625.0)</f>
        <v>7625</v>
      </c>
      <c r="AD62" s="86">
        <f>IFERROR(__xludf.DUMMYFUNCTION("""COMPUTED_VALUE"""),18300.0)</f>
        <v>18300</v>
      </c>
      <c r="AE62" s="86">
        <f>IFERROR(__xludf.DUMMYFUNCTION("""COMPUTED_VALUE"""),0.15)</f>
        <v>0.15</v>
      </c>
      <c r="AF62" s="86">
        <f>IFERROR(__xludf.DUMMYFUNCTION("""COMPUTED_VALUE"""),6300.0)</f>
        <v>6300</v>
      </c>
      <c r="AG62" s="86">
        <f>IFERROR(__xludf.DUMMYFUNCTION("""COMPUTED_VALUE"""),10675.0)</f>
        <v>10675</v>
      </c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72"/>
      <c r="BE62" s="89">
        <v>45750.0</v>
      </c>
      <c r="BF62" s="89">
        <v>67100.0</v>
      </c>
    </row>
    <row r="63">
      <c r="A63" s="104" t="str">
        <f>IFERROR(__xludf.DUMMYFUNCTION("""COMPUTED_VALUE"""),"Star 2.9 GW")</f>
        <v>Star 2.9 GW</v>
      </c>
      <c r="B63" s="80">
        <f>IFERROR(__xludf.DUMMYFUNCTION("""COMPUTED_VALUE"""),2536.0)</f>
        <v>2536</v>
      </c>
      <c r="C63" s="104" t="str">
        <f>IFERROR(__xludf.DUMMYFUNCTION("""COMPUTED_VALUE"""),"25*36")</f>
        <v>25*36</v>
      </c>
      <c r="D63" s="80">
        <f>IFERROR(__xludf.DUMMYFUNCTION("""COMPUTED_VALUE"""),66.0)</f>
        <v>66</v>
      </c>
      <c r="E63" s="80">
        <f>IFERROR(__xludf.DUMMYFUNCTION("""COMPUTED_VALUE"""),1926.0)</f>
        <v>1926</v>
      </c>
      <c r="F63" s="80" t="str">
        <f>IFERROR(__xludf.DUMMYFUNCTION("""COMPUTED_VALUE"""),"Hard Bound")</f>
        <v>Hard Bound</v>
      </c>
      <c r="G63" s="80"/>
      <c r="H63" s="104"/>
      <c r="I63" s="80"/>
      <c r="J63" s="80"/>
      <c r="K63" s="80"/>
      <c r="L63" s="80"/>
      <c r="M63" s="80"/>
      <c r="N63" s="80"/>
      <c r="O63" s="80"/>
      <c r="P63" s="80" t="str">
        <f>IFERROR(__xludf.DUMMYFUNCTION("""COMPUTED_VALUE"""),"Star 1.7 GW")</f>
        <v>Star 1.7 GW</v>
      </c>
      <c r="Q63" s="80">
        <f>IFERROR(__xludf.DUMMYFUNCTION("""COMPUTED_VALUE"""),3141.0)</f>
        <v>3141</v>
      </c>
      <c r="R63" s="80" t="str">
        <f>IFERROR(__xludf.DUMMYFUNCTION("""COMPUTED_VALUE"""),"31*41")</f>
        <v>31*41</v>
      </c>
      <c r="S63" s="80">
        <f>IFERROR(__xludf.DUMMYFUNCTION("""COMPUTED_VALUE"""),55.0)</f>
        <v>55</v>
      </c>
      <c r="T63" s="80">
        <f>IFERROR(__xludf.DUMMYFUNCTION("""COMPUTED_VALUE"""),1926.0)</f>
        <v>1926</v>
      </c>
      <c r="U63" s="80" t="str">
        <f>IFERROR(__xludf.DUMMYFUNCTION("""COMPUTED_VALUE"""),"Hard Bound")</f>
        <v>Hard Bound</v>
      </c>
      <c r="V63" s="80"/>
      <c r="W63" s="80"/>
      <c r="X63" s="80"/>
      <c r="Y63" s="80"/>
      <c r="Z63" s="80"/>
      <c r="AA63" s="86">
        <f>IFERROR(__xludf.DUMMYFUNCTION("""COMPUTED_VALUE"""),61081.0)</f>
        <v>61081</v>
      </c>
      <c r="AB63" s="86">
        <f>IFERROR(__xludf.DUMMYFUNCTION("""COMPUTED_VALUE"""),62080.0)</f>
        <v>62080</v>
      </c>
      <c r="AC63" s="86">
        <f>IFERROR(__xludf.DUMMYFUNCTION("""COMPUTED_VALUE"""),7750.0)</f>
        <v>7750</v>
      </c>
      <c r="AD63" s="86">
        <f>IFERROR(__xludf.DUMMYFUNCTION("""COMPUTED_VALUE"""),18600.0)</f>
        <v>18600</v>
      </c>
      <c r="AE63" s="86">
        <f>IFERROR(__xludf.DUMMYFUNCTION("""COMPUTED_VALUE"""),0.15)</f>
        <v>0.15</v>
      </c>
      <c r="AF63" s="86">
        <f>IFERROR(__xludf.DUMMYFUNCTION("""COMPUTED_VALUE"""),6400.0)</f>
        <v>6400</v>
      </c>
      <c r="AG63" s="86">
        <f>IFERROR(__xludf.DUMMYFUNCTION("""COMPUTED_VALUE"""),10850.0)</f>
        <v>10850</v>
      </c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72"/>
      <c r="BE63" s="89">
        <v>46500.0</v>
      </c>
      <c r="BF63" s="89">
        <v>68200.0</v>
      </c>
    </row>
    <row r="64">
      <c r="A64" s="104" t="str">
        <f>IFERROR(__xludf.DUMMYFUNCTION("""COMPUTED_VALUE"""),"Normal 1.2 BB")</f>
        <v>Normal 1.2 BB</v>
      </c>
      <c r="B64" s="80">
        <f>IFERROR(__xludf.DUMMYFUNCTION("""COMPUTED_VALUE"""),2732.0)</f>
        <v>2732</v>
      </c>
      <c r="C64" s="104" t="str">
        <f>IFERROR(__xludf.DUMMYFUNCTION("""COMPUTED_VALUE"""),"27*32")</f>
        <v>27*32</v>
      </c>
      <c r="D64" s="80">
        <f>IFERROR(__xludf.DUMMYFUNCTION("""COMPUTED_VALUE"""),14.0)</f>
        <v>14</v>
      </c>
      <c r="E64" s="80">
        <f>IFERROR(__xludf.DUMMYFUNCTION("""COMPUTED_VALUE"""),1926.0)</f>
        <v>1926</v>
      </c>
      <c r="F64" s="80" t="str">
        <f>IFERROR(__xludf.DUMMYFUNCTION("""COMPUTED_VALUE"""),"Hard Bound")</f>
        <v>Hard Bound</v>
      </c>
      <c r="G64" s="80"/>
      <c r="H64" s="104"/>
      <c r="I64" s="80"/>
      <c r="J64" s="80"/>
      <c r="K64" s="80"/>
      <c r="L64" s="80"/>
      <c r="M64" s="80"/>
      <c r="N64" s="80"/>
      <c r="O64" s="80"/>
      <c r="P64" s="80" t="str">
        <f>IFERROR(__xludf.DUMMYFUNCTION("""COMPUTED_VALUE"""),"Star 1.7 GW")</f>
        <v>Star 1.7 GW</v>
      </c>
      <c r="Q64" s="80">
        <f>IFERROR(__xludf.DUMMYFUNCTION("""COMPUTED_VALUE"""),2536.0)</f>
        <v>2536</v>
      </c>
      <c r="R64" s="80" t="str">
        <f>IFERROR(__xludf.DUMMYFUNCTION("""COMPUTED_VALUE"""),"25*36")</f>
        <v>25*36</v>
      </c>
      <c r="S64" s="80">
        <f>IFERROR(__xludf.DUMMYFUNCTION("""COMPUTED_VALUE"""),39.0)</f>
        <v>39</v>
      </c>
      <c r="T64" s="80">
        <f>IFERROR(__xludf.DUMMYFUNCTION("""COMPUTED_VALUE"""),1926.0)</f>
        <v>1926</v>
      </c>
      <c r="U64" s="80" t="str">
        <f>IFERROR(__xludf.DUMMYFUNCTION("""COMPUTED_VALUE"""),"Hard Bound")</f>
        <v>Hard Bound</v>
      </c>
      <c r="V64" s="80"/>
      <c r="W64" s="80"/>
      <c r="X64" s="80"/>
      <c r="Y64" s="80"/>
      <c r="Z64" s="80"/>
      <c r="AA64" s="86">
        <f>IFERROR(__xludf.DUMMYFUNCTION("""COMPUTED_VALUE"""),62081.0)</f>
        <v>62081</v>
      </c>
      <c r="AB64" s="86">
        <f>IFERROR(__xludf.DUMMYFUNCTION("""COMPUTED_VALUE"""),63080.0)</f>
        <v>63080</v>
      </c>
      <c r="AC64" s="86">
        <f>IFERROR(__xludf.DUMMYFUNCTION("""COMPUTED_VALUE"""),7875.0)</f>
        <v>7875</v>
      </c>
      <c r="AD64" s="86">
        <f>IFERROR(__xludf.DUMMYFUNCTION("""COMPUTED_VALUE"""),18900.0)</f>
        <v>18900</v>
      </c>
      <c r="AE64" s="86">
        <f>IFERROR(__xludf.DUMMYFUNCTION("""COMPUTED_VALUE"""),0.15)</f>
        <v>0.15</v>
      </c>
      <c r="AF64" s="86">
        <f>IFERROR(__xludf.DUMMYFUNCTION("""COMPUTED_VALUE"""),6500.0)</f>
        <v>6500</v>
      </c>
      <c r="AG64" s="86">
        <f>IFERROR(__xludf.DUMMYFUNCTION("""COMPUTED_VALUE"""),11025.0)</f>
        <v>11025</v>
      </c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72"/>
      <c r="BE64" s="89">
        <v>47250.0</v>
      </c>
      <c r="BF64" s="89">
        <v>69300.0</v>
      </c>
    </row>
    <row r="65">
      <c r="A65" s="104" t="str">
        <f>IFERROR(__xludf.DUMMYFUNCTION("""COMPUTED_VALUE"""),"Normal 1.5 BB")</f>
        <v>Normal 1.5 BB</v>
      </c>
      <c r="B65" s="80">
        <f>IFERROR(__xludf.DUMMYFUNCTION("""COMPUTED_VALUE"""),2732.0)</f>
        <v>2732</v>
      </c>
      <c r="C65" s="104" t="str">
        <f>IFERROR(__xludf.DUMMYFUNCTION("""COMPUTED_VALUE"""),"27.5*32")</f>
        <v>27.5*32</v>
      </c>
      <c r="D65" s="80">
        <f>IFERROR(__xludf.DUMMYFUNCTION("""COMPUTED_VALUE"""),18.0)</f>
        <v>18</v>
      </c>
      <c r="E65" s="80">
        <f>IFERROR(__xludf.DUMMYFUNCTION("""COMPUTED_VALUE"""),1926.0)</f>
        <v>1926</v>
      </c>
      <c r="F65" s="80" t="str">
        <f>IFERROR(__xludf.DUMMYFUNCTION("""COMPUTED_VALUE"""),"Hard Bound")</f>
        <v>Hard Bound</v>
      </c>
      <c r="G65" s="80"/>
      <c r="H65" s="104"/>
      <c r="I65" s="80"/>
      <c r="J65" s="80"/>
      <c r="K65" s="80"/>
      <c r="L65" s="80"/>
      <c r="M65" s="80"/>
      <c r="N65" s="80"/>
      <c r="O65" s="80"/>
      <c r="P65" s="80" t="str">
        <f>IFERROR(__xludf.DUMMYFUNCTION("""COMPUTED_VALUE"""),"Star 1.9 GG")</f>
        <v>Star 1.9 GG</v>
      </c>
      <c r="Q65" s="80">
        <f>IFERROR(__xludf.DUMMYFUNCTION("""COMPUTED_VALUE"""),3141.0)</f>
        <v>3141</v>
      </c>
      <c r="R65" s="80" t="str">
        <f>IFERROR(__xludf.DUMMYFUNCTION("""COMPUTED_VALUE"""),"31*41")</f>
        <v>31*41</v>
      </c>
      <c r="S65" s="80">
        <f>IFERROR(__xludf.DUMMYFUNCTION("""COMPUTED_VALUE"""),51.0)</f>
        <v>51</v>
      </c>
      <c r="T65" s="80">
        <f>IFERROR(__xludf.DUMMYFUNCTION("""COMPUTED_VALUE"""),1926.0)</f>
        <v>1926</v>
      </c>
      <c r="U65" s="80" t="str">
        <f>IFERROR(__xludf.DUMMYFUNCTION("""COMPUTED_VALUE"""),"Hard Bound")</f>
        <v>Hard Bound</v>
      </c>
      <c r="V65" s="80"/>
      <c r="W65" s="80"/>
      <c r="X65" s="80"/>
      <c r="Y65" s="80"/>
      <c r="Z65" s="80"/>
      <c r="AA65" s="86">
        <f>IFERROR(__xludf.DUMMYFUNCTION("""COMPUTED_VALUE"""),63081.0)</f>
        <v>63081</v>
      </c>
      <c r="AB65" s="86">
        <f>IFERROR(__xludf.DUMMYFUNCTION("""COMPUTED_VALUE"""),64080.0)</f>
        <v>64080</v>
      </c>
      <c r="AC65" s="86">
        <f>IFERROR(__xludf.DUMMYFUNCTION("""COMPUTED_VALUE"""),8000.0)</f>
        <v>8000</v>
      </c>
      <c r="AD65" s="86">
        <f>IFERROR(__xludf.DUMMYFUNCTION("""COMPUTED_VALUE"""),19200.0)</f>
        <v>19200</v>
      </c>
      <c r="AE65" s="86">
        <f>IFERROR(__xludf.DUMMYFUNCTION("""COMPUTED_VALUE"""),0.15)</f>
        <v>0.15</v>
      </c>
      <c r="AF65" s="86">
        <f>IFERROR(__xludf.DUMMYFUNCTION("""COMPUTED_VALUE"""),6600.0)</f>
        <v>6600</v>
      </c>
      <c r="AG65" s="86">
        <f>IFERROR(__xludf.DUMMYFUNCTION("""COMPUTED_VALUE"""),11200.0)</f>
        <v>11200</v>
      </c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72"/>
      <c r="BE65" s="89">
        <v>48000.0</v>
      </c>
      <c r="BF65" s="89">
        <v>70400.0</v>
      </c>
    </row>
    <row r="66">
      <c r="A66" s="104" t="str">
        <f>IFERROR(__xludf.DUMMYFUNCTION("""COMPUTED_VALUE"""),"Normal 1.7 BB")</f>
        <v>Normal 1.7 BB</v>
      </c>
      <c r="B66" s="80">
        <f>IFERROR(__xludf.DUMMYFUNCTION("""COMPUTED_VALUE"""),2732.0)</f>
        <v>2732</v>
      </c>
      <c r="C66" s="104" t="str">
        <f>IFERROR(__xludf.DUMMYFUNCTION("""COMPUTED_VALUE"""),"27.5*32")</f>
        <v>27.5*32</v>
      </c>
      <c r="D66" s="80">
        <f>IFERROR(__xludf.DUMMYFUNCTION("""COMPUTED_VALUE"""),20.0)</f>
        <v>20</v>
      </c>
      <c r="E66" s="80">
        <f>IFERROR(__xludf.DUMMYFUNCTION("""COMPUTED_VALUE"""),1926.0)</f>
        <v>1926</v>
      </c>
      <c r="F66" s="80" t="str">
        <f>IFERROR(__xludf.DUMMYFUNCTION("""COMPUTED_VALUE"""),"Hard Bound")</f>
        <v>Hard Bound</v>
      </c>
      <c r="G66" s="80"/>
      <c r="H66" s="104"/>
      <c r="I66" s="80"/>
      <c r="J66" s="80"/>
      <c r="K66" s="80"/>
      <c r="L66" s="80"/>
      <c r="M66" s="80"/>
      <c r="N66" s="80"/>
      <c r="O66" s="80"/>
      <c r="P66" s="80" t="str">
        <f>IFERROR(__xludf.DUMMYFUNCTION("""COMPUTED_VALUE"""),"Star 1.9 GG")</f>
        <v>Star 1.9 GG</v>
      </c>
      <c r="Q66" s="80">
        <f>IFERROR(__xludf.DUMMYFUNCTION("""COMPUTED_VALUE"""),2536.0)</f>
        <v>2536</v>
      </c>
      <c r="R66" s="80" t="str">
        <f>IFERROR(__xludf.DUMMYFUNCTION("""COMPUTED_VALUE"""),"25*36")</f>
        <v>25*36</v>
      </c>
      <c r="S66" s="80">
        <f>IFERROR(__xludf.DUMMYFUNCTION("""COMPUTED_VALUE"""),36.0)</f>
        <v>36</v>
      </c>
      <c r="T66" s="80">
        <f>IFERROR(__xludf.DUMMYFUNCTION("""COMPUTED_VALUE"""),1926.0)</f>
        <v>1926</v>
      </c>
      <c r="U66" s="80" t="str">
        <f>IFERROR(__xludf.DUMMYFUNCTION("""COMPUTED_VALUE"""),"Hard Bound")</f>
        <v>Hard Bound</v>
      </c>
      <c r="V66" s="80"/>
      <c r="W66" s="80"/>
      <c r="X66" s="80"/>
      <c r="Y66" s="80"/>
      <c r="Z66" s="80"/>
      <c r="AA66" s="86">
        <f>IFERROR(__xludf.DUMMYFUNCTION("""COMPUTED_VALUE"""),64081.0)</f>
        <v>64081</v>
      </c>
      <c r="AB66" s="86">
        <f>IFERROR(__xludf.DUMMYFUNCTION("""COMPUTED_VALUE"""),65080.0)</f>
        <v>65080</v>
      </c>
      <c r="AC66" s="86">
        <f>IFERROR(__xludf.DUMMYFUNCTION("""COMPUTED_VALUE"""),8125.0)</f>
        <v>8125</v>
      </c>
      <c r="AD66" s="86">
        <f>IFERROR(__xludf.DUMMYFUNCTION("""COMPUTED_VALUE"""),19500.0)</f>
        <v>19500</v>
      </c>
      <c r="AE66" s="86">
        <f>IFERROR(__xludf.DUMMYFUNCTION("""COMPUTED_VALUE"""),0.15)</f>
        <v>0.15</v>
      </c>
      <c r="AF66" s="86">
        <f>IFERROR(__xludf.DUMMYFUNCTION("""COMPUTED_VALUE"""),6700.0)</f>
        <v>6700</v>
      </c>
      <c r="AG66" s="86">
        <f>IFERROR(__xludf.DUMMYFUNCTION("""COMPUTED_VALUE"""),11375.0)</f>
        <v>11375</v>
      </c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72"/>
      <c r="BE66" s="89">
        <v>48750.0</v>
      </c>
      <c r="BF66" s="89">
        <v>71500.0</v>
      </c>
    </row>
    <row r="67">
      <c r="A67" s="104" t="str">
        <f>IFERROR(__xludf.DUMMYFUNCTION("""COMPUTED_VALUE"""),"Normal 2.15 BB")</f>
        <v>Normal 2.15 BB</v>
      </c>
      <c r="B67" s="80">
        <f>IFERROR(__xludf.DUMMYFUNCTION("""COMPUTED_VALUE"""),2732.0)</f>
        <v>2732</v>
      </c>
      <c r="C67" s="104" t="str">
        <f>IFERROR(__xludf.DUMMYFUNCTION("""COMPUTED_VALUE"""),"27.5*32")</f>
        <v>27.5*32</v>
      </c>
      <c r="D67" s="80">
        <f>IFERROR(__xludf.DUMMYFUNCTION("""COMPUTED_VALUE"""),25.0)</f>
        <v>25</v>
      </c>
      <c r="E67" s="80">
        <f>IFERROR(__xludf.DUMMYFUNCTION("""COMPUTED_VALUE"""),1926.0)</f>
        <v>1926</v>
      </c>
      <c r="F67" s="80" t="str">
        <f>IFERROR(__xludf.DUMMYFUNCTION("""COMPUTED_VALUE"""),"Hard Bound")</f>
        <v>Hard Bound</v>
      </c>
      <c r="G67" s="80"/>
      <c r="H67" s="104"/>
      <c r="I67" s="80"/>
      <c r="J67" s="80"/>
      <c r="K67" s="80"/>
      <c r="L67" s="104"/>
      <c r="M67" s="80"/>
      <c r="N67" s="80"/>
      <c r="O67" s="80"/>
      <c r="P67" s="80" t="str">
        <f>IFERROR(__xludf.DUMMYFUNCTION("""COMPUTED_VALUE"""),"Star 1.9 GW")</f>
        <v>Star 1.9 GW</v>
      </c>
      <c r="Q67" s="80">
        <f>IFERROR(__xludf.DUMMYFUNCTION("""COMPUTED_VALUE"""),3141.0)</f>
        <v>3141</v>
      </c>
      <c r="R67" s="80" t="str">
        <f>IFERROR(__xludf.DUMMYFUNCTION("""COMPUTED_VALUE"""),"31*41")</f>
        <v>31*41</v>
      </c>
      <c r="S67" s="80">
        <f>IFERROR(__xludf.DUMMYFUNCTION("""COMPUTED_VALUE"""),61.0)</f>
        <v>61</v>
      </c>
      <c r="T67" s="80">
        <f>IFERROR(__xludf.DUMMYFUNCTION("""COMPUTED_VALUE"""),1926.0)</f>
        <v>1926</v>
      </c>
      <c r="U67" s="80" t="str">
        <f>IFERROR(__xludf.DUMMYFUNCTION("""COMPUTED_VALUE"""),"Hard Bound")</f>
        <v>Hard Bound</v>
      </c>
      <c r="V67" s="80"/>
      <c r="W67" s="80"/>
      <c r="X67" s="80"/>
      <c r="Y67" s="80"/>
      <c r="Z67" s="80"/>
      <c r="AA67" s="86">
        <f>IFERROR(__xludf.DUMMYFUNCTION("""COMPUTED_VALUE"""),65081.0)</f>
        <v>65081</v>
      </c>
      <c r="AB67" s="86">
        <f>IFERROR(__xludf.DUMMYFUNCTION("""COMPUTED_VALUE"""),66080.0)</f>
        <v>66080</v>
      </c>
      <c r="AC67" s="86">
        <f>IFERROR(__xludf.DUMMYFUNCTION("""COMPUTED_VALUE"""),8250.0)</f>
        <v>8250</v>
      </c>
      <c r="AD67" s="86">
        <f>IFERROR(__xludf.DUMMYFUNCTION("""COMPUTED_VALUE"""),19800.0)</f>
        <v>19800</v>
      </c>
      <c r="AE67" s="86">
        <f>IFERROR(__xludf.DUMMYFUNCTION("""COMPUTED_VALUE"""),0.15)</f>
        <v>0.15</v>
      </c>
      <c r="AF67" s="86">
        <f>IFERROR(__xludf.DUMMYFUNCTION("""COMPUTED_VALUE"""),6800.0)</f>
        <v>6800</v>
      </c>
      <c r="AG67" s="86">
        <f>IFERROR(__xludf.DUMMYFUNCTION("""COMPUTED_VALUE"""),11550.0)</f>
        <v>11550</v>
      </c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72"/>
      <c r="BE67" s="89">
        <v>49500.0</v>
      </c>
      <c r="BF67" s="89">
        <v>72600.0</v>
      </c>
    </row>
    <row r="68">
      <c r="A68" s="104" t="str">
        <f>IFERROR(__xludf.DUMMYFUNCTION("""COMPUTED_VALUE"""),"Star 1 GB")</f>
        <v>Star 1 GB</v>
      </c>
      <c r="B68" s="80">
        <f>IFERROR(__xludf.DUMMYFUNCTION("""COMPUTED_VALUE"""),3141.0)</f>
        <v>3141</v>
      </c>
      <c r="C68" s="104" t="str">
        <f>IFERROR(__xludf.DUMMYFUNCTION("""COMPUTED_VALUE"""),"31*41")</f>
        <v>31*41</v>
      </c>
      <c r="D68" s="80">
        <f>IFERROR(__xludf.DUMMYFUNCTION("""COMPUTED_VALUE"""),34.0)</f>
        <v>34</v>
      </c>
      <c r="E68" s="80">
        <f>IFERROR(__xludf.DUMMYFUNCTION("""COMPUTED_VALUE"""),1926.0)</f>
        <v>1926</v>
      </c>
      <c r="F68" s="80" t="str">
        <f>IFERROR(__xludf.DUMMYFUNCTION("""COMPUTED_VALUE"""),"Hard Bound")</f>
        <v>Hard Bound</v>
      </c>
      <c r="G68" s="80"/>
      <c r="H68" s="104"/>
      <c r="I68" s="80"/>
      <c r="J68" s="80"/>
      <c r="K68" s="80"/>
      <c r="L68" s="104"/>
      <c r="M68" s="80"/>
      <c r="N68" s="80"/>
      <c r="O68" s="80"/>
      <c r="P68" s="80" t="str">
        <f>IFERROR(__xludf.DUMMYFUNCTION("""COMPUTED_VALUE"""),"Star 1.9 GW")</f>
        <v>Star 1.9 GW</v>
      </c>
      <c r="Q68" s="80">
        <f>IFERROR(__xludf.DUMMYFUNCTION("""COMPUTED_VALUE"""),2536.0)</f>
        <v>2536</v>
      </c>
      <c r="R68" s="80" t="str">
        <f>IFERROR(__xludf.DUMMYFUNCTION("""COMPUTED_VALUE"""),"25*36")</f>
        <v>25*36</v>
      </c>
      <c r="S68" s="80">
        <f>IFERROR(__xludf.DUMMYFUNCTION("""COMPUTED_VALUE"""),43.0)</f>
        <v>43</v>
      </c>
      <c r="T68" s="80">
        <f>IFERROR(__xludf.DUMMYFUNCTION("""COMPUTED_VALUE"""),1926.0)</f>
        <v>1926</v>
      </c>
      <c r="U68" s="80" t="str">
        <f>IFERROR(__xludf.DUMMYFUNCTION("""COMPUTED_VALUE"""),"Hard Bound")</f>
        <v>Hard Bound</v>
      </c>
      <c r="V68" s="80"/>
      <c r="W68" s="80"/>
      <c r="X68" s="80"/>
      <c r="Y68" s="80"/>
      <c r="Z68" s="80"/>
      <c r="AA68" s="86">
        <f>IFERROR(__xludf.DUMMYFUNCTION("""COMPUTED_VALUE"""),66081.0)</f>
        <v>66081</v>
      </c>
      <c r="AB68" s="86">
        <f>IFERROR(__xludf.DUMMYFUNCTION("""COMPUTED_VALUE"""),67080.0)</f>
        <v>67080</v>
      </c>
      <c r="AC68" s="86">
        <f>IFERROR(__xludf.DUMMYFUNCTION("""COMPUTED_VALUE"""),8375.0)</f>
        <v>8375</v>
      </c>
      <c r="AD68" s="86">
        <f>IFERROR(__xludf.DUMMYFUNCTION("""COMPUTED_VALUE"""),20100.0)</f>
        <v>20100</v>
      </c>
      <c r="AE68" s="86">
        <f>IFERROR(__xludf.DUMMYFUNCTION("""COMPUTED_VALUE"""),0.15)</f>
        <v>0.15</v>
      </c>
      <c r="AF68" s="86">
        <f>IFERROR(__xludf.DUMMYFUNCTION("""COMPUTED_VALUE"""),6900.0)</f>
        <v>6900</v>
      </c>
      <c r="AG68" s="86">
        <f>IFERROR(__xludf.DUMMYFUNCTION("""COMPUTED_VALUE"""),11725.0)</f>
        <v>11725</v>
      </c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72"/>
      <c r="BE68" s="89">
        <v>50250.0</v>
      </c>
      <c r="BF68" s="89">
        <v>73700.0</v>
      </c>
    </row>
    <row r="69">
      <c r="A69" s="104"/>
      <c r="B69" s="80"/>
      <c r="C69" s="104"/>
      <c r="D69" s="80"/>
      <c r="E69" s="80"/>
      <c r="F69" s="80"/>
      <c r="G69" s="80"/>
      <c r="H69" s="104"/>
      <c r="I69" s="80"/>
      <c r="J69" s="80"/>
      <c r="K69" s="80"/>
      <c r="L69" s="80"/>
      <c r="M69" s="80"/>
      <c r="N69" s="80"/>
      <c r="O69" s="80"/>
      <c r="P69" s="80" t="str">
        <f>IFERROR(__xludf.DUMMYFUNCTION("""COMPUTED_VALUE"""),"Star 2.4 GG")</f>
        <v>Star 2.4 GG</v>
      </c>
      <c r="Q69" s="80">
        <f>IFERROR(__xludf.DUMMYFUNCTION("""COMPUTED_VALUE"""),3141.0)</f>
        <v>3141</v>
      </c>
      <c r="R69" s="80" t="str">
        <f>IFERROR(__xludf.DUMMYFUNCTION("""COMPUTED_VALUE"""),"31*41")</f>
        <v>31*41</v>
      </c>
      <c r="S69" s="80">
        <f>IFERROR(__xludf.DUMMYFUNCTION("""COMPUTED_VALUE"""),64.0)</f>
        <v>64</v>
      </c>
      <c r="T69" s="80">
        <f>IFERROR(__xludf.DUMMYFUNCTION("""COMPUTED_VALUE"""),1926.0)</f>
        <v>1926</v>
      </c>
      <c r="U69" s="80" t="str">
        <f>IFERROR(__xludf.DUMMYFUNCTION("""COMPUTED_VALUE"""),"Hard Bound")</f>
        <v>Hard Bound</v>
      </c>
      <c r="V69" s="80"/>
      <c r="W69" s="80"/>
      <c r="X69" s="80"/>
      <c r="Y69" s="80"/>
      <c r="Z69" s="80"/>
      <c r="AA69" s="86">
        <f>IFERROR(__xludf.DUMMYFUNCTION("""COMPUTED_VALUE"""),67081.0)</f>
        <v>67081</v>
      </c>
      <c r="AB69" s="86">
        <f>IFERROR(__xludf.DUMMYFUNCTION("""COMPUTED_VALUE"""),68080.0)</f>
        <v>68080</v>
      </c>
      <c r="AC69" s="86">
        <f>IFERROR(__xludf.DUMMYFUNCTION("""COMPUTED_VALUE"""),8500.0)</f>
        <v>8500</v>
      </c>
      <c r="AD69" s="86">
        <f>IFERROR(__xludf.DUMMYFUNCTION("""COMPUTED_VALUE"""),20400.0)</f>
        <v>20400</v>
      </c>
      <c r="AE69" s="86">
        <f>IFERROR(__xludf.DUMMYFUNCTION("""COMPUTED_VALUE"""),0.15)</f>
        <v>0.15</v>
      </c>
      <c r="AF69" s="86">
        <f>IFERROR(__xludf.DUMMYFUNCTION("""COMPUTED_VALUE"""),7000.0)</f>
        <v>7000</v>
      </c>
      <c r="AG69" s="86">
        <f>IFERROR(__xludf.DUMMYFUNCTION("""COMPUTED_VALUE"""),11900.0)</f>
        <v>11900</v>
      </c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72"/>
      <c r="BE69" s="89">
        <v>51000.0</v>
      </c>
      <c r="BF69" s="89">
        <v>74800.0</v>
      </c>
    </row>
    <row r="70">
      <c r="A70" s="104"/>
      <c r="B70" s="80"/>
      <c r="C70" s="104"/>
      <c r="D70" s="80"/>
      <c r="E70" s="80"/>
      <c r="F70" s="80"/>
      <c r="G70" s="80"/>
      <c r="H70" s="104"/>
      <c r="I70" s="80"/>
      <c r="J70" s="80"/>
      <c r="K70" s="80"/>
      <c r="L70" s="80"/>
      <c r="M70" s="80"/>
      <c r="N70" s="80"/>
      <c r="O70" s="80"/>
      <c r="P70" s="80" t="str">
        <f>IFERROR(__xludf.DUMMYFUNCTION("""COMPUTED_VALUE"""),"Star 2.4 GG")</f>
        <v>Star 2.4 GG</v>
      </c>
      <c r="Q70" s="80">
        <f>IFERROR(__xludf.DUMMYFUNCTION("""COMPUTED_VALUE"""),2536.0)</f>
        <v>2536</v>
      </c>
      <c r="R70" s="80" t="str">
        <f>IFERROR(__xludf.DUMMYFUNCTION("""COMPUTED_VALUE"""),"25*36")</f>
        <v>25*36</v>
      </c>
      <c r="S70" s="80">
        <f>IFERROR(__xludf.DUMMYFUNCTION("""COMPUTED_VALUE"""),46.0)</f>
        <v>46</v>
      </c>
      <c r="T70" s="80">
        <f>IFERROR(__xludf.DUMMYFUNCTION("""COMPUTED_VALUE"""),1926.0)</f>
        <v>1926</v>
      </c>
      <c r="U70" s="80" t="str">
        <f>IFERROR(__xludf.DUMMYFUNCTION("""COMPUTED_VALUE"""),"Hard Bound")</f>
        <v>Hard Bound</v>
      </c>
      <c r="V70" s="80"/>
      <c r="W70" s="80"/>
      <c r="X70" s="80"/>
      <c r="Y70" s="80"/>
      <c r="Z70" s="80"/>
      <c r="AA70" s="86">
        <f>IFERROR(__xludf.DUMMYFUNCTION("""COMPUTED_VALUE"""),68081.0)</f>
        <v>68081</v>
      </c>
      <c r="AB70" s="86">
        <f>IFERROR(__xludf.DUMMYFUNCTION("""COMPUTED_VALUE"""),69080.0)</f>
        <v>69080</v>
      </c>
      <c r="AC70" s="86">
        <f>IFERROR(__xludf.DUMMYFUNCTION("""COMPUTED_VALUE"""),8625.0)</f>
        <v>8625</v>
      </c>
      <c r="AD70" s="86">
        <f>IFERROR(__xludf.DUMMYFUNCTION("""COMPUTED_VALUE"""),20700.0)</f>
        <v>20700</v>
      </c>
      <c r="AE70" s="86">
        <f>IFERROR(__xludf.DUMMYFUNCTION("""COMPUTED_VALUE"""),0.15)</f>
        <v>0.15</v>
      </c>
      <c r="AF70" s="86">
        <f>IFERROR(__xludf.DUMMYFUNCTION("""COMPUTED_VALUE"""),7100.0)</f>
        <v>7100</v>
      </c>
      <c r="AG70" s="86">
        <f>IFERROR(__xludf.DUMMYFUNCTION("""COMPUTED_VALUE"""),12075.0)</f>
        <v>12075</v>
      </c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72"/>
      <c r="BE70" s="89">
        <v>51750.0</v>
      </c>
      <c r="BF70" s="89">
        <v>75900.0</v>
      </c>
    </row>
    <row r="71">
      <c r="A71" s="104"/>
      <c r="B71" s="80"/>
      <c r="C71" s="104"/>
      <c r="D71" s="80"/>
      <c r="E71" s="80"/>
      <c r="F71" s="80"/>
      <c r="G71" s="80"/>
      <c r="H71" s="104"/>
      <c r="I71" s="80"/>
      <c r="J71" s="80"/>
      <c r="K71" s="80"/>
      <c r="L71" s="80"/>
      <c r="M71" s="80"/>
      <c r="N71" s="80"/>
      <c r="O71" s="80"/>
      <c r="P71" s="80" t="str">
        <f>IFERROR(__xludf.DUMMYFUNCTION("""COMPUTED_VALUE"""),"Star 2.4 GW")</f>
        <v>Star 2.4 GW</v>
      </c>
      <c r="Q71" s="80">
        <f>IFERROR(__xludf.DUMMYFUNCTION("""COMPUTED_VALUE"""),3141.0)</f>
        <v>3141</v>
      </c>
      <c r="R71" s="80" t="str">
        <f>IFERROR(__xludf.DUMMYFUNCTION("""COMPUTED_VALUE"""),"31*41")</f>
        <v>31*41</v>
      </c>
      <c r="S71" s="80">
        <f>IFERROR(__xludf.DUMMYFUNCTION("""COMPUTED_VALUE"""),77.0)</f>
        <v>77</v>
      </c>
      <c r="T71" s="80">
        <f>IFERROR(__xludf.DUMMYFUNCTION("""COMPUTED_VALUE"""),1926.0)</f>
        <v>1926</v>
      </c>
      <c r="U71" s="80" t="str">
        <f>IFERROR(__xludf.DUMMYFUNCTION("""COMPUTED_VALUE"""),"Hard Bound")</f>
        <v>Hard Bound</v>
      </c>
      <c r="V71" s="80"/>
      <c r="W71" s="80"/>
      <c r="X71" s="80"/>
      <c r="Y71" s="80"/>
      <c r="Z71" s="80"/>
      <c r="AA71" s="86">
        <f>IFERROR(__xludf.DUMMYFUNCTION("""COMPUTED_VALUE"""),69081.0)</f>
        <v>69081</v>
      </c>
      <c r="AB71" s="86">
        <f>IFERROR(__xludf.DUMMYFUNCTION("""COMPUTED_VALUE"""),70080.0)</f>
        <v>70080</v>
      </c>
      <c r="AC71" s="86">
        <f>IFERROR(__xludf.DUMMYFUNCTION("""COMPUTED_VALUE"""),8750.0)</f>
        <v>8750</v>
      </c>
      <c r="AD71" s="86">
        <f>IFERROR(__xludf.DUMMYFUNCTION("""COMPUTED_VALUE"""),21000.0)</f>
        <v>21000</v>
      </c>
      <c r="AE71" s="86">
        <f>IFERROR(__xludf.DUMMYFUNCTION("""COMPUTED_VALUE"""),0.15)</f>
        <v>0.15</v>
      </c>
      <c r="AF71" s="86">
        <f>IFERROR(__xludf.DUMMYFUNCTION("""COMPUTED_VALUE"""),7200.0)</f>
        <v>7200</v>
      </c>
      <c r="AG71" s="86">
        <f>IFERROR(__xludf.DUMMYFUNCTION("""COMPUTED_VALUE"""),12250.0)</f>
        <v>12250</v>
      </c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72"/>
      <c r="BE71" s="89">
        <v>52500.0</v>
      </c>
      <c r="BF71" s="89">
        <v>77000.0</v>
      </c>
    </row>
    <row r="72">
      <c r="A72" s="104"/>
      <c r="B72" s="80"/>
      <c r="C72" s="104"/>
      <c r="D72" s="80"/>
      <c r="E72" s="80"/>
      <c r="F72" s="80"/>
      <c r="G72" s="80"/>
      <c r="H72" s="104"/>
      <c r="I72" s="80"/>
      <c r="J72" s="80"/>
      <c r="K72" s="80"/>
      <c r="L72" s="80"/>
      <c r="M72" s="80"/>
      <c r="N72" s="80"/>
      <c r="O72" s="80"/>
      <c r="P72" s="80" t="str">
        <f>IFERROR(__xludf.DUMMYFUNCTION("""COMPUTED_VALUE"""),"Star 2.4 GW")</f>
        <v>Star 2.4 GW</v>
      </c>
      <c r="Q72" s="80">
        <f>IFERROR(__xludf.DUMMYFUNCTION("""COMPUTED_VALUE"""),2536.0)</f>
        <v>2536</v>
      </c>
      <c r="R72" s="80" t="str">
        <f>IFERROR(__xludf.DUMMYFUNCTION("""COMPUTED_VALUE"""),"25*36")</f>
        <v>25*36</v>
      </c>
      <c r="S72" s="80">
        <f>IFERROR(__xludf.DUMMYFUNCTION("""COMPUTED_VALUE"""),55.0)</f>
        <v>55</v>
      </c>
      <c r="T72" s="80">
        <f>IFERROR(__xludf.DUMMYFUNCTION("""COMPUTED_VALUE"""),1926.0)</f>
        <v>1926</v>
      </c>
      <c r="U72" s="80" t="str">
        <f>IFERROR(__xludf.DUMMYFUNCTION("""COMPUTED_VALUE"""),"Hard Bound")</f>
        <v>Hard Bound</v>
      </c>
      <c r="V72" s="80"/>
      <c r="W72" s="80"/>
      <c r="X72" s="80"/>
      <c r="Y72" s="80"/>
      <c r="Z72" s="80"/>
      <c r="AA72" s="86">
        <f>IFERROR(__xludf.DUMMYFUNCTION("""COMPUTED_VALUE"""),70081.0)</f>
        <v>70081</v>
      </c>
      <c r="AB72" s="86">
        <f>IFERROR(__xludf.DUMMYFUNCTION("""COMPUTED_VALUE"""),71080.0)</f>
        <v>71080</v>
      </c>
      <c r="AC72" s="86">
        <f>IFERROR(__xludf.DUMMYFUNCTION("""COMPUTED_VALUE"""),8875.0)</f>
        <v>8875</v>
      </c>
      <c r="AD72" s="86">
        <f>IFERROR(__xludf.DUMMYFUNCTION("""COMPUTED_VALUE"""),21300.0)</f>
        <v>21300</v>
      </c>
      <c r="AE72" s="86">
        <f>IFERROR(__xludf.DUMMYFUNCTION("""COMPUTED_VALUE"""),0.15)</f>
        <v>0.15</v>
      </c>
      <c r="AF72" s="86">
        <f>IFERROR(__xludf.DUMMYFUNCTION("""COMPUTED_VALUE"""),7300.0)</f>
        <v>7300</v>
      </c>
      <c r="AG72" s="86">
        <f>IFERROR(__xludf.DUMMYFUNCTION("""COMPUTED_VALUE"""),12425.0)</f>
        <v>12425</v>
      </c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72"/>
      <c r="BE72" s="89">
        <v>53250.0</v>
      </c>
      <c r="BF72" s="89">
        <v>78100.0</v>
      </c>
    </row>
    <row r="73">
      <c r="A73" s="104"/>
      <c r="B73" s="80"/>
      <c r="C73" s="104"/>
      <c r="D73" s="80"/>
      <c r="E73" s="80"/>
      <c r="F73" s="80"/>
      <c r="G73" s="80"/>
      <c r="H73" s="104"/>
      <c r="I73" s="80"/>
      <c r="J73" s="80"/>
      <c r="K73" s="80"/>
      <c r="L73" s="80"/>
      <c r="M73" s="80"/>
      <c r="N73" s="80"/>
      <c r="O73" s="80"/>
      <c r="P73" s="80" t="str">
        <f>IFERROR(__xludf.DUMMYFUNCTION("""COMPUTED_VALUE"""),"Star 2.9 GG")</f>
        <v>Star 2.9 GG</v>
      </c>
      <c r="Q73" s="80">
        <f>IFERROR(__xludf.DUMMYFUNCTION("""COMPUTED_VALUE"""),3141.0)</f>
        <v>3141</v>
      </c>
      <c r="R73" s="80" t="str">
        <f>IFERROR(__xludf.DUMMYFUNCTION("""COMPUTED_VALUE"""),"31*41")</f>
        <v>31*41</v>
      </c>
      <c r="S73" s="80">
        <f>IFERROR(__xludf.DUMMYFUNCTION("""COMPUTED_VALUE"""),77.0)</f>
        <v>77</v>
      </c>
      <c r="T73" s="80">
        <f>IFERROR(__xludf.DUMMYFUNCTION("""COMPUTED_VALUE"""),1926.0)</f>
        <v>1926</v>
      </c>
      <c r="U73" s="80" t="str">
        <f>IFERROR(__xludf.DUMMYFUNCTION("""COMPUTED_VALUE"""),"Hard Bound")</f>
        <v>Hard Bound</v>
      </c>
      <c r="V73" s="80"/>
      <c r="W73" s="80"/>
      <c r="X73" s="80"/>
      <c r="Y73" s="80"/>
      <c r="Z73" s="80"/>
      <c r="AA73" s="86">
        <f>IFERROR(__xludf.DUMMYFUNCTION("""COMPUTED_VALUE"""),71081.0)</f>
        <v>71081</v>
      </c>
      <c r="AB73" s="86">
        <f>IFERROR(__xludf.DUMMYFUNCTION("""COMPUTED_VALUE"""),72080.0)</f>
        <v>72080</v>
      </c>
      <c r="AC73" s="86">
        <f>IFERROR(__xludf.DUMMYFUNCTION("""COMPUTED_VALUE"""),9000.0)</f>
        <v>9000</v>
      </c>
      <c r="AD73" s="86">
        <f>IFERROR(__xludf.DUMMYFUNCTION("""COMPUTED_VALUE"""),21600.0)</f>
        <v>21600</v>
      </c>
      <c r="AE73" s="86">
        <f>IFERROR(__xludf.DUMMYFUNCTION("""COMPUTED_VALUE"""),0.15)</f>
        <v>0.15</v>
      </c>
      <c r="AF73" s="86">
        <f>IFERROR(__xludf.DUMMYFUNCTION("""COMPUTED_VALUE"""),7400.0)</f>
        <v>7400</v>
      </c>
      <c r="AG73" s="86">
        <f>IFERROR(__xludf.DUMMYFUNCTION("""COMPUTED_VALUE"""),12600.0)</f>
        <v>12600</v>
      </c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72"/>
      <c r="BE73" s="89">
        <v>54000.0</v>
      </c>
      <c r="BF73" s="89">
        <v>79200.0</v>
      </c>
    </row>
    <row r="74">
      <c r="A74" s="104"/>
      <c r="B74" s="80"/>
      <c r="C74" s="104"/>
      <c r="D74" s="80"/>
      <c r="E74" s="80"/>
      <c r="F74" s="80"/>
      <c r="G74" s="80"/>
      <c r="H74" s="104"/>
      <c r="I74" s="80"/>
      <c r="J74" s="80"/>
      <c r="K74" s="80"/>
      <c r="L74" s="80"/>
      <c r="M74" s="80"/>
      <c r="N74" s="80"/>
      <c r="O74" s="80"/>
      <c r="P74" s="80" t="str">
        <f>IFERROR(__xludf.DUMMYFUNCTION("""COMPUTED_VALUE"""),"Star 2.9 GG")</f>
        <v>Star 2.9 GG</v>
      </c>
      <c r="Q74" s="80">
        <f>IFERROR(__xludf.DUMMYFUNCTION("""COMPUTED_VALUE"""),2536.0)</f>
        <v>2536</v>
      </c>
      <c r="R74" s="80" t="str">
        <f>IFERROR(__xludf.DUMMYFUNCTION("""COMPUTED_VALUE"""),"25*36")</f>
        <v>25*36</v>
      </c>
      <c r="S74" s="80">
        <f>IFERROR(__xludf.DUMMYFUNCTION("""COMPUTED_VALUE"""),55.0)</f>
        <v>55</v>
      </c>
      <c r="T74" s="80">
        <f>IFERROR(__xludf.DUMMYFUNCTION("""COMPUTED_VALUE"""),1926.0)</f>
        <v>1926</v>
      </c>
      <c r="U74" s="80" t="str">
        <f>IFERROR(__xludf.DUMMYFUNCTION("""COMPUTED_VALUE"""),"Hard Bound")</f>
        <v>Hard Bound</v>
      </c>
      <c r="V74" s="80"/>
      <c r="W74" s="80"/>
      <c r="X74" s="80"/>
      <c r="Y74" s="80"/>
      <c r="Z74" s="80"/>
      <c r="AA74" s="86">
        <f>IFERROR(__xludf.DUMMYFUNCTION("""COMPUTED_VALUE"""),72081.0)</f>
        <v>72081</v>
      </c>
      <c r="AB74" s="86">
        <f>IFERROR(__xludf.DUMMYFUNCTION("""COMPUTED_VALUE"""),73080.0)</f>
        <v>73080</v>
      </c>
      <c r="AC74" s="86">
        <f>IFERROR(__xludf.DUMMYFUNCTION("""COMPUTED_VALUE"""),9125.0)</f>
        <v>9125</v>
      </c>
      <c r="AD74" s="86">
        <f>IFERROR(__xludf.DUMMYFUNCTION("""COMPUTED_VALUE"""),21900.0)</f>
        <v>21900</v>
      </c>
      <c r="AE74" s="86">
        <f>IFERROR(__xludf.DUMMYFUNCTION("""COMPUTED_VALUE"""),0.15)</f>
        <v>0.15</v>
      </c>
      <c r="AF74" s="86">
        <f>IFERROR(__xludf.DUMMYFUNCTION("""COMPUTED_VALUE"""),7500.0)</f>
        <v>7500</v>
      </c>
      <c r="AG74" s="86">
        <f>IFERROR(__xludf.DUMMYFUNCTION("""COMPUTED_VALUE"""),12775.0)</f>
        <v>12775</v>
      </c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72"/>
      <c r="BE74" s="89">
        <v>54750.0</v>
      </c>
      <c r="BF74" s="89">
        <v>80300.0</v>
      </c>
    </row>
    <row r="75">
      <c r="A75" s="104"/>
      <c r="B75" s="80"/>
      <c r="C75" s="104"/>
      <c r="D75" s="80"/>
      <c r="E75" s="80"/>
      <c r="F75" s="80"/>
      <c r="G75" s="80"/>
      <c r="H75" s="104"/>
      <c r="I75" s="80"/>
      <c r="J75" s="80"/>
      <c r="K75" s="80"/>
      <c r="L75" s="80"/>
      <c r="M75" s="80"/>
      <c r="N75" s="80"/>
      <c r="O75" s="80"/>
      <c r="P75" s="80" t="str">
        <f>IFERROR(__xludf.DUMMYFUNCTION("""COMPUTED_VALUE"""),"Star 2.9 GW")</f>
        <v>Star 2.9 GW</v>
      </c>
      <c r="Q75" s="80">
        <f>IFERROR(__xludf.DUMMYFUNCTION("""COMPUTED_VALUE"""),3141.0)</f>
        <v>3141</v>
      </c>
      <c r="R75" s="80" t="str">
        <f>IFERROR(__xludf.DUMMYFUNCTION("""COMPUTED_VALUE"""),"31*41")</f>
        <v>31*41</v>
      </c>
      <c r="S75" s="80">
        <f>IFERROR(__xludf.DUMMYFUNCTION("""COMPUTED_VALUE"""),93.0)</f>
        <v>93</v>
      </c>
      <c r="T75" s="80">
        <f>IFERROR(__xludf.DUMMYFUNCTION("""COMPUTED_VALUE"""),1926.0)</f>
        <v>1926</v>
      </c>
      <c r="U75" s="80" t="str">
        <f>IFERROR(__xludf.DUMMYFUNCTION("""COMPUTED_VALUE"""),"Hard Bound")</f>
        <v>Hard Bound</v>
      </c>
      <c r="V75" s="80"/>
      <c r="W75" s="80"/>
      <c r="X75" s="80"/>
      <c r="Y75" s="80"/>
      <c r="Z75" s="80"/>
      <c r="AA75" s="86">
        <f>IFERROR(__xludf.DUMMYFUNCTION("""COMPUTED_VALUE"""),73081.0)</f>
        <v>73081</v>
      </c>
      <c r="AB75" s="86">
        <f>IFERROR(__xludf.DUMMYFUNCTION("""COMPUTED_VALUE"""),74080.0)</f>
        <v>74080</v>
      </c>
      <c r="AC75" s="86">
        <f>IFERROR(__xludf.DUMMYFUNCTION("""COMPUTED_VALUE"""),9250.0)</f>
        <v>9250</v>
      </c>
      <c r="AD75" s="86">
        <f>IFERROR(__xludf.DUMMYFUNCTION("""COMPUTED_VALUE"""),22200.0)</f>
        <v>22200</v>
      </c>
      <c r="AE75" s="86">
        <f>IFERROR(__xludf.DUMMYFUNCTION("""COMPUTED_VALUE"""),0.15)</f>
        <v>0.15</v>
      </c>
      <c r="AF75" s="86">
        <f>IFERROR(__xludf.DUMMYFUNCTION("""COMPUTED_VALUE"""),7600.0)</f>
        <v>7600</v>
      </c>
      <c r="AG75" s="86">
        <f>IFERROR(__xludf.DUMMYFUNCTION("""COMPUTED_VALUE"""),12950.0)</f>
        <v>12950</v>
      </c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72"/>
      <c r="BE75" s="89">
        <v>55500.0</v>
      </c>
      <c r="BF75" s="89">
        <v>81400.0</v>
      </c>
    </row>
    <row r="76">
      <c r="A76" s="104"/>
      <c r="B76" s="80"/>
      <c r="C76" s="104"/>
      <c r="D76" s="80"/>
      <c r="E76" s="80"/>
      <c r="F76" s="80"/>
      <c r="G76" s="80"/>
      <c r="H76" s="104"/>
      <c r="I76" s="80"/>
      <c r="J76" s="80"/>
      <c r="K76" s="80"/>
      <c r="L76" s="80"/>
      <c r="M76" s="80"/>
      <c r="N76" s="80"/>
      <c r="O76" s="80"/>
      <c r="P76" s="80" t="str">
        <f>IFERROR(__xludf.DUMMYFUNCTION("""COMPUTED_VALUE"""),"Star 2.9 GW")</f>
        <v>Star 2.9 GW</v>
      </c>
      <c r="Q76" s="80">
        <f>IFERROR(__xludf.DUMMYFUNCTION("""COMPUTED_VALUE"""),2536.0)</f>
        <v>2536</v>
      </c>
      <c r="R76" s="80" t="str">
        <f>IFERROR(__xludf.DUMMYFUNCTION("""COMPUTED_VALUE"""),"25*36")</f>
        <v>25*36</v>
      </c>
      <c r="S76" s="80">
        <f>IFERROR(__xludf.DUMMYFUNCTION("""COMPUTED_VALUE"""),66.0)</f>
        <v>66</v>
      </c>
      <c r="T76" s="80">
        <f>IFERROR(__xludf.DUMMYFUNCTION("""COMPUTED_VALUE"""),1926.0)</f>
        <v>1926</v>
      </c>
      <c r="U76" s="80" t="str">
        <f>IFERROR(__xludf.DUMMYFUNCTION("""COMPUTED_VALUE"""),"Hard Bound")</f>
        <v>Hard Bound</v>
      </c>
      <c r="V76" s="80"/>
      <c r="W76" s="80"/>
      <c r="X76" s="80"/>
      <c r="Y76" s="80"/>
      <c r="Z76" s="80"/>
      <c r="AA76" s="86">
        <f>IFERROR(__xludf.DUMMYFUNCTION("""COMPUTED_VALUE"""),74081.0)</f>
        <v>74081</v>
      </c>
      <c r="AB76" s="86">
        <f>IFERROR(__xludf.DUMMYFUNCTION("""COMPUTED_VALUE"""),75080.0)</f>
        <v>75080</v>
      </c>
      <c r="AC76" s="86">
        <f>IFERROR(__xludf.DUMMYFUNCTION("""COMPUTED_VALUE"""),9375.0)</f>
        <v>9375</v>
      </c>
      <c r="AD76" s="86">
        <f>IFERROR(__xludf.DUMMYFUNCTION("""COMPUTED_VALUE"""),22500.0)</f>
        <v>22500</v>
      </c>
      <c r="AE76" s="86">
        <f>IFERROR(__xludf.DUMMYFUNCTION("""COMPUTED_VALUE"""),0.15)</f>
        <v>0.15</v>
      </c>
      <c r="AF76" s="86">
        <f>IFERROR(__xludf.DUMMYFUNCTION("""COMPUTED_VALUE"""),7700.0)</f>
        <v>7700</v>
      </c>
      <c r="AG76" s="86">
        <f>IFERROR(__xludf.DUMMYFUNCTION("""COMPUTED_VALUE"""),13125.0)</f>
        <v>13125</v>
      </c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72"/>
      <c r="BE76" s="89">
        <v>56250.0</v>
      </c>
      <c r="BF76" s="89">
        <v>82500.0</v>
      </c>
    </row>
    <row r="77">
      <c r="A77" s="104"/>
      <c r="B77" s="80"/>
      <c r="C77" s="104"/>
      <c r="D77" s="80"/>
      <c r="E77" s="80"/>
      <c r="F77" s="80"/>
      <c r="G77" s="80"/>
      <c r="H77" s="104"/>
      <c r="I77" s="80"/>
      <c r="J77" s="80"/>
      <c r="K77" s="80"/>
      <c r="L77" s="80"/>
      <c r="M77" s="80"/>
      <c r="N77" s="80"/>
      <c r="O77" s="80"/>
      <c r="P77" s="80" t="str">
        <f>IFERROR(__xludf.DUMMYFUNCTION("""COMPUTED_VALUE"""),"Normal 1.2 BB")</f>
        <v>Normal 1.2 BB</v>
      </c>
      <c r="Q77" s="80">
        <f>IFERROR(__xludf.DUMMYFUNCTION("""COMPUTED_VALUE"""),2732.0)</f>
        <v>2732</v>
      </c>
      <c r="R77" s="80" t="str">
        <f>IFERROR(__xludf.DUMMYFUNCTION("""COMPUTED_VALUE"""),"27*32")</f>
        <v>27*32</v>
      </c>
      <c r="S77" s="80">
        <f>IFERROR(__xludf.DUMMYFUNCTION("""COMPUTED_VALUE"""),14.0)</f>
        <v>14</v>
      </c>
      <c r="T77" s="80">
        <f>IFERROR(__xludf.DUMMYFUNCTION("""COMPUTED_VALUE"""),1926.0)</f>
        <v>1926</v>
      </c>
      <c r="U77" s="80" t="str">
        <f>IFERROR(__xludf.DUMMYFUNCTION("""COMPUTED_VALUE"""),"Hard Bound")</f>
        <v>Hard Bound</v>
      </c>
      <c r="V77" s="80"/>
      <c r="W77" s="80"/>
      <c r="X77" s="80"/>
      <c r="Y77" s="80"/>
      <c r="Z77" s="80"/>
      <c r="AA77" s="86">
        <f>IFERROR(__xludf.DUMMYFUNCTION("""COMPUTED_VALUE"""),75081.0)</f>
        <v>75081</v>
      </c>
      <c r="AB77" s="86">
        <f>IFERROR(__xludf.DUMMYFUNCTION("""COMPUTED_VALUE"""),76080.0)</f>
        <v>76080</v>
      </c>
      <c r="AC77" s="86">
        <f>IFERROR(__xludf.DUMMYFUNCTION("""COMPUTED_VALUE"""),9500.0)</f>
        <v>9500</v>
      </c>
      <c r="AD77" s="86">
        <f>IFERROR(__xludf.DUMMYFUNCTION("""COMPUTED_VALUE"""),22800.0)</f>
        <v>22800</v>
      </c>
      <c r="AE77" s="86">
        <f>IFERROR(__xludf.DUMMYFUNCTION("""COMPUTED_VALUE"""),0.15)</f>
        <v>0.15</v>
      </c>
      <c r="AF77" s="86">
        <f>IFERROR(__xludf.DUMMYFUNCTION("""COMPUTED_VALUE"""),7800.0)</f>
        <v>7800</v>
      </c>
      <c r="AG77" s="86">
        <f>IFERROR(__xludf.DUMMYFUNCTION("""COMPUTED_VALUE"""),13300.0)</f>
        <v>13300</v>
      </c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72"/>
      <c r="BE77" s="89">
        <v>57000.0</v>
      </c>
      <c r="BF77" s="89">
        <v>83600.0</v>
      </c>
    </row>
    <row r="78">
      <c r="A78" s="104"/>
      <c r="B78" s="80"/>
      <c r="C78" s="104"/>
      <c r="D78" s="80"/>
      <c r="E78" s="80"/>
      <c r="F78" s="80"/>
      <c r="G78" s="80"/>
      <c r="H78" s="104"/>
      <c r="I78" s="80"/>
      <c r="J78" s="80"/>
      <c r="K78" s="80"/>
      <c r="L78" s="80"/>
      <c r="M78" s="80"/>
      <c r="N78" s="80"/>
      <c r="O78" s="80"/>
      <c r="P78" s="80" t="str">
        <f>IFERROR(__xludf.DUMMYFUNCTION("""COMPUTED_VALUE"""),"Normal 1.5 BB")</f>
        <v>Normal 1.5 BB</v>
      </c>
      <c r="Q78" s="80">
        <f>IFERROR(__xludf.DUMMYFUNCTION("""COMPUTED_VALUE"""),2732.0)</f>
        <v>2732</v>
      </c>
      <c r="R78" s="80" t="str">
        <f>IFERROR(__xludf.DUMMYFUNCTION("""COMPUTED_VALUE"""),"27.5*32")</f>
        <v>27.5*32</v>
      </c>
      <c r="S78" s="80">
        <f>IFERROR(__xludf.DUMMYFUNCTION("""COMPUTED_VALUE"""),18.0)</f>
        <v>18</v>
      </c>
      <c r="T78" s="80">
        <f>IFERROR(__xludf.DUMMYFUNCTION("""COMPUTED_VALUE"""),1926.0)</f>
        <v>1926</v>
      </c>
      <c r="U78" s="80" t="str">
        <f>IFERROR(__xludf.DUMMYFUNCTION("""COMPUTED_VALUE"""),"Hard Bound")</f>
        <v>Hard Bound</v>
      </c>
      <c r="V78" s="80"/>
      <c r="W78" s="80"/>
      <c r="X78" s="80"/>
      <c r="Y78" s="80"/>
      <c r="Z78" s="80"/>
      <c r="AA78" s="86">
        <f>IFERROR(__xludf.DUMMYFUNCTION("""COMPUTED_VALUE"""),76081.0)</f>
        <v>76081</v>
      </c>
      <c r="AB78" s="86">
        <f>IFERROR(__xludf.DUMMYFUNCTION("""COMPUTED_VALUE"""),77080.0)</f>
        <v>77080</v>
      </c>
      <c r="AC78" s="86">
        <f>IFERROR(__xludf.DUMMYFUNCTION("""COMPUTED_VALUE"""),9625.0)</f>
        <v>9625</v>
      </c>
      <c r="AD78" s="86">
        <f>IFERROR(__xludf.DUMMYFUNCTION("""COMPUTED_VALUE"""),23100.0)</f>
        <v>23100</v>
      </c>
      <c r="AE78" s="86">
        <f>IFERROR(__xludf.DUMMYFUNCTION("""COMPUTED_VALUE"""),0.15)</f>
        <v>0.15</v>
      </c>
      <c r="AF78" s="86">
        <f>IFERROR(__xludf.DUMMYFUNCTION("""COMPUTED_VALUE"""),7900.0)</f>
        <v>7900</v>
      </c>
      <c r="AG78" s="86">
        <f>IFERROR(__xludf.DUMMYFUNCTION("""COMPUTED_VALUE"""),13475.0)</f>
        <v>13475</v>
      </c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72"/>
      <c r="BE78" s="89">
        <v>57750.0</v>
      </c>
      <c r="BF78" s="89">
        <v>84700.0</v>
      </c>
    </row>
    <row r="79">
      <c r="A79" s="104"/>
      <c r="B79" s="80"/>
      <c r="C79" s="104"/>
      <c r="D79" s="80"/>
      <c r="E79" s="80"/>
      <c r="F79" s="80"/>
      <c r="G79" s="80"/>
      <c r="H79" s="104"/>
      <c r="I79" s="80"/>
      <c r="J79" s="80"/>
      <c r="K79" s="80"/>
      <c r="L79" s="80"/>
      <c r="M79" s="80"/>
      <c r="N79" s="80"/>
      <c r="O79" s="80"/>
      <c r="P79" s="80" t="str">
        <f>IFERROR(__xludf.DUMMYFUNCTION("""COMPUTED_VALUE"""),"Normal 1.7 BB")</f>
        <v>Normal 1.7 BB</v>
      </c>
      <c r="Q79" s="80">
        <f>IFERROR(__xludf.DUMMYFUNCTION("""COMPUTED_VALUE"""),2732.0)</f>
        <v>2732</v>
      </c>
      <c r="R79" s="80" t="str">
        <f>IFERROR(__xludf.DUMMYFUNCTION("""COMPUTED_VALUE"""),"27.5*32")</f>
        <v>27.5*32</v>
      </c>
      <c r="S79" s="80">
        <f>IFERROR(__xludf.DUMMYFUNCTION("""COMPUTED_VALUE"""),20.0)</f>
        <v>20</v>
      </c>
      <c r="T79" s="80">
        <f>IFERROR(__xludf.DUMMYFUNCTION("""COMPUTED_VALUE"""),1926.0)</f>
        <v>1926</v>
      </c>
      <c r="U79" s="80" t="str">
        <f>IFERROR(__xludf.DUMMYFUNCTION("""COMPUTED_VALUE"""),"Hard Bound")</f>
        <v>Hard Bound</v>
      </c>
      <c r="V79" s="80"/>
      <c r="W79" s="80"/>
      <c r="X79" s="80"/>
      <c r="Y79" s="80"/>
      <c r="Z79" s="80"/>
      <c r="AA79" s="86">
        <f>IFERROR(__xludf.DUMMYFUNCTION("""COMPUTED_VALUE"""),77081.0)</f>
        <v>77081</v>
      </c>
      <c r="AB79" s="86">
        <f>IFERROR(__xludf.DUMMYFUNCTION("""COMPUTED_VALUE"""),78080.0)</f>
        <v>78080</v>
      </c>
      <c r="AC79" s="86">
        <f>IFERROR(__xludf.DUMMYFUNCTION("""COMPUTED_VALUE"""),9750.0)</f>
        <v>9750</v>
      </c>
      <c r="AD79" s="86">
        <f>IFERROR(__xludf.DUMMYFUNCTION("""COMPUTED_VALUE"""),23400.0)</f>
        <v>23400</v>
      </c>
      <c r="AE79" s="86">
        <f>IFERROR(__xludf.DUMMYFUNCTION("""COMPUTED_VALUE"""),0.15)</f>
        <v>0.15</v>
      </c>
      <c r="AF79" s="86">
        <f>IFERROR(__xludf.DUMMYFUNCTION("""COMPUTED_VALUE"""),8000.0)</f>
        <v>8000</v>
      </c>
      <c r="AG79" s="86">
        <f>IFERROR(__xludf.DUMMYFUNCTION("""COMPUTED_VALUE"""),13650.0)</f>
        <v>13650</v>
      </c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72"/>
      <c r="BE79" s="89">
        <v>58500.0</v>
      </c>
      <c r="BF79" s="89">
        <v>85800.0</v>
      </c>
    </row>
    <row r="80">
      <c r="A80" s="104"/>
      <c r="B80" s="80"/>
      <c r="C80" s="104"/>
      <c r="D80" s="80"/>
      <c r="E80" s="80"/>
      <c r="F80" s="80"/>
      <c r="G80" s="80"/>
      <c r="H80" s="104"/>
      <c r="I80" s="80"/>
      <c r="J80" s="80"/>
      <c r="K80" s="80"/>
      <c r="L80" s="80"/>
      <c r="M80" s="80"/>
      <c r="N80" s="80"/>
      <c r="O80" s="80"/>
      <c r="P80" s="80" t="str">
        <f>IFERROR(__xludf.DUMMYFUNCTION("""COMPUTED_VALUE"""),"Normal 2.15 BB")</f>
        <v>Normal 2.15 BB</v>
      </c>
      <c r="Q80" s="80">
        <f>IFERROR(__xludf.DUMMYFUNCTION("""COMPUTED_VALUE"""),2732.0)</f>
        <v>2732</v>
      </c>
      <c r="R80" s="80" t="str">
        <f>IFERROR(__xludf.DUMMYFUNCTION("""COMPUTED_VALUE"""),"27.5*32")</f>
        <v>27.5*32</v>
      </c>
      <c r="S80" s="80">
        <f>IFERROR(__xludf.DUMMYFUNCTION("""COMPUTED_VALUE"""),25.0)</f>
        <v>25</v>
      </c>
      <c r="T80" s="80">
        <f>IFERROR(__xludf.DUMMYFUNCTION("""COMPUTED_VALUE"""),1926.0)</f>
        <v>1926</v>
      </c>
      <c r="U80" s="80" t="str">
        <f>IFERROR(__xludf.DUMMYFUNCTION("""COMPUTED_VALUE"""),"Hard Bound")</f>
        <v>Hard Bound</v>
      </c>
      <c r="V80" s="80"/>
      <c r="W80" s="80"/>
      <c r="X80" s="80"/>
      <c r="Y80" s="80"/>
      <c r="Z80" s="80"/>
      <c r="AA80" s="86">
        <f>IFERROR(__xludf.DUMMYFUNCTION("""COMPUTED_VALUE"""),78081.0)</f>
        <v>78081</v>
      </c>
      <c r="AB80" s="86">
        <f>IFERROR(__xludf.DUMMYFUNCTION("""COMPUTED_VALUE"""),79080.0)</f>
        <v>79080</v>
      </c>
      <c r="AC80" s="86">
        <f>IFERROR(__xludf.DUMMYFUNCTION("""COMPUTED_VALUE"""),9875.0)</f>
        <v>9875</v>
      </c>
      <c r="AD80" s="86">
        <f>IFERROR(__xludf.DUMMYFUNCTION("""COMPUTED_VALUE"""),23700.0)</f>
        <v>23700</v>
      </c>
      <c r="AE80" s="86">
        <f>IFERROR(__xludf.DUMMYFUNCTION("""COMPUTED_VALUE"""),0.15)</f>
        <v>0.15</v>
      </c>
      <c r="AF80" s="86">
        <f>IFERROR(__xludf.DUMMYFUNCTION("""COMPUTED_VALUE"""),8100.0)</f>
        <v>8100</v>
      </c>
      <c r="AG80" s="86">
        <f>IFERROR(__xludf.DUMMYFUNCTION("""COMPUTED_VALUE"""),13825.0)</f>
        <v>13825</v>
      </c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72"/>
      <c r="BE80" s="89">
        <v>59250.0</v>
      </c>
      <c r="BF80" s="89">
        <v>86900.0</v>
      </c>
    </row>
    <row r="81">
      <c r="A81" s="104"/>
      <c r="B81" s="80"/>
      <c r="C81" s="104"/>
      <c r="D81" s="80"/>
      <c r="E81" s="80"/>
      <c r="F81" s="80"/>
      <c r="G81" s="80"/>
      <c r="H81" s="104"/>
      <c r="I81" s="80"/>
      <c r="J81" s="80"/>
      <c r="K81" s="80"/>
      <c r="L81" s="80"/>
      <c r="M81" s="80"/>
      <c r="N81" s="80"/>
      <c r="O81" s="80"/>
      <c r="P81" s="80" t="str">
        <f>IFERROR(__xludf.DUMMYFUNCTION("""COMPUTED_VALUE"""),"Star 1 GB")</f>
        <v>Star 1 GB</v>
      </c>
      <c r="Q81" s="80">
        <f>IFERROR(__xludf.DUMMYFUNCTION("""COMPUTED_VALUE"""),3141.0)</f>
        <v>3141</v>
      </c>
      <c r="R81" s="80" t="str">
        <f>IFERROR(__xludf.DUMMYFUNCTION("""COMPUTED_VALUE"""),"31*41")</f>
        <v>31*41</v>
      </c>
      <c r="S81" s="80">
        <f>IFERROR(__xludf.DUMMYFUNCTION("""COMPUTED_VALUE"""),34.0)</f>
        <v>34</v>
      </c>
      <c r="T81" s="80">
        <f>IFERROR(__xludf.DUMMYFUNCTION("""COMPUTED_VALUE"""),1926.0)</f>
        <v>1926</v>
      </c>
      <c r="U81" s="80" t="str">
        <f>IFERROR(__xludf.DUMMYFUNCTION("""COMPUTED_VALUE"""),"Hard Bound")</f>
        <v>Hard Bound</v>
      </c>
      <c r="V81" s="80"/>
      <c r="W81" s="80"/>
      <c r="X81" s="80"/>
      <c r="Y81" s="80"/>
      <c r="Z81" s="80"/>
      <c r="AA81" s="86">
        <f>IFERROR(__xludf.DUMMYFUNCTION("""COMPUTED_VALUE"""),79081.0)</f>
        <v>79081</v>
      </c>
      <c r="AB81" s="86">
        <f>IFERROR(__xludf.DUMMYFUNCTION("""COMPUTED_VALUE"""),80080.0)</f>
        <v>80080</v>
      </c>
      <c r="AC81" s="86">
        <f>IFERROR(__xludf.DUMMYFUNCTION("""COMPUTED_VALUE"""),10000.0)</f>
        <v>10000</v>
      </c>
      <c r="AD81" s="86">
        <f>IFERROR(__xludf.DUMMYFUNCTION("""COMPUTED_VALUE"""),24000.0)</f>
        <v>24000</v>
      </c>
      <c r="AE81" s="86">
        <f>IFERROR(__xludf.DUMMYFUNCTION("""COMPUTED_VALUE"""),0.15)</f>
        <v>0.15</v>
      </c>
      <c r="AF81" s="86">
        <f>IFERROR(__xludf.DUMMYFUNCTION("""COMPUTED_VALUE"""),8200.0)</f>
        <v>8200</v>
      </c>
      <c r="AG81" s="86">
        <f>IFERROR(__xludf.DUMMYFUNCTION("""COMPUTED_VALUE"""),14000.0)</f>
        <v>14000</v>
      </c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72"/>
      <c r="BE81" s="89">
        <v>60000.0</v>
      </c>
      <c r="BF81" s="89">
        <v>88000.0</v>
      </c>
    </row>
    <row r="82">
      <c r="A82" s="104"/>
      <c r="B82" s="80"/>
      <c r="C82" s="104"/>
      <c r="D82" s="80"/>
      <c r="E82" s="80"/>
      <c r="F82" s="80"/>
      <c r="G82" s="80"/>
      <c r="H82" s="104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6">
        <f>IFERROR(__xludf.DUMMYFUNCTION("""COMPUTED_VALUE"""),80081.0)</f>
        <v>80081</v>
      </c>
      <c r="AB82" s="86">
        <f>IFERROR(__xludf.DUMMYFUNCTION("""COMPUTED_VALUE"""),81080.0)</f>
        <v>81080</v>
      </c>
      <c r="AC82" s="86">
        <f>IFERROR(__xludf.DUMMYFUNCTION("""COMPUTED_VALUE"""),10125.0)</f>
        <v>10125</v>
      </c>
      <c r="AD82" s="86">
        <f>IFERROR(__xludf.DUMMYFUNCTION("""COMPUTED_VALUE"""),24300.0)</f>
        <v>24300</v>
      </c>
      <c r="AE82" s="86">
        <f>IFERROR(__xludf.DUMMYFUNCTION("""COMPUTED_VALUE"""),0.15)</f>
        <v>0.15</v>
      </c>
      <c r="AF82" s="86">
        <f>IFERROR(__xludf.DUMMYFUNCTION("""COMPUTED_VALUE"""),8300.0)</f>
        <v>8300</v>
      </c>
      <c r="AG82" s="86">
        <f>IFERROR(__xludf.DUMMYFUNCTION("""COMPUTED_VALUE"""),14175.0)</f>
        <v>14175</v>
      </c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72"/>
      <c r="BE82" s="89">
        <v>60750.0</v>
      </c>
      <c r="BF82" s="89">
        <v>89100.0</v>
      </c>
    </row>
    <row r="83">
      <c r="A83" s="104"/>
      <c r="B83" s="80"/>
      <c r="C83" s="104"/>
      <c r="D83" s="80"/>
      <c r="E83" s="80"/>
      <c r="F83" s="80"/>
      <c r="G83" s="80"/>
      <c r="H83" s="104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6">
        <f>IFERROR(__xludf.DUMMYFUNCTION("""COMPUTED_VALUE"""),81081.0)</f>
        <v>81081</v>
      </c>
      <c r="AB83" s="86">
        <f>IFERROR(__xludf.DUMMYFUNCTION("""COMPUTED_VALUE"""),82080.0)</f>
        <v>82080</v>
      </c>
      <c r="AC83" s="86">
        <f>IFERROR(__xludf.DUMMYFUNCTION("""COMPUTED_VALUE"""),10250.0)</f>
        <v>10250</v>
      </c>
      <c r="AD83" s="86">
        <f>IFERROR(__xludf.DUMMYFUNCTION("""COMPUTED_VALUE"""),24600.0)</f>
        <v>24600</v>
      </c>
      <c r="AE83" s="86">
        <f>IFERROR(__xludf.DUMMYFUNCTION("""COMPUTED_VALUE"""),0.15)</f>
        <v>0.15</v>
      </c>
      <c r="AF83" s="86">
        <f>IFERROR(__xludf.DUMMYFUNCTION("""COMPUTED_VALUE"""),8400.0)</f>
        <v>8400</v>
      </c>
      <c r="AG83" s="86">
        <f>IFERROR(__xludf.DUMMYFUNCTION("""COMPUTED_VALUE"""),14350.0)</f>
        <v>14350</v>
      </c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72"/>
      <c r="BE83" s="89">
        <v>61500.0</v>
      </c>
      <c r="BF83" s="89">
        <v>90200.0</v>
      </c>
    </row>
    <row r="84">
      <c r="A84" s="104"/>
      <c r="B84" s="80"/>
      <c r="C84" s="104"/>
      <c r="D84" s="80"/>
      <c r="E84" s="80"/>
      <c r="F84" s="80"/>
      <c r="G84" s="80"/>
      <c r="H84" s="104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6">
        <f>IFERROR(__xludf.DUMMYFUNCTION("""COMPUTED_VALUE"""),82081.0)</f>
        <v>82081</v>
      </c>
      <c r="AB84" s="86">
        <f>IFERROR(__xludf.DUMMYFUNCTION("""COMPUTED_VALUE"""),83080.0)</f>
        <v>83080</v>
      </c>
      <c r="AC84" s="86">
        <f>IFERROR(__xludf.DUMMYFUNCTION("""COMPUTED_VALUE"""),10375.0)</f>
        <v>10375</v>
      </c>
      <c r="AD84" s="86">
        <f>IFERROR(__xludf.DUMMYFUNCTION("""COMPUTED_VALUE"""),24900.0)</f>
        <v>24900</v>
      </c>
      <c r="AE84" s="86">
        <f>IFERROR(__xludf.DUMMYFUNCTION("""COMPUTED_VALUE"""),0.15)</f>
        <v>0.15</v>
      </c>
      <c r="AF84" s="86">
        <f>IFERROR(__xludf.DUMMYFUNCTION("""COMPUTED_VALUE"""),8500.0)</f>
        <v>8500</v>
      </c>
      <c r="AG84" s="86">
        <f>IFERROR(__xludf.DUMMYFUNCTION("""COMPUTED_VALUE"""),14525.0)</f>
        <v>14525</v>
      </c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72"/>
      <c r="BE84" s="89">
        <v>62250.0</v>
      </c>
      <c r="BF84" s="89">
        <v>91300.0</v>
      </c>
    </row>
    <row r="85">
      <c r="A85" s="104"/>
      <c r="B85" s="80"/>
      <c r="C85" s="104"/>
      <c r="D85" s="80"/>
      <c r="E85" s="80"/>
      <c r="F85" s="80"/>
      <c r="G85" s="80"/>
      <c r="H85" s="104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6">
        <f>IFERROR(__xludf.DUMMYFUNCTION("""COMPUTED_VALUE"""),83081.0)</f>
        <v>83081</v>
      </c>
      <c r="AB85" s="86">
        <f>IFERROR(__xludf.DUMMYFUNCTION("""COMPUTED_VALUE"""),84080.0)</f>
        <v>84080</v>
      </c>
      <c r="AC85" s="86">
        <f>IFERROR(__xludf.DUMMYFUNCTION("""COMPUTED_VALUE"""),10500.0)</f>
        <v>10500</v>
      </c>
      <c r="AD85" s="86">
        <f>IFERROR(__xludf.DUMMYFUNCTION("""COMPUTED_VALUE"""),25200.0)</f>
        <v>25200</v>
      </c>
      <c r="AE85" s="86">
        <f>IFERROR(__xludf.DUMMYFUNCTION("""COMPUTED_VALUE"""),0.15)</f>
        <v>0.15</v>
      </c>
      <c r="AF85" s="86">
        <f>IFERROR(__xludf.DUMMYFUNCTION("""COMPUTED_VALUE"""),8600.0)</f>
        <v>8600</v>
      </c>
      <c r="AG85" s="86">
        <f>IFERROR(__xludf.DUMMYFUNCTION("""COMPUTED_VALUE"""),14700.0)</f>
        <v>14700</v>
      </c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72"/>
      <c r="BE85" s="89">
        <v>63000.0</v>
      </c>
      <c r="BF85" s="89">
        <v>92400.0</v>
      </c>
    </row>
    <row r="86">
      <c r="A86" s="104"/>
      <c r="B86" s="80"/>
      <c r="C86" s="104"/>
      <c r="D86" s="80"/>
      <c r="E86" s="80"/>
      <c r="F86" s="80"/>
      <c r="G86" s="80"/>
      <c r="H86" s="104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6">
        <f>IFERROR(__xludf.DUMMYFUNCTION("""COMPUTED_VALUE"""),84081.0)</f>
        <v>84081</v>
      </c>
      <c r="AB86" s="86">
        <f>IFERROR(__xludf.DUMMYFUNCTION("""COMPUTED_VALUE"""),85080.0)</f>
        <v>85080</v>
      </c>
      <c r="AC86" s="86">
        <f>IFERROR(__xludf.DUMMYFUNCTION("""COMPUTED_VALUE"""),10625.0)</f>
        <v>10625</v>
      </c>
      <c r="AD86" s="86">
        <f>IFERROR(__xludf.DUMMYFUNCTION("""COMPUTED_VALUE"""),25500.0)</f>
        <v>25500</v>
      </c>
      <c r="AE86" s="86">
        <f>IFERROR(__xludf.DUMMYFUNCTION("""COMPUTED_VALUE"""),0.15)</f>
        <v>0.15</v>
      </c>
      <c r="AF86" s="86">
        <f>IFERROR(__xludf.DUMMYFUNCTION("""COMPUTED_VALUE"""),8700.0)</f>
        <v>8700</v>
      </c>
      <c r="AG86" s="86">
        <f>IFERROR(__xludf.DUMMYFUNCTION("""COMPUTED_VALUE"""),14875.0)</f>
        <v>14875</v>
      </c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72"/>
      <c r="BE86" s="89">
        <v>63750.0</v>
      </c>
      <c r="BF86" s="89">
        <v>93500.0</v>
      </c>
    </row>
    <row r="87">
      <c r="A87" s="104"/>
      <c r="B87" s="80"/>
      <c r="C87" s="104"/>
      <c r="D87" s="80"/>
      <c r="E87" s="80"/>
      <c r="F87" s="80"/>
      <c r="G87" s="80"/>
      <c r="H87" s="104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6">
        <f>IFERROR(__xludf.DUMMYFUNCTION("""COMPUTED_VALUE"""),85081.0)</f>
        <v>85081</v>
      </c>
      <c r="AB87" s="86">
        <f>IFERROR(__xludf.DUMMYFUNCTION("""COMPUTED_VALUE"""),86080.0)</f>
        <v>86080</v>
      </c>
      <c r="AC87" s="86">
        <f>IFERROR(__xludf.DUMMYFUNCTION("""COMPUTED_VALUE"""),10750.0)</f>
        <v>10750</v>
      </c>
      <c r="AD87" s="86">
        <f>IFERROR(__xludf.DUMMYFUNCTION("""COMPUTED_VALUE"""),25800.0)</f>
        <v>25800</v>
      </c>
      <c r="AE87" s="86">
        <f>IFERROR(__xludf.DUMMYFUNCTION("""COMPUTED_VALUE"""),0.15)</f>
        <v>0.15</v>
      </c>
      <c r="AF87" s="86">
        <f>IFERROR(__xludf.DUMMYFUNCTION("""COMPUTED_VALUE"""),8800.0)</f>
        <v>8800</v>
      </c>
      <c r="AG87" s="86">
        <f>IFERROR(__xludf.DUMMYFUNCTION("""COMPUTED_VALUE"""),15050.0)</f>
        <v>15050</v>
      </c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72"/>
      <c r="BE87" s="89">
        <v>64500.0</v>
      </c>
      <c r="BF87" s="89">
        <v>94600.0</v>
      </c>
    </row>
    <row r="88">
      <c r="A88" s="104"/>
      <c r="B88" s="80"/>
      <c r="C88" s="104"/>
      <c r="D88" s="80"/>
      <c r="E88" s="80"/>
      <c r="F88" s="80"/>
      <c r="G88" s="80"/>
      <c r="H88" s="104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6">
        <f>IFERROR(__xludf.DUMMYFUNCTION("""COMPUTED_VALUE"""),86081.0)</f>
        <v>86081</v>
      </c>
      <c r="AB88" s="86">
        <f>IFERROR(__xludf.DUMMYFUNCTION("""COMPUTED_VALUE"""),87080.0)</f>
        <v>87080</v>
      </c>
      <c r="AC88" s="86">
        <f>IFERROR(__xludf.DUMMYFUNCTION("""COMPUTED_VALUE"""),10875.0)</f>
        <v>10875</v>
      </c>
      <c r="AD88" s="86">
        <f>IFERROR(__xludf.DUMMYFUNCTION("""COMPUTED_VALUE"""),26100.0)</f>
        <v>26100</v>
      </c>
      <c r="AE88" s="86">
        <f>IFERROR(__xludf.DUMMYFUNCTION("""COMPUTED_VALUE"""),0.15)</f>
        <v>0.15</v>
      </c>
      <c r="AF88" s="86">
        <f>IFERROR(__xludf.DUMMYFUNCTION("""COMPUTED_VALUE"""),8900.0)</f>
        <v>8900</v>
      </c>
      <c r="AG88" s="86">
        <f>IFERROR(__xludf.DUMMYFUNCTION("""COMPUTED_VALUE"""),15225.0)</f>
        <v>15225</v>
      </c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72"/>
      <c r="BE88" s="89">
        <v>65250.0</v>
      </c>
      <c r="BF88" s="89">
        <v>95700.0</v>
      </c>
    </row>
    <row r="89">
      <c r="A89" s="104"/>
      <c r="B89" s="80"/>
      <c r="C89" s="104"/>
      <c r="D89" s="80"/>
      <c r="E89" s="80"/>
      <c r="F89" s="80"/>
      <c r="G89" s="80"/>
      <c r="H89" s="104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6">
        <f>IFERROR(__xludf.DUMMYFUNCTION("""COMPUTED_VALUE"""),87081.0)</f>
        <v>87081</v>
      </c>
      <c r="AB89" s="86">
        <f>IFERROR(__xludf.DUMMYFUNCTION("""COMPUTED_VALUE"""),88080.0)</f>
        <v>88080</v>
      </c>
      <c r="AC89" s="86">
        <f>IFERROR(__xludf.DUMMYFUNCTION("""COMPUTED_VALUE"""),11000.0)</f>
        <v>11000</v>
      </c>
      <c r="AD89" s="86">
        <f>IFERROR(__xludf.DUMMYFUNCTION("""COMPUTED_VALUE"""),26400.0)</f>
        <v>26400</v>
      </c>
      <c r="AE89" s="86">
        <f>IFERROR(__xludf.DUMMYFUNCTION("""COMPUTED_VALUE"""),0.15)</f>
        <v>0.15</v>
      </c>
      <c r="AF89" s="86">
        <f>IFERROR(__xludf.DUMMYFUNCTION("""COMPUTED_VALUE"""),9000.0)</f>
        <v>9000</v>
      </c>
      <c r="AG89" s="86">
        <f>IFERROR(__xludf.DUMMYFUNCTION("""COMPUTED_VALUE"""),15400.0)</f>
        <v>15400</v>
      </c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72"/>
      <c r="BE89" s="89">
        <v>66000.0</v>
      </c>
      <c r="BF89" s="89">
        <v>96800.0</v>
      </c>
    </row>
    <row r="90">
      <c r="A90" s="104"/>
      <c r="B90" s="80"/>
      <c r="C90" s="104"/>
      <c r="D90" s="80"/>
      <c r="E90" s="80"/>
      <c r="F90" s="80"/>
      <c r="G90" s="80"/>
      <c r="H90" s="104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6">
        <f>IFERROR(__xludf.DUMMYFUNCTION("""COMPUTED_VALUE"""),88081.0)</f>
        <v>88081</v>
      </c>
      <c r="AB90" s="86">
        <f>IFERROR(__xludf.DUMMYFUNCTION("""COMPUTED_VALUE"""),89080.0)</f>
        <v>89080</v>
      </c>
      <c r="AC90" s="86">
        <f>IFERROR(__xludf.DUMMYFUNCTION("""COMPUTED_VALUE"""),11125.0)</f>
        <v>11125</v>
      </c>
      <c r="AD90" s="86">
        <f>IFERROR(__xludf.DUMMYFUNCTION("""COMPUTED_VALUE"""),26700.0)</f>
        <v>26700</v>
      </c>
      <c r="AE90" s="86">
        <f>IFERROR(__xludf.DUMMYFUNCTION("""COMPUTED_VALUE"""),0.15)</f>
        <v>0.15</v>
      </c>
      <c r="AF90" s="86">
        <f>IFERROR(__xludf.DUMMYFUNCTION("""COMPUTED_VALUE"""),9100.0)</f>
        <v>9100</v>
      </c>
      <c r="AG90" s="86">
        <f>IFERROR(__xludf.DUMMYFUNCTION("""COMPUTED_VALUE"""),15575.0)</f>
        <v>15575</v>
      </c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72"/>
      <c r="BE90" s="89">
        <v>66750.0</v>
      </c>
      <c r="BF90" s="89">
        <v>97900.0</v>
      </c>
    </row>
    <row r="91">
      <c r="A91" s="104"/>
      <c r="B91" s="80"/>
      <c r="C91" s="104"/>
      <c r="D91" s="80"/>
      <c r="E91" s="80"/>
      <c r="F91" s="80"/>
      <c r="G91" s="80"/>
      <c r="H91" s="104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6">
        <f>IFERROR(__xludf.DUMMYFUNCTION("""COMPUTED_VALUE"""),89081.0)</f>
        <v>89081</v>
      </c>
      <c r="AB91" s="86">
        <f>IFERROR(__xludf.DUMMYFUNCTION("""COMPUTED_VALUE"""),90080.0)</f>
        <v>90080</v>
      </c>
      <c r="AC91" s="86">
        <f>IFERROR(__xludf.DUMMYFUNCTION("""COMPUTED_VALUE"""),11250.0)</f>
        <v>11250</v>
      </c>
      <c r="AD91" s="86">
        <f>IFERROR(__xludf.DUMMYFUNCTION("""COMPUTED_VALUE"""),27000.0)</f>
        <v>27000</v>
      </c>
      <c r="AE91" s="86">
        <f>IFERROR(__xludf.DUMMYFUNCTION("""COMPUTED_VALUE"""),0.15)</f>
        <v>0.15</v>
      </c>
      <c r="AF91" s="86">
        <f>IFERROR(__xludf.DUMMYFUNCTION("""COMPUTED_VALUE"""),9200.0)</f>
        <v>9200</v>
      </c>
      <c r="AG91" s="86">
        <f>IFERROR(__xludf.DUMMYFUNCTION("""COMPUTED_VALUE"""),15750.0)</f>
        <v>15750</v>
      </c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72"/>
      <c r="BE91" s="89">
        <v>67500.0</v>
      </c>
      <c r="BF91" s="89">
        <v>99000.0</v>
      </c>
    </row>
    <row r="92">
      <c r="A92" s="104"/>
      <c r="B92" s="80"/>
      <c r="C92" s="104"/>
      <c r="D92" s="80"/>
      <c r="E92" s="80"/>
      <c r="F92" s="80"/>
      <c r="G92" s="80"/>
      <c r="H92" s="104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6">
        <f>IFERROR(__xludf.DUMMYFUNCTION("""COMPUTED_VALUE"""),90081.0)</f>
        <v>90081</v>
      </c>
      <c r="AB92" s="86">
        <f>IFERROR(__xludf.DUMMYFUNCTION("""COMPUTED_VALUE"""),91080.0)</f>
        <v>91080</v>
      </c>
      <c r="AC92" s="86">
        <f>IFERROR(__xludf.DUMMYFUNCTION("""COMPUTED_VALUE"""),11375.0)</f>
        <v>11375</v>
      </c>
      <c r="AD92" s="86">
        <f>IFERROR(__xludf.DUMMYFUNCTION("""COMPUTED_VALUE"""),27300.0)</f>
        <v>27300</v>
      </c>
      <c r="AE92" s="86">
        <f>IFERROR(__xludf.DUMMYFUNCTION("""COMPUTED_VALUE"""),0.15)</f>
        <v>0.15</v>
      </c>
      <c r="AF92" s="86">
        <f>IFERROR(__xludf.DUMMYFUNCTION("""COMPUTED_VALUE"""),9300.0)</f>
        <v>9300</v>
      </c>
      <c r="AG92" s="86">
        <f>IFERROR(__xludf.DUMMYFUNCTION("""COMPUTED_VALUE"""),15925.0)</f>
        <v>15925</v>
      </c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72"/>
      <c r="BE92" s="89">
        <v>68250.0</v>
      </c>
      <c r="BF92" s="89">
        <v>100100.0</v>
      </c>
    </row>
    <row r="93">
      <c r="A93" s="104"/>
      <c r="B93" s="80"/>
      <c r="C93" s="104"/>
      <c r="D93" s="80"/>
      <c r="E93" s="80"/>
      <c r="F93" s="80"/>
      <c r="G93" s="80"/>
      <c r="H93" s="104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6">
        <f>IFERROR(__xludf.DUMMYFUNCTION("""COMPUTED_VALUE"""),91081.0)</f>
        <v>91081</v>
      </c>
      <c r="AB93" s="86">
        <f>IFERROR(__xludf.DUMMYFUNCTION("""COMPUTED_VALUE"""),92080.0)</f>
        <v>92080</v>
      </c>
      <c r="AC93" s="86">
        <f>IFERROR(__xludf.DUMMYFUNCTION("""COMPUTED_VALUE"""),11500.0)</f>
        <v>11500</v>
      </c>
      <c r="AD93" s="86">
        <f>IFERROR(__xludf.DUMMYFUNCTION("""COMPUTED_VALUE"""),27600.0)</f>
        <v>27600</v>
      </c>
      <c r="AE93" s="86">
        <f>IFERROR(__xludf.DUMMYFUNCTION("""COMPUTED_VALUE"""),0.15)</f>
        <v>0.15</v>
      </c>
      <c r="AF93" s="86">
        <f>IFERROR(__xludf.DUMMYFUNCTION("""COMPUTED_VALUE"""),9400.0)</f>
        <v>9400</v>
      </c>
      <c r="AG93" s="86">
        <f>IFERROR(__xludf.DUMMYFUNCTION("""COMPUTED_VALUE"""),16100.0)</f>
        <v>16100</v>
      </c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72"/>
      <c r="BE93" s="89">
        <v>69000.0</v>
      </c>
      <c r="BF93" s="89">
        <v>101200.0</v>
      </c>
    </row>
    <row r="94">
      <c r="A94" s="104"/>
      <c r="B94" s="80"/>
      <c r="C94" s="104"/>
      <c r="D94" s="80"/>
      <c r="E94" s="80"/>
      <c r="F94" s="80"/>
      <c r="G94" s="80"/>
      <c r="H94" s="104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6">
        <f>IFERROR(__xludf.DUMMYFUNCTION("""COMPUTED_VALUE"""),92081.0)</f>
        <v>92081</v>
      </c>
      <c r="AB94" s="86">
        <f>IFERROR(__xludf.DUMMYFUNCTION("""COMPUTED_VALUE"""),93080.0)</f>
        <v>93080</v>
      </c>
      <c r="AC94" s="86">
        <f>IFERROR(__xludf.DUMMYFUNCTION("""COMPUTED_VALUE"""),11625.0)</f>
        <v>11625</v>
      </c>
      <c r="AD94" s="86">
        <f>IFERROR(__xludf.DUMMYFUNCTION("""COMPUTED_VALUE"""),27900.0)</f>
        <v>27900</v>
      </c>
      <c r="AE94" s="86">
        <f>IFERROR(__xludf.DUMMYFUNCTION("""COMPUTED_VALUE"""),0.15)</f>
        <v>0.15</v>
      </c>
      <c r="AF94" s="86">
        <f>IFERROR(__xludf.DUMMYFUNCTION("""COMPUTED_VALUE"""),9500.0)</f>
        <v>9500</v>
      </c>
      <c r="AG94" s="86">
        <f>IFERROR(__xludf.DUMMYFUNCTION("""COMPUTED_VALUE"""),16275.0)</f>
        <v>16275</v>
      </c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72"/>
      <c r="BE94" s="89">
        <v>69750.0</v>
      </c>
      <c r="BF94" s="89">
        <v>102300.0</v>
      </c>
    </row>
    <row r="95">
      <c r="A95" s="104" t="str">
        <f>IFERROR(__xludf.DUMMYFUNCTION("""COMPUTED_VALUE"""),"#REF!")</f>
        <v>#REF!</v>
      </c>
      <c r="B95" s="80"/>
      <c r="C95" s="104"/>
      <c r="D95" s="80"/>
      <c r="E95" s="80"/>
      <c r="F95" s="80"/>
      <c r="G95" s="80"/>
      <c r="H95" s="104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6">
        <f>IFERROR(__xludf.DUMMYFUNCTION("""COMPUTED_VALUE"""),93081.0)</f>
        <v>93081</v>
      </c>
      <c r="AB95" s="86">
        <f>IFERROR(__xludf.DUMMYFUNCTION("""COMPUTED_VALUE"""),94080.0)</f>
        <v>94080</v>
      </c>
      <c r="AC95" s="86">
        <f>IFERROR(__xludf.DUMMYFUNCTION("""COMPUTED_VALUE"""),11750.0)</f>
        <v>11750</v>
      </c>
      <c r="AD95" s="86">
        <f>IFERROR(__xludf.DUMMYFUNCTION("""COMPUTED_VALUE"""),28200.0)</f>
        <v>28200</v>
      </c>
      <c r="AE95" s="86">
        <f>IFERROR(__xludf.DUMMYFUNCTION("""COMPUTED_VALUE"""),0.15)</f>
        <v>0.15</v>
      </c>
      <c r="AF95" s="86">
        <f>IFERROR(__xludf.DUMMYFUNCTION("""COMPUTED_VALUE"""),9600.0)</f>
        <v>9600</v>
      </c>
      <c r="AG95" s="86">
        <f>IFERROR(__xludf.DUMMYFUNCTION("""COMPUTED_VALUE"""),16450.0)</f>
        <v>16450</v>
      </c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72"/>
      <c r="BE95" s="89">
        <v>70500.0</v>
      </c>
      <c r="BF95" s="89">
        <v>103400.0</v>
      </c>
    </row>
    <row r="96">
      <c r="A96" s="104" t="str">
        <f>IFERROR(__xludf.DUMMYFUNCTION("""COMPUTED_VALUE"""),"#REF!")</f>
        <v>#REF!</v>
      </c>
      <c r="B96" s="80"/>
      <c r="C96" s="104"/>
      <c r="D96" s="80"/>
      <c r="E96" s="80"/>
      <c r="F96" s="80"/>
      <c r="G96" s="80"/>
      <c r="H96" s="104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6">
        <f>IFERROR(__xludf.DUMMYFUNCTION("""COMPUTED_VALUE"""),94081.0)</f>
        <v>94081</v>
      </c>
      <c r="AB96" s="86">
        <f>IFERROR(__xludf.DUMMYFUNCTION("""COMPUTED_VALUE"""),95080.0)</f>
        <v>95080</v>
      </c>
      <c r="AC96" s="86">
        <f>IFERROR(__xludf.DUMMYFUNCTION("""COMPUTED_VALUE"""),11875.0)</f>
        <v>11875</v>
      </c>
      <c r="AD96" s="86">
        <f>IFERROR(__xludf.DUMMYFUNCTION("""COMPUTED_VALUE"""),28500.0)</f>
        <v>28500</v>
      </c>
      <c r="AE96" s="86">
        <f>IFERROR(__xludf.DUMMYFUNCTION("""COMPUTED_VALUE"""),0.15)</f>
        <v>0.15</v>
      </c>
      <c r="AF96" s="86">
        <f>IFERROR(__xludf.DUMMYFUNCTION("""COMPUTED_VALUE"""),9700.0)</f>
        <v>9700</v>
      </c>
      <c r="AG96" s="86">
        <f>IFERROR(__xludf.DUMMYFUNCTION("""COMPUTED_VALUE"""),16625.0)</f>
        <v>16625</v>
      </c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72"/>
      <c r="BE96" s="89">
        <v>71250.0</v>
      </c>
      <c r="BF96" s="89">
        <v>104500.0</v>
      </c>
    </row>
    <row r="97">
      <c r="A97" s="104" t="str">
        <f>IFERROR(__xludf.DUMMYFUNCTION("""COMPUTED_VALUE"""),"#REF!")</f>
        <v>#REF!</v>
      </c>
      <c r="B97" s="80"/>
      <c r="C97" s="104"/>
      <c r="D97" s="80"/>
      <c r="E97" s="80"/>
      <c r="F97" s="80"/>
      <c r="G97" s="80"/>
      <c r="H97" s="104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6">
        <f>IFERROR(__xludf.DUMMYFUNCTION("""COMPUTED_VALUE"""),95081.0)</f>
        <v>95081</v>
      </c>
      <c r="AB97" s="86">
        <f>IFERROR(__xludf.DUMMYFUNCTION("""COMPUTED_VALUE"""),96080.0)</f>
        <v>96080</v>
      </c>
      <c r="AC97" s="86">
        <f>IFERROR(__xludf.DUMMYFUNCTION("""COMPUTED_VALUE"""),12000.0)</f>
        <v>12000</v>
      </c>
      <c r="AD97" s="86">
        <f>IFERROR(__xludf.DUMMYFUNCTION("""COMPUTED_VALUE"""),28800.0)</f>
        <v>28800</v>
      </c>
      <c r="AE97" s="86">
        <f>IFERROR(__xludf.DUMMYFUNCTION("""COMPUTED_VALUE"""),0.15)</f>
        <v>0.15</v>
      </c>
      <c r="AF97" s="86">
        <f>IFERROR(__xludf.DUMMYFUNCTION("""COMPUTED_VALUE"""),9800.0)</f>
        <v>9800</v>
      </c>
      <c r="AG97" s="86">
        <f>IFERROR(__xludf.DUMMYFUNCTION("""COMPUTED_VALUE"""),16800.0)</f>
        <v>16800</v>
      </c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72"/>
      <c r="BE97" s="89">
        <v>72000.0</v>
      </c>
      <c r="BF97" s="89">
        <v>105600.0</v>
      </c>
    </row>
    <row r="98">
      <c r="A98" s="104"/>
      <c r="B98" s="80"/>
      <c r="C98" s="104"/>
      <c r="D98" s="80"/>
      <c r="E98" s="80"/>
      <c r="F98" s="80"/>
      <c r="G98" s="80"/>
      <c r="H98" s="104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6">
        <f>IFERROR(__xludf.DUMMYFUNCTION("""COMPUTED_VALUE"""),96081.0)</f>
        <v>96081</v>
      </c>
      <c r="AB98" s="86">
        <f>IFERROR(__xludf.DUMMYFUNCTION("""COMPUTED_VALUE"""),97080.0)</f>
        <v>97080</v>
      </c>
      <c r="AC98" s="86">
        <f>IFERROR(__xludf.DUMMYFUNCTION("""COMPUTED_VALUE"""),12125.0)</f>
        <v>12125</v>
      </c>
      <c r="AD98" s="86">
        <f>IFERROR(__xludf.DUMMYFUNCTION("""COMPUTED_VALUE"""),29100.0)</f>
        <v>29100</v>
      </c>
      <c r="AE98" s="86">
        <f>IFERROR(__xludf.DUMMYFUNCTION("""COMPUTED_VALUE"""),0.15)</f>
        <v>0.15</v>
      </c>
      <c r="AF98" s="86">
        <f>IFERROR(__xludf.DUMMYFUNCTION("""COMPUTED_VALUE"""),9900.0)</f>
        <v>9900</v>
      </c>
      <c r="AG98" s="86">
        <f>IFERROR(__xludf.DUMMYFUNCTION("""COMPUTED_VALUE"""),16975.0)</f>
        <v>16975</v>
      </c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72"/>
      <c r="BE98" s="89">
        <v>72750.0</v>
      </c>
      <c r="BF98" s="89">
        <v>106700.0</v>
      </c>
    </row>
    <row r="99">
      <c r="A99" s="104"/>
      <c r="B99" s="80"/>
      <c r="C99" s="104"/>
      <c r="D99" s="80"/>
      <c r="E99" s="80"/>
      <c r="F99" s="80"/>
      <c r="G99" s="80"/>
      <c r="H99" s="104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6">
        <f>IFERROR(__xludf.DUMMYFUNCTION("""COMPUTED_VALUE"""),97081.0)</f>
        <v>97081</v>
      </c>
      <c r="AB99" s="86">
        <f>IFERROR(__xludf.DUMMYFUNCTION("""COMPUTED_VALUE"""),98080.0)</f>
        <v>98080</v>
      </c>
      <c r="AC99" s="86">
        <f>IFERROR(__xludf.DUMMYFUNCTION("""COMPUTED_VALUE"""),12250.0)</f>
        <v>12250</v>
      </c>
      <c r="AD99" s="86">
        <f>IFERROR(__xludf.DUMMYFUNCTION("""COMPUTED_VALUE"""),29400.0)</f>
        <v>29400</v>
      </c>
      <c r="AE99" s="86">
        <f>IFERROR(__xludf.DUMMYFUNCTION("""COMPUTED_VALUE"""),0.15)</f>
        <v>0.15</v>
      </c>
      <c r="AF99" s="86">
        <f>IFERROR(__xludf.DUMMYFUNCTION("""COMPUTED_VALUE"""),10000.0)</f>
        <v>10000</v>
      </c>
      <c r="AG99" s="86">
        <f>IFERROR(__xludf.DUMMYFUNCTION("""COMPUTED_VALUE"""),17150.0)</f>
        <v>17150</v>
      </c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72"/>
      <c r="BE99" s="89">
        <v>73500.0</v>
      </c>
      <c r="BF99" s="89">
        <v>107800.0</v>
      </c>
    </row>
    <row r="100">
      <c r="A100" s="104"/>
      <c r="B100" s="80"/>
      <c r="C100" s="104"/>
      <c r="D100" s="80"/>
      <c r="E100" s="80"/>
      <c r="F100" s="80"/>
      <c r="G100" s="80"/>
      <c r="H100" s="104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6">
        <f>IFERROR(__xludf.DUMMYFUNCTION("""COMPUTED_VALUE"""),98081.0)</f>
        <v>98081</v>
      </c>
      <c r="AB100" s="86">
        <f>IFERROR(__xludf.DUMMYFUNCTION("""COMPUTED_VALUE"""),99080.0)</f>
        <v>99080</v>
      </c>
      <c r="AC100" s="86">
        <f>IFERROR(__xludf.DUMMYFUNCTION("""COMPUTED_VALUE"""),12375.0)</f>
        <v>12375</v>
      </c>
      <c r="AD100" s="86">
        <f>IFERROR(__xludf.DUMMYFUNCTION("""COMPUTED_VALUE"""),29700.0)</f>
        <v>29700</v>
      </c>
      <c r="AE100" s="86">
        <f>IFERROR(__xludf.DUMMYFUNCTION("""COMPUTED_VALUE"""),0.15)</f>
        <v>0.15</v>
      </c>
      <c r="AF100" s="86">
        <f>IFERROR(__xludf.DUMMYFUNCTION("""COMPUTED_VALUE"""),10100.0)</f>
        <v>10100</v>
      </c>
      <c r="AG100" s="86">
        <f>IFERROR(__xludf.DUMMYFUNCTION("""COMPUTED_VALUE"""),17325.0)</f>
        <v>17325</v>
      </c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72"/>
      <c r="BE100" s="89">
        <v>74250.0</v>
      </c>
      <c r="BF100" s="89">
        <v>108900.0</v>
      </c>
    </row>
    <row r="101">
      <c r="A101" s="104"/>
      <c r="B101" s="80"/>
      <c r="C101" s="104"/>
      <c r="D101" s="80"/>
      <c r="E101" s="80"/>
      <c r="F101" s="80"/>
      <c r="G101" s="80"/>
      <c r="H101" s="104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6">
        <f>IFERROR(__xludf.DUMMYFUNCTION("""COMPUTED_VALUE"""),99081.0)</f>
        <v>99081</v>
      </c>
      <c r="AB101" s="86">
        <f>IFERROR(__xludf.DUMMYFUNCTION("""COMPUTED_VALUE"""),100080.0)</f>
        <v>100080</v>
      </c>
      <c r="AC101" s="86">
        <f>IFERROR(__xludf.DUMMYFUNCTION("""COMPUTED_VALUE"""),12500.0)</f>
        <v>12500</v>
      </c>
      <c r="AD101" s="86">
        <f>IFERROR(__xludf.DUMMYFUNCTION("""COMPUTED_VALUE"""),30000.0)</f>
        <v>30000</v>
      </c>
      <c r="AE101" s="86">
        <f>IFERROR(__xludf.DUMMYFUNCTION("""COMPUTED_VALUE"""),0.15)</f>
        <v>0.15</v>
      </c>
      <c r="AF101" s="86">
        <f>IFERROR(__xludf.DUMMYFUNCTION("""COMPUTED_VALUE"""),10200.0)</f>
        <v>10200</v>
      </c>
      <c r="AG101" s="86">
        <f>IFERROR(__xludf.DUMMYFUNCTION("""COMPUTED_VALUE"""),17500.0)</f>
        <v>17500</v>
      </c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72"/>
      <c r="BE101" s="89"/>
      <c r="BF101" s="89"/>
    </row>
    <row r="102">
      <c r="A102" s="104"/>
      <c r="B102" s="80"/>
      <c r="C102" s="104"/>
      <c r="D102" s="80"/>
      <c r="E102" s="80"/>
      <c r="F102" s="80"/>
      <c r="G102" s="80"/>
      <c r="H102" s="104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6">
        <f>IFERROR(__xludf.DUMMYFUNCTION("""COMPUTED_VALUE"""),100081.0)</f>
        <v>100081</v>
      </c>
      <c r="AB102" s="86">
        <f>IFERROR(__xludf.DUMMYFUNCTION("""COMPUTED_VALUE"""),101080.0)</f>
        <v>101080</v>
      </c>
      <c r="AC102" s="86">
        <f>IFERROR(__xludf.DUMMYFUNCTION("""COMPUTED_VALUE"""),12625.0)</f>
        <v>12625</v>
      </c>
      <c r="AD102" s="86">
        <f>IFERROR(__xludf.DUMMYFUNCTION("""COMPUTED_VALUE"""),30300.0)</f>
        <v>30300</v>
      </c>
      <c r="AE102" s="86">
        <f>IFERROR(__xludf.DUMMYFUNCTION("""COMPUTED_VALUE"""),0.15)</f>
        <v>0.15</v>
      </c>
      <c r="AF102" s="86">
        <f>IFERROR(__xludf.DUMMYFUNCTION("""COMPUTED_VALUE"""),10300.0)</f>
        <v>10300</v>
      </c>
      <c r="AG102" s="86">
        <f>IFERROR(__xludf.DUMMYFUNCTION("""COMPUTED_VALUE"""),17675.0)</f>
        <v>17675</v>
      </c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72"/>
      <c r="BE102" s="89"/>
      <c r="BF102" s="89"/>
    </row>
    <row r="103">
      <c r="A103" s="104"/>
      <c r="B103" s="80"/>
      <c r="C103" s="104"/>
      <c r="D103" s="80"/>
      <c r="E103" s="80"/>
      <c r="F103" s="80"/>
      <c r="G103" s="80"/>
      <c r="H103" s="104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6">
        <f>IFERROR(__xludf.DUMMYFUNCTION("""COMPUTED_VALUE"""),101081.0)</f>
        <v>101081</v>
      </c>
      <c r="AB103" s="86">
        <f>IFERROR(__xludf.DUMMYFUNCTION("""COMPUTED_VALUE"""),102080.0)</f>
        <v>102080</v>
      </c>
      <c r="AC103" s="86">
        <f>IFERROR(__xludf.DUMMYFUNCTION("""COMPUTED_VALUE"""),12750.0)</f>
        <v>12750</v>
      </c>
      <c r="AD103" s="86">
        <f>IFERROR(__xludf.DUMMYFUNCTION("""COMPUTED_VALUE"""),30600.0)</f>
        <v>30600</v>
      </c>
      <c r="AE103" s="86">
        <f>IFERROR(__xludf.DUMMYFUNCTION("""COMPUTED_VALUE"""),0.15)</f>
        <v>0.15</v>
      </c>
      <c r="AF103" s="86">
        <f>IFERROR(__xludf.DUMMYFUNCTION("""COMPUTED_VALUE"""),10400.0)</f>
        <v>10400</v>
      </c>
      <c r="AG103" s="86">
        <f>IFERROR(__xludf.DUMMYFUNCTION("""COMPUTED_VALUE"""),17850.0)</f>
        <v>17850</v>
      </c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72"/>
      <c r="BE103" s="89"/>
      <c r="BF103" s="89"/>
    </row>
    <row r="104">
      <c r="A104" s="104"/>
      <c r="B104" s="80"/>
      <c r="C104" s="104"/>
      <c r="D104" s="80"/>
      <c r="E104" s="80"/>
      <c r="F104" s="80"/>
      <c r="G104" s="80"/>
      <c r="H104" s="104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6">
        <f>IFERROR(__xludf.DUMMYFUNCTION("""COMPUTED_VALUE"""),102081.0)</f>
        <v>102081</v>
      </c>
      <c r="AB104" s="86">
        <f>IFERROR(__xludf.DUMMYFUNCTION("""COMPUTED_VALUE"""),103080.0)</f>
        <v>103080</v>
      </c>
      <c r="AC104" s="86">
        <f>IFERROR(__xludf.DUMMYFUNCTION("""COMPUTED_VALUE"""),12875.0)</f>
        <v>12875</v>
      </c>
      <c r="AD104" s="86">
        <f>IFERROR(__xludf.DUMMYFUNCTION("""COMPUTED_VALUE"""),30900.0)</f>
        <v>30900</v>
      </c>
      <c r="AE104" s="86">
        <f>IFERROR(__xludf.DUMMYFUNCTION("""COMPUTED_VALUE"""),0.15)</f>
        <v>0.15</v>
      </c>
      <c r="AF104" s="86">
        <f>IFERROR(__xludf.DUMMYFUNCTION("""COMPUTED_VALUE"""),10500.0)</f>
        <v>10500</v>
      </c>
      <c r="AG104" s="86">
        <f>IFERROR(__xludf.DUMMYFUNCTION("""COMPUTED_VALUE"""),18025.0)</f>
        <v>18025</v>
      </c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72"/>
      <c r="BE104" s="89"/>
      <c r="BF104" s="89"/>
    </row>
    <row r="105">
      <c r="A105" s="104"/>
      <c r="B105" s="80"/>
      <c r="C105" s="104"/>
      <c r="D105" s="80"/>
      <c r="E105" s="80"/>
      <c r="F105" s="80"/>
      <c r="G105" s="80"/>
      <c r="H105" s="104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6">
        <f>IFERROR(__xludf.DUMMYFUNCTION("""COMPUTED_VALUE"""),103081.0)</f>
        <v>103081</v>
      </c>
      <c r="AB105" s="86">
        <f>IFERROR(__xludf.DUMMYFUNCTION("""COMPUTED_VALUE"""),104080.0)</f>
        <v>104080</v>
      </c>
      <c r="AC105" s="86">
        <f>IFERROR(__xludf.DUMMYFUNCTION("""COMPUTED_VALUE"""),13000.0)</f>
        <v>13000</v>
      </c>
      <c r="AD105" s="86">
        <f>IFERROR(__xludf.DUMMYFUNCTION("""COMPUTED_VALUE"""),31200.0)</f>
        <v>31200</v>
      </c>
      <c r="AE105" s="86">
        <f>IFERROR(__xludf.DUMMYFUNCTION("""COMPUTED_VALUE"""),0.15)</f>
        <v>0.15</v>
      </c>
      <c r="AF105" s="86">
        <f>IFERROR(__xludf.DUMMYFUNCTION("""COMPUTED_VALUE"""),10600.0)</f>
        <v>10600</v>
      </c>
      <c r="AG105" s="86">
        <f>IFERROR(__xludf.DUMMYFUNCTION("""COMPUTED_VALUE"""),18200.0)</f>
        <v>18200</v>
      </c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72"/>
      <c r="BE105" s="89"/>
      <c r="BF105" s="89"/>
    </row>
    <row r="106">
      <c r="A106" s="104"/>
      <c r="B106" s="80"/>
      <c r="C106" s="104"/>
      <c r="D106" s="80"/>
      <c r="E106" s="80"/>
      <c r="F106" s="80"/>
      <c r="G106" s="80"/>
      <c r="H106" s="104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6">
        <f>IFERROR(__xludf.DUMMYFUNCTION("""COMPUTED_VALUE"""),104081.0)</f>
        <v>104081</v>
      </c>
      <c r="AB106" s="86">
        <f>IFERROR(__xludf.DUMMYFUNCTION("""COMPUTED_VALUE"""),105080.0)</f>
        <v>105080</v>
      </c>
      <c r="AC106" s="86">
        <f>IFERROR(__xludf.DUMMYFUNCTION("""COMPUTED_VALUE"""),13125.0)</f>
        <v>13125</v>
      </c>
      <c r="AD106" s="86">
        <f>IFERROR(__xludf.DUMMYFUNCTION("""COMPUTED_VALUE"""),31500.0)</f>
        <v>31500</v>
      </c>
      <c r="AE106" s="86">
        <f>IFERROR(__xludf.DUMMYFUNCTION("""COMPUTED_VALUE"""),0.15)</f>
        <v>0.15</v>
      </c>
      <c r="AF106" s="86">
        <f>IFERROR(__xludf.DUMMYFUNCTION("""COMPUTED_VALUE"""),10700.0)</f>
        <v>10700</v>
      </c>
      <c r="AG106" s="86">
        <f>IFERROR(__xludf.DUMMYFUNCTION("""COMPUTED_VALUE"""),18375.0)</f>
        <v>18375</v>
      </c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72"/>
      <c r="BE106" s="89"/>
      <c r="BF106" s="89"/>
    </row>
    <row r="107">
      <c r="A107" s="104"/>
      <c r="B107" s="80"/>
      <c r="C107" s="104"/>
      <c r="D107" s="80"/>
      <c r="E107" s="80"/>
      <c r="F107" s="80"/>
      <c r="G107" s="80"/>
      <c r="H107" s="104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6">
        <f>IFERROR(__xludf.DUMMYFUNCTION("""COMPUTED_VALUE"""),105081.0)</f>
        <v>105081</v>
      </c>
      <c r="AB107" s="86">
        <f>IFERROR(__xludf.DUMMYFUNCTION("""COMPUTED_VALUE"""),106080.0)</f>
        <v>106080</v>
      </c>
      <c r="AC107" s="86">
        <f>IFERROR(__xludf.DUMMYFUNCTION("""COMPUTED_VALUE"""),13250.0)</f>
        <v>13250</v>
      </c>
      <c r="AD107" s="86">
        <f>IFERROR(__xludf.DUMMYFUNCTION("""COMPUTED_VALUE"""),31800.0)</f>
        <v>31800</v>
      </c>
      <c r="AE107" s="86">
        <f>IFERROR(__xludf.DUMMYFUNCTION("""COMPUTED_VALUE"""),0.15)</f>
        <v>0.15</v>
      </c>
      <c r="AF107" s="86">
        <f>IFERROR(__xludf.DUMMYFUNCTION("""COMPUTED_VALUE"""),10800.0)</f>
        <v>10800</v>
      </c>
      <c r="AG107" s="86">
        <f>IFERROR(__xludf.DUMMYFUNCTION("""COMPUTED_VALUE"""),18550.0)</f>
        <v>18550</v>
      </c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72"/>
      <c r="BE107" s="89"/>
      <c r="BF107" s="89"/>
    </row>
    <row r="108">
      <c r="A108" s="104"/>
      <c r="B108" s="80"/>
      <c r="C108" s="104"/>
      <c r="D108" s="80"/>
      <c r="E108" s="80"/>
      <c r="F108" s="80"/>
      <c r="G108" s="80"/>
      <c r="H108" s="104"/>
      <c r="I108" s="80"/>
      <c r="J108" s="80"/>
      <c r="K108" s="80"/>
      <c r="L108" s="80"/>
      <c r="M108" s="80"/>
      <c r="N108" s="80"/>
      <c r="O108" s="80"/>
      <c r="P108" s="80" t="str">
        <f>IFERROR(__xludf.DUMMYFUNCTION("""COMPUTED_VALUE"""),"#REF!")</f>
        <v>#REF!</v>
      </c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6">
        <f>IFERROR(__xludf.DUMMYFUNCTION("""COMPUTED_VALUE"""),106081.0)</f>
        <v>106081</v>
      </c>
      <c r="AB108" s="86">
        <f>IFERROR(__xludf.DUMMYFUNCTION("""COMPUTED_VALUE"""),107080.0)</f>
        <v>107080</v>
      </c>
      <c r="AC108" s="86">
        <f>IFERROR(__xludf.DUMMYFUNCTION("""COMPUTED_VALUE"""),13375.0)</f>
        <v>13375</v>
      </c>
      <c r="AD108" s="86">
        <f>IFERROR(__xludf.DUMMYFUNCTION("""COMPUTED_VALUE"""),32100.0)</f>
        <v>32100</v>
      </c>
      <c r="AE108" s="86">
        <f>IFERROR(__xludf.DUMMYFUNCTION("""COMPUTED_VALUE"""),0.15)</f>
        <v>0.15</v>
      </c>
      <c r="AF108" s="86">
        <f>IFERROR(__xludf.DUMMYFUNCTION("""COMPUTED_VALUE"""),10900.0)</f>
        <v>10900</v>
      </c>
      <c r="AG108" s="86">
        <f>IFERROR(__xludf.DUMMYFUNCTION("""COMPUTED_VALUE"""),18725.0)</f>
        <v>18725</v>
      </c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72"/>
      <c r="BE108" s="89"/>
      <c r="BF108" s="89"/>
    </row>
    <row r="109">
      <c r="A109" s="104"/>
      <c r="B109" s="80"/>
      <c r="C109" s="104"/>
      <c r="D109" s="80"/>
      <c r="E109" s="80"/>
      <c r="F109" s="80"/>
      <c r="G109" s="80"/>
      <c r="H109" s="104"/>
      <c r="I109" s="80"/>
      <c r="J109" s="80"/>
      <c r="K109" s="80"/>
      <c r="L109" s="80"/>
      <c r="M109" s="80"/>
      <c r="N109" s="80"/>
      <c r="O109" s="80"/>
      <c r="P109" s="80" t="str">
        <f>IFERROR(__xludf.DUMMYFUNCTION("""COMPUTED_VALUE"""),"#REF!")</f>
        <v>#REF!</v>
      </c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6">
        <f>IFERROR(__xludf.DUMMYFUNCTION("""COMPUTED_VALUE"""),107081.0)</f>
        <v>107081</v>
      </c>
      <c r="AB109" s="86">
        <f>IFERROR(__xludf.DUMMYFUNCTION("""COMPUTED_VALUE"""),108080.0)</f>
        <v>108080</v>
      </c>
      <c r="AC109" s="86">
        <f>IFERROR(__xludf.DUMMYFUNCTION("""COMPUTED_VALUE"""),13500.0)</f>
        <v>13500</v>
      </c>
      <c r="AD109" s="86">
        <f>IFERROR(__xludf.DUMMYFUNCTION("""COMPUTED_VALUE"""),32400.0)</f>
        <v>32400</v>
      </c>
      <c r="AE109" s="86">
        <f>IFERROR(__xludf.DUMMYFUNCTION("""COMPUTED_VALUE"""),0.15)</f>
        <v>0.15</v>
      </c>
      <c r="AF109" s="86">
        <f>IFERROR(__xludf.DUMMYFUNCTION("""COMPUTED_VALUE"""),11000.0)</f>
        <v>11000</v>
      </c>
      <c r="AG109" s="86">
        <f>IFERROR(__xludf.DUMMYFUNCTION("""COMPUTED_VALUE"""),18900.0)</f>
        <v>18900</v>
      </c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72"/>
      <c r="BE109" s="89"/>
      <c r="BF109" s="89"/>
    </row>
    <row r="110">
      <c r="A110" s="104"/>
      <c r="B110" s="80"/>
      <c r="C110" s="104"/>
      <c r="D110" s="80"/>
      <c r="E110" s="80"/>
      <c r="F110" s="80"/>
      <c r="G110" s="80"/>
      <c r="H110" s="104"/>
      <c r="I110" s="80"/>
      <c r="J110" s="80"/>
      <c r="K110" s="80"/>
      <c r="L110" s="80"/>
      <c r="M110" s="80"/>
      <c r="N110" s="80"/>
      <c r="O110" s="80"/>
      <c r="P110" s="80" t="str">
        <f>IFERROR(__xludf.DUMMYFUNCTION("""COMPUTED_VALUE"""),"#REF!")</f>
        <v>#REF!</v>
      </c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6">
        <f>IFERROR(__xludf.DUMMYFUNCTION("""COMPUTED_VALUE"""),108081.0)</f>
        <v>108081</v>
      </c>
      <c r="AB110" s="86">
        <f>IFERROR(__xludf.DUMMYFUNCTION("""COMPUTED_VALUE"""),109080.0)</f>
        <v>109080</v>
      </c>
      <c r="AC110" s="86">
        <f>IFERROR(__xludf.DUMMYFUNCTION("""COMPUTED_VALUE"""),13625.0)</f>
        <v>13625</v>
      </c>
      <c r="AD110" s="86">
        <f>IFERROR(__xludf.DUMMYFUNCTION("""COMPUTED_VALUE"""),32700.0)</f>
        <v>32700</v>
      </c>
      <c r="AE110" s="86">
        <f>IFERROR(__xludf.DUMMYFUNCTION("""COMPUTED_VALUE"""),0.15)</f>
        <v>0.15</v>
      </c>
      <c r="AF110" s="86">
        <f>IFERROR(__xludf.DUMMYFUNCTION("""COMPUTED_VALUE"""),11100.0)</f>
        <v>11100</v>
      </c>
      <c r="AG110" s="86">
        <f>IFERROR(__xludf.DUMMYFUNCTION("""COMPUTED_VALUE"""),19075.0)</f>
        <v>19075</v>
      </c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72"/>
      <c r="BE110" s="89"/>
      <c r="BF110" s="89"/>
    </row>
    <row r="111">
      <c r="A111" s="104"/>
      <c r="B111" s="80"/>
      <c r="C111" s="104"/>
      <c r="D111" s="80"/>
      <c r="E111" s="80"/>
      <c r="F111" s="80"/>
      <c r="G111" s="80"/>
      <c r="H111" s="104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6">
        <f>IFERROR(__xludf.DUMMYFUNCTION("""COMPUTED_VALUE"""),109081.0)</f>
        <v>109081</v>
      </c>
      <c r="AB111" s="86">
        <f>IFERROR(__xludf.DUMMYFUNCTION("""COMPUTED_VALUE"""),110080.0)</f>
        <v>110080</v>
      </c>
      <c r="AC111" s="86">
        <f>IFERROR(__xludf.DUMMYFUNCTION("""COMPUTED_VALUE"""),13750.0)</f>
        <v>13750</v>
      </c>
      <c r="AD111" s="86">
        <f>IFERROR(__xludf.DUMMYFUNCTION("""COMPUTED_VALUE"""),33000.0)</f>
        <v>33000</v>
      </c>
      <c r="AE111" s="86">
        <f>IFERROR(__xludf.DUMMYFUNCTION("""COMPUTED_VALUE"""),0.15)</f>
        <v>0.15</v>
      </c>
      <c r="AF111" s="86">
        <f>IFERROR(__xludf.DUMMYFUNCTION("""COMPUTED_VALUE"""),11200.0)</f>
        <v>11200</v>
      </c>
      <c r="AG111" s="86">
        <f>IFERROR(__xludf.DUMMYFUNCTION("""COMPUTED_VALUE"""),19250.0)</f>
        <v>19250</v>
      </c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72"/>
      <c r="BE111" s="89"/>
      <c r="BF111" s="89"/>
    </row>
    <row r="112">
      <c r="A112" s="104"/>
      <c r="B112" s="80"/>
      <c r="C112" s="104"/>
      <c r="D112" s="80"/>
      <c r="E112" s="80"/>
      <c r="F112" s="80"/>
      <c r="G112" s="80"/>
      <c r="H112" s="104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6">
        <f>IFERROR(__xludf.DUMMYFUNCTION("""COMPUTED_VALUE"""),110081.0)</f>
        <v>110081</v>
      </c>
      <c r="AB112" s="86">
        <f>IFERROR(__xludf.DUMMYFUNCTION("""COMPUTED_VALUE"""),111080.0)</f>
        <v>111080</v>
      </c>
      <c r="AC112" s="86">
        <f>IFERROR(__xludf.DUMMYFUNCTION("""COMPUTED_VALUE"""),13875.0)</f>
        <v>13875</v>
      </c>
      <c r="AD112" s="86">
        <f>IFERROR(__xludf.DUMMYFUNCTION("""COMPUTED_VALUE"""),33300.0)</f>
        <v>33300</v>
      </c>
      <c r="AE112" s="86">
        <f>IFERROR(__xludf.DUMMYFUNCTION("""COMPUTED_VALUE"""),0.15)</f>
        <v>0.15</v>
      </c>
      <c r="AF112" s="86">
        <f>IFERROR(__xludf.DUMMYFUNCTION("""COMPUTED_VALUE"""),11300.0)</f>
        <v>11300</v>
      </c>
      <c r="AG112" s="86">
        <f>IFERROR(__xludf.DUMMYFUNCTION("""COMPUTED_VALUE"""),19425.0)</f>
        <v>19425</v>
      </c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72"/>
      <c r="BE112" s="89"/>
      <c r="BF112" s="89"/>
    </row>
    <row r="113">
      <c r="A113" s="104"/>
      <c r="B113" s="80"/>
      <c r="C113" s="104"/>
      <c r="D113" s="80"/>
      <c r="E113" s="80"/>
      <c r="F113" s="80"/>
      <c r="G113" s="80"/>
      <c r="H113" s="104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6">
        <f>IFERROR(__xludf.DUMMYFUNCTION("""COMPUTED_VALUE"""),111081.0)</f>
        <v>111081</v>
      </c>
      <c r="AB113" s="86">
        <f>IFERROR(__xludf.DUMMYFUNCTION("""COMPUTED_VALUE"""),112080.0)</f>
        <v>112080</v>
      </c>
      <c r="AC113" s="86">
        <f>IFERROR(__xludf.DUMMYFUNCTION("""COMPUTED_VALUE"""),14000.0)</f>
        <v>14000</v>
      </c>
      <c r="AD113" s="86">
        <f>IFERROR(__xludf.DUMMYFUNCTION("""COMPUTED_VALUE"""),33600.0)</f>
        <v>33600</v>
      </c>
      <c r="AE113" s="86">
        <f>IFERROR(__xludf.DUMMYFUNCTION("""COMPUTED_VALUE"""),0.15)</f>
        <v>0.15</v>
      </c>
      <c r="AF113" s="86">
        <f>IFERROR(__xludf.DUMMYFUNCTION("""COMPUTED_VALUE"""),11400.0)</f>
        <v>11400</v>
      </c>
      <c r="AG113" s="86">
        <f>IFERROR(__xludf.DUMMYFUNCTION("""COMPUTED_VALUE"""),19600.0)</f>
        <v>19600</v>
      </c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72"/>
      <c r="BE113" s="89"/>
      <c r="BF113" s="89"/>
    </row>
    <row r="114">
      <c r="A114" s="104"/>
      <c r="B114" s="80"/>
      <c r="C114" s="104"/>
      <c r="D114" s="80"/>
      <c r="E114" s="80"/>
      <c r="F114" s="80"/>
      <c r="G114" s="80"/>
      <c r="H114" s="104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6">
        <f>IFERROR(__xludf.DUMMYFUNCTION("""COMPUTED_VALUE"""),112081.0)</f>
        <v>112081</v>
      </c>
      <c r="AB114" s="86">
        <f>IFERROR(__xludf.DUMMYFUNCTION("""COMPUTED_VALUE"""),113080.0)</f>
        <v>113080</v>
      </c>
      <c r="AC114" s="86">
        <f>IFERROR(__xludf.DUMMYFUNCTION("""COMPUTED_VALUE"""),14125.0)</f>
        <v>14125</v>
      </c>
      <c r="AD114" s="86">
        <f>IFERROR(__xludf.DUMMYFUNCTION("""COMPUTED_VALUE"""),33900.0)</f>
        <v>33900</v>
      </c>
      <c r="AE114" s="86">
        <f>IFERROR(__xludf.DUMMYFUNCTION("""COMPUTED_VALUE"""),0.15)</f>
        <v>0.15</v>
      </c>
      <c r="AF114" s="86">
        <f>IFERROR(__xludf.DUMMYFUNCTION("""COMPUTED_VALUE"""),11500.0)</f>
        <v>11500</v>
      </c>
      <c r="AG114" s="86">
        <f>IFERROR(__xludf.DUMMYFUNCTION("""COMPUTED_VALUE"""),19775.0)</f>
        <v>19775</v>
      </c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72"/>
      <c r="BE114" s="89"/>
      <c r="BF114" s="89"/>
    </row>
    <row r="115">
      <c r="A115" s="104"/>
      <c r="B115" s="80"/>
      <c r="C115" s="104"/>
      <c r="D115" s="80"/>
      <c r="E115" s="80"/>
      <c r="F115" s="80"/>
      <c r="G115" s="80"/>
      <c r="H115" s="104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6">
        <f>IFERROR(__xludf.DUMMYFUNCTION("""COMPUTED_VALUE"""),113081.0)</f>
        <v>113081</v>
      </c>
      <c r="AB115" s="86">
        <f>IFERROR(__xludf.DUMMYFUNCTION("""COMPUTED_VALUE"""),114080.0)</f>
        <v>114080</v>
      </c>
      <c r="AC115" s="86">
        <f>IFERROR(__xludf.DUMMYFUNCTION("""COMPUTED_VALUE"""),14250.0)</f>
        <v>14250</v>
      </c>
      <c r="AD115" s="86">
        <f>IFERROR(__xludf.DUMMYFUNCTION("""COMPUTED_VALUE"""),34200.0)</f>
        <v>34200</v>
      </c>
      <c r="AE115" s="86">
        <f>IFERROR(__xludf.DUMMYFUNCTION("""COMPUTED_VALUE"""),0.15)</f>
        <v>0.15</v>
      </c>
      <c r="AF115" s="86">
        <f>IFERROR(__xludf.DUMMYFUNCTION("""COMPUTED_VALUE"""),11600.0)</f>
        <v>11600</v>
      </c>
      <c r="AG115" s="86">
        <f>IFERROR(__xludf.DUMMYFUNCTION("""COMPUTED_VALUE"""),19950.0)</f>
        <v>19950</v>
      </c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72"/>
      <c r="BE115" s="89"/>
      <c r="BF115" s="89"/>
    </row>
    <row r="116">
      <c r="A116" s="104"/>
      <c r="B116" s="80"/>
      <c r="C116" s="104"/>
      <c r="D116" s="80"/>
      <c r="E116" s="80"/>
      <c r="F116" s="80"/>
      <c r="G116" s="80"/>
      <c r="H116" s="104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6">
        <f>IFERROR(__xludf.DUMMYFUNCTION("""COMPUTED_VALUE"""),114081.0)</f>
        <v>114081</v>
      </c>
      <c r="AB116" s="86">
        <f>IFERROR(__xludf.DUMMYFUNCTION("""COMPUTED_VALUE"""),115080.0)</f>
        <v>115080</v>
      </c>
      <c r="AC116" s="86">
        <f>IFERROR(__xludf.DUMMYFUNCTION("""COMPUTED_VALUE"""),14375.0)</f>
        <v>14375</v>
      </c>
      <c r="AD116" s="86">
        <f>IFERROR(__xludf.DUMMYFUNCTION("""COMPUTED_VALUE"""),34500.0)</f>
        <v>34500</v>
      </c>
      <c r="AE116" s="86">
        <f>IFERROR(__xludf.DUMMYFUNCTION("""COMPUTED_VALUE"""),0.15)</f>
        <v>0.15</v>
      </c>
      <c r="AF116" s="86">
        <f>IFERROR(__xludf.DUMMYFUNCTION("""COMPUTED_VALUE"""),11700.0)</f>
        <v>11700</v>
      </c>
      <c r="AG116" s="86">
        <f>IFERROR(__xludf.DUMMYFUNCTION("""COMPUTED_VALUE"""),20125.0)</f>
        <v>20125</v>
      </c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72"/>
      <c r="BE116" s="89"/>
      <c r="BF116" s="89"/>
    </row>
    <row r="117">
      <c r="A117" s="104"/>
      <c r="B117" s="80"/>
      <c r="C117" s="104"/>
      <c r="D117" s="80"/>
      <c r="E117" s="80"/>
      <c r="F117" s="80"/>
      <c r="G117" s="80"/>
      <c r="H117" s="104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6">
        <f>IFERROR(__xludf.DUMMYFUNCTION("""COMPUTED_VALUE"""),115081.0)</f>
        <v>115081</v>
      </c>
      <c r="AB117" s="86">
        <f>IFERROR(__xludf.DUMMYFUNCTION("""COMPUTED_VALUE"""),116080.0)</f>
        <v>116080</v>
      </c>
      <c r="AC117" s="86">
        <f>IFERROR(__xludf.DUMMYFUNCTION("""COMPUTED_VALUE"""),14500.0)</f>
        <v>14500</v>
      </c>
      <c r="AD117" s="86">
        <f>IFERROR(__xludf.DUMMYFUNCTION("""COMPUTED_VALUE"""),34800.0)</f>
        <v>34800</v>
      </c>
      <c r="AE117" s="86">
        <f>IFERROR(__xludf.DUMMYFUNCTION("""COMPUTED_VALUE"""),0.15)</f>
        <v>0.15</v>
      </c>
      <c r="AF117" s="86">
        <f>IFERROR(__xludf.DUMMYFUNCTION("""COMPUTED_VALUE"""),11800.0)</f>
        <v>11800</v>
      </c>
      <c r="AG117" s="86">
        <f>IFERROR(__xludf.DUMMYFUNCTION("""COMPUTED_VALUE"""),20300.0)</f>
        <v>20300</v>
      </c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72"/>
      <c r="BE117" s="89"/>
      <c r="BF117" s="89"/>
    </row>
    <row r="118">
      <c r="A118" s="104"/>
      <c r="B118" s="80"/>
      <c r="C118" s="104"/>
      <c r="D118" s="80"/>
      <c r="E118" s="80"/>
      <c r="F118" s="80"/>
      <c r="G118" s="80"/>
      <c r="H118" s="104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6">
        <f>IFERROR(__xludf.DUMMYFUNCTION("""COMPUTED_VALUE"""),116081.0)</f>
        <v>116081</v>
      </c>
      <c r="AB118" s="86">
        <f>IFERROR(__xludf.DUMMYFUNCTION("""COMPUTED_VALUE"""),117080.0)</f>
        <v>117080</v>
      </c>
      <c r="AC118" s="86">
        <f>IFERROR(__xludf.DUMMYFUNCTION("""COMPUTED_VALUE"""),14625.0)</f>
        <v>14625</v>
      </c>
      <c r="AD118" s="86">
        <f>IFERROR(__xludf.DUMMYFUNCTION("""COMPUTED_VALUE"""),35100.0)</f>
        <v>35100</v>
      </c>
      <c r="AE118" s="86">
        <f>IFERROR(__xludf.DUMMYFUNCTION("""COMPUTED_VALUE"""),0.15)</f>
        <v>0.15</v>
      </c>
      <c r="AF118" s="86">
        <f>IFERROR(__xludf.DUMMYFUNCTION("""COMPUTED_VALUE"""),11900.0)</f>
        <v>11900</v>
      </c>
      <c r="AG118" s="86">
        <f>IFERROR(__xludf.DUMMYFUNCTION("""COMPUTED_VALUE"""),20475.0)</f>
        <v>20475</v>
      </c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72"/>
      <c r="BE118" s="89"/>
      <c r="BF118" s="89"/>
    </row>
    <row r="119">
      <c r="A119" s="104"/>
      <c r="B119" s="80"/>
      <c r="C119" s="104"/>
      <c r="D119" s="80"/>
      <c r="E119" s="80"/>
      <c r="F119" s="80"/>
      <c r="G119" s="80"/>
      <c r="H119" s="104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6">
        <f>IFERROR(__xludf.DUMMYFUNCTION("""COMPUTED_VALUE"""),117081.0)</f>
        <v>117081</v>
      </c>
      <c r="AB119" s="86">
        <f>IFERROR(__xludf.DUMMYFUNCTION("""COMPUTED_VALUE"""),118080.0)</f>
        <v>118080</v>
      </c>
      <c r="AC119" s="86">
        <f>IFERROR(__xludf.DUMMYFUNCTION("""COMPUTED_VALUE"""),14750.0)</f>
        <v>14750</v>
      </c>
      <c r="AD119" s="86">
        <f>IFERROR(__xludf.DUMMYFUNCTION("""COMPUTED_VALUE"""),35400.0)</f>
        <v>35400</v>
      </c>
      <c r="AE119" s="86">
        <f>IFERROR(__xludf.DUMMYFUNCTION("""COMPUTED_VALUE"""),0.15)</f>
        <v>0.15</v>
      </c>
      <c r="AF119" s="86">
        <f>IFERROR(__xludf.DUMMYFUNCTION("""COMPUTED_VALUE"""),12000.0)</f>
        <v>12000</v>
      </c>
      <c r="AG119" s="86">
        <f>IFERROR(__xludf.DUMMYFUNCTION("""COMPUTED_VALUE"""),20650.0)</f>
        <v>20650</v>
      </c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72"/>
      <c r="BE119" s="89"/>
      <c r="BF119" s="89"/>
    </row>
    <row r="120">
      <c r="A120" s="104"/>
      <c r="B120" s="80"/>
      <c r="C120" s="104"/>
      <c r="D120" s="80"/>
      <c r="E120" s="80"/>
      <c r="F120" s="80"/>
      <c r="G120" s="80"/>
      <c r="H120" s="104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6">
        <f>IFERROR(__xludf.DUMMYFUNCTION("""COMPUTED_VALUE"""),118081.0)</f>
        <v>118081</v>
      </c>
      <c r="AB120" s="86">
        <f>IFERROR(__xludf.DUMMYFUNCTION("""COMPUTED_VALUE"""),119080.0)</f>
        <v>119080</v>
      </c>
      <c r="AC120" s="86">
        <f>IFERROR(__xludf.DUMMYFUNCTION("""COMPUTED_VALUE"""),14875.0)</f>
        <v>14875</v>
      </c>
      <c r="AD120" s="86">
        <f>IFERROR(__xludf.DUMMYFUNCTION("""COMPUTED_VALUE"""),35700.0)</f>
        <v>35700</v>
      </c>
      <c r="AE120" s="86">
        <f>IFERROR(__xludf.DUMMYFUNCTION("""COMPUTED_VALUE"""),0.15)</f>
        <v>0.15</v>
      </c>
      <c r="AF120" s="86">
        <f>IFERROR(__xludf.DUMMYFUNCTION("""COMPUTED_VALUE"""),12100.0)</f>
        <v>12100</v>
      </c>
      <c r="AG120" s="86">
        <f>IFERROR(__xludf.DUMMYFUNCTION("""COMPUTED_VALUE"""),20825.0)</f>
        <v>20825</v>
      </c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72"/>
      <c r="BE120" s="89"/>
      <c r="BF120" s="89"/>
    </row>
    <row r="121">
      <c r="A121" s="104"/>
      <c r="B121" s="80"/>
      <c r="C121" s="104"/>
      <c r="D121" s="80"/>
      <c r="E121" s="80"/>
      <c r="F121" s="80"/>
      <c r="G121" s="80"/>
      <c r="H121" s="104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6">
        <f>IFERROR(__xludf.DUMMYFUNCTION("""COMPUTED_VALUE"""),119081.0)</f>
        <v>119081</v>
      </c>
      <c r="AB121" s="86">
        <f>IFERROR(__xludf.DUMMYFUNCTION("""COMPUTED_VALUE"""),120080.0)</f>
        <v>120080</v>
      </c>
      <c r="AC121" s="86">
        <f>IFERROR(__xludf.DUMMYFUNCTION("""COMPUTED_VALUE"""),15000.0)</f>
        <v>15000</v>
      </c>
      <c r="AD121" s="86">
        <f>IFERROR(__xludf.DUMMYFUNCTION("""COMPUTED_VALUE"""),36000.0)</f>
        <v>36000</v>
      </c>
      <c r="AE121" s="86">
        <f>IFERROR(__xludf.DUMMYFUNCTION("""COMPUTED_VALUE"""),0.15)</f>
        <v>0.15</v>
      </c>
      <c r="AF121" s="86">
        <f>IFERROR(__xludf.DUMMYFUNCTION("""COMPUTED_VALUE"""),12200.0)</f>
        <v>12200</v>
      </c>
      <c r="AG121" s="86">
        <f>IFERROR(__xludf.DUMMYFUNCTION("""COMPUTED_VALUE"""),21000.0)</f>
        <v>21000</v>
      </c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72"/>
      <c r="BE121" s="89"/>
      <c r="BF121" s="89"/>
    </row>
    <row r="122">
      <c r="A122" s="104"/>
      <c r="B122" s="80"/>
      <c r="C122" s="104"/>
      <c r="D122" s="80"/>
      <c r="E122" s="80"/>
      <c r="F122" s="80"/>
      <c r="G122" s="80"/>
      <c r="H122" s="104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6">
        <f>IFERROR(__xludf.DUMMYFUNCTION("""COMPUTED_VALUE"""),120081.0)</f>
        <v>120081</v>
      </c>
      <c r="AB122" s="86">
        <f>IFERROR(__xludf.DUMMYFUNCTION("""COMPUTED_VALUE"""),121080.0)</f>
        <v>121080</v>
      </c>
      <c r="AC122" s="86">
        <f>IFERROR(__xludf.DUMMYFUNCTION("""COMPUTED_VALUE"""),15125.0)</f>
        <v>15125</v>
      </c>
      <c r="AD122" s="86">
        <f>IFERROR(__xludf.DUMMYFUNCTION("""COMPUTED_VALUE"""),36300.0)</f>
        <v>36300</v>
      </c>
      <c r="AE122" s="86">
        <f>IFERROR(__xludf.DUMMYFUNCTION("""COMPUTED_VALUE"""),0.15)</f>
        <v>0.15</v>
      </c>
      <c r="AF122" s="86">
        <f>IFERROR(__xludf.DUMMYFUNCTION("""COMPUTED_VALUE"""),12300.0)</f>
        <v>12300</v>
      </c>
      <c r="AG122" s="86">
        <f>IFERROR(__xludf.DUMMYFUNCTION("""COMPUTED_VALUE"""),21175.0)</f>
        <v>21175</v>
      </c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72"/>
      <c r="BE122" s="89"/>
      <c r="BF122" s="89"/>
    </row>
    <row r="123">
      <c r="A123" s="104"/>
      <c r="B123" s="80"/>
      <c r="C123" s="104"/>
      <c r="D123" s="80"/>
      <c r="E123" s="80"/>
      <c r="F123" s="80"/>
      <c r="G123" s="80"/>
      <c r="H123" s="104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6">
        <f>IFERROR(__xludf.DUMMYFUNCTION("""COMPUTED_VALUE"""),121081.0)</f>
        <v>121081</v>
      </c>
      <c r="AB123" s="86">
        <f>IFERROR(__xludf.DUMMYFUNCTION("""COMPUTED_VALUE"""),122080.0)</f>
        <v>122080</v>
      </c>
      <c r="AC123" s="86">
        <f>IFERROR(__xludf.DUMMYFUNCTION("""COMPUTED_VALUE"""),15250.0)</f>
        <v>15250</v>
      </c>
      <c r="AD123" s="86">
        <f>IFERROR(__xludf.DUMMYFUNCTION("""COMPUTED_VALUE"""),36600.0)</f>
        <v>36600</v>
      </c>
      <c r="AE123" s="86">
        <f>IFERROR(__xludf.DUMMYFUNCTION("""COMPUTED_VALUE"""),0.15)</f>
        <v>0.15</v>
      </c>
      <c r="AF123" s="86">
        <f>IFERROR(__xludf.DUMMYFUNCTION("""COMPUTED_VALUE"""),12400.0)</f>
        <v>12400</v>
      </c>
      <c r="AG123" s="86">
        <f>IFERROR(__xludf.DUMMYFUNCTION("""COMPUTED_VALUE"""),21350.0)</f>
        <v>21350</v>
      </c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72"/>
      <c r="BE123" s="89"/>
      <c r="BF123" s="89"/>
    </row>
    <row r="124">
      <c r="A124" s="104"/>
      <c r="B124" s="80"/>
      <c r="C124" s="104"/>
      <c r="D124" s="80"/>
      <c r="E124" s="80"/>
      <c r="F124" s="80"/>
      <c r="G124" s="80"/>
      <c r="H124" s="104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6">
        <f>IFERROR(__xludf.DUMMYFUNCTION("""COMPUTED_VALUE"""),122081.0)</f>
        <v>122081</v>
      </c>
      <c r="AB124" s="86">
        <f>IFERROR(__xludf.DUMMYFUNCTION("""COMPUTED_VALUE"""),123080.0)</f>
        <v>123080</v>
      </c>
      <c r="AC124" s="86">
        <f>IFERROR(__xludf.DUMMYFUNCTION("""COMPUTED_VALUE"""),15375.0)</f>
        <v>15375</v>
      </c>
      <c r="AD124" s="86">
        <f>IFERROR(__xludf.DUMMYFUNCTION("""COMPUTED_VALUE"""),36900.0)</f>
        <v>36900</v>
      </c>
      <c r="AE124" s="86">
        <f>IFERROR(__xludf.DUMMYFUNCTION("""COMPUTED_VALUE"""),0.15)</f>
        <v>0.15</v>
      </c>
      <c r="AF124" s="86">
        <f>IFERROR(__xludf.DUMMYFUNCTION("""COMPUTED_VALUE"""),12500.0)</f>
        <v>12500</v>
      </c>
      <c r="AG124" s="86">
        <f>IFERROR(__xludf.DUMMYFUNCTION("""COMPUTED_VALUE"""),21525.0)</f>
        <v>21525</v>
      </c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72"/>
      <c r="BE124" s="89"/>
      <c r="BF124" s="89"/>
    </row>
    <row r="125">
      <c r="A125" s="104"/>
      <c r="B125" s="80"/>
      <c r="C125" s="104"/>
      <c r="D125" s="80"/>
      <c r="E125" s="80"/>
      <c r="F125" s="80"/>
      <c r="G125" s="80"/>
      <c r="H125" s="104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6">
        <f>IFERROR(__xludf.DUMMYFUNCTION("""COMPUTED_VALUE"""),123081.0)</f>
        <v>123081</v>
      </c>
      <c r="AB125" s="86">
        <f>IFERROR(__xludf.DUMMYFUNCTION("""COMPUTED_VALUE"""),124080.0)</f>
        <v>124080</v>
      </c>
      <c r="AC125" s="86">
        <f>IFERROR(__xludf.DUMMYFUNCTION("""COMPUTED_VALUE"""),15500.0)</f>
        <v>15500</v>
      </c>
      <c r="AD125" s="86">
        <f>IFERROR(__xludf.DUMMYFUNCTION("""COMPUTED_VALUE"""),37200.0)</f>
        <v>37200</v>
      </c>
      <c r="AE125" s="86">
        <f>IFERROR(__xludf.DUMMYFUNCTION("""COMPUTED_VALUE"""),0.15)</f>
        <v>0.15</v>
      </c>
      <c r="AF125" s="86">
        <f>IFERROR(__xludf.DUMMYFUNCTION("""COMPUTED_VALUE"""),12600.0)</f>
        <v>12600</v>
      </c>
      <c r="AG125" s="86">
        <f>IFERROR(__xludf.DUMMYFUNCTION("""COMPUTED_VALUE"""),21700.0)</f>
        <v>21700</v>
      </c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72"/>
      <c r="BE125" s="89"/>
      <c r="BF125" s="89"/>
    </row>
    <row r="126">
      <c r="A126" s="104"/>
      <c r="B126" s="80"/>
      <c r="C126" s="104"/>
      <c r="D126" s="80"/>
      <c r="E126" s="80"/>
      <c r="F126" s="80"/>
      <c r="G126" s="80"/>
      <c r="H126" s="104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6">
        <f>IFERROR(__xludf.DUMMYFUNCTION("""COMPUTED_VALUE"""),124081.0)</f>
        <v>124081</v>
      </c>
      <c r="AB126" s="86">
        <f>IFERROR(__xludf.DUMMYFUNCTION("""COMPUTED_VALUE"""),125080.0)</f>
        <v>125080</v>
      </c>
      <c r="AC126" s="86">
        <f>IFERROR(__xludf.DUMMYFUNCTION("""COMPUTED_VALUE"""),15625.0)</f>
        <v>15625</v>
      </c>
      <c r="AD126" s="86">
        <f>IFERROR(__xludf.DUMMYFUNCTION("""COMPUTED_VALUE"""),37500.0)</f>
        <v>37500</v>
      </c>
      <c r="AE126" s="86">
        <f>IFERROR(__xludf.DUMMYFUNCTION("""COMPUTED_VALUE"""),0.15)</f>
        <v>0.15</v>
      </c>
      <c r="AF126" s="86">
        <f>IFERROR(__xludf.DUMMYFUNCTION("""COMPUTED_VALUE"""),12700.0)</f>
        <v>12700</v>
      </c>
      <c r="AG126" s="86">
        <f>IFERROR(__xludf.DUMMYFUNCTION("""COMPUTED_VALUE"""),21875.0)</f>
        <v>21875</v>
      </c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72"/>
      <c r="BE126" s="89"/>
      <c r="BF126" s="89"/>
    </row>
    <row r="127">
      <c r="A127" s="104"/>
      <c r="B127" s="80"/>
      <c r="C127" s="104"/>
      <c r="D127" s="80"/>
      <c r="E127" s="80"/>
      <c r="F127" s="80"/>
      <c r="G127" s="80"/>
      <c r="H127" s="104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6">
        <f>IFERROR(__xludf.DUMMYFUNCTION("""COMPUTED_VALUE"""),125081.0)</f>
        <v>125081</v>
      </c>
      <c r="AB127" s="86">
        <f>IFERROR(__xludf.DUMMYFUNCTION("""COMPUTED_VALUE"""),126080.0)</f>
        <v>126080</v>
      </c>
      <c r="AC127" s="86">
        <f>IFERROR(__xludf.DUMMYFUNCTION("""COMPUTED_VALUE"""),15750.0)</f>
        <v>15750</v>
      </c>
      <c r="AD127" s="86">
        <f>IFERROR(__xludf.DUMMYFUNCTION("""COMPUTED_VALUE"""),37800.0)</f>
        <v>37800</v>
      </c>
      <c r="AE127" s="86">
        <f>IFERROR(__xludf.DUMMYFUNCTION("""COMPUTED_VALUE"""),0.15)</f>
        <v>0.15</v>
      </c>
      <c r="AF127" s="86">
        <f>IFERROR(__xludf.DUMMYFUNCTION("""COMPUTED_VALUE"""),12800.0)</f>
        <v>12800</v>
      </c>
      <c r="AG127" s="86">
        <f>IFERROR(__xludf.DUMMYFUNCTION("""COMPUTED_VALUE"""),22050.0)</f>
        <v>22050</v>
      </c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72"/>
      <c r="BE127" s="89"/>
      <c r="BF127" s="89"/>
    </row>
    <row r="128">
      <c r="A128" s="104"/>
      <c r="B128" s="80"/>
      <c r="C128" s="104"/>
      <c r="D128" s="80"/>
      <c r="E128" s="80"/>
      <c r="F128" s="80"/>
      <c r="G128" s="80"/>
      <c r="H128" s="104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6">
        <f>IFERROR(__xludf.DUMMYFUNCTION("""COMPUTED_VALUE"""),126081.0)</f>
        <v>126081</v>
      </c>
      <c r="AB128" s="86">
        <f>IFERROR(__xludf.DUMMYFUNCTION("""COMPUTED_VALUE"""),127080.0)</f>
        <v>127080</v>
      </c>
      <c r="AC128" s="86">
        <f>IFERROR(__xludf.DUMMYFUNCTION("""COMPUTED_VALUE"""),15875.0)</f>
        <v>15875</v>
      </c>
      <c r="AD128" s="86">
        <f>IFERROR(__xludf.DUMMYFUNCTION("""COMPUTED_VALUE"""),38100.0)</f>
        <v>38100</v>
      </c>
      <c r="AE128" s="86">
        <f>IFERROR(__xludf.DUMMYFUNCTION("""COMPUTED_VALUE"""),0.15)</f>
        <v>0.15</v>
      </c>
      <c r="AF128" s="86">
        <f>IFERROR(__xludf.DUMMYFUNCTION("""COMPUTED_VALUE"""),12900.0)</f>
        <v>12900</v>
      </c>
      <c r="AG128" s="86">
        <f>IFERROR(__xludf.DUMMYFUNCTION("""COMPUTED_VALUE"""),22225.0)</f>
        <v>22225</v>
      </c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72"/>
      <c r="BE128" s="89"/>
      <c r="BF128" s="89"/>
    </row>
    <row r="129">
      <c r="A129" s="104"/>
      <c r="B129" s="80"/>
      <c r="C129" s="104"/>
      <c r="D129" s="80"/>
      <c r="E129" s="80"/>
      <c r="F129" s="80"/>
      <c r="G129" s="80"/>
      <c r="H129" s="104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6">
        <f>IFERROR(__xludf.DUMMYFUNCTION("""COMPUTED_VALUE"""),127081.0)</f>
        <v>127081</v>
      </c>
      <c r="AB129" s="86">
        <f>IFERROR(__xludf.DUMMYFUNCTION("""COMPUTED_VALUE"""),128080.0)</f>
        <v>128080</v>
      </c>
      <c r="AC129" s="86">
        <f>IFERROR(__xludf.DUMMYFUNCTION("""COMPUTED_VALUE"""),16000.0)</f>
        <v>16000</v>
      </c>
      <c r="AD129" s="86">
        <f>IFERROR(__xludf.DUMMYFUNCTION("""COMPUTED_VALUE"""),38400.0)</f>
        <v>38400</v>
      </c>
      <c r="AE129" s="86">
        <f>IFERROR(__xludf.DUMMYFUNCTION("""COMPUTED_VALUE"""),0.15)</f>
        <v>0.15</v>
      </c>
      <c r="AF129" s="86">
        <f>IFERROR(__xludf.DUMMYFUNCTION("""COMPUTED_VALUE"""),13000.0)</f>
        <v>13000</v>
      </c>
      <c r="AG129" s="86">
        <f>IFERROR(__xludf.DUMMYFUNCTION("""COMPUTED_VALUE"""),22400.0)</f>
        <v>22400</v>
      </c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72"/>
      <c r="BE129" s="89"/>
      <c r="BF129" s="89"/>
    </row>
    <row r="130">
      <c r="A130" s="104"/>
      <c r="B130" s="80"/>
      <c r="C130" s="104"/>
      <c r="D130" s="80"/>
      <c r="E130" s="80"/>
      <c r="F130" s="80"/>
      <c r="G130" s="80"/>
      <c r="H130" s="104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6">
        <f>IFERROR(__xludf.DUMMYFUNCTION("""COMPUTED_VALUE"""),128081.0)</f>
        <v>128081</v>
      </c>
      <c r="AB130" s="86">
        <f>IFERROR(__xludf.DUMMYFUNCTION("""COMPUTED_VALUE"""),129080.0)</f>
        <v>129080</v>
      </c>
      <c r="AC130" s="86">
        <f>IFERROR(__xludf.DUMMYFUNCTION("""COMPUTED_VALUE"""),16125.0)</f>
        <v>16125</v>
      </c>
      <c r="AD130" s="86">
        <f>IFERROR(__xludf.DUMMYFUNCTION("""COMPUTED_VALUE"""),38700.0)</f>
        <v>38700</v>
      </c>
      <c r="AE130" s="86">
        <f>IFERROR(__xludf.DUMMYFUNCTION("""COMPUTED_VALUE"""),0.15)</f>
        <v>0.15</v>
      </c>
      <c r="AF130" s="86">
        <f>IFERROR(__xludf.DUMMYFUNCTION("""COMPUTED_VALUE"""),13100.0)</f>
        <v>13100</v>
      </c>
      <c r="AG130" s="86">
        <f>IFERROR(__xludf.DUMMYFUNCTION("""COMPUTED_VALUE"""),22575.0)</f>
        <v>22575</v>
      </c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72"/>
      <c r="BE130" s="89"/>
      <c r="BF130" s="89"/>
    </row>
    <row r="131">
      <c r="A131" s="104"/>
      <c r="B131" s="80"/>
      <c r="C131" s="104"/>
      <c r="D131" s="80"/>
      <c r="E131" s="80"/>
      <c r="F131" s="80"/>
      <c r="G131" s="80"/>
      <c r="H131" s="104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6">
        <f>IFERROR(__xludf.DUMMYFUNCTION("""COMPUTED_VALUE"""),129081.0)</f>
        <v>129081</v>
      </c>
      <c r="AB131" s="86">
        <f>IFERROR(__xludf.DUMMYFUNCTION("""COMPUTED_VALUE"""),130080.0)</f>
        <v>130080</v>
      </c>
      <c r="AC131" s="86">
        <f>IFERROR(__xludf.DUMMYFUNCTION("""COMPUTED_VALUE"""),16250.0)</f>
        <v>16250</v>
      </c>
      <c r="AD131" s="86">
        <f>IFERROR(__xludf.DUMMYFUNCTION("""COMPUTED_VALUE"""),39000.0)</f>
        <v>39000</v>
      </c>
      <c r="AE131" s="86">
        <f>IFERROR(__xludf.DUMMYFUNCTION("""COMPUTED_VALUE"""),0.15)</f>
        <v>0.15</v>
      </c>
      <c r="AF131" s="86">
        <f>IFERROR(__xludf.DUMMYFUNCTION("""COMPUTED_VALUE"""),13200.0)</f>
        <v>13200</v>
      </c>
      <c r="AG131" s="86">
        <f>IFERROR(__xludf.DUMMYFUNCTION("""COMPUTED_VALUE"""),22750.0)</f>
        <v>22750</v>
      </c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72"/>
      <c r="BE131" s="89"/>
      <c r="BF131" s="89"/>
    </row>
    <row r="132">
      <c r="A132" s="104"/>
      <c r="B132" s="80"/>
      <c r="C132" s="104"/>
      <c r="D132" s="80"/>
      <c r="E132" s="80"/>
      <c r="F132" s="80"/>
      <c r="G132" s="80"/>
      <c r="H132" s="104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6">
        <f>IFERROR(__xludf.DUMMYFUNCTION("""COMPUTED_VALUE"""),130081.0)</f>
        <v>130081</v>
      </c>
      <c r="AB132" s="86">
        <f>IFERROR(__xludf.DUMMYFUNCTION("""COMPUTED_VALUE"""),131080.0)</f>
        <v>131080</v>
      </c>
      <c r="AC132" s="86">
        <f>IFERROR(__xludf.DUMMYFUNCTION("""COMPUTED_VALUE"""),16375.0)</f>
        <v>16375</v>
      </c>
      <c r="AD132" s="86">
        <f>IFERROR(__xludf.DUMMYFUNCTION("""COMPUTED_VALUE"""),39300.0)</f>
        <v>39300</v>
      </c>
      <c r="AE132" s="86">
        <f>IFERROR(__xludf.DUMMYFUNCTION("""COMPUTED_VALUE"""),0.15)</f>
        <v>0.15</v>
      </c>
      <c r="AF132" s="86">
        <f>IFERROR(__xludf.DUMMYFUNCTION("""COMPUTED_VALUE"""),13300.0)</f>
        <v>13300</v>
      </c>
      <c r="AG132" s="86">
        <f>IFERROR(__xludf.DUMMYFUNCTION("""COMPUTED_VALUE"""),22925.0)</f>
        <v>22925</v>
      </c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72"/>
      <c r="BE132" s="89"/>
      <c r="BF132" s="89"/>
    </row>
    <row r="133">
      <c r="A133" s="104"/>
      <c r="B133" s="80"/>
      <c r="C133" s="104"/>
      <c r="D133" s="80"/>
      <c r="E133" s="80"/>
      <c r="F133" s="80"/>
      <c r="G133" s="80"/>
      <c r="H133" s="104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6">
        <f>IFERROR(__xludf.DUMMYFUNCTION("""COMPUTED_VALUE"""),131081.0)</f>
        <v>131081</v>
      </c>
      <c r="AB133" s="86">
        <f>IFERROR(__xludf.DUMMYFUNCTION("""COMPUTED_VALUE"""),132080.0)</f>
        <v>132080</v>
      </c>
      <c r="AC133" s="86">
        <f>IFERROR(__xludf.DUMMYFUNCTION("""COMPUTED_VALUE"""),16500.0)</f>
        <v>16500</v>
      </c>
      <c r="AD133" s="86">
        <f>IFERROR(__xludf.DUMMYFUNCTION("""COMPUTED_VALUE"""),39600.0)</f>
        <v>39600</v>
      </c>
      <c r="AE133" s="86">
        <f>IFERROR(__xludf.DUMMYFUNCTION("""COMPUTED_VALUE"""),0.15)</f>
        <v>0.15</v>
      </c>
      <c r="AF133" s="86">
        <f>IFERROR(__xludf.DUMMYFUNCTION("""COMPUTED_VALUE"""),13400.0)</f>
        <v>13400</v>
      </c>
      <c r="AG133" s="86">
        <f>IFERROR(__xludf.DUMMYFUNCTION("""COMPUTED_VALUE"""),23100.0)</f>
        <v>23100</v>
      </c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72"/>
      <c r="BE133" s="89"/>
      <c r="BF133" s="89"/>
    </row>
    <row r="134">
      <c r="A134" s="104"/>
      <c r="B134" s="80"/>
      <c r="C134" s="104"/>
      <c r="D134" s="80"/>
      <c r="E134" s="80"/>
      <c r="F134" s="80"/>
      <c r="G134" s="80"/>
      <c r="H134" s="104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6">
        <f>IFERROR(__xludf.DUMMYFUNCTION("""COMPUTED_VALUE"""),132081.0)</f>
        <v>132081</v>
      </c>
      <c r="AB134" s="86">
        <f>IFERROR(__xludf.DUMMYFUNCTION("""COMPUTED_VALUE"""),133080.0)</f>
        <v>133080</v>
      </c>
      <c r="AC134" s="86">
        <f>IFERROR(__xludf.DUMMYFUNCTION("""COMPUTED_VALUE"""),16625.0)</f>
        <v>16625</v>
      </c>
      <c r="AD134" s="86">
        <f>IFERROR(__xludf.DUMMYFUNCTION("""COMPUTED_VALUE"""),39900.0)</f>
        <v>39900</v>
      </c>
      <c r="AE134" s="86">
        <f>IFERROR(__xludf.DUMMYFUNCTION("""COMPUTED_VALUE"""),0.15)</f>
        <v>0.15</v>
      </c>
      <c r="AF134" s="86">
        <f>IFERROR(__xludf.DUMMYFUNCTION("""COMPUTED_VALUE"""),13500.0)</f>
        <v>13500</v>
      </c>
      <c r="AG134" s="86">
        <f>IFERROR(__xludf.DUMMYFUNCTION("""COMPUTED_VALUE"""),23275.0)</f>
        <v>23275</v>
      </c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72"/>
      <c r="BE134" s="89"/>
      <c r="BF134" s="89"/>
    </row>
    <row r="135">
      <c r="A135" s="104"/>
      <c r="B135" s="80"/>
      <c r="C135" s="104"/>
      <c r="D135" s="80"/>
      <c r="E135" s="80"/>
      <c r="F135" s="80"/>
      <c r="G135" s="80"/>
      <c r="H135" s="104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6">
        <f>IFERROR(__xludf.DUMMYFUNCTION("""COMPUTED_VALUE"""),133081.0)</f>
        <v>133081</v>
      </c>
      <c r="AB135" s="86">
        <f>IFERROR(__xludf.DUMMYFUNCTION("""COMPUTED_VALUE"""),134080.0)</f>
        <v>134080</v>
      </c>
      <c r="AC135" s="86">
        <f>IFERROR(__xludf.DUMMYFUNCTION("""COMPUTED_VALUE"""),16750.0)</f>
        <v>16750</v>
      </c>
      <c r="AD135" s="86">
        <f>IFERROR(__xludf.DUMMYFUNCTION("""COMPUTED_VALUE"""),40200.0)</f>
        <v>40200</v>
      </c>
      <c r="AE135" s="86">
        <f>IFERROR(__xludf.DUMMYFUNCTION("""COMPUTED_VALUE"""),0.15)</f>
        <v>0.15</v>
      </c>
      <c r="AF135" s="86">
        <f>IFERROR(__xludf.DUMMYFUNCTION("""COMPUTED_VALUE"""),13600.0)</f>
        <v>13600</v>
      </c>
      <c r="AG135" s="86">
        <f>IFERROR(__xludf.DUMMYFUNCTION("""COMPUTED_VALUE"""),23450.0)</f>
        <v>23450</v>
      </c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72"/>
      <c r="BE135" s="89"/>
      <c r="BF135" s="89"/>
    </row>
    <row r="136">
      <c r="A136" s="104"/>
      <c r="B136" s="80"/>
      <c r="C136" s="104"/>
      <c r="D136" s="80"/>
      <c r="E136" s="80"/>
      <c r="F136" s="80"/>
      <c r="G136" s="80"/>
      <c r="H136" s="104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6">
        <f>IFERROR(__xludf.DUMMYFUNCTION("""COMPUTED_VALUE"""),134081.0)</f>
        <v>134081</v>
      </c>
      <c r="AB136" s="86">
        <f>IFERROR(__xludf.DUMMYFUNCTION("""COMPUTED_VALUE"""),135080.0)</f>
        <v>135080</v>
      </c>
      <c r="AC136" s="86">
        <f>IFERROR(__xludf.DUMMYFUNCTION("""COMPUTED_VALUE"""),16875.0)</f>
        <v>16875</v>
      </c>
      <c r="AD136" s="86">
        <f>IFERROR(__xludf.DUMMYFUNCTION("""COMPUTED_VALUE"""),40500.0)</f>
        <v>40500</v>
      </c>
      <c r="AE136" s="86">
        <f>IFERROR(__xludf.DUMMYFUNCTION("""COMPUTED_VALUE"""),0.15)</f>
        <v>0.15</v>
      </c>
      <c r="AF136" s="86">
        <f>IFERROR(__xludf.DUMMYFUNCTION("""COMPUTED_VALUE"""),13700.0)</f>
        <v>13700</v>
      </c>
      <c r="AG136" s="86">
        <f>IFERROR(__xludf.DUMMYFUNCTION("""COMPUTED_VALUE"""),23625.0)</f>
        <v>23625</v>
      </c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72"/>
      <c r="BE136" s="89"/>
      <c r="BF136" s="89"/>
    </row>
    <row r="137">
      <c r="A137" s="104"/>
      <c r="B137" s="80"/>
      <c r="C137" s="104"/>
      <c r="D137" s="80"/>
      <c r="E137" s="80"/>
      <c r="F137" s="80"/>
      <c r="G137" s="80"/>
      <c r="H137" s="104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6">
        <f>IFERROR(__xludf.DUMMYFUNCTION("""COMPUTED_VALUE"""),135081.0)</f>
        <v>135081</v>
      </c>
      <c r="AB137" s="86">
        <f>IFERROR(__xludf.DUMMYFUNCTION("""COMPUTED_VALUE"""),136080.0)</f>
        <v>136080</v>
      </c>
      <c r="AC137" s="86">
        <f>IFERROR(__xludf.DUMMYFUNCTION("""COMPUTED_VALUE"""),17000.0)</f>
        <v>17000</v>
      </c>
      <c r="AD137" s="86">
        <f>IFERROR(__xludf.DUMMYFUNCTION("""COMPUTED_VALUE"""),40800.0)</f>
        <v>40800</v>
      </c>
      <c r="AE137" s="86">
        <f>IFERROR(__xludf.DUMMYFUNCTION("""COMPUTED_VALUE"""),0.150000000000001)</f>
        <v>0.15</v>
      </c>
      <c r="AF137" s="86">
        <f>IFERROR(__xludf.DUMMYFUNCTION("""COMPUTED_VALUE"""),13800.0)</f>
        <v>13800</v>
      </c>
      <c r="AG137" s="86">
        <f>IFERROR(__xludf.DUMMYFUNCTION("""COMPUTED_VALUE"""),23800.0)</f>
        <v>23800</v>
      </c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72"/>
      <c r="BE137" s="89"/>
      <c r="BF137" s="89"/>
    </row>
    <row r="138">
      <c r="A138" s="104"/>
      <c r="B138" s="80"/>
      <c r="C138" s="104"/>
      <c r="D138" s="80"/>
      <c r="E138" s="80"/>
      <c r="F138" s="80"/>
      <c r="G138" s="80"/>
      <c r="H138" s="104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6">
        <f>IFERROR(__xludf.DUMMYFUNCTION("""COMPUTED_VALUE"""),136081.0)</f>
        <v>136081</v>
      </c>
      <c r="AB138" s="86">
        <f>IFERROR(__xludf.DUMMYFUNCTION("""COMPUTED_VALUE"""),137080.0)</f>
        <v>137080</v>
      </c>
      <c r="AC138" s="86">
        <f>IFERROR(__xludf.DUMMYFUNCTION("""COMPUTED_VALUE"""),17125.0)</f>
        <v>17125</v>
      </c>
      <c r="AD138" s="86">
        <f>IFERROR(__xludf.DUMMYFUNCTION("""COMPUTED_VALUE"""),41100.0)</f>
        <v>41100</v>
      </c>
      <c r="AE138" s="86">
        <f>IFERROR(__xludf.DUMMYFUNCTION("""COMPUTED_VALUE"""),0.150000000000001)</f>
        <v>0.15</v>
      </c>
      <c r="AF138" s="86">
        <f>IFERROR(__xludf.DUMMYFUNCTION("""COMPUTED_VALUE"""),13900.0)</f>
        <v>13900</v>
      </c>
      <c r="AG138" s="86">
        <f>IFERROR(__xludf.DUMMYFUNCTION("""COMPUTED_VALUE"""),23975.0)</f>
        <v>23975</v>
      </c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72"/>
      <c r="BE138" s="89"/>
      <c r="BF138" s="89"/>
    </row>
    <row r="139">
      <c r="A139" s="104"/>
      <c r="B139" s="80"/>
      <c r="C139" s="104"/>
      <c r="D139" s="80"/>
      <c r="E139" s="80"/>
      <c r="F139" s="80"/>
      <c r="G139" s="80"/>
      <c r="H139" s="104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6">
        <f>IFERROR(__xludf.DUMMYFUNCTION("""COMPUTED_VALUE"""),137081.0)</f>
        <v>137081</v>
      </c>
      <c r="AB139" s="86">
        <f>IFERROR(__xludf.DUMMYFUNCTION("""COMPUTED_VALUE"""),138080.0)</f>
        <v>138080</v>
      </c>
      <c r="AC139" s="86">
        <f>IFERROR(__xludf.DUMMYFUNCTION("""COMPUTED_VALUE"""),17250.0)</f>
        <v>17250</v>
      </c>
      <c r="AD139" s="86">
        <f>IFERROR(__xludf.DUMMYFUNCTION("""COMPUTED_VALUE"""),41400.0)</f>
        <v>41400</v>
      </c>
      <c r="AE139" s="86">
        <f>IFERROR(__xludf.DUMMYFUNCTION("""COMPUTED_VALUE"""),0.150000000000001)</f>
        <v>0.15</v>
      </c>
      <c r="AF139" s="86">
        <f>IFERROR(__xludf.DUMMYFUNCTION("""COMPUTED_VALUE"""),14000.0)</f>
        <v>14000</v>
      </c>
      <c r="AG139" s="86">
        <f>IFERROR(__xludf.DUMMYFUNCTION("""COMPUTED_VALUE"""),24150.0)</f>
        <v>24150</v>
      </c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72"/>
      <c r="BE139" s="89"/>
      <c r="BF139" s="89"/>
    </row>
    <row r="140">
      <c r="A140" s="104"/>
      <c r="B140" s="80"/>
      <c r="C140" s="104"/>
      <c r="D140" s="80"/>
      <c r="E140" s="80"/>
      <c r="F140" s="80"/>
      <c r="G140" s="80"/>
      <c r="H140" s="104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6">
        <f>IFERROR(__xludf.DUMMYFUNCTION("""COMPUTED_VALUE"""),138081.0)</f>
        <v>138081</v>
      </c>
      <c r="AB140" s="86">
        <f>IFERROR(__xludf.DUMMYFUNCTION("""COMPUTED_VALUE"""),139080.0)</f>
        <v>139080</v>
      </c>
      <c r="AC140" s="86">
        <f>IFERROR(__xludf.DUMMYFUNCTION("""COMPUTED_VALUE"""),17375.0)</f>
        <v>17375</v>
      </c>
      <c r="AD140" s="86">
        <f>IFERROR(__xludf.DUMMYFUNCTION("""COMPUTED_VALUE"""),41700.0)</f>
        <v>41700</v>
      </c>
      <c r="AE140" s="86">
        <f>IFERROR(__xludf.DUMMYFUNCTION("""COMPUTED_VALUE"""),0.150000000000001)</f>
        <v>0.15</v>
      </c>
      <c r="AF140" s="86">
        <f>IFERROR(__xludf.DUMMYFUNCTION("""COMPUTED_VALUE"""),14100.0)</f>
        <v>14100</v>
      </c>
      <c r="AG140" s="86">
        <f>IFERROR(__xludf.DUMMYFUNCTION("""COMPUTED_VALUE"""),24325.0)</f>
        <v>24325</v>
      </c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72"/>
      <c r="BE140" s="89"/>
      <c r="BF140" s="89"/>
    </row>
    <row r="141">
      <c r="A141" s="104"/>
      <c r="B141" s="80"/>
      <c r="C141" s="104"/>
      <c r="D141" s="80"/>
      <c r="E141" s="80"/>
      <c r="F141" s="80"/>
      <c r="G141" s="80"/>
      <c r="H141" s="104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6">
        <f>IFERROR(__xludf.DUMMYFUNCTION("""COMPUTED_VALUE"""),139081.0)</f>
        <v>139081</v>
      </c>
      <c r="AB141" s="86">
        <f>IFERROR(__xludf.DUMMYFUNCTION("""COMPUTED_VALUE"""),140080.0)</f>
        <v>140080</v>
      </c>
      <c r="AC141" s="86">
        <f>IFERROR(__xludf.DUMMYFUNCTION("""COMPUTED_VALUE"""),17500.0)</f>
        <v>17500</v>
      </c>
      <c r="AD141" s="86">
        <f>IFERROR(__xludf.DUMMYFUNCTION("""COMPUTED_VALUE"""),42000.0)</f>
        <v>42000</v>
      </c>
      <c r="AE141" s="86">
        <f>IFERROR(__xludf.DUMMYFUNCTION("""COMPUTED_VALUE"""),0.150000000000001)</f>
        <v>0.15</v>
      </c>
      <c r="AF141" s="86">
        <f>IFERROR(__xludf.DUMMYFUNCTION("""COMPUTED_VALUE"""),14200.0)</f>
        <v>14200</v>
      </c>
      <c r="AG141" s="86">
        <f>IFERROR(__xludf.DUMMYFUNCTION("""COMPUTED_VALUE"""),24500.0)</f>
        <v>24500</v>
      </c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72"/>
      <c r="BE141" s="89"/>
      <c r="BF141" s="89"/>
    </row>
    <row r="142">
      <c r="A142" s="104"/>
      <c r="B142" s="80"/>
      <c r="C142" s="104"/>
      <c r="D142" s="80"/>
      <c r="E142" s="80"/>
      <c r="F142" s="80"/>
      <c r="G142" s="80"/>
      <c r="H142" s="104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6">
        <f>IFERROR(__xludf.DUMMYFUNCTION("""COMPUTED_VALUE"""),140081.0)</f>
        <v>140081</v>
      </c>
      <c r="AB142" s="86">
        <f>IFERROR(__xludf.DUMMYFUNCTION("""COMPUTED_VALUE"""),141080.0)</f>
        <v>141080</v>
      </c>
      <c r="AC142" s="86">
        <f>IFERROR(__xludf.DUMMYFUNCTION("""COMPUTED_VALUE"""),17625.0)</f>
        <v>17625</v>
      </c>
      <c r="AD142" s="86">
        <f>IFERROR(__xludf.DUMMYFUNCTION("""COMPUTED_VALUE"""),42300.0)</f>
        <v>42300</v>
      </c>
      <c r="AE142" s="86">
        <f>IFERROR(__xludf.DUMMYFUNCTION("""COMPUTED_VALUE"""),0.150000000000001)</f>
        <v>0.15</v>
      </c>
      <c r="AF142" s="86">
        <f>IFERROR(__xludf.DUMMYFUNCTION("""COMPUTED_VALUE"""),14300.0)</f>
        <v>14300</v>
      </c>
      <c r="AG142" s="86">
        <f>IFERROR(__xludf.DUMMYFUNCTION("""COMPUTED_VALUE"""),24675.0)</f>
        <v>24675</v>
      </c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72"/>
      <c r="BE142" s="89"/>
      <c r="BF142" s="89"/>
    </row>
    <row r="143">
      <c r="A143" s="104"/>
      <c r="B143" s="80"/>
      <c r="C143" s="104"/>
      <c r="D143" s="80"/>
      <c r="E143" s="80"/>
      <c r="F143" s="80"/>
      <c r="G143" s="80"/>
      <c r="H143" s="104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6">
        <f>IFERROR(__xludf.DUMMYFUNCTION("""COMPUTED_VALUE"""),141081.0)</f>
        <v>141081</v>
      </c>
      <c r="AB143" s="86">
        <f>IFERROR(__xludf.DUMMYFUNCTION("""COMPUTED_VALUE"""),142080.0)</f>
        <v>142080</v>
      </c>
      <c r="AC143" s="86">
        <f>IFERROR(__xludf.DUMMYFUNCTION("""COMPUTED_VALUE"""),17750.0)</f>
        <v>17750</v>
      </c>
      <c r="AD143" s="86">
        <f>IFERROR(__xludf.DUMMYFUNCTION("""COMPUTED_VALUE"""),42600.0)</f>
        <v>42600</v>
      </c>
      <c r="AE143" s="86">
        <f>IFERROR(__xludf.DUMMYFUNCTION("""COMPUTED_VALUE"""),0.150000000000001)</f>
        <v>0.15</v>
      </c>
      <c r="AF143" s="86">
        <f>IFERROR(__xludf.DUMMYFUNCTION("""COMPUTED_VALUE"""),14400.0)</f>
        <v>14400</v>
      </c>
      <c r="AG143" s="86">
        <f>IFERROR(__xludf.DUMMYFUNCTION("""COMPUTED_VALUE"""),24850.0)</f>
        <v>24850</v>
      </c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72"/>
      <c r="BE143" s="89"/>
      <c r="BF143" s="89"/>
    </row>
    <row r="144">
      <c r="A144" s="104"/>
      <c r="B144" s="80"/>
      <c r="C144" s="104"/>
      <c r="D144" s="80"/>
      <c r="E144" s="80"/>
      <c r="F144" s="80"/>
      <c r="G144" s="80"/>
      <c r="H144" s="104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6">
        <f>IFERROR(__xludf.DUMMYFUNCTION("""COMPUTED_VALUE"""),142081.0)</f>
        <v>142081</v>
      </c>
      <c r="AB144" s="86">
        <f>IFERROR(__xludf.DUMMYFUNCTION("""COMPUTED_VALUE"""),143080.0)</f>
        <v>143080</v>
      </c>
      <c r="AC144" s="86">
        <f>IFERROR(__xludf.DUMMYFUNCTION("""COMPUTED_VALUE"""),17875.0)</f>
        <v>17875</v>
      </c>
      <c r="AD144" s="86">
        <f>IFERROR(__xludf.DUMMYFUNCTION("""COMPUTED_VALUE"""),42900.0)</f>
        <v>42900</v>
      </c>
      <c r="AE144" s="86">
        <f>IFERROR(__xludf.DUMMYFUNCTION("""COMPUTED_VALUE"""),0.150000000000001)</f>
        <v>0.15</v>
      </c>
      <c r="AF144" s="86">
        <f>IFERROR(__xludf.DUMMYFUNCTION("""COMPUTED_VALUE"""),14500.0)</f>
        <v>14500</v>
      </c>
      <c r="AG144" s="86">
        <f>IFERROR(__xludf.DUMMYFUNCTION("""COMPUTED_VALUE"""),25025.0)</f>
        <v>25025</v>
      </c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72"/>
      <c r="BE144" s="89"/>
      <c r="BF144" s="89"/>
    </row>
    <row r="145">
      <c r="A145" s="104"/>
      <c r="B145" s="80"/>
      <c r="C145" s="104"/>
      <c r="D145" s="80"/>
      <c r="E145" s="80"/>
      <c r="F145" s="80"/>
      <c r="G145" s="80"/>
      <c r="H145" s="104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6">
        <f>IFERROR(__xludf.DUMMYFUNCTION("""COMPUTED_VALUE"""),143081.0)</f>
        <v>143081</v>
      </c>
      <c r="AB145" s="86">
        <f>IFERROR(__xludf.DUMMYFUNCTION("""COMPUTED_VALUE"""),144080.0)</f>
        <v>144080</v>
      </c>
      <c r="AC145" s="86">
        <f>IFERROR(__xludf.DUMMYFUNCTION("""COMPUTED_VALUE"""),18000.0)</f>
        <v>18000</v>
      </c>
      <c r="AD145" s="86">
        <f>IFERROR(__xludf.DUMMYFUNCTION("""COMPUTED_VALUE"""),43200.0)</f>
        <v>43200</v>
      </c>
      <c r="AE145" s="86">
        <f>IFERROR(__xludf.DUMMYFUNCTION("""COMPUTED_VALUE"""),0.150000000000001)</f>
        <v>0.15</v>
      </c>
      <c r="AF145" s="86">
        <f>IFERROR(__xludf.DUMMYFUNCTION("""COMPUTED_VALUE"""),14600.0)</f>
        <v>14600</v>
      </c>
      <c r="AG145" s="86">
        <f>IFERROR(__xludf.DUMMYFUNCTION("""COMPUTED_VALUE"""),25200.0)</f>
        <v>25200</v>
      </c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72"/>
      <c r="BE145" s="89"/>
      <c r="BF145" s="89"/>
    </row>
    <row r="146">
      <c r="A146" s="104"/>
      <c r="B146" s="80"/>
      <c r="C146" s="104"/>
      <c r="D146" s="80"/>
      <c r="E146" s="80"/>
      <c r="F146" s="80"/>
      <c r="G146" s="80"/>
      <c r="H146" s="104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6">
        <f>IFERROR(__xludf.DUMMYFUNCTION("""COMPUTED_VALUE"""),144081.0)</f>
        <v>144081</v>
      </c>
      <c r="AB146" s="86">
        <f>IFERROR(__xludf.DUMMYFUNCTION("""COMPUTED_VALUE"""),145080.0)</f>
        <v>145080</v>
      </c>
      <c r="AC146" s="86">
        <f>IFERROR(__xludf.DUMMYFUNCTION("""COMPUTED_VALUE"""),18125.0)</f>
        <v>18125</v>
      </c>
      <c r="AD146" s="86">
        <f>IFERROR(__xludf.DUMMYFUNCTION("""COMPUTED_VALUE"""),43500.0)</f>
        <v>43500</v>
      </c>
      <c r="AE146" s="86">
        <f>IFERROR(__xludf.DUMMYFUNCTION("""COMPUTED_VALUE"""),0.150000000000001)</f>
        <v>0.15</v>
      </c>
      <c r="AF146" s="86">
        <f>IFERROR(__xludf.DUMMYFUNCTION("""COMPUTED_VALUE"""),14700.0)</f>
        <v>14700</v>
      </c>
      <c r="AG146" s="86">
        <f>IFERROR(__xludf.DUMMYFUNCTION("""COMPUTED_VALUE"""),25375.0)</f>
        <v>25375</v>
      </c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72"/>
      <c r="BE146" s="89"/>
      <c r="BF146" s="89"/>
    </row>
    <row r="147">
      <c r="A147" s="104"/>
      <c r="B147" s="80"/>
      <c r="C147" s="104"/>
      <c r="D147" s="80"/>
      <c r="E147" s="80"/>
      <c r="F147" s="80"/>
      <c r="G147" s="80"/>
      <c r="H147" s="104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6">
        <f>IFERROR(__xludf.DUMMYFUNCTION("""COMPUTED_VALUE"""),145081.0)</f>
        <v>145081</v>
      </c>
      <c r="AB147" s="86">
        <f>IFERROR(__xludf.DUMMYFUNCTION("""COMPUTED_VALUE"""),146080.0)</f>
        <v>146080</v>
      </c>
      <c r="AC147" s="86">
        <f>IFERROR(__xludf.DUMMYFUNCTION("""COMPUTED_VALUE"""),18250.0)</f>
        <v>18250</v>
      </c>
      <c r="AD147" s="86">
        <f>IFERROR(__xludf.DUMMYFUNCTION("""COMPUTED_VALUE"""),43800.0)</f>
        <v>43800</v>
      </c>
      <c r="AE147" s="86">
        <f>IFERROR(__xludf.DUMMYFUNCTION("""COMPUTED_VALUE"""),0.150000000000001)</f>
        <v>0.15</v>
      </c>
      <c r="AF147" s="86">
        <f>IFERROR(__xludf.DUMMYFUNCTION("""COMPUTED_VALUE"""),14800.0)</f>
        <v>14800</v>
      </c>
      <c r="AG147" s="86">
        <f>IFERROR(__xludf.DUMMYFUNCTION("""COMPUTED_VALUE"""),25550.0)</f>
        <v>25550</v>
      </c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72"/>
      <c r="BE147" s="89"/>
      <c r="BF147" s="89"/>
    </row>
    <row r="148">
      <c r="A148" s="104"/>
      <c r="B148" s="80"/>
      <c r="C148" s="104"/>
      <c r="D148" s="80"/>
      <c r="E148" s="80"/>
      <c r="F148" s="80"/>
      <c r="G148" s="80"/>
      <c r="H148" s="104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6">
        <f>IFERROR(__xludf.DUMMYFUNCTION("""COMPUTED_VALUE"""),146081.0)</f>
        <v>146081</v>
      </c>
      <c r="AB148" s="86">
        <f>IFERROR(__xludf.DUMMYFUNCTION("""COMPUTED_VALUE"""),147080.0)</f>
        <v>147080</v>
      </c>
      <c r="AC148" s="86">
        <f>IFERROR(__xludf.DUMMYFUNCTION("""COMPUTED_VALUE"""),18375.0)</f>
        <v>18375</v>
      </c>
      <c r="AD148" s="86">
        <f>IFERROR(__xludf.DUMMYFUNCTION("""COMPUTED_VALUE"""),44100.0)</f>
        <v>44100</v>
      </c>
      <c r="AE148" s="86">
        <f>IFERROR(__xludf.DUMMYFUNCTION("""COMPUTED_VALUE"""),0.150000000000001)</f>
        <v>0.15</v>
      </c>
      <c r="AF148" s="86">
        <f>IFERROR(__xludf.DUMMYFUNCTION("""COMPUTED_VALUE"""),14900.0)</f>
        <v>14900</v>
      </c>
      <c r="AG148" s="86">
        <f>IFERROR(__xludf.DUMMYFUNCTION("""COMPUTED_VALUE"""),25725.0)</f>
        <v>25725</v>
      </c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72"/>
      <c r="BE148" s="89"/>
      <c r="BF148" s="89"/>
    </row>
    <row r="149">
      <c r="A149" s="104"/>
      <c r="B149" s="80"/>
      <c r="C149" s="104"/>
      <c r="D149" s="80"/>
      <c r="E149" s="80"/>
      <c r="F149" s="80"/>
      <c r="G149" s="80"/>
      <c r="H149" s="104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6">
        <f>IFERROR(__xludf.DUMMYFUNCTION("""COMPUTED_VALUE"""),147081.0)</f>
        <v>147081</v>
      </c>
      <c r="AB149" s="86">
        <f>IFERROR(__xludf.DUMMYFUNCTION("""COMPUTED_VALUE"""),148080.0)</f>
        <v>148080</v>
      </c>
      <c r="AC149" s="86">
        <f>IFERROR(__xludf.DUMMYFUNCTION("""COMPUTED_VALUE"""),18500.0)</f>
        <v>18500</v>
      </c>
      <c r="AD149" s="86">
        <f>IFERROR(__xludf.DUMMYFUNCTION("""COMPUTED_VALUE"""),44400.0)</f>
        <v>44400</v>
      </c>
      <c r="AE149" s="86">
        <f>IFERROR(__xludf.DUMMYFUNCTION("""COMPUTED_VALUE"""),0.150000000000001)</f>
        <v>0.15</v>
      </c>
      <c r="AF149" s="86">
        <f>IFERROR(__xludf.DUMMYFUNCTION("""COMPUTED_VALUE"""),15000.0)</f>
        <v>15000</v>
      </c>
      <c r="AG149" s="86">
        <f>IFERROR(__xludf.DUMMYFUNCTION("""COMPUTED_VALUE"""),25900.0)</f>
        <v>25900</v>
      </c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72"/>
      <c r="BE149" s="89"/>
      <c r="BF149" s="89"/>
    </row>
    <row r="150">
      <c r="A150" s="104"/>
      <c r="B150" s="80"/>
      <c r="C150" s="104"/>
      <c r="D150" s="80"/>
      <c r="E150" s="80"/>
      <c r="F150" s="80"/>
      <c r="G150" s="80"/>
      <c r="H150" s="104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6">
        <f>IFERROR(__xludf.DUMMYFUNCTION("""COMPUTED_VALUE"""),148081.0)</f>
        <v>148081</v>
      </c>
      <c r="AB150" s="86">
        <f>IFERROR(__xludf.DUMMYFUNCTION("""COMPUTED_VALUE"""),149080.0)</f>
        <v>149080</v>
      </c>
      <c r="AC150" s="86">
        <f>IFERROR(__xludf.DUMMYFUNCTION("""COMPUTED_VALUE"""),18625.0)</f>
        <v>18625</v>
      </c>
      <c r="AD150" s="86">
        <f>IFERROR(__xludf.DUMMYFUNCTION("""COMPUTED_VALUE"""),44700.0)</f>
        <v>44700</v>
      </c>
      <c r="AE150" s="86">
        <f>IFERROR(__xludf.DUMMYFUNCTION("""COMPUTED_VALUE"""),0.150000000000001)</f>
        <v>0.15</v>
      </c>
      <c r="AF150" s="86">
        <f>IFERROR(__xludf.DUMMYFUNCTION("""COMPUTED_VALUE"""),15100.0)</f>
        <v>15100</v>
      </c>
      <c r="AG150" s="86">
        <f>IFERROR(__xludf.DUMMYFUNCTION("""COMPUTED_VALUE"""),26075.0)</f>
        <v>26075</v>
      </c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72"/>
      <c r="BE150" s="89"/>
      <c r="BF150" s="89"/>
    </row>
    <row r="151">
      <c r="A151" s="104"/>
      <c r="B151" s="80"/>
      <c r="C151" s="104"/>
      <c r="D151" s="80"/>
      <c r="E151" s="80"/>
      <c r="F151" s="80"/>
      <c r="G151" s="80"/>
      <c r="H151" s="104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6">
        <f>IFERROR(__xludf.DUMMYFUNCTION("""COMPUTED_VALUE"""),149081.0)</f>
        <v>149081</v>
      </c>
      <c r="AB151" s="86">
        <f>IFERROR(__xludf.DUMMYFUNCTION("""COMPUTED_VALUE"""),150080.0)</f>
        <v>150080</v>
      </c>
      <c r="AC151" s="86">
        <f>IFERROR(__xludf.DUMMYFUNCTION("""COMPUTED_VALUE"""),18750.0)</f>
        <v>18750</v>
      </c>
      <c r="AD151" s="86">
        <f>IFERROR(__xludf.DUMMYFUNCTION("""COMPUTED_VALUE"""),45000.0)</f>
        <v>45000</v>
      </c>
      <c r="AE151" s="86">
        <f>IFERROR(__xludf.DUMMYFUNCTION("""COMPUTED_VALUE"""),0.150000000000001)</f>
        <v>0.15</v>
      </c>
      <c r="AF151" s="86">
        <f>IFERROR(__xludf.DUMMYFUNCTION("""COMPUTED_VALUE"""),15200.0)</f>
        <v>15200</v>
      </c>
      <c r="AG151" s="86">
        <f>IFERROR(__xludf.DUMMYFUNCTION("""COMPUTED_VALUE"""),26250.0)</f>
        <v>26250</v>
      </c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72"/>
      <c r="BE151" s="89"/>
      <c r="BF151" s="89"/>
    </row>
    <row r="152">
      <c r="A152" s="104"/>
      <c r="B152" s="80"/>
      <c r="C152" s="104"/>
      <c r="D152" s="80"/>
      <c r="E152" s="80"/>
      <c r="F152" s="80"/>
      <c r="G152" s="80"/>
      <c r="H152" s="104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6">
        <f>IFERROR(__xludf.DUMMYFUNCTION("""COMPUTED_VALUE"""),150081.0)</f>
        <v>150081</v>
      </c>
      <c r="AB152" s="86">
        <f>IFERROR(__xludf.DUMMYFUNCTION("""COMPUTED_VALUE"""),151080.0)</f>
        <v>151080</v>
      </c>
      <c r="AC152" s="86">
        <f>IFERROR(__xludf.DUMMYFUNCTION("""COMPUTED_VALUE"""),18875.0)</f>
        <v>18875</v>
      </c>
      <c r="AD152" s="86">
        <f>IFERROR(__xludf.DUMMYFUNCTION("""COMPUTED_VALUE"""),45300.0)</f>
        <v>45300</v>
      </c>
      <c r="AE152" s="86">
        <f>IFERROR(__xludf.DUMMYFUNCTION("""COMPUTED_VALUE"""),0.150000000000001)</f>
        <v>0.15</v>
      </c>
      <c r="AF152" s="86">
        <f>IFERROR(__xludf.DUMMYFUNCTION("""COMPUTED_VALUE"""),15300.0)</f>
        <v>15300</v>
      </c>
      <c r="AG152" s="86">
        <f>IFERROR(__xludf.DUMMYFUNCTION("""COMPUTED_VALUE"""),26425.0)</f>
        <v>26425</v>
      </c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72"/>
      <c r="BE152" s="89"/>
      <c r="BF152" s="89"/>
    </row>
    <row r="153">
      <c r="A153" s="104"/>
      <c r="B153" s="80"/>
      <c r="C153" s="104"/>
      <c r="D153" s="80"/>
      <c r="E153" s="80"/>
      <c r="F153" s="80"/>
      <c r="G153" s="80"/>
      <c r="H153" s="104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6">
        <f>IFERROR(__xludf.DUMMYFUNCTION("""COMPUTED_VALUE"""),151081.0)</f>
        <v>151081</v>
      </c>
      <c r="AB153" s="86">
        <f>IFERROR(__xludf.DUMMYFUNCTION("""COMPUTED_VALUE"""),152080.0)</f>
        <v>152080</v>
      </c>
      <c r="AC153" s="86">
        <f>IFERROR(__xludf.DUMMYFUNCTION("""COMPUTED_VALUE"""),19000.0)</f>
        <v>19000</v>
      </c>
      <c r="AD153" s="86">
        <f>IFERROR(__xludf.DUMMYFUNCTION("""COMPUTED_VALUE"""),45600.0)</f>
        <v>45600</v>
      </c>
      <c r="AE153" s="86">
        <f>IFERROR(__xludf.DUMMYFUNCTION("""COMPUTED_VALUE"""),0.150000000000001)</f>
        <v>0.15</v>
      </c>
      <c r="AF153" s="86">
        <f>IFERROR(__xludf.DUMMYFUNCTION("""COMPUTED_VALUE"""),15400.0)</f>
        <v>15400</v>
      </c>
      <c r="AG153" s="86">
        <f>IFERROR(__xludf.DUMMYFUNCTION("""COMPUTED_VALUE"""),26600.0)</f>
        <v>26600</v>
      </c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72"/>
      <c r="BE153" s="89"/>
      <c r="BF153" s="89"/>
    </row>
    <row r="154">
      <c r="A154" s="104"/>
      <c r="B154" s="80"/>
      <c r="C154" s="104"/>
      <c r="D154" s="80"/>
      <c r="E154" s="80"/>
      <c r="F154" s="80"/>
      <c r="G154" s="80"/>
      <c r="H154" s="104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6">
        <f>IFERROR(__xludf.DUMMYFUNCTION("""COMPUTED_VALUE"""),152081.0)</f>
        <v>152081</v>
      </c>
      <c r="AB154" s="86">
        <f>IFERROR(__xludf.DUMMYFUNCTION("""COMPUTED_VALUE"""),153080.0)</f>
        <v>153080</v>
      </c>
      <c r="AC154" s="86">
        <f>IFERROR(__xludf.DUMMYFUNCTION("""COMPUTED_VALUE"""),19125.0)</f>
        <v>19125</v>
      </c>
      <c r="AD154" s="86">
        <f>IFERROR(__xludf.DUMMYFUNCTION("""COMPUTED_VALUE"""),45900.0)</f>
        <v>45900</v>
      </c>
      <c r="AE154" s="86">
        <f>IFERROR(__xludf.DUMMYFUNCTION("""COMPUTED_VALUE"""),0.150000000000001)</f>
        <v>0.15</v>
      </c>
      <c r="AF154" s="86">
        <f>IFERROR(__xludf.DUMMYFUNCTION("""COMPUTED_VALUE"""),15500.0)</f>
        <v>15500</v>
      </c>
      <c r="AG154" s="86">
        <f>IFERROR(__xludf.DUMMYFUNCTION("""COMPUTED_VALUE"""),26775.0)</f>
        <v>26775</v>
      </c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72"/>
      <c r="BE154" s="89"/>
      <c r="BF154" s="89"/>
    </row>
    <row r="155">
      <c r="A155" s="104"/>
      <c r="B155" s="80"/>
      <c r="C155" s="104"/>
      <c r="D155" s="80"/>
      <c r="E155" s="80"/>
      <c r="F155" s="80"/>
      <c r="G155" s="80"/>
      <c r="H155" s="104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6">
        <f>IFERROR(__xludf.DUMMYFUNCTION("""COMPUTED_VALUE"""),153081.0)</f>
        <v>153081</v>
      </c>
      <c r="AB155" s="86">
        <f>IFERROR(__xludf.DUMMYFUNCTION("""COMPUTED_VALUE"""),154080.0)</f>
        <v>154080</v>
      </c>
      <c r="AC155" s="86">
        <f>IFERROR(__xludf.DUMMYFUNCTION("""COMPUTED_VALUE"""),19250.0)</f>
        <v>19250</v>
      </c>
      <c r="AD155" s="86">
        <f>IFERROR(__xludf.DUMMYFUNCTION("""COMPUTED_VALUE"""),46200.0)</f>
        <v>46200</v>
      </c>
      <c r="AE155" s="86">
        <f>IFERROR(__xludf.DUMMYFUNCTION("""COMPUTED_VALUE"""),0.150000000000001)</f>
        <v>0.15</v>
      </c>
      <c r="AF155" s="86">
        <f>IFERROR(__xludf.DUMMYFUNCTION("""COMPUTED_VALUE"""),15600.0)</f>
        <v>15600</v>
      </c>
      <c r="AG155" s="86">
        <f>IFERROR(__xludf.DUMMYFUNCTION("""COMPUTED_VALUE"""),26950.0)</f>
        <v>26950</v>
      </c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72"/>
      <c r="BE155" s="89"/>
      <c r="BF155" s="89"/>
    </row>
    <row r="156">
      <c r="A156" s="104"/>
      <c r="B156" s="80"/>
      <c r="C156" s="104"/>
      <c r="D156" s="80"/>
      <c r="E156" s="80"/>
      <c r="F156" s="80"/>
      <c r="G156" s="80"/>
      <c r="H156" s="104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6">
        <f>IFERROR(__xludf.DUMMYFUNCTION("""COMPUTED_VALUE"""),154081.0)</f>
        <v>154081</v>
      </c>
      <c r="AB156" s="86">
        <f>IFERROR(__xludf.DUMMYFUNCTION("""COMPUTED_VALUE"""),155080.0)</f>
        <v>155080</v>
      </c>
      <c r="AC156" s="86">
        <f>IFERROR(__xludf.DUMMYFUNCTION("""COMPUTED_VALUE"""),19375.0)</f>
        <v>19375</v>
      </c>
      <c r="AD156" s="86">
        <f>IFERROR(__xludf.DUMMYFUNCTION("""COMPUTED_VALUE"""),46500.0)</f>
        <v>46500</v>
      </c>
      <c r="AE156" s="86">
        <f>IFERROR(__xludf.DUMMYFUNCTION("""COMPUTED_VALUE"""),0.150000000000001)</f>
        <v>0.15</v>
      </c>
      <c r="AF156" s="86">
        <f>IFERROR(__xludf.DUMMYFUNCTION("""COMPUTED_VALUE"""),15700.0)</f>
        <v>15700</v>
      </c>
      <c r="AG156" s="86">
        <f>IFERROR(__xludf.DUMMYFUNCTION("""COMPUTED_VALUE"""),27125.0)</f>
        <v>27125</v>
      </c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72"/>
      <c r="BE156" s="89"/>
      <c r="BF156" s="89"/>
    </row>
    <row r="157">
      <c r="A157" s="104"/>
      <c r="B157" s="80"/>
      <c r="C157" s="104"/>
      <c r="D157" s="80"/>
      <c r="E157" s="80"/>
      <c r="F157" s="80"/>
      <c r="G157" s="80"/>
      <c r="H157" s="104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6">
        <f>IFERROR(__xludf.DUMMYFUNCTION("""COMPUTED_VALUE"""),155081.0)</f>
        <v>155081</v>
      </c>
      <c r="AB157" s="86">
        <f>IFERROR(__xludf.DUMMYFUNCTION("""COMPUTED_VALUE"""),156080.0)</f>
        <v>156080</v>
      </c>
      <c r="AC157" s="86">
        <f>IFERROR(__xludf.DUMMYFUNCTION("""COMPUTED_VALUE"""),19500.0)</f>
        <v>19500</v>
      </c>
      <c r="AD157" s="86">
        <f>IFERROR(__xludf.DUMMYFUNCTION("""COMPUTED_VALUE"""),46800.0)</f>
        <v>46800</v>
      </c>
      <c r="AE157" s="86">
        <f>IFERROR(__xludf.DUMMYFUNCTION("""COMPUTED_VALUE"""),0.150000000000001)</f>
        <v>0.15</v>
      </c>
      <c r="AF157" s="86">
        <f>IFERROR(__xludf.DUMMYFUNCTION("""COMPUTED_VALUE"""),15800.0)</f>
        <v>15800</v>
      </c>
      <c r="AG157" s="86">
        <f>IFERROR(__xludf.DUMMYFUNCTION("""COMPUTED_VALUE"""),27300.0)</f>
        <v>27300</v>
      </c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72"/>
      <c r="BE157" s="89"/>
      <c r="BF157" s="89"/>
    </row>
    <row r="158">
      <c r="A158" s="104"/>
      <c r="B158" s="80"/>
      <c r="C158" s="104"/>
      <c r="D158" s="80"/>
      <c r="E158" s="80"/>
      <c r="F158" s="80"/>
      <c r="G158" s="80"/>
      <c r="H158" s="104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6">
        <f>IFERROR(__xludf.DUMMYFUNCTION("""COMPUTED_VALUE"""),156081.0)</f>
        <v>156081</v>
      </c>
      <c r="AB158" s="86">
        <f>IFERROR(__xludf.DUMMYFUNCTION("""COMPUTED_VALUE"""),157080.0)</f>
        <v>157080</v>
      </c>
      <c r="AC158" s="86">
        <f>IFERROR(__xludf.DUMMYFUNCTION("""COMPUTED_VALUE"""),19625.0)</f>
        <v>19625</v>
      </c>
      <c r="AD158" s="86">
        <f>IFERROR(__xludf.DUMMYFUNCTION("""COMPUTED_VALUE"""),47100.0)</f>
        <v>47100</v>
      </c>
      <c r="AE158" s="86">
        <f>IFERROR(__xludf.DUMMYFUNCTION("""COMPUTED_VALUE"""),0.150000000000001)</f>
        <v>0.15</v>
      </c>
      <c r="AF158" s="86">
        <f>IFERROR(__xludf.DUMMYFUNCTION("""COMPUTED_VALUE"""),15900.0)</f>
        <v>15900</v>
      </c>
      <c r="AG158" s="86">
        <f>IFERROR(__xludf.DUMMYFUNCTION("""COMPUTED_VALUE"""),27475.0)</f>
        <v>27475</v>
      </c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72"/>
      <c r="BE158" s="89"/>
      <c r="BF158" s="89"/>
    </row>
    <row r="159">
      <c r="A159" s="104"/>
      <c r="B159" s="80"/>
      <c r="C159" s="104"/>
      <c r="D159" s="80"/>
      <c r="E159" s="80"/>
      <c r="F159" s="80"/>
      <c r="G159" s="80"/>
      <c r="H159" s="104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6">
        <f>IFERROR(__xludf.DUMMYFUNCTION("""COMPUTED_VALUE"""),157081.0)</f>
        <v>157081</v>
      </c>
      <c r="AB159" s="86">
        <f>IFERROR(__xludf.DUMMYFUNCTION("""COMPUTED_VALUE"""),158080.0)</f>
        <v>158080</v>
      </c>
      <c r="AC159" s="86">
        <f>IFERROR(__xludf.DUMMYFUNCTION("""COMPUTED_VALUE"""),19750.0)</f>
        <v>19750</v>
      </c>
      <c r="AD159" s="86">
        <f>IFERROR(__xludf.DUMMYFUNCTION("""COMPUTED_VALUE"""),47400.0)</f>
        <v>47400</v>
      </c>
      <c r="AE159" s="86">
        <f>IFERROR(__xludf.DUMMYFUNCTION("""COMPUTED_VALUE"""),0.150000000000001)</f>
        <v>0.15</v>
      </c>
      <c r="AF159" s="86">
        <f>IFERROR(__xludf.DUMMYFUNCTION("""COMPUTED_VALUE"""),16000.0)</f>
        <v>16000</v>
      </c>
      <c r="AG159" s="86">
        <f>IFERROR(__xludf.DUMMYFUNCTION("""COMPUTED_VALUE"""),27650.0)</f>
        <v>27650</v>
      </c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72"/>
      <c r="BE159" s="89"/>
      <c r="BF159" s="89"/>
    </row>
    <row r="160">
      <c r="A160" s="104"/>
      <c r="B160" s="80"/>
      <c r="C160" s="104"/>
      <c r="D160" s="80"/>
      <c r="E160" s="80"/>
      <c r="F160" s="80"/>
      <c r="G160" s="80"/>
      <c r="H160" s="104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6">
        <f>IFERROR(__xludf.DUMMYFUNCTION("""COMPUTED_VALUE"""),158081.0)</f>
        <v>158081</v>
      </c>
      <c r="AB160" s="86">
        <f>IFERROR(__xludf.DUMMYFUNCTION("""COMPUTED_VALUE"""),159080.0)</f>
        <v>159080</v>
      </c>
      <c r="AC160" s="86">
        <f>IFERROR(__xludf.DUMMYFUNCTION("""COMPUTED_VALUE"""),19875.0)</f>
        <v>19875</v>
      </c>
      <c r="AD160" s="86">
        <f>IFERROR(__xludf.DUMMYFUNCTION("""COMPUTED_VALUE"""),47700.0)</f>
        <v>47700</v>
      </c>
      <c r="AE160" s="86">
        <f>IFERROR(__xludf.DUMMYFUNCTION("""COMPUTED_VALUE"""),0.150000000000001)</f>
        <v>0.15</v>
      </c>
      <c r="AF160" s="86">
        <f>IFERROR(__xludf.DUMMYFUNCTION("""COMPUTED_VALUE"""),16100.0)</f>
        <v>16100</v>
      </c>
      <c r="AG160" s="86">
        <f>IFERROR(__xludf.DUMMYFUNCTION("""COMPUTED_VALUE"""),27825.0)</f>
        <v>27825</v>
      </c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72"/>
      <c r="BE160" s="89"/>
      <c r="BF160" s="89"/>
    </row>
    <row r="161">
      <c r="A161" s="104"/>
      <c r="B161" s="80"/>
      <c r="C161" s="104"/>
      <c r="D161" s="80"/>
      <c r="E161" s="80"/>
      <c r="F161" s="80"/>
      <c r="G161" s="80"/>
      <c r="H161" s="104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6">
        <f>IFERROR(__xludf.DUMMYFUNCTION("""COMPUTED_VALUE"""),159081.0)</f>
        <v>159081</v>
      </c>
      <c r="AB161" s="86">
        <f>IFERROR(__xludf.DUMMYFUNCTION("""COMPUTED_VALUE"""),160080.0)</f>
        <v>160080</v>
      </c>
      <c r="AC161" s="86">
        <f>IFERROR(__xludf.DUMMYFUNCTION("""COMPUTED_VALUE"""),20000.0)</f>
        <v>20000</v>
      </c>
      <c r="AD161" s="86">
        <f>IFERROR(__xludf.DUMMYFUNCTION("""COMPUTED_VALUE"""),48000.0)</f>
        <v>48000</v>
      </c>
      <c r="AE161" s="86">
        <f>IFERROR(__xludf.DUMMYFUNCTION("""COMPUTED_VALUE"""),0.150000000000001)</f>
        <v>0.15</v>
      </c>
      <c r="AF161" s="86">
        <f>IFERROR(__xludf.DUMMYFUNCTION("""COMPUTED_VALUE"""),16200.0)</f>
        <v>16200</v>
      </c>
      <c r="AG161" s="86">
        <f>IFERROR(__xludf.DUMMYFUNCTION("""COMPUTED_VALUE"""),28000.0)</f>
        <v>28000</v>
      </c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72"/>
      <c r="BE161" s="89"/>
      <c r="BF161" s="89"/>
    </row>
    <row r="162">
      <c r="A162" s="104"/>
      <c r="B162" s="80"/>
      <c r="C162" s="104"/>
      <c r="D162" s="80"/>
      <c r="E162" s="80"/>
      <c r="F162" s="80"/>
      <c r="G162" s="80"/>
      <c r="H162" s="104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6">
        <f>IFERROR(__xludf.DUMMYFUNCTION("""COMPUTED_VALUE"""),160081.0)</f>
        <v>160081</v>
      </c>
      <c r="AB162" s="86">
        <f>IFERROR(__xludf.DUMMYFUNCTION("""COMPUTED_VALUE"""),161080.0)</f>
        <v>161080</v>
      </c>
      <c r="AC162" s="86">
        <f>IFERROR(__xludf.DUMMYFUNCTION("""COMPUTED_VALUE"""),20125.0)</f>
        <v>20125</v>
      </c>
      <c r="AD162" s="86">
        <f>IFERROR(__xludf.DUMMYFUNCTION("""COMPUTED_VALUE"""),48300.0)</f>
        <v>48300</v>
      </c>
      <c r="AE162" s="86">
        <f>IFERROR(__xludf.DUMMYFUNCTION("""COMPUTED_VALUE"""),0.150000000000001)</f>
        <v>0.15</v>
      </c>
      <c r="AF162" s="86">
        <f>IFERROR(__xludf.DUMMYFUNCTION("""COMPUTED_VALUE"""),16300.0)</f>
        <v>16300</v>
      </c>
      <c r="AG162" s="86">
        <f>IFERROR(__xludf.DUMMYFUNCTION("""COMPUTED_VALUE"""),28175.0)</f>
        <v>28175</v>
      </c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72"/>
      <c r="BE162" s="89"/>
      <c r="BF162" s="89"/>
    </row>
    <row r="163">
      <c r="A163" s="104"/>
      <c r="B163" s="80"/>
      <c r="C163" s="104"/>
      <c r="D163" s="80"/>
      <c r="E163" s="80"/>
      <c r="F163" s="80"/>
      <c r="G163" s="80"/>
      <c r="H163" s="104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6">
        <f>IFERROR(__xludf.DUMMYFUNCTION("""COMPUTED_VALUE"""),161081.0)</f>
        <v>161081</v>
      </c>
      <c r="AB163" s="86">
        <f>IFERROR(__xludf.DUMMYFUNCTION("""COMPUTED_VALUE"""),162080.0)</f>
        <v>162080</v>
      </c>
      <c r="AC163" s="86">
        <f>IFERROR(__xludf.DUMMYFUNCTION("""COMPUTED_VALUE"""),20250.0)</f>
        <v>20250</v>
      </c>
      <c r="AD163" s="86">
        <f>IFERROR(__xludf.DUMMYFUNCTION("""COMPUTED_VALUE"""),48600.0)</f>
        <v>48600</v>
      </c>
      <c r="AE163" s="86">
        <f>IFERROR(__xludf.DUMMYFUNCTION("""COMPUTED_VALUE"""),0.150000000000001)</f>
        <v>0.15</v>
      </c>
      <c r="AF163" s="86">
        <f>IFERROR(__xludf.DUMMYFUNCTION("""COMPUTED_VALUE"""),16400.0)</f>
        <v>16400</v>
      </c>
      <c r="AG163" s="86">
        <f>IFERROR(__xludf.DUMMYFUNCTION("""COMPUTED_VALUE"""),28350.0)</f>
        <v>28350</v>
      </c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72"/>
      <c r="BE163" s="89"/>
      <c r="BF163" s="89"/>
    </row>
    <row r="164">
      <c r="A164" s="104"/>
      <c r="B164" s="80"/>
      <c r="C164" s="104"/>
      <c r="D164" s="80"/>
      <c r="E164" s="80"/>
      <c r="F164" s="80"/>
      <c r="G164" s="80"/>
      <c r="H164" s="104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6">
        <f>IFERROR(__xludf.DUMMYFUNCTION("""COMPUTED_VALUE"""),162081.0)</f>
        <v>162081</v>
      </c>
      <c r="AB164" s="86">
        <f>IFERROR(__xludf.DUMMYFUNCTION("""COMPUTED_VALUE"""),163080.0)</f>
        <v>163080</v>
      </c>
      <c r="AC164" s="86">
        <f>IFERROR(__xludf.DUMMYFUNCTION("""COMPUTED_VALUE"""),20375.0)</f>
        <v>20375</v>
      </c>
      <c r="AD164" s="86">
        <f>IFERROR(__xludf.DUMMYFUNCTION("""COMPUTED_VALUE"""),48900.0)</f>
        <v>48900</v>
      </c>
      <c r="AE164" s="86">
        <f>IFERROR(__xludf.DUMMYFUNCTION("""COMPUTED_VALUE"""),0.150000000000001)</f>
        <v>0.15</v>
      </c>
      <c r="AF164" s="86">
        <f>IFERROR(__xludf.DUMMYFUNCTION("""COMPUTED_VALUE"""),16500.0)</f>
        <v>16500</v>
      </c>
      <c r="AG164" s="86">
        <f>IFERROR(__xludf.DUMMYFUNCTION("""COMPUTED_VALUE"""),28525.0)</f>
        <v>28525</v>
      </c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72"/>
      <c r="BE164" s="89"/>
      <c r="BF164" s="89"/>
    </row>
    <row r="165">
      <c r="A165" s="104"/>
      <c r="B165" s="80"/>
      <c r="C165" s="104"/>
      <c r="D165" s="80"/>
      <c r="E165" s="80"/>
      <c r="F165" s="80"/>
      <c r="G165" s="80"/>
      <c r="H165" s="104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6">
        <f>IFERROR(__xludf.DUMMYFUNCTION("""COMPUTED_VALUE"""),163081.0)</f>
        <v>163081</v>
      </c>
      <c r="AB165" s="86">
        <f>IFERROR(__xludf.DUMMYFUNCTION("""COMPUTED_VALUE"""),164080.0)</f>
        <v>164080</v>
      </c>
      <c r="AC165" s="86">
        <f>IFERROR(__xludf.DUMMYFUNCTION("""COMPUTED_VALUE"""),20500.0)</f>
        <v>20500</v>
      </c>
      <c r="AD165" s="86">
        <f>IFERROR(__xludf.DUMMYFUNCTION("""COMPUTED_VALUE"""),49200.0)</f>
        <v>49200</v>
      </c>
      <c r="AE165" s="86">
        <f>IFERROR(__xludf.DUMMYFUNCTION("""COMPUTED_VALUE"""),0.150000000000001)</f>
        <v>0.15</v>
      </c>
      <c r="AF165" s="86">
        <f>IFERROR(__xludf.DUMMYFUNCTION("""COMPUTED_VALUE"""),16600.0)</f>
        <v>16600</v>
      </c>
      <c r="AG165" s="86">
        <f>IFERROR(__xludf.DUMMYFUNCTION("""COMPUTED_VALUE"""),28700.0)</f>
        <v>28700</v>
      </c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72"/>
      <c r="BE165" s="89"/>
      <c r="BF165" s="89"/>
    </row>
    <row r="166">
      <c r="A166" s="104"/>
      <c r="B166" s="80"/>
      <c r="C166" s="104"/>
      <c r="D166" s="80"/>
      <c r="E166" s="80"/>
      <c r="F166" s="80"/>
      <c r="G166" s="80"/>
      <c r="H166" s="104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6">
        <f>IFERROR(__xludf.DUMMYFUNCTION("""COMPUTED_VALUE"""),164081.0)</f>
        <v>164081</v>
      </c>
      <c r="AB166" s="86">
        <f>IFERROR(__xludf.DUMMYFUNCTION("""COMPUTED_VALUE"""),165080.0)</f>
        <v>165080</v>
      </c>
      <c r="AC166" s="86">
        <f>IFERROR(__xludf.DUMMYFUNCTION("""COMPUTED_VALUE"""),20625.0)</f>
        <v>20625</v>
      </c>
      <c r="AD166" s="86">
        <f>IFERROR(__xludf.DUMMYFUNCTION("""COMPUTED_VALUE"""),49500.0)</f>
        <v>49500</v>
      </c>
      <c r="AE166" s="86">
        <f>IFERROR(__xludf.DUMMYFUNCTION("""COMPUTED_VALUE"""),0.150000000000001)</f>
        <v>0.15</v>
      </c>
      <c r="AF166" s="86">
        <f>IFERROR(__xludf.DUMMYFUNCTION("""COMPUTED_VALUE"""),16700.0)</f>
        <v>16700</v>
      </c>
      <c r="AG166" s="86">
        <f>IFERROR(__xludf.DUMMYFUNCTION("""COMPUTED_VALUE"""),28875.0)</f>
        <v>28875</v>
      </c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72"/>
      <c r="BE166" s="89"/>
      <c r="BF166" s="89"/>
    </row>
    <row r="167">
      <c r="A167" s="104"/>
      <c r="B167" s="80"/>
      <c r="C167" s="104"/>
      <c r="D167" s="80"/>
      <c r="E167" s="80"/>
      <c r="F167" s="80"/>
      <c r="G167" s="80"/>
      <c r="H167" s="104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6">
        <f>IFERROR(__xludf.DUMMYFUNCTION("""COMPUTED_VALUE"""),165081.0)</f>
        <v>165081</v>
      </c>
      <c r="AB167" s="86">
        <f>IFERROR(__xludf.DUMMYFUNCTION("""COMPUTED_VALUE"""),166080.0)</f>
        <v>166080</v>
      </c>
      <c r="AC167" s="86">
        <f>IFERROR(__xludf.DUMMYFUNCTION("""COMPUTED_VALUE"""),20750.0)</f>
        <v>20750</v>
      </c>
      <c r="AD167" s="86">
        <f>IFERROR(__xludf.DUMMYFUNCTION("""COMPUTED_VALUE"""),49800.0)</f>
        <v>49800</v>
      </c>
      <c r="AE167" s="86">
        <f>IFERROR(__xludf.DUMMYFUNCTION("""COMPUTED_VALUE"""),0.150000000000001)</f>
        <v>0.15</v>
      </c>
      <c r="AF167" s="86">
        <f>IFERROR(__xludf.DUMMYFUNCTION("""COMPUTED_VALUE"""),16800.0)</f>
        <v>16800</v>
      </c>
      <c r="AG167" s="86">
        <f>IFERROR(__xludf.DUMMYFUNCTION("""COMPUTED_VALUE"""),29050.0)</f>
        <v>29050</v>
      </c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72"/>
      <c r="BE167" s="89"/>
      <c r="BF167" s="89"/>
    </row>
    <row r="168">
      <c r="A168" s="104"/>
      <c r="B168" s="80"/>
      <c r="C168" s="104"/>
      <c r="D168" s="80"/>
      <c r="E168" s="80"/>
      <c r="F168" s="80"/>
      <c r="G168" s="80"/>
      <c r="H168" s="104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6">
        <f>IFERROR(__xludf.DUMMYFUNCTION("""COMPUTED_VALUE"""),166081.0)</f>
        <v>166081</v>
      </c>
      <c r="AB168" s="86">
        <f>IFERROR(__xludf.DUMMYFUNCTION("""COMPUTED_VALUE"""),167080.0)</f>
        <v>167080</v>
      </c>
      <c r="AC168" s="86">
        <f>IFERROR(__xludf.DUMMYFUNCTION("""COMPUTED_VALUE"""),20875.0)</f>
        <v>20875</v>
      </c>
      <c r="AD168" s="86">
        <f>IFERROR(__xludf.DUMMYFUNCTION("""COMPUTED_VALUE"""),50100.0)</f>
        <v>50100</v>
      </c>
      <c r="AE168" s="86">
        <f>IFERROR(__xludf.DUMMYFUNCTION("""COMPUTED_VALUE"""),0.150000000000001)</f>
        <v>0.15</v>
      </c>
      <c r="AF168" s="86">
        <f>IFERROR(__xludf.DUMMYFUNCTION("""COMPUTED_VALUE"""),16900.0)</f>
        <v>16900</v>
      </c>
      <c r="AG168" s="86">
        <f>IFERROR(__xludf.DUMMYFUNCTION("""COMPUTED_VALUE"""),29225.0)</f>
        <v>29225</v>
      </c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72"/>
      <c r="BE168" s="89"/>
      <c r="BF168" s="89"/>
    </row>
    <row r="169">
      <c r="A169" s="104"/>
      <c r="B169" s="80"/>
      <c r="C169" s="104"/>
      <c r="D169" s="80"/>
      <c r="E169" s="80"/>
      <c r="F169" s="80"/>
      <c r="G169" s="80"/>
      <c r="H169" s="104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6">
        <f>IFERROR(__xludf.DUMMYFUNCTION("""COMPUTED_VALUE"""),167081.0)</f>
        <v>167081</v>
      </c>
      <c r="AB169" s="86">
        <f>IFERROR(__xludf.DUMMYFUNCTION("""COMPUTED_VALUE"""),168080.0)</f>
        <v>168080</v>
      </c>
      <c r="AC169" s="86">
        <f>IFERROR(__xludf.DUMMYFUNCTION("""COMPUTED_VALUE"""),21000.0)</f>
        <v>21000</v>
      </c>
      <c r="AD169" s="86">
        <f>IFERROR(__xludf.DUMMYFUNCTION("""COMPUTED_VALUE"""),50400.0)</f>
        <v>50400</v>
      </c>
      <c r="AE169" s="86">
        <f>IFERROR(__xludf.DUMMYFUNCTION("""COMPUTED_VALUE"""),0.150000000000001)</f>
        <v>0.15</v>
      </c>
      <c r="AF169" s="86">
        <f>IFERROR(__xludf.DUMMYFUNCTION("""COMPUTED_VALUE"""),17000.0)</f>
        <v>17000</v>
      </c>
      <c r="AG169" s="86">
        <f>IFERROR(__xludf.DUMMYFUNCTION("""COMPUTED_VALUE"""),29400.0)</f>
        <v>29400</v>
      </c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72"/>
      <c r="BE169" s="89"/>
      <c r="BF169" s="89"/>
    </row>
    <row r="170">
      <c r="A170" s="104"/>
      <c r="B170" s="80"/>
      <c r="C170" s="104"/>
      <c r="D170" s="80"/>
      <c r="E170" s="80"/>
      <c r="F170" s="80"/>
      <c r="G170" s="80"/>
      <c r="H170" s="104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6">
        <f>IFERROR(__xludf.DUMMYFUNCTION("""COMPUTED_VALUE"""),168081.0)</f>
        <v>168081</v>
      </c>
      <c r="AB170" s="86">
        <f>IFERROR(__xludf.DUMMYFUNCTION("""COMPUTED_VALUE"""),169080.0)</f>
        <v>169080</v>
      </c>
      <c r="AC170" s="86">
        <f>IFERROR(__xludf.DUMMYFUNCTION("""COMPUTED_VALUE"""),21125.0)</f>
        <v>21125</v>
      </c>
      <c r="AD170" s="86">
        <f>IFERROR(__xludf.DUMMYFUNCTION("""COMPUTED_VALUE"""),50700.0)</f>
        <v>50700</v>
      </c>
      <c r="AE170" s="86">
        <f>IFERROR(__xludf.DUMMYFUNCTION("""COMPUTED_VALUE"""),0.150000000000001)</f>
        <v>0.15</v>
      </c>
      <c r="AF170" s="86">
        <f>IFERROR(__xludf.DUMMYFUNCTION("""COMPUTED_VALUE"""),17100.0)</f>
        <v>17100</v>
      </c>
      <c r="AG170" s="86">
        <f>IFERROR(__xludf.DUMMYFUNCTION("""COMPUTED_VALUE"""),29575.0)</f>
        <v>29575</v>
      </c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72"/>
      <c r="BE170" s="89"/>
      <c r="BF170" s="89"/>
    </row>
    <row r="171">
      <c r="A171" s="104"/>
      <c r="B171" s="80"/>
      <c r="C171" s="104"/>
      <c r="D171" s="80"/>
      <c r="E171" s="80"/>
      <c r="F171" s="80"/>
      <c r="G171" s="80"/>
      <c r="H171" s="104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6">
        <f>IFERROR(__xludf.DUMMYFUNCTION("""COMPUTED_VALUE"""),169081.0)</f>
        <v>169081</v>
      </c>
      <c r="AB171" s="86">
        <f>IFERROR(__xludf.DUMMYFUNCTION("""COMPUTED_VALUE"""),170080.0)</f>
        <v>170080</v>
      </c>
      <c r="AC171" s="86">
        <f>IFERROR(__xludf.DUMMYFUNCTION("""COMPUTED_VALUE"""),21250.0)</f>
        <v>21250</v>
      </c>
      <c r="AD171" s="86">
        <f>IFERROR(__xludf.DUMMYFUNCTION("""COMPUTED_VALUE"""),51000.0)</f>
        <v>51000</v>
      </c>
      <c r="AE171" s="86">
        <f>IFERROR(__xludf.DUMMYFUNCTION("""COMPUTED_VALUE"""),0.150000000000001)</f>
        <v>0.15</v>
      </c>
      <c r="AF171" s="86">
        <f>IFERROR(__xludf.DUMMYFUNCTION("""COMPUTED_VALUE"""),17200.0)</f>
        <v>17200</v>
      </c>
      <c r="AG171" s="86">
        <f>IFERROR(__xludf.DUMMYFUNCTION("""COMPUTED_VALUE"""),29750.0)</f>
        <v>29750</v>
      </c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72"/>
      <c r="BE171" s="89"/>
      <c r="BF171" s="89"/>
    </row>
    <row r="172">
      <c r="A172" s="104"/>
      <c r="B172" s="80"/>
      <c r="C172" s="104"/>
      <c r="D172" s="80"/>
      <c r="E172" s="80"/>
      <c r="F172" s="80"/>
      <c r="G172" s="80"/>
      <c r="H172" s="104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6">
        <f>IFERROR(__xludf.DUMMYFUNCTION("""COMPUTED_VALUE"""),170081.0)</f>
        <v>170081</v>
      </c>
      <c r="AB172" s="86">
        <f>IFERROR(__xludf.DUMMYFUNCTION("""COMPUTED_VALUE"""),171080.0)</f>
        <v>171080</v>
      </c>
      <c r="AC172" s="86">
        <f>IFERROR(__xludf.DUMMYFUNCTION("""COMPUTED_VALUE"""),21375.0)</f>
        <v>21375</v>
      </c>
      <c r="AD172" s="86">
        <f>IFERROR(__xludf.DUMMYFUNCTION("""COMPUTED_VALUE"""),51300.0)</f>
        <v>51300</v>
      </c>
      <c r="AE172" s="86">
        <f>IFERROR(__xludf.DUMMYFUNCTION("""COMPUTED_VALUE"""),0.150000000000001)</f>
        <v>0.15</v>
      </c>
      <c r="AF172" s="86">
        <f>IFERROR(__xludf.DUMMYFUNCTION("""COMPUTED_VALUE"""),17300.0)</f>
        <v>17300</v>
      </c>
      <c r="AG172" s="86">
        <f>IFERROR(__xludf.DUMMYFUNCTION("""COMPUTED_VALUE"""),29925.0)</f>
        <v>29925</v>
      </c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72"/>
      <c r="BE172" s="89"/>
      <c r="BF172" s="89"/>
    </row>
    <row r="173">
      <c r="A173" s="104"/>
      <c r="B173" s="80"/>
      <c r="C173" s="104"/>
      <c r="D173" s="80"/>
      <c r="E173" s="80"/>
      <c r="F173" s="80"/>
      <c r="G173" s="80"/>
      <c r="H173" s="104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6">
        <f>IFERROR(__xludf.DUMMYFUNCTION("""COMPUTED_VALUE"""),171081.0)</f>
        <v>171081</v>
      </c>
      <c r="AB173" s="86">
        <f>IFERROR(__xludf.DUMMYFUNCTION("""COMPUTED_VALUE"""),172080.0)</f>
        <v>172080</v>
      </c>
      <c r="AC173" s="86">
        <f>IFERROR(__xludf.DUMMYFUNCTION("""COMPUTED_VALUE"""),21500.0)</f>
        <v>21500</v>
      </c>
      <c r="AD173" s="86">
        <f>IFERROR(__xludf.DUMMYFUNCTION("""COMPUTED_VALUE"""),51600.0)</f>
        <v>51600</v>
      </c>
      <c r="AE173" s="86">
        <f>IFERROR(__xludf.DUMMYFUNCTION("""COMPUTED_VALUE"""),0.150000000000001)</f>
        <v>0.15</v>
      </c>
      <c r="AF173" s="86">
        <f>IFERROR(__xludf.DUMMYFUNCTION("""COMPUTED_VALUE"""),17400.0)</f>
        <v>17400</v>
      </c>
      <c r="AG173" s="86">
        <f>IFERROR(__xludf.DUMMYFUNCTION("""COMPUTED_VALUE"""),30100.0)</f>
        <v>30100</v>
      </c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72"/>
      <c r="BE173" s="89"/>
      <c r="BF173" s="89"/>
    </row>
    <row r="174">
      <c r="A174" s="104"/>
      <c r="B174" s="80"/>
      <c r="C174" s="104"/>
      <c r="D174" s="80"/>
      <c r="E174" s="80"/>
      <c r="F174" s="80"/>
      <c r="G174" s="80"/>
      <c r="H174" s="104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6">
        <f>IFERROR(__xludf.DUMMYFUNCTION("""COMPUTED_VALUE"""),172081.0)</f>
        <v>172081</v>
      </c>
      <c r="AB174" s="86">
        <f>IFERROR(__xludf.DUMMYFUNCTION("""COMPUTED_VALUE"""),173080.0)</f>
        <v>173080</v>
      </c>
      <c r="AC174" s="86">
        <f>IFERROR(__xludf.DUMMYFUNCTION("""COMPUTED_VALUE"""),21625.0)</f>
        <v>21625</v>
      </c>
      <c r="AD174" s="86">
        <f>IFERROR(__xludf.DUMMYFUNCTION("""COMPUTED_VALUE"""),51900.0)</f>
        <v>51900</v>
      </c>
      <c r="AE174" s="86">
        <f>IFERROR(__xludf.DUMMYFUNCTION("""COMPUTED_VALUE"""),0.150000000000001)</f>
        <v>0.15</v>
      </c>
      <c r="AF174" s="86">
        <f>IFERROR(__xludf.DUMMYFUNCTION("""COMPUTED_VALUE"""),17500.0)</f>
        <v>17500</v>
      </c>
      <c r="AG174" s="86">
        <f>IFERROR(__xludf.DUMMYFUNCTION("""COMPUTED_VALUE"""),30275.0)</f>
        <v>30275</v>
      </c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72"/>
      <c r="BE174" s="89"/>
      <c r="BF174" s="89"/>
    </row>
    <row r="175">
      <c r="A175" s="104"/>
      <c r="B175" s="80"/>
      <c r="C175" s="104"/>
      <c r="D175" s="80"/>
      <c r="E175" s="80"/>
      <c r="F175" s="80"/>
      <c r="G175" s="80"/>
      <c r="H175" s="104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6">
        <f>IFERROR(__xludf.DUMMYFUNCTION("""COMPUTED_VALUE"""),173081.0)</f>
        <v>173081</v>
      </c>
      <c r="AB175" s="86">
        <f>IFERROR(__xludf.DUMMYFUNCTION("""COMPUTED_VALUE"""),174080.0)</f>
        <v>174080</v>
      </c>
      <c r="AC175" s="86">
        <f>IFERROR(__xludf.DUMMYFUNCTION("""COMPUTED_VALUE"""),21750.0)</f>
        <v>21750</v>
      </c>
      <c r="AD175" s="86">
        <f>IFERROR(__xludf.DUMMYFUNCTION("""COMPUTED_VALUE"""),52200.0)</f>
        <v>52200</v>
      </c>
      <c r="AE175" s="86">
        <f>IFERROR(__xludf.DUMMYFUNCTION("""COMPUTED_VALUE"""),0.150000000000001)</f>
        <v>0.15</v>
      </c>
      <c r="AF175" s="86">
        <f>IFERROR(__xludf.DUMMYFUNCTION("""COMPUTED_VALUE"""),17600.0)</f>
        <v>17600</v>
      </c>
      <c r="AG175" s="86">
        <f>IFERROR(__xludf.DUMMYFUNCTION("""COMPUTED_VALUE"""),30450.0)</f>
        <v>30450</v>
      </c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72"/>
      <c r="BE175" s="89"/>
      <c r="BF175" s="89"/>
    </row>
    <row r="176">
      <c r="A176" s="104"/>
      <c r="B176" s="80"/>
      <c r="C176" s="104"/>
      <c r="D176" s="80"/>
      <c r="E176" s="80"/>
      <c r="F176" s="80"/>
      <c r="G176" s="80"/>
      <c r="H176" s="104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6">
        <f>IFERROR(__xludf.DUMMYFUNCTION("""COMPUTED_VALUE"""),174081.0)</f>
        <v>174081</v>
      </c>
      <c r="AB176" s="86">
        <f>IFERROR(__xludf.DUMMYFUNCTION("""COMPUTED_VALUE"""),175080.0)</f>
        <v>175080</v>
      </c>
      <c r="AC176" s="86">
        <f>IFERROR(__xludf.DUMMYFUNCTION("""COMPUTED_VALUE"""),21875.0)</f>
        <v>21875</v>
      </c>
      <c r="AD176" s="86">
        <f>IFERROR(__xludf.DUMMYFUNCTION("""COMPUTED_VALUE"""),52500.0)</f>
        <v>52500</v>
      </c>
      <c r="AE176" s="86">
        <f>IFERROR(__xludf.DUMMYFUNCTION("""COMPUTED_VALUE"""),0.150000000000001)</f>
        <v>0.15</v>
      </c>
      <c r="AF176" s="86">
        <f>IFERROR(__xludf.DUMMYFUNCTION("""COMPUTED_VALUE"""),17700.0)</f>
        <v>17700</v>
      </c>
      <c r="AG176" s="86">
        <f>IFERROR(__xludf.DUMMYFUNCTION("""COMPUTED_VALUE"""),30625.0)</f>
        <v>30625</v>
      </c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72"/>
      <c r="BE176" s="89"/>
      <c r="BF176" s="89"/>
    </row>
    <row r="177">
      <c r="A177" s="104"/>
      <c r="B177" s="80"/>
      <c r="C177" s="104"/>
      <c r="D177" s="80"/>
      <c r="E177" s="80"/>
      <c r="F177" s="80"/>
      <c r="G177" s="80"/>
      <c r="H177" s="104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6">
        <f>IFERROR(__xludf.DUMMYFUNCTION("""COMPUTED_VALUE"""),175081.0)</f>
        <v>175081</v>
      </c>
      <c r="AB177" s="86">
        <f>IFERROR(__xludf.DUMMYFUNCTION("""COMPUTED_VALUE"""),176080.0)</f>
        <v>176080</v>
      </c>
      <c r="AC177" s="86">
        <f>IFERROR(__xludf.DUMMYFUNCTION("""COMPUTED_VALUE"""),22000.0)</f>
        <v>22000</v>
      </c>
      <c r="AD177" s="86">
        <f>IFERROR(__xludf.DUMMYFUNCTION("""COMPUTED_VALUE"""),52800.0)</f>
        <v>52800</v>
      </c>
      <c r="AE177" s="86">
        <f>IFERROR(__xludf.DUMMYFUNCTION("""COMPUTED_VALUE"""),0.150000000000001)</f>
        <v>0.15</v>
      </c>
      <c r="AF177" s="86">
        <f>IFERROR(__xludf.DUMMYFUNCTION("""COMPUTED_VALUE"""),17800.0)</f>
        <v>17800</v>
      </c>
      <c r="AG177" s="86">
        <f>IFERROR(__xludf.DUMMYFUNCTION("""COMPUTED_VALUE"""),30800.0)</f>
        <v>30800</v>
      </c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72"/>
      <c r="BE177" s="89"/>
      <c r="BF177" s="89"/>
    </row>
    <row r="178">
      <c r="A178" s="104"/>
      <c r="B178" s="80"/>
      <c r="C178" s="104"/>
      <c r="D178" s="80"/>
      <c r="E178" s="80"/>
      <c r="F178" s="80"/>
      <c r="G178" s="80"/>
      <c r="H178" s="104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6">
        <f>IFERROR(__xludf.DUMMYFUNCTION("""COMPUTED_VALUE"""),176081.0)</f>
        <v>176081</v>
      </c>
      <c r="AB178" s="86">
        <f>IFERROR(__xludf.DUMMYFUNCTION("""COMPUTED_VALUE"""),177080.0)</f>
        <v>177080</v>
      </c>
      <c r="AC178" s="86">
        <f>IFERROR(__xludf.DUMMYFUNCTION("""COMPUTED_VALUE"""),22125.0)</f>
        <v>22125</v>
      </c>
      <c r="AD178" s="86">
        <f>IFERROR(__xludf.DUMMYFUNCTION("""COMPUTED_VALUE"""),53100.0)</f>
        <v>53100</v>
      </c>
      <c r="AE178" s="86">
        <f>IFERROR(__xludf.DUMMYFUNCTION("""COMPUTED_VALUE"""),0.150000000000001)</f>
        <v>0.15</v>
      </c>
      <c r="AF178" s="86">
        <f>IFERROR(__xludf.DUMMYFUNCTION("""COMPUTED_VALUE"""),17900.0)</f>
        <v>17900</v>
      </c>
      <c r="AG178" s="86">
        <f>IFERROR(__xludf.DUMMYFUNCTION("""COMPUTED_VALUE"""),30975.0)</f>
        <v>30975</v>
      </c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72"/>
      <c r="BE178" s="89"/>
      <c r="BF178" s="89"/>
    </row>
    <row r="179">
      <c r="A179" s="104"/>
      <c r="B179" s="80"/>
      <c r="C179" s="104"/>
      <c r="D179" s="80"/>
      <c r="E179" s="80"/>
      <c r="F179" s="80"/>
      <c r="G179" s="80"/>
      <c r="H179" s="104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6">
        <f>IFERROR(__xludf.DUMMYFUNCTION("""COMPUTED_VALUE"""),177081.0)</f>
        <v>177081</v>
      </c>
      <c r="AB179" s="86">
        <f>IFERROR(__xludf.DUMMYFUNCTION("""COMPUTED_VALUE"""),178080.0)</f>
        <v>178080</v>
      </c>
      <c r="AC179" s="86">
        <f>IFERROR(__xludf.DUMMYFUNCTION("""COMPUTED_VALUE"""),22250.0)</f>
        <v>22250</v>
      </c>
      <c r="AD179" s="86">
        <f>IFERROR(__xludf.DUMMYFUNCTION("""COMPUTED_VALUE"""),53400.0)</f>
        <v>53400</v>
      </c>
      <c r="AE179" s="86">
        <f>IFERROR(__xludf.DUMMYFUNCTION("""COMPUTED_VALUE"""),0.150000000000001)</f>
        <v>0.15</v>
      </c>
      <c r="AF179" s="86">
        <f>IFERROR(__xludf.DUMMYFUNCTION("""COMPUTED_VALUE"""),18000.0)</f>
        <v>18000</v>
      </c>
      <c r="AG179" s="86">
        <f>IFERROR(__xludf.DUMMYFUNCTION("""COMPUTED_VALUE"""),31150.0)</f>
        <v>31150</v>
      </c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72"/>
      <c r="BE179" s="89"/>
      <c r="BF179" s="89"/>
    </row>
    <row r="180">
      <c r="A180" s="104"/>
      <c r="B180" s="80"/>
      <c r="C180" s="104"/>
      <c r="D180" s="80"/>
      <c r="E180" s="80"/>
      <c r="F180" s="80"/>
      <c r="G180" s="80"/>
      <c r="H180" s="104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6">
        <f>IFERROR(__xludf.DUMMYFUNCTION("""COMPUTED_VALUE"""),178081.0)</f>
        <v>178081</v>
      </c>
      <c r="AB180" s="86">
        <f>IFERROR(__xludf.DUMMYFUNCTION("""COMPUTED_VALUE"""),179080.0)</f>
        <v>179080</v>
      </c>
      <c r="AC180" s="86">
        <f>IFERROR(__xludf.DUMMYFUNCTION("""COMPUTED_VALUE"""),22375.0)</f>
        <v>22375</v>
      </c>
      <c r="AD180" s="86">
        <f>IFERROR(__xludf.DUMMYFUNCTION("""COMPUTED_VALUE"""),53700.0)</f>
        <v>53700</v>
      </c>
      <c r="AE180" s="86">
        <f>IFERROR(__xludf.DUMMYFUNCTION("""COMPUTED_VALUE"""),0.150000000000001)</f>
        <v>0.15</v>
      </c>
      <c r="AF180" s="86">
        <f>IFERROR(__xludf.DUMMYFUNCTION("""COMPUTED_VALUE"""),18100.0)</f>
        <v>18100</v>
      </c>
      <c r="AG180" s="86">
        <f>IFERROR(__xludf.DUMMYFUNCTION("""COMPUTED_VALUE"""),31325.0)</f>
        <v>31325</v>
      </c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72"/>
      <c r="BE180" s="89"/>
      <c r="BF180" s="89"/>
    </row>
    <row r="181">
      <c r="A181" s="104"/>
      <c r="B181" s="80"/>
      <c r="C181" s="104"/>
      <c r="D181" s="80"/>
      <c r="E181" s="80"/>
      <c r="F181" s="80"/>
      <c r="G181" s="80"/>
      <c r="H181" s="104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6">
        <f>IFERROR(__xludf.DUMMYFUNCTION("""COMPUTED_VALUE"""),179081.0)</f>
        <v>179081</v>
      </c>
      <c r="AB181" s="86">
        <f>IFERROR(__xludf.DUMMYFUNCTION("""COMPUTED_VALUE"""),180080.0)</f>
        <v>180080</v>
      </c>
      <c r="AC181" s="86">
        <f>IFERROR(__xludf.DUMMYFUNCTION("""COMPUTED_VALUE"""),22500.0)</f>
        <v>22500</v>
      </c>
      <c r="AD181" s="86">
        <f>IFERROR(__xludf.DUMMYFUNCTION("""COMPUTED_VALUE"""),54000.0)</f>
        <v>54000</v>
      </c>
      <c r="AE181" s="86">
        <f>IFERROR(__xludf.DUMMYFUNCTION("""COMPUTED_VALUE"""),0.150000000000001)</f>
        <v>0.15</v>
      </c>
      <c r="AF181" s="86">
        <f>IFERROR(__xludf.DUMMYFUNCTION("""COMPUTED_VALUE"""),18200.0)</f>
        <v>18200</v>
      </c>
      <c r="AG181" s="86">
        <f>IFERROR(__xludf.DUMMYFUNCTION("""COMPUTED_VALUE"""),31500.0)</f>
        <v>31500</v>
      </c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72"/>
      <c r="BE181" s="89"/>
      <c r="BF181" s="89"/>
    </row>
    <row r="182">
      <c r="A182" s="104"/>
      <c r="B182" s="80"/>
      <c r="C182" s="104"/>
      <c r="D182" s="80"/>
      <c r="E182" s="80"/>
      <c r="F182" s="80"/>
      <c r="G182" s="80"/>
      <c r="H182" s="104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6">
        <f>IFERROR(__xludf.DUMMYFUNCTION("""COMPUTED_VALUE"""),180081.0)</f>
        <v>180081</v>
      </c>
      <c r="AB182" s="86">
        <f>IFERROR(__xludf.DUMMYFUNCTION("""COMPUTED_VALUE"""),181080.0)</f>
        <v>181080</v>
      </c>
      <c r="AC182" s="86">
        <f>IFERROR(__xludf.DUMMYFUNCTION("""COMPUTED_VALUE"""),22625.0)</f>
        <v>22625</v>
      </c>
      <c r="AD182" s="86">
        <f>IFERROR(__xludf.DUMMYFUNCTION("""COMPUTED_VALUE"""),54300.0)</f>
        <v>54300</v>
      </c>
      <c r="AE182" s="86">
        <f>IFERROR(__xludf.DUMMYFUNCTION("""COMPUTED_VALUE"""),0.150000000000001)</f>
        <v>0.15</v>
      </c>
      <c r="AF182" s="86">
        <f>IFERROR(__xludf.DUMMYFUNCTION("""COMPUTED_VALUE"""),18300.0)</f>
        <v>18300</v>
      </c>
      <c r="AG182" s="86">
        <f>IFERROR(__xludf.DUMMYFUNCTION("""COMPUTED_VALUE"""),31675.0)</f>
        <v>31675</v>
      </c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72"/>
      <c r="BE182" s="89"/>
      <c r="BF182" s="89"/>
    </row>
    <row r="183">
      <c r="A183" s="104"/>
      <c r="B183" s="80"/>
      <c r="C183" s="104"/>
      <c r="D183" s="80"/>
      <c r="E183" s="80"/>
      <c r="F183" s="80"/>
      <c r="G183" s="80"/>
      <c r="H183" s="104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6">
        <f>IFERROR(__xludf.DUMMYFUNCTION("""COMPUTED_VALUE"""),181081.0)</f>
        <v>181081</v>
      </c>
      <c r="AB183" s="86">
        <f>IFERROR(__xludf.DUMMYFUNCTION("""COMPUTED_VALUE"""),182080.0)</f>
        <v>182080</v>
      </c>
      <c r="AC183" s="86">
        <f>IFERROR(__xludf.DUMMYFUNCTION("""COMPUTED_VALUE"""),22750.0)</f>
        <v>22750</v>
      </c>
      <c r="AD183" s="86">
        <f>IFERROR(__xludf.DUMMYFUNCTION("""COMPUTED_VALUE"""),54600.0)</f>
        <v>54600</v>
      </c>
      <c r="AE183" s="86">
        <f>IFERROR(__xludf.DUMMYFUNCTION("""COMPUTED_VALUE"""),0.150000000000001)</f>
        <v>0.15</v>
      </c>
      <c r="AF183" s="86">
        <f>IFERROR(__xludf.DUMMYFUNCTION("""COMPUTED_VALUE"""),18400.0)</f>
        <v>18400</v>
      </c>
      <c r="AG183" s="86">
        <f>IFERROR(__xludf.DUMMYFUNCTION("""COMPUTED_VALUE"""),31850.0)</f>
        <v>31850</v>
      </c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72"/>
      <c r="BE183" s="89"/>
      <c r="BF183" s="89"/>
    </row>
    <row r="184">
      <c r="A184" s="104"/>
      <c r="B184" s="80"/>
      <c r="C184" s="104"/>
      <c r="D184" s="80"/>
      <c r="E184" s="80"/>
      <c r="F184" s="80"/>
      <c r="G184" s="80"/>
      <c r="H184" s="104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6">
        <f>IFERROR(__xludf.DUMMYFUNCTION("""COMPUTED_VALUE"""),182081.0)</f>
        <v>182081</v>
      </c>
      <c r="AB184" s="86">
        <f>IFERROR(__xludf.DUMMYFUNCTION("""COMPUTED_VALUE"""),183080.0)</f>
        <v>183080</v>
      </c>
      <c r="AC184" s="86">
        <f>IFERROR(__xludf.DUMMYFUNCTION("""COMPUTED_VALUE"""),22875.0)</f>
        <v>22875</v>
      </c>
      <c r="AD184" s="86">
        <f>IFERROR(__xludf.DUMMYFUNCTION("""COMPUTED_VALUE"""),54900.0)</f>
        <v>54900</v>
      </c>
      <c r="AE184" s="86">
        <f>IFERROR(__xludf.DUMMYFUNCTION("""COMPUTED_VALUE"""),0.150000000000001)</f>
        <v>0.15</v>
      </c>
      <c r="AF184" s="86">
        <f>IFERROR(__xludf.DUMMYFUNCTION("""COMPUTED_VALUE"""),18500.0)</f>
        <v>18500</v>
      </c>
      <c r="AG184" s="86">
        <f>IFERROR(__xludf.DUMMYFUNCTION("""COMPUTED_VALUE"""),32025.0)</f>
        <v>32025</v>
      </c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72"/>
      <c r="BE184" s="89"/>
      <c r="BF184" s="89"/>
    </row>
    <row r="185">
      <c r="A185" s="104"/>
      <c r="B185" s="80"/>
      <c r="C185" s="104"/>
      <c r="D185" s="80"/>
      <c r="E185" s="80"/>
      <c r="F185" s="80"/>
      <c r="G185" s="80"/>
      <c r="H185" s="104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6">
        <f>IFERROR(__xludf.DUMMYFUNCTION("""COMPUTED_VALUE"""),183081.0)</f>
        <v>183081</v>
      </c>
      <c r="AB185" s="86">
        <f>IFERROR(__xludf.DUMMYFUNCTION("""COMPUTED_VALUE"""),184080.0)</f>
        <v>184080</v>
      </c>
      <c r="AC185" s="86">
        <f>IFERROR(__xludf.DUMMYFUNCTION("""COMPUTED_VALUE"""),23000.0)</f>
        <v>23000</v>
      </c>
      <c r="AD185" s="86">
        <f>IFERROR(__xludf.DUMMYFUNCTION("""COMPUTED_VALUE"""),55200.0)</f>
        <v>55200</v>
      </c>
      <c r="AE185" s="86">
        <f>IFERROR(__xludf.DUMMYFUNCTION("""COMPUTED_VALUE"""),0.150000000000001)</f>
        <v>0.15</v>
      </c>
      <c r="AF185" s="86">
        <f>IFERROR(__xludf.DUMMYFUNCTION("""COMPUTED_VALUE"""),18600.0)</f>
        <v>18600</v>
      </c>
      <c r="AG185" s="86">
        <f>IFERROR(__xludf.DUMMYFUNCTION("""COMPUTED_VALUE"""),32200.0)</f>
        <v>32200</v>
      </c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72"/>
      <c r="BE185" s="89"/>
      <c r="BF185" s="89"/>
    </row>
    <row r="186">
      <c r="A186" s="104"/>
      <c r="B186" s="80"/>
      <c r="C186" s="104"/>
      <c r="D186" s="80"/>
      <c r="E186" s="80"/>
      <c r="F186" s="80"/>
      <c r="G186" s="80"/>
      <c r="H186" s="104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6">
        <f>IFERROR(__xludf.DUMMYFUNCTION("""COMPUTED_VALUE"""),184081.0)</f>
        <v>184081</v>
      </c>
      <c r="AB186" s="86">
        <f>IFERROR(__xludf.DUMMYFUNCTION("""COMPUTED_VALUE"""),185080.0)</f>
        <v>185080</v>
      </c>
      <c r="AC186" s="86">
        <f>IFERROR(__xludf.DUMMYFUNCTION("""COMPUTED_VALUE"""),23125.0)</f>
        <v>23125</v>
      </c>
      <c r="AD186" s="86">
        <f>IFERROR(__xludf.DUMMYFUNCTION("""COMPUTED_VALUE"""),55500.0)</f>
        <v>55500</v>
      </c>
      <c r="AE186" s="86">
        <f>IFERROR(__xludf.DUMMYFUNCTION("""COMPUTED_VALUE"""),0.150000000000001)</f>
        <v>0.15</v>
      </c>
      <c r="AF186" s="86">
        <f>IFERROR(__xludf.DUMMYFUNCTION("""COMPUTED_VALUE"""),18700.0)</f>
        <v>18700</v>
      </c>
      <c r="AG186" s="86">
        <f>IFERROR(__xludf.DUMMYFUNCTION("""COMPUTED_VALUE"""),32375.0)</f>
        <v>32375</v>
      </c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72"/>
      <c r="BE186" s="89"/>
      <c r="BF186" s="89"/>
    </row>
    <row r="187">
      <c r="A187" s="104"/>
      <c r="B187" s="80"/>
      <c r="C187" s="104"/>
      <c r="D187" s="80"/>
      <c r="E187" s="80"/>
      <c r="F187" s="80"/>
      <c r="G187" s="80"/>
      <c r="H187" s="104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6">
        <f>IFERROR(__xludf.DUMMYFUNCTION("""COMPUTED_VALUE"""),185081.0)</f>
        <v>185081</v>
      </c>
      <c r="AB187" s="86">
        <f>IFERROR(__xludf.DUMMYFUNCTION("""COMPUTED_VALUE"""),186080.0)</f>
        <v>186080</v>
      </c>
      <c r="AC187" s="86">
        <f>IFERROR(__xludf.DUMMYFUNCTION("""COMPUTED_VALUE"""),23250.0)</f>
        <v>23250</v>
      </c>
      <c r="AD187" s="86">
        <f>IFERROR(__xludf.DUMMYFUNCTION("""COMPUTED_VALUE"""),55800.0)</f>
        <v>55800</v>
      </c>
      <c r="AE187" s="86">
        <f>IFERROR(__xludf.DUMMYFUNCTION("""COMPUTED_VALUE"""),0.150000000000001)</f>
        <v>0.15</v>
      </c>
      <c r="AF187" s="86">
        <f>IFERROR(__xludf.DUMMYFUNCTION("""COMPUTED_VALUE"""),18800.0)</f>
        <v>18800</v>
      </c>
      <c r="AG187" s="86">
        <f>IFERROR(__xludf.DUMMYFUNCTION("""COMPUTED_VALUE"""),32550.0)</f>
        <v>32550</v>
      </c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72"/>
      <c r="BE187" s="89"/>
      <c r="BF187" s="89"/>
    </row>
    <row r="188">
      <c r="A188" s="104"/>
      <c r="B188" s="80"/>
      <c r="C188" s="104"/>
      <c r="D188" s="80"/>
      <c r="E188" s="80"/>
      <c r="F188" s="80"/>
      <c r="G188" s="80"/>
      <c r="H188" s="104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6">
        <f>IFERROR(__xludf.DUMMYFUNCTION("""COMPUTED_VALUE"""),186081.0)</f>
        <v>186081</v>
      </c>
      <c r="AB188" s="86">
        <f>IFERROR(__xludf.DUMMYFUNCTION("""COMPUTED_VALUE"""),187080.0)</f>
        <v>187080</v>
      </c>
      <c r="AC188" s="86">
        <f>IFERROR(__xludf.DUMMYFUNCTION("""COMPUTED_VALUE"""),23375.0)</f>
        <v>23375</v>
      </c>
      <c r="AD188" s="86">
        <f>IFERROR(__xludf.DUMMYFUNCTION("""COMPUTED_VALUE"""),56100.0)</f>
        <v>56100</v>
      </c>
      <c r="AE188" s="86">
        <f>IFERROR(__xludf.DUMMYFUNCTION("""COMPUTED_VALUE"""),0.150000000000001)</f>
        <v>0.15</v>
      </c>
      <c r="AF188" s="86">
        <f>IFERROR(__xludf.DUMMYFUNCTION("""COMPUTED_VALUE"""),18900.0)</f>
        <v>18900</v>
      </c>
      <c r="AG188" s="86">
        <f>IFERROR(__xludf.DUMMYFUNCTION("""COMPUTED_VALUE"""),32725.0)</f>
        <v>32725</v>
      </c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72"/>
      <c r="BE188" s="89"/>
      <c r="BF188" s="89"/>
    </row>
    <row r="189">
      <c r="A189" s="104"/>
      <c r="B189" s="80"/>
      <c r="C189" s="104"/>
      <c r="D189" s="80"/>
      <c r="E189" s="80"/>
      <c r="F189" s="80"/>
      <c r="G189" s="80"/>
      <c r="H189" s="104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6">
        <f>IFERROR(__xludf.DUMMYFUNCTION("""COMPUTED_VALUE"""),187081.0)</f>
        <v>187081</v>
      </c>
      <c r="AB189" s="86">
        <f>IFERROR(__xludf.DUMMYFUNCTION("""COMPUTED_VALUE"""),188080.0)</f>
        <v>188080</v>
      </c>
      <c r="AC189" s="86">
        <f>IFERROR(__xludf.DUMMYFUNCTION("""COMPUTED_VALUE"""),23500.0)</f>
        <v>23500</v>
      </c>
      <c r="AD189" s="86">
        <f>IFERROR(__xludf.DUMMYFUNCTION("""COMPUTED_VALUE"""),56400.0)</f>
        <v>56400</v>
      </c>
      <c r="AE189" s="86">
        <f>IFERROR(__xludf.DUMMYFUNCTION("""COMPUTED_VALUE"""),0.150000000000001)</f>
        <v>0.15</v>
      </c>
      <c r="AF189" s="86">
        <f>IFERROR(__xludf.DUMMYFUNCTION("""COMPUTED_VALUE"""),19000.0)</f>
        <v>19000</v>
      </c>
      <c r="AG189" s="86">
        <f>IFERROR(__xludf.DUMMYFUNCTION("""COMPUTED_VALUE"""),32900.0)</f>
        <v>32900</v>
      </c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72"/>
      <c r="BE189" s="89"/>
      <c r="BF189" s="89"/>
    </row>
    <row r="190">
      <c r="A190" s="104"/>
      <c r="B190" s="80"/>
      <c r="C190" s="104"/>
      <c r="D190" s="80"/>
      <c r="E190" s="80"/>
      <c r="F190" s="80"/>
      <c r="G190" s="80"/>
      <c r="H190" s="104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6">
        <f>IFERROR(__xludf.DUMMYFUNCTION("""COMPUTED_VALUE"""),188081.0)</f>
        <v>188081</v>
      </c>
      <c r="AB190" s="86">
        <f>IFERROR(__xludf.DUMMYFUNCTION("""COMPUTED_VALUE"""),189080.0)</f>
        <v>189080</v>
      </c>
      <c r="AC190" s="86">
        <f>IFERROR(__xludf.DUMMYFUNCTION("""COMPUTED_VALUE"""),23625.0)</f>
        <v>23625</v>
      </c>
      <c r="AD190" s="86">
        <f>IFERROR(__xludf.DUMMYFUNCTION("""COMPUTED_VALUE"""),56700.0)</f>
        <v>56700</v>
      </c>
      <c r="AE190" s="86">
        <f>IFERROR(__xludf.DUMMYFUNCTION("""COMPUTED_VALUE"""),0.150000000000001)</f>
        <v>0.15</v>
      </c>
      <c r="AF190" s="86">
        <f>IFERROR(__xludf.DUMMYFUNCTION("""COMPUTED_VALUE"""),19100.0)</f>
        <v>19100</v>
      </c>
      <c r="AG190" s="86">
        <f>IFERROR(__xludf.DUMMYFUNCTION("""COMPUTED_VALUE"""),33075.0)</f>
        <v>33075</v>
      </c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72"/>
      <c r="BE190" s="89"/>
      <c r="BF190" s="89"/>
    </row>
    <row r="191">
      <c r="A191" s="104"/>
      <c r="B191" s="80"/>
      <c r="C191" s="104"/>
      <c r="D191" s="80"/>
      <c r="E191" s="80"/>
      <c r="F191" s="80"/>
      <c r="G191" s="80"/>
      <c r="H191" s="104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6">
        <f>IFERROR(__xludf.DUMMYFUNCTION("""COMPUTED_VALUE"""),189081.0)</f>
        <v>189081</v>
      </c>
      <c r="AB191" s="86">
        <f>IFERROR(__xludf.DUMMYFUNCTION("""COMPUTED_VALUE"""),190080.0)</f>
        <v>190080</v>
      </c>
      <c r="AC191" s="86">
        <f>IFERROR(__xludf.DUMMYFUNCTION("""COMPUTED_VALUE"""),23750.0)</f>
        <v>23750</v>
      </c>
      <c r="AD191" s="86">
        <f>IFERROR(__xludf.DUMMYFUNCTION("""COMPUTED_VALUE"""),57000.0)</f>
        <v>57000</v>
      </c>
      <c r="AE191" s="86">
        <f>IFERROR(__xludf.DUMMYFUNCTION("""COMPUTED_VALUE"""),0.150000000000001)</f>
        <v>0.15</v>
      </c>
      <c r="AF191" s="86">
        <f>IFERROR(__xludf.DUMMYFUNCTION("""COMPUTED_VALUE"""),19200.0)</f>
        <v>19200</v>
      </c>
      <c r="AG191" s="86">
        <f>IFERROR(__xludf.DUMMYFUNCTION("""COMPUTED_VALUE"""),33250.0)</f>
        <v>33250</v>
      </c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72"/>
      <c r="BE191" s="89"/>
      <c r="BF191" s="89"/>
    </row>
    <row r="192">
      <c r="A192" s="104"/>
      <c r="B192" s="80"/>
      <c r="C192" s="104"/>
      <c r="D192" s="80"/>
      <c r="E192" s="80"/>
      <c r="F192" s="80"/>
      <c r="G192" s="80"/>
      <c r="H192" s="104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6">
        <f>IFERROR(__xludf.DUMMYFUNCTION("""COMPUTED_VALUE"""),190081.0)</f>
        <v>190081</v>
      </c>
      <c r="AB192" s="86">
        <f>IFERROR(__xludf.DUMMYFUNCTION("""COMPUTED_VALUE"""),191080.0)</f>
        <v>191080</v>
      </c>
      <c r="AC192" s="86">
        <f>IFERROR(__xludf.DUMMYFUNCTION("""COMPUTED_VALUE"""),23875.0)</f>
        <v>23875</v>
      </c>
      <c r="AD192" s="86">
        <f>IFERROR(__xludf.DUMMYFUNCTION("""COMPUTED_VALUE"""),57300.0)</f>
        <v>57300</v>
      </c>
      <c r="AE192" s="86">
        <f>IFERROR(__xludf.DUMMYFUNCTION("""COMPUTED_VALUE"""),0.150000000000001)</f>
        <v>0.15</v>
      </c>
      <c r="AF192" s="86">
        <f>IFERROR(__xludf.DUMMYFUNCTION("""COMPUTED_VALUE"""),19300.0)</f>
        <v>19300</v>
      </c>
      <c r="AG192" s="86">
        <f>IFERROR(__xludf.DUMMYFUNCTION("""COMPUTED_VALUE"""),33425.0)</f>
        <v>33425</v>
      </c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72"/>
      <c r="BE192" s="89"/>
      <c r="BF192" s="89"/>
    </row>
    <row r="193">
      <c r="A193" s="104"/>
      <c r="B193" s="80"/>
      <c r="C193" s="104"/>
      <c r="D193" s="80"/>
      <c r="E193" s="80"/>
      <c r="F193" s="80"/>
      <c r="G193" s="80"/>
      <c r="H193" s="104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6">
        <f>IFERROR(__xludf.DUMMYFUNCTION("""COMPUTED_VALUE"""),191081.0)</f>
        <v>191081</v>
      </c>
      <c r="AB193" s="86">
        <f>IFERROR(__xludf.DUMMYFUNCTION("""COMPUTED_VALUE"""),192080.0)</f>
        <v>192080</v>
      </c>
      <c r="AC193" s="86">
        <f>IFERROR(__xludf.DUMMYFUNCTION("""COMPUTED_VALUE"""),24000.0)</f>
        <v>24000</v>
      </c>
      <c r="AD193" s="86">
        <f>IFERROR(__xludf.DUMMYFUNCTION("""COMPUTED_VALUE"""),57600.0)</f>
        <v>57600</v>
      </c>
      <c r="AE193" s="86">
        <f>IFERROR(__xludf.DUMMYFUNCTION("""COMPUTED_VALUE"""),0.150000000000001)</f>
        <v>0.15</v>
      </c>
      <c r="AF193" s="86">
        <f>IFERROR(__xludf.DUMMYFUNCTION("""COMPUTED_VALUE"""),19400.0)</f>
        <v>19400</v>
      </c>
      <c r="AG193" s="86">
        <f>IFERROR(__xludf.DUMMYFUNCTION("""COMPUTED_VALUE"""),33600.0)</f>
        <v>33600</v>
      </c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72"/>
      <c r="BE193" s="89"/>
      <c r="BF193" s="89"/>
    </row>
    <row r="194">
      <c r="A194" s="104"/>
      <c r="B194" s="80"/>
      <c r="C194" s="104"/>
      <c r="D194" s="80"/>
      <c r="E194" s="80"/>
      <c r="F194" s="80"/>
      <c r="G194" s="80"/>
      <c r="H194" s="104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6">
        <f>IFERROR(__xludf.DUMMYFUNCTION("""COMPUTED_VALUE"""),192081.0)</f>
        <v>192081</v>
      </c>
      <c r="AB194" s="86">
        <f>IFERROR(__xludf.DUMMYFUNCTION("""COMPUTED_VALUE"""),193080.0)</f>
        <v>193080</v>
      </c>
      <c r="AC194" s="86">
        <f>IFERROR(__xludf.DUMMYFUNCTION("""COMPUTED_VALUE"""),24125.0)</f>
        <v>24125</v>
      </c>
      <c r="AD194" s="86">
        <f>IFERROR(__xludf.DUMMYFUNCTION("""COMPUTED_VALUE"""),57900.0)</f>
        <v>57900</v>
      </c>
      <c r="AE194" s="86">
        <f>IFERROR(__xludf.DUMMYFUNCTION("""COMPUTED_VALUE"""),0.150000000000001)</f>
        <v>0.15</v>
      </c>
      <c r="AF194" s="86">
        <f>IFERROR(__xludf.DUMMYFUNCTION("""COMPUTED_VALUE"""),19500.0)</f>
        <v>19500</v>
      </c>
      <c r="AG194" s="86">
        <f>IFERROR(__xludf.DUMMYFUNCTION("""COMPUTED_VALUE"""),33775.0)</f>
        <v>33775</v>
      </c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72"/>
      <c r="BE194" s="89"/>
      <c r="BF194" s="89"/>
    </row>
    <row r="195">
      <c r="A195" s="104"/>
      <c r="B195" s="80"/>
      <c r="C195" s="104"/>
      <c r="D195" s="80"/>
      <c r="E195" s="80"/>
      <c r="F195" s="80"/>
      <c r="G195" s="80"/>
      <c r="H195" s="104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6">
        <f>IFERROR(__xludf.DUMMYFUNCTION("""COMPUTED_VALUE"""),193081.0)</f>
        <v>193081</v>
      </c>
      <c r="AB195" s="86">
        <f>IFERROR(__xludf.DUMMYFUNCTION("""COMPUTED_VALUE"""),194080.0)</f>
        <v>194080</v>
      </c>
      <c r="AC195" s="86">
        <f>IFERROR(__xludf.DUMMYFUNCTION("""COMPUTED_VALUE"""),24250.0)</f>
        <v>24250</v>
      </c>
      <c r="AD195" s="86">
        <f>IFERROR(__xludf.DUMMYFUNCTION("""COMPUTED_VALUE"""),58200.0)</f>
        <v>58200</v>
      </c>
      <c r="AE195" s="86">
        <f>IFERROR(__xludf.DUMMYFUNCTION("""COMPUTED_VALUE"""),0.150000000000001)</f>
        <v>0.15</v>
      </c>
      <c r="AF195" s="86">
        <f>IFERROR(__xludf.DUMMYFUNCTION("""COMPUTED_VALUE"""),19600.0)</f>
        <v>19600</v>
      </c>
      <c r="AG195" s="86">
        <f>IFERROR(__xludf.DUMMYFUNCTION("""COMPUTED_VALUE"""),33950.0)</f>
        <v>33950</v>
      </c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72"/>
      <c r="BE195" s="89"/>
      <c r="BF195" s="89"/>
    </row>
    <row r="196">
      <c r="A196" s="104"/>
      <c r="B196" s="80"/>
      <c r="C196" s="104"/>
      <c r="D196" s="80"/>
      <c r="E196" s="80"/>
      <c r="F196" s="80"/>
      <c r="G196" s="80"/>
      <c r="H196" s="104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6">
        <f>IFERROR(__xludf.DUMMYFUNCTION("""COMPUTED_VALUE"""),194081.0)</f>
        <v>194081</v>
      </c>
      <c r="AB196" s="86">
        <f>IFERROR(__xludf.DUMMYFUNCTION("""COMPUTED_VALUE"""),195080.0)</f>
        <v>195080</v>
      </c>
      <c r="AC196" s="86">
        <f>IFERROR(__xludf.DUMMYFUNCTION("""COMPUTED_VALUE"""),24375.0)</f>
        <v>24375</v>
      </c>
      <c r="AD196" s="86">
        <f>IFERROR(__xludf.DUMMYFUNCTION("""COMPUTED_VALUE"""),58500.0)</f>
        <v>58500</v>
      </c>
      <c r="AE196" s="86">
        <f>IFERROR(__xludf.DUMMYFUNCTION("""COMPUTED_VALUE"""),0.150000000000001)</f>
        <v>0.15</v>
      </c>
      <c r="AF196" s="86">
        <f>IFERROR(__xludf.DUMMYFUNCTION("""COMPUTED_VALUE"""),19700.0)</f>
        <v>19700</v>
      </c>
      <c r="AG196" s="86">
        <f>IFERROR(__xludf.DUMMYFUNCTION("""COMPUTED_VALUE"""),34125.0)</f>
        <v>34125</v>
      </c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72"/>
      <c r="BE196" s="89"/>
      <c r="BF196" s="89"/>
    </row>
    <row r="197">
      <c r="A197" s="104"/>
      <c r="B197" s="80"/>
      <c r="C197" s="104"/>
      <c r="D197" s="80"/>
      <c r="E197" s="80"/>
      <c r="F197" s="80"/>
      <c r="G197" s="80"/>
      <c r="H197" s="104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6">
        <f>IFERROR(__xludf.DUMMYFUNCTION("""COMPUTED_VALUE"""),195081.0)</f>
        <v>195081</v>
      </c>
      <c r="AB197" s="86">
        <f>IFERROR(__xludf.DUMMYFUNCTION("""COMPUTED_VALUE"""),196080.0)</f>
        <v>196080</v>
      </c>
      <c r="AC197" s="86">
        <f>IFERROR(__xludf.DUMMYFUNCTION("""COMPUTED_VALUE"""),24500.0)</f>
        <v>24500</v>
      </c>
      <c r="AD197" s="86">
        <f>IFERROR(__xludf.DUMMYFUNCTION("""COMPUTED_VALUE"""),58800.0)</f>
        <v>58800</v>
      </c>
      <c r="AE197" s="86">
        <f>IFERROR(__xludf.DUMMYFUNCTION("""COMPUTED_VALUE"""),0.150000000000001)</f>
        <v>0.15</v>
      </c>
      <c r="AF197" s="86">
        <f>IFERROR(__xludf.DUMMYFUNCTION("""COMPUTED_VALUE"""),19800.0)</f>
        <v>19800</v>
      </c>
      <c r="AG197" s="86">
        <f>IFERROR(__xludf.DUMMYFUNCTION("""COMPUTED_VALUE"""),34300.0)</f>
        <v>34300</v>
      </c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72"/>
      <c r="BE197" s="89"/>
      <c r="BF197" s="89"/>
    </row>
    <row r="198">
      <c r="A198" s="104"/>
      <c r="B198" s="80"/>
      <c r="C198" s="104"/>
      <c r="D198" s="80"/>
      <c r="E198" s="80"/>
      <c r="F198" s="80"/>
      <c r="G198" s="80"/>
      <c r="H198" s="104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6">
        <f>IFERROR(__xludf.DUMMYFUNCTION("""COMPUTED_VALUE"""),196081.0)</f>
        <v>196081</v>
      </c>
      <c r="AB198" s="86">
        <f>IFERROR(__xludf.DUMMYFUNCTION("""COMPUTED_VALUE"""),197080.0)</f>
        <v>197080</v>
      </c>
      <c r="AC198" s="86">
        <f>IFERROR(__xludf.DUMMYFUNCTION("""COMPUTED_VALUE"""),24625.0)</f>
        <v>24625</v>
      </c>
      <c r="AD198" s="86">
        <f>IFERROR(__xludf.DUMMYFUNCTION("""COMPUTED_VALUE"""),59100.0)</f>
        <v>59100</v>
      </c>
      <c r="AE198" s="86">
        <f>IFERROR(__xludf.DUMMYFUNCTION("""COMPUTED_VALUE"""),0.150000000000001)</f>
        <v>0.15</v>
      </c>
      <c r="AF198" s="86">
        <f>IFERROR(__xludf.DUMMYFUNCTION("""COMPUTED_VALUE"""),19900.0)</f>
        <v>19900</v>
      </c>
      <c r="AG198" s="86">
        <f>IFERROR(__xludf.DUMMYFUNCTION("""COMPUTED_VALUE"""),34475.0)</f>
        <v>34475</v>
      </c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72"/>
      <c r="BE198" s="89"/>
      <c r="BF198" s="89"/>
    </row>
    <row r="199">
      <c r="A199" s="104"/>
      <c r="B199" s="80"/>
      <c r="C199" s="104"/>
      <c r="D199" s="80"/>
      <c r="E199" s="80"/>
      <c r="F199" s="80"/>
      <c r="G199" s="80"/>
      <c r="H199" s="104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6">
        <f>IFERROR(__xludf.DUMMYFUNCTION("""COMPUTED_VALUE"""),197081.0)</f>
        <v>197081</v>
      </c>
      <c r="AB199" s="86">
        <f>IFERROR(__xludf.DUMMYFUNCTION("""COMPUTED_VALUE"""),198080.0)</f>
        <v>198080</v>
      </c>
      <c r="AC199" s="86">
        <f>IFERROR(__xludf.DUMMYFUNCTION("""COMPUTED_VALUE"""),24750.0)</f>
        <v>24750</v>
      </c>
      <c r="AD199" s="86">
        <f>IFERROR(__xludf.DUMMYFUNCTION("""COMPUTED_VALUE"""),59400.0)</f>
        <v>59400</v>
      </c>
      <c r="AE199" s="86">
        <f>IFERROR(__xludf.DUMMYFUNCTION("""COMPUTED_VALUE"""),0.150000000000001)</f>
        <v>0.15</v>
      </c>
      <c r="AF199" s="86">
        <f>IFERROR(__xludf.DUMMYFUNCTION("""COMPUTED_VALUE"""),20000.0)</f>
        <v>20000</v>
      </c>
      <c r="AG199" s="86">
        <f>IFERROR(__xludf.DUMMYFUNCTION("""COMPUTED_VALUE"""),34650.0)</f>
        <v>34650</v>
      </c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72"/>
      <c r="BE199" s="89"/>
      <c r="BF199" s="89"/>
    </row>
    <row r="200">
      <c r="A200" s="104"/>
      <c r="B200" s="80"/>
      <c r="C200" s="104"/>
      <c r="D200" s="80"/>
      <c r="E200" s="80"/>
      <c r="F200" s="80"/>
      <c r="G200" s="80"/>
      <c r="H200" s="104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6">
        <f>IFERROR(__xludf.DUMMYFUNCTION("""COMPUTED_VALUE"""),198081.0)</f>
        <v>198081</v>
      </c>
      <c r="AB200" s="86">
        <f>IFERROR(__xludf.DUMMYFUNCTION("""COMPUTED_VALUE"""),199080.0)</f>
        <v>199080</v>
      </c>
      <c r="AC200" s="86">
        <f>IFERROR(__xludf.DUMMYFUNCTION("""COMPUTED_VALUE"""),24875.0)</f>
        <v>24875</v>
      </c>
      <c r="AD200" s="86">
        <f>IFERROR(__xludf.DUMMYFUNCTION("""COMPUTED_VALUE"""),59700.0)</f>
        <v>59700</v>
      </c>
      <c r="AE200" s="86">
        <f>IFERROR(__xludf.DUMMYFUNCTION("""COMPUTED_VALUE"""),0.150000000000001)</f>
        <v>0.15</v>
      </c>
      <c r="AF200" s="86">
        <f>IFERROR(__xludf.DUMMYFUNCTION("""COMPUTED_VALUE"""),20100.0)</f>
        <v>20100</v>
      </c>
      <c r="AG200" s="86">
        <f>IFERROR(__xludf.DUMMYFUNCTION("""COMPUTED_VALUE"""),34825.0)</f>
        <v>34825</v>
      </c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72"/>
      <c r="BE200" s="89"/>
      <c r="BF200" s="89"/>
    </row>
    <row r="201">
      <c r="A201" s="104"/>
      <c r="B201" s="80"/>
      <c r="C201" s="104"/>
      <c r="D201" s="80"/>
      <c r="E201" s="80"/>
      <c r="F201" s="80"/>
      <c r="G201" s="80"/>
      <c r="H201" s="104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6">
        <f>IFERROR(__xludf.DUMMYFUNCTION("""COMPUTED_VALUE"""),199081.0)</f>
        <v>199081</v>
      </c>
      <c r="AB201" s="86">
        <f>IFERROR(__xludf.DUMMYFUNCTION("""COMPUTED_VALUE"""),200080.0)</f>
        <v>200080</v>
      </c>
      <c r="AC201" s="86">
        <f>IFERROR(__xludf.DUMMYFUNCTION("""COMPUTED_VALUE"""),25000.0)</f>
        <v>25000</v>
      </c>
      <c r="AD201" s="86">
        <f>IFERROR(__xludf.DUMMYFUNCTION("""COMPUTED_VALUE"""),60000.0)</f>
        <v>60000</v>
      </c>
      <c r="AE201" s="86">
        <f>IFERROR(__xludf.DUMMYFUNCTION("""COMPUTED_VALUE"""),0.150000000000001)</f>
        <v>0.15</v>
      </c>
      <c r="AF201" s="86">
        <f>IFERROR(__xludf.DUMMYFUNCTION("""COMPUTED_VALUE"""),20200.0)</f>
        <v>20200</v>
      </c>
      <c r="AG201" s="86">
        <f>IFERROR(__xludf.DUMMYFUNCTION("""COMPUTED_VALUE"""),35000.0)</f>
        <v>35000</v>
      </c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72"/>
      <c r="BE201" s="89"/>
      <c r="BF201" s="89"/>
    </row>
    <row r="202">
      <c r="A202" s="104"/>
      <c r="B202" s="80"/>
      <c r="C202" s="104"/>
      <c r="D202" s="80"/>
      <c r="E202" s="80"/>
      <c r="F202" s="80"/>
      <c r="G202" s="80"/>
      <c r="H202" s="104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6">
        <f>IFERROR(__xludf.DUMMYFUNCTION("""COMPUTED_VALUE"""),200081.0)</f>
        <v>200081</v>
      </c>
      <c r="AB202" s="86">
        <f>IFERROR(__xludf.DUMMYFUNCTION("""COMPUTED_VALUE"""),201080.0)</f>
        <v>201080</v>
      </c>
      <c r="AC202" s="86">
        <f>IFERROR(__xludf.DUMMYFUNCTION("""COMPUTED_VALUE"""),25125.0)</f>
        <v>25125</v>
      </c>
      <c r="AD202" s="86">
        <f>IFERROR(__xludf.DUMMYFUNCTION("""COMPUTED_VALUE"""),60300.0)</f>
        <v>60300</v>
      </c>
      <c r="AE202" s="86">
        <f>IFERROR(__xludf.DUMMYFUNCTION("""COMPUTED_VALUE"""),0.150000000000001)</f>
        <v>0.15</v>
      </c>
      <c r="AF202" s="86">
        <f>IFERROR(__xludf.DUMMYFUNCTION("""COMPUTED_VALUE"""),20300.0)</f>
        <v>20300</v>
      </c>
      <c r="AG202" s="86">
        <f>IFERROR(__xludf.DUMMYFUNCTION("""COMPUTED_VALUE"""),35175.0)</f>
        <v>35175</v>
      </c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72"/>
      <c r="BE202" s="89"/>
      <c r="BF202" s="89"/>
    </row>
    <row r="203">
      <c r="A203" s="104"/>
      <c r="B203" s="80"/>
      <c r="C203" s="104"/>
      <c r="D203" s="80"/>
      <c r="E203" s="80"/>
      <c r="F203" s="80"/>
      <c r="G203" s="80"/>
      <c r="H203" s="104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6">
        <f>IFERROR(__xludf.DUMMYFUNCTION("""COMPUTED_VALUE"""),201081.0)</f>
        <v>201081</v>
      </c>
      <c r="AB203" s="86">
        <f>IFERROR(__xludf.DUMMYFUNCTION("""COMPUTED_VALUE"""),202080.0)</f>
        <v>202080</v>
      </c>
      <c r="AC203" s="86">
        <f>IFERROR(__xludf.DUMMYFUNCTION("""COMPUTED_VALUE"""),25250.0)</f>
        <v>25250</v>
      </c>
      <c r="AD203" s="86">
        <f>IFERROR(__xludf.DUMMYFUNCTION("""COMPUTED_VALUE"""),60600.0)</f>
        <v>60600</v>
      </c>
      <c r="AE203" s="86">
        <f>IFERROR(__xludf.DUMMYFUNCTION("""COMPUTED_VALUE"""),0.150000000000001)</f>
        <v>0.15</v>
      </c>
      <c r="AF203" s="86">
        <f>IFERROR(__xludf.DUMMYFUNCTION("""COMPUTED_VALUE"""),20400.0)</f>
        <v>20400</v>
      </c>
      <c r="AG203" s="86">
        <f>IFERROR(__xludf.DUMMYFUNCTION("""COMPUTED_VALUE"""),35350.0)</f>
        <v>35350</v>
      </c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72"/>
      <c r="BE203" s="89"/>
      <c r="BF203" s="89"/>
    </row>
    <row r="204">
      <c r="A204" s="104"/>
      <c r="B204" s="80"/>
      <c r="C204" s="104"/>
      <c r="D204" s="80"/>
      <c r="E204" s="80"/>
      <c r="F204" s="80"/>
      <c r="G204" s="80"/>
      <c r="H204" s="104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6">
        <f>IFERROR(__xludf.DUMMYFUNCTION("""COMPUTED_VALUE"""),202081.0)</f>
        <v>202081</v>
      </c>
      <c r="AB204" s="86">
        <f>IFERROR(__xludf.DUMMYFUNCTION("""COMPUTED_VALUE"""),203080.0)</f>
        <v>203080</v>
      </c>
      <c r="AC204" s="86">
        <f>IFERROR(__xludf.DUMMYFUNCTION("""COMPUTED_VALUE"""),25375.0)</f>
        <v>25375</v>
      </c>
      <c r="AD204" s="86">
        <f>IFERROR(__xludf.DUMMYFUNCTION("""COMPUTED_VALUE"""),60900.0)</f>
        <v>60900</v>
      </c>
      <c r="AE204" s="86">
        <f>IFERROR(__xludf.DUMMYFUNCTION("""COMPUTED_VALUE"""),0.150000000000001)</f>
        <v>0.15</v>
      </c>
      <c r="AF204" s="86">
        <f>IFERROR(__xludf.DUMMYFUNCTION("""COMPUTED_VALUE"""),20500.0)</f>
        <v>20500</v>
      </c>
      <c r="AG204" s="86">
        <f>IFERROR(__xludf.DUMMYFUNCTION("""COMPUTED_VALUE"""),35525.0)</f>
        <v>35525</v>
      </c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72"/>
      <c r="BE204" s="89"/>
      <c r="BF204" s="89"/>
    </row>
    <row r="205">
      <c r="A205" s="104"/>
      <c r="B205" s="80"/>
      <c r="C205" s="104"/>
      <c r="D205" s="80"/>
      <c r="E205" s="80"/>
      <c r="F205" s="80"/>
      <c r="G205" s="80"/>
      <c r="H205" s="104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6">
        <f>IFERROR(__xludf.DUMMYFUNCTION("""COMPUTED_VALUE"""),203081.0)</f>
        <v>203081</v>
      </c>
      <c r="AB205" s="86">
        <f>IFERROR(__xludf.DUMMYFUNCTION("""COMPUTED_VALUE"""),204080.0)</f>
        <v>204080</v>
      </c>
      <c r="AC205" s="86">
        <f>IFERROR(__xludf.DUMMYFUNCTION("""COMPUTED_VALUE"""),25500.0)</f>
        <v>25500</v>
      </c>
      <c r="AD205" s="86">
        <f>IFERROR(__xludf.DUMMYFUNCTION("""COMPUTED_VALUE"""),61200.0)</f>
        <v>61200</v>
      </c>
      <c r="AE205" s="86">
        <f>IFERROR(__xludf.DUMMYFUNCTION("""COMPUTED_VALUE"""),0.150000000000001)</f>
        <v>0.15</v>
      </c>
      <c r="AF205" s="86">
        <f>IFERROR(__xludf.DUMMYFUNCTION("""COMPUTED_VALUE"""),20600.0)</f>
        <v>20600</v>
      </c>
      <c r="AG205" s="86">
        <f>IFERROR(__xludf.DUMMYFUNCTION("""COMPUTED_VALUE"""),35700.0)</f>
        <v>35700</v>
      </c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72"/>
      <c r="BE205" s="89"/>
      <c r="BF205" s="89"/>
    </row>
    <row r="206">
      <c r="A206" s="104"/>
      <c r="B206" s="80"/>
      <c r="C206" s="104"/>
      <c r="D206" s="80"/>
      <c r="E206" s="80"/>
      <c r="F206" s="80"/>
      <c r="G206" s="80"/>
      <c r="H206" s="104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6">
        <f>IFERROR(__xludf.DUMMYFUNCTION("""COMPUTED_VALUE"""),204081.0)</f>
        <v>204081</v>
      </c>
      <c r="AB206" s="86">
        <f>IFERROR(__xludf.DUMMYFUNCTION("""COMPUTED_VALUE"""),205080.0)</f>
        <v>205080</v>
      </c>
      <c r="AC206" s="86">
        <f>IFERROR(__xludf.DUMMYFUNCTION("""COMPUTED_VALUE"""),25625.0)</f>
        <v>25625</v>
      </c>
      <c r="AD206" s="86">
        <f>IFERROR(__xludf.DUMMYFUNCTION("""COMPUTED_VALUE"""),61500.0)</f>
        <v>61500</v>
      </c>
      <c r="AE206" s="86">
        <f>IFERROR(__xludf.DUMMYFUNCTION("""COMPUTED_VALUE"""),0.150000000000001)</f>
        <v>0.15</v>
      </c>
      <c r="AF206" s="86">
        <f>IFERROR(__xludf.DUMMYFUNCTION("""COMPUTED_VALUE"""),20700.0)</f>
        <v>20700</v>
      </c>
      <c r="AG206" s="86">
        <f>IFERROR(__xludf.DUMMYFUNCTION("""COMPUTED_VALUE"""),35875.0)</f>
        <v>35875</v>
      </c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72"/>
      <c r="BE206" s="89"/>
      <c r="BF206" s="89"/>
    </row>
    <row r="207">
      <c r="A207" s="104"/>
      <c r="B207" s="80"/>
      <c r="C207" s="104"/>
      <c r="D207" s="80"/>
      <c r="E207" s="80"/>
      <c r="F207" s="80"/>
      <c r="G207" s="80"/>
      <c r="H207" s="104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6">
        <f>IFERROR(__xludf.DUMMYFUNCTION("""COMPUTED_VALUE"""),205081.0)</f>
        <v>205081</v>
      </c>
      <c r="AB207" s="86">
        <f>IFERROR(__xludf.DUMMYFUNCTION("""COMPUTED_VALUE"""),206080.0)</f>
        <v>206080</v>
      </c>
      <c r="AC207" s="86">
        <f>IFERROR(__xludf.DUMMYFUNCTION("""COMPUTED_VALUE"""),25750.0)</f>
        <v>25750</v>
      </c>
      <c r="AD207" s="86">
        <f>IFERROR(__xludf.DUMMYFUNCTION("""COMPUTED_VALUE"""),61800.0)</f>
        <v>61800</v>
      </c>
      <c r="AE207" s="86">
        <f>IFERROR(__xludf.DUMMYFUNCTION("""COMPUTED_VALUE"""),0.150000000000001)</f>
        <v>0.15</v>
      </c>
      <c r="AF207" s="86">
        <f>IFERROR(__xludf.DUMMYFUNCTION("""COMPUTED_VALUE"""),20800.0)</f>
        <v>20800</v>
      </c>
      <c r="AG207" s="86">
        <f>IFERROR(__xludf.DUMMYFUNCTION("""COMPUTED_VALUE"""),36050.0)</f>
        <v>36050</v>
      </c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72"/>
      <c r="BE207" s="89"/>
      <c r="BF207" s="89"/>
    </row>
    <row r="208">
      <c r="A208" s="104"/>
      <c r="B208" s="80"/>
      <c r="C208" s="104"/>
      <c r="D208" s="80"/>
      <c r="E208" s="80"/>
      <c r="F208" s="80"/>
      <c r="G208" s="80"/>
      <c r="H208" s="104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6">
        <f>IFERROR(__xludf.DUMMYFUNCTION("""COMPUTED_VALUE"""),206081.0)</f>
        <v>206081</v>
      </c>
      <c r="AB208" s="86">
        <f>IFERROR(__xludf.DUMMYFUNCTION("""COMPUTED_VALUE"""),207080.0)</f>
        <v>207080</v>
      </c>
      <c r="AC208" s="86">
        <f>IFERROR(__xludf.DUMMYFUNCTION("""COMPUTED_VALUE"""),25875.0)</f>
        <v>25875</v>
      </c>
      <c r="AD208" s="86">
        <f>IFERROR(__xludf.DUMMYFUNCTION("""COMPUTED_VALUE"""),62100.0)</f>
        <v>62100</v>
      </c>
      <c r="AE208" s="86">
        <f>IFERROR(__xludf.DUMMYFUNCTION("""COMPUTED_VALUE"""),0.150000000000001)</f>
        <v>0.15</v>
      </c>
      <c r="AF208" s="86">
        <f>IFERROR(__xludf.DUMMYFUNCTION("""COMPUTED_VALUE"""),20900.0)</f>
        <v>20900</v>
      </c>
      <c r="AG208" s="86">
        <f>IFERROR(__xludf.DUMMYFUNCTION("""COMPUTED_VALUE"""),36225.0)</f>
        <v>36225</v>
      </c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72"/>
      <c r="BE208" s="89"/>
      <c r="BF208" s="89"/>
    </row>
    <row r="209">
      <c r="A209" s="104"/>
      <c r="B209" s="80"/>
      <c r="C209" s="104"/>
      <c r="D209" s="80"/>
      <c r="E209" s="80"/>
      <c r="F209" s="80"/>
      <c r="G209" s="80"/>
      <c r="H209" s="104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6">
        <f>IFERROR(__xludf.DUMMYFUNCTION("""COMPUTED_VALUE"""),207081.0)</f>
        <v>207081</v>
      </c>
      <c r="AB209" s="86">
        <f>IFERROR(__xludf.DUMMYFUNCTION("""COMPUTED_VALUE"""),208080.0)</f>
        <v>208080</v>
      </c>
      <c r="AC209" s="86">
        <f>IFERROR(__xludf.DUMMYFUNCTION("""COMPUTED_VALUE"""),26000.0)</f>
        <v>26000</v>
      </c>
      <c r="AD209" s="86">
        <f>IFERROR(__xludf.DUMMYFUNCTION("""COMPUTED_VALUE"""),62400.0)</f>
        <v>62400</v>
      </c>
      <c r="AE209" s="86">
        <f>IFERROR(__xludf.DUMMYFUNCTION("""COMPUTED_VALUE"""),0.150000000000001)</f>
        <v>0.15</v>
      </c>
      <c r="AF209" s="86">
        <f>IFERROR(__xludf.DUMMYFUNCTION("""COMPUTED_VALUE"""),21000.0)</f>
        <v>21000</v>
      </c>
      <c r="AG209" s="86">
        <f>IFERROR(__xludf.DUMMYFUNCTION("""COMPUTED_VALUE"""),36400.0)</f>
        <v>36400</v>
      </c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72"/>
      <c r="BE209" s="89"/>
      <c r="BF209" s="89"/>
    </row>
    <row r="210">
      <c r="A210" s="104"/>
      <c r="B210" s="80"/>
      <c r="C210" s="104"/>
      <c r="D210" s="80"/>
      <c r="E210" s="80"/>
      <c r="F210" s="80"/>
      <c r="G210" s="80"/>
      <c r="H210" s="104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6">
        <f>IFERROR(__xludf.DUMMYFUNCTION("""COMPUTED_VALUE"""),208081.0)</f>
        <v>208081</v>
      </c>
      <c r="AB210" s="86">
        <f>IFERROR(__xludf.DUMMYFUNCTION("""COMPUTED_VALUE"""),209080.0)</f>
        <v>209080</v>
      </c>
      <c r="AC210" s="86">
        <f>IFERROR(__xludf.DUMMYFUNCTION("""COMPUTED_VALUE"""),26125.0)</f>
        <v>26125</v>
      </c>
      <c r="AD210" s="86">
        <f>IFERROR(__xludf.DUMMYFUNCTION("""COMPUTED_VALUE"""),62700.0)</f>
        <v>62700</v>
      </c>
      <c r="AE210" s="86">
        <f>IFERROR(__xludf.DUMMYFUNCTION("""COMPUTED_VALUE"""),0.150000000000001)</f>
        <v>0.15</v>
      </c>
      <c r="AF210" s="86">
        <f>IFERROR(__xludf.DUMMYFUNCTION("""COMPUTED_VALUE"""),21100.0)</f>
        <v>21100</v>
      </c>
      <c r="AG210" s="86">
        <f>IFERROR(__xludf.DUMMYFUNCTION("""COMPUTED_VALUE"""),36575.0)</f>
        <v>36575</v>
      </c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72"/>
      <c r="BE210" s="89"/>
      <c r="BF210" s="89"/>
    </row>
    <row r="211">
      <c r="A211" s="104"/>
      <c r="B211" s="80"/>
      <c r="C211" s="104"/>
      <c r="D211" s="80"/>
      <c r="E211" s="80"/>
      <c r="F211" s="80"/>
      <c r="G211" s="80"/>
      <c r="H211" s="104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6">
        <f>IFERROR(__xludf.DUMMYFUNCTION("""COMPUTED_VALUE"""),209081.0)</f>
        <v>209081</v>
      </c>
      <c r="AB211" s="86">
        <f>IFERROR(__xludf.DUMMYFUNCTION("""COMPUTED_VALUE"""),210080.0)</f>
        <v>210080</v>
      </c>
      <c r="AC211" s="86">
        <f>IFERROR(__xludf.DUMMYFUNCTION("""COMPUTED_VALUE"""),26250.0)</f>
        <v>26250</v>
      </c>
      <c r="AD211" s="86">
        <f>IFERROR(__xludf.DUMMYFUNCTION("""COMPUTED_VALUE"""),63000.0)</f>
        <v>63000</v>
      </c>
      <c r="AE211" s="86">
        <f>IFERROR(__xludf.DUMMYFUNCTION("""COMPUTED_VALUE"""),0.150000000000001)</f>
        <v>0.15</v>
      </c>
      <c r="AF211" s="86">
        <f>IFERROR(__xludf.DUMMYFUNCTION("""COMPUTED_VALUE"""),21200.0)</f>
        <v>21200</v>
      </c>
      <c r="AG211" s="86">
        <f>IFERROR(__xludf.DUMMYFUNCTION("""COMPUTED_VALUE"""),36750.0)</f>
        <v>36750</v>
      </c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72"/>
      <c r="BE211" s="89"/>
      <c r="BF211" s="89"/>
    </row>
    <row r="212">
      <c r="A212" s="104"/>
      <c r="B212" s="80"/>
      <c r="C212" s="104"/>
      <c r="D212" s="80"/>
      <c r="E212" s="80"/>
      <c r="F212" s="80"/>
      <c r="G212" s="80"/>
      <c r="H212" s="104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6">
        <f>IFERROR(__xludf.DUMMYFUNCTION("""COMPUTED_VALUE"""),210081.0)</f>
        <v>210081</v>
      </c>
      <c r="AB212" s="86">
        <f>IFERROR(__xludf.DUMMYFUNCTION("""COMPUTED_VALUE"""),211080.0)</f>
        <v>211080</v>
      </c>
      <c r="AC212" s="86">
        <f>IFERROR(__xludf.DUMMYFUNCTION("""COMPUTED_VALUE"""),26375.0)</f>
        <v>26375</v>
      </c>
      <c r="AD212" s="86">
        <f>IFERROR(__xludf.DUMMYFUNCTION("""COMPUTED_VALUE"""),63300.0)</f>
        <v>63300</v>
      </c>
      <c r="AE212" s="86">
        <f>IFERROR(__xludf.DUMMYFUNCTION("""COMPUTED_VALUE"""),0.150000000000001)</f>
        <v>0.15</v>
      </c>
      <c r="AF212" s="86">
        <f>IFERROR(__xludf.DUMMYFUNCTION("""COMPUTED_VALUE"""),21300.0)</f>
        <v>21300</v>
      </c>
      <c r="AG212" s="86">
        <f>IFERROR(__xludf.DUMMYFUNCTION("""COMPUTED_VALUE"""),36925.0)</f>
        <v>36925</v>
      </c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72"/>
      <c r="BE212" s="89"/>
      <c r="BF212" s="89"/>
    </row>
    <row r="213">
      <c r="A213" s="104"/>
      <c r="B213" s="80"/>
      <c r="C213" s="104"/>
      <c r="D213" s="80"/>
      <c r="E213" s="80"/>
      <c r="F213" s="80"/>
      <c r="G213" s="80"/>
      <c r="H213" s="104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6">
        <f>IFERROR(__xludf.DUMMYFUNCTION("""COMPUTED_VALUE"""),211081.0)</f>
        <v>211081</v>
      </c>
      <c r="AB213" s="86">
        <f>IFERROR(__xludf.DUMMYFUNCTION("""COMPUTED_VALUE"""),212080.0)</f>
        <v>212080</v>
      </c>
      <c r="AC213" s="86">
        <f>IFERROR(__xludf.DUMMYFUNCTION("""COMPUTED_VALUE"""),26500.0)</f>
        <v>26500</v>
      </c>
      <c r="AD213" s="86">
        <f>IFERROR(__xludf.DUMMYFUNCTION("""COMPUTED_VALUE"""),63600.0)</f>
        <v>63600</v>
      </c>
      <c r="AE213" s="86">
        <f>IFERROR(__xludf.DUMMYFUNCTION("""COMPUTED_VALUE"""),0.150000000000001)</f>
        <v>0.15</v>
      </c>
      <c r="AF213" s="86">
        <f>IFERROR(__xludf.DUMMYFUNCTION("""COMPUTED_VALUE"""),21400.0)</f>
        <v>21400</v>
      </c>
      <c r="AG213" s="86">
        <f>IFERROR(__xludf.DUMMYFUNCTION("""COMPUTED_VALUE"""),37100.0)</f>
        <v>37100</v>
      </c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72"/>
      <c r="BE213" s="89"/>
      <c r="BF213" s="89"/>
    </row>
    <row r="214">
      <c r="A214" s="104"/>
      <c r="B214" s="80"/>
      <c r="C214" s="104"/>
      <c r="D214" s="80"/>
      <c r="E214" s="80"/>
      <c r="F214" s="80"/>
      <c r="G214" s="80"/>
      <c r="H214" s="104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6">
        <f>IFERROR(__xludf.DUMMYFUNCTION("""COMPUTED_VALUE"""),212081.0)</f>
        <v>212081</v>
      </c>
      <c r="AB214" s="86">
        <f>IFERROR(__xludf.DUMMYFUNCTION("""COMPUTED_VALUE"""),213080.0)</f>
        <v>213080</v>
      </c>
      <c r="AC214" s="86">
        <f>IFERROR(__xludf.DUMMYFUNCTION("""COMPUTED_VALUE"""),26625.0)</f>
        <v>26625</v>
      </c>
      <c r="AD214" s="86">
        <f>IFERROR(__xludf.DUMMYFUNCTION("""COMPUTED_VALUE"""),63900.0)</f>
        <v>63900</v>
      </c>
      <c r="AE214" s="86">
        <f>IFERROR(__xludf.DUMMYFUNCTION("""COMPUTED_VALUE"""),0.150000000000001)</f>
        <v>0.15</v>
      </c>
      <c r="AF214" s="86">
        <f>IFERROR(__xludf.DUMMYFUNCTION("""COMPUTED_VALUE"""),21500.0)</f>
        <v>21500</v>
      </c>
      <c r="AG214" s="86">
        <f>IFERROR(__xludf.DUMMYFUNCTION("""COMPUTED_VALUE"""),37275.0)</f>
        <v>37275</v>
      </c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72"/>
      <c r="BE214" s="89"/>
      <c r="BF214" s="89"/>
    </row>
    <row r="215">
      <c r="A215" s="104"/>
      <c r="B215" s="80"/>
      <c r="C215" s="104"/>
      <c r="D215" s="80"/>
      <c r="E215" s="80"/>
      <c r="F215" s="80"/>
      <c r="G215" s="80"/>
      <c r="H215" s="104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6">
        <f>IFERROR(__xludf.DUMMYFUNCTION("""COMPUTED_VALUE"""),213081.0)</f>
        <v>213081</v>
      </c>
      <c r="AB215" s="86">
        <f>IFERROR(__xludf.DUMMYFUNCTION("""COMPUTED_VALUE"""),214080.0)</f>
        <v>214080</v>
      </c>
      <c r="AC215" s="86">
        <f>IFERROR(__xludf.DUMMYFUNCTION("""COMPUTED_VALUE"""),26750.0)</f>
        <v>26750</v>
      </c>
      <c r="AD215" s="86">
        <f>IFERROR(__xludf.DUMMYFUNCTION("""COMPUTED_VALUE"""),64200.0)</f>
        <v>64200</v>
      </c>
      <c r="AE215" s="86">
        <f>IFERROR(__xludf.DUMMYFUNCTION("""COMPUTED_VALUE"""),0.150000000000001)</f>
        <v>0.15</v>
      </c>
      <c r="AF215" s="86">
        <f>IFERROR(__xludf.DUMMYFUNCTION("""COMPUTED_VALUE"""),21600.0)</f>
        <v>21600</v>
      </c>
      <c r="AG215" s="86">
        <f>IFERROR(__xludf.DUMMYFUNCTION("""COMPUTED_VALUE"""),37450.0)</f>
        <v>37450</v>
      </c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72"/>
      <c r="BE215" s="89"/>
      <c r="BF215" s="89"/>
    </row>
    <row r="216">
      <c r="A216" s="104"/>
      <c r="B216" s="80"/>
      <c r="C216" s="104"/>
      <c r="D216" s="80"/>
      <c r="E216" s="80"/>
      <c r="F216" s="80"/>
      <c r="G216" s="80"/>
      <c r="H216" s="104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6">
        <f>IFERROR(__xludf.DUMMYFUNCTION("""COMPUTED_VALUE"""),214081.0)</f>
        <v>214081</v>
      </c>
      <c r="AB216" s="86">
        <f>IFERROR(__xludf.DUMMYFUNCTION("""COMPUTED_VALUE"""),215080.0)</f>
        <v>215080</v>
      </c>
      <c r="AC216" s="86">
        <f>IFERROR(__xludf.DUMMYFUNCTION("""COMPUTED_VALUE"""),26875.0)</f>
        <v>26875</v>
      </c>
      <c r="AD216" s="86">
        <f>IFERROR(__xludf.DUMMYFUNCTION("""COMPUTED_VALUE"""),64500.0)</f>
        <v>64500</v>
      </c>
      <c r="AE216" s="86">
        <f>IFERROR(__xludf.DUMMYFUNCTION("""COMPUTED_VALUE"""),0.150000000000001)</f>
        <v>0.15</v>
      </c>
      <c r="AF216" s="86">
        <f>IFERROR(__xludf.DUMMYFUNCTION("""COMPUTED_VALUE"""),21700.0)</f>
        <v>21700</v>
      </c>
      <c r="AG216" s="86">
        <f>IFERROR(__xludf.DUMMYFUNCTION("""COMPUTED_VALUE"""),37625.0)</f>
        <v>37625</v>
      </c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72"/>
      <c r="BE216" s="89"/>
      <c r="BF216" s="89"/>
    </row>
    <row r="217">
      <c r="A217" s="104"/>
      <c r="B217" s="80"/>
      <c r="C217" s="104"/>
      <c r="D217" s="80"/>
      <c r="E217" s="80"/>
      <c r="F217" s="80"/>
      <c r="G217" s="80"/>
      <c r="H217" s="104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6">
        <f>IFERROR(__xludf.DUMMYFUNCTION("""COMPUTED_VALUE"""),215081.0)</f>
        <v>215081</v>
      </c>
      <c r="AB217" s="86">
        <f>IFERROR(__xludf.DUMMYFUNCTION("""COMPUTED_VALUE"""),216080.0)</f>
        <v>216080</v>
      </c>
      <c r="AC217" s="86">
        <f>IFERROR(__xludf.DUMMYFUNCTION("""COMPUTED_VALUE"""),27000.0)</f>
        <v>27000</v>
      </c>
      <c r="AD217" s="86">
        <f>IFERROR(__xludf.DUMMYFUNCTION("""COMPUTED_VALUE"""),64800.0)</f>
        <v>64800</v>
      </c>
      <c r="AE217" s="86">
        <f>IFERROR(__xludf.DUMMYFUNCTION("""COMPUTED_VALUE"""),0.150000000000001)</f>
        <v>0.15</v>
      </c>
      <c r="AF217" s="86">
        <f>IFERROR(__xludf.DUMMYFUNCTION("""COMPUTED_VALUE"""),21800.0)</f>
        <v>21800</v>
      </c>
      <c r="AG217" s="86">
        <f>IFERROR(__xludf.DUMMYFUNCTION("""COMPUTED_VALUE"""),37800.0)</f>
        <v>37800</v>
      </c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72"/>
      <c r="BE217" s="89"/>
      <c r="BF217" s="89"/>
    </row>
    <row r="218">
      <c r="A218" s="104"/>
      <c r="B218" s="80"/>
      <c r="C218" s="104"/>
      <c r="D218" s="80"/>
      <c r="E218" s="80"/>
      <c r="F218" s="80"/>
      <c r="G218" s="80"/>
      <c r="H218" s="104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6">
        <f>IFERROR(__xludf.DUMMYFUNCTION("""COMPUTED_VALUE"""),216081.0)</f>
        <v>216081</v>
      </c>
      <c r="AB218" s="86">
        <f>IFERROR(__xludf.DUMMYFUNCTION("""COMPUTED_VALUE"""),217080.0)</f>
        <v>217080</v>
      </c>
      <c r="AC218" s="86">
        <f>IFERROR(__xludf.DUMMYFUNCTION("""COMPUTED_VALUE"""),27125.0)</f>
        <v>27125</v>
      </c>
      <c r="AD218" s="86">
        <f>IFERROR(__xludf.DUMMYFUNCTION("""COMPUTED_VALUE"""),65100.0)</f>
        <v>65100</v>
      </c>
      <c r="AE218" s="86">
        <f>IFERROR(__xludf.DUMMYFUNCTION("""COMPUTED_VALUE"""),0.150000000000001)</f>
        <v>0.15</v>
      </c>
      <c r="AF218" s="86">
        <f>IFERROR(__xludf.DUMMYFUNCTION("""COMPUTED_VALUE"""),21900.0)</f>
        <v>21900</v>
      </c>
      <c r="AG218" s="86">
        <f>IFERROR(__xludf.DUMMYFUNCTION("""COMPUTED_VALUE"""),37975.0)</f>
        <v>37975</v>
      </c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72"/>
      <c r="BE218" s="89"/>
      <c r="BF218" s="89"/>
    </row>
    <row r="219">
      <c r="A219" s="104"/>
      <c r="B219" s="80"/>
      <c r="C219" s="104"/>
      <c r="D219" s="80"/>
      <c r="E219" s="80"/>
      <c r="F219" s="80"/>
      <c r="G219" s="80"/>
      <c r="H219" s="104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6">
        <f>IFERROR(__xludf.DUMMYFUNCTION("""COMPUTED_VALUE"""),217081.0)</f>
        <v>217081</v>
      </c>
      <c r="AB219" s="86">
        <f>IFERROR(__xludf.DUMMYFUNCTION("""COMPUTED_VALUE"""),218080.0)</f>
        <v>218080</v>
      </c>
      <c r="AC219" s="86">
        <f>IFERROR(__xludf.DUMMYFUNCTION("""COMPUTED_VALUE"""),27250.0)</f>
        <v>27250</v>
      </c>
      <c r="AD219" s="86">
        <f>IFERROR(__xludf.DUMMYFUNCTION("""COMPUTED_VALUE"""),65400.0)</f>
        <v>65400</v>
      </c>
      <c r="AE219" s="86">
        <f>IFERROR(__xludf.DUMMYFUNCTION("""COMPUTED_VALUE"""),0.150000000000001)</f>
        <v>0.15</v>
      </c>
      <c r="AF219" s="86">
        <f>IFERROR(__xludf.DUMMYFUNCTION("""COMPUTED_VALUE"""),22000.0)</f>
        <v>22000</v>
      </c>
      <c r="AG219" s="86">
        <f>IFERROR(__xludf.DUMMYFUNCTION("""COMPUTED_VALUE"""),38150.0)</f>
        <v>38150</v>
      </c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72"/>
      <c r="BE219" s="89"/>
      <c r="BF219" s="89"/>
    </row>
    <row r="220">
      <c r="A220" s="104"/>
      <c r="B220" s="80"/>
      <c r="C220" s="104"/>
      <c r="D220" s="80"/>
      <c r="E220" s="80"/>
      <c r="F220" s="80"/>
      <c r="G220" s="80"/>
      <c r="H220" s="104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6">
        <f>IFERROR(__xludf.DUMMYFUNCTION("""COMPUTED_VALUE"""),218081.0)</f>
        <v>218081</v>
      </c>
      <c r="AB220" s="86">
        <f>IFERROR(__xludf.DUMMYFUNCTION("""COMPUTED_VALUE"""),219080.0)</f>
        <v>219080</v>
      </c>
      <c r="AC220" s="86">
        <f>IFERROR(__xludf.DUMMYFUNCTION("""COMPUTED_VALUE"""),27375.0)</f>
        <v>27375</v>
      </c>
      <c r="AD220" s="86">
        <f>IFERROR(__xludf.DUMMYFUNCTION("""COMPUTED_VALUE"""),65700.0)</f>
        <v>65700</v>
      </c>
      <c r="AE220" s="86">
        <f>IFERROR(__xludf.DUMMYFUNCTION("""COMPUTED_VALUE"""),0.150000000000001)</f>
        <v>0.15</v>
      </c>
      <c r="AF220" s="86">
        <f>IFERROR(__xludf.DUMMYFUNCTION("""COMPUTED_VALUE"""),22100.0)</f>
        <v>22100</v>
      </c>
      <c r="AG220" s="86">
        <f>IFERROR(__xludf.DUMMYFUNCTION("""COMPUTED_VALUE"""),38325.0)</f>
        <v>38325</v>
      </c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72"/>
      <c r="BE220" s="89"/>
      <c r="BF220" s="89"/>
    </row>
    <row r="221">
      <c r="A221" s="104"/>
      <c r="B221" s="80"/>
      <c r="C221" s="104"/>
      <c r="D221" s="80"/>
      <c r="E221" s="80"/>
      <c r="F221" s="80"/>
      <c r="G221" s="80"/>
      <c r="H221" s="104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6">
        <f>IFERROR(__xludf.DUMMYFUNCTION("""COMPUTED_VALUE"""),219081.0)</f>
        <v>219081</v>
      </c>
      <c r="AB221" s="86">
        <f>IFERROR(__xludf.DUMMYFUNCTION("""COMPUTED_VALUE"""),220080.0)</f>
        <v>220080</v>
      </c>
      <c r="AC221" s="86">
        <f>IFERROR(__xludf.DUMMYFUNCTION("""COMPUTED_VALUE"""),27500.0)</f>
        <v>27500</v>
      </c>
      <c r="AD221" s="86">
        <f>IFERROR(__xludf.DUMMYFUNCTION("""COMPUTED_VALUE"""),66000.0)</f>
        <v>66000</v>
      </c>
      <c r="AE221" s="86">
        <f>IFERROR(__xludf.DUMMYFUNCTION("""COMPUTED_VALUE"""),0.150000000000001)</f>
        <v>0.15</v>
      </c>
      <c r="AF221" s="86">
        <f>IFERROR(__xludf.DUMMYFUNCTION("""COMPUTED_VALUE"""),22200.0)</f>
        <v>22200</v>
      </c>
      <c r="AG221" s="86">
        <f>IFERROR(__xludf.DUMMYFUNCTION("""COMPUTED_VALUE"""),38500.0)</f>
        <v>38500</v>
      </c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72"/>
      <c r="BE221" s="89"/>
      <c r="BF221" s="89"/>
    </row>
    <row r="222">
      <c r="A222" s="104"/>
      <c r="B222" s="80"/>
      <c r="C222" s="104"/>
      <c r="D222" s="80"/>
      <c r="E222" s="80"/>
      <c r="F222" s="80"/>
      <c r="G222" s="80"/>
      <c r="H222" s="104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6">
        <f>IFERROR(__xludf.DUMMYFUNCTION("""COMPUTED_VALUE"""),220081.0)</f>
        <v>220081</v>
      </c>
      <c r="AB222" s="86">
        <f>IFERROR(__xludf.DUMMYFUNCTION("""COMPUTED_VALUE"""),221080.0)</f>
        <v>221080</v>
      </c>
      <c r="AC222" s="86">
        <f>IFERROR(__xludf.DUMMYFUNCTION("""COMPUTED_VALUE"""),27625.0)</f>
        <v>27625</v>
      </c>
      <c r="AD222" s="86">
        <f>IFERROR(__xludf.DUMMYFUNCTION("""COMPUTED_VALUE"""),66300.0)</f>
        <v>66300</v>
      </c>
      <c r="AE222" s="86">
        <f>IFERROR(__xludf.DUMMYFUNCTION("""COMPUTED_VALUE"""),0.150000000000001)</f>
        <v>0.15</v>
      </c>
      <c r="AF222" s="86">
        <f>IFERROR(__xludf.DUMMYFUNCTION("""COMPUTED_VALUE"""),22300.0)</f>
        <v>22300</v>
      </c>
      <c r="AG222" s="86">
        <f>IFERROR(__xludf.DUMMYFUNCTION("""COMPUTED_VALUE"""),38675.0)</f>
        <v>38675</v>
      </c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72"/>
      <c r="BE222" s="89"/>
      <c r="BF222" s="89"/>
    </row>
    <row r="223">
      <c r="A223" s="104"/>
      <c r="B223" s="80"/>
      <c r="C223" s="104"/>
      <c r="D223" s="80"/>
      <c r="E223" s="80"/>
      <c r="F223" s="80"/>
      <c r="G223" s="80"/>
      <c r="H223" s="104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6">
        <f>IFERROR(__xludf.DUMMYFUNCTION("""COMPUTED_VALUE"""),221081.0)</f>
        <v>221081</v>
      </c>
      <c r="AB223" s="86">
        <f>IFERROR(__xludf.DUMMYFUNCTION("""COMPUTED_VALUE"""),222080.0)</f>
        <v>222080</v>
      </c>
      <c r="AC223" s="86">
        <f>IFERROR(__xludf.DUMMYFUNCTION("""COMPUTED_VALUE"""),27750.0)</f>
        <v>27750</v>
      </c>
      <c r="AD223" s="86">
        <f>IFERROR(__xludf.DUMMYFUNCTION("""COMPUTED_VALUE"""),66600.0)</f>
        <v>66600</v>
      </c>
      <c r="AE223" s="86">
        <f>IFERROR(__xludf.DUMMYFUNCTION("""COMPUTED_VALUE"""),0.150000000000001)</f>
        <v>0.15</v>
      </c>
      <c r="AF223" s="86">
        <f>IFERROR(__xludf.DUMMYFUNCTION("""COMPUTED_VALUE"""),22400.0)</f>
        <v>22400</v>
      </c>
      <c r="AG223" s="86">
        <f>IFERROR(__xludf.DUMMYFUNCTION("""COMPUTED_VALUE"""),38850.0)</f>
        <v>38850</v>
      </c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72"/>
      <c r="BE223" s="89"/>
      <c r="BF223" s="89"/>
    </row>
    <row r="224">
      <c r="A224" s="104"/>
      <c r="B224" s="80"/>
      <c r="C224" s="104"/>
      <c r="D224" s="80"/>
      <c r="E224" s="80"/>
      <c r="F224" s="80"/>
      <c r="G224" s="80"/>
      <c r="H224" s="104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6">
        <f>IFERROR(__xludf.DUMMYFUNCTION("""COMPUTED_VALUE"""),222081.0)</f>
        <v>222081</v>
      </c>
      <c r="AB224" s="86">
        <f>IFERROR(__xludf.DUMMYFUNCTION("""COMPUTED_VALUE"""),223080.0)</f>
        <v>223080</v>
      </c>
      <c r="AC224" s="86">
        <f>IFERROR(__xludf.DUMMYFUNCTION("""COMPUTED_VALUE"""),27875.0)</f>
        <v>27875</v>
      </c>
      <c r="AD224" s="86">
        <f>IFERROR(__xludf.DUMMYFUNCTION("""COMPUTED_VALUE"""),66900.0)</f>
        <v>66900</v>
      </c>
      <c r="AE224" s="86">
        <f>IFERROR(__xludf.DUMMYFUNCTION("""COMPUTED_VALUE"""),0.150000000000001)</f>
        <v>0.15</v>
      </c>
      <c r="AF224" s="86">
        <f>IFERROR(__xludf.DUMMYFUNCTION("""COMPUTED_VALUE"""),22500.0)</f>
        <v>22500</v>
      </c>
      <c r="AG224" s="86">
        <f>IFERROR(__xludf.DUMMYFUNCTION("""COMPUTED_VALUE"""),39025.0)</f>
        <v>39025</v>
      </c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72"/>
      <c r="BE224" s="89"/>
      <c r="BF224" s="89"/>
    </row>
    <row r="225">
      <c r="A225" s="104"/>
      <c r="B225" s="80"/>
      <c r="C225" s="104"/>
      <c r="D225" s="80"/>
      <c r="E225" s="80"/>
      <c r="F225" s="80"/>
      <c r="G225" s="80"/>
      <c r="H225" s="104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6">
        <f>IFERROR(__xludf.DUMMYFUNCTION("""COMPUTED_VALUE"""),223081.0)</f>
        <v>223081</v>
      </c>
      <c r="AB225" s="86">
        <f>IFERROR(__xludf.DUMMYFUNCTION("""COMPUTED_VALUE"""),224080.0)</f>
        <v>224080</v>
      </c>
      <c r="AC225" s="86">
        <f>IFERROR(__xludf.DUMMYFUNCTION("""COMPUTED_VALUE"""),28000.0)</f>
        <v>28000</v>
      </c>
      <c r="AD225" s="86">
        <f>IFERROR(__xludf.DUMMYFUNCTION("""COMPUTED_VALUE"""),67200.0)</f>
        <v>67200</v>
      </c>
      <c r="AE225" s="86">
        <f>IFERROR(__xludf.DUMMYFUNCTION("""COMPUTED_VALUE"""),0.150000000000001)</f>
        <v>0.15</v>
      </c>
      <c r="AF225" s="86">
        <f>IFERROR(__xludf.DUMMYFUNCTION("""COMPUTED_VALUE"""),22600.0)</f>
        <v>22600</v>
      </c>
      <c r="AG225" s="86">
        <f>IFERROR(__xludf.DUMMYFUNCTION("""COMPUTED_VALUE"""),39200.0)</f>
        <v>39200</v>
      </c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72"/>
      <c r="BE225" s="89"/>
      <c r="BF225" s="89"/>
    </row>
    <row r="226">
      <c r="A226" s="104"/>
      <c r="B226" s="80"/>
      <c r="C226" s="104"/>
      <c r="D226" s="80"/>
      <c r="E226" s="80"/>
      <c r="F226" s="80"/>
      <c r="G226" s="80"/>
      <c r="H226" s="104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6">
        <f>IFERROR(__xludf.DUMMYFUNCTION("""COMPUTED_VALUE"""),224081.0)</f>
        <v>224081</v>
      </c>
      <c r="AB226" s="86">
        <f>IFERROR(__xludf.DUMMYFUNCTION("""COMPUTED_VALUE"""),225080.0)</f>
        <v>225080</v>
      </c>
      <c r="AC226" s="86">
        <f>IFERROR(__xludf.DUMMYFUNCTION("""COMPUTED_VALUE"""),28125.0)</f>
        <v>28125</v>
      </c>
      <c r="AD226" s="86">
        <f>IFERROR(__xludf.DUMMYFUNCTION("""COMPUTED_VALUE"""),67500.0)</f>
        <v>67500</v>
      </c>
      <c r="AE226" s="86">
        <f>IFERROR(__xludf.DUMMYFUNCTION("""COMPUTED_VALUE"""),0.150000000000001)</f>
        <v>0.15</v>
      </c>
      <c r="AF226" s="86">
        <f>IFERROR(__xludf.DUMMYFUNCTION("""COMPUTED_VALUE"""),22700.0)</f>
        <v>22700</v>
      </c>
      <c r="AG226" s="86">
        <f>IFERROR(__xludf.DUMMYFUNCTION("""COMPUTED_VALUE"""),39375.0)</f>
        <v>39375</v>
      </c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72"/>
      <c r="BE226" s="89"/>
      <c r="BF226" s="89"/>
    </row>
    <row r="227">
      <c r="A227" s="104"/>
      <c r="B227" s="80"/>
      <c r="C227" s="104"/>
      <c r="D227" s="80"/>
      <c r="E227" s="80"/>
      <c r="F227" s="80"/>
      <c r="G227" s="80"/>
      <c r="H227" s="104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6">
        <f>IFERROR(__xludf.DUMMYFUNCTION("""COMPUTED_VALUE"""),225081.0)</f>
        <v>225081</v>
      </c>
      <c r="AB227" s="86">
        <f>IFERROR(__xludf.DUMMYFUNCTION("""COMPUTED_VALUE"""),226080.0)</f>
        <v>226080</v>
      </c>
      <c r="AC227" s="86">
        <f>IFERROR(__xludf.DUMMYFUNCTION("""COMPUTED_VALUE"""),28250.0)</f>
        <v>28250</v>
      </c>
      <c r="AD227" s="86">
        <f>IFERROR(__xludf.DUMMYFUNCTION("""COMPUTED_VALUE"""),67800.0)</f>
        <v>67800</v>
      </c>
      <c r="AE227" s="86">
        <f>IFERROR(__xludf.DUMMYFUNCTION("""COMPUTED_VALUE"""),0.150000000000001)</f>
        <v>0.15</v>
      </c>
      <c r="AF227" s="86">
        <f>IFERROR(__xludf.DUMMYFUNCTION("""COMPUTED_VALUE"""),22800.0)</f>
        <v>22800</v>
      </c>
      <c r="AG227" s="86">
        <f>IFERROR(__xludf.DUMMYFUNCTION("""COMPUTED_VALUE"""),39550.0)</f>
        <v>39550</v>
      </c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72"/>
      <c r="BE227" s="89"/>
      <c r="BF227" s="89"/>
    </row>
    <row r="228">
      <c r="A228" s="104"/>
      <c r="B228" s="80"/>
      <c r="C228" s="104"/>
      <c r="D228" s="80"/>
      <c r="E228" s="80"/>
      <c r="F228" s="80"/>
      <c r="G228" s="80"/>
      <c r="H228" s="104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6">
        <f>IFERROR(__xludf.DUMMYFUNCTION("""COMPUTED_VALUE"""),226081.0)</f>
        <v>226081</v>
      </c>
      <c r="AB228" s="86">
        <f>IFERROR(__xludf.DUMMYFUNCTION("""COMPUTED_VALUE"""),227080.0)</f>
        <v>227080</v>
      </c>
      <c r="AC228" s="86">
        <f>IFERROR(__xludf.DUMMYFUNCTION("""COMPUTED_VALUE"""),28375.0)</f>
        <v>28375</v>
      </c>
      <c r="AD228" s="86">
        <f>IFERROR(__xludf.DUMMYFUNCTION("""COMPUTED_VALUE"""),68100.0)</f>
        <v>68100</v>
      </c>
      <c r="AE228" s="86">
        <f>IFERROR(__xludf.DUMMYFUNCTION("""COMPUTED_VALUE"""),0.150000000000001)</f>
        <v>0.15</v>
      </c>
      <c r="AF228" s="86">
        <f>IFERROR(__xludf.DUMMYFUNCTION("""COMPUTED_VALUE"""),22900.0)</f>
        <v>22900</v>
      </c>
      <c r="AG228" s="86">
        <f>IFERROR(__xludf.DUMMYFUNCTION("""COMPUTED_VALUE"""),39725.0)</f>
        <v>39725</v>
      </c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72"/>
      <c r="BE228" s="89"/>
      <c r="BF228" s="89"/>
    </row>
    <row r="229">
      <c r="A229" s="104"/>
      <c r="B229" s="80"/>
      <c r="C229" s="104"/>
      <c r="D229" s="80"/>
      <c r="E229" s="80"/>
      <c r="F229" s="80"/>
      <c r="G229" s="80"/>
      <c r="H229" s="104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6">
        <f>IFERROR(__xludf.DUMMYFUNCTION("""COMPUTED_VALUE"""),227081.0)</f>
        <v>227081</v>
      </c>
      <c r="AB229" s="86">
        <f>IFERROR(__xludf.DUMMYFUNCTION("""COMPUTED_VALUE"""),228080.0)</f>
        <v>228080</v>
      </c>
      <c r="AC229" s="86">
        <f>IFERROR(__xludf.DUMMYFUNCTION("""COMPUTED_VALUE"""),28500.0)</f>
        <v>28500</v>
      </c>
      <c r="AD229" s="86">
        <f>IFERROR(__xludf.DUMMYFUNCTION("""COMPUTED_VALUE"""),68400.0)</f>
        <v>68400</v>
      </c>
      <c r="AE229" s="86">
        <f>IFERROR(__xludf.DUMMYFUNCTION("""COMPUTED_VALUE"""),0.150000000000001)</f>
        <v>0.15</v>
      </c>
      <c r="AF229" s="86">
        <f>IFERROR(__xludf.DUMMYFUNCTION("""COMPUTED_VALUE"""),23000.0)</f>
        <v>23000</v>
      </c>
      <c r="AG229" s="86">
        <f>IFERROR(__xludf.DUMMYFUNCTION("""COMPUTED_VALUE"""),39900.0)</f>
        <v>39900</v>
      </c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72"/>
      <c r="BE229" s="89"/>
      <c r="BF229" s="89"/>
    </row>
    <row r="230">
      <c r="A230" s="104"/>
      <c r="B230" s="80"/>
      <c r="C230" s="104"/>
      <c r="D230" s="80"/>
      <c r="E230" s="80"/>
      <c r="F230" s="80"/>
      <c r="G230" s="80"/>
      <c r="H230" s="104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6">
        <f>IFERROR(__xludf.DUMMYFUNCTION("""COMPUTED_VALUE"""),228081.0)</f>
        <v>228081</v>
      </c>
      <c r="AB230" s="86">
        <f>IFERROR(__xludf.DUMMYFUNCTION("""COMPUTED_VALUE"""),229080.0)</f>
        <v>229080</v>
      </c>
      <c r="AC230" s="86">
        <f>IFERROR(__xludf.DUMMYFUNCTION("""COMPUTED_VALUE"""),28625.0)</f>
        <v>28625</v>
      </c>
      <c r="AD230" s="86">
        <f>IFERROR(__xludf.DUMMYFUNCTION("""COMPUTED_VALUE"""),68700.0)</f>
        <v>68700</v>
      </c>
      <c r="AE230" s="86">
        <f>IFERROR(__xludf.DUMMYFUNCTION("""COMPUTED_VALUE"""),0.150000000000001)</f>
        <v>0.15</v>
      </c>
      <c r="AF230" s="86">
        <f>IFERROR(__xludf.DUMMYFUNCTION("""COMPUTED_VALUE"""),23100.0)</f>
        <v>23100</v>
      </c>
      <c r="AG230" s="86">
        <f>IFERROR(__xludf.DUMMYFUNCTION("""COMPUTED_VALUE"""),40075.0)</f>
        <v>40075</v>
      </c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72"/>
      <c r="BE230" s="89"/>
      <c r="BF230" s="89"/>
    </row>
    <row r="231">
      <c r="A231" s="104"/>
      <c r="B231" s="80"/>
      <c r="C231" s="104"/>
      <c r="D231" s="80"/>
      <c r="E231" s="80"/>
      <c r="F231" s="80"/>
      <c r="G231" s="80"/>
      <c r="H231" s="104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6">
        <f>IFERROR(__xludf.DUMMYFUNCTION("""COMPUTED_VALUE"""),229081.0)</f>
        <v>229081</v>
      </c>
      <c r="AB231" s="86">
        <f>IFERROR(__xludf.DUMMYFUNCTION("""COMPUTED_VALUE"""),230080.0)</f>
        <v>230080</v>
      </c>
      <c r="AC231" s="86">
        <f>IFERROR(__xludf.DUMMYFUNCTION("""COMPUTED_VALUE"""),28750.0)</f>
        <v>28750</v>
      </c>
      <c r="AD231" s="86">
        <f>IFERROR(__xludf.DUMMYFUNCTION("""COMPUTED_VALUE"""),69000.0)</f>
        <v>69000</v>
      </c>
      <c r="AE231" s="86">
        <f>IFERROR(__xludf.DUMMYFUNCTION("""COMPUTED_VALUE"""),0.150000000000001)</f>
        <v>0.15</v>
      </c>
      <c r="AF231" s="86">
        <f>IFERROR(__xludf.DUMMYFUNCTION("""COMPUTED_VALUE"""),23200.0)</f>
        <v>23200</v>
      </c>
      <c r="AG231" s="86">
        <f>IFERROR(__xludf.DUMMYFUNCTION("""COMPUTED_VALUE"""),40250.0)</f>
        <v>40250</v>
      </c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72"/>
      <c r="BE231" s="89"/>
      <c r="BF231" s="89"/>
    </row>
    <row r="232">
      <c r="A232" s="104"/>
      <c r="B232" s="80"/>
      <c r="C232" s="104"/>
      <c r="D232" s="80"/>
      <c r="E232" s="80"/>
      <c r="F232" s="80"/>
      <c r="G232" s="80"/>
      <c r="H232" s="104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6">
        <f>IFERROR(__xludf.DUMMYFUNCTION("""COMPUTED_VALUE"""),230081.0)</f>
        <v>230081</v>
      </c>
      <c r="AB232" s="86">
        <f>IFERROR(__xludf.DUMMYFUNCTION("""COMPUTED_VALUE"""),231080.0)</f>
        <v>231080</v>
      </c>
      <c r="AC232" s="86">
        <f>IFERROR(__xludf.DUMMYFUNCTION("""COMPUTED_VALUE"""),28875.0)</f>
        <v>28875</v>
      </c>
      <c r="AD232" s="86">
        <f>IFERROR(__xludf.DUMMYFUNCTION("""COMPUTED_VALUE"""),69300.0)</f>
        <v>69300</v>
      </c>
      <c r="AE232" s="86">
        <f>IFERROR(__xludf.DUMMYFUNCTION("""COMPUTED_VALUE"""),0.150000000000001)</f>
        <v>0.15</v>
      </c>
      <c r="AF232" s="86">
        <f>IFERROR(__xludf.DUMMYFUNCTION("""COMPUTED_VALUE"""),23300.0)</f>
        <v>23300</v>
      </c>
      <c r="AG232" s="86">
        <f>IFERROR(__xludf.DUMMYFUNCTION("""COMPUTED_VALUE"""),40425.0)</f>
        <v>40425</v>
      </c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72"/>
      <c r="BE232" s="89"/>
      <c r="BF232" s="89"/>
    </row>
    <row r="233">
      <c r="A233" s="104"/>
      <c r="B233" s="80"/>
      <c r="C233" s="104"/>
      <c r="D233" s="80"/>
      <c r="E233" s="80"/>
      <c r="F233" s="80"/>
      <c r="G233" s="80"/>
      <c r="H233" s="104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6">
        <f>IFERROR(__xludf.DUMMYFUNCTION("""COMPUTED_VALUE"""),231081.0)</f>
        <v>231081</v>
      </c>
      <c r="AB233" s="86">
        <f>IFERROR(__xludf.DUMMYFUNCTION("""COMPUTED_VALUE"""),232080.0)</f>
        <v>232080</v>
      </c>
      <c r="AC233" s="86">
        <f>IFERROR(__xludf.DUMMYFUNCTION("""COMPUTED_VALUE"""),29000.0)</f>
        <v>29000</v>
      </c>
      <c r="AD233" s="86">
        <f>IFERROR(__xludf.DUMMYFUNCTION("""COMPUTED_VALUE"""),69600.0)</f>
        <v>69600</v>
      </c>
      <c r="AE233" s="86">
        <f>IFERROR(__xludf.DUMMYFUNCTION("""COMPUTED_VALUE"""),0.150000000000002)</f>
        <v>0.15</v>
      </c>
      <c r="AF233" s="86">
        <f>IFERROR(__xludf.DUMMYFUNCTION("""COMPUTED_VALUE"""),23400.0)</f>
        <v>23400</v>
      </c>
      <c r="AG233" s="86">
        <f>IFERROR(__xludf.DUMMYFUNCTION("""COMPUTED_VALUE"""),40600.0)</f>
        <v>40600</v>
      </c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72"/>
      <c r="BE233" s="89"/>
      <c r="BF233" s="89"/>
    </row>
    <row r="234">
      <c r="A234" s="104"/>
      <c r="B234" s="80"/>
      <c r="C234" s="104"/>
      <c r="D234" s="80"/>
      <c r="E234" s="80"/>
      <c r="F234" s="80"/>
      <c r="G234" s="80"/>
      <c r="H234" s="104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6">
        <f>IFERROR(__xludf.DUMMYFUNCTION("""COMPUTED_VALUE"""),232081.0)</f>
        <v>232081</v>
      </c>
      <c r="AB234" s="86">
        <f>IFERROR(__xludf.DUMMYFUNCTION("""COMPUTED_VALUE"""),233080.0)</f>
        <v>233080</v>
      </c>
      <c r="AC234" s="86">
        <f>IFERROR(__xludf.DUMMYFUNCTION("""COMPUTED_VALUE"""),29125.0)</f>
        <v>29125</v>
      </c>
      <c r="AD234" s="86">
        <f>IFERROR(__xludf.DUMMYFUNCTION("""COMPUTED_VALUE"""),69900.0)</f>
        <v>69900</v>
      </c>
      <c r="AE234" s="86">
        <f>IFERROR(__xludf.DUMMYFUNCTION("""COMPUTED_VALUE"""),0.150000000000002)</f>
        <v>0.15</v>
      </c>
      <c r="AF234" s="86">
        <f>IFERROR(__xludf.DUMMYFUNCTION("""COMPUTED_VALUE"""),23500.0)</f>
        <v>23500</v>
      </c>
      <c r="AG234" s="86">
        <f>IFERROR(__xludf.DUMMYFUNCTION("""COMPUTED_VALUE"""),40775.0)</f>
        <v>40775</v>
      </c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72"/>
      <c r="BE234" s="89"/>
      <c r="BF234" s="89"/>
    </row>
    <row r="235">
      <c r="A235" s="104"/>
      <c r="B235" s="80"/>
      <c r="C235" s="104"/>
      <c r="D235" s="80"/>
      <c r="E235" s="80"/>
      <c r="F235" s="80"/>
      <c r="G235" s="80"/>
      <c r="H235" s="104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6">
        <f>IFERROR(__xludf.DUMMYFUNCTION("""COMPUTED_VALUE"""),233081.0)</f>
        <v>233081</v>
      </c>
      <c r="AB235" s="86">
        <f>IFERROR(__xludf.DUMMYFUNCTION("""COMPUTED_VALUE"""),234080.0)</f>
        <v>234080</v>
      </c>
      <c r="AC235" s="86">
        <f>IFERROR(__xludf.DUMMYFUNCTION("""COMPUTED_VALUE"""),29250.0)</f>
        <v>29250</v>
      </c>
      <c r="AD235" s="86">
        <f>IFERROR(__xludf.DUMMYFUNCTION("""COMPUTED_VALUE"""),70200.0)</f>
        <v>70200</v>
      </c>
      <c r="AE235" s="86">
        <f>IFERROR(__xludf.DUMMYFUNCTION("""COMPUTED_VALUE"""),0.150000000000002)</f>
        <v>0.15</v>
      </c>
      <c r="AF235" s="86">
        <f>IFERROR(__xludf.DUMMYFUNCTION("""COMPUTED_VALUE"""),23600.0)</f>
        <v>23600</v>
      </c>
      <c r="AG235" s="86">
        <f>IFERROR(__xludf.DUMMYFUNCTION("""COMPUTED_VALUE"""),40950.0)</f>
        <v>40950</v>
      </c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72"/>
      <c r="BE235" s="89"/>
      <c r="BF235" s="89"/>
    </row>
    <row r="236">
      <c r="A236" s="104"/>
      <c r="B236" s="80"/>
      <c r="C236" s="104"/>
      <c r="D236" s="80"/>
      <c r="E236" s="80"/>
      <c r="F236" s="80"/>
      <c r="G236" s="80"/>
      <c r="H236" s="104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6">
        <f>IFERROR(__xludf.DUMMYFUNCTION("""COMPUTED_VALUE"""),234081.0)</f>
        <v>234081</v>
      </c>
      <c r="AB236" s="86">
        <f>IFERROR(__xludf.DUMMYFUNCTION("""COMPUTED_VALUE"""),235080.0)</f>
        <v>235080</v>
      </c>
      <c r="AC236" s="86">
        <f>IFERROR(__xludf.DUMMYFUNCTION("""COMPUTED_VALUE"""),29375.0)</f>
        <v>29375</v>
      </c>
      <c r="AD236" s="86">
        <f>IFERROR(__xludf.DUMMYFUNCTION("""COMPUTED_VALUE"""),70500.0)</f>
        <v>70500</v>
      </c>
      <c r="AE236" s="86">
        <f>IFERROR(__xludf.DUMMYFUNCTION("""COMPUTED_VALUE"""),0.150000000000002)</f>
        <v>0.15</v>
      </c>
      <c r="AF236" s="86">
        <f>IFERROR(__xludf.DUMMYFUNCTION("""COMPUTED_VALUE"""),23700.0)</f>
        <v>23700</v>
      </c>
      <c r="AG236" s="86">
        <f>IFERROR(__xludf.DUMMYFUNCTION("""COMPUTED_VALUE"""),41125.0)</f>
        <v>41125</v>
      </c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72"/>
      <c r="BE236" s="89"/>
      <c r="BF236" s="89"/>
    </row>
    <row r="237">
      <c r="A237" s="104"/>
      <c r="B237" s="80"/>
      <c r="C237" s="104"/>
      <c r="D237" s="80"/>
      <c r="E237" s="80"/>
      <c r="F237" s="80"/>
      <c r="G237" s="80"/>
      <c r="H237" s="104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6">
        <f>IFERROR(__xludf.DUMMYFUNCTION("""COMPUTED_VALUE"""),235081.0)</f>
        <v>235081</v>
      </c>
      <c r="AB237" s="86">
        <f>IFERROR(__xludf.DUMMYFUNCTION("""COMPUTED_VALUE"""),236080.0)</f>
        <v>236080</v>
      </c>
      <c r="AC237" s="86">
        <f>IFERROR(__xludf.DUMMYFUNCTION("""COMPUTED_VALUE"""),29500.0)</f>
        <v>29500</v>
      </c>
      <c r="AD237" s="86">
        <f>IFERROR(__xludf.DUMMYFUNCTION("""COMPUTED_VALUE"""),70800.0)</f>
        <v>70800</v>
      </c>
      <c r="AE237" s="86">
        <f>IFERROR(__xludf.DUMMYFUNCTION("""COMPUTED_VALUE"""),0.150000000000002)</f>
        <v>0.15</v>
      </c>
      <c r="AF237" s="86">
        <f>IFERROR(__xludf.DUMMYFUNCTION("""COMPUTED_VALUE"""),23800.0)</f>
        <v>23800</v>
      </c>
      <c r="AG237" s="86">
        <f>IFERROR(__xludf.DUMMYFUNCTION("""COMPUTED_VALUE"""),41300.0)</f>
        <v>41300</v>
      </c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72"/>
      <c r="BE237" s="89"/>
      <c r="BF237" s="89"/>
    </row>
    <row r="238">
      <c r="A238" s="104"/>
      <c r="B238" s="80"/>
      <c r="C238" s="104"/>
      <c r="D238" s="80"/>
      <c r="E238" s="80"/>
      <c r="F238" s="80"/>
      <c r="G238" s="80"/>
      <c r="H238" s="104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6">
        <f>IFERROR(__xludf.DUMMYFUNCTION("""COMPUTED_VALUE"""),236081.0)</f>
        <v>236081</v>
      </c>
      <c r="AB238" s="86">
        <f>IFERROR(__xludf.DUMMYFUNCTION("""COMPUTED_VALUE"""),237080.0)</f>
        <v>237080</v>
      </c>
      <c r="AC238" s="86">
        <f>IFERROR(__xludf.DUMMYFUNCTION("""COMPUTED_VALUE"""),29625.0)</f>
        <v>29625</v>
      </c>
      <c r="AD238" s="86">
        <f>IFERROR(__xludf.DUMMYFUNCTION("""COMPUTED_VALUE"""),71100.0)</f>
        <v>71100</v>
      </c>
      <c r="AE238" s="86">
        <f>IFERROR(__xludf.DUMMYFUNCTION("""COMPUTED_VALUE"""),0.150000000000002)</f>
        <v>0.15</v>
      </c>
      <c r="AF238" s="86">
        <f>IFERROR(__xludf.DUMMYFUNCTION("""COMPUTED_VALUE"""),23900.0)</f>
        <v>23900</v>
      </c>
      <c r="AG238" s="86">
        <f>IFERROR(__xludf.DUMMYFUNCTION("""COMPUTED_VALUE"""),41475.0)</f>
        <v>41475</v>
      </c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72"/>
      <c r="BE238" s="89"/>
      <c r="BF238" s="89"/>
    </row>
    <row r="239">
      <c r="A239" s="104"/>
      <c r="B239" s="80"/>
      <c r="C239" s="104"/>
      <c r="D239" s="80"/>
      <c r="E239" s="80"/>
      <c r="F239" s="80"/>
      <c r="G239" s="80"/>
      <c r="H239" s="104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6">
        <f>IFERROR(__xludf.DUMMYFUNCTION("""COMPUTED_VALUE"""),237081.0)</f>
        <v>237081</v>
      </c>
      <c r="AB239" s="86">
        <f>IFERROR(__xludf.DUMMYFUNCTION("""COMPUTED_VALUE"""),238080.0)</f>
        <v>238080</v>
      </c>
      <c r="AC239" s="86">
        <f>IFERROR(__xludf.DUMMYFUNCTION("""COMPUTED_VALUE"""),29750.0)</f>
        <v>29750</v>
      </c>
      <c r="AD239" s="86">
        <f>IFERROR(__xludf.DUMMYFUNCTION("""COMPUTED_VALUE"""),71400.0)</f>
        <v>71400</v>
      </c>
      <c r="AE239" s="86">
        <f>IFERROR(__xludf.DUMMYFUNCTION("""COMPUTED_VALUE"""),0.150000000000002)</f>
        <v>0.15</v>
      </c>
      <c r="AF239" s="86">
        <f>IFERROR(__xludf.DUMMYFUNCTION("""COMPUTED_VALUE"""),24000.0)</f>
        <v>24000</v>
      </c>
      <c r="AG239" s="86">
        <f>IFERROR(__xludf.DUMMYFUNCTION("""COMPUTED_VALUE"""),41650.0)</f>
        <v>41650</v>
      </c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72"/>
      <c r="BE239" s="89"/>
      <c r="BF239" s="89"/>
    </row>
    <row r="240">
      <c r="A240" s="104"/>
      <c r="B240" s="80"/>
      <c r="C240" s="104"/>
      <c r="D240" s="80"/>
      <c r="E240" s="80"/>
      <c r="F240" s="80"/>
      <c r="G240" s="80"/>
      <c r="H240" s="104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6">
        <f>IFERROR(__xludf.DUMMYFUNCTION("""COMPUTED_VALUE"""),238081.0)</f>
        <v>238081</v>
      </c>
      <c r="AB240" s="86">
        <f>IFERROR(__xludf.DUMMYFUNCTION("""COMPUTED_VALUE"""),239080.0)</f>
        <v>239080</v>
      </c>
      <c r="AC240" s="86">
        <f>IFERROR(__xludf.DUMMYFUNCTION("""COMPUTED_VALUE"""),29875.0)</f>
        <v>29875</v>
      </c>
      <c r="AD240" s="86">
        <f>IFERROR(__xludf.DUMMYFUNCTION("""COMPUTED_VALUE"""),71700.0)</f>
        <v>71700</v>
      </c>
      <c r="AE240" s="86">
        <f>IFERROR(__xludf.DUMMYFUNCTION("""COMPUTED_VALUE"""),0.150000000000002)</f>
        <v>0.15</v>
      </c>
      <c r="AF240" s="86">
        <f>IFERROR(__xludf.DUMMYFUNCTION("""COMPUTED_VALUE"""),24100.0)</f>
        <v>24100</v>
      </c>
      <c r="AG240" s="86">
        <f>IFERROR(__xludf.DUMMYFUNCTION("""COMPUTED_VALUE"""),41825.0)</f>
        <v>41825</v>
      </c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72"/>
      <c r="BE240" s="89"/>
      <c r="BF240" s="89"/>
    </row>
    <row r="241">
      <c r="A241" s="104"/>
      <c r="B241" s="80"/>
      <c r="C241" s="104"/>
      <c r="D241" s="80"/>
      <c r="E241" s="80"/>
      <c r="F241" s="80"/>
      <c r="G241" s="80"/>
      <c r="H241" s="104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6">
        <f>IFERROR(__xludf.DUMMYFUNCTION("""COMPUTED_VALUE"""),239081.0)</f>
        <v>239081</v>
      </c>
      <c r="AB241" s="86">
        <f>IFERROR(__xludf.DUMMYFUNCTION("""COMPUTED_VALUE"""),240080.0)</f>
        <v>240080</v>
      </c>
      <c r="AC241" s="86">
        <f>IFERROR(__xludf.DUMMYFUNCTION("""COMPUTED_VALUE"""),30000.0)</f>
        <v>30000</v>
      </c>
      <c r="AD241" s="86">
        <f>IFERROR(__xludf.DUMMYFUNCTION("""COMPUTED_VALUE"""),72000.0)</f>
        <v>72000</v>
      </c>
      <c r="AE241" s="86">
        <f>IFERROR(__xludf.DUMMYFUNCTION("""COMPUTED_VALUE"""),0.150000000000002)</f>
        <v>0.15</v>
      </c>
      <c r="AF241" s="86">
        <f>IFERROR(__xludf.DUMMYFUNCTION("""COMPUTED_VALUE"""),24200.0)</f>
        <v>24200</v>
      </c>
      <c r="AG241" s="86">
        <f>IFERROR(__xludf.DUMMYFUNCTION("""COMPUTED_VALUE"""),42000.0)</f>
        <v>42000</v>
      </c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72"/>
      <c r="BE241" s="89"/>
      <c r="BF241" s="89"/>
    </row>
    <row r="242">
      <c r="A242" s="104"/>
      <c r="B242" s="80"/>
      <c r="C242" s="104"/>
      <c r="D242" s="80"/>
      <c r="E242" s="80"/>
      <c r="F242" s="80"/>
      <c r="G242" s="80"/>
      <c r="H242" s="104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6">
        <f>IFERROR(__xludf.DUMMYFUNCTION("""COMPUTED_VALUE"""),240081.0)</f>
        <v>240081</v>
      </c>
      <c r="AB242" s="86">
        <f>IFERROR(__xludf.DUMMYFUNCTION("""COMPUTED_VALUE"""),241080.0)</f>
        <v>241080</v>
      </c>
      <c r="AC242" s="86">
        <f>IFERROR(__xludf.DUMMYFUNCTION("""COMPUTED_VALUE"""),30125.0)</f>
        <v>30125</v>
      </c>
      <c r="AD242" s="86">
        <f>IFERROR(__xludf.DUMMYFUNCTION("""COMPUTED_VALUE"""),72300.0)</f>
        <v>72300</v>
      </c>
      <c r="AE242" s="86">
        <f>IFERROR(__xludf.DUMMYFUNCTION("""COMPUTED_VALUE"""),0.150000000000002)</f>
        <v>0.15</v>
      </c>
      <c r="AF242" s="86">
        <f>IFERROR(__xludf.DUMMYFUNCTION("""COMPUTED_VALUE"""),24300.0)</f>
        <v>24300</v>
      </c>
      <c r="AG242" s="86">
        <f>IFERROR(__xludf.DUMMYFUNCTION("""COMPUTED_VALUE"""),42175.0)</f>
        <v>42175</v>
      </c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72"/>
      <c r="BE242" s="89"/>
      <c r="BF242" s="89"/>
    </row>
    <row r="243">
      <c r="A243" s="104"/>
      <c r="B243" s="80"/>
      <c r="C243" s="104"/>
      <c r="D243" s="80"/>
      <c r="E243" s="80"/>
      <c r="F243" s="80"/>
      <c r="G243" s="80"/>
      <c r="H243" s="104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6">
        <f>IFERROR(__xludf.DUMMYFUNCTION("""COMPUTED_VALUE"""),241081.0)</f>
        <v>241081</v>
      </c>
      <c r="AB243" s="86">
        <f>IFERROR(__xludf.DUMMYFUNCTION("""COMPUTED_VALUE"""),242080.0)</f>
        <v>242080</v>
      </c>
      <c r="AC243" s="86">
        <f>IFERROR(__xludf.DUMMYFUNCTION("""COMPUTED_VALUE"""),30250.0)</f>
        <v>30250</v>
      </c>
      <c r="AD243" s="86">
        <f>IFERROR(__xludf.DUMMYFUNCTION("""COMPUTED_VALUE"""),72600.0)</f>
        <v>72600</v>
      </c>
      <c r="AE243" s="86">
        <f>IFERROR(__xludf.DUMMYFUNCTION("""COMPUTED_VALUE"""),0.150000000000002)</f>
        <v>0.15</v>
      </c>
      <c r="AF243" s="86">
        <f>IFERROR(__xludf.DUMMYFUNCTION("""COMPUTED_VALUE"""),24400.0)</f>
        <v>24400</v>
      </c>
      <c r="AG243" s="86">
        <f>IFERROR(__xludf.DUMMYFUNCTION("""COMPUTED_VALUE"""),42350.0)</f>
        <v>42350</v>
      </c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72"/>
      <c r="BE243" s="89"/>
      <c r="BF243" s="89"/>
    </row>
    <row r="244">
      <c r="A244" s="104"/>
      <c r="B244" s="80"/>
      <c r="C244" s="104"/>
      <c r="D244" s="80"/>
      <c r="E244" s="80"/>
      <c r="F244" s="80"/>
      <c r="G244" s="80"/>
      <c r="H244" s="104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6">
        <f>IFERROR(__xludf.DUMMYFUNCTION("""COMPUTED_VALUE"""),242081.0)</f>
        <v>242081</v>
      </c>
      <c r="AB244" s="86">
        <f>IFERROR(__xludf.DUMMYFUNCTION("""COMPUTED_VALUE"""),243080.0)</f>
        <v>243080</v>
      </c>
      <c r="AC244" s="86">
        <f>IFERROR(__xludf.DUMMYFUNCTION("""COMPUTED_VALUE"""),30375.0)</f>
        <v>30375</v>
      </c>
      <c r="AD244" s="86">
        <f>IFERROR(__xludf.DUMMYFUNCTION("""COMPUTED_VALUE"""),72900.0)</f>
        <v>72900</v>
      </c>
      <c r="AE244" s="86">
        <f>IFERROR(__xludf.DUMMYFUNCTION("""COMPUTED_VALUE"""),0.150000000000002)</f>
        <v>0.15</v>
      </c>
      <c r="AF244" s="86">
        <f>IFERROR(__xludf.DUMMYFUNCTION("""COMPUTED_VALUE"""),24500.0)</f>
        <v>24500</v>
      </c>
      <c r="AG244" s="86">
        <f>IFERROR(__xludf.DUMMYFUNCTION("""COMPUTED_VALUE"""),42525.0)</f>
        <v>42525</v>
      </c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72"/>
      <c r="BE244" s="89"/>
      <c r="BF244" s="89"/>
    </row>
    <row r="245">
      <c r="A245" s="104"/>
      <c r="B245" s="80"/>
      <c r="C245" s="104"/>
      <c r="D245" s="80"/>
      <c r="E245" s="80"/>
      <c r="F245" s="80"/>
      <c r="G245" s="80"/>
      <c r="H245" s="104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6">
        <f>IFERROR(__xludf.DUMMYFUNCTION("""COMPUTED_VALUE"""),243081.0)</f>
        <v>243081</v>
      </c>
      <c r="AB245" s="86">
        <f>IFERROR(__xludf.DUMMYFUNCTION("""COMPUTED_VALUE"""),244080.0)</f>
        <v>244080</v>
      </c>
      <c r="AC245" s="86">
        <f>IFERROR(__xludf.DUMMYFUNCTION("""COMPUTED_VALUE"""),30500.0)</f>
        <v>30500</v>
      </c>
      <c r="AD245" s="86">
        <f>IFERROR(__xludf.DUMMYFUNCTION("""COMPUTED_VALUE"""),73200.0)</f>
        <v>73200</v>
      </c>
      <c r="AE245" s="86">
        <f>IFERROR(__xludf.DUMMYFUNCTION("""COMPUTED_VALUE"""),0.150000000000002)</f>
        <v>0.15</v>
      </c>
      <c r="AF245" s="86">
        <f>IFERROR(__xludf.DUMMYFUNCTION("""COMPUTED_VALUE"""),24600.0)</f>
        <v>24600</v>
      </c>
      <c r="AG245" s="86">
        <f>IFERROR(__xludf.DUMMYFUNCTION("""COMPUTED_VALUE"""),42700.0)</f>
        <v>42700</v>
      </c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72"/>
      <c r="BE245" s="89"/>
      <c r="BF245" s="89"/>
    </row>
    <row r="246">
      <c r="A246" s="104"/>
      <c r="B246" s="80"/>
      <c r="C246" s="104"/>
      <c r="D246" s="80"/>
      <c r="E246" s="80"/>
      <c r="F246" s="80"/>
      <c r="G246" s="80"/>
      <c r="H246" s="104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6">
        <f>IFERROR(__xludf.DUMMYFUNCTION("""COMPUTED_VALUE"""),244081.0)</f>
        <v>244081</v>
      </c>
      <c r="AB246" s="86">
        <f>IFERROR(__xludf.DUMMYFUNCTION("""COMPUTED_VALUE"""),245080.0)</f>
        <v>245080</v>
      </c>
      <c r="AC246" s="86">
        <f>IFERROR(__xludf.DUMMYFUNCTION("""COMPUTED_VALUE"""),30625.0)</f>
        <v>30625</v>
      </c>
      <c r="AD246" s="86">
        <f>IFERROR(__xludf.DUMMYFUNCTION("""COMPUTED_VALUE"""),73500.0)</f>
        <v>73500</v>
      </c>
      <c r="AE246" s="86">
        <f>IFERROR(__xludf.DUMMYFUNCTION("""COMPUTED_VALUE"""),0.150000000000002)</f>
        <v>0.15</v>
      </c>
      <c r="AF246" s="86">
        <f>IFERROR(__xludf.DUMMYFUNCTION("""COMPUTED_VALUE"""),24700.0)</f>
        <v>24700</v>
      </c>
      <c r="AG246" s="86">
        <f>IFERROR(__xludf.DUMMYFUNCTION("""COMPUTED_VALUE"""),42875.0)</f>
        <v>42875</v>
      </c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72"/>
      <c r="BE246" s="89"/>
      <c r="BF246" s="89"/>
    </row>
    <row r="247">
      <c r="A247" s="104"/>
      <c r="B247" s="80"/>
      <c r="C247" s="104"/>
      <c r="D247" s="80"/>
      <c r="E247" s="80"/>
      <c r="F247" s="80"/>
      <c r="G247" s="80"/>
      <c r="H247" s="104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6">
        <f>IFERROR(__xludf.DUMMYFUNCTION("""COMPUTED_VALUE"""),245081.0)</f>
        <v>245081</v>
      </c>
      <c r="AB247" s="86">
        <f>IFERROR(__xludf.DUMMYFUNCTION("""COMPUTED_VALUE"""),246080.0)</f>
        <v>246080</v>
      </c>
      <c r="AC247" s="86">
        <f>IFERROR(__xludf.DUMMYFUNCTION("""COMPUTED_VALUE"""),30750.0)</f>
        <v>30750</v>
      </c>
      <c r="AD247" s="86">
        <f>IFERROR(__xludf.DUMMYFUNCTION("""COMPUTED_VALUE"""),73800.0)</f>
        <v>73800</v>
      </c>
      <c r="AE247" s="86">
        <f>IFERROR(__xludf.DUMMYFUNCTION("""COMPUTED_VALUE"""),0.150000000000002)</f>
        <v>0.15</v>
      </c>
      <c r="AF247" s="86">
        <f>IFERROR(__xludf.DUMMYFUNCTION("""COMPUTED_VALUE"""),24800.0)</f>
        <v>24800</v>
      </c>
      <c r="AG247" s="86">
        <f>IFERROR(__xludf.DUMMYFUNCTION("""COMPUTED_VALUE"""),43050.0)</f>
        <v>43050</v>
      </c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72"/>
      <c r="BE247" s="89"/>
      <c r="BF247" s="89"/>
    </row>
    <row r="248">
      <c r="A248" s="104"/>
      <c r="B248" s="80"/>
      <c r="C248" s="104"/>
      <c r="D248" s="80"/>
      <c r="E248" s="80"/>
      <c r="F248" s="80"/>
      <c r="G248" s="80"/>
      <c r="H248" s="104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6">
        <f>IFERROR(__xludf.DUMMYFUNCTION("""COMPUTED_VALUE"""),246081.0)</f>
        <v>246081</v>
      </c>
      <c r="AB248" s="86">
        <f>IFERROR(__xludf.DUMMYFUNCTION("""COMPUTED_VALUE"""),247080.0)</f>
        <v>247080</v>
      </c>
      <c r="AC248" s="86">
        <f>IFERROR(__xludf.DUMMYFUNCTION("""COMPUTED_VALUE"""),30875.0)</f>
        <v>30875</v>
      </c>
      <c r="AD248" s="86">
        <f>IFERROR(__xludf.DUMMYFUNCTION("""COMPUTED_VALUE"""),74100.0)</f>
        <v>74100</v>
      </c>
      <c r="AE248" s="86">
        <f>IFERROR(__xludf.DUMMYFUNCTION("""COMPUTED_VALUE"""),0.150000000000002)</f>
        <v>0.15</v>
      </c>
      <c r="AF248" s="86">
        <f>IFERROR(__xludf.DUMMYFUNCTION("""COMPUTED_VALUE"""),24900.0)</f>
        <v>24900</v>
      </c>
      <c r="AG248" s="86">
        <f>IFERROR(__xludf.DUMMYFUNCTION("""COMPUTED_VALUE"""),43225.0)</f>
        <v>43225</v>
      </c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72"/>
      <c r="BE248" s="89"/>
      <c r="BF248" s="89"/>
    </row>
    <row r="249">
      <c r="A249" s="104"/>
      <c r="B249" s="80"/>
      <c r="C249" s="104"/>
      <c r="D249" s="80"/>
      <c r="E249" s="80"/>
      <c r="F249" s="80"/>
      <c r="G249" s="80"/>
      <c r="H249" s="104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6">
        <f>IFERROR(__xludf.DUMMYFUNCTION("""COMPUTED_VALUE"""),247081.0)</f>
        <v>247081</v>
      </c>
      <c r="AB249" s="86">
        <f>IFERROR(__xludf.DUMMYFUNCTION("""COMPUTED_VALUE"""),248080.0)</f>
        <v>248080</v>
      </c>
      <c r="AC249" s="86">
        <f>IFERROR(__xludf.DUMMYFUNCTION("""COMPUTED_VALUE"""),31000.0)</f>
        <v>31000</v>
      </c>
      <c r="AD249" s="86">
        <f>IFERROR(__xludf.DUMMYFUNCTION("""COMPUTED_VALUE"""),74400.0)</f>
        <v>74400</v>
      </c>
      <c r="AE249" s="86">
        <f>IFERROR(__xludf.DUMMYFUNCTION("""COMPUTED_VALUE"""),0.150000000000002)</f>
        <v>0.15</v>
      </c>
      <c r="AF249" s="86">
        <f>IFERROR(__xludf.DUMMYFUNCTION("""COMPUTED_VALUE"""),25000.0)</f>
        <v>25000</v>
      </c>
      <c r="AG249" s="86">
        <f>IFERROR(__xludf.DUMMYFUNCTION("""COMPUTED_VALUE"""),43400.0)</f>
        <v>43400</v>
      </c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72"/>
      <c r="BE249" s="89"/>
      <c r="BF249" s="89"/>
    </row>
    <row r="250">
      <c r="A250" s="104"/>
      <c r="B250" s="80"/>
      <c r="C250" s="104"/>
      <c r="D250" s="80"/>
      <c r="E250" s="80"/>
      <c r="F250" s="80"/>
      <c r="G250" s="80"/>
      <c r="H250" s="104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6">
        <f>IFERROR(__xludf.DUMMYFUNCTION("""COMPUTED_VALUE"""),248081.0)</f>
        <v>248081</v>
      </c>
      <c r="AB250" s="86">
        <f>IFERROR(__xludf.DUMMYFUNCTION("""COMPUTED_VALUE"""),249080.0)</f>
        <v>249080</v>
      </c>
      <c r="AC250" s="86">
        <f>IFERROR(__xludf.DUMMYFUNCTION("""COMPUTED_VALUE"""),31125.0)</f>
        <v>31125</v>
      </c>
      <c r="AD250" s="86">
        <f>IFERROR(__xludf.DUMMYFUNCTION("""COMPUTED_VALUE"""),74700.0)</f>
        <v>74700</v>
      </c>
      <c r="AE250" s="86">
        <f>IFERROR(__xludf.DUMMYFUNCTION("""COMPUTED_VALUE"""),0.150000000000002)</f>
        <v>0.15</v>
      </c>
      <c r="AF250" s="86">
        <f>IFERROR(__xludf.DUMMYFUNCTION("""COMPUTED_VALUE"""),25100.0)</f>
        <v>25100</v>
      </c>
      <c r="AG250" s="86">
        <f>IFERROR(__xludf.DUMMYFUNCTION("""COMPUTED_VALUE"""),43575.0)</f>
        <v>43575</v>
      </c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72"/>
      <c r="BE250" s="89"/>
      <c r="BF250" s="89"/>
    </row>
    <row r="251">
      <c r="A251" s="104"/>
      <c r="B251" s="80"/>
      <c r="C251" s="104"/>
      <c r="D251" s="80"/>
      <c r="E251" s="80"/>
      <c r="F251" s="80"/>
      <c r="G251" s="80"/>
      <c r="H251" s="104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6">
        <f>IFERROR(__xludf.DUMMYFUNCTION("""COMPUTED_VALUE"""),249081.0)</f>
        <v>249081</v>
      </c>
      <c r="AB251" s="86">
        <f>IFERROR(__xludf.DUMMYFUNCTION("""COMPUTED_VALUE"""),250080.0)</f>
        <v>250080</v>
      </c>
      <c r="AC251" s="86">
        <f>IFERROR(__xludf.DUMMYFUNCTION("""COMPUTED_VALUE"""),31250.0)</f>
        <v>31250</v>
      </c>
      <c r="AD251" s="86">
        <f>IFERROR(__xludf.DUMMYFUNCTION("""COMPUTED_VALUE"""),75000.0)</f>
        <v>75000</v>
      </c>
      <c r="AE251" s="86">
        <f>IFERROR(__xludf.DUMMYFUNCTION("""COMPUTED_VALUE"""),0.150000000000002)</f>
        <v>0.15</v>
      </c>
      <c r="AF251" s="86">
        <f>IFERROR(__xludf.DUMMYFUNCTION("""COMPUTED_VALUE"""),25200.0)</f>
        <v>25200</v>
      </c>
      <c r="AG251" s="86">
        <f>IFERROR(__xludf.DUMMYFUNCTION("""COMPUTED_VALUE"""),43750.0)</f>
        <v>43750</v>
      </c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72"/>
      <c r="BE251" s="89"/>
      <c r="BF251" s="89"/>
    </row>
    <row r="252">
      <c r="A252" s="104"/>
      <c r="B252" s="80"/>
      <c r="C252" s="104"/>
      <c r="D252" s="80"/>
      <c r="E252" s="80"/>
      <c r="F252" s="80"/>
      <c r="G252" s="80"/>
      <c r="H252" s="104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6">
        <f>IFERROR(__xludf.DUMMYFUNCTION("""COMPUTED_VALUE"""),250081.0)</f>
        <v>250081</v>
      </c>
      <c r="AB252" s="86">
        <f>IFERROR(__xludf.DUMMYFUNCTION("""COMPUTED_VALUE"""),251080.0)</f>
        <v>251080</v>
      </c>
      <c r="AC252" s="86">
        <f>IFERROR(__xludf.DUMMYFUNCTION("""COMPUTED_VALUE"""),31375.0)</f>
        <v>31375</v>
      </c>
      <c r="AD252" s="86">
        <f>IFERROR(__xludf.DUMMYFUNCTION("""COMPUTED_VALUE"""),75300.0)</f>
        <v>75300</v>
      </c>
      <c r="AE252" s="86">
        <f>IFERROR(__xludf.DUMMYFUNCTION("""COMPUTED_VALUE"""),0.150000000000002)</f>
        <v>0.15</v>
      </c>
      <c r="AF252" s="86">
        <f>IFERROR(__xludf.DUMMYFUNCTION("""COMPUTED_VALUE"""),25300.0)</f>
        <v>25300</v>
      </c>
      <c r="AG252" s="86">
        <f>IFERROR(__xludf.DUMMYFUNCTION("""COMPUTED_VALUE"""),43925.0)</f>
        <v>43925</v>
      </c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72"/>
      <c r="BE252" s="89"/>
      <c r="BF252" s="89"/>
    </row>
    <row r="253">
      <c r="A253" s="104"/>
      <c r="B253" s="80"/>
      <c r="C253" s="104"/>
      <c r="D253" s="80"/>
      <c r="E253" s="80"/>
      <c r="F253" s="80"/>
      <c r="G253" s="80"/>
      <c r="H253" s="104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6">
        <f>IFERROR(__xludf.DUMMYFUNCTION("""COMPUTED_VALUE"""),251081.0)</f>
        <v>251081</v>
      </c>
      <c r="AB253" s="86">
        <f>IFERROR(__xludf.DUMMYFUNCTION("""COMPUTED_VALUE"""),252080.0)</f>
        <v>252080</v>
      </c>
      <c r="AC253" s="86">
        <f>IFERROR(__xludf.DUMMYFUNCTION("""COMPUTED_VALUE"""),31500.0)</f>
        <v>31500</v>
      </c>
      <c r="AD253" s="86">
        <f>IFERROR(__xludf.DUMMYFUNCTION("""COMPUTED_VALUE"""),75600.0)</f>
        <v>75600</v>
      </c>
      <c r="AE253" s="86">
        <f>IFERROR(__xludf.DUMMYFUNCTION("""COMPUTED_VALUE"""),0.150000000000002)</f>
        <v>0.15</v>
      </c>
      <c r="AF253" s="86">
        <f>IFERROR(__xludf.DUMMYFUNCTION("""COMPUTED_VALUE"""),25400.0)</f>
        <v>25400</v>
      </c>
      <c r="AG253" s="86">
        <f>IFERROR(__xludf.DUMMYFUNCTION("""COMPUTED_VALUE"""),44100.0)</f>
        <v>44100</v>
      </c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72"/>
      <c r="BE253" s="89"/>
      <c r="BF253" s="89"/>
    </row>
    <row r="254">
      <c r="A254" s="104"/>
      <c r="B254" s="80"/>
      <c r="C254" s="104"/>
      <c r="D254" s="80"/>
      <c r="E254" s="80"/>
      <c r="F254" s="80"/>
      <c r="G254" s="80"/>
      <c r="H254" s="104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6">
        <f>IFERROR(__xludf.DUMMYFUNCTION("""COMPUTED_VALUE"""),252081.0)</f>
        <v>252081</v>
      </c>
      <c r="AB254" s="86">
        <f>IFERROR(__xludf.DUMMYFUNCTION("""COMPUTED_VALUE"""),253080.0)</f>
        <v>253080</v>
      </c>
      <c r="AC254" s="86">
        <f>IFERROR(__xludf.DUMMYFUNCTION("""COMPUTED_VALUE"""),31625.0)</f>
        <v>31625</v>
      </c>
      <c r="AD254" s="86">
        <f>IFERROR(__xludf.DUMMYFUNCTION("""COMPUTED_VALUE"""),75900.0)</f>
        <v>75900</v>
      </c>
      <c r="AE254" s="86">
        <f>IFERROR(__xludf.DUMMYFUNCTION("""COMPUTED_VALUE"""),0.150000000000002)</f>
        <v>0.15</v>
      </c>
      <c r="AF254" s="86">
        <f>IFERROR(__xludf.DUMMYFUNCTION("""COMPUTED_VALUE"""),25500.0)</f>
        <v>25500</v>
      </c>
      <c r="AG254" s="86">
        <f>IFERROR(__xludf.DUMMYFUNCTION("""COMPUTED_VALUE"""),44275.0)</f>
        <v>44275</v>
      </c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72"/>
      <c r="BE254" s="89"/>
      <c r="BF254" s="89"/>
    </row>
    <row r="255">
      <c r="A255" s="104"/>
      <c r="B255" s="80"/>
      <c r="C255" s="104"/>
      <c r="D255" s="80"/>
      <c r="E255" s="80"/>
      <c r="F255" s="80"/>
      <c r="G255" s="80"/>
      <c r="H255" s="104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6">
        <f>IFERROR(__xludf.DUMMYFUNCTION("""COMPUTED_VALUE"""),253081.0)</f>
        <v>253081</v>
      </c>
      <c r="AB255" s="86">
        <f>IFERROR(__xludf.DUMMYFUNCTION("""COMPUTED_VALUE"""),254080.0)</f>
        <v>254080</v>
      </c>
      <c r="AC255" s="86">
        <f>IFERROR(__xludf.DUMMYFUNCTION("""COMPUTED_VALUE"""),31750.0)</f>
        <v>31750</v>
      </c>
      <c r="AD255" s="86">
        <f>IFERROR(__xludf.DUMMYFUNCTION("""COMPUTED_VALUE"""),76200.0)</f>
        <v>76200</v>
      </c>
      <c r="AE255" s="86">
        <f>IFERROR(__xludf.DUMMYFUNCTION("""COMPUTED_VALUE"""),0.150000000000002)</f>
        <v>0.15</v>
      </c>
      <c r="AF255" s="86">
        <f>IFERROR(__xludf.DUMMYFUNCTION("""COMPUTED_VALUE"""),25600.0)</f>
        <v>25600</v>
      </c>
      <c r="AG255" s="86">
        <f>IFERROR(__xludf.DUMMYFUNCTION("""COMPUTED_VALUE"""),44450.0)</f>
        <v>44450</v>
      </c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72"/>
      <c r="BE255" s="89"/>
      <c r="BF255" s="89"/>
    </row>
    <row r="256">
      <c r="A256" s="104"/>
      <c r="B256" s="80"/>
      <c r="C256" s="104"/>
      <c r="D256" s="80"/>
      <c r="E256" s="80"/>
      <c r="F256" s="80"/>
      <c r="G256" s="80"/>
      <c r="H256" s="104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6">
        <f>IFERROR(__xludf.DUMMYFUNCTION("""COMPUTED_VALUE"""),254081.0)</f>
        <v>254081</v>
      </c>
      <c r="AB256" s="86">
        <f>IFERROR(__xludf.DUMMYFUNCTION("""COMPUTED_VALUE"""),255080.0)</f>
        <v>255080</v>
      </c>
      <c r="AC256" s="86">
        <f>IFERROR(__xludf.DUMMYFUNCTION("""COMPUTED_VALUE"""),31875.0)</f>
        <v>31875</v>
      </c>
      <c r="AD256" s="86">
        <f>IFERROR(__xludf.DUMMYFUNCTION("""COMPUTED_VALUE"""),76500.0)</f>
        <v>76500</v>
      </c>
      <c r="AE256" s="86">
        <f>IFERROR(__xludf.DUMMYFUNCTION("""COMPUTED_VALUE"""),0.150000000000002)</f>
        <v>0.15</v>
      </c>
      <c r="AF256" s="86">
        <f>IFERROR(__xludf.DUMMYFUNCTION("""COMPUTED_VALUE"""),25700.0)</f>
        <v>25700</v>
      </c>
      <c r="AG256" s="86">
        <f>IFERROR(__xludf.DUMMYFUNCTION("""COMPUTED_VALUE"""),44625.0)</f>
        <v>44625</v>
      </c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72"/>
      <c r="BE256" s="89"/>
      <c r="BF256" s="89"/>
    </row>
    <row r="257">
      <c r="A257" s="104"/>
      <c r="B257" s="80"/>
      <c r="C257" s="104"/>
      <c r="D257" s="80"/>
      <c r="E257" s="80"/>
      <c r="F257" s="80"/>
      <c r="G257" s="80"/>
      <c r="H257" s="104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6">
        <f>IFERROR(__xludf.DUMMYFUNCTION("""COMPUTED_VALUE"""),255081.0)</f>
        <v>255081</v>
      </c>
      <c r="AB257" s="86">
        <f>IFERROR(__xludf.DUMMYFUNCTION("""COMPUTED_VALUE"""),256080.0)</f>
        <v>256080</v>
      </c>
      <c r="AC257" s="86">
        <f>IFERROR(__xludf.DUMMYFUNCTION("""COMPUTED_VALUE"""),32000.0)</f>
        <v>32000</v>
      </c>
      <c r="AD257" s="86">
        <f>IFERROR(__xludf.DUMMYFUNCTION("""COMPUTED_VALUE"""),76800.0)</f>
        <v>76800</v>
      </c>
      <c r="AE257" s="86">
        <f>IFERROR(__xludf.DUMMYFUNCTION("""COMPUTED_VALUE"""),0.150000000000002)</f>
        <v>0.15</v>
      </c>
      <c r="AF257" s="86">
        <f>IFERROR(__xludf.DUMMYFUNCTION("""COMPUTED_VALUE"""),25800.0)</f>
        <v>25800</v>
      </c>
      <c r="AG257" s="86">
        <f>IFERROR(__xludf.DUMMYFUNCTION("""COMPUTED_VALUE"""),44800.0)</f>
        <v>44800</v>
      </c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72"/>
      <c r="BE257" s="89"/>
      <c r="BF257" s="89"/>
    </row>
    <row r="258">
      <c r="A258" s="104"/>
      <c r="B258" s="80"/>
      <c r="C258" s="104"/>
      <c r="D258" s="80"/>
      <c r="E258" s="80"/>
      <c r="F258" s="80"/>
      <c r="G258" s="80"/>
      <c r="H258" s="104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6">
        <f>IFERROR(__xludf.DUMMYFUNCTION("""COMPUTED_VALUE"""),256081.0)</f>
        <v>256081</v>
      </c>
      <c r="AB258" s="86">
        <f>IFERROR(__xludf.DUMMYFUNCTION("""COMPUTED_VALUE"""),257080.0)</f>
        <v>257080</v>
      </c>
      <c r="AC258" s="86">
        <f>IFERROR(__xludf.DUMMYFUNCTION("""COMPUTED_VALUE"""),32125.0)</f>
        <v>32125</v>
      </c>
      <c r="AD258" s="86">
        <f>IFERROR(__xludf.DUMMYFUNCTION("""COMPUTED_VALUE"""),77100.0)</f>
        <v>77100</v>
      </c>
      <c r="AE258" s="86">
        <f>IFERROR(__xludf.DUMMYFUNCTION("""COMPUTED_VALUE"""),0.150000000000002)</f>
        <v>0.15</v>
      </c>
      <c r="AF258" s="86">
        <f>IFERROR(__xludf.DUMMYFUNCTION("""COMPUTED_VALUE"""),25900.0)</f>
        <v>25900</v>
      </c>
      <c r="AG258" s="86">
        <f>IFERROR(__xludf.DUMMYFUNCTION("""COMPUTED_VALUE"""),44975.0)</f>
        <v>44975</v>
      </c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72"/>
      <c r="BE258" s="89"/>
      <c r="BF258" s="89"/>
    </row>
    <row r="259">
      <c r="A259" s="104"/>
      <c r="B259" s="80"/>
      <c r="C259" s="104"/>
      <c r="D259" s="80"/>
      <c r="E259" s="80"/>
      <c r="F259" s="80"/>
      <c r="G259" s="80"/>
      <c r="H259" s="104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6">
        <f>IFERROR(__xludf.DUMMYFUNCTION("""COMPUTED_VALUE"""),257081.0)</f>
        <v>257081</v>
      </c>
      <c r="AB259" s="86">
        <f>IFERROR(__xludf.DUMMYFUNCTION("""COMPUTED_VALUE"""),258080.0)</f>
        <v>258080</v>
      </c>
      <c r="AC259" s="86">
        <f>IFERROR(__xludf.DUMMYFUNCTION("""COMPUTED_VALUE"""),32250.0)</f>
        <v>32250</v>
      </c>
      <c r="AD259" s="86">
        <f>IFERROR(__xludf.DUMMYFUNCTION("""COMPUTED_VALUE"""),77400.0)</f>
        <v>77400</v>
      </c>
      <c r="AE259" s="86">
        <f>IFERROR(__xludf.DUMMYFUNCTION("""COMPUTED_VALUE"""),0.150000000000002)</f>
        <v>0.15</v>
      </c>
      <c r="AF259" s="86">
        <f>IFERROR(__xludf.DUMMYFUNCTION("""COMPUTED_VALUE"""),26000.0)</f>
        <v>26000</v>
      </c>
      <c r="AG259" s="86">
        <f>IFERROR(__xludf.DUMMYFUNCTION("""COMPUTED_VALUE"""),45150.0)</f>
        <v>45150</v>
      </c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72"/>
      <c r="BE259" s="89"/>
      <c r="BF259" s="89"/>
    </row>
    <row r="260">
      <c r="A260" s="104"/>
      <c r="B260" s="80"/>
      <c r="C260" s="104"/>
      <c r="D260" s="80"/>
      <c r="E260" s="80"/>
      <c r="F260" s="80"/>
      <c r="G260" s="80"/>
      <c r="H260" s="104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6">
        <f>IFERROR(__xludf.DUMMYFUNCTION("""COMPUTED_VALUE"""),258081.0)</f>
        <v>258081</v>
      </c>
      <c r="AB260" s="86">
        <f>IFERROR(__xludf.DUMMYFUNCTION("""COMPUTED_VALUE"""),259080.0)</f>
        <v>259080</v>
      </c>
      <c r="AC260" s="86">
        <f>IFERROR(__xludf.DUMMYFUNCTION("""COMPUTED_VALUE"""),32375.0)</f>
        <v>32375</v>
      </c>
      <c r="AD260" s="86">
        <f>IFERROR(__xludf.DUMMYFUNCTION("""COMPUTED_VALUE"""),77700.0)</f>
        <v>77700</v>
      </c>
      <c r="AE260" s="86">
        <f>IFERROR(__xludf.DUMMYFUNCTION("""COMPUTED_VALUE"""),0.150000000000002)</f>
        <v>0.15</v>
      </c>
      <c r="AF260" s="86">
        <f>IFERROR(__xludf.DUMMYFUNCTION("""COMPUTED_VALUE"""),26100.0)</f>
        <v>26100</v>
      </c>
      <c r="AG260" s="86">
        <f>IFERROR(__xludf.DUMMYFUNCTION("""COMPUTED_VALUE"""),45325.0)</f>
        <v>45325</v>
      </c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72"/>
      <c r="BE260" s="89"/>
      <c r="BF260" s="89"/>
    </row>
    <row r="261">
      <c r="A261" s="104"/>
      <c r="B261" s="80"/>
      <c r="C261" s="104"/>
      <c r="D261" s="80"/>
      <c r="E261" s="80"/>
      <c r="F261" s="80"/>
      <c r="G261" s="80"/>
      <c r="H261" s="104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6">
        <f>IFERROR(__xludf.DUMMYFUNCTION("""COMPUTED_VALUE"""),259081.0)</f>
        <v>259081</v>
      </c>
      <c r="AB261" s="86">
        <f>IFERROR(__xludf.DUMMYFUNCTION("""COMPUTED_VALUE"""),260080.0)</f>
        <v>260080</v>
      </c>
      <c r="AC261" s="86">
        <f>IFERROR(__xludf.DUMMYFUNCTION("""COMPUTED_VALUE"""),32500.0)</f>
        <v>32500</v>
      </c>
      <c r="AD261" s="86">
        <f>IFERROR(__xludf.DUMMYFUNCTION("""COMPUTED_VALUE"""),78000.0)</f>
        <v>78000</v>
      </c>
      <c r="AE261" s="86">
        <f>IFERROR(__xludf.DUMMYFUNCTION("""COMPUTED_VALUE"""),0.150000000000002)</f>
        <v>0.15</v>
      </c>
      <c r="AF261" s="86">
        <f>IFERROR(__xludf.DUMMYFUNCTION("""COMPUTED_VALUE"""),26200.0)</f>
        <v>26200</v>
      </c>
      <c r="AG261" s="86">
        <f>IFERROR(__xludf.DUMMYFUNCTION("""COMPUTED_VALUE"""),45500.0)</f>
        <v>45500</v>
      </c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72"/>
      <c r="BE261" s="89"/>
      <c r="BF261" s="89"/>
    </row>
    <row r="262">
      <c r="A262" s="104"/>
      <c r="B262" s="80"/>
      <c r="C262" s="104"/>
      <c r="D262" s="80"/>
      <c r="E262" s="80"/>
      <c r="F262" s="80"/>
      <c r="G262" s="80"/>
      <c r="H262" s="104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6">
        <f>IFERROR(__xludf.DUMMYFUNCTION("""COMPUTED_VALUE"""),260081.0)</f>
        <v>260081</v>
      </c>
      <c r="AB262" s="86">
        <f>IFERROR(__xludf.DUMMYFUNCTION("""COMPUTED_VALUE"""),261080.0)</f>
        <v>261080</v>
      </c>
      <c r="AC262" s="86">
        <f>IFERROR(__xludf.DUMMYFUNCTION("""COMPUTED_VALUE"""),32625.0)</f>
        <v>32625</v>
      </c>
      <c r="AD262" s="86">
        <f>IFERROR(__xludf.DUMMYFUNCTION("""COMPUTED_VALUE"""),78300.0)</f>
        <v>78300</v>
      </c>
      <c r="AE262" s="86">
        <f>IFERROR(__xludf.DUMMYFUNCTION("""COMPUTED_VALUE"""),0.150000000000002)</f>
        <v>0.15</v>
      </c>
      <c r="AF262" s="86">
        <f>IFERROR(__xludf.DUMMYFUNCTION("""COMPUTED_VALUE"""),26300.0)</f>
        <v>26300</v>
      </c>
      <c r="AG262" s="86">
        <f>IFERROR(__xludf.DUMMYFUNCTION("""COMPUTED_VALUE"""),45675.0)</f>
        <v>45675</v>
      </c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72"/>
      <c r="BE262" s="89"/>
      <c r="BF262" s="89"/>
    </row>
    <row r="263">
      <c r="A263" s="104"/>
      <c r="B263" s="80"/>
      <c r="C263" s="104"/>
      <c r="D263" s="80"/>
      <c r="E263" s="80"/>
      <c r="F263" s="80"/>
      <c r="G263" s="80"/>
      <c r="H263" s="104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6">
        <f>IFERROR(__xludf.DUMMYFUNCTION("""COMPUTED_VALUE"""),261081.0)</f>
        <v>261081</v>
      </c>
      <c r="AB263" s="86">
        <f>IFERROR(__xludf.DUMMYFUNCTION("""COMPUTED_VALUE"""),262080.0)</f>
        <v>262080</v>
      </c>
      <c r="AC263" s="86">
        <f>IFERROR(__xludf.DUMMYFUNCTION("""COMPUTED_VALUE"""),32750.0)</f>
        <v>32750</v>
      </c>
      <c r="AD263" s="86">
        <f>IFERROR(__xludf.DUMMYFUNCTION("""COMPUTED_VALUE"""),78600.0)</f>
        <v>78600</v>
      </c>
      <c r="AE263" s="86">
        <f>IFERROR(__xludf.DUMMYFUNCTION("""COMPUTED_VALUE"""),0.150000000000002)</f>
        <v>0.15</v>
      </c>
      <c r="AF263" s="86">
        <f>IFERROR(__xludf.DUMMYFUNCTION("""COMPUTED_VALUE"""),26400.0)</f>
        <v>26400</v>
      </c>
      <c r="AG263" s="86">
        <f>IFERROR(__xludf.DUMMYFUNCTION("""COMPUTED_VALUE"""),45850.0)</f>
        <v>45850</v>
      </c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80"/>
      <c r="AU263" s="80"/>
      <c r="AV263" s="80"/>
      <c r="AW263" s="80"/>
      <c r="AX263" s="80"/>
      <c r="AY263" s="80"/>
      <c r="AZ263" s="80"/>
      <c r="BA263" s="80"/>
      <c r="BB263" s="80"/>
      <c r="BC263" s="80"/>
      <c r="BD263" s="72"/>
      <c r="BE263" s="89"/>
      <c r="BF263" s="89"/>
    </row>
    <row r="264">
      <c r="A264" s="104"/>
      <c r="B264" s="80"/>
      <c r="C264" s="104"/>
      <c r="D264" s="80"/>
      <c r="E264" s="80"/>
      <c r="F264" s="80"/>
      <c r="G264" s="80"/>
      <c r="H264" s="104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6">
        <f>IFERROR(__xludf.DUMMYFUNCTION("""COMPUTED_VALUE"""),262081.0)</f>
        <v>262081</v>
      </c>
      <c r="AB264" s="86">
        <f>IFERROR(__xludf.DUMMYFUNCTION("""COMPUTED_VALUE"""),263080.0)</f>
        <v>263080</v>
      </c>
      <c r="AC264" s="86">
        <f>IFERROR(__xludf.DUMMYFUNCTION("""COMPUTED_VALUE"""),32875.0)</f>
        <v>32875</v>
      </c>
      <c r="AD264" s="86">
        <f>IFERROR(__xludf.DUMMYFUNCTION("""COMPUTED_VALUE"""),78900.0)</f>
        <v>78900</v>
      </c>
      <c r="AE264" s="86">
        <f>IFERROR(__xludf.DUMMYFUNCTION("""COMPUTED_VALUE"""),0.150000000000002)</f>
        <v>0.15</v>
      </c>
      <c r="AF264" s="86">
        <f>IFERROR(__xludf.DUMMYFUNCTION("""COMPUTED_VALUE"""),26500.0)</f>
        <v>26500</v>
      </c>
      <c r="AG264" s="86">
        <f>IFERROR(__xludf.DUMMYFUNCTION("""COMPUTED_VALUE"""),46025.0)</f>
        <v>46025</v>
      </c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72"/>
      <c r="BE264" s="89"/>
      <c r="BF264" s="89"/>
    </row>
    <row r="265">
      <c r="A265" s="104"/>
      <c r="B265" s="80"/>
      <c r="C265" s="104"/>
      <c r="D265" s="80"/>
      <c r="E265" s="80"/>
      <c r="F265" s="80"/>
      <c r="G265" s="80"/>
      <c r="H265" s="104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6">
        <f>IFERROR(__xludf.DUMMYFUNCTION("""COMPUTED_VALUE"""),263081.0)</f>
        <v>263081</v>
      </c>
      <c r="AB265" s="86">
        <f>IFERROR(__xludf.DUMMYFUNCTION("""COMPUTED_VALUE"""),264080.0)</f>
        <v>264080</v>
      </c>
      <c r="AC265" s="86">
        <f>IFERROR(__xludf.DUMMYFUNCTION("""COMPUTED_VALUE"""),33000.0)</f>
        <v>33000</v>
      </c>
      <c r="AD265" s="86">
        <f>IFERROR(__xludf.DUMMYFUNCTION("""COMPUTED_VALUE"""),79200.0)</f>
        <v>79200</v>
      </c>
      <c r="AE265" s="86">
        <f>IFERROR(__xludf.DUMMYFUNCTION("""COMPUTED_VALUE"""),0.150000000000002)</f>
        <v>0.15</v>
      </c>
      <c r="AF265" s="86">
        <f>IFERROR(__xludf.DUMMYFUNCTION("""COMPUTED_VALUE"""),26600.0)</f>
        <v>26600</v>
      </c>
      <c r="AG265" s="86">
        <f>IFERROR(__xludf.DUMMYFUNCTION("""COMPUTED_VALUE"""),46200.0)</f>
        <v>46200</v>
      </c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72"/>
      <c r="BE265" s="89"/>
      <c r="BF265" s="89"/>
    </row>
    <row r="266">
      <c r="A266" s="104"/>
      <c r="B266" s="80"/>
      <c r="C266" s="104"/>
      <c r="D266" s="80"/>
      <c r="E266" s="80"/>
      <c r="F266" s="80"/>
      <c r="G266" s="80"/>
      <c r="H266" s="104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6">
        <f>IFERROR(__xludf.DUMMYFUNCTION("""COMPUTED_VALUE"""),264081.0)</f>
        <v>264081</v>
      </c>
      <c r="AB266" s="86">
        <f>IFERROR(__xludf.DUMMYFUNCTION("""COMPUTED_VALUE"""),265080.0)</f>
        <v>265080</v>
      </c>
      <c r="AC266" s="86">
        <f>IFERROR(__xludf.DUMMYFUNCTION("""COMPUTED_VALUE"""),33125.0)</f>
        <v>33125</v>
      </c>
      <c r="AD266" s="86">
        <f>IFERROR(__xludf.DUMMYFUNCTION("""COMPUTED_VALUE"""),79500.0)</f>
        <v>79500</v>
      </c>
      <c r="AE266" s="86">
        <f>IFERROR(__xludf.DUMMYFUNCTION("""COMPUTED_VALUE"""),0.150000000000002)</f>
        <v>0.15</v>
      </c>
      <c r="AF266" s="86">
        <f>IFERROR(__xludf.DUMMYFUNCTION("""COMPUTED_VALUE"""),26700.0)</f>
        <v>26700</v>
      </c>
      <c r="AG266" s="86">
        <f>IFERROR(__xludf.DUMMYFUNCTION("""COMPUTED_VALUE"""),46375.0)</f>
        <v>46375</v>
      </c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72"/>
      <c r="BE266" s="89"/>
      <c r="BF266" s="89"/>
    </row>
    <row r="267">
      <c r="A267" s="104"/>
      <c r="B267" s="80"/>
      <c r="C267" s="104"/>
      <c r="D267" s="80"/>
      <c r="E267" s="80"/>
      <c r="F267" s="80"/>
      <c r="G267" s="80"/>
      <c r="H267" s="104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6">
        <f>IFERROR(__xludf.DUMMYFUNCTION("""COMPUTED_VALUE"""),265081.0)</f>
        <v>265081</v>
      </c>
      <c r="AB267" s="86">
        <f>IFERROR(__xludf.DUMMYFUNCTION("""COMPUTED_VALUE"""),266080.0)</f>
        <v>266080</v>
      </c>
      <c r="AC267" s="86">
        <f>IFERROR(__xludf.DUMMYFUNCTION("""COMPUTED_VALUE"""),33250.0)</f>
        <v>33250</v>
      </c>
      <c r="AD267" s="86">
        <f>IFERROR(__xludf.DUMMYFUNCTION("""COMPUTED_VALUE"""),79800.0)</f>
        <v>79800</v>
      </c>
      <c r="AE267" s="86">
        <f>IFERROR(__xludf.DUMMYFUNCTION("""COMPUTED_VALUE"""),0.150000000000002)</f>
        <v>0.15</v>
      </c>
      <c r="AF267" s="86">
        <f>IFERROR(__xludf.DUMMYFUNCTION("""COMPUTED_VALUE"""),26800.0)</f>
        <v>26800</v>
      </c>
      <c r="AG267" s="86">
        <f>IFERROR(__xludf.DUMMYFUNCTION("""COMPUTED_VALUE"""),46550.0)</f>
        <v>46550</v>
      </c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72"/>
      <c r="BE267" s="89"/>
      <c r="BF267" s="89"/>
    </row>
    <row r="268">
      <c r="A268" s="104"/>
      <c r="B268" s="80"/>
      <c r="C268" s="104"/>
      <c r="D268" s="80"/>
      <c r="E268" s="80"/>
      <c r="F268" s="80"/>
      <c r="G268" s="80"/>
      <c r="H268" s="104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6">
        <f>IFERROR(__xludf.DUMMYFUNCTION("""COMPUTED_VALUE"""),266081.0)</f>
        <v>266081</v>
      </c>
      <c r="AB268" s="86">
        <f>IFERROR(__xludf.DUMMYFUNCTION("""COMPUTED_VALUE"""),267080.0)</f>
        <v>267080</v>
      </c>
      <c r="AC268" s="86">
        <f>IFERROR(__xludf.DUMMYFUNCTION("""COMPUTED_VALUE"""),33375.0)</f>
        <v>33375</v>
      </c>
      <c r="AD268" s="86">
        <f>IFERROR(__xludf.DUMMYFUNCTION("""COMPUTED_VALUE"""),80100.0)</f>
        <v>80100</v>
      </c>
      <c r="AE268" s="86">
        <f>IFERROR(__xludf.DUMMYFUNCTION("""COMPUTED_VALUE"""),0.150000000000002)</f>
        <v>0.15</v>
      </c>
      <c r="AF268" s="86">
        <f>IFERROR(__xludf.DUMMYFUNCTION("""COMPUTED_VALUE"""),26900.0)</f>
        <v>26900</v>
      </c>
      <c r="AG268" s="86">
        <f>IFERROR(__xludf.DUMMYFUNCTION("""COMPUTED_VALUE"""),46725.0)</f>
        <v>46725</v>
      </c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72"/>
      <c r="BE268" s="89"/>
      <c r="BF268" s="89"/>
    </row>
    <row r="269">
      <c r="A269" s="104"/>
      <c r="B269" s="80"/>
      <c r="C269" s="104"/>
      <c r="D269" s="80"/>
      <c r="E269" s="80"/>
      <c r="F269" s="80"/>
      <c r="G269" s="80"/>
      <c r="H269" s="104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6">
        <f>IFERROR(__xludf.DUMMYFUNCTION("""COMPUTED_VALUE"""),267081.0)</f>
        <v>267081</v>
      </c>
      <c r="AB269" s="86">
        <f>IFERROR(__xludf.DUMMYFUNCTION("""COMPUTED_VALUE"""),268080.0)</f>
        <v>268080</v>
      </c>
      <c r="AC269" s="86">
        <f>IFERROR(__xludf.DUMMYFUNCTION("""COMPUTED_VALUE"""),33500.0)</f>
        <v>33500</v>
      </c>
      <c r="AD269" s="86">
        <f>IFERROR(__xludf.DUMMYFUNCTION("""COMPUTED_VALUE"""),80400.0)</f>
        <v>80400</v>
      </c>
      <c r="AE269" s="86">
        <f>IFERROR(__xludf.DUMMYFUNCTION("""COMPUTED_VALUE"""),0.150000000000002)</f>
        <v>0.15</v>
      </c>
      <c r="AF269" s="86">
        <f>IFERROR(__xludf.DUMMYFUNCTION("""COMPUTED_VALUE"""),27000.0)</f>
        <v>27000</v>
      </c>
      <c r="AG269" s="86">
        <f>IFERROR(__xludf.DUMMYFUNCTION("""COMPUTED_VALUE"""),46900.0)</f>
        <v>46900</v>
      </c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72"/>
      <c r="BE269" s="89"/>
      <c r="BF269" s="89"/>
    </row>
    <row r="270">
      <c r="A270" s="104"/>
      <c r="B270" s="80"/>
      <c r="C270" s="104"/>
      <c r="D270" s="80"/>
      <c r="E270" s="80"/>
      <c r="F270" s="80"/>
      <c r="G270" s="80"/>
      <c r="H270" s="104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6">
        <f>IFERROR(__xludf.DUMMYFUNCTION("""COMPUTED_VALUE"""),268081.0)</f>
        <v>268081</v>
      </c>
      <c r="AB270" s="86">
        <f>IFERROR(__xludf.DUMMYFUNCTION("""COMPUTED_VALUE"""),269080.0)</f>
        <v>269080</v>
      </c>
      <c r="AC270" s="86">
        <f>IFERROR(__xludf.DUMMYFUNCTION("""COMPUTED_VALUE"""),33625.0)</f>
        <v>33625</v>
      </c>
      <c r="AD270" s="86">
        <f>IFERROR(__xludf.DUMMYFUNCTION("""COMPUTED_VALUE"""),80700.0)</f>
        <v>80700</v>
      </c>
      <c r="AE270" s="86">
        <f>IFERROR(__xludf.DUMMYFUNCTION("""COMPUTED_VALUE"""),0.150000000000002)</f>
        <v>0.15</v>
      </c>
      <c r="AF270" s="86">
        <f>IFERROR(__xludf.DUMMYFUNCTION("""COMPUTED_VALUE"""),27100.0)</f>
        <v>27100</v>
      </c>
      <c r="AG270" s="86">
        <f>IFERROR(__xludf.DUMMYFUNCTION("""COMPUTED_VALUE"""),47075.0)</f>
        <v>47075</v>
      </c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72"/>
      <c r="BE270" s="89"/>
      <c r="BF270" s="89"/>
    </row>
    <row r="271">
      <c r="A271" s="104"/>
      <c r="B271" s="80"/>
      <c r="C271" s="104"/>
      <c r="D271" s="80"/>
      <c r="E271" s="80"/>
      <c r="F271" s="80"/>
      <c r="G271" s="80"/>
      <c r="H271" s="104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6">
        <f>IFERROR(__xludf.DUMMYFUNCTION("""COMPUTED_VALUE"""),269081.0)</f>
        <v>269081</v>
      </c>
      <c r="AB271" s="86">
        <f>IFERROR(__xludf.DUMMYFUNCTION("""COMPUTED_VALUE"""),270080.0)</f>
        <v>270080</v>
      </c>
      <c r="AC271" s="86">
        <f>IFERROR(__xludf.DUMMYFUNCTION("""COMPUTED_VALUE"""),33750.0)</f>
        <v>33750</v>
      </c>
      <c r="AD271" s="86">
        <f>IFERROR(__xludf.DUMMYFUNCTION("""COMPUTED_VALUE"""),81000.0)</f>
        <v>81000</v>
      </c>
      <c r="AE271" s="86">
        <f>IFERROR(__xludf.DUMMYFUNCTION("""COMPUTED_VALUE"""),0.150000000000002)</f>
        <v>0.15</v>
      </c>
      <c r="AF271" s="86">
        <f>IFERROR(__xludf.DUMMYFUNCTION("""COMPUTED_VALUE"""),27200.0)</f>
        <v>27200</v>
      </c>
      <c r="AG271" s="86">
        <f>IFERROR(__xludf.DUMMYFUNCTION("""COMPUTED_VALUE"""),47250.0)</f>
        <v>47250</v>
      </c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72"/>
      <c r="BE271" s="89"/>
      <c r="BF271" s="89"/>
    </row>
    <row r="272">
      <c r="A272" s="104"/>
      <c r="B272" s="80"/>
      <c r="C272" s="104"/>
      <c r="D272" s="80"/>
      <c r="E272" s="80"/>
      <c r="F272" s="80"/>
      <c r="G272" s="80"/>
      <c r="H272" s="104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6">
        <f>IFERROR(__xludf.DUMMYFUNCTION("""COMPUTED_VALUE"""),270081.0)</f>
        <v>270081</v>
      </c>
      <c r="AB272" s="86">
        <f>IFERROR(__xludf.DUMMYFUNCTION("""COMPUTED_VALUE"""),271080.0)</f>
        <v>271080</v>
      </c>
      <c r="AC272" s="86">
        <f>IFERROR(__xludf.DUMMYFUNCTION("""COMPUTED_VALUE"""),33875.0)</f>
        <v>33875</v>
      </c>
      <c r="AD272" s="86">
        <f>IFERROR(__xludf.DUMMYFUNCTION("""COMPUTED_VALUE"""),81300.0)</f>
        <v>81300</v>
      </c>
      <c r="AE272" s="86">
        <f>IFERROR(__xludf.DUMMYFUNCTION("""COMPUTED_VALUE"""),0.150000000000002)</f>
        <v>0.15</v>
      </c>
      <c r="AF272" s="86">
        <f>IFERROR(__xludf.DUMMYFUNCTION("""COMPUTED_VALUE"""),27300.0)</f>
        <v>27300</v>
      </c>
      <c r="AG272" s="86">
        <f>IFERROR(__xludf.DUMMYFUNCTION("""COMPUTED_VALUE"""),47425.0)</f>
        <v>47425</v>
      </c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72"/>
      <c r="BE272" s="89"/>
      <c r="BF272" s="89"/>
    </row>
    <row r="273">
      <c r="A273" s="104"/>
      <c r="B273" s="80"/>
      <c r="C273" s="104"/>
      <c r="D273" s="80"/>
      <c r="E273" s="80"/>
      <c r="F273" s="80"/>
      <c r="G273" s="80"/>
      <c r="H273" s="104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6">
        <f>IFERROR(__xludf.DUMMYFUNCTION("""COMPUTED_VALUE"""),271081.0)</f>
        <v>271081</v>
      </c>
      <c r="AB273" s="86">
        <f>IFERROR(__xludf.DUMMYFUNCTION("""COMPUTED_VALUE"""),272080.0)</f>
        <v>272080</v>
      </c>
      <c r="AC273" s="86">
        <f>IFERROR(__xludf.DUMMYFUNCTION("""COMPUTED_VALUE"""),34000.0)</f>
        <v>34000</v>
      </c>
      <c r="AD273" s="86">
        <f>IFERROR(__xludf.DUMMYFUNCTION("""COMPUTED_VALUE"""),81600.0)</f>
        <v>81600</v>
      </c>
      <c r="AE273" s="86">
        <f>IFERROR(__xludf.DUMMYFUNCTION("""COMPUTED_VALUE"""),0.150000000000002)</f>
        <v>0.15</v>
      </c>
      <c r="AF273" s="86">
        <f>IFERROR(__xludf.DUMMYFUNCTION("""COMPUTED_VALUE"""),27400.0)</f>
        <v>27400</v>
      </c>
      <c r="AG273" s="86">
        <f>IFERROR(__xludf.DUMMYFUNCTION("""COMPUTED_VALUE"""),47600.0)</f>
        <v>47600</v>
      </c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72"/>
      <c r="BE273" s="89"/>
      <c r="BF273" s="89"/>
    </row>
    <row r="274">
      <c r="A274" s="104"/>
      <c r="B274" s="80"/>
      <c r="C274" s="104"/>
      <c r="D274" s="80"/>
      <c r="E274" s="80"/>
      <c r="F274" s="80"/>
      <c r="G274" s="80"/>
      <c r="H274" s="104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6">
        <f>IFERROR(__xludf.DUMMYFUNCTION("""COMPUTED_VALUE"""),272081.0)</f>
        <v>272081</v>
      </c>
      <c r="AB274" s="86">
        <f>IFERROR(__xludf.DUMMYFUNCTION("""COMPUTED_VALUE"""),273080.0)</f>
        <v>273080</v>
      </c>
      <c r="AC274" s="86">
        <f>IFERROR(__xludf.DUMMYFUNCTION("""COMPUTED_VALUE"""),34125.0)</f>
        <v>34125</v>
      </c>
      <c r="AD274" s="86">
        <f>IFERROR(__xludf.DUMMYFUNCTION("""COMPUTED_VALUE"""),81900.0)</f>
        <v>81900</v>
      </c>
      <c r="AE274" s="86">
        <f>IFERROR(__xludf.DUMMYFUNCTION("""COMPUTED_VALUE"""),0.150000000000002)</f>
        <v>0.15</v>
      </c>
      <c r="AF274" s="86">
        <f>IFERROR(__xludf.DUMMYFUNCTION("""COMPUTED_VALUE"""),27500.0)</f>
        <v>27500</v>
      </c>
      <c r="AG274" s="86">
        <f>IFERROR(__xludf.DUMMYFUNCTION("""COMPUTED_VALUE"""),47775.0)</f>
        <v>47775</v>
      </c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72"/>
      <c r="BE274" s="89"/>
      <c r="BF274" s="89"/>
    </row>
    <row r="275">
      <c r="A275" s="104"/>
      <c r="B275" s="80"/>
      <c r="C275" s="104"/>
      <c r="D275" s="80"/>
      <c r="E275" s="80"/>
      <c r="F275" s="80"/>
      <c r="G275" s="80"/>
      <c r="H275" s="104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6">
        <f>IFERROR(__xludf.DUMMYFUNCTION("""COMPUTED_VALUE"""),273081.0)</f>
        <v>273081</v>
      </c>
      <c r="AB275" s="86">
        <f>IFERROR(__xludf.DUMMYFUNCTION("""COMPUTED_VALUE"""),274080.0)</f>
        <v>274080</v>
      </c>
      <c r="AC275" s="86">
        <f>IFERROR(__xludf.DUMMYFUNCTION("""COMPUTED_VALUE"""),34250.0)</f>
        <v>34250</v>
      </c>
      <c r="AD275" s="86">
        <f>IFERROR(__xludf.DUMMYFUNCTION("""COMPUTED_VALUE"""),82200.0)</f>
        <v>82200</v>
      </c>
      <c r="AE275" s="86">
        <f>IFERROR(__xludf.DUMMYFUNCTION("""COMPUTED_VALUE"""),0.150000000000002)</f>
        <v>0.15</v>
      </c>
      <c r="AF275" s="86">
        <f>IFERROR(__xludf.DUMMYFUNCTION("""COMPUTED_VALUE"""),27600.0)</f>
        <v>27600</v>
      </c>
      <c r="AG275" s="86">
        <f>IFERROR(__xludf.DUMMYFUNCTION("""COMPUTED_VALUE"""),47950.0)</f>
        <v>47950</v>
      </c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72"/>
      <c r="BE275" s="89"/>
      <c r="BF275" s="89"/>
    </row>
    <row r="276">
      <c r="A276" s="104"/>
      <c r="B276" s="80"/>
      <c r="C276" s="104"/>
      <c r="D276" s="80"/>
      <c r="E276" s="80"/>
      <c r="F276" s="80"/>
      <c r="G276" s="80"/>
      <c r="H276" s="104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6">
        <f>IFERROR(__xludf.DUMMYFUNCTION("""COMPUTED_VALUE"""),274081.0)</f>
        <v>274081</v>
      </c>
      <c r="AB276" s="86">
        <f>IFERROR(__xludf.DUMMYFUNCTION("""COMPUTED_VALUE"""),275080.0)</f>
        <v>275080</v>
      </c>
      <c r="AC276" s="86">
        <f>IFERROR(__xludf.DUMMYFUNCTION("""COMPUTED_VALUE"""),34375.0)</f>
        <v>34375</v>
      </c>
      <c r="AD276" s="86">
        <f>IFERROR(__xludf.DUMMYFUNCTION("""COMPUTED_VALUE"""),82500.0)</f>
        <v>82500</v>
      </c>
      <c r="AE276" s="86">
        <f>IFERROR(__xludf.DUMMYFUNCTION("""COMPUTED_VALUE"""),0.150000000000002)</f>
        <v>0.15</v>
      </c>
      <c r="AF276" s="86">
        <f>IFERROR(__xludf.DUMMYFUNCTION("""COMPUTED_VALUE"""),27700.0)</f>
        <v>27700</v>
      </c>
      <c r="AG276" s="86">
        <f>IFERROR(__xludf.DUMMYFUNCTION("""COMPUTED_VALUE"""),48125.0)</f>
        <v>48125</v>
      </c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72"/>
      <c r="BE276" s="89"/>
      <c r="BF276" s="89"/>
    </row>
    <row r="277">
      <c r="A277" s="104"/>
      <c r="B277" s="80"/>
      <c r="C277" s="104"/>
      <c r="D277" s="80"/>
      <c r="E277" s="80"/>
      <c r="F277" s="80"/>
      <c r="G277" s="80"/>
      <c r="H277" s="104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6">
        <f>IFERROR(__xludf.DUMMYFUNCTION("""COMPUTED_VALUE"""),275081.0)</f>
        <v>275081</v>
      </c>
      <c r="AB277" s="86">
        <f>IFERROR(__xludf.DUMMYFUNCTION("""COMPUTED_VALUE"""),276080.0)</f>
        <v>276080</v>
      </c>
      <c r="AC277" s="86">
        <f>IFERROR(__xludf.DUMMYFUNCTION("""COMPUTED_VALUE"""),34500.0)</f>
        <v>34500</v>
      </c>
      <c r="AD277" s="86">
        <f>IFERROR(__xludf.DUMMYFUNCTION("""COMPUTED_VALUE"""),82800.0)</f>
        <v>82800</v>
      </c>
      <c r="AE277" s="86">
        <f>IFERROR(__xludf.DUMMYFUNCTION("""COMPUTED_VALUE"""),0.150000000000002)</f>
        <v>0.15</v>
      </c>
      <c r="AF277" s="86">
        <f>IFERROR(__xludf.DUMMYFUNCTION("""COMPUTED_VALUE"""),27800.0)</f>
        <v>27800</v>
      </c>
      <c r="AG277" s="86">
        <f>IFERROR(__xludf.DUMMYFUNCTION("""COMPUTED_VALUE"""),48300.0)</f>
        <v>48300</v>
      </c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72"/>
      <c r="BE277" s="89"/>
      <c r="BF277" s="89"/>
    </row>
    <row r="278">
      <c r="A278" s="104"/>
      <c r="B278" s="80"/>
      <c r="C278" s="104"/>
      <c r="D278" s="80"/>
      <c r="E278" s="80"/>
      <c r="F278" s="80"/>
      <c r="G278" s="80"/>
      <c r="H278" s="104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6">
        <f>IFERROR(__xludf.DUMMYFUNCTION("""COMPUTED_VALUE"""),276081.0)</f>
        <v>276081</v>
      </c>
      <c r="AB278" s="86">
        <f>IFERROR(__xludf.DUMMYFUNCTION("""COMPUTED_VALUE"""),277080.0)</f>
        <v>277080</v>
      </c>
      <c r="AC278" s="86">
        <f>IFERROR(__xludf.DUMMYFUNCTION("""COMPUTED_VALUE"""),34625.0)</f>
        <v>34625</v>
      </c>
      <c r="AD278" s="86">
        <f>IFERROR(__xludf.DUMMYFUNCTION("""COMPUTED_VALUE"""),83100.0)</f>
        <v>83100</v>
      </c>
      <c r="AE278" s="86">
        <f>IFERROR(__xludf.DUMMYFUNCTION("""COMPUTED_VALUE"""),0.150000000000002)</f>
        <v>0.15</v>
      </c>
      <c r="AF278" s="86">
        <f>IFERROR(__xludf.DUMMYFUNCTION("""COMPUTED_VALUE"""),27900.0)</f>
        <v>27900</v>
      </c>
      <c r="AG278" s="86">
        <f>IFERROR(__xludf.DUMMYFUNCTION("""COMPUTED_VALUE"""),48475.0)</f>
        <v>48475</v>
      </c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72"/>
      <c r="BE278" s="89"/>
      <c r="BF278" s="89"/>
    </row>
    <row r="279">
      <c r="A279" s="104"/>
      <c r="B279" s="80"/>
      <c r="C279" s="104"/>
      <c r="D279" s="80"/>
      <c r="E279" s="80"/>
      <c r="F279" s="80"/>
      <c r="G279" s="80"/>
      <c r="H279" s="104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6">
        <f>IFERROR(__xludf.DUMMYFUNCTION("""COMPUTED_VALUE"""),277081.0)</f>
        <v>277081</v>
      </c>
      <c r="AB279" s="86">
        <f>IFERROR(__xludf.DUMMYFUNCTION("""COMPUTED_VALUE"""),278080.0)</f>
        <v>278080</v>
      </c>
      <c r="AC279" s="86">
        <f>IFERROR(__xludf.DUMMYFUNCTION("""COMPUTED_VALUE"""),34750.0)</f>
        <v>34750</v>
      </c>
      <c r="AD279" s="86">
        <f>IFERROR(__xludf.DUMMYFUNCTION("""COMPUTED_VALUE"""),83400.0)</f>
        <v>83400</v>
      </c>
      <c r="AE279" s="86">
        <f>IFERROR(__xludf.DUMMYFUNCTION("""COMPUTED_VALUE"""),0.150000000000002)</f>
        <v>0.15</v>
      </c>
      <c r="AF279" s="86">
        <f>IFERROR(__xludf.DUMMYFUNCTION("""COMPUTED_VALUE"""),28000.0)</f>
        <v>28000</v>
      </c>
      <c r="AG279" s="86">
        <f>IFERROR(__xludf.DUMMYFUNCTION("""COMPUTED_VALUE"""),48650.0)</f>
        <v>48650</v>
      </c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80"/>
      <c r="AU279" s="80"/>
      <c r="AV279" s="80"/>
      <c r="AW279" s="80"/>
      <c r="AX279" s="80"/>
      <c r="AY279" s="80"/>
      <c r="AZ279" s="80"/>
      <c r="BA279" s="80"/>
      <c r="BB279" s="80"/>
      <c r="BC279" s="80"/>
      <c r="BD279" s="72"/>
      <c r="BE279" s="89"/>
      <c r="BF279" s="89"/>
    </row>
    <row r="280">
      <c r="A280" s="104"/>
      <c r="B280" s="80"/>
      <c r="C280" s="104"/>
      <c r="D280" s="80"/>
      <c r="E280" s="80"/>
      <c r="F280" s="80"/>
      <c r="G280" s="80"/>
      <c r="H280" s="104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6">
        <f>IFERROR(__xludf.DUMMYFUNCTION("""COMPUTED_VALUE"""),278081.0)</f>
        <v>278081</v>
      </c>
      <c r="AB280" s="86">
        <f>IFERROR(__xludf.DUMMYFUNCTION("""COMPUTED_VALUE"""),279080.0)</f>
        <v>279080</v>
      </c>
      <c r="AC280" s="86">
        <f>IFERROR(__xludf.DUMMYFUNCTION("""COMPUTED_VALUE"""),34875.0)</f>
        <v>34875</v>
      </c>
      <c r="AD280" s="86">
        <f>IFERROR(__xludf.DUMMYFUNCTION("""COMPUTED_VALUE"""),83700.0)</f>
        <v>83700</v>
      </c>
      <c r="AE280" s="86">
        <f>IFERROR(__xludf.DUMMYFUNCTION("""COMPUTED_VALUE"""),0.150000000000002)</f>
        <v>0.15</v>
      </c>
      <c r="AF280" s="86">
        <f>IFERROR(__xludf.DUMMYFUNCTION("""COMPUTED_VALUE"""),28100.0)</f>
        <v>28100</v>
      </c>
      <c r="AG280" s="86">
        <f>IFERROR(__xludf.DUMMYFUNCTION("""COMPUTED_VALUE"""),48825.0)</f>
        <v>48825</v>
      </c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72"/>
      <c r="BE280" s="89"/>
      <c r="BF280" s="89"/>
    </row>
    <row r="281">
      <c r="A281" s="104"/>
      <c r="B281" s="80"/>
      <c r="C281" s="104"/>
      <c r="D281" s="80"/>
      <c r="E281" s="80"/>
      <c r="F281" s="80"/>
      <c r="G281" s="80"/>
      <c r="H281" s="104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6">
        <f>IFERROR(__xludf.DUMMYFUNCTION("""COMPUTED_VALUE"""),279081.0)</f>
        <v>279081</v>
      </c>
      <c r="AB281" s="86">
        <f>IFERROR(__xludf.DUMMYFUNCTION("""COMPUTED_VALUE"""),280080.0)</f>
        <v>280080</v>
      </c>
      <c r="AC281" s="86">
        <f>IFERROR(__xludf.DUMMYFUNCTION("""COMPUTED_VALUE"""),35000.0)</f>
        <v>35000</v>
      </c>
      <c r="AD281" s="86">
        <f>IFERROR(__xludf.DUMMYFUNCTION("""COMPUTED_VALUE"""),84000.0)</f>
        <v>84000</v>
      </c>
      <c r="AE281" s="86">
        <f>IFERROR(__xludf.DUMMYFUNCTION("""COMPUTED_VALUE"""),0.150000000000002)</f>
        <v>0.15</v>
      </c>
      <c r="AF281" s="86">
        <f>IFERROR(__xludf.DUMMYFUNCTION("""COMPUTED_VALUE"""),28200.0)</f>
        <v>28200</v>
      </c>
      <c r="AG281" s="86">
        <f>IFERROR(__xludf.DUMMYFUNCTION("""COMPUTED_VALUE"""),49000.0)</f>
        <v>49000</v>
      </c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72"/>
      <c r="BE281" s="89"/>
      <c r="BF281" s="89"/>
    </row>
    <row r="282">
      <c r="A282" s="104"/>
      <c r="B282" s="80"/>
      <c r="C282" s="104"/>
      <c r="D282" s="80"/>
      <c r="E282" s="80"/>
      <c r="F282" s="80"/>
      <c r="G282" s="80"/>
      <c r="H282" s="104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6">
        <f>IFERROR(__xludf.DUMMYFUNCTION("""COMPUTED_VALUE"""),280081.0)</f>
        <v>280081</v>
      </c>
      <c r="AB282" s="86">
        <f>IFERROR(__xludf.DUMMYFUNCTION("""COMPUTED_VALUE"""),281080.0)</f>
        <v>281080</v>
      </c>
      <c r="AC282" s="86">
        <f>IFERROR(__xludf.DUMMYFUNCTION("""COMPUTED_VALUE"""),35125.0)</f>
        <v>35125</v>
      </c>
      <c r="AD282" s="86">
        <f>IFERROR(__xludf.DUMMYFUNCTION("""COMPUTED_VALUE"""),84300.0)</f>
        <v>84300</v>
      </c>
      <c r="AE282" s="86">
        <f>IFERROR(__xludf.DUMMYFUNCTION("""COMPUTED_VALUE"""),0.150000000000002)</f>
        <v>0.15</v>
      </c>
      <c r="AF282" s="86">
        <f>IFERROR(__xludf.DUMMYFUNCTION("""COMPUTED_VALUE"""),28300.0)</f>
        <v>28300</v>
      </c>
      <c r="AG282" s="86">
        <f>IFERROR(__xludf.DUMMYFUNCTION("""COMPUTED_VALUE"""),49175.0)</f>
        <v>49175</v>
      </c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72"/>
      <c r="BE282" s="89"/>
      <c r="BF282" s="89"/>
    </row>
    <row r="283">
      <c r="A283" s="104"/>
      <c r="B283" s="80"/>
      <c r="C283" s="104"/>
      <c r="D283" s="80"/>
      <c r="E283" s="80"/>
      <c r="F283" s="80"/>
      <c r="G283" s="80"/>
      <c r="H283" s="104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6">
        <f>IFERROR(__xludf.DUMMYFUNCTION("""COMPUTED_VALUE"""),281081.0)</f>
        <v>281081</v>
      </c>
      <c r="AB283" s="86">
        <f>IFERROR(__xludf.DUMMYFUNCTION("""COMPUTED_VALUE"""),282080.0)</f>
        <v>282080</v>
      </c>
      <c r="AC283" s="86">
        <f>IFERROR(__xludf.DUMMYFUNCTION("""COMPUTED_VALUE"""),35250.0)</f>
        <v>35250</v>
      </c>
      <c r="AD283" s="86">
        <f>IFERROR(__xludf.DUMMYFUNCTION("""COMPUTED_VALUE"""),84600.0)</f>
        <v>84600</v>
      </c>
      <c r="AE283" s="86">
        <f>IFERROR(__xludf.DUMMYFUNCTION("""COMPUTED_VALUE"""),0.150000000000002)</f>
        <v>0.15</v>
      </c>
      <c r="AF283" s="86">
        <f>IFERROR(__xludf.DUMMYFUNCTION("""COMPUTED_VALUE"""),28400.0)</f>
        <v>28400</v>
      </c>
      <c r="AG283" s="86">
        <f>IFERROR(__xludf.DUMMYFUNCTION("""COMPUTED_VALUE"""),49350.0)</f>
        <v>49350</v>
      </c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72"/>
      <c r="BE283" s="89"/>
      <c r="BF283" s="89"/>
    </row>
    <row r="284">
      <c r="A284" s="104"/>
      <c r="B284" s="80"/>
      <c r="C284" s="104"/>
      <c r="D284" s="80"/>
      <c r="E284" s="80"/>
      <c r="F284" s="80"/>
      <c r="G284" s="80"/>
      <c r="H284" s="104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6">
        <f>IFERROR(__xludf.DUMMYFUNCTION("""COMPUTED_VALUE"""),282081.0)</f>
        <v>282081</v>
      </c>
      <c r="AB284" s="86">
        <f>IFERROR(__xludf.DUMMYFUNCTION("""COMPUTED_VALUE"""),283080.0)</f>
        <v>283080</v>
      </c>
      <c r="AC284" s="86">
        <f>IFERROR(__xludf.DUMMYFUNCTION("""COMPUTED_VALUE"""),35375.0)</f>
        <v>35375</v>
      </c>
      <c r="AD284" s="86">
        <f>IFERROR(__xludf.DUMMYFUNCTION("""COMPUTED_VALUE"""),84900.0)</f>
        <v>84900</v>
      </c>
      <c r="AE284" s="86">
        <f>IFERROR(__xludf.DUMMYFUNCTION("""COMPUTED_VALUE"""),0.150000000000002)</f>
        <v>0.15</v>
      </c>
      <c r="AF284" s="86">
        <f>IFERROR(__xludf.DUMMYFUNCTION("""COMPUTED_VALUE"""),28500.0)</f>
        <v>28500</v>
      </c>
      <c r="AG284" s="86">
        <f>IFERROR(__xludf.DUMMYFUNCTION("""COMPUTED_VALUE"""),49525.0)</f>
        <v>49525</v>
      </c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72"/>
      <c r="BE284" s="89"/>
      <c r="BF284" s="89"/>
    </row>
    <row r="285">
      <c r="A285" s="104"/>
      <c r="B285" s="80"/>
      <c r="C285" s="104"/>
      <c r="D285" s="80"/>
      <c r="E285" s="80"/>
      <c r="F285" s="80"/>
      <c r="G285" s="80"/>
      <c r="H285" s="104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6">
        <f>IFERROR(__xludf.DUMMYFUNCTION("""COMPUTED_VALUE"""),283081.0)</f>
        <v>283081</v>
      </c>
      <c r="AB285" s="86">
        <f>IFERROR(__xludf.DUMMYFUNCTION("""COMPUTED_VALUE"""),284080.0)</f>
        <v>284080</v>
      </c>
      <c r="AC285" s="86">
        <f>IFERROR(__xludf.DUMMYFUNCTION("""COMPUTED_VALUE"""),35500.0)</f>
        <v>35500</v>
      </c>
      <c r="AD285" s="86">
        <f>IFERROR(__xludf.DUMMYFUNCTION("""COMPUTED_VALUE"""),85200.0)</f>
        <v>85200</v>
      </c>
      <c r="AE285" s="86">
        <f>IFERROR(__xludf.DUMMYFUNCTION("""COMPUTED_VALUE"""),0.150000000000002)</f>
        <v>0.15</v>
      </c>
      <c r="AF285" s="86">
        <f>IFERROR(__xludf.DUMMYFUNCTION("""COMPUTED_VALUE"""),28600.0)</f>
        <v>28600</v>
      </c>
      <c r="AG285" s="86">
        <f>IFERROR(__xludf.DUMMYFUNCTION("""COMPUTED_VALUE"""),49700.0)</f>
        <v>49700</v>
      </c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72"/>
      <c r="BE285" s="89"/>
      <c r="BF285" s="89"/>
    </row>
    <row r="286">
      <c r="A286" s="104"/>
      <c r="B286" s="80"/>
      <c r="C286" s="104"/>
      <c r="D286" s="80"/>
      <c r="E286" s="80"/>
      <c r="F286" s="80"/>
      <c r="G286" s="80"/>
      <c r="H286" s="104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6">
        <f>IFERROR(__xludf.DUMMYFUNCTION("""COMPUTED_VALUE"""),284081.0)</f>
        <v>284081</v>
      </c>
      <c r="AB286" s="86">
        <f>IFERROR(__xludf.DUMMYFUNCTION("""COMPUTED_VALUE"""),285080.0)</f>
        <v>285080</v>
      </c>
      <c r="AC286" s="86">
        <f>IFERROR(__xludf.DUMMYFUNCTION("""COMPUTED_VALUE"""),35625.0)</f>
        <v>35625</v>
      </c>
      <c r="AD286" s="86">
        <f>IFERROR(__xludf.DUMMYFUNCTION("""COMPUTED_VALUE"""),85500.0)</f>
        <v>85500</v>
      </c>
      <c r="AE286" s="86">
        <f>IFERROR(__xludf.DUMMYFUNCTION("""COMPUTED_VALUE"""),0.150000000000002)</f>
        <v>0.15</v>
      </c>
      <c r="AF286" s="86">
        <f>IFERROR(__xludf.DUMMYFUNCTION("""COMPUTED_VALUE"""),28700.0)</f>
        <v>28700</v>
      </c>
      <c r="AG286" s="86">
        <f>IFERROR(__xludf.DUMMYFUNCTION("""COMPUTED_VALUE"""),49875.0)</f>
        <v>49875</v>
      </c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72"/>
      <c r="BE286" s="89"/>
      <c r="BF286" s="89"/>
    </row>
    <row r="287">
      <c r="A287" s="104"/>
      <c r="B287" s="80"/>
      <c r="C287" s="104"/>
      <c r="D287" s="80"/>
      <c r="E287" s="80"/>
      <c r="F287" s="80"/>
      <c r="G287" s="80"/>
      <c r="H287" s="104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6">
        <f>IFERROR(__xludf.DUMMYFUNCTION("""COMPUTED_VALUE"""),285081.0)</f>
        <v>285081</v>
      </c>
      <c r="AB287" s="86">
        <f>IFERROR(__xludf.DUMMYFUNCTION("""COMPUTED_VALUE"""),286080.0)</f>
        <v>286080</v>
      </c>
      <c r="AC287" s="86">
        <f>IFERROR(__xludf.DUMMYFUNCTION("""COMPUTED_VALUE"""),35750.0)</f>
        <v>35750</v>
      </c>
      <c r="AD287" s="86">
        <f>IFERROR(__xludf.DUMMYFUNCTION("""COMPUTED_VALUE"""),85800.0)</f>
        <v>85800</v>
      </c>
      <c r="AE287" s="86">
        <f>IFERROR(__xludf.DUMMYFUNCTION("""COMPUTED_VALUE"""),0.150000000000002)</f>
        <v>0.15</v>
      </c>
      <c r="AF287" s="86">
        <f>IFERROR(__xludf.DUMMYFUNCTION("""COMPUTED_VALUE"""),28800.0)</f>
        <v>28800</v>
      </c>
      <c r="AG287" s="86">
        <f>IFERROR(__xludf.DUMMYFUNCTION("""COMPUTED_VALUE"""),50050.0)</f>
        <v>50050</v>
      </c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72"/>
      <c r="BE287" s="89"/>
      <c r="BF287" s="89"/>
    </row>
    <row r="288">
      <c r="A288" s="104"/>
      <c r="B288" s="80"/>
      <c r="C288" s="104"/>
      <c r="D288" s="80"/>
      <c r="E288" s="80"/>
      <c r="F288" s="80"/>
      <c r="G288" s="80"/>
      <c r="H288" s="104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6">
        <f>IFERROR(__xludf.DUMMYFUNCTION("""COMPUTED_VALUE"""),286081.0)</f>
        <v>286081</v>
      </c>
      <c r="AB288" s="86">
        <f>IFERROR(__xludf.DUMMYFUNCTION("""COMPUTED_VALUE"""),287080.0)</f>
        <v>287080</v>
      </c>
      <c r="AC288" s="86">
        <f>IFERROR(__xludf.DUMMYFUNCTION("""COMPUTED_VALUE"""),35875.0)</f>
        <v>35875</v>
      </c>
      <c r="AD288" s="86">
        <f>IFERROR(__xludf.DUMMYFUNCTION("""COMPUTED_VALUE"""),86100.0)</f>
        <v>86100</v>
      </c>
      <c r="AE288" s="86">
        <f>IFERROR(__xludf.DUMMYFUNCTION("""COMPUTED_VALUE"""),0.150000000000002)</f>
        <v>0.15</v>
      </c>
      <c r="AF288" s="86">
        <f>IFERROR(__xludf.DUMMYFUNCTION("""COMPUTED_VALUE"""),28900.0)</f>
        <v>28900</v>
      </c>
      <c r="AG288" s="86">
        <f>IFERROR(__xludf.DUMMYFUNCTION("""COMPUTED_VALUE"""),50225.0)</f>
        <v>50225</v>
      </c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72"/>
      <c r="BE288" s="89"/>
      <c r="BF288" s="89"/>
    </row>
    <row r="289">
      <c r="A289" s="104"/>
      <c r="B289" s="80"/>
      <c r="C289" s="104"/>
      <c r="D289" s="80"/>
      <c r="E289" s="80"/>
      <c r="F289" s="80"/>
      <c r="G289" s="80"/>
      <c r="H289" s="104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6">
        <f>IFERROR(__xludf.DUMMYFUNCTION("""COMPUTED_VALUE"""),287081.0)</f>
        <v>287081</v>
      </c>
      <c r="AB289" s="86">
        <f>IFERROR(__xludf.DUMMYFUNCTION("""COMPUTED_VALUE"""),288080.0)</f>
        <v>288080</v>
      </c>
      <c r="AC289" s="86">
        <f>IFERROR(__xludf.DUMMYFUNCTION("""COMPUTED_VALUE"""),36000.0)</f>
        <v>36000</v>
      </c>
      <c r="AD289" s="86">
        <f>IFERROR(__xludf.DUMMYFUNCTION("""COMPUTED_VALUE"""),86400.0)</f>
        <v>86400</v>
      </c>
      <c r="AE289" s="86">
        <f>IFERROR(__xludf.DUMMYFUNCTION("""COMPUTED_VALUE"""),0.150000000000002)</f>
        <v>0.15</v>
      </c>
      <c r="AF289" s="86">
        <f>IFERROR(__xludf.DUMMYFUNCTION("""COMPUTED_VALUE"""),29000.0)</f>
        <v>29000</v>
      </c>
      <c r="AG289" s="86">
        <f>IFERROR(__xludf.DUMMYFUNCTION("""COMPUTED_VALUE"""),50400.0)</f>
        <v>50400</v>
      </c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72"/>
      <c r="BE289" s="89"/>
      <c r="BF289" s="89"/>
    </row>
    <row r="290">
      <c r="A290" s="104"/>
      <c r="B290" s="80"/>
      <c r="C290" s="104"/>
      <c r="D290" s="80"/>
      <c r="E290" s="80"/>
      <c r="F290" s="80"/>
      <c r="G290" s="80"/>
      <c r="H290" s="104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6">
        <f>IFERROR(__xludf.DUMMYFUNCTION("""COMPUTED_VALUE"""),288081.0)</f>
        <v>288081</v>
      </c>
      <c r="AB290" s="86">
        <f>IFERROR(__xludf.DUMMYFUNCTION("""COMPUTED_VALUE"""),289080.0)</f>
        <v>289080</v>
      </c>
      <c r="AC290" s="86">
        <f>IFERROR(__xludf.DUMMYFUNCTION("""COMPUTED_VALUE"""),36125.0)</f>
        <v>36125</v>
      </c>
      <c r="AD290" s="86">
        <f>IFERROR(__xludf.DUMMYFUNCTION("""COMPUTED_VALUE"""),86700.0)</f>
        <v>86700</v>
      </c>
      <c r="AE290" s="86">
        <f>IFERROR(__xludf.DUMMYFUNCTION("""COMPUTED_VALUE"""),0.150000000000002)</f>
        <v>0.15</v>
      </c>
      <c r="AF290" s="86">
        <f>IFERROR(__xludf.DUMMYFUNCTION("""COMPUTED_VALUE"""),29100.0)</f>
        <v>29100</v>
      </c>
      <c r="AG290" s="86">
        <f>IFERROR(__xludf.DUMMYFUNCTION("""COMPUTED_VALUE"""),50575.0)</f>
        <v>50575</v>
      </c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72"/>
      <c r="BE290" s="89"/>
      <c r="BF290" s="89"/>
    </row>
    <row r="291">
      <c r="A291" s="104"/>
      <c r="B291" s="80"/>
      <c r="C291" s="104"/>
      <c r="D291" s="80"/>
      <c r="E291" s="80"/>
      <c r="F291" s="80"/>
      <c r="G291" s="80"/>
      <c r="H291" s="104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6">
        <f>IFERROR(__xludf.DUMMYFUNCTION("""COMPUTED_VALUE"""),289081.0)</f>
        <v>289081</v>
      </c>
      <c r="AB291" s="86">
        <f>IFERROR(__xludf.DUMMYFUNCTION("""COMPUTED_VALUE"""),290080.0)</f>
        <v>290080</v>
      </c>
      <c r="AC291" s="86">
        <f>IFERROR(__xludf.DUMMYFUNCTION("""COMPUTED_VALUE"""),36250.0)</f>
        <v>36250</v>
      </c>
      <c r="AD291" s="86">
        <f>IFERROR(__xludf.DUMMYFUNCTION("""COMPUTED_VALUE"""),87000.0)</f>
        <v>87000</v>
      </c>
      <c r="AE291" s="86">
        <f>IFERROR(__xludf.DUMMYFUNCTION("""COMPUTED_VALUE"""),0.150000000000002)</f>
        <v>0.15</v>
      </c>
      <c r="AF291" s="86">
        <f>IFERROR(__xludf.DUMMYFUNCTION("""COMPUTED_VALUE"""),29200.0)</f>
        <v>29200</v>
      </c>
      <c r="AG291" s="86">
        <f>IFERROR(__xludf.DUMMYFUNCTION("""COMPUTED_VALUE"""),50750.0)</f>
        <v>50750</v>
      </c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72"/>
      <c r="BE291" s="89"/>
      <c r="BF291" s="89"/>
    </row>
    <row r="292">
      <c r="A292" s="104"/>
      <c r="B292" s="80"/>
      <c r="C292" s="104"/>
      <c r="D292" s="80"/>
      <c r="E292" s="80"/>
      <c r="F292" s="80"/>
      <c r="G292" s="80"/>
      <c r="H292" s="104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6">
        <f>IFERROR(__xludf.DUMMYFUNCTION("""COMPUTED_VALUE"""),290081.0)</f>
        <v>290081</v>
      </c>
      <c r="AB292" s="86">
        <f>IFERROR(__xludf.DUMMYFUNCTION("""COMPUTED_VALUE"""),291080.0)</f>
        <v>291080</v>
      </c>
      <c r="AC292" s="86">
        <f>IFERROR(__xludf.DUMMYFUNCTION("""COMPUTED_VALUE"""),36375.0)</f>
        <v>36375</v>
      </c>
      <c r="AD292" s="86">
        <f>IFERROR(__xludf.DUMMYFUNCTION("""COMPUTED_VALUE"""),87300.0)</f>
        <v>87300</v>
      </c>
      <c r="AE292" s="86">
        <f>IFERROR(__xludf.DUMMYFUNCTION("""COMPUTED_VALUE"""),0.150000000000002)</f>
        <v>0.15</v>
      </c>
      <c r="AF292" s="86">
        <f>IFERROR(__xludf.DUMMYFUNCTION("""COMPUTED_VALUE"""),29300.0)</f>
        <v>29300</v>
      </c>
      <c r="AG292" s="86">
        <f>IFERROR(__xludf.DUMMYFUNCTION("""COMPUTED_VALUE"""),50925.0)</f>
        <v>50925</v>
      </c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72"/>
      <c r="BE292" s="89"/>
      <c r="BF292" s="89"/>
    </row>
    <row r="293">
      <c r="A293" s="104"/>
      <c r="B293" s="80"/>
      <c r="C293" s="104"/>
      <c r="D293" s="80"/>
      <c r="E293" s="80"/>
      <c r="F293" s="80"/>
      <c r="G293" s="80"/>
      <c r="H293" s="104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6">
        <f>IFERROR(__xludf.DUMMYFUNCTION("""COMPUTED_VALUE"""),291081.0)</f>
        <v>291081</v>
      </c>
      <c r="AB293" s="86">
        <f>IFERROR(__xludf.DUMMYFUNCTION("""COMPUTED_VALUE"""),292080.0)</f>
        <v>292080</v>
      </c>
      <c r="AC293" s="86">
        <f>IFERROR(__xludf.DUMMYFUNCTION("""COMPUTED_VALUE"""),36500.0)</f>
        <v>36500</v>
      </c>
      <c r="AD293" s="86">
        <f>IFERROR(__xludf.DUMMYFUNCTION("""COMPUTED_VALUE"""),87600.0)</f>
        <v>87600</v>
      </c>
      <c r="AE293" s="86">
        <f>IFERROR(__xludf.DUMMYFUNCTION("""COMPUTED_VALUE"""),0.150000000000002)</f>
        <v>0.15</v>
      </c>
      <c r="AF293" s="86">
        <f>IFERROR(__xludf.DUMMYFUNCTION("""COMPUTED_VALUE"""),29400.0)</f>
        <v>29400</v>
      </c>
      <c r="AG293" s="86">
        <f>IFERROR(__xludf.DUMMYFUNCTION("""COMPUTED_VALUE"""),51100.0)</f>
        <v>51100</v>
      </c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72"/>
      <c r="BE293" s="89"/>
      <c r="BF293" s="89"/>
    </row>
    <row r="294">
      <c r="A294" s="104"/>
      <c r="B294" s="80"/>
      <c r="C294" s="104"/>
      <c r="D294" s="80"/>
      <c r="E294" s="80"/>
      <c r="F294" s="80"/>
      <c r="G294" s="80"/>
      <c r="H294" s="104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6">
        <f>IFERROR(__xludf.DUMMYFUNCTION("""COMPUTED_VALUE"""),292081.0)</f>
        <v>292081</v>
      </c>
      <c r="AB294" s="86">
        <f>IFERROR(__xludf.DUMMYFUNCTION("""COMPUTED_VALUE"""),293080.0)</f>
        <v>293080</v>
      </c>
      <c r="AC294" s="86">
        <f>IFERROR(__xludf.DUMMYFUNCTION("""COMPUTED_VALUE"""),36625.0)</f>
        <v>36625</v>
      </c>
      <c r="AD294" s="86">
        <f>IFERROR(__xludf.DUMMYFUNCTION("""COMPUTED_VALUE"""),87900.0)</f>
        <v>87900</v>
      </c>
      <c r="AE294" s="86">
        <f>IFERROR(__xludf.DUMMYFUNCTION("""COMPUTED_VALUE"""),0.150000000000002)</f>
        <v>0.15</v>
      </c>
      <c r="AF294" s="86">
        <f>IFERROR(__xludf.DUMMYFUNCTION("""COMPUTED_VALUE"""),29500.0)</f>
        <v>29500</v>
      </c>
      <c r="AG294" s="86">
        <f>IFERROR(__xludf.DUMMYFUNCTION("""COMPUTED_VALUE"""),51275.0)</f>
        <v>51275</v>
      </c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72"/>
      <c r="BE294" s="89"/>
      <c r="BF294" s="89"/>
    </row>
    <row r="295">
      <c r="A295" s="104"/>
      <c r="B295" s="80"/>
      <c r="C295" s="104"/>
      <c r="D295" s="80"/>
      <c r="E295" s="80"/>
      <c r="F295" s="80"/>
      <c r="G295" s="80"/>
      <c r="H295" s="104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6">
        <f>IFERROR(__xludf.DUMMYFUNCTION("""COMPUTED_VALUE"""),293081.0)</f>
        <v>293081</v>
      </c>
      <c r="AB295" s="86">
        <f>IFERROR(__xludf.DUMMYFUNCTION("""COMPUTED_VALUE"""),294080.0)</f>
        <v>294080</v>
      </c>
      <c r="AC295" s="86">
        <f>IFERROR(__xludf.DUMMYFUNCTION("""COMPUTED_VALUE"""),36750.0)</f>
        <v>36750</v>
      </c>
      <c r="AD295" s="86">
        <f>IFERROR(__xludf.DUMMYFUNCTION("""COMPUTED_VALUE"""),88200.0)</f>
        <v>88200</v>
      </c>
      <c r="AE295" s="86">
        <f>IFERROR(__xludf.DUMMYFUNCTION("""COMPUTED_VALUE"""),0.150000000000002)</f>
        <v>0.15</v>
      </c>
      <c r="AF295" s="86">
        <f>IFERROR(__xludf.DUMMYFUNCTION("""COMPUTED_VALUE"""),29600.0)</f>
        <v>29600</v>
      </c>
      <c r="AG295" s="86">
        <f>IFERROR(__xludf.DUMMYFUNCTION("""COMPUTED_VALUE"""),51450.0)</f>
        <v>51450</v>
      </c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72"/>
      <c r="BE295" s="89"/>
      <c r="BF295" s="89"/>
    </row>
    <row r="296">
      <c r="A296" s="104"/>
      <c r="B296" s="80"/>
      <c r="C296" s="104"/>
      <c r="D296" s="80"/>
      <c r="E296" s="80"/>
      <c r="F296" s="80"/>
      <c r="G296" s="80"/>
      <c r="H296" s="104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6">
        <f>IFERROR(__xludf.DUMMYFUNCTION("""COMPUTED_VALUE"""),294081.0)</f>
        <v>294081</v>
      </c>
      <c r="AB296" s="86">
        <f>IFERROR(__xludf.DUMMYFUNCTION("""COMPUTED_VALUE"""),295080.0)</f>
        <v>295080</v>
      </c>
      <c r="AC296" s="86">
        <f>IFERROR(__xludf.DUMMYFUNCTION("""COMPUTED_VALUE"""),36875.0)</f>
        <v>36875</v>
      </c>
      <c r="AD296" s="86">
        <f>IFERROR(__xludf.DUMMYFUNCTION("""COMPUTED_VALUE"""),88500.0)</f>
        <v>88500</v>
      </c>
      <c r="AE296" s="86">
        <f>IFERROR(__xludf.DUMMYFUNCTION("""COMPUTED_VALUE"""),0.150000000000002)</f>
        <v>0.15</v>
      </c>
      <c r="AF296" s="86">
        <f>IFERROR(__xludf.DUMMYFUNCTION("""COMPUTED_VALUE"""),29700.0)</f>
        <v>29700</v>
      </c>
      <c r="AG296" s="86">
        <f>IFERROR(__xludf.DUMMYFUNCTION("""COMPUTED_VALUE"""),51625.0)</f>
        <v>51625</v>
      </c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72"/>
      <c r="BE296" s="89"/>
      <c r="BF296" s="89"/>
    </row>
    <row r="297">
      <c r="A297" s="104"/>
      <c r="B297" s="80"/>
      <c r="C297" s="104"/>
      <c r="D297" s="80"/>
      <c r="E297" s="80"/>
      <c r="F297" s="80"/>
      <c r="G297" s="80"/>
      <c r="H297" s="104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6">
        <f>IFERROR(__xludf.DUMMYFUNCTION("""COMPUTED_VALUE"""),295081.0)</f>
        <v>295081</v>
      </c>
      <c r="AB297" s="86">
        <f>IFERROR(__xludf.DUMMYFUNCTION("""COMPUTED_VALUE"""),296080.0)</f>
        <v>296080</v>
      </c>
      <c r="AC297" s="86">
        <f>IFERROR(__xludf.DUMMYFUNCTION("""COMPUTED_VALUE"""),37000.0)</f>
        <v>37000</v>
      </c>
      <c r="AD297" s="86">
        <f>IFERROR(__xludf.DUMMYFUNCTION("""COMPUTED_VALUE"""),88800.0)</f>
        <v>88800</v>
      </c>
      <c r="AE297" s="86">
        <f>IFERROR(__xludf.DUMMYFUNCTION("""COMPUTED_VALUE"""),0.150000000000002)</f>
        <v>0.15</v>
      </c>
      <c r="AF297" s="86">
        <f>IFERROR(__xludf.DUMMYFUNCTION("""COMPUTED_VALUE"""),29800.0)</f>
        <v>29800</v>
      </c>
      <c r="AG297" s="86">
        <f>IFERROR(__xludf.DUMMYFUNCTION("""COMPUTED_VALUE"""),51800.0)</f>
        <v>51800</v>
      </c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72"/>
      <c r="BE297" s="89"/>
      <c r="BF297" s="89"/>
    </row>
    <row r="298">
      <c r="A298" s="104"/>
      <c r="B298" s="80"/>
      <c r="C298" s="104"/>
      <c r="D298" s="80"/>
      <c r="E298" s="80"/>
      <c r="F298" s="80"/>
      <c r="G298" s="80"/>
      <c r="H298" s="104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6">
        <f>IFERROR(__xludf.DUMMYFUNCTION("""COMPUTED_VALUE"""),296081.0)</f>
        <v>296081</v>
      </c>
      <c r="AB298" s="86">
        <f>IFERROR(__xludf.DUMMYFUNCTION("""COMPUTED_VALUE"""),297080.0)</f>
        <v>297080</v>
      </c>
      <c r="AC298" s="86">
        <f>IFERROR(__xludf.DUMMYFUNCTION("""COMPUTED_VALUE"""),37125.0)</f>
        <v>37125</v>
      </c>
      <c r="AD298" s="86">
        <f>IFERROR(__xludf.DUMMYFUNCTION("""COMPUTED_VALUE"""),89100.0)</f>
        <v>89100</v>
      </c>
      <c r="AE298" s="86">
        <f>IFERROR(__xludf.DUMMYFUNCTION("""COMPUTED_VALUE"""),0.150000000000002)</f>
        <v>0.15</v>
      </c>
      <c r="AF298" s="86">
        <f>IFERROR(__xludf.DUMMYFUNCTION("""COMPUTED_VALUE"""),29900.0)</f>
        <v>29900</v>
      </c>
      <c r="AG298" s="86">
        <f>IFERROR(__xludf.DUMMYFUNCTION("""COMPUTED_VALUE"""),51975.0)</f>
        <v>51975</v>
      </c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72"/>
      <c r="BE298" s="89"/>
      <c r="BF298" s="89"/>
    </row>
    <row r="299">
      <c r="A299" s="104"/>
      <c r="B299" s="80"/>
      <c r="C299" s="104"/>
      <c r="D299" s="80"/>
      <c r="E299" s="80"/>
      <c r="F299" s="80"/>
      <c r="G299" s="80"/>
      <c r="H299" s="104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6">
        <f>IFERROR(__xludf.DUMMYFUNCTION("""COMPUTED_VALUE"""),297081.0)</f>
        <v>297081</v>
      </c>
      <c r="AB299" s="86">
        <f>IFERROR(__xludf.DUMMYFUNCTION("""COMPUTED_VALUE"""),298080.0)</f>
        <v>298080</v>
      </c>
      <c r="AC299" s="86">
        <f>IFERROR(__xludf.DUMMYFUNCTION("""COMPUTED_VALUE"""),37250.0)</f>
        <v>37250</v>
      </c>
      <c r="AD299" s="86">
        <f>IFERROR(__xludf.DUMMYFUNCTION("""COMPUTED_VALUE"""),89400.0)</f>
        <v>89400</v>
      </c>
      <c r="AE299" s="86">
        <f>IFERROR(__xludf.DUMMYFUNCTION("""COMPUTED_VALUE"""),0.150000000000002)</f>
        <v>0.15</v>
      </c>
      <c r="AF299" s="86">
        <f>IFERROR(__xludf.DUMMYFUNCTION("""COMPUTED_VALUE"""),30000.0)</f>
        <v>30000</v>
      </c>
      <c r="AG299" s="86">
        <f>IFERROR(__xludf.DUMMYFUNCTION("""COMPUTED_VALUE"""),52150.0)</f>
        <v>52150</v>
      </c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72"/>
      <c r="BE299" s="89"/>
      <c r="BF299" s="89"/>
    </row>
    <row r="300">
      <c r="A300" s="104"/>
      <c r="B300" s="80"/>
      <c r="C300" s="104"/>
      <c r="D300" s="80"/>
      <c r="E300" s="80"/>
      <c r="F300" s="80"/>
      <c r="G300" s="80"/>
      <c r="H300" s="104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6">
        <f>IFERROR(__xludf.DUMMYFUNCTION("""COMPUTED_VALUE"""),298081.0)</f>
        <v>298081</v>
      </c>
      <c r="AB300" s="86">
        <f>IFERROR(__xludf.DUMMYFUNCTION("""COMPUTED_VALUE"""),299080.0)</f>
        <v>299080</v>
      </c>
      <c r="AC300" s="86">
        <f>IFERROR(__xludf.DUMMYFUNCTION("""COMPUTED_VALUE"""),37375.0)</f>
        <v>37375</v>
      </c>
      <c r="AD300" s="86">
        <f>IFERROR(__xludf.DUMMYFUNCTION("""COMPUTED_VALUE"""),89700.0)</f>
        <v>89700</v>
      </c>
      <c r="AE300" s="86">
        <f>IFERROR(__xludf.DUMMYFUNCTION("""COMPUTED_VALUE"""),0.150000000000002)</f>
        <v>0.15</v>
      </c>
      <c r="AF300" s="86">
        <f>IFERROR(__xludf.DUMMYFUNCTION("""COMPUTED_VALUE"""),30100.0)</f>
        <v>30100</v>
      </c>
      <c r="AG300" s="86">
        <f>IFERROR(__xludf.DUMMYFUNCTION("""COMPUTED_VALUE"""),52325.0)</f>
        <v>52325</v>
      </c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72"/>
      <c r="BE300" s="89"/>
      <c r="BF300" s="8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5.13"/>
    <col customWidth="1" min="40" max="40" width="25.13"/>
  </cols>
  <sheetData>
    <row r="1">
      <c r="A1" s="108" t="str">
        <f>Main!A1</f>
        <v>Product Code</v>
      </c>
      <c r="B1" s="108" t="str">
        <f>Main!B1</f>
        <v>Category</v>
      </c>
      <c r="C1" s="108" t="str">
        <f>Main!C1</f>
        <v>Sub Category</v>
      </c>
      <c r="D1" s="108" t="str">
        <f>Main!D1</f>
        <v>Specifications</v>
      </c>
      <c r="E1" s="109" t="str">
        <f>Main!E1</f>
        <v>No.  of Ups</v>
      </c>
      <c r="F1" s="108" t="str">
        <f>Main!F1</f>
        <v>Machine</v>
      </c>
      <c r="G1" s="108" t="str">
        <f>Main!J1</f>
        <v>GSM</v>
      </c>
      <c r="H1" s="108" t="str">
        <f>Main!K1</f>
        <v>Final Qty</v>
      </c>
      <c r="I1" s="108" t="str">
        <f>Main!L1</f>
        <v>Sheet Qty</v>
      </c>
      <c r="J1" s="109" t="str">
        <f>Main!AG1:AG2457</f>
        <v>SBS</v>
      </c>
      <c r="K1" s="109" t="str">
        <f>Main!AH1</f>
        <v>WhiteBack</v>
      </c>
      <c r="L1" s="109" t="str">
        <f>Main!AI1</f>
        <v>GreyBack</v>
      </c>
      <c r="M1" s="109" t="str">
        <f>Main!AJ1</f>
        <v>Art Card</v>
      </c>
      <c r="N1" s="109" t="str">
        <f>Main!AK1</f>
        <v>Maplitho</v>
      </c>
      <c r="O1" s="109" t="str">
        <f>Main!AL1</f>
        <v>Other Type</v>
      </c>
      <c r="P1" s="110" t="s">
        <v>172</v>
      </c>
      <c r="Q1" s="111" t="s">
        <v>173</v>
      </c>
      <c r="R1" s="112" t="s">
        <v>174</v>
      </c>
      <c r="S1" s="111" t="s">
        <v>175</v>
      </c>
      <c r="T1" s="113" t="s">
        <v>31</v>
      </c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99" t="s">
        <v>37</v>
      </c>
      <c r="AF1" s="114" t="s">
        <v>36</v>
      </c>
      <c r="AG1" s="109" t="str">
        <f>Main!AR1</f>
        <v/>
      </c>
      <c r="AH1" s="109" t="str">
        <f>Main!AW1</f>
        <v>Lamination Thermal</v>
      </c>
      <c r="AI1" s="109" t="str">
        <f>Main!AX1</f>
        <v>Lamination Normal Gloss</v>
      </c>
      <c r="AJ1" s="115" t="str">
        <f>Main!AY1</f>
        <v>Lamination Normal Matt</v>
      </c>
      <c r="AK1" s="109" t="str">
        <f>Main!AZ1</f>
        <v>Varnish</v>
      </c>
      <c r="AL1" s="109" t="str">
        <f>Main!BC1</f>
        <v>UV Hybrid</v>
      </c>
      <c r="AM1" s="109" t="str">
        <f>Main!BD1</f>
        <v>Spot UV</v>
      </c>
      <c r="AN1" s="116" t="s">
        <v>74</v>
      </c>
      <c r="AO1" s="117" t="s">
        <v>42</v>
      </c>
      <c r="AP1" s="111" t="s">
        <v>43</v>
      </c>
      <c r="AQ1" s="111" t="s">
        <v>44</v>
      </c>
      <c r="AR1" s="117" t="s">
        <v>92</v>
      </c>
      <c r="AS1" s="117" t="s">
        <v>94</v>
      </c>
      <c r="AT1" s="117" t="s">
        <v>47</v>
      </c>
      <c r="AU1" s="24" t="s">
        <v>48</v>
      </c>
      <c r="AV1" s="24" t="s">
        <v>49</v>
      </c>
      <c r="AW1" s="24" t="s">
        <v>50</v>
      </c>
      <c r="AX1" s="108" t="s">
        <v>74</v>
      </c>
      <c r="AY1" s="118" t="s">
        <v>51</v>
      </c>
      <c r="AZ1" s="119" t="s">
        <v>52</v>
      </c>
      <c r="BA1" s="119" t="s">
        <v>53</v>
      </c>
      <c r="BB1" s="73"/>
      <c r="BC1" s="73"/>
      <c r="BD1" s="73"/>
      <c r="BE1" s="73" t="str">
        <f>Quotation!A21</f>
        <v>Offset</v>
      </c>
      <c r="BF1" s="73" t="str">
        <f>Quotation!B21</f>
        <v>Packaging</v>
      </c>
      <c r="BG1" s="73" t="str">
        <f>Quotation!B23</f>
        <v>SBS</v>
      </c>
      <c r="BH1" s="73" t="str">
        <f>Quotation!B24</f>
        <v>Lamination Normal Gloss</v>
      </c>
      <c r="BI1" s="73" t="str">
        <f>Quotation!C26</f>
        <v>Plain</v>
      </c>
      <c r="BJ1" s="73" t="str">
        <f>Quotation!C27</f>
        <v>Plain</v>
      </c>
      <c r="BK1" s="120" t="str">
        <f>Quotation!B27</f>
        <v>Plain</v>
      </c>
      <c r="BL1" s="121" t="str">
        <f>Quotation!A26</f>
        <v>New Job</v>
      </c>
      <c r="BM1" s="121"/>
      <c r="BN1" s="80"/>
      <c r="BO1" s="121" t="str">
        <f>Quotation!B23</f>
        <v>SBS</v>
      </c>
      <c r="BP1" s="121"/>
      <c r="BQ1" s="121"/>
      <c r="BR1" s="121"/>
      <c r="BS1" s="122" t="str">
        <f>Quotation!B23</f>
        <v>SBS</v>
      </c>
      <c r="BT1" s="80"/>
      <c r="BU1" s="80"/>
      <c r="BV1" s="121"/>
      <c r="BW1" s="121"/>
      <c r="BX1" s="121"/>
      <c r="BY1" s="121"/>
      <c r="BZ1" s="122" t="str">
        <f>Quotation!C23</f>
        <v>Custom</v>
      </c>
      <c r="CA1" s="121"/>
      <c r="CB1" s="121"/>
      <c r="CC1" s="121"/>
      <c r="CD1" s="122" t="str">
        <f>Quotation!D23</f>
        <v>280 GSM</v>
      </c>
      <c r="CE1" s="121"/>
      <c r="CF1" s="121"/>
      <c r="CG1" s="121"/>
      <c r="CH1" s="121"/>
    </row>
    <row r="2">
      <c r="A2" s="123" t="str">
        <f>Main!A2</f>
        <v>https://drive.google.com/open?id=1NLrZ9Hf7XX7ORpYJXuBzVfkGVvuPoBZu&amp;authuser=jay.agg%40gmail.com&amp;usp=drive_fs</v>
      </c>
      <c r="B2" s="80" t="str">
        <f>Main!B2</f>
        <v>Bakery</v>
      </c>
      <c r="C2" s="80" t="str">
        <f>Main!C2</f>
        <v>Brownie 2</v>
      </c>
      <c r="D2" s="80" t="str">
        <f>Main!D2</f>
        <v>180*70*35 mm | 7*2.75*1.4 inch</v>
      </c>
      <c r="E2" s="124">
        <f>Main!E2</f>
        <v>4</v>
      </c>
      <c r="F2" s="80">
        <f>Main!F2</f>
        <v>2029</v>
      </c>
      <c r="G2" s="80" t="str">
        <f>Quotation!C23</f>
        <v>Custom</v>
      </c>
      <c r="H2" s="80">
        <f>Quotation!E22</f>
        <v>10</v>
      </c>
      <c r="I2" s="80">
        <f>Main!L2</f>
        <v>83</v>
      </c>
      <c r="J2" s="125">
        <f>Main!AG2</f>
        <v>120.9</v>
      </c>
      <c r="K2" s="125">
        <f>J2</f>
        <v>120.9</v>
      </c>
      <c r="L2" s="125">
        <f>J2</f>
        <v>120.9</v>
      </c>
      <c r="M2" s="125">
        <f>J2</f>
        <v>120.9</v>
      </c>
      <c r="N2" s="125">
        <f>J2</f>
        <v>120.9</v>
      </c>
      <c r="O2" s="125">
        <f>Main!AL2</f>
        <v>833.2</v>
      </c>
      <c r="P2" s="109" t="str">
        <f>Main!AN2</f>
        <v/>
      </c>
      <c r="Q2" s="125" t="str">
        <f>Main!AO2</f>
        <v/>
      </c>
      <c r="R2" s="125" t="str">
        <f>Main!AP2</f>
        <v/>
      </c>
      <c r="S2" s="125" t="str">
        <f>Main!AQ2</f>
        <v/>
      </c>
      <c r="T2" s="125">
        <f>Main!AM2</f>
        <v>119.7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25">
        <f>Main!BB2</f>
        <v>280</v>
      </c>
      <c r="AF2" s="125">
        <f>Main!BA2</f>
        <v>50</v>
      </c>
      <c r="AG2" s="125" t="str">
        <f>Main!AR2</f>
        <v/>
      </c>
      <c r="AH2" s="125">
        <f>Main!AW2</f>
        <v>30</v>
      </c>
      <c r="AI2" s="125">
        <f>Main!AX2</f>
        <v>30</v>
      </c>
      <c r="AJ2" s="126">
        <f>Main!AY2</f>
        <v>30</v>
      </c>
      <c r="AK2" s="125">
        <f>Main!AZ2</f>
        <v>30</v>
      </c>
      <c r="AL2" s="125">
        <f>Main!BC2</f>
        <v>250</v>
      </c>
      <c r="AM2" s="125">
        <f>Main!BD2</f>
        <v>175</v>
      </c>
      <c r="AN2" s="76">
        <v>0.0</v>
      </c>
      <c r="AO2" s="47">
        <f>Main!BI2</f>
        <v>50</v>
      </c>
      <c r="AP2" s="47" t="str">
        <f>Main!BJ2</f>
        <v>#VALUE!</v>
      </c>
      <c r="AQ2" s="47" t="str">
        <f>Main!BK2</f>
        <v>#VALUE!</v>
      </c>
      <c r="AR2" s="47">
        <f>Main!BL2</f>
        <v>50</v>
      </c>
      <c r="AS2" s="47">
        <f>Main!BM2</f>
        <v>55</v>
      </c>
      <c r="AT2" s="47">
        <f>Main!BN2</f>
        <v>60</v>
      </c>
      <c r="AU2" s="47">
        <f>Main!BO2</f>
        <v>0.9036144578</v>
      </c>
      <c r="AV2" s="47">
        <f>Main!BP2</f>
        <v>0.9036144578</v>
      </c>
      <c r="AW2" s="47">
        <f>Main!BQ2</f>
        <v>0.9036144578</v>
      </c>
      <c r="AX2" s="80">
        <v>0.0</v>
      </c>
      <c r="AY2" s="127" t="str">
        <f>Main!BR2</f>
        <v>#VALUE!</v>
      </c>
      <c r="AZ2" s="77">
        <f>Main!BS2</f>
        <v>30</v>
      </c>
      <c r="BA2" s="77">
        <f>Main!BT2</f>
        <v>30</v>
      </c>
      <c r="BB2" s="73"/>
      <c r="BC2" s="73"/>
      <c r="BD2" s="73"/>
      <c r="BE2" s="73"/>
      <c r="BF2" s="73"/>
      <c r="BG2" s="73"/>
      <c r="BH2" s="73"/>
      <c r="BI2" s="73"/>
      <c r="BJ2" s="73"/>
      <c r="BK2" s="80"/>
      <c r="BL2" s="80"/>
      <c r="BM2" s="80"/>
      <c r="BN2" s="80"/>
      <c r="BO2" s="80"/>
      <c r="BP2" s="80"/>
      <c r="BQ2" s="80"/>
      <c r="BR2" s="80"/>
      <c r="BS2" s="128" t="str">
        <f>IF(BS1="","","and BS = '"&amp;BS1&amp;"'")</f>
        <v>and BS = 'SBS'</v>
      </c>
      <c r="BT2" s="80"/>
      <c r="BU2" s="80"/>
      <c r="BV2" s="80"/>
      <c r="BW2" s="80"/>
      <c r="BX2" s="80"/>
      <c r="BY2" s="80"/>
      <c r="BZ2" s="128" t="str">
        <f>IF(BZ1="","","and BX = '"&amp;BZ1&amp;"'")</f>
        <v>and BX = 'Custom'</v>
      </c>
      <c r="CA2" s="80"/>
      <c r="CB2" s="80"/>
      <c r="CC2" s="80"/>
      <c r="CD2" s="128" t="str">
        <f>IF(CD1="","","and CD = '"&amp;CD1&amp;"'")</f>
        <v>and CD = '280 GSM'</v>
      </c>
      <c r="CE2" s="80"/>
      <c r="CF2" s="80"/>
      <c r="CG2" s="80"/>
      <c r="CH2" s="80"/>
    </row>
    <row r="3">
      <c r="A3" s="108" t="str">
        <f t="shared" ref="A3:O3" si="1">A1</f>
        <v>Product Code</v>
      </c>
      <c r="B3" s="108" t="str">
        <f t="shared" si="1"/>
        <v>Category</v>
      </c>
      <c r="C3" s="108" t="str">
        <f t="shared" si="1"/>
        <v>Sub Category</v>
      </c>
      <c r="D3" s="108" t="str">
        <f t="shared" si="1"/>
        <v>Specifications</v>
      </c>
      <c r="E3" s="108" t="str">
        <f t="shared" si="1"/>
        <v>No.  of Ups</v>
      </c>
      <c r="F3" s="108" t="str">
        <f t="shared" si="1"/>
        <v>Machine</v>
      </c>
      <c r="G3" s="108" t="str">
        <f t="shared" si="1"/>
        <v>GSM</v>
      </c>
      <c r="H3" s="108" t="str">
        <f t="shared" si="1"/>
        <v>Final Qty</v>
      </c>
      <c r="I3" s="108" t="str">
        <f t="shared" si="1"/>
        <v>Sheet Qty</v>
      </c>
      <c r="J3" s="108" t="str">
        <f t="shared" si="1"/>
        <v>SBS</v>
      </c>
      <c r="K3" s="108" t="str">
        <f t="shared" si="1"/>
        <v>WhiteBack</v>
      </c>
      <c r="L3" s="108" t="str">
        <f t="shared" si="1"/>
        <v>GreyBack</v>
      </c>
      <c r="M3" s="108" t="str">
        <f t="shared" si="1"/>
        <v>Art Card</v>
      </c>
      <c r="N3" s="108" t="str">
        <f t="shared" si="1"/>
        <v>Maplitho</v>
      </c>
      <c r="O3" s="108" t="str">
        <f t="shared" si="1"/>
        <v>Other Type</v>
      </c>
      <c r="P3" s="110" t="s">
        <v>172</v>
      </c>
      <c r="Q3" s="111" t="s">
        <v>173</v>
      </c>
      <c r="R3" s="112" t="s">
        <v>174</v>
      </c>
      <c r="S3" s="111" t="s">
        <v>175</v>
      </c>
      <c r="T3" s="113" t="s">
        <v>31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99" t="s">
        <v>37</v>
      </c>
      <c r="AF3" s="114" t="s">
        <v>36</v>
      </c>
      <c r="AG3" s="108" t="str">
        <f t="shared" ref="AG3:AN3" si="2">AG1</f>
        <v/>
      </c>
      <c r="AH3" s="108" t="str">
        <f t="shared" si="2"/>
        <v>Lamination Thermal</v>
      </c>
      <c r="AI3" s="108" t="str">
        <f t="shared" si="2"/>
        <v>Lamination Normal Gloss</v>
      </c>
      <c r="AJ3" s="129" t="str">
        <f t="shared" si="2"/>
        <v>Lamination Normal Matt</v>
      </c>
      <c r="AK3" s="108" t="str">
        <f t="shared" si="2"/>
        <v>Varnish</v>
      </c>
      <c r="AL3" s="108" t="str">
        <f t="shared" si="2"/>
        <v>UV Hybrid</v>
      </c>
      <c r="AM3" s="108" t="str">
        <f t="shared" si="2"/>
        <v>Spot UV</v>
      </c>
      <c r="AN3" s="108" t="str">
        <f t="shared" si="2"/>
        <v>Plain</v>
      </c>
      <c r="AO3" s="117" t="s">
        <v>42</v>
      </c>
      <c r="AP3" s="111" t="s">
        <v>43</v>
      </c>
      <c r="AQ3" s="111" t="s">
        <v>44</v>
      </c>
      <c r="AR3" s="117" t="s">
        <v>92</v>
      </c>
      <c r="AS3" s="117" t="s">
        <v>94</v>
      </c>
      <c r="AT3" s="117" t="s">
        <v>47</v>
      </c>
      <c r="AU3" s="24" t="s">
        <v>48</v>
      </c>
      <c r="AV3" s="24" t="s">
        <v>49</v>
      </c>
      <c r="AW3" s="24" t="s">
        <v>50</v>
      </c>
      <c r="AX3" s="108" t="s">
        <v>74</v>
      </c>
      <c r="AY3" s="118" t="s">
        <v>51</v>
      </c>
      <c r="AZ3" s="119" t="s">
        <v>52</v>
      </c>
      <c r="BA3" s="119" t="s">
        <v>53</v>
      </c>
      <c r="BB3" s="73"/>
      <c r="BC3" s="73"/>
      <c r="BD3" s="54"/>
      <c r="BE3" s="54" t="str">
        <f>IF(BE1="","","and A = '"&amp;BE1&amp;"'")</f>
        <v>and A = 'Offset'</v>
      </c>
      <c r="BF3" s="54" t="str">
        <f>IF(BF1="","","and B = '"&amp;BF1&amp;"'")</f>
        <v>and B = 'Packaging'</v>
      </c>
      <c r="BG3" s="54" t="str">
        <f>IF(BF1="","","and M = '"&amp;BF1&amp;"'")</f>
        <v>and M = 'Packaging'</v>
      </c>
      <c r="BH3" s="54" t="str">
        <f>IF(BF1="","","and BF = '"&amp;BF1&amp;"'")</f>
        <v>and BF = 'Packaging'</v>
      </c>
      <c r="BI3" s="54" t="str">
        <f>IF(BG1="","","and AY = '"&amp;BG1&amp;"'")</f>
        <v>and AY = 'SBS'</v>
      </c>
      <c r="BJ3" s="54" t="str">
        <f>IF(BH1="","","and BC = '"&amp;BH1&amp;"'")</f>
        <v>and BC = 'Lamination Normal Gloss'</v>
      </c>
      <c r="BK3" s="54" t="str">
        <f>IF(BI1="","","and AW = '"&amp;BI1&amp;"'")</f>
        <v>and AW = 'Plain'</v>
      </c>
      <c r="BL3" s="54" t="str">
        <f>IF(BJ1="","","and AU = '"&amp;BJ1&amp;"'")</f>
        <v>and AU = 'Plain'</v>
      </c>
      <c r="BM3" s="54" t="str">
        <f>IF(BK1="","","and BC = '"&amp;BK1&amp;"'")</f>
        <v>and BC = 'Plain'</v>
      </c>
      <c r="BN3" s="54" t="str">
        <f>IF(BL1="","","and BA = '"&amp;BL1&amp;"'")</f>
        <v>and BA = 'New Job'</v>
      </c>
      <c r="BO3" s="128" t="str">
        <f>IF(BO1="","","and AW = '"&amp;BO1&amp;"'")</f>
        <v>and AW = 'SBS'</v>
      </c>
      <c r="BP3" s="121"/>
      <c r="BQ3" s="121"/>
      <c r="BR3" s="121"/>
      <c r="BS3" s="120" t="str">
        <f>CONCATENATE("select * where 1=1",BS2)</f>
        <v>select * where 1=1and BS = 'SBS'</v>
      </c>
      <c r="BT3" s="121"/>
      <c r="BU3" s="80"/>
      <c r="BV3" s="121"/>
      <c r="BW3" s="121"/>
      <c r="BX3" s="121"/>
      <c r="BY3" s="121"/>
      <c r="BZ3" s="120" t="str">
        <f>CONCATENATE("select * where 1=1",BZ2)</f>
        <v>select * where 1=1and BX = 'Custom'</v>
      </c>
      <c r="CA3" s="121"/>
      <c r="CB3" s="121"/>
      <c r="CC3" s="121"/>
      <c r="CD3" s="120" t="str">
        <f>CONCATENATE("select * where 1=1",CD2)</f>
        <v>select * where 1=1and CD = '280 GSM'</v>
      </c>
      <c r="CE3" s="121"/>
      <c r="CF3" s="121"/>
      <c r="CG3" s="121"/>
      <c r="CH3" s="121"/>
    </row>
    <row r="4">
      <c r="A4" s="123" t="str">
        <f>Main!A3</f>
        <v>https://drive.google.com/open?id=1NLrZ9Hf7XX7ORpYJXuBzVfkGVvuPoBZu&amp;authuser=jay.agg%40gmail.com&amp;usp=drive_fs</v>
      </c>
      <c r="B4" s="80" t="str">
        <f>Main!B3</f>
        <v>Bakery</v>
      </c>
      <c r="C4" s="80" t="str">
        <f>Main!C3</f>
        <v>Brownie 2</v>
      </c>
      <c r="D4" s="80" t="str">
        <f>Main!D3</f>
        <v>180*70*35 mm | 7*2.75*1.4 inch</v>
      </c>
      <c r="E4" s="124">
        <f>Main!E3</f>
        <v>4</v>
      </c>
      <c r="F4" s="80">
        <f>Main!F3</f>
        <v>2029</v>
      </c>
      <c r="G4" s="80" t="str">
        <f>G2</f>
        <v>Custom</v>
      </c>
      <c r="H4" s="130">
        <f>Quotation!E23</f>
        <v>90</v>
      </c>
      <c r="I4" s="80">
        <f>Main!L3</f>
        <v>103</v>
      </c>
      <c r="J4" s="125">
        <f>Main!AG3</f>
        <v>14.41111111</v>
      </c>
      <c r="K4" s="125">
        <f>J4</f>
        <v>14.41111111</v>
      </c>
      <c r="L4" s="131">
        <f>J4</f>
        <v>14.41111111</v>
      </c>
      <c r="M4" s="131">
        <f>J4</f>
        <v>14.41111111</v>
      </c>
      <c r="N4" s="131">
        <f>J4</f>
        <v>14.41111111</v>
      </c>
      <c r="O4" s="125">
        <f>Main!AL3</f>
        <v>112.6444444</v>
      </c>
      <c r="P4" s="109" t="str">
        <f>Main!AN3</f>
        <v/>
      </c>
      <c r="Q4" s="125" t="str">
        <f>Main!AO3</f>
        <v/>
      </c>
      <c r="R4" s="125" t="str">
        <f>Main!AP3</f>
        <v/>
      </c>
      <c r="S4" s="125" t="str">
        <f>Main!AQ3</f>
        <v/>
      </c>
      <c r="T4" s="125">
        <f>Main!AM3</f>
        <v>14.25555556</v>
      </c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25">
        <f>Main!BB3</f>
        <v>31.25688889</v>
      </c>
      <c r="AF4" s="125">
        <f>Main!BA3</f>
        <v>5.555555556</v>
      </c>
      <c r="AG4" s="125" t="str">
        <f>Main!AR3</f>
        <v/>
      </c>
      <c r="AH4" s="125">
        <f>Main!AW3</f>
        <v>3.479111111</v>
      </c>
      <c r="AI4" s="125">
        <f>Main!AX3</f>
        <v>3.333333333</v>
      </c>
      <c r="AJ4" s="126">
        <f>Main!AY3</f>
        <v>3.333333333</v>
      </c>
      <c r="AK4" s="125">
        <f>Main!AZ3</f>
        <v>3.333333333</v>
      </c>
      <c r="AL4" s="125">
        <f>Main!BC3</f>
        <v>27.77777778</v>
      </c>
      <c r="AM4" s="125">
        <f>Main!BD3</f>
        <v>19.59022222</v>
      </c>
      <c r="AN4" s="76">
        <v>0.0</v>
      </c>
      <c r="AO4" s="47">
        <f>Main!BI3</f>
        <v>6.164266451</v>
      </c>
      <c r="AP4" s="47" t="str">
        <f>Main!BJ3</f>
        <v>#VALUE!</v>
      </c>
      <c r="AQ4" s="47" t="str">
        <f>Main!BK3</f>
        <v>#VALUE!</v>
      </c>
      <c r="AR4" s="47">
        <f>Main!BL3</f>
        <v>5.555555556</v>
      </c>
      <c r="AS4" s="47">
        <f>Main!BM3</f>
        <v>6.111111111</v>
      </c>
      <c r="AT4" s="47">
        <f>Main!BN3</f>
        <v>6.666666667</v>
      </c>
      <c r="AU4" s="47">
        <f>Main!BO3</f>
        <v>0.7281553398</v>
      </c>
      <c r="AV4" s="47">
        <f>Main!BP3</f>
        <v>0.7281553398</v>
      </c>
      <c r="AW4" s="47">
        <f>Main!BQ3</f>
        <v>0.7281553398</v>
      </c>
      <c r="AX4" s="80">
        <v>0.0</v>
      </c>
      <c r="AY4" s="132" t="str">
        <f>Main!BR3</f>
        <v>#VALUE!</v>
      </c>
      <c r="AZ4" s="77">
        <f>Main!BS3</f>
        <v>5</v>
      </c>
      <c r="BA4" s="77">
        <f>Main!BT3</f>
        <v>6</v>
      </c>
      <c r="BB4" s="73"/>
      <c r="BC4" s="73"/>
      <c r="BD4" s="54"/>
      <c r="BE4" s="54" t="str">
        <f t="shared" ref="BE4:BO4" si="3">CONCATENATE("select * where 1=1",BE3)</f>
        <v>select * where 1=1and A = 'Offset'</v>
      </c>
      <c r="BF4" s="54" t="str">
        <f t="shared" si="3"/>
        <v>select * where 1=1and B = 'Packaging'</v>
      </c>
      <c r="BG4" s="54" t="str">
        <f t="shared" si="3"/>
        <v>select * where 1=1and M = 'Packaging'</v>
      </c>
      <c r="BH4" s="54" t="str">
        <f t="shared" si="3"/>
        <v>select * where 1=1and BF = 'Packaging'</v>
      </c>
      <c r="BI4" s="54" t="str">
        <f t="shared" si="3"/>
        <v>select * where 1=1and AY = 'SBS'</v>
      </c>
      <c r="BJ4" s="54" t="str">
        <f t="shared" si="3"/>
        <v>select * where 1=1and BC = 'Lamination Normal Gloss'</v>
      </c>
      <c r="BK4" s="54" t="str">
        <f t="shared" si="3"/>
        <v>select * where 1=1and AW = 'Plain'</v>
      </c>
      <c r="BL4" s="54" t="str">
        <f t="shared" si="3"/>
        <v>select * where 1=1and AU = 'Plain'</v>
      </c>
      <c r="BM4" s="54" t="str">
        <f t="shared" si="3"/>
        <v>select * where 1=1and BC = 'Plain'</v>
      </c>
      <c r="BN4" s="54" t="str">
        <f t="shared" si="3"/>
        <v>select * where 1=1and BA = 'New Job'</v>
      </c>
      <c r="BO4" s="133" t="str">
        <f t="shared" si="3"/>
        <v>select * where 1=1and AW = 'SBS'</v>
      </c>
      <c r="BP4" s="54"/>
      <c r="BQ4" s="54"/>
      <c r="BR4" s="54"/>
      <c r="BS4" s="54"/>
      <c r="BT4" s="54"/>
      <c r="BU4" s="54"/>
      <c r="BV4" s="54"/>
      <c r="BW4" s="54"/>
      <c r="BX4" s="134" t="s">
        <v>71</v>
      </c>
      <c r="BY4" s="134" t="s">
        <v>71</v>
      </c>
      <c r="BZ4" s="54"/>
      <c r="CA4" s="54"/>
      <c r="CB4" s="73"/>
      <c r="CC4" s="73"/>
      <c r="CD4" s="88" t="s">
        <v>9</v>
      </c>
      <c r="CE4" s="135" t="str">
        <f>Quotation!D24</f>
        <v/>
      </c>
      <c r="CF4" s="54"/>
      <c r="CG4" s="54"/>
      <c r="CH4" s="54"/>
    </row>
    <row r="5">
      <c r="A5" s="108" t="str">
        <f t="shared" ref="A5:O5" si="4">A1</f>
        <v>Product Code</v>
      </c>
      <c r="B5" s="108" t="str">
        <f t="shared" si="4"/>
        <v>Category</v>
      </c>
      <c r="C5" s="108" t="str">
        <f t="shared" si="4"/>
        <v>Sub Category</v>
      </c>
      <c r="D5" s="108" t="str">
        <f t="shared" si="4"/>
        <v>Specifications</v>
      </c>
      <c r="E5" s="108" t="str">
        <f t="shared" si="4"/>
        <v>No.  of Ups</v>
      </c>
      <c r="F5" s="108" t="str">
        <f t="shared" si="4"/>
        <v>Machine</v>
      </c>
      <c r="G5" s="108" t="str">
        <f t="shared" si="4"/>
        <v>GSM</v>
      </c>
      <c r="H5" s="108" t="str">
        <f t="shared" si="4"/>
        <v>Final Qty</v>
      </c>
      <c r="I5" s="108" t="str">
        <f t="shared" si="4"/>
        <v>Sheet Qty</v>
      </c>
      <c r="J5" s="108" t="str">
        <f t="shared" si="4"/>
        <v>SBS</v>
      </c>
      <c r="K5" s="108" t="str">
        <f t="shared" si="4"/>
        <v>WhiteBack</v>
      </c>
      <c r="L5" s="108" t="str">
        <f t="shared" si="4"/>
        <v>GreyBack</v>
      </c>
      <c r="M5" s="108" t="str">
        <f t="shared" si="4"/>
        <v>Art Card</v>
      </c>
      <c r="N5" s="108" t="str">
        <f t="shared" si="4"/>
        <v>Maplitho</v>
      </c>
      <c r="O5" s="108" t="str">
        <f t="shared" si="4"/>
        <v>Other Type</v>
      </c>
      <c r="P5" s="110" t="s">
        <v>172</v>
      </c>
      <c r="Q5" s="111" t="s">
        <v>173</v>
      </c>
      <c r="R5" s="112" t="s">
        <v>174</v>
      </c>
      <c r="S5" s="111" t="s">
        <v>175</v>
      </c>
      <c r="T5" s="113" t="s">
        <v>31</v>
      </c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99" t="s">
        <v>37</v>
      </c>
      <c r="AF5" s="114" t="s">
        <v>36</v>
      </c>
      <c r="AG5" s="108" t="str">
        <f>AG3</f>
        <v/>
      </c>
      <c r="AH5" s="108" t="str">
        <f t="shared" ref="AH5:AN5" si="5">AH1</f>
        <v>Lamination Thermal</v>
      </c>
      <c r="AI5" s="108" t="str">
        <f t="shared" si="5"/>
        <v>Lamination Normal Gloss</v>
      </c>
      <c r="AJ5" s="129" t="str">
        <f t="shared" si="5"/>
        <v>Lamination Normal Matt</v>
      </c>
      <c r="AK5" s="108" t="str">
        <f t="shared" si="5"/>
        <v>Varnish</v>
      </c>
      <c r="AL5" s="108" t="str">
        <f t="shared" si="5"/>
        <v>UV Hybrid</v>
      </c>
      <c r="AM5" s="108" t="str">
        <f t="shared" si="5"/>
        <v>Spot UV</v>
      </c>
      <c r="AN5" s="108" t="str">
        <f t="shared" si="5"/>
        <v>Plain</v>
      </c>
      <c r="AO5" s="117" t="s">
        <v>42</v>
      </c>
      <c r="AP5" s="111" t="s">
        <v>43</v>
      </c>
      <c r="AQ5" s="111" t="s">
        <v>44</v>
      </c>
      <c r="AR5" s="117" t="s">
        <v>92</v>
      </c>
      <c r="AS5" s="117" t="s">
        <v>94</v>
      </c>
      <c r="AT5" s="117" t="s">
        <v>47</v>
      </c>
      <c r="AU5" s="24" t="s">
        <v>48</v>
      </c>
      <c r="AV5" s="24" t="s">
        <v>49</v>
      </c>
      <c r="AW5" s="24" t="s">
        <v>50</v>
      </c>
      <c r="AX5" s="108" t="s">
        <v>74</v>
      </c>
      <c r="AY5" s="118" t="s">
        <v>51</v>
      </c>
      <c r="AZ5" s="119" t="s">
        <v>52</v>
      </c>
      <c r="BA5" s="119" t="s">
        <v>53</v>
      </c>
      <c r="BB5" s="73"/>
      <c r="BC5" s="73"/>
      <c r="BD5" s="118" t="s">
        <v>176</v>
      </c>
      <c r="BE5" s="80"/>
      <c r="BF5" s="118"/>
      <c r="BG5" s="118"/>
      <c r="BH5" s="118"/>
      <c r="BI5" s="88"/>
      <c r="BJ5" s="118" t="s">
        <v>74</v>
      </c>
      <c r="BK5" s="122"/>
      <c r="BL5" s="121"/>
      <c r="BM5" s="121"/>
      <c r="BN5" s="80"/>
      <c r="BO5" s="54"/>
      <c r="BP5" s="54" t="s">
        <v>74</v>
      </c>
      <c r="BQ5" s="54" t="s">
        <v>71</v>
      </c>
      <c r="BR5" s="121"/>
      <c r="BS5" s="73" t="s">
        <v>14</v>
      </c>
      <c r="BT5" s="134" t="s">
        <v>177</v>
      </c>
      <c r="BU5" s="73" t="s">
        <v>178</v>
      </c>
      <c r="BV5" s="136">
        <f>Price!$P$2</f>
        <v>85</v>
      </c>
      <c r="BW5" s="137" t="str">
        <f>IFERROR(__xludf.DUMMYFUNCTION("QUERY(BS5:BV60,BS3)"),"SBS")</f>
        <v>SBS</v>
      </c>
      <c r="BX5" s="80" t="str">
        <f>IFERROR(__xludf.DUMMYFUNCTION("""COMPUTED_VALUE"""),"ITC")</f>
        <v>ITC</v>
      </c>
      <c r="BY5" s="121" t="str">
        <f>IFERROR(__xludf.DUMMYFUNCTION("""COMPUTED_VALUE"""),"230 GSM")</f>
        <v>230 GSM</v>
      </c>
      <c r="BZ5" s="138">
        <f>IFERROR(__xludf.DUMMYFUNCTION("""COMPUTED_VALUE"""),85.0)</f>
        <v>85</v>
      </c>
      <c r="CA5" s="120" t="str">
        <f>IFERROR(__xludf.DUMMYFUNCTION("(QUERY(BX5:BZ42,BZ3))"),"Custom")</f>
        <v>Custom</v>
      </c>
      <c r="CB5" s="121" t="str">
        <f>IFERROR(__xludf.DUMMYFUNCTION("""COMPUTED_VALUE"""),"300 GSM")</f>
        <v>300 GSM</v>
      </c>
      <c r="CC5" s="138"/>
      <c r="CD5" s="121" t="str">
        <f t="shared" ref="CD5:CD40" si="6">BY5</f>
        <v>230 GSM</v>
      </c>
      <c r="CE5" s="121" t="str">
        <f t="shared" ref="CE5:CE40" si="7">CD5</f>
        <v>230 GSM</v>
      </c>
      <c r="CF5" s="120" t="str">
        <f>IFERROR(__xludf.DUMMYFUNCTION("QUERY(CD4:CE44,CD3)"),"280 GSM")</f>
        <v>280 GSM</v>
      </c>
      <c r="CG5" s="120" t="str">
        <f>IFERROR(__xludf.DUMMYFUNCTION("""COMPUTED_VALUE"""),"280 GSM")</f>
        <v>280 GSM</v>
      </c>
      <c r="CH5" s="120"/>
    </row>
    <row r="6">
      <c r="A6" s="123" t="str">
        <f>Main!A4</f>
        <v>https://drive.google.com/open?id=1NLrZ9Hf7XX7ORpYJXuBzVfkGVvuPoBZu&amp;authuser=jay.agg%40gmail.com&amp;usp=drive_fs</v>
      </c>
      <c r="B6" s="80" t="str">
        <f>Main!B4</f>
        <v>Bakery</v>
      </c>
      <c r="C6" s="80" t="str">
        <f>Main!C4</f>
        <v>Brownie 2</v>
      </c>
      <c r="D6" s="80" t="str">
        <f>Main!D4</f>
        <v>180*70*35 mm | 7*2.75*1.4 inch</v>
      </c>
      <c r="E6" s="124">
        <f>Main!E4</f>
        <v>4</v>
      </c>
      <c r="F6" s="80">
        <f>Main!F4</f>
        <v>2029</v>
      </c>
      <c r="G6" s="80" t="str">
        <f>G2</f>
        <v>Custom</v>
      </c>
      <c r="H6" s="130">
        <f>Quotation!E24</f>
        <v>100</v>
      </c>
      <c r="I6" s="80">
        <f>Main!L4</f>
        <v>105</v>
      </c>
      <c r="J6" s="125">
        <f>Main!AG4</f>
        <v>13.08</v>
      </c>
      <c r="K6" s="125">
        <f>J6</f>
        <v>13.08</v>
      </c>
      <c r="L6" s="131">
        <f>J6</f>
        <v>13.08</v>
      </c>
      <c r="M6" s="131">
        <f>J6</f>
        <v>13.08</v>
      </c>
      <c r="N6" s="131">
        <f>J6</f>
        <v>13.08</v>
      </c>
      <c r="O6" s="125">
        <f>Main!AL4</f>
        <v>103.2</v>
      </c>
      <c r="P6" s="109" t="str">
        <f>Main!AN4</f>
        <v/>
      </c>
      <c r="Q6" s="125" t="str">
        <f>Main!AO4</f>
        <v/>
      </c>
      <c r="R6" s="125" t="str">
        <f>Main!AP4</f>
        <v/>
      </c>
      <c r="S6" s="125" t="str">
        <f>Main!AQ4</f>
        <v/>
      </c>
      <c r="T6" s="125">
        <f>Main!AM4</f>
        <v>12.93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25">
        <f>Main!BB4</f>
        <v>28.192</v>
      </c>
      <c r="AF6" s="125">
        <f>Main!BA4</f>
        <v>5</v>
      </c>
      <c r="AG6" s="125" t="str">
        <f>Main!AR4</f>
        <v/>
      </c>
      <c r="AH6" s="125">
        <f>Main!AW4</f>
        <v>3.192</v>
      </c>
      <c r="AI6" s="125">
        <f>Main!AX4</f>
        <v>3</v>
      </c>
      <c r="AJ6" s="126">
        <f>Main!AY4</f>
        <v>3</v>
      </c>
      <c r="AK6" s="125">
        <f>Main!AZ4</f>
        <v>3</v>
      </c>
      <c r="AL6" s="125">
        <f>Main!BC4</f>
        <v>25</v>
      </c>
      <c r="AM6" s="125">
        <f>Main!BD4</f>
        <v>17.692</v>
      </c>
      <c r="AN6" s="76">
        <v>0.0</v>
      </c>
      <c r="AO6" s="47">
        <f>Main!BI4</f>
        <v>5.701785714</v>
      </c>
      <c r="AP6" s="47" t="str">
        <f>Main!BJ4</f>
        <v>#VALUE!</v>
      </c>
      <c r="AQ6" s="47" t="str">
        <f>Main!BK4</f>
        <v>#VALUE!</v>
      </c>
      <c r="AR6" s="47">
        <f>Main!BL4</f>
        <v>5</v>
      </c>
      <c r="AS6" s="47">
        <f>Main!BM4</f>
        <v>5.5</v>
      </c>
      <c r="AT6" s="47">
        <f>Main!BN4</f>
        <v>6</v>
      </c>
      <c r="AU6" s="47">
        <f>Main!BO4</f>
        <v>0.7142857143</v>
      </c>
      <c r="AV6" s="47">
        <f>Main!BP4</f>
        <v>0.7142857143</v>
      </c>
      <c r="AW6" s="47">
        <f>Main!BQ4</f>
        <v>0.7142857143</v>
      </c>
      <c r="AX6" s="80">
        <v>0.0</v>
      </c>
      <c r="AY6" s="132" t="str">
        <f>Main!BR4</f>
        <v>#VALUE!</v>
      </c>
      <c r="AZ6" s="77">
        <f>Main!BS4</f>
        <v>5</v>
      </c>
      <c r="BA6" s="77">
        <f>Main!BT4</f>
        <v>6</v>
      </c>
      <c r="BB6" s="73"/>
      <c r="BC6" s="139" t="str">
        <f>IFERROR(__xludf.DUMMYFUNCTION("UNIQUE(QUERY(Item!M1:N2457,BG4))"),"Packaging")</f>
        <v>Packaging</v>
      </c>
      <c r="BD6" s="73" t="str">
        <f>IFERROR(__xludf.DUMMYFUNCTION("""COMPUTED_VALUE"""),"Agarbatti")</f>
        <v>Agarbatti</v>
      </c>
      <c r="BE6" s="139" t="str">
        <f>IFERROR(__xludf.DUMMYFUNCTION("UNIQUE(QUERY(Item!A2:B2457,BE4))"),"Offset")</f>
        <v>Offset</v>
      </c>
      <c r="BF6" s="88" t="str">
        <f>IFERROR(__xludf.DUMMYFUNCTION("""COMPUTED_VALUE"""),"Packaging")</f>
        <v>Packaging</v>
      </c>
      <c r="BG6" s="113" t="str">
        <f>IFERROR(__xludf.DUMMYFUNCTION("UNIQUE(QUERY(Item!A2:L2457,BF4))"),"Offset")</f>
        <v>Offset</v>
      </c>
      <c r="BH6" s="113" t="str">
        <f>IFERROR(__xludf.DUMMYFUNCTION("""COMPUTED_VALUE"""),"Packaging")</f>
        <v>Packaging</v>
      </c>
      <c r="BI6" s="73" t="str">
        <f>IFERROR(__xludf.DUMMYFUNCTION("""COMPUTED_VALUE"""),"SBS")</f>
        <v>SBS</v>
      </c>
      <c r="BJ6" s="73" t="str">
        <f>IFERROR(__xludf.DUMMYFUNCTION("""COMPUTED_VALUE"""),"Carry Bag Single Pasting")</f>
        <v>Carry Bag Single Pasting</v>
      </c>
      <c r="BK6" s="80" t="str">
        <f>IFERROR(__xludf.DUMMYFUNCTION("""COMPUTED_VALUE"""),"Lamination Thermal")</f>
        <v>Lamination Thermal</v>
      </c>
      <c r="BL6" s="80" t="str">
        <f>IFERROR(__xludf.DUMMYFUNCTION("""COMPUTED_VALUE"""),"Single Colour")</f>
        <v>Single Colour</v>
      </c>
      <c r="BM6" s="107">
        <f>IFERROR(__xludf.DUMMYFUNCTION("""COMPUTED_VALUE"""),1.0)</f>
        <v>1</v>
      </c>
      <c r="BN6" s="107">
        <f>IFERROR(__xludf.DUMMYFUNCTION("""COMPUTED_VALUE"""),1926.0)</f>
        <v>1926</v>
      </c>
      <c r="BO6" s="80" t="str">
        <f>IFERROR(__xludf.DUMMYFUNCTION("""COMPUTED_VALUE"""),"New Job")</f>
        <v>New Job</v>
      </c>
      <c r="BP6" s="80" t="str">
        <f>IFERROR(__xludf.DUMMYFUNCTION("""COMPUTED_VALUE"""),"Leafing")</f>
        <v>Leafing</v>
      </c>
      <c r="BQ6" s="80" t="str">
        <f>IFERROR(__xludf.DUMMYFUNCTION("""COMPUTED_VALUE"""),"Yes")</f>
        <v>Yes</v>
      </c>
      <c r="BR6" s="80" t="str">
        <f>IFERROR(__xludf.DUMMYFUNCTION("""COMPUTED_VALUE"""),"Normal")</f>
        <v>Normal</v>
      </c>
      <c r="BS6" s="73" t="s">
        <v>14</v>
      </c>
      <c r="BT6" s="88" t="s">
        <v>179</v>
      </c>
      <c r="BU6" s="73" t="s">
        <v>180</v>
      </c>
      <c r="BV6" s="77">
        <f>Price!$P$3</f>
        <v>80</v>
      </c>
      <c r="BW6" s="73" t="str">
        <f>IFERROR(__xludf.DUMMYFUNCTION("""COMPUTED_VALUE"""),"SBS")</f>
        <v>SBS</v>
      </c>
      <c r="BX6" s="80" t="str">
        <f>IFERROR(__xludf.DUMMYFUNCTION("""COMPUTED_VALUE"""),"Century")</f>
        <v>Century</v>
      </c>
      <c r="BY6" s="80" t="str">
        <f>IFERROR(__xludf.DUMMYFUNCTION("""COMPUTED_VALUE"""),"250 GSM")</f>
        <v>250 GSM</v>
      </c>
      <c r="BZ6" s="107">
        <f>IFERROR(__xludf.DUMMYFUNCTION("""COMPUTED_VALUE"""),80.0)</f>
        <v>80</v>
      </c>
      <c r="CA6" s="80" t="str">
        <f>IFERROR(__xludf.DUMMYFUNCTION("""COMPUTED_VALUE"""),"Custom")</f>
        <v>Custom</v>
      </c>
      <c r="CB6" s="80" t="str">
        <f>IFERROR(__xludf.DUMMYFUNCTION("""COMPUTED_VALUE"""),"330 GSM")</f>
        <v>330 GSM</v>
      </c>
      <c r="CC6" s="107"/>
      <c r="CD6" s="80" t="str">
        <f t="shared" si="6"/>
        <v>250 GSM</v>
      </c>
      <c r="CE6" s="80" t="str">
        <f t="shared" si="7"/>
        <v>250 GSM</v>
      </c>
      <c r="CF6" s="80"/>
      <c r="CG6" s="80"/>
      <c r="CH6" s="80"/>
    </row>
    <row r="7">
      <c r="A7" s="73" t="s">
        <v>181</v>
      </c>
      <c r="B7" s="73" t="str">
        <f>Quotation!A21</f>
        <v>Offset</v>
      </c>
      <c r="C7" s="73"/>
      <c r="D7" s="73"/>
      <c r="E7" s="140"/>
      <c r="F7" s="128" t="str">
        <f>IF(B8="","","and Q = '"&amp;B8&amp;"'")</f>
        <v>and Q = 'Packaging'</v>
      </c>
      <c r="G7" s="80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 t="str">
        <f>IFERROR(__xludf.DUMMYFUNCTION("""COMPUTED_VALUE"""),"Packaging")</f>
        <v>Packaging</v>
      </c>
      <c r="BD7" s="73" t="str">
        <f>IFERROR(__xludf.DUMMYFUNCTION("""COMPUTED_VALUE"""),"Apparel")</f>
        <v>Apparel</v>
      </c>
      <c r="BE7" s="80" t="str">
        <f>IFERROR(__xludf.DUMMYFUNCTION("""COMPUTED_VALUE"""),"Offset")</f>
        <v>Offset</v>
      </c>
      <c r="BF7" s="88" t="str">
        <f>IFERROR(__xludf.DUMMYFUNCTION("""COMPUTED_VALUE"""),"Commercial")</f>
        <v>Commercial</v>
      </c>
      <c r="BG7" s="113" t="str">
        <f>IFERROR(__xludf.DUMMYFUNCTION("""COMPUTED_VALUE"""),"Offset")</f>
        <v>Offset</v>
      </c>
      <c r="BH7" s="113" t="str">
        <f>IFERROR(__xludf.DUMMYFUNCTION("""COMPUTED_VALUE"""),"Packaging")</f>
        <v>Packaging</v>
      </c>
      <c r="BI7" s="73" t="str">
        <f>IFERROR(__xludf.DUMMYFUNCTION("""COMPUTED_VALUE"""),"WhiteBack")</f>
        <v>WhiteBack</v>
      </c>
      <c r="BJ7" s="73" t="str">
        <f>IFERROR(__xludf.DUMMYFUNCTION("""COMPUTED_VALUE"""),"Carry Bag Double Pasting")</f>
        <v>Carry Bag Double Pasting</v>
      </c>
      <c r="BK7" s="80" t="str">
        <f>IFERROR(__xludf.DUMMYFUNCTION("""COMPUTED_VALUE"""),"Lamination Normal Gloss")</f>
        <v>Lamination Normal Gloss</v>
      </c>
      <c r="BL7" s="80" t="str">
        <f>IFERROR(__xludf.DUMMYFUNCTION("""COMPUTED_VALUE"""),"Double Colour")</f>
        <v>Double Colour</v>
      </c>
      <c r="BM7" s="107">
        <f>IFERROR(__xludf.DUMMYFUNCTION("""COMPUTED_VALUE"""),2.0)</f>
        <v>2</v>
      </c>
      <c r="BN7" s="107">
        <f>IFERROR(__xludf.DUMMYFUNCTION("""COMPUTED_VALUE"""),2029.0)</f>
        <v>2029</v>
      </c>
      <c r="BO7" s="80" t="str">
        <f>IFERROR(__xludf.DUMMYFUNCTION("""COMPUTED_VALUE"""),"Repeat Job")</f>
        <v>Repeat Job</v>
      </c>
      <c r="BP7" s="80" t="str">
        <f>IFERROR(__xludf.DUMMYFUNCTION("""COMPUTED_VALUE"""),"Leafing")</f>
        <v>Leafing</v>
      </c>
      <c r="BQ7" s="80" t="str">
        <f>IFERROR(__xludf.DUMMYFUNCTION("""COMPUTED_VALUE"""),"N/A")</f>
        <v>N/A</v>
      </c>
      <c r="BR7" s="80" t="str">
        <f>IFERROR(__xludf.DUMMYFUNCTION("""COMPUTED_VALUE"""),"Normal")</f>
        <v>Normal</v>
      </c>
      <c r="BS7" s="73" t="s">
        <v>14</v>
      </c>
      <c r="BT7" s="88" t="s">
        <v>68</v>
      </c>
      <c r="BU7" s="88" t="s">
        <v>182</v>
      </c>
      <c r="BV7" s="77">
        <f>Price!$P$4</f>
        <v>82</v>
      </c>
      <c r="BW7" s="73" t="str">
        <f>IFERROR(__xludf.DUMMYFUNCTION("""COMPUTED_VALUE"""),"SBS")</f>
        <v>SBS</v>
      </c>
      <c r="BX7" s="80" t="str">
        <f>IFERROR(__xludf.DUMMYFUNCTION("""COMPUTED_VALUE"""),"Normal")</f>
        <v>Normal</v>
      </c>
      <c r="BY7" s="80" t="str">
        <f>IFERROR(__xludf.DUMMYFUNCTION("""COMPUTED_VALUE"""),"280 GSM")</f>
        <v>280 GSM</v>
      </c>
      <c r="BZ7" s="107">
        <f>IFERROR(__xludf.DUMMYFUNCTION("""COMPUTED_VALUE"""),82.0)</f>
        <v>82</v>
      </c>
      <c r="CA7" s="80" t="str">
        <f>IFERROR(__xludf.DUMMYFUNCTION("""COMPUTED_VALUE"""),"Custom")</f>
        <v>Custom</v>
      </c>
      <c r="CB7" s="80"/>
      <c r="CC7" s="107"/>
      <c r="CD7" s="80" t="str">
        <f t="shared" si="6"/>
        <v>280 GSM</v>
      </c>
      <c r="CE7" s="80" t="str">
        <f t="shared" si="7"/>
        <v>280 GSM</v>
      </c>
      <c r="CF7" s="80"/>
      <c r="CG7" s="80"/>
      <c r="CH7" s="80"/>
    </row>
    <row r="8">
      <c r="A8" s="73" t="s">
        <v>183</v>
      </c>
      <c r="B8" s="73" t="str">
        <f>Quotation!B21</f>
        <v>Packaging</v>
      </c>
      <c r="C8" s="73"/>
      <c r="D8" s="73"/>
      <c r="E8" s="140"/>
      <c r="F8" s="128" t="str">
        <f>IF(B7="","","and P = '"&amp;B7&amp;"'")</f>
        <v>and P = 'Offset'</v>
      </c>
      <c r="G8" s="80"/>
      <c r="H8" s="128" t="str">
        <f>CONCATENATE("select * where 1=1",F7)</f>
        <v>select * where 1=1and Q = 'Packaging'</v>
      </c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 t="str">
        <f>IFERROR(__xludf.DUMMYFUNCTION("""COMPUTED_VALUE"""),"Packaging")</f>
        <v>Packaging</v>
      </c>
      <c r="BD8" s="73" t="str">
        <f>IFERROR(__xludf.DUMMYFUNCTION("""COMPUTED_VALUE"""),"Artsbury")</f>
        <v>Artsbury</v>
      </c>
      <c r="BE8" s="80" t="str">
        <f>IFERROR(__xludf.DUMMYFUNCTION("""COMPUTED_VALUE"""),"Offset")</f>
        <v>Offset</v>
      </c>
      <c r="BF8" s="80" t="str">
        <f>IFERROR(__xludf.DUMMYFUNCTION("""COMPUTED_VALUE"""),"Booklet")</f>
        <v>Booklet</v>
      </c>
      <c r="BG8" s="113" t="str">
        <f>IFERROR(__xludf.DUMMYFUNCTION("""COMPUTED_VALUE"""),"Offset")</f>
        <v>Offset</v>
      </c>
      <c r="BH8" s="113" t="str">
        <f>IFERROR(__xludf.DUMMYFUNCTION("""COMPUTED_VALUE"""),"Packaging")</f>
        <v>Packaging</v>
      </c>
      <c r="BI8" s="118" t="str">
        <f>IFERROR(__xludf.DUMMYFUNCTION("""COMPUTED_VALUE"""),"GreyBack")</f>
        <v>GreyBack</v>
      </c>
      <c r="BJ8" s="73" t="str">
        <f>IFERROR(__xludf.DUMMYFUNCTION("""COMPUTED_VALUE"""),"Plain")</f>
        <v>Plain</v>
      </c>
      <c r="BK8" s="80" t="str">
        <f>IFERROR(__xludf.DUMMYFUNCTION("""COMPUTED_VALUE"""),"Lamination Normal Matt")</f>
        <v>Lamination Normal Matt</v>
      </c>
      <c r="BL8" s="80" t="str">
        <f>IFERROR(__xludf.DUMMYFUNCTION("""COMPUTED_VALUE"""),"Four Colour")</f>
        <v>Four Colour</v>
      </c>
      <c r="BM8" s="107">
        <f>IFERROR(__xludf.DUMMYFUNCTION("""COMPUTED_VALUE"""),4.0)</f>
        <v>4</v>
      </c>
      <c r="BN8" s="107">
        <f>IFERROR(__xludf.DUMMYFUNCTION("""COMPUTED_VALUE"""),2840.0)</f>
        <v>2840</v>
      </c>
      <c r="BO8" s="80" t="str">
        <f>IFERROR(__xludf.DUMMYFUNCTION("""COMPUTED_VALUE"""),"New Job")</f>
        <v>New Job</v>
      </c>
      <c r="BP8" s="80" t="str">
        <f>IFERROR(__xludf.DUMMYFUNCTION("""COMPUTED_VALUE"""),"Leafing")</f>
        <v>Leafing</v>
      </c>
      <c r="BQ8" s="80" t="str">
        <f>IFERROR(__xludf.DUMMYFUNCTION("""COMPUTED_VALUE"""),"Yes")</f>
        <v>Yes</v>
      </c>
      <c r="BR8" s="80" t="str">
        <f>IFERROR(__xludf.DUMMYFUNCTION("""COMPUTED_VALUE"""),"Normal")</f>
        <v>Normal</v>
      </c>
      <c r="BS8" s="73" t="s">
        <v>14</v>
      </c>
      <c r="BT8" s="88" t="s">
        <v>184</v>
      </c>
      <c r="BU8" s="73" t="s">
        <v>185</v>
      </c>
      <c r="BV8" s="77" t="str">
        <f>Quotation!$C$21</f>
        <v/>
      </c>
      <c r="BW8" s="73" t="str">
        <f>IFERROR(__xludf.DUMMYFUNCTION("""COMPUTED_VALUE"""),"SBS")</f>
        <v>SBS</v>
      </c>
      <c r="BX8" s="80" t="str">
        <f>IFERROR(__xludf.DUMMYFUNCTION("""COMPUTED_VALUE"""),"Custom")</f>
        <v>Custom</v>
      </c>
      <c r="BY8" s="80" t="str">
        <f>IFERROR(__xludf.DUMMYFUNCTION("""COMPUTED_VALUE"""),"300 GSM")</f>
        <v>300 GSM</v>
      </c>
      <c r="BZ8" s="107"/>
      <c r="CA8" s="80"/>
      <c r="CB8" s="80"/>
      <c r="CC8" s="107"/>
      <c r="CD8" s="80" t="str">
        <f t="shared" si="6"/>
        <v>300 GSM</v>
      </c>
      <c r="CE8" s="80" t="str">
        <f t="shared" si="7"/>
        <v>300 GSM</v>
      </c>
      <c r="CF8" s="80"/>
      <c r="CG8" s="80"/>
      <c r="CH8" s="80"/>
    </row>
    <row r="9">
      <c r="A9" s="141" t="s">
        <v>186</v>
      </c>
      <c r="B9" s="73" t="str">
        <f>Quotation!A22</f>
        <v>Bakery</v>
      </c>
      <c r="C9" s="73"/>
      <c r="D9" s="128" t="str">
        <f>IF(B12="All","","and B = '"&amp;B12&amp;"'")</f>
        <v>and B = '280 GSM'</v>
      </c>
      <c r="E9" s="140"/>
      <c r="F9" s="73" t="str">
        <f>IF(B9="All","","and B = '"&amp;B9&amp;"'")</f>
        <v>and B = 'Bakery'</v>
      </c>
      <c r="G9" s="80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 t="str">
        <f>IFERROR(__xludf.DUMMYFUNCTION("""COMPUTED_VALUE"""),"Packaging")</f>
        <v>Packaging</v>
      </c>
      <c r="BD9" s="73" t="str">
        <f>IFERROR(__xludf.DUMMYFUNCTION("""COMPUTED_VALUE"""),"Aryan")</f>
        <v>Aryan</v>
      </c>
      <c r="BE9" s="80"/>
      <c r="BF9" s="80"/>
      <c r="BG9" s="113" t="str">
        <f>IFERROR(__xludf.DUMMYFUNCTION("""COMPUTED_VALUE"""),"Offset")</f>
        <v>Offset</v>
      </c>
      <c r="BH9" s="113" t="str">
        <f>IFERROR(__xludf.DUMMYFUNCTION("""COMPUTED_VALUE"""),"Packaging")</f>
        <v>Packaging</v>
      </c>
      <c r="BI9" s="118" t="str">
        <f>IFERROR(__xludf.DUMMYFUNCTION("""COMPUTED_VALUE"""),"Duplex")</f>
        <v>Duplex</v>
      </c>
      <c r="BJ9" s="73" t="str">
        <f>IFERROR(__xludf.DUMMYFUNCTION("""COMPUTED_VALUE"""),"Plain")</f>
        <v>Plain</v>
      </c>
      <c r="BK9" s="80" t="str">
        <f>IFERROR(__xludf.DUMMYFUNCTION("""COMPUTED_VALUE"""),"Varnish")</f>
        <v>Varnish</v>
      </c>
      <c r="BL9" s="80" t="str">
        <f>IFERROR(__xludf.DUMMYFUNCTION("""COMPUTED_VALUE"""),"Four + One Colour")</f>
        <v>Four + One Colour</v>
      </c>
      <c r="BM9" s="107">
        <f>IFERROR(__xludf.DUMMYFUNCTION("""COMPUTED_VALUE"""),6.75)</f>
        <v>6.75</v>
      </c>
      <c r="BN9" s="107">
        <f>IFERROR(__xludf.DUMMYFUNCTION("""COMPUTED_VALUE"""),1926.0)</f>
        <v>1926</v>
      </c>
      <c r="BO9" s="80" t="str">
        <f>IFERROR(__xludf.DUMMYFUNCTION("""COMPUTED_VALUE"""),"Repeat Job")</f>
        <v>Repeat Job</v>
      </c>
      <c r="BP9" s="80" t="str">
        <f>IFERROR(__xludf.DUMMYFUNCTION("""COMPUTED_VALUE"""),"Leafing")</f>
        <v>Leafing</v>
      </c>
      <c r="BQ9" s="80" t="str">
        <f>IFERROR(__xludf.DUMMYFUNCTION("""COMPUTED_VALUE"""),"N/A")</f>
        <v>N/A</v>
      </c>
      <c r="BR9" s="80" t="str">
        <f>IFERROR(__xludf.DUMMYFUNCTION("""COMPUTED_VALUE"""),"Normal")</f>
        <v>Normal</v>
      </c>
      <c r="BS9" s="73" t="s">
        <v>14</v>
      </c>
      <c r="BT9" s="88" t="s">
        <v>184</v>
      </c>
      <c r="BU9" s="73" t="s">
        <v>187</v>
      </c>
      <c r="BV9" s="77" t="str">
        <f>Quotation!$C$21</f>
        <v/>
      </c>
      <c r="BW9" s="73" t="str">
        <f>IFERROR(__xludf.DUMMYFUNCTION("""COMPUTED_VALUE"""),"SBS")</f>
        <v>SBS</v>
      </c>
      <c r="BX9" s="80" t="str">
        <f>IFERROR(__xludf.DUMMYFUNCTION("""COMPUTED_VALUE"""),"Custom")</f>
        <v>Custom</v>
      </c>
      <c r="BY9" s="80" t="str">
        <f>IFERROR(__xludf.DUMMYFUNCTION("""COMPUTED_VALUE"""),"330 GSM")</f>
        <v>330 GSM</v>
      </c>
      <c r="BZ9" s="107"/>
      <c r="CA9" s="80"/>
      <c r="CB9" s="80"/>
      <c r="CC9" s="107"/>
      <c r="CD9" s="80" t="str">
        <f t="shared" si="6"/>
        <v>330 GSM</v>
      </c>
      <c r="CE9" s="80" t="str">
        <f t="shared" si="7"/>
        <v>330 GSM</v>
      </c>
      <c r="CF9" s="80"/>
      <c r="CG9" s="80"/>
      <c r="CH9" s="80"/>
    </row>
    <row r="10">
      <c r="A10" s="142" t="s">
        <v>188</v>
      </c>
      <c r="B10" s="73" t="str">
        <f>Quotation!A23</f>
        <v>Brownie 2</v>
      </c>
      <c r="C10" s="73"/>
      <c r="D10" s="139" t="str">
        <f>IF(B10="","","and T = '"&amp;B10&amp;"'")</f>
        <v>and T = 'Brownie 2'</v>
      </c>
      <c r="E10" s="73"/>
      <c r="F10" s="139" t="str">
        <f>IF(B10="","","and C = '"&amp;B10&amp;"'")</f>
        <v>and C = 'Brownie 2'</v>
      </c>
      <c r="G10" s="73"/>
      <c r="H10" s="73"/>
      <c r="I10" s="128" t="str">
        <f>CONCATENATE("select * where 1=1",F9,F10,F11)</f>
        <v>select * where 1=1and B = 'Bakery'and C = 'Brownie 2'and D = '180*70*35 mm | 7*2.75*1.4 inch'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 t="str">
        <f>IFERROR(__xludf.DUMMYFUNCTION("""COMPUTED_VALUE"""),"Packaging")</f>
        <v>Packaging</v>
      </c>
      <c r="BD10" s="73" t="str">
        <f>IFERROR(__xludf.DUMMYFUNCTION("""COMPUTED_VALUE"""),"Atta")</f>
        <v>Atta</v>
      </c>
      <c r="BE10" s="80"/>
      <c r="BF10" s="80"/>
      <c r="BG10" s="113" t="str">
        <f>IFERROR(__xludf.DUMMYFUNCTION("""COMPUTED_VALUE"""),"Offset")</f>
        <v>Offset</v>
      </c>
      <c r="BH10" s="113" t="str">
        <f>IFERROR(__xludf.DUMMYFUNCTION("""COMPUTED_VALUE"""),"Packaging")</f>
        <v>Packaging</v>
      </c>
      <c r="BI10" s="118" t="str">
        <f>IFERROR(__xludf.DUMMYFUNCTION("""COMPUTED_VALUE"""),"Custom Paper")</f>
        <v>Custom Paper</v>
      </c>
      <c r="BJ10" s="73" t="str">
        <f>IFERROR(__xludf.DUMMYFUNCTION("""COMPUTED_VALUE"""),"Plain")</f>
        <v>Plain</v>
      </c>
      <c r="BK10" s="80" t="str">
        <f>IFERROR(__xludf.DUMMYFUNCTION("""COMPUTED_VALUE"""),"UV Hybrid")</f>
        <v>UV Hybrid</v>
      </c>
      <c r="BL10" s="80" t="str">
        <f>IFERROR(__xludf.DUMMYFUNCTION("""COMPUTED_VALUE"""),"Four + Two Colour")</f>
        <v>Four + Two Colour</v>
      </c>
      <c r="BM10" s="107">
        <f>IFERROR(__xludf.DUMMYFUNCTION("""COMPUTED_VALUE"""),7.75)</f>
        <v>7.75</v>
      </c>
      <c r="BN10" s="107">
        <f>IFERROR(__xludf.DUMMYFUNCTION("""COMPUTED_VALUE"""),1926.0)</f>
        <v>1926</v>
      </c>
      <c r="BO10" s="80" t="str">
        <f>IFERROR(__xludf.DUMMYFUNCTION("""COMPUTED_VALUE"""),"New Job")</f>
        <v>New Job</v>
      </c>
      <c r="BP10" s="80" t="str">
        <f>IFERROR(__xludf.DUMMYFUNCTION("""COMPUTED_VALUE"""),"Leafing")</f>
        <v>Leafing</v>
      </c>
      <c r="BQ10" s="80" t="str">
        <f>IFERROR(__xludf.DUMMYFUNCTION("""COMPUTED_VALUE"""),"Yes")</f>
        <v>Yes</v>
      </c>
      <c r="BR10" s="80" t="str">
        <f>IFERROR(__xludf.DUMMYFUNCTION("""COMPUTED_VALUE"""),"Normal")</f>
        <v>Normal</v>
      </c>
      <c r="BS10" s="73" t="s">
        <v>27</v>
      </c>
      <c r="BT10" s="88" t="s">
        <v>189</v>
      </c>
      <c r="BU10" s="73" t="s">
        <v>178</v>
      </c>
      <c r="BV10" s="77">
        <f>Price!$Q$2</f>
        <v>78</v>
      </c>
      <c r="BW10" s="73"/>
      <c r="BX10" s="80"/>
      <c r="BY10" s="80"/>
      <c r="BZ10" s="107"/>
      <c r="CA10" s="80"/>
      <c r="CB10" s="80"/>
      <c r="CC10" s="107"/>
      <c r="CD10" s="80" t="str">
        <f t="shared" si="6"/>
        <v/>
      </c>
      <c r="CE10" s="80" t="str">
        <f t="shared" si="7"/>
        <v/>
      </c>
      <c r="CF10" s="80"/>
      <c r="CG10" s="80"/>
      <c r="CH10" s="80"/>
    </row>
    <row r="11">
      <c r="A11" s="141" t="s">
        <v>190</v>
      </c>
      <c r="B11" s="73" t="str">
        <f>Quotation!B22</f>
        <v>180*70*35 mm | 7*2.75*1.4 inch</v>
      </c>
      <c r="C11" s="73"/>
      <c r="D11" s="143" t="str">
        <f>IF(B11="","","and AM = '"&amp;B11&amp;"'")</f>
        <v>and AM = '180*70*35 mm | 7*2.75*1.4 inch'</v>
      </c>
      <c r="E11" s="140"/>
      <c r="F11" s="143" t="str">
        <f>IF(B11="","","and D = '"&amp;B11&amp;"'")</f>
        <v>and D = '180*70*35 mm | 7*2.75*1.4 inch'</v>
      </c>
      <c r="G11" s="80"/>
      <c r="H11" s="73"/>
      <c r="I11" s="128" t="str">
        <f>CONCATENATE("select * where 1=1",F10)</f>
        <v>select * where 1=1and C = 'Brownie 2'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 t="str">
        <f>IFERROR(__xludf.DUMMYFUNCTION("""COMPUTED_VALUE"""),"Packaging")</f>
        <v>Packaging</v>
      </c>
      <c r="BD11" s="73" t="str">
        <f>IFERROR(__xludf.DUMMYFUNCTION("""COMPUTED_VALUE"""),"Bakery")</f>
        <v>Bakery</v>
      </c>
      <c r="BE11" s="80"/>
      <c r="BF11" s="88"/>
      <c r="BG11" s="113" t="str">
        <f>IFERROR(__xludf.DUMMYFUNCTION("""COMPUTED_VALUE"""),"Offset")</f>
        <v>Offset</v>
      </c>
      <c r="BH11" s="113" t="str">
        <f>IFERROR(__xludf.DUMMYFUNCTION("""COMPUTED_VALUE"""),"Packaging")</f>
        <v>Packaging</v>
      </c>
      <c r="BI11" s="88" t="str">
        <f>IFERROR(__xludf.DUMMYFUNCTION("""COMPUTED_VALUE"""),"Other Type")</f>
        <v>Other Type</v>
      </c>
      <c r="BJ11" s="73" t="str">
        <f>IFERROR(__xludf.DUMMYFUNCTION("""COMPUTED_VALUE"""),"Plain")</f>
        <v>Plain</v>
      </c>
      <c r="BK11" s="80" t="str">
        <f>IFERROR(__xludf.DUMMYFUNCTION("""COMPUTED_VALUE"""),"UV Flat")</f>
        <v>UV Flat</v>
      </c>
      <c r="BL11" s="80" t="str">
        <f>IFERROR(__xludf.DUMMYFUNCTION("""COMPUTED_VALUE"""),"Four + Four Colour")</f>
        <v>Four + Four Colour</v>
      </c>
      <c r="BM11" s="107">
        <f>IFERROR(__xludf.DUMMYFUNCTION("""COMPUTED_VALUE"""),9.75)</f>
        <v>9.75</v>
      </c>
      <c r="BN11" s="107">
        <f>IFERROR(__xludf.DUMMYFUNCTION("""COMPUTED_VALUE"""),1926.0)</f>
        <v>1926</v>
      </c>
      <c r="BO11" s="80" t="str">
        <f>IFERROR(__xludf.DUMMYFUNCTION("""COMPUTED_VALUE"""),"Repeat Job")</f>
        <v>Repeat Job</v>
      </c>
      <c r="BP11" s="80" t="str">
        <f>IFERROR(__xludf.DUMMYFUNCTION("""COMPUTED_VALUE"""),"Leafing")</f>
        <v>Leafing</v>
      </c>
      <c r="BQ11" s="80" t="str">
        <f>IFERROR(__xludf.DUMMYFUNCTION("""COMPUTED_VALUE"""),"N/A")</f>
        <v>N/A</v>
      </c>
      <c r="BR11" s="80" t="str">
        <f>IFERROR(__xludf.DUMMYFUNCTION("""COMPUTED_VALUE"""),"Normal")</f>
        <v>Normal</v>
      </c>
      <c r="BS11" s="73" t="s">
        <v>27</v>
      </c>
      <c r="BT11" s="113" t="s">
        <v>191</v>
      </c>
      <c r="BU11" s="73" t="s">
        <v>180</v>
      </c>
      <c r="BV11" s="77">
        <f>Price!$Q$3</f>
        <v>55</v>
      </c>
      <c r="BW11" s="73"/>
      <c r="BX11" s="80"/>
      <c r="BY11" s="80"/>
      <c r="BZ11" s="107"/>
      <c r="CA11" s="80"/>
      <c r="CB11" s="80"/>
      <c r="CC11" s="107"/>
      <c r="CD11" s="80" t="str">
        <f t="shared" si="6"/>
        <v/>
      </c>
      <c r="CE11" s="80" t="str">
        <f t="shared" si="7"/>
        <v/>
      </c>
      <c r="CF11" s="80"/>
      <c r="CG11" s="80"/>
      <c r="CH11" s="80"/>
    </row>
    <row r="12">
      <c r="A12" s="88" t="s">
        <v>192</v>
      </c>
      <c r="B12" s="73" t="str">
        <f>Quotation!D23</f>
        <v>280 GSM</v>
      </c>
      <c r="C12" s="73"/>
      <c r="D12" s="143" t="str">
        <f>CONCATENATE("select * where 1=1",D11)</f>
        <v>select * where 1=1and AM = '180*70*35 mm | 7*2.75*1.4 inch'</v>
      </c>
      <c r="E12" s="140"/>
      <c r="F12" s="143" t="str">
        <f>CONCATENATE("select * where 1=1",F9,F8,F7)</f>
        <v>select * where 1=1and B = 'Bakery'and P = 'Offset'and Q = 'Packaging'</v>
      </c>
      <c r="G12" s="80"/>
      <c r="H12" s="73"/>
      <c r="I12" s="128" t="str">
        <f>CONCATENATE("select * where 1=1",F11,F10)</f>
        <v>select * where 1=1and D = '180*70*35 mm | 7*2.75*1.4 inch'and C = 'Brownie 2'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 t="str">
        <f>IFERROR(__xludf.DUMMYFUNCTION("""COMPUTED_VALUE"""),"Packaging")</f>
        <v>Packaging</v>
      </c>
      <c r="BD12" s="73" t="str">
        <f>IFERROR(__xludf.DUMMYFUNCTION("""COMPUTED_VALUE"""),"Bakery Online")</f>
        <v>Bakery Online</v>
      </c>
      <c r="BE12" s="80"/>
      <c r="BF12" s="54"/>
      <c r="BG12" s="113" t="str">
        <f>IFERROR(__xludf.DUMMYFUNCTION("""COMPUTED_VALUE"""),"Offset")</f>
        <v>Offset</v>
      </c>
      <c r="BH12" s="73" t="str">
        <f>IFERROR(__xludf.DUMMYFUNCTION("""COMPUTED_VALUE"""),"Packaging")</f>
        <v>Packaging</v>
      </c>
      <c r="BI12" s="54" t="str">
        <f>IFERROR(__xludf.DUMMYFUNCTION("""COMPUTED_VALUE"""),"Other Type")</f>
        <v>Other Type</v>
      </c>
      <c r="BJ12" s="73" t="str">
        <f>IFERROR(__xludf.DUMMYFUNCTION("""COMPUTED_VALUE"""),"Plain")</f>
        <v>Plain</v>
      </c>
      <c r="BK12" s="80" t="str">
        <f>IFERROR(__xludf.DUMMYFUNCTION("""COMPUTED_VALUE"""),"Spot UV")</f>
        <v>Spot UV</v>
      </c>
      <c r="BL12" s="80" t="str">
        <f>IFERROR(__xludf.DUMMYFUNCTION("""COMPUTED_VALUE"""),"Without Print")</f>
        <v>Without Print</v>
      </c>
      <c r="BM12" s="107">
        <f>IFERROR(__xludf.DUMMYFUNCTION("""COMPUTED_VALUE"""),0.0)</f>
        <v>0</v>
      </c>
      <c r="BN12" s="107">
        <f>IFERROR(__xludf.DUMMYFUNCTION("""COMPUTED_VALUE"""),1926.0)</f>
        <v>1926</v>
      </c>
      <c r="BO12" s="80" t="str">
        <f>IFERROR(__xludf.DUMMYFUNCTION("""COMPUTED_VALUE"""),"New Job")</f>
        <v>New Job</v>
      </c>
      <c r="BP12" s="80" t="str">
        <f>IFERROR(__xludf.DUMMYFUNCTION("""COMPUTED_VALUE"""),"Leafing")</f>
        <v>Leafing</v>
      </c>
      <c r="BQ12" s="80" t="str">
        <f>IFERROR(__xludf.DUMMYFUNCTION("""COMPUTED_VALUE"""),"Yes")</f>
        <v>Yes</v>
      </c>
      <c r="BR12" s="80" t="str">
        <f>IFERROR(__xludf.DUMMYFUNCTION("""COMPUTED_VALUE"""),"Normal")</f>
        <v>Normal</v>
      </c>
      <c r="BS12" s="73" t="s">
        <v>27</v>
      </c>
      <c r="BT12" s="113" t="s">
        <v>68</v>
      </c>
      <c r="BU12" s="73" t="s">
        <v>182</v>
      </c>
      <c r="BV12" s="77">
        <f>Price!$Q$4</f>
        <v>52</v>
      </c>
      <c r="BW12" s="73"/>
      <c r="BX12" s="80"/>
      <c r="BY12" s="80"/>
      <c r="BZ12" s="107"/>
      <c r="CA12" s="80"/>
      <c r="CB12" s="80"/>
      <c r="CC12" s="107"/>
      <c r="CD12" s="80" t="str">
        <f t="shared" si="6"/>
        <v/>
      </c>
      <c r="CE12" s="80" t="str">
        <f t="shared" si="7"/>
        <v/>
      </c>
      <c r="CF12" s="80"/>
      <c r="CG12" s="80"/>
      <c r="CH12" s="80"/>
    </row>
    <row r="13">
      <c r="A13" s="123" t="str">
        <f>IFERROR(__xludf.DUMMYFUNCTION("QUERY(AJ15:AY2457,$D$12,0)"),"https://drive.google.com/open?id=1NLrZ9Hf7XX7ORpYJXuBzVfkGVvuPoBZu&amp;authuser=jay.agg%40gmail.com&amp;usp=drive_fs")</f>
        <v>https://drive.google.com/open?id=1NLrZ9Hf7XX7ORpYJXuBzVfkGVvuPoBZu&amp;authuser=jay.agg%40gmail.com&amp;usp=drive_fs</v>
      </c>
      <c r="B13" s="73" t="str">
        <f>IFERROR(__xludf.DUMMYFUNCTION("""COMPUTED_VALUE"""),"Bakery")</f>
        <v>Bakery</v>
      </c>
      <c r="C13" s="73" t="str">
        <f>IFERROR(__xludf.DUMMYFUNCTION("""COMPUTED_VALUE"""),"Brownie 2")</f>
        <v>Brownie 2</v>
      </c>
      <c r="D13" s="73" t="str">
        <f>IFERROR(__xludf.DUMMYFUNCTION("""COMPUTED_VALUE"""),"180*70*35 mm | 7*2.75*1.4 inch")</f>
        <v>180*70*35 mm | 7*2.75*1.4 inch</v>
      </c>
      <c r="E13" s="140">
        <f>IFERROR(__xludf.DUMMYFUNCTION("""COMPUTED_VALUE"""),4.0)</f>
        <v>4</v>
      </c>
      <c r="F13" s="107">
        <f>IFERROR(__xludf.DUMMYFUNCTION("""COMPUTED_VALUE"""),2029.0)</f>
        <v>2029</v>
      </c>
      <c r="G13" s="107">
        <f>IFERROR(__xludf.DUMMYFUNCTION("""COMPUTED_VALUE"""),19.0)</f>
        <v>19</v>
      </c>
      <c r="H13" s="77">
        <f>IFERROR(__xludf.DUMMYFUNCTION("""COMPUTED_VALUE"""),20.0)</f>
        <v>20</v>
      </c>
      <c r="I13" s="77">
        <f>IFERROR(__xludf.DUMMYFUNCTION("""COMPUTED_VALUE"""),100.0)</f>
        <v>100</v>
      </c>
      <c r="J13" s="73"/>
      <c r="K13" s="73"/>
      <c r="L13" s="73">
        <f>IFERROR(__xludf.DUMMYFUNCTION("""COMPUTED_VALUE"""),1.0)</f>
        <v>1</v>
      </c>
      <c r="M13" s="77"/>
      <c r="N13" s="77">
        <f>IFERROR(__xludf.DUMMYFUNCTION("""COMPUTED_VALUE"""),1.0)</f>
        <v>1</v>
      </c>
      <c r="O13" s="77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 t="str">
        <f>IFERROR(__xludf.DUMMYFUNCTION("""COMPUTED_VALUE"""),"Packaging")</f>
        <v>Packaging</v>
      </c>
      <c r="BD13" s="143" t="str">
        <f>IFERROR(__xludf.DUMMYFUNCTION("""COMPUTED_VALUE"""),"Beverages")</f>
        <v>Beverages</v>
      </c>
      <c r="BE13" s="80"/>
      <c r="BF13" s="54"/>
      <c r="BG13" s="113" t="str">
        <f>IFERROR(__xludf.DUMMYFUNCTION("""COMPUTED_VALUE"""),"Offset")</f>
        <v>Offset</v>
      </c>
      <c r="BH13" s="73" t="str">
        <f>IFERROR(__xludf.DUMMYFUNCTION("""COMPUTED_VALUE"""),"Packaging")</f>
        <v>Packaging</v>
      </c>
      <c r="BI13" s="54" t="str">
        <f>IFERROR(__xludf.DUMMYFUNCTION("""COMPUTED_VALUE"""),"Other Type")</f>
        <v>Other Type</v>
      </c>
      <c r="BJ13" s="73" t="str">
        <f>IFERROR(__xludf.DUMMYFUNCTION("""COMPUTED_VALUE"""),"Plain")</f>
        <v>Plain</v>
      </c>
      <c r="BK13" s="80" t="str">
        <f>IFERROR(__xludf.DUMMYFUNCTION("""COMPUTED_VALUE"""),"UV Crystal")</f>
        <v>UV Crystal</v>
      </c>
      <c r="BL13" s="80" t="str">
        <f>IFERROR(__xludf.DUMMYFUNCTION("""COMPUTED_VALUE"""),"Without Print")</f>
        <v>Without Print</v>
      </c>
      <c r="BM13" s="107">
        <f>IFERROR(__xludf.DUMMYFUNCTION("""COMPUTED_VALUE"""),0.0)</f>
        <v>0</v>
      </c>
      <c r="BN13" s="107">
        <f>IFERROR(__xludf.DUMMYFUNCTION("""COMPUTED_VALUE"""),1926.0)</f>
        <v>1926</v>
      </c>
      <c r="BO13" s="80" t="str">
        <f>IFERROR(__xludf.DUMMYFUNCTION("""COMPUTED_VALUE"""),"Repeat Job")</f>
        <v>Repeat Job</v>
      </c>
      <c r="BP13" s="80" t="str">
        <f>IFERROR(__xludf.DUMMYFUNCTION("""COMPUTED_VALUE"""),"Leafing")</f>
        <v>Leafing</v>
      </c>
      <c r="BQ13" s="80" t="str">
        <f>IFERROR(__xludf.DUMMYFUNCTION("""COMPUTED_VALUE"""),"N/A")</f>
        <v>N/A</v>
      </c>
      <c r="BR13" s="80" t="str">
        <f>IFERROR(__xludf.DUMMYFUNCTION("""COMPUTED_VALUE"""),"Normal")</f>
        <v>Normal</v>
      </c>
      <c r="BS13" s="73" t="s">
        <v>27</v>
      </c>
      <c r="BT13" s="88" t="s">
        <v>184</v>
      </c>
      <c r="BU13" s="73" t="s">
        <v>185</v>
      </c>
      <c r="BV13" s="107" t="str">
        <f t="shared" ref="BV13:BV15" si="8">$BV$9</f>
        <v/>
      </c>
      <c r="BW13" s="73"/>
      <c r="BX13" s="80"/>
      <c r="BY13" s="80"/>
      <c r="BZ13" s="107"/>
      <c r="CA13" s="80"/>
      <c r="CB13" s="80"/>
      <c r="CC13" s="107"/>
      <c r="CD13" s="80" t="str">
        <f t="shared" si="6"/>
        <v/>
      </c>
      <c r="CE13" s="80" t="str">
        <f t="shared" si="7"/>
        <v/>
      </c>
      <c r="CF13" s="80"/>
      <c r="CG13" s="80"/>
      <c r="CH13" s="80"/>
    </row>
    <row r="14">
      <c r="A14" s="144" t="s">
        <v>0</v>
      </c>
      <c r="B14" s="145" t="s">
        <v>1</v>
      </c>
      <c r="C14" s="146" t="s">
        <v>2</v>
      </c>
      <c r="D14" s="146" t="s">
        <v>3</v>
      </c>
      <c r="E14" s="147" t="s">
        <v>4</v>
      </c>
      <c r="F14" s="148" t="s">
        <v>5</v>
      </c>
      <c r="G14" s="149" t="s">
        <v>7</v>
      </c>
      <c r="H14" s="149" t="s">
        <v>8</v>
      </c>
      <c r="I14" s="150" t="s">
        <v>16</v>
      </c>
      <c r="J14" s="151" t="s">
        <v>193</v>
      </c>
      <c r="K14" s="151" t="s">
        <v>21</v>
      </c>
      <c r="L14" s="152" t="s">
        <v>22</v>
      </c>
      <c r="M14" s="152" t="s">
        <v>23</v>
      </c>
      <c r="N14" s="153" t="s">
        <v>194</v>
      </c>
      <c r="O14" s="154" t="s">
        <v>195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144" t="s">
        <v>0</v>
      </c>
      <c r="AK14" s="145" t="s">
        <v>1</v>
      </c>
      <c r="AL14" s="146" t="s">
        <v>2</v>
      </c>
      <c r="AM14" s="146" t="s">
        <v>3</v>
      </c>
      <c r="AN14" s="147" t="s">
        <v>4</v>
      </c>
      <c r="AO14" s="148" t="s">
        <v>5</v>
      </c>
      <c r="AP14" s="149" t="s">
        <v>7</v>
      </c>
      <c r="AQ14" s="149" t="s">
        <v>8</v>
      </c>
      <c r="AR14" s="150" t="s">
        <v>16</v>
      </c>
      <c r="AS14" s="151" t="s">
        <v>193</v>
      </c>
      <c r="AT14" s="151" t="s">
        <v>21</v>
      </c>
      <c r="AU14" s="152" t="s">
        <v>22</v>
      </c>
      <c r="AV14" s="152" t="s">
        <v>23</v>
      </c>
      <c r="AW14" s="153" t="s">
        <v>194</v>
      </c>
      <c r="AX14" s="154" t="s">
        <v>195</v>
      </c>
      <c r="AY14" s="73"/>
      <c r="AZ14" s="73"/>
      <c r="BA14" s="73"/>
      <c r="BB14" s="88" t="s">
        <v>62</v>
      </c>
      <c r="BC14" s="73" t="str">
        <f>IFERROR(__xludf.DUMMYFUNCTION("""COMPUTED_VALUE"""),"Packaging")</f>
        <v>Packaging</v>
      </c>
      <c r="BD14" s="73" t="str">
        <f>IFERROR(__xludf.DUMMYFUNCTION("""COMPUTED_VALUE"""),"BO")</f>
        <v>BO</v>
      </c>
      <c r="BE14" s="80"/>
      <c r="BF14" s="54"/>
      <c r="BG14" s="88" t="str">
        <f>IFERROR(__xludf.DUMMYFUNCTION("""COMPUTED_VALUE"""),"Offset")</f>
        <v>Offset</v>
      </c>
      <c r="BH14" s="73" t="str">
        <f>IFERROR(__xludf.DUMMYFUNCTION("""COMPUTED_VALUE"""),"Packaging")</f>
        <v>Packaging</v>
      </c>
      <c r="BI14" s="73" t="str">
        <f>IFERROR(__xludf.DUMMYFUNCTION("""COMPUTED_VALUE"""),"Other Type")</f>
        <v>Other Type</v>
      </c>
      <c r="BJ14" s="73" t="str">
        <f>IFERROR(__xludf.DUMMYFUNCTION("""COMPUTED_VALUE"""),"Plain")</f>
        <v>Plain</v>
      </c>
      <c r="BK14" s="80" t="str">
        <f>IFERROR(__xludf.DUMMYFUNCTION("""COMPUTED_VALUE"""),"Plain")</f>
        <v>Plain</v>
      </c>
      <c r="BL14" s="80" t="str">
        <f>IFERROR(__xludf.DUMMYFUNCTION("""COMPUTED_VALUE"""),"Without Print")</f>
        <v>Without Print</v>
      </c>
      <c r="BM14" s="107">
        <f>IFERROR(__xludf.DUMMYFUNCTION("""COMPUTED_VALUE"""),0.0)</f>
        <v>0</v>
      </c>
      <c r="BN14" s="107">
        <f>IFERROR(__xludf.DUMMYFUNCTION("""COMPUTED_VALUE"""),1926.0)</f>
        <v>1926</v>
      </c>
      <c r="BO14" s="80"/>
      <c r="BP14" s="80" t="str">
        <f>IFERROR(__xludf.DUMMYFUNCTION("""COMPUTED_VALUE"""),"Leafing")</f>
        <v>Leafing</v>
      </c>
      <c r="BQ14" s="80" t="str">
        <f>IFERROR(__xludf.DUMMYFUNCTION("""COMPUTED_VALUE"""),"N/A")</f>
        <v>N/A</v>
      </c>
      <c r="BR14" s="80" t="str">
        <f>IFERROR(__xludf.DUMMYFUNCTION("""COMPUTED_VALUE"""),"Normal")</f>
        <v>Normal</v>
      </c>
      <c r="BS14" s="73" t="s">
        <v>27</v>
      </c>
      <c r="BT14" s="88" t="s">
        <v>184</v>
      </c>
      <c r="BU14" s="73" t="s">
        <v>187</v>
      </c>
      <c r="BV14" s="107" t="str">
        <f t="shared" si="8"/>
        <v/>
      </c>
      <c r="BW14" s="80"/>
      <c r="BX14" s="80"/>
      <c r="BY14" s="80"/>
      <c r="BZ14" s="107"/>
      <c r="CA14" s="80"/>
      <c r="CB14" s="80"/>
      <c r="CC14" s="107"/>
      <c r="CD14" s="80" t="str">
        <f t="shared" si="6"/>
        <v/>
      </c>
      <c r="CE14" s="80" t="str">
        <f t="shared" si="7"/>
        <v/>
      </c>
      <c r="CF14" s="80"/>
      <c r="CG14" s="80"/>
      <c r="CH14" s="80"/>
    </row>
    <row r="15">
      <c r="A15" s="73"/>
      <c r="B15" s="88" t="s">
        <v>176</v>
      </c>
      <c r="C15" s="88" t="str">
        <f>B10</f>
        <v>Brownie 2</v>
      </c>
      <c r="D15" s="88" t="s">
        <v>196</v>
      </c>
      <c r="E15" s="140" t="str">
        <f>Product5!E2</f>
        <v/>
      </c>
      <c r="F15" s="140" t="str">
        <f>Product5!F2</f>
        <v/>
      </c>
      <c r="G15" s="107" t="str">
        <f>Product5!W16</f>
        <v/>
      </c>
      <c r="H15" s="107" t="str">
        <f>Product5!X16</f>
        <v/>
      </c>
      <c r="I15" s="86">
        <v>100.0</v>
      </c>
      <c r="J15" s="73"/>
      <c r="K15" s="73"/>
      <c r="L15" s="73"/>
      <c r="M15" s="77"/>
      <c r="N15" s="86">
        <v>1.0</v>
      </c>
      <c r="O15" s="77" t="str">
        <f>Product5!Y16</f>
        <v/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80" t="str">
        <f>IFERROR(__xludf.DUMMYFUNCTION("ifna(QUERY(A15:O2457,$I$11))"),"")</f>
        <v/>
      </c>
      <c r="AK15" s="73" t="str">
        <f>IFERROR(__xludf.DUMMYFUNCTION("""COMPUTED_VALUE"""),"All")</f>
        <v>All</v>
      </c>
      <c r="AL15" s="73" t="str">
        <f>IFERROR(__xludf.DUMMYFUNCTION("""COMPUTED_VALUE"""),"Brownie 2")</f>
        <v>Brownie 2</v>
      </c>
      <c r="AM15" s="73" t="str">
        <f>IFERROR(__xludf.DUMMYFUNCTION("""COMPUTED_VALUE"""),"Custom Size")</f>
        <v>Custom Size</v>
      </c>
      <c r="AN15" s="77" t="str">
        <f>IFERROR(__xludf.DUMMYFUNCTION("""COMPUTED_VALUE"""),"")</f>
        <v/>
      </c>
      <c r="AO15" s="77" t="str">
        <f>IFERROR(__xludf.DUMMYFUNCTION("""COMPUTED_VALUE"""),"")</f>
        <v/>
      </c>
      <c r="AP15" s="77" t="str">
        <f>IFERROR(__xludf.DUMMYFUNCTION("""COMPUTED_VALUE"""),"")</f>
        <v/>
      </c>
      <c r="AQ15" s="77" t="str">
        <f>IFERROR(__xludf.DUMMYFUNCTION("""COMPUTED_VALUE"""),"")</f>
        <v/>
      </c>
      <c r="AR15" s="77" t="str">
        <f>IFERROR(__xludf.DUMMYFUNCTION("""COMPUTED_VALUE"""),"100")</f>
        <v>100</v>
      </c>
      <c r="AS15" s="73" t="str">
        <f>IFERROR(__xludf.DUMMYFUNCTION("""COMPUTED_VALUE"""),"")</f>
        <v/>
      </c>
      <c r="AT15" s="73" t="str">
        <f>IFERROR(__xludf.DUMMYFUNCTION("""COMPUTED_VALUE"""),"")</f>
        <v/>
      </c>
      <c r="AU15" s="73" t="str">
        <f>IFERROR(__xludf.DUMMYFUNCTION("""COMPUTED_VALUE"""),"")</f>
        <v/>
      </c>
      <c r="AV15" s="77" t="str">
        <f>IFERROR(__xludf.DUMMYFUNCTION("""COMPUTED_VALUE"""),"")</f>
        <v/>
      </c>
      <c r="AW15" s="77" t="str">
        <f>IFERROR(__xludf.DUMMYFUNCTION("""COMPUTED_VALUE"""),"1")</f>
        <v>1</v>
      </c>
      <c r="AX15" s="77" t="str">
        <f>IFERROR(__xludf.DUMMYFUNCTION("""COMPUTED_VALUE"""),"")</f>
        <v/>
      </c>
      <c r="AY15" s="73"/>
      <c r="AZ15" s="73"/>
      <c r="BA15" s="139"/>
      <c r="BB15" s="113">
        <f t="array" ref="BB15">INDEX(Item!G2:G2457,MATCH(Quotation!B25,Item!F2:F2457,FALSE),1)</f>
        <v>1</v>
      </c>
      <c r="BC15" s="73" t="str">
        <f>IFERROR(__xludf.DUMMYFUNCTION("""COMPUTED_VALUE"""),"Packaging")</f>
        <v>Packaging</v>
      </c>
      <c r="BD15" s="73" t="str">
        <f>IFERROR(__xludf.DUMMYFUNCTION("""COMPUTED_VALUE"""),"Boult")</f>
        <v>Boult</v>
      </c>
      <c r="BE15" s="80"/>
      <c r="BF15" s="54"/>
      <c r="BG15" s="88"/>
      <c r="BH15" s="73"/>
      <c r="BI15" s="73"/>
      <c r="BJ15" s="73"/>
      <c r="BK15" s="80"/>
      <c r="BL15" s="80"/>
      <c r="BM15" s="107"/>
      <c r="BN15" s="107"/>
      <c r="BO15" s="80"/>
      <c r="BP15" s="80"/>
      <c r="BQ15" s="80"/>
      <c r="BR15" s="80"/>
      <c r="BS15" s="73" t="s">
        <v>27</v>
      </c>
      <c r="BT15" s="88" t="s">
        <v>184</v>
      </c>
      <c r="BU15" s="73" t="s">
        <v>197</v>
      </c>
      <c r="BV15" s="107" t="str">
        <f t="shared" si="8"/>
        <v/>
      </c>
      <c r="BW15" s="80"/>
      <c r="BX15" s="80"/>
      <c r="BY15" s="80"/>
      <c r="BZ15" s="107"/>
      <c r="CA15" s="80"/>
      <c r="CB15" s="80"/>
      <c r="CC15" s="107"/>
      <c r="CD15" s="80" t="str">
        <f t="shared" si="6"/>
        <v/>
      </c>
      <c r="CE15" s="80" t="str">
        <f t="shared" si="7"/>
        <v/>
      </c>
      <c r="CF15" s="80"/>
      <c r="CG15" s="80"/>
      <c r="CH15" s="80"/>
    </row>
    <row r="16">
      <c r="A16" s="155" t="str">
        <f>IFERROR(__xludf.DUMMYFUNCTION("QUERY(ALLDATA!$A2:$R2002,$F$12)"),"https://drive.google.com/open?id=1SKrBVoEF3dcL6O1nir2epYeqg2h9PMxu&amp;authuser=jay.agg%40gmail.com&amp;usp=drive_fs")</f>
        <v>https://drive.google.com/open?id=1SKrBVoEF3dcL6O1nir2epYeqg2h9PMxu&amp;authuser=jay.agg%40gmail.com&amp;usp=drive_fs</v>
      </c>
      <c r="B16" s="88" t="str">
        <f>IFERROR(__xludf.DUMMYFUNCTION("""COMPUTED_VALUE"""),"Bakery")</f>
        <v>Bakery</v>
      </c>
      <c r="C16" s="73" t="str">
        <f>IFERROR(__xludf.DUMMYFUNCTION("""COMPUTED_VALUE"""),"Brownie 1")</f>
        <v>Brownie 1</v>
      </c>
      <c r="D16" s="88" t="str">
        <f>IFERROR(__xludf.DUMMYFUNCTION("""COMPUTED_VALUE"""),"89*89*38 mm | 3.5*3.5*1.5 inch")</f>
        <v>89*89*38 mm | 3.5*3.5*1.5 inch</v>
      </c>
      <c r="E16" s="140">
        <f>IFERROR(__xludf.DUMMYFUNCTION("""COMPUTED_VALUE"""),6.0)</f>
        <v>6</v>
      </c>
      <c r="F16" s="80">
        <f>IFERROR(__xludf.DUMMYFUNCTION("""COMPUTED_VALUE"""),2029.0)</f>
        <v>2029</v>
      </c>
      <c r="G16" s="80">
        <f>IFERROR(__xludf.DUMMYFUNCTION("""COMPUTED_VALUE"""),19.5)</f>
        <v>19.5</v>
      </c>
      <c r="H16" s="73">
        <f>IFERROR(__xludf.DUMMYFUNCTION("""COMPUTED_VALUE"""),23.0)</f>
        <v>23</v>
      </c>
      <c r="I16" s="73">
        <f>IFERROR(__xludf.DUMMYFUNCTION("""COMPUTED_VALUE"""),100.0)</f>
        <v>100</v>
      </c>
      <c r="J16" s="73"/>
      <c r="K16" s="73"/>
      <c r="L16" s="73"/>
      <c r="M16" s="73"/>
      <c r="N16" s="73">
        <f>IFERROR(__xludf.DUMMYFUNCTION("""COMPUTED_VALUE"""),1.0)</f>
        <v>1</v>
      </c>
      <c r="O16" s="73"/>
      <c r="P16" s="73" t="str">
        <f>IFERROR(__xludf.DUMMYFUNCTION("""COMPUTED_VALUE"""),"Offset")</f>
        <v>Offset</v>
      </c>
      <c r="Q16" s="73" t="str">
        <f>IFERROR(__xludf.DUMMYFUNCTION("""COMPUTED_VALUE"""),"Packaging")</f>
        <v>Packaging</v>
      </c>
      <c r="R16" s="73" t="str">
        <f>IFERROR(__xludf.DUMMYFUNCTION("""COMPUTED_VALUE"""),"Bakery")</f>
        <v>Bakery</v>
      </c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156" t="str">
        <f>IFERROR(__xludf.DUMMYFUNCTION("""COMPUTED_VALUE"""),"https://drive.google.com/open?id=1NLrZ9Hf7XX7ORpYJXuBzVfkGVvuPoBZu&amp;authuser=jay.agg%40gmail.com&amp;usp=drive_fs")</f>
        <v>https://drive.google.com/open?id=1NLrZ9Hf7XX7ORpYJXuBzVfkGVvuPoBZu&amp;authuser=jay.agg%40gmail.com&amp;usp=drive_fs</v>
      </c>
      <c r="AK16" s="73" t="str">
        <f>IFERROR(__xludf.DUMMYFUNCTION("""COMPUTED_VALUE"""),"Bakery")</f>
        <v>Bakery</v>
      </c>
      <c r="AL16" s="73" t="str">
        <f>IFERROR(__xludf.DUMMYFUNCTION("""COMPUTED_VALUE"""),"Brownie 2")</f>
        <v>Brownie 2</v>
      </c>
      <c r="AM16" s="73" t="str">
        <f>IFERROR(__xludf.DUMMYFUNCTION("""COMPUTED_VALUE"""),"180*70*35 mm | 7*2.75*1.4 inch")</f>
        <v>180*70*35 mm | 7*2.75*1.4 inch</v>
      </c>
      <c r="AN16" s="73">
        <f>IFERROR(__xludf.DUMMYFUNCTION("""COMPUTED_VALUE"""),4.0)</f>
        <v>4</v>
      </c>
      <c r="AO16" s="73">
        <f>IFERROR(__xludf.DUMMYFUNCTION("""COMPUTED_VALUE"""),2029.0)</f>
        <v>2029</v>
      </c>
      <c r="AP16" s="73">
        <f>IFERROR(__xludf.DUMMYFUNCTION("""COMPUTED_VALUE"""),19.0)</f>
        <v>19</v>
      </c>
      <c r="AQ16" s="73">
        <f>IFERROR(__xludf.DUMMYFUNCTION("""COMPUTED_VALUE"""),20.0)</f>
        <v>20</v>
      </c>
      <c r="AR16" s="73">
        <f>IFERROR(__xludf.DUMMYFUNCTION("""COMPUTED_VALUE"""),100.0)</f>
        <v>100</v>
      </c>
      <c r="AS16" s="73"/>
      <c r="AT16" s="73"/>
      <c r="AU16" s="73">
        <f>IFERROR(__xludf.DUMMYFUNCTION("""COMPUTED_VALUE"""),1.0)</f>
        <v>1</v>
      </c>
      <c r="AV16" s="73"/>
      <c r="AW16" s="73">
        <f>IFERROR(__xludf.DUMMYFUNCTION("""COMPUTED_VALUE"""),1.0)</f>
        <v>1</v>
      </c>
      <c r="AX16" s="73"/>
      <c r="AY16" s="73"/>
      <c r="AZ16" s="73"/>
      <c r="BA16" s="73"/>
      <c r="BB16" s="73"/>
      <c r="BC16" s="73" t="str">
        <f>IFERROR(__xludf.DUMMYFUNCTION("""COMPUTED_VALUE"""),"Packaging")</f>
        <v>Packaging</v>
      </c>
      <c r="BD16" s="73" t="str">
        <f>IFERROR(__xludf.DUMMYFUNCTION("""COMPUTED_VALUE"""),"Camera")</f>
        <v>Camera</v>
      </c>
      <c r="BE16" s="80"/>
      <c r="BF16" s="54"/>
      <c r="BG16" s="88"/>
      <c r="BH16" s="73"/>
      <c r="BI16" s="73"/>
      <c r="BJ16" s="73"/>
      <c r="BK16" s="80"/>
      <c r="BL16" s="80"/>
      <c r="BM16" s="107"/>
      <c r="BN16" s="107"/>
      <c r="BO16" s="80"/>
      <c r="BP16" s="80"/>
      <c r="BQ16" s="80"/>
      <c r="BR16" s="80"/>
      <c r="BS16" s="139" t="s">
        <v>28</v>
      </c>
      <c r="BT16" s="73" t="s">
        <v>189</v>
      </c>
      <c r="BU16" s="73" t="s">
        <v>178</v>
      </c>
      <c r="BV16" s="107">
        <f>Price!$R$2</f>
        <v>70</v>
      </c>
      <c r="BW16" s="73"/>
      <c r="BX16" s="80"/>
      <c r="BY16" s="80"/>
      <c r="BZ16" s="80"/>
      <c r="CA16" s="80"/>
      <c r="CB16" s="80"/>
      <c r="CC16" s="80"/>
      <c r="CD16" s="80" t="str">
        <f t="shared" si="6"/>
        <v/>
      </c>
      <c r="CE16" s="80" t="str">
        <f t="shared" si="7"/>
        <v/>
      </c>
      <c r="CF16" s="80"/>
      <c r="CG16" s="80"/>
      <c r="CH16" s="80"/>
    </row>
    <row r="17">
      <c r="A17" s="157" t="str">
        <f>IFERROR(__xludf.DUMMYFUNCTION("""COMPUTED_VALUE"""),"https://drive.google.com/open?id=1NLrZ9Hf7XX7ORpYJXuBzVfkGVvuPoBZu&amp;authuser=jay.agg%40gmail.com&amp;usp=drive_fs")</f>
        <v>https://drive.google.com/open?id=1NLrZ9Hf7XX7ORpYJXuBzVfkGVvuPoBZu&amp;authuser=jay.agg%40gmail.com&amp;usp=drive_fs</v>
      </c>
      <c r="B17" s="73" t="str">
        <f>IFERROR(__xludf.DUMMYFUNCTION("""COMPUTED_VALUE"""),"Bakery")</f>
        <v>Bakery</v>
      </c>
      <c r="C17" s="73" t="str">
        <f>IFERROR(__xludf.DUMMYFUNCTION("""COMPUTED_VALUE"""),"Brownie 2")</f>
        <v>Brownie 2</v>
      </c>
      <c r="D17" s="73" t="str">
        <f>IFERROR(__xludf.DUMMYFUNCTION("""COMPUTED_VALUE"""),"180*70*35 mm | 7*2.75*1.4 inch")</f>
        <v>180*70*35 mm | 7*2.75*1.4 inch</v>
      </c>
      <c r="E17" s="140">
        <f>IFERROR(__xludf.DUMMYFUNCTION("""COMPUTED_VALUE"""),4.0)</f>
        <v>4</v>
      </c>
      <c r="F17" s="80">
        <f>IFERROR(__xludf.DUMMYFUNCTION("""COMPUTED_VALUE"""),2029.0)</f>
        <v>2029</v>
      </c>
      <c r="G17" s="80">
        <f>IFERROR(__xludf.DUMMYFUNCTION("""COMPUTED_VALUE"""),19.0)</f>
        <v>19</v>
      </c>
      <c r="H17" s="73">
        <f>IFERROR(__xludf.DUMMYFUNCTION("""COMPUTED_VALUE"""),20.0)</f>
        <v>20</v>
      </c>
      <c r="I17" s="73">
        <f>IFERROR(__xludf.DUMMYFUNCTION("""COMPUTED_VALUE"""),100.0)</f>
        <v>100</v>
      </c>
      <c r="J17" s="73"/>
      <c r="K17" s="73"/>
      <c r="L17" s="73">
        <f>IFERROR(__xludf.DUMMYFUNCTION("""COMPUTED_VALUE"""),1.0)</f>
        <v>1</v>
      </c>
      <c r="M17" s="73"/>
      <c r="N17" s="73">
        <f>IFERROR(__xludf.DUMMYFUNCTION("""COMPUTED_VALUE"""),1.0)</f>
        <v>1</v>
      </c>
      <c r="O17" s="73"/>
      <c r="P17" s="73" t="str">
        <f>IFERROR(__xludf.DUMMYFUNCTION("""COMPUTED_VALUE"""),"Offset")</f>
        <v>Offset</v>
      </c>
      <c r="Q17" s="73" t="str">
        <f>IFERROR(__xludf.DUMMYFUNCTION("""COMPUTED_VALUE"""),"Packaging")</f>
        <v>Packaging</v>
      </c>
      <c r="R17" s="73" t="str">
        <f>IFERROR(__xludf.DUMMYFUNCTION("""COMPUTED_VALUE"""),"Bakery")</f>
        <v>Bakery</v>
      </c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 t="str">
        <f>IFERROR(__xludf.DUMMYFUNCTION("""COMPUTED_VALUE"""),"Packaging")</f>
        <v>Packaging</v>
      </c>
      <c r="BD17" s="73" t="str">
        <f>IFERROR(__xludf.DUMMYFUNCTION("""COMPUTED_VALUE"""),"Candle")</f>
        <v>Candle</v>
      </c>
      <c r="BE17" s="80"/>
      <c r="BF17" s="54"/>
      <c r="BG17" s="113"/>
      <c r="BH17" s="73"/>
      <c r="BI17" s="73"/>
      <c r="BJ17" s="73"/>
      <c r="BK17" s="80"/>
      <c r="BL17" s="80"/>
      <c r="BM17" s="107"/>
      <c r="BN17" s="107"/>
      <c r="BO17" s="80"/>
      <c r="BP17" s="80"/>
      <c r="BQ17" s="80"/>
      <c r="BR17" s="80"/>
      <c r="BS17" s="139" t="s">
        <v>28</v>
      </c>
      <c r="BT17" s="139" t="s">
        <v>191</v>
      </c>
      <c r="BU17" s="73" t="s">
        <v>180</v>
      </c>
      <c r="BV17" s="107">
        <f>Price!$R$3</f>
        <v>50</v>
      </c>
      <c r="BW17" s="73"/>
      <c r="BX17" s="80"/>
      <c r="BY17" s="80"/>
      <c r="BZ17" s="80"/>
      <c r="CA17" s="80"/>
      <c r="CB17" s="80"/>
      <c r="CC17" s="80"/>
      <c r="CD17" s="80" t="str">
        <f t="shared" si="6"/>
        <v/>
      </c>
      <c r="CE17" s="80" t="str">
        <f t="shared" si="7"/>
        <v/>
      </c>
      <c r="CF17" s="80"/>
      <c r="CG17" s="80"/>
      <c r="CH17" s="80"/>
    </row>
    <row r="18">
      <c r="A18" s="156" t="str">
        <f>IFERROR(__xludf.DUMMYFUNCTION("""COMPUTED_VALUE"""),"https://drive.google.com/open?id=1P1qVjLlcYO2PpKu_xhl6aPeCZBCymvJ_&amp;authuser=jay.agg%40gmail.com&amp;usp=drive_fs")</f>
        <v>https://drive.google.com/open?id=1P1qVjLlcYO2PpKu_xhl6aPeCZBCymvJ_&amp;authuser=jay.agg%40gmail.com&amp;usp=drive_fs</v>
      </c>
      <c r="B18" s="73" t="str">
        <f>IFERROR(__xludf.DUMMYFUNCTION("""COMPUTED_VALUE"""),"Bakery")</f>
        <v>Bakery</v>
      </c>
      <c r="C18" s="73" t="str">
        <f>IFERROR(__xludf.DUMMYFUNCTION("""COMPUTED_VALUE"""),"Brownie 4")</f>
        <v>Brownie 4</v>
      </c>
      <c r="D18" s="73" t="str">
        <f>IFERROR(__xludf.DUMMYFUNCTION("""COMPUTED_VALUE"""),"165*125*40 mm | 5*1.5*6.5 inch")</f>
        <v>165*125*40 mm | 5*1.5*6.5 inch</v>
      </c>
      <c r="E18" s="140">
        <f>IFERROR(__xludf.DUMMYFUNCTION("""COMPUTED_VALUE"""),1.0)</f>
        <v>1</v>
      </c>
      <c r="F18" s="80">
        <f>IFERROR(__xludf.DUMMYFUNCTION("""COMPUTED_VALUE"""),1926.0)</f>
        <v>1926</v>
      </c>
      <c r="G18" s="80">
        <f>IFERROR(__xludf.DUMMYFUNCTION("""COMPUTED_VALUE"""),18.0)</f>
        <v>18</v>
      </c>
      <c r="H18" s="73">
        <f>IFERROR(__xludf.DUMMYFUNCTION("""COMPUTED_VALUE"""),23.0)</f>
        <v>23</v>
      </c>
      <c r="I18" s="73">
        <f>IFERROR(__xludf.DUMMYFUNCTION("""COMPUTED_VALUE"""),100.0)</f>
        <v>100</v>
      </c>
      <c r="J18" s="73"/>
      <c r="K18" s="73"/>
      <c r="L18" s="73"/>
      <c r="M18" s="73">
        <f>IFERROR(__xludf.DUMMYFUNCTION("""COMPUTED_VALUE"""),0.1)</f>
        <v>0.1</v>
      </c>
      <c r="N18" s="73">
        <f>IFERROR(__xludf.DUMMYFUNCTION("""COMPUTED_VALUE"""),1.0)</f>
        <v>1</v>
      </c>
      <c r="O18" s="73"/>
      <c r="P18" s="73" t="str">
        <f>IFERROR(__xludf.DUMMYFUNCTION("""COMPUTED_VALUE"""),"Offset")</f>
        <v>Offset</v>
      </c>
      <c r="Q18" s="73" t="str">
        <f>IFERROR(__xludf.DUMMYFUNCTION("""COMPUTED_VALUE"""),"Packaging")</f>
        <v>Packaging</v>
      </c>
      <c r="R18" s="73" t="str">
        <f>IFERROR(__xludf.DUMMYFUNCTION("""COMPUTED_VALUE"""),"Bakery")</f>
        <v>Bakery</v>
      </c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88"/>
      <c r="BA18" s="88"/>
      <c r="BB18" s="73"/>
      <c r="BC18" s="73" t="str">
        <f>IFERROR(__xludf.DUMMYFUNCTION("""COMPUTED_VALUE"""),"Packaging")</f>
        <v>Packaging</v>
      </c>
      <c r="BD18" s="73" t="str">
        <f>IFERROR(__xludf.DUMMYFUNCTION("""COMPUTED_VALUE"""),"Carry Bag")</f>
        <v>Carry Bag</v>
      </c>
      <c r="BE18" s="80"/>
      <c r="BF18" s="54"/>
      <c r="BG18" s="113"/>
      <c r="BH18" s="73"/>
      <c r="BI18" s="73"/>
      <c r="BJ18" s="73"/>
      <c r="BK18" s="80"/>
      <c r="BL18" s="80"/>
      <c r="BM18" s="80"/>
      <c r="BN18" s="80"/>
      <c r="BO18" s="80"/>
      <c r="BP18" s="80"/>
      <c r="BQ18" s="80"/>
      <c r="BR18" s="80"/>
      <c r="BS18" s="139" t="s">
        <v>28</v>
      </c>
      <c r="BT18" s="139" t="s">
        <v>68</v>
      </c>
      <c r="BU18" s="73" t="s">
        <v>182</v>
      </c>
      <c r="BV18" s="107">
        <f>Price!$R$4</f>
        <v>47</v>
      </c>
      <c r="BW18" s="73"/>
      <c r="BX18" s="80"/>
      <c r="BY18" s="80"/>
      <c r="BZ18" s="80"/>
      <c r="CA18" s="80"/>
      <c r="CB18" s="80"/>
      <c r="CC18" s="80"/>
      <c r="CD18" s="80" t="str">
        <f t="shared" si="6"/>
        <v/>
      </c>
      <c r="CE18" s="80" t="str">
        <f t="shared" si="7"/>
        <v/>
      </c>
      <c r="CF18" s="80"/>
      <c r="CG18" s="80"/>
      <c r="CH18" s="80"/>
    </row>
    <row r="19">
      <c r="A19" s="156" t="str">
        <f>IFERROR(__xludf.DUMMYFUNCTION("""COMPUTED_VALUE"""),"https://drive.google.com/open?id=1P3tbAVUb9rgsCLuz3mWDqM8bXi6sUp6K&amp;authuser=jay.agg%40gmail.com&amp;usp=drive_fs")</f>
        <v>https://drive.google.com/open?id=1P3tbAVUb9rgsCLuz3mWDqM8bXi6sUp6K&amp;authuser=jay.agg%40gmail.com&amp;usp=drive_fs</v>
      </c>
      <c r="B19" s="73" t="str">
        <f>IFERROR(__xludf.DUMMYFUNCTION("""COMPUTED_VALUE"""),"Bakery")</f>
        <v>Bakery</v>
      </c>
      <c r="C19" s="73" t="str">
        <f>IFERROR(__xludf.DUMMYFUNCTION("""COMPUTED_VALUE"""),"Brownie 6")</f>
        <v>Brownie 6</v>
      </c>
      <c r="D19" s="73" t="str">
        <f>IFERROR(__xludf.DUMMYFUNCTION("""COMPUTED_VALUE"""),"230*125*50 mm | 5*2*9 inch")</f>
        <v>230*125*50 mm | 5*2*9 inch</v>
      </c>
      <c r="E19" s="140">
        <f>IFERROR(__xludf.DUMMYFUNCTION("""COMPUTED_VALUE"""),2.0)</f>
        <v>2</v>
      </c>
      <c r="F19" s="80">
        <f>IFERROR(__xludf.DUMMYFUNCTION("""COMPUTED_VALUE"""),2029.0)</f>
        <v>2029</v>
      </c>
      <c r="G19" s="80">
        <f>IFERROR(__xludf.DUMMYFUNCTION("""COMPUTED_VALUE"""),18.0)</f>
        <v>18</v>
      </c>
      <c r="H19" s="73">
        <f>IFERROR(__xludf.DUMMYFUNCTION("""COMPUTED_VALUE"""),28.0)</f>
        <v>28</v>
      </c>
      <c r="I19" s="73">
        <f>IFERROR(__xludf.DUMMYFUNCTION("""COMPUTED_VALUE"""),100.0)</f>
        <v>100</v>
      </c>
      <c r="J19" s="73"/>
      <c r="K19" s="73"/>
      <c r="L19" s="73"/>
      <c r="M19" s="73"/>
      <c r="N19" s="73">
        <f>IFERROR(__xludf.DUMMYFUNCTION("""COMPUTED_VALUE"""),1.0)</f>
        <v>1</v>
      </c>
      <c r="O19" s="73"/>
      <c r="P19" s="73" t="str">
        <f>IFERROR(__xludf.DUMMYFUNCTION("""COMPUTED_VALUE"""),"Offset")</f>
        <v>Offset</v>
      </c>
      <c r="Q19" s="73" t="str">
        <f>IFERROR(__xludf.DUMMYFUNCTION("""COMPUTED_VALUE"""),"Packaging")</f>
        <v>Packaging</v>
      </c>
      <c r="R19" s="73" t="str">
        <f>IFERROR(__xludf.DUMMYFUNCTION("""COMPUTED_VALUE"""),"Bakery")</f>
        <v>Bakery</v>
      </c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88"/>
      <c r="BA19" s="88"/>
      <c r="BB19" s="73"/>
      <c r="BC19" s="73" t="str">
        <f>IFERROR(__xludf.DUMMYFUNCTION("""COMPUTED_VALUE"""),"Packaging")</f>
        <v>Packaging</v>
      </c>
      <c r="BD19" s="73" t="str">
        <f>IFERROR(__xludf.DUMMYFUNCTION("""COMPUTED_VALUE"""),"Cerene")</f>
        <v>Cerene</v>
      </c>
      <c r="BE19" s="80"/>
      <c r="BF19" s="54"/>
      <c r="BG19" s="113"/>
      <c r="BH19" s="73"/>
      <c r="BI19" s="73"/>
      <c r="BJ19" s="73"/>
      <c r="BK19" s="80"/>
      <c r="BL19" s="80"/>
      <c r="BM19" s="80"/>
      <c r="BN19" s="80"/>
      <c r="BO19" s="80"/>
      <c r="BP19" s="80"/>
      <c r="BQ19" s="80"/>
      <c r="BR19" s="80"/>
      <c r="BS19" s="139" t="s">
        <v>28</v>
      </c>
      <c r="BT19" s="88" t="s">
        <v>184</v>
      </c>
      <c r="BU19" s="73" t="s">
        <v>185</v>
      </c>
      <c r="BV19" s="107" t="str">
        <f t="shared" ref="BV19:BV21" si="9">$BV$9</f>
        <v/>
      </c>
      <c r="BW19" s="77"/>
      <c r="BX19" s="80"/>
      <c r="BY19" s="80"/>
      <c r="BZ19" s="80"/>
      <c r="CA19" s="80"/>
      <c r="CB19" s="80"/>
      <c r="CC19" s="80"/>
      <c r="CD19" s="80" t="str">
        <f t="shared" si="6"/>
        <v/>
      </c>
      <c r="CE19" s="80" t="str">
        <f t="shared" si="7"/>
        <v/>
      </c>
      <c r="CF19" s="80"/>
      <c r="CG19" s="80"/>
      <c r="CH19" s="80"/>
    </row>
    <row r="20">
      <c r="A20" s="156" t="str">
        <f>IFERROR(__xludf.DUMMYFUNCTION("""COMPUTED_VALUE"""),"https://drive.google.com/open?id=1NKo9EGEy_OTROxqHiyGwdFTKamnXBFl-&amp;authuser=jay.agg%40gmail.com&amp;usp=drive_fs")</f>
        <v>https://drive.google.com/open?id=1NKo9EGEy_OTROxqHiyGwdFTKamnXBFl-&amp;authuser=jay.agg%40gmail.com&amp;usp=drive_fs</v>
      </c>
      <c r="B20" s="73" t="str">
        <f>IFERROR(__xludf.DUMMYFUNCTION("""COMPUTED_VALUE"""),"Bakery")</f>
        <v>Bakery</v>
      </c>
      <c r="C20" s="73" t="str">
        <f>IFERROR(__xludf.DUMMYFUNCTION("""COMPUTED_VALUE"""),"Brownie 9")</f>
        <v>Brownie 9</v>
      </c>
      <c r="D20" s="73" t="str">
        <f>IFERROR(__xludf.DUMMYFUNCTION("""COMPUTED_VALUE"""),"200*200*50 mm | 7.8*7.8*2 inch TB")</f>
        <v>200*200*50 mm | 7.8*7.8*2 inch TB</v>
      </c>
      <c r="E20" s="140">
        <f>IFERROR(__xludf.DUMMYFUNCTION("""COMPUTED_VALUE"""),1.0)</f>
        <v>1</v>
      </c>
      <c r="F20" s="80">
        <f>IFERROR(__xludf.DUMMYFUNCTION("""COMPUTED_VALUE"""),2029.0)</f>
        <v>2029</v>
      </c>
      <c r="G20" s="80">
        <f>IFERROR(__xludf.DUMMYFUNCTION("""COMPUTED_VALUE"""),21.0)</f>
        <v>21</v>
      </c>
      <c r="H20" s="73">
        <f>IFERROR(__xludf.DUMMYFUNCTION("""COMPUTED_VALUE"""),36.0)</f>
        <v>36</v>
      </c>
      <c r="I20" s="73">
        <f>IFERROR(__xludf.DUMMYFUNCTION("""COMPUTED_VALUE"""),100.0)</f>
        <v>100</v>
      </c>
      <c r="J20" s="73"/>
      <c r="K20" s="73"/>
      <c r="L20" s="73"/>
      <c r="M20" s="73"/>
      <c r="N20" s="73">
        <f>IFERROR(__xludf.DUMMYFUNCTION("""COMPUTED_VALUE"""),1.0)</f>
        <v>1</v>
      </c>
      <c r="O20" s="73"/>
      <c r="P20" s="73" t="str">
        <f>IFERROR(__xludf.DUMMYFUNCTION("""COMPUTED_VALUE"""),"Offset")</f>
        <v>Offset</v>
      </c>
      <c r="Q20" s="73" t="str">
        <f>IFERROR(__xludf.DUMMYFUNCTION("""COMPUTED_VALUE"""),"Packaging")</f>
        <v>Packaging</v>
      </c>
      <c r="R20" s="73" t="str">
        <f>IFERROR(__xludf.DUMMYFUNCTION("""COMPUTED_VALUE"""),"Bakery")</f>
        <v>Bakery</v>
      </c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 t="str">
        <f>IFERROR(__xludf.DUMMYFUNCTION("""COMPUTED_VALUE"""),"Packaging")</f>
        <v>Packaging</v>
      </c>
      <c r="BD20" s="73" t="str">
        <f>IFERROR(__xludf.DUMMYFUNCTION("""COMPUTED_VALUE"""),"Computer Accessories")</f>
        <v>Computer Accessories</v>
      </c>
      <c r="BE20" s="80"/>
      <c r="BF20" s="54"/>
      <c r="BG20" s="113"/>
      <c r="BH20" s="73"/>
      <c r="BI20" s="73"/>
      <c r="BJ20" s="73"/>
      <c r="BK20" s="80"/>
      <c r="BL20" s="80"/>
      <c r="BM20" s="80"/>
      <c r="BN20" s="80"/>
      <c r="BO20" s="80"/>
      <c r="BP20" s="80"/>
      <c r="BQ20" s="80"/>
      <c r="BR20" s="80"/>
      <c r="BS20" s="139" t="s">
        <v>28</v>
      </c>
      <c r="BT20" s="88" t="s">
        <v>184</v>
      </c>
      <c r="BU20" s="73" t="s">
        <v>187</v>
      </c>
      <c r="BV20" s="107" t="str">
        <f t="shared" si="9"/>
        <v/>
      </c>
      <c r="BW20" s="77"/>
      <c r="BX20" s="80"/>
      <c r="BY20" s="80"/>
      <c r="BZ20" s="80"/>
      <c r="CA20" s="80"/>
      <c r="CB20" s="80"/>
      <c r="CC20" s="80"/>
      <c r="CD20" s="80" t="str">
        <f t="shared" si="6"/>
        <v/>
      </c>
      <c r="CE20" s="80" t="str">
        <f t="shared" si="7"/>
        <v/>
      </c>
      <c r="CF20" s="80"/>
      <c r="CG20" s="80"/>
      <c r="CH20" s="80"/>
    </row>
    <row r="21">
      <c r="A21" s="156" t="str">
        <f>IFERROR(__xludf.DUMMYFUNCTION("""COMPUTED_VALUE"""),"https://drive.google.com/open?id=1_JKl-tnZg0v5n2NxfPWcjmDL9ReCUQx2&amp;authuser=jay.agg%40gmail.com&amp;usp=drive_fs")</f>
        <v>https://drive.google.com/open?id=1_JKl-tnZg0v5n2NxfPWcjmDL9ReCUQx2&amp;authuser=jay.agg%40gmail.com&amp;usp=drive_fs</v>
      </c>
      <c r="B21" s="73" t="str">
        <f>IFERROR(__xludf.DUMMYFUNCTION("""COMPUTED_VALUE"""),"Bakery")</f>
        <v>Bakery</v>
      </c>
      <c r="C21" s="73" t="str">
        <f>IFERROR(__xludf.DUMMYFUNCTION("""COMPUTED_VALUE"""),"Burger")</f>
        <v>Burger</v>
      </c>
      <c r="D21" s="73" t="str">
        <f>IFERROR(__xludf.DUMMYFUNCTION("""COMPUTED_VALUE"""),"120*120*50 mm | 4.7*4.7*2 inch")</f>
        <v>120*120*50 mm | 4.7*4.7*2 inch</v>
      </c>
      <c r="E21" s="140">
        <f>IFERROR(__xludf.DUMMYFUNCTION("""COMPUTED_VALUE"""),1.0)</f>
        <v>1</v>
      </c>
      <c r="F21" s="80">
        <f>IFERROR(__xludf.DUMMYFUNCTION("""COMPUTED_VALUE"""),1926.0)</f>
        <v>1926</v>
      </c>
      <c r="G21" s="80">
        <f>IFERROR(__xludf.DUMMYFUNCTION("""COMPUTED_VALUE"""),11.5)</f>
        <v>11.5</v>
      </c>
      <c r="H21" s="73">
        <f>IFERROR(__xludf.DUMMYFUNCTION("""COMPUTED_VALUE"""),19.5)</f>
        <v>19.5</v>
      </c>
      <c r="I21" s="73">
        <f>IFERROR(__xludf.DUMMYFUNCTION("""COMPUTED_VALUE"""),100.0)</f>
        <v>100</v>
      </c>
      <c r="J21" s="73"/>
      <c r="K21" s="73"/>
      <c r="L21" s="73"/>
      <c r="M21" s="73">
        <f>IFERROR(__xludf.DUMMYFUNCTION("""COMPUTED_VALUE"""),0.24)</f>
        <v>0.24</v>
      </c>
      <c r="N21" s="73">
        <f>IFERROR(__xludf.DUMMYFUNCTION("""COMPUTED_VALUE"""),1.0)</f>
        <v>1</v>
      </c>
      <c r="O21" s="73"/>
      <c r="P21" s="73" t="str">
        <f>IFERROR(__xludf.DUMMYFUNCTION("""COMPUTED_VALUE"""),"Offset")</f>
        <v>Offset</v>
      </c>
      <c r="Q21" s="73" t="str">
        <f>IFERROR(__xludf.DUMMYFUNCTION("""COMPUTED_VALUE"""),"Packaging")</f>
        <v>Packaging</v>
      </c>
      <c r="R21" s="73" t="str">
        <f>IFERROR(__xludf.DUMMYFUNCTION("""COMPUTED_VALUE"""),"Bakery")</f>
        <v>Bakery</v>
      </c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139" t="str">
        <f>IFERROR(__xludf.DUMMYFUNCTION("""COMPUTED_VALUE"""),"Packaging")</f>
        <v>Packaging</v>
      </c>
      <c r="BD21" s="139" t="str">
        <f>IFERROR(__xludf.DUMMYFUNCTION("""COMPUTED_VALUE"""),"Cones")</f>
        <v>Cones</v>
      </c>
      <c r="BE21" s="139"/>
      <c r="BF21" s="73"/>
      <c r="BG21" s="73"/>
      <c r="BH21" s="139"/>
      <c r="BI21" s="139"/>
      <c r="BJ21" s="139"/>
      <c r="BK21" s="139"/>
      <c r="BL21" s="73"/>
      <c r="BM21" s="80"/>
      <c r="BN21" s="80"/>
      <c r="BO21" s="80"/>
      <c r="BP21" s="80"/>
      <c r="BQ21" s="80"/>
      <c r="BR21" s="80"/>
      <c r="BS21" s="139" t="s">
        <v>28</v>
      </c>
      <c r="BT21" s="88" t="s">
        <v>184</v>
      </c>
      <c r="BU21" s="73" t="s">
        <v>197</v>
      </c>
      <c r="BV21" s="107" t="str">
        <f t="shared" si="9"/>
        <v/>
      </c>
      <c r="BW21" s="73"/>
      <c r="BX21" s="80"/>
      <c r="BY21" s="80"/>
      <c r="BZ21" s="80"/>
      <c r="CA21" s="80"/>
      <c r="CB21" s="80"/>
      <c r="CC21" s="80"/>
      <c r="CD21" s="80" t="str">
        <f t="shared" si="6"/>
        <v/>
      </c>
      <c r="CE21" s="80" t="str">
        <f t="shared" si="7"/>
        <v/>
      </c>
      <c r="CF21" s="80"/>
      <c r="CG21" s="80"/>
      <c r="CH21" s="80"/>
    </row>
    <row r="22">
      <c r="A22" s="156" t="str">
        <f>IFERROR(__xludf.DUMMYFUNCTION("""COMPUTED_VALUE"""),"https://drive.google.com/open?id=1PGaH2FJqFiaNcamQsnlEdWRhmJohB2nf&amp;authuser=jay.agg%40gmail.com&amp;usp=drive_fs")</f>
        <v>https://drive.google.com/open?id=1PGaH2FJqFiaNcamQsnlEdWRhmJohB2nf&amp;authuser=jay.agg%40gmail.com&amp;usp=drive_fs</v>
      </c>
      <c r="B22" s="73" t="str">
        <f>IFERROR(__xludf.DUMMYFUNCTION("""COMPUTED_VALUE"""),"Bakery")</f>
        <v>Bakery</v>
      </c>
      <c r="C22" s="73" t="str">
        <f>IFERROR(__xludf.DUMMYFUNCTION("""COMPUTED_VALUE"""),"Cake Box")</f>
        <v>Cake Box</v>
      </c>
      <c r="D22" s="73" t="str">
        <f>IFERROR(__xludf.DUMMYFUNCTION("""COMPUTED_VALUE"""),"0.5 Kg 178*178*102 mm | 7*7*4 inch")</f>
        <v>0.5 Kg 178*178*102 mm | 7*7*4 inch</v>
      </c>
      <c r="E22" s="140">
        <f>IFERROR(__xludf.DUMMYFUNCTION("""COMPUTED_VALUE"""),1.0)</f>
        <v>1</v>
      </c>
      <c r="F22" s="80">
        <f>IFERROR(__xludf.DUMMYFUNCTION("""COMPUTED_VALUE"""),1926.0)</f>
        <v>1926</v>
      </c>
      <c r="G22" s="80">
        <f>IFERROR(__xludf.DUMMYFUNCTION("""COMPUTED_VALUE"""),13.0)</f>
        <v>13</v>
      </c>
      <c r="H22" s="73">
        <f>IFERROR(__xludf.DUMMYFUNCTION("""COMPUTED_VALUE"""),23.0)</f>
        <v>23</v>
      </c>
      <c r="I22" s="73">
        <f>IFERROR(__xludf.DUMMYFUNCTION("""COMPUTED_VALUE"""),100.0)</f>
        <v>100</v>
      </c>
      <c r="J22" s="73"/>
      <c r="K22" s="73"/>
      <c r="L22" s="73">
        <f>IFERROR(__xludf.DUMMYFUNCTION("""COMPUTED_VALUE"""),1.5)</f>
        <v>1.5</v>
      </c>
      <c r="M22" s="73"/>
      <c r="N22" s="73">
        <f>IFERROR(__xludf.DUMMYFUNCTION("""COMPUTED_VALUE"""),1.0)</f>
        <v>1</v>
      </c>
      <c r="O22" s="73"/>
      <c r="P22" s="73" t="str">
        <f>IFERROR(__xludf.DUMMYFUNCTION("""COMPUTED_VALUE"""),"Offset")</f>
        <v>Offset</v>
      </c>
      <c r="Q22" s="73" t="str">
        <f>IFERROR(__xludf.DUMMYFUNCTION("""COMPUTED_VALUE"""),"Packaging")</f>
        <v>Packaging</v>
      </c>
      <c r="R22" s="73" t="str">
        <f>IFERROR(__xludf.DUMMYFUNCTION("""COMPUTED_VALUE"""),"Bakery")</f>
        <v>Bakery</v>
      </c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 t="str">
        <f>IFERROR(__xludf.DUMMYFUNCTION("""COMPUTED_VALUE"""),"Packaging")</f>
        <v>Packaging</v>
      </c>
      <c r="BD22" s="73" t="str">
        <f>IFERROR(__xludf.DUMMYFUNCTION("""COMPUTED_VALUE"""),"Corrugation")</f>
        <v>Corrugation</v>
      </c>
      <c r="BE22" s="73"/>
      <c r="BF22" s="73"/>
      <c r="BG22" s="73"/>
      <c r="BH22" s="73"/>
      <c r="BI22" s="139"/>
      <c r="BJ22" s="73"/>
      <c r="BK22" s="73"/>
      <c r="BL22" s="139"/>
      <c r="BM22" s="80"/>
      <c r="BN22" s="73"/>
      <c r="BO22" s="80"/>
      <c r="BP22" s="80"/>
      <c r="BQ22" s="80"/>
      <c r="BR22" s="80"/>
      <c r="BS22" s="139" t="s">
        <v>30</v>
      </c>
      <c r="BT22" s="73" t="s">
        <v>68</v>
      </c>
      <c r="BU22" s="73" t="s">
        <v>198</v>
      </c>
      <c r="BV22" s="77">
        <f>Price!$Q$7</f>
        <v>78</v>
      </c>
      <c r="BW22" s="73"/>
      <c r="BX22" s="80"/>
      <c r="BY22" s="80"/>
      <c r="BZ22" s="80"/>
      <c r="CA22" s="80"/>
      <c r="CB22" s="80"/>
      <c r="CC22" s="80"/>
      <c r="CD22" s="80" t="str">
        <f t="shared" si="6"/>
        <v/>
      </c>
      <c r="CE22" s="80" t="str">
        <f t="shared" si="7"/>
        <v/>
      </c>
      <c r="CF22" s="80"/>
      <c r="CG22" s="80"/>
      <c r="CH22" s="80"/>
    </row>
    <row r="23">
      <c r="A23" s="156" t="str">
        <f>IFERROR(__xludf.DUMMYFUNCTION("""COMPUTED_VALUE"""),"https://drive.google.com/open?id=1PO6TlEGisYQjmf11rTDA_SVjC9lIieBe&amp;authuser=jay.agg%40gmail.com&amp;usp=drive_fs")</f>
        <v>https://drive.google.com/open?id=1PO6TlEGisYQjmf11rTDA_SVjC9lIieBe&amp;authuser=jay.agg%40gmail.com&amp;usp=drive_fs</v>
      </c>
      <c r="B23" s="73" t="str">
        <f>IFERROR(__xludf.DUMMYFUNCTION("""COMPUTED_VALUE"""),"Bakery")</f>
        <v>Bakery</v>
      </c>
      <c r="C23" s="73" t="str">
        <f>IFERROR(__xludf.DUMMYFUNCTION("""COMPUTED_VALUE"""),"Cake Box")</f>
        <v>Cake Box</v>
      </c>
      <c r="D23" s="73" t="str">
        <f>IFERROR(__xludf.DUMMYFUNCTION("""COMPUTED_VALUE"""),"1Kg 9*9*6 inch")</f>
        <v>1Kg 9*9*6 inch</v>
      </c>
      <c r="E23" s="140">
        <f>IFERROR(__xludf.DUMMYFUNCTION("""COMPUTED_VALUE"""),1.0)</f>
        <v>1</v>
      </c>
      <c r="F23" s="80">
        <f>IFERROR(__xludf.DUMMYFUNCTION("""COMPUTED_VALUE"""),2840.0)</f>
        <v>2840</v>
      </c>
      <c r="G23" s="80">
        <f>IFERROR(__xludf.DUMMYFUNCTION("""COMPUTED_VALUE"""),20.75)</f>
        <v>20.75</v>
      </c>
      <c r="H23" s="73">
        <f>IFERROR(__xludf.DUMMYFUNCTION("""COMPUTED_VALUE"""),31.5)</f>
        <v>31.5</v>
      </c>
      <c r="I23" s="73">
        <f>IFERROR(__xludf.DUMMYFUNCTION("""COMPUTED_VALUE"""),100.0)</f>
        <v>100</v>
      </c>
      <c r="J23" s="73"/>
      <c r="K23" s="73"/>
      <c r="L23" s="73"/>
      <c r="M23" s="73"/>
      <c r="N23" s="73">
        <f>IFERROR(__xludf.DUMMYFUNCTION("""COMPUTED_VALUE"""),1.0)</f>
        <v>1</v>
      </c>
      <c r="O23" s="73"/>
      <c r="P23" s="73" t="str">
        <f>IFERROR(__xludf.DUMMYFUNCTION("""COMPUTED_VALUE"""),"Offset")</f>
        <v>Offset</v>
      </c>
      <c r="Q23" s="73" t="str">
        <f>IFERROR(__xludf.DUMMYFUNCTION("""COMPUTED_VALUE"""),"Packaging")</f>
        <v>Packaging</v>
      </c>
      <c r="R23" s="73" t="str">
        <f>IFERROR(__xludf.DUMMYFUNCTION("""COMPUTED_VALUE"""),"Bakery")</f>
        <v>Bakery</v>
      </c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 t="str">
        <f>IFERROR(__xludf.DUMMYFUNCTION("""COMPUTED_VALUE"""),"Packaging")</f>
        <v>Packaging</v>
      </c>
      <c r="BD23" s="73" t="str">
        <f>IFERROR(__xludf.DUMMYFUNCTION("""COMPUTED_VALUE"""),"Cosmetic")</f>
        <v>Cosmetic</v>
      </c>
      <c r="BE23" s="73"/>
      <c r="BF23" s="73"/>
      <c r="BG23" s="73"/>
      <c r="BH23" s="73"/>
      <c r="BI23" s="139"/>
      <c r="BJ23" s="73"/>
      <c r="BK23" s="73"/>
      <c r="BL23" s="139"/>
      <c r="BM23" s="80"/>
      <c r="BN23" s="73"/>
      <c r="BO23" s="80"/>
      <c r="BP23" s="80"/>
      <c r="BQ23" s="80"/>
      <c r="BR23" s="80"/>
      <c r="BS23" s="139" t="s">
        <v>30</v>
      </c>
      <c r="BT23" s="88" t="s">
        <v>184</v>
      </c>
      <c r="BU23" s="73" t="s">
        <v>199</v>
      </c>
      <c r="BV23" s="73" t="str">
        <f>Quotation!$C$21</f>
        <v/>
      </c>
      <c r="BW23" s="73"/>
      <c r="BX23" s="80"/>
      <c r="BY23" s="80"/>
      <c r="BZ23" s="80"/>
      <c r="CA23" s="80"/>
      <c r="CB23" s="80"/>
      <c r="CC23" s="80"/>
      <c r="CD23" s="80" t="str">
        <f t="shared" si="6"/>
        <v/>
      </c>
      <c r="CE23" s="80" t="str">
        <f t="shared" si="7"/>
        <v/>
      </c>
      <c r="CF23" s="80"/>
      <c r="CG23" s="80"/>
      <c r="CH23" s="80"/>
    </row>
    <row r="24">
      <c r="A24" s="156" t="str">
        <f>IFERROR(__xludf.DUMMYFUNCTION("""COMPUTED_VALUE"""),"https://drive.google.com/open?id=1PQJOexa-4GtuFZKuNhr0dfS6GSSoeVyQ&amp;authuser=jay.agg%40gmail.com&amp;usp=drive_fs")</f>
        <v>https://drive.google.com/open?id=1PQJOexa-4GtuFZKuNhr0dfS6GSSoeVyQ&amp;authuser=jay.agg%40gmail.com&amp;usp=drive_fs</v>
      </c>
      <c r="B24" s="73" t="str">
        <f>IFERROR(__xludf.DUMMYFUNCTION("""COMPUTED_VALUE"""),"Bakery")</f>
        <v>Bakery</v>
      </c>
      <c r="C24" s="73" t="str">
        <f>IFERROR(__xludf.DUMMYFUNCTION("""COMPUTED_VALUE"""),"Cake Box")</f>
        <v>Cake Box</v>
      </c>
      <c r="D24" s="73" t="str">
        <f>IFERROR(__xludf.DUMMYFUNCTION("""COMPUTED_VALUE"""),"0.5Kg 203*203*127 mm | 8*8*5 inch | 28*17")</f>
        <v>0.5Kg 203*203*127 mm | 8*8*5 inch | 28*17</v>
      </c>
      <c r="E24" s="140">
        <f>IFERROR(__xludf.DUMMYFUNCTION("""COMPUTED_VALUE"""),1.0)</f>
        <v>1</v>
      </c>
      <c r="F24" s="80">
        <f>IFERROR(__xludf.DUMMYFUNCTION("""COMPUTED_VALUE"""),2029.0)</f>
        <v>2029</v>
      </c>
      <c r="G24" s="80">
        <f>IFERROR(__xludf.DUMMYFUNCTION("""COMPUTED_VALUE"""),20.0)</f>
        <v>20</v>
      </c>
      <c r="H24" s="73">
        <f>IFERROR(__xludf.DUMMYFUNCTION("""COMPUTED_VALUE"""),28.0)</f>
        <v>28</v>
      </c>
      <c r="I24" s="73">
        <f>IFERROR(__xludf.DUMMYFUNCTION("""COMPUTED_VALUE"""),100.0)</f>
        <v>100</v>
      </c>
      <c r="J24" s="73"/>
      <c r="K24" s="73"/>
      <c r="L24" s="73"/>
      <c r="M24" s="73"/>
      <c r="N24" s="73">
        <f>IFERROR(__xludf.DUMMYFUNCTION("""COMPUTED_VALUE"""),1.0)</f>
        <v>1</v>
      </c>
      <c r="O24" s="73"/>
      <c r="P24" s="73" t="str">
        <f>IFERROR(__xludf.DUMMYFUNCTION("""COMPUTED_VALUE"""),"Offset")</f>
        <v>Offset</v>
      </c>
      <c r="Q24" s="73" t="str">
        <f>IFERROR(__xludf.DUMMYFUNCTION("""COMPUTED_VALUE"""),"Packaging")</f>
        <v>Packaging</v>
      </c>
      <c r="R24" s="73" t="str">
        <f>IFERROR(__xludf.DUMMYFUNCTION("""COMPUTED_VALUE"""),"Bakery")</f>
        <v>Bakery</v>
      </c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 t="str">
        <f>IFERROR(__xludf.DUMMYFUNCTION("""COMPUTED_VALUE"""),"Packaging")</f>
        <v>Packaging</v>
      </c>
      <c r="BD24" s="73" t="str">
        <f>IFERROR(__xludf.DUMMYFUNCTION("""COMPUTED_VALUE"""),"Cup")</f>
        <v>Cup</v>
      </c>
      <c r="BE24" s="73"/>
      <c r="BF24" s="73"/>
      <c r="BG24" s="73"/>
      <c r="BH24" s="73"/>
      <c r="BI24" s="73"/>
      <c r="BJ24" s="73"/>
      <c r="BK24" s="73"/>
      <c r="BL24" s="80"/>
      <c r="BM24" s="80"/>
      <c r="BN24" s="73"/>
      <c r="BO24" s="80"/>
      <c r="BP24" s="80"/>
      <c r="BQ24" s="80"/>
      <c r="BR24" s="80"/>
      <c r="BS24" s="139" t="s">
        <v>30</v>
      </c>
      <c r="BT24" s="73" t="s">
        <v>68</v>
      </c>
      <c r="BU24" s="73" t="s">
        <v>200</v>
      </c>
      <c r="BV24" s="77">
        <f t="shared" ref="BV24:BV28" si="10">$BV$22</f>
        <v>78</v>
      </c>
      <c r="BW24" s="73"/>
      <c r="BX24" s="80"/>
      <c r="BY24" s="80"/>
      <c r="BZ24" s="80"/>
      <c r="CA24" s="80"/>
      <c r="CB24" s="80"/>
      <c r="CC24" s="80"/>
      <c r="CD24" s="80" t="str">
        <f t="shared" si="6"/>
        <v/>
      </c>
      <c r="CE24" s="80" t="str">
        <f t="shared" si="7"/>
        <v/>
      </c>
      <c r="CF24" s="80"/>
      <c r="CG24" s="80"/>
      <c r="CH24" s="80"/>
    </row>
    <row r="25">
      <c r="A25" s="156" t="str">
        <f>IFERROR(__xludf.DUMMYFUNCTION("""COMPUTED_VALUE"""),"https://drive.google.com/open?id=1PR-nafINydU3fQWPFdZ7QXfirO1hPosI&amp;authuser=jay.agg%40gmail.com&amp;usp=drive_fs")</f>
        <v>https://drive.google.com/open?id=1PR-nafINydU3fQWPFdZ7QXfirO1hPosI&amp;authuser=jay.agg%40gmail.com&amp;usp=drive_fs</v>
      </c>
      <c r="B25" s="73" t="str">
        <f>IFERROR(__xludf.DUMMYFUNCTION("""COMPUTED_VALUE"""),"Bakery")</f>
        <v>Bakery</v>
      </c>
      <c r="C25" s="73" t="str">
        <f>IFERROR(__xludf.DUMMYFUNCTION("""COMPUTED_VALUE"""),"Cake Box")</f>
        <v>Cake Box</v>
      </c>
      <c r="D25" s="73" t="str">
        <f>IFERROR(__xludf.DUMMYFUNCTION("""COMPUTED_VALUE"""),"1Kg 254*254*127 mm | 10*10*5 inch | 32*19")</f>
        <v>1Kg 254*254*127 mm | 10*10*5 inch | 32*19</v>
      </c>
      <c r="E25" s="140">
        <f>IFERROR(__xludf.DUMMYFUNCTION("""COMPUTED_VALUE"""),1.0)</f>
        <v>1</v>
      </c>
      <c r="F25" s="80">
        <f>IFERROR(__xludf.DUMMYFUNCTION("""COMPUTED_VALUE"""),2840.0)</f>
        <v>2840</v>
      </c>
      <c r="G25" s="80">
        <f>IFERROR(__xludf.DUMMYFUNCTION("""COMPUTED_VALUE"""),20.75)</f>
        <v>20.75</v>
      </c>
      <c r="H25" s="73">
        <f>IFERROR(__xludf.DUMMYFUNCTION("""COMPUTED_VALUE"""),31.5)</f>
        <v>31.5</v>
      </c>
      <c r="I25" s="73">
        <f>IFERROR(__xludf.DUMMYFUNCTION("""COMPUTED_VALUE"""),100.0)</f>
        <v>100</v>
      </c>
      <c r="J25" s="73"/>
      <c r="K25" s="73"/>
      <c r="L25" s="73"/>
      <c r="M25" s="73"/>
      <c r="N25" s="73">
        <f>IFERROR(__xludf.DUMMYFUNCTION("""COMPUTED_VALUE"""),1.0)</f>
        <v>1</v>
      </c>
      <c r="O25" s="73"/>
      <c r="P25" s="73" t="str">
        <f>IFERROR(__xludf.DUMMYFUNCTION("""COMPUTED_VALUE"""),"Offset")</f>
        <v>Offset</v>
      </c>
      <c r="Q25" s="73" t="str">
        <f>IFERROR(__xludf.DUMMYFUNCTION("""COMPUTED_VALUE"""),"Packaging")</f>
        <v>Packaging</v>
      </c>
      <c r="R25" s="73" t="str">
        <f>IFERROR(__xludf.DUMMYFUNCTION("""COMPUTED_VALUE"""),"Bakery")</f>
        <v>Bakery</v>
      </c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 t="str">
        <f>IFERROR(__xludf.DUMMYFUNCTION("""COMPUTED_VALUE"""),"Packaging")</f>
        <v>Packaging</v>
      </c>
      <c r="BD25" s="73" t="str">
        <f>IFERROR(__xludf.DUMMYFUNCTION("""COMPUTED_VALUE"""),"Daily Essential")</f>
        <v>Daily Essential</v>
      </c>
      <c r="BE25" s="73"/>
      <c r="BF25" s="73"/>
      <c r="BG25" s="73"/>
      <c r="BH25" s="73"/>
      <c r="BI25" s="139"/>
      <c r="BJ25" s="73"/>
      <c r="BK25" s="73"/>
      <c r="BL25" s="139"/>
      <c r="BM25" s="80"/>
      <c r="BN25" s="73"/>
      <c r="BO25" s="80"/>
      <c r="BP25" s="80"/>
      <c r="BQ25" s="80"/>
      <c r="BR25" s="80"/>
      <c r="BS25" s="139" t="s">
        <v>30</v>
      </c>
      <c r="BT25" s="73" t="s">
        <v>68</v>
      </c>
      <c r="BU25" s="73" t="s">
        <v>201</v>
      </c>
      <c r="BV25" s="77">
        <f t="shared" si="10"/>
        <v>78</v>
      </c>
      <c r="BW25" s="73"/>
      <c r="BX25" s="80"/>
      <c r="BY25" s="80"/>
      <c r="BZ25" s="80"/>
      <c r="CA25" s="80"/>
      <c r="CB25" s="80"/>
      <c r="CC25" s="80"/>
      <c r="CD25" s="80" t="str">
        <f t="shared" si="6"/>
        <v/>
      </c>
      <c r="CE25" s="80" t="str">
        <f t="shared" si="7"/>
        <v/>
      </c>
      <c r="CF25" s="80"/>
      <c r="CG25" s="80"/>
      <c r="CH25" s="80"/>
    </row>
    <row r="26">
      <c r="A26" s="156" t="str">
        <f>IFERROR(__xludf.DUMMYFUNCTION("""COMPUTED_VALUE"""),"https://drive.google.com/open?id=1PWnDnFzKi-u__xJcDPQikhHsJcC-t9Bj&amp;authuser=jay.agg%40gmail.com&amp;usp=drive_fs")</f>
        <v>https://drive.google.com/open?id=1PWnDnFzKi-u__xJcDPQikhHsJcC-t9Bj&amp;authuser=jay.agg%40gmail.com&amp;usp=drive_fs</v>
      </c>
      <c r="B26" s="73" t="str">
        <f>IFERROR(__xludf.DUMMYFUNCTION("""COMPUTED_VALUE"""),"Bakery")</f>
        <v>Bakery</v>
      </c>
      <c r="C26" s="73" t="str">
        <f>IFERROR(__xludf.DUMMYFUNCTION("""COMPUTED_VALUE"""),"Cake Box")</f>
        <v>Cake Box</v>
      </c>
      <c r="D26" s="73" t="str">
        <f>IFERROR(__xludf.DUMMYFUNCTION("""COMPUTED_VALUE"""),"2Kg 305*304*127 mm | 12*12*5 inch | 22*36")</f>
        <v>2Kg 305*304*127 mm | 12*12*5 inch | 22*36</v>
      </c>
      <c r="E26" s="140">
        <f>IFERROR(__xludf.DUMMYFUNCTION("""COMPUTED_VALUE"""),1.0)</f>
        <v>1</v>
      </c>
      <c r="F26" s="80">
        <f>IFERROR(__xludf.DUMMYFUNCTION("""COMPUTED_VALUE"""),2840.0)</f>
        <v>2840</v>
      </c>
      <c r="G26" s="80">
        <f>IFERROR(__xludf.DUMMYFUNCTION("""COMPUTED_VALUE"""),23.0)</f>
        <v>23</v>
      </c>
      <c r="H26" s="73">
        <f>IFERROR(__xludf.DUMMYFUNCTION("""COMPUTED_VALUE"""),36.0)</f>
        <v>36</v>
      </c>
      <c r="I26" s="73">
        <f>IFERROR(__xludf.DUMMYFUNCTION("""COMPUTED_VALUE"""),100.0)</f>
        <v>100</v>
      </c>
      <c r="J26" s="73"/>
      <c r="K26" s="73"/>
      <c r="L26" s="73"/>
      <c r="M26" s="73"/>
      <c r="N26" s="73">
        <f>IFERROR(__xludf.DUMMYFUNCTION("""COMPUTED_VALUE"""),1.0)</f>
        <v>1</v>
      </c>
      <c r="O26" s="73"/>
      <c r="P26" s="73" t="str">
        <f>IFERROR(__xludf.DUMMYFUNCTION("""COMPUTED_VALUE"""),"Offset")</f>
        <v>Offset</v>
      </c>
      <c r="Q26" s="73" t="str">
        <f>IFERROR(__xludf.DUMMYFUNCTION("""COMPUTED_VALUE"""),"Packaging")</f>
        <v>Packaging</v>
      </c>
      <c r="R26" s="73" t="str">
        <f>IFERROR(__xludf.DUMMYFUNCTION("""COMPUTED_VALUE"""),"Bakery")</f>
        <v>Bakery</v>
      </c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 t="str">
        <f>IFERROR(__xludf.DUMMYFUNCTION("""COMPUTED_VALUE"""),"Packaging")</f>
        <v>Packaging</v>
      </c>
      <c r="BD26" s="73" t="str">
        <f>IFERROR(__xludf.DUMMYFUNCTION("""COMPUTED_VALUE"""),"Dhoop")</f>
        <v>Dhoop</v>
      </c>
      <c r="BE26" s="73"/>
      <c r="BF26" s="73"/>
      <c r="BG26" s="73"/>
      <c r="BH26" s="73"/>
      <c r="BI26" s="139"/>
      <c r="BJ26" s="73"/>
      <c r="BK26" s="73"/>
      <c r="BL26" s="139"/>
      <c r="BM26" s="80"/>
      <c r="BN26" s="80"/>
      <c r="BO26" s="80"/>
      <c r="BP26" s="80"/>
      <c r="BQ26" s="80"/>
      <c r="BR26" s="80"/>
      <c r="BS26" s="139" t="s">
        <v>30</v>
      </c>
      <c r="BT26" s="73" t="s">
        <v>68</v>
      </c>
      <c r="BU26" s="73" t="s">
        <v>202</v>
      </c>
      <c r="BV26" s="77">
        <f t="shared" si="10"/>
        <v>78</v>
      </c>
      <c r="BW26" s="73"/>
      <c r="BX26" s="80"/>
      <c r="BY26" s="80"/>
      <c r="BZ26" s="80"/>
      <c r="CA26" s="80"/>
      <c r="CB26" s="80"/>
      <c r="CC26" s="80"/>
      <c r="CD26" s="80" t="str">
        <f t="shared" si="6"/>
        <v/>
      </c>
      <c r="CE26" s="80" t="str">
        <f t="shared" si="7"/>
        <v/>
      </c>
      <c r="CF26" s="80"/>
      <c r="CG26" s="80"/>
      <c r="CH26" s="80"/>
    </row>
    <row r="27">
      <c r="A27" s="156" t="str">
        <f>IFERROR(__xludf.DUMMYFUNCTION("""COMPUTED_VALUE"""),"https://drive.google.com/open?id=1CxpmydiWdrTgZTCnku5c5rEHVSJSeEOZ&amp;authuser=jay.agg%40gmail.com&amp;usp=drive_fs")</f>
        <v>https://drive.google.com/open?id=1CxpmydiWdrTgZTCnku5c5rEHVSJSeEOZ&amp;authuser=jay.agg%40gmail.com&amp;usp=drive_fs</v>
      </c>
      <c r="B27" s="73" t="str">
        <f>IFERROR(__xludf.DUMMYFUNCTION("""COMPUTED_VALUE"""),"Bakery")</f>
        <v>Bakery</v>
      </c>
      <c r="C27" s="73" t="str">
        <f>IFERROR(__xludf.DUMMYFUNCTION("""COMPUTED_VALUE"""),"Cake Box")</f>
        <v>Cake Box</v>
      </c>
      <c r="D27" s="73" t="str">
        <f>IFERROR(__xludf.DUMMYFUNCTION("""COMPUTED_VALUE"""),"1Kg 8*8*6 inch Bottom")</f>
        <v>1Kg 8*8*6 inch Bottom</v>
      </c>
      <c r="E27" s="140">
        <f>IFERROR(__xludf.DUMMYFUNCTION("""COMPUTED_VALUE"""),1.0)</f>
        <v>1</v>
      </c>
      <c r="F27" s="80">
        <f>IFERROR(__xludf.DUMMYFUNCTION("""COMPUTED_VALUE"""),1926.0)</f>
        <v>1926</v>
      </c>
      <c r="G27" s="80">
        <f>IFERROR(__xludf.DUMMYFUNCTION("""COMPUTED_VALUE"""),18.0)</f>
        <v>18</v>
      </c>
      <c r="H27" s="73">
        <f>IFERROR(__xludf.DUMMYFUNCTION("""COMPUTED_VALUE"""),21.0)</f>
        <v>21</v>
      </c>
      <c r="I27" s="73">
        <f>IFERROR(__xludf.DUMMYFUNCTION("""COMPUTED_VALUE"""),100.0)</f>
        <v>100</v>
      </c>
      <c r="J27" s="73"/>
      <c r="K27" s="73"/>
      <c r="L27" s="73"/>
      <c r="M27" s="73"/>
      <c r="N27" s="73">
        <f>IFERROR(__xludf.DUMMYFUNCTION("""COMPUTED_VALUE"""),1.0)</f>
        <v>1</v>
      </c>
      <c r="O27" s="73"/>
      <c r="P27" s="73" t="str">
        <f>IFERROR(__xludf.DUMMYFUNCTION("""COMPUTED_VALUE"""),"Offset")</f>
        <v>Offset</v>
      </c>
      <c r="Q27" s="73" t="str">
        <f>IFERROR(__xludf.DUMMYFUNCTION("""COMPUTED_VALUE"""),"Packaging")</f>
        <v>Packaging</v>
      </c>
      <c r="R27" s="73" t="str">
        <f>IFERROR(__xludf.DUMMYFUNCTION("""COMPUTED_VALUE"""),"Bakery")</f>
        <v>Bakery</v>
      </c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 t="str">
        <f>IFERROR(__xludf.DUMMYFUNCTION("""COMPUTED_VALUE"""),"Packaging")</f>
        <v>Packaging</v>
      </c>
      <c r="BD27" s="73" t="str">
        <f>IFERROR(__xludf.DUMMYFUNCTION("""COMPUTED_VALUE"""),"Dude Love")</f>
        <v>Dude Love</v>
      </c>
      <c r="BE27" s="73"/>
      <c r="BF27" s="73"/>
      <c r="BG27" s="73"/>
      <c r="BH27" s="73"/>
      <c r="BI27" s="73"/>
      <c r="BJ27" s="73"/>
      <c r="BK27" s="73"/>
      <c r="BL27" s="80"/>
      <c r="BM27" s="80"/>
      <c r="BN27" s="80"/>
      <c r="BO27" s="80"/>
      <c r="BP27" s="80"/>
      <c r="BQ27" s="80"/>
      <c r="BR27" s="80"/>
      <c r="BS27" s="139" t="s">
        <v>30</v>
      </c>
      <c r="BT27" s="73" t="s">
        <v>68</v>
      </c>
      <c r="BU27" s="73" t="s">
        <v>203</v>
      </c>
      <c r="BV27" s="77">
        <f t="shared" si="10"/>
        <v>78</v>
      </c>
      <c r="BW27" s="73"/>
      <c r="BX27" s="80"/>
      <c r="BY27" s="80"/>
      <c r="BZ27" s="80"/>
      <c r="CA27" s="80"/>
      <c r="CB27" s="80"/>
      <c r="CC27" s="80"/>
      <c r="CD27" s="80" t="str">
        <f t="shared" si="6"/>
        <v/>
      </c>
      <c r="CE27" s="80" t="str">
        <f t="shared" si="7"/>
        <v/>
      </c>
      <c r="CF27" s="80"/>
      <c r="CG27" s="80"/>
      <c r="CH27" s="80"/>
    </row>
    <row r="28">
      <c r="A28" s="156" t="str">
        <f>IFERROR(__xludf.DUMMYFUNCTION("""COMPUTED_VALUE"""),"https://drive.google.com/open?id=1D3hjwUP0P8lFx9WD_i9STXsfY7uqE-26&amp;authuser=jay.agg%40gmail.com&amp;usp=drive_fs")</f>
        <v>https://drive.google.com/open?id=1D3hjwUP0P8lFx9WD_i9STXsfY7uqE-26&amp;authuser=jay.agg%40gmail.com&amp;usp=drive_fs</v>
      </c>
      <c r="B28" s="73" t="str">
        <f>IFERROR(__xludf.DUMMYFUNCTION("""COMPUTED_VALUE"""),"Bakery")</f>
        <v>Bakery</v>
      </c>
      <c r="C28" s="73" t="str">
        <f>IFERROR(__xludf.DUMMYFUNCTION("""COMPUTED_VALUE"""),"Cake Box")</f>
        <v>Cake Box</v>
      </c>
      <c r="D28" s="73" t="str">
        <f>IFERROR(__xludf.DUMMYFUNCTION("""COMPUTED_VALUE"""),"1Kg 8*8*6 | 8*8*2.5 inch Top")</f>
        <v>1Kg 8*8*6 | 8*8*2.5 inch Top</v>
      </c>
      <c r="E28" s="140">
        <f>IFERROR(__xludf.DUMMYFUNCTION("""COMPUTED_VALUE"""),2.0)</f>
        <v>2</v>
      </c>
      <c r="F28" s="80">
        <f>IFERROR(__xludf.DUMMYFUNCTION("""COMPUTED_VALUE"""),2029.0)</f>
        <v>2029</v>
      </c>
      <c r="G28" s="80">
        <f>IFERROR(__xludf.DUMMYFUNCTION("""COMPUTED_VALUE"""),13.4)</f>
        <v>13.4</v>
      </c>
      <c r="H28" s="73">
        <f>IFERROR(__xludf.DUMMYFUNCTION("""COMPUTED_VALUE"""),28.0)</f>
        <v>28</v>
      </c>
      <c r="I28" s="73">
        <f>IFERROR(__xludf.DUMMYFUNCTION("""COMPUTED_VALUE"""),100.0)</f>
        <v>100</v>
      </c>
      <c r="J28" s="73"/>
      <c r="K28" s="73"/>
      <c r="L28" s="73"/>
      <c r="M28" s="73">
        <f>IFERROR(__xludf.DUMMYFUNCTION("""COMPUTED_VALUE"""),0.23)</f>
        <v>0.23</v>
      </c>
      <c r="N28" s="73">
        <f>IFERROR(__xludf.DUMMYFUNCTION("""COMPUTED_VALUE"""),1.0)</f>
        <v>1</v>
      </c>
      <c r="O28" s="73"/>
      <c r="P28" s="73" t="str">
        <f>IFERROR(__xludf.DUMMYFUNCTION("""COMPUTED_VALUE"""),"Offset")</f>
        <v>Offset</v>
      </c>
      <c r="Q28" s="73" t="str">
        <f>IFERROR(__xludf.DUMMYFUNCTION("""COMPUTED_VALUE"""),"Packaging")</f>
        <v>Packaging</v>
      </c>
      <c r="R28" s="73" t="str">
        <f>IFERROR(__xludf.DUMMYFUNCTION("""COMPUTED_VALUE"""),"Bakery")</f>
        <v>Bakery</v>
      </c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 t="str">
        <f>IFERROR(__xludf.DUMMYFUNCTION("""COMPUTED_VALUE"""),"Packaging")</f>
        <v>Packaging</v>
      </c>
      <c r="BD28" s="73" t="str">
        <f>IFERROR(__xludf.DUMMYFUNCTION("""COMPUTED_VALUE"""),"Electricity")</f>
        <v>Electricity</v>
      </c>
      <c r="BE28" s="73"/>
      <c r="BF28" s="73"/>
      <c r="BG28" s="73"/>
      <c r="BH28" s="73"/>
      <c r="BI28" s="73"/>
      <c r="BJ28" s="73"/>
      <c r="BK28" s="73"/>
      <c r="BL28" s="80"/>
      <c r="BM28" s="80"/>
      <c r="BN28" s="80"/>
      <c r="BO28" s="80"/>
      <c r="BP28" s="80"/>
      <c r="BQ28" s="80"/>
      <c r="BR28" s="80"/>
      <c r="BS28" s="139" t="s">
        <v>30</v>
      </c>
      <c r="BT28" s="73" t="s">
        <v>68</v>
      </c>
      <c r="BU28" s="73" t="s">
        <v>204</v>
      </c>
      <c r="BV28" s="77">
        <f t="shared" si="10"/>
        <v>78</v>
      </c>
      <c r="BW28" s="73"/>
      <c r="BX28" s="80"/>
      <c r="BY28" s="80"/>
      <c r="BZ28" s="80"/>
      <c r="CA28" s="80"/>
      <c r="CB28" s="80"/>
      <c r="CC28" s="80"/>
      <c r="CD28" s="80" t="str">
        <f t="shared" si="6"/>
        <v/>
      </c>
      <c r="CE28" s="80" t="str">
        <f t="shared" si="7"/>
        <v/>
      </c>
      <c r="CF28" s="80"/>
      <c r="CG28" s="80"/>
      <c r="CH28" s="80"/>
    </row>
    <row r="29">
      <c r="A29" s="156" t="str">
        <f>IFERROR(__xludf.DUMMYFUNCTION("""COMPUTED_VALUE"""),"https://drive.google.com/open?id=1Fc9oTKR7b821HkTrG_zI5QSWnLPrSVLg&amp;authuser=jay.agg%40gmail.com&amp;usp=drive_fs")</f>
        <v>https://drive.google.com/open?id=1Fc9oTKR7b821HkTrG_zI5QSWnLPrSVLg&amp;authuser=jay.agg%40gmail.com&amp;usp=drive_fs</v>
      </c>
      <c r="B29" s="73" t="str">
        <f>IFERROR(__xludf.DUMMYFUNCTION("""COMPUTED_VALUE"""),"Bakery")</f>
        <v>Bakery</v>
      </c>
      <c r="C29" s="73" t="str">
        <f>IFERROR(__xludf.DUMMYFUNCTION("""COMPUTED_VALUE"""),"Cake Box")</f>
        <v>Cake Box</v>
      </c>
      <c r="D29" s="73" t="str">
        <f>IFERROR(__xludf.DUMMYFUNCTION("""COMPUTED_VALUE"""),"6*6*6 inch Bottom")</f>
        <v>6*6*6 inch Bottom</v>
      </c>
      <c r="E29" s="140">
        <f>IFERROR(__xludf.DUMMYFUNCTION("""COMPUTED_VALUE"""),1.0)</f>
        <v>1</v>
      </c>
      <c r="F29" s="80">
        <f>IFERROR(__xludf.DUMMYFUNCTION("""COMPUTED_VALUE"""),1926.0)</f>
        <v>1926</v>
      </c>
      <c r="G29" s="80">
        <f>IFERROR(__xludf.DUMMYFUNCTION("""COMPUTED_VALUE"""),18.0)</f>
        <v>18</v>
      </c>
      <c r="H29" s="73">
        <f>IFERROR(__xludf.DUMMYFUNCTION("""COMPUTED_VALUE"""),19.0)</f>
        <v>19</v>
      </c>
      <c r="I29" s="73">
        <f>IFERROR(__xludf.DUMMYFUNCTION("""COMPUTED_VALUE"""),100.0)</f>
        <v>100</v>
      </c>
      <c r="J29" s="73"/>
      <c r="K29" s="73"/>
      <c r="L29" s="73"/>
      <c r="M29" s="73"/>
      <c r="N29" s="73">
        <f>IFERROR(__xludf.DUMMYFUNCTION("""COMPUTED_VALUE"""),1.0)</f>
        <v>1</v>
      </c>
      <c r="O29" s="73"/>
      <c r="P29" s="73" t="str">
        <f>IFERROR(__xludf.DUMMYFUNCTION("""COMPUTED_VALUE"""),"Offset")</f>
        <v>Offset</v>
      </c>
      <c r="Q29" s="73" t="str">
        <f>IFERROR(__xludf.DUMMYFUNCTION("""COMPUTED_VALUE"""),"Packaging")</f>
        <v>Packaging</v>
      </c>
      <c r="R29" s="73" t="str">
        <f>IFERROR(__xludf.DUMMYFUNCTION("""COMPUTED_VALUE"""),"Bakery")</f>
        <v>Bakery</v>
      </c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99" t="str">
        <f>IFERROR(__xludf.DUMMYFUNCTION("""COMPUTED_VALUE"""),"Packaging")</f>
        <v>Packaging</v>
      </c>
      <c r="BD29" s="99" t="str">
        <f>IFERROR(__xludf.DUMMYFUNCTION("""COMPUTED_VALUE"""),"Everstylish")</f>
        <v>Everstylish</v>
      </c>
      <c r="BE29" s="73"/>
      <c r="BF29" s="73"/>
      <c r="BG29" s="73"/>
      <c r="BH29" s="73"/>
      <c r="BI29" s="73"/>
      <c r="BJ29" s="73"/>
      <c r="BK29" s="73"/>
      <c r="BL29" s="80"/>
      <c r="BM29" s="80"/>
      <c r="BN29" s="80"/>
      <c r="BO29" s="80"/>
      <c r="BP29" s="80"/>
      <c r="BQ29" s="80"/>
      <c r="BR29" s="80"/>
      <c r="BS29" s="139"/>
      <c r="BT29" s="73"/>
      <c r="BU29" s="73"/>
      <c r="BV29" s="73"/>
      <c r="BW29" s="73"/>
      <c r="BX29" s="80"/>
      <c r="BY29" s="80"/>
      <c r="BZ29" s="80"/>
      <c r="CA29" s="80"/>
      <c r="CB29" s="80"/>
      <c r="CC29" s="80"/>
      <c r="CD29" s="80" t="str">
        <f t="shared" si="6"/>
        <v/>
      </c>
      <c r="CE29" s="80" t="str">
        <f t="shared" si="7"/>
        <v/>
      </c>
      <c r="CF29" s="80"/>
      <c r="CG29" s="80"/>
      <c r="CH29" s="80"/>
    </row>
    <row r="30">
      <c r="A30" s="156" t="str">
        <f>IFERROR(__xludf.DUMMYFUNCTION("""COMPUTED_VALUE"""),"https://drive.google.com/open?id=1FiqaCWv8mXhiNA9bdlWazF9ffvu_ueSN&amp;authuser=jay.agg%40gmail.com&amp;usp=drive_fs")</f>
        <v>https://drive.google.com/open?id=1FiqaCWv8mXhiNA9bdlWazF9ffvu_ueSN&amp;authuser=jay.agg%40gmail.com&amp;usp=drive_fs</v>
      </c>
      <c r="B30" s="73" t="str">
        <f>IFERROR(__xludf.DUMMYFUNCTION("""COMPUTED_VALUE"""),"Bakery")</f>
        <v>Bakery</v>
      </c>
      <c r="C30" s="73" t="str">
        <f>IFERROR(__xludf.DUMMYFUNCTION("""COMPUTED_VALUE"""),"Cake Box")</f>
        <v>Cake Box</v>
      </c>
      <c r="D30" s="73" t="str">
        <f>IFERROR(__xludf.DUMMYFUNCTION("""COMPUTED_VALUE"""),"6*6*6 | 6*6*2.5 inch Top")</f>
        <v>6*6*6 | 6*6*2.5 inch Top</v>
      </c>
      <c r="E30" s="140">
        <f>IFERROR(__xludf.DUMMYFUNCTION("""COMPUTED_VALUE"""),2.0)</f>
        <v>2</v>
      </c>
      <c r="F30" s="80">
        <f>IFERROR(__xludf.DUMMYFUNCTION("""COMPUTED_VALUE"""),1926.0)</f>
        <v>1926</v>
      </c>
      <c r="G30" s="80">
        <f>IFERROR(__xludf.DUMMYFUNCTION("""COMPUTED_VALUE"""),12.0)</f>
        <v>12</v>
      </c>
      <c r="H30" s="73">
        <f>IFERROR(__xludf.DUMMYFUNCTION("""COMPUTED_VALUE"""),23.0)</f>
        <v>23</v>
      </c>
      <c r="I30" s="73">
        <f>IFERROR(__xludf.DUMMYFUNCTION("""COMPUTED_VALUE"""),100.0)</f>
        <v>100</v>
      </c>
      <c r="J30" s="73"/>
      <c r="K30" s="73"/>
      <c r="L30" s="73"/>
      <c r="M30" s="73">
        <f>IFERROR(__xludf.DUMMYFUNCTION("""COMPUTED_VALUE"""),0.23)</f>
        <v>0.23</v>
      </c>
      <c r="N30" s="73">
        <f>IFERROR(__xludf.DUMMYFUNCTION("""COMPUTED_VALUE"""),1.0)</f>
        <v>1</v>
      </c>
      <c r="O30" s="73"/>
      <c r="P30" s="73" t="str">
        <f>IFERROR(__xludf.DUMMYFUNCTION("""COMPUTED_VALUE"""),"Offset")</f>
        <v>Offset</v>
      </c>
      <c r="Q30" s="73" t="str">
        <f>IFERROR(__xludf.DUMMYFUNCTION("""COMPUTED_VALUE"""),"Packaging")</f>
        <v>Packaging</v>
      </c>
      <c r="R30" s="73" t="str">
        <f>IFERROR(__xludf.DUMMYFUNCTION("""COMPUTED_VALUE"""),"Bakery")</f>
        <v>Bakery</v>
      </c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 t="str">
        <f>IFERROR(__xludf.DUMMYFUNCTION("""COMPUTED_VALUE"""),"Packaging")</f>
        <v>Packaging</v>
      </c>
      <c r="BD30" s="73" t="str">
        <f>IFERROR(__xludf.DUMMYFUNCTION("""COMPUTED_VALUE"""),"FMCG")</f>
        <v>FMCG</v>
      </c>
      <c r="BE30" s="73"/>
      <c r="BF30" s="73"/>
      <c r="BG30" s="73"/>
      <c r="BH30" s="73"/>
      <c r="BI30" s="73"/>
      <c r="BJ30" s="73"/>
      <c r="BK30" s="88"/>
      <c r="BL30" s="80"/>
      <c r="BM30" s="80"/>
      <c r="BN30" s="80"/>
      <c r="BO30" s="80"/>
      <c r="BP30" s="80"/>
      <c r="BQ30" s="80"/>
      <c r="BR30" s="80"/>
      <c r="BS30" s="73"/>
      <c r="BT30" s="73"/>
      <c r="BU30" s="73"/>
      <c r="BV30" s="73"/>
      <c r="BW30" s="73"/>
      <c r="BX30" s="80"/>
      <c r="BY30" s="80"/>
      <c r="BZ30" s="80"/>
      <c r="CA30" s="80"/>
      <c r="CB30" s="80"/>
      <c r="CC30" s="80"/>
      <c r="CD30" s="80" t="str">
        <f t="shared" si="6"/>
        <v/>
      </c>
      <c r="CE30" s="80" t="str">
        <f t="shared" si="7"/>
        <v/>
      </c>
      <c r="CF30" s="80"/>
      <c r="CG30" s="80"/>
      <c r="CH30" s="80"/>
    </row>
    <row r="31">
      <c r="A31" s="156" t="str">
        <f>IFERROR(__xludf.DUMMYFUNCTION("""COMPUTED_VALUE"""),"https://drive.google.com/open?id=1FY_BWfKhFUF1b3v5HB3Hc0DrhkEhW1dk&amp;authuser=jay.agg%40gmail.com&amp;usp=drive_fs")</f>
        <v>https://drive.google.com/open?id=1FY_BWfKhFUF1b3v5HB3Hc0DrhkEhW1dk&amp;authuser=jay.agg%40gmail.com&amp;usp=drive_fs</v>
      </c>
      <c r="B31" s="73" t="str">
        <f>IFERROR(__xludf.DUMMYFUNCTION("""COMPUTED_VALUE"""),"Bakery")</f>
        <v>Bakery</v>
      </c>
      <c r="C31" s="73" t="str">
        <f>IFERROR(__xludf.DUMMYFUNCTION("""COMPUTED_VALUE"""),"Cake Box")</f>
        <v>Cake Box</v>
      </c>
      <c r="D31" s="73" t="str">
        <f>IFERROR(__xludf.DUMMYFUNCTION("""COMPUTED_VALUE"""),"10*10*6 inch Bottom")</f>
        <v>10*10*6 inch Bottom</v>
      </c>
      <c r="E31" s="140">
        <f>IFERROR(__xludf.DUMMYFUNCTION("""COMPUTED_VALUE"""),1.0)</f>
        <v>1</v>
      </c>
      <c r="F31" s="80">
        <f>IFERROR(__xludf.DUMMYFUNCTION("""COMPUTED_VALUE"""),2029.0)</f>
        <v>2029</v>
      </c>
      <c r="G31" s="80">
        <f>IFERROR(__xludf.DUMMYFUNCTION("""COMPUTED_VALUE"""),19.5)</f>
        <v>19.5</v>
      </c>
      <c r="H31" s="73">
        <f>IFERROR(__xludf.DUMMYFUNCTION("""COMPUTED_VALUE"""),23.0)</f>
        <v>23</v>
      </c>
      <c r="I31" s="73">
        <f>IFERROR(__xludf.DUMMYFUNCTION("""COMPUTED_VALUE"""),100.0)</f>
        <v>100</v>
      </c>
      <c r="J31" s="73"/>
      <c r="K31" s="73"/>
      <c r="L31" s="73"/>
      <c r="M31" s="73"/>
      <c r="N31" s="73">
        <f>IFERROR(__xludf.DUMMYFUNCTION("""COMPUTED_VALUE"""),1.0)</f>
        <v>1</v>
      </c>
      <c r="O31" s="73"/>
      <c r="P31" s="73" t="str">
        <f>IFERROR(__xludf.DUMMYFUNCTION("""COMPUTED_VALUE"""),"Offset")</f>
        <v>Offset</v>
      </c>
      <c r="Q31" s="73" t="str">
        <f>IFERROR(__xludf.DUMMYFUNCTION("""COMPUTED_VALUE"""),"Packaging")</f>
        <v>Packaging</v>
      </c>
      <c r="R31" s="73" t="str">
        <f>IFERROR(__xludf.DUMMYFUNCTION("""COMPUTED_VALUE"""),"Bakery")</f>
        <v>Bakery</v>
      </c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 t="str">
        <f>IFERROR(__xludf.DUMMYFUNCTION("""COMPUTED_VALUE"""),"Packaging")</f>
        <v>Packaging</v>
      </c>
      <c r="BD31" s="73" t="str">
        <f>IFERROR(__xludf.DUMMYFUNCTION("""COMPUTED_VALUE"""),"Food")</f>
        <v>Food</v>
      </c>
      <c r="BE31" s="73"/>
      <c r="BF31" s="73"/>
      <c r="BG31" s="73"/>
      <c r="BH31" s="88"/>
      <c r="BI31" s="88"/>
      <c r="BJ31" s="139"/>
      <c r="BK31" s="73"/>
      <c r="BL31" s="80"/>
      <c r="BM31" s="80"/>
      <c r="BN31" s="80"/>
      <c r="BO31" s="80"/>
      <c r="BP31" s="80"/>
      <c r="BQ31" s="80"/>
      <c r="BR31" s="80"/>
      <c r="BS31" s="139" t="s">
        <v>29</v>
      </c>
      <c r="BT31" s="73" t="s">
        <v>68</v>
      </c>
      <c r="BU31" s="73" t="s">
        <v>200</v>
      </c>
      <c r="BV31" s="77">
        <f>Price!$P$7</f>
        <v>115</v>
      </c>
      <c r="BW31" s="73"/>
      <c r="BX31" s="80"/>
      <c r="BY31" s="80"/>
      <c r="BZ31" s="80"/>
      <c r="CA31" s="80"/>
      <c r="CB31" s="80"/>
      <c r="CC31" s="80"/>
      <c r="CD31" s="80" t="str">
        <f t="shared" si="6"/>
        <v/>
      </c>
      <c r="CE31" s="80" t="str">
        <f t="shared" si="7"/>
        <v/>
      </c>
      <c r="CF31" s="80"/>
      <c r="CG31" s="80"/>
      <c r="CH31" s="80"/>
    </row>
    <row r="32">
      <c r="A32" s="156" t="str">
        <f>IFERROR(__xludf.DUMMYFUNCTION("""COMPUTED_VALUE"""),"https://drive.google.com/open?id=1Fjk4IQZJ34_nyzhqW73UOkG39mmThBYf&amp;authuser=jay.agg%40gmail.com&amp;usp=drive_fs")</f>
        <v>https://drive.google.com/open?id=1Fjk4IQZJ34_nyzhqW73UOkG39mmThBYf&amp;authuser=jay.agg%40gmail.com&amp;usp=drive_fs</v>
      </c>
      <c r="B32" s="73" t="str">
        <f>IFERROR(__xludf.DUMMYFUNCTION("""COMPUTED_VALUE"""),"Bakery")</f>
        <v>Bakery</v>
      </c>
      <c r="C32" s="73" t="str">
        <f>IFERROR(__xludf.DUMMYFUNCTION("""COMPUTED_VALUE"""),"Cake Box")</f>
        <v>Cake Box</v>
      </c>
      <c r="D32" s="73" t="str">
        <f>IFERROR(__xludf.DUMMYFUNCTION("""COMPUTED_VALUE"""),"10*10*6 | 10*10*2.5 inch Top")</f>
        <v>10*10*6 | 10*10*2.5 inch Top</v>
      </c>
      <c r="E32" s="140">
        <f>IFERROR(__xludf.DUMMYFUNCTION("""COMPUTED_VALUE"""),1.0)</f>
        <v>1</v>
      </c>
      <c r="F32" s="80">
        <f>IFERROR(__xludf.DUMMYFUNCTION("""COMPUTED_VALUE"""),1926.0)</f>
        <v>1926</v>
      </c>
      <c r="G32" s="80">
        <f>IFERROR(__xludf.DUMMYFUNCTION("""COMPUTED_VALUE"""),18.0)</f>
        <v>18</v>
      </c>
      <c r="H32" s="73">
        <f>IFERROR(__xludf.DUMMYFUNCTION("""COMPUTED_VALUE"""),19.0)</f>
        <v>19</v>
      </c>
      <c r="I32" s="73">
        <f>IFERROR(__xludf.DUMMYFUNCTION("""COMPUTED_VALUE"""),100.0)</f>
        <v>100</v>
      </c>
      <c r="J32" s="73"/>
      <c r="K32" s="73"/>
      <c r="L32" s="73"/>
      <c r="M32" s="73">
        <f>IFERROR(__xludf.DUMMYFUNCTION("""COMPUTED_VALUE"""),0.23)</f>
        <v>0.23</v>
      </c>
      <c r="N32" s="73">
        <f>IFERROR(__xludf.DUMMYFUNCTION("""COMPUTED_VALUE"""),1.0)</f>
        <v>1</v>
      </c>
      <c r="O32" s="73"/>
      <c r="P32" s="73" t="str">
        <f>IFERROR(__xludf.DUMMYFUNCTION("""COMPUTED_VALUE"""),"Offset")</f>
        <v>Offset</v>
      </c>
      <c r="Q32" s="73" t="str">
        <f>IFERROR(__xludf.DUMMYFUNCTION("""COMPUTED_VALUE"""),"Packaging")</f>
        <v>Packaging</v>
      </c>
      <c r="R32" s="73" t="str">
        <f>IFERROR(__xludf.DUMMYFUNCTION("""COMPUTED_VALUE"""),"Bakery")</f>
        <v>Bakery</v>
      </c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 t="str">
        <f>IFERROR(__xludf.DUMMYFUNCTION("""COMPUTED_VALUE"""),"Packaging")</f>
        <v>Packaging</v>
      </c>
      <c r="BD32" s="73" t="str">
        <f>IFERROR(__xludf.DUMMYFUNCTION("""COMPUTED_VALUE"""),"Fratelli")</f>
        <v>Fratelli</v>
      </c>
      <c r="BE32" s="73"/>
      <c r="BF32" s="73"/>
      <c r="BG32" s="73"/>
      <c r="BH32" s="88"/>
      <c r="BI32" s="88"/>
      <c r="BJ32" s="73"/>
      <c r="BK32" s="73"/>
      <c r="BL32" s="80"/>
      <c r="BM32" s="80"/>
      <c r="BN32" s="73"/>
      <c r="BO32" s="80"/>
      <c r="BP32" s="80"/>
      <c r="BQ32" s="80"/>
      <c r="BR32" s="80"/>
      <c r="BS32" s="139" t="s">
        <v>29</v>
      </c>
      <c r="BT32" s="73" t="s">
        <v>68</v>
      </c>
      <c r="BU32" s="73" t="s">
        <v>201</v>
      </c>
      <c r="BV32" s="77">
        <f>Price!$P$7</f>
        <v>115</v>
      </c>
      <c r="BW32" s="73"/>
      <c r="BX32" s="80"/>
      <c r="BY32" s="80"/>
      <c r="BZ32" s="80"/>
      <c r="CA32" s="80"/>
      <c r="CB32" s="80"/>
      <c r="CC32" s="80"/>
      <c r="CD32" s="80" t="str">
        <f t="shared" si="6"/>
        <v/>
      </c>
      <c r="CE32" s="80" t="str">
        <f t="shared" si="7"/>
        <v/>
      </c>
      <c r="CF32" s="80"/>
      <c r="CG32" s="80"/>
      <c r="CH32" s="80"/>
    </row>
    <row r="33">
      <c r="A33" s="156" t="str">
        <f>IFERROR(__xludf.DUMMYFUNCTION("""COMPUTED_VALUE"""),"https://drive.google.com/open?id=1FWVuQA0GcqzoUWWLjQLAJFIX0SWSEdFr&amp;authuser=jay.agg%40gmail.com&amp;usp=drive_fs")</f>
        <v>https://drive.google.com/open?id=1FWVuQA0GcqzoUWWLjQLAJFIX0SWSEdFr&amp;authuser=jay.agg%40gmail.com&amp;usp=drive_fs</v>
      </c>
      <c r="B33" s="73" t="str">
        <f>IFERROR(__xludf.DUMMYFUNCTION("""COMPUTED_VALUE"""),"Bakery")</f>
        <v>Bakery</v>
      </c>
      <c r="C33" s="73" t="str">
        <f>IFERROR(__xludf.DUMMYFUNCTION("""COMPUTED_VALUE"""),"Cake Box")</f>
        <v>Cake Box</v>
      </c>
      <c r="D33" s="73" t="str">
        <f>IFERROR(__xludf.DUMMYFUNCTION("""COMPUTED_VALUE"""),"12*12*6 inch Bottom")</f>
        <v>12*12*6 inch Bottom</v>
      </c>
      <c r="E33" s="140">
        <f>IFERROR(__xludf.DUMMYFUNCTION("""COMPUTED_VALUE"""),1.0)</f>
        <v>1</v>
      </c>
      <c r="F33" s="80">
        <f>IFERROR(__xludf.DUMMYFUNCTION("""COMPUTED_VALUE"""),2029.0)</f>
        <v>2029</v>
      </c>
      <c r="G33" s="80">
        <f>IFERROR(__xludf.DUMMYFUNCTION("""COMPUTED_VALUE"""),20.0)</f>
        <v>20</v>
      </c>
      <c r="H33" s="73">
        <f>IFERROR(__xludf.DUMMYFUNCTION("""COMPUTED_VALUE"""),25.0)</f>
        <v>25</v>
      </c>
      <c r="I33" s="73">
        <f>IFERROR(__xludf.DUMMYFUNCTION("""COMPUTED_VALUE"""),100.0)</f>
        <v>100</v>
      </c>
      <c r="J33" s="73"/>
      <c r="K33" s="73"/>
      <c r="L33" s="73"/>
      <c r="M33" s="73"/>
      <c r="N33" s="73">
        <f>IFERROR(__xludf.DUMMYFUNCTION("""COMPUTED_VALUE"""),1.0)</f>
        <v>1</v>
      </c>
      <c r="O33" s="73"/>
      <c r="P33" s="73" t="str">
        <f>IFERROR(__xludf.DUMMYFUNCTION("""COMPUTED_VALUE"""),"Offset")</f>
        <v>Offset</v>
      </c>
      <c r="Q33" s="73" t="str">
        <f>IFERROR(__xludf.DUMMYFUNCTION("""COMPUTED_VALUE"""),"Packaging")</f>
        <v>Packaging</v>
      </c>
      <c r="R33" s="73" t="str">
        <f>IFERROR(__xludf.DUMMYFUNCTION("""COMPUTED_VALUE"""),"Bakery")</f>
        <v>Bakery</v>
      </c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 t="str">
        <f>IFERROR(__xludf.DUMMYFUNCTION("""COMPUTED_VALUE"""),"Packaging")</f>
        <v>Packaging</v>
      </c>
      <c r="BD33" s="73" t="str">
        <f>IFERROR(__xludf.DUMMYFUNCTION("""COMPUTED_VALUE"""),"Games")</f>
        <v>Games</v>
      </c>
      <c r="BE33" s="73"/>
      <c r="BF33" s="73"/>
      <c r="BG33" s="73"/>
      <c r="BH33" s="88"/>
      <c r="BI33" s="113"/>
      <c r="BJ33" s="73"/>
      <c r="BK33" s="73"/>
      <c r="BL33" s="80"/>
      <c r="BM33" s="80"/>
      <c r="BN33" s="73"/>
      <c r="BO33" s="80"/>
      <c r="BP33" s="80"/>
      <c r="BQ33" s="80"/>
      <c r="BR33" s="80"/>
      <c r="BS33" s="139" t="s">
        <v>29</v>
      </c>
      <c r="BT33" s="73" t="s">
        <v>68</v>
      </c>
      <c r="BU33" s="73" t="s">
        <v>202</v>
      </c>
      <c r="BV33" s="77">
        <f>Price!$P$7</f>
        <v>115</v>
      </c>
      <c r="BW33" s="73"/>
      <c r="BX33" s="80"/>
      <c r="BY33" s="80"/>
      <c r="BZ33" s="80"/>
      <c r="CA33" s="80"/>
      <c r="CB33" s="80"/>
      <c r="CC33" s="80"/>
      <c r="CD33" s="80" t="str">
        <f t="shared" si="6"/>
        <v/>
      </c>
      <c r="CE33" s="80" t="str">
        <f t="shared" si="7"/>
        <v/>
      </c>
      <c r="CF33" s="80"/>
      <c r="CG33" s="80"/>
      <c r="CH33" s="80"/>
    </row>
    <row r="34">
      <c r="A34" s="156" t="str">
        <f>IFERROR(__xludf.DUMMYFUNCTION("""COMPUTED_VALUE"""),"https://drive.google.com/open?id=1FnsatBoPLTPp4pCKqLg30CDtg4dTkM3n&amp;authuser=jay.agg%40gmail.com&amp;usp=drive_fs")</f>
        <v>https://drive.google.com/open?id=1FnsatBoPLTPp4pCKqLg30CDtg4dTkM3n&amp;authuser=jay.agg%40gmail.com&amp;usp=drive_fs</v>
      </c>
      <c r="B34" s="73" t="str">
        <f>IFERROR(__xludf.DUMMYFUNCTION("""COMPUTED_VALUE"""),"Bakery")</f>
        <v>Bakery</v>
      </c>
      <c r="C34" s="73" t="str">
        <f>IFERROR(__xludf.DUMMYFUNCTION("""COMPUTED_VALUE"""),"Cake Box")</f>
        <v>Cake Box</v>
      </c>
      <c r="D34" s="73" t="str">
        <f>IFERROR(__xludf.DUMMYFUNCTION("""COMPUTED_VALUE"""),"12*12*6 | 12*12*2.5 inch Top")</f>
        <v>12*12*6 | 12*12*2.5 inch Top</v>
      </c>
      <c r="E34" s="140">
        <f>IFERROR(__xludf.DUMMYFUNCTION("""COMPUTED_VALUE"""),1.0)</f>
        <v>1</v>
      </c>
      <c r="F34" s="80">
        <f>IFERROR(__xludf.DUMMYFUNCTION("""COMPUTED_VALUE"""),1926.0)</f>
        <v>1926</v>
      </c>
      <c r="G34" s="80">
        <f>IFERROR(__xludf.DUMMYFUNCTION("""COMPUTED_VALUE"""),18.0)</f>
        <v>18</v>
      </c>
      <c r="H34" s="73">
        <f>IFERROR(__xludf.DUMMYFUNCTION("""COMPUTED_VALUE"""),19.0)</f>
        <v>19</v>
      </c>
      <c r="I34" s="73">
        <f>IFERROR(__xludf.DUMMYFUNCTION("""COMPUTED_VALUE"""),100.0)</f>
        <v>100</v>
      </c>
      <c r="J34" s="73"/>
      <c r="K34" s="73"/>
      <c r="L34" s="73"/>
      <c r="M34" s="73">
        <f>IFERROR(__xludf.DUMMYFUNCTION("""COMPUTED_VALUE"""),0.23)</f>
        <v>0.23</v>
      </c>
      <c r="N34" s="73">
        <f>IFERROR(__xludf.DUMMYFUNCTION("""COMPUTED_VALUE"""),1.0)</f>
        <v>1</v>
      </c>
      <c r="O34" s="73"/>
      <c r="P34" s="73" t="str">
        <f>IFERROR(__xludf.DUMMYFUNCTION("""COMPUTED_VALUE"""),"Offset")</f>
        <v>Offset</v>
      </c>
      <c r="Q34" s="73" t="str">
        <f>IFERROR(__xludf.DUMMYFUNCTION("""COMPUTED_VALUE"""),"Packaging")</f>
        <v>Packaging</v>
      </c>
      <c r="R34" s="73" t="str">
        <f>IFERROR(__xludf.DUMMYFUNCTION("""COMPUTED_VALUE"""),"Bakery")</f>
        <v>Bakery</v>
      </c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 t="str">
        <f>IFERROR(__xludf.DUMMYFUNCTION("""COMPUTED_VALUE"""),"Packaging")</f>
        <v>Packaging</v>
      </c>
      <c r="BD34" s="73" t="str">
        <f>IFERROR(__xludf.DUMMYFUNCTION("""COMPUTED_VALUE"""),"Gugal Loban Cup")</f>
        <v>Gugal Loban Cup</v>
      </c>
      <c r="BE34" s="73"/>
      <c r="BF34" s="73"/>
      <c r="BG34" s="73"/>
      <c r="BH34" s="80"/>
      <c r="BI34" s="113"/>
      <c r="BJ34" s="73"/>
      <c r="BK34" s="73"/>
      <c r="BL34" s="80"/>
      <c r="BM34" s="80"/>
      <c r="BN34" s="73"/>
      <c r="BO34" s="80"/>
      <c r="BP34" s="80"/>
      <c r="BQ34" s="80"/>
      <c r="BR34" s="80"/>
      <c r="BS34" s="139" t="s">
        <v>29</v>
      </c>
      <c r="BT34" s="73" t="s">
        <v>68</v>
      </c>
      <c r="BU34" s="73" t="s">
        <v>203</v>
      </c>
      <c r="BV34" s="77">
        <f>Price!$P$7</f>
        <v>115</v>
      </c>
      <c r="BW34" s="73"/>
      <c r="BX34" s="80"/>
      <c r="BY34" s="80"/>
      <c r="BZ34" s="80"/>
      <c r="CA34" s="80"/>
      <c r="CB34" s="80"/>
      <c r="CC34" s="80"/>
      <c r="CD34" s="80" t="str">
        <f t="shared" si="6"/>
        <v/>
      </c>
      <c r="CE34" s="80" t="str">
        <f t="shared" si="7"/>
        <v/>
      </c>
      <c r="CF34" s="80"/>
      <c r="CG34" s="80"/>
      <c r="CH34" s="80"/>
    </row>
    <row r="35">
      <c r="A35" s="156" t="str">
        <f>IFERROR(__xludf.DUMMYFUNCTION("""COMPUTED_VALUE"""),"https://drive.google.com/open?id=1FMsvYWKgEmPGYiFaJx5tzMiNTtJ-Dj6o&amp;authuser=jay.agg%40gmail.com&amp;usp=drive_fs")</f>
        <v>https://drive.google.com/open?id=1FMsvYWKgEmPGYiFaJx5tzMiNTtJ-Dj6o&amp;authuser=jay.agg%40gmail.com&amp;usp=drive_fs</v>
      </c>
      <c r="B35" s="73" t="str">
        <f>IFERROR(__xludf.DUMMYFUNCTION("""COMPUTED_VALUE"""),"Bakery")</f>
        <v>Bakery</v>
      </c>
      <c r="C35" s="73" t="str">
        <f>IFERROR(__xludf.DUMMYFUNCTION("""COMPUTED_VALUE"""),"Cake Box")</f>
        <v>Cake Box</v>
      </c>
      <c r="D35" s="73" t="str">
        <f>IFERROR(__xludf.DUMMYFUNCTION("""COMPUTED_VALUE"""),"14*18*6 inch Bottom")</f>
        <v>14*18*6 inch Bottom</v>
      </c>
      <c r="E35" s="140">
        <f>IFERROR(__xludf.DUMMYFUNCTION("""COMPUTED_VALUE"""),1.0)</f>
        <v>1</v>
      </c>
      <c r="F35" s="80">
        <f>IFERROR(__xludf.DUMMYFUNCTION("""COMPUTED_VALUE"""),2840.0)</f>
        <v>2840</v>
      </c>
      <c r="G35" s="80">
        <f>IFERROR(__xludf.DUMMYFUNCTION("""COMPUTED_VALUE"""),25.0)</f>
        <v>25</v>
      </c>
      <c r="H35" s="73">
        <f>IFERROR(__xludf.DUMMYFUNCTION("""COMPUTED_VALUE"""),30.0)</f>
        <v>30</v>
      </c>
      <c r="I35" s="73">
        <f>IFERROR(__xludf.DUMMYFUNCTION("""COMPUTED_VALUE"""),100.0)</f>
        <v>100</v>
      </c>
      <c r="J35" s="73"/>
      <c r="K35" s="73"/>
      <c r="L35" s="73"/>
      <c r="M35" s="73"/>
      <c r="N35" s="73">
        <f>IFERROR(__xludf.DUMMYFUNCTION("""COMPUTED_VALUE"""),1.0)</f>
        <v>1</v>
      </c>
      <c r="O35" s="73"/>
      <c r="P35" s="73" t="str">
        <f>IFERROR(__xludf.DUMMYFUNCTION("""COMPUTED_VALUE"""),"Offset")</f>
        <v>Offset</v>
      </c>
      <c r="Q35" s="73" t="str">
        <f>IFERROR(__xludf.DUMMYFUNCTION("""COMPUTED_VALUE"""),"Packaging")</f>
        <v>Packaging</v>
      </c>
      <c r="R35" s="73" t="str">
        <f>IFERROR(__xludf.DUMMYFUNCTION("""COMPUTED_VALUE"""),"Bakery")</f>
        <v>Bakery</v>
      </c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 t="str">
        <f>IFERROR(__xludf.DUMMYFUNCTION("""COMPUTED_VALUE"""),"Packaging")</f>
        <v>Packaging</v>
      </c>
      <c r="BD35" s="73" t="str">
        <f>IFERROR(__xludf.DUMMYFUNCTION("""COMPUTED_VALUE"""),"Hard Bound")</f>
        <v>Hard Bound</v>
      </c>
      <c r="BE35" s="73"/>
      <c r="BF35" s="73"/>
      <c r="BG35" s="73"/>
      <c r="BH35" s="80"/>
      <c r="BI35" s="113"/>
      <c r="BJ35" s="73"/>
      <c r="BK35" s="73"/>
      <c r="BL35" s="80"/>
      <c r="BM35" s="80"/>
      <c r="BN35" s="73"/>
      <c r="BO35" s="80"/>
      <c r="BP35" s="80"/>
      <c r="BQ35" s="80"/>
      <c r="BR35" s="80"/>
      <c r="BS35" s="139" t="s">
        <v>29</v>
      </c>
      <c r="BT35" s="73" t="s">
        <v>68</v>
      </c>
      <c r="BU35" s="73" t="s">
        <v>204</v>
      </c>
      <c r="BV35" s="77">
        <f>Price!$P$7</f>
        <v>115</v>
      </c>
      <c r="BW35" s="73"/>
      <c r="BX35" s="80"/>
      <c r="BY35" s="80"/>
      <c r="BZ35" s="80"/>
      <c r="CA35" s="80"/>
      <c r="CB35" s="80"/>
      <c r="CC35" s="80"/>
      <c r="CD35" s="80" t="str">
        <f t="shared" si="6"/>
        <v/>
      </c>
      <c r="CE35" s="80" t="str">
        <f t="shared" si="7"/>
        <v/>
      </c>
      <c r="CF35" s="80"/>
      <c r="CG35" s="80"/>
      <c r="CH35" s="80"/>
    </row>
    <row r="36">
      <c r="A36" s="156" t="str">
        <f>IFERROR(__xludf.DUMMYFUNCTION("""COMPUTED_VALUE"""),"https://drive.google.com/open?id=1FL99kMLlavpUPir5t5GYIF7llvaOg0-z&amp;authuser=jay.agg%40gmail.com&amp;usp=drive_fs")</f>
        <v>https://drive.google.com/open?id=1FL99kMLlavpUPir5t5GYIF7llvaOg0-z&amp;authuser=jay.agg%40gmail.com&amp;usp=drive_fs</v>
      </c>
      <c r="B36" s="73" t="str">
        <f>IFERROR(__xludf.DUMMYFUNCTION("""COMPUTED_VALUE"""),"Bakery")</f>
        <v>Bakery</v>
      </c>
      <c r="C36" s="73" t="str">
        <f>IFERROR(__xludf.DUMMYFUNCTION("""COMPUTED_VALUE"""),"Cake Box")</f>
        <v>Cake Box</v>
      </c>
      <c r="D36" s="73" t="str">
        <f>IFERROR(__xludf.DUMMYFUNCTION("""COMPUTED_VALUE"""),"14*18*6 | 14*18*2.5 inch Top")</f>
        <v>14*18*6 | 14*18*2.5 inch Top</v>
      </c>
      <c r="E36" s="140">
        <f>IFERROR(__xludf.DUMMYFUNCTION("""COMPUTED_VALUE"""),1.0)</f>
        <v>1</v>
      </c>
      <c r="F36" s="80">
        <f>IFERROR(__xludf.DUMMYFUNCTION("""COMPUTED_VALUE"""),2029.0)</f>
        <v>2029</v>
      </c>
      <c r="G36" s="80">
        <f>IFERROR(__xludf.DUMMYFUNCTION("""COMPUTED_VALUE"""),19.5)</f>
        <v>19.5</v>
      </c>
      <c r="H36" s="73">
        <f>IFERROR(__xludf.DUMMYFUNCTION("""COMPUTED_VALUE"""),23.0)</f>
        <v>23</v>
      </c>
      <c r="I36" s="73">
        <f>IFERROR(__xludf.DUMMYFUNCTION("""COMPUTED_VALUE"""),100.0)</f>
        <v>100</v>
      </c>
      <c r="J36" s="73"/>
      <c r="K36" s="73"/>
      <c r="L36" s="73"/>
      <c r="M36" s="73">
        <f>IFERROR(__xludf.DUMMYFUNCTION("""COMPUTED_VALUE"""),0.26)</f>
        <v>0.26</v>
      </c>
      <c r="N36" s="73">
        <f>IFERROR(__xludf.DUMMYFUNCTION("""COMPUTED_VALUE"""),1.0)</f>
        <v>1</v>
      </c>
      <c r="O36" s="73"/>
      <c r="P36" s="73" t="str">
        <f>IFERROR(__xludf.DUMMYFUNCTION("""COMPUTED_VALUE"""),"Offset")</f>
        <v>Offset</v>
      </c>
      <c r="Q36" s="73" t="str">
        <f>IFERROR(__xludf.DUMMYFUNCTION("""COMPUTED_VALUE"""),"Packaging")</f>
        <v>Packaging</v>
      </c>
      <c r="R36" s="73" t="str">
        <f>IFERROR(__xludf.DUMMYFUNCTION("""COMPUTED_VALUE"""),"Bakery")</f>
        <v>Bakery</v>
      </c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 t="str">
        <f>IFERROR(__xludf.DUMMYFUNCTION("""COMPUTED_VALUE"""),"Packaging")</f>
        <v>Packaging</v>
      </c>
      <c r="BD36" s="73" t="str">
        <f>IFERROR(__xludf.DUMMYFUNCTION("""COMPUTED_VALUE"""),"Hardware")</f>
        <v>Hardware</v>
      </c>
      <c r="BE36" s="73"/>
      <c r="BF36" s="73"/>
      <c r="BG36" s="73"/>
      <c r="BH36" s="80"/>
      <c r="BI36" s="113"/>
      <c r="BJ36" s="73"/>
      <c r="BK36" s="73"/>
      <c r="BL36" s="80"/>
      <c r="BM36" s="80"/>
      <c r="BN36" s="80"/>
      <c r="BO36" s="80"/>
      <c r="BP36" s="80"/>
      <c r="BQ36" s="80"/>
      <c r="BR36" s="80"/>
      <c r="BS36" s="139" t="s">
        <v>29</v>
      </c>
      <c r="BT36" s="73" t="s">
        <v>68</v>
      </c>
      <c r="BU36" s="73" t="s">
        <v>205</v>
      </c>
      <c r="BV36" s="77">
        <f>Price!$P$7</f>
        <v>115</v>
      </c>
      <c r="BW36" s="73"/>
      <c r="BX36" s="80"/>
      <c r="BY36" s="80"/>
      <c r="BZ36" s="80"/>
      <c r="CA36" s="80"/>
      <c r="CB36" s="80"/>
      <c r="CC36" s="80"/>
      <c r="CD36" s="80" t="str">
        <f t="shared" si="6"/>
        <v/>
      </c>
      <c r="CE36" s="80" t="str">
        <f t="shared" si="7"/>
        <v/>
      </c>
      <c r="CF36" s="80"/>
      <c r="CG36" s="80"/>
      <c r="CH36" s="80"/>
    </row>
    <row r="37">
      <c r="A37" s="156" t="str">
        <f>IFERROR(__xludf.DUMMYFUNCTION("""COMPUTED_VALUE"""),"https://drive.google.com/open?id=1Emi--XIoiuXckSxqBeNw1IyXwinydrah&amp;authuser=jay.agg%40gmail.com&amp;usp=drive_fs")</f>
        <v>https://drive.google.com/open?id=1Emi--XIoiuXckSxqBeNw1IyXwinydrah&amp;authuser=jay.agg%40gmail.com&amp;usp=drive_fs</v>
      </c>
      <c r="B37" s="73" t="str">
        <f>IFERROR(__xludf.DUMMYFUNCTION("""COMPUTED_VALUE"""),"Bakery")</f>
        <v>Bakery</v>
      </c>
      <c r="C37" s="73" t="str">
        <f>IFERROR(__xludf.DUMMYFUNCTION("""COMPUTED_VALUE"""),"Cake Box")</f>
        <v>Cake Box</v>
      </c>
      <c r="D37" s="73" t="str">
        <f>IFERROR(__xludf.DUMMYFUNCTION("""COMPUTED_VALUE"""),"7*7*5 inch W 5*10 inch")</f>
        <v>7*7*5 inch W 5*10 inch</v>
      </c>
      <c r="E37" s="140">
        <f>IFERROR(__xludf.DUMMYFUNCTION("""COMPUTED_VALUE"""),1.0)</f>
        <v>1</v>
      </c>
      <c r="F37" s="80">
        <f>IFERROR(__xludf.DUMMYFUNCTION("""COMPUTED_VALUE"""),1926.0)</f>
        <v>1926</v>
      </c>
      <c r="G37" s="80">
        <f>IFERROR(__xludf.DUMMYFUNCTION("""COMPUTED_VALUE"""),15.0)</f>
        <v>15</v>
      </c>
      <c r="H37" s="73">
        <f>IFERROR(__xludf.DUMMYFUNCTION("""COMPUTED_VALUE"""),25.0)</f>
        <v>25</v>
      </c>
      <c r="I37" s="73">
        <f>IFERROR(__xludf.DUMMYFUNCTION("""COMPUTED_VALUE"""),100.0)</f>
        <v>100</v>
      </c>
      <c r="J37" s="73"/>
      <c r="K37" s="73"/>
      <c r="L37" s="73">
        <f>IFERROR(__xludf.DUMMYFUNCTION("""COMPUTED_VALUE"""),1.75)</f>
        <v>1.75</v>
      </c>
      <c r="M37" s="73"/>
      <c r="N37" s="73">
        <f>IFERROR(__xludf.DUMMYFUNCTION("""COMPUTED_VALUE"""),1.0)</f>
        <v>1</v>
      </c>
      <c r="O37" s="73"/>
      <c r="P37" s="73" t="str">
        <f>IFERROR(__xludf.DUMMYFUNCTION("""COMPUTED_VALUE"""),"Offset")</f>
        <v>Offset</v>
      </c>
      <c r="Q37" s="73" t="str">
        <f>IFERROR(__xludf.DUMMYFUNCTION("""COMPUTED_VALUE"""),"Packaging")</f>
        <v>Packaging</v>
      </c>
      <c r="R37" s="73" t="str">
        <f>IFERROR(__xludf.DUMMYFUNCTION("""COMPUTED_VALUE"""),"Bakery")</f>
        <v>Bakery</v>
      </c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 t="str">
        <f>IFERROR(__xludf.DUMMYFUNCTION("""COMPUTED_VALUE"""),"Packaging")</f>
        <v>Packaging</v>
      </c>
      <c r="BD37" s="73" t="str">
        <f>IFERROR(__xludf.DUMMYFUNCTION("""COMPUTED_VALUE"""),"Hawa Dhoop")</f>
        <v>Hawa Dhoop</v>
      </c>
      <c r="BE37" s="73"/>
      <c r="BF37" s="73"/>
      <c r="BG37" s="73"/>
      <c r="BH37" s="88"/>
      <c r="BI37" s="113"/>
      <c r="BJ37" s="73"/>
      <c r="BK37" s="73"/>
      <c r="BL37" s="80"/>
      <c r="BM37" s="54"/>
      <c r="BN37" s="80"/>
      <c r="BO37" s="80"/>
      <c r="BP37" s="80"/>
      <c r="BQ37" s="80"/>
      <c r="BR37" s="80"/>
      <c r="BS37" s="139" t="s">
        <v>29</v>
      </c>
      <c r="BT37" s="73" t="s">
        <v>68</v>
      </c>
      <c r="BU37" s="73" t="s">
        <v>206</v>
      </c>
      <c r="BV37" s="77">
        <f>Price!$P$7</f>
        <v>115</v>
      </c>
      <c r="BW37" s="73"/>
      <c r="BX37" s="80"/>
      <c r="BY37" s="80"/>
      <c r="BZ37" s="80"/>
      <c r="CA37" s="80"/>
      <c r="CB37" s="80"/>
      <c r="CC37" s="80"/>
      <c r="CD37" s="80" t="str">
        <f t="shared" si="6"/>
        <v/>
      </c>
      <c r="CE37" s="80" t="str">
        <f t="shared" si="7"/>
        <v/>
      </c>
      <c r="CF37" s="80"/>
      <c r="CG37" s="80"/>
      <c r="CH37" s="80"/>
    </row>
    <row r="38">
      <c r="A38" s="156" t="str">
        <f>IFERROR(__xludf.DUMMYFUNCTION("""COMPUTED_VALUE"""),"https://drive.google.com/open?id=1UExgVL2URLNjfjV1HAWg4VIoUNyPdo8-&amp;authuser=jay.agg%40gmail.com&amp;usp=drive_fs")</f>
        <v>https://drive.google.com/open?id=1UExgVL2URLNjfjV1HAWg4VIoUNyPdo8-&amp;authuser=jay.agg%40gmail.com&amp;usp=drive_fs</v>
      </c>
      <c r="B38" s="73" t="str">
        <f>IFERROR(__xludf.DUMMYFUNCTION("""COMPUTED_VALUE"""),"Bakery")</f>
        <v>Bakery</v>
      </c>
      <c r="C38" s="73" t="str">
        <f>IFERROR(__xludf.DUMMYFUNCTION("""COMPUTED_VALUE"""),"Cake Box")</f>
        <v>Cake Box</v>
      </c>
      <c r="D38" s="73" t="str">
        <f>IFERROR(__xludf.DUMMYFUNCTION("""COMPUTED_VALUE"""),"70*130*110 mm | 2.75*5.1*4.3 inch set")</f>
        <v>70*130*110 mm | 2.75*5.1*4.3 inch set</v>
      </c>
      <c r="E38" s="140">
        <f>IFERROR(__xludf.DUMMYFUNCTION("""COMPUTED_VALUE"""),2.0)</f>
        <v>2</v>
      </c>
      <c r="F38" s="80">
        <f>IFERROR(__xludf.DUMMYFUNCTION("""COMPUTED_VALUE"""),2029.0)</f>
        <v>2029</v>
      </c>
      <c r="G38" s="80">
        <f>IFERROR(__xludf.DUMMYFUNCTION("""COMPUTED_VALUE"""),20.0)</f>
        <v>20</v>
      </c>
      <c r="H38" s="73">
        <f>IFERROR(__xludf.DUMMYFUNCTION("""COMPUTED_VALUE"""),28.0)</f>
        <v>28</v>
      </c>
      <c r="I38" s="73">
        <f>IFERROR(__xludf.DUMMYFUNCTION("""COMPUTED_VALUE"""),100.0)</f>
        <v>100</v>
      </c>
      <c r="J38" s="73"/>
      <c r="K38" s="73"/>
      <c r="L38" s="73"/>
      <c r="M38" s="73">
        <f>IFERROR(__xludf.DUMMYFUNCTION("""COMPUTED_VALUE"""),0.22)</f>
        <v>0.22</v>
      </c>
      <c r="N38" s="73">
        <f>IFERROR(__xludf.DUMMYFUNCTION("""COMPUTED_VALUE"""),1.0)</f>
        <v>1</v>
      </c>
      <c r="O38" s="73"/>
      <c r="P38" s="73" t="str">
        <f>IFERROR(__xludf.DUMMYFUNCTION("""COMPUTED_VALUE"""),"Offset")</f>
        <v>Offset</v>
      </c>
      <c r="Q38" s="73" t="str">
        <f>IFERROR(__xludf.DUMMYFUNCTION("""COMPUTED_VALUE"""),"Packaging")</f>
        <v>Packaging</v>
      </c>
      <c r="R38" s="73" t="str">
        <f>IFERROR(__xludf.DUMMYFUNCTION("""COMPUTED_VALUE"""),"Bakery")</f>
        <v>Bakery</v>
      </c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 t="str">
        <f>IFERROR(__xludf.DUMMYFUNCTION("""COMPUTED_VALUE"""),"Packaging")</f>
        <v>Packaging</v>
      </c>
      <c r="BD38" s="73" t="str">
        <f>IFERROR(__xludf.DUMMYFUNCTION("""COMPUTED_VALUE"""),"Hawan Box")</f>
        <v>Hawan Box</v>
      </c>
      <c r="BE38" s="73"/>
      <c r="BF38" s="73"/>
      <c r="BG38" s="73"/>
      <c r="BH38" s="54"/>
      <c r="BI38" s="113"/>
      <c r="BJ38" s="73"/>
      <c r="BK38" s="73"/>
      <c r="BL38" s="80"/>
      <c r="BM38" s="54"/>
      <c r="BN38" s="80"/>
      <c r="BO38" s="80"/>
      <c r="BP38" s="80"/>
      <c r="BQ38" s="80"/>
      <c r="BR38" s="80"/>
      <c r="BS38" s="139" t="s">
        <v>29</v>
      </c>
      <c r="BT38" s="73" t="s">
        <v>68</v>
      </c>
      <c r="BU38" s="73" t="s">
        <v>180</v>
      </c>
      <c r="BV38" s="77">
        <f>Price!$P$7</f>
        <v>115</v>
      </c>
      <c r="BW38" s="73"/>
      <c r="BX38" s="80"/>
      <c r="BY38" s="80"/>
      <c r="BZ38" s="80"/>
      <c r="CA38" s="80"/>
      <c r="CB38" s="80"/>
      <c r="CC38" s="80"/>
      <c r="CD38" s="80" t="str">
        <f t="shared" si="6"/>
        <v/>
      </c>
      <c r="CE38" s="80" t="str">
        <f t="shared" si="7"/>
        <v/>
      </c>
      <c r="CF38" s="80"/>
      <c r="CG38" s="80"/>
      <c r="CH38" s="80"/>
    </row>
    <row r="39">
      <c r="A39" s="156" t="str">
        <f>IFERROR(__xludf.DUMMYFUNCTION("""COMPUTED_VALUE"""),"https://drive.google.com/open?id=1-ipabbVYYqsWTc752HmG2v6Wr2iaJEam&amp;authuser=jay.agg%40gmail.com&amp;usp=drive_fs")</f>
        <v>https://drive.google.com/open?id=1-ipabbVYYqsWTc752HmG2v6Wr2iaJEam&amp;authuser=jay.agg%40gmail.com&amp;usp=drive_fs</v>
      </c>
      <c r="B39" s="73" t="str">
        <f>IFERROR(__xludf.DUMMYFUNCTION("""COMPUTED_VALUE"""),"Bakery")</f>
        <v>Bakery</v>
      </c>
      <c r="C39" s="73" t="str">
        <f>IFERROR(__xludf.DUMMYFUNCTION("""COMPUTED_VALUE"""),"Cake Box")</f>
        <v>Cake Box</v>
      </c>
      <c r="D39" s="73" t="str">
        <f>IFERROR(__xludf.DUMMYFUNCTION("""COMPUTED_VALUE"""),"178*128*102 mm | 7*5*4 inch")</f>
        <v>178*128*102 mm | 7*5*4 inch</v>
      </c>
      <c r="E39" s="140">
        <f>IFERROR(__xludf.DUMMYFUNCTION("""COMPUTED_VALUE"""),2.0)</f>
        <v>2</v>
      </c>
      <c r="F39" s="80">
        <f>IFERROR(__xludf.DUMMYFUNCTION("""COMPUTED_VALUE"""),2029.0)</f>
        <v>2029</v>
      </c>
      <c r="G39" s="80">
        <f>IFERROR(__xludf.DUMMYFUNCTION("""COMPUTED_VALUE"""),20.0)</f>
        <v>20</v>
      </c>
      <c r="H39" s="73">
        <f>IFERROR(__xludf.DUMMYFUNCTION("""COMPUTED_VALUE"""),28.0)</f>
        <v>28</v>
      </c>
      <c r="I39" s="73">
        <f>IFERROR(__xludf.DUMMYFUNCTION("""COMPUTED_VALUE"""),100.0)</f>
        <v>100</v>
      </c>
      <c r="J39" s="73"/>
      <c r="K39" s="73"/>
      <c r="L39" s="73"/>
      <c r="M39" s="73"/>
      <c r="N39" s="73">
        <f>IFERROR(__xludf.DUMMYFUNCTION("""COMPUTED_VALUE"""),1.0)</f>
        <v>1</v>
      </c>
      <c r="O39" s="73"/>
      <c r="P39" s="73" t="str">
        <f>IFERROR(__xludf.DUMMYFUNCTION("""COMPUTED_VALUE"""),"Offset")</f>
        <v>Offset</v>
      </c>
      <c r="Q39" s="73" t="str">
        <f>IFERROR(__xludf.DUMMYFUNCTION("""COMPUTED_VALUE"""),"Packaging")</f>
        <v>Packaging</v>
      </c>
      <c r="R39" s="73" t="str">
        <f>IFERROR(__xludf.DUMMYFUNCTION("""COMPUTED_VALUE"""),"Bakery")</f>
        <v>Bakery</v>
      </c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 t="str">
        <f>IFERROR(__xludf.DUMMYFUNCTION("""COMPUTED_VALUE"""),"Packaging")</f>
        <v>Packaging</v>
      </c>
      <c r="BD39" s="73" t="str">
        <f>IFERROR(__xludf.DUMMYFUNCTION("""COMPUTED_VALUE"""),"Henna Raj")</f>
        <v>Henna Raj</v>
      </c>
      <c r="BE39" s="73"/>
      <c r="BF39" s="73"/>
      <c r="BG39" s="73"/>
      <c r="BH39" s="54"/>
      <c r="BI39" s="113"/>
      <c r="BJ39" s="73"/>
      <c r="BK39" s="73"/>
      <c r="BL39" s="73"/>
      <c r="BM39" s="73"/>
      <c r="BN39" s="73"/>
      <c r="BO39" s="73"/>
      <c r="BP39" s="73"/>
      <c r="BQ39" s="73"/>
      <c r="BR39" s="73"/>
      <c r="BS39" s="139" t="s">
        <v>29</v>
      </c>
      <c r="BT39" s="73" t="s">
        <v>68</v>
      </c>
      <c r="BU39" s="73" t="s">
        <v>185</v>
      </c>
      <c r="BV39" s="77">
        <f>Price!$P$7</f>
        <v>115</v>
      </c>
      <c r="BW39" s="73"/>
      <c r="BX39" s="73"/>
      <c r="BY39" s="73"/>
      <c r="BZ39" s="73"/>
      <c r="CA39" s="73"/>
      <c r="CB39" s="73"/>
      <c r="CC39" s="73"/>
      <c r="CD39" s="80" t="str">
        <f t="shared" si="6"/>
        <v/>
      </c>
      <c r="CE39" s="80" t="str">
        <f t="shared" si="7"/>
        <v/>
      </c>
      <c r="CF39" s="73"/>
      <c r="CG39" s="73"/>
      <c r="CH39" s="73"/>
    </row>
    <row r="40">
      <c r="A40" s="156" t="str">
        <f>IFERROR(__xludf.DUMMYFUNCTION("""COMPUTED_VALUE"""),"https://drive.google.com/open?id=1UGXtEEpa2olcD_7mskNUz4fN8hxaqzux&amp;authuser=jay.agg%40gmail.com&amp;usp=drive_fs")</f>
        <v>https://drive.google.com/open?id=1UGXtEEpa2olcD_7mskNUz4fN8hxaqzux&amp;authuser=jay.agg%40gmail.com&amp;usp=drive_fs</v>
      </c>
      <c r="B40" s="73" t="str">
        <f>IFERROR(__xludf.DUMMYFUNCTION("""COMPUTED_VALUE"""),"Bakery")</f>
        <v>Bakery</v>
      </c>
      <c r="C40" s="73" t="str">
        <f>IFERROR(__xludf.DUMMYFUNCTION("""COMPUTED_VALUE"""),"Cake Box")</f>
        <v>Cake Box</v>
      </c>
      <c r="D40" s="73" t="str">
        <f>IFERROR(__xludf.DUMMYFUNCTION("""COMPUTED_VALUE"""),"207*207*127 mm | 8*8*5 inch | 22*18")</f>
        <v>207*207*127 mm | 8*8*5 inch | 22*18</v>
      </c>
      <c r="E40" s="140">
        <f>IFERROR(__xludf.DUMMYFUNCTION("""COMPUTED_VALUE"""),1.0)</f>
        <v>1</v>
      </c>
      <c r="F40" s="80">
        <f>IFERROR(__xludf.DUMMYFUNCTION("""COMPUTED_VALUE"""),1926.0)</f>
        <v>1926</v>
      </c>
      <c r="G40" s="80">
        <f>IFERROR(__xludf.DUMMYFUNCTION("""COMPUTED_VALUE"""),19.5)</f>
        <v>19.5</v>
      </c>
      <c r="H40" s="73">
        <f>IFERROR(__xludf.DUMMYFUNCTION("""COMPUTED_VALUE"""),23.0)</f>
        <v>23</v>
      </c>
      <c r="I40" s="73">
        <f>IFERROR(__xludf.DUMMYFUNCTION("""COMPUTED_VALUE"""),100.0)</f>
        <v>100</v>
      </c>
      <c r="J40" s="73"/>
      <c r="K40" s="73"/>
      <c r="L40" s="73">
        <f>IFERROR(__xludf.DUMMYFUNCTION("""COMPUTED_VALUE"""),2.0)</f>
        <v>2</v>
      </c>
      <c r="M40" s="73"/>
      <c r="N40" s="73">
        <f>IFERROR(__xludf.DUMMYFUNCTION("""COMPUTED_VALUE"""),1.0)</f>
        <v>1</v>
      </c>
      <c r="O40" s="73"/>
      <c r="P40" s="73" t="str">
        <f>IFERROR(__xludf.DUMMYFUNCTION("""COMPUTED_VALUE"""),"Offset")</f>
        <v>Offset</v>
      </c>
      <c r="Q40" s="73" t="str">
        <f>IFERROR(__xludf.DUMMYFUNCTION("""COMPUTED_VALUE"""),"Packaging")</f>
        <v>Packaging</v>
      </c>
      <c r="R40" s="73" t="str">
        <f>IFERROR(__xludf.DUMMYFUNCTION("""COMPUTED_VALUE"""),"Bakery")</f>
        <v>Bakery</v>
      </c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 t="str">
        <f>IFERROR(__xludf.DUMMYFUNCTION("""COMPUTED_VALUE"""),"Packaging")</f>
        <v>Packaging</v>
      </c>
      <c r="BD40" s="73" t="str">
        <f>IFERROR(__xludf.DUMMYFUNCTION("""COMPUTED_VALUE"""),"HIT Chowk")</f>
        <v>HIT Chowk</v>
      </c>
      <c r="BE40" s="73"/>
      <c r="BF40" s="73"/>
      <c r="BG40" s="73"/>
      <c r="BH40" s="54"/>
      <c r="BI40" s="88"/>
      <c r="BJ40" s="73"/>
      <c r="BK40" s="73"/>
      <c r="BL40" s="73"/>
      <c r="BM40" s="73"/>
      <c r="BN40" s="73"/>
      <c r="BO40" s="73"/>
      <c r="BP40" s="73"/>
      <c r="BQ40" s="73"/>
      <c r="BR40" s="73"/>
      <c r="BS40" s="139" t="s">
        <v>29</v>
      </c>
      <c r="BT40" s="73" t="s">
        <v>68</v>
      </c>
      <c r="BU40" s="73" t="s">
        <v>197</v>
      </c>
      <c r="BV40" s="77">
        <f>Price!$P$7</f>
        <v>115</v>
      </c>
      <c r="BW40" s="73"/>
      <c r="BX40" s="73"/>
      <c r="BY40" s="73"/>
      <c r="BZ40" s="73"/>
      <c r="CA40" s="73"/>
      <c r="CB40" s="73"/>
      <c r="CC40" s="73"/>
      <c r="CD40" s="80" t="str">
        <f t="shared" si="6"/>
        <v/>
      </c>
      <c r="CE40" s="80" t="str">
        <f t="shared" si="7"/>
        <v/>
      </c>
      <c r="CF40" s="73"/>
      <c r="CG40" s="73"/>
      <c r="CH40" s="73"/>
    </row>
    <row r="41">
      <c r="A41" s="156" t="str">
        <f>IFERROR(__xludf.DUMMYFUNCTION("""COMPUTED_VALUE"""),"https://drive.google.com/open?id=1UJH96vToCz3tFBDTJUV37JMn8WUK64XB&amp;authuser=jay.agg%40gmail.com&amp;usp=drive_fs")</f>
        <v>https://drive.google.com/open?id=1UJH96vToCz3tFBDTJUV37JMn8WUK64XB&amp;authuser=jay.agg%40gmail.com&amp;usp=drive_fs</v>
      </c>
      <c r="B41" s="73" t="str">
        <f>IFERROR(__xludf.DUMMYFUNCTION("""COMPUTED_VALUE"""),"Bakery")</f>
        <v>Bakery</v>
      </c>
      <c r="C41" s="73" t="str">
        <f>IFERROR(__xludf.DUMMYFUNCTION("""COMPUTED_VALUE"""),"Cake Box")</f>
        <v>Cake Box</v>
      </c>
      <c r="D41" s="73" t="str">
        <f>IFERROR(__xludf.DUMMYFUNCTION("""COMPUTED_VALUE"""),"356*356*127 mm | 14*14*5 inch | 24*40")</f>
        <v>356*356*127 mm | 14*14*5 inch | 24*40</v>
      </c>
      <c r="E41" s="140">
        <f>IFERROR(__xludf.DUMMYFUNCTION("""COMPUTED_VALUE"""),1.0)</f>
        <v>1</v>
      </c>
      <c r="F41" s="80">
        <f>IFERROR(__xludf.DUMMYFUNCTION("""COMPUTED_VALUE"""),2840.0)</f>
        <v>2840</v>
      </c>
      <c r="G41" s="80">
        <f>IFERROR(__xludf.DUMMYFUNCTION("""COMPUTED_VALUE"""),23.0)</f>
        <v>23</v>
      </c>
      <c r="H41" s="73">
        <f>IFERROR(__xludf.DUMMYFUNCTION("""COMPUTED_VALUE"""),40.0)</f>
        <v>40</v>
      </c>
      <c r="I41" s="73">
        <f>IFERROR(__xludf.DUMMYFUNCTION("""COMPUTED_VALUE"""),100.0)</f>
        <v>100</v>
      </c>
      <c r="J41" s="73"/>
      <c r="K41" s="73"/>
      <c r="L41" s="73"/>
      <c r="M41" s="73"/>
      <c r="N41" s="73">
        <f>IFERROR(__xludf.DUMMYFUNCTION("""COMPUTED_VALUE"""),1.0)</f>
        <v>1</v>
      </c>
      <c r="O41" s="73"/>
      <c r="P41" s="73" t="str">
        <f>IFERROR(__xludf.DUMMYFUNCTION("""COMPUTED_VALUE"""),"Offset")</f>
        <v>Offset</v>
      </c>
      <c r="Q41" s="73" t="str">
        <f>IFERROR(__xludf.DUMMYFUNCTION("""COMPUTED_VALUE"""),"Packaging")</f>
        <v>Packaging</v>
      </c>
      <c r="R41" s="73" t="str">
        <f>IFERROR(__xludf.DUMMYFUNCTION("""COMPUTED_VALUE"""),"Bakery")</f>
        <v>Bakery</v>
      </c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 t="str">
        <f>IFERROR(__xludf.DUMMYFUNCTION("""COMPUTED_VALUE"""),"Packaging")</f>
        <v>Packaging</v>
      </c>
      <c r="BD41" s="73" t="str">
        <f>IFERROR(__xludf.DUMMYFUNCTION("""COMPUTED_VALUE"""),"HOB")</f>
        <v>HOB</v>
      </c>
      <c r="BE41" s="73"/>
      <c r="BF41" s="73"/>
      <c r="BG41" s="73"/>
      <c r="BH41" s="54"/>
      <c r="BI41" s="88"/>
      <c r="BJ41" s="73"/>
      <c r="BK41" s="73"/>
      <c r="BL41" s="73"/>
      <c r="BM41" s="73"/>
      <c r="BN41" s="73"/>
      <c r="BO41" s="73"/>
      <c r="BP41" s="73"/>
      <c r="BQ41" s="73"/>
      <c r="BR41" s="73"/>
      <c r="BS41" s="139" t="s">
        <v>29</v>
      </c>
      <c r="BT41" s="73" t="s">
        <v>68</v>
      </c>
      <c r="BU41" s="88" t="s">
        <v>199</v>
      </c>
      <c r="BV41" s="77">
        <f>Price!$P$7</f>
        <v>115</v>
      </c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</row>
    <row r="42">
      <c r="A42" s="156" t="str">
        <f>IFERROR(__xludf.DUMMYFUNCTION("""COMPUTED_VALUE"""),"https://drive.google.com/open?id=1UJKPj6iM9WGYg1F9TNcXQM00SgdnfjKK&amp;authuser=jay.agg%40gmail.com&amp;usp=drive_fs")</f>
        <v>https://drive.google.com/open?id=1UJKPj6iM9WGYg1F9TNcXQM00SgdnfjKK&amp;authuser=jay.agg%40gmail.com&amp;usp=drive_fs</v>
      </c>
      <c r="B42" s="73" t="str">
        <f>IFERROR(__xludf.DUMMYFUNCTION("""COMPUTED_VALUE"""),"Bakery")</f>
        <v>Bakery</v>
      </c>
      <c r="C42" s="73" t="str">
        <f>IFERROR(__xludf.DUMMYFUNCTION("""COMPUTED_VALUE"""),"Cake Box")</f>
        <v>Cake Box</v>
      </c>
      <c r="D42" s="73" t="str">
        <f>IFERROR(__xludf.DUMMYFUNCTION("""COMPUTED_VALUE"""),"406*406*127 mm | 16*16*5 inch | 26*45")</f>
        <v>406*406*127 mm | 16*16*5 inch | 26*45</v>
      </c>
      <c r="E42" s="140">
        <f>IFERROR(__xludf.DUMMYFUNCTION("""COMPUTED_VALUE"""),1.0)</f>
        <v>1</v>
      </c>
      <c r="F42" s="80">
        <f>IFERROR(__xludf.DUMMYFUNCTION("""COMPUTED_VALUE"""),2840.0)</f>
        <v>2840</v>
      </c>
      <c r="G42" s="80">
        <f>IFERROR(__xludf.DUMMYFUNCTION("""COMPUTED_VALUE"""),26.0)</f>
        <v>26</v>
      </c>
      <c r="H42" s="73">
        <f>IFERROR(__xludf.DUMMYFUNCTION("""COMPUTED_VALUE"""),45.0)</f>
        <v>45</v>
      </c>
      <c r="I42" s="73">
        <f>IFERROR(__xludf.DUMMYFUNCTION("""COMPUTED_VALUE"""),100.0)</f>
        <v>100</v>
      </c>
      <c r="J42" s="73"/>
      <c r="K42" s="73"/>
      <c r="L42" s="73"/>
      <c r="M42" s="73"/>
      <c r="N42" s="73">
        <f>IFERROR(__xludf.DUMMYFUNCTION("""COMPUTED_VALUE"""),1.0)</f>
        <v>1</v>
      </c>
      <c r="O42" s="73"/>
      <c r="P42" s="73" t="str">
        <f>IFERROR(__xludf.DUMMYFUNCTION("""COMPUTED_VALUE"""),"Offset")</f>
        <v>Offset</v>
      </c>
      <c r="Q42" s="73" t="str">
        <f>IFERROR(__xludf.DUMMYFUNCTION("""COMPUTED_VALUE"""),"Packaging")</f>
        <v>Packaging</v>
      </c>
      <c r="R42" s="73" t="str">
        <f>IFERROR(__xludf.DUMMYFUNCTION("""COMPUTED_VALUE"""),"Bakery")</f>
        <v>Bakery</v>
      </c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 t="str">
        <f>IFERROR(__xludf.DUMMYFUNCTION("""COMPUTED_VALUE"""),"Packaging")</f>
        <v>Packaging</v>
      </c>
      <c r="BD42" s="73" t="str">
        <f>IFERROR(__xludf.DUMMYFUNCTION("""COMPUTED_VALUE"""),"Hosiery")</f>
        <v>Hosiery</v>
      </c>
      <c r="BE42" s="73"/>
      <c r="BF42" s="73"/>
      <c r="BG42" s="73"/>
      <c r="BH42" s="54"/>
      <c r="BI42" s="88"/>
      <c r="BJ42" s="73"/>
      <c r="BK42" s="73"/>
      <c r="BL42" s="73"/>
      <c r="BM42" s="73"/>
      <c r="BN42" s="73"/>
      <c r="BO42" s="73"/>
      <c r="BP42" s="73"/>
      <c r="BQ42" s="73"/>
      <c r="BR42" s="73"/>
      <c r="BS42" s="139" t="s">
        <v>15</v>
      </c>
      <c r="BT42" s="88" t="s">
        <v>68</v>
      </c>
      <c r="BU42" s="73"/>
      <c r="BV42" s="77" t="str">
        <f>Sheet2!$O$2</f>
        <v/>
      </c>
      <c r="BW42" s="73"/>
      <c r="BX42" s="88" t="s">
        <v>184</v>
      </c>
      <c r="BY42" s="73"/>
      <c r="BZ42" s="80" t="str">
        <f>Quotation!$C$21</f>
        <v/>
      </c>
      <c r="CA42" s="73"/>
      <c r="CB42" s="73"/>
      <c r="CC42" s="73"/>
      <c r="CD42" s="80" t="str">
        <f>BY42</f>
        <v/>
      </c>
      <c r="CE42" s="80" t="str">
        <f>CD42</f>
        <v/>
      </c>
      <c r="CF42" s="73"/>
      <c r="CG42" s="73"/>
      <c r="CH42" s="73"/>
    </row>
    <row r="43">
      <c r="A43" s="156" t="str">
        <f>IFERROR(__xludf.DUMMYFUNCTION("""COMPUTED_VALUE"""),"https://drive.google.com/open?id=1UKaFW_6Czxw3fTtHjztdAcLhYJr2xVrI&amp;authuser=jay.agg%40gmail.com&amp;usp=drive_fs")</f>
        <v>https://drive.google.com/open?id=1UKaFW_6Czxw3fTtHjztdAcLhYJr2xVrI&amp;authuser=jay.agg%40gmail.com&amp;usp=drive_fs</v>
      </c>
      <c r="B43" s="73" t="str">
        <f>IFERROR(__xludf.DUMMYFUNCTION("""COMPUTED_VALUE"""),"Bakery")</f>
        <v>Bakery</v>
      </c>
      <c r="C43" s="73" t="str">
        <f>IFERROR(__xludf.DUMMYFUNCTION("""COMPUTED_VALUE"""),"Cake Box")</f>
        <v>Cake Box</v>
      </c>
      <c r="D43" s="73" t="str">
        <f>IFERROR(__xludf.DUMMYFUNCTION("""COMPUTED_VALUE"""),"Tall Box 8*8*10 28*30 15*15")</f>
        <v>Tall Box 8*8*10 28*30 15*15</v>
      </c>
      <c r="E43" s="140">
        <f>IFERROR(__xludf.DUMMYFUNCTION("""COMPUTED_VALUE"""),1.0)</f>
        <v>1</v>
      </c>
      <c r="F43" s="80">
        <f>IFERROR(__xludf.DUMMYFUNCTION("""COMPUTED_VALUE"""),2840.0)</f>
        <v>2840</v>
      </c>
      <c r="G43" s="80">
        <f>IFERROR(__xludf.DUMMYFUNCTION("""COMPUTED_VALUE"""),30.0)</f>
        <v>30</v>
      </c>
      <c r="H43" s="73">
        <f>IFERROR(__xludf.DUMMYFUNCTION("""COMPUTED_VALUE"""),43.0)</f>
        <v>43</v>
      </c>
      <c r="I43" s="73">
        <f>IFERROR(__xludf.DUMMYFUNCTION("""COMPUTED_VALUE"""),100.0)</f>
        <v>100</v>
      </c>
      <c r="J43" s="73"/>
      <c r="K43" s="73"/>
      <c r="L43" s="73">
        <f>IFERROR(__xludf.DUMMYFUNCTION("""COMPUTED_VALUE"""),2.0)</f>
        <v>2</v>
      </c>
      <c r="M43" s="73">
        <f>IFERROR(__xludf.DUMMYFUNCTION("""COMPUTED_VALUE"""),1.0)</f>
        <v>1</v>
      </c>
      <c r="N43" s="73">
        <f>IFERROR(__xludf.DUMMYFUNCTION("""COMPUTED_VALUE"""),1.0)</f>
        <v>1</v>
      </c>
      <c r="O43" s="73"/>
      <c r="P43" s="73" t="str">
        <f>IFERROR(__xludf.DUMMYFUNCTION("""COMPUTED_VALUE"""),"Offset")</f>
        <v>Offset</v>
      </c>
      <c r="Q43" s="73" t="str">
        <f>IFERROR(__xludf.DUMMYFUNCTION("""COMPUTED_VALUE"""),"Packaging")</f>
        <v>Packaging</v>
      </c>
      <c r="R43" s="73" t="str">
        <f>IFERROR(__xludf.DUMMYFUNCTION("""COMPUTED_VALUE"""),"Bakery")</f>
        <v>Bakery</v>
      </c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 t="str">
        <f>IFERROR(__xludf.DUMMYFUNCTION("""COMPUTED_VALUE"""),"Packaging")</f>
        <v>Packaging</v>
      </c>
      <c r="BD43" s="73" t="str">
        <f>IFERROR(__xludf.DUMMYFUNCTION("""COMPUTED_VALUE"""),"Jwellery")</f>
        <v>Jwellery</v>
      </c>
      <c r="BE43" s="73"/>
      <c r="BF43" s="73"/>
      <c r="BG43" s="73"/>
      <c r="BH43" s="54"/>
      <c r="BI43" s="113"/>
      <c r="BJ43" s="73"/>
      <c r="BK43" s="73"/>
      <c r="BL43" s="73"/>
      <c r="BM43" s="73"/>
      <c r="BN43" s="73"/>
      <c r="BO43" s="73"/>
      <c r="BP43" s="73"/>
      <c r="BQ43" s="73"/>
      <c r="BR43" s="73"/>
      <c r="BS43" s="113" t="s">
        <v>15</v>
      </c>
      <c r="BT43" s="88" t="s">
        <v>184</v>
      </c>
      <c r="BU43" s="73"/>
      <c r="BV43" s="80" t="str">
        <f t="shared" ref="BV43:BV45" si="11">$BV$9</f>
        <v/>
      </c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</row>
    <row r="44">
      <c r="A44" s="156" t="str">
        <f>IFERROR(__xludf.DUMMYFUNCTION("""COMPUTED_VALUE"""),"https://drive.google.com/open?id=1ULAv4zyHUgIT5p3O-6qqMuw-LleJ-C23&amp;authuser=jay.agg%40gmail.com&amp;usp=drive_fs")</f>
        <v>https://drive.google.com/open?id=1ULAv4zyHUgIT5p3O-6qqMuw-LleJ-C23&amp;authuser=jay.agg%40gmail.com&amp;usp=drive_fs</v>
      </c>
      <c r="B44" s="73" t="str">
        <f>IFERROR(__xludf.DUMMYFUNCTION("""COMPUTED_VALUE"""),"Bakery")</f>
        <v>Bakery</v>
      </c>
      <c r="C44" s="73" t="str">
        <f>IFERROR(__xludf.DUMMYFUNCTION("""COMPUTED_VALUE"""),"Cake Box")</f>
        <v>Cake Box</v>
      </c>
      <c r="D44" s="73" t="str">
        <f>IFERROR(__xludf.DUMMYFUNCTION("""COMPUTED_VALUE"""),"Tall Box 10*10*10 32*32 18*18")</f>
        <v>Tall Box 10*10*10 32*32 18*18</v>
      </c>
      <c r="E44" s="140">
        <f>IFERROR(__xludf.DUMMYFUNCTION("""COMPUTED_VALUE"""),1.0)</f>
        <v>1</v>
      </c>
      <c r="F44" s="80">
        <f>IFERROR(__xludf.DUMMYFUNCTION("""COMPUTED_VALUE"""),2840.0)</f>
        <v>2840</v>
      </c>
      <c r="G44" s="80">
        <f>IFERROR(__xludf.DUMMYFUNCTION("""COMPUTED_VALUE"""),32.0)</f>
        <v>32</v>
      </c>
      <c r="H44" s="73">
        <f>IFERROR(__xludf.DUMMYFUNCTION("""COMPUTED_VALUE"""),47.0)</f>
        <v>47</v>
      </c>
      <c r="I44" s="73">
        <f>IFERROR(__xludf.DUMMYFUNCTION("""COMPUTED_VALUE"""),100.0)</f>
        <v>100</v>
      </c>
      <c r="J44" s="73"/>
      <c r="K44" s="73"/>
      <c r="L44" s="73">
        <f>IFERROR(__xludf.DUMMYFUNCTION("""COMPUTED_VALUE"""),2.0)</f>
        <v>2</v>
      </c>
      <c r="M44" s="73">
        <f>IFERROR(__xludf.DUMMYFUNCTION("""COMPUTED_VALUE"""),1.0)</f>
        <v>1</v>
      </c>
      <c r="N44" s="73">
        <f>IFERROR(__xludf.DUMMYFUNCTION("""COMPUTED_VALUE"""),1.0)</f>
        <v>1</v>
      </c>
      <c r="O44" s="73"/>
      <c r="P44" s="73" t="str">
        <f>IFERROR(__xludf.DUMMYFUNCTION("""COMPUTED_VALUE"""),"Offset")</f>
        <v>Offset</v>
      </c>
      <c r="Q44" s="73" t="str">
        <f>IFERROR(__xludf.DUMMYFUNCTION("""COMPUTED_VALUE"""),"Packaging")</f>
        <v>Packaging</v>
      </c>
      <c r="R44" s="73" t="str">
        <f>IFERROR(__xludf.DUMMYFUNCTION("""COMPUTED_VALUE"""),"Bakery")</f>
        <v>Bakery</v>
      </c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 t="str">
        <f>IFERROR(__xludf.DUMMYFUNCTION("""COMPUTED_VALUE"""),"Packaging")</f>
        <v>Packaging</v>
      </c>
      <c r="BD44" s="73" t="str">
        <f>IFERROR(__xludf.DUMMYFUNCTION("""COMPUTED_VALUE"""),"Led")</f>
        <v>Led</v>
      </c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9"/>
      <c r="BQ44" s="159"/>
      <c r="BR44" s="159"/>
      <c r="BS44" s="113" t="s">
        <v>31</v>
      </c>
      <c r="BT44" s="88" t="s">
        <v>184</v>
      </c>
      <c r="BU44" s="88"/>
      <c r="BV44" s="54" t="str">
        <f t="shared" si="11"/>
        <v/>
      </c>
      <c r="BW44" s="88"/>
      <c r="BX44" s="159"/>
      <c r="BY44" s="88" t="s">
        <v>9</v>
      </c>
      <c r="BZ44" s="159"/>
      <c r="CA44" s="159"/>
      <c r="CB44" s="159"/>
      <c r="CC44" s="159"/>
      <c r="CD44" s="80"/>
      <c r="CE44" s="80"/>
      <c r="CF44" s="159"/>
      <c r="CG44" s="159"/>
      <c r="CH44" s="159"/>
    </row>
    <row r="45">
      <c r="A45" s="156" t="str">
        <f>IFERROR(__xludf.DUMMYFUNCTION("""COMPUTED_VALUE"""),"https://drive.google.com/open?id=1UMXrLqrUmqp7-d9mhQWMYtxxeVypNWrE&amp;authuser=jay.agg%40gmail.com&amp;usp=drive_fs")</f>
        <v>https://drive.google.com/open?id=1UMXrLqrUmqp7-d9mhQWMYtxxeVypNWrE&amp;authuser=jay.agg%40gmail.com&amp;usp=drive_fs</v>
      </c>
      <c r="B45" s="73" t="str">
        <f>IFERROR(__xludf.DUMMYFUNCTION("""COMPUTED_VALUE"""),"Bakery")</f>
        <v>Bakery</v>
      </c>
      <c r="C45" s="73" t="str">
        <f>IFERROR(__xludf.DUMMYFUNCTION("""COMPUTED_VALUE"""),"Cake Box")</f>
        <v>Cake Box</v>
      </c>
      <c r="D45" s="73" t="str">
        <f>IFERROR(__xludf.DUMMYFUNCTION("""COMPUTED_VALUE"""),"Tall Box 12*12*12 38*38 19*19")</f>
        <v>Tall Box 12*12*12 38*38 19*19</v>
      </c>
      <c r="E45" s="140">
        <f>IFERROR(__xludf.DUMMYFUNCTION("""COMPUTED_VALUE"""),1.0)</f>
        <v>1</v>
      </c>
      <c r="F45" s="80">
        <f>IFERROR(__xludf.DUMMYFUNCTION("""COMPUTED_VALUE"""),2840.0)</f>
        <v>2840</v>
      </c>
      <c r="G45" s="80">
        <f>IFERROR(__xludf.DUMMYFUNCTION("""COMPUTED_VALUE"""),38.0)</f>
        <v>38</v>
      </c>
      <c r="H45" s="73">
        <f>IFERROR(__xludf.DUMMYFUNCTION("""COMPUTED_VALUE"""),55.0)</f>
        <v>55</v>
      </c>
      <c r="I45" s="73">
        <f>IFERROR(__xludf.DUMMYFUNCTION("""COMPUTED_VALUE"""),100.0)</f>
        <v>100</v>
      </c>
      <c r="J45" s="73"/>
      <c r="K45" s="73"/>
      <c r="L45" s="73">
        <f>IFERROR(__xludf.DUMMYFUNCTION("""COMPUTED_VALUE"""),2.0)</f>
        <v>2</v>
      </c>
      <c r="M45" s="73">
        <f>IFERROR(__xludf.DUMMYFUNCTION("""COMPUTED_VALUE"""),1.0)</f>
        <v>1</v>
      </c>
      <c r="N45" s="73">
        <f>IFERROR(__xludf.DUMMYFUNCTION("""COMPUTED_VALUE"""),1.0)</f>
        <v>1</v>
      </c>
      <c r="O45" s="73"/>
      <c r="P45" s="73" t="str">
        <f>IFERROR(__xludf.DUMMYFUNCTION("""COMPUTED_VALUE"""),"Offset")</f>
        <v>Offset</v>
      </c>
      <c r="Q45" s="73" t="str">
        <f>IFERROR(__xludf.DUMMYFUNCTION("""COMPUTED_VALUE"""),"Packaging")</f>
        <v>Packaging</v>
      </c>
      <c r="R45" s="73" t="str">
        <f>IFERROR(__xludf.DUMMYFUNCTION("""COMPUTED_VALUE"""),"Bakery")</f>
        <v>Bakery</v>
      </c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 t="str">
        <f>IFERROR(__xludf.DUMMYFUNCTION("""COMPUTED_VALUE"""),"Packaging")</f>
        <v>Packaging</v>
      </c>
      <c r="BD45" s="73" t="str">
        <f>IFERROR(__xludf.DUMMYFUNCTION("""COMPUTED_VALUE"""),"Lifespan")</f>
        <v>Lifespan</v>
      </c>
      <c r="BE45" s="80"/>
      <c r="BF45" s="73" t="s">
        <v>207</v>
      </c>
      <c r="BG45" s="77">
        <v>1001.0</v>
      </c>
      <c r="BH45" s="139" t="str">
        <f>IFERROR(__xludf.DUMMYFUNCTION("QUERY(BF45:BG51,BH4)"),"Packaging")</f>
        <v>Packaging</v>
      </c>
      <c r="BI45" s="77">
        <f>IFERROR(__xludf.DUMMYFUNCTION("""COMPUTED_VALUE"""),1926.0)</f>
        <v>1926</v>
      </c>
      <c r="BJ45" s="160" t="str">
        <f>IFERROR(__xludf.DUMMYFUNCTION("QUERY(Price!AY2:AZ50,BI4)"),"#N/A")</f>
        <v>#N/A</v>
      </c>
      <c r="BK45" s="54"/>
      <c r="BL45" s="139" t="str">
        <f>IFERROR(__xludf.DUMMYFUNCTION("QUERY(Price!BC2:BD8,BJ4)"),"#N/A")</f>
        <v>#N/A</v>
      </c>
      <c r="BM45" s="77"/>
      <c r="BN45" s="139" t="str">
        <f>IFERROR(__xludf.DUMMYFUNCTION("QUERY(Price!AW2:AX50,BK4)"),"Plain")</f>
        <v>Plain</v>
      </c>
      <c r="BO45" s="77">
        <f>IFERROR(__xludf.DUMMYFUNCTION("""COMPUTED_VALUE"""),0.0)</f>
        <v>0</v>
      </c>
      <c r="BP45" s="139" t="str">
        <f>IFERROR(__xludf.DUMMYFUNCTION("QUERY(Price!AU2:AV50,BL4)"),"Plain")</f>
        <v>Plain</v>
      </c>
      <c r="BQ45" s="161">
        <f>IFERROR(__xludf.DUMMYFUNCTION("""COMPUTED_VALUE"""),0.0)</f>
        <v>0</v>
      </c>
      <c r="BR45" s="139"/>
      <c r="BS45" s="139" t="s">
        <v>29</v>
      </c>
      <c r="BT45" s="88" t="s">
        <v>184</v>
      </c>
      <c r="BU45" s="73"/>
      <c r="BV45" s="80" t="str">
        <f t="shared" si="11"/>
        <v/>
      </c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</row>
    <row r="46">
      <c r="A46" s="156" t="str">
        <f>IFERROR(__xludf.DUMMYFUNCTION("""COMPUTED_VALUE"""),"https://drive.google.com/open?id=1UNsN6lw6eJp3EmppFBALQPeknHOYuu7F&amp;authuser=jay.agg%40gmail.com&amp;usp=drive_fs")</f>
        <v>https://drive.google.com/open?id=1UNsN6lw6eJp3EmppFBALQPeknHOYuu7F&amp;authuser=jay.agg%40gmail.com&amp;usp=drive_fs</v>
      </c>
      <c r="B46" s="73" t="str">
        <f>IFERROR(__xludf.DUMMYFUNCTION("""COMPUTED_VALUE"""),"Bakery")</f>
        <v>Bakery</v>
      </c>
      <c r="C46" s="73" t="str">
        <f>IFERROR(__xludf.DUMMYFUNCTION("""COMPUTED_VALUE"""),"Cake Box")</f>
        <v>Cake Box</v>
      </c>
      <c r="D46" s="73" t="str">
        <f>IFERROR(__xludf.DUMMYFUNCTION("""COMPUTED_VALUE"""),"Tall Box 14*14*14 43*43 21*21")</f>
        <v>Tall Box 14*14*14 43*43 21*21</v>
      </c>
      <c r="E46" s="140">
        <f>IFERROR(__xludf.DUMMYFUNCTION("""COMPUTED_VALUE"""),1.0)</f>
        <v>1</v>
      </c>
      <c r="F46" s="80">
        <f>IFERROR(__xludf.DUMMYFUNCTION("""COMPUTED_VALUE"""),2840.0)</f>
        <v>2840</v>
      </c>
      <c r="G46" s="80">
        <f>IFERROR(__xludf.DUMMYFUNCTION("""COMPUTED_VALUE"""),43.0)</f>
        <v>43</v>
      </c>
      <c r="H46" s="73">
        <f>IFERROR(__xludf.DUMMYFUNCTION("""COMPUTED_VALUE"""),63.0)</f>
        <v>63</v>
      </c>
      <c r="I46" s="73">
        <f>IFERROR(__xludf.DUMMYFUNCTION("""COMPUTED_VALUE"""),100.0)</f>
        <v>100</v>
      </c>
      <c r="J46" s="73"/>
      <c r="K46" s="73"/>
      <c r="L46" s="73">
        <f>IFERROR(__xludf.DUMMYFUNCTION("""COMPUTED_VALUE"""),2.0)</f>
        <v>2</v>
      </c>
      <c r="M46" s="73">
        <f>IFERROR(__xludf.DUMMYFUNCTION("""COMPUTED_VALUE"""),1.0)</f>
        <v>1</v>
      </c>
      <c r="N46" s="73">
        <f>IFERROR(__xludf.DUMMYFUNCTION("""COMPUTED_VALUE"""),1.0)</f>
        <v>1</v>
      </c>
      <c r="O46" s="73"/>
      <c r="P46" s="73" t="str">
        <f>IFERROR(__xludf.DUMMYFUNCTION("""COMPUTED_VALUE"""),"Offset")</f>
        <v>Offset</v>
      </c>
      <c r="Q46" s="73" t="str">
        <f>IFERROR(__xludf.DUMMYFUNCTION("""COMPUTED_VALUE"""),"Packaging")</f>
        <v>Packaging</v>
      </c>
      <c r="R46" s="73" t="str">
        <f>IFERROR(__xludf.DUMMYFUNCTION("""COMPUTED_VALUE"""),"Bakery")</f>
        <v>Bakery</v>
      </c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 t="str">
        <f>IFERROR(__xludf.DUMMYFUNCTION("""COMPUTED_VALUE"""),"Packaging")</f>
        <v>Packaging</v>
      </c>
      <c r="BD46" s="73" t="str">
        <f>IFERROR(__xludf.DUMMYFUNCTION("""COMPUTED_VALUE"""),"Machine Parts")</f>
        <v>Machine Parts</v>
      </c>
      <c r="BE46" s="80"/>
      <c r="BF46" s="73" t="s">
        <v>208</v>
      </c>
      <c r="BG46" s="77">
        <v>1002.0</v>
      </c>
      <c r="BH46" s="73"/>
      <c r="BI46" s="139"/>
      <c r="BJ46" s="80"/>
      <c r="BK46" s="54"/>
      <c r="BL46" s="77"/>
      <c r="BM46" s="80"/>
      <c r="BN46" s="139"/>
      <c r="BO46" s="77"/>
      <c r="BP46" s="139"/>
      <c r="BQ46" s="139"/>
      <c r="BR46" s="139"/>
      <c r="BS46" s="139"/>
      <c r="BT46" s="139"/>
      <c r="BU46" s="80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</row>
    <row r="47">
      <c r="A47" s="156" t="str">
        <f>IFERROR(__xludf.DUMMYFUNCTION("""COMPUTED_VALUE"""),"https://drive.google.com/open?id=129Tc2pA_aD6fw-eEZeX6LXlb4uoy1j5_&amp;authuser=jay.agg%40gmail.com&amp;usp=drive_fs")</f>
        <v>https://drive.google.com/open?id=129Tc2pA_aD6fw-eEZeX6LXlb4uoy1j5_&amp;authuser=jay.agg%40gmail.com&amp;usp=drive_fs</v>
      </c>
      <c r="B47" s="73" t="str">
        <f>IFERROR(__xludf.DUMMYFUNCTION("""COMPUTED_VALUE"""),"Bakery")</f>
        <v>Bakery</v>
      </c>
      <c r="C47" s="73" t="str">
        <f>IFERROR(__xludf.DUMMYFUNCTION("""COMPUTED_VALUE"""),"Cake Box")</f>
        <v>Cake Box</v>
      </c>
      <c r="D47" s="73" t="str">
        <f>IFERROR(__xludf.DUMMYFUNCTION("""COMPUTED_VALUE"""),"178*178*120 mm | 7*7*4.75 inch")</f>
        <v>178*178*120 mm | 7*7*4.75 inch</v>
      </c>
      <c r="E47" s="140">
        <f>IFERROR(__xludf.DUMMYFUNCTION("""COMPUTED_VALUE"""),1.0)</f>
        <v>1</v>
      </c>
      <c r="F47" s="80">
        <f>IFERROR(__xludf.DUMMYFUNCTION("""COMPUTED_VALUE"""),1926.0)</f>
        <v>1926</v>
      </c>
      <c r="G47" s="80">
        <f>IFERROR(__xludf.DUMMYFUNCTION("""COMPUTED_VALUE"""),15.0)</f>
        <v>15</v>
      </c>
      <c r="H47" s="73">
        <f>IFERROR(__xludf.DUMMYFUNCTION("""COMPUTED_VALUE"""),25.0)</f>
        <v>25</v>
      </c>
      <c r="I47" s="73">
        <f>IFERROR(__xludf.DUMMYFUNCTION("""COMPUTED_VALUE"""),100.0)</f>
        <v>100</v>
      </c>
      <c r="J47" s="73"/>
      <c r="K47" s="73"/>
      <c r="L47" s="73"/>
      <c r="M47" s="73"/>
      <c r="N47" s="73">
        <f>IFERROR(__xludf.DUMMYFUNCTION("""COMPUTED_VALUE"""),1.0)</f>
        <v>1</v>
      </c>
      <c r="O47" s="73"/>
      <c r="P47" s="73" t="str">
        <f>IFERROR(__xludf.DUMMYFUNCTION("""COMPUTED_VALUE"""),"Offset")</f>
        <v>Offset</v>
      </c>
      <c r="Q47" s="73" t="str">
        <f>IFERROR(__xludf.DUMMYFUNCTION("""COMPUTED_VALUE"""),"Packaging")</f>
        <v>Packaging</v>
      </c>
      <c r="R47" s="73" t="str">
        <f>IFERROR(__xludf.DUMMYFUNCTION("""COMPUTED_VALUE"""),"Bakery")</f>
        <v>Bakery</v>
      </c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 t="str">
        <f>IFERROR(__xludf.DUMMYFUNCTION("""COMPUTED_VALUE"""),"Packaging")</f>
        <v>Packaging</v>
      </c>
      <c r="BD47" s="73" t="str">
        <f>IFERROR(__xludf.DUMMYFUNCTION("""COMPUTED_VALUE"""),"Masala")</f>
        <v>Masala</v>
      </c>
      <c r="BE47" s="80"/>
      <c r="BF47" s="73" t="s">
        <v>209</v>
      </c>
      <c r="BG47" s="77">
        <v>1004.0</v>
      </c>
      <c r="BH47" s="73"/>
      <c r="BI47" s="139"/>
      <c r="BJ47" s="73"/>
      <c r="BK47" s="88"/>
      <c r="BL47" s="77"/>
      <c r="BM47" s="80"/>
      <c r="BN47" s="139"/>
      <c r="BO47" s="77"/>
      <c r="BP47" s="139"/>
      <c r="BQ47" s="139"/>
      <c r="BR47" s="139"/>
      <c r="BS47" s="139"/>
      <c r="BT47" s="139"/>
      <c r="BU47" s="80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</row>
    <row r="48">
      <c r="A48" s="156" t="str">
        <f>IFERROR(__xludf.DUMMYFUNCTION("""COMPUTED_VALUE"""),"https://drive.google.com/open?id=1N4B92ANkI-56ydIrP1GkifkdOXM1UzMm&amp;authuser=jay.agg%40gmail.com&amp;usp=drive_fs")</f>
        <v>https://drive.google.com/open?id=1N4B92ANkI-56ydIrP1GkifkdOXM1UzMm&amp;authuser=jay.agg%40gmail.com&amp;usp=drive_fs</v>
      </c>
      <c r="B48" s="73" t="str">
        <f>IFERROR(__xludf.DUMMYFUNCTION("""COMPUTED_VALUE"""),"Bakery")</f>
        <v>Bakery</v>
      </c>
      <c r="C48" s="73" t="str">
        <f>IFERROR(__xludf.DUMMYFUNCTION("""COMPUTED_VALUE"""),"Cakesicles")</f>
        <v>Cakesicles</v>
      </c>
      <c r="D48" s="73" t="str">
        <f>IFERROR(__xludf.DUMMYFUNCTION("""COMPUTED_VALUE"""),"50*30*90 mm | 2*1.2*3.5 inch")</f>
        <v>50*30*90 mm | 2*1.2*3.5 inch</v>
      </c>
      <c r="E48" s="140">
        <f>IFERROR(__xludf.DUMMYFUNCTION("""COMPUTED_VALUE"""),9.0)</f>
        <v>9</v>
      </c>
      <c r="F48" s="80">
        <f>IFERROR(__xludf.DUMMYFUNCTION("""COMPUTED_VALUE"""),1926.0)</f>
        <v>1926</v>
      </c>
      <c r="G48" s="80">
        <f>IFERROR(__xludf.DUMMYFUNCTION("""COMPUTED_VALUE"""),18.0)</f>
        <v>18</v>
      </c>
      <c r="H48" s="73">
        <f>IFERROR(__xludf.DUMMYFUNCTION("""COMPUTED_VALUE"""),21.0)</f>
        <v>21</v>
      </c>
      <c r="I48" s="73">
        <f>IFERROR(__xludf.DUMMYFUNCTION("""COMPUTED_VALUE"""),100.0)</f>
        <v>100</v>
      </c>
      <c r="J48" s="73"/>
      <c r="K48" s="73"/>
      <c r="L48" s="73">
        <f>IFERROR(__xludf.DUMMYFUNCTION("""COMPUTED_VALUE"""),1.0)</f>
        <v>1</v>
      </c>
      <c r="M48" s="73">
        <f>IFERROR(__xludf.DUMMYFUNCTION("""COMPUTED_VALUE"""),0.1)</f>
        <v>0.1</v>
      </c>
      <c r="N48" s="73">
        <f>IFERROR(__xludf.DUMMYFUNCTION("""COMPUTED_VALUE"""),1.0)</f>
        <v>1</v>
      </c>
      <c r="O48" s="73"/>
      <c r="P48" s="73" t="str">
        <f>IFERROR(__xludf.DUMMYFUNCTION("""COMPUTED_VALUE"""),"Offset")</f>
        <v>Offset</v>
      </c>
      <c r="Q48" s="73" t="str">
        <f>IFERROR(__xludf.DUMMYFUNCTION("""COMPUTED_VALUE"""),"Packaging")</f>
        <v>Packaging</v>
      </c>
      <c r="R48" s="73" t="str">
        <f>IFERROR(__xludf.DUMMYFUNCTION("""COMPUTED_VALUE"""),"Bakery")</f>
        <v>Bakery</v>
      </c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 t="str">
        <f>IFERROR(__xludf.DUMMYFUNCTION("""COMPUTED_VALUE"""),"Packaging")</f>
        <v>Packaging</v>
      </c>
      <c r="BD48" s="73" t="str">
        <f>IFERROR(__xludf.DUMMYFUNCTION("""COMPUTED_VALUE"""),"Maxobull")</f>
        <v>Maxobull</v>
      </c>
      <c r="BE48" s="80"/>
      <c r="BF48" s="73" t="s">
        <v>210</v>
      </c>
      <c r="BG48" s="77">
        <v>1003.0</v>
      </c>
      <c r="BH48" s="73"/>
      <c r="BI48" s="139"/>
      <c r="BJ48" s="80"/>
      <c r="BK48" s="54"/>
      <c r="BL48" s="77"/>
      <c r="BM48" s="80"/>
      <c r="BN48" s="139"/>
      <c r="BO48" s="77"/>
      <c r="BP48" s="139"/>
      <c r="BQ48" s="139"/>
      <c r="BR48" s="139"/>
      <c r="BS48" s="139"/>
      <c r="BT48" s="139"/>
      <c r="BU48" s="80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</row>
    <row r="49">
      <c r="A49" s="156" t="str">
        <f>IFERROR(__xludf.DUMMYFUNCTION("""COMPUTED_VALUE"""),"https://drive.google.com/open?id=1RsN-5kbxnytBeeqYRPBafhzEPINgMI6a&amp;authuser=jay.agg%40gmail.com&amp;usp=drive_fs")</f>
        <v>https://drive.google.com/open?id=1RsN-5kbxnytBeeqYRPBafhzEPINgMI6a&amp;authuser=jay.agg%40gmail.com&amp;usp=drive_fs</v>
      </c>
      <c r="B49" s="73" t="str">
        <f>IFERROR(__xludf.DUMMYFUNCTION("""COMPUTED_VALUE"""),"Bakery")</f>
        <v>Bakery</v>
      </c>
      <c r="C49" s="73" t="str">
        <f>IFERROR(__xludf.DUMMYFUNCTION("""COMPUTED_VALUE"""),"Carry Bag")</f>
        <v>Carry Bag</v>
      </c>
      <c r="D49" s="73" t="str">
        <f>IFERROR(__xludf.DUMMYFUNCTION("""COMPUTED_VALUE"""),"95*90*350 mm | 3.5*3.74*13.8 inch")</f>
        <v>95*90*350 mm | 3.5*3.74*13.8 inch</v>
      </c>
      <c r="E49" s="140">
        <f>IFERROR(__xludf.DUMMYFUNCTION("""COMPUTED_VALUE"""),1.0)</f>
        <v>1</v>
      </c>
      <c r="F49" s="80">
        <f>IFERROR(__xludf.DUMMYFUNCTION("""COMPUTED_VALUE"""),1926.0)</f>
        <v>1926</v>
      </c>
      <c r="G49" s="80">
        <f>IFERROR(__xludf.DUMMYFUNCTION("""COMPUTED_VALUE"""),18.0)</f>
        <v>18</v>
      </c>
      <c r="H49" s="73">
        <f>IFERROR(__xludf.DUMMYFUNCTION("""COMPUTED_VALUE"""),19.0)</f>
        <v>19</v>
      </c>
      <c r="I49" s="73">
        <f>IFERROR(__xludf.DUMMYFUNCTION("""COMPUTED_VALUE"""),100.0)</f>
        <v>100</v>
      </c>
      <c r="J49" s="73"/>
      <c r="K49" s="73"/>
      <c r="L49" s="73">
        <f>IFERROR(__xludf.DUMMYFUNCTION("""COMPUTED_VALUE"""),3.5)</f>
        <v>3.5</v>
      </c>
      <c r="M49" s="73"/>
      <c r="N49" s="73">
        <f>IFERROR(__xludf.DUMMYFUNCTION("""COMPUTED_VALUE"""),1.0)</f>
        <v>1</v>
      </c>
      <c r="O49" s="73"/>
      <c r="P49" s="73" t="str">
        <f>IFERROR(__xludf.DUMMYFUNCTION("""COMPUTED_VALUE"""),"Offset")</f>
        <v>Offset</v>
      </c>
      <c r="Q49" s="73" t="str">
        <f>IFERROR(__xludf.DUMMYFUNCTION("""COMPUTED_VALUE"""),"Packaging")</f>
        <v>Packaging</v>
      </c>
      <c r="R49" s="73" t="str">
        <f>IFERROR(__xludf.DUMMYFUNCTION("""COMPUTED_VALUE"""),"Bakery")</f>
        <v>Bakery</v>
      </c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 t="str">
        <f>IFERROR(__xludf.DUMMYFUNCTION("""COMPUTED_VALUE"""),"Packaging")</f>
        <v>Packaging</v>
      </c>
      <c r="BD49" s="73" t="str">
        <f>IFERROR(__xludf.DUMMYFUNCTION("""COMPUTED_VALUE"""),"Medecine")</f>
        <v>Medecine</v>
      </c>
      <c r="BE49" s="80"/>
      <c r="BF49" s="88" t="s">
        <v>72</v>
      </c>
      <c r="BG49" s="161">
        <v>1926.0</v>
      </c>
      <c r="BH49" s="73"/>
      <c r="BI49" s="139"/>
      <c r="BJ49" s="73"/>
      <c r="BK49" s="88"/>
      <c r="BL49" s="77"/>
      <c r="BM49" s="80"/>
      <c r="BN49" s="139"/>
      <c r="BO49" s="77"/>
      <c r="BP49" s="139"/>
      <c r="BQ49" s="139"/>
      <c r="BR49" s="139"/>
      <c r="BS49" s="139"/>
      <c r="BT49" s="139"/>
      <c r="BU49" s="80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</row>
    <row r="50">
      <c r="A50" s="156" t="str">
        <f>IFERROR(__xludf.DUMMYFUNCTION("""COMPUTED_VALUE"""),"https://drive.google.com/open?id=1S0Z7-qXziQR2o-50ZN_Wj4QZgEHujSeM&amp;authuser=jay.agg%40gmail.com&amp;usp=drive_fs")</f>
        <v>https://drive.google.com/open?id=1S0Z7-qXziQR2o-50ZN_Wj4QZgEHujSeM&amp;authuser=jay.agg%40gmail.com&amp;usp=drive_fs</v>
      </c>
      <c r="B50" s="73" t="str">
        <f>IFERROR(__xludf.DUMMYFUNCTION("""COMPUTED_VALUE"""),"Bakery")</f>
        <v>Bakery</v>
      </c>
      <c r="C50" s="73" t="str">
        <f>IFERROR(__xludf.DUMMYFUNCTION("""COMPUTED_VALUE"""),"Carry Bag")</f>
        <v>Carry Bag</v>
      </c>
      <c r="D50" s="73" t="str">
        <f>IFERROR(__xludf.DUMMYFUNCTION("""COMPUTED_VALUE"""),"203*203*203 mm | 8*8*8 inch")</f>
        <v>203*203*203 mm | 8*8*8 inch</v>
      </c>
      <c r="E50" s="140">
        <f>IFERROR(__xludf.DUMMYFUNCTION("""COMPUTED_VALUE"""),1.0)</f>
        <v>1</v>
      </c>
      <c r="F50" s="80">
        <f>IFERROR(__xludf.DUMMYFUNCTION("""COMPUTED_VALUE"""),1926.0)</f>
        <v>1926</v>
      </c>
      <c r="G50" s="80">
        <f>IFERROR(__xludf.DUMMYFUNCTION("""COMPUTED_VALUE"""),18.0)</f>
        <v>18</v>
      </c>
      <c r="H50" s="73">
        <f>IFERROR(__xludf.DUMMYFUNCTION("""COMPUTED_VALUE"""),25.0)</f>
        <v>25</v>
      </c>
      <c r="I50" s="73">
        <f>IFERROR(__xludf.DUMMYFUNCTION("""COMPUTED_VALUE"""),100.0)</f>
        <v>100</v>
      </c>
      <c r="J50" s="73"/>
      <c r="K50" s="73"/>
      <c r="L50" s="73">
        <f>IFERROR(__xludf.DUMMYFUNCTION("""COMPUTED_VALUE"""),4.0)</f>
        <v>4</v>
      </c>
      <c r="M50" s="73"/>
      <c r="N50" s="73">
        <f>IFERROR(__xludf.DUMMYFUNCTION("""COMPUTED_VALUE"""),1.0)</f>
        <v>1</v>
      </c>
      <c r="O50" s="73"/>
      <c r="P50" s="73" t="str">
        <f>IFERROR(__xludf.DUMMYFUNCTION("""COMPUTED_VALUE"""),"Offset")</f>
        <v>Offset</v>
      </c>
      <c r="Q50" s="73" t="str">
        <f>IFERROR(__xludf.DUMMYFUNCTION("""COMPUTED_VALUE"""),"Packaging")</f>
        <v>Packaging</v>
      </c>
      <c r="R50" s="73" t="str">
        <f>IFERROR(__xludf.DUMMYFUNCTION("""COMPUTED_VALUE"""),"Bakery")</f>
        <v>Bakery</v>
      </c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 t="str">
        <f>IFERROR(__xludf.DUMMYFUNCTION("""COMPUTED_VALUE"""),"Packaging")</f>
        <v>Packaging</v>
      </c>
      <c r="BD50" s="73" t="str">
        <f>IFERROR(__xludf.DUMMYFUNCTION("""COMPUTED_VALUE"""),"Meethai &amp; Cake")</f>
        <v>Meethai &amp; Cake</v>
      </c>
      <c r="BE50" s="80"/>
      <c r="BF50" s="88" t="s">
        <v>64</v>
      </c>
      <c r="BG50" s="161">
        <v>1926.0</v>
      </c>
      <c r="BH50" s="73"/>
      <c r="BI50" s="139"/>
      <c r="BJ50" s="80"/>
      <c r="BK50" s="88"/>
      <c r="BL50" s="77"/>
      <c r="BM50" s="80"/>
      <c r="BN50" s="139"/>
      <c r="BO50" s="77"/>
      <c r="BP50" s="139"/>
      <c r="BQ50" s="139"/>
      <c r="BR50" s="139"/>
      <c r="BS50" s="139"/>
      <c r="BT50" s="139"/>
      <c r="BU50" s="80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</row>
    <row r="51">
      <c r="A51" s="156" t="str">
        <f>IFERROR(__xludf.DUMMYFUNCTION("""COMPUTED_VALUE"""),"https://drive.google.com/open?id=1S1-oItrjrPuZogp4E743RrdwmIfIYIEF&amp;authuser=jay.agg%40gmail.com&amp;usp=drive_fs")</f>
        <v>https://drive.google.com/open?id=1S1-oItrjrPuZogp4E743RrdwmIfIYIEF&amp;authuser=jay.agg%40gmail.com&amp;usp=drive_fs</v>
      </c>
      <c r="B51" s="73" t="str">
        <f>IFERROR(__xludf.DUMMYFUNCTION("""COMPUTED_VALUE"""),"Bakery")</f>
        <v>Bakery</v>
      </c>
      <c r="C51" s="73" t="str">
        <f>IFERROR(__xludf.DUMMYFUNCTION("""COMPUTED_VALUE"""),"Carry Bag")</f>
        <v>Carry Bag</v>
      </c>
      <c r="D51" s="73" t="str">
        <f>IFERROR(__xludf.DUMMYFUNCTION("""COMPUTED_VALUE"""),"268*268*203 mm | 10.5*10.5*8 inch")</f>
        <v>268*268*203 mm | 10.5*10.5*8 inch</v>
      </c>
      <c r="E51" s="140">
        <f>IFERROR(__xludf.DUMMYFUNCTION("""COMPUTED_VALUE"""),1.0)</f>
        <v>1</v>
      </c>
      <c r="F51" s="80">
        <f>IFERROR(__xludf.DUMMYFUNCTION("""COMPUTED_VALUE"""),2840.0)</f>
        <v>2840</v>
      </c>
      <c r="G51" s="80">
        <f>IFERROR(__xludf.DUMMYFUNCTION("""COMPUTED_VALUE"""),22.0)</f>
        <v>22</v>
      </c>
      <c r="H51" s="73">
        <f>IFERROR(__xludf.DUMMYFUNCTION("""COMPUTED_VALUE"""),28.0)</f>
        <v>28</v>
      </c>
      <c r="I51" s="73">
        <f>IFERROR(__xludf.DUMMYFUNCTION("""COMPUTED_VALUE"""),100.0)</f>
        <v>100</v>
      </c>
      <c r="J51" s="73"/>
      <c r="K51" s="73"/>
      <c r="L51" s="73">
        <f>IFERROR(__xludf.DUMMYFUNCTION("""COMPUTED_VALUE"""),4.0)</f>
        <v>4</v>
      </c>
      <c r="M51" s="73"/>
      <c r="N51" s="73">
        <f>IFERROR(__xludf.DUMMYFUNCTION("""COMPUTED_VALUE"""),1.0)</f>
        <v>1</v>
      </c>
      <c r="O51" s="73"/>
      <c r="P51" s="73" t="str">
        <f>IFERROR(__xludf.DUMMYFUNCTION("""COMPUTED_VALUE"""),"Offset")</f>
        <v>Offset</v>
      </c>
      <c r="Q51" s="73" t="str">
        <f>IFERROR(__xludf.DUMMYFUNCTION("""COMPUTED_VALUE"""),"Packaging")</f>
        <v>Packaging</v>
      </c>
      <c r="R51" s="73" t="str">
        <f>IFERROR(__xludf.DUMMYFUNCTION("""COMPUTED_VALUE"""),"Bakery")</f>
        <v>Bakery</v>
      </c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 t="str">
        <f>IFERROR(__xludf.DUMMYFUNCTION("""COMPUTED_VALUE"""),"Packaging")</f>
        <v>Packaging</v>
      </c>
      <c r="BD51" s="73" t="str">
        <f>IFERROR(__xludf.DUMMYFUNCTION("""COMPUTED_VALUE"""),"MFM")</f>
        <v>MFM</v>
      </c>
      <c r="BE51" s="80"/>
      <c r="BF51" s="88" t="s">
        <v>96</v>
      </c>
      <c r="BG51" s="161">
        <v>1005.0</v>
      </c>
      <c r="BH51" s="73"/>
      <c r="BI51" s="139"/>
      <c r="BJ51" s="80"/>
      <c r="BK51" s="77"/>
      <c r="BL51" s="77"/>
      <c r="BM51" s="80"/>
      <c r="BN51" s="139"/>
      <c r="BO51" s="77"/>
      <c r="BP51" s="139"/>
      <c r="BQ51" s="139"/>
      <c r="BR51" s="139"/>
      <c r="BS51" s="139"/>
      <c r="BT51" s="139"/>
      <c r="BU51" s="80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</row>
    <row r="52">
      <c r="A52" s="156" t="str">
        <f>IFERROR(__xludf.DUMMYFUNCTION("""COMPUTED_VALUE"""),"https://drive.google.com/open?id=1S2Ulg3xJ-_8STATOpgFi2hN69eQZOJ0z&amp;authuser=jay.agg%40gmail.com&amp;usp=drive_fs")</f>
        <v>https://drive.google.com/open?id=1S2Ulg3xJ-_8STATOpgFi2hN69eQZOJ0z&amp;authuser=jay.agg%40gmail.com&amp;usp=drive_fs</v>
      </c>
      <c r="B52" s="73" t="str">
        <f>IFERROR(__xludf.DUMMYFUNCTION("""COMPUTED_VALUE"""),"Bakery")</f>
        <v>Bakery</v>
      </c>
      <c r="C52" s="73" t="str">
        <f>IFERROR(__xludf.DUMMYFUNCTION("""COMPUTED_VALUE"""),"Carry Bag")</f>
        <v>Carry Bag</v>
      </c>
      <c r="D52" s="73" t="str">
        <f>IFERROR(__xludf.DUMMYFUNCTION("""COMPUTED_VALUE"""),"228*102*280 mm | 9*4*11 inch")</f>
        <v>228*102*280 mm | 9*4*11 inch</v>
      </c>
      <c r="E52" s="140">
        <f>IFERROR(__xludf.DUMMYFUNCTION("""COMPUTED_VALUE"""),1.0)</f>
        <v>1</v>
      </c>
      <c r="F52" s="80">
        <f>IFERROR(__xludf.DUMMYFUNCTION("""COMPUTED_VALUE"""),2029.0)</f>
        <v>2029</v>
      </c>
      <c r="G52" s="80">
        <f>IFERROR(__xludf.DUMMYFUNCTION("""COMPUTED_VALUE"""),19.0)</f>
        <v>19</v>
      </c>
      <c r="H52" s="73">
        <f>IFERROR(__xludf.DUMMYFUNCTION("""COMPUTED_VALUE"""),28.0)</f>
        <v>28</v>
      </c>
      <c r="I52" s="73">
        <f>IFERROR(__xludf.DUMMYFUNCTION("""COMPUTED_VALUE"""),100.0)</f>
        <v>100</v>
      </c>
      <c r="J52" s="73"/>
      <c r="K52" s="73"/>
      <c r="L52" s="73">
        <f>IFERROR(__xludf.DUMMYFUNCTION("""COMPUTED_VALUE"""),4.0)</f>
        <v>4</v>
      </c>
      <c r="M52" s="73">
        <f>IFERROR(__xludf.DUMMYFUNCTION("""COMPUTED_VALUE"""),0.1)</f>
        <v>0.1</v>
      </c>
      <c r="N52" s="73">
        <f>IFERROR(__xludf.DUMMYFUNCTION("""COMPUTED_VALUE"""),1.0)</f>
        <v>1</v>
      </c>
      <c r="O52" s="73"/>
      <c r="P52" s="73" t="str">
        <f>IFERROR(__xludf.DUMMYFUNCTION("""COMPUTED_VALUE"""),"Offset")</f>
        <v>Offset</v>
      </c>
      <c r="Q52" s="73" t="str">
        <f>IFERROR(__xludf.DUMMYFUNCTION("""COMPUTED_VALUE"""),"Packaging")</f>
        <v>Packaging</v>
      </c>
      <c r="R52" s="73" t="str">
        <f>IFERROR(__xludf.DUMMYFUNCTION("""COMPUTED_VALUE"""),"Bakery")</f>
        <v>Bakery</v>
      </c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 t="str">
        <f>IFERROR(__xludf.DUMMYFUNCTION("""COMPUTED_VALUE"""),"Packaging")</f>
        <v>Packaging</v>
      </c>
      <c r="BD52" s="73" t="str">
        <f>IFERROR(__xludf.DUMMYFUNCTION("""COMPUTED_VALUE"""),"Misc")</f>
        <v>Misc</v>
      </c>
      <c r="BE52" s="80"/>
      <c r="BF52" s="73"/>
      <c r="BG52" s="139"/>
      <c r="BH52" s="73"/>
      <c r="BI52" s="73"/>
      <c r="BJ52" s="80"/>
      <c r="BK52" s="54"/>
      <c r="BL52" s="77"/>
      <c r="BM52" s="80"/>
      <c r="BN52" s="139"/>
      <c r="BO52" s="77"/>
      <c r="BP52" s="139"/>
      <c r="BQ52" s="139"/>
      <c r="BR52" s="139"/>
      <c r="BS52" s="139"/>
      <c r="BT52" s="139"/>
      <c r="BU52" s="80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</row>
    <row r="53">
      <c r="A53" s="156" t="str">
        <f>IFERROR(__xludf.DUMMYFUNCTION("""COMPUTED_VALUE"""),"https://drive.google.com/open?id=1S98BnAjgzMnqK0gaSeAjfURAnE4p6GGL&amp;authuser=jay.agg%40gmail.com&amp;usp=drive_fs")</f>
        <v>https://drive.google.com/open?id=1S98BnAjgzMnqK0gaSeAjfURAnE4p6GGL&amp;authuser=jay.agg%40gmail.com&amp;usp=drive_fs</v>
      </c>
      <c r="B53" s="73" t="str">
        <f>IFERROR(__xludf.DUMMYFUNCTION("""COMPUTED_VALUE"""),"Bakery")</f>
        <v>Bakery</v>
      </c>
      <c r="C53" s="73" t="str">
        <f>IFERROR(__xludf.DUMMYFUNCTION("""COMPUTED_VALUE"""),"Carry Bag")</f>
        <v>Carry Bag</v>
      </c>
      <c r="D53" s="73" t="str">
        <f>IFERROR(__xludf.DUMMYFUNCTION("""COMPUTED_VALUE"""),"178*102*178 mm | 7*4*7 inch")</f>
        <v>178*102*178 mm | 7*4*7 inch</v>
      </c>
      <c r="E53" s="140">
        <f>IFERROR(__xludf.DUMMYFUNCTION("""COMPUTED_VALUE"""),1.0)</f>
        <v>1</v>
      </c>
      <c r="F53" s="80">
        <f>IFERROR(__xludf.DUMMYFUNCTION("""COMPUTED_VALUE"""),1926.0)</f>
        <v>1926</v>
      </c>
      <c r="G53" s="80">
        <f>IFERROR(__xludf.DUMMYFUNCTION("""COMPUTED_VALUE"""),13.0)</f>
        <v>13</v>
      </c>
      <c r="H53" s="73">
        <f>IFERROR(__xludf.DUMMYFUNCTION("""COMPUTED_VALUE"""),23.0)</f>
        <v>23</v>
      </c>
      <c r="I53" s="73">
        <f>IFERROR(__xludf.DUMMYFUNCTION("""COMPUTED_VALUE"""),100.0)</f>
        <v>100</v>
      </c>
      <c r="J53" s="73"/>
      <c r="K53" s="73"/>
      <c r="L53" s="73">
        <f>IFERROR(__xludf.DUMMYFUNCTION("""COMPUTED_VALUE"""),4.0)</f>
        <v>4</v>
      </c>
      <c r="M53" s="73">
        <f>IFERROR(__xludf.DUMMYFUNCTION("""COMPUTED_VALUE"""),0.1)</f>
        <v>0.1</v>
      </c>
      <c r="N53" s="73">
        <f>IFERROR(__xludf.DUMMYFUNCTION("""COMPUTED_VALUE"""),1.0)</f>
        <v>1</v>
      </c>
      <c r="O53" s="73"/>
      <c r="P53" s="73" t="str">
        <f>IFERROR(__xludf.DUMMYFUNCTION("""COMPUTED_VALUE"""),"Offset")</f>
        <v>Offset</v>
      </c>
      <c r="Q53" s="73" t="str">
        <f>IFERROR(__xludf.DUMMYFUNCTION("""COMPUTED_VALUE"""),"Packaging")</f>
        <v>Packaging</v>
      </c>
      <c r="R53" s="73" t="str">
        <f>IFERROR(__xludf.DUMMYFUNCTION("""COMPUTED_VALUE"""),"Bakery")</f>
        <v>Bakery</v>
      </c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 t="str">
        <f>IFERROR(__xludf.DUMMYFUNCTION("""COMPUTED_VALUE"""),"Packaging")</f>
        <v>Packaging</v>
      </c>
      <c r="BD53" s="73" t="str">
        <f>IFERROR(__xludf.DUMMYFUNCTION("""COMPUTED_VALUE"""),"Mobile")</f>
        <v>Mobile</v>
      </c>
      <c r="BE53" s="80"/>
      <c r="BF53" s="80"/>
      <c r="BG53" s="139"/>
      <c r="BH53" s="73"/>
      <c r="BI53" s="73"/>
      <c r="BJ53" s="139"/>
      <c r="BK53" s="139"/>
      <c r="BL53" s="77"/>
      <c r="BM53" s="73"/>
      <c r="BN53" s="80"/>
      <c r="BO53" s="77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</row>
    <row r="54">
      <c r="A54" s="156" t="str">
        <f>IFERROR(__xludf.DUMMYFUNCTION("""COMPUTED_VALUE"""),"https://drive.google.com/open?id=1PnzMu0Gj44pVCfBcfv9xMTpVe_jmAs4T&amp;authuser=jay.agg%40gmail.com&amp;usp=drive_fs")</f>
        <v>https://drive.google.com/open?id=1PnzMu0Gj44pVCfBcfv9xMTpVe_jmAs4T&amp;authuser=jay.agg%40gmail.com&amp;usp=drive_fs</v>
      </c>
      <c r="B54" s="73" t="str">
        <f>IFERROR(__xludf.DUMMYFUNCTION("""COMPUTED_VALUE"""),"Bakery")</f>
        <v>Bakery</v>
      </c>
      <c r="C54" s="73" t="str">
        <f>IFERROR(__xludf.DUMMYFUNCTION("""COMPUTED_VALUE"""),"Chocolate 12")</f>
        <v>Chocolate 12</v>
      </c>
      <c r="D54" s="73" t="str">
        <f>IFERROR(__xludf.DUMMYFUNCTION("""COMPUTED_VALUE"""),"Tray 250*80*40 mm | 9.9*3.15*1.6 inch")</f>
        <v>Tray 250*80*40 mm | 9.9*3.15*1.6 inch</v>
      </c>
      <c r="E54" s="140">
        <f>IFERROR(__xludf.DUMMYFUNCTION("""COMPUTED_VALUE"""),2.0)</f>
        <v>2</v>
      </c>
      <c r="F54" s="80">
        <f>IFERROR(__xludf.DUMMYFUNCTION("""COMPUTED_VALUE"""),1926.0)</f>
        <v>1926</v>
      </c>
      <c r="G54" s="80">
        <f>IFERROR(__xludf.DUMMYFUNCTION("""COMPUTED_VALUE"""),18.0)</f>
        <v>18</v>
      </c>
      <c r="H54" s="73">
        <f>IFERROR(__xludf.DUMMYFUNCTION("""COMPUTED_VALUE"""),23.0)</f>
        <v>23</v>
      </c>
      <c r="I54" s="73">
        <f>IFERROR(__xludf.DUMMYFUNCTION("""COMPUTED_VALUE"""),100.0)</f>
        <v>100</v>
      </c>
      <c r="J54" s="73"/>
      <c r="K54" s="73"/>
      <c r="L54" s="73"/>
      <c r="M54" s="73"/>
      <c r="N54" s="73">
        <f>IFERROR(__xludf.DUMMYFUNCTION("""COMPUTED_VALUE"""),1.0)</f>
        <v>1</v>
      </c>
      <c r="O54" s="73"/>
      <c r="P54" s="73" t="str">
        <f>IFERROR(__xludf.DUMMYFUNCTION("""COMPUTED_VALUE"""),"Offset")</f>
        <v>Offset</v>
      </c>
      <c r="Q54" s="73" t="str">
        <f>IFERROR(__xludf.DUMMYFUNCTION("""COMPUTED_VALUE"""),"Packaging")</f>
        <v>Packaging</v>
      </c>
      <c r="R54" s="73" t="str">
        <f>IFERROR(__xludf.DUMMYFUNCTION("""COMPUTED_VALUE"""),"Bakery")</f>
        <v>Bakery</v>
      </c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 t="str">
        <f>IFERROR(__xludf.DUMMYFUNCTION("""COMPUTED_VALUE"""),"Packaging")</f>
        <v>Packaging</v>
      </c>
      <c r="BD54" s="73" t="str">
        <f>IFERROR(__xludf.DUMMYFUNCTION("""COMPUTED_VALUE"""),"Mobile Accessories")</f>
        <v>Mobile Accessories</v>
      </c>
      <c r="BE54" s="80"/>
      <c r="BF54" s="80"/>
      <c r="BG54" s="139"/>
      <c r="BH54" s="73"/>
      <c r="BI54" s="139"/>
      <c r="BJ54" s="80"/>
      <c r="BK54" s="80"/>
      <c r="BL54" s="77"/>
      <c r="BM54" s="73"/>
      <c r="BN54" s="80"/>
      <c r="BO54" s="77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</row>
    <row r="55">
      <c r="A55" s="156" t="str">
        <f>IFERROR(__xludf.DUMMYFUNCTION("""COMPUTED_VALUE"""),"https://drive.google.com/open?id=1PpZmDlcNh_1V1ZpVdq__IRl0I1kPw1Qd&amp;authuser=jay.agg%40gmail.com&amp;usp=drive_fs")</f>
        <v>https://drive.google.com/open?id=1PpZmDlcNh_1V1ZpVdq__IRl0I1kPw1Qd&amp;authuser=jay.agg%40gmail.com&amp;usp=drive_fs</v>
      </c>
      <c r="B55" s="73" t="str">
        <f>IFERROR(__xludf.DUMMYFUNCTION("""COMPUTED_VALUE"""),"Bakery")</f>
        <v>Bakery</v>
      </c>
      <c r="C55" s="73" t="str">
        <f>IFERROR(__xludf.DUMMYFUNCTION("""COMPUTED_VALUE"""),"Chocolate 12")</f>
        <v>Chocolate 12</v>
      </c>
      <c r="D55" s="73" t="str">
        <f>IFERROR(__xludf.DUMMYFUNCTION("""COMPUTED_VALUE"""),"Sleeve 250*80*40 mm | 9.9*3.15*1.6 inch")</f>
        <v>Sleeve 250*80*40 mm | 9.9*3.15*1.6 inch</v>
      </c>
      <c r="E55" s="140">
        <f>IFERROR(__xludf.DUMMYFUNCTION("""COMPUTED_VALUE"""),2.0)</f>
        <v>2</v>
      </c>
      <c r="F55" s="80">
        <f>IFERROR(__xludf.DUMMYFUNCTION("""COMPUTED_VALUE"""),1926.0)</f>
        <v>1926</v>
      </c>
      <c r="G55" s="80">
        <f>IFERROR(__xludf.DUMMYFUNCTION("""COMPUTED_VALUE"""),12.0)</f>
        <v>12</v>
      </c>
      <c r="H55" s="73">
        <f>IFERROR(__xludf.DUMMYFUNCTION("""COMPUTED_VALUE"""),23.0)</f>
        <v>23</v>
      </c>
      <c r="I55" s="73">
        <f>IFERROR(__xludf.DUMMYFUNCTION("""COMPUTED_VALUE"""),100.0)</f>
        <v>100</v>
      </c>
      <c r="J55" s="73"/>
      <c r="K55" s="73"/>
      <c r="L55" s="73"/>
      <c r="M55" s="73">
        <f>IFERROR(__xludf.DUMMYFUNCTION("""COMPUTED_VALUE"""),0.1)</f>
        <v>0.1</v>
      </c>
      <c r="N55" s="73">
        <f>IFERROR(__xludf.DUMMYFUNCTION("""COMPUTED_VALUE"""),1.0)</f>
        <v>1</v>
      </c>
      <c r="O55" s="73"/>
      <c r="P55" s="73" t="str">
        <f>IFERROR(__xludf.DUMMYFUNCTION("""COMPUTED_VALUE"""),"Offset")</f>
        <v>Offset</v>
      </c>
      <c r="Q55" s="73" t="str">
        <f>IFERROR(__xludf.DUMMYFUNCTION("""COMPUTED_VALUE"""),"Packaging")</f>
        <v>Packaging</v>
      </c>
      <c r="R55" s="73" t="str">
        <f>IFERROR(__xludf.DUMMYFUNCTION("""COMPUTED_VALUE"""),"Bakery")</f>
        <v>Bakery</v>
      </c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 t="str">
        <f>IFERROR(__xludf.DUMMYFUNCTION("""COMPUTED_VALUE"""),"Packaging")</f>
        <v>Packaging</v>
      </c>
      <c r="BD55" s="73" t="str">
        <f>IFERROR(__xludf.DUMMYFUNCTION("""COMPUTED_VALUE"""),"Nathabit")</f>
        <v>Nathabit</v>
      </c>
      <c r="BE55" s="80"/>
      <c r="BF55" s="80"/>
      <c r="BG55" s="139"/>
      <c r="BH55" s="73"/>
      <c r="BI55" s="73"/>
      <c r="BJ55" s="139"/>
      <c r="BK55" s="54"/>
      <c r="BL55" s="77"/>
      <c r="BM55" s="77"/>
      <c r="BN55" s="139"/>
      <c r="BO55" s="77"/>
      <c r="BP55" s="139"/>
      <c r="BQ55" s="139"/>
      <c r="BR55" s="139"/>
      <c r="BS55" s="139"/>
      <c r="BT55" s="139"/>
      <c r="BU55" s="80"/>
      <c r="BV55" s="139"/>
      <c r="BW55" s="139"/>
      <c r="BX55" s="139"/>
      <c r="BY55" s="139"/>
      <c r="BZ55" s="139"/>
      <c r="CA55" s="139"/>
      <c r="CB55" s="139"/>
      <c r="CC55" s="73"/>
      <c r="CD55" s="73"/>
      <c r="CE55" s="73"/>
      <c r="CF55" s="73"/>
      <c r="CG55" s="73"/>
      <c r="CH55" s="73"/>
    </row>
    <row r="56">
      <c r="A56" s="156" t="str">
        <f>IFERROR(__xludf.DUMMYFUNCTION("""COMPUTED_VALUE"""),"https://drive.google.com/open?id=1QTPA9WUEV2j8fkEkgcASZTdsr3jy70lO&amp;authuser=jay.agg%40gmail.com&amp;usp=drive_fs")</f>
        <v>https://drive.google.com/open?id=1QTPA9WUEV2j8fkEkgcASZTdsr3jy70lO&amp;authuser=jay.agg%40gmail.com&amp;usp=drive_fs</v>
      </c>
      <c r="B56" s="73" t="str">
        <f>IFERROR(__xludf.DUMMYFUNCTION("""COMPUTED_VALUE"""),"Bakery")</f>
        <v>Bakery</v>
      </c>
      <c r="C56" s="73" t="str">
        <f>IFERROR(__xludf.DUMMYFUNCTION("""COMPUTED_VALUE"""),"Chocolate 15")</f>
        <v>Chocolate 15</v>
      </c>
      <c r="D56" s="73" t="str">
        <f>IFERROR(__xludf.DUMMYFUNCTION("""COMPUTED_VALUE"""),"Tray 200*125*40 mm | 7.8*4.9*1.6 inch")</f>
        <v>Tray 200*125*40 mm | 7.8*4.9*1.6 inch</v>
      </c>
      <c r="E56" s="140">
        <f>IFERROR(__xludf.DUMMYFUNCTION("""COMPUTED_VALUE"""),2.0)</f>
        <v>2</v>
      </c>
      <c r="F56" s="80">
        <f>IFERROR(__xludf.DUMMYFUNCTION("""COMPUTED_VALUE"""),2029.0)</f>
        <v>2029</v>
      </c>
      <c r="G56" s="80">
        <f>IFERROR(__xludf.DUMMYFUNCTION("""COMPUTED_VALUE"""),19.0)</f>
        <v>19</v>
      </c>
      <c r="H56" s="73">
        <f>IFERROR(__xludf.DUMMYFUNCTION("""COMPUTED_VALUE"""),26.0)</f>
        <v>26</v>
      </c>
      <c r="I56" s="73">
        <f>IFERROR(__xludf.DUMMYFUNCTION("""COMPUTED_VALUE"""),100.0)</f>
        <v>100</v>
      </c>
      <c r="J56" s="73"/>
      <c r="K56" s="73"/>
      <c r="L56" s="73"/>
      <c r="M56" s="73"/>
      <c r="N56" s="73">
        <f>IFERROR(__xludf.DUMMYFUNCTION("""COMPUTED_VALUE"""),1.0)</f>
        <v>1</v>
      </c>
      <c r="O56" s="73"/>
      <c r="P56" s="73" t="str">
        <f>IFERROR(__xludf.DUMMYFUNCTION("""COMPUTED_VALUE"""),"Offset")</f>
        <v>Offset</v>
      </c>
      <c r="Q56" s="73" t="str">
        <f>IFERROR(__xludf.DUMMYFUNCTION("""COMPUTED_VALUE"""),"Packaging")</f>
        <v>Packaging</v>
      </c>
      <c r="R56" s="73" t="str">
        <f>IFERROR(__xludf.DUMMYFUNCTION("""COMPUTED_VALUE"""),"Bakery")</f>
        <v>Bakery</v>
      </c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 t="str">
        <f>IFERROR(__xludf.DUMMYFUNCTION("""COMPUTED_VALUE"""),"Packaging")</f>
        <v>Packaging</v>
      </c>
      <c r="BD56" s="73" t="str">
        <f>IFERROR(__xludf.DUMMYFUNCTION("""COMPUTED_VALUE"""),"Pooja Kit")</f>
        <v>Pooja Kit</v>
      </c>
      <c r="BE56" s="80"/>
      <c r="BF56" s="80"/>
      <c r="BG56" s="139"/>
      <c r="BH56" s="73"/>
      <c r="BI56" s="139"/>
      <c r="BJ56" s="80"/>
      <c r="BK56" s="54"/>
      <c r="BL56" s="77"/>
      <c r="BM56" s="80"/>
      <c r="BN56" s="139"/>
      <c r="BO56" s="77"/>
      <c r="BP56" s="139"/>
      <c r="BQ56" s="139"/>
      <c r="BR56" s="139"/>
      <c r="BS56" s="139"/>
      <c r="BT56" s="139"/>
      <c r="BU56" s="80"/>
      <c r="BV56" s="139"/>
      <c r="BW56" s="139"/>
      <c r="BX56" s="139"/>
      <c r="BY56" s="139"/>
      <c r="BZ56" s="139"/>
      <c r="CA56" s="139"/>
      <c r="CB56" s="139"/>
      <c r="CC56" s="73"/>
      <c r="CD56" s="73"/>
      <c r="CE56" s="73"/>
      <c r="CF56" s="73"/>
      <c r="CG56" s="73"/>
      <c r="CH56" s="73"/>
    </row>
    <row r="57">
      <c r="A57" s="156" t="str">
        <f>IFERROR(__xludf.DUMMYFUNCTION("""COMPUTED_VALUE"""),"https://drive.google.com/open?id=1QTPA9WUEV2j8fkEkgcASZTdsr3jy70lO&amp;authuser=jay.agg%40gmail.com&amp;usp=drive_fs")</f>
        <v>https://drive.google.com/open?id=1QTPA9WUEV2j8fkEkgcASZTdsr3jy70lO&amp;authuser=jay.agg%40gmail.com&amp;usp=drive_fs</v>
      </c>
      <c r="B57" s="73" t="str">
        <f>IFERROR(__xludf.DUMMYFUNCTION("""COMPUTED_VALUE"""),"Bakery")</f>
        <v>Bakery</v>
      </c>
      <c r="C57" s="73" t="str">
        <f>IFERROR(__xludf.DUMMYFUNCTION("""COMPUTED_VALUE"""),"Chocolate 15")</f>
        <v>Chocolate 15</v>
      </c>
      <c r="D57" s="73" t="str">
        <f>IFERROR(__xludf.DUMMYFUNCTION("""COMPUTED_VALUE"""),"Sleeve 200*125*40 mm | 7.8*4.9*1.6 inch")</f>
        <v>Sleeve 200*125*40 mm | 7.8*4.9*1.6 inch</v>
      </c>
      <c r="E57" s="140">
        <f>IFERROR(__xludf.DUMMYFUNCTION("""COMPUTED_VALUE"""),3.0)</f>
        <v>3</v>
      </c>
      <c r="F57" s="80">
        <f>IFERROR(__xludf.DUMMYFUNCTION("""COMPUTED_VALUE"""),1926.0)</f>
        <v>1926</v>
      </c>
      <c r="G57" s="80">
        <f>IFERROR(__xludf.DUMMYFUNCTION("""COMPUTED_VALUE"""),15.0)</f>
        <v>15</v>
      </c>
      <c r="H57" s="73">
        <f>IFERROR(__xludf.DUMMYFUNCTION("""COMPUTED_VALUE"""),25.0)</f>
        <v>25</v>
      </c>
      <c r="I57" s="73">
        <f>IFERROR(__xludf.DUMMYFUNCTION("""COMPUTED_VALUE"""),100.0)</f>
        <v>100</v>
      </c>
      <c r="J57" s="73"/>
      <c r="K57" s="73"/>
      <c r="L57" s="73">
        <f>IFERROR(__xludf.DUMMYFUNCTION("""COMPUTED_VALUE"""),1.5)</f>
        <v>1.5</v>
      </c>
      <c r="M57" s="73">
        <f>IFERROR(__xludf.DUMMYFUNCTION("""COMPUTED_VALUE"""),0.1)</f>
        <v>0.1</v>
      </c>
      <c r="N57" s="73">
        <f>IFERROR(__xludf.DUMMYFUNCTION("""COMPUTED_VALUE"""),1.0)</f>
        <v>1</v>
      </c>
      <c r="O57" s="73"/>
      <c r="P57" s="73" t="str">
        <f>IFERROR(__xludf.DUMMYFUNCTION("""COMPUTED_VALUE"""),"Offset")</f>
        <v>Offset</v>
      </c>
      <c r="Q57" s="73" t="str">
        <f>IFERROR(__xludf.DUMMYFUNCTION("""COMPUTED_VALUE"""),"Packaging")</f>
        <v>Packaging</v>
      </c>
      <c r="R57" s="73" t="str">
        <f>IFERROR(__xludf.DUMMYFUNCTION("""COMPUTED_VALUE"""),"Bakery")</f>
        <v>Bakery</v>
      </c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 t="str">
        <f>IFERROR(__xludf.DUMMYFUNCTION("""COMPUTED_VALUE"""),"Packaging")</f>
        <v>Packaging</v>
      </c>
      <c r="BD57" s="73" t="str">
        <f>IFERROR(__xludf.DUMMYFUNCTION("""COMPUTED_VALUE"""),"Power Plus")</f>
        <v>Power Plus</v>
      </c>
      <c r="BE57" s="80"/>
      <c r="BF57" s="80"/>
      <c r="BG57" s="139"/>
      <c r="BH57" s="73"/>
      <c r="BI57" s="139"/>
      <c r="BJ57" s="80"/>
      <c r="BK57" s="54"/>
      <c r="BL57" s="77"/>
      <c r="BM57" s="80"/>
      <c r="BN57" s="139"/>
      <c r="BO57" s="77"/>
      <c r="BP57" s="139"/>
      <c r="BQ57" s="139"/>
      <c r="BR57" s="139"/>
      <c r="BS57" s="139"/>
      <c r="BT57" s="139"/>
      <c r="BU57" s="80"/>
      <c r="BV57" s="139"/>
      <c r="BW57" s="139"/>
      <c r="BX57" s="139"/>
      <c r="BY57" s="139"/>
      <c r="BZ57" s="139"/>
      <c r="CA57" s="139"/>
      <c r="CB57" s="139"/>
      <c r="CC57" s="73"/>
      <c r="CD57" s="73"/>
      <c r="CE57" s="73"/>
      <c r="CF57" s="73"/>
      <c r="CG57" s="73"/>
      <c r="CH57" s="73"/>
    </row>
    <row r="58">
      <c r="A58" s="156" t="str">
        <f>IFERROR(__xludf.DUMMYFUNCTION("""COMPUTED_VALUE"""),"https://drive.google.com/open?id=1Pgfe8ksCwJ1QLlLAEJ-ISr7kMBXa6jhu&amp;authuser=jay.agg%40gmail.com&amp;usp=drive_fs")</f>
        <v>https://drive.google.com/open?id=1Pgfe8ksCwJ1QLlLAEJ-ISr7kMBXa6jhu&amp;authuser=jay.agg%40gmail.com&amp;usp=drive_fs</v>
      </c>
      <c r="B58" s="73" t="str">
        <f>IFERROR(__xludf.DUMMYFUNCTION("""COMPUTED_VALUE"""),"Bakery")</f>
        <v>Bakery</v>
      </c>
      <c r="C58" s="73" t="str">
        <f>IFERROR(__xludf.DUMMYFUNCTION("""COMPUTED_VALUE"""),"Chocolate 24")</f>
        <v>Chocolate 24</v>
      </c>
      <c r="D58" s="73" t="str">
        <f>IFERROR(__xludf.DUMMYFUNCTION("""COMPUTED_VALUE"""),"250*165*40 mm | 9.9*6.5*1.6 inch")</f>
        <v>250*165*40 mm | 9.9*6.5*1.6 inch</v>
      </c>
      <c r="E58" s="140">
        <f>IFERROR(__xludf.DUMMYFUNCTION("""COMPUTED_VALUE"""),1.0)</f>
        <v>1</v>
      </c>
      <c r="F58" s="80">
        <f>IFERROR(__xludf.DUMMYFUNCTION("""COMPUTED_VALUE"""),1926.0)</f>
        <v>1926</v>
      </c>
      <c r="G58" s="80">
        <f>IFERROR(__xludf.DUMMYFUNCTION("""COMPUTED_VALUE"""),18.0)</f>
        <v>18</v>
      </c>
      <c r="H58" s="73">
        <f>IFERROR(__xludf.DUMMYFUNCTION("""COMPUTED_VALUE"""),25.0)</f>
        <v>25</v>
      </c>
      <c r="I58" s="73">
        <f>IFERROR(__xludf.DUMMYFUNCTION("""COMPUTED_VALUE"""),100.0)</f>
        <v>100</v>
      </c>
      <c r="J58" s="73"/>
      <c r="K58" s="73"/>
      <c r="L58" s="73">
        <f>IFERROR(__xludf.DUMMYFUNCTION("""COMPUTED_VALUE"""),1.0)</f>
        <v>1</v>
      </c>
      <c r="M58" s="73">
        <f>IFERROR(__xludf.DUMMYFUNCTION("""COMPUTED_VALUE"""),0.1)</f>
        <v>0.1</v>
      </c>
      <c r="N58" s="73">
        <f>IFERROR(__xludf.DUMMYFUNCTION("""COMPUTED_VALUE"""),1.0)</f>
        <v>1</v>
      </c>
      <c r="O58" s="73"/>
      <c r="P58" s="73" t="str">
        <f>IFERROR(__xludf.DUMMYFUNCTION("""COMPUTED_VALUE"""),"Offset")</f>
        <v>Offset</v>
      </c>
      <c r="Q58" s="73" t="str">
        <f>IFERROR(__xludf.DUMMYFUNCTION("""COMPUTED_VALUE"""),"Packaging")</f>
        <v>Packaging</v>
      </c>
      <c r="R58" s="73" t="str">
        <f>IFERROR(__xludf.DUMMYFUNCTION("""COMPUTED_VALUE"""),"Bakery")</f>
        <v>Bakery</v>
      </c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 t="str">
        <f>IFERROR(__xludf.DUMMYFUNCTION("""COMPUTED_VALUE"""),"Packaging")</f>
        <v>Packaging</v>
      </c>
      <c r="BD58" s="73" t="str">
        <f>IFERROR(__xludf.DUMMYFUNCTION("""COMPUTED_VALUE"""),"Purifier")</f>
        <v>Purifier</v>
      </c>
      <c r="BE58" s="80"/>
      <c r="BF58" s="80"/>
      <c r="BG58" s="139"/>
      <c r="BH58" s="160" t="str">
        <f>IFERROR(__xludf.DUMMYFUNCTION("QUERY(Price!BA2:BB50,BN4)"),"#N/A")</f>
        <v>#N/A</v>
      </c>
      <c r="BI58" s="139"/>
      <c r="BJ58" s="73"/>
      <c r="BK58" s="88"/>
      <c r="BL58" s="139" t="str">
        <f>IFERROR(__xludf.DUMMYFUNCTION("QUERY(Price!BC2:BD15,BM4)"),"Plain")</f>
        <v>Plain</v>
      </c>
      <c r="BM58" s="80">
        <f>IFERROR(__xludf.DUMMYFUNCTION("""COMPUTED_VALUE"""),0.0)</f>
        <v>0</v>
      </c>
      <c r="BN58" s="162" t="str">
        <f>IFERROR(__xludf.DUMMYFUNCTION("QUERY(Price!AW2:AX50,BO4)"),"#N/A")</f>
        <v>#N/A</v>
      </c>
      <c r="BO58" s="73"/>
      <c r="BP58" s="139"/>
      <c r="BQ58" s="139"/>
      <c r="BR58" s="139"/>
      <c r="BS58" s="139"/>
      <c r="BT58" s="139"/>
      <c r="BU58" s="80"/>
      <c r="BV58" s="139"/>
      <c r="BW58" s="139"/>
      <c r="BX58" s="139"/>
      <c r="BY58" s="139"/>
      <c r="BZ58" s="139"/>
      <c r="CA58" s="139"/>
      <c r="CB58" s="139"/>
      <c r="CC58" s="73"/>
      <c r="CD58" s="73"/>
      <c r="CE58" s="73"/>
      <c r="CF58" s="73"/>
      <c r="CG58" s="73"/>
      <c r="CH58" s="73"/>
    </row>
    <row r="59">
      <c r="A59" s="156" t="str">
        <f>IFERROR(__xludf.DUMMYFUNCTION("""COMPUTED_VALUE"""),"https://drive.google.com/open?id=1Pgfe8ksCwJ1QLlLAEJ-ISr7kMBXa6jhu&amp;authuser=jay.agg%40gmail.com&amp;usp=drive_fs")</f>
        <v>https://drive.google.com/open?id=1Pgfe8ksCwJ1QLlLAEJ-ISr7kMBXa6jhu&amp;authuser=jay.agg%40gmail.com&amp;usp=drive_fs</v>
      </c>
      <c r="B59" s="73" t="str">
        <f>IFERROR(__xludf.DUMMYFUNCTION("""COMPUTED_VALUE"""),"Bakery")</f>
        <v>Bakery</v>
      </c>
      <c r="C59" s="73" t="str">
        <f>IFERROR(__xludf.DUMMYFUNCTION("""COMPUTED_VALUE"""),"Chocolate 24")</f>
        <v>Chocolate 24</v>
      </c>
      <c r="D59" s="73" t="str">
        <f>IFERROR(__xludf.DUMMYFUNCTION("""COMPUTED_VALUE"""),"Tray 250*165*40 mm | 9.9*6.5*1.6 inch")</f>
        <v>Tray 250*165*40 mm | 9.9*6.5*1.6 inch</v>
      </c>
      <c r="E59" s="140">
        <f>IFERROR(__xludf.DUMMYFUNCTION("""COMPUTED_VALUE"""),1.0)</f>
        <v>1</v>
      </c>
      <c r="F59" s="80">
        <f>IFERROR(__xludf.DUMMYFUNCTION("""COMPUTED_VALUE"""),1926.0)</f>
        <v>1926</v>
      </c>
      <c r="G59" s="80">
        <f>IFERROR(__xludf.DUMMYFUNCTION("""COMPUTED_VALUE"""),15.75)</f>
        <v>15.75</v>
      </c>
      <c r="H59" s="73">
        <f>IFERROR(__xludf.DUMMYFUNCTION("""COMPUTED_VALUE"""),20.75)</f>
        <v>20.75</v>
      </c>
      <c r="I59" s="73">
        <f>IFERROR(__xludf.DUMMYFUNCTION("""COMPUTED_VALUE"""),100.0)</f>
        <v>100</v>
      </c>
      <c r="J59" s="73"/>
      <c r="K59" s="73"/>
      <c r="L59" s="73"/>
      <c r="M59" s="73"/>
      <c r="N59" s="73">
        <f>IFERROR(__xludf.DUMMYFUNCTION("""COMPUTED_VALUE"""),1.0)</f>
        <v>1</v>
      </c>
      <c r="O59" s="73"/>
      <c r="P59" s="73" t="str">
        <f>IFERROR(__xludf.DUMMYFUNCTION("""COMPUTED_VALUE"""),"Offset")</f>
        <v>Offset</v>
      </c>
      <c r="Q59" s="73" t="str">
        <f>IFERROR(__xludf.DUMMYFUNCTION("""COMPUTED_VALUE"""),"Packaging")</f>
        <v>Packaging</v>
      </c>
      <c r="R59" s="73" t="str">
        <f>IFERROR(__xludf.DUMMYFUNCTION("""COMPUTED_VALUE"""),"Bakery")</f>
        <v>Bakery</v>
      </c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 t="str">
        <f>IFERROR(__xludf.DUMMYFUNCTION("""COMPUTED_VALUE"""),"Packaging")</f>
        <v>Packaging</v>
      </c>
      <c r="BD59" s="73" t="str">
        <f>IFERROR(__xludf.DUMMYFUNCTION("""COMPUTED_VALUE"""),"Readymer")</f>
        <v>Readymer</v>
      </c>
      <c r="BE59" s="80"/>
      <c r="BF59" s="80"/>
      <c r="BG59" s="139"/>
      <c r="BH59" s="73"/>
      <c r="BI59" s="139"/>
      <c r="BJ59" s="73"/>
      <c r="BK59" s="88"/>
      <c r="BL59" s="77"/>
      <c r="BM59" s="80"/>
      <c r="BN59" s="139"/>
      <c r="BO59" s="77"/>
      <c r="BP59" s="139"/>
      <c r="BQ59" s="139"/>
      <c r="BR59" s="139"/>
      <c r="BS59" s="139"/>
      <c r="BT59" s="139"/>
      <c r="BU59" s="80"/>
      <c r="BV59" s="139"/>
      <c r="BW59" s="139"/>
      <c r="BX59" s="139"/>
      <c r="BY59" s="139"/>
      <c r="BZ59" s="139"/>
      <c r="CA59" s="139"/>
      <c r="CB59" s="139"/>
      <c r="CC59" s="73"/>
      <c r="CD59" s="73"/>
      <c r="CE59" s="73"/>
      <c r="CF59" s="73"/>
      <c r="CG59" s="73"/>
      <c r="CH59" s="73"/>
    </row>
    <row r="60">
      <c r="A60" s="156" t="str">
        <f>IFERROR(__xludf.DUMMYFUNCTION("""COMPUTED_VALUE"""),"https://drive.google.com/open?id=1Pny7h9jpvEMO3_pACrZHgBP6lPctJls3&amp;authuser=jay.agg%40gmail.com&amp;usp=drive_fs")</f>
        <v>https://drive.google.com/open?id=1Pny7h9jpvEMO3_pACrZHgBP6lPctJls3&amp;authuser=jay.agg%40gmail.com&amp;usp=drive_fs</v>
      </c>
      <c r="B60" s="73" t="str">
        <f>IFERROR(__xludf.DUMMYFUNCTION("""COMPUTED_VALUE"""),"Bakery")</f>
        <v>Bakery</v>
      </c>
      <c r="C60" s="73" t="str">
        <f>IFERROR(__xludf.DUMMYFUNCTION("""COMPUTED_VALUE"""),"Chocolate 24")</f>
        <v>Chocolate 24</v>
      </c>
      <c r="D60" s="73" t="str">
        <f>IFERROR(__xludf.DUMMYFUNCTION("""COMPUTED_VALUE"""),"Sleeve 250*165*40 mm | 9.9*6.5*1.6 inch")</f>
        <v>Sleeve 250*165*40 mm | 9.9*6.5*1.6 inch</v>
      </c>
      <c r="E60" s="140">
        <f>IFERROR(__xludf.DUMMYFUNCTION("""COMPUTED_VALUE"""),2.0)</f>
        <v>2</v>
      </c>
      <c r="F60" s="80">
        <f>IFERROR(__xludf.DUMMYFUNCTION("""COMPUTED_VALUE"""),1926.0)</f>
        <v>1926</v>
      </c>
      <c r="G60" s="80">
        <f>IFERROR(__xludf.DUMMYFUNCTION("""COMPUTED_VALUE"""),15.75)</f>
        <v>15.75</v>
      </c>
      <c r="H60" s="73">
        <f>IFERROR(__xludf.DUMMYFUNCTION("""COMPUTED_VALUE"""),20.75)</f>
        <v>20.75</v>
      </c>
      <c r="I60" s="73">
        <f>IFERROR(__xludf.DUMMYFUNCTION("""COMPUTED_VALUE"""),100.0)</f>
        <v>100</v>
      </c>
      <c r="J60" s="73"/>
      <c r="K60" s="73"/>
      <c r="L60" s="73"/>
      <c r="M60" s="73">
        <f>IFERROR(__xludf.DUMMYFUNCTION("""COMPUTED_VALUE"""),0.1)</f>
        <v>0.1</v>
      </c>
      <c r="N60" s="73">
        <f>IFERROR(__xludf.DUMMYFUNCTION("""COMPUTED_VALUE"""),1.0)</f>
        <v>1</v>
      </c>
      <c r="O60" s="73"/>
      <c r="P60" s="73" t="str">
        <f>IFERROR(__xludf.DUMMYFUNCTION("""COMPUTED_VALUE"""),"Offset")</f>
        <v>Offset</v>
      </c>
      <c r="Q60" s="73" t="str">
        <f>IFERROR(__xludf.DUMMYFUNCTION("""COMPUTED_VALUE"""),"Packaging")</f>
        <v>Packaging</v>
      </c>
      <c r="R60" s="73" t="str">
        <f>IFERROR(__xludf.DUMMYFUNCTION("""COMPUTED_VALUE"""),"Bakery")</f>
        <v>Bakery</v>
      </c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 t="str">
        <f>IFERROR(__xludf.DUMMYFUNCTION("""COMPUTED_VALUE"""),"Packaging")</f>
        <v>Packaging</v>
      </c>
      <c r="BD60" s="73" t="str">
        <f>IFERROR(__xludf.DUMMYFUNCTION("""COMPUTED_VALUE"""),"Safety Product")</f>
        <v>Safety Product</v>
      </c>
      <c r="BE60" s="80"/>
      <c r="BF60" s="80"/>
      <c r="BG60" s="139"/>
      <c r="BH60" s="73"/>
      <c r="BI60" s="139"/>
      <c r="BJ60" s="80"/>
      <c r="BK60" s="88"/>
      <c r="BL60" s="77"/>
      <c r="BM60" s="80"/>
      <c r="BN60" s="139"/>
      <c r="BO60" s="77"/>
      <c r="BP60" s="139"/>
      <c r="BQ60" s="139"/>
      <c r="BR60" s="139"/>
      <c r="BS60" s="139"/>
      <c r="BT60" s="139"/>
      <c r="BU60" s="80"/>
      <c r="BV60" s="139"/>
      <c r="BW60" s="139"/>
      <c r="BX60" s="139"/>
      <c r="BY60" s="73"/>
      <c r="BZ60" s="73"/>
      <c r="CA60" s="73"/>
      <c r="CB60" s="139"/>
      <c r="CC60" s="101" t="s">
        <v>63</v>
      </c>
      <c r="CD60" s="88" t="s">
        <v>211</v>
      </c>
      <c r="CE60" s="163">
        <v>1926.0</v>
      </c>
      <c r="CF60" s="163">
        <v>2841.0</v>
      </c>
      <c r="CG60" s="161">
        <v>1.0</v>
      </c>
      <c r="CH60" s="161">
        <f>Price!Y12</f>
        <v>425</v>
      </c>
    </row>
    <row r="61">
      <c r="A61" s="156" t="str">
        <f>IFERROR(__xludf.DUMMYFUNCTION("""COMPUTED_VALUE"""),"https://drive.google.com/open?id=1QdO0BP_hrM4d6SsfjW-aNz4iq6yGZmw1&amp;authuser=jay.agg%40gmail.com&amp;usp=drive_fs")</f>
        <v>https://drive.google.com/open?id=1QdO0BP_hrM4d6SsfjW-aNz4iq6yGZmw1&amp;authuser=jay.agg%40gmail.com&amp;usp=drive_fs</v>
      </c>
      <c r="B61" s="73" t="str">
        <f>IFERROR(__xludf.DUMMYFUNCTION("""COMPUTED_VALUE"""),"Bakery")</f>
        <v>Bakery</v>
      </c>
      <c r="C61" s="73" t="str">
        <f>IFERROR(__xludf.DUMMYFUNCTION("""COMPUTED_VALUE"""),"Chocolate 4")</f>
        <v>Chocolate 4</v>
      </c>
      <c r="D61" s="73" t="str">
        <f>IFERROR(__xludf.DUMMYFUNCTION("""COMPUTED_VALUE"""),"Tray 80*80*30 mm | 3.15*3.15*1.1 inch")</f>
        <v>Tray 80*80*30 mm | 3.15*3.15*1.1 inch</v>
      </c>
      <c r="E61" s="140">
        <f>IFERROR(__xludf.DUMMYFUNCTION("""COMPUTED_VALUE"""),2.0)</f>
        <v>2</v>
      </c>
      <c r="F61" s="80">
        <f>IFERROR(__xludf.DUMMYFUNCTION("""COMPUTED_VALUE"""),1926.0)</f>
        <v>1926</v>
      </c>
      <c r="G61" s="80">
        <f>IFERROR(__xludf.DUMMYFUNCTION("""COMPUTED_VALUE"""),11.5)</f>
        <v>11.5</v>
      </c>
      <c r="H61" s="73">
        <f>IFERROR(__xludf.DUMMYFUNCTION("""COMPUTED_VALUE"""),19.5)</f>
        <v>19.5</v>
      </c>
      <c r="I61" s="73">
        <f>IFERROR(__xludf.DUMMYFUNCTION("""COMPUTED_VALUE"""),100.0)</f>
        <v>100</v>
      </c>
      <c r="J61" s="73"/>
      <c r="K61" s="73"/>
      <c r="L61" s="73"/>
      <c r="M61" s="73">
        <f>IFERROR(__xludf.DUMMYFUNCTION("""COMPUTED_VALUE"""),0.1)</f>
        <v>0.1</v>
      </c>
      <c r="N61" s="73">
        <f>IFERROR(__xludf.DUMMYFUNCTION("""COMPUTED_VALUE"""),1.0)</f>
        <v>1</v>
      </c>
      <c r="O61" s="73"/>
      <c r="P61" s="73" t="str">
        <f>IFERROR(__xludf.DUMMYFUNCTION("""COMPUTED_VALUE"""),"Offset")</f>
        <v>Offset</v>
      </c>
      <c r="Q61" s="73" t="str">
        <f>IFERROR(__xludf.DUMMYFUNCTION("""COMPUTED_VALUE"""),"Packaging")</f>
        <v>Packaging</v>
      </c>
      <c r="R61" s="73" t="str">
        <f>IFERROR(__xludf.DUMMYFUNCTION("""COMPUTED_VALUE"""),"Bakery")</f>
        <v>Bakery</v>
      </c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 t="str">
        <f>IFERROR(__xludf.DUMMYFUNCTION("""COMPUTED_VALUE"""),"Packaging")</f>
        <v>Packaging</v>
      </c>
      <c r="BD61" s="73" t="str">
        <f>IFERROR(__xludf.DUMMYFUNCTION("""COMPUTED_VALUE"""),"Sanitary")</f>
        <v>Sanitary</v>
      </c>
      <c r="BE61" s="80"/>
      <c r="BF61" s="80"/>
      <c r="BG61" s="139"/>
      <c r="BH61" s="73"/>
      <c r="BI61" s="139"/>
      <c r="BJ61" s="80"/>
      <c r="BK61" s="77"/>
      <c r="BL61" s="77"/>
      <c r="BM61" s="80"/>
      <c r="BN61" s="139"/>
      <c r="BO61" s="77"/>
      <c r="BP61" s="139"/>
      <c r="BQ61" s="139"/>
      <c r="BR61" s="139"/>
      <c r="BS61" s="139"/>
      <c r="BT61" s="139"/>
      <c r="BU61" s="80"/>
      <c r="BV61" s="139"/>
      <c r="BW61" s="139"/>
      <c r="BX61" s="139"/>
      <c r="BY61" s="73"/>
      <c r="BZ61" s="73"/>
      <c r="CA61" s="73"/>
      <c r="CB61" s="139"/>
      <c r="CC61" s="101" t="s">
        <v>63</v>
      </c>
      <c r="CD61" s="88" t="s">
        <v>211</v>
      </c>
      <c r="CE61" s="164">
        <v>2029.0</v>
      </c>
      <c r="CF61" s="163">
        <v>2841.0</v>
      </c>
      <c r="CG61" s="161">
        <v>1.0</v>
      </c>
      <c r="CH61" s="161">
        <f>Price!Y12</f>
        <v>425</v>
      </c>
    </row>
    <row r="62">
      <c r="A62" s="156" t="str">
        <f>IFERROR(__xludf.DUMMYFUNCTION("""COMPUTED_VALUE"""),"https://drive.google.com/open?id=1QdO0BP_hrM4d6SsfjW-aNz4iq6yGZmw1&amp;authuser=jay.agg%40gmail.com&amp;usp=drive_fs")</f>
        <v>https://drive.google.com/open?id=1QdO0BP_hrM4d6SsfjW-aNz4iq6yGZmw1&amp;authuser=jay.agg%40gmail.com&amp;usp=drive_fs</v>
      </c>
      <c r="B62" s="73" t="str">
        <f>IFERROR(__xludf.DUMMYFUNCTION("""COMPUTED_VALUE"""),"Bakery")</f>
        <v>Bakery</v>
      </c>
      <c r="C62" s="73" t="str">
        <f>IFERROR(__xludf.DUMMYFUNCTION("""COMPUTED_VALUE"""),"Chocolate 4")</f>
        <v>Chocolate 4</v>
      </c>
      <c r="D62" s="73" t="str">
        <f>IFERROR(__xludf.DUMMYFUNCTION("""COMPUTED_VALUE"""),"Sleeve 80*80*30 mm | 3.15*3.15*1.1 inch")</f>
        <v>Sleeve 80*80*30 mm | 3.15*3.15*1.1 inch</v>
      </c>
      <c r="E62" s="140">
        <f>IFERROR(__xludf.DUMMYFUNCTION("""COMPUTED_VALUE"""),8.0)</f>
        <v>8</v>
      </c>
      <c r="F62" s="80">
        <f>IFERROR(__xludf.DUMMYFUNCTION("""COMPUTED_VALUE"""),1926.0)</f>
        <v>1926</v>
      </c>
      <c r="G62" s="80">
        <f>IFERROR(__xludf.DUMMYFUNCTION("""COMPUTED_VALUE"""),14.0)</f>
        <v>14</v>
      </c>
      <c r="H62" s="73">
        <f>IFERROR(__xludf.DUMMYFUNCTION("""COMPUTED_VALUE"""),20.0)</f>
        <v>20</v>
      </c>
      <c r="I62" s="73">
        <f>IFERROR(__xludf.DUMMYFUNCTION("""COMPUTED_VALUE"""),100.0)</f>
        <v>100</v>
      </c>
      <c r="J62" s="73"/>
      <c r="K62" s="73"/>
      <c r="L62" s="73"/>
      <c r="M62" s="73">
        <f>IFERROR(__xludf.DUMMYFUNCTION("""COMPUTED_VALUE"""),0.1)</f>
        <v>0.1</v>
      </c>
      <c r="N62" s="73">
        <f>IFERROR(__xludf.DUMMYFUNCTION("""COMPUTED_VALUE"""),1.0)</f>
        <v>1</v>
      </c>
      <c r="O62" s="73"/>
      <c r="P62" s="73" t="str">
        <f>IFERROR(__xludf.DUMMYFUNCTION("""COMPUTED_VALUE"""),"Offset")</f>
        <v>Offset</v>
      </c>
      <c r="Q62" s="73" t="str">
        <f>IFERROR(__xludf.DUMMYFUNCTION("""COMPUTED_VALUE"""),"Packaging")</f>
        <v>Packaging</v>
      </c>
      <c r="R62" s="73" t="str">
        <f>IFERROR(__xludf.DUMMYFUNCTION("""COMPUTED_VALUE"""),"Bakery")</f>
        <v>Bakery</v>
      </c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 t="str">
        <f>IFERROR(__xludf.DUMMYFUNCTION("""COMPUTED_VALUE"""),"Packaging")</f>
        <v>Packaging</v>
      </c>
      <c r="BD62" s="73" t="str">
        <f>IFERROR(__xludf.DUMMYFUNCTION("""COMPUTED_VALUE"""),"Sanskriti")</f>
        <v>Sanskriti</v>
      </c>
      <c r="BE62" s="80"/>
      <c r="BF62" s="80"/>
      <c r="BG62" s="139"/>
      <c r="BH62" s="80"/>
      <c r="BI62" s="73"/>
      <c r="BJ62" s="80"/>
      <c r="BK62" s="77"/>
      <c r="BL62" s="77"/>
      <c r="BM62" s="77"/>
      <c r="BN62" s="139"/>
      <c r="BO62" s="77"/>
      <c r="BP62" s="139"/>
      <c r="BQ62" s="139"/>
      <c r="BR62" s="139"/>
      <c r="BS62" s="139"/>
      <c r="BT62" s="139"/>
      <c r="BU62" s="80"/>
      <c r="BV62" s="139"/>
      <c r="BW62" s="139"/>
      <c r="BX62" s="139"/>
      <c r="BY62" s="139"/>
      <c r="BZ62" s="128" t="str">
        <f>IF(BZ64="","","and BZ = '"&amp;BZ64&amp;"'")</f>
        <v>and BZ = 'Printing'</v>
      </c>
      <c r="CA62" s="139"/>
      <c r="CB62" s="139"/>
      <c r="CC62" s="101" t="s">
        <v>63</v>
      </c>
      <c r="CD62" s="88" t="s">
        <v>211</v>
      </c>
      <c r="CE62" s="163">
        <v>2840.0</v>
      </c>
      <c r="CF62" s="163">
        <v>2841.0</v>
      </c>
      <c r="CG62" s="161">
        <v>1.0</v>
      </c>
      <c r="CH62" s="161">
        <v>750.0</v>
      </c>
    </row>
    <row r="63">
      <c r="A63" s="156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63" s="73" t="str">
        <f>IFERROR(__xludf.DUMMYFUNCTION("""COMPUTED_VALUE"""),"Bakery")</f>
        <v>Bakery</v>
      </c>
      <c r="C63" s="73" t="str">
        <f>IFERROR(__xludf.DUMMYFUNCTION("""COMPUTED_VALUE"""),"Chocolate 5")</f>
        <v>Chocolate 5</v>
      </c>
      <c r="D63" s="73" t="str">
        <f>IFERROR(__xludf.DUMMYFUNCTION("""COMPUTED_VALUE"""),"Tray 210*45*30 mm | 8.2*1.7*1.1 inch")</f>
        <v>Tray 210*45*30 mm | 8.2*1.7*1.1 inch</v>
      </c>
      <c r="E63" s="140">
        <f>IFERROR(__xludf.DUMMYFUNCTION("""COMPUTED_VALUE"""),3.0)</f>
        <v>3</v>
      </c>
      <c r="F63" s="80">
        <f>IFERROR(__xludf.DUMMYFUNCTION("""COMPUTED_VALUE"""),1926.0)</f>
        <v>1926</v>
      </c>
      <c r="G63" s="80">
        <f>IFERROR(__xludf.DUMMYFUNCTION("""COMPUTED_VALUE"""),14.0)</f>
        <v>14</v>
      </c>
      <c r="H63" s="73">
        <f>IFERROR(__xludf.DUMMYFUNCTION("""COMPUTED_VALUE"""),22.0)</f>
        <v>22</v>
      </c>
      <c r="I63" s="73">
        <f>IFERROR(__xludf.DUMMYFUNCTION("""COMPUTED_VALUE"""),100.0)</f>
        <v>100</v>
      </c>
      <c r="J63" s="73"/>
      <c r="K63" s="73"/>
      <c r="L63" s="73"/>
      <c r="M63" s="73"/>
      <c r="N63" s="73">
        <f>IFERROR(__xludf.DUMMYFUNCTION("""COMPUTED_VALUE"""),1.0)</f>
        <v>1</v>
      </c>
      <c r="O63" s="73"/>
      <c r="P63" s="73" t="str">
        <f>IFERROR(__xludf.DUMMYFUNCTION("""COMPUTED_VALUE"""),"Offset")</f>
        <v>Offset</v>
      </c>
      <c r="Q63" s="73" t="str">
        <f>IFERROR(__xludf.DUMMYFUNCTION("""COMPUTED_VALUE"""),"Packaging")</f>
        <v>Packaging</v>
      </c>
      <c r="R63" s="73" t="str">
        <f>IFERROR(__xludf.DUMMYFUNCTION("""COMPUTED_VALUE"""),"Bakery")</f>
        <v>Bakery</v>
      </c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 t="str">
        <f>IFERROR(__xludf.DUMMYFUNCTION("""COMPUTED_VALUE"""),"Packaging")</f>
        <v>Packaging</v>
      </c>
      <c r="BD63" s="73" t="str">
        <f>IFERROR(__xludf.DUMMYFUNCTION("""COMPUTED_VALUE"""),"Sathwa")</f>
        <v>Sathwa</v>
      </c>
      <c r="BE63" s="80"/>
      <c r="BF63" s="80"/>
      <c r="BG63" s="139"/>
      <c r="BH63" s="80"/>
      <c r="BI63" s="73"/>
      <c r="BJ63" s="80"/>
      <c r="BK63" s="77"/>
      <c r="BL63" s="77"/>
      <c r="BM63" s="77"/>
      <c r="BN63" s="139"/>
      <c r="BO63" s="77"/>
      <c r="BP63" s="139"/>
      <c r="BQ63" s="139"/>
      <c r="BR63" s="139"/>
      <c r="BS63" s="139"/>
      <c r="BT63" s="139"/>
      <c r="BU63" s="80"/>
      <c r="BV63" s="139"/>
      <c r="BW63" s="139"/>
      <c r="BX63" s="139"/>
      <c r="BY63" s="139"/>
      <c r="BZ63" s="133" t="str">
        <f>CONCATENATE("select * where 1=1",BZ62)</f>
        <v>select * where 1=1and BZ = 'Printing'</v>
      </c>
      <c r="CA63" s="139"/>
      <c r="CB63" s="139"/>
      <c r="CC63" s="101" t="s">
        <v>63</v>
      </c>
      <c r="CD63" s="101" t="s">
        <v>18</v>
      </c>
      <c r="CE63" s="163">
        <v>1926.0</v>
      </c>
      <c r="CF63" s="163">
        <v>1926.0</v>
      </c>
      <c r="CG63" s="161">
        <v>0.0</v>
      </c>
      <c r="CH63" s="161">
        <f>Price!Y15</f>
        <v>250</v>
      </c>
    </row>
    <row r="64">
      <c r="A64" s="156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64" s="73" t="str">
        <f>IFERROR(__xludf.DUMMYFUNCTION("""COMPUTED_VALUE"""),"Bakery")</f>
        <v>Bakery</v>
      </c>
      <c r="C64" s="73" t="str">
        <f>IFERROR(__xludf.DUMMYFUNCTION("""COMPUTED_VALUE"""),"Chocolate 5")</f>
        <v>Chocolate 5</v>
      </c>
      <c r="D64" s="73" t="str">
        <f>IFERROR(__xludf.DUMMYFUNCTION("""COMPUTED_VALUE"""),"Sleeve 210*45*30 mm | 8.2*1.7*1.1 inch")</f>
        <v>Sleeve 210*45*30 mm | 8.2*1.7*1.1 inch</v>
      </c>
      <c r="E64" s="140">
        <f>IFERROR(__xludf.DUMMYFUNCTION("""COMPUTED_VALUE"""),6.0)</f>
        <v>6</v>
      </c>
      <c r="F64" s="80">
        <f>IFERROR(__xludf.DUMMYFUNCTION("""COMPUTED_VALUE"""),1926.0)</f>
        <v>1926</v>
      </c>
      <c r="G64" s="80">
        <f>IFERROR(__xludf.DUMMYFUNCTION("""COMPUTED_VALUE"""),18.0)</f>
        <v>18</v>
      </c>
      <c r="H64" s="73">
        <f>IFERROR(__xludf.DUMMYFUNCTION("""COMPUTED_VALUE"""),21.0)</f>
        <v>21</v>
      </c>
      <c r="I64" s="73">
        <f>IFERROR(__xludf.DUMMYFUNCTION("""COMPUTED_VALUE"""),100.0)</f>
        <v>100</v>
      </c>
      <c r="J64" s="73"/>
      <c r="K64" s="73"/>
      <c r="L64" s="73"/>
      <c r="M64" s="73">
        <f>IFERROR(__xludf.DUMMYFUNCTION("""COMPUTED_VALUE"""),0.1)</f>
        <v>0.1</v>
      </c>
      <c r="N64" s="73">
        <f>IFERROR(__xludf.DUMMYFUNCTION("""COMPUTED_VALUE"""),1.0)</f>
        <v>1</v>
      </c>
      <c r="O64" s="73"/>
      <c r="P64" s="73" t="str">
        <f>IFERROR(__xludf.DUMMYFUNCTION("""COMPUTED_VALUE"""),"Offset")</f>
        <v>Offset</v>
      </c>
      <c r="Q64" s="73" t="str">
        <f>IFERROR(__xludf.DUMMYFUNCTION("""COMPUTED_VALUE"""),"Packaging")</f>
        <v>Packaging</v>
      </c>
      <c r="R64" s="73" t="str">
        <f>IFERROR(__xludf.DUMMYFUNCTION("""COMPUTED_VALUE"""),"Bakery")</f>
        <v>Bakery</v>
      </c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 t="str">
        <f>IFERROR(__xludf.DUMMYFUNCTION("""COMPUTED_VALUE"""),"Packaging")</f>
        <v>Packaging</v>
      </c>
      <c r="BD64" s="73" t="str">
        <f>IFERROR(__xludf.DUMMYFUNCTION("""COMPUTED_VALUE"""),"Shipper")</f>
        <v>Shipper</v>
      </c>
      <c r="BE64" s="80"/>
      <c r="BF64" s="80"/>
      <c r="BG64" s="139"/>
      <c r="BH64" s="73"/>
      <c r="BI64" s="73"/>
      <c r="BJ64" s="80"/>
      <c r="BK64" s="77"/>
      <c r="BL64" s="77"/>
      <c r="BM64" s="77"/>
      <c r="BN64" s="139"/>
      <c r="BO64" s="77"/>
      <c r="BP64" s="139"/>
      <c r="BQ64" s="139"/>
      <c r="BR64" s="139"/>
      <c r="BS64" s="139"/>
      <c r="BT64" s="139"/>
      <c r="BU64" s="80"/>
      <c r="BV64" s="139"/>
      <c r="BW64" s="139"/>
      <c r="BX64" s="139"/>
      <c r="BY64" s="165" t="str">
        <f>Quotation!A21</f>
        <v>Offset</v>
      </c>
      <c r="BZ64" s="165" t="str">
        <f>Quotation!A25</f>
        <v>Printing</v>
      </c>
      <c r="CA64" s="130">
        <f>Quotation!F26</f>
        <v>2029</v>
      </c>
      <c r="CB64" s="165" t="str">
        <f>Quotation!A26</f>
        <v>New Job</v>
      </c>
      <c r="CC64" s="101" t="s">
        <v>63</v>
      </c>
      <c r="CD64" s="101" t="s">
        <v>18</v>
      </c>
      <c r="CE64" s="164">
        <v>2029.0</v>
      </c>
      <c r="CF64" s="164">
        <v>2029.0</v>
      </c>
      <c r="CG64" s="163">
        <v>0.0</v>
      </c>
      <c r="CH64" s="163">
        <f>Price!Z15</f>
        <v>275</v>
      </c>
    </row>
    <row r="65">
      <c r="A65" s="156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65" s="73" t="str">
        <f>IFERROR(__xludf.DUMMYFUNCTION("""COMPUTED_VALUE"""),"Bakery")</f>
        <v>Bakery</v>
      </c>
      <c r="C65" s="73" t="str">
        <f>IFERROR(__xludf.DUMMYFUNCTION("""COMPUTED_VALUE"""),"Chocolate 5")</f>
        <v>Chocolate 5</v>
      </c>
      <c r="D65" s="73" t="str">
        <f>IFERROR(__xludf.DUMMYFUNCTION("""COMPUTED_VALUE"""),"Partition 210*45*30 mm | 8.2*1.7*1.1 inch")</f>
        <v>Partition 210*45*30 mm | 8.2*1.7*1.1 inch</v>
      </c>
      <c r="E65" s="140">
        <f>IFERROR(__xludf.DUMMYFUNCTION("""COMPUTED_VALUE"""),6.0)</f>
        <v>6</v>
      </c>
      <c r="F65" s="80">
        <f>IFERROR(__xludf.DUMMYFUNCTION("""COMPUTED_VALUE"""),1926.0)</f>
        <v>1926</v>
      </c>
      <c r="G65" s="80">
        <f>IFERROR(__xludf.DUMMYFUNCTION("""COMPUTED_VALUE"""),12.0)</f>
        <v>12</v>
      </c>
      <c r="H65" s="73">
        <f>IFERROR(__xludf.DUMMYFUNCTION("""COMPUTED_VALUE"""),18.0)</f>
        <v>18</v>
      </c>
      <c r="I65" s="73">
        <f>IFERROR(__xludf.DUMMYFUNCTION("""COMPUTED_VALUE"""),100.0)</f>
        <v>100</v>
      </c>
      <c r="J65" s="73"/>
      <c r="K65" s="73"/>
      <c r="L65" s="73"/>
      <c r="M65" s="73"/>
      <c r="N65" s="73">
        <f>IFERROR(__xludf.DUMMYFUNCTION("""COMPUTED_VALUE"""),1.0)</f>
        <v>1</v>
      </c>
      <c r="O65" s="73"/>
      <c r="P65" s="73" t="str">
        <f>IFERROR(__xludf.DUMMYFUNCTION("""COMPUTED_VALUE"""),"Offset")</f>
        <v>Offset</v>
      </c>
      <c r="Q65" s="73" t="str">
        <f>IFERROR(__xludf.DUMMYFUNCTION("""COMPUTED_VALUE"""),"Packaging")</f>
        <v>Packaging</v>
      </c>
      <c r="R65" s="73" t="str">
        <f>IFERROR(__xludf.DUMMYFUNCTION("""COMPUTED_VALUE"""),"Bakery")</f>
        <v>Bakery</v>
      </c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 t="str">
        <f>IFERROR(__xludf.DUMMYFUNCTION("""COMPUTED_VALUE"""),"Packaging")</f>
        <v>Packaging</v>
      </c>
      <c r="BD65" s="73" t="str">
        <f>IFERROR(__xludf.DUMMYFUNCTION("""COMPUTED_VALUE"""),"Shoe")</f>
        <v>Shoe</v>
      </c>
      <c r="BE65" s="80"/>
      <c r="BF65" s="80"/>
      <c r="BG65" s="139"/>
      <c r="BH65" s="73"/>
      <c r="BI65" s="73"/>
      <c r="BJ65" s="80"/>
      <c r="BK65" s="77"/>
      <c r="BL65" s="77"/>
      <c r="BM65" s="77"/>
      <c r="BN65" s="139"/>
      <c r="BO65" s="77"/>
      <c r="BP65" s="139"/>
      <c r="BQ65" s="139"/>
      <c r="BR65" s="139"/>
      <c r="BS65" s="139"/>
      <c r="BT65" s="139"/>
      <c r="BU65" s="80"/>
      <c r="BV65" s="139"/>
      <c r="BW65" s="139"/>
      <c r="BX65" s="139"/>
      <c r="BY65" s="139" t="str">
        <f>IF(BY64="","","and CC = '"&amp;BY64&amp;"'")</f>
        <v>and CC = 'Offset'</v>
      </c>
      <c r="BZ65" s="139" t="str">
        <f>IF(BZ64="","","and CD = '"&amp;BZ64&amp;"'")</f>
        <v>and CD = 'Printing'</v>
      </c>
      <c r="CA65" s="139" t="str">
        <f>IF(CA64="","","and CA = "&amp;CA64&amp;"")</f>
        <v>and CA = 2029</v>
      </c>
      <c r="CB65" s="139" t="str">
        <f>IF(CB64="","","and CD = '"&amp;CB64&amp;"'")</f>
        <v>and CD = 'New Job'</v>
      </c>
      <c r="CC65" s="101" t="s">
        <v>63</v>
      </c>
      <c r="CD65" s="101" t="s">
        <v>18</v>
      </c>
      <c r="CE65" s="163">
        <v>2840.0</v>
      </c>
      <c r="CF65" s="163">
        <v>2840.0</v>
      </c>
      <c r="CG65" s="163">
        <v>0.0</v>
      </c>
      <c r="CH65" s="163">
        <f>Price!Y18</f>
        <v>650</v>
      </c>
    </row>
    <row r="66">
      <c r="A66" s="156" t="str">
        <f>IFERROR(__xludf.DUMMYFUNCTION("""COMPUTED_VALUE"""),"https://drive.google.com/open?id=1QV_u9_OOlMj2VLLmrcCZ-ed3hGD8e1c5&amp;authuser=jay.agg%40gmail.com&amp;usp=drive_fs")</f>
        <v>https://drive.google.com/open?id=1QV_u9_OOlMj2VLLmrcCZ-ed3hGD8e1c5&amp;authuser=jay.agg%40gmail.com&amp;usp=drive_fs</v>
      </c>
      <c r="B66" s="73" t="str">
        <f>IFERROR(__xludf.DUMMYFUNCTION("""COMPUTED_VALUE"""),"Bakery")</f>
        <v>Bakery</v>
      </c>
      <c r="C66" s="73" t="str">
        <f>IFERROR(__xludf.DUMMYFUNCTION("""COMPUTED_VALUE"""),"Chocolate 9")</f>
        <v>Chocolate 9</v>
      </c>
      <c r="D66" s="73" t="str">
        <f>IFERROR(__xludf.DUMMYFUNCTION("""COMPUTED_VALUE"""),"Tray 125*125*40 mm | 4.9*4.9*1.6 inch")</f>
        <v>Tray 125*125*40 mm | 4.9*4.9*1.6 inch</v>
      </c>
      <c r="E66" s="140">
        <f>IFERROR(__xludf.DUMMYFUNCTION("""COMPUTED_VALUE"""),2.0)</f>
        <v>2</v>
      </c>
      <c r="F66" s="80">
        <f>IFERROR(__xludf.DUMMYFUNCTION("""COMPUTED_VALUE"""),2029.0)</f>
        <v>2029</v>
      </c>
      <c r="G66" s="80">
        <f>IFERROR(__xludf.DUMMYFUNCTION("""COMPUTED_VALUE"""),13.5)</f>
        <v>13.5</v>
      </c>
      <c r="H66" s="73">
        <f>IFERROR(__xludf.DUMMYFUNCTION("""COMPUTED_VALUE"""),28.0)</f>
        <v>28</v>
      </c>
      <c r="I66" s="73">
        <f>IFERROR(__xludf.DUMMYFUNCTION("""COMPUTED_VALUE"""),100.0)</f>
        <v>100</v>
      </c>
      <c r="J66" s="73"/>
      <c r="K66" s="73"/>
      <c r="L66" s="73"/>
      <c r="M66" s="73"/>
      <c r="N66" s="73">
        <f>IFERROR(__xludf.DUMMYFUNCTION("""COMPUTED_VALUE"""),1.0)</f>
        <v>1</v>
      </c>
      <c r="O66" s="73"/>
      <c r="P66" s="73" t="str">
        <f>IFERROR(__xludf.DUMMYFUNCTION("""COMPUTED_VALUE"""),"Offset")</f>
        <v>Offset</v>
      </c>
      <c r="Q66" s="73" t="str">
        <f>IFERROR(__xludf.DUMMYFUNCTION("""COMPUTED_VALUE"""),"Packaging")</f>
        <v>Packaging</v>
      </c>
      <c r="R66" s="73" t="str">
        <f>IFERROR(__xludf.DUMMYFUNCTION("""COMPUTED_VALUE"""),"Bakery")</f>
        <v>Bakery</v>
      </c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 t="str">
        <f>IFERROR(__xludf.DUMMYFUNCTION("""COMPUTED_VALUE"""),"Packaging")</f>
        <v>Packaging</v>
      </c>
      <c r="BD66" s="73" t="str">
        <f>IFERROR(__xludf.DUMMYFUNCTION("""COMPUTED_VALUE"""),"Stationery")</f>
        <v>Stationery</v>
      </c>
      <c r="BE66" s="80"/>
      <c r="BF66" s="80"/>
      <c r="BG66" s="139"/>
      <c r="BH66" s="73"/>
      <c r="BI66" s="73"/>
      <c r="BJ66" s="80"/>
      <c r="BK66" s="77"/>
      <c r="BL66" s="77"/>
      <c r="BM66" s="77"/>
      <c r="BN66" s="139"/>
      <c r="BO66" s="77"/>
      <c r="BP66" s="139"/>
      <c r="BQ66" s="139"/>
      <c r="BR66" s="139"/>
      <c r="BS66" s="139"/>
      <c r="BT66" s="139"/>
      <c r="BU66" s="80"/>
      <c r="BV66" s="139"/>
      <c r="BW66" s="139"/>
      <c r="BX66" s="139"/>
      <c r="BY66" s="113" t="str">
        <f t="shared" ref="BY66:CB66" si="12">CONCATENATE("select * where 1=1",BY65)</f>
        <v>select * where 1=1and CC = 'Offset'</v>
      </c>
      <c r="BZ66" s="113" t="str">
        <f t="shared" si="12"/>
        <v>select * where 1=1and CD = 'Printing'</v>
      </c>
      <c r="CA66" s="113" t="str">
        <f t="shared" si="12"/>
        <v>select * where 1=1and CA = 2029</v>
      </c>
      <c r="CB66" s="113" t="str">
        <f t="shared" si="12"/>
        <v>select * where 1=1and CD = 'New Job'</v>
      </c>
      <c r="CC66" s="101" t="s">
        <v>212</v>
      </c>
      <c r="CD66" s="101" t="s">
        <v>18</v>
      </c>
      <c r="CE66" s="163">
        <v>1001.0</v>
      </c>
      <c r="CF66" s="163">
        <v>1001.0</v>
      </c>
      <c r="CG66" s="163">
        <v>0.0</v>
      </c>
      <c r="CH66" s="101"/>
    </row>
    <row r="67">
      <c r="A67" s="156" t="str">
        <f>IFERROR(__xludf.DUMMYFUNCTION("""COMPUTED_VALUE"""),"https://drive.google.com/open?id=1QV_u9_OOlMj2VLLmrcCZ-ed3hGD8e1c5&amp;authuser=jay.agg%40gmail.com&amp;usp=drive_fs")</f>
        <v>https://drive.google.com/open?id=1QV_u9_OOlMj2VLLmrcCZ-ed3hGD8e1c5&amp;authuser=jay.agg%40gmail.com&amp;usp=drive_fs</v>
      </c>
      <c r="B67" s="73" t="str">
        <f>IFERROR(__xludf.DUMMYFUNCTION("""COMPUTED_VALUE"""),"Bakery")</f>
        <v>Bakery</v>
      </c>
      <c r="C67" s="73" t="str">
        <f>IFERROR(__xludf.DUMMYFUNCTION("""COMPUTED_VALUE"""),"Chocolate 9")</f>
        <v>Chocolate 9</v>
      </c>
      <c r="D67" s="73" t="str">
        <f>IFERROR(__xludf.DUMMYFUNCTION("""COMPUTED_VALUE"""),"Sleeve 125*125*40 mm | 4.9*4.9*1.6 inch")</f>
        <v>Sleeve 125*125*40 mm | 4.9*4.9*1.6 inch</v>
      </c>
      <c r="E67" s="140">
        <f>IFERROR(__xludf.DUMMYFUNCTION("""COMPUTED_VALUE"""),4.0)</f>
        <v>4</v>
      </c>
      <c r="F67" s="80">
        <f>IFERROR(__xludf.DUMMYFUNCTION("""COMPUTED_VALUE"""),1926.0)</f>
        <v>1926</v>
      </c>
      <c r="G67" s="80">
        <f>IFERROR(__xludf.DUMMYFUNCTION("""COMPUTED_VALUE"""),15.75)</f>
        <v>15.75</v>
      </c>
      <c r="H67" s="73">
        <f>IFERROR(__xludf.DUMMYFUNCTION("""COMPUTED_VALUE"""),20.75)</f>
        <v>20.75</v>
      </c>
      <c r="I67" s="73">
        <f>IFERROR(__xludf.DUMMYFUNCTION("""COMPUTED_VALUE"""),100.0)</f>
        <v>100</v>
      </c>
      <c r="J67" s="73"/>
      <c r="K67" s="73"/>
      <c r="L67" s="73"/>
      <c r="M67" s="73">
        <f>IFERROR(__xludf.DUMMYFUNCTION("""COMPUTED_VALUE"""),0.1)</f>
        <v>0.1</v>
      </c>
      <c r="N67" s="73">
        <f>IFERROR(__xludf.DUMMYFUNCTION("""COMPUTED_VALUE"""),1.0)</f>
        <v>1</v>
      </c>
      <c r="O67" s="73"/>
      <c r="P67" s="73" t="str">
        <f>IFERROR(__xludf.DUMMYFUNCTION("""COMPUTED_VALUE"""),"Offset")</f>
        <v>Offset</v>
      </c>
      <c r="Q67" s="73" t="str">
        <f>IFERROR(__xludf.DUMMYFUNCTION("""COMPUTED_VALUE"""),"Packaging")</f>
        <v>Packaging</v>
      </c>
      <c r="R67" s="73" t="str">
        <f>IFERROR(__xludf.DUMMYFUNCTION("""COMPUTED_VALUE"""),"Bakery")</f>
        <v>Bakery</v>
      </c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 t="str">
        <f>IFERROR(__xludf.DUMMYFUNCTION("""COMPUTED_VALUE"""),"Packaging")</f>
        <v>Packaging</v>
      </c>
      <c r="BD67" s="73" t="str">
        <f>IFERROR(__xludf.DUMMYFUNCTION("""COMPUTED_VALUE"""),"The Man Company")</f>
        <v>The Man Company</v>
      </c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113" t="str">
        <f>IFERROR(__xludf.DUMMYFUNCTION("QUERY(CC60:CF71,BY66)"),"Offset")</f>
        <v>Offset</v>
      </c>
      <c r="BZ67" s="165" t="str">
        <f>IFERROR(__xludf.DUMMYFUNCTION("""COMPUTED_VALUE"""),"Met-Pet")</f>
        <v>Met-Pet</v>
      </c>
      <c r="CA67" s="166">
        <f>IFERROR(__xludf.DUMMYFUNCTION("""COMPUTED_VALUE"""),1926.0)</f>
        <v>1926</v>
      </c>
      <c r="CB67" s="129">
        <f>IFERROR(__xludf.DUMMYFUNCTION("""COMPUTED_VALUE"""),2841.0)</f>
        <v>2841</v>
      </c>
      <c r="CC67" s="101" t="s">
        <v>212</v>
      </c>
      <c r="CD67" s="101" t="s">
        <v>18</v>
      </c>
      <c r="CE67" s="163">
        <v>1002.0</v>
      </c>
      <c r="CF67" s="163">
        <v>1002.0</v>
      </c>
      <c r="CG67" s="163">
        <v>0.0</v>
      </c>
      <c r="CH67" s="101"/>
    </row>
    <row r="68">
      <c r="A68" s="156" t="str">
        <f>IFERROR(__xludf.DUMMYFUNCTION("""COMPUTED_VALUE"""),"https://drive.google.com/open?id=1Ppsvq19b5NnvSe7lTazS3CUXSGxHiDS-&amp;authuser=jay.agg%40gmail.com&amp;usp=drive_fs")</f>
        <v>https://drive.google.com/open?id=1Ppsvq19b5NnvSe7lTazS3CUXSGxHiDS-&amp;authuser=jay.agg%40gmail.com&amp;usp=drive_fs</v>
      </c>
      <c r="B68" s="73" t="str">
        <f>IFERROR(__xludf.DUMMYFUNCTION("""COMPUTED_VALUE"""),"Bakery")</f>
        <v>Bakery</v>
      </c>
      <c r="C68" s="73" t="str">
        <f>IFERROR(__xludf.DUMMYFUNCTION("""COMPUTED_VALUE"""),"Chocolate Tray")</f>
        <v>Chocolate Tray</v>
      </c>
      <c r="D68" s="73" t="str">
        <f>IFERROR(__xludf.DUMMYFUNCTION("""COMPUTED_VALUE"""),"40*40*25 mm | 1.5*1.5*1 inch")</f>
        <v>40*40*25 mm | 1.5*1.5*1 inch</v>
      </c>
      <c r="E68" s="140">
        <f>IFERROR(__xludf.DUMMYFUNCTION("""COMPUTED_VALUE"""),24.0)</f>
        <v>24</v>
      </c>
      <c r="F68" s="80">
        <f>IFERROR(__xludf.DUMMYFUNCTION("""COMPUTED_VALUE"""),1926.0)</f>
        <v>1926</v>
      </c>
      <c r="G68" s="80">
        <f>IFERROR(__xludf.DUMMYFUNCTION("""COMPUTED_VALUE"""),14.0)</f>
        <v>14</v>
      </c>
      <c r="H68" s="73">
        <f>IFERROR(__xludf.DUMMYFUNCTION("""COMPUTED_VALUE"""),22.0)</f>
        <v>22</v>
      </c>
      <c r="I68" s="73">
        <f>IFERROR(__xludf.DUMMYFUNCTION("""COMPUTED_VALUE"""),100.0)</f>
        <v>100</v>
      </c>
      <c r="J68" s="73"/>
      <c r="K68" s="73"/>
      <c r="L68" s="73"/>
      <c r="M68" s="73"/>
      <c r="N68" s="73">
        <f>IFERROR(__xludf.DUMMYFUNCTION("""COMPUTED_VALUE"""),1.0)</f>
        <v>1</v>
      </c>
      <c r="O68" s="73"/>
      <c r="P68" s="73" t="str">
        <f>IFERROR(__xludf.DUMMYFUNCTION("""COMPUTED_VALUE"""),"Offset")</f>
        <v>Offset</v>
      </c>
      <c r="Q68" s="73" t="str">
        <f>IFERROR(__xludf.DUMMYFUNCTION("""COMPUTED_VALUE"""),"Packaging")</f>
        <v>Packaging</v>
      </c>
      <c r="R68" s="73" t="str">
        <f>IFERROR(__xludf.DUMMYFUNCTION("""COMPUTED_VALUE"""),"Bakery")</f>
        <v>Bakery</v>
      </c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 t="str">
        <f>IFERROR(__xludf.DUMMYFUNCTION("""COMPUTED_VALUE"""),"Packaging")</f>
        <v>Packaging</v>
      </c>
      <c r="BD68" s="73" t="str">
        <f>IFERROR(__xludf.DUMMYFUNCTION("""COMPUTED_VALUE"""),"Toy")</f>
        <v>Toy</v>
      </c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165" t="str">
        <f>IFERROR(__xludf.DUMMYFUNCTION("""COMPUTED_VALUE"""),"Offset")</f>
        <v>Offset</v>
      </c>
      <c r="BZ68" s="165" t="str">
        <f>IFERROR(__xludf.DUMMYFUNCTION("""COMPUTED_VALUE"""),"Met-Pet")</f>
        <v>Met-Pet</v>
      </c>
      <c r="CA68" s="129">
        <f>IFERROR(__xludf.DUMMYFUNCTION("""COMPUTED_VALUE"""),2029.0)</f>
        <v>2029</v>
      </c>
      <c r="CB68" s="129">
        <f>IFERROR(__xludf.DUMMYFUNCTION("""COMPUTED_VALUE"""),2841.0)</f>
        <v>2841</v>
      </c>
      <c r="CC68" s="101" t="s">
        <v>212</v>
      </c>
      <c r="CD68" s="101" t="s">
        <v>18</v>
      </c>
      <c r="CE68" s="163">
        <v>1003.0</v>
      </c>
      <c r="CF68" s="163">
        <v>1003.0</v>
      </c>
      <c r="CG68" s="163">
        <v>0.0</v>
      </c>
      <c r="CH68" s="101"/>
    </row>
    <row r="69">
      <c r="A69" s="156" t="str">
        <f>IFERROR(__xludf.DUMMYFUNCTION("""COMPUTED_VALUE"""),"https://drive.google.com/open?id=1QmjFgXyrczv1CE0371upxXOhMSdcfbi6&amp;authuser=jay.agg%40gmail.com&amp;usp=drive_fs")</f>
        <v>https://drive.google.com/open?id=1QmjFgXyrczv1CE0371upxXOhMSdcfbi6&amp;authuser=jay.agg%40gmail.com&amp;usp=drive_fs</v>
      </c>
      <c r="B69" s="73" t="str">
        <f>IFERROR(__xludf.DUMMYFUNCTION("""COMPUTED_VALUE"""),"Bakery")</f>
        <v>Bakery</v>
      </c>
      <c r="C69" s="73" t="str">
        <f>IFERROR(__xludf.DUMMYFUNCTION("""COMPUTED_VALUE"""),"Cookies")</f>
        <v>Cookies</v>
      </c>
      <c r="D69" s="73" t="str">
        <f>IFERROR(__xludf.DUMMYFUNCTION("""COMPUTED_VALUE"""),"76*102 mm | 3*4 inch W 2*2.5 inch")</f>
        <v>76*102 mm | 3*4 inch W 2*2.5 inch</v>
      </c>
      <c r="E69" s="140">
        <f>IFERROR(__xludf.DUMMYFUNCTION("""COMPUTED_VALUE"""),2.0)</f>
        <v>2</v>
      </c>
      <c r="F69" s="80">
        <f>IFERROR(__xludf.DUMMYFUNCTION("""COMPUTED_VALUE"""),1926.0)</f>
        <v>1926</v>
      </c>
      <c r="G69" s="80">
        <f>IFERROR(__xludf.DUMMYFUNCTION("""COMPUTED_VALUE"""),15.75)</f>
        <v>15.75</v>
      </c>
      <c r="H69" s="73">
        <f>IFERROR(__xludf.DUMMYFUNCTION("""COMPUTED_VALUE"""),20.75)</f>
        <v>20.75</v>
      </c>
      <c r="I69" s="73">
        <f>IFERROR(__xludf.DUMMYFUNCTION("""COMPUTED_VALUE"""),100.0)</f>
        <v>100</v>
      </c>
      <c r="J69" s="73"/>
      <c r="K69" s="73"/>
      <c r="L69" s="73">
        <f>IFERROR(__xludf.DUMMYFUNCTION("""COMPUTED_VALUE"""),1.2)</f>
        <v>1.2</v>
      </c>
      <c r="M69" s="73">
        <f>IFERROR(__xludf.DUMMYFUNCTION("""COMPUTED_VALUE"""),0.15)</f>
        <v>0.15</v>
      </c>
      <c r="N69" s="73">
        <f>IFERROR(__xludf.DUMMYFUNCTION("""COMPUTED_VALUE"""),1.0)</f>
        <v>1</v>
      </c>
      <c r="O69" s="73"/>
      <c r="P69" s="73" t="str">
        <f>IFERROR(__xludf.DUMMYFUNCTION("""COMPUTED_VALUE"""),"Offset")</f>
        <v>Offset</v>
      </c>
      <c r="Q69" s="73" t="str">
        <f>IFERROR(__xludf.DUMMYFUNCTION("""COMPUTED_VALUE"""),"Packaging")</f>
        <v>Packaging</v>
      </c>
      <c r="R69" s="73" t="str">
        <f>IFERROR(__xludf.DUMMYFUNCTION("""COMPUTED_VALUE"""),"Bakery")</f>
        <v>Bakery</v>
      </c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 t="str">
        <f>IFERROR(__xludf.DUMMYFUNCTION("""COMPUTED_VALUE"""),"Packaging")</f>
        <v>Packaging</v>
      </c>
      <c r="BD69" s="73" t="str">
        <f>IFERROR(__xludf.DUMMYFUNCTION("""COMPUTED_VALUE"""),"Xpider")</f>
        <v>Xpider</v>
      </c>
      <c r="BE69" s="73"/>
      <c r="BF69" s="73"/>
      <c r="BG69" s="113"/>
      <c r="BH69" s="73"/>
      <c r="BI69" s="88"/>
      <c r="BJ69" s="73"/>
      <c r="BK69" s="73"/>
      <c r="BL69" s="88"/>
      <c r="BM69" s="73"/>
      <c r="BN69" s="73"/>
      <c r="BO69" s="77"/>
      <c r="BP69" s="139"/>
      <c r="BQ69" s="73"/>
      <c r="BR69" s="73"/>
      <c r="BS69" s="73"/>
      <c r="BT69" s="73"/>
      <c r="BU69" s="73"/>
      <c r="BV69" s="73"/>
      <c r="BW69" s="73"/>
      <c r="BX69" s="73"/>
      <c r="BY69" s="165" t="str">
        <f>IFERROR(__xludf.DUMMYFUNCTION("""COMPUTED_VALUE"""),"Offset")</f>
        <v>Offset</v>
      </c>
      <c r="BZ69" s="165" t="str">
        <f>IFERROR(__xludf.DUMMYFUNCTION("""COMPUTED_VALUE"""),"Met-Pet")</f>
        <v>Met-Pet</v>
      </c>
      <c r="CA69" s="129">
        <f>IFERROR(__xludf.DUMMYFUNCTION("""COMPUTED_VALUE"""),2840.0)</f>
        <v>2840</v>
      </c>
      <c r="CB69" s="129">
        <f>IFERROR(__xludf.DUMMYFUNCTION("""COMPUTED_VALUE"""),2841.0)</f>
        <v>2841</v>
      </c>
      <c r="CC69" s="101" t="s">
        <v>212</v>
      </c>
      <c r="CD69" s="101" t="s">
        <v>18</v>
      </c>
      <c r="CE69" s="163">
        <v>1004.0</v>
      </c>
      <c r="CF69" s="163">
        <v>1004.0</v>
      </c>
      <c r="CG69" s="163">
        <v>0.0</v>
      </c>
      <c r="CH69" s="101"/>
    </row>
    <row r="70">
      <c r="A70" s="156" t="str">
        <f>IFERROR(__xludf.DUMMYFUNCTION("""COMPUTED_VALUE"""),"https://drive.google.com/open?id=1QnGF7Kdhx3Dk7evbvqi_sjVcF9E40Hn3&amp;authuser=jay.agg%40gmail.com&amp;usp=drive_fs")</f>
        <v>https://drive.google.com/open?id=1QnGF7Kdhx3Dk7evbvqi_sjVcF9E40Hn3&amp;authuser=jay.agg%40gmail.com&amp;usp=drive_fs</v>
      </c>
      <c r="B70" s="73" t="str">
        <f>IFERROR(__xludf.DUMMYFUNCTION("""COMPUTED_VALUE"""),"Bakery")</f>
        <v>Bakery</v>
      </c>
      <c r="C70" s="73" t="str">
        <f>IFERROR(__xludf.DUMMYFUNCTION("""COMPUTED_VALUE"""),"Cookies")</f>
        <v>Cookies</v>
      </c>
      <c r="D70" s="73" t="str">
        <f>IFERROR(__xludf.DUMMYFUNCTION("""COMPUTED_VALUE"""),"76*152 mm | 3*6 inch W 2*4 inch")</f>
        <v>76*152 mm | 3*6 inch W 2*4 inch</v>
      </c>
      <c r="E70" s="140">
        <f>IFERROR(__xludf.DUMMYFUNCTION("""COMPUTED_VALUE"""),2.0)</f>
        <v>2</v>
      </c>
      <c r="F70" s="80">
        <f>IFERROR(__xludf.DUMMYFUNCTION("""COMPUTED_VALUE"""),1926.0)</f>
        <v>1926</v>
      </c>
      <c r="G70" s="80">
        <f>IFERROR(__xludf.DUMMYFUNCTION("""COMPUTED_VALUE"""),12.0)</f>
        <v>12</v>
      </c>
      <c r="H70" s="73">
        <f>IFERROR(__xludf.DUMMYFUNCTION("""COMPUTED_VALUE"""),25.0)</f>
        <v>25</v>
      </c>
      <c r="I70" s="73">
        <f>IFERROR(__xludf.DUMMYFUNCTION("""COMPUTED_VALUE"""),100.0)</f>
        <v>100</v>
      </c>
      <c r="J70" s="73"/>
      <c r="K70" s="73"/>
      <c r="L70" s="73">
        <f>IFERROR(__xludf.DUMMYFUNCTION("""COMPUTED_VALUE"""),1.5)</f>
        <v>1.5</v>
      </c>
      <c r="M70" s="73">
        <f>IFERROR(__xludf.DUMMYFUNCTION("""COMPUTED_VALUE"""),0.15)</f>
        <v>0.15</v>
      </c>
      <c r="N70" s="73">
        <f>IFERROR(__xludf.DUMMYFUNCTION("""COMPUTED_VALUE"""),1.0)</f>
        <v>1</v>
      </c>
      <c r="O70" s="73"/>
      <c r="P70" s="73" t="str">
        <f>IFERROR(__xludf.DUMMYFUNCTION("""COMPUTED_VALUE"""),"Offset")</f>
        <v>Offset</v>
      </c>
      <c r="Q70" s="73" t="str">
        <f>IFERROR(__xludf.DUMMYFUNCTION("""COMPUTED_VALUE"""),"Packaging")</f>
        <v>Packaging</v>
      </c>
      <c r="R70" s="73" t="str">
        <f>IFERROR(__xludf.DUMMYFUNCTION("""COMPUTED_VALUE"""),"Bakery")</f>
        <v>Bakery</v>
      </c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113"/>
      <c r="BH70" s="73"/>
      <c r="BI70" s="73"/>
      <c r="BJ70" s="139"/>
      <c r="BK70" s="73"/>
      <c r="BL70" s="88"/>
      <c r="BM70" s="73"/>
      <c r="BN70" s="73"/>
      <c r="BO70" s="77"/>
      <c r="BP70" s="139"/>
      <c r="BQ70" s="73"/>
      <c r="BR70" s="73"/>
      <c r="BS70" s="73"/>
      <c r="BT70" s="73"/>
      <c r="BU70" s="73"/>
      <c r="BV70" s="73"/>
      <c r="BW70" s="73"/>
      <c r="BX70" s="73"/>
      <c r="BY70" s="165" t="str">
        <f>IFERROR(__xludf.DUMMYFUNCTION("""COMPUTED_VALUE"""),"Offset")</f>
        <v>Offset</v>
      </c>
      <c r="BZ70" s="165" t="str">
        <f>IFERROR(__xludf.DUMMYFUNCTION("""COMPUTED_VALUE"""),"Printing")</f>
        <v>Printing</v>
      </c>
      <c r="CA70" s="129">
        <f>IFERROR(__xludf.DUMMYFUNCTION("""COMPUTED_VALUE"""),1926.0)</f>
        <v>1926</v>
      </c>
      <c r="CB70" s="129">
        <f>IFERROR(__xludf.DUMMYFUNCTION("""COMPUTED_VALUE"""),1926.0)</f>
        <v>1926</v>
      </c>
      <c r="CC70" s="101" t="s">
        <v>212</v>
      </c>
      <c r="CD70" s="101" t="s">
        <v>18</v>
      </c>
      <c r="CE70" s="163">
        <v>1005.0</v>
      </c>
      <c r="CF70" s="163">
        <v>1005.0</v>
      </c>
      <c r="CG70" s="163">
        <v>0.0</v>
      </c>
      <c r="CH70" s="101"/>
    </row>
    <row r="71">
      <c r="A71" s="156" t="str">
        <f>IFERROR(__xludf.DUMMYFUNCTION("""COMPUTED_VALUE"""),"https://drive.google.com/open?id=1Fu9dFIxoiVysLL_I0_W1IPtXyAGvljDk&amp;authuser=jay.agg%40gmail.com&amp;usp=drive_fs")</f>
        <v>https://drive.google.com/open?id=1Fu9dFIxoiVysLL_I0_W1IPtXyAGvljDk&amp;authuser=jay.agg%40gmail.com&amp;usp=drive_fs</v>
      </c>
      <c r="B71" s="73" t="str">
        <f>IFERROR(__xludf.DUMMYFUNCTION("""COMPUTED_VALUE"""),"Bakery")</f>
        <v>Bakery</v>
      </c>
      <c r="C71" s="73" t="str">
        <f>IFERROR(__xludf.DUMMYFUNCTION("""COMPUTED_VALUE"""),"Cookies")</f>
        <v>Cookies</v>
      </c>
      <c r="D71" s="73" t="str">
        <f>IFERROR(__xludf.DUMMYFUNCTION("""COMPUTED_VALUE"""),"1kg 178*165*64 mm | 7*6.5*2.5 inch")</f>
        <v>1kg 178*165*64 mm | 7*6.5*2.5 inch</v>
      </c>
      <c r="E71" s="140">
        <f>IFERROR(__xludf.DUMMYFUNCTION("""COMPUTED_VALUE"""),2.0)</f>
        <v>2</v>
      </c>
      <c r="F71" s="80">
        <f>IFERROR(__xludf.DUMMYFUNCTION("""COMPUTED_VALUE"""),1926.0)</f>
        <v>1926</v>
      </c>
      <c r="G71" s="80">
        <f>IFERROR(__xludf.DUMMYFUNCTION("""COMPUTED_VALUE"""),19.0)</f>
        <v>19</v>
      </c>
      <c r="H71" s="73">
        <f>IFERROR(__xludf.DUMMYFUNCTION("""COMPUTED_VALUE"""),26.0)</f>
        <v>26</v>
      </c>
      <c r="I71" s="73">
        <f>IFERROR(__xludf.DUMMYFUNCTION("""COMPUTED_VALUE"""),100.0)</f>
        <v>100</v>
      </c>
      <c r="J71" s="73"/>
      <c r="K71" s="73"/>
      <c r="L71" s="73"/>
      <c r="M71" s="73"/>
      <c r="N71" s="73">
        <f>IFERROR(__xludf.DUMMYFUNCTION("""COMPUTED_VALUE"""),1.0)</f>
        <v>1</v>
      </c>
      <c r="O71" s="73"/>
      <c r="P71" s="73" t="str">
        <f>IFERROR(__xludf.DUMMYFUNCTION("""COMPUTED_VALUE"""),"Offset")</f>
        <v>Offset</v>
      </c>
      <c r="Q71" s="73" t="str">
        <f>IFERROR(__xludf.DUMMYFUNCTION("""COMPUTED_VALUE"""),"Packaging")</f>
        <v>Packaging</v>
      </c>
      <c r="R71" s="73" t="str">
        <f>IFERROR(__xludf.DUMMYFUNCTION("""COMPUTED_VALUE"""),"Bakery")</f>
        <v>Bakery</v>
      </c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88"/>
      <c r="BH71" s="73"/>
      <c r="BI71" s="73"/>
      <c r="BJ71" s="73"/>
      <c r="BK71" s="73"/>
      <c r="BL71" s="88"/>
      <c r="BM71" s="73"/>
      <c r="BN71" s="73"/>
      <c r="BO71" s="77"/>
      <c r="BP71" s="139"/>
      <c r="BQ71" s="73"/>
      <c r="BR71" s="73"/>
      <c r="BS71" s="73"/>
      <c r="BT71" s="73"/>
      <c r="BU71" s="73"/>
      <c r="BV71" s="73"/>
      <c r="BW71" s="73"/>
      <c r="BX71" s="73"/>
      <c r="BY71" s="165" t="str">
        <f>IFERROR(__xludf.DUMMYFUNCTION("""COMPUTED_VALUE"""),"Offset")</f>
        <v>Offset</v>
      </c>
      <c r="BZ71" s="165" t="str">
        <f>IFERROR(__xludf.DUMMYFUNCTION("""COMPUTED_VALUE"""),"Printing")</f>
        <v>Printing</v>
      </c>
      <c r="CA71" s="129">
        <f>IFERROR(__xludf.DUMMYFUNCTION("""COMPUTED_VALUE"""),2029.0)</f>
        <v>2029</v>
      </c>
      <c r="CB71" s="129">
        <f>IFERROR(__xludf.DUMMYFUNCTION("""COMPUTED_VALUE"""),2029.0)</f>
        <v>2029</v>
      </c>
      <c r="CC71" s="101"/>
      <c r="CD71" s="101"/>
      <c r="CE71" s="165"/>
      <c r="CF71" s="165"/>
      <c r="CG71" s="165"/>
      <c r="CH71" s="165"/>
    </row>
    <row r="72">
      <c r="A72" s="156" t="str">
        <f>IFERROR(__xludf.DUMMYFUNCTION("""COMPUTED_VALUE"""),"https://drive.google.com/open?id=1G6ze5Nviswjd8iKMydwQUA-7KdEa1O1q&amp;authuser=jay.agg%40gmail.com&amp;usp=drive_fs")</f>
        <v>https://drive.google.com/open?id=1G6ze5Nviswjd8iKMydwQUA-7KdEa1O1q&amp;authuser=jay.agg%40gmail.com&amp;usp=drive_fs</v>
      </c>
      <c r="B72" s="73" t="str">
        <f>IFERROR(__xludf.DUMMYFUNCTION("""COMPUTED_VALUE"""),"Bakery")</f>
        <v>Bakery</v>
      </c>
      <c r="C72" s="73" t="str">
        <f>IFERROR(__xludf.DUMMYFUNCTION("""COMPUTED_VALUE"""),"Cookies")</f>
        <v>Cookies</v>
      </c>
      <c r="D72" s="73" t="str">
        <f>IFERROR(__xludf.DUMMYFUNCTION("""COMPUTED_VALUE"""),"250g 102*102*45 mm | 4*4*1.75 inch")</f>
        <v>250g 102*102*45 mm | 4*4*1.75 inch</v>
      </c>
      <c r="E72" s="140">
        <f>IFERROR(__xludf.DUMMYFUNCTION("""COMPUTED_VALUE"""),4.0)</f>
        <v>4</v>
      </c>
      <c r="F72" s="80">
        <f>IFERROR(__xludf.DUMMYFUNCTION("""COMPUTED_VALUE"""),1926.0)</f>
        <v>1926</v>
      </c>
      <c r="G72" s="80">
        <f>IFERROR(__xludf.DUMMYFUNCTION("""COMPUTED_VALUE"""),18.0)</f>
        <v>18</v>
      </c>
      <c r="H72" s="73">
        <f>IFERROR(__xludf.DUMMYFUNCTION("""COMPUTED_VALUE"""),25.0)</f>
        <v>25</v>
      </c>
      <c r="I72" s="73">
        <f>IFERROR(__xludf.DUMMYFUNCTION("""COMPUTED_VALUE"""),100.0)</f>
        <v>100</v>
      </c>
      <c r="J72" s="73"/>
      <c r="K72" s="73"/>
      <c r="L72" s="73"/>
      <c r="M72" s="73"/>
      <c r="N72" s="73">
        <f>IFERROR(__xludf.DUMMYFUNCTION("""COMPUTED_VALUE"""),1.0)</f>
        <v>1</v>
      </c>
      <c r="O72" s="73"/>
      <c r="P72" s="73" t="str">
        <f>IFERROR(__xludf.DUMMYFUNCTION("""COMPUTED_VALUE"""),"Offset")</f>
        <v>Offset</v>
      </c>
      <c r="Q72" s="73" t="str">
        <f>IFERROR(__xludf.DUMMYFUNCTION("""COMPUTED_VALUE"""),"Packaging")</f>
        <v>Packaging</v>
      </c>
      <c r="R72" s="73" t="str">
        <f>IFERROR(__xludf.DUMMYFUNCTION("""COMPUTED_VALUE"""),"Bakery")</f>
        <v>Bakery</v>
      </c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139"/>
      <c r="AX72" s="73"/>
      <c r="AY72" s="73"/>
      <c r="AZ72" s="73"/>
      <c r="BA72" s="73"/>
      <c r="BB72" s="73"/>
      <c r="BC72" s="73"/>
      <c r="BD72" s="73"/>
      <c r="BE72" s="73"/>
      <c r="BF72" s="73"/>
      <c r="BG72" s="88"/>
      <c r="BH72" s="73"/>
      <c r="BI72" s="73"/>
      <c r="BJ72" s="73"/>
      <c r="BK72" s="73"/>
      <c r="BL72" s="88"/>
      <c r="BM72" s="73"/>
      <c r="BN72" s="73"/>
      <c r="BO72" s="77"/>
      <c r="BP72" s="139"/>
      <c r="BQ72" s="73"/>
      <c r="BR72" s="73"/>
      <c r="BS72" s="73"/>
      <c r="BT72" s="73"/>
      <c r="BU72" s="73"/>
      <c r="BV72" s="73"/>
      <c r="BW72" s="73"/>
      <c r="BX72" s="73"/>
      <c r="BY72" s="165" t="str">
        <f>IFERROR(__xludf.DUMMYFUNCTION("""COMPUTED_VALUE"""),"Offset")</f>
        <v>Offset</v>
      </c>
      <c r="BZ72" s="165" t="str">
        <f>IFERROR(__xludf.DUMMYFUNCTION("""COMPUTED_VALUE"""),"Printing")</f>
        <v>Printing</v>
      </c>
      <c r="CA72" s="129">
        <f>IFERROR(__xludf.DUMMYFUNCTION("""COMPUTED_VALUE"""),2840.0)</f>
        <v>2840</v>
      </c>
      <c r="CB72" s="129">
        <f>IFERROR(__xludf.DUMMYFUNCTION("""COMPUTED_VALUE"""),2840.0)</f>
        <v>2840</v>
      </c>
      <c r="CC72" s="165"/>
      <c r="CD72" s="165"/>
      <c r="CE72" s="165"/>
      <c r="CF72" s="165"/>
      <c r="CG72" s="165"/>
      <c r="CH72" s="165"/>
    </row>
    <row r="73">
      <c r="A73" s="156" t="str">
        <f>IFERROR(__xludf.DUMMYFUNCTION("""COMPUTED_VALUE"""),"https://drive.google.com/open?id=1_6gY_p2Ngkrp4dRREvOvsBmhqSfT6K6A&amp;authuser=jay.agg%40gmail.com&amp;usp=drive_fs")</f>
        <v>https://drive.google.com/open?id=1_6gY_p2Ngkrp4dRREvOvsBmhqSfT6K6A&amp;authuser=jay.agg%40gmail.com&amp;usp=drive_fs</v>
      </c>
      <c r="B73" s="73" t="str">
        <f>IFERROR(__xludf.DUMMYFUNCTION("""COMPUTED_VALUE"""),"Bakery")</f>
        <v>Bakery</v>
      </c>
      <c r="C73" s="73" t="str">
        <f>IFERROR(__xludf.DUMMYFUNCTION("""COMPUTED_VALUE"""),"Cookies")</f>
        <v>Cookies</v>
      </c>
      <c r="D73" s="73" t="str">
        <f>IFERROR(__xludf.DUMMYFUNCTION("""COMPUTED_VALUE"""),"76*76*102 mm | 3*3*4 inch")</f>
        <v>76*76*102 mm | 3*3*4 inch</v>
      </c>
      <c r="E73" s="140">
        <f>IFERROR(__xludf.DUMMYFUNCTION("""COMPUTED_VALUE"""),4.0)</f>
        <v>4</v>
      </c>
      <c r="F73" s="80">
        <f>IFERROR(__xludf.DUMMYFUNCTION("""COMPUTED_VALUE"""),1926.0)</f>
        <v>1926</v>
      </c>
      <c r="G73" s="80">
        <f>IFERROR(__xludf.DUMMYFUNCTION("""COMPUTED_VALUE"""),19.5)</f>
        <v>19.5</v>
      </c>
      <c r="H73" s="73">
        <f>IFERROR(__xludf.DUMMYFUNCTION("""COMPUTED_VALUE"""),23.0)</f>
        <v>23</v>
      </c>
      <c r="I73" s="73">
        <f>IFERROR(__xludf.DUMMYFUNCTION("""COMPUTED_VALUE"""),100.0)</f>
        <v>100</v>
      </c>
      <c r="J73" s="73"/>
      <c r="K73" s="73"/>
      <c r="L73" s="73"/>
      <c r="M73" s="73">
        <f>IFERROR(__xludf.DUMMYFUNCTION("""COMPUTED_VALUE"""),0.1)</f>
        <v>0.1</v>
      </c>
      <c r="N73" s="73">
        <f>IFERROR(__xludf.DUMMYFUNCTION("""COMPUTED_VALUE"""),1.0)</f>
        <v>1</v>
      </c>
      <c r="O73" s="73"/>
      <c r="P73" s="73" t="str">
        <f>IFERROR(__xludf.DUMMYFUNCTION("""COMPUTED_VALUE"""),"Offset")</f>
        <v>Offset</v>
      </c>
      <c r="Q73" s="73" t="str">
        <f>IFERROR(__xludf.DUMMYFUNCTION("""COMPUTED_VALUE"""),"Packaging")</f>
        <v>Packaging</v>
      </c>
      <c r="R73" s="73" t="str">
        <f>IFERROR(__xludf.DUMMYFUNCTION("""COMPUTED_VALUE"""),"Bakery")</f>
        <v>Bakery</v>
      </c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88"/>
      <c r="BH73" s="73"/>
      <c r="BI73" s="73"/>
      <c r="BJ73" s="73"/>
      <c r="BK73" s="73"/>
      <c r="BL73" s="88"/>
      <c r="BM73" s="73"/>
      <c r="BN73" s="73"/>
      <c r="BO73" s="77"/>
      <c r="BP73" s="139"/>
      <c r="BQ73" s="73"/>
      <c r="BR73" s="73"/>
      <c r="BS73" s="73"/>
      <c r="BT73" s="73"/>
      <c r="BU73" s="73"/>
      <c r="BV73" s="73"/>
      <c r="BW73" s="73"/>
      <c r="BX73" s="73"/>
      <c r="BY73" s="165"/>
      <c r="BZ73" s="165"/>
      <c r="CA73" s="165"/>
      <c r="CB73" s="165"/>
      <c r="CC73" s="165"/>
      <c r="CD73" s="165"/>
      <c r="CE73" s="165"/>
      <c r="CF73" s="165"/>
      <c r="CG73" s="165"/>
      <c r="CH73" s="165"/>
    </row>
    <row r="74">
      <c r="A74" s="156" t="str">
        <f>IFERROR(__xludf.DUMMYFUNCTION("""COMPUTED_VALUE"""),"https://drive.google.com/open?id=1_6tHtVuDDp5jsI7rI8lA2Q9tuEKd25fK&amp;authuser=jay.agg%40gmail.com&amp;usp=drive_fs")</f>
        <v>https://drive.google.com/open?id=1_6tHtVuDDp5jsI7rI8lA2Q9tuEKd25fK&amp;authuser=jay.agg%40gmail.com&amp;usp=drive_fs</v>
      </c>
      <c r="B74" s="73" t="str">
        <f>IFERROR(__xludf.DUMMYFUNCTION("""COMPUTED_VALUE"""),"Bakery")</f>
        <v>Bakery</v>
      </c>
      <c r="C74" s="73" t="str">
        <f>IFERROR(__xludf.DUMMYFUNCTION("""COMPUTED_VALUE"""),"Cookies")</f>
        <v>Cookies</v>
      </c>
      <c r="D74" s="73" t="str">
        <f>IFERROR(__xludf.DUMMYFUNCTION("""COMPUTED_VALUE"""),"76*76*152 mm | 3*3*6 inch")</f>
        <v>76*76*152 mm | 3*3*6 inch</v>
      </c>
      <c r="E74" s="140">
        <f>IFERROR(__xludf.DUMMYFUNCTION("""COMPUTED_VALUE"""),2.0)</f>
        <v>2</v>
      </c>
      <c r="F74" s="80">
        <f>IFERROR(__xludf.DUMMYFUNCTION("""COMPUTED_VALUE"""),1926.0)</f>
        <v>1926</v>
      </c>
      <c r="G74" s="80">
        <f>IFERROR(__xludf.DUMMYFUNCTION("""COMPUTED_VALUE"""),14.0)</f>
        <v>14</v>
      </c>
      <c r="H74" s="73">
        <f>IFERROR(__xludf.DUMMYFUNCTION("""COMPUTED_VALUE"""),22.0)</f>
        <v>22</v>
      </c>
      <c r="I74" s="73">
        <f>IFERROR(__xludf.DUMMYFUNCTION("""COMPUTED_VALUE"""),100.0)</f>
        <v>100</v>
      </c>
      <c r="J74" s="73"/>
      <c r="K74" s="73"/>
      <c r="L74" s="73"/>
      <c r="M74" s="73">
        <f>IFERROR(__xludf.DUMMYFUNCTION("""COMPUTED_VALUE"""),0.1)</f>
        <v>0.1</v>
      </c>
      <c r="N74" s="73">
        <f>IFERROR(__xludf.DUMMYFUNCTION("""COMPUTED_VALUE"""),1.0)</f>
        <v>1</v>
      </c>
      <c r="O74" s="73"/>
      <c r="P74" s="73" t="str">
        <f>IFERROR(__xludf.DUMMYFUNCTION("""COMPUTED_VALUE"""),"Offset")</f>
        <v>Offset</v>
      </c>
      <c r="Q74" s="73" t="str">
        <f>IFERROR(__xludf.DUMMYFUNCTION("""COMPUTED_VALUE"""),"Packaging")</f>
        <v>Packaging</v>
      </c>
      <c r="R74" s="73" t="str">
        <f>IFERROR(__xludf.DUMMYFUNCTION("""COMPUTED_VALUE"""),"Bakery")</f>
        <v>Bakery</v>
      </c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88"/>
      <c r="BH74" s="73"/>
      <c r="BI74" s="73"/>
      <c r="BJ74" s="73"/>
      <c r="BK74" s="73"/>
      <c r="BL74" s="88"/>
      <c r="BM74" s="73"/>
      <c r="BN74" s="73"/>
      <c r="BO74" s="77"/>
      <c r="BP74" s="139"/>
      <c r="BQ74" s="73"/>
      <c r="BR74" s="73"/>
      <c r="BS74" s="73"/>
      <c r="BT74" s="73"/>
      <c r="BU74" s="73"/>
      <c r="BV74" s="73"/>
      <c r="BW74" s="73"/>
      <c r="BX74" s="73"/>
      <c r="BY74" s="139" t="str">
        <f>IFERROR(__xludf.DUMMYFUNCTION("QUERY(CD60:CH70,BZ66)"),"Printing")</f>
        <v>Printing</v>
      </c>
      <c r="BZ74" s="129">
        <f>IFERROR(__xludf.DUMMYFUNCTION("""COMPUTED_VALUE"""),1926.0)</f>
        <v>1926</v>
      </c>
      <c r="CA74" s="129">
        <f>IFERROR(__xludf.DUMMYFUNCTION("""COMPUTED_VALUE"""),1926.0)</f>
        <v>1926</v>
      </c>
      <c r="CB74" s="166">
        <f>IFERROR(__xludf.DUMMYFUNCTION("""COMPUTED_VALUE"""),0.0)</f>
        <v>0</v>
      </c>
      <c r="CC74" s="166">
        <f>IFERROR(__xludf.DUMMYFUNCTION("""COMPUTED_VALUE"""),250.0)</f>
        <v>250</v>
      </c>
      <c r="CD74" s="166">
        <f>IFERROR(__xludf.DUMMYFUNCTION("QUERY(BZ74:CC80,CA66)"),2029.0)</f>
        <v>2029</v>
      </c>
      <c r="CE74" s="129">
        <f>IFERROR(__xludf.DUMMYFUNCTION("""COMPUTED_VALUE"""),2029.0)</f>
        <v>2029</v>
      </c>
      <c r="CF74" s="129">
        <f>IFERROR(__xludf.DUMMYFUNCTION("""COMPUTED_VALUE"""),0.0)</f>
        <v>0</v>
      </c>
      <c r="CG74" s="129">
        <f>IFERROR(__xludf.DUMMYFUNCTION("""COMPUTED_VALUE"""),275.0)</f>
        <v>275</v>
      </c>
      <c r="CH74" s="165"/>
    </row>
    <row r="75">
      <c r="A75" s="156" t="str">
        <f>IFERROR(__xludf.DUMMYFUNCTION("""COMPUTED_VALUE"""),"https://drive.google.com/open?id=1XU8XcHb7x8nJMGoIr_mmxGyw9lJpOa9k&amp;authuser=jay.agg%40gmail.com&amp;usp=drive_fs")</f>
        <v>https://drive.google.com/open?id=1XU8XcHb7x8nJMGoIr_mmxGyw9lJpOa9k&amp;authuser=jay.agg%40gmail.com&amp;usp=drive_fs</v>
      </c>
      <c r="B75" s="73" t="str">
        <f>IFERROR(__xludf.DUMMYFUNCTION("""COMPUTED_VALUE"""),"Bakery")</f>
        <v>Bakery</v>
      </c>
      <c r="C75" s="73" t="str">
        <f>IFERROR(__xludf.DUMMYFUNCTION("""COMPUTED_VALUE"""),"Cupcake 1")</f>
        <v>Cupcake 1</v>
      </c>
      <c r="D75" s="73" t="str">
        <f>IFERROR(__xludf.DUMMYFUNCTION("""COMPUTED_VALUE"""),"90*90*90 mm | 3.5*3.5*3.5 inch")</f>
        <v>90*90*90 mm | 3.5*3.5*3.5 inch</v>
      </c>
      <c r="E75" s="140">
        <f>IFERROR(__xludf.DUMMYFUNCTION("""COMPUTED_VALUE"""),2.0)</f>
        <v>2</v>
      </c>
      <c r="F75" s="80">
        <f>IFERROR(__xludf.DUMMYFUNCTION("""COMPUTED_VALUE"""),1926.0)</f>
        <v>1926</v>
      </c>
      <c r="G75" s="80">
        <f>IFERROR(__xludf.DUMMYFUNCTION("""COMPUTED_VALUE"""),15.75)</f>
        <v>15.75</v>
      </c>
      <c r="H75" s="73">
        <f>IFERROR(__xludf.DUMMYFUNCTION("""COMPUTED_VALUE"""),20.75)</f>
        <v>20.75</v>
      </c>
      <c r="I75" s="73">
        <f>IFERROR(__xludf.DUMMYFUNCTION("""COMPUTED_VALUE"""),100.0)</f>
        <v>100</v>
      </c>
      <c r="J75" s="73"/>
      <c r="K75" s="73"/>
      <c r="L75" s="73"/>
      <c r="M75" s="73">
        <f>IFERROR(__xludf.DUMMYFUNCTION("""COMPUTED_VALUE"""),0.1)</f>
        <v>0.1</v>
      </c>
      <c r="N75" s="73">
        <f>IFERROR(__xludf.DUMMYFUNCTION("""COMPUTED_VALUE"""),1.0)</f>
        <v>1</v>
      </c>
      <c r="O75" s="73"/>
      <c r="P75" s="73" t="str">
        <f>IFERROR(__xludf.DUMMYFUNCTION("""COMPUTED_VALUE"""),"Offset")</f>
        <v>Offset</v>
      </c>
      <c r="Q75" s="73" t="str">
        <f>IFERROR(__xludf.DUMMYFUNCTION("""COMPUTED_VALUE"""),"Packaging")</f>
        <v>Packaging</v>
      </c>
      <c r="R75" s="73" t="str">
        <f>IFERROR(__xludf.DUMMYFUNCTION("""COMPUTED_VALUE"""),"Bakery")</f>
        <v>Bakery</v>
      </c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88"/>
      <c r="BH75" s="73"/>
      <c r="BI75" s="77"/>
      <c r="BJ75" s="73"/>
      <c r="BK75" s="73"/>
      <c r="BL75" s="88"/>
      <c r="BM75" s="73"/>
      <c r="BN75" s="73"/>
      <c r="BO75" s="77"/>
      <c r="BP75" s="139"/>
      <c r="BQ75" s="88"/>
      <c r="BR75" s="88"/>
      <c r="BS75" s="88"/>
      <c r="BT75" s="88"/>
      <c r="BU75" s="88"/>
      <c r="BV75" s="88"/>
      <c r="BW75" s="88"/>
      <c r="BX75" s="88"/>
      <c r="BY75" s="165" t="str">
        <f>IFERROR(__xludf.DUMMYFUNCTION("""COMPUTED_VALUE"""),"Printing")</f>
        <v>Printing</v>
      </c>
      <c r="BZ75" s="129">
        <f>IFERROR(__xludf.DUMMYFUNCTION("""COMPUTED_VALUE"""),2029.0)</f>
        <v>2029</v>
      </c>
      <c r="CA75" s="129">
        <f>IFERROR(__xludf.DUMMYFUNCTION("""COMPUTED_VALUE"""),2029.0)</f>
        <v>2029</v>
      </c>
      <c r="CB75" s="129">
        <f>IFERROR(__xludf.DUMMYFUNCTION("""COMPUTED_VALUE"""),0.0)</f>
        <v>0</v>
      </c>
      <c r="CC75" s="129">
        <f>IFERROR(__xludf.DUMMYFUNCTION("""COMPUTED_VALUE"""),275.0)</f>
        <v>275</v>
      </c>
      <c r="CD75" s="165"/>
      <c r="CE75" s="165"/>
      <c r="CF75" s="165"/>
      <c r="CG75" s="165"/>
      <c r="CH75" s="165"/>
    </row>
    <row r="76">
      <c r="A76" s="156" t="str">
        <f>IFERROR(__xludf.DUMMYFUNCTION("""COMPUTED_VALUE"""),"https://drive.google.com/open?id=1XU8XcHb7x8nJMGoIr_mmxGyw9lJpOa9k&amp;authuser=jay.agg%40gmail.com&amp;usp=drive_fs")</f>
        <v>https://drive.google.com/open?id=1XU8XcHb7x8nJMGoIr_mmxGyw9lJpOa9k&amp;authuser=jay.agg%40gmail.com&amp;usp=drive_fs</v>
      </c>
      <c r="B76" s="73" t="str">
        <f>IFERROR(__xludf.DUMMYFUNCTION("""COMPUTED_VALUE"""),"Bakery")</f>
        <v>Bakery</v>
      </c>
      <c r="C76" s="73" t="str">
        <f>IFERROR(__xludf.DUMMYFUNCTION("""COMPUTED_VALUE"""),"Cupcake 1")</f>
        <v>Cupcake 1</v>
      </c>
      <c r="D76" s="73" t="str">
        <f>IFERROR(__xludf.DUMMYFUNCTION("""COMPUTED_VALUE"""),"Holder 90*90*90 mm | 3.5*3.5*3.5 inch")</f>
        <v>Holder 90*90*90 mm | 3.5*3.5*3.5 inch</v>
      </c>
      <c r="E76" s="140">
        <f>IFERROR(__xludf.DUMMYFUNCTION("""COMPUTED_VALUE"""),12.0)</f>
        <v>12</v>
      </c>
      <c r="F76" s="80">
        <f>IFERROR(__xludf.DUMMYFUNCTION("""COMPUTED_VALUE"""),1926.0)</f>
        <v>1926</v>
      </c>
      <c r="G76" s="80">
        <f>IFERROR(__xludf.DUMMYFUNCTION("""COMPUTED_VALUE"""),15.75)</f>
        <v>15.75</v>
      </c>
      <c r="H76" s="73">
        <f>IFERROR(__xludf.DUMMYFUNCTION("""COMPUTED_VALUE"""),20.75)</f>
        <v>20.75</v>
      </c>
      <c r="I76" s="73">
        <f>IFERROR(__xludf.DUMMYFUNCTION("""COMPUTED_VALUE"""),100.0)</f>
        <v>100</v>
      </c>
      <c r="J76" s="73"/>
      <c r="K76" s="73"/>
      <c r="L76" s="73"/>
      <c r="M76" s="73"/>
      <c r="N76" s="73">
        <f>IFERROR(__xludf.DUMMYFUNCTION("""COMPUTED_VALUE"""),1.0)</f>
        <v>1</v>
      </c>
      <c r="O76" s="73"/>
      <c r="P76" s="73" t="str">
        <f>IFERROR(__xludf.DUMMYFUNCTION("""COMPUTED_VALUE"""),"Offset")</f>
        <v>Offset</v>
      </c>
      <c r="Q76" s="73" t="str">
        <f>IFERROR(__xludf.DUMMYFUNCTION("""COMPUTED_VALUE"""),"Packaging")</f>
        <v>Packaging</v>
      </c>
      <c r="R76" s="73" t="str">
        <f>IFERROR(__xludf.DUMMYFUNCTION("""COMPUTED_VALUE"""),"Bakery")</f>
        <v>Bakery</v>
      </c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113"/>
      <c r="BH76" s="73"/>
      <c r="BI76" s="77"/>
      <c r="BJ76" s="73"/>
      <c r="BK76" s="73"/>
      <c r="BL76" s="88"/>
      <c r="BM76" s="73"/>
      <c r="BN76" s="73"/>
      <c r="BO76" s="77"/>
      <c r="BP76" s="139"/>
      <c r="BQ76" s="73"/>
      <c r="BR76" s="73"/>
      <c r="BS76" s="73"/>
      <c r="BT76" s="73"/>
      <c r="BU76" s="73"/>
      <c r="BV76" s="73"/>
      <c r="BW76" s="73"/>
      <c r="BX76" s="73"/>
      <c r="BY76" s="165" t="str">
        <f>IFERROR(__xludf.DUMMYFUNCTION("""COMPUTED_VALUE"""),"Printing")</f>
        <v>Printing</v>
      </c>
      <c r="BZ76" s="129">
        <f>IFERROR(__xludf.DUMMYFUNCTION("""COMPUTED_VALUE"""),2840.0)</f>
        <v>2840</v>
      </c>
      <c r="CA76" s="129">
        <f>IFERROR(__xludf.DUMMYFUNCTION("""COMPUTED_VALUE"""),2840.0)</f>
        <v>2840</v>
      </c>
      <c r="CB76" s="129">
        <f>IFERROR(__xludf.DUMMYFUNCTION("""COMPUTED_VALUE"""),0.0)</f>
        <v>0</v>
      </c>
      <c r="CC76" s="129">
        <f>IFERROR(__xludf.DUMMYFUNCTION("""COMPUTED_VALUE"""),650.0)</f>
        <v>650</v>
      </c>
      <c r="CD76" s="165"/>
      <c r="CE76" s="165"/>
      <c r="CF76" s="165"/>
      <c r="CG76" s="165"/>
      <c r="CH76" s="165"/>
    </row>
    <row r="77">
      <c r="A77" s="156" t="str">
        <f>IFERROR(__xludf.DUMMYFUNCTION("""COMPUTED_VALUE"""),"https://drive.google.com/open?id=1Q3X4ohT7uRUA39Iu-Mcr4W8QiAw86PoH&amp;authuser=jay.agg%40gmail.com&amp;usp=drive_fs")</f>
        <v>https://drive.google.com/open?id=1Q3X4ohT7uRUA39Iu-Mcr4W8QiAw86PoH&amp;authuser=jay.agg%40gmail.com&amp;usp=drive_fs</v>
      </c>
      <c r="B77" s="73" t="str">
        <f>IFERROR(__xludf.DUMMYFUNCTION("""COMPUTED_VALUE"""),"Bakery")</f>
        <v>Bakery</v>
      </c>
      <c r="C77" s="73" t="str">
        <f>IFERROR(__xludf.DUMMYFUNCTION("""COMPUTED_VALUE"""),"Cupcake 12")</f>
        <v>Cupcake 12</v>
      </c>
      <c r="D77" s="73" t="str">
        <f>IFERROR(__xludf.DUMMYFUNCTION("""COMPUTED_VALUE"""),"320*235*75 mm | 12.5*9*3 inch ")</f>
        <v>320*235*75 mm | 12.5*9*3 inch </v>
      </c>
      <c r="E77" s="140">
        <f>IFERROR(__xludf.DUMMYFUNCTION("""COMPUTED_VALUE"""),1.0)</f>
        <v>1</v>
      </c>
      <c r="F77" s="80">
        <f>IFERROR(__xludf.DUMMYFUNCTION("""COMPUTED_VALUE"""),2840.0)</f>
        <v>2840</v>
      </c>
      <c r="G77" s="80">
        <f>IFERROR(__xludf.DUMMYFUNCTION("""COMPUTED_VALUE"""),23.0)</f>
        <v>23</v>
      </c>
      <c r="H77" s="73">
        <f>IFERROR(__xludf.DUMMYFUNCTION("""COMPUTED_VALUE"""),36.0)</f>
        <v>36</v>
      </c>
      <c r="I77" s="73">
        <f>IFERROR(__xludf.DUMMYFUNCTION("""COMPUTED_VALUE"""),100.0)</f>
        <v>100</v>
      </c>
      <c r="J77" s="73"/>
      <c r="K77" s="73"/>
      <c r="L77" s="73">
        <f>IFERROR(__xludf.DUMMYFUNCTION("""COMPUTED_VALUE"""),1.5)</f>
        <v>1.5</v>
      </c>
      <c r="M77" s="73"/>
      <c r="N77" s="73">
        <f>IFERROR(__xludf.DUMMYFUNCTION("""COMPUTED_VALUE"""),1.0)</f>
        <v>1</v>
      </c>
      <c r="O77" s="73"/>
      <c r="P77" s="73" t="str">
        <f>IFERROR(__xludf.DUMMYFUNCTION("""COMPUTED_VALUE"""),"Offset")</f>
        <v>Offset</v>
      </c>
      <c r="Q77" s="73" t="str">
        <f>IFERROR(__xludf.DUMMYFUNCTION("""COMPUTED_VALUE"""),"Packaging")</f>
        <v>Packaging</v>
      </c>
      <c r="R77" s="73" t="str">
        <f>IFERROR(__xludf.DUMMYFUNCTION("""COMPUTED_VALUE"""),"Bakery")</f>
        <v>Bakery</v>
      </c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113"/>
      <c r="BH77" s="73"/>
      <c r="BI77" s="77"/>
      <c r="BJ77" s="73"/>
      <c r="BK77" s="73"/>
      <c r="BL77" s="88"/>
      <c r="BM77" s="73"/>
      <c r="BN77" s="73"/>
      <c r="BO77" s="77"/>
      <c r="BP77" s="139"/>
      <c r="BQ77" s="73"/>
      <c r="BR77" s="73"/>
      <c r="BS77" s="73"/>
      <c r="BT77" s="73"/>
      <c r="BU77" s="73"/>
      <c r="BV77" s="73"/>
      <c r="BW77" s="73"/>
      <c r="BX77" s="73"/>
      <c r="BY77" s="73" t="str">
        <f>IFERROR(__xludf.DUMMYFUNCTION("""COMPUTED_VALUE"""),"Printing")</f>
        <v>Printing</v>
      </c>
      <c r="BZ77" s="77">
        <f>IFERROR(__xludf.DUMMYFUNCTION("""COMPUTED_VALUE"""),1001.0)</f>
        <v>1001</v>
      </c>
      <c r="CA77" s="77">
        <f>IFERROR(__xludf.DUMMYFUNCTION("""COMPUTED_VALUE"""),1001.0)</f>
        <v>1001</v>
      </c>
      <c r="CB77" s="77">
        <f>IFERROR(__xludf.DUMMYFUNCTION("""COMPUTED_VALUE"""),0.0)</f>
        <v>0</v>
      </c>
      <c r="CC77" s="73"/>
      <c r="CD77" s="73"/>
      <c r="CE77" s="73"/>
      <c r="CF77" s="73"/>
      <c r="CG77" s="73"/>
      <c r="CH77" s="73"/>
    </row>
    <row r="78">
      <c r="A78" s="156" t="str">
        <f>IFERROR(__xludf.DUMMYFUNCTION("""COMPUTED_VALUE"""),"https://drive.google.com/open?id=1Q3X4ohT7uRUA39Iu-Mcr4W8QiAw86PoH&amp;authuser=jay.agg%40gmail.com&amp;usp=drive_fs")</f>
        <v>https://drive.google.com/open?id=1Q3X4ohT7uRUA39Iu-Mcr4W8QiAw86PoH&amp;authuser=jay.agg%40gmail.com&amp;usp=drive_fs</v>
      </c>
      <c r="B78" s="73" t="str">
        <f>IFERROR(__xludf.DUMMYFUNCTION("""COMPUTED_VALUE"""),"Bakery")</f>
        <v>Bakery</v>
      </c>
      <c r="C78" s="73" t="str">
        <f>IFERROR(__xludf.DUMMYFUNCTION("""COMPUTED_VALUE"""),"Cupcake 12")</f>
        <v>Cupcake 12</v>
      </c>
      <c r="D78" s="73" t="str">
        <f>IFERROR(__xludf.DUMMYFUNCTION("""COMPUTED_VALUE"""),"Tray 320*235*75 mm | 12.5*9*3 inch")</f>
        <v>Tray 320*235*75 mm | 12.5*9*3 inch</v>
      </c>
      <c r="E78" s="140">
        <f>IFERROR(__xludf.DUMMYFUNCTION("""COMPUTED_VALUE"""),2.0)</f>
        <v>2</v>
      </c>
      <c r="F78" s="80">
        <f>IFERROR(__xludf.DUMMYFUNCTION("""COMPUTED_VALUE"""),1926.0)</f>
        <v>1926</v>
      </c>
      <c r="G78" s="80">
        <f>IFERROR(__xludf.DUMMYFUNCTION("""COMPUTED_VALUE"""),18.0)</f>
        <v>18</v>
      </c>
      <c r="H78" s="73">
        <f>IFERROR(__xludf.DUMMYFUNCTION("""COMPUTED_VALUE"""),23.0)</f>
        <v>23</v>
      </c>
      <c r="I78" s="73">
        <f>IFERROR(__xludf.DUMMYFUNCTION("""COMPUTED_VALUE"""),100.0)</f>
        <v>100</v>
      </c>
      <c r="J78" s="73"/>
      <c r="K78" s="73"/>
      <c r="L78" s="73"/>
      <c r="M78" s="73"/>
      <c r="N78" s="73">
        <f>IFERROR(__xludf.DUMMYFUNCTION("""COMPUTED_VALUE"""),1.0)</f>
        <v>1</v>
      </c>
      <c r="O78" s="73"/>
      <c r="P78" s="73" t="str">
        <f>IFERROR(__xludf.DUMMYFUNCTION("""COMPUTED_VALUE"""),"Offset")</f>
        <v>Offset</v>
      </c>
      <c r="Q78" s="73" t="str">
        <f>IFERROR(__xludf.DUMMYFUNCTION("""COMPUTED_VALUE"""),"Packaging")</f>
        <v>Packaging</v>
      </c>
      <c r="R78" s="73" t="str">
        <f>IFERROR(__xludf.DUMMYFUNCTION("""COMPUTED_VALUE"""),"Bakery")</f>
        <v>Bakery</v>
      </c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88"/>
      <c r="BH78" s="73"/>
      <c r="BI78" s="107"/>
      <c r="BJ78" s="73"/>
      <c r="BK78" s="73"/>
      <c r="BL78" s="88"/>
      <c r="BM78" s="73"/>
      <c r="BN78" s="73"/>
      <c r="BO78" s="77"/>
      <c r="BP78" s="139"/>
      <c r="BQ78" s="73"/>
      <c r="BR78" s="73"/>
      <c r="BS78" s="73"/>
      <c r="BT78" s="73"/>
      <c r="BU78" s="73"/>
      <c r="BV78" s="73"/>
      <c r="BW78" s="73"/>
      <c r="BX78" s="73"/>
      <c r="BY78" s="73" t="str">
        <f>IFERROR(__xludf.DUMMYFUNCTION("""COMPUTED_VALUE"""),"Printing")</f>
        <v>Printing</v>
      </c>
      <c r="BZ78" s="77">
        <f>IFERROR(__xludf.DUMMYFUNCTION("""COMPUTED_VALUE"""),1002.0)</f>
        <v>1002</v>
      </c>
      <c r="CA78" s="77">
        <f>IFERROR(__xludf.DUMMYFUNCTION("""COMPUTED_VALUE"""),1002.0)</f>
        <v>1002</v>
      </c>
      <c r="CB78" s="77">
        <f>IFERROR(__xludf.DUMMYFUNCTION("""COMPUTED_VALUE"""),0.0)</f>
        <v>0</v>
      </c>
      <c r="CC78" s="73"/>
      <c r="CD78" s="73"/>
      <c r="CE78" s="73"/>
      <c r="CF78" s="73"/>
      <c r="CG78" s="73"/>
      <c r="CH78" s="73"/>
    </row>
    <row r="79">
      <c r="A79" s="156" t="str">
        <f>IFERROR(__xludf.DUMMYFUNCTION("""COMPUTED_VALUE"""),"https://drive.google.com/open?id=1QKwy1Eq8szzn7NRzbprwaUTyA-pN07bb&amp;authuser=jay.agg%40gmail.com&amp;usp=drive_fs")</f>
        <v>https://drive.google.com/open?id=1QKwy1Eq8szzn7NRzbprwaUTyA-pN07bb&amp;authuser=jay.agg%40gmail.com&amp;usp=drive_fs</v>
      </c>
      <c r="B79" s="73" t="str">
        <f>IFERROR(__xludf.DUMMYFUNCTION("""COMPUTED_VALUE"""),"Bakery")</f>
        <v>Bakery</v>
      </c>
      <c r="C79" s="73" t="str">
        <f>IFERROR(__xludf.DUMMYFUNCTION("""COMPUTED_VALUE"""),"Cupcake 2")</f>
        <v>Cupcake 2</v>
      </c>
      <c r="D79" s="73" t="str">
        <f>IFERROR(__xludf.DUMMYFUNCTION("""COMPUTED_VALUE"""),"185*115*75 mm | 4.5*7.3*2.9 inch")</f>
        <v>185*115*75 mm | 4.5*7.3*2.9 inch</v>
      </c>
      <c r="E79" s="140">
        <f>IFERROR(__xludf.DUMMYFUNCTION("""COMPUTED_VALUE"""),2.0)</f>
        <v>2</v>
      </c>
      <c r="F79" s="80">
        <f>IFERROR(__xludf.DUMMYFUNCTION("""COMPUTED_VALUE"""),1926.0)</f>
        <v>1926</v>
      </c>
      <c r="G79" s="80">
        <f>IFERROR(__xludf.DUMMYFUNCTION("""COMPUTED_VALUE"""),18.0)</f>
        <v>18</v>
      </c>
      <c r="H79" s="73">
        <f>IFERROR(__xludf.DUMMYFUNCTION("""COMPUTED_VALUE"""),23.0)</f>
        <v>23</v>
      </c>
      <c r="I79" s="73">
        <f>IFERROR(__xludf.DUMMYFUNCTION("""COMPUTED_VALUE"""),100.0)</f>
        <v>100</v>
      </c>
      <c r="J79" s="73"/>
      <c r="K79" s="73"/>
      <c r="L79" s="73"/>
      <c r="M79" s="73"/>
      <c r="N79" s="73">
        <f>IFERROR(__xludf.DUMMYFUNCTION("""COMPUTED_VALUE"""),1.0)</f>
        <v>1</v>
      </c>
      <c r="O79" s="73"/>
      <c r="P79" s="73" t="str">
        <f>IFERROR(__xludf.DUMMYFUNCTION("""COMPUTED_VALUE"""),"Offset")</f>
        <v>Offset</v>
      </c>
      <c r="Q79" s="73" t="str">
        <f>IFERROR(__xludf.DUMMYFUNCTION("""COMPUTED_VALUE"""),"Packaging")</f>
        <v>Packaging</v>
      </c>
      <c r="R79" s="73" t="str">
        <f>IFERROR(__xludf.DUMMYFUNCTION("""COMPUTED_VALUE"""),"Bakery")</f>
        <v>Bakery</v>
      </c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88"/>
      <c r="BH79" s="73"/>
      <c r="BI79" s="107"/>
      <c r="BJ79" s="54"/>
      <c r="BK79" s="73"/>
      <c r="BL79" s="88"/>
      <c r="BM79" s="88"/>
      <c r="BN79" s="77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 t="str">
        <f>IFERROR(__xludf.DUMMYFUNCTION("""COMPUTED_VALUE"""),"Printing")</f>
        <v>Printing</v>
      </c>
      <c r="BZ79" s="77">
        <f>IFERROR(__xludf.DUMMYFUNCTION("""COMPUTED_VALUE"""),1003.0)</f>
        <v>1003</v>
      </c>
      <c r="CA79" s="77">
        <f>IFERROR(__xludf.DUMMYFUNCTION("""COMPUTED_VALUE"""),1003.0)</f>
        <v>1003</v>
      </c>
      <c r="CB79" s="77">
        <f>IFERROR(__xludf.DUMMYFUNCTION("""COMPUTED_VALUE"""),0.0)</f>
        <v>0</v>
      </c>
      <c r="CC79" s="73"/>
      <c r="CD79" s="73"/>
      <c r="CE79" s="73"/>
      <c r="CF79" s="73"/>
      <c r="CG79" s="73"/>
      <c r="CH79" s="73"/>
    </row>
    <row r="80">
      <c r="A80" s="156" t="str">
        <f>IFERROR(__xludf.DUMMYFUNCTION("""COMPUTED_VALUE"""),"https://drive.google.com/open?id=1QKwy1Eq8szzn7NRzbprwaUTyA-pN07bb&amp;authuser=jay.agg%40gmail.com&amp;usp=drive_fs")</f>
        <v>https://drive.google.com/open?id=1QKwy1Eq8szzn7NRzbprwaUTyA-pN07bb&amp;authuser=jay.agg%40gmail.com&amp;usp=drive_fs</v>
      </c>
      <c r="B80" s="73" t="str">
        <f>IFERROR(__xludf.DUMMYFUNCTION("""COMPUTED_VALUE"""),"Bakery")</f>
        <v>Bakery</v>
      </c>
      <c r="C80" s="73" t="str">
        <f>IFERROR(__xludf.DUMMYFUNCTION("""COMPUTED_VALUE"""),"Cupcake 2")</f>
        <v>Cupcake 2</v>
      </c>
      <c r="D80" s="73" t="str">
        <f>IFERROR(__xludf.DUMMYFUNCTION("""COMPUTED_VALUE"""),"Holder 185*115*75 mm | 4.5*7.3*2.9 inch")</f>
        <v>Holder 185*115*75 mm | 4.5*7.3*2.9 inch</v>
      </c>
      <c r="E80" s="140">
        <f>IFERROR(__xludf.DUMMYFUNCTION("""COMPUTED_VALUE"""),4.0)</f>
        <v>4</v>
      </c>
      <c r="F80" s="80">
        <f>IFERROR(__xludf.DUMMYFUNCTION("""COMPUTED_VALUE"""),1926.0)</f>
        <v>1926</v>
      </c>
      <c r="G80" s="80">
        <f>IFERROR(__xludf.DUMMYFUNCTION("""COMPUTED_VALUE"""),15.75)</f>
        <v>15.75</v>
      </c>
      <c r="H80" s="73">
        <f>IFERROR(__xludf.DUMMYFUNCTION("""COMPUTED_VALUE"""),20.75)</f>
        <v>20.75</v>
      </c>
      <c r="I80" s="73">
        <f>IFERROR(__xludf.DUMMYFUNCTION("""COMPUTED_VALUE"""),100.0)</f>
        <v>100</v>
      </c>
      <c r="J80" s="73"/>
      <c r="K80" s="73"/>
      <c r="L80" s="73"/>
      <c r="M80" s="73"/>
      <c r="N80" s="73">
        <f>IFERROR(__xludf.DUMMYFUNCTION("""COMPUTED_VALUE"""),1.0)</f>
        <v>1</v>
      </c>
      <c r="O80" s="73"/>
      <c r="P80" s="73" t="str">
        <f>IFERROR(__xludf.DUMMYFUNCTION("""COMPUTED_VALUE"""),"Offset")</f>
        <v>Offset</v>
      </c>
      <c r="Q80" s="73" t="str">
        <f>IFERROR(__xludf.DUMMYFUNCTION("""COMPUTED_VALUE"""),"Packaging")</f>
        <v>Packaging</v>
      </c>
      <c r="R80" s="73" t="str">
        <f>IFERROR(__xludf.DUMMYFUNCTION("""COMPUTED_VALUE"""),"Bakery")</f>
        <v>Bakery</v>
      </c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88"/>
      <c r="BH80" s="73"/>
      <c r="BI80" s="107"/>
      <c r="BJ80" s="54"/>
      <c r="BK80" s="73"/>
      <c r="BL80" s="88"/>
      <c r="BM80" s="88"/>
      <c r="BN80" s="77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 t="str">
        <f>IFERROR(__xludf.DUMMYFUNCTION("""COMPUTED_VALUE"""),"Printing")</f>
        <v>Printing</v>
      </c>
      <c r="BZ80" s="77">
        <f>IFERROR(__xludf.DUMMYFUNCTION("""COMPUTED_VALUE"""),1004.0)</f>
        <v>1004</v>
      </c>
      <c r="CA80" s="77">
        <f>IFERROR(__xludf.DUMMYFUNCTION("""COMPUTED_VALUE"""),1004.0)</f>
        <v>1004</v>
      </c>
      <c r="CB80" s="77">
        <f>IFERROR(__xludf.DUMMYFUNCTION("""COMPUTED_VALUE"""),0.0)</f>
        <v>0</v>
      </c>
      <c r="CC80" s="73"/>
      <c r="CD80" s="73"/>
      <c r="CE80" s="73"/>
      <c r="CF80" s="73"/>
      <c r="CG80" s="73"/>
      <c r="CH80" s="73"/>
    </row>
    <row r="81">
      <c r="A81" s="156" t="str">
        <f>IFERROR(__xludf.DUMMYFUNCTION("""COMPUTED_VALUE"""),"https://drive.google.com/open?id=1QKXJeqf1R_wijJQzM__ywSlBkAg_OqSi&amp;authuser=jay.agg%40gmail.com&amp;usp=drive_fs")</f>
        <v>https://drive.google.com/open?id=1QKXJeqf1R_wijJQzM__ywSlBkAg_OqSi&amp;authuser=jay.agg%40gmail.com&amp;usp=drive_fs</v>
      </c>
      <c r="B81" s="73" t="str">
        <f>IFERROR(__xludf.DUMMYFUNCTION("""COMPUTED_VALUE"""),"Bakery")</f>
        <v>Bakery</v>
      </c>
      <c r="C81" s="73" t="str">
        <f>IFERROR(__xludf.DUMMYFUNCTION("""COMPUTED_VALUE"""),"Cupcake 4")</f>
        <v>Cupcake 4</v>
      </c>
      <c r="D81" s="73" t="str">
        <f>IFERROR(__xludf.DUMMYFUNCTION("""COMPUTED_VALUE"""),"160*160*75 mm | 6.3*6.3*2.9 inch")</f>
        <v>160*160*75 mm | 6.3*6.3*2.9 inch</v>
      </c>
      <c r="E81" s="140">
        <f>IFERROR(__xludf.DUMMYFUNCTION("""COMPUTED_VALUE"""),2.0)</f>
        <v>2</v>
      </c>
      <c r="F81" s="80">
        <f>IFERROR(__xludf.DUMMYFUNCTION("""COMPUTED_VALUE"""),1926.0)</f>
        <v>1926</v>
      </c>
      <c r="G81" s="80">
        <f>IFERROR(__xludf.DUMMYFUNCTION("""COMPUTED_VALUE"""),20.0)</f>
        <v>20</v>
      </c>
      <c r="H81" s="73">
        <f>IFERROR(__xludf.DUMMYFUNCTION("""COMPUTED_VALUE"""),25.0)</f>
        <v>25</v>
      </c>
      <c r="I81" s="73">
        <f>IFERROR(__xludf.DUMMYFUNCTION("""COMPUTED_VALUE"""),100.0)</f>
        <v>100</v>
      </c>
      <c r="J81" s="73"/>
      <c r="K81" s="73"/>
      <c r="L81" s="73"/>
      <c r="M81" s="73"/>
      <c r="N81" s="73">
        <f>IFERROR(__xludf.DUMMYFUNCTION("""COMPUTED_VALUE"""),1.0)</f>
        <v>1</v>
      </c>
      <c r="O81" s="73"/>
      <c r="P81" s="73" t="str">
        <f>IFERROR(__xludf.DUMMYFUNCTION("""COMPUTED_VALUE"""),"Offset")</f>
        <v>Offset</v>
      </c>
      <c r="Q81" s="73" t="str">
        <f>IFERROR(__xludf.DUMMYFUNCTION("""COMPUTED_VALUE"""),"Packaging")</f>
        <v>Packaging</v>
      </c>
      <c r="R81" s="73" t="str">
        <f>IFERROR(__xludf.DUMMYFUNCTION("""COMPUTED_VALUE"""),"Bakery")</f>
        <v>Bakery</v>
      </c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139"/>
      <c r="BG81" s="88"/>
      <c r="BH81" s="73"/>
      <c r="BI81" s="107"/>
      <c r="BJ81" s="88"/>
      <c r="BK81" s="73"/>
      <c r="BL81" s="88"/>
      <c r="BM81" s="88"/>
      <c r="BN81" s="77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 t="str">
        <f>IFERROR(__xludf.DUMMYFUNCTION("""COMPUTED_VALUE"""),"Printing")</f>
        <v>Printing</v>
      </c>
      <c r="BZ81" s="77">
        <f>IFERROR(__xludf.DUMMYFUNCTION("""COMPUTED_VALUE"""),1005.0)</f>
        <v>1005</v>
      </c>
      <c r="CA81" s="77">
        <f>IFERROR(__xludf.DUMMYFUNCTION("""COMPUTED_VALUE"""),1005.0)</f>
        <v>1005</v>
      </c>
      <c r="CB81" s="77">
        <f>IFERROR(__xludf.DUMMYFUNCTION("""COMPUTED_VALUE"""),0.0)</f>
        <v>0</v>
      </c>
      <c r="CC81" s="73"/>
      <c r="CD81" s="73"/>
      <c r="CE81" s="73"/>
      <c r="CF81" s="73"/>
      <c r="CG81" s="73"/>
      <c r="CH81" s="73"/>
    </row>
    <row r="82">
      <c r="A82" s="156" t="str">
        <f>IFERROR(__xludf.DUMMYFUNCTION("""COMPUTED_VALUE"""),"https://drive.google.com/open?id=1QKXJeqf1R_wijJQzM__ywSlBkAg_OqSi&amp;authuser=jay.agg%40gmail.com&amp;usp=drive_fs")</f>
        <v>https://drive.google.com/open?id=1QKXJeqf1R_wijJQzM__ywSlBkAg_OqSi&amp;authuser=jay.agg%40gmail.com&amp;usp=drive_fs</v>
      </c>
      <c r="B82" s="73" t="str">
        <f>IFERROR(__xludf.DUMMYFUNCTION("""COMPUTED_VALUE"""),"Bakery")</f>
        <v>Bakery</v>
      </c>
      <c r="C82" s="73" t="str">
        <f>IFERROR(__xludf.DUMMYFUNCTION("""COMPUTED_VALUE"""),"Cupcake 4")</f>
        <v>Cupcake 4</v>
      </c>
      <c r="D82" s="73" t="str">
        <f>IFERROR(__xludf.DUMMYFUNCTION("""COMPUTED_VALUE"""),"Holder 160*160*75 mm | 6.3*6.3*2.9 inch")</f>
        <v>Holder 160*160*75 mm | 6.3*6.3*2.9 inch</v>
      </c>
      <c r="E82" s="140">
        <f>IFERROR(__xludf.DUMMYFUNCTION("""COMPUTED_VALUE"""),6.0)</f>
        <v>6</v>
      </c>
      <c r="F82" s="80">
        <f>IFERROR(__xludf.DUMMYFUNCTION("""COMPUTED_VALUE"""),2029.0)</f>
        <v>2029</v>
      </c>
      <c r="G82" s="80">
        <f>IFERROR(__xludf.DUMMYFUNCTION("""COMPUTED_VALUE"""),19.0)</f>
        <v>19</v>
      </c>
      <c r="H82" s="73">
        <f>IFERROR(__xludf.DUMMYFUNCTION("""COMPUTED_VALUE"""),26.0)</f>
        <v>26</v>
      </c>
      <c r="I82" s="73">
        <f>IFERROR(__xludf.DUMMYFUNCTION("""COMPUTED_VALUE"""),100.0)</f>
        <v>100</v>
      </c>
      <c r="J82" s="73"/>
      <c r="K82" s="73"/>
      <c r="L82" s="73"/>
      <c r="M82" s="73"/>
      <c r="N82" s="73">
        <f>IFERROR(__xludf.DUMMYFUNCTION("""COMPUTED_VALUE"""),1.0)</f>
        <v>1</v>
      </c>
      <c r="O82" s="73"/>
      <c r="P82" s="73" t="str">
        <f>IFERROR(__xludf.DUMMYFUNCTION("""COMPUTED_VALUE"""),"Offset")</f>
        <v>Offset</v>
      </c>
      <c r="Q82" s="73" t="str">
        <f>IFERROR(__xludf.DUMMYFUNCTION("""COMPUTED_VALUE"""),"Packaging")</f>
        <v>Packaging</v>
      </c>
      <c r="R82" s="73" t="str">
        <f>IFERROR(__xludf.DUMMYFUNCTION("""COMPUTED_VALUE"""),"Bakery")</f>
        <v>Bakery</v>
      </c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139"/>
      <c r="BG82" s="139"/>
      <c r="BH82" s="73"/>
      <c r="BI82" s="107"/>
      <c r="BJ82" s="88"/>
      <c r="BK82" s="73"/>
      <c r="BL82" s="88"/>
      <c r="BM82" s="88"/>
      <c r="BN82" s="77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</row>
    <row r="83">
      <c r="A83" s="156" t="str">
        <f>IFERROR(__xludf.DUMMYFUNCTION("""COMPUTED_VALUE"""),"https://drive.google.com/open?id=1QBv4xRVMKAnQ8ZyPenbNmKkxplHtu39X&amp;authuser=jay.agg%40gmail.com&amp;usp=drive_fs")</f>
        <v>https://drive.google.com/open?id=1QBv4xRVMKAnQ8ZyPenbNmKkxplHtu39X&amp;authuser=jay.agg%40gmail.com&amp;usp=drive_fs</v>
      </c>
      <c r="B83" s="73" t="str">
        <f>IFERROR(__xludf.DUMMYFUNCTION("""COMPUTED_VALUE"""),"Bakery")</f>
        <v>Bakery</v>
      </c>
      <c r="C83" s="73" t="str">
        <f>IFERROR(__xludf.DUMMYFUNCTION("""COMPUTED_VALUE"""),"Cupcake 6")</f>
        <v>Cupcake 6</v>
      </c>
      <c r="D83" s="73" t="str">
        <f>IFERROR(__xludf.DUMMYFUNCTION("""COMPUTED_VALUE"""),"235*160*75 mm | 9.2*6.3*2.9 inch")</f>
        <v>235*160*75 mm | 9.2*6.3*2.9 inch</v>
      </c>
      <c r="E83" s="140">
        <f>IFERROR(__xludf.DUMMYFUNCTION("""COMPUTED_VALUE"""),1.0)</f>
        <v>1</v>
      </c>
      <c r="F83" s="80">
        <f>IFERROR(__xludf.DUMMYFUNCTION("""COMPUTED_VALUE"""),1926.0)</f>
        <v>1926</v>
      </c>
      <c r="G83" s="80">
        <f>IFERROR(__xludf.DUMMYFUNCTION("""COMPUTED_VALUE"""),15.75)</f>
        <v>15.75</v>
      </c>
      <c r="H83" s="73">
        <f>IFERROR(__xludf.DUMMYFUNCTION("""COMPUTED_VALUE"""),20.75)</f>
        <v>20.75</v>
      </c>
      <c r="I83" s="73">
        <f>IFERROR(__xludf.DUMMYFUNCTION("""COMPUTED_VALUE"""),100.0)</f>
        <v>100</v>
      </c>
      <c r="J83" s="73"/>
      <c r="K83" s="73"/>
      <c r="L83" s="73"/>
      <c r="M83" s="73"/>
      <c r="N83" s="73">
        <f>IFERROR(__xludf.DUMMYFUNCTION("""COMPUTED_VALUE"""),1.0)</f>
        <v>1</v>
      </c>
      <c r="O83" s="73"/>
      <c r="P83" s="73" t="str">
        <f>IFERROR(__xludf.DUMMYFUNCTION("""COMPUTED_VALUE"""),"Offset")</f>
        <v>Offset</v>
      </c>
      <c r="Q83" s="73" t="str">
        <f>IFERROR(__xludf.DUMMYFUNCTION("""COMPUTED_VALUE"""),"Packaging")</f>
        <v>Packaging</v>
      </c>
      <c r="R83" s="73" t="str">
        <f>IFERROR(__xludf.DUMMYFUNCTION("""COMPUTED_VALUE"""),"Bakery")</f>
        <v>Bakery</v>
      </c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139"/>
      <c r="BG83" s="139"/>
      <c r="BH83" s="73"/>
      <c r="BI83" s="107"/>
      <c r="BJ83" s="88"/>
      <c r="BK83" s="73"/>
      <c r="BL83" s="80"/>
      <c r="BM83" s="88"/>
      <c r="BN83" s="73"/>
      <c r="BO83" s="73"/>
      <c r="BP83" s="73"/>
      <c r="BQ83" s="73"/>
      <c r="BR83" s="73"/>
      <c r="BS83" s="73"/>
      <c r="BT83" s="73"/>
      <c r="BU83" s="73"/>
      <c r="BV83" s="73"/>
      <c r="BW83" s="139" t="str">
        <f>IFERROR(__xludf.DUMMYFUNCTION("QUERY(BY67:CB72,BZ63)"),"Offset")</f>
        <v>Offset</v>
      </c>
      <c r="BX83" s="73" t="str">
        <f>IFERROR(__xludf.DUMMYFUNCTION("""COMPUTED_VALUE"""),"Printing")</f>
        <v>Printing</v>
      </c>
      <c r="BY83" s="77">
        <f>IFERROR(__xludf.DUMMYFUNCTION("""COMPUTED_VALUE"""),1926.0)</f>
        <v>1926</v>
      </c>
      <c r="BZ83" s="77">
        <f>IFERROR(__xludf.DUMMYFUNCTION("""COMPUTED_VALUE"""),1926.0)</f>
        <v>1926</v>
      </c>
      <c r="CA83" s="77">
        <f>BZ83*BY92</f>
        <v>1926</v>
      </c>
      <c r="CB83" s="130">
        <f>Sheet2!F2</f>
        <v>2029</v>
      </c>
      <c r="CC83" s="77">
        <f t="shared" ref="CC83:CC85" si="13">MAX(CA83,CB83)</f>
        <v>2029</v>
      </c>
      <c r="CD83" s="73"/>
      <c r="CE83" s="73"/>
      <c r="CF83" s="73"/>
      <c r="CG83" s="73"/>
      <c r="CH83" s="73"/>
    </row>
    <row r="84">
      <c r="A84" s="156" t="str">
        <f>IFERROR(__xludf.DUMMYFUNCTION("""COMPUTED_VALUE"""),"https://drive.google.com/open?id=1QBv4xRVMKAnQ8ZyPenbNmKkxplHtu39X&amp;authuser=jay.agg%40gmail.com&amp;usp=drive_fs")</f>
        <v>https://drive.google.com/open?id=1QBv4xRVMKAnQ8ZyPenbNmKkxplHtu39X&amp;authuser=jay.agg%40gmail.com&amp;usp=drive_fs</v>
      </c>
      <c r="B84" s="73" t="str">
        <f>IFERROR(__xludf.DUMMYFUNCTION("""COMPUTED_VALUE"""),"Bakery")</f>
        <v>Bakery</v>
      </c>
      <c r="C84" s="73" t="str">
        <f>IFERROR(__xludf.DUMMYFUNCTION("""COMPUTED_VALUE"""),"Cupcake 6")</f>
        <v>Cupcake 6</v>
      </c>
      <c r="D84" s="73" t="str">
        <f>IFERROR(__xludf.DUMMYFUNCTION("""COMPUTED_VALUE"""),"Holder 235*160*75 mm | 9.2*6.3*2.9 inch")</f>
        <v>Holder 235*160*75 mm | 9.2*6.3*2.9 inch</v>
      </c>
      <c r="E84" s="140">
        <f>IFERROR(__xludf.DUMMYFUNCTION("""COMPUTED_VALUE"""),4.0)</f>
        <v>4</v>
      </c>
      <c r="F84" s="80">
        <f>IFERROR(__xludf.DUMMYFUNCTION("""COMPUTED_VALUE"""),1926.0)</f>
        <v>1926</v>
      </c>
      <c r="G84" s="80">
        <f>IFERROR(__xludf.DUMMYFUNCTION("""COMPUTED_VALUE"""),18.0)</f>
        <v>18</v>
      </c>
      <c r="H84" s="73">
        <f>IFERROR(__xludf.DUMMYFUNCTION("""COMPUTED_VALUE"""),23.0)</f>
        <v>23</v>
      </c>
      <c r="I84" s="73">
        <f>IFERROR(__xludf.DUMMYFUNCTION("""COMPUTED_VALUE"""),100.0)</f>
        <v>100</v>
      </c>
      <c r="J84" s="73"/>
      <c r="K84" s="73"/>
      <c r="L84" s="73"/>
      <c r="M84" s="73"/>
      <c r="N84" s="73">
        <f>IFERROR(__xludf.DUMMYFUNCTION("""COMPUTED_VALUE"""),1.0)</f>
        <v>1</v>
      </c>
      <c r="O84" s="73"/>
      <c r="P84" s="73" t="str">
        <f>IFERROR(__xludf.DUMMYFUNCTION("""COMPUTED_VALUE"""),"Offset")</f>
        <v>Offset</v>
      </c>
      <c r="Q84" s="73" t="str">
        <f>IFERROR(__xludf.DUMMYFUNCTION("""COMPUTED_VALUE"""),"Packaging")</f>
        <v>Packaging</v>
      </c>
      <c r="R84" s="73" t="str">
        <f>IFERROR(__xludf.DUMMYFUNCTION("""COMPUTED_VALUE"""),"Bakery")</f>
        <v>Bakery</v>
      </c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139"/>
      <c r="BG84" s="88"/>
      <c r="BH84" s="73"/>
      <c r="BI84" s="80"/>
      <c r="BJ84" s="77"/>
      <c r="BK84" s="73"/>
      <c r="BL84" s="80"/>
      <c r="BM84" s="88"/>
      <c r="BN84" s="73"/>
      <c r="BO84" s="73"/>
      <c r="BP84" s="73"/>
      <c r="BQ84" s="73"/>
      <c r="BR84" s="73"/>
      <c r="BS84" s="73"/>
      <c r="BT84" s="73"/>
      <c r="BU84" s="73"/>
      <c r="BV84" s="73"/>
      <c r="BW84" s="73" t="str">
        <f>IFERROR(__xludf.DUMMYFUNCTION("""COMPUTED_VALUE"""),"Offset")</f>
        <v>Offset</v>
      </c>
      <c r="BX84" s="73" t="str">
        <f>IFERROR(__xludf.DUMMYFUNCTION("""COMPUTED_VALUE"""),"Printing")</f>
        <v>Printing</v>
      </c>
      <c r="BY84" s="77">
        <f>IFERROR(__xludf.DUMMYFUNCTION("""COMPUTED_VALUE"""),2029.0)</f>
        <v>2029</v>
      </c>
      <c r="BZ84" s="77">
        <f>IFERROR(__xludf.DUMMYFUNCTION("""COMPUTED_VALUE"""),2029.0)</f>
        <v>2029</v>
      </c>
      <c r="CA84" s="77">
        <f>BZ84*BY92</f>
        <v>2029</v>
      </c>
      <c r="CB84" s="130">
        <f>Sheet2!F2</f>
        <v>2029</v>
      </c>
      <c r="CC84" s="77">
        <f t="shared" si="13"/>
        <v>2029</v>
      </c>
      <c r="CD84" s="165" t="str">
        <f>Quotation!C27</f>
        <v>Plain</v>
      </c>
      <c r="CE84" s="73"/>
      <c r="CF84" s="73"/>
      <c r="CG84" s="73"/>
      <c r="CH84" s="73"/>
    </row>
    <row r="85">
      <c r="A85" s="156" t="str">
        <f>IFERROR(__xludf.DUMMYFUNCTION("""COMPUTED_VALUE"""),"https://drive.google.com/open?id=1_Jx7Fn-zfETE12M0GM3xN4hhMBE6ZIuZ&amp;authuser=jay.agg%40gmail.com&amp;usp=drive_fs")</f>
        <v>https://drive.google.com/open?id=1_Jx7Fn-zfETE12M0GM3xN4hhMBE6ZIuZ&amp;authuser=jay.agg%40gmail.com&amp;usp=drive_fs</v>
      </c>
      <c r="B85" s="73" t="str">
        <f>IFERROR(__xludf.DUMMYFUNCTION("""COMPUTED_VALUE"""),"Bakery")</f>
        <v>Bakery</v>
      </c>
      <c r="C85" s="73" t="str">
        <f>IFERROR(__xludf.DUMMYFUNCTION("""COMPUTED_VALUE"""),"Food Box")</f>
        <v>Food Box</v>
      </c>
      <c r="D85" s="73" t="str">
        <f>IFERROR(__xludf.DUMMYFUNCTION("""COMPUTED_VALUE"""),"150*116*50 mm | 5.9*4.5*2 inch")</f>
        <v>150*116*50 mm | 5.9*4.5*2 inch</v>
      </c>
      <c r="E85" s="140">
        <f>IFERROR(__xludf.DUMMYFUNCTION("""COMPUTED_VALUE"""),2.0)</f>
        <v>2</v>
      </c>
      <c r="F85" s="80">
        <f>IFERROR(__xludf.DUMMYFUNCTION("""COMPUTED_VALUE"""),1926.0)</f>
        <v>1926</v>
      </c>
      <c r="G85" s="80">
        <f>IFERROR(__xludf.DUMMYFUNCTION("""COMPUTED_VALUE"""),18.0)</f>
        <v>18</v>
      </c>
      <c r="H85" s="73">
        <f>IFERROR(__xludf.DUMMYFUNCTION("""COMPUTED_VALUE"""),23.0)</f>
        <v>23</v>
      </c>
      <c r="I85" s="73">
        <f>IFERROR(__xludf.DUMMYFUNCTION("""COMPUTED_VALUE"""),100.0)</f>
        <v>100</v>
      </c>
      <c r="J85" s="73"/>
      <c r="K85" s="73"/>
      <c r="L85" s="73"/>
      <c r="M85" s="73">
        <f>IFERROR(__xludf.DUMMYFUNCTION("""COMPUTED_VALUE"""),0.12)</f>
        <v>0.12</v>
      </c>
      <c r="N85" s="73">
        <f>IFERROR(__xludf.DUMMYFUNCTION("""COMPUTED_VALUE"""),1.0)</f>
        <v>1</v>
      </c>
      <c r="O85" s="73"/>
      <c r="P85" s="73" t="str">
        <f>IFERROR(__xludf.DUMMYFUNCTION("""COMPUTED_VALUE"""),"Offset")</f>
        <v>Offset</v>
      </c>
      <c r="Q85" s="73" t="str">
        <f>IFERROR(__xludf.DUMMYFUNCTION("""COMPUTED_VALUE"""),"Packaging")</f>
        <v>Packaging</v>
      </c>
      <c r="R85" s="73" t="str">
        <f>IFERROR(__xludf.DUMMYFUNCTION("""COMPUTED_VALUE"""),"Bakery")</f>
        <v>Bakery</v>
      </c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139"/>
      <c r="BG85" s="88"/>
      <c r="BH85" s="73"/>
      <c r="BI85" s="80"/>
      <c r="BJ85" s="77"/>
      <c r="BK85" s="73"/>
      <c r="BL85" s="80"/>
      <c r="BM85" s="88"/>
      <c r="BN85" s="73"/>
      <c r="BO85" s="73"/>
      <c r="BP85" s="73"/>
      <c r="BQ85" s="73"/>
      <c r="BR85" s="73"/>
      <c r="BS85" s="73"/>
      <c r="BT85" s="73"/>
      <c r="BU85" s="73"/>
      <c r="BV85" s="73"/>
      <c r="BW85" s="73" t="str">
        <f>IFERROR(__xludf.DUMMYFUNCTION("""COMPUTED_VALUE"""),"Offset")</f>
        <v>Offset</v>
      </c>
      <c r="BX85" s="73" t="str">
        <f>IFERROR(__xludf.DUMMYFUNCTION("""COMPUTED_VALUE"""),"Printing")</f>
        <v>Printing</v>
      </c>
      <c r="BY85" s="77">
        <f>IFERROR(__xludf.DUMMYFUNCTION("""COMPUTED_VALUE"""),2840.0)</f>
        <v>2840</v>
      </c>
      <c r="BZ85" s="77">
        <f>IFERROR(__xludf.DUMMYFUNCTION("""COMPUTED_VALUE"""),2840.0)</f>
        <v>2840</v>
      </c>
      <c r="CA85" s="77">
        <f>BZ85*BY92</f>
        <v>2840</v>
      </c>
      <c r="CB85" s="130">
        <f>Sheet2!F2</f>
        <v>2029</v>
      </c>
      <c r="CC85" s="77">
        <f t="shared" si="13"/>
        <v>2840</v>
      </c>
      <c r="CD85" s="128" t="str">
        <f>IF(CD84="","","and CC = '"&amp;CD84&amp;"'")</f>
        <v>and CC = 'Plain'</v>
      </c>
      <c r="CE85" s="73"/>
      <c r="CF85" s="73"/>
      <c r="CG85" s="73"/>
      <c r="CH85" s="73"/>
    </row>
    <row r="86">
      <c r="A86" s="156" t="str">
        <f>IFERROR(__xludf.DUMMYFUNCTION("""COMPUTED_VALUE"""),"https://drive.google.com/open?id=1_IojcNaVo_YCq9bPYDD_m8dGQAOP-fy_&amp;authuser=jay.agg%40gmail.com&amp;usp=drive_fs")</f>
        <v>https://drive.google.com/open?id=1_IojcNaVo_YCq9bPYDD_m8dGQAOP-fy_&amp;authuser=jay.agg%40gmail.com&amp;usp=drive_fs</v>
      </c>
      <c r="B86" s="73" t="str">
        <f>IFERROR(__xludf.DUMMYFUNCTION("""COMPUTED_VALUE"""),"Bakery")</f>
        <v>Bakery</v>
      </c>
      <c r="C86" s="73" t="str">
        <f>IFERROR(__xludf.DUMMYFUNCTION("""COMPUTED_VALUE"""),"Fries")</f>
        <v>Fries</v>
      </c>
      <c r="D86" s="73" t="str">
        <f>IFERROR(__xludf.DUMMYFUNCTION("""COMPUTED_VALUE"""),"89*102 mm | 3.5*4 inch")</f>
        <v>89*102 mm | 3.5*4 inch</v>
      </c>
      <c r="E86" s="140">
        <f>IFERROR(__xludf.DUMMYFUNCTION("""COMPUTED_VALUE"""),4.0)</f>
        <v>4</v>
      </c>
      <c r="F86" s="80">
        <f>IFERROR(__xludf.DUMMYFUNCTION("""COMPUTED_VALUE"""),1926.0)</f>
        <v>1926</v>
      </c>
      <c r="G86" s="80">
        <f>IFERROR(__xludf.DUMMYFUNCTION("""COMPUTED_VALUE"""),15.75)</f>
        <v>15.75</v>
      </c>
      <c r="H86" s="73">
        <f>IFERROR(__xludf.DUMMYFUNCTION("""COMPUTED_VALUE"""),20.75)</f>
        <v>20.75</v>
      </c>
      <c r="I86" s="73">
        <f>IFERROR(__xludf.DUMMYFUNCTION("""COMPUTED_VALUE"""),100.0)</f>
        <v>100</v>
      </c>
      <c r="J86" s="73"/>
      <c r="K86" s="73"/>
      <c r="L86" s="73"/>
      <c r="M86" s="73">
        <f>IFERROR(__xludf.DUMMYFUNCTION("""COMPUTED_VALUE"""),0.1)</f>
        <v>0.1</v>
      </c>
      <c r="N86" s="73">
        <f>IFERROR(__xludf.DUMMYFUNCTION("""COMPUTED_VALUE"""),1.0)</f>
        <v>1</v>
      </c>
      <c r="O86" s="73"/>
      <c r="P86" s="73" t="str">
        <f>IFERROR(__xludf.DUMMYFUNCTION("""COMPUTED_VALUE"""),"Offset")</f>
        <v>Offset</v>
      </c>
      <c r="Q86" s="73" t="str">
        <f>IFERROR(__xludf.DUMMYFUNCTION("""COMPUTED_VALUE"""),"Packaging")</f>
        <v>Packaging</v>
      </c>
      <c r="R86" s="73" t="str">
        <f>IFERROR(__xludf.DUMMYFUNCTION("""COMPUTED_VALUE"""),"Bakery")</f>
        <v>Bakery</v>
      </c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139"/>
      <c r="BG86" s="88"/>
      <c r="BH86" s="73"/>
      <c r="BI86" s="80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133" t="str">
        <f>CONCATENATE("select * where 1=1",CD85)</f>
        <v>select * where 1=1and CC = 'Plain'</v>
      </c>
      <c r="CE86" s="73"/>
      <c r="CF86" s="73"/>
      <c r="CG86" s="73"/>
      <c r="CH86" s="73"/>
    </row>
    <row r="87">
      <c r="A87" s="156" t="str">
        <f>IFERROR(__xludf.DUMMYFUNCTION("""COMPUTED_VALUE"""),"https://drive.google.com/open?id=1_IYAtpQ7QHBnyWnkn1bC12fS5uaC2iM5&amp;authuser=jay.agg%40gmail.com&amp;usp=drive_fs")</f>
        <v>https://drive.google.com/open?id=1_IYAtpQ7QHBnyWnkn1bC12fS5uaC2iM5&amp;authuser=jay.agg%40gmail.com&amp;usp=drive_fs</v>
      </c>
      <c r="B87" s="73" t="str">
        <f>IFERROR(__xludf.DUMMYFUNCTION("""COMPUTED_VALUE"""),"Bakery")</f>
        <v>Bakery</v>
      </c>
      <c r="C87" s="73" t="str">
        <f>IFERROR(__xludf.DUMMYFUNCTION("""COMPUTED_VALUE"""),"Fries")</f>
        <v>Fries</v>
      </c>
      <c r="D87" s="73" t="str">
        <f>IFERROR(__xludf.DUMMYFUNCTION("""COMPUTED_VALUE"""),"89*187 mm | 3.5*5 inch")</f>
        <v>89*187 mm | 3.5*5 inch</v>
      </c>
      <c r="E87" s="140">
        <f>IFERROR(__xludf.DUMMYFUNCTION("""COMPUTED_VALUE"""),4.0)</f>
        <v>4</v>
      </c>
      <c r="F87" s="80">
        <f>IFERROR(__xludf.DUMMYFUNCTION("""COMPUTED_VALUE"""),1926.0)</f>
        <v>1926</v>
      </c>
      <c r="G87" s="80">
        <f>IFERROR(__xludf.DUMMYFUNCTION("""COMPUTED_VALUE"""),18.0)</f>
        <v>18</v>
      </c>
      <c r="H87" s="73">
        <f>IFERROR(__xludf.DUMMYFUNCTION("""COMPUTED_VALUE"""),23.0)</f>
        <v>23</v>
      </c>
      <c r="I87" s="73">
        <f>IFERROR(__xludf.DUMMYFUNCTION("""COMPUTED_VALUE"""),100.0)</f>
        <v>100</v>
      </c>
      <c r="J87" s="73"/>
      <c r="K87" s="73"/>
      <c r="L87" s="73"/>
      <c r="M87" s="73">
        <f>IFERROR(__xludf.DUMMYFUNCTION("""COMPUTED_VALUE"""),0.1)</f>
        <v>0.1</v>
      </c>
      <c r="N87" s="73">
        <f>IFERROR(__xludf.DUMMYFUNCTION("""COMPUTED_VALUE"""),1.0)</f>
        <v>1</v>
      </c>
      <c r="O87" s="73"/>
      <c r="P87" s="73" t="str">
        <f>IFERROR(__xludf.DUMMYFUNCTION("""COMPUTED_VALUE"""),"Offset")</f>
        <v>Offset</v>
      </c>
      <c r="Q87" s="73" t="str">
        <f>IFERROR(__xludf.DUMMYFUNCTION("""COMPUTED_VALUE"""),"Packaging")</f>
        <v>Packaging</v>
      </c>
      <c r="R87" s="73" t="str">
        <f>IFERROR(__xludf.DUMMYFUNCTION("""COMPUTED_VALUE"""),"Bakery")</f>
        <v>Bakery</v>
      </c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139"/>
      <c r="BG87" s="73"/>
      <c r="BH87" s="88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88" t="s">
        <v>74</v>
      </c>
      <c r="CD87" s="86">
        <v>0.0</v>
      </c>
      <c r="CE87" s="139" t="str">
        <f>IFERROR(__xludf.DUMMYFUNCTION("QUERY(CC87:CD88,CD86)"),"Plain")</f>
        <v>Plain</v>
      </c>
      <c r="CF87" s="77">
        <f>IFERROR(__xludf.DUMMYFUNCTION("""COMPUTED_VALUE"""),0.0)</f>
        <v>0</v>
      </c>
      <c r="CG87" s="73"/>
      <c r="CH87" s="73"/>
    </row>
    <row r="88">
      <c r="A88" s="156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88" s="73" t="str">
        <f>IFERROR(__xludf.DUMMYFUNCTION("""COMPUTED_VALUE"""),"Bakery")</f>
        <v>Bakery</v>
      </c>
      <c r="C88" s="73" t="str">
        <f>IFERROR(__xludf.DUMMYFUNCTION("""COMPUTED_VALUE"""),"Macaron 10")</f>
        <v>Macaron 10</v>
      </c>
      <c r="D88" s="73" t="str">
        <f>IFERROR(__xludf.DUMMYFUNCTION("""COMPUTED_VALUE"""),"185*115*50 mm | 4.6*2*7.3 inch")</f>
        <v>185*115*50 mm | 4.6*2*7.3 inch</v>
      </c>
      <c r="E88" s="140">
        <f>IFERROR(__xludf.DUMMYFUNCTION("""COMPUTED_VALUE"""),1.0)</f>
        <v>1</v>
      </c>
      <c r="F88" s="80">
        <f>IFERROR(__xludf.DUMMYFUNCTION("""COMPUTED_VALUE"""),2029.0)</f>
        <v>2029</v>
      </c>
      <c r="G88" s="80">
        <f>IFERROR(__xludf.DUMMYFUNCTION("""COMPUTED_VALUE"""),18.0)</f>
        <v>18</v>
      </c>
      <c r="H88" s="73">
        <f>IFERROR(__xludf.DUMMYFUNCTION("""COMPUTED_VALUE"""),28.0)</f>
        <v>28</v>
      </c>
      <c r="I88" s="73">
        <f>IFERROR(__xludf.DUMMYFUNCTION("""COMPUTED_VALUE"""),100.0)</f>
        <v>100</v>
      </c>
      <c r="J88" s="73"/>
      <c r="K88" s="73"/>
      <c r="L88" s="73"/>
      <c r="M88" s="73">
        <f>IFERROR(__xludf.DUMMYFUNCTION("""COMPUTED_VALUE"""),0.1)</f>
        <v>0.1</v>
      </c>
      <c r="N88" s="73">
        <f>IFERROR(__xludf.DUMMYFUNCTION("""COMPUTED_VALUE"""),1.0)</f>
        <v>1</v>
      </c>
      <c r="O88" s="73"/>
      <c r="P88" s="73" t="str">
        <f>IFERROR(__xludf.DUMMYFUNCTION("""COMPUTED_VALUE"""),"Offset")</f>
        <v>Offset</v>
      </c>
      <c r="Q88" s="73" t="str">
        <f>IFERROR(__xludf.DUMMYFUNCTION("""COMPUTED_VALUE"""),"Packaging")</f>
        <v>Packaging</v>
      </c>
      <c r="R88" s="73" t="str">
        <f>IFERROR(__xludf.DUMMYFUNCTION("""COMPUTED_VALUE"""),"Bakery")</f>
        <v>Bakery</v>
      </c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139"/>
      <c r="BG88" s="86"/>
      <c r="BH88" s="88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88" t="s">
        <v>54</v>
      </c>
      <c r="CD88" s="86">
        <v>1.0</v>
      </c>
      <c r="CE88" s="73"/>
      <c r="CF88" s="73"/>
      <c r="CG88" s="73"/>
      <c r="CH88" s="73"/>
    </row>
    <row r="89">
      <c r="A89" s="156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89" s="73" t="str">
        <f>IFERROR(__xludf.DUMMYFUNCTION("""COMPUTED_VALUE"""),"Bakery")</f>
        <v>Bakery</v>
      </c>
      <c r="C89" s="73" t="str">
        <f>IFERROR(__xludf.DUMMYFUNCTION("""COMPUTED_VALUE"""),"Macaron 10")</f>
        <v>Macaron 10</v>
      </c>
      <c r="D89" s="73" t="str">
        <f>IFERROR(__xludf.DUMMYFUNCTION("""COMPUTED_VALUE"""),"Inner 185*115*50 mm | 4.6*2*7.3 inch")</f>
        <v>Inner 185*115*50 mm | 4.6*2*7.3 inch</v>
      </c>
      <c r="E89" s="140">
        <f>IFERROR(__xludf.DUMMYFUNCTION("""COMPUTED_VALUE"""),2.0)</f>
        <v>2</v>
      </c>
      <c r="F89" s="80">
        <f>IFERROR(__xludf.DUMMYFUNCTION("""COMPUTED_VALUE"""),2029.0)</f>
        <v>2029</v>
      </c>
      <c r="G89" s="80">
        <f>IFERROR(__xludf.DUMMYFUNCTION("""COMPUTED_VALUE"""),20.0)</f>
        <v>20</v>
      </c>
      <c r="H89" s="73">
        <f>IFERROR(__xludf.DUMMYFUNCTION("""COMPUTED_VALUE"""),28.0)</f>
        <v>28</v>
      </c>
      <c r="I89" s="73">
        <f>IFERROR(__xludf.DUMMYFUNCTION("""COMPUTED_VALUE"""),100.0)</f>
        <v>100</v>
      </c>
      <c r="J89" s="73"/>
      <c r="K89" s="73"/>
      <c r="L89" s="73"/>
      <c r="M89" s="73"/>
      <c r="N89" s="73">
        <f>IFERROR(__xludf.DUMMYFUNCTION("""COMPUTED_VALUE"""),1.0)</f>
        <v>1</v>
      </c>
      <c r="O89" s="73"/>
      <c r="P89" s="73" t="str">
        <f>IFERROR(__xludf.DUMMYFUNCTION("""COMPUTED_VALUE"""),"Offset")</f>
        <v>Offset</v>
      </c>
      <c r="Q89" s="73" t="str">
        <f>IFERROR(__xludf.DUMMYFUNCTION("""COMPUTED_VALUE"""),"Packaging")</f>
        <v>Packaging</v>
      </c>
      <c r="R89" s="73" t="str">
        <f>IFERROR(__xludf.DUMMYFUNCTION("""COMPUTED_VALUE"""),"Bakery")</f>
        <v>Bakery</v>
      </c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139"/>
      <c r="BG89" s="73"/>
      <c r="BH89" s="88"/>
      <c r="BI89" s="73"/>
      <c r="BJ89" s="73"/>
      <c r="BK89" s="139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</row>
    <row r="90">
      <c r="A90" s="156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90" s="73" t="str">
        <f>IFERROR(__xludf.DUMMYFUNCTION("""COMPUTED_VALUE"""),"Bakery")</f>
        <v>Bakery</v>
      </c>
      <c r="C90" s="73" t="str">
        <f>IFERROR(__xludf.DUMMYFUNCTION("""COMPUTED_VALUE"""),"Macaron 10")</f>
        <v>Macaron 10</v>
      </c>
      <c r="D90" s="73" t="str">
        <f>IFERROR(__xludf.DUMMYFUNCTION("""COMPUTED_VALUE"""),"Partition 185*115*50 mm | 4.6*2*7.3 inch")</f>
        <v>Partition 185*115*50 mm | 4.6*2*7.3 inch</v>
      </c>
      <c r="E90" s="140">
        <f>IFERROR(__xludf.DUMMYFUNCTION("""COMPUTED_VALUE"""),6.0)</f>
        <v>6</v>
      </c>
      <c r="F90" s="80">
        <f>IFERROR(__xludf.DUMMYFUNCTION("""COMPUTED_VALUE"""),1926.0)</f>
        <v>1926</v>
      </c>
      <c r="G90" s="80">
        <f>IFERROR(__xludf.DUMMYFUNCTION("""COMPUTED_VALUE"""),18.0)</f>
        <v>18</v>
      </c>
      <c r="H90" s="73">
        <f>IFERROR(__xludf.DUMMYFUNCTION("""COMPUTED_VALUE"""),23.0)</f>
        <v>23</v>
      </c>
      <c r="I90" s="73">
        <f>IFERROR(__xludf.DUMMYFUNCTION("""COMPUTED_VALUE"""),100.0)</f>
        <v>100</v>
      </c>
      <c r="J90" s="73"/>
      <c r="K90" s="73"/>
      <c r="L90" s="73"/>
      <c r="M90" s="73"/>
      <c r="N90" s="73">
        <f>IFERROR(__xludf.DUMMYFUNCTION("""COMPUTED_VALUE"""),1.0)</f>
        <v>1</v>
      </c>
      <c r="O90" s="73"/>
      <c r="P90" s="73" t="str">
        <f>IFERROR(__xludf.DUMMYFUNCTION("""COMPUTED_VALUE"""),"Offset")</f>
        <v>Offset</v>
      </c>
      <c r="Q90" s="73" t="str">
        <f>IFERROR(__xludf.DUMMYFUNCTION("""COMPUTED_VALUE"""),"Packaging")</f>
        <v>Packaging</v>
      </c>
      <c r="R90" s="73" t="str">
        <f>IFERROR(__xludf.DUMMYFUNCTION("""COMPUTED_VALUE"""),"Bakery")</f>
        <v>Bakery</v>
      </c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139"/>
      <c r="BG90" s="73"/>
      <c r="BH90" s="88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165" t="str">
        <f>Quotation!B23</f>
        <v>SBS</v>
      </c>
      <c r="CE90" s="73"/>
      <c r="CF90" s="73"/>
      <c r="CG90" s="73"/>
      <c r="CH90" s="73"/>
    </row>
    <row r="91">
      <c r="A91" s="156" t="str">
        <f>IFERROR(__xludf.DUMMYFUNCTION("""COMPUTED_VALUE"""),"https://drive.google.com/open?id=1_G7b1mPmZjiwLTeBiXS7eTE-FTiZXWfc&amp;authuser=jay.agg%40gmail.com&amp;usp=drive_fs")</f>
        <v>https://drive.google.com/open?id=1_G7b1mPmZjiwLTeBiXS7eTE-FTiZXWfc&amp;authuser=jay.agg%40gmail.com&amp;usp=drive_fs</v>
      </c>
      <c r="B91" s="73" t="str">
        <f>IFERROR(__xludf.DUMMYFUNCTION("""COMPUTED_VALUE"""),"Bakery")</f>
        <v>Bakery</v>
      </c>
      <c r="C91" s="73" t="str">
        <f>IFERROR(__xludf.DUMMYFUNCTION("""COMPUTED_VALUE"""),"Misc")</f>
        <v>Misc</v>
      </c>
      <c r="D91" s="73" t="str">
        <f>IFERROR(__xludf.DUMMYFUNCTION("""COMPUTED_VALUE"""),"83*69*102 mm | 3.25*2.7*4 inch IL")</f>
        <v>83*69*102 mm | 3.25*2.7*4 inch IL</v>
      </c>
      <c r="E91" s="140">
        <f>IFERROR(__xludf.DUMMYFUNCTION("""COMPUTED_VALUE"""),3.0)</f>
        <v>3</v>
      </c>
      <c r="F91" s="80">
        <f>IFERROR(__xludf.DUMMYFUNCTION("""COMPUTED_VALUE"""),1926.0)</f>
        <v>1926</v>
      </c>
      <c r="G91" s="80">
        <f>IFERROR(__xludf.DUMMYFUNCTION("""COMPUTED_VALUE"""),13.0)</f>
        <v>13</v>
      </c>
      <c r="H91" s="73">
        <f>IFERROR(__xludf.DUMMYFUNCTION("""COMPUTED_VALUE"""),25.0)</f>
        <v>25</v>
      </c>
      <c r="I91" s="73">
        <f>IFERROR(__xludf.DUMMYFUNCTION("""COMPUTED_VALUE"""),100.0)</f>
        <v>100</v>
      </c>
      <c r="J91" s="73"/>
      <c r="K91" s="73"/>
      <c r="L91" s="73"/>
      <c r="M91" s="73">
        <f>IFERROR(__xludf.DUMMYFUNCTION("""COMPUTED_VALUE"""),0.2)</f>
        <v>0.2</v>
      </c>
      <c r="N91" s="73">
        <f>IFERROR(__xludf.DUMMYFUNCTION("""COMPUTED_VALUE"""),1.0)</f>
        <v>1</v>
      </c>
      <c r="O91" s="73"/>
      <c r="P91" s="73" t="str">
        <f>IFERROR(__xludf.DUMMYFUNCTION("""COMPUTED_VALUE"""),"Offset")</f>
        <v>Offset</v>
      </c>
      <c r="Q91" s="73" t="str">
        <f>IFERROR(__xludf.DUMMYFUNCTION("""COMPUTED_VALUE"""),"Packaging")</f>
        <v>Packaging</v>
      </c>
      <c r="R91" s="73" t="str">
        <f>IFERROR(__xludf.DUMMYFUNCTION("""COMPUTED_VALUE"""),"Bakery")</f>
        <v>Bakery</v>
      </c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139"/>
      <c r="BG91" s="73"/>
      <c r="BH91" s="88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80"/>
      <c r="BY91" s="73"/>
      <c r="BZ91" s="73"/>
      <c r="CA91" s="73"/>
      <c r="CB91" s="73"/>
      <c r="CC91" s="73"/>
      <c r="CD91" s="128" t="str">
        <f>IF(CD90="","","and CC = '"&amp;CD90&amp;"'")</f>
        <v>and CC = 'SBS'</v>
      </c>
      <c r="CE91" s="73"/>
      <c r="CF91" s="73"/>
      <c r="CG91" s="73"/>
      <c r="CH91" s="73"/>
    </row>
    <row r="92">
      <c r="A92" s="156" t="str">
        <f>IFERROR(__xludf.DUMMYFUNCTION("""COMPUTED_VALUE"""),"https://drive.google.com/open?id=1NKo9EGEy_OTROxqHiyGwdFTKamnXBFl-&amp;authuser=jay.agg%40gmail.com&amp;usp=drive_fs")</f>
        <v>https://drive.google.com/open?id=1NKo9EGEy_OTROxqHiyGwdFTKamnXBFl-&amp;authuser=jay.agg%40gmail.com&amp;usp=drive_fs</v>
      </c>
      <c r="B92" s="73" t="str">
        <f>IFERROR(__xludf.DUMMYFUNCTION("""COMPUTED_VALUE"""),"Bakery")</f>
        <v>Bakery</v>
      </c>
      <c r="C92" s="73" t="str">
        <f>IFERROR(__xludf.DUMMYFUNCTION("""COMPUTED_VALUE"""),"Mithai Box")</f>
        <v>Mithai Box</v>
      </c>
      <c r="D92" s="73" t="str">
        <f>IFERROR(__xludf.DUMMYFUNCTION("""COMPUTED_VALUE"""),"500gm 200*200*50 mm | 7.8*7.8*2 inch TB")</f>
        <v>500gm 200*200*50 mm | 7.8*7.8*2 inch TB</v>
      </c>
      <c r="E92" s="140">
        <f>IFERROR(__xludf.DUMMYFUNCTION("""COMPUTED_VALUE"""),1.0)</f>
        <v>1</v>
      </c>
      <c r="F92" s="80">
        <f>IFERROR(__xludf.DUMMYFUNCTION("""COMPUTED_VALUE"""),2029.0)</f>
        <v>2029</v>
      </c>
      <c r="G92" s="80">
        <f>IFERROR(__xludf.DUMMYFUNCTION("""COMPUTED_VALUE"""),21.0)</f>
        <v>21</v>
      </c>
      <c r="H92" s="73">
        <f>IFERROR(__xludf.DUMMYFUNCTION("""COMPUTED_VALUE"""),36.0)</f>
        <v>36</v>
      </c>
      <c r="I92" s="73">
        <f>IFERROR(__xludf.DUMMYFUNCTION("""COMPUTED_VALUE"""),100.0)</f>
        <v>100</v>
      </c>
      <c r="J92" s="73"/>
      <c r="K92" s="73"/>
      <c r="L92" s="73"/>
      <c r="M92" s="73"/>
      <c r="N92" s="73">
        <f>IFERROR(__xludf.DUMMYFUNCTION("""COMPUTED_VALUE"""),1.0)</f>
        <v>1</v>
      </c>
      <c r="O92" s="73"/>
      <c r="P92" s="73" t="str">
        <f>IFERROR(__xludf.DUMMYFUNCTION("""COMPUTED_VALUE"""),"Offset")</f>
        <v>Offset</v>
      </c>
      <c r="Q92" s="73" t="str">
        <f>IFERROR(__xludf.DUMMYFUNCTION("""COMPUTED_VALUE"""),"Packaging")</f>
        <v>Packaging</v>
      </c>
      <c r="R92" s="73" t="str">
        <f>IFERROR(__xludf.DUMMYFUNCTION("""COMPUTED_VALUE"""),"Bakery")</f>
        <v>Bakery</v>
      </c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139"/>
      <c r="BG92" s="73"/>
      <c r="BH92" s="88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88" t="s">
        <v>213</v>
      </c>
      <c r="BX92" s="86">
        <v>1.0</v>
      </c>
      <c r="BY92" s="77">
        <f>MAX(BX92,BX93)</f>
        <v>1</v>
      </c>
      <c r="BZ92" s="73"/>
      <c r="CA92" s="73"/>
      <c r="CB92" s="73"/>
      <c r="CC92" s="73"/>
      <c r="CD92" s="133" t="str">
        <f>CONCATENATE("select * where 1=1",CD91)</f>
        <v>select * where 1=1and CC = 'SBS'</v>
      </c>
      <c r="CE92" s="73"/>
      <c r="CF92" s="73"/>
      <c r="CG92" s="73"/>
      <c r="CH92" s="73"/>
    </row>
    <row r="93">
      <c r="A93" s="156" t="str">
        <f>IFERROR(__xludf.DUMMYFUNCTION("""COMPUTED_VALUE"""),"https://drive.google.com/open?id=1FsVcVg6DKbZfmqUjy8m7HohXJ-b6LSWa&amp;authuser=jay.agg%40gmail.com&amp;usp=drive_fs")</f>
        <v>https://drive.google.com/open?id=1FsVcVg6DKbZfmqUjy8m7HohXJ-b6LSWa&amp;authuser=jay.agg%40gmail.com&amp;usp=drive_fs</v>
      </c>
      <c r="B93" s="73" t="str">
        <f>IFERROR(__xludf.DUMMYFUNCTION("""COMPUTED_VALUE"""),"Bakery")</f>
        <v>Bakery</v>
      </c>
      <c r="C93" s="73" t="str">
        <f>IFERROR(__xludf.DUMMYFUNCTION("""COMPUTED_VALUE"""),"Pastry")</f>
        <v>Pastry</v>
      </c>
      <c r="D93" s="73" t="str">
        <f>IFERROR(__xludf.DUMMYFUNCTION("""COMPUTED_VALUE"""),"100*120*60 mm | 4*4.7*2.4 inch")</f>
        <v>100*120*60 mm | 4*4.7*2.4 inch</v>
      </c>
      <c r="E93" s="140">
        <f>IFERROR(__xludf.DUMMYFUNCTION("""COMPUTED_VALUE"""),2.0)</f>
        <v>2</v>
      </c>
      <c r="F93" s="80">
        <f>IFERROR(__xludf.DUMMYFUNCTION("""COMPUTED_VALUE"""),2029.0)</f>
        <v>2029</v>
      </c>
      <c r="G93" s="80">
        <f>IFERROR(__xludf.DUMMYFUNCTION("""COMPUTED_VALUE"""),19.5)</f>
        <v>19.5</v>
      </c>
      <c r="H93" s="73">
        <f>IFERROR(__xludf.DUMMYFUNCTION("""COMPUTED_VALUE"""),23.0)</f>
        <v>23</v>
      </c>
      <c r="I93" s="73">
        <f>IFERROR(__xludf.DUMMYFUNCTION("""COMPUTED_VALUE"""),100.0)</f>
        <v>100</v>
      </c>
      <c r="J93" s="73"/>
      <c r="K93" s="73"/>
      <c r="L93" s="73"/>
      <c r="M93" s="73"/>
      <c r="N93" s="73">
        <f>IFERROR(__xludf.DUMMYFUNCTION("""COMPUTED_VALUE"""),1.0)</f>
        <v>1</v>
      </c>
      <c r="O93" s="73"/>
      <c r="P93" s="73" t="str">
        <f>IFERROR(__xludf.DUMMYFUNCTION("""COMPUTED_VALUE"""),"Offset")</f>
        <v>Offset</v>
      </c>
      <c r="Q93" s="73" t="str">
        <f>IFERROR(__xludf.DUMMYFUNCTION("""COMPUTED_VALUE"""),"Packaging")</f>
        <v>Packaging</v>
      </c>
      <c r="R93" s="73" t="str">
        <f>IFERROR(__xludf.DUMMYFUNCTION("""COMPUTED_VALUE"""),"Bakery")</f>
        <v>Bakery</v>
      </c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139"/>
      <c r="BG93" s="73"/>
      <c r="BH93" s="88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 t="str">
        <f>Quotation!B22</f>
        <v>180*70*35 mm | 7*2.75*1.4 inch</v>
      </c>
      <c r="BX93" s="86">
        <v>0.0</v>
      </c>
      <c r="BY93" s="73"/>
      <c r="BZ93" s="73"/>
      <c r="CA93" s="73"/>
      <c r="CB93" s="73"/>
      <c r="CC93" s="88" t="s">
        <v>74</v>
      </c>
      <c r="CD93" s="86">
        <v>0.0</v>
      </c>
      <c r="CE93" s="73"/>
      <c r="CF93" s="139" t="str">
        <f>IFERROR(__xludf.DUMMYFUNCTION("QUERY(CC93:CE101,CD92)"),"SBS")</f>
        <v>SBS</v>
      </c>
      <c r="CG93" s="77">
        <f>IFERROR(__xludf.DUMMYFUNCTION("""COMPUTED_VALUE"""),1.0)</f>
        <v>1</v>
      </c>
      <c r="CH93" s="77">
        <f>IFERROR(__xludf.DUMMYFUNCTION("""COMPUTED_VALUE"""),0.0)</f>
        <v>0</v>
      </c>
    </row>
    <row r="94">
      <c r="A94" s="156" t="str">
        <f>IFERROR(__xludf.DUMMYFUNCTION("""COMPUTED_VALUE"""),"https://drive.google.com/open?id=1O1p9NeaySuYpDHiU-aguDwNIvvQdIAbw&amp;authuser=jay.agg%40gmail.com&amp;usp=drive_fs")</f>
        <v>https://drive.google.com/open?id=1O1p9NeaySuYpDHiU-aguDwNIvvQdIAbw&amp;authuser=jay.agg%40gmail.com&amp;usp=drive_fs</v>
      </c>
      <c r="B94" s="73" t="str">
        <f>IFERROR(__xludf.DUMMYFUNCTION("""COMPUTED_VALUE"""),"Bakery")</f>
        <v>Bakery</v>
      </c>
      <c r="C94" s="73" t="str">
        <f>IFERROR(__xludf.DUMMYFUNCTION("""COMPUTED_VALUE"""),"Pastry")</f>
        <v>Pastry</v>
      </c>
      <c r="D94" s="73" t="str">
        <f>IFERROR(__xludf.DUMMYFUNCTION("""COMPUTED_VALUE"""),"Tray 100*120*60 mm | 4*4.7*2.4 inch")</f>
        <v>Tray 100*120*60 mm | 4*4.7*2.4 inch</v>
      </c>
      <c r="E94" s="140">
        <f>IFERROR(__xludf.DUMMYFUNCTION("""COMPUTED_VALUE"""),4.0)</f>
        <v>4</v>
      </c>
      <c r="F94" s="80">
        <f>IFERROR(__xludf.DUMMYFUNCTION("""COMPUTED_VALUE"""),2029.0)</f>
        <v>2029</v>
      </c>
      <c r="G94" s="80">
        <f>IFERROR(__xludf.DUMMYFUNCTION("""COMPUTED_VALUE"""),18.0)</f>
        <v>18</v>
      </c>
      <c r="H94" s="73">
        <f>IFERROR(__xludf.DUMMYFUNCTION("""COMPUTED_VALUE"""),23.0)</f>
        <v>23</v>
      </c>
      <c r="I94" s="73">
        <f>IFERROR(__xludf.DUMMYFUNCTION("""COMPUTED_VALUE"""),100.0)</f>
        <v>100</v>
      </c>
      <c r="J94" s="73"/>
      <c r="K94" s="73"/>
      <c r="L94" s="73"/>
      <c r="M94" s="73">
        <f>IFERROR(__xludf.DUMMYFUNCTION("""COMPUTED_VALUE"""),0.1)</f>
        <v>0.1</v>
      </c>
      <c r="N94" s="73">
        <f>IFERROR(__xludf.DUMMYFUNCTION("""COMPUTED_VALUE"""),1.0)</f>
        <v>1</v>
      </c>
      <c r="O94" s="73"/>
      <c r="P94" s="73" t="str">
        <f>IFERROR(__xludf.DUMMYFUNCTION("""COMPUTED_VALUE"""),"Offset")</f>
        <v>Offset</v>
      </c>
      <c r="Q94" s="73" t="str">
        <f>IFERROR(__xludf.DUMMYFUNCTION("""COMPUTED_VALUE"""),"Packaging")</f>
        <v>Packaging</v>
      </c>
      <c r="R94" s="73" t="str">
        <f>IFERROR(__xludf.DUMMYFUNCTION("""COMPUTED_VALUE"""),"Bakery")</f>
        <v>Bakery</v>
      </c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139"/>
      <c r="BG94" s="73"/>
      <c r="BH94" s="88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 t="s">
        <v>14</v>
      </c>
      <c r="CD94" s="86">
        <v>1.0</v>
      </c>
      <c r="CE94" s="86">
        <v>0.0</v>
      </c>
      <c r="CF94" s="73"/>
      <c r="CG94" s="73"/>
      <c r="CH94" s="73"/>
    </row>
    <row r="95">
      <c r="A95" s="156" t="str">
        <f>IFERROR(__xludf.DUMMYFUNCTION("""COMPUTED_VALUE"""),"https://drive.google.com/open?id=1Otn6o383NE_PJKb8-zaSXVXITkNMUR5v&amp;authuser=jay.agg%40gmail.com&amp;usp=drive_fs")</f>
        <v>https://drive.google.com/open?id=1Otn6o383NE_PJKb8-zaSXVXITkNMUR5v&amp;authuser=jay.agg%40gmail.com&amp;usp=drive_fs</v>
      </c>
      <c r="B95" s="73" t="str">
        <f>IFERROR(__xludf.DUMMYFUNCTION("""COMPUTED_VALUE"""),"Bakery")</f>
        <v>Bakery</v>
      </c>
      <c r="C95" s="73" t="str">
        <f>IFERROR(__xludf.DUMMYFUNCTION("""COMPUTED_VALUE"""),"Pastry")</f>
        <v>Pastry</v>
      </c>
      <c r="D95" s="73" t="str">
        <f>IFERROR(__xludf.DUMMYFUNCTION("""COMPUTED_VALUE"""),"120*100*65 mm | 4.7*3.9*2.5 inch W 3.5*2.5 inch")</f>
        <v>120*100*65 mm | 4.7*3.9*2.5 inch W 3.5*2.5 inch</v>
      </c>
      <c r="E95" s="140">
        <f>IFERROR(__xludf.DUMMYFUNCTION("""COMPUTED_VALUE"""),4.0)</f>
        <v>4</v>
      </c>
      <c r="F95" s="80">
        <f>IFERROR(__xludf.DUMMYFUNCTION("""COMPUTED_VALUE"""),2029.0)</f>
        <v>2029</v>
      </c>
      <c r="G95" s="80">
        <f>IFERROR(__xludf.DUMMYFUNCTION("""COMPUTED_VALUE"""),20.0)</f>
        <v>20</v>
      </c>
      <c r="H95" s="73">
        <f>IFERROR(__xludf.DUMMYFUNCTION("""COMPUTED_VALUE"""),28.0)</f>
        <v>28</v>
      </c>
      <c r="I95" s="73">
        <f>IFERROR(__xludf.DUMMYFUNCTION("""COMPUTED_VALUE"""),100.0)</f>
        <v>100</v>
      </c>
      <c r="J95" s="73"/>
      <c r="K95" s="73"/>
      <c r="L95" s="73">
        <f>IFERROR(__xludf.DUMMYFUNCTION("""COMPUTED_VALUE"""),1.2)</f>
        <v>1.2</v>
      </c>
      <c r="M95" s="73"/>
      <c r="N95" s="73">
        <f>IFERROR(__xludf.DUMMYFUNCTION("""COMPUTED_VALUE"""),1.0)</f>
        <v>1</v>
      </c>
      <c r="O95" s="73"/>
      <c r="P95" s="73" t="str">
        <f>IFERROR(__xludf.DUMMYFUNCTION("""COMPUTED_VALUE"""),"Offset")</f>
        <v>Offset</v>
      </c>
      <c r="Q95" s="73" t="str">
        <f>IFERROR(__xludf.DUMMYFUNCTION("""COMPUTED_VALUE"""),"Packaging")</f>
        <v>Packaging</v>
      </c>
      <c r="R95" s="73" t="str">
        <f>IFERROR(__xludf.DUMMYFUNCTION("""COMPUTED_VALUE"""),"Bakery")</f>
        <v>Bakery</v>
      </c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139"/>
      <c r="BG95" s="77"/>
      <c r="BH95" s="88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 t="s">
        <v>27</v>
      </c>
      <c r="CD95" s="86">
        <v>1.0</v>
      </c>
      <c r="CE95" s="86">
        <v>0.0</v>
      </c>
      <c r="CF95" s="73"/>
      <c r="CG95" s="73"/>
      <c r="CH95" s="73"/>
    </row>
    <row r="96">
      <c r="A96" s="156" t="str">
        <f>IFERROR(__xludf.DUMMYFUNCTION("""COMPUTED_VALUE"""),"https://drive.google.com/open?id=1JPDIVHOBa5yuE6I7I8j9AUCu-EuTlc0c&amp;authuser=jay.agg%40gmail.com&amp;usp=drive_fs")</f>
        <v>https://drive.google.com/open?id=1JPDIVHOBa5yuE6I7I8j9AUCu-EuTlc0c&amp;authuser=jay.agg%40gmail.com&amp;usp=drive_fs</v>
      </c>
      <c r="B96" s="73" t="str">
        <f>IFERROR(__xludf.DUMMYFUNCTION("""COMPUTED_VALUE"""),"Bakery")</f>
        <v>Bakery</v>
      </c>
      <c r="C96" s="73" t="str">
        <f>IFERROR(__xludf.DUMMYFUNCTION("""COMPUTED_VALUE"""),"Pastry")</f>
        <v>Pastry</v>
      </c>
      <c r="D96" s="73" t="str">
        <f>IFERROR(__xludf.DUMMYFUNCTION("""COMPUTED_VALUE"""),"127*127*89 mm | 5*5*3.5 inch")</f>
        <v>127*127*89 mm | 5*5*3.5 inch</v>
      </c>
      <c r="E96" s="140">
        <f>IFERROR(__xludf.DUMMYFUNCTION("""COMPUTED_VALUE"""),2.0)</f>
        <v>2</v>
      </c>
      <c r="F96" s="80">
        <f>IFERROR(__xludf.DUMMYFUNCTION("""COMPUTED_VALUE"""),1926.0)</f>
        <v>1926</v>
      </c>
      <c r="G96" s="80">
        <f>IFERROR(__xludf.DUMMYFUNCTION("""COMPUTED_VALUE"""),18.0)</f>
        <v>18</v>
      </c>
      <c r="H96" s="73">
        <f>IFERROR(__xludf.DUMMYFUNCTION("""COMPUTED_VALUE"""),23.0)</f>
        <v>23</v>
      </c>
      <c r="I96" s="73">
        <f>IFERROR(__xludf.DUMMYFUNCTION("""COMPUTED_VALUE"""),100.0)</f>
        <v>100</v>
      </c>
      <c r="J96" s="73"/>
      <c r="K96" s="73"/>
      <c r="L96" s="73"/>
      <c r="M96" s="73"/>
      <c r="N96" s="73">
        <f>IFERROR(__xludf.DUMMYFUNCTION("""COMPUTED_VALUE"""),1.0)</f>
        <v>1</v>
      </c>
      <c r="O96" s="73"/>
      <c r="P96" s="73" t="str">
        <f>IFERROR(__xludf.DUMMYFUNCTION("""COMPUTED_VALUE"""),"Offset")</f>
        <v>Offset</v>
      </c>
      <c r="Q96" s="73" t="str">
        <f>IFERROR(__xludf.DUMMYFUNCTION("""COMPUTED_VALUE"""),"Packaging")</f>
        <v>Packaging</v>
      </c>
      <c r="R96" s="73" t="str">
        <f>IFERROR(__xludf.DUMMYFUNCTION("""COMPUTED_VALUE"""),"Bakery")</f>
        <v>Bakery</v>
      </c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139"/>
      <c r="BG96" s="73"/>
      <c r="BH96" s="88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118" t="s">
        <v>28</v>
      </c>
      <c r="CD96" s="86">
        <v>1.0</v>
      </c>
      <c r="CE96" s="86">
        <v>0.0</v>
      </c>
      <c r="CF96" s="73"/>
      <c r="CG96" s="73"/>
      <c r="CH96" s="73"/>
    </row>
    <row r="97">
      <c r="A97" s="156" t="str">
        <f>IFERROR(__xludf.DUMMYFUNCTION("""COMPUTED_VALUE"""),"https://drive.google.com/open?id=12ZAWHnOPBOLdmRyppylacRf8Mqz-FK9w&amp;authuser=jay.agg%40gmail.com&amp;usp=drive_fs")</f>
        <v>https://drive.google.com/open?id=12ZAWHnOPBOLdmRyppylacRf8Mqz-FK9w&amp;authuser=jay.agg%40gmail.com&amp;usp=drive_fs</v>
      </c>
      <c r="B97" s="73" t="str">
        <f>IFERROR(__xludf.DUMMYFUNCTION("""COMPUTED_VALUE"""),"Bakery")</f>
        <v>Bakery</v>
      </c>
      <c r="C97" s="73" t="str">
        <f>IFERROR(__xludf.DUMMYFUNCTION("""COMPUTED_VALUE"""),"Pastry")</f>
        <v>Pastry</v>
      </c>
      <c r="D97" s="73" t="str">
        <f>IFERROR(__xludf.DUMMYFUNCTION("""COMPUTED_VALUE"""),"102*102*89 mm | 4*4*3.5 inch")</f>
        <v>102*102*89 mm | 4*4*3.5 inch</v>
      </c>
      <c r="E97" s="140">
        <f>IFERROR(__xludf.DUMMYFUNCTION("""COMPUTED_VALUE"""),2.0)</f>
        <v>2</v>
      </c>
      <c r="F97" s="80">
        <f>IFERROR(__xludf.DUMMYFUNCTION("""COMPUTED_VALUE"""),1926.0)</f>
        <v>1926</v>
      </c>
      <c r="G97" s="80">
        <f>IFERROR(__xludf.DUMMYFUNCTION("""COMPUTED_VALUE"""),15.75)</f>
        <v>15.75</v>
      </c>
      <c r="H97" s="73">
        <f>IFERROR(__xludf.DUMMYFUNCTION("""COMPUTED_VALUE"""),20.75)</f>
        <v>20.75</v>
      </c>
      <c r="I97" s="73">
        <f>IFERROR(__xludf.DUMMYFUNCTION("""COMPUTED_VALUE"""),100.0)</f>
        <v>100</v>
      </c>
      <c r="J97" s="73"/>
      <c r="K97" s="73"/>
      <c r="L97" s="73"/>
      <c r="M97" s="73"/>
      <c r="N97" s="73">
        <f>IFERROR(__xludf.DUMMYFUNCTION("""COMPUTED_VALUE"""),1.0)</f>
        <v>1</v>
      </c>
      <c r="O97" s="73"/>
      <c r="P97" s="73" t="str">
        <f>IFERROR(__xludf.DUMMYFUNCTION("""COMPUTED_VALUE"""),"Offset")</f>
        <v>Offset</v>
      </c>
      <c r="Q97" s="73" t="str">
        <f>IFERROR(__xludf.DUMMYFUNCTION("""COMPUTED_VALUE"""),"Packaging")</f>
        <v>Packaging</v>
      </c>
      <c r="R97" s="73" t="str">
        <f>IFERROR(__xludf.DUMMYFUNCTION("""COMPUTED_VALUE"""),"Bakery")</f>
        <v>Bakery</v>
      </c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139"/>
      <c r="BG97" s="73"/>
      <c r="BH97" s="88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118" t="s">
        <v>77</v>
      </c>
      <c r="CD97" s="86">
        <v>0.0</v>
      </c>
      <c r="CE97" s="86">
        <v>1.0</v>
      </c>
      <c r="CF97" s="73"/>
      <c r="CG97" s="73"/>
      <c r="CH97" s="73"/>
    </row>
    <row r="98">
      <c r="A98" s="156" t="str">
        <f>IFERROR(__xludf.DUMMYFUNCTION("""COMPUTED_VALUE"""),"https://drive.google.com/open?id=12biCOessiEK-ORG9FXj41gCyyAEqIVlJ&amp;authuser=jay.agg%40gmail.com&amp;usp=drive_fs")</f>
        <v>https://drive.google.com/open?id=12biCOessiEK-ORG9FXj41gCyyAEqIVlJ&amp;authuser=jay.agg%40gmail.com&amp;usp=drive_fs</v>
      </c>
      <c r="B98" s="73" t="str">
        <f>IFERROR(__xludf.DUMMYFUNCTION("""COMPUTED_VALUE"""),"Bakery")</f>
        <v>Bakery</v>
      </c>
      <c r="C98" s="73" t="str">
        <f>IFERROR(__xludf.DUMMYFUNCTION("""COMPUTED_VALUE"""),"Pastry")</f>
        <v>Pastry</v>
      </c>
      <c r="D98" s="73" t="str">
        <f>IFERROR(__xludf.DUMMYFUNCTION("""COMPUTED_VALUE"""),"171*127*89 mm | 6.75*5*3.5 inch")</f>
        <v>171*127*89 mm | 6.75*5*3.5 inch</v>
      </c>
      <c r="E98" s="140">
        <f>IFERROR(__xludf.DUMMYFUNCTION("""COMPUTED_VALUE"""),2.0)</f>
        <v>2</v>
      </c>
      <c r="F98" s="80">
        <f>IFERROR(__xludf.DUMMYFUNCTION("""COMPUTED_VALUE"""),1926.0)</f>
        <v>1926</v>
      </c>
      <c r="G98" s="80">
        <f>IFERROR(__xludf.DUMMYFUNCTION("""COMPUTED_VALUE"""),18.0)</f>
        <v>18</v>
      </c>
      <c r="H98" s="73">
        <f>IFERROR(__xludf.DUMMYFUNCTION("""COMPUTED_VALUE"""),25.0)</f>
        <v>25</v>
      </c>
      <c r="I98" s="73">
        <f>IFERROR(__xludf.DUMMYFUNCTION("""COMPUTED_VALUE"""),100.0)</f>
        <v>100</v>
      </c>
      <c r="J98" s="73"/>
      <c r="K98" s="73"/>
      <c r="L98" s="73"/>
      <c r="M98" s="73"/>
      <c r="N98" s="73">
        <f>IFERROR(__xludf.DUMMYFUNCTION("""COMPUTED_VALUE"""),1.0)</f>
        <v>1</v>
      </c>
      <c r="O98" s="73"/>
      <c r="P98" s="73" t="str">
        <f>IFERROR(__xludf.DUMMYFUNCTION("""COMPUTED_VALUE"""),"Offset")</f>
        <v>Offset</v>
      </c>
      <c r="Q98" s="73" t="str">
        <f>IFERROR(__xludf.DUMMYFUNCTION("""COMPUTED_VALUE"""),"Packaging")</f>
        <v>Packaging</v>
      </c>
      <c r="R98" s="73" t="str">
        <f>IFERROR(__xludf.DUMMYFUNCTION("""COMPUTED_VALUE"""),"Bakery")</f>
        <v>Bakery</v>
      </c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139"/>
      <c r="BG98" s="73"/>
      <c r="BH98" s="88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118" t="s">
        <v>15</v>
      </c>
      <c r="CD98" s="86">
        <v>1.0</v>
      </c>
      <c r="CE98" s="86">
        <v>0.0</v>
      </c>
      <c r="CF98" s="73"/>
      <c r="CG98" s="73"/>
      <c r="CH98" s="73"/>
    </row>
    <row r="99">
      <c r="A99" s="156" t="str">
        <f>IFERROR(__xludf.DUMMYFUNCTION("""COMPUTED_VALUE"""),"https://drive.google.com/open?id=1ScOaWAX91gw_9bROSvvCvzEmu34xN0oX&amp;usp=drive_fs")</f>
        <v>https://drive.google.com/open?id=1ScOaWAX91gw_9bROSvvCvzEmu34xN0oX&amp;usp=drive_fs</v>
      </c>
      <c r="B99" s="73" t="str">
        <f>IFERROR(__xludf.DUMMYFUNCTION("""COMPUTED_VALUE"""),"Bakery")</f>
        <v>Bakery</v>
      </c>
      <c r="C99" s="73" t="str">
        <f>IFERROR(__xludf.DUMMYFUNCTION("""COMPUTED_VALUE"""),"Pizaa")</f>
        <v>Pizaa</v>
      </c>
      <c r="D99" s="73" t="str">
        <f>IFERROR(__xludf.DUMMYFUNCTION("""COMPUTED_VALUE"""),"104*104*27 mm | 4.1*4.1*1.5 inch | 15*28")</f>
        <v>104*104*27 mm | 4.1*4.1*1.5 inch | 15*28</v>
      </c>
      <c r="E99" s="140">
        <f>IFERROR(__xludf.DUMMYFUNCTION("""COMPUTED_VALUE"""),4.0)</f>
        <v>4</v>
      </c>
      <c r="F99" s="80">
        <f>IFERROR(__xludf.DUMMYFUNCTION("""COMPUTED_VALUE"""),2029.0)</f>
        <v>2029</v>
      </c>
      <c r="G99" s="80">
        <f>IFERROR(__xludf.DUMMYFUNCTION("""COMPUTED_VALUE"""),15.0)</f>
        <v>15</v>
      </c>
      <c r="H99" s="73">
        <f>IFERROR(__xludf.DUMMYFUNCTION("""COMPUTED_VALUE"""),28.0)</f>
        <v>28</v>
      </c>
      <c r="I99" s="73">
        <f>IFERROR(__xludf.DUMMYFUNCTION("""COMPUTED_VALUE"""),100.0)</f>
        <v>100</v>
      </c>
      <c r="J99" s="73"/>
      <c r="K99" s="73"/>
      <c r="L99" s="73"/>
      <c r="M99" s="73"/>
      <c r="N99" s="73">
        <f>IFERROR(__xludf.DUMMYFUNCTION("""COMPUTED_VALUE"""),1.0)</f>
        <v>1</v>
      </c>
      <c r="O99" s="73"/>
      <c r="P99" s="73" t="str">
        <f>IFERROR(__xludf.DUMMYFUNCTION("""COMPUTED_VALUE"""),"Offset")</f>
        <v>Offset</v>
      </c>
      <c r="Q99" s="73" t="str">
        <f>IFERROR(__xludf.DUMMYFUNCTION("""COMPUTED_VALUE"""),"Packaging")</f>
        <v>Packaging</v>
      </c>
      <c r="R99" s="73" t="str">
        <f>IFERROR(__xludf.DUMMYFUNCTION("""COMPUTED_VALUE"""),"Bakery")</f>
        <v>Bakery</v>
      </c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139"/>
      <c r="BG99" s="73"/>
      <c r="BH99" s="88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 t="s">
        <v>30</v>
      </c>
      <c r="CD99" s="86">
        <v>1.0</v>
      </c>
      <c r="CE99" s="86">
        <v>0.0</v>
      </c>
      <c r="CF99" s="73"/>
      <c r="CG99" s="73"/>
      <c r="CH99" s="73"/>
    </row>
    <row r="100">
      <c r="A100" s="156" t="str">
        <f>IFERROR(__xludf.DUMMYFUNCTION("""COMPUTED_VALUE"""),"https://drive.google.com/open?id=1SiFd4TsI4Hdpa_zhYmdasJRGWLQkUbxE&amp;usp=drive_fs")</f>
        <v>https://drive.google.com/open?id=1SiFd4TsI4Hdpa_zhYmdasJRGWLQkUbxE&amp;usp=drive_fs</v>
      </c>
      <c r="B100" s="73" t="str">
        <f>IFERROR(__xludf.DUMMYFUNCTION("""COMPUTED_VALUE"""),"Bakery")</f>
        <v>Bakery</v>
      </c>
      <c r="C100" s="73" t="str">
        <f>IFERROR(__xludf.DUMMYFUNCTION("""COMPUTED_VALUE"""),"Pizaa")</f>
        <v>Pizaa</v>
      </c>
      <c r="D100" s="73" t="str">
        <f>IFERROR(__xludf.DUMMYFUNCTION("""COMPUTED_VALUE"""),"155*155*38 mm | 6*6*1.5 inch | 22*28")</f>
        <v>155*155*38 mm | 6*6*1.5 inch | 22*28</v>
      </c>
      <c r="E100" s="140">
        <f>IFERROR(__xludf.DUMMYFUNCTION("""COMPUTED_VALUE"""),3.0)</f>
        <v>3</v>
      </c>
      <c r="F100" s="80">
        <f>IFERROR(__xludf.DUMMYFUNCTION("""COMPUTED_VALUE"""),2029.0)</f>
        <v>2029</v>
      </c>
      <c r="G100" s="80">
        <f>IFERROR(__xludf.DUMMYFUNCTION("""COMPUTED_VALUE"""),22.0)</f>
        <v>22</v>
      </c>
      <c r="H100" s="73">
        <f>IFERROR(__xludf.DUMMYFUNCTION("""COMPUTED_VALUE"""),28.0)</f>
        <v>28</v>
      </c>
      <c r="I100" s="73">
        <f>IFERROR(__xludf.DUMMYFUNCTION("""COMPUTED_VALUE"""),100.0)</f>
        <v>100</v>
      </c>
      <c r="J100" s="73"/>
      <c r="K100" s="73"/>
      <c r="L100" s="73"/>
      <c r="M100" s="73"/>
      <c r="N100" s="73">
        <f>IFERROR(__xludf.DUMMYFUNCTION("""COMPUTED_VALUE"""),1.0)</f>
        <v>1</v>
      </c>
      <c r="O100" s="73"/>
      <c r="P100" s="73" t="str">
        <f>IFERROR(__xludf.DUMMYFUNCTION("""COMPUTED_VALUE"""),"Offset")</f>
        <v>Offset</v>
      </c>
      <c r="Q100" s="73" t="str">
        <f>IFERROR(__xludf.DUMMYFUNCTION("""COMPUTED_VALUE"""),"Packaging")</f>
        <v>Packaging</v>
      </c>
      <c r="R100" s="73" t="str">
        <f>IFERROR(__xludf.DUMMYFUNCTION("""COMPUTED_VALUE"""),"Bakery")</f>
        <v>Bakery</v>
      </c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139"/>
      <c r="BG100" s="73"/>
      <c r="BH100" s="88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 t="s">
        <v>29</v>
      </c>
      <c r="CD100" s="86">
        <v>1.0</v>
      </c>
      <c r="CE100" s="86">
        <v>0.0</v>
      </c>
      <c r="CF100" s="73"/>
      <c r="CG100" s="73"/>
      <c r="CH100" s="73"/>
    </row>
    <row r="101">
      <c r="A101" s="156" t="str">
        <f>IFERROR(__xludf.DUMMYFUNCTION("""COMPUTED_VALUE"""),"https://drive.google.com/open?id=1SrtmifLAjRPgA6hA5OrHSfnVGbch_iIg&amp;usp=drive_fs")</f>
        <v>https://drive.google.com/open?id=1SrtmifLAjRPgA6hA5OrHSfnVGbch_iIg&amp;usp=drive_fs</v>
      </c>
      <c r="B101" s="73" t="str">
        <f>IFERROR(__xludf.DUMMYFUNCTION("""COMPUTED_VALUE"""),"Bakery")</f>
        <v>Bakery</v>
      </c>
      <c r="C101" s="73" t="str">
        <f>IFERROR(__xludf.DUMMYFUNCTION("""COMPUTED_VALUE"""),"Pizaa")</f>
        <v>Pizaa</v>
      </c>
      <c r="D101" s="73" t="str">
        <f>IFERROR(__xludf.DUMMYFUNCTION("""COMPUTED_VALUE"""),"175*175*38 mm | 6.9*6.9*1.5 inch | 22*30")</f>
        <v>175*175*38 mm | 6.9*6.9*1.5 inch | 22*30</v>
      </c>
      <c r="E101" s="140">
        <f>IFERROR(__xludf.DUMMYFUNCTION("""COMPUTED_VALUE"""),3.0)</f>
        <v>3</v>
      </c>
      <c r="F101" s="80">
        <f>IFERROR(__xludf.DUMMYFUNCTION("""COMPUTED_VALUE"""),2840.0)</f>
        <v>2840</v>
      </c>
      <c r="G101" s="80">
        <f>IFERROR(__xludf.DUMMYFUNCTION("""COMPUTED_VALUE"""),22.0)</f>
        <v>22</v>
      </c>
      <c r="H101" s="73">
        <f>IFERROR(__xludf.DUMMYFUNCTION("""COMPUTED_VALUE"""),30.0)</f>
        <v>30</v>
      </c>
      <c r="I101" s="73">
        <f>IFERROR(__xludf.DUMMYFUNCTION("""COMPUTED_VALUE"""),100.0)</f>
        <v>100</v>
      </c>
      <c r="J101" s="73"/>
      <c r="K101" s="73"/>
      <c r="L101" s="73"/>
      <c r="M101" s="73"/>
      <c r="N101" s="73">
        <f>IFERROR(__xludf.DUMMYFUNCTION("""COMPUTED_VALUE"""),1.0)</f>
        <v>1</v>
      </c>
      <c r="O101" s="73"/>
      <c r="P101" s="73" t="str">
        <f>IFERROR(__xludf.DUMMYFUNCTION("""COMPUTED_VALUE"""),"Offset")</f>
        <v>Offset</v>
      </c>
      <c r="Q101" s="73" t="str">
        <f>IFERROR(__xludf.DUMMYFUNCTION("""COMPUTED_VALUE"""),"Packaging")</f>
        <v>Packaging</v>
      </c>
      <c r="R101" s="73" t="str">
        <f>IFERROR(__xludf.DUMMYFUNCTION("""COMPUTED_VALUE"""),"Bakery")</f>
        <v>Bakery</v>
      </c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139"/>
      <c r="BG101" s="73"/>
      <c r="BH101" s="88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113" t="s">
        <v>31</v>
      </c>
      <c r="CD101" s="86">
        <v>0.0</v>
      </c>
      <c r="CE101" s="86">
        <v>1.0</v>
      </c>
      <c r="CF101" s="73"/>
      <c r="CG101" s="73"/>
      <c r="CH101" s="73"/>
    </row>
    <row r="102">
      <c r="A102" s="156" t="str">
        <f>IFERROR(__xludf.DUMMYFUNCTION("""COMPUTED_VALUE"""),"https://drive.google.com/open?id=1SsFonBC8XuEwUzNwTRLS7FMnlypI7YI_&amp;usp=drive_fs")</f>
        <v>https://drive.google.com/open?id=1SsFonBC8XuEwUzNwTRLS7FMnlypI7YI_&amp;usp=drive_fs</v>
      </c>
      <c r="B102" s="73" t="str">
        <f>IFERROR(__xludf.DUMMYFUNCTION("""COMPUTED_VALUE"""),"Bakery")</f>
        <v>Bakery</v>
      </c>
      <c r="C102" s="73" t="str">
        <f>IFERROR(__xludf.DUMMYFUNCTION("""COMPUTED_VALUE"""),"Pizaa")</f>
        <v>Pizaa</v>
      </c>
      <c r="D102" s="73" t="str">
        <f>IFERROR(__xludf.DUMMYFUNCTION("""COMPUTED_VALUE"""),"230*230*38 mm | 8.9*8.9*1.5 inch | 24*36")</f>
        <v>230*230*38 mm | 8.9*8.9*1.5 inch | 24*36</v>
      </c>
      <c r="E102" s="140">
        <f>IFERROR(__xludf.DUMMYFUNCTION("""COMPUTED_VALUE"""),3.0)</f>
        <v>3</v>
      </c>
      <c r="F102" s="80">
        <f>IFERROR(__xludf.DUMMYFUNCTION("""COMPUTED_VALUE"""),2840.0)</f>
        <v>2840</v>
      </c>
      <c r="G102" s="80">
        <f>IFERROR(__xludf.DUMMYFUNCTION("""COMPUTED_VALUE"""),24.0)</f>
        <v>24</v>
      </c>
      <c r="H102" s="73">
        <f>IFERROR(__xludf.DUMMYFUNCTION("""COMPUTED_VALUE"""),36.0)</f>
        <v>36</v>
      </c>
      <c r="I102" s="73">
        <f>IFERROR(__xludf.DUMMYFUNCTION("""COMPUTED_VALUE"""),100.0)</f>
        <v>100</v>
      </c>
      <c r="J102" s="73"/>
      <c r="K102" s="73"/>
      <c r="L102" s="73"/>
      <c r="M102" s="73"/>
      <c r="N102" s="73">
        <f>IFERROR(__xludf.DUMMYFUNCTION("""COMPUTED_VALUE"""),1.0)</f>
        <v>1</v>
      </c>
      <c r="O102" s="73"/>
      <c r="P102" s="73" t="str">
        <f>IFERROR(__xludf.DUMMYFUNCTION("""COMPUTED_VALUE"""),"Offset")</f>
        <v>Offset</v>
      </c>
      <c r="Q102" s="73" t="str">
        <f>IFERROR(__xludf.DUMMYFUNCTION("""COMPUTED_VALUE"""),"Packaging")</f>
        <v>Packaging</v>
      </c>
      <c r="R102" s="73" t="str">
        <f>IFERROR(__xludf.DUMMYFUNCTION("""COMPUTED_VALUE"""),"Bakery")</f>
        <v>Bakery</v>
      </c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139"/>
      <c r="BG102" s="73"/>
      <c r="BH102" s="88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</row>
    <row r="103">
      <c r="A103" s="156" t="str">
        <f>IFERROR(__xludf.DUMMYFUNCTION("""COMPUTED_VALUE"""),"https://drive.google.com/open?id=1SvLtzmJs76wN-Lf7-5MGBykae88u-fhd&amp;usp=drive_fs")</f>
        <v>https://drive.google.com/open?id=1SvLtzmJs76wN-Lf7-5MGBykae88u-fhd&amp;usp=drive_fs</v>
      </c>
      <c r="B103" s="73" t="str">
        <f>IFERROR(__xludf.DUMMYFUNCTION("""COMPUTED_VALUE"""),"Bakery")</f>
        <v>Bakery</v>
      </c>
      <c r="C103" s="73" t="str">
        <f>IFERROR(__xludf.DUMMYFUNCTION("""COMPUTED_VALUE"""),"Pizaa")</f>
        <v>Pizaa</v>
      </c>
      <c r="D103" s="73" t="str">
        <f>IFERROR(__xludf.DUMMYFUNCTION("""COMPUTED_VALUE"""),"254*254*38mm | 10*10*1.5 inch | 28*40")</f>
        <v>254*254*38mm | 10*10*1.5 inch | 28*40</v>
      </c>
      <c r="E103" s="140">
        <f>IFERROR(__xludf.DUMMYFUNCTION("""COMPUTED_VALUE"""),3.0)</f>
        <v>3</v>
      </c>
      <c r="F103" s="80">
        <f>IFERROR(__xludf.DUMMYFUNCTION("""COMPUTED_VALUE"""),2840.0)</f>
        <v>2840</v>
      </c>
      <c r="G103" s="80">
        <f>IFERROR(__xludf.DUMMYFUNCTION("""COMPUTED_VALUE"""),28.0)</f>
        <v>28</v>
      </c>
      <c r="H103" s="73">
        <f>IFERROR(__xludf.DUMMYFUNCTION("""COMPUTED_VALUE"""),40.0)</f>
        <v>40</v>
      </c>
      <c r="I103" s="73">
        <f>IFERROR(__xludf.DUMMYFUNCTION("""COMPUTED_VALUE"""),100.0)</f>
        <v>100</v>
      </c>
      <c r="J103" s="73"/>
      <c r="K103" s="73"/>
      <c r="L103" s="73"/>
      <c r="M103" s="73"/>
      <c r="N103" s="73">
        <f>IFERROR(__xludf.DUMMYFUNCTION("""COMPUTED_VALUE"""),1.0)</f>
        <v>1</v>
      </c>
      <c r="O103" s="73"/>
      <c r="P103" s="73" t="str">
        <f>IFERROR(__xludf.DUMMYFUNCTION("""COMPUTED_VALUE"""),"Offset")</f>
        <v>Offset</v>
      </c>
      <c r="Q103" s="73" t="str">
        <f>IFERROR(__xludf.DUMMYFUNCTION("""COMPUTED_VALUE"""),"Packaging")</f>
        <v>Packaging</v>
      </c>
      <c r="R103" s="73" t="str">
        <f>IFERROR(__xludf.DUMMYFUNCTION("""COMPUTED_VALUE"""),"Bakery")</f>
        <v>Bakery</v>
      </c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139"/>
      <c r="BG103" s="73"/>
      <c r="BH103" s="88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</row>
    <row r="104">
      <c r="A104" s="156" t="str">
        <f>IFERROR(__xludf.DUMMYFUNCTION("""COMPUTED_VALUE"""),"https://drive.google.com/open?id=1SzBRhBz1r5yiIA3X7_GdVdHvr5G0Syv2&amp;usp=drive_fs")</f>
        <v>https://drive.google.com/open?id=1SzBRhBz1r5yiIA3X7_GdVdHvr5G0Syv2&amp;usp=drive_fs</v>
      </c>
      <c r="B104" s="73" t="str">
        <f>IFERROR(__xludf.DUMMYFUNCTION("""COMPUTED_VALUE"""),"Bakery")</f>
        <v>Bakery</v>
      </c>
      <c r="C104" s="73" t="str">
        <f>IFERROR(__xludf.DUMMYFUNCTION("""COMPUTED_VALUE"""),"Pizaa")</f>
        <v>Pizaa</v>
      </c>
      <c r="D104" s="73" t="str">
        <f>IFERROR(__xludf.DUMMYFUNCTION("""COMPUTED_VALUE"""),"307*307*38 mm | 12*12*1.5 inch | 16*32")</f>
        <v>307*307*38 mm | 12*12*1.5 inch | 16*32</v>
      </c>
      <c r="E104" s="140">
        <f>IFERROR(__xludf.DUMMYFUNCTION("""COMPUTED_VALUE"""),1.0)</f>
        <v>1</v>
      </c>
      <c r="F104" s="80">
        <f>IFERROR(__xludf.DUMMYFUNCTION("""COMPUTED_VALUE"""),2840.0)</f>
        <v>2840</v>
      </c>
      <c r="G104" s="80">
        <f>IFERROR(__xludf.DUMMYFUNCTION("""COMPUTED_VALUE"""),32.0)</f>
        <v>32</v>
      </c>
      <c r="H104" s="73">
        <f>IFERROR(__xludf.DUMMYFUNCTION("""COMPUTED_VALUE"""),16.0)</f>
        <v>16</v>
      </c>
      <c r="I104" s="73">
        <f>IFERROR(__xludf.DUMMYFUNCTION("""COMPUTED_VALUE"""),100.0)</f>
        <v>100</v>
      </c>
      <c r="J104" s="73"/>
      <c r="K104" s="73"/>
      <c r="L104" s="73"/>
      <c r="M104" s="73"/>
      <c r="N104" s="73">
        <f>IFERROR(__xludf.DUMMYFUNCTION("""COMPUTED_VALUE"""),1.0)</f>
        <v>1</v>
      </c>
      <c r="O104" s="73"/>
      <c r="P104" s="73" t="str">
        <f>IFERROR(__xludf.DUMMYFUNCTION("""COMPUTED_VALUE"""),"Offset")</f>
        <v>Offset</v>
      </c>
      <c r="Q104" s="73" t="str">
        <f>IFERROR(__xludf.DUMMYFUNCTION("""COMPUTED_VALUE"""),"Packaging")</f>
        <v>Packaging</v>
      </c>
      <c r="R104" s="73" t="str">
        <f>IFERROR(__xludf.DUMMYFUNCTION("""COMPUTED_VALUE"""),"Bakery")</f>
        <v>Bakery</v>
      </c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139"/>
      <c r="BG104" s="73"/>
      <c r="BH104" s="88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</row>
    <row r="105">
      <c r="A105" s="156" t="str">
        <f>IFERROR(__xludf.DUMMYFUNCTION("""COMPUTED_VALUE"""),"https://drive.google.com/open?id=1NraUWBTtBENg0PBMT1-DyR6G2b8qMEE5&amp;authuser=jay.agg%40gmail.com&amp;usp=drive_fs")</f>
        <v>https://drive.google.com/open?id=1NraUWBTtBENg0PBMT1-DyR6G2b8qMEE5&amp;authuser=jay.agg%40gmail.com&amp;usp=drive_fs</v>
      </c>
      <c r="B105" s="73" t="str">
        <f>IFERROR(__xludf.DUMMYFUNCTION("""COMPUTED_VALUE"""),"Bakery")</f>
        <v>Bakery</v>
      </c>
      <c r="C105" s="73" t="str">
        <f>IFERROR(__xludf.DUMMYFUNCTION("""COMPUTED_VALUE"""),"Pizza")</f>
        <v>Pizza</v>
      </c>
      <c r="D105" s="73" t="str">
        <f>IFERROR(__xludf.DUMMYFUNCTION("""COMPUTED_VALUE"""),"310*310*38 mm | 12*12*1.5 inch | 30*16")</f>
        <v>310*310*38 mm | 12*12*1.5 inch | 30*16</v>
      </c>
      <c r="E105" s="140">
        <f>IFERROR(__xludf.DUMMYFUNCTION("""COMPUTED_VALUE"""),1.0)</f>
        <v>1</v>
      </c>
      <c r="F105" s="80">
        <f>IFERROR(__xludf.DUMMYFUNCTION("""COMPUTED_VALUE"""),2029.0)</f>
        <v>2029</v>
      </c>
      <c r="G105" s="80">
        <f>IFERROR(__xludf.DUMMYFUNCTION("""COMPUTED_VALUE"""),20.0)</f>
        <v>20</v>
      </c>
      <c r="H105" s="73">
        <f>IFERROR(__xludf.DUMMYFUNCTION("""COMPUTED_VALUE"""),30.0)</f>
        <v>30</v>
      </c>
      <c r="I105" s="73">
        <f>IFERROR(__xludf.DUMMYFUNCTION("""COMPUTED_VALUE"""),100.0)</f>
        <v>100</v>
      </c>
      <c r="J105" s="73"/>
      <c r="K105" s="73"/>
      <c r="L105" s="73"/>
      <c r="M105" s="73"/>
      <c r="N105" s="73">
        <f>IFERROR(__xludf.DUMMYFUNCTION("""COMPUTED_VALUE"""),1.0)</f>
        <v>1</v>
      </c>
      <c r="O105" s="73"/>
      <c r="P105" s="73" t="str">
        <f>IFERROR(__xludf.DUMMYFUNCTION("""COMPUTED_VALUE"""),"Offset")</f>
        <v>Offset</v>
      </c>
      <c r="Q105" s="73" t="str">
        <f>IFERROR(__xludf.DUMMYFUNCTION("""COMPUTED_VALUE"""),"Packaging")</f>
        <v>Packaging</v>
      </c>
      <c r="R105" s="73" t="str">
        <f>IFERROR(__xludf.DUMMYFUNCTION("""COMPUTED_VALUE"""),"Bakery")</f>
        <v>Bakery</v>
      </c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139"/>
      <c r="BG105" s="73"/>
      <c r="BH105" s="88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</row>
    <row r="106">
      <c r="A106" s="156" t="str">
        <f>IFERROR(__xludf.DUMMYFUNCTION("""COMPUTED_VALUE"""),"https://drive.google.com/open?id=1NujrgZ7l36_tUSyxUUHE53H_lXCnUMIV&amp;authuser=jay.agg%40gmail.com&amp;usp=drive_fs")</f>
        <v>https://drive.google.com/open?id=1NujrgZ7l36_tUSyxUUHE53H_lXCnUMIV&amp;authuser=jay.agg%40gmail.com&amp;usp=drive_fs</v>
      </c>
      <c r="B106" s="73" t="str">
        <f>IFERROR(__xludf.DUMMYFUNCTION("""COMPUTED_VALUE"""),"Bakery")</f>
        <v>Bakery</v>
      </c>
      <c r="C106" s="73" t="str">
        <f>IFERROR(__xludf.DUMMYFUNCTION("""COMPUTED_VALUE"""),"Pizza")</f>
        <v>Pizza</v>
      </c>
      <c r="D106" s="73" t="str">
        <f>IFERROR(__xludf.DUMMYFUNCTION("""COMPUTED_VALUE"""),"260*260*38 mm | 10*10*1.5 inch | 26*14")</f>
        <v>260*260*38 mm | 10*10*1.5 inch | 26*14</v>
      </c>
      <c r="E106" s="140">
        <f>IFERROR(__xludf.DUMMYFUNCTION("""COMPUTED_VALUE"""),1.0)</f>
        <v>1</v>
      </c>
      <c r="F106" s="80">
        <f>IFERROR(__xludf.DUMMYFUNCTION("""COMPUTED_VALUE"""),1926.0)</f>
        <v>1926</v>
      </c>
      <c r="G106" s="80">
        <f>IFERROR(__xludf.DUMMYFUNCTION("""COMPUTED_VALUE"""),15.0)</f>
        <v>15</v>
      </c>
      <c r="H106" s="73">
        <f>IFERROR(__xludf.DUMMYFUNCTION("""COMPUTED_VALUE"""),25.0)</f>
        <v>25</v>
      </c>
      <c r="I106" s="73">
        <f>IFERROR(__xludf.DUMMYFUNCTION("""COMPUTED_VALUE"""),100.0)</f>
        <v>100</v>
      </c>
      <c r="J106" s="73"/>
      <c r="K106" s="73"/>
      <c r="L106" s="73"/>
      <c r="M106" s="73"/>
      <c r="N106" s="73">
        <f>IFERROR(__xludf.DUMMYFUNCTION("""COMPUTED_VALUE"""),1.0)</f>
        <v>1</v>
      </c>
      <c r="O106" s="73"/>
      <c r="P106" s="73" t="str">
        <f>IFERROR(__xludf.DUMMYFUNCTION("""COMPUTED_VALUE"""),"Offset")</f>
        <v>Offset</v>
      </c>
      <c r="Q106" s="73" t="str">
        <f>IFERROR(__xludf.DUMMYFUNCTION("""COMPUTED_VALUE"""),"Packaging")</f>
        <v>Packaging</v>
      </c>
      <c r="R106" s="73" t="str">
        <f>IFERROR(__xludf.DUMMYFUNCTION("""COMPUTED_VALUE"""),"Bakery")</f>
        <v>Bakery</v>
      </c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139"/>
      <c r="BG106" s="73"/>
      <c r="BH106" s="88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</row>
    <row r="107">
      <c r="A107" s="156" t="str">
        <f>IFERROR(__xludf.DUMMYFUNCTION("""COMPUTED_VALUE"""),"https://drive.google.com/open?id=1NvduVlo_CJsEgebAQz07GSvPs7uxSe-G&amp;authuser=jay.agg%40gmail.com&amp;usp=drive_fs")</f>
        <v>https://drive.google.com/open?id=1NvduVlo_CJsEgebAQz07GSvPs7uxSe-G&amp;authuser=jay.agg%40gmail.com&amp;usp=drive_fs</v>
      </c>
      <c r="B107" s="73" t="str">
        <f>IFERROR(__xludf.DUMMYFUNCTION("""COMPUTED_VALUE"""),"Bakery")</f>
        <v>Bakery</v>
      </c>
      <c r="C107" s="73" t="str">
        <f>IFERROR(__xludf.DUMMYFUNCTION("""COMPUTED_VALUE"""),"Pizza")</f>
        <v>Pizza</v>
      </c>
      <c r="D107" s="73" t="str">
        <f>IFERROR(__xludf.DUMMYFUNCTION("""COMPUTED_VALUE"""),"186*186*38 mm | 7*7*1.5 inch | 22*22")</f>
        <v>186*186*38 mm | 7*7*1.5 inch | 22*22</v>
      </c>
      <c r="E107" s="140">
        <f>IFERROR(__xludf.DUMMYFUNCTION("""COMPUTED_VALUE"""),2.0)</f>
        <v>2</v>
      </c>
      <c r="F107" s="80">
        <f>IFERROR(__xludf.DUMMYFUNCTION("""COMPUTED_VALUE"""),1926.0)</f>
        <v>1926</v>
      </c>
      <c r="G107" s="80">
        <f>IFERROR(__xludf.DUMMYFUNCTION("""COMPUTED_VALUE"""),19.5)</f>
        <v>19.5</v>
      </c>
      <c r="H107" s="73">
        <f>IFERROR(__xludf.DUMMYFUNCTION("""COMPUTED_VALUE"""),23.0)</f>
        <v>23</v>
      </c>
      <c r="I107" s="73">
        <f>IFERROR(__xludf.DUMMYFUNCTION("""COMPUTED_VALUE"""),100.0)</f>
        <v>100</v>
      </c>
      <c r="J107" s="73"/>
      <c r="K107" s="73"/>
      <c r="L107" s="73"/>
      <c r="M107" s="73"/>
      <c r="N107" s="73">
        <f>IFERROR(__xludf.DUMMYFUNCTION("""COMPUTED_VALUE"""),1.0)</f>
        <v>1</v>
      </c>
      <c r="O107" s="73"/>
      <c r="P107" s="73" t="str">
        <f>IFERROR(__xludf.DUMMYFUNCTION("""COMPUTED_VALUE"""),"Offset")</f>
        <v>Offset</v>
      </c>
      <c r="Q107" s="73" t="str">
        <f>IFERROR(__xludf.DUMMYFUNCTION("""COMPUTED_VALUE"""),"Packaging")</f>
        <v>Packaging</v>
      </c>
      <c r="R107" s="73" t="str">
        <f>IFERROR(__xludf.DUMMYFUNCTION("""COMPUTED_VALUE"""),"Bakery")</f>
        <v>Bakery</v>
      </c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139"/>
      <c r="BG107" s="73"/>
      <c r="BH107" s="88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</row>
    <row r="108">
      <c r="A108" s="156" t="str">
        <f>IFERROR(__xludf.DUMMYFUNCTION("""COMPUTED_VALUE"""),"https://drive.google.com/open?id=1SHQg_xgiDD-S_fSmTj4BBaPbb-HsVH-U&amp;authuser=jay.agg%40gmail.com&amp;usp=drive_fs")</f>
        <v>https://drive.google.com/open?id=1SHQg_xgiDD-S_fSmTj4BBaPbb-HsVH-U&amp;authuser=jay.agg%40gmail.com&amp;usp=drive_fs</v>
      </c>
      <c r="B108" s="73" t="str">
        <f>IFERROR(__xludf.DUMMYFUNCTION("""COMPUTED_VALUE"""),"Bakery")</f>
        <v>Bakery</v>
      </c>
      <c r="C108" s="73" t="str">
        <f>IFERROR(__xludf.DUMMYFUNCTION("""COMPUTED_VALUE"""),"Sandwich")</f>
        <v>Sandwich</v>
      </c>
      <c r="D108" s="73" t="str">
        <f>IFERROR(__xludf.DUMMYFUNCTION("""COMPUTED_VALUE"""),"122*122*53 mm | 4.8*4.8*2.1 inch W 4.5*1 inch")</f>
        <v>122*122*53 mm | 4.8*4.8*2.1 inch W 4.5*1 inch</v>
      </c>
      <c r="E108" s="140">
        <f>IFERROR(__xludf.DUMMYFUNCTION("""COMPUTED_VALUE"""),3.0)</f>
        <v>3</v>
      </c>
      <c r="F108" s="80">
        <f>IFERROR(__xludf.DUMMYFUNCTION("""COMPUTED_VALUE"""),1926.0)</f>
        <v>1926</v>
      </c>
      <c r="G108" s="80">
        <f>IFERROR(__xludf.DUMMYFUNCTION("""COMPUTED_VALUE"""),15.0)</f>
        <v>15</v>
      </c>
      <c r="H108" s="73">
        <f>IFERROR(__xludf.DUMMYFUNCTION("""COMPUTED_VALUE"""),25.0)</f>
        <v>25</v>
      </c>
      <c r="I108" s="73">
        <f>IFERROR(__xludf.DUMMYFUNCTION("""COMPUTED_VALUE"""),100.0)</f>
        <v>100</v>
      </c>
      <c r="J108" s="73"/>
      <c r="K108" s="73"/>
      <c r="L108" s="73">
        <f>IFERROR(__xludf.DUMMYFUNCTION("""COMPUTED_VALUE"""),1.5)</f>
        <v>1.5</v>
      </c>
      <c r="M108" s="73">
        <f>IFERROR(__xludf.DUMMYFUNCTION("""COMPUTED_VALUE"""),0.18)</f>
        <v>0.18</v>
      </c>
      <c r="N108" s="73">
        <f>IFERROR(__xludf.DUMMYFUNCTION("""COMPUTED_VALUE"""),1.0)</f>
        <v>1</v>
      </c>
      <c r="O108" s="73"/>
      <c r="P108" s="73" t="str">
        <f>IFERROR(__xludf.DUMMYFUNCTION("""COMPUTED_VALUE"""),"Offset")</f>
        <v>Offset</v>
      </c>
      <c r="Q108" s="73" t="str">
        <f>IFERROR(__xludf.DUMMYFUNCTION("""COMPUTED_VALUE"""),"Packaging")</f>
        <v>Packaging</v>
      </c>
      <c r="R108" s="73" t="str">
        <f>IFERROR(__xludf.DUMMYFUNCTION("""COMPUTED_VALUE"""),"Bakery")</f>
        <v>Bakery</v>
      </c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139"/>
      <c r="BG108" s="73"/>
      <c r="BH108" s="88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88"/>
      <c r="CA108" s="88"/>
      <c r="CB108" s="73"/>
      <c r="CC108" s="73"/>
      <c r="CD108" s="73"/>
      <c r="CE108" s="73"/>
      <c r="CF108" s="73"/>
      <c r="CG108" s="73"/>
      <c r="CH108" s="73"/>
    </row>
    <row r="109">
      <c r="A109" s="156" t="str">
        <f>IFERROR(__xludf.DUMMYFUNCTION("""COMPUTED_VALUE"""),"https://drive.google.com/open?id=1SIQbhZto4agrr3VUlE0ELACCgHiRr5YG&amp;authuser=jay.agg%40gmail.com&amp;usp=drive_fs")</f>
        <v>https://drive.google.com/open?id=1SIQbhZto4agrr3VUlE0ELACCgHiRr5YG&amp;authuser=jay.agg%40gmail.com&amp;usp=drive_fs</v>
      </c>
      <c r="B109" s="73" t="str">
        <f>IFERROR(__xludf.DUMMYFUNCTION("""COMPUTED_VALUE"""),"Bakery")</f>
        <v>Bakery</v>
      </c>
      <c r="C109" s="73" t="str">
        <f>IFERROR(__xludf.DUMMYFUNCTION("""COMPUTED_VALUE"""),"Sandwich")</f>
        <v>Sandwich</v>
      </c>
      <c r="D109" s="73" t="str">
        <f>IFERROR(__xludf.DUMMYFUNCTION("""COMPUTED_VALUE"""),"122*122*65 mm | 4.8*4.8*2.5 inch W 4.5*1.2 inch")</f>
        <v>122*122*65 mm | 4.8*4.8*2.5 inch W 4.5*1.2 inch</v>
      </c>
      <c r="E109" s="140">
        <f>IFERROR(__xludf.DUMMYFUNCTION("""COMPUTED_VALUE"""),3.0)</f>
        <v>3</v>
      </c>
      <c r="F109" s="80">
        <f>IFERROR(__xludf.DUMMYFUNCTION("""COMPUTED_VALUE"""),1926.0)</f>
        <v>1926</v>
      </c>
      <c r="G109" s="80">
        <f>IFERROR(__xludf.DUMMYFUNCTION("""COMPUTED_VALUE"""),18.0)</f>
        <v>18</v>
      </c>
      <c r="H109" s="73">
        <f>IFERROR(__xludf.DUMMYFUNCTION("""COMPUTED_VALUE"""),25.0)</f>
        <v>25</v>
      </c>
      <c r="I109" s="73">
        <f>IFERROR(__xludf.DUMMYFUNCTION("""COMPUTED_VALUE"""),100.0)</f>
        <v>100</v>
      </c>
      <c r="J109" s="73"/>
      <c r="K109" s="73"/>
      <c r="L109" s="73">
        <f>IFERROR(__xludf.DUMMYFUNCTION("""COMPUTED_VALUE"""),1.8)</f>
        <v>1.8</v>
      </c>
      <c r="M109" s="73">
        <f>IFERROR(__xludf.DUMMYFUNCTION("""COMPUTED_VALUE"""),0.18)</f>
        <v>0.18</v>
      </c>
      <c r="N109" s="73">
        <f>IFERROR(__xludf.DUMMYFUNCTION("""COMPUTED_VALUE"""),1.0)</f>
        <v>1</v>
      </c>
      <c r="O109" s="73"/>
      <c r="P109" s="73" t="str">
        <f>IFERROR(__xludf.DUMMYFUNCTION("""COMPUTED_VALUE"""),"Offset")</f>
        <v>Offset</v>
      </c>
      <c r="Q109" s="73" t="str">
        <f>IFERROR(__xludf.DUMMYFUNCTION("""COMPUTED_VALUE"""),"Packaging")</f>
        <v>Packaging</v>
      </c>
      <c r="R109" s="73" t="str">
        <f>IFERROR(__xludf.DUMMYFUNCTION("""COMPUTED_VALUE"""),"Bakery")</f>
        <v>Bakery</v>
      </c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139"/>
      <c r="BG109" s="73"/>
      <c r="BH109" s="88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</row>
    <row r="110">
      <c r="A110" s="156" t="str">
        <f>IFERROR(__xludf.DUMMYFUNCTION("""COMPUTED_VALUE"""),"https://drive.google.com/open?id=1SQEn-oWOvionQX_bmZiY40xVOPPEHQmG&amp;authuser=jay.agg%40gmail.com&amp;usp=drive_fs")</f>
        <v>https://drive.google.com/open?id=1SQEn-oWOvionQX_bmZiY40xVOPPEHQmG&amp;authuser=jay.agg%40gmail.com&amp;usp=drive_fs</v>
      </c>
      <c r="B110" s="73" t="str">
        <f>IFERROR(__xludf.DUMMYFUNCTION("""COMPUTED_VALUE"""),"Bakery")</f>
        <v>Bakery</v>
      </c>
      <c r="C110" s="73" t="str">
        <f>IFERROR(__xludf.DUMMYFUNCTION("""COMPUTED_VALUE"""),"Sandwich")</f>
        <v>Sandwich</v>
      </c>
      <c r="D110" s="73" t="str">
        <f>IFERROR(__xludf.DUMMYFUNCTION("""COMPUTED_VALUE"""),"120*120*65 mm | 4.7*4.7*2.5 inch")</f>
        <v>120*120*65 mm | 4.7*4.7*2.5 inch</v>
      </c>
      <c r="E110" s="140">
        <f>IFERROR(__xludf.DUMMYFUNCTION("""COMPUTED_VALUE"""),2.0)</f>
        <v>2</v>
      </c>
      <c r="F110" s="80">
        <f>IFERROR(__xludf.DUMMYFUNCTION("""COMPUTED_VALUE"""),2029.0)</f>
        <v>2029</v>
      </c>
      <c r="G110" s="80">
        <f>IFERROR(__xludf.DUMMYFUNCTION("""COMPUTED_VALUE"""),19.0)</f>
        <v>19</v>
      </c>
      <c r="H110" s="73">
        <f>IFERROR(__xludf.DUMMYFUNCTION("""COMPUTED_VALUE"""),20.0)</f>
        <v>20</v>
      </c>
      <c r="I110" s="73">
        <f>IFERROR(__xludf.DUMMYFUNCTION("""COMPUTED_VALUE"""),100.0)</f>
        <v>100</v>
      </c>
      <c r="J110" s="73"/>
      <c r="K110" s="73"/>
      <c r="L110" s="73">
        <f>IFERROR(__xludf.DUMMYFUNCTION("""COMPUTED_VALUE"""),1.8)</f>
        <v>1.8</v>
      </c>
      <c r="M110" s="73">
        <f>IFERROR(__xludf.DUMMYFUNCTION("""COMPUTED_VALUE"""),0.1)</f>
        <v>0.1</v>
      </c>
      <c r="N110" s="73">
        <f>IFERROR(__xludf.DUMMYFUNCTION("""COMPUTED_VALUE"""),1.0)</f>
        <v>1</v>
      </c>
      <c r="O110" s="73"/>
      <c r="P110" s="73" t="str">
        <f>IFERROR(__xludf.DUMMYFUNCTION("""COMPUTED_VALUE"""),"Offset")</f>
        <v>Offset</v>
      </c>
      <c r="Q110" s="73" t="str">
        <f>IFERROR(__xludf.DUMMYFUNCTION("""COMPUTED_VALUE"""),"Packaging")</f>
        <v>Packaging</v>
      </c>
      <c r="R110" s="73" t="str">
        <f>IFERROR(__xludf.DUMMYFUNCTION("""COMPUTED_VALUE"""),"Bakery")</f>
        <v>Bakery</v>
      </c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139"/>
      <c r="BG110" s="73"/>
      <c r="BH110" s="88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80"/>
      <c r="CA110" s="88"/>
      <c r="CB110" s="73"/>
      <c r="CC110" s="73"/>
      <c r="CD110" s="80" t="s">
        <v>66</v>
      </c>
      <c r="CE110" s="161">
        <v>1.0</v>
      </c>
      <c r="CF110" s="139" t="str">
        <f>IFERROR(__xludf.DUMMYFUNCTION("QUERY(CD110:CE111,CB66)"),"New Job")</f>
        <v>New Job</v>
      </c>
      <c r="CG110" s="77">
        <f>IFERROR(__xludf.DUMMYFUNCTION("""COMPUTED_VALUE"""),1.0)</f>
        <v>1</v>
      </c>
      <c r="CH110" s="73"/>
    </row>
    <row r="111">
      <c r="A111" s="156" t="str">
        <f>IFERROR(__xludf.DUMMYFUNCTION("""COMPUTED_VALUE"""),"https://drive.google.com/open?id=1SVgAzLMy6bhn29VqobVJrlBP9zpBfdfI&amp;authuser=jay.agg%40gmail.com&amp;usp=drive_fs")</f>
        <v>https://drive.google.com/open?id=1SVgAzLMy6bhn29VqobVJrlBP9zpBfdfI&amp;authuser=jay.agg%40gmail.com&amp;usp=drive_fs</v>
      </c>
      <c r="B111" s="73" t="str">
        <f>IFERROR(__xludf.DUMMYFUNCTION("""COMPUTED_VALUE"""),"Bakery")</f>
        <v>Bakery</v>
      </c>
      <c r="C111" s="73" t="str">
        <f>IFERROR(__xludf.DUMMYFUNCTION("""COMPUTED_VALUE"""),"Sandwich")</f>
        <v>Sandwich</v>
      </c>
      <c r="D111" s="73" t="str">
        <f>IFERROR(__xludf.DUMMYFUNCTION("""COMPUTED_VALUE"""),"120*120*48 mm | 4.7*4.7*1.9 inch W 3.2*1.9 inch")</f>
        <v>120*120*48 mm | 4.7*4.7*1.9 inch W 3.2*1.9 inch</v>
      </c>
      <c r="E111" s="140">
        <f>IFERROR(__xludf.DUMMYFUNCTION("""COMPUTED_VALUE"""),4.0)</f>
        <v>4</v>
      </c>
      <c r="F111" s="80">
        <f>IFERROR(__xludf.DUMMYFUNCTION("""COMPUTED_VALUE"""),2029.0)</f>
        <v>2029</v>
      </c>
      <c r="G111" s="80">
        <f>IFERROR(__xludf.DUMMYFUNCTION("""COMPUTED_VALUE"""),19.0)</f>
        <v>19</v>
      </c>
      <c r="H111" s="73">
        <f>IFERROR(__xludf.DUMMYFUNCTION("""COMPUTED_VALUE"""),20.0)</f>
        <v>20</v>
      </c>
      <c r="I111" s="73">
        <f>IFERROR(__xludf.DUMMYFUNCTION("""COMPUTED_VALUE"""),100.0)</f>
        <v>100</v>
      </c>
      <c r="J111" s="73"/>
      <c r="K111" s="73"/>
      <c r="L111" s="73">
        <f>IFERROR(__xludf.DUMMYFUNCTION("""COMPUTED_VALUE"""),1.8)</f>
        <v>1.8</v>
      </c>
      <c r="M111" s="73">
        <f>IFERROR(__xludf.DUMMYFUNCTION("""COMPUTED_VALUE"""),0.1)</f>
        <v>0.1</v>
      </c>
      <c r="N111" s="73">
        <f>IFERROR(__xludf.DUMMYFUNCTION("""COMPUTED_VALUE"""),1.0)</f>
        <v>1</v>
      </c>
      <c r="O111" s="73"/>
      <c r="P111" s="73" t="str">
        <f>IFERROR(__xludf.DUMMYFUNCTION("""COMPUTED_VALUE"""),"Offset")</f>
        <v>Offset</v>
      </c>
      <c r="Q111" s="73" t="str">
        <f>IFERROR(__xludf.DUMMYFUNCTION("""COMPUTED_VALUE"""),"Packaging")</f>
        <v>Packaging</v>
      </c>
      <c r="R111" s="73" t="str">
        <f>IFERROR(__xludf.DUMMYFUNCTION("""COMPUTED_VALUE"""),"Bakery")</f>
        <v>Bakery</v>
      </c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139"/>
      <c r="BG111" s="73"/>
      <c r="BH111" s="88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80" t="s">
        <v>70</v>
      </c>
      <c r="CE111" s="161">
        <v>0.0</v>
      </c>
      <c r="CF111" s="139"/>
      <c r="CG111" s="73"/>
      <c r="CH111" s="73"/>
    </row>
    <row r="112">
      <c r="A112" s="156" t="str">
        <f>IFERROR(__xludf.DUMMYFUNCTION("""COMPUTED_VALUE"""),"https://drive.google.com/open?id=1_FGMX4rvRKmWcMmH06d2I5qOwXuJWE4c&amp;authuser=jay.agg%40gmail.com&amp;usp=drive_fs")</f>
        <v>https://drive.google.com/open?id=1_FGMX4rvRKmWcMmH06d2I5qOwXuJWE4c&amp;authuser=jay.agg%40gmail.com&amp;usp=drive_fs</v>
      </c>
      <c r="B112" s="73" t="str">
        <f>IFERROR(__xludf.DUMMYFUNCTION("""COMPUTED_VALUE"""),"Bakery")</f>
        <v>Bakery</v>
      </c>
      <c r="C112" s="73" t="str">
        <f>IFERROR(__xludf.DUMMYFUNCTION("""COMPUTED_VALUE"""),"Wrap")</f>
        <v>Wrap</v>
      </c>
      <c r="D112" s="73" t="str">
        <f>IFERROR(__xludf.DUMMYFUNCTION("""COMPUTED_VALUE"""),"64*210 mm | 2.5*8.25 inch")</f>
        <v>64*210 mm | 2.5*8.25 inch</v>
      </c>
      <c r="E112" s="140">
        <f>IFERROR(__xludf.DUMMYFUNCTION("""COMPUTED_VALUE"""),2.0)</f>
        <v>2</v>
      </c>
      <c r="F112" s="80">
        <f>IFERROR(__xludf.DUMMYFUNCTION("""COMPUTED_VALUE"""),1926.0)</f>
        <v>1926</v>
      </c>
      <c r="G112" s="80">
        <f>IFERROR(__xludf.DUMMYFUNCTION("""COMPUTED_VALUE"""),12.0)</f>
        <v>12</v>
      </c>
      <c r="H112" s="73">
        <f>IFERROR(__xludf.DUMMYFUNCTION("""COMPUTED_VALUE"""),23.0)</f>
        <v>23</v>
      </c>
      <c r="I112" s="73">
        <f>IFERROR(__xludf.DUMMYFUNCTION("""COMPUTED_VALUE"""),100.0)</f>
        <v>100</v>
      </c>
      <c r="J112" s="73"/>
      <c r="K112" s="73"/>
      <c r="L112" s="73"/>
      <c r="M112" s="73">
        <f>IFERROR(__xludf.DUMMYFUNCTION("""COMPUTED_VALUE"""),0.12)</f>
        <v>0.12</v>
      </c>
      <c r="N112" s="73">
        <f>IFERROR(__xludf.DUMMYFUNCTION("""COMPUTED_VALUE"""),1.0)</f>
        <v>1</v>
      </c>
      <c r="O112" s="73"/>
      <c r="P112" s="73" t="str">
        <f>IFERROR(__xludf.DUMMYFUNCTION("""COMPUTED_VALUE"""),"Offset")</f>
        <v>Offset</v>
      </c>
      <c r="Q112" s="73" t="str">
        <f>IFERROR(__xludf.DUMMYFUNCTION("""COMPUTED_VALUE"""),"Packaging")</f>
        <v>Packaging</v>
      </c>
      <c r="R112" s="73" t="str">
        <f>IFERROR(__xludf.DUMMYFUNCTION("""COMPUTED_VALUE"""),"Bakery")</f>
        <v>Bakery</v>
      </c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139"/>
      <c r="BG112" s="73"/>
      <c r="BH112" s="88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</row>
    <row r="113">
      <c r="A113" s="156" t="str">
        <f>IFERROR(__xludf.DUMMYFUNCTION("""COMPUTED_VALUE"""),"https://drive.google.com/open?id=1WXc-mKAHr93suwVRA5wtpWh8v-nT5-e9&amp;authuser=jay.agg%40gmail.com&amp;usp=drive_fs")</f>
        <v>https://drive.google.com/open?id=1WXc-mKAHr93suwVRA5wtpWh8v-nT5-e9&amp;authuser=jay.agg%40gmail.com&amp;usp=drive_fs</v>
      </c>
      <c r="B113" s="73" t="str">
        <f>IFERROR(__xludf.DUMMYFUNCTION("""COMPUTED_VALUE"""),"Bakery")</f>
        <v>Bakery</v>
      </c>
      <c r="C113" s="73" t="str">
        <f>IFERROR(__xludf.DUMMYFUNCTION("""COMPUTED_VALUE"""),"Cake Box")</f>
        <v>Cake Box</v>
      </c>
      <c r="D113" s="73" t="str">
        <f>IFERROR(__xludf.DUMMYFUNCTION("""COMPUTED_VALUE"""),"229*229*127 mm | 9*9*5 inch | 30*19")</f>
        <v>229*229*127 mm | 9*9*5 inch | 30*19</v>
      </c>
      <c r="E113" s="140">
        <f>IFERROR(__xludf.DUMMYFUNCTION("""COMPUTED_VALUE"""),1.0)</f>
        <v>1</v>
      </c>
      <c r="F113" s="80">
        <f>IFERROR(__xludf.DUMMYFUNCTION("""COMPUTED_VALUE"""),2840.0)</f>
        <v>2840</v>
      </c>
      <c r="G113" s="80">
        <f>IFERROR(__xludf.DUMMYFUNCTION("""COMPUTED_VALUE"""),20.0)</f>
        <v>20</v>
      </c>
      <c r="H113" s="73">
        <f>IFERROR(__xludf.DUMMYFUNCTION("""COMPUTED_VALUE"""),30.0)</f>
        <v>30</v>
      </c>
      <c r="I113" s="73">
        <f>IFERROR(__xludf.DUMMYFUNCTION("""COMPUTED_VALUE"""),100.0)</f>
        <v>100</v>
      </c>
      <c r="J113" s="73"/>
      <c r="K113" s="73"/>
      <c r="L113" s="73"/>
      <c r="M113" s="73"/>
      <c r="N113" s="73">
        <f>IFERROR(__xludf.DUMMYFUNCTION("""COMPUTED_VALUE"""),1.0)</f>
        <v>1</v>
      </c>
      <c r="O113" s="73"/>
      <c r="P113" s="73" t="str">
        <f>IFERROR(__xludf.DUMMYFUNCTION("""COMPUTED_VALUE"""),"Offset")</f>
        <v>Offset</v>
      </c>
      <c r="Q113" s="73" t="str">
        <f>IFERROR(__xludf.DUMMYFUNCTION("""COMPUTED_VALUE"""),"Packaging")</f>
        <v>Packaging</v>
      </c>
      <c r="R113" s="73" t="str">
        <f>IFERROR(__xludf.DUMMYFUNCTION("""COMPUTED_VALUE"""),"Bakery")</f>
        <v>Bakery</v>
      </c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139"/>
      <c r="BG113" s="73"/>
      <c r="BH113" s="88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88" t="s">
        <v>214</v>
      </c>
      <c r="CE113" s="88" t="s">
        <v>40</v>
      </c>
      <c r="CF113" s="88" t="s">
        <v>215</v>
      </c>
      <c r="CG113" s="88" t="s">
        <v>216</v>
      </c>
      <c r="CH113" s="73"/>
    </row>
    <row r="114">
      <c r="A114" s="156" t="str">
        <f>IFERROR(__xludf.DUMMYFUNCTION("""COMPUTED_VALUE"""),"https://drive.google.com/open?id=1WcEROCbZAQrzFV8U2tXZ8xBXWZZlusx-&amp;authuser=jay.agg%40gmail.com&amp;usp=drive_fs")</f>
        <v>https://drive.google.com/open?id=1WcEROCbZAQrzFV8U2tXZ8xBXWZZlusx-&amp;authuser=jay.agg%40gmail.com&amp;usp=drive_fs</v>
      </c>
      <c r="B114" s="73" t="str">
        <f>IFERROR(__xludf.DUMMYFUNCTION("""COMPUTED_VALUE"""),"Bakery")</f>
        <v>Bakery</v>
      </c>
      <c r="C114" s="73" t="str">
        <f>IFERROR(__xludf.DUMMYFUNCTION("""COMPUTED_VALUE"""),"Cake Box")</f>
        <v>Cake Box</v>
      </c>
      <c r="D114" s="73" t="str">
        <f>IFERROR(__xludf.DUMMYFUNCTION("""COMPUTED_VALUE"""),"254*254*127 mm | 10*10*5 inch | 22*32")</f>
        <v>254*254*127 mm | 10*10*5 inch | 22*32</v>
      </c>
      <c r="E114" s="140">
        <f>IFERROR(__xludf.DUMMYFUNCTION("""COMPUTED_VALUE"""),1.0)</f>
        <v>1</v>
      </c>
      <c r="F114" s="80">
        <f>IFERROR(__xludf.DUMMYFUNCTION("""COMPUTED_VALUE"""),2840.0)</f>
        <v>2840</v>
      </c>
      <c r="G114" s="80">
        <f>IFERROR(__xludf.DUMMYFUNCTION("""COMPUTED_VALUE"""),31.5)</f>
        <v>31.5</v>
      </c>
      <c r="H114" s="73">
        <f>IFERROR(__xludf.DUMMYFUNCTION("""COMPUTED_VALUE"""),20.75)</f>
        <v>20.75</v>
      </c>
      <c r="I114" s="73">
        <f>IFERROR(__xludf.DUMMYFUNCTION("""COMPUTED_VALUE"""),100.0)</f>
        <v>100</v>
      </c>
      <c r="J114" s="73"/>
      <c r="K114" s="73"/>
      <c r="L114" s="73"/>
      <c r="M114" s="73"/>
      <c r="N114" s="73">
        <f>IFERROR(__xludf.DUMMYFUNCTION("""COMPUTED_VALUE"""),1.0)</f>
        <v>1</v>
      </c>
      <c r="O114" s="73"/>
      <c r="P114" s="73" t="str">
        <f>IFERROR(__xludf.DUMMYFUNCTION("""COMPUTED_VALUE"""),"Offset")</f>
        <v>Offset</v>
      </c>
      <c r="Q114" s="73" t="str">
        <f>IFERROR(__xludf.DUMMYFUNCTION("""COMPUTED_VALUE"""),"Packaging")</f>
        <v>Packaging</v>
      </c>
      <c r="R114" s="73" t="str">
        <f>IFERROR(__xludf.DUMMYFUNCTION("""COMPUTED_VALUE"""),"Bakery")</f>
        <v>Bakery</v>
      </c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139"/>
      <c r="BG114" s="73"/>
      <c r="BH114" s="88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7" t="str">
        <f>IFERROR(__xludf.DUMMYFUNCTION("SPLIT(Quotation!E21,""*"")"),"#VALUE!")</f>
        <v>#VALUE!</v>
      </c>
      <c r="CE114" s="77"/>
      <c r="CF114" s="73"/>
      <c r="CG114" s="73" t="str">
        <f>Quotation!B28</f>
        <v>Die Charges</v>
      </c>
      <c r="CH114" s="73"/>
    </row>
    <row r="115">
      <c r="A115" s="156" t="str">
        <f>IFERROR(__xludf.DUMMYFUNCTION("""COMPUTED_VALUE"""),"https://drive.google.com/open?id=1WiwENX2OXbqGtZImummaw69V1QZvIUmI&amp;authuser=jay.agg%40gmail.com&amp;usp=drive_fs")</f>
        <v>https://drive.google.com/open?id=1WiwENX2OXbqGtZImummaw69V1QZvIUmI&amp;authuser=jay.agg%40gmail.com&amp;usp=drive_fs</v>
      </c>
      <c r="B115" s="73" t="str">
        <f>IFERROR(__xludf.DUMMYFUNCTION("""COMPUTED_VALUE"""),"Bakery")</f>
        <v>Bakery</v>
      </c>
      <c r="C115" s="73" t="str">
        <f>IFERROR(__xludf.DUMMYFUNCTION("""COMPUTED_VALUE"""),"Cake Box")</f>
        <v>Cake Box</v>
      </c>
      <c r="D115" s="73" t="str">
        <f>IFERROR(__xludf.DUMMYFUNCTION("""COMPUTED_VALUE"""),"9*5*4 inch")</f>
        <v>9*5*4 inch</v>
      </c>
      <c r="E115" s="140">
        <f>IFERROR(__xludf.DUMMYFUNCTION("""COMPUTED_VALUE"""),1.0)</f>
        <v>1</v>
      </c>
      <c r="F115" s="80">
        <f>IFERROR(__xludf.DUMMYFUNCTION("""COMPUTED_VALUE"""),1926.0)</f>
        <v>1926</v>
      </c>
      <c r="G115" s="80">
        <f>IFERROR(__xludf.DUMMYFUNCTION("""COMPUTED_VALUE"""),18.0)</f>
        <v>18</v>
      </c>
      <c r="H115" s="73">
        <f>IFERROR(__xludf.DUMMYFUNCTION("""COMPUTED_VALUE"""),19.0)</f>
        <v>19</v>
      </c>
      <c r="I115" s="73">
        <f>IFERROR(__xludf.DUMMYFUNCTION("""COMPUTED_VALUE"""),100.0)</f>
        <v>100</v>
      </c>
      <c r="J115" s="73"/>
      <c r="K115" s="73"/>
      <c r="L115" s="73"/>
      <c r="M115" s="73"/>
      <c r="N115" s="73">
        <f>IFERROR(__xludf.DUMMYFUNCTION("""COMPUTED_VALUE"""),1.0)</f>
        <v>1</v>
      </c>
      <c r="O115" s="73"/>
      <c r="P115" s="73" t="str">
        <f>IFERROR(__xludf.DUMMYFUNCTION("""COMPUTED_VALUE"""),"Offset")</f>
        <v>Offset</v>
      </c>
      <c r="Q115" s="73" t="str">
        <f>IFERROR(__xludf.DUMMYFUNCTION("""COMPUTED_VALUE"""),"Packaging")</f>
        <v>Packaging</v>
      </c>
      <c r="R115" s="73" t="str">
        <f>IFERROR(__xludf.DUMMYFUNCTION("""COMPUTED_VALUE"""),"Bakery")</f>
        <v>Bakery</v>
      </c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139"/>
      <c r="BG115" s="73"/>
      <c r="BH115" s="88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</row>
    <row r="116">
      <c r="A116" s="156" t="str">
        <f>IFERROR(__xludf.DUMMYFUNCTION("""COMPUTED_VALUE"""),"https://drive.google.com/open?id=1WjdIHZnsmG9Xe4DSSnFt65ZtIl_qw1S5&amp;authuser=jay.agg%40gmail.com&amp;usp=drive_fs")</f>
        <v>https://drive.google.com/open?id=1WjdIHZnsmG9Xe4DSSnFt65ZtIl_qw1S5&amp;authuser=jay.agg%40gmail.com&amp;usp=drive_fs</v>
      </c>
      <c r="B116" s="73" t="str">
        <f>IFERROR(__xludf.DUMMYFUNCTION("""COMPUTED_VALUE"""),"Bakery")</f>
        <v>Bakery</v>
      </c>
      <c r="C116" s="73" t="str">
        <f>IFERROR(__xludf.DUMMYFUNCTION("""COMPUTED_VALUE"""),"Cake Box")</f>
        <v>Cake Box</v>
      </c>
      <c r="D116" s="73" t="str">
        <f>IFERROR(__xludf.DUMMYFUNCTION("""COMPUTED_VALUE"""),"12*5*4 inch")</f>
        <v>12*5*4 inch</v>
      </c>
      <c r="E116" s="140">
        <f>IFERROR(__xludf.DUMMYFUNCTION("""COMPUTED_VALUE"""),1.0)</f>
        <v>1</v>
      </c>
      <c r="F116" s="80">
        <f>IFERROR(__xludf.DUMMYFUNCTION("""COMPUTED_VALUE"""),1926.0)</f>
        <v>1926</v>
      </c>
      <c r="G116" s="80">
        <f>IFERROR(__xludf.DUMMYFUNCTION("""COMPUTED_VALUE"""),19.0)</f>
        <v>19</v>
      </c>
      <c r="H116" s="73">
        <f>IFERROR(__xludf.DUMMYFUNCTION("""COMPUTED_VALUE"""),20.0)</f>
        <v>20</v>
      </c>
      <c r="I116" s="73">
        <f>IFERROR(__xludf.DUMMYFUNCTION("""COMPUTED_VALUE"""),100.0)</f>
        <v>100</v>
      </c>
      <c r="J116" s="73"/>
      <c r="K116" s="73"/>
      <c r="L116" s="73"/>
      <c r="M116" s="73"/>
      <c r="N116" s="73">
        <f>IFERROR(__xludf.DUMMYFUNCTION("""COMPUTED_VALUE"""),1.0)</f>
        <v>1</v>
      </c>
      <c r="O116" s="73"/>
      <c r="P116" s="73" t="str">
        <f>IFERROR(__xludf.DUMMYFUNCTION("""COMPUTED_VALUE"""),"Offset")</f>
        <v>Offset</v>
      </c>
      <c r="Q116" s="73" t="str">
        <f>IFERROR(__xludf.DUMMYFUNCTION("""COMPUTED_VALUE"""),"Packaging")</f>
        <v>Packaging</v>
      </c>
      <c r="R116" s="73" t="str">
        <f>IFERROR(__xludf.DUMMYFUNCTION("""COMPUTED_VALUE"""),"Bakery")</f>
        <v>Bakery</v>
      </c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139"/>
      <c r="BG116" s="73"/>
      <c r="BH116" s="88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</row>
    <row r="117">
      <c r="A117" s="156" t="str">
        <f>IFERROR(__xludf.DUMMYFUNCTION("""COMPUTED_VALUE"""),"https://drive.google.com/open?id=1Emi--XIoiuXckSxqBeNw1IyXwinydrah&amp;authuser=jay.agg%40gmail.com&amp;usp=drive_fs")</f>
        <v>https://drive.google.com/open?id=1Emi--XIoiuXckSxqBeNw1IyXwinydrah&amp;authuser=jay.agg%40gmail.com&amp;usp=drive_fs</v>
      </c>
      <c r="B117" s="73" t="str">
        <f>IFERROR(__xludf.DUMMYFUNCTION("""COMPUTED_VALUE"""),"Bakery")</f>
        <v>Bakery</v>
      </c>
      <c r="C117" s="73" t="str">
        <f>IFERROR(__xludf.DUMMYFUNCTION("""COMPUTED_VALUE"""),"Cake Box")</f>
        <v>Cake Box</v>
      </c>
      <c r="D117" s="73" t="str">
        <f>IFERROR(__xludf.DUMMYFUNCTION("""COMPUTED_VALUE"""),"178*178*127 mm | 7*7*5 inch | 30*26")</f>
        <v>178*178*127 mm | 7*7*5 inch | 30*26</v>
      </c>
      <c r="E117" s="140">
        <f>IFERROR(__xludf.DUMMYFUNCTION("""COMPUTED_VALUE"""),2.0)</f>
        <v>2</v>
      </c>
      <c r="F117" s="80">
        <f>IFERROR(__xludf.DUMMYFUNCTION("""COMPUTED_VALUE"""),2840.0)</f>
        <v>2840</v>
      </c>
      <c r="G117" s="80">
        <f>IFERROR(__xludf.DUMMYFUNCTION("""COMPUTED_VALUE"""),30.0)</f>
        <v>30</v>
      </c>
      <c r="H117" s="73">
        <f>IFERROR(__xludf.DUMMYFUNCTION("""COMPUTED_VALUE"""),26.0)</f>
        <v>26</v>
      </c>
      <c r="I117" s="73">
        <f>IFERROR(__xludf.DUMMYFUNCTION("""COMPUTED_VALUE"""),100.0)</f>
        <v>100</v>
      </c>
      <c r="J117" s="73"/>
      <c r="K117" s="73"/>
      <c r="L117" s="73"/>
      <c r="M117" s="73"/>
      <c r="N117" s="73">
        <f>IFERROR(__xludf.DUMMYFUNCTION("""COMPUTED_VALUE"""),1.0)</f>
        <v>1</v>
      </c>
      <c r="O117" s="73"/>
      <c r="P117" s="73" t="str">
        <f>IFERROR(__xludf.DUMMYFUNCTION("""COMPUTED_VALUE"""),"Offset")</f>
        <v>Offset</v>
      </c>
      <c r="Q117" s="73" t="str">
        <f>IFERROR(__xludf.DUMMYFUNCTION("""COMPUTED_VALUE"""),"Packaging")</f>
        <v>Packaging</v>
      </c>
      <c r="R117" s="73" t="str">
        <f>IFERROR(__xludf.DUMMYFUNCTION("""COMPUTED_VALUE"""),"Bakery")</f>
        <v>Bakery</v>
      </c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139"/>
      <c r="BG117" s="73"/>
      <c r="BH117" s="88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 t="str">
        <f>Quotation!A21</f>
        <v>Offset</v>
      </c>
      <c r="CC117" s="73" t="str">
        <f>Quotation!B21</f>
        <v>Packaging</v>
      </c>
      <c r="CD117" s="73" t="str">
        <f>Quotation!A25</f>
        <v>Printing</v>
      </c>
      <c r="CE117" s="130">
        <f>Quotation!F26</f>
        <v>2029</v>
      </c>
      <c r="CF117" s="73"/>
      <c r="CG117" s="73"/>
      <c r="CH117" s="73"/>
    </row>
    <row r="118">
      <c r="A118" s="156" t="str">
        <f>IFERROR(__xludf.DUMMYFUNCTION("""COMPUTED_VALUE"""),"https://drive.google.com/open?id=1Wosbq19T-CU3cAZZBsGO1-uK-rVVCFnR&amp;authuser=jay.agg%40gmail.com&amp;usp=drive_fs")</f>
        <v>https://drive.google.com/open?id=1Wosbq19T-CU3cAZZBsGO1-uK-rVVCFnR&amp;authuser=jay.agg%40gmail.com&amp;usp=drive_fs</v>
      </c>
      <c r="B118" s="73" t="str">
        <f>IFERROR(__xludf.DUMMYFUNCTION("""COMPUTED_VALUE"""),"Bakery")</f>
        <v>Bakery</v>
      </c>
      <c r="C118" s="73" t="str">
        <f>IFERROR(__xludf.DUMMYFUNCTION("""COMPUTED_VALUE"""),"Cake Box")</f>
        <v>Cake Box</v>
      </c>
      <c r="D118" s="73" t="str">
        <f>IFERROR(__xludf.DUMMYFUNCTION("""COMPUTED_VALUE"""),"203*203*127 mm | 8*8*5 inch | 34*27")</f>
        <v>203*203*127 mm | 8*8*5 inch | 34*27</v>
      </c>
      <c r="E118" s="140">
        <f>IFERROR(__xludf.DUMMYFUNCTION("""COMPUTED_VALUE"""),2.0)</f>
        <v>2</v>
      </c>
      <c r="F118" s="80">
        <f>IFERROR(__xludf.DUMMYFUNCTION("""COMPUTED_VALUE"""),2840.0)</f>
        <v>2840</v>
      </c>
      <c r="G118" s="80">
        <f>IFERROR(__xludf.DUMMYFUNCTION("""COMPUTED_VALUE"""),34.0)</f>
        <v>34</v>
      </c>
      <c r="H118" s="73">
        <f>IFERROR(__xludf.DUMMYFUNCTION("""COMPUTED_VALUE"""),27.0)</f>
        <v>27</v>
      </c>
      <c r="I118" s="73">
        <f>IFERROR(__xludf.DUMMYFUNCTION("""COMPUTED_VALUE"""),100.0)</f>
        <v>100</v>
      </c>
      <c r="J118" s="73"/>
      <c r="K118" s="73"/>
      <c r="L118" s="73"/>
      <c r="M118" s="73"/>
      <c r="N118" s="73">
        <f>IFERROR(__xludf.DUMMYFUNCTION("""COMPUTED_VALUE"""),1.0)</f>
        <v>1</v>
      </c>
      <c r="O118" s="73"/>
      <c r="P118" s="73" t="str">
        <f>IFERROR(__xludf.DUMMYFUNCTION("""COMPUTED_VALUE"""),"Offset")</f>
        <v>Offset</v>
      </c>
      <c r="Q118" s="73" t="str">
        <f>IFERROR(__xludf.DUMMYFUNCTION("""COMPUTED_VALUE"""),"Packaging")</f>
        <v>Packaging</v>
      </c>
      <c r="R118" s="73" t="str">
        <f>IFERROR(__xludf.DUMMYFUNCTION("""COMPUTED_VALUE"""),"Bakery")</f>
        <v>Bakery</v>
      </c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139"/>
      <c r="BG118" s="73"/>
      <c r="BH118" s="88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139" t="str">
        <f>IF(CB117="","","and CB = '"&amp;CB117&amp;"'")</f>
        <v>and CB = 'Offset'</v>
      </c>
      <c r="CC118" s="139" t="str">
        <f>IF(CC117="","","and CC = '"&amp;CC117&amp;"'")</f>
        <v>and CC = 'Packaging'</v>
      </c>
      <c r="CD118" s="139" t="str">
        <f>IF(CD117="","","and CD = '"&amp;CD117&amp;"'")</f>
        <v>and CD = 'Printing'</v>
      </c>
      <c r="CE118" s="139" t="str">
        <f>IF(CE117="","","and CF = "&amp;CE117&amp;"")</f>
        <v>and CF = 2029</v>
      </c>
      <c r="CF118" s="73"/>
      <c r="CG118" s="73"/>
      <c r="CH118" s="73"/>
    </row>
    <row r="119">
      <c r="A119" s="156" t="str">
        <f>IFERROR(__xludf.DUMMYFUNCTION("""COMPUTED_VALUE"""),"https://drive.google.com/open?id=1W4dIq4ve52YcyBHL5SlGfNPxNSXsPMNx&amp;authuser=jay.agg%40gmail.com&amp;usp=drive_fs")</f>
        <v>https://drive.google.com/open?id=1W4dIq4ve52YcyBHL5SlGfNPxNSXsPMNx&amp;authuser=jay.agg%40gmail.com&amp;usp=drive_fs</v>
      </c>
      <c r="B119" s="73" t="str">
        <f>IFERROR(__xludf.DUMMYFUNCTION("""COMPUTED_VALUE"""),"Bakery")</f>
        <v>Bakery</v>
      </c>
      <c r="C119" s="73" t="str">
        <f>IFERROR(__xludf.DUMMYFUNCTION("""COMPUTED_VALUE"""),"Cake Box")</f>
        <v>Cake Box</v>
      </c>
      <c r="D119" s="73" t="str">
        <f>IFERROR(__xludf.DUMMYFUNCTION("""COMPUTED_VALUE"""),"5*5*4 inch")</f>
        <v>5*5*4 inch</v>
      </c>
      <c r="E119" s="140">
        <f>IFERROR(__xludf.DUMMYFUNCTION("""COMPUTED_VALUE"""),2.0)</f>
        <v>2</v>
      </c>
      <c r="F119" s="80">
        <f>IFERROR(__xludf.DUMMYFUNCTION("""COMPUTED_VALUE"""),1926.0)</f>
        <v>1926</v>
      </c>
      <c r="G119" s="80">
        <f>IFERROR(__xludf.DUMMYFUNCTION("""COMPUTED_VALUE"""),20.0)</f>
        <v>20</v>
      </c>
      <c r="H119" s="73">
        <f>IFERROR(__xludf.DUMMYFUNCTION("""COMPUTED_VALUE"""),25.0)</f>
        <v>25</v>
      </c>
      <c r="I119" s="73">
        <f>IFERROR(__xludf.DUMMYFUNCTION("""COMPUTED_VALUE"""),100.0)</f>
        <v>100</v>
      </c>
      <c r="J119" s="73"/>
      <c r="K119" s="73"/>
      <c r="L119" s="73"/>
      <c r="M119" s="73"/>
      <c r="N119" s="73">
        <f>IFERROR(__xludf.DUMMYFUNCTION("""COMPUTED_VALUE"""),1.0)</f>
        <v>1</v>
      </c>
      <c r="O119" s="73"/>
      <c r="P119" s="73" t="str">
        <f>IFERROR(__xludf.DUMMYFUNCTION("""COMPUTED_VALUE"""),"Offset")</f>
        <v>Offset</v>
      </c>
      <c r="Q119" s="73" t="str">
        <f>IFERROR(__xludf.DUMMYFUNCTION("""COMPUTED_VALUE"""),"Packaging")</f>
        <v>Packaging</v>
      </c>
      <c r="R119" s="73" t="str">
        <f>IFERROR(__xludf.DUMMYFUNCTION("""COMPUTED_VALUE"""),"Bakery")</f>
        <v>Bakery</v>
      </c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139"/>
      <c r="BG119" s="73"/>
      <c r="BH119" s="88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88"/>
      <c r="BX119" s="73"/>
      <c r="BY119" s="73"/>
      <c r="BZ119" s="73"/>
      <c r="CA119" s="73"/>
      <c r="CB119" s="113" t="str">
        <f t="shared" ref="CB119:CE119" si="14">CONCATENATE("select * where 1=1",CB118)</f>
        <v>select * where 1=1and CB = 'Offset'</v>
      </c>
      <c r="CC119" s="113" t="str">
        <f t="shared" si="14"/>
        <v>select * where 1=1and CC = 'Packaging'</v>
      </c>
      <c r="CD119" s="113" t="str">
        <f t="shared" si="14"/>
        <v>select * where 1=1and CD = 'Printing'</v>
      </c>
      <c r="CE119" s="133" t="str">
        <f t="shared" si="14"/>
        <v>select * where 1=1and CF = 2029</v>
      </c>
      <c r="CF119" s="73"/>
      <c r="CG119" s="73"/>
      <c r="CH119" s="73"/>
    </row>
    <row r="120">
      <c r="A120" s="156" t="str">
        <f>IFERROR(__xludf.DUMMYFUNCTION("""COMPUTED_VALUE"""),"https://drive.google.com/open?id=1W6f_vCAMuG37be0jZF_jqzvvPw_kgr06&amp;authuser=jay.agg%40gmail.com&amp;usp=drive_fs")</f>
        <v>https://drive.google.com/open?id=1W6f_vCAMuG37be0jZF_jqzvvPw_kgr06&amp;authuser=jay.agg%40gmail.com&amp;usp=drive_fs</v>
      </c>
      <c r="B120" s="73" t="str">
        <f>IFERROR(__xludf.DUMMYFUNCTION("""COMPUTED_VALUE"""),"Bakery")</f>
        <v>Bakery</v>
      </c>
      <c r="C120" s="73" t="str">
        <f>IFERROR(__xludf.DUMMYFUNCTION("""COMPUTED_VALUE"""),"Cake Box")</f>
        <v>Cake Box</v>
      </c>
      <c r="D120" s="73" t="str">
        <f>IFERROR(__xludf.DUMMYFUNCTION("""COMPUTED_VALUE"""),"8*5*4 inch")</f>
        <v>8*5*4 inch</v>
      </c>
      <c r="E120" s="140">
        <f>IFERROR(__xludf.DUMMYFUNCTION("""COMPUTED_VALUE"""),1.0)</f>
        <v>1</v>
      </c>
      <c r="F120" s="80">
        <f>IFERROR(__xludf.DUMMYFUNCTION("""COMPUTED_VALUE"""),1926.0)</f>
        <v>1926</v>
      </c>
      <c r="G120" s="80">
        <f>IFERROR(__xludf.DUMMYFUNCTION("""COMPUTED_VALUE"""),15.5)</f>
        <v>15.5</v>
      </c>
      <c r="H120" s="73">
        <f>IFERROR(__xludf.DUMMYFUNCTION("""COMPUTED_VALUE"""),20.5)</f>
        <v>20.5</v>
      </c>
      <c r="I120" s="73">
        <f>IFERROR(__xludf.DUMMYFUNCTION("""COMPUTED_VALUE"""),100.0)</f>
        <v>100</v>
      </c>
      <c r="J120" s="73"/>
      <c r="K120" s="73"/>
      <c r="L120" s="73"/>
      <c r="M120" s="73"/>
      <c r="N120" s="73">
        <f>IFERROR(__xludf.DUMMYFUNCTION("""COMPUTED_VALUE"""),1.0)</f>
        <v>1</v>
      </c>
      <c r="O120" s="73"/>
      <c r="P120" s="73" t="str">
        <f>IFERROR(__xludf.DUMMYFUNCTION("""COMPUTED_VALUE"""),"Offset")</f>
        <v>Offset</v>
      </c>
      <c r="Q120" s="73" t="str">
        <f>IFERROR(__xludf.DUMMYFUNCTION("""COMPUTED_VALUE"""),"Packaging")</f>
        <v>Packaging</v>
      </c>
      <c r="R120" s="73" t="str">
        <f>IFERROR(__xludf.DUMMYFUNCTION("""COMPUTED_VALUE"""),"Bakery")</f>
        <v>Bakery</v>
      </c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139"/>
      <c r="BG120" s="73"/>
      <c r="BH120" s="88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101" t="s">
        <v>63</v>
      </c>
      <c r="CC120" s="88" t="s">
        <v>158</v>
      </c>
      <c r="CD120" s="88" t="s">
        <v>211</v>
      </c>
      <c r="CE120" s="163">
        <v>19260.0</v>
      </c>
      <c r="CF120" s="163">
        <v>28410.0</v>
      </c>
      <c r="CG120" s="161">
        <v>1.0</v>
      </c>
      <c r="CH120" s="80">
        <v>750.0</v>
      </c>
    </row>
    <row r="121">
      <c r="A121" s="156" t="str">
        <f>IFERROR(__xludf.DUMMYFUNCTION("""COMPUTED_VALUE"""),"https://drive.google.com/open?id=1WB1Gc6rLFJdLXQN6dDr8QovLCdZ0Frse&amp;authuser=jay.agg%40gmail.com&amp;usp=drive_fs")</f>
        <v>https://drive.google.com/open?id=1WB1Gc6rLFJdLXQN6dDr8QovLCdZ0Frse&amp;authuser=jay.agg%40gmail.com&amp;usp=drive_fs</v>
      </c>
      <c r="B121" s="73" t="str">
        <f>IFERROR(__xludf.DUMMYFUNCTION("""COMPUTED_VALUE"""),"Bakery")</f>
        <v>Bakery</v>
      </c>
      <c r="C121" s="73" t="str">
        <f>IFERROR(__xludf.DUMMYFUNCTION("""COMPUTED_VALUE"""),"Cake Box")</f>
        <v>Cake Box</v>
      </c>
      <c r="D121" s="73" t="str">
        <f>IFERROR(__xludf.DUMMYFUNCTION("""COMPUTED_VALUE"""),"8*8*4 inch")</f>
        <v>8*8*4 inch</v>
      </c>
      <c r="E121" s="140">
        <f>IFERROR(__xludf.DUMMYFUNCTION("""COMPUTED_VALUE"""),1.0)</f>
        <v>1</v>
      </c>
      <c r="F121" s="80">
        <f>IFERROR(__xludf.DUMMYFUNCTION("""COMPUTED_VALUE"""),1926.0)</f>
        <v>1926</v>
      </c>
      <c r="G121" s="80">
        <f>IFERROR(__xludf.DUMMYFUNCTION("""COMPUTED_VALUE"""),18.0)</f>
        <v>18</v>
      </c>
      <c r="H121" s="73">
        <f>IFERROR(__xludf.DUMMYFUNCTION("""COMPUTED_VALUE"""),25.0)</f>
        <v>25</v>
      </c>
      <c r="I121" s="73">
        <f>IFERROR(__xludf.DUMMYFUNCTION("""COMPUTED_VALUE"""),100.0)</f>
        <v>100</v>
      </c>
      <c r="J121" s="73"/>
      <c r="K121" s="73"/>
      <c r="L121" s="73"/>
      <c r="M121" s="73"/>
      <c r="N121" s="73">
        <f>IFERROR(__xludf.DUMMYFUNCTION("""COMPUTED_VALUE"""),1.0)</f>
        <v>1</v>
      </c>
      <c r="O121" s="73"/>
      <c r="P121" s="73" t="str">
        <f>IFERROR(__xludf.DUMMYFUNCTION("""COMPUTED_VALUE"""),"Offset")</f>
        <v>Offset</v>
      </c>
      <c r="Q121" s="73" t="str">
        <f>IFERROR(__xludf.DUMMYFUNCTION("""COMPUTED_VALUE"""),"Packaging")</f>
        <v>Packaging</v>
      </c>
      <c r="R121" s="73" t="str">
        <f>IFERROR(__xludf.DUMMYFUNCTION("""COMPUTED_VALUE"""),"Bakery")</f>
        <v>Bakery</v>
      </c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139"/>
      <c r="BG121" s="73"/>
      <c r="BH121" s="88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101" t="s">
        <v>63</v>
      </c>
      <c r="CC121" s="88" t="s">
        <v>158</v>
      </c>
      <c r="CD121" s="88" t="s">
        <v>211</v>
      </c>
      <c r="CE121" s="164">
        <v>20290.0</v>
      </c>
      <c r="CF121" s="163">
        <v>28410.0</v>
      </c>
      <c r="CG121" s="161">
        <v>1.0</v>
      </c>
      <c r="CH121" s="80">
        <v>750.0</v>
      </c>
    </row>
    <row r="122">
      <c r="A122" s="156" t="str">
        <f>IFERROR(__xludf.DUMMYFUNCTION("""COMPUTED_VALUE"""),"https://drive.google.com/open?id=1WGnc03m_rOcEsRw9mzc5rV4bCIFXBEfU&amp;authuser=jay.agg%40gmail.com&amp;usp=drive_fs")</f>
        <v>https://drive.google.com/open?id=1WGnc03m_rOcEsRw9mzc5rV4bCIFXBEfU&amp;authuser=jay.agg%40gmail.com&amp;usp=drive_fs</v>
      </c>
      <c r="B122" s="73" t="str">
        <f>IFERROR(__xludf.DUMMYFUNCTION("""COMPUTED_VALUE"""),"Bakery")</f>
        <v>Bakery</v>
      </c>
      <c r="C122" s="73" t="str">
        <f>IFERROR(__xludf.DUMMYFUNCTION("""COMPUTED_VALUE"""),"Cake Box")</f>
        <v>Cake Box</v>
      </c>
      <c r="D122" s="73" t="str">
        <f>IFERROR(__xludf.DUMMYFUNCTION("""COMPUTED_VALUE"""),"9*9*4 inch")</f>
        <v>9*9*4 inch</v>
      </c>
      <c r="E122" s="140">
        <f>IFERROR(__xludf.DUMMYFUNCTION("""COMPUTED_VALUE"""),1.0)</f>
        <v>1</v>
      </c>
      <c r="F122" s="80">
        <f>IFERROR(__xludf.DUMMYFUNCTION("""COMPUTED_VALUE"""),2029.0)</f>
        <v>2029</v>
      </c>
      <c r="G122" s="80">
        <f>IFERROR(__xludf.DUMMYFUNCTION("""COMPUTED_VALUE"""),17.5)</f>
        <v>17.5</v>
      </c>
      <c r="H122" s="73">
        <f>IFERROR(__xludf.DUMMYFUNCTION("""COMPUTED_VALUE"""),28.0)</f>
        <v>28</v>
      </c>
      <c r="I122" s="73">
        <f>IFERROR(__xludf.DUMMYFUNCTION("""COMPUTED_VALUE"""),100.0)</f>
        <v>100</v>
      </c>
      <c r="J122" s="73"/>
      <c r="K122" s="73"/>
      <c r="L122" s="73"/>
      <c r="M122" s="73"/>
      <c r="N122" s="73">
        <f>IFERROR(__xludf.DUMMYFUNCTION("""COMPUTED_VALUE"""),1.0)</f>
        <v>1</v>
      </c>
      <c r="O122" s="73"/>
      <c r="P122" s="73" t="str">
        <f>IFERROR(__xludf.DUMMYFUNCTION("""COMPUTED_VALUE"""),"Offset")</f>
        <v>Offset</v>
      </c>
      <c r="Q122" s="73" t="str">
        <f>IFERROR(__xludf.DUMMYFUNCTION("""COMPUTED_VALUE"""),"Packaging")</f>
        <v>Packaging</v>
      </c>
      <c r="R122" s="73" t="str">
        <f>IFERROR(__xludf.DUMMYFUNCTION("""COMPUTED_VALUE"""),"Bakery")</f>
        <v>Bakery</v>
      </c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139"/>
      <c r="BG122" s="73"/>
      <c r="BH122" s="88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88"/>
      <c r="BX122" s="73"/>
      <c r="BY122" s="73"/>
      <c r="BZ122" s="73"/>
      <c r="CA122" s="73"/>
      <c r="CB122" s="101" t="s">
        <v>63</v>
      </c>
      <c r="CC122" s="88" t="s">
        <v>158</v>
      </c>
      <c r="CD122" s="88" t="s">
        <v>211</v>
      </c>
      <c r="CE122" s="163">
        <v>28400.0</v>
      </c>
      <c r="CF122" s="163">
        <v>28410.0</v>
      </c>
      <c r="CG122" s="161">
        <v>1.0</v>
      </c>
      <c r="CH122" s="161">
        <v>750.0</v>
      </c>
    </row>
    <row r="123">
      <c r="A123" s="156" t="str">
        <f>IFERROR(__xludf.DUMMYFUNCTION("""COMPUTED_VALUE"""),"https://drive.google.com/open?id=1WHAuatUQ3wAiDtOhs95WQfMKRfFm5V-w&amp;authuser=jay.agg%40gmail.com&amp;usp=drive_fs")</f>
        <v>https://drive.google.com/open?id=1WHAuatUQ3wAiDtOhs95WQfMKRfFm5V-w&amp;authuser=jay.agg%40gmail.com&amp;usp=drive_fs</v>
      </c>
      <c r="B123" s="73" t="str">
        <f>IFERROR(__xludf.DUMMYFUNCTION("""COMPUTED_VALUE"""),"Bakery")</f>
        <v>Bakery</v>
      </c>
      <c r="C123" s="73" t="str">
        <f>IFERROR(__xludf.DUMMYFUNCTION("""COMPUTED_VALUE"""),"Cake Box")</f>
        <v>Cake Box</v>
      </c>
      <c r="D123" s="73" t="str">
        <f>IFERROR(__xludf.DUMMYFUNCTION("""COMPUTED_VALUE"""),"10*10*4 inch")</f>
        <v>10*10*4 inch</v>
      </c>
      <c r="E123" s="140">
        <f>IFERROR(__xludf.DUMMYFUNCTION("""COMPUTED_VALUE"""),1.0)</f>
        <v>1</v>
      </c>
      <c r="F123" s="80">
        <f>IFERROR(__xludf.DUMMYFUNCTION("""COMPUTED_VALUE"""),2029.0)</f>
        <v>2029</v>
      </c>
      <c r="G123" s="80">
        <f>IFERROR(__xludf.DUMMYFUNCTION("""COMPUTED_VALUE"""),17.0)</f>
        <v>17</v>
      </c>
      <c r="H123" s="73">
        <f>IFERROR(__xludf.DUMMYFUNCTION("""COMPUTED_VALUE"""),32.0)</f>
        <v>32</v>
      </c>
      <c r="I123" s="73">
        <f>IFERROR(__xludf.DUMMYFUNCTION("""COMPUTED_VALUE"""),100.0)</f>
        <v>100</v>
      </c>
      <c r="J123" s="73"/>
      <c r="K123" s="73"/>
      <c r="L123" s="73"/>
      <c r="M123" s="73"/>
      <c r="N123" s="73">
        <f>IFERROR(__xludf.DUMMYFUNCTION("""COMPUTED_VALUE"""),1.0)</f>
        <v>1</v>
      </c>
      <c r="O123" s="73"/>
      <c r="P123" s="73" t="str">
        <f>IFERROR(__xludf.DUMMYFUNCTION("""COMPUTED_VALUE"""),"Offset")</f>
        <v>Offset</v>
      </c>
      <c r="Q123" s="73" t="str">
        <f>IFERROR(__xludf.DUMMYFUNCTION("""COMPUTED_VALUE"""),"Packaging")</f>
        <v>Packaging</v>
      </c>
      <c r="R123" s="73" t="str">
        <f>IFERROR(__xludf.DUMMYFUNCTION("""COMPUTED_VALUE"""),"Bakery")</f>
        <v>Bakery</v>
      </c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139"/>
      <c r="BG123" s="73"/>
      <c r="BH123" s="88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88"/>
      <c r="BX123" s="73"/>
      <c r="BY123" s="73"/>
      <c r="BZ123" s="73"/>
      <c r="CA123" s="73"/>
      <c r="CB123" s="101" t="s">
        <v>63</v>
      </c>
      <c r="CC123" s="88" t="s">
        <v>158</v>
      </c>
      <c r="CD123" s="101" t="s">
        <v>18</v>
      </c>
      <c r="CE123" s="163">
        <v>19260.0</v>
      </c>
      <c r="CF123" s="163">
        <v>19260.0</v>
      </c>
      <c r="CG123" s="161">
        <v>0.0</v>
      </c>
      <c r="CH123" s="130">
        <f>Price!Y15</f>
        <v>250</v>
      </c>
    </row>
    <row r="124">
      <c r="A124" s="156" t="str">
        <f>IFERROR(__xludf.DUMMYFUNCTION("""COMPUTED_VALUE"""),"https://drive.google.com/open?id=1WIcp56NZpTp1JddV166biVPZHqDqO9VB&amp;authuser=jay.agg%40gmail.com&amp;usp=drive_fs")</f>
        <v>https://drive.google.com/open?id=1WIcp56NZpTp1JddV166biVPZHqDqO9VB&amp;authuser=jay.agg%40gmail.com&amp;usp=drive_fs</v>
      </c>
      <c r="B124" s="73" t="str">
        <f>IFERROR(__xludf.DUMMYFUNCTION("""COMPUTED_VALUE"""),"Bakery")</f>
        <v>Bakery</v>
      </c>
      <c r="C124" s="73" t="str">
        <f>IFERROR(__xludf.DUMMYFUNCTION("""COMPUTED_VALUE"""),"Cake Box")</f>
        <v>Cake Box</v>
      </c>
      <c r="D124" s="73" t="str">
        <f>IFERROR(__xludf.DUMMYFUNCTION("""COMPUTED_VALUE"""),"12*12*4 inch")</f>
        <v>12*12*4 inch</v>
      </c>
      <c r="E124" s="140">
        <f>IFERROR(__xludf.DUMMYFUNCTION("""COMPUTED_VALUE"""),1.0)</f>
        <v>1</v>
      </c>
      <c r="F124" s="80">
        <f>IFERROR(__xludf.DUMMYFUNCTION("""COMPUTED_VALUE"""),1926.0)</f>
        <v>1926</v>
      </c>
      <c r="G124" s="80">
        <f>IFERROR(__xludf.DUMMYFUNCTION("""COMPUTED_VALUE"""),18.0)</f>
        <v>18</v>
      </c>
      <c r="H124" s="73">
        <f>IFERROR(__xludf.DUMMYFUNCTION("""COMPUTED_VALUE"""),19.0)</f>
        <v>19</v>
      </c>
      <c r="I124" s="73">
        <f>IFERROR(__xludf.DUMMYFUNCTION("""COMPUTED_VALUE"""),100.0)</f>
        <v>100</v>
      </c>
      <c r="J124" s="73"/>
      <c r="K124" s="73"/>
      <c r="L124" s="73"/>
      <c r="M124" s="73">
        <f>IFERROR(__xludf.DUMMYFUNCTION("""COMPUTED_VALUE"""),0.1)</f>
        <v>0.1</v>
      </c>
      <c r="N124" s="73">
        <f>IFERROR(__xludf.DUMMYFUNCTION("""COMPUTED_VALUE"""),2.0)</f>
        <v>2</v>
      </c>
      <c r="O124" s="73"/>
      <c r="P124" s="73" t="str">
        <f>IFERROR(__xludf.DUMMYFUNCTION("""COMPUTED_VALUE"""),"Offset")</f>
        <v>Offset</v>
      </c>
      <c r="Q124" s="73" t="str">
        <f>IFERROR(__xludf.DUMMYFUNCTION("""COMPUTED_VALUE"""),"Packaging")</f>
        <v>Packaging</v>
      </c>
      <c r="R124" s="73" t="str">
        <f>IFERROR(__xludf.DUMMYFUNCTION("""COMPUTED_VALUE"""),"Bakery")</f>
        <v>Bakery</v>
      </c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139"/>
      <c r="BG124" s="73"/>
      <c r="BH124" s="88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88"/>
      <c r="BX124" s="73"/>
      <c r="BY124" s="73"/>
      <c r="BZ124" s="73"/>
      <c r="CA124" s="73"/>
      <c r="CB124" s="101" t="s">
        <v>63</v>
      </c>
      <c r="CC124" s="88" t="s">
        <v>158</v>
      </c>
      <c r="CD124" s="101" t="s">
        <v>18</v>
      </c>
      <c r="CE124" s="164">
        <v>20290.0</v>
      </c>
      <c r="CF124" s="164">
        <v>20290.0</v>
      </c>
      <c r="CG124" s="163">
        <v>0.0</v>
      </c>
      <c r="CH124" s="130">
        <f>Price!Z15</f>
        <v>275</v>
      </c>
    </row>
    <row r="125">
      <c r="A125" s="156" t="str">
        <f>IFERROR(__xludf.DUMMYFUNCTION("""COMPUTED_VALUE"""),"https://drive.google.com/open?id=1VhfpCdreCicsyU5h80igbH5W3YYNDRwF&amp;authuser=jay.agg%40gmail.com&amp;usp=drive_fs")</f>
        <v>https://drive.google.com/open?id=1VhfpCdreCicsyU5h80igbH5W3YYNDRwF&amp;authuser=jay.agg%40gmail.com&amp;usp=drive_fs</v>
      </c>
      <c r="B125" s="73" t="str">
        <f>IFERROR(__xludf.DUMMYFUNCTION("""COMPUTED_VALUE"""),"Bakery")</f>
        <v>Bakery</v>
      </c>
      <c r="C125" s="73" t="str">
        <f>IFERROR(__xludf.DUMMYFUNCTION("""COMPUTED_VALUE"""),"Mrs Kaurs")</f>
        <v>Mrs Kaurs</v>
      </c>
      <c r="D125" s="73" t="str">
        <f>IFERROR(__xludf.DUMMYFUNCTION("""COMPUTED_VALUE"""),"11.25*7.75*2.25 inch | 197*57*285 mm")</f>
        <v>11.25*7.75*2.25 inch | 197*57*285 mm</v>
      </c>
      <c r="E125" s="140">
        <f>IFERROR(__xludf.DUMMYFUNCTION("""COMPUTED_VALUE"""),1.0)</f>
        <v>1</v>
      </c>
      <c r="F125" s="80">
        <f>IFERROR(__xludf.DUMMYFUNCTION("""COMPUTED_VALUE"""),1926.0)</f>
        <v>1926</v>
      </c>
      <c r="G125" s="80">
        <f>IFERROR(__xludf.DUMMYFUNCTION("""COMPUTED_VALUE"""),18.0)</f>
        <v>18</v>
      </c>
      <c r="H125" s="73">
        <f>IFERROR(__xludf.DUMMYFUNCTION("""COMPUTED_VALUE"""),21.0)</f>
        <v>21</v>
      </c>
      <c r="I125" s="73">
        <f>IFERROR(__xludf.DUMMYFUNCTION("""COMPUTED_VALUE"""),100.0)</f>
        <v>100</v>
      </c>
      <c r="J125" s="73"/>
      <c r="K125" s="73"/>
      <c r="L125" s="73"/>
      <c r="M125" s="73"/>
      <c r="N125" s="73">
        <f>IFERROR(__xludf.DUMMYFUNCTION("""COMPUTED_VALUE"""),1.0)</f>
        <v>1</v>
      </c>
      <c r="O125" s="73"/>
      <c r="P125" s="73" t="str">
        <f>IFERROR(__xludf.DUMMYFUNCTION("""COMPUTED_VALUE"""),"Offset")</f>
        <v>Offset</v>
      </c>
      <c r="Q125" s="73" t="str">
        <f>IFERROR(__xludf.DUMMYFUNCTION("""COMPUTED_VALUE"""),"Packaging")</f>
        <v>Packaging</v>
      </c>
      <c r="R125" s="73" t="str">
        <f>IFERROR(__xludf.DUMMYFUNCTION("""COMPUTED_VALUE"""),"Bakery")</f>
        <v>Bakery</v>
      </c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139"/>
      <c r="BG125" s="73"/>
      <c r="BH125" s="88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101" t="s">
        <v>63</v>
      </c>
      <c r="CC125" s="88" t="s">
        <v>158</v>
      </c>
      <c r="CD125" s="101" t="s">
        <v>18</v>
      </c>
      <c r="CE125" s="163">
        <v>28400.0</v>
      </c>
      <c r="CF125" s="163">
        <v>28400.0</v>
      </c>
      <c r="CG125" s="163">
        <v>0.0</v>
      </c>
      <c r="CH125" s="130">
        <f>Price!Y18</f>
        <v>650</v>
      </c>
    </row>
    <row r="126">
      <c r="A126" s="156" t="str">
        <f>IFERROR(__xludf.DUMMYFUNCTION("""COMPUTED_VALUE"""),"https://drive.google.com/open?id=1VrnbAQfw40315mHJzxlJfQgaFll_AeOn&amp;authuser=jay.agg%40gmail.com&amp;usp=drive_fs")</f>
        <v>https://drive.google.com/open?id=1VrnbAQfw40315mHJzxlJfQgaFll_AeOn&amp;authuser=jay.agg%40gmail.com&amp;usp=drive_fs</v>
      </c>
      <c r="B126" s="73" t="str">
        <f>IFERROR(__xludf.DUMMYFUNCTION("""COMPUTED_VALUE"""),"Bakery")</f>
        <v>Bakery</v>
      </c>
      <c r="C126" s="73" t="str">
        <f>IFERROR(__xludf.DUMMYFUNCTION("""COMPUTED_VALUE"""),"Mrs Kaurs")</f>
        <v>Mrs Kaurs</v>
      </c>
      <c r="D126" s="73" t="str">
        <f>IFERROR(__xludf.DUMMYFUNCTION("""COMPUTED_VALUE"""),"7.75*7.75*2.25 inch | 195*195*57 mm")</f>
        <v>7.75*7.75*2.25 inch | 195*195*57 mm</v>
      </c>
      <c r="E126" s="140">
        <f>IFERROR(__xludf.DUMMYFUNCTION("""COMPUTED_VALUE"""),1.0)</f>
        <v>1</v>
      </c>
      <c r="F126" s="80">
        <f>IFERROR(__xludf.DUMMYFUNCTION("""COMPUTED_VALUE"""),1926.0)</f>
        <v>1926</v>
      </c>
      <c r="G126" s="80">
        <f>IFERROR(__xludf.DUMMYFUNCTION("""COMPUTED_VALUE"""),13.0)</f>
        <v>13</v>
      </c>
      <c r="H126" s="73">
        <f>IFERROR(__xludf.DUMMYFUNCTION("""COMPUTED_VALUE"""),21.0)</f>
        <v>21</v>
      </c>
      <c r="I126" s="73">
        <f>IFERROR(__xludf.DUMMYFUNCTION("""COMPUTED_VALUE"""),100.0)</f>
        <v>100</v>
      </c>
      <c r="J126" s="73"/>
      <c r="K126" s="73"/>
      <c r="L126" s="73"/>
      <c r="M126" s="73"/>
      <c r="N126" s="73">
        <f>IFERROR(__xludf.DUMMYFUNCTION("""COMPUTED_VALUE"""),1.0)</f>
        <v>1</v>
      </c>
      <c r="O126" s="73"/>
      <c r="P126" s="73" t="str">
        <f>IFERROR(__xludf.DUMMYFUNCTION("""COMPUTED_VALUE"""),"Offset")</f>
        <v>Offset</v>
      </c>
      <c r="Q126" s="73" t="str">
        <f>IFERROR(__xludf.DUMMYFUNCTION("""COMPUTED_VALUE"""),"Packaging")</f>
        <v>Packaging</v>
      </c>
      <c r="R126" s="73" t="str">
        <f>IFERROR(__xludf.DUMMYFUNCTION("""COMPUTED_VALUE"""),"Bakery")</f>
        <v>Bakery</v>
      </c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139"/>
      <c r="BG126" s="73"/>
      <c r="BH126" s="88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101" t="s">
        <v>63</v>
      </c>
      <c r="CC126" s="80" t="s">
        <v>72</v>
      </c>
      <c r="CD126" s="88" t="s">
        <v>211</v>
      </c>
      <c r="CE126" s="163">
        <v>1926.0</v>
      </c>
      <c r="CF126" s="163">
        <v>2030.0</v>
      </c>
      <c r="CG126" s="161">
        <v>1.0</v>
      </c>
      <c r="CH126" s="130">
        <f>Price!Y12</f>
        <v>425</v>
      </c>
    </row>
    <row r="127">
      <c r="A127" s="156" t="str">
        <f>IFERROR(__xludf.DUMMYFUNCTION("""COMPUTED_VALUE"""),"https://drive.google.com/open?id=1VxJNrUqV9CSOKxlgGxRkN1kWJyIbW4QT&amp;authuser=jay.agg%40gmail.com&amp;usp=drive_fs")</f>
        <v>https://drive.google.com/open?id=1VxJNrUqV9CSOKxlgGxRkN1kWJyIbW4QT&amp;authuser=jay.agg%40gmail.com&amp;usp=drive_fs</v>
      </c>
      <c r="B127" s="73" t="str">
        <f>IFERROR(__xludf.DUMMYFUNCTION("""COMPUTED_VALUE"""),"Bakery")</f>
        <v>Bakery</v>
      </c>
      <c r="C127" s="73" t="str">
        <f>IFERROR(__xludf.DUMMYFUNCTION("""COMPUTED_VALUE"""),"Mrs Kaurs")</f>
        <v>Mrs Kaurs</v>
      </c>
      <c r="D127" s="73" t="str">
        <f>IFERROR(__xludf.DUMMYFUNCTION("""COMPUTED_VALUE"""),"7.75*7.75*4 inch |195*195*102 mm")</f>
        <v>7.75*7.75*4 inch |195*195*102 mm</v>
      </c>
      <c r="E127" s="140">
        <f>IFERROR(__xludf.DUMMYFUNCTION("""COMPUTED_VALUE"""),1.0)</f>
        <v>1</v>
      </c>
      <c r="F127" s="80">
        <f>IFERROR(__xludf.DUMMYFUNCTION("""COMPUTED_VALUE"""),1926.0)</f>
        <v>1926</v>
      </c>
      <c r="G127" s="80">
        <f>IFERROR(__xludf.DUMMYFUNCTION("""COMPUTED_VALUE"""),15.0)</f>
        <v>15</v>
      </c>
      <c r="H127" s="73">
        <f>IFERROR(__xludf.DUMMYFUNCTION("""COMPUTED_VALUE"""),25.0)</f>
        <v>25</v>
      </c>
      <c r="I127" s="73">
        <f>IFERROR(__xludf.DUMMYFUNCTION("""COMPUTED_VALUE"""),100.0)</f>
        <v>100</v>
      </c>
      <c r="J127" s="73"/>
      <c r="K127" s="73"/>
      <c r="L127" s="73"/>
      <c r="M127" s="73"/>
      <c r="N127" s="73">
        <f>IFERROR(__xludf.DUMMYFUNCTION("""COMPUTED_VALUE"""),1.0)</f>
        <v>1</v>
      </c>
      <c r="O127" s="73"/>
      <c r="P127" s="73" t="str">
        <f>IFERROR(__xludf.DUMMYFUNCTION("""COMPUTED_VALUE"""),"Offset")</f>
        <v>Offset</v>
      </c>
      <c r="Q127" s="73" t="str">
        <f>IFERROR(__xludf.DUMMYFUNCTION("""COMPUTED_VALUE"""),"Packaging")</f>
        <v>Packaging</v>
      </c>
      <c r="R127" s="73" t="str">
        <f>IFERROR(__xludf.DUMMYFUNCTION("""COMPUTED_VALUE"""),"Bakery")</f>
        <v>Bakery</v>
      </c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139"/>
      <c r="BG127" s="73"/>
      <c r="BH127" s="88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101" t="s">
        <v>63</v>
      </c>
      <c r="CC127" s="80" t="s">
        <v>72</v>
      </c>
      <c r="CD127" s="88" t="s">
        <v>211</v>
      </c>
      <c r="CE127" s="164">
        <v>2029.0</v>
      </c>
      <c r="CF127" s="163">
        <v>2030.0</v>
      </c>
      <c r="CG127" s="161">
        <v>1.0</v>
      </c>
      <c r="CH127" s="130">
        <f>Price!Y12</f>
        <v>425</v>
      </c>
    </row>
    <row r="128">
      <c r="A128" s="156" t="str">
        <f>IFERROR(__xludf.DUMMYFUNCTION("""COMPUTED_VALUE"""),"https://drive.google.com/open?id=1W-bKbywRFgZKk4OIT4FHoObQgjbQReEb&amp;authuser=jay.agg%40gmail.com&amp;usp=drive_fs")</f>
        <v>https://drive.google.com/open?id=1W-bKbywRFgZKk4OIT4FHoObQgjbQReEb&amp;authuser=jay.agg%40gmail.com&amp;usp=drive_fs</v>
      </c>
      <c r="B128" s="73" t="str">
        <f>IFERROR(__xludf.DUMMYFUNCTION("""COMPUTED_VALUE"""),"Bakery")</f>
        <v>Bakery</v>
      </c>
      <c r="C128" s="73" t="str">
        <f>IFERROR(__xludf.DUMMYFUNCTION("""COMPUTED_VALUE"""),"Mrs Kaurs")</f>
        <v>Mrs Kaurs</v>
      </c>
      <c r="D128" s="73" t="str">
        <f>IFERROR(__xludf.DUMMYFUNCTION("""COMPUTED_VALUE"""),"4*4*1.75 inch | 102*102*45 mm")</f>
        <v>4*4*1.75 inch | 102*102*45 mm</v>
      </c>
      <c r="E128" s="140">
        <f>IFERROR(__xludf.DUMMYFUNCTION("""COMPUTED_VALUE"""),4.0)</f>
        <v>4</v>
      </c>
      <c r="F128" s="80">
        <f>IFERROR(__xludf.DUMMYFUNCTION("""COMPUTED_VALUE"""),1926.0)</f>
        <v>1926</v>
      </c>
      <c r="G128" s="80">
        <f>IFERROR(__xludf.DUMMYFUNCTION("""COMPUTED_VALUE"""),18.0)</f>
        <v>18</v>
      </c>
      <c r="H128" s="73">
        <f>IFERROR(__xludf.DUMMYFUNCTION("""COMPUTED_VALUE"""),25.0)</f>
        <v>25</v>
      </c>
      <c r="I128" s="73">
        <f>IFERROR(__xludf.DUMMYFUNCTION("""COMPUTED_VALUE"""),100.0)</f>
        <v>100</v>
      </c>
      <c r="J128" s="73"/>
      <c r="K128" s="73"/>
      <c r="L128" s="73"/>
      <c r="M128" s="73"/>
      <c r="N128" s="73">
        <f>IFERROR(__xludf.DUMMYFUNCTION("""COMPUTED_VALUE"""),1.0)</f>
        <v>1</v>
      </c>
      <c r="O128" s="73"/>
      <c r="P128" s="73" t="str">
        <f>IFERROR(__xludf.DUMMYFUNCTION("""COMPUTED_VALUE"""),"Offset")</f>
        <v>Offset</v>
      </c>
      <c r="Q128" s="73" t="str">
        <f>IFERROR(__xludf.DUMMYFUNCTION("""COMPUTED_VALUE"""),"Packaging")</f>
        <v>Packaging</v>
      </c>
      <c r="R128" s="73" t="str">
        <f>IFERROR(__xludf.DUMMYFUNCTION("""COMPUTED_VALUE"""),"Bakery")</f>
        <v>Bakery</v>
      </c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139"/>
      <c r="BG128" s="73"/>
      <c r="BH128" s="88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88"/>
      <c r="BX128" s="88"/>
      <c r="BY128" s="73"/>
      <c r="BZ128" s="73"/>
      <c r="CA128" s="73"/>
      <c r="CB128" s="101" t="s">
        <v>63</v>
      </c>
      <c r="CC128" s="80" t="s">
        <v>72</v>
      </c>
      <c r="CD128" s="88" t="s">
        <v>211</v>
      </c>
      <c r="CE128" s="163">
        <v>2840.0</v>
      </c>
      <c r="CF128" s="163">
        <v>2841.0</v>
      </c>
      <c r="CG128" s="161">
        <v>1.0</v>
      </c>
      <c r="CH128" s="166">
        <f>Price!Z12</f>
        <v>700</v>
      </c>
    </row>
    <row r="129">
      <c r="A129" s="156" t="str">
        <f>IFERROR(__xludf.DUMMYFUNCTION("""COMPUTED_VALUE"""),"https://drive.google.com/open?id=1W0BfPEOQXXRF7nZ7uGa4ixksRxiDRfBh&amp;authuser=jay.agg%40gmail.com&amp;usp=drive_fs")</f>
        <v>https://drive.google.com/open?id=1W0BfPEOQXXRF7nZ7uGa4ixksRxiDRfBh&amp;authuser=jay.agg%40gmail.com&amp;usp=drive_fs</v>
      </c>
      <c r="B129" s="73" t="str">
        <f>IFERROR(__xludf.DUMMYFUNCTION("""COMPUTED_VALUE"""),"Bakery")</f>
        <v>Bakery</v>
      </c>
      <c r="C129" s="73" t="str">
        <f>IFERROR(__xludf.DUMMYFUNCTION("""COMPUTED_VALUE"""),"Mrs Kaurs")</f>
        <v>Mrs Kaurs</v>
      </c>
      <c r="D129" s="73" t="str">
        <f>IFERROR(__xludf.DUMMYFUNCTION("""COMPUTED_VALUE"""),"7.75*4*2.25 inch | 193*57*105 mm")</f>
        <v>7.75*4*2.25 inch | 193*57*105 mm</v>
      </c>
      <c r="E129" s="140">
        <f>IFERROR(__xludf.DUMMYFUNCTION("""COMPUTED_VALUE"""),2.0)</f>
        <v>2</v>
      </c>
      <c r="F129" s="80">
        <f>IFERROR(__xludf.DUMMYFUNCTION("""COMPUTED_VALUE"""),1926.0)</f>
        <v>1926</v>
      </c>
      <c r="G129" s="80">
        <f>IFERROR(__xludf.DUMMYFUNCTION("""COMPUTED_VALUE"""),15.0)</f>
        <v>15</v>
      </c>
      <c r="H129" s="73">
        <f>IFERROR(__xludf.DUMMYFUNCTION("""COMPUTED_VALUE"""),25.0)</f>
        <v>25</v>
      </c>
      <c r="I129" s="73">
        <f>IFERROR(__xludf.DUMMYFUNCTION("""COMPUTED_VALUE"""),100.0)</f>
        <v>100</v>
      </c>
      <c r="J129" s="73"/>
      <c r="K129" s="73"/>
      <c r="L129" s="73"/>
      <c r="M129" s="73"/>
      <c r="N129" s="73">
        <f>IFERROR(__xludf.DUMMYFUNCTION("""COMPUTED_VALUE"""),1.0)</f>
        <v>1</v>
      </c>
      <c r="O129" s="73"/>
      <c r="P129" s="73" t="str">
        <f>IFERROR(__xludf.DUMMYFUNCTION("""COMPUTED_VALUE"""),"Offset")</f>
        <v>Offset</v>
      </c>
      <c r="Q129" s="73" t="str">
        <f>IFERROR(__xludf.DUMMYFUNCTION("""COMPUTED_VALUE"""),"Packaging")</f>
        <v>Packaging</v>
      </c>
      <c r="R129" s="73" t="str">
        <f>IFERROR(__xludf.DUMMYFUNCTION("""COMPUTED_VALUE"""),"Bakery")</f>
        <v>Bakery</v>
      </c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139"/>
      <c r="BG129" s="73"/>
      <c r="BH129" s="88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88"/>
      <c r="BX129" s="88"/>
      <c r="BY129" s="73"/>
      <c r="BZ129" s="73"/>
      <c r="CA129" s="73"/>
      <c r="CB129" s="101" t="s">
        <v>63</v>
      </c>
      <c r="CC129" s="80" t="s">
        <v>72</v>
      </c>
      <c r="CD129" s="101" t="s">
        <v>18</v>
      </c>
      <c r="CE129" s="163">
        <v>1926.0</v>
      </c>
      <c r="CF129" s="163">
        <v>1926.0</v>
      </c>
      <c r="CG129" s="161">
        <v>0.0</v>
      </c>
      <c r="CH129" s="166">
        <f>Price!Y15</f>
        <v>250</v>
      </c>
    </row>
    <row r="130">
      <c r="A130" s="156" t="str">
        <f>IFERROR(__xludf.DUMMYFUNCTION("""COMPUTED_VALUE"""),"https://drive.google.com/open?id=1W0Gn-ZpgFavI6U_i6lkrRggmkpEUA12o&amp;authuser=jay.agg%40gmail.com&amp;usp=drive_fs")</f>
        <v>https://drive.google.com/open?id=1W0Gn-ZpgFavI6U_i6lkrRggmkpEUA12o&amp;authuser=jay.agg%40gmail.com&amp;usp=drive_fs</v>
      </c>
      <c r="B130" s="73" t="str">
        <f>IFERROR(__xludf.DUMMYFUNCTION("""COMPUTED_VALUE"""),"Bakery")</f>
        <v>Bakery</v>
      </c>
      <c r="C130" s="73" t="str">
        <f>IFERROR(__xludf.DUMMYFUNCTION("""COMPUTED_VALUE"""),"Mrs Kaurs")</f>
        <v>Mrs Kaurs</v>
      </c>
      <c r="D130" s="73" t="str">
        <f>IFERROR(__xludf.DUMMYFUNCTION("""COMPUTED_VALUE"""),"11*4*2.25 inch | 282*57*102 mm")</f>
        <v>11*4*2.25 inch | 282*57*102 mm</v>
      </c>
      <c r="E130" s="140">
        <f>IFERROR(__xludf.DUMMYFUNCTION("""COMPUTED_VALUE"""),1.0)</f>
        <v>1</v>
      </c>
      <c r="F130" s="80">
        <f>IFERROR(__xludf.DUMMYFUNCTION("""COMPUTED_VALUE"""),1926.0)</f>
        <v>1926</v>
      </c>
      <c r="G130" s="80">
        <f>IFERROR(__xludf.DUMMYFUNCTION("""COMPUTED_VALUE"""),13.8)</f>
        <v>13.8</v>
      </c>
      <c r="H130" s="73">
        <f>IFERROR(__xludf.DUMMYFUNCTION("""COMPUTED_VALUE"""),15.75)</f>
        <v>15.75</v>
      </c>
      <c r="I130" s="73">
        <f>IFERROR(__xludf.DUMMYFUNCTION("""COMPUTED_VALUE"""),100.0)</f>
        <v>100</v>
      </c>
      <c r="J130" s="73"/>
      <c r="K130" s="73"/>
      <c r="L130" s="73"/>
      <c r="M130" s="73"/>
      <c r="N130" s="73">
        <f>IFERROR(__xludf.DUMMYFUNCTION("""COMPUTED_VALUE"""),1.0)</f>
        <v>1</v>
      </c>
      <c r="O130" s="73"/>
      <c r="P130" s="73" t="str">
        <f>IFERROR(__xludf.DUMMYFUNCTION("""COMPUTED_VALUE"""),"Offset")</f>
        <v>Offset</v>
      </c>
      <c r="Q130" s="73" t="str">
        <f>IFERROR(__xludf.DUMMYFUNCTION("""COMPUTED_VALUE"""),"Packaging")</f>
        <v>Packaging</v>
      </c>
      <c r="R130" s="73" t="str">
        <f>IFERROR(__xludf.DUMMYFUNCTION("""COMPUTED_VALUE"""),"Bakery")</f>
        <v>Bakery</v>
      </c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139"/>
      <c r="BG130" s="73"/>
      <c r="BH130" s="88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88"/>
      <c r="BX130" s="88"/>
      <c r="BY130" s="73"/>
      <c r="BZ130" s="73"/>
      <c r="CA130" s="73"/>
      <c r="CB130" s="101" t="s">
        <v>63</v>
      </c>
      <c r="CC130" s="80" t="s">
        <v>72</v>
      </c>
      <c r="CD130" s="101" t="s">
        <v>18</v>
      </c>
      <c r="CE130" s="164">
        <v>2029.0</v>
      </c>
      <c r="CF130" s="164">
        <v>2029.0</v>
      </c>
      <c r="CG130" s="163">
        <v>0.0</v>
      </c>
      <c r="CH130" s="166">
        <f>Price!Z15</f>
        <v>275</v>
      </c>
    </row>
    <row r="131">
      <c r="A131" s="156" t="str">
        <f>IFERROR(__xludf.DUMMYFUNCTION("""COMPUTED_VALUE"""),"https://drive.google.com/open?id=1W0X0xgnjVP7OosahJk5m0R11OOZUeqRs&amp;authuser=jay.agg%40gmail.com&amp;usp=drive_fs")</f>
        <v>https://drive.google.com/open?id=1W0X0xgnjVP7OosahJk5m0R11OOZUeqRs&amp;authuser=jay.agg%40gmail.com&amp;usp=drive_fs</v>
      </c>
      <c r="B131" s="73" t="str">
        <f>IFERROR(__xludf.DUMMYFUNCTION("""COMPUTED_VALUE"""),"Bakery")</f>
        <v>Bakery</v>
      </c>
      <c r="C131" s="73" t="str">
        <f>IFERROR(__xludf.DUMMYFUNCTION("""COMPUTED_VALUE"""),"Mrs Kaurs")</f>
        <v>Mrs Kaurs</v>
      </c>
      <c r="D131" s="73" t="str">
        <f>IFERROR(__xludf.DUMMYFUNCTION("""COMPUTED_VALUE"""),"Partition 19.5*3.75 inch | 489*95 mm")</f>
        <v>Partition 19.5*3.75 inch | 489*95 mm</v>
      </c>
      <c r="E131" s="140">
        <f>IFERROR(__xludf.DUMMYFUNCTION("""COMPUTED_VALUE"""),6.0)</f>
        <v>6</v>
      </c>
      <c r="F131" s="80">
        <f>IFERROR(__xludf.DUMMYFUNCTION("""COMPUTED_VALUE"""),1926.0)</f>
        <v>1926</v>
      </c>
      <c r="G131" s="80">
        <f>IFERROR(__xludf.DUMMYFUNCTION("""COMPUTED_VALUE"""),19.5)</f>
        <v>19.5</v>
      </c>
      <c r="H131" s="73">
        <f>IFERROR(__xludf.DUMMYFUNCTION("""COMPUTED_VALUE"""),23.0)</f>
        <v>23</v>
      </c>
      <c r="I131" s="73">
        <f>IFERROR(__xludf.DUMMYFUNCTION("""COMPUTED_VALUE"""),100.0)</f>
        <v>100</v>
      </c>
      <c r="J131" s="73"/>
      <c r="K131" s="73"/>
      <c r="L131" s="73"/>
      <c r="M131" s="73"/>
      <c r="N131" s="73">
        <f>IFERROR(__xludf.DUMMYFUNCTION("""COMPUTED_VALUE"""),1.0)</f>
        <v>1</v>
      </c>
      <c r="O131" s="73"/>
      <c r="P131" s="73" t="str">
        <f>IFERROR(__xludf.DUMMYFUNCTION("""COMPUTED_VALUE"""),"Offset")</f>
        <v>Offset</v>
      </c>
      <c r="Q131" s="73" t="str">
        <f>IFERROR(__xludf.DUMMYFUNCTION("""COMPUTED_VALUE"""),"Packaging")</f>
        <v>Packaging</v>
      </c>
      <c r="R131" s="73" t="str">
        <f>IFERROR(__xludf.DUMMYFUNCTION("""COMPUTED_VALUE"""),"Bakery")</f>
        <v>Bakery</v>
      </c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139"/>
      <c r="BG131" s="73"/>
      <c r="BH131" s="88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88"/>
      <c r="BZ131" s="73"/>
      <c r="CA131" s="73"/>
      <c r="CB131" s="101" t="s">
        <v>63</v>
      </c>
      <c r="CC131" s="80" t="s">
        <v>72</v>
      </c>
      <c r="CD131" s="101" t="s">
        <v>18</v>
      </c>
      <c r="CE131" s="163">
        <v>2840.0</v>
      </c>
      <c r="CF131" s="163">
        <v>2840.0</v>
      </c>
      <c r="CG131" s="163">
        <v>0.0</v>
      </c>
      <c r="CH131" s="130">
        <f>Price!Y18</f>
        <v>650</v>
      </c>
    </row>
    <row r="132">
      <c r="A132" s="156" t="str">
        <f>IFERROR(__xludf.DUMMYFUNCTION("""COMPUTED_VALUE"""),"https://drive.google.com/open?id=1ovQiycdDxXeO53FWi_N954j9_1Ur9w55&amp;authuser=jay.agg%40gmail.com&amp;usp=drive_fs")</f>
        <v>https://drive.google.com/open?id=1ovQiycdDxXeO53FWi_N954j9_1Ur9w55&amp;authuser=jay.agg%40gmail.com&amp;usp=drive_fs</v>
      </c>
      <c r="B132" s="73" t="str">
        <f>IFERROR(__xludf.DUMMYFUNCTION("""COMPUTED_VALUE"""),"Bakery")</f>
        <v>Bakery</v>
      </c>
      <c r="C132" s="73" t="str">
        <f>IFERROR(__xludf.DUMMYFUNCTION("""COMPUTED_VALUE"""),"Cake Box")</f>
        <v>Cake Box</v>
      </c>
      <c r="D132" s="73" t="str">
        <f>IFERROR(__xludf.DUMMYFUNCTION("""COMPUTED_VALUE"""),"203*203*152 mm | 8*8*6 inch | 22*30")</f>
        <v>203*203*152 mm | 8*8*6 inch | 22*30</v>
      </c>
      <c r="E132" s="140">
        <f>IFERROR(__xludf.DUMMYFUNCTION("""COMPUTED_VALUE"""),1.0)</f>
        <v>1</v>
      </c>
      <c r="F132" s="80">
        <f>IFERROR(__xludf.DUMMYFUNCTION("""COMPUTED_VALUE"""),1926.0)</f>
        <v>1926</v>
      </c>
      <c r="G132" s="80">
        <f>IFERROR(__xludf.DUMMYFUNCTION("""COMPUTED_VALUE"""),20.0)</f>
        <v>20</v>
      </c>
      <c r="H132" s="73">
        <f>IFERROR(__xludf.DUMMYFUNCTION("""COMPUTED_VALUE"""),30.0)</f>
        <v>30</v>
      </c>
      <c r="I132" s="73">
        <f>IFERROR(__xludf.DUMMYFUNCTION("""COMPUTED_VALUE"""),100.0)</f>
        <v>100</v>
      </c>
      <c r="J132" s="73"/>
      <c r="K132" s="73"/>
      <c r="L132" s="73"/>
      <c r="M132" s="73"/>
      <c r="N132" s="73">
        <f>IFERROR(__xludf.DUMMYFUNCTION("""COMPUTED_VALUE"""),1.0)</f>
        <v>1</v>
      </c>
      <c r="O132" s="73"/>
      <c r="P132" s="73" t="str">
        <f>IFERROR(__xludf.DUMMYFUNCTION("""COMPUTED_VALUE"""),"Offset")</f>
        <v>Offset</v>
      </c>
      <c r="Q132" s="73" t="str">
        <f>IFERROR(__xludf.DUMMYFUNCTION("""COMPUTED_VALUE"""),"Packaging")</f>
        <v>Packaging</v>
      </c>
      <c r="R132" s="73" t="str">
        <f>IFERROR(__xludf.DUMMYFUNCTION("""COMPUTED_VALUE"""),"Bakery")</f>
        <v>Bakery</v>
      </c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139"/>
      <c r="BG132" s="73"/>
      <c r="BH132" s="88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88"/>
      <c r="BZ132" s="73"/>
      <c r="CA132" s="73"/>
      <c r="CB132" s="101" t="s">
        <v>63</v>
      </c>
      <c r="CC132" s="73" t="s">
        <v>64</v>
      </c>
      <c r="CD132" s="88" t="s">
        <v>211</v>
      </c>
      <c r="CE132" s="163">
        <v>1926.0</v>
      </c>
      <c r="CF132" s="163">
        <v>2841.0</v>
      </c>
      <c r="CG132" s="161">
        <v>1.0</v>
      </c>
      <c r="CH132" s="167">
        <v>750.0</v>
      </c>
    </row>
    <row r="133">
      <c r="A133" s="156" t="str">
        <f>IFERROR(__xludf.DUMMYFUNCTION("""COMPUTED_VALUE"""),"https://drive.google.com/open?id=1p5PQykSb0nIJtoE3sd3gzY_XXM0WlWVi&amp;authuser=jay.agg%40gmail.com&amp;usp=drive_fs")</f>
        <v>https://drive.google.com/open?id=1p5PQykSb0nIJtoE3sd3gzY_XXM0WlWVi&amp;authuser=jay.agg%40gmail.com&amp;usp=drive_fs</v>
      </c>
      <c r="B133" s="73" t="str">
        <f>IFERROR(__xludf.DUMMYFUNCTION("""COMPUTED_VALUE"""),"Bakery")</f>
        <v>Bakery</v>
      </c>
      <c r="C133" s="73" t="str">
        <f>IFERROR(__xludf.DUMMYFUNCTION("""COMPUTED_VALUE"""),"Cake Box")</f>
        <v>Cake Box</v>
      </c>
      <c r="D133" s="73" t="str">
        <f>IFERROR(__xludf.DUMMYFUNCTION("""COMPUTED_VALUE"""),"11*11*6 Part 1")</f>
        <v>11*11*6 Part 1</v>
      </c>
      <c r="E133" s="140">
        <f>IFERROR(__xludf.DUMMYFUNCTION("""COMPUTED_VALUE"""),1.0)</f>
        <v>1</v>
      </c>
      <c r="F133" s="80">
        <f>IFERROR(__xludf.DUMMYFUNCTION("""COMPUTED_VALUE"""),1926.0)</f>
        <v>1926</v>
      </c>
      <c r="G133" s="80">
        <f>IFERROR(__xludf.DUMMYFUNCTION("""COMPUTED_VALUE"""),20.0)</f>
        <v>20</v>
      </c>
      <c r="H133" s="73">
        <f>IFERROR(__xludf.DUMMYFUNCTION("""COMPUTED_VALUE"""),21.0)</f>
        <v>21</v>
      </c>
      <c r="I133" s="73">
        <f>IFERROR(__xludf.DUMMYFUNCTION("""COMPUTED_VALUE"""),100.0)</f>
        <v>100</v>
      </c>
      <c r="J133" s="73"/>
      <c r="K133" s="73"/>
      <c r="L133" s="73"/>
      <c r="M133" s="73">
        <f>IFERROR(__xludf.DUMMYFUNCTION("""COMPUTED_VALUE"""),0.1)</f>
        <v>0.1</v>
      </c>
      <c r="N133" s="73">
        <f>IFERROR(__xludf.DUMMYFUNCTION("""COMPUTED_VALUE"""),1.0)</f>
        <v>1</v>
      </c>
      <c r="O133" s="73"/>
      <c r="P133" s="73" t="str">
        <f>IFERROR(__xludf.DUMMYFUNCTION("""COMPUTED_VALUE"""),"Offset")</f>
        <v>Offset</v>
      </c>
      <c r="Q133" s="73" t="str">
        <f>IFERROR(__xludf.DUMMYFUNCTION("""COMPUTED_VALUE"""),"Packaging")</f>
        <v>Packaging</v>
      </c>
      <c r="R133" s="73" t="str">
        <f>IFERROR(__xludf.DUMMYFUNCTION("""COMPUTED_VALUE"""),"Bakery")</f>
        <v>Bakery</v>
      </c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139"/>
      <c r="BG133" s="73"/>
      <c r="BH133" s="88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88"/>
      <c r="BZ133" s="73"/>
      <c r="CA133" s="73"/>
      <c r="CB133" s="101" t="s">
        <v>63</v>
      </c>
      <c r="CC133" s="73" t="s">
        <v>64</v>
      </c>
      <c r="CD133" s="88" t="s">
        <v>211</v>
      </c>
      <c r="CE133" s="164">
        <v>2029.0</v>
      </c>
      <c r="CF133" s="163">
        <v>2841.0</v>
      </c>
      <c r="CG133" s="161">
        <v>1.0</v>
      </c>
      <c r="CH133" s="167">
        <v>750.0</v>
      </c>
    </row>
    <row r="134">
      <c r="A134" s="156" t="str">
        <f>IFERROR(__xludf.DUMMYFUNCTION("""COMPUTED_VALUE"""),"https://drive.google.com/open?id=1p8aRRGRponCrGr86b2C9yjEPcePkA-XS&amp;authuser=jay.agg%40gmail.com&amp;usp=drive_fs")</f>
        <v>https://drive.google.com/open?id=1p8aRRGRponCrGr86b2C9yjEPcePkA-XS&amp;authuser=jay.agg%40gmail.com&amp;usp=drive_fs</v>
      </c>
      <c r="B134" s="73" t="str">
        <f>IFERROR(__xludf.DUMMYFUNCTION("""COMPUTED_VALUE"""),"Bakery")</f>
        <v>Bakery</v>
      </c>
      <c r="C134" s="73" t="str">
        <f>IFERROR(__xludf.DUMMYFUNCTION("""COMPUTED_VALUE"""),"Cake Box")</f>
        <v>Cake Box</v>
      </c>
      <c r="D134" s="73" t="str">
        <f>IFERROR(__xludf.DUMMYFUNCTION("""COMPUTED_VALUE"""),"11*11*6 Part 2")</f>
        <v>11*11*6 Part 2</v>
      </c>
      <c r="E134" s="140">
        <f>IFERROR(__xludf.DUMMYFUNCTION("""COMPUTED_VALUE"""),1.0)</f>
        <v>1</v>
      </c>
      <c r="F134" s="80">
        <f>IFERROR(__xludf.DUMMYFUNCTION("""COMPUTED_VALUE"""),1926.0)</f>
        <v>1926</v>
      </c>
      <c r="G134" s="80">
        <f>IFERROR(__xludf.DUMMYFUNCTION("""COMPUTED_VALUE"""),18.0)</f>
        <v>18</v>
      </c>
      <c r="H134" s="73">
        <f>IFERROR(__xludf.DUMMYFUNCTION("""COMPUTED_VALUE"""),23.0)</f>
        <v>23</v>
      </c>
      <c r="I134" s="73">
        <f>IFERROR(__xludf.DUMMYFUNCTION("""COMPUTED_VALUE"""),100.0)</f>
        <v>100</v>
      </c>
      <c r="J134" s="73"/>
      <c r="K134" s="73"/>
      <c r="L134" s="73"/>
      <c r="M134" s="73"/>
      <c r="N134" s="73">
        <f>IFERROR(__xludf.DUMMYFUNCTION("""COMPUTED_VALUE"""),1.0)</f>
        <v>1</v>
      </c>
      <c r="O134" s="73"/>
      <c r="P134" s="73" t="str">
        <f>IFERROR(__xludf.DUMMYFUNCTION("""COMPUTED_VALUE"""),"Offset")</f>
        <v>Offset</v>
      </c>
      <c r="Q134" s="73" t="str">
        <f>IFERROR(__xludf.DUMMYFUNCTION("""COMPUTED_VALUE"""),"Packaging")</f>
        <v>Packaging</v>
      </c>
      <c r="R134" s="73" t="str">
        <f>IFERROR(__xludf.DUMMYFUNCTION("""COMPUTED_VALUE"""),"Bakery")</f>
        <v>Bakery</v>
      </c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139"/>
      <c r="BG134" s="73"/>
      <c r="BH134" s="88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88"/>
      <c r="BZ134" s="73"/>
      <c r="CA134" s="73"/>
      <c r="CB134" s="101" t="s">
        <v>63</v>
      </c>
      <c r="CC134" s="73" t="s">
        <v>64</v>
      </c>
      <c r="CD134" s="88" t="s">
        <v>211</v>
      </c>
      <c r="CE134" s="163">
        <v>2840.0</v>
      </c>
      <c r="CF134" s="163">
        <v>2841.0</v>
      </c>
      <c r="CG134" s="161">
        <v>1.0</v>
      </c>
      <c r="CH134" s="167">
        <v>750.0</v>
      </c>
    </row>
    <row r="135">
      <c r="A135" s="156" t="str">
        <f>IFERROR(__xludf.DUMMYFUNCTION("""COMPUTED_VALUE"""),"https://drive.google.com/open?id=16JKdR97-ygngNE2EgUJgnw8zbkzf2pPA&amp;authuser=jay.agg%40gmail.com&amp;usp=drive_fs")</f>
        <v>https://drive.google.com/open?id=16JKdR97-ygngNE2EgUJgnw8zbkzf2pPA&amp;authuser=jay.agg%40gmail.com&amp;usp=drive_fs</v>
      </c>
      <c r="B135" s="73" t="str">
        <f>IFERROR(__xludf.DUMMYFUNCTION("""COMPUTED_VALUE"""),"Bakery")</f>
        <v>Bakery</v>
      </c>
      <c r="C135" s="73" t="str">
        <f>IFERROR(__xludf.DUMMYFUNCTION("""COMPUTED_VALUE"""),"Cake Box")</f>
        <v>Cake Box</v>
      </c>
      <c r="D135" s="73" t="str">
        <f>IFERROR(__xludf.DUMMYFUNCTION("""COMPUTED_VALUE"""),"178*178*89 mm | 7*7*3.5 inch")</f>
        <v>178*178*89 mm | 7*7*3.5 inch</v>
      </c>
      <c r="E135" s="140">
        <f>IFERROR(__xludf.DUMMYFUNCTION("""COMPUTED_VALUE"""),1.0)</f>
        <v>1</v>
      </c>
      <c r="F135" s="80">
        <f>IFERROR(__xludf.DUMMYFUNCTION("""COMPUTED_VALUE"""),1926.0)</f>
        <v>1926</v>
      </c>
      <c r="G135" s="80">
        <f>IFERROR(__xludf.DUMMYFUNCTION("""COMPUTED_VALUE"""),13.0)</f>
        <v>13</v>
      </c>
      <c r="H135" s="73">
        <f>IFERROR(__xludf.DUMMYFUNCTION("""COMPUTED_VALUE"""),23.0)</f>
        <v>23</v>
      </c>
      <c r="I135" s="73">
        <f>IFERROR(__xludf.DUMMYFUNCTION("""COMPUTED_VALUE"""),100.0)</f>
        <v>100</v>
      </c>
      <c r="J135" s="73"/>
      <c r="K135" s="73"/>
      <c r="L135" s="73"/>
      <c r="M135" s="73"/>
      <c r="N135" s="73">
        <f>IFERROR(__xludf.DUMMYFUNCTION("""COMPUTED_VALUE"""),1.0)</f>
        <v>1</v>
      </c>
      <c r="O135" s="73"/>
      <c r="P135" s="73" t="str">
        <f>IFERROR(__xludf.DUMMYFUNCTION("""COMPUTED_VALUE"""),"Offset")</f>
        <v>Offset</v>
      </c>
      <c r="Q135" s="73" t="str">
        <f>IFERROR(__xludf.DUMMYFUNCTION("""COMPUTED_VALUE"""),"Packaging")</f>
        <v>Packaging</v>
      </c>
      <c r="R135" s="73" t="str">
        <f>IFERROR(__xludf.DUMMYFUNCTION("""COMPUTED_VALUE"""),"Bakery")</f>
        <v>Bakery</v>
      </c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139"/>
      <c r="BG135" s="73"/>
      <c r="BH135" s="88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101" t="s">
        <v>63</v>
      </c>
      <c r="CC135" s="73" t="s">
        <v>64</v>
      </c>
      <c r="CD135" s="101" t="s">
        <v>18</v>
      </c>
      <c r="CE135" s="163">
        <v>1926.0</v>
      </c>
      <c r="CF135" s="163">
        <v>1926.0</v>
      </c>
      <c r="CG135" s="161">
        <v>0.0</v>
      </c>
      <c r="CH135" s="130">
        <f>Price!Y15</f>
        <v>250</v>
      </c>
    </row>
    <row r="136">
      <c r="A136" s="156" t="str">
        <f>IFERROR(__xludf.DUMMYFUNCTION("""COMPUTED_VALUE"""),"https://drive.google.com/open?id=16KDz8Hb9c000oTSJ6tcXjBWqcW61d6wV&amp;authuser=jay.agg%40gmail.com&amp;usp=drive_fs")</f>
        <v>https://drive.google.com/open?id=16KDz8Hb9c000oTSJ6tcXjBWqcW61d6wV&amp;authuser=jay.agg%40gmail.com&amp;usp=drive_fs</v>
      </c>
      <c r="B136" s="73" t="str">
        <f>IFERROR(__xludf.DUMMYFUNCTION("""COMPUTED_VALUE"""),"Bakery")</f>
        <v>Bakery</v>
      </c>
      <c r="C136" s="73" t="str">
        <f>IFERROR(__xludf.DUMMYFUNCTION("""COMPUTED_VALUE"""),"Cake Box")</f>
        <v>Cake Box</v>
      </c>
      <c r="D136" s="73" t="str">
        <f>IFERROR(__xludf.DUMMYFUNCTION("""COMPUTED_VALUE"""),"228*76*216 mm | 9*8.5*3 inch")</f>
        <v>228*76*216 mm | 9*8.5*3 inch</v>
      </c>
      <c r="E136" s="140">
        <f>IFERROR(__xludf.DUMMYFUNCTION("""COMPUTED_VALUE"""),1.0)</f>
        <v>1</v>
      </c>
      <c r="F136" s="80">
        <f>IFERROR(__xludf.DUMMYFUNCTION("""COMPUTED_VALUE"""),1926.0)</f>
        <v>1926</v>
      </c>
      <c r="G136" s="80">
        <f>IFERROR(__xludf.DUMMYFUNCTION("""COMPUTED_VALUE"""),18.0)</f>
        <v>18</v>
      </c>
      <c r="H136" s="73">
        <f>IFERROR(__xludf.DUMMYFUNCTION("""COMPUTED_VALUE"""),25.0)</f>
        <v>25</v>
      </c>
      <c r="I136" s="73">
        <f>IFERROR(__xludf.DUMMYFUNCTION("""COMPUTED_VALUE"""),100.0)</f>
        <v>100</v>
      </c>
      <c r="J136" s="73"/>
      <c r="K136" s="73"/>
      <c r="L136" s="73"/>
      <c r="M136" s="73"/>
      <c r="N136" s="73">
        <f>IFERROR(__xludf.DUMMYFUNCTION("""COMPUTED_VALUE"""),1.0)</f>
        <v>1</v>
      </c>
      <c r="O136" s="73"/>
      <c r="P136" s="73" t="str">
        <f>IFERROR(__xludf.DUMMYFUNCTION("""COMPUTED_VALUE"""),"Offset")</f>
        <v>Offset</v>
      </c>
      <c r="Q136" s="73" t="str">
        <f>IFERROR(__xludf.DUMMYFUNCTION("""COMPUTED_VALUE"""),"Packaging")</f>
        <v>Packaging</v>
      </c>
      <c r="R136" s="73" t="str">
        <f>IFERROR(__xludf.DUMMYFUNCTION("""COMPUTED_VALUE"""),"Bakery")</f>
        <v>Bakery</v>
      </c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139"/>
      <c r="BG136" s="73"/>
      <c r="BH136" s="88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101" t="s">
        <v>63</v>
      </c>
      <c r="CC136" s="73" t="s">
        <v>64</v>
      </c>
      <c r="CD136" s="101" t="s">
        <v>18</v>
      </c>
      <c r="CE136" s="164">
        <v>2029.0</v>
      </c>
      <c r="CF136" s="164">
        <v>2029.0</v>
      </c>
      <c r="CG136" s="163">
        <v>0.0</v>
      </c>
      <c r="CH136" s="130">
        <f>Price!Z15</f>
        <v>275</v>
      </c>
    </row>
    <row r="137">
      <c r="A137" s="156" t="str">
        <f>IFERROR(__xludf.DUMMYFUNCTION("""COMPUTED_VALUE"""),"https://drive.google.com/open?id=16OaowQN3EEmU9JJubmPR5qnrVeSQb1qo&amp;authuser=jay.agg%40gmail.com&amp;usp=drive_fs")</f>
        <v>https://drive.google.com/open?id=16OaowQN3EEmU9JJubmPR5qnrVeSQb1qo&amp;authuser=jay.agg%40gmail.com&amp;usp=drive_fs</v>
      </c>
      <c r="B137" s="73" t="str">
        <f>IFERROR(__xludf.DUMMYFUNCTION("""COMPUTED_VALUE"""),"Bakery")</f>
        <v>Bakery</v>
      </c>
      <c r="C137" s="73" t="str">
        <f>IFERROR(__xludf.DUMMYFUNCTION("""COMPUTED_VALUE"""),"Cake Box")</f>
        <v>Cake Box</v>
      </c>
      <c r="D137" s="73" t="str">
        <f>IFERROR(__xludf.DUMMYFUNCTION("""COMPUTED_VALUE"""),"279*102*279 mm | 11*11*4 inch")</f>
        <v>279*102*279 mm | 11*11*4 inch</v>
      </c>
      <c r="E137" s="140">
        <f>IFERROR(__xludf.DUMMYFUNCTION("""COMPUTED_VALUE"""),1.0)</f>
        <v>1</v>
      </c>
      <c r="F137" s="80">
        <f>IFERROR(__xludf.DUMMYFUNCTION("""COMPUTED_VALUE"""),1926.0)</f>
        <v>1926</v>
      </c>
      <c r="G137" s="80">
        <f>IFERROR(__xludf.DUMMYFUNCTION("""COMPUTED_VALUE"""),15.75)</f>
        <v>15.75</v>
      </c>
      <c r="H137" s="73">
        <f>IFERROR(__xludf.DUMMYFUNCTION("""COMPUTED_VALUE"""),20.75)</f>
        <v>20.75</v>
      </c>
      <c r="I137" s="73">
        <f>IFERROR(__xludf.DUMMYFUNCTION("""COMPUTED_VALUE"""),100.0)</f>
        <v>100</v>
      </c>
      <c r="J137" s="73"/>
      <c r="K137" s="73"/>
      <c r="L137" s="73"/>
      <c r="M137" s="73">
        <f>IFERROR(__xludf.DUMMYFUNCTION("""COMPUTED_VALUE"""),0.12)</f>
        <v>0.12</v>
      </c>
      <c r="N137" s="73">
        <f>IFERROR(__xludf.DUMMYFUNCTION("""COMPUTED_VALUE"""),2.0)</f>
        <v>2</v>
      </c>
      <c r="O137" s="73"/>
      <c r="P137" s="73" t="str">
        <f>IFERROR(__xludf.DUMMYFUNCTION("""COMPUTED_VALUE"""),"Offset")</f>
        <v>Offset</v>
      </c>
      <c r="Q137" s="73" t="str">
        <f>IFERROR(__xludf.DUMMYFUNCTION("""COMPUTED_VALUE"""),"Packaging")</f>
        <v>Packaging</v>
      </c>
      <c r="R137" s="73" t="str">
        <f>IFERROR(__xludf.DUMMYFUNCTION("""COMPUTED_VALUE"""),"Bakery")</f>
        <v>Bakery</v>
      </c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139"/>
      <c r="BG137" s="73"/>
      <c r="BH137" s="88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101" t="s">
        <v>63</v>
      </c>
      <c r="CC137" s="73" t="s">
        <v>64</v>
      </c>
      <c r="CD137" s="101" t="s">
        <v>18</v>
      </c>
      <c r="CE137" s="163">
        <v>2840.0</v>
      </c>
      <c r="CF137" s="163">
        <v>2840.0</v>
      </c>
      <c r="CG137" s="163">
        <v>0.0</v>
      </c>
      <c r="CH137" s="130">
        <f>Price!Y18</f>
        <v>650</v>
      </c>
    </row>
    <row r="138">
      <c r="A138" s="156" t="str">
        <f>IFERROR(__xludf.DUMMYFUNCTION("""COMPUTED_VALUE"""),"https://drive.google.com/open?id=16Txk4bWredH4OglpUn2s8qHOqILchP54&amp;authuser=jay.agg%40gmail.com&amp;usp=drive_fs")</f>
        <v>https://drive.google.com/open?id=16Txk4bWredH4OglpUn2s8qHOqILchP54&amp;authuser=jay.agg%40gmail.com&amp;usp=drive_fs</v>
      </c>
      <c r="B138" s="73" t="str">
        <f>IFERROR(__xludf.DUMMYFUNCTION("""COMPUTED_VALUE"""),"Bakery")</f>
        <v>Bakery</v>
      </c>
      <c r="C138" s="73" t="str">
        <f>IFERROR(__xludf.DUMMYFUNCTION("""COMPUTED_VALUE"""),"Cake Box")</f>
        <v>Cake Box</v>
      </c>
      <c r="D138" s="73" t="str">
        <f>IFERROR(__xludf.DUMMYFUNCTION("""COMPUTED_VALUE"""),"304*304*107 mm | 12*12*5 inch")</f>
        <v>304*304*107 mm | 12*12*5 inch</v>
      </c>
      <c r="E138" s="140">
        <f>IFERROR(__xludf.DUMMYFUNCTION("""COMPUTED_VALUE"""),1.0)</f>
        <v>1</v>
      </c>
      <c r="F138" s="80">
        <f>IFERROR(__xludf.DUMMYFUNCTION("""COMPUTED_VALUE"""),1926.0)</f>
        <v>1926</v>
      </c>
      <c r="G138" s="80">
        <f>IFERROR(__xludf.DUMMYFUNCTION("""COMPUTED_VALUE"""),18.0)</f>
        <v>18</v>
      </c>
      <c r="H138" s="73">
        <f>IFERROR(__xludf.DUMMYFUNCTION("""COMPUTED_VALUE"""),21.0)</f>
        <v>21</v>
      </c>
      <c r="I138" s="73">
        <f>IFERROR(__xludf.DUMMYFUNCTION("""COMPUTED_VALUE"""),100.0)</f>
        <v>100</v>
      </c>
      <c r="J138" s="73"/>
      <c r="K138" s="73"/>
      <c r="L138" s="73"/>
      <c r="M138" s="73">
        <f>IFERROR(__xludf.DUMMYFUNCTION("""COMPUTED_VALUE"""),0.12)</f>
        <v>0.12</v>
      </c>
      <c r="N138" s="73">
        <f>IFERROR(__xludf.DUMMYFUNCTION("""COMPUTED_VALUE"""),2.0)</f>
        <v>2</v>
      </c>
      <c r="O138" s="73"/>
      <c r="P138" s="73" t="str">
        <f>IFERROR(__xludf.DUMMYFUNCTION("""COMPUTED_VALUE"""),"Offset")</f>
        <v>Offset</v>
      </c>
      <c r="Q138" s="73" t="str">
        <f>IFERROR(__xludf.DUMMYFUNCTION("""COMPUTED_VALUE"""),"Packaging")</f>
        <v>Packaging</v>
      </c>
      <c r="R138" s="73" t="str">
        <f>IFERROR(__xludf.DUMMYFUNCTION("""COMPUTED_VALUE"""),"Bakery")</f>
        <v>Bakery</v>
      </c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139"/>
      <c r="BG138" s="73"/>
      <c r="BH138" s="88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</row>
    <row r="139">
      <c r="A139" s="156" t="str">
        <f>IFERROR(__xludf.DUMMYFUNCTION("""COMPUTED_VALUE"""),"https://drive.google.com/open?id=16pMQ6TUSlGFFEQs2FQapc3c_-MOOLL2i&amp;authuser=jay.agg%40gmail.com&amp;usp=drive_fs")</f>
        <v>https://drive.google.com/open?id=16pMQ6TUSlGFFEQs2FQapc3c_-MOOLL2i&amp;authuser=jay.agg%40gmail.com&amp;usp=drive_fs</v>
      </c>
      <c r="B139" s="73" t="str">
        <f>IFERROR(__xludf.DUMMYFUNCTION("""COMPUTED_VALUE"""),"Bakery")</f>
        <v>Bakery</v>
      </c>
      <c r="C139" s="73" t="str">
        <f>IFERROR(__xludf.DUMMYFUNCTION("""COMPUTED_VALUE"""),"Cookies")</f>
        <v>Cookies</v>
      </c>
      <c r="D139" s="73" t="str">
        <f>IFERROR(__xludf.DUMMYFUNCTION("""COMPUTED_VALUE"""),"195*195*102 mm | 7.5*7.5*4 inch")</f>
        <v>195*195*102 mm | 7.5*7.5*4 inch</v>
      </c>
      <c r="E139" s="140">
        <f>IFERROR(__xludf.DUMMYFUNCTION("""COMPUTED_VALUE"""),1.0)</f>
        <v>1</v>
      </c>
      <c r="F139" s="80">
        <f>IFERROR(__xludf.DUMMYFUNCTION("""COMPUTED_VALUE"""),2029.0)</f>
        <v>2029</v>
      </c>
      <c r="G139" s="80">
        <f>IFERROR(__xludf.DUMMYFUNCTION("""COMPUTED_VALUE"""),15.0)</f>
        <v>15</v>
      </c>
      <c r="H139" s="73">
        <f>IFERROR(__xludf.DUMMYFUNCTION("""COMPUTED_VALUE"""),25.0)</f>
        <v>25</v>
      </c>
      <c r="I139" s="73">
        <f>IFERROR(__xludf.DUMMYFUNCTION("""COMPUTED_VALUE"""),100.0)</f>
        <v>100</v>
      </c>
      <c r="J139" s="73"/>
      <c r="K139" s="73"/>
      <c r="L139" s="73"/>
      <c r="M139" s="73"/>
      <c r="N139" s="73">
        <f>IFERROR(__xludf.DUMMYFUNCTION("""COMPUTED_VALUE"""),1.0)</f>
        <v>1</v>
      </c>
      <c r="O139" s="73"/>
      <c r="P139" s="73" t="str">
        <f>IFERROR(__xludf.DUMMYFUNCTION("""COMPUTED_VALUE"""),"Offset")</f>
        <v>Offset</v>
      </c>
      <c r="Q139" s="73" t="str">
        <f>IFERROR(__xludf.DUMMYFUNCTION("""COMPUTED_VALUE"""),"Packaging")</f>
        <v>Packaging</v>
      </c>
      <c r="R139" s="73" t="str">
        <f>IFERROR(__xludf.DUMMYFUNCTION("""COMPUTED_VALUE"""),"Bakery")</f>
        <v>Bakery</v>
      </c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139"/>
      <c r="BG139" s="73"/>
      <c r="BH139" s="88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</row>
    <row r="140">
      <c r="A140" s="156" t="str">
        <f>IFERROR(__xludf.DUMMYFUNCTION("""COMPUTED_VALUE"""),"https://drive.google.com/open?id=16q746O635t4H66ymRddA340DT79jWSkd&amp;authuser=jay.agg%40gmail.com&amp;usp=drive_fs")</f>
        <v>https://drive.google.com/open?id=16q746O635t4H66ymRddA340DT79jWSkd&amp;authuser=jay.agg%40gmail.com&amp;usp=drive_fs</v>
      </c>
      <c r="B140" s="73" t="str">
        <f>IFERROR(__xludf.DUMMYFUNCTION("""COMPUTED_VALUE"""),"Bakery")</f>
        <v>Bakery</v>
      </c>
      <c r="C140" s="73" t="str">
        <f>IFERROR(__xludf.DUMMYFUNCTION("""COMPUTED_VALUE"""),"Cookies")</f>
        <v>Cookies</v>
      </c>
      <c r="D140" s="73" t="str">
        <f>IFERROR(__xludf.DUMMYFUNCTION("""COMPUTED_VALUE"""),"178*127*89 mm | 7*5*3.5 inch")</f>
        <v>178*127*89 mm | 7*5*3.5 inch</v>
      </c>
      <c r="E140" s="140">
        <f>IFERROR(__xludf.DUMMYFUNCTION("""COMPUTED_VALUE"""),2.0)</f>
        <v>2</v>
      </c>
      <c r="F140" s="80">
        <f>IFERROR(__xludf.DUMMYFUNCTION("""COMPUTED_VALUE"""),2029.0)</f>
        <v>2029</v>
      </c>
      <c r="G140" s="80">
        <f>IFERROR(__xludf.DUMMYFUNCTION("""COMPUTED_VALUE"""),19.0)</f>
        <v>19</v>
      </c>
      <c r="H140" s="73">
        <f>IFERROR(__xludf.DUMMYFUNCTION("""COMPUTED_VALUE"""),26.0)</f>
        <v>26</v>
      </c>
      <c r="I140" s="73">
        <f>IFERROR(__xludf.DUMMYFUNCTION("""COMPUTED_VALUE"""),100.0)</f>
        <v>100</v>
      </c>
      <c r="J140" s="73"/>
      <c r="K140" s="73"/>
      <c r="L140" s="73"/>
      <c r="M140" s="73"/>
      <c r="N140" s="73">
        <f>IFERROR(__xludf.DUMMYFUNCTION("""COMPUTED_VALUE"""),1.0)</f>
        <v>1</v>
      </c>
      <c r="O140" s="73"/>
      <c r="P140" s="73" t="str">
        <f>IFERROR(__xludf.DUMMYFUNCTION("""COMPUTED_VALUE"""),"Offset")</f>
        <v>Offset</v>
      </c>
      <c r="Q140" s="73" t="str">
        <f>IFERROR(__xludf.DUMMYFUNCTION("""COMPUTED_VALUE"""),"Packaging")</f>
        <v>Packaging</v>
      </c>
      <c r="R140" s="73" t="str">
        <f>IFERROR(__xludf.DUMMYFUNCTION("""COMPUTED_VALUE"""),"Bakery")</f>
        <v>Bakery</v>
      </c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139"/>
      <c r="BG140" s="73"/>
      <c r="BH140" s="88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139" t="str">
        <f>IFERROR(__xludf.DUMMYFUNCTION("QUERY(CB120:CH137,CC119)"),"Offset")</f>
        <v>Offset</v>
      </c>
      <c r="CC140" s="73" t="str">
        <f>IFERROR(__xludf.DUMMYFUNCTION("""COMPUTED_VALUE"""),"Packaging")</f>
        <v>Packaging</v>
      </c>
      <c r="CD140" s="73" t="str">
        <f>IFERROR(__xludf.DUMMYFUNCTION("""COMPUTED_VALUE"""),"Met-Pet")</f>
        <v>Met-Pet</v>
      </c>
      <c r="CE140" s="77">
        <f>IFERROR(__xludf.DUMMYFUNCTION("""COMPUTED_VALUE"""),1926.0)</f>
        <v>1926</v>
      </c>
      <c r="CF140" s="77">
        <f>IFERROR(__xludf.DUMMYFUNCTION("""COMPUTED_VALUE"""),2841.0)</f>
        <v>2841</v>
      </c>
      <c r="CG140" s="77">
        <f>IFERROR(__xludf.DUMMYFUNCTION("""COMPUTED_VALUE"""),1.0)</f>
        <v>1</v>
      </c>
      <c r="CH140" s="77">
        <f>IFERROR(__xludf.DUMMYFUNCTION("""COMPUTED_VALUE"""),750.0)</f>
        <v>750</v>
      </c>
    </row>
    <row r="141">
      <c r="A141" s="156" t="str">
        <f>IFERROR(__xludf.DUMMYFUNCTION("""COMPUTED_VALUE"""),"https://drive.google.com/open?id=1SGniNgYFPvGsEoZQWtlm0L8R5nhsWb2V&amp;authuser=jay.agg%40gmail.com&amp;usp=drive_fs")</f>
        <v>https://drive.google.com/open?id=1SGniNgYFPvGsEoZQWtlm0L8R5nhsWb2V&amp;authuser=jay.agg%40gmail.com&amp;usp=drive_fs</v>
      </c>
      <c r="B141" s="73" t="str">
        <f>IFERROR(__xludf.DUMMYFUNCTION("""COMPUTED_VALUE"""),"Bakery")</f>
        <v>Bakery</v>
      </c>
      <c r="C141" s="73" t="str">
        <f>IFERROR(__xludf.DUMMYFUNCTION("""COMPUTED_VALUE"""),"Cake Box")</f>
        <v>Cake Box</v>
      </c>
      <c r="D141" s="73" t="str">
        <f>IFERROR(__xludf.DUMMYFUNCTION("""COMPUTED_VALUE"""),"180*180*72 mm | 7*7*3 inch")</f>
        <v>180*180*72 mm | 7*7*3 inch</v>
      </c>
      <c r="E141" s="140">
        <f>IFERROR(__xludf.DUMMYFUNCTION("""COMPUTED_VALUE"""),1.0)</f>
        <v>1</v>
      </c>
      <c r="F141" s="80">
        <f>IFERROR(__xludf.DUMMYFUNCTION("""COMPUTED_VALUE"""),2029.0)</f>
        <v>2029</v>
      </c>
      <c r="G141" s="80">
        <f>IFERROR(__xludf.DUMMYFUNCTION("""COMPUTED_VALUE"""),13.4)</f>
        <v>13.4</v>
      </c>
      <c r="H141" s="73">
        <f>IFERROR(__xludf.DUMMYFUNCTION("""COMPUTED_VALUE"""),21.0)</f>
        <v>21</v>
      </c>
      <c r="I141" s="73">
        <f>IFERROR(__xludf.DUMMYFUNCTION("""COMPUTED_VALUE"""),100.0)</f>
        <v>100</v>
      </c>
      <c r="J141" s="73"/>
      <c r="K141" s="73"/>
      <c r="L141" s="73"/>
      <c r="M141" s="73"/>
      <c r="N141" s="73">
        <f>IFERROR(__xludf.DUMMYFUNCTION("""COMPUTED_VALUE"""),1.0)</f>
        <v>1</v>
      </c>
      <c r="O141" s="73"/>
      <c r="P141" s="73" t="str">
        <f>IFERROR(__xludf.DUMMYFUNCTION("""COMPUTED_VALUE"""),"Offset")</f>
        <v>Offset</v>
      </c>
      <c r="Q141" s="73" t="str">
        <f>IFERROR(__xludf.DUMMYFUNCTION("""COMPUTED_VALUE"""),"Packaging")</f>
        <v>Packaging</v>
      </c>
      <c r="R141" s="73" t="str">
        <f>IFERROR(__xludf.DUMMYFUNCTION("""COMPUTED_VALUE"""),"Bakery")</f>
        <v>Bakery</v>
      </c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139"/>
      <c r="BG141" s="73"/>
      <c r="BH141" s="88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 t="str">
        <f>IFERROR(__xludf.DUMMYFUNCTION("""COMPUTED_VALUE"""),"Offset")</f>
        <v>Offset</v>
      </c>
      <c r="CC141" s="73" t="str">
        <f>IFERROR(__xludf.DUMMYFUNCTION("""COMPUTED_VALUE"""),"Packaging")</f>
        <v>Packaging</v>
      </c>
      <c r="CD141" s="73" t="str">
        <f>IFERROR(__xludf.DUMMYFUNCTION("""COMPUTED_VALUE"""),"Met-Pet")</f>
        <v>Met-Pet</v>
      </c>
      <c r="CE141" s="77">
        <f>IFERROR(__xludf.DUMMYFUNCTION("""COMPUTED_VALUE"""),2029.0)</f>
        <v>2029</v>
      </c>
      <c r="CF141" s="77">
        <f>IFERROR(__xludf.DUMMYFUNCTION("""COMPUTED_VALUE"""),2841.0)</f>
        <v>2841</v>
      </c>
      <c r="CG141" s="77">
        <f>IFERROR(__xludf.DUMMYFUNCTION("""COMPUTED_VALUE"""),1.0)</f>
        <v>1</v>
      </c>
      <c r="CH141" s="77">
        <f>IFERROR(__xludf.DUMMYFUNCTION("""COMPUTED_VALUE"""),750.0)</f>
        <v>750</v>
      </c>
    </row>
    <row r="142">
      <c r="A142" s="156" t="str">
        <f>IFERROR(__xludf.DUMMYFUNCTION("""COMPUTED_VALUE"""),"https://drive.google.com/open?id=13gwnoCIJ1WNpXRrDHG8il0ml0Qx_TrvM&amp;authuser=jay.agg%40gmail.com&amp;usp=drive_fs")</f>
        <v>https://drive.google.com/open?id=13gwnoCIJ1WNpXRrDHG8il0ml0Qx_TrvM&amp;authuser=jay.agg%40gmail.com&amp;usp=drive_fs</v>
      </c>
      <c r="B142" s="73" t="str">
        <f>IFERROR(__xludf.DUMMYFUNCTION("""COMPUTED_VALUE"""),"Bakery")</f>
        <v>Bakery</v>
      </c>
      <c r="C142" s="73" t="str">
        <f>IFERROR(__xludf.DUMMYFUNCTION("""COMPUTED_VALUE"""),"Misc")</f>
        <v>Misc</v>
      </c>
      <c r="D142" s="73" t="str">
        <f>IFERROR(__xludf.DUMMYFUNCTION("""COMPUTED_VALUE"""),"127*127*63.5 mm | 5*5*2.5 inch")</f>
        <v>127*127*63.5 mm | 5*5*2.5 inch</v>
      </c>
      <c r="E142" s="140">
        <f>IFERROR(__xludf.DUMMYFUNCTION("""COMPUTED_VALUE"""),2.0)</f>
        <v>2</v>
      </c>
      <c r="F142" s="80">
        <f>IFERROR(__xludf.DUMMYFUNCTION("""COMPUTED_VALUE"""),1926.0)</f>
        <v>1926</v>
      </c>
      <c r="G142" s="80">
        <f>IFERROR(__xludf.DUMMYFUNCTION("""COMPUTED_VALUE"""),15.75)</f>
        <v>15.75</v>
      </c>
      <c r="H142" s="73">
        <f>IFERROR(__xludf.DUMMYFUNCTION("""COMPUTED_VALUE"""),20.75)</f>
        <v>20.75</v>
      </c>
      <c r="I142" s="73">
        <f>IFERROR(__xludf.DUMMYFUNCTION("""COMPUTED_VALUE"""),100.0)</f>
        <v>100</v>
      </c>
      <c r="J142" s="73"/>
      <c r="K142" s="73"/>
      <c r="L142" s="73"/>
      <c r="M142" s="73"/>
      <c r="N142" s="73">
        <f>IFERROR(__xludf.DUMMYFUNCTION("""COMPUTED_VALUE"""),1.0)</f>
        <v>1</v>
      </c>
      <c r="O142" s="73"/>
      <c r="P142" s="73" t="str">
        <f>IFERROR(__xludf.DUMMYFUNCTION("""COMPUTED_VALUE"""),"Offset")</f>
        <v>Offset</v>
      </c>
      <c r="Q142" s="73" t="str">
        <f>IFERROR(__xludf.DUMMYFUNCTION("""COMPUTED_VALUE"""),"Packaging")</f>
        <v>Packaging</v>
      </c>
      <c r="R142" s="73" t="str">
        <f>IFERROR(__xludf.DUMMYFUNCTION("""COMPUTED_VALUE"""),"Bakery")</f>
        <v>Bakery</v>
      </c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139"/>
      <c r="BG142" s="73"/>
      <c r="BH142" s="88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 t="str">
        <f>IFERROR(__xludf.DUMMYFUNCTION("""COMPUTED_VALUE"""),"Offset")</f>
        <v>Offset</v>
      </c>
      <c r="CC142" s="73" t="str">
        <f>IFERROR(__xludf.DUMMYFUNCTION("""COMPUTED_VALUE"""),"Packaging")</f>
        <v>Packaging</v>
      </c>
      <c r="CD142" s="73" t="str">
        <f>IFERROR(__xludf.DUMMYFUNCTION("""COMPUTED_VALUE"""),"Met-Pet")</f>
        <v>Met-Pet</v>
      </c>
      <c r="CE142" s="77">
        <f>IFERROR(__xludf.DUMMYFUNCTION("""COMPUTED_VALUE"""),2840.0)</f>
        <v>2840</v>
      </c>
      <c r="CF142" s="77">
        <f>IFERROR(__xludf.DUMMYFUNCTION("""COMPUTED_VALUE"""),2841.0)</f>
        <v>2841</v>
      </c>
      <c r="CG142" s="77">
        <f>IFERROR(__xludf.DUMMYFUNCTION("""COMPUTED_VALUE"""),1.0)</f>
        <v>1</v>
      </c>
      <c r="CH142" s="77">
        <f>IFERROR(__xludf.DUMMYFUNCTION("""COMPUTED_VALUE"""),750.0)</f>
        <v>750</v>
      </c>
    </row>
    <row r="143">
      <c r="A143" s="156" t="str">
        <f>IFERROR(__xludf.DUMMYFUNCTION("""COMPUTED_VALUE"""),"https://drive.google.com/open?id=13kuaDlFa0fBEHCs_YUfPW3elmJ4Hmn13&amp;authuser=jay.agg%40gmail.com&amp;usp=drive_fs")</f>
        <v>https://drive.google.com/open?id=13kuaDlFa0fBEHCs_YUfPW3elmJ4Hmn13&amp;authuser=jay.agg%40gmail.com&amp;usp=drive_fs</v>
      </c>
      <c r="B143" s="73" t="str">
        <f>IFERROR(__xludf.DUMMYFUNCTION("""COMPUTED_VALUE"""),"Bakery")</f>
        <v>Bakery</v>
      </c>
      <c r="C143" s="73" t="str">
        <f>IFERROR(__xludf.DUMMYFUNCTION("""COMPUTED_VALUE"""),"Misc")</f>
        <v>Misc</v>
      </c>
      <c r="D143" s="73" t="str">
        <f>IFERROR(__xludf.DUMMYFUNCTION("""COMPUTED_VALUE"""),"203*140*63.5 mm | 8*5.5*2.5 inch")</f>
        <v>203*140*63.5 mm | 8*5.5*2.5 inch</v>
      </c>
      <c r="E143" s="140">
        <f>IFERROR(__xludf.DUMMYFUNCTION("""COMPUTED_VALUE"""),2.0)</f>
        <v>2</v>
      </c>
      <c r="F143" s="80">
        <f>IFERROR(__xludf.DUMMYFUNCTION("""COMPUTED_VALUE"""),1926.0)</f>
        <v>1926</v>
      </c>
      <c r="G143" s="80">
        <f>IFERROR(__xludf.DUMMYFUNCTION("""COMPUTED_VALUE"""),18.0)</f>
        <v>18</v>
      </c>
      <c r="H143" s="73">
        <f>IFERROR(__xludf.DUMMYFUNCTION("""COMPUTED_VALUE"""),25.0)</f>
        <v>25</v>
      </c>
      <c r="I143" s="73">
        <f>IFERROR(__xludf.DUMMYFUNCTION("""COMPUTED_VALUE"""),100.0)</f>
        <v>100</v>
      </c>
      <c r="J143" s="73"/>
      <c r="K143" s="73"/>
      <c r="L143" s="73"/>
      <c r="M143" s="73"/>
      <c r="N143" s="73">
        <f>IFERROR(__xludf.DUMMYFUNCTION("""COMPUTED_VALUE"""),1.0)</f>
        <v>1</v>
      </c>
      <c r="O143" s="73"/>
      <c r="P143" s="73" t="str">
        <f>IFERROR(__xludf.DUMMYFUNCTION("""COMPUTED_VALUE"""),"Offset")</f>
        <v>Offset</v>
      </c>
      <c r="Q143" s="73" t="str">
        <f>IFERROR(__xludf.DUMMYFUNCTION("""COMPUTED_VALUE"""),"Packaging")</f>
        <v>Packaging</v>
      </c>
      <c r="R143" s="73" t="str">
        <f>IFERROR(__xludf.DUMMYFUNCTION("""COMPUTED_VALUE"""),"Bakery")</f>
        <v>Bakery</v>
      </c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139"/>
      <c r="BG143" s="73"/>
      <c r="BH143" s="88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 t="str">
        <f>IFERROR(__xludf.DUMMYFUNCTION("""COMPUTED_VALUE"""),"Offset")</f>
        <v>Offset</v>
      </c>
      <c r="CC143" s="73" t="str">
        <f>IFERROR(__xludf.DUMMYFUNCTION("""COMPUTED_VALUE"""),"Packaging")</f>
        <v>Packaging</v>
      </c>
      <c r="CD143" s="73" t="str">
        <f>IFERROR(__xludf.DUMMYFUNCTION("""COMPUTED_VALUE"""),"Printing")</f>
        <v>Printing</v>
      </c>
      <c r="CE143" s="77">
        <f>IFERROR(__xludf.DUMMYFUNCTION("""COMPUTED_VALUE"""),1926.0)</f>
        <v>1926</v>
      </c>
      <c r="CF143" s="77">
        <f>IFERROR(__xludf.DUMMYFUNCTION("""COMPUTED_VALUE"""),1926.0)</f>
        <v>1926</v>
      </c>
      <c r="CG143" s="77">
        <f>IFERROR(__xludf.DUMMYFUNCTION("""COMPUTED_VALUE"""),0.0)</f>
        <v>0</v>
      </c>
      <c r="CH143" s="77">
        <f>IFERROR(__xludf.DUMMYFUNCTION("""COMPUTED_VALUE"""),250.0)</f>
        <v>250</v>
      </c>
    </row>
    <row r="144">
      <c r="A144" s="73"/>
      <c r="B144" s="73"/>
      <c r="C144" s="73"/>
      <c r="D144" s="73"/>
      <c r="E144" s="140"/>
      <c r="F144" s="80"/>
      <c r="G144" s="80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139"/>
      <c r="BG144" s="73"/>
      <c r="BH144" s="88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 t="str">
        <f>IFERROR(__xludf.DUMMYFUNCTION("""COMPUTED_VALUE"""),"Offset")</f>
        <v>Offset</v>
      </c>
      <c r="CC144" s="73" t="str">
        <f>IFERROR(__xludf.DUMMYFUNCTION("""COMPUTED_VALUE"""),"Packaging")</f>
        <v>Packaging</v>
      </c>
      <c r="CD144" s="73" t="str">
        <f>IFERROR(__xludf.DUMMYFUNCTION("""COMPUTED_VALUE"""),"Printing")</f>
        <v>Printing</v>
      </c>
      <c r="CE144" s="77">
        <f>IFERROR(__xludf.DUMMYFUNCTION("""COMPUTED_VALUE"""),2029.0)</f>
        <v>2029</v>
      </c>
      <c r="CF144" s="77">
        <f>IFERROR(__xludf.DUMMYFUNCTION("""COMPUTED_VALUE"""),2029.0)</f>
        <v>2029</v>
      </c>
      <c r="CG144" s="77">
        <f>IFERROR(__xludf.DUMMYFUNCTION("""COMPUTED_VALUE"""),0.0)</f>
        <v>0</v>
      </c>
      <c r="CH144" s="77">
        <f>IFERROR(__xludf.DUMMYFUNCTION("""COMPUTED_VALUE"""),275.0)</f>
        <v>275</v>
      </c>
    </row>
    <row r="145">
      <c r="A145" s="73"/>
      <c r="B145" s="73"/>
      <c r="C145" s="73"/>
      <c r="D145" s="73"/>
      <c r="E145" s="140"/>
      <c r="F145" s="80"/>
      <c r="G145" s="80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139"/>
      <c r="BG145" s="73"/>
      <c r="BH145" s="88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 t="str">
        <f>IFERROR(__xludf.DUMMYFUNCTION("""COMPUTED_VALUE"""),"Offset")</f>
        <v>Offset</v>
      </c>
      <c r="CC145" s="73" t="str">
        <f>IFERROR(__xludf.DUMMYFUNCTION("""COMPUTED_VALUE"""),"Packaging")</f>
        <v>Packaging</v>
      </c>
      <c r="CD145" s="73" t="str">
        <f>IFERROR(__xludf.DUMMYFUNCTION("""COMPUTED_VALUE"""),"Printing")</f>
        <v>Printing</v>
      </c>
      <c r="CE145" s="77">
        <f>IFERROR(__xludf.DUMMYFUNCTION("""COMPUTED_VALUE"""),2840.0)</f>
        <v>2840</v>
      </c>
      <c r="CF145" s="77">
        <f>IFERROR(__xludf.DUMMYFUNCTION("""COMPUTED_VALUE"""),2840.0)</f>
        <v>2840</v>
      </c>
      <c r="CG145" s="77">
        <f>IFERROR(__xludf.DUMMYFUNCTION("""COMPUTED_VALUE"""),0.0)</f>
        <v>0</v>
      </c>
      <c r="CH145" s="77">
        <f>IFERROR(__xludf.DUMMYFUNCTION("""COMPUTED_VALUE"""),650.0)</f>
        <v>650</v>
      </c>
    </row>
    <row r="146">
      <c r="A146" s="73"/>
      <c r="B146" s="73"/>
      <c r="C146" s="73"/>
      <c r="D146" s="73"/>
      <c r="E146" s="140"/>
      <c r="F146" s="80"/>
      <c r="G146" s="80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139"/>
      <c r="BG146" s="73"/>
      <c r="BH146" s="88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</row>
    <row r="147">
      <c r="A147" s="73"/>
      <c r="B147" s="73"/>
      <c r="C147" s="73"/>
      <c r="D147" s="73"/>
      <c r="E147" s="140"/>
      <c r="F147" s="80"/>
      <c r="G147" s="80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139"/>
      <c r="BG147" s="73"/>
      <c r="BH147" s="88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</row>
    <row r="148">
      <c r="A148" s="73"/>
      <c r="B148" s="73"/>
      <c r="C148" s="73"/>
      <c r="D148" s="73"/>
      <c r="E148" s="140"/>
      <c r="F148" s="80"/>
      <c r="G148" s="80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139"/>
      <c r="BG148" s="73"/>
      <c r="BH148" s="88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</row>
    <row r="149">
      <c r="A149" s="73"/>
      <c r="B149" s="73"/>
      <c r="C149" s="73"/>
      <c r="D149" s="73"/>
      <c r="E149" s="140"/>
      <c r="F149" s="80"/>
      <c r="G149" s="80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139"/>
      <c r="BG149" s="73"/>
      <c r="BH149" s="88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139" t="str">
        <f>IFERROR(__xludf.DUMMYFUNCTION("QUERY(CB140:CH148,CD119)"),"Offset")</f>
        <v>Offset</v>
      </c>
      <c r="CC149" s="73" t="str">
        <f>IFERROR(__xludf.DUMMYFUNCTION("""COMPUTED_VALUE"""),"Packaging")</f>
        <v>Packaging</v>
      </c>
      <c r="CD149" s="73" t="str">
        <f>IFERROR(__xludf.DUMMYFUNCTION("""COMPUTED_VALUE"""),"Printing")</f>
        <v>Printing</v>
      </c>
      <c r="CE149" s="77">
        <f>IFERROR(__xludf.DUMMYFUNCTION("""COMPUTED_VALUE"""),1926.0)</f>
        <v>1926</v>
      </c>
      <c r="CF149" s="77">
        <f>IFERROR(__xludf.DUMMYFUNCTION("""COMPUTED_VALUE"""),1926.0)</f>
        <v>1926</v>
      </c>
      <c r="CG149" s="77">
        <f>IFERROR(__xludf.DUMMYFUNCTION("""COMPUTED_VALUE"""),0.0)</f>
        <v>0</v>
      </c>
      <c r="CH149" s="77">
        <f>IFERROR(__xludf.DUMMYFUNCTION("""COMPUTED_VALUE"""),250.0)</f>
        <v>250</v>
      </c>
    </row>
    <row r="150">
      <c r="A150" s="73"/>
      <c r="B150" s="73"/>
      <c r="C150" s="73"/>
      <c r="D150" s="73"/>
      <c r="E150" s="140"/>
      <c r="F150" s="80"/>
      <c r="G150" s="80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139"/>
      <c r="BG150" s="73"/>
      <c r="BH150" s="88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 t="str">
        <f>IFERROR(__xludf.DUMMYFUNCTION("""COMPUTED_VALUE"""),"Offset")</f>
        <v>Offset</v>
      </c>
      <c r="CC150" s="73" t="str">
        <f>IFERROR(__xludf.DUMMYFUNCTION("""COMPUTED_VALUE"""),"Packaging")</f>
        <v>Packaging</v>
      </c>
      <c r="CD150" s="73" t="str">
        <f>IFERROR(__xludf.DUMMYFUNCTION("""COMPUTED_VALUE"""),"Printing")</f>
        <v>Printing</v>
      </c>
      <c r="CE150" s="77">
        <f>IFERROR(__xludf.DUMMYFUNCTION("""COMPUTED_VALUE"""),2029.0)</f>
        <v>2029</v>
      </c>
      <c r="CF150" s="77">
        <f>IFERROR(__xludf.DUMMYFUNCTION("""COMPUTED_VALUE"""),2029.0)</f>
        <v>2029</v>
      </c>
      <c r="CG150" s="77">
        <f>IFERROR(__xludf.DUMMYFUNCTION("""COMPUTED_VALUE"""),0.0)</f>
        <v>0</v>
      </c>
      <c r="CH150" s="77">
        <f>IFERROR(__xludf.DUMMYFUNCTION("""COMPUTED_VALUE"""),275.0)</f>
        <v>275</v>
      </c>
    </row>
    <row r="151">
      <c r="A151" s="73"/>
      <c r="B151" s="73"/>
      <c r="C151" s="73"/>
      <c r="D151" s="73"/>
      <c r="E151" s="140"/>
      <c r="F151" s="80"/>
      <c r="G151" s="80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139"/>
      <c r="BG151" s="73"/>
      <c r="BH151" s="88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 t="str">
        <f>IFERROR(__xludf.DUMMYFUNCTION("""COMPUTED_VALUE"""),"Offset")</f>
        <v>Offset</v>
      </c>
      <c r="CC151" s="73" t="str">
        <f>IFERROR(__xludf.DUMMYFUNCTION("""COMPUTED_VALUE"""),"Packaging")</f>
        <v>Packaging</v>
      </c>
      <c r="CD151" s="73" t="str">
        <f>IFERROR(__xludf.DUMMYFUNCTION("""COMPUTED_VALUE"""),"Printing")</f>
        <v>Printing</v>
      </c>
      <c r="CE151" s="77">
        <f>IFERROR(__xludf.DUMMYFUNCTION("""COMPUTED_VALUE"""),2840.0)</f>
        <v>2840</v>
      </c>
      <c r="CF151" s="77">
        <f>IFERROR(__xludf.DUMMYFUNCTION("""COMPUTED_VALUE"""),2840.0)</f>
        <v>2840</v>
      </c>
      <c r="CG151" s="77">
        <f>IFERROR(__xludf.DUMMYFUNCTION("""COMPUTED_VALUE"""),0.0)</f>
        <v>0</v>
      </c>
      <c r="CH151" s="77">
        <f>IFERROR(__xludf.DUMMYFUNCTION("""COMPUTED_VALUE"""),650.0)</f>
        <v>650</v>
      </c>
    </row>
    <row r="152">
      <c r="A152" s="73"/>
      <c r="B152" s="73"/>
      <c r="C152" s="73"/>
      <c r="D152" s="73"/>
      <c r="E152" s="140"/>
      <c r="F152" s="80"/>
      <c r="G152" s="80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139"/>
      <c r="BG152" s="73"/>
      <c r="BH152" s="88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</row>
    <row r="153">
      <c r="A153" s="73"/>
      <c r="B153" s="73"/>
      <c r="C153" s="73"/>
      <c r="D153" s="73"/>
      <c r="E153" s="140"/>
      <c r="F153" s="80"/>
      <c r="G153" s="80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139"/>
      <c r="BG153" s="73"/>
      <c r="BH153" s="88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139"/>
      <c r="CC153" s="73"/>
      <c r="CD153" s="73"/>
      <c r="CE153" s="73"/>
      <c r="CF153" s="73"/>
      <c r="CG153" s="73"/>
      <c r="CH153" s="73"/>
    </row>
    <row r="154">
      <c r="A154" s="73"/>
      <c r="B154" s="73"/>
      <c r="C154" s="73"/>
      <c r="D154" s="73"/>
      <c r="E154" s="140"/>
      <c r="F154" s="80"/>
      <c r="G154" s="80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139"/>
      <c r="BG154" s="73"/>
      <c r="BH154" s="88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</row>
    <row r="155">
      <c r="A155" s="73"/>
      <c r="B155" s="73"/>
      <c r="C155" s="73"/>
      <c r="D155" s="73"/>
      <c r="E155" s="140"/>
      <c r="F155" s="80"/>
      <c r="G155" s="80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139"/>
      <c r="BG155" s="73"/>
      <c r="BH155" s="88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139" t="str">
        <f>IFERROR(__xludf.DUMMYFUNCTION("QUERY(CB149:CH154,CE119)"),"Offset")</f>
        <v>Offset</v>
      </c>
      <c r="CC155" s="73" t="str">
        <f>IFERROR(__xludf.DUMMYFUNCTION("""COMPUTED_VALUE"""),"Packaging")</f>
        <v>Packaging</v>
      </c>
      <c r="CD155" s="73" t="str">
        <f>IFERROR(__xludf.DUMMYFUNCTION("""COMPUTED_VALUE"""),"Printing")</f>
        <v>Printing</v>
      </c>
      <c r="CE155" s="77">
        <f>IFERROR(__xludf.DUMMYFUNCTION("""COMPUTED_VALUE"""),2029.0)</f>
        <v>2029</v>
      </c>
      <c r="CF155" s="77">
        <f>IFERROR(__xludf.DUMMYFUNCTION("""COMPUTED_VALUE"""),2029.0)</f>
        <v>2029</v>
      </c>
      <c r="CG155" s="77">
        <f>IFERROR(__xludf.DUMMYFUNCTION("""COMPUTED_VALUE"""),0.0)</f>
        <v>0</v>
      </c>
      <c r="CH155" s="77">
        <f>IFERROR(__xludf.DUMMYFUNCTION("""COMPUTED_VALUE"""),275.0)</f>
        <v>275</v>
      </c>
    </row>
    <row r="156">
      <c r="A156" s="73"/>
      <c r="B156" s="73"/>
      <c r="C156" s="73"/>
      <c r="D156" s="73"/>
      <c r="E156" s="140"/>
      <c r="F156" s="80"/>
      <c r="G156" s="80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139"/>
      <c r="BG156" s="73"/>
      <c r="BH156" s="88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</row>
    <row r="157">
      <c r="A157" s="73"/>
      <c r="B157" s="73"/>
      <c r="C157" s="73"/>
      <c r="D157" s="73"/>
      <c r="E157" s="140"/>
      <c r="F157" s="80"/>
      <c r="G157" s="80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139"/>
      <c r="BG157" s="73"/>
      <c r="BH157" s="88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</row>
    <row r="158">
      <c r="A158" s="73"/>
      <c r="B158" s="73"/>
      <c r="C158" s="73"/>
      <c r="D158" s="73"/>
      <c r="E158" s="140"/>
      <c r="F158" s="80"/>
      <c r="G158" s="80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139"/>
      <c r="BG158" s="73"/>
      <c r="BH158" s="88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</row>
    <row r="159">
      <c r="A159" s="73"/>
      <c r="B159" s="73"/>
      <c r="C159" s="73"/>
      <c r="D159" s="73"/>
      <c r="E159" s="140"/>
      <c r="F159" s="80"/>
      <c r="G159" s="80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139"/>
      <c r="BG159" s="73"/>
      <c r="BH159" s="88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</row>
    <row r="160">
      <c r="A160" s="73"/>
      <c r="B160" s="73"/>
      <c r="C160" s="73"/>
      <c r="D160" s="73"/>
      <c r="E160" s="140"/>
      <c r="F160" s="80"/>
      <c r="G160" s="80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139"/>
      <c r="BG160" s="73"/>
      <c r="BH160" s="88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</row>
    <row r="161">
      <c r="A161" s="73"/>
      <c r="B161" s="73"/>
      <c r="C161" s="73"/>
      <c r="D161" s="73"/>
      <c r="E161" s="140"/>
      <c r="F161" s="80"/>
      <c r="G161" s="80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139"/>
      <c r="BG161" s="73"/>
      <c r="BH161" s="88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</row>
    <row r="162">
      <c r="A162" s="73"/>
      <c r="B162" s="73"/>
      <c r="C162" s="73"/>
      <c r="D162" s="73"/>
      <c r="E162" s="140"/>
      <c r="F162" s="80"/>
      <c r="G162" s="80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139"/>
      <c r="BG162" s="73"/>
      <c r="BH162" s="88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</row>
    <row r="163">
      <c r="A163" s="73"/>
      <c r="B163" s="73"/>
      <c r="C163" s="73"/>
      <c r="D163" s="73"/>
      <c r="E163" s="140"/>
      <c r="F163" s="80"/>
      <c r="G163" s="80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139"/>
      <c r="BG163" s="73"/>
      <c r="BH163" s="88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</row>
    <row r="164">
      <c r="A164" s="73"/>
      <c r="B164" s="73"/>
      <c r="C164" s="73"/>
      <c r="D164" s="73"/>
      <c r="E164" s="140"/>
      <c r="F164" s="80"/>
      <c r="G164" s="80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139"/>
      <c r="BG164" s="73"/>
      <c r="BH164" s="88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</row>
    <row r="165">
      <c r="A165" s="73"/>
      <c r="B165" s="73"/>
      <c r="C165" s="73"/>
      <c r="D165" s="73"/>
      <c r="E165" s="140"/>
      <c r="F165" s="80"/>
      <c r="G165" s="80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139"/>
      <c r="BG165" s="73"/>
      <c r="BH165" s="88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</row>
    <row r="166">
      <c r="A166" s="73"/>
      <c r="B166" s="73"/>
      <c r="C166" s="73"/>
      <c r="D166" s="73"/>
      <c r="E166" s="140"/>
      <c r="F166" s="80"/>
      <c r="G166" s="80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139"/>
      <c r="BG166" s="73"/>
      <c r="BH166" s="88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</row>
    <row r="167">
      <c r="A167" s="73"/>
      <c r="B167" s="73"/>
      <c r="C167" s="73"/>
      <c r="D167" s="73"/>
      <c r="E167" s="140"/>
      <c r="F167" s="80"/>
      <c r="G167" s="80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139"/>
      <c r="BG167" s="73"/>
      <c r="BH167" s="88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</row>
    <row r="168">
      <c r="A168" s="73"/>
      <c r="B168" s="73"/>
      <c r="C168" s="73"/>
      <c r="D168" s="73"/>
      <c r="E168" s="140"/>
      <c r="F168" s="80"/>
      <c r="G168" s="80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139"/>
      <c r="BG168" s="73"/>
      <c r="BH168" s="88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</row>
    <row r="169">
      <c r="A169" s="73"/>
      <c r="B169" s="73"/>
      <c r="C169" s="73"/>
      <c r="D169" s="73"/>
      <c r="E169" s="140"/>
      <c r="F169" s="80"/>
      <c r="G169" s="80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139"/>
      <c r="BG169" s="73"/>
      <c r="BH169" s="88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</row>
    <row r="170">
      <c r="A170" s="73"/>
      <c r="B170" s="73"/>
      <c r="C170" s="73"/>
      <c r="D170" s="73"/>
      <c r="E170" s="140"/>
      <c r="F170" s="80"/>
      <c r="G170" s="80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139"/>
      <c r="BG170" s="73"/>
      <c r="BH170" s="88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</row>
    <row r="171">
      <c r="A171" s="73"/>
      <c r="B171" s="73"/>
      <c r="C171" s="73"/>
      <c r="D171" s="73"/>
      <c r="E171" s="140"/>
      <c r="F171" s="80"/>
      <c r="G171" s="80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139"/>
      <c r="BG171" s="73"/>
      <c r="BH171" s="88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</row>
    <row r="172">
      <c r="A172" s="73"/>
      <c r="B172" s="73"/>
      <c r="C172" s="73"/>
      <c r="D172" s="73"/>
      <c r="E172" s="140"/>
      <c r="F172" s="80"/>
      <c r="G172" s="80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139"/>
      <c r="BG172" s="73"/>
      <c r="BH172" s="88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</row>
    <row r="173">
      <c r="A173" s="73"/>
      <c r="B173" s="73"/>
      <c r="C173" s="73"/>
      <c r="D173" s="73"/>
      <c r="E173" s="140"/>
      <c r="F173" s="80"/>
      <c r="G173" s="80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139"/>
      <c r="BG173" s="73"/>
      <c r="BH173" s="88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</row>
    <row r="174">
      <c r="A174" s="73"/>
      <c r="B174" s="73"/>
      <c r="C174" s="73"/>
      <c r="D174" s="73"/>
      <c r="E174" s="140"/>
      <c r="F174" s="80"/>
      <c r="G174" s="80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139"/>
      <c r="BG174" s="73"/>
      <c r="BH174" s="88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</row>
    <row r="175">
      <c r="A175" s="73"/>
      <c r="B175" s="73"/>
      <c r="C175" s="73"/>
      <c r="D175" s="73"/>
      <c r="E175" s="140"/>
      <c r="F175" s="80"/>
      <c r="G175" s="80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139"/>
      <c r="BG175" s="73"/>
      <c r="BH175" s="88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</row>
    <row r="176">
      <c r="A176" s="73"/>
      <c r="B176" s="73"/>
      <c r="C176" s="73"/>
      <c r="D176" s="73"/>
      <c r="E176" s="140"/>
      <c r="F176" s="80"/>
      <c r="G176" s="80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139"/>
      <c r="BG176" s="73"/>
      <c r="BH176" s="88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</row>
    <row r="177">
      <c r="A177" s="73"/>
      <c r="B177" s="73"/>
      <c r="C177" s="73"/>
      <c r="D177" s="73"/>
      <c r="E177" s="140"/>
      <c r="F177" s="80"/>
      <c r="G177" s="80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139"/>
      <c r="BG177" s="73"/>
      <c r="BH177" s="88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</row>
    <row r="178">
      <c r="A178" s="73"/>
      <c r="B178" s="73"/>
      <c r="C178" s="73"/>
      <c r="D178" s="73"/>
      <c r="E178" s="140"/>
      <c r="F178" s="80"/>
      <c r="G178" s="80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139"/>
      <c r="BG178" s="73"/>
      <c r="BH178" s="88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</row>
    <row r="179">
      <c r="A179" s="73"/>
      <c r="B179" s="73"/>
      <c r="C179" s="73"/>
      <c r="D179" s="73"/>
      <c r="E179" s="140"/>
      <c r="F179" s="80"/>
      <c r="G179" s="80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139"/>
      <c r="BG179" s="73"/>
      <c r="BH179" s="88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</row>
    <row r="180">
      <c r="A180" s="73"/>
      <c r="B180" s="73"/>
      <c r="C180" s="73"/>
      <c r="D180" s="73"/>
      <c r="E180" s="140"/>
      <c r="F180" s="80"/>
      <c r="G180" s="80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139"/>
      <c r="BG180" s="73"/>
      <c r="BH180" s="88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</row>
    <row r="181">
      <c r="A181" s="73"/>
      <c r="B181" s="73"/>
      <c r="C181" s="73"/>
      <c r="D181" s="73"/>
      <c r="E181" s="140"/>
      <c r="F181" s="80"/>
      <c r="G181" s="80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139"/>
      <c r="BG181" s="73"/>
      <c r="BH181" s="88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</row>
    <row r="182">
      <c r="A182" s="73"/>
      <c r="B182" s="73"/>
      <c r="C182" s="73"/>
      <c r="D182" s="73"/>
      <c r="E182" s="140"/>
      <c r="F182" s="80"/>
      <c r="G182" s="80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139"/>
      <c r="BG182" s="73"/>
      <c r="BH182" s="88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</row>
    <row r="183">
      <c r="A183" s="73"/>
      <c r="B183" s="73"/>
      <c r="C183" s="73"/>
      <c r="D183" s="73"/>
      <c r="E183" s="140"/>
      <c r="F183" s="80"/>
      <c r="G183" s="80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139"/>
      <c r="BG183" s="73"/>
      <c r="BH183" s="88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</row>
    <row r="184">
      <c r="A184" s="73"/>
      <c r="B184" s="73"/>
      <c r="C184" s="73"/>
      <c r="D184" s="73"/>
      <c r="E184" s="140"/>
      <c r="F184" s="80"/>
      <c r="G184" s="80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139"/>
      <c r="BG184" s="73"/>
      <c r="BH184" s="88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</row>
    <row r="185">
      <c r="A185" s="73"/>
      <c r="B185" s="73"/>
      <c r="C185" s="73"/>
      <c r="D185" s="73"/>
      <c r="E185" s="140"/>
      <c r="F185" s="80"/>
      <c r="G185" s="80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139"/>
      <c r="BG185" s="73"/>
      <c r="BH185" s="88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</row>
    <row r="186">
      <c r="A186" s="73"/>
      <c r="B186" s="73"/>
      <c r="C186" s="73"/>
      <c r="D186" s="73"/>
      <c r="E186" s="140"/>
      <c r="F186" s="80"/>
      <c r="G186" s="80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139"/>
      <c r="BG186" s="73"/>
      <c r="BH186" s="88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</row>
    <row r="187">
      <c r="A187" s="73"/>
      <c r="B187" s="73"/>
      <c r="C187" s="73"/>
      <c r="D187" s="73"/>
      <c r="E187" s="140"/>
      <c r="F187" s="80"/>
      <c r="G187" s="80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139"/>
      <c r="BG187" s="73"/>
      <c r="BH187" s="88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</row>
    <row r="188">
      <c r="A188" s="73"/>
      <c r="B188" s="73"/>
      <c r="C188" s="73"/>
      <c r="D188" s="73"/>
      <c r="E188" s="140"/>
      <c r="F188" s="80"/>
      <c r="G188" s="80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139"/>
      <c r="BG188" s="73"/>
      <c r="BH188" s="88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</row>
    <row r="189">
      <c r="A189" s="73"/>
      <c r="B189" s="73"/>
      <c r="C189" s="73"/>
      <c r="D189" s="73"/>
      <c r="E189" s="140"/>
      <c r="F189" s="80"/>
      <c r="G189" s="80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139"/>
      <c r="BG189" s="73"/>
      <c r="BH189" s="88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</row>
    <row r="190">
      <c r="A190" s="73"/>
      <c r="B190" s="73"/>
      <c r="C190" s="73"/>
      <c r="D190" s="73"/>
      <c r="E190" s="140"/>
      <c r="F190" s="80"/>
      <c r="G190" s="80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139"/>
      <c r="BG190" s="73"/>
      <c r="BH190" s="88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</row>
    <row r="191">
      <c r="A191" s="73"/>
      <c r="B191" s="73"/>
      <c r="C191" s="73"/>
      <c r="D191" s="73"/>
      <c r="E191" s="140"/>
      <c r="F191" s="80"/>
      <c r="G191" s="80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139"/>
      <c r="BG191" s="73"/>
      <c r="BH191" s="88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</row>
    <row r="192">
      <c r="A192" s="73"/>
      <c r="B192" s="73"/>
      <c r="C192" s="73"/>
      <c r="D192" s="73"/>
      <c r="E192" s="140"/>
      <c r="F192" s="80"/>
      <c r="G192" s="80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139"/>
      <c r="BG192" s="73"/>
      <c r="BH192" s="88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</row>
    <row r="193">
      <c r="A193" s="73"/>
      <c r="B193" s="73"/>
      <c r="C193" s="73"/>
      <c r="D193" s="73"/>
      <c r="E193" s="140"/>
      <c r="F193" s="80"/>
      <c r="G193" s="80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139"/>
      <c r="BG193" s="73"/>
      <c r="BH193" s="88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</row>
    <row r="194">
      <c r="A194" s="73"/>
      <c r="B194" s="73"/>
      <c r="C194" s="73"/>
      <c r="D194" s="73"/>
      <c r="E194" s="140"/>
      <c r="F194" s="80"/>
      <c r="G194" s="80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139"/>
      <c r="BG194" s="73"/>
      <c r="BH194" s="88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</row>
    <row r="195">
      <c r="A195" s="73"/>
      <c r="B195" s="73"/>
      <c r="C195" s="73"/>
      <c r="D195" s="73"/>
      <c r="E195" s="140"/>
      <c r="F195" s="80"/>
      <c r="G195" s="80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139"/>
      <c r="BG195" s="73"/>
      <c r="BH195" s="88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</row>
    <row r="196">
      <c r="A196" s="73"/>
      <c r="B196" s="73"/>
      <c r="C196" s="73"/>
      <c r="D196" s="73"/>
      <c r="E196" s="140"/>
      <c r="F196" s="80"/>
      <c r="G196" s="80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139"/>
      <c r="BG196" s="73"/>
      <c r="BH196" s="88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</row>
    <row r="197">
      <c r="A197" s="73"/>
      <c r="B197" s="73"/>
      <c r="C197" s="73"/>
      <c r="D197" s="73"/>
      <c r="E197" s="140"/>
      <c r="F197" s="80"/>
      <c r="G197" s="80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139"/>
      <c r="BG197" s="73"/>
      <c r="BH197" s="88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</row>
    <row r="198">
      <c r="A198" s="73"/>
      <c r="B198" s="73"/>
      <c r="C198" s="73"/>
      <c r="D198" s="73"/>
      <c r="E198" s="140"/>
      <c r="F198" s="80"/>
      <c r="G198" s="80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139"/>
      <c r="BG198" s="73"/>
      <c r="BH198" s="88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</row>
    <row r="199">
      <c r="A199" s="73"/>
      <c r="B199" s="73"/>
      <c r="C199" s="73"/>
      <c r="D199" s="73"/>
      <c r="E199" s="140"/>
      <c r="F199" s="80"/>
      <c r="G199" s="80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139"/>
      <c r="BG199" s="73"/>
      <c r="BH199" s="88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</row>
    <row r="200">
      <c r="A200" s="73"/>
      <c r="B200" s="73"/>
      <c r="C200" s="73"/>
      <c r="D200" s="73"/>
      <c r="E200" s="140"/>
      <c r="F200" s="80"/>
      <c r="G200" s="80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139"/>
      <c r="BG200" s="73"/>
      <c r="BH200" s="88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</row>
    <row r="201">
      <c r="A201" s="73"/>
      <c r="B201" s="73"/>
      <c r="C201" s="73"/>
      <c r="D201" s="73"/>
      <c r="E201" s="140"/>
      <c r="F201" s="80"/>
      <c r="G201" s="80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139"/>
      <c r="BG201" s="73"/>
      <c r="BH201" s="88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</row>
    <row r="202">
      <c r="A202" s="73"/>
      <c r="B202" s="73"/>
      <c r="C202" s="73"/>
      <c r="D202" s="73"/>
      <c r="E202" s="140"/>
      <c r="F202" s="80"/>
      <c r="G202" s="80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139"/>
      <c r="BG202" s="73"/>
      <c r="BH202" s="88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</row>
    <row r="203">
      <c r="A203" s="73"/>
      <c r="B203" s="73"/>
      <c r="C203" s="73"/>
      <c r="D203" s="73"/>
      <c r="E203" s="140"/>
      <c r="F203" s="80"/>
      <c r="G203" s="80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139"/>
      <c r="BG203" s="73"/>
      <c r="BH203" s="88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</row>
    <row r="204">
      <c r="A204" s="73"/>
      <c r="B204" s="73"/>
      <c r="C204" s="73"/>
      <c r="D204" s="73"/>
      <c r="E204" s="140"/>
      <c r="F204" s="80"/>
      <c r="G204" s="80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139"/>
      <c r="BG204" s="73"/>
      <c r="BH204" s="88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</row>
    <row r="205">
      <c r="A205" s="73"/>
      <c r="B205" s="73"/>
      <c r="C205" s="73"/>
      <c r="D205" s="73"/>
      <c r="E205" s="140"/>
      <c r="F205" s="80"/>
      <c r="G205" s="80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139"/>
      <c r="BG205" s="73"/>
      <c r="BH205" s="88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</row>
    <row r="206">
      <c r="A206" s="73"/>
      <c r="B206" s="73"/>
      <c r="C206" s="73"/>
      <c r="D206" s="73"/>
      <c r="E206" s="140"/>
      <c r="F206" s="80"/>
      <c r="G206" s="80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139"/>
      <c r="BG206" s="73"/>
      <c r="BH206" s="88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</row>
    <row r="207">
      <c r="A207" s="73"/>
      <c r="B207" s="73"/>
      <c r="C207" s="73"/>
      <c r="D207" s="73"/>
      <c r="E207" s="140"/>
      <c r="F207" s="80"/>
      <c r="G207" s="80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139"/>
      <c r="BG207" s="73"/>
      <c r="BH207" s="88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</row>
    <row r="208">
      <c r="A208" s="73"/>
      <c r="B208" s="73"/>
      <c r="C208" s="73"/>
      <c r="D208" s="73"/>
      <c r="E208" s="140"/>
      <c r="F208" s="80"/>
      <c r="G208" s="80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139"/>
      <c r="BG208" s="73"/>
      <c r="BH208" s="88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</row>
    <row r="209">
      <c r="A209" s="73"/>
      <c r="B209" s="73"/>
      <c r="C209" s="73"/>
      <c r="D209" s="73"/>
      <c r="E209" s="140"/>
      <c r="F209" s="80"/>
      <c r="G209" s="80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139"/>
      <c r="BG209" s="73"/>
      <c r="BH209" s="88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</row>
    <row r="210">
      <c r="A210" s="73"/>
      <c r="B210" s="73"/>
      <c r="C210" s="73"/>
      <c r="D210" s="73"/>
      <c r="E210" s="140"/>
      <c r="F210" s="80"/>
      <c r="G210" s="80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139"/>
      <c r="BG210" s="73"/>
      <c r="BH210" s="88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</row>
    <row r="211">
      <c r="A211" s="73"/>
      <c r="B211" s="73"/>
      <c r="C211" s="73"/>
      <c r="D211" s="73"/>
      <c r="E211" s="140"/>
      <c r="F211" s="80"/>
      <c r="G211" s="80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139"/>
      <c r="BG211" s="73"/>
      <c r="BH211" s="88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</row>
    <row r="212">
      <c r="A212" s="73"/>
      <c r="B212" s="73"/>
      <c r="C212" s="73"/>
      <c r="D212" s="73"/>
      <c r="E212" s="140"/>
      <c r="F212" s="80"/>
      <c r="G212" s="80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139"/>
      <c r="BG212" s="73"/>
      <c r="BH212" s="88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</row>
    <row r="213">
      <c r="A213" s="73"/>
      <c r="B213" s="73"/>
      <c r="C213" s="73"/>
      <c r="D213" s="73"/>
      <c r="E213" s="140"/>
      <c r="F213" s="80"/>
      <c r="G213" s="80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139"/>
      <c r="BG213" s="73"/>
      <c r="BH213" s="88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</row>
    <row r="214">
      <c r="A214" s="73"/>
      <c r="B214" s="73"/>
      <c r="C214" s="73"/>
      <c r="D214" s="73"/>
      <c r="E214" s="140"/>
      <c r="F214" s="80"/>
      <c r="G214" s="80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139"/>
      <c r="BG214" s="73"/>
      <c r="BH214" s="88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</row>
    <row r="215">
      <c r="A215" s="73"/>
      <c r="B215" s="73"/>
      <c r="C215" s="73"/>
      <c r="D215" s="73"/>
      <c r="E215" s="140"/>
      <c r="F215" s="80"/>
      <c r="G215" s="80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139"/>
      <c r="BG215" s="73"/>
      <c r="BH215" s="88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</row>
    <row r="216">
      <c r="A216" s="73"/>
      <c r="B216" s="73"/>
      <c r="C216" s="73"/>
      <c r="D216" s="73"/>
      <c r="E216" s="140"/>
      <c r="F216" s="80"/>
      <c r="G216" s="80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139"/>
      <c r="BG216" s="73"/>
      <c r="BH216" s="88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</row>
    <row r="217">
      <c r="A217" s="73"/>
      <c r="B217" s="73"/>
      <c r="C217" s="73"/>
      <c r="D217" s="73"/>
      <c r="E217" s="140"/>
      <c r="F217" s="80"/>
      <c r="G217" s="80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139"/>
      <c r="BG217" s="73"/>
      <c r="BH217" s="88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</row>
    <row r="218">
      <c r="A218" s="73"/>
      <c r="B218" s="73"/>
      <c r="C218" s="73"/>
      <c r="D218" s="73"/>
      <c r="E218" s="140"/>
      <c r="F218" s="80"/>
      <c r="G218" s="80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139"/>
      <c r="BG218" s="73"/>
      <c r="BH218" s="88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</row>
    <row r="219">
      <c r="A219" s="73"/>
      <c r="B219" s="73"/>
      <c r="C219" s="73"/>
      <c r="D219" s="73"/>
      <c r="E219" s="140"/>
      <c r="F219" s="80"/>
      <c r="G219" s="80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139"/>
      <c r="BG219" s="73"/>
      <c r="BH219" s="88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</row>
    <row r="220">
      <c r="A220" s="73"/>
      <c r="B220" s="73"/>
      <c r="C220" s="73"/>
      <c r="D220" s="73"/>
      <c r="E220" s="140"/>
      <c r="F220" s="80"/>
      <c r="G220" s="80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139"/>
      <c r="BG220" s="73"/>
      <c r="BH220" s="88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</row>
    <row r="221">
      <c r="A221" s="73"/>
      <c r="B221" s="73"/>
      <c r="C221" s="73"/>
      <c r="D221" s="73"/>
      <c r="E221" s="140"/>
      <c r="F221" s="80"/>
      <c r="G221" s="80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139"/>
      <c r="BG221" s="73"/>
      <c r="BH221" s="88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</row>
    <row r="222">
      <c r="A222" s="73"/>
      <c r="B222" s="73"/>
      <c r="C222" s="73"/>
      <c r="D222" s="73"/>
      <c r="E222" s="140"/>
      <c r="F222" s="80"/>
      <c r="G222" s="80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139"/>
      <c r="BG222" s="73"/>
      <c r="BH222" s="88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</row>
    <row r="223">
      <c r="A223" s="73"/>
      <c r="B223" s="73"/>
      <c r="C223" s="73"/>
      <c r="D223" s="73"/>
      <c r="E223" s="140"/>
      <c r="F223" s="80"/>
      <c r="G223" s="80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139"/>
      <c r="BG223" s="73"/>
      <c r="BH223" s="88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</row>
    <row r="224">
      <c r="A224" s="73"/>
      <c r="B224" s="73"/>
      <c r="C224" s="73"/>
      <c r="D224" s="73"/>
      <c r="E224" s="140"/>
      <c r="F224" s="80"/>
      <c r="G224" s="80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139"/>
      <c r="BG224" s="73"/>
      <c r="BH224" s="88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</row>
    <row r="225">
      <c r="A225" s="73"/>
      <c r="B225" s="73"/>
      <c r="C225" s="73"/>
      <c r="D225" s="73"/>
      <c r="E225" s="140"/>
      <c r="F225" s="80"/>
      <c r="G225" s="80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139"/>
      <c r="BG225" s="73"/>
      <c r="BH225" s="88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</row>
    <row r="226">
      <c r="A226" s="73"/>
      <c r="B226" s="73"/>
      <c r="C226" s="73"/>
      <c r="D226" s="73"/>
      <c r="E226" s="140"/>
      <c r="F226" s="80"/>
      <c r="G226" s="80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139"/>
      <c r="BG226" s="73"/>
      <c r="BH226" s="88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</row>
    <row r="227">
      <c r="A227" s="73"/>
      <c r="B227" s="73"/>
      <c r="C227" s="73"/>
      <c r="D227" s="73"/>
      <c r="E227" s="140"/>
      <c r="F227" s="80"/>
      <c r="G227" s="80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139"/>
      <c r="BG227" s="73"/>
      <c r="BH227" s="88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</row>
    <row r="228">
      <c r="A228" s="73"/>
      <c r="B228" s="73"/>
      <c r="C228" s="73"/>
      <c r="D228" s="73"/>
      <c r="E228" s="140"/>
      <c r="F228" s="80"/>
      <c r="G228" s="80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139"/>
      <c r="BG228" s="73"/>
      <c r="BH228" s="88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</row>
    <row r="229">
      <c r="A229" s="73"/>
      <c r="B229" s="73"/>
      <c r="C229" s="73"/>
      <c r="D229" s="73"/>
      <c r="E229" s="140"/>
      <c r="F229" s="80"/>
      <c r="G229" s="80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139"/>
      <c r="BG229" s="73"/>
      <c r="BH229" s="88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</row>
    <row r="230">
      <c r="A230" s="73"/>
      <c r="B230" s="73"/>
      <c r="C230" s="73"/>
      <c r="D230" s="73"/>
      <c r="E230" s="140"/>
      <c r="F230" s="80"/>
      <c r="G230" s="80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139"/>
      <c r="BG230" s="73"/>
      <c r="BH230" s="88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</row>
    <row r="231">
      <c r="A231" s="73"/>
      <c r="B231" s="73"/>
      <c r="C231" s="73"/>
      <c r="D231" s="73"/>
      <c r="E231" s="140"/>
      <c r="F231" s="80"/>
      <c r="G231" s="80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139"/>
      <c r="BG231" s="73"/>
      <c r="BH231" s="88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</row>
    <row r="232">
      <c r="A232" s="73"/>
      <c r="B232" s="73"/>
      <c r="C232" s="73"/>
      <c r="D232" s="73"/>
      <c r="E232" s="140"/>
      <c r="F232" s="80"/>
      <c r="G232" s="80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139"/>
      <c r="BG232" s="73"/>
      <c r="BH232" s="88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</row>
    <row r="233">
      <c r="A233" s="73"/>
      <c r="B233" s="73"/>
      <c r="C233" s="73"/>
      <c r="D233" s="73"/>
      <c r="E233" s="140"/>
      <c r="F233" s="80"/>
      <c r="G233" s="80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139"/>
      <c r="BG233" s="73"/>
      <c r="BH233" s="88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</row>
    <row r="234">
      <c r="A234" s="73"/>
      <c r="B234" s="73"/>
      <c r="C234" s="73"/>
      <c r="D234" s="73"/>
      <c r="E234" s="140"/>
      <c r="F234" s="80"/>
      <c r="G234" s="80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139"/>
      <c r="BG234" s="73"/>
      <c r="BH234" s="88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</row>
    <row r="235">
      <c r="A235" s="73"/>
      <c r="B235" s="73"/>
      <c r="C235" s="73"/>
      <c r="D235" s="73"/>
      <c r="E235" s="140"/>
      <c r="F235" s="80"/>
      <c r="G235" s="80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139"/>
      <c r="BG235" s="73"/>
      <c r="BH235" s="88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</row>
    <row r="236">
      <c r="A236" s="73"/>
      <c r="B236" s="73"/>
      <c r="C236" s="73"/>
      <c r="D236" s="73"/>
      <c r="E236" s="140"/>
      <c r="F236" s="80"/>
      <c r="G236" s="80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139"/>
      <c r="BG236" s="73"/>
      <c r="BH236" s="88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</row>
    <row r="237">
      <c r="A237" s="73"/>
      <c r="B237" s="73"/>
      <c r="C237" s="73"/>
      <c r="D237" s="73"/>
      <c r="E237" s="140"/>
      <c r="F237" s="80"/>
      <c r="G237" s="80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139"/>
      <c r="BG237" s="73"/>
      <c r="BH237" s="88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</row>
    <row r="238">
      <c r="A238" s="73"/>
      <c r="B238" s="73"/>
      <c r="C238" s="73"/>
      <c r="D238" s="73"/>
      <c r="E238" s="140"/>
      <c r="F238" s="80"/>
      <c r="G238" s="80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139"/>
      <c r="BG238" s="73"/>
      <c r="BH238" s="88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</row>
    <row r="239">
      <c r="A239" s="73"/>
      <c r="B239" s="73"/>
      <c r="C239" s="73"/>
      <c r="D239" s="73"/>
      <c r="E239" s="140"/>
      <c r="F239" s="80"/>
      <c r="G239" s="80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139"/>
      <c r="BG239" s="73"/>
      <c r="BH239" s="88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</row>
    <row r="240">
      <c r="A240" s="73"/>
      <c r="B240" s="73"/>
      <c r="C240" s="73"/>
      <c r="D240" s="73"/>
      <c r="E240" s="140"/>
      <c r="F240" s="80"/>
      <c r="G240" s="80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139"/>
      <c r="BG240" s="73"/>
      <c r="BH240" s="88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</row>
    <row r="241">
      <c r="A241" s="73"/>
      <c r="B241" s="73"/>
      <c r="C241" s="73"/>
      <c r="D241" s="73"/>
      <c r="E241" s="140"/>
      <c r="F241" s="80"/>
      <c r="G241" s="80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139"/>
      <c r="BG241" s="73"/>
      <c r="BH241" s="88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</row>
    <row r="242">
      <c r="A242" s="73"/>
      <c r="B242" s="73"/>
      <c r="C242" s="73"/>
      <c r="D242" s="73"/>
      <c r="E242" s="140"/>
      <c r="F242" s="80"/>
      <c r="G242" s="80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139"/>
      <c r="BG242" s="73"/>
      <c r="BH242" s="88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</row>
    <row r="243">
      <c r="A243" s="73"/>
      <c r="B243" s="73"/>
      <c r="C243" s="73"/>
      <c r="D243" s="73"/>
      <c r="E243" s="140"/>
      <c r="F243" s="80"/>
      <c r="G243" s="80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139"/>
      <c r="BG243" s="73"/>
      <c r="BH243" s="88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</row>
    <row r="244">
      <c r="A244" s="73"/>
      <c r="B244" s="73"/>
      <c r="C244" s="73"/>
      <c r="D244" s="73"/>
      <c r="E244" s="140"/>
      <c r="F244" s="80"/>
      <c r="G244" s="80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139"/>
      <c r="BG244" s="73"/>
      <c r="BH244" s="88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</row>
    <row r="245">
      <c r="A245" s="73"/>
      <c r="B245" s="73"/>
      <c r="C245" s="73"/>
      <c r="D245" s="73"/>
      <c r="E245" s="140"/>
      <c r="F245" s="80"/>
      <c r="G245" s="80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139"/>
      <c r="BG245" s="73"/>
      <c r="BH245" s="88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</row>
    <row r="246">
      <c r="A246" s="73"/>
      <c r="B246" s="73"/>
      <c r="C246" s="73"/>
      <c r="D246" s="73"/>
      <c r="E246" s="140"/>
      <c r="F246" s="80"/>
      <c r="G246" s="80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139"/>
      <c r="BG246" s="73"/>
      <c r="BH246" s="88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</row>
    <row r="247">
      <c r="A247" s="73"/>
      <c r="B247" s="73"/>
      <c r="C247" s="73"/>
      <c r="D247" s="73"/>
      <c r="E247" s="140"/>
      <c r="F247" s="80"/>
      <c r="G247" s="80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139"/>
      <c r="BG247" s="73"/>
      <c r="BH247" s="88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</row>
    <row r="248">
      <c r="A248" s="73"/>
      <c r="B248" s="73"/>
      <c r="C248" s="73"/>
      <c r="D248" s="73"/>
      <c r="E248" s="140"/>
      <c r="F248" s="80"/>
      <c r="G248" s="80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139"/>
      <c r="BG248" s="73"/>
      <c r="BH248" s="88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</row>
    <row r="249">
      <c r="A249" s="73"/>
      <c r="B249" s="73"/>
      <c r="C249" s="73"/>
      <c r="D249" s="73"/>
      <c r="E249" s="140"/>
      <c r="F249" s="80"/>
      <c r="G249" s="80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139"/>
      <c r="BG249" s="73"/>
      <c r="BH249" s="88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</row>
    <row r="250">
      <c r="A250" s="73"/>
      <c r="B250" s="73"/>
      <c r="C250" s="73"/>
      <c r="D250" s="73"/>
      <c r="E250" s="140"/>
      <c r="F250" s="80"/>
      <c r="G250" s="80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139"/>
      <c r="BG250" s="73"/>
      <c r="BH250" s="88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</row>
    <row r="251">
      <c r="A251" s="73"/>
      <c r="B251" s="73"/>
      <c r="C251" s="73"/>
      <c r="D251" s="73"/>
      <c r="E251" s="140"/>
      <c r="F251" s="80"/>
      <c r="G251" s="80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139"/>
      <c r="BG251" s="73"/>
      <c r="BH251" s="88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</row>
    <row r="252">
      <c r="A252" s="73"/>
      <c r="B252" s="73"/>
      <c r="C252" s="73"/>
      <c r="D252" s="73"/>
      <c r="E252" s="140"/>
      <c r="F252" s="80"/>
      <c r="G252" s="80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139"/>
      <c r="BG252" s="73"/>
      <c r="BH252" s="88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</row>
    <row r="253">
      <c r="A253" s="73"/>
      <c r="B253" s="73"/>
      <c r="C253" s="73"/>
      <c r="D253" s="73"/>
      <c r="E253" s="140"/>
      <c r="F253" s="80"/>
      <c r="G253" s="80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139"/>
      <c r="BG253" s="73"/>
      <c r="BH253" s="88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</row>
    <row r="254">
      <c r="A254" s="73"/>
      <c r="B254" s="73"/>
      <c r="C254" s="73"/>
      <c r="D254" s="73"/>
      <c r="E254" s="140"/>
      <c r="F254" s="80"/>
      <c r="G254" s="80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139"/>
      <c r="BG254" s="73"/>
      <c r="BH254" s="88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</row>
    <row r="255">
      <c r="A255" s="73"/>
      <c r="B255" s="73"/>
      <c r="C255" s="73"/>
      <c r="D255" s="73"/>
      <c r="E255" s="140"/>
      <c r="F255" s="80"/>
      <c r="G255" s="80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139"/>
      <c r="BG255" s="73"/>
      <c r="BH255" s="88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</row>
    <row r="256">
      <c r="A256" s="73"/>
      <c r="B256" s="73"/>
      <c r="C256" s="73"/>
      <c r="D256" s="73"/>
      <c r="E256" s="140"/>
      <c r="F256" s="80"/>
      <c r="G256" s="80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139"/>
      <c r="BG256" s="73"/>
      <c r="BH256" s="88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</row>
    <row r="257">
      <c r="A257" s="73"/>
      <c r="B257" s="73"/>
      <c r="C257" s="73"/>
      <c r="D257" s="73"/>
      <c r="E257" s="140"/>
      <c r="F257" s="80"/>
      <c r="G257" s="80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139"/>
      <c r="BG257" s="73"/>
      <c r="BH257" s="88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</row>
    <row r="258">
      <c r="A258" s="73"/>
      <c r="B258" s="73"/>
      <c r="C258" s="73"/>
      <c r="D258" s="73"/>
      <c r="E258" s="140"/>
      <c r="F258" s="80"/>
      <c r="G258" s="80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139"/>
      <c r="BG258" s="73"/>
      <c r="BH258" s="88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</row>
    <row r="259">
      <c r="A259" s="73"/>
      <c r="B259" s="73"/>
      <c r="C259" s="73"/>
      <c r="D259" s="73"/>
      <c r="E259" s="140"/>
      <c r="F259" s="80"/>
      <c r="G259" s="80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139"/>
      <c r="BG259" s="73"/>
      <c r="BH259" s="88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</row>
    <row r="260">
      <c r="A260" s="73"/>
      <c r="B260" s="73"/>
      <c r="C260" s="73"/>
      <c r="D260" s="73"/>
      <c r="E260" s="140"/>
      <c r="F260" s="80"/>
      <c r="G260" s="80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139"/>
      <c r="BG260" s="73"/>
      <c r="BH260" s="88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</row>
    <row r="261">
      <c r="A261" s="73"/>
      <c r="B261" s="73"/>
      <c r="C261" s="73"/>
      <c r="D261" s="73"/>
      <c r="E261" s="140"/>
      <c r="F261" s="80"/>
      <c r="G261" s="80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139"/>
      <c r="BG261" s="73"/>
      <c r="BH261" s="88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</row>
    <row r="262">
      <c r="A262" s="73"/>
      <c r="B262" s="73"/>
      <c r="C262" s="73"/>
      <c r="D262" s="73"/>
      <c r="E262" s="140"/>
      <c r="F262" s="80"/>
      <c r="G262" s="80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139"/>
      <c r="BG262" s="73"/>
      <c r="BH262" s="88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</row>
    <row r="263">
      <c r="A263" s="73"/>
      <c r="B263" s="73"/>
      <c r="C263" s="73"/>
      <c r="D263" s="73"/>
      <c r="E263" s="140"/>
      <c r="F263" s="80"/>
      <c r="G263" s="80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139"/>
      <c r="BG263" s="73"/>
      <c r="BH263" s="88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</row>
    <row r="264">
      <c r="A264" s="73"/>
      <c r="B264" s="73"/>
      <c r="C264" s="73"/>
      <c r="D264" s="73"/>
      <c r="E264" s="140"/>
      <c r="F264" s="80"/>
      <c r="G264" s="80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139"/>
      <c r="BG264" s="73"/>
      <c r="BH264" s="88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</row>
    <row r="265">
      <c r="A265" s="73"/>
      <c r="B265" s="73"/>
      <c r="C265" s="73"/>
      <c r="D265" s="73"/>
      <c r="E265" s="140"/>
      <c r="F265" s="80"/>
      <c r="G265" s="80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139"/>
      <c r="BG265" s="73"/>
      <c r="BH265" s="88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</row>
    <row r="266">
      <c r="A266" s="73"/>
      <c r="B266" s="73"/>
      <c r="C266" s="73"/>
      <c r="D266" s="73"/>
      <c r="E266" s="140"/>
      <c r="F266" s="80"/>
      <c r="G266" s="80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139"/>
      <c r="BG266" s="73"/>
      <c r="BH266" s="88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</row>
    <row r="267">
      <c r="A267" s="73"/>
      <c r="B267" s="73"/>
      <c r="C267" s="73"/>
      <c r="D267" s="73"/>
      <c r="E267" s="140"/>
      <c r="F267" s="80"/>
      <c r="G267" s="80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139"/>
      <c r="BG267" s="73"/>
      <c r="BH267" s="88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</row>
    <row r="268">
      <c r="A268" s="73"/>
      <c r="B268" s="73"/>
      <c r="C268" s="73"/>
      <c r="D268" s="73"/>
      <c r="E268" s="140"/>
      <c r="F268" s="80"/>
      <c r="G268" s="80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139"/>
      <c r="BG268" s="73"/>
      <c r="BH268" s="88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</row>
    <row r="269">
      <c r="A269" s="73"/>
      <c r="B269" s="73"/>
      <c r="C269" s="73"/>
      <c r="D269" s="73"/>
      <c r="E269" s="140"/>
      <c r="F269" s="80"/>
      <c r="G269" s="80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139"/>
      <c r="BG269" s="73"/>
      <c r="BH269" s="88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</row>
    <row r="270">
      <c r="A270" s="73"/>
      <c r="B270" s="73"/>
      <c r="C270" s="73"/>
      <c r="D270" s="73"/>
      <c r="E270" s="140"/>
      <c r="F270" s="80"/>
      <c r="G270" s="80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139"/>
      <c r="BG270" s="73"/>
      <c r="BH270" s="88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</row>
    <row r="271">
      <c r="A271" s="73"/>
      <c r="B271" s="73"/>
      <c r="C271" s="73"/>
      <c r="D271" s="73"/>
      <c r="E271" s="140"/>
      <c r="F271" s="80"/>
      <c r="G271" s="80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139"/>
      <c r="BG271" s="73"/>
      <c r="BH271" s="88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</row>
    <row r="272">
      <c r="A272" s="73"/>
      <c r="B272" s="73"/>
      <c r="C272" s="73"/>
      <c r="D272" s="73"/>
      <c r="E272" s="140"/>
      <c r="F272" s="80"/>
      <c r="G272" s="80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139"/>
      <c r="BG272" s="73"/>
      <c r="BH272" s="88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</row>
    <row r="273">
      <c r="A273" s="73"/>
      <c r="B273" s="73"/>
      <c r="C273" s="73"/>
      <c r="D273" s="73"/>
      <c r="E273" s="140"/>
      <c r="F273" s="80"/>
      <c r="G273" s="80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139"/>
      <c r="BG273" s="73"/>
      <c r="BH273" s="88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</row>
    <row r="274">
      <c r="A274" s="73"/>
      <c r="B274" s="73"/>
      <c r="C274" s="73"/>
      <c r="D274" s="73"/>
      <c r="E274" s="140"/>
      <c r="F274" s="80"/>
      <c r="G274" s="80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139"/>
      <c r="BG274" s="73"/>
      <c r="BH274" s="88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</row>
    <row r="275">
      <c r="A275" s="73"/>
      <c r="B275" s="73"/>
      <c r="C275" s="73"/>
      <c r="D275" s="73"/>
      <c r="E275" s="140"/>
      <c r="F275" s="80"/>
      <c r="G275" s="80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139"/>
      <c r="BG275" s="73"/>
      <c r="BH275" s="88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</row>
    <row r="276">
      <c r="A276" s="73"/>
      <c r="B276" s="73"/>
      <c r="C276" s="73"/>
      <c r="D276" s="73"/>
      <c r="E276" s="140"/>
      <c r="F276" s="80"/>
      <c r="G276" s="80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139"/>
      <c r="BG276" s="73"/>
      <c r="BH276" s="88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</row>
    <row r="277">
      <c r="A277" s="73"/>
      <c r="B277" s="73"/>
      <c r="C277" s="73"/>
      <c r="D277" s="73"/>
      <c r="E277" s="140"/>
      <c r="F277" s="80"/>
      <c r="G277" s="80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139"/>
      <c r="BG277" s="73"/>
      <c r="BH277" s="88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</row>
    <row r="278">
      <c r="A278" s="73"/>
      <c r="B278" s="73"/>
      <c r="C278" s="73"/>
      <c r="D278" s="73"/>
      <c r="E278" s="140"/>
      <c r="F278" s="80"/>
      <c r="G278" s="80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139"/>
      <c r="BG278" s="73"/>
      <c r="BH278" s="88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</row>
    <row r="279">
      <c r="A279" s="73"/>
      <c r="B279" s="73"/>
      <c r="C279" s="73"/>
      <c r="D279" s="73"/>
      <c r="E279" s="140"/>
      <c r="F279" s="80"/>
      <c r="G279" s="80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139"/>
      <c r="BG279" s="73"/>
      <c r="BH279" s="88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</row>
    <row r="280">
      <c r="A280" s="73"/>
      <c r="B280" s="73"/>
      <c r="C280" s="73"/>
      <c r="D280" s="73"/>
      <c r="E280" s="140"/>
      <c r="F280" s="80"/>
      <c r="G280" s="80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139"/>
      <c r="BG280" s="73"/>
      <c r="BH280" s="88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</row>
    <row r="281">
      <c r="A281" s="73"/>
      <c r="B281" s="73"/>
      <c r="C281" s="73"/>
      <c r="D281" s="73"/>
      <c r="E281" s="140"/>
      <c r="F281" s="80"/>
      <c r="G281" s="80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139"/>
      <c r="BG281" s="73"/>
      <c r="BH281" s="88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</row>
    <row r="282">
      <c r="A282" s="73"/>
      <c r="B282" s="73"/>
      <c r="C282" s="73"/>
      <c r="D282" s="73"/>
      <c r="E282" s="140"/>
      <c r="F282" s="80"/>
      <c r="G282" s="80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139"/>
      <c r="BG282" s="73"/>
      <c r="BH282" s="88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</row>
    <row r="283">
      <c r="A283" s="73"/>
      <c r="B283" s="73"/>
      <c r="C283" s="73"/>
      <c r="D283" s="73"/>
      <c r="E283" s="140"/>
      <c r="F283" s="80"/>
      <c r="G283" s="80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139"/>
      <c r="BG283" s="73"/>
      <c r="BH283" s="88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</row>
    <row r="284">
      <c r="A284" s="73"/>
      <c r="B284" s="73"/>
      <c r="C284" s="73"/>
      <c r="D284" s="73"/>
      <c r="E284" s="140"/>
      <c r="F284" s="80"/>
      <c r="G284" s="80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139"/>
      <c r="BG284" s="73"/>
      <c r="BH284" s="88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</row>
    <row r="285">
      <c r="A285" s="73"/>
      <c r="B285" s="73"/>
      <c r="C285" s="73"/>
      <c r="D285" s="73"/>
      <c r="E285" s="140"/>
      <c r="F285" s="80"/>
      <c r="G285" s="80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139"/>
      <c r="BG285" s="73"/>
      <c r="BH285" s="88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</row>
    <row r="286">
      <c r="A286" s="73"/>
      <c r="B286" s="73"/>
      <c r="C286" s="73"/>
      <c r="D286" s="73"/>
      <c r="E286" s="140"/>
      <c r="F286" s="80"/>
      <c r="G286" s="80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139"/>
      <c r="BG286" s="73"/>
      <c r="BH286" s="88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</row>
    <row r="287">
      <c r="A287" s="73"/>
      <c r="B287" s="73"/>
      <c r="C287" s="73"/>
      <c r="D287" s="73"/>
      <c r="E287" s="140"/>
      <c r="F287" s="80"/>
      <c r="G287" s="80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139"/>
      <c r="BG287" s="73"/>
      <c r="BH287" s="88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</row>
    <row r="288">
      <c r="A288" s="73"/>
      <c r="B288" s="73"/>
      <c r="C288" s="73"/>
      <c r="D288" s="73"/>
      <c r="E288" s="140"/>
      <c r="F288" s="80"/>
      <c r="G288" s="80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139"/>
      <c r="BG288" s="73"/>
      <c r="BH288" s="88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</row>
    <row r="289">
      <c r="A289" s="73"/>
      <c r="B289" s="73"/>
      <c r="C289" s="73"/>
      <c r="D289" s="73"/>
      <c r="E289" s="140"/>
      <c r="F289" s="80"/>
      <c r="G289" s="80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139"/>
      <c r="BG289" s="73"/>
      <c r="BH289" s="88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</row>
    <row r="290">
      <c r="A290" s="73"/>
      <c r="B290" s="73"/>
      <c r="C290" s="73"/>
      <c r="D290" s="73"/>
      <c r="E290" s="140"/>
      <c r="F290" s="80"/>
      <c r="G290" s="80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139"/>
      <c r="BG290" s="73"/>
      <c r="BH290" s="88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</row>
    <row r="291">
      <c r="A291" s="73"/>
      <c r="B291" s="73"/>
      <c r="C291" s="73"/>
      <c r="D291" s="73"/>
      <c r="E291" s="140"/>
      <c r="F291" s="80"/>
      <c r="G291" s="80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139"/>
      <c r="BG291" s="73"/>
      <c r="BH291" s="88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</row>
    <row r="292">
      <c r="A292" s="73"/>
      <c r="B292" s="73"/>
      <c r="C292" s="73"/>
      <c r="D292" s="73"/>
      <c r="E292" s="140"/>
      <c r="F292" s="80"/>
      <c r="G292" s="80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139"/>
      <c r="BG292" s="73"/>
      <c r="BH292" s="88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</row>
    <row r="293">
      <c r="A293" s="73"/>
      <c r="B293" s="73"/>
      <c r="C293" s="73"/>
      <c r="D293" s="73"/>
      <c r="E293" s="140"/>
      <c r="F293" s="80"/>
      <c r="G293" s="80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139"/>
      <c r="BG293" s="73"/>
      <c r="BH293" s="88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</row>
    <row r="294">
      <c r="A294" s="73"/>
      <c r="B294" s="73"/>
      <c r="C294" s="73"/>
      <c r="D294" s="73"/>
      <c r="E294" s="140"/>
      <c r="F294" s="80"/>
      <c r="G294" s="80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139"/>
      <c r="BG294" s="73"/>
      <c r="BH294" s="88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</row>
    <row r="295">
      <c r="A295" s="73"/>
      <c r="B295" s="73"/>
      <c r="C295" s="73"/>
      <c r="D295" s="73"/>
      <c r="E295" s="140"/>
      <c r="F295" s="80"/>
      <c r="G295" s="80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139"/>
      <c r="BG295" s="73"/>
      <c r="BH295" s="88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</row>
    <row r="296">
      <c r="A296" s="73"/>
      <c r="B296" s="73"/>
      <c r="C296" s="73"/>
      <c r="D296" s="73"/>
      <c r="E296" s="140"/>
      <c r="F296" s="80"/>
      <c r="G296" s="80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139"/>
      <c r="BG296" s="73"/>
      <c r="BH296" s="88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</row>
    <row r="297">
      <c r="A297" s="73"/>
      <c r="B297" s="73"/>
      <c r="C297" s="73"/>
      <c r="D297" s="73"/>
      <c r="E297" s="140"/>
      <c r="F297" s="80"/>
      <c r="G297" s="80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139"/>
      <c r="BG297" s="73"/>
      <c r="BH297" s="88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</row>
    <row r="298">
      <c r="A298" s="73"/>
      <c r="B298" s="73"/>
      <c r="C298" s="73"/>
      <c r="D298" s="73"/>
      <c r="E298" s="140"/>
      <c r="F298" s="80"/>
      <c r="G298" s="80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139"/>
      <c r="BG298" s="73"/>
      <c r="BH298" s="88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</row>
    <row r="299">
      <c r="A299" s="73"/>
      <c r="B299" s="73"/>
      <c r="C299" s="73"/>
      <c r="D299" s="73"/>
      <c r="E299" s="140"/>
      <c r="F299" s="80"/>
      <c r="G299" s="80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139"/>
      <c r="BG299" s="73"/>
      <c r="BH299" s="88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</row>
    <row r="300">
      <c r="A300" s="73"/>
      <c r="B300" s="73"/>
      <c r="C300" s="73"/>
      <c r="D300" s="73"/>
      <c r="E300" s="140"/>
      <c r="F300" s="80"/>
      <c r="G300" s="80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139"/>
      <c r="BG300" s="73"/>
      <c r="BH300" s="88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</row>
    <row r="301">
      <c r="A301" s="73"/>
      <c r="B301" s="73"/>
      <c r="C301" s="73"/>
      <c r="D301" s="73"/>
      <c r="E301" s="140"/>
      <c r="F301" s="80"/>
      <c r="G301" s="80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139"/>
      <c r="BG301" s="73"/>
      <c r="BH301" s="88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</row>
    <row r="302">
      <c r="A302" s="73"/>
      <c r="B302" s="73"/>
      <c r="C302" s="73"/>
      <c r="D302" s="73"/>
      <c r="E302" s="140"/>
      <c r="F302" s="80"/>
      <c r="G302" s="80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139"/>
      <c r="BG302" s="73"/>
      <c r="BH302" s="88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</row>
    <row r="303">
      <c r="A303" s="73"/>
      <c r="B303" s="73"/>
      <c r="C303" s="73"/>
      <c r="D303" s="73"/>
      <c r="E303" s="140"/>
      <c r="F303" s="80"/>
      <c r="G303" s="80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139"/>
      <c r="BG303" s="73"/>
      <c r="BH303" s="88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</row>
    <row r="304">
      <c r="A304" s="73"/>
      <c r="B304" s="73"/>
      <c r="C304" s="73"/>
      <c r="D304" s="73"/>
      <c r="E304" s="140"/>
      <c r="F304" s="80"/>
      <c r="G304" s="80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139"/>
      <c r="BG304" s="73"/>
      <c r="BH304" s="88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</row>
    <row r="305">
      <c r="A305" s="73"/>
      <c r="B305" s="73"/>
      <c r="C305" s="73"/>
      <c r="D305" s="73"/>
      <c r="E305" s="140"/>
      <c r="F305" s="80"/>
      <c r="G305" s="80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139"/>
      <c r="BG305" s="73"/>
      <c r="BH305" s="88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</row>
    <row r="306">
      <c r="A306" s="73"/>
      <c r="B306" s="73"/>
      <c r="C306" s="73"/>
      <c r="D306" s="73"/>
      <c r="E306" s="140"/>
      <c r="F306" s="80"/>
      <c r="G306" s="80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139"/>
      <c r="BG306" s="73"/>
      <c r="BH306" s="88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</row>
    <row r="307">
      <c r="A307" s="73"/>
      <c r="B307" s="73"/>
      <c r="C307" s="73"/>
      <c r="D307" s="73"/>
      <c r="E307" s="140"/>
      <c r="F307" s="80"/>
      <c r="G307" s="80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139"/>
      <c r="BG307" s="73"/>
      <c r="BH307" s="88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</row>
    <row r="308">
      <c r="A308" s="73"/>
      <c r="B308" s="73"/>
      <c r="C308" s="73"/>
      <c r="D308" s="73"/>
      <c r="E308" s="140"/>
      <c r="F308" s="80"/>
      <c r="G308" s="80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139"/>
      <c r="BG308" s="73"/>
      <c r="BH308" s="88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</row>
    <row r="309">
      <c r="A309" s="73"/>
      <c r="B309" s="73"/>
      <c r="C309" s="73"/>
      <c r="D309" s="73"/>
      <c r="E309" s="140"/>
      <c r="F309" s="80"/>
      <c r="G309" s="80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139"/>
      <c r="BG309" s="73"/>
      <c r="BH309" s="88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</row>
    <row r="310">
      <c r="A310" s="73"/>
      <c r="B310" s="73"/>
      <c r="C310" s="73"/>
      <c r="D310" s="73"/>
      <c r="E310" s="140"/>
      <c r="F310" s="80"/>
      <c r="G310" s="80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139"/>
      <c r="BG310" s="73"/>
      <c r="BH310" s="88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</row>
    <row r="311">
      <c r="A311" s="73"/>
      <c r="B311" s="73"/>
      <c r="C311" s="73"/>
      <c r="D311" s="73"/>
      <c r="E311" s="140"/>
      <c r="F311" s="80"/>
      <c r="G311" s="80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139"/>
      <c r="BG311" s="73"/>
      <c r="BH311" s="88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</row>
    <row r="312">
      <c r="A312" s="73"/>
      <c r="B312" s="73"/>
      <c r="C312" s="73"/>
      <c r="D312" s="73"/>
      <c r="E312" s="140"/>
      <c r="F312" s="80"/>
      <c r="G312" s="80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139"/>
      <c r="BG312" s="73"/>
      <c r="BH312" s="88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</row>
    <row r="313">
      <c r="A313" s="73"/>
      <c r="B313" s="73"/>
      <c r="C313" s="73"/>
      <c r="D313" s="73"/>
      <c r="E313" s="140"/>
      <c r="F313" s="80"/>
      <c r="G313" s="80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139"/>
      <c r="BG313" s="73"/>
      <c r="BH313" s="88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</row>
    <row r="314">
      <c r="A314" s="73"/>
      <c r="B314" s="73"/>
      <c r="C314" s="73"/>
      <c r="D314" s="73"/>
      <c r="E314" s="140"/>
      <c r="F314" s="80"/>
      <c r="G314" s="80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139"/>
      <c r="BG314" s="73"/>
      <c r="BH314" s="88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</row>
    <row r="315">
      <c r="A315" s="73"/>
      <c r="B315" s="73"/>
      <c r="C315" s="73"/>
      <c r="D315" s="73"/>
      <c r="E315" s="140"/>
      <c r="F315" s="80"/>
      <c r="G315" s="80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139"/>
      <c r="BG315" s="73"/>
      <c r="BH315" s="88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</row>
    <row r="316">
      <c r="A316" s="73"/>
      <c r="B316" s="73"/>
      <c r="C316" s="73"/>
      <c r="D316" s="73"/>
      <c r="E316" s="140"/>
      <c r="F316" s="80"/>
      <c r="G316" s="80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139"/>
      <c r="BG316" s="73"/>
      <c r="BH316" s="88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</row>
    <row r="317">
      <c r="A317" s="73"/>
      <c r="B317" s="73"/>
      <c r="C317" s="73"/>
      <c r="D317" s="73"/>
      <c r="E317" s="140"/>
      <c r="F317" s="80"/>
      <c r="G317" s="80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139"/>
      <c r="BG317" s="73"/>
      <c r="BH317" s="88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</row>
    <row r="318">
      <c r="A318" s="73"/>
      <c r="B318" s="73"/>
      <c r="C318" s="73"/>
      <c r="D318" s="73"/>
      <c r="E318" s="140"/>
      <c r="F318" s="80"/>
      <c r="G318" s="80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139"/>
      <c r="BG318" s="73"/>
      <c r="BH318" s="88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</row>
    <row r="319">
      <c r="A319" s="73"/>
      <c r="B319" s="73"/>
      <c r="C319" s="73"/>
      <c r="D319" s="73"/>
      <c r="E319" s="140"/>
      <c r="F319" s="80"/>
      <c r="G319" s="80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139"/>
      <c r="BG319" s="73"/>
      <c r="BH319" s="88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</row>
    <row r="320">
      <c r="A320" s="73"/>
      <c r="B320" s="73"/>
      <c r="C320" s="73"/>
      <c r="D320" s="73"/>
      <c r="E320" s="140"/>
      <c r="F320" s="80"/>
      <c r="G320" s="80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139"/>
      <c r="BG320" s="73"/>
      <c r="BH320" s="88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</row>
    <row r="321">
      <c r="A321" s="73"/>
      <c r="B321" s="73"/>
      <c r="C321" s="73"/>
      <c r="D321" s="73"/>
      <c r="E321" s="140"/>
      <c r="F321" s="80"/>
      <c r="G321" s="80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139"/>
      <c r="BG321" s="73"/>
      <c r="BH321" s="88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</row>
    <row r="322">
      <c r="A322" s="73"/>
      <c r="B322" s="73"/>
      <c r="C322" s="73"/>
      <c r="D322" s="73"/>
      <c r="E322" s="140"/>
      <c r="F322" s="80"/>
      <c r="G322" s="80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139"/>
      <c r="BG322" s="73"/>
      <c r="BH322" s="88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</row>
    <row r="323">
      <c r="A323" s="73"/>
      <c r="B323" s="73"/>
      <c r="C323" s="73"/>
      <c r="D323" s="73"/>
      <c r="E323" s="140"/>
      <c r="F323" s="80"/>
      <c r="G323" s="80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139"/>
      <c r="BG323" s="73"/>
      <c r="BH323" s="88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</row>
    <row r="324">
      <c r="A324" s="73"/>
      <c r="B324" s="73"/>
      <c r="C324" s="73"/>
      <c r="D324" s="73"/>
      <c r="E324" s="140"/>
      <c r="F324" s="80"/>
      <c r="G324" s="80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139"/>
      <c r="BG324" s="73"/>
      <c r="BH324" s="88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</row>
    <row r="325">
      <c r="A325" s="73"/>
      <c r="B325" s="73"/>
      <c r="C325" s="73"/>
      <c r="D325" s="73"/>
      <c r="E325" s="140"/>
      <c r="F325" s="80"/>
      <c r="G325" s="80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139"/>
      <c r="BG325" s="73"/>
      <c r="BH325" s="88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</row>
    <row r="326">
      <c r="A326" s="73"/>
      <c r="B326" s="73"/>
      <c r="C326" s="73"/>
      <c r="D326" s="73"/>
      <c r="E326" s="140"/>
      <c r="F326" s="80"/>
      <c r="G326" s="80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139"/>
      <c r="BG326" s="73"/>
      <c r="BH326" s="88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</row>
    <row r="327">
      <c r="A327" s="73"/>
      <c r="B327" s="73"/>
      <c r="C327" s="73"/>
      <c r="D327" s="73"/>
      <c r="E327" s="140"/>
      <c r="F327" s="80"/>
      <c r="G327" s="80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139"/>
      <c r="BG327" s="73"/>
      <c r="BH327" s="88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</row>
    <row r="328">
      <c r="A328" s="73"/>
      <c r="B328" s="73"/>
      <c r="C328" s="73"/>
      <c r="D328" s="73"/>
      <c r="E328" s="140"/>
      <c r="F328" s="80"/>
      <c r="G328" s="80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139"/>
      <c r="BG328" s="73"/>
      <c r="BH328" s="88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</row>
    <row r="329">
      <c r="A329" s="73"/>
      <c r="B329" s="73"/>
      <c r="C329" s="73"/>
      <c r="D329" s="73"/>
      <c r="E329" s="140"/>
      <c r="F329" s="80"/>
      <c r="G329" s="80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139"/>
      <c r="BG329" s="73"/>
      <c r="BH329" s="88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</row>
    <row r="330">
      <c r="A330" s="73"/>
      <c r="B330" s="73"/>
      <c r="C330" s="73"/>
      <c r="D330" s="73"/>
      <c r="E330" s="140"/>
      <c r="F330" s="80"/>
      <c r="G330" s="80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139"/>
      <c r="BG330" s="73"/>
      <c r="BH330" s="88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</row>
    <row r="331">
      <c r="A331" s="73"/>
      <c r="B331" s="73"/>
      <c r="C331" s="73"/>
      <c r="D331" s="73"/>
      <c r="E331" s="140"/>
      <c r="F331" s="80"/>
      <c r="G331" s="80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139"/>
      <c r="BG331" s="73"/>
      <c r="BH331" s="88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</row>
    <row r="332">
      <c r="A332" s="73"/>
      <c r="B332" s="73"/>
      <c r="C332" s="73"/>
      <c r="D332" s="73"/>
      <c r="E332" s="140"/>
      <c r="F332" s="80"/>
      <c r="G332" s="80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139"/>
      <c r="BG332" s="73"/>
      <c r="BH332" s="88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</row>
    <row r="333">
      <c r="A333" s="73"/>
      <c r="B333" s="73"/>
      <c r="C333" s="73"/>
      <c r="D333" s="73"/>
      <c r="E333" s="140"/>
      <c r="F333" s="80"/>
      <c r="G333" s="80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139"/>
      <c r="BG333" s="73"/>
      <c r="BH333" s="88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</row>
    <row r="334">
      <c r="A334" s="73"/>
      <c r="B334" s="73"/>
      <c r="C334" s="73"/>
      <c r="D334" s="73"/>
      <c r="E334" s="140"/>
      <c r="F334" s="80"/>
      <c r="G334" s="80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139"/>
      <c r="BG334" s="73"/>
      <c r="BH334" s="88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</row>
    <row r="335">
      <c r="A335" s="73"/>
      <c r="B335" s="73"/>
      <c r="C335" s="73"/>
      <c r="D335" s="73"/>
      <c r="E335" s="140"/>
      <c r="F335" s="80"/>
      <c r="G335" s="80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139"/>
      <c r="BG335" s="73"/>
      <c r="BH335" s="88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</row>
    <row r="336">
      <c r="A336" s="73"/>
      <c r="B336" s="73"/>
      <c r="C336" s="73"/>
      <c r="D336" s="73"/>
      <c r="E336" s="140"/>
      <c r="F336" s="80"/>
      <c r="G336" s="80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139"/>
      <c r="BG336" s="73"/>
      <c r="BH336" s="88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</row>
    <row r="337">
      <c r="A337" s="73"/>
      <c r="B337" s="73"/>
      <c r="C337" s="73"/>
      <c r="D337" s="73"/>
      <c r="E337" s="140"/>
      <c r="F337" s="80"/>
      <c r="G337" s="80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139"/>
      <c r="BG337" s="73"/>
      <c r="BH337" s="88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</row>
    <row r="338">
      <c r="A338" s="73"/>
      <c r="B338" s="73"/>
      <c r="C338" s="73"/>
      <c r="D338" s="73"/>
      <c r="E338" s="140"/>
      <c r="F338" s="80"/>
      <c r="G338" s="80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139"/>
      <c r="BG338" s="73"/>
      <c r="BH338" s="88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</row>
    <row r="339">
      <c r="A339" s="73"/>
      <c r="B339" s="73"/>
      <c r="C339" s="73"/>
      <c r="D339" s="73"/>
      <c r="E339" s="140"/>
      <c r="F339" s="80"/>
      <c r="G339" s="80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139"/>
      <c r="BG339" s="73"/>
      <c r="BH339" s="88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</row>
    <row r="340">
      <c r="A340" s="73"/>
      <c r="B340" s="73"/>
      <c r="C340" s="73"/>
      <c r="D340" s="73"/>
      <c r="E340" s="140"/>
      <c r="F340" s="80"/>
      <c r="G340" s="80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139"/>
      <c r="BG340" s="73"/>
      <c r="BH340" s="88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</row>
    <row r="341">
      <c r="A341" s="73"/>
      <c r="B341" s="73"/>
      <c r="C341" s="73"/>
      <c r="D341" s="73"/>
      <c r="E341" s="140"/>
      <c r="F341" s="80"/>
      <c r="G341" s="80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139"/>
      <c r="BG341" s="73"/>
      <c r="BH341" s="88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</row>
    <row r="342">
      <c r="A342" s="73"/>
      <c r="B342" s="73"/>
      <c r="C342" s="73"/>
      <c r="D342" s="73"/>
      <c r="E342" s="140"/>
      <c r="F342" s="80"/>
      <c r="G342" s="80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139"/>
      <c r="BG342" s="73"/>
      <c r="BH342" s="88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</row>
    <row r="343">
      <c r="A343" s="73"/>
      <c r="B343" s="73"/>
      <c r="C343" s="73"/>
      <c r="D343" s="73"/>
      <c r="E343" s="140"/>
      <c r="F343" s="80"/>
      <c r="G343" s="80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139"/>
      <c r="BG343" s="73"/>
      <c r="BH343" s="88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</row>
    <row r="344">
      <c r="A344" s="73"/>
      <c r="B344" s="73"/>
      <c r="C344" s="73"/>
      <c r="D344" s="73"/>
      <c r="E344" s="140"/>
      <c r="F344" s="80"/>
      <c r="G344" s="80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139"/>
      <c r="BG344" s="73"/>
      <c r="BH344" s="88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</row>
    <row r="345">
      <c r="A345" s="73"/>
      <c r="B345" s="73"/>
      <c r="C345" s="73"/>
      <c r="D345" s="73"/>
      <c r="E345" s="140"/>
      <c r="F345" s="80"/>
      <c r="G345" s="80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139"/>
      <c r="BG345" s="73"/>
      <c r="BH345" s="88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</row>
    <row r="346">
      <c r="A346" s="73"/>
      <c r="B346" s="73"/>
      <c r="C346" s="73"/>
      <c r="D346" s="73"/>
      <c r="E346" s="140"/>
      <c r="F346" s="80"/>
      <c r="G346" s="80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139"/>
      <c r="BG346" s="73"/>
      <c r="BH346" s="88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</row>
    <row r="347">
      <c r="A347" s="73"/>
      <c r="B347" s="73"/>
      <c r="C347" s="73"/>
      <c r="D347" s="73"/>
      <c r="E347" s="140"/>
      <c r="F347" s="80"/>
      <c r="G347" s="80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139"/>
      <c r="BG347" s="73"/>
      <c r="BH347" s="88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</row>
    <row r="348">
      <c r="A348" s="73"/>
      <c r="B348" s="73"/>
      <c r="C348" s="73"/>
      <c r="D348" s="73"/>
      <c r="E348" s="140"/>
      <c r="F348" s="80"/>
      <c r="G348" s="80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139"/>
      <c r="BG348" s="73"/>
      <c r="BH348" s="88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</row>
    <row r="349">
      <c r="A349" s="73"/>
      <c r="B349" s="73"/>
      <c r="C349" s="73"/>
      <c r="D349" s="73"/>
      <c r="E349" s="140"/>
      <c r="F349" s="80"/>
      <c r="G349" s="80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139"/>
      <c r="BG349" s="73"/>
      <c r="BH349" s="88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</row>
    <row r="350">
      <c r="A350" s="73"/>
      <c r="B350" s="73"/>
      <c r="C350" s="73"/>
      <c r="D350" s="73"/>
      <c r="E350" s="140"/>
      <c r="F350" s="80"/>
      <c r="G350" s="80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139"/>
      <c r="BG350" s="73"/>
      <c r="BH350" s="88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</row>
    <row r="351">
      <c r="A351" s="73"/>
      <c r="B351" s="73"/>
      <c r="C351" s="73"/>
      <c r="D351" s="73"/>
      <c r="E351" s="140"/>
      <c r="F351" s="80"/>
      <c r="G351" s="80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139"/>
      <c r="BG351" s="73"/>
      <c r="BH351" s="88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</row>
    <row r="352">
      <c r="A352" s="73"/>
      <c r="B352" s="73"/>
      <c r="C352" s="73"/>
      <c r="D352" s="73"/>
      <c r="E352" s="140"/>
      <c r="F352" s="80"/>
      <c r="G352" s="80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139"/>
      <c r="BG352" s="73"/>
      <c r="BH352" s="88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</row>
    <row r="353">
      <c r="A353" s="73"/>
      <c r="B353" s="73"/>
      <c r="C353" s="73"/>
      <c r="D353" s="73"/>
      <c r="E353" s="140"/>
      <c r="F353" s="80"/>
      <c r="G353" s="80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139"/>
      <c r="BG353" s="73"/>
      <c r="BH353" s="88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</row>
    <row r="354">
      <c r="A354" s="73"/>
      <c r="B354" s="73"/>
      <c r="C354" s="73"/>
      <c r="D354" s="73"/>
      <c r="E354" s="140"/>
      <c r="F354" s="80"/>
      <c r="G354" s="80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139"/>
      <c r="BG354" s="73"/>
      <c r="BH354" s="88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</row>
    <row r="355">
      <c r="A355" s="73"/>
      <c r="B355" s="73"/>
      <c r="C355" s="73"/>
      <c r="D355" s="73"/>
      <c r="E355" s="140"/>
      <c r="F355" s="80"/>
      <c r="G355" s="80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139"/>
      <c r="BG355" s="73"/>
      <c r="BH355" s="88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</row>
    <row r="356">
      <c r="A356" s="73"/>
      <c r="B356" s="73"/>
      <c r="C356" s="73"/>
      <c r="D356" s="73"/>
      <c r="E356" s="140"/>
      <c r="F356" s="80"/>
      <c r="G356" s="80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139"/>
      <c r="BG356" s="73"/>
      <c r="BH356" s="88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</row>
    <row r="357">
      <c r="A357" s="73"/>
      <c r="B357" s="73"/>
      <c r="C357" s="73"/>
      <c r="D357" s="73"/>
      <c r="E357" s="140"/>
      <c r="F357" s="80"/>
      <c r="G357" s="80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139"/>
      <c r="BG357" s="73"/>
      <c r="BH357" s="88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</row>
    <row r="358">
      <c r="A358" s="73"/>
      <c r="B358" s="73"/>
      <c r="C358" s="73"/>
      <c r="D358" s="73"/>
      <c r="E358" s="140"/>
      <c r="F358" s="80"/>
      <c r="G358" s="80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139"/>
      <c r="BG358" s="73"/>
      <c r="BH358" s="88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</row>
    <row r="359">
      <c r="A359" s="73"/>
      <c r="B359" s="73"/>
      <c r="C359" s="73"/>
      <c r="D359" s="73"/>
      <c r="E359" s="140"/>
      <c r="F359" s="80"/>
      <c r="G359" s="80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139"/>
      <c r="BG359" s="73"/>
      <c r="BH359" s="88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</row>
    <row r="360">
      <c r="A360" s="73"/>
      <c r="B360" s="73"/>
      <c r="C360" s="73"/>
      <c r="D360" s="73"/>
      <c r="E360" s="140"/>
      <c r="F360" s="80"/>
      <c r="G360" s="80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139"/>
      <c r="BG360" s="73"/>
      <c r="BH360" s="88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</row>
    <row r="361">
      <c r="A361" s="73"/>
      <c r="B361" s="73"/>
      <c r="C361" s="73"/>
      <c r="D361" s="73"/>
      <c r="E361" s="140"/>
      <c r="F361" s="80"/>
      <c r="G361" s="80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139"/>
      <c r="BG361" s="73"/>
      <c r="BH361" s="88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</row>
    <row r="362">
      <c r="A362" s="73"/>
      <c r="B362" s="73"/>
      <c r="C362" s="73"/>
      <c r="D362" s="73"/>
      <c r="E362" s="140"/>
      <c r="F362" s="80"/>
      <c r="G362" s="80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139"/>
      <c r="BG362" s="73"/>
      <c r="BH362" s="88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</row>
    <row r="363">
      <c r="A363" s="73"/>
      <c r="B363" s="73"/>
      <c r="C363" s="73"/>
      <c r="D363" s="73"/>
      <c r="E363" s="140"/>
      <c r="F363" s="80"/>
      <c r="G363" s="80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139"/>
      <c r="BG363" s="73"/>
      <c r="BH363" s="88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</row>
    <row r="364">
      <c r="A364" s="73"/>
      <c r="B364" s="73"/>
      <c r="C364" s="73"/>
      <c r="D364" s="73"/>
      <c r="E364" s="140"/>
      <c r="F364" s="80"/>
      <c r="G364" s="80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139"/>
      <c r="BG364" s="73"/>
      <c r="BH364" s="88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</row>
    <row r="365">
      <c r="A365" s="73"/>
      <c r="B365" s="73"/>
      <c r="C365" s="73"/>
      <c r="D365" s="73"/>
      <c r="E365" s="140"/>
      <c r="F365" s="80"/>
      <c r="G365" s="80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139"/>
      <c r="BG365" s="73"/>
      <c r="BH365" s="88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</row>
    <row r="366">
      <c r="A366" s="73"/>
      <c r="B366" s="73"/>
      <c r="C366" s="73"/>
      <c r="D366" s="73"/>
      <c r="E366" s="140"/>
      <c r="F366" s="80"/>
      <c r="G366" s="80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139"/>
      <c r="BG366" s="73"/>
      <c r="BH366" s="88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</row>
    <row r="367">
      <c r="A367" s="73"/>
      <c r="B367" s="73"/>
      <c r="C367" s="73"/>
      <c r="D367" s="73"/>
      <c r="E367" s="140"/>
      <c r="F367" s="80"/>
      <c r="G367" s="80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139"/>
      <c r="BG367" s="73"/>
      <c r="BH367" s="88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</row>
    <row r="368">
      <c r="A368" s="73"/>
      <c r="B368" s="73"/>
      <c r="C368" s="73"/>
      <c r="D368" s="73"/>
      <c r="E368" s="140"/>
      <c r="F368" s="80"/>
      <c r="G368" s="80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139"/>
      <c r="BG368" s="73"/>
      <c r="BH368" s="88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</row>
    <row r="369">
      <c r="A369" s="73"/>
      <c r="B369" s="73"/>
      <c r="C369" s="73"/>
      <c r="D369" s="73"/>
      <c r="E369" s="140"/>
      <c r="F369" s="80"/>
      <c r="G369" s="80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139"/>
      <c r="BG369" s="73"/>
      <c r="BH369" s="88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</row>
    <row r="370">
      <c r="A370" s="73"/>
      <c r="B370" s="73"/>
      <c r="C370" s="73"/>
      <c r="D370" s="73"/>
      <c r="E370" s="140"/>
      <c r="F370" s="80"/>
      <c r="G370" s="80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139"/>
      <c r="BG370" s="73"/>
      <c r="BH370" s="88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</row>
    <row r="371">
      <c r="A371" s="73"/>
      <c r="B371" s="73"/>
      <c r="C371" s="73"/>
      <c r="D371" s="73"/>
      <c r="E371" s="140"/>
      <c r="F371" s="80"/>
      <c r="G371" s="80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139"/>
      <c r="BG371" s="73"/>
      <c r="BH371" s="88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</row>
    <row r="372">
      <c r="A372" s="73"/>
      <c r="B372" s="73"/>
      <c r="C372" s="73"/>
      <c r="D372" s="73"/>
      <c r="E372" s="140"/>
      <c r="F372" s="80"/>
      <c r="G372" s="80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139"/>
      <c r="BG372" s="73"/>
      <c r="BH372" s="88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</row>
    <row r="373">
      <c r="A373" s="73"/>
      <c r="B373" s="73"/>
      <c r="C373" s="73"/>
      <c r="D373" s="73"/>
      <c r="E373" s="140"/>
      <c r="F373" s="80"/>
      <c r="G373" s="80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139"/>
      <c r="BG373" s="73"/>
      <c r="BH373" s="88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</row>
    <row r="374">
      <c r="A374" s="73"/>
      <c r="B374" s="73"/>
      <c r="C374" s="73"/>
      <c r="D374" s="73"/>
      <c r="E374" s="140"/>
      <c r="F374" s="80"/>
      <c r="G374" s="80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139"/>
      <c r="BG374" s="73"/>
      <c r="BH374" s="88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</row>
    <row r="375">
      <c r="A375" s="73"/>
      <c r="B375" s="73"/>
      <c r="C375" s="73"/>
      <c r="D375" s="73"/>
      <c r="E375" s="140"/>
      <c r="F375" s="80"/>
      <c r="G375" s="80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139"/>
      <c r="BG375" s="73"/>
      <c r="BH375" s="88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</row>
    <row r="376">
      <c r="A376" s="73"/>
      <c r="B376" s="73"/>
      <c r="C376" s="73"/>
      <c r="D376" s="73"/>
      <c r="E376" s="140"/>
      <c r="F376" s="80"/>
      <c r="G376" s="80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139"/>
      <c r="BG376" s="73"/>
      <c r="BH376" s="88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</row>
    <row r="377">
      <c r="A377" s="73"/>
      <c r="B377" s="73"/>
      <c r="C377" s="73"/>
      <c r="D377" s="73"/>
      <c r="E377" s="140"/>
      <c r="F377" s="80"/>
      <c r="G377" s="80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139"/>
      <c r="BG377" s="73"/>
      <c r="BH377" s="88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</row>
    <row r="378">
      <c r="A378" s="73"/>
      <c r="B378" s="73"/>
      <c r="C378" s="73"/>
      <c r="D378" s="73"/>
      <c r="E378" s="140"/>
      <c r="F378" s="80"/>
      <c r="G378" s="80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139"/>
      <c r="BG378" s="73"/>
      <c r="BH378" s="88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</row>
    <row r="379">
      <c r="A379" s="73"/>
      <c r="B379" s="73"/>
      <c r="C379" s="73"/>
      <c r="D379" s="73"/>
      <c r="E379" s="140"/>
      <c r="F379" s="80"/>
      <c r="G379" s="80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139"/>
      <c r="BG379" s="73"/>
      <c r="BH379" s="88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</row>
    <row r="380">
      <c r="A380" s="73"/>
      <c r="B380" s="73"/>
      <c r="C380" s="73"/>
      <c r="D380" s="73"/>
      <c r="E380" s="140"/>
      <c r="F380" s="80"/>
      <c r="G380" s="80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139"/>
      <c r="BG380" s="73"/>
      <c r="BH380" s="88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</row>
    <row r="381">
      <c r="A381" s="73"/>
      <c r="B381" s="73"/>
      <c r="C381" s="73"/>
      <c r="D381" s="73"/>
      <c r="E381" s="140"/>
      <c r="F381" s="80"/>
      <c r="G381" s="80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139"/>
      <c r="BG381" s="73"/>
      <c r="BH381" s="88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</row>
    <row r="382">
      <c r="A382" s="73"/>
      <c r="B382" s="73"/>
      <c r="C382" s="73"/>
      <c r="D382" s="73"/>
      <c r="E382" s="140"/>
      <c r="F382" s="80"/>
      <c r="G382" s="80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139"/>
      <c r="BG382" s="73"/>
      <c r="BH382" s="88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</row>
    <row r="383">
      <c r="A383" s="73"/>
      <c r="B383" s="73"/>
      <c r="C383" s="73"/>
      <c r="D383" s="73"/>
      <c r="E383" s="140"/>
      <c r="F383" s="80"/>
      <c r="G383" s="80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139"/>
      <c r="BG383" s="73"/>
      <c r="BH383" s="88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</row>
    <row r="384">
      <c r="A384" s="73"/>
      <c r="B384" s="73"/>
      <c r="C384" s="73"/>
      <c r="D384" s="73"/>
      <c r="E384" s="140"/>
      <c r="F384" s="80"/>
      <c r="G384" s="80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139"/>
      <c r="BG384" s="73"/>
      <c r="BH384" s="88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</row>
    <row r="385">
      <c r="A385" s="73"/>
      <c r="B385" s="73"/>
      <c r="C385" s="73"/>
      <c r="D385" s="73"/>
      <c r="E385" s="140"/>
      <c r="F385" s="80"/>
      <c r="G385" s="80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139"/>
      <c r="BG385" s="73"/>
      <c r="BH385" s="88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</row>
    <row r="386">
      <c r="A386" s="73"/>
      <c r="B386" s="73"/>
      <c r="C386" s="73"/>
      <c r="D386" s="73"/>
      <c r="E386" s="140"/>
      <c r="F386" s="80"/>
      <c r="G386" s="80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139"/>
      <c r="BG386" s="73"/>
      <c r="BH386" s="88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</row>
    <row r="387">
      <c r="A387" s="73"/>
      <c r="B387" s="73"/>
      <c r="C387" s="73"/>
      <c r="D387" s="73"/>
      <c r="E387" s="140"/>
      <c r="F387" s="80"/>
      <c r="G387" s="80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139"/>
      <c r="BG387" s="73"/>
      <c r="BH387" s="88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</row>
    <row r="388">
      <c r="A388" s="73"/>
      <c r="B388" s="73"/>
      <c r="C388" s="73"/>
      <c r="D388" s="73"/>
      <c r="E388" s="140"/>
      <c r="F388" s="80"/>
      <c r="G388" s="80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139"/>
      <c r="BG388" s="73"/>
      <c r="BH388" s="88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</row>
    <row r="389">
      <c r="A389" s="73"/>
      <c r="B389" s="73"/>
      <c r="C389" s="73"/>
      <c r="D389" s="73"/>
      <c r="E389" s="140"/>
      <c r="F389" s="80"/>
      <c r="G389" s="80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139"/>
      <c r="BG389" s="73"/>
      <c r="BH389" s="88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</row>
    <row r="390">
      <c r="A390" s="73"/>
      <c r="B390" s="73"/>
      <c r="C390" s="73"/>
      <c r="D390" s="73"/>
      <c r="E390" s="140"/>
      <c r="F390" s="80"/>
      <c r="G390" s="80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139"/>
      <c r="BG390" s="73"/>
      <c r="BH390" s="88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</row>
    <row r="391">
      <c r="A391" s="73"/>
      <c r="B391" s="73"/>
      <c r="C391" s="73"/>
      <c r="D391" s="73"/>
      <c r="E391" s="140"/>
      <c r="F391" s="80"/>
      <c r="G391" s="80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139"/>
      <c r="BG391" s="73"/>
      <c r="BH391" s="88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</row>
    <row r="392">
      <c r="A392" s="73"/>
      <c r="B392" s="73"/>
      <c r="C392" s="73"/>
      <c r="D392" s="73"/>
      <c r="E392" s="140"/>
      <c r="F392" s="80"/>
      <c r="G392" s="80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139"/>
      <c r="BG392" s="73"/>
      <c r="BH392" s="88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</row>
    <row r="393">
      <c r="A393" s="73"/>
      <c r="B393" s="73"/>
      <c r="C393" s="73"/>
      <c r="D393" s="73"/>
      <c r="E393" s="140"/>
      <c r="F393" s="80"/>
      <c r="G393" s="80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139"/>
      <c r="BG393" s="73"/>
      <c r="BH393" s="88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</row>
    <row r="394">
      <c r="A394" s="73"/>
      <c r="B394" s="73"/>
      <c r="C394" s="73"/>
      <c r="D394" s="73"/>
      <c r="E394" s="140"/>
      <c r="F394" s="80"/>
      <c r="G394" s="80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139"/>
      <c r="BG394" s="73"/>
      <c r="BH394" s="88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</row>
    <row r="395">
      <c r="A395" s="73"/>
      <c r="B395" s="73"/>
      <c r="C395" s="73"/>
      <c r="D395" s="73"/>
      <c r="E395" s="140"/>
      <c r="F395" s="80"/>
      <c r="G395" s="80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139"/>
      <c r="BG395" s="73"/>
      <c r="BH395" s="88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</row>
    <row r="396">
      <c r="A396" s="73"/>
      <c r="B396" s="73"/>
      <c r="C396" s="73"/>
      <c r="D396" s="73"/>
      <c r="E396" s="140"/>
      <c r="F396" s="80"/>
      <c r="G396" s="80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139"/>
      <c r="BG396" s="73"/>
      <c r="BH396" s="88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</row>
    <row r="397">
      <c r="A397" s="73"/>
      <c r="B397" s="73"/>
      <c r="C397" s="73"/>
      <c r="D397" s="73"/>
      <c r="E397" s="140"/>
      <c r="F397" s="80"/>
      <c r="G397" s="80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139"/>
      <c r="BG397" s="73"/>
      <c r="BH397" s="88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</row>
    <row r="398">
      <c r="A398" s="73"/>
      <c r="B398" s="73"/>
      <c r="C398" s="73"/>
      <c r="D398" s="73"/>
      <c r="E398" s="140"/>
      <c r="F398" s="80"/>
      <c r="G398" s="80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139"/>
      <c r="BG398" s="73"/>
      <c r="BH398" s="88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</row>
    <row r="399">
      <c r="A399" s="73"/>
      <c r="B399" s="73"/>
      <c r="C399" s="73"/>
      <c r="D399" s="73"/>
      <c r="E399" s="140"/>
      <c r="F399" s="80"/>
      <c r="G399" s="80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139"/>
      <c r="BG399" s="73"/>
      <c r="BH399" s="88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</row>
    <row r="400">
      <c r="A400" s="73"/>
      <c r="B400" s="73"/>
      <c r="C400" s="73"/>
      <c r="D400" s="73"/>
      <c r="E400" s="140"/>
      <c r="F400" s="80"/>
      <c r="G400" s="80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139"/>
      <c r="BG400" s="73"/>
      <c r="BH400" s="88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</row>
    <row r="401">
      <c r="A401" s="73"/>
      <c r="B401" s="73"/>
      <c r="C401" s="73"/>
      <c r="D401" s="73"/>
      <c r="E401" s="140"/>
      <c r="F401" s="80"/>
      <c r="G401" s="80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139"/>
      <c r="BG401" s="73"/>
      <c r="BH401" s="88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</row>
    <row r="402">
      <c r="A402" s="73"/>
      <c r="B402" s="73"/>
      <c r="C402" s="73"/>
      <c r="D402" s="73"/>
      <c r="E402" s="140"/>
      <c r="F402" s="80"/>
      <c r="G402" s="80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139"/>
      <c r="BG402" s="73"/>
      <c r="BH402" s="88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</row>
    <row r="403">
      <c r="A403" s="73"/>
      <c r="B403" s="73"/>
      <c r="C403" s="73"/>
      <c r="D403" s="73"/>
      <c r="E403" s="140"/>
      <c r="F403" s="80"/>
      <c r="G403" s="80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139"/>
      <c r="BG403" s="73"/>
      <c r="BH403" s="88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</row>
    <row r="404">
      <c r="A404" s="73"/>
      <c r="B404" s="73"/>
      <c r="C404" s="73"/>
      <c r="D404" s="73"/>
      <c r="E404" s="140"/>
      <c r="F404" s="80"/>
      <c r="G404" s="80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139"/>
      <c r="BG404" s="73"/>
      <c r="BH404" s="88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</row>
    <row r="405">
      <c r="A405" s="73"/>
      <c r="B405" s="73"/>
      <c r="C405" s="73"/>
      <c r="D405" s="73"/>
      <c r="E405" s="140"/>
      <c r="F405" s="80"/>
      <c r="G405" s="80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139"/>
      <c r="BG405" s="73"/>
      <c r="BH405" s="88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</row>
    <row r="406">
      <c r="A406" s="73"/>
      <c r="B406" s="73"/>
      <c r="C406" s="73"/>
      <c r="D406" s="73"/>
      <c r="E406" s="140"/>
      <c r="F406" s="80"/>
      <c r="G406" s="80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139"/>
      <c r="BG406" s="73"/>
      <c r="BH406" s="88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</row>
    <row r="407">
      <c r="A407" s="73"/>
      <c r="B407" s="73"/>
      <c r="C407" s="73"/>
      <c r="D407" s="73"/>
      <c r="E407" s="140"/>
      <c r="F407" s="80"/>
      <c r="G407" s="80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139"/>
      <c r="BG407" s="73"/>
      <c r="BH407" s="88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</row>
    <row r="408">
      <c r="A408" s="73"/>
      <c r="B408" s="73"/>
      <c r="C408" s="73"/>
      <c r="D408" s="73"/>
      <c r="E408" s="140"/>
      <c r="F408" s="80"/>
      <c r="G408" s="80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139"/>
      <c r="BG408" s="73"/>
      <c r="BH408" s="88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</row>
    <row r="409">
      <c r="A409" s="73"/>
      <c r="B409" s="73"/>
      <c r="C409" s="73"/>
      <c r="D409" s="73"/>
      <c r="E409" s="140"/>
      <c r="F409" s="80"/>
      <c r="G409" s="80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139"/>
      <c r="BG409" s="73"/>
      <c r="BH409" s="88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</row>
    <row r="410">
      <c r="A410" s="73"/>
      <c r="B410" s="73"/>
      <c r="C410" s="73"/>
      <c r="D410" s="73"/>
      <c r="E410" s="140"/>
      <c r="F410" s="80"/>
      <c r="G410" s="80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139"/>
      <c r="BG410" s="73"/>
      <c r="BH410" s="88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</row>
    <row r="411">
      <c r="A411" s="73"/>
      <c r="B411" s="73"/>
      <c r="C411" s="73"/>
      <c r="D411" s="73"/>
      <c r="E411" s="140"/>
      <c r="F411" s="80"/>
      <c r="G411" s="80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139"/>
      <c r="BG411" s="73"/>
      <c r="BH411" s="88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</row>
    <row r="412">
      <c r="A412" s="73"/>
      <c r="B412" s="73"/>
      <c r="C412" s="73"/>
      <c r="D412" s="73"/>
      <c r="E412" s="140"/>
      <c r="F412" s="80"/>
      <c r="G412" s="80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139"/>
      <c r="BG412" s="73"/>
      <c r="BH412" s="88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</row>
    <row r="413">
      <c r="A413" s="73"/>
      <c r="B413" s="73"/>
      <c r="C413" s="73"/>
      <c r="D413" s="73"/>
      <c r="E413" s="140"/>
      <c r="F413" s="80"/>
      <c r="G413" s="80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139"/>
      <c r="BG413" s="73"/>
      <c r="BH413" s="88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</row>
    <row r="414">
      <c r="A414" s="73"/>
      <c r="B414" s="73"/>
      <c r="C414" s="73"/>
      <c r="D414" s="73"/>
      <c r="E414" s="140"/>
      <c r="F414" s="80"/>
      <c r="G414" s="80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139"/>
      <c r="BG414" s="73"/>
      <c r="BH414" s="88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</row>
    <row r="415">
      <c r="A415" s="73"/>
      <c r="B415" s="73"/>
      <c r="C415" s="73"/>
      <c r="D415" s="73"/>
      <c r="E415" s="140"/>
      <c r="F415" s="80"/>
      <c r="G415" s="80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139"/>
      <c r="BG415" s="73"/>
      <c r="BH415" s="88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</row>
    <row r="416">
      <c r="A416" s="73"/>
      <c r="B416" s="73"/>
      <c r="C416" s="73"/>
      <c r="D416" s="73"/>
      <c r="E416" s="140"/>
      <c r="F416" s="80"/>
      <c r="G416" s="80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139"/>
      <c r="BG416" s="73"/>
      <c r="BH416" s="88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</row>
    <row r="417">
      <c r="A417" s="73"/>
      <c r="B417" s="73"/>
      <c r="C417" s="73"/>
      <c r="D417" s="73"/>
      <c r="E417" s="140"/>
      <c r="F417" s="80"/>
      <c r="G417" s="80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139"/>
      <c r="BG417" s="73"/>
      <c r="BH417" s="88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</row>
    <row r="418">
      <c r="A418" s="73"/>
      <c r="B418" s="73"/>
      <c r="C418" s="73"/>
      <c r="D418" s="73"/>
      <c r="E418" s="140"/>
      <c r="F418" s="80"/>
      <c r="G418" s="80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139"/>
      <c r="BG418" s="73"/>
      <c r="BH418" s="88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</row>
    <row r="419">
      <c r="A419" s="73"/>
      <c r="B419" s="73"/>
      <c r="C419" s="73"/>
      <c r="D419" s="73"/>
      <c r="E419" s="140"/>
      <c r="F419" s="80"/>
      <c r="G419" s="80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139"/>
      <c r="BG419" s="73"/>
      <c r="BH419" s="88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</row>
    <row r="420">
      <c r="A420" s="73"/>
      <c r="B420" s="73"/>
      <c r="C420" s="73"/>
      <c r="D420" s="73"/>
      <c r="E420" s="140"/>
      <c r="F420" s="80"/>
      <c r="G420" s="80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139"/>
      <c r="BG420" s="73"/>
      <c r="BH420" s="88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</row>
    <row r="421">
      <c r="A421" s="73"/>
      <c r="B421" s="73"/>
      <c r="C421" s="73"/>
      <c r="D421" s="73"/>
      <c r="E421" s="140"/>
      <c r="F421" s="80"/>
      <c r="G421" s="80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139"/>
      <c r="BG421" s="73"/>
      <c r="BH421" s="88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</row>
    <row r="422">
      <c r="A422" s="73"/>
      <c r="B422" s="73"/>
      <c r="C422" s="73"/>
      <c r="D422" s="73"/>
      <c r="E422" s="140"/>
      <c r="F422" s="80"/>
      <c r="G422" s="80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139"/>
      <c r="BG422" s="73"/>
      <c r="BH422" s="88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</row>
    <row r="423">
      <c r="A423" s="73"/>
      <c r="B423" s="73"/>
      <c r="C423" s="73"/>
      <c r="D423" s="73"/>
      <c r="E423" s="140"/>
      <c r="F423" s="80"/>
      <c r="G423" s="80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139"/>
      <c r="BG423" s="73"/>
      <c r="BH423" s="88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</row>
    <row r="424">
      <c r="A424" s="73"/>
      <c r="B424" s="73"/>
      <c r="C424" s="73"/>
      <c r="D424" s="73"/>
      <c r="E424" s="140"/>
      <c r="F424" s="80"/>
      <c r="G424" s="80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139"/>
      <c r="BG424" s="73"/>
      <c r="BH424" s="88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</row>
    <row r="425">
      <c r="A425" s="73"/>
      <c r="B425" s="73"/>
      <c r="C425" s="73"/>
      <c r="D425" s="73"/>
      <c r="E425" s="140"/>
      <c r="F425" s="80"/>
      <c r="G425" s="80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139"/>
      <c r="BG425" s="73"/>
      <c r="BH425" s="88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</row>
    <row r="426">
      <c r="A426" s="73"/>
      <c r="B426" s="73"/>
      <c r="C426" s="73"/>
      <c r="D426" s="73"/>
      <c r="E426" s="140"/>
      <c r="F426" s="80"/>
      <c r="G426" s="80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139"/>
      <c r="BG426" s="73"/>
      <c r="BH426" s="88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</row>
    <row r="427">
      <c r="A427" s="73"/>
      <c r="B427" s="73"/>
      <c r="C427" s="73"/>
      <c r="D427" s="73"/>
      <c r="E427" s="140"/>
      <c r="F427" s="80"/>
      <c r="G427" s="80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139"/>
      <c r="BG427" s="73"/>
      <c r="BH427" s="88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</row>
    <row r="428">
      <c r="A428" s="73"/>
      <c r="B428" s="73"/>
      <c r="C428" s="73"/>
      <c r="D428" s="73"/>
      <c r="E428" s="140"/>
      <c r="F428" s="80"/>
      <c r="G428" s="80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139"/>
      <c r="BG428" s="73"/>
      <c r="BH428" s="88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</row>
    <row r="429">
      <c r="A429" s="73"/>
      <c r="B429" s="73"/>
      <c r="C429" s="73"/>
      <c r="D429" s="73"/>
      <c r="E429" s="140"/>
      <c r="F429" s="80"/>
      <c r="G429" s="80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139"/>
      <c r="BG429" s="73"/>
      <c r="BH429" s="88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</row>
    <row r="430">
      <c r="A430" s="73"/>
      <c r="B430" s="73"/>
      <c r="C430" s="73"/>
      <c r="D430" s="73"/>
      <c r="E430" s="140"/>
      <c r="F430" s="80"/>
      <c r="G430" s="80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139"/>
      <c r="BG430" s="73"/>
      <c r="BH430" s="88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</row>
    <row r="431">
      <c r="A431" s="73"/>
      <c r="B431" s="73"/>
      <c r="C431" s="73"/>
      <c r="D431" s="73"/>
      <c r="E431" s="140"/>
      <c r="F431" s="80"/>
      <c r="G431" s="80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139"/>
      <c r="BG431" s="73"/>
      <c r="BH431" s="88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</row>
    <row r="432">
      <c r="A432" s="73"/>
      <c r="B432" s="73"/>
      <c r="C432" s="73"/>
      <c r="D432" s="73"/>
      <c r="E432" s="140"/>
      <c r="F432" s="80"/>
      <c r="G432" s="80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139"/>
      <c r="BG432" s="73"/>
      <c r="BH432" s="88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</row>
    <row r="433">
      <c r="A433" s="73"/>
      <c r="B433" s="73"/>
      <c r="C433" s="73"/>
      <c r="D433" s="73"/>
      <c r="E433" s="140"/>
      <c r="F433" s="80"/>
      <c r="G433" s="80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139"/>
      <c r="BG433" s="73"/>
      <c r="BH433" s="88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</row>
    <row r="434">
      <c r="A434" s="73"/>
      <c r="B434" s="73"/>
      <c r="C434" s="73"/>
      <c r="D434" s="73"/>
      <c r="E434" s="140"/>
      <c r="F434" s="80"/>
      <c r="G434" s="80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139"/>
      <c r="BG434" s="73"/>
      <c r="BH434" s="88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</row>
    <row r="435">
      <c r="A435" s="73"/>
      <c r="B435" s="73"/>
      <c r="C435" s="73"/>
      <c r="D435" s="73"/>
      <c r="E435" s="140"/>
      <c r="F435" s="80"/>
      <c r="G435" s="80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139"/>
      <c r="BG435" s="73"/>
      <c r="BH435" s="88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</row>
    <row r="436">
      <c r="A436" s="73"/>
      <c r="B436" s="73"/>
      <c r="C436" s="73"/>
      <c r="D436" s="73"/>
      <c r="E436" s="140"/>
      <c r="F436" s="80"/>
      <c r="G436" s="80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139"/>
      <c r="BG436" s="73"/>
      <c r="BH436" s="88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</row>
    <row r="437">
      <c r="A437" s="73"/>
      <c r="B437" s="73"/>
      <c r="C437" s="73"/>
      <c r="D437" s="73"/>
      <c r="E437" s="140"/>
      <c r="F437" s="80"/>
      <c r="G437" s="80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139"/>
      <c r="BG437" s="73"/>
      <c r="BH437" s="88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</row>
    <row r="438">
      <c r="A438" s="73"/>
      <c r="B438" s="73"/>
      <c r="C438" s="73"/>
      <c r="D438" s="73"/>
      <c r="E438" s="140"/>
      <c r="F438" s="80"/>
      <c r="G438" s="80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139"/>
      <c r="BG438" s="73"/>
      <c r="BH438" s="88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</row>
    <row r="439">
      <c r="A439" s="73"/>
      <c r="B439" s="73"/>
      <c r="C439" s="73"/>
      <c r="D439" s="73"/>
      <c r="E439" s="140"/>
      <c r="F439" s="80"/>
      <c r="G439" s="80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139"/>
      <c r="BG439" s="73"/>
      <c r="BH439" s="88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</row>
    <row r="440">
      <c r="A440" s="73"/>
      <c r="B440" s="73"/>
      <c r="C440" s="73"/>
      <c r="D440" s="73"/>
      <c r="E440" s="140"/>
      <c r="F440" s="80"/>
      <c r="G440" s="80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139"/>
      <c r="BG440" s="73"/>
      <c r="BH440" s="88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</row>
    <row r="441">
      <c r="A441" s="73"/>
      <c r="B441" s="73"/>
      <c r="C441" s="73"/>
      <c r="D441" s="73"/>
      <c r="E441" s="140"/>
      <c r="F441" s="80"/>
      <c r="G441" s="80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139"/>
      <c r="BG441" s="73"/>
      <c r="BH441" s="88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</row>
    <row r="442">
      <c r="A442" s="73"/>
      <c r="B442" s="73"/>
      <c r="C442" s="73"/>
      <c r="D442" s="73"/>
      <c r="E442" s="140"/>
      <c r="F442" s="80"/>
      <c r="G442" s="80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139"/>
      <c r="BG442" s="73"/>
      <c r="BH442" s="88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</row>
    <row r="443">
      <c r="A443" s="73"/>
      <c r="B443" s="73"/>
      <c r="C443" s="73"/>
      <c r="D443" s="73"/>
      <c r="E443" s="140"/>
      <c r="F443" s="80"/>
      <c r="G443" s="80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139"/>
      <c r="BG443" s="73"/>
      <c r="BH443" s="88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</row>
    <row r="444">
      <c r="A444" s="73"/>
      <c r="B444" s="73"/>
      <c r="C444" s="73"/>
      <c r="D444" s="73"/>
      <c r="E444" s="140"/>
      <c r="F444" s="80"/>
      <c r="G444" s="80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139"/>
      <c r="BG444" s="73"/>
      <c r="BH444" s="88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</row>
    <row r="445">
      <c r="A445" s="73"/>
      <c r="B445" s="73"/>
      <c r="C445" s="73"/>
      <c r="D445" s="73"/>
      <c r="E445" s="140"/>
      <c r="F445" s="80"/>
      <c r="G445" s="80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139"/>
      <c r="BG445" s="73"/>
      <c r="BH445" s="88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</row>
    <row r="446">
      <c r="A446" s="73"/>
      <c r="B446" s="73"/>
      <c r="C446" s="73"/>
      <c r="D446" s="73"/>
      <c r="E446" s="140"/>
      <c r="F446" s="80"/>
      <c r="G446" s="80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139"/>
      <c r="BG446" s="73"/>
      <c r="BH446" s="88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</row>
    <row r="447">
      <c r="A447" s="73"/>
      <c r="B447" s="73"/>
      <c r="C447" s="73"/>
      <c r="D447" s="73"/>
      <c r="E447" s="140"/>
      <c r="F447" s="80"/>
      <c r="G447" s="80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139"/>
      <c r="BG447" s="73"/>
      <c r="BH447" s="88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</row>
    <row r="448">
      <c r="A448" s="73"/>
      <c r="B448" s="73"/>
      <c r="C448" s="73"/>
      <c r="D448" s="73"/>
      <c r="E448" s="140"/>
      <c r="F448" s="80"/>
      <c r="G448" s="80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139"/>
      <c r="BG448" s="73"/>
      <c r="BH448" s="88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</row>
    <row r="449">
      <c r="A449" s="73"/>
      <c r="B449" s="73"/>
      <c r="C449" s="73"/>
      <c r="D449" s="73"/>
      <c r="E449" s="140"/>
      <c r="F449" s="80"/>
      <c r="G449" s="80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139"/>
      <c r="BG449" s="73"/>
      <c r="BH449" s="88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</row>
    <row r="450">
      <c r="A450" s="73"/>
      <c r="B450" s="73"/>
      <c r="C450" s="73"/>
      <c r="D450" s="73"/>
      <c r="E450" s="140"/>
      <c r="F450" s="80"/>
      <c r="G450" s="80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139"/>
      <c r="BG450" s="73"/>
      <c r="BH450" s="88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</row>
    <row r="451">
      <c r="A451" s="73"/>
      <c r="B451" s="73"/>
      <c r="C451" s="73"/>
      <c r="D451" s="73"/>
      <c r="E451" s="140"/>
      <c r="F451" s="80"/>
      <c r="G451" s="80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139"/>
      <c r="BG451" s="73"/>
      <c r="BH451" s="88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</row>
    <row r="452">
      <c r="A452" s="73"/>
      <c r="B452" s="73"/>
      <c r="C452" s="73"/>
      <c r="D452" s="73"/>
      <c r="E452" s="140"/>
      <c r="F452" s="80"/>
      <c r="G452" s="80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139"/>
      <c r="BG452" s="73"/>
      <c r="BH452" s="88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</row>
    <row r="453">
      <c r="A453" s="73"/>
      <c r="B453" s="73"/>
      <c r="C453" s="73"/>
      <c r="D453" s="73"/>
      <c r="E453" s="140"/>
      <c r="F453" s="80"/>
      <c r="G453" s="80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139"/>
      <c r="BG453" s="73"/>
      <c r="BH453" s="88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</row>
    <row r="454">
      <c r="A454" s="73"/>
      <c r="B454" s="73"/>
      <c r="C454" s="73"/>
      <c r="D454" s="73"/>
      <c r="E454" s="140"/>
      <c r="F454" s="80"/>
      <c r="G454" s="80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139"/>
      <c r="BG454" s="73"/>
      <c r="BH454" s="88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</row>
    <row r="455">
      <c r="A455" s="73"/>
      <c r="B455" s="73"/>
      <c r="C455" s="73"/>
      <c r="D455" s="73"/>
      <c r="E455" s="140"/>
      <c r="F455" s="80"/>
      <c r="G455" s="80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139"/>
      <c r="BG455" s="73"/>
      <c r="BH455" s="88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</row>
    <row r="456">
      <c r="A456" s="73"/>
      <c r="B456" s="73"/>
      <c r="C456" s="73"/>
      <c r="D456" s="73"/>
      <c r="E456" s="140"/>
      <c r="F456" s="80"/>
      <c r="G456" s="80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139"/>
      <c r="BG456" s="73"/>
      <c r="BH456" s="88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</row>
    <row r="457">
      <c r="A457" s="73"/>
      <c r="B457" s="73"/>
      <c r="C457" s="73"/>
      <c r="D457" s="73"/>
      <c r="E457" s="140"/>
      <c r="F457" s="80"/>
      <c r="G457" s="80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139"/>
      <c r="BG457" s="73"/>
      <c r="BH457" s="88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</row>
    <row r="458">
      <c r="A458" s="73"/>
      <c r="B458" s="73"/>
      <c r="C458" s="73"/>
      <c r="D458" s="73"/>
      <c r="E458" s="140"/>
      <c r="F458" s="80"/>
      <c r="G458" s="80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139"/>
      <c r="BG458" s="73"/>
      <c r="BH458" s="88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</row>
    <row r="459">
      <c r="A459" s="73"/>
      <c r="B459" s="73"/>
      <c r="C459" s="73"/>
      <c r="D459" s="73"/>
      <c r="E459" s="140"/>
      <c r="F459" s="80"/>
      <c r="G459" s="80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139"/>
      <c r="BG459" s="73"/>
      <c r="BH459" s="88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</row>
    <row r="460">
      <c r="A460" s="73"/>
      <c r="B460" s="73"/>
      <c r="C460" s="73"/>
      <c r="D460" s="73"/>
      <c r="E460" s="140"/>
      <c r="F460" s="80"/>
      <c r="G460" s="80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139"/>
      <c r="BG460" s="73"/>
      <c r="BH460" s="88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</row>
    <row r="461">
      <c r="A461" s="73"/>
      <c r="B461" s="73"/>
      <c r="C461" s="73"/>
      <c r="D461" s="73"/>
      <c r="E461" s="140"/>
      <c r="F461" s="80"/>
      <c r="G461" s="80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139"/>
      <c r="BG461" s="73"/>
      <c r="BH461" s="88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</row>
    <row r="462">
      <c r="A462" s="73"/>
      <c r="B462" s="73"/>
      <c r="C462" s="73"/>
      <c r="D462" s="73"/>
      <c r="E462" s="140"/>
      <c r="F462" s="80"/>
      <c r="G462" s="80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139"/>
      <c r="BG462" s="73"/>
      <c r="BH462" s="88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</row>
    <row r="463">
      <c r="A463" s="73"/>
      <c r="B463" s="73"/>
      <c r="C463" s="73"/>
      <c r="D463" s="73"/>
      <c r="E463" s="140"/>
      <c r="F463" s="80"/>
      <c r="G463" s="80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139"/>
      <c r="BG463" s="73"/>
      <c r="BH463" s="88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</row>
    <row r="464">
      <c r="A464" s="73"/>
      <c r="B464" s="73"/>
      <c r="C464" s="73"/>
      <c r="D464" s="73"/>
      <c r="E464" s="140"/>
      <c r="F464" s="80"/>
      <c r="G464" s="80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139"/>
      <c r="BG464" s="73"/>
      <c r="BH464" s="88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</row>
    <row r="465">
      <c r="A465" s="73"/>
      <c r="B465" s="73"/>
      <c r="C465" s="73"/>
      <c r="D465" s="73"/>
      <c r="E465" s="140"/>
      <c r="F465" s="80"/>
      <c r="G465" s="80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139"/>
      <c r="BG465" s="73"/>
      <c r="BH465" s="88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</row>
    <row r="466">
      <c r="A466" s="73"/>
      <c r="B466" s="73"/>
      <c r="C466" s="73"/>
      <c r="D466" s="73"/>
      <c r="E466" s="140"/>
      <c r="F466" s="80"/>
      <c r="G466" s="80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139"/>
      <c r="BG466" s="73"/>
      <c r="BH466" s="88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</row>
    <row r="467">
      <c r="A467" s="73"/>
      <c r="B467" s="73"/>
      <c r="C467" s="73"/>
      <c r="D467" s="73"/>
      <c r="E467" s="140"/>
      <c r="F467" s="80"/>
      <c r="G467" s="80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139"/>
      <c r="BG467" s="73"/>
      <c r="BH467" s="88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</row>
    <row r="468">
      <c r="A468" s="73"/>
      <c r="B468" s="73"/>
      <c r="C468" s="73"/>
      <c r="D468" s="73"/>
      <c r="E468" s="140"/>
      <c r="F468" s="80"/>
      <c r="G468" s="80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139"/>
      <c r="BG468" s="73"/>
      <c r="BH468" s="88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</row>
    <row r="469">
      <c r="A469" s="73"/>
      <c r="B469" s="73"/>
      <c r="C469" s="73"/>
      <c r="D469" s="73"/>
      <c r="E469" s="140"/>
      <c r="F469" s="80"/>
      <c r="G469" s="80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139"/>
      <c r="BG469" s="73"/>
      <c r="BH469" s="88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</row>
    <row r="470">
      <c r="A470" s="73"/>
      <c r="B470" s="73"/>
      <c r="C470" s="73"/>
      <c r="D470" s="73"/>
      <c r="E470" s="140"/>
      <c r="F470" s="80"/>
      <c r="G470" s="80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139"/>
      <c r="BG470" s="73"/>
      <c r="BH470" s="88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</row>
    <row r="471">
      <c r="A471" s="73"/>
      <c r="B471" s="73"/>
      <c r="C471" s="73"/>
      <c r="D471" s="73"/>
      <c r="E471" s="140"/>
      <c r="F471" s="80"/>
      <c r="G471" s="80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139"/>
      <c r="BG471" s="73"/>
      <c r="BH471" s="88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</row>
    <row r="472">
      <c r="A472" s="73"/>
      <c r="B472" s="73"/>
      <c r="C472" s="73"/>
      <c r="D472" s="73"/>
      <c r="E472" s="140"/>
      <c r="F472" s="80"/>
      <c r="G472" s="80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139"/>
      <c r="BG472" s="73"/>
      <c r="BH472" s="88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</row>
    <row r="473">
      <c r="A473" s="73"/>
      <c r="B473" s="73"/>
      <c r="C473" s="73"/>
      <c r="D473" s="73"/>
      <c r="E473" s="140"/>
      <c r="F473" s="80"/>
      <c r="G473" s="80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139"/>
      <c r="BG473" s="73"/>
      <c r="BH473" s="88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</row>
    <row r="474">
      <c r="A474" s="73"/>
      <c r="B474" s="73"/>
      <c r="C474" s="73"/>
      <c r="D474" s="73"/>
      <c r="E474" s="140"/>
      <c r="F474" s="80"/>
      <c r="G474" s="80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139"/>
      <c r="BG474" s="73"/>
      <c r="BH474" s="88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</row>
    <row r="475">
      <c r="A475" s="73"/>
      <c r="B475" s="73"/>
      <c r="C475" s="73"/>
      <c r="D475" s="73"/>
      <c r="E475" s="140"/>
      <c r="F475" s="80"/>
      <c r="G475" s="80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139"/>
      <c r="BG475" s="73"/>
      <c r="BH475" s="88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</row>
    <row r="476">
      <c r="A476" s="73"/>
      <c r="B476" s="73"/>
      <c r="C476" s="73"/>
      <c r="D476" s="73"/>
      <c r="E476" s="140"/>
      <c r="F476" s="80"/>
      <c r="G476" s="80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139"/>
      <c r="BG476" s="73"/>
      <c r="BH476" s="88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</row>
    <row r="477">
      <c r="A477" s="73"/>
      <c r="B477" s="73"/>
      <c r="C477" s="73"/>
      <c r="D477" s="73"/>
      <c r="E477" s="140"/>
      <c r="F477" s="80"/>
      <c r="G477" s="80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139"/>
      <c r="BG477" s="73"/>
      <c r="BH477" s="88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</row>
    <row r="478">
      <c r="A478" s="73"/>
      <c r="B478" s="73"/>
      <c r="C478" s="73"/>
      <c r="D478" s="73"/>
      <c r="E478" s="140"/>
      <c r="F478" s="80"/>
      <c r="G478" s="80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139"/>
      <c r="BG478" s="73"/>
      <c r="BH478" s="88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</row>
    <row r="479">
      <c r="A479" s="73"/>
      <c r="B479" s="73"/>
      <c r="C479" s="73"/>
      <c r="D479" s="73"/>
      <c r="E479" s="140"/>
      <c r="F479" s="80"/>
      <c r="G479" s="80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139"/>
      <c r="BG479" s="73"/>
      <c r="BH479" s="88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</row>
    <row r="480">
      <c r="A480" s="73"/>
      <c r="B480" s="73"/>
      <c r="C480" s="73"/>
      <c r="D480" s="73"/>
      <c r="E480" s="140"/>
      <c r="F480" s="80"/>
      <c r="G480" s="80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139"/>
      <c r="BG480" s="73"/>
      <c r="BH480" s="88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</row>
    <row r="481">
      <c r="A481" s="73"/>
      <c r="B481" s="73"/>
      <c r="C481" s="73"/>
      <c r="D481" s="73"/>
      <c r="E481" s="140"/>
      <c r="F481" s="80"/>
      <c r="G481" s="80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139"/>
      <c r="BG481" s="73"/>
      <c r="BH481" s="88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</row>
    <row r="482">
      <c r="A482" s="73"/>
      <c r="B482" s="73"/>
      <c r="C482" s="73"/>
      <c r="D482" s="73"/>
      <c r="E482" s="140"/>
      <c r="F482" s="80"/>
      <c r="G482" s="80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139"/>
      <c r="BG482" s="73"/>
      <c r="BH482" s="88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</row>
    <row r="483">
      <c r="A483" s="73"/>
      <c r="B483" s="73"/>
      <c r="C483" s="73"/>
      <c r="D483" s="73"/>
      <c r="E483" s="140"/>
      <c r="F483" s="80"/>
      <c r="G483" s="80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139"/>
      <c r="BG483" s="73"/>
      <c r="BH483" s="88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</row>
    <row r="484">
      <c r="A484" s="73"/>
      <c r="B484" s="73"/>
      <c r="C484" s="73"/>
      <c r="D484" s="73"/>
      <c r="E484" s="140"/>
      <c r="F484" s="80"/>
      <c r="G484" s="80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139"/>
      <c r="BG484" s="73"/>
      <c r="BH484" s="88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</row>
    <row r="485">
      <c r="A485" s="73"/>
      <c r="B485" s="73"/>
      <c r="C485" s="73"/>
      <c r="D485" s="73"/>
      <c r="E485" s="140"/>
      <c r="F485" s="80"/>
      <c r="G485" s="80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139"/>
      <c r="BG485" s="73"/>
      <c r="BH485" s="88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</row>
    <row r="486">
      <c r="A486" s="73"/>
      <c r="B486" s="73"/>
      <c r="C486" s="73"/>
      <c r="D486" s="73"/>
      <c r="E486" s="140"/>
      <c r="F486" s="80"/>
      <c r="G486" s="80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139"/>
      <c r="BG486" s="73"/>
      <c r="BH486" s="88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</row>
    <row r="487">
      <c r="A487" s="73"/>
      <c r="B487" s="73"/>
      <c r="C487" s="73"/>
      <c r="D487" s="73"/>
      <c r="E487" s="140"/>
      <c r="F487" s="80"/>
      <c r="G487" s="80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139"/>
      <c r="BG487" s="73"/>
      <c r="BH487" s="88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</row>
    <row r="488">
      <c r="A488" s="73"/>
      <c r="B488" s="73"/>
      <c r="C488" s="73"/>
      <c r="D488" s="73"/>
      <c r="E488" s="140"/>
      <c r="F488" s="80"/>
      <c r="G488" s="80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139"/>
      <c r="BG488" s="73"/>
      <c r="BH488" s="88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</row>
    <row r="489">
      <c r="A489" s="73"/>
      <c r="B489" s="73"/>
      <c r="C489" s="73"/>
      <c r="D489" s="73"/>
      <c r="E489" s="140"/>
      <c r="F489" s="80"/>
      <c r="G489" s="80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139"/>
      <c r="BG489" s="73"/>
      <c r="BH489" s="88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</row>
    <row r="490">
      <c r="A490" s="73"/>
      <c r="B490" s="73"/>
      <c r="C490" s="73"/>
      <c r="D490" s="73"/>
      <c r="E490" s="140"/>
      <c r="F490" s="80"/>
      <c r="G490" s="80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139"/>
      <c r="BG490" s="73"/>
      <c r="BH490" s="88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</row>
    <row r="491">
      <c r="A491" s="73"/>
      <c r="B491" s="73"/>
      <c r="C491" s="73"/>
      <c r="D491" s="73"/>
      <c r="E491" s="140"/>
      <c r="F491" s="80"/>
      <c r="G491" s="80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139"/>
      <c r="BG491" s="73"/>
      <c r="BH491" s="88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</row>
    <row r="492">
      <c r="A492" s="73"/>
      <c r="B492" s="73"/>
      <c r="C492" s="73"/>
      <c r="D492" s="73"/>
      <c r="E492" s="140"/>
      <c r="F492" s="80"/>
      <c r="G492" s="80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139"/>
      <c r="BG492" s="73"/>
      <c r="BH492" s="88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</row>
    <row r="493">
      <c r="A493" s="73"/>
      <c r="B493" s="73"/>
      <c r="C493" s="73"/>
      <c r="D493" s="73"/>
      <c r="E493" s="140"/>
      <c r="F493" s="80"/>
      <c r="G493" s="80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139"/>
      <c r="BG493" s="73"/>
      <c r="BH493" s="88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</row>
    <row r="494">
      <c r="A494" s="73"/>
      <c r="B494" s="73"/>
      <c r="C494" s="73"/>
      <c r="D494" s="73"/>
      <c r="E494" s="140"/>
      <c r="F494" s="80"/>
      <c r="G494" s="80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139"/>
      <c r="BG494" s="73"/>
      <c r="BH494" s="88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</row>
    <row r="495">
      <c r="A495" s="73"/>
      <c r="B495" s="73"/>
      <c r="C495" s="73"/>
      <c r="D495" s="73"/>
      <c r="E495" s="140"/>
      <c r="F495" s="80"/>
      <c r="G495" s="80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139"/>
      <c r="BG495" s="73"/>
      <c r="BH495" s="88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</row>
    <row r="496">
      <c r="A496" s="73"/>
      <c r="B496" s="73"/>
      <c r="C496" s="73"/>
      <c r="D496" s="73"/>
      <c r="E496" s="140"/>
      <c r="F496" s="80"/>
      <c r="G496" s="80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139"/>
      <c r="BG496" s="73"/>
      <c r="BH496" s="88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</row>
    <row r="497">
      <c r="A497" s="73"/>
      <c r="B497" s="73"/>
      <c r="C497" s="73"/>
      <c r="D497" s="73"/>
      <c r="E497" s="140"/>
      <c r="F497" s="80"/>
      <c r="G497" s="80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139"/>
      <c r="BG497" s="73"/>
      <c r="BH497" s="88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</row>
    <row r="498">
      <c r="A498" s="73"/>
      <c r="B498" s="73"/>
      <c r="C498" s="73"/>
      <c r="D498" s="73"/>
      <c r="E498" s="140"/>
      <c r="F498" s="80"/>
      <c r="G498" s="80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139"/>
      <c r="BG498" s="73"/>
      <c r="BH498" s="88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</row>
    <row r="499">
      <c r="A499" s="73"/>
      <c r="B499" s="73"/>
      <c r="C499" s="73"/>
      <c r="D499" s="73"/>
      <c r="E499" s="140"/>
      <c r="F499" s="80"/>
      <c r="G499" s="80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139"/>
      <c r="BG499" s="73"/>
      <c r="BH499" s="88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</row>
    <row r="500">
      <c r="A500" s="73"/>
      <c r="B500" s="73"/>
      <c r="C500" s="73"/>
      <c r="D500" s="73"/>
      <c r="E500" s="140"/>
      <c r="F500" s="80"/>
      <c r="G500" s="80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168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5"/>
      <c r="BG500" s="73"/>
      <c r="BH500" s="88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</row>
    <row r="501">
      <c r="A501" s="73"/>
      <c r="B501" s="73"/>
      <c r="C501" s="73"/>
      <c r="D501" s="73"/>
      <c r="E501" s="140"/>
      <c r="F501" s="80"/>
      <c r="G501" s="80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168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5"/>
      <c r="BG501" s="73"/>
      <c r="BH501" s="88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</row>
    <row r="502">
      <c r="A502" s="73"/>
      <c r="B502" s="73"/>
      <c r="C502" s="73"/>
      <c r="D502" s="73"/>
      <c r="E502" s="140"/>
      <c r="F502" s="80"/>
      <c r="G502" s="80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168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5"/>
      <c r="BG502" s="73"/>
      <c r="BH502" s="88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</row>
    <row r="503">
      <c r="A503" s="73"/>
      <c r="B503" s="73"/>
      <c r="C503" s="73"/>
      <c r="D503" s="73"/>
      <c r="E503" s="140"/>
      <c r="F503" s="80"/>
      <c r="G503" s="80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168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5"/>
      <c r="BG503" s="73"/>
      <c r="BH503" s="88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</row>
    <row r="504">
      <c r="A504" s="73"/>
      <c r="B504" s="73"/>
      <c r="C504" s="73"/>
      <c r="D504" s="73"/>
      <c r="E504" s="140"/>
      <c r="F504" s="80"/>
      <c r="G504" s="80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168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5"/>
      <c r="BG504" s="73"/>
      <c r="BH504" s="88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</row>
    <row r="505">
      <c r="A505" s="73"/>
      <c r="B505" s="73"/>
      <c r="C505" s="73"/>
      <c r="D505" s="73"/>
      <c r="E505" s="140"/>
      <c r="F505" s="80"/>
      <c r="G505" s="80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168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5"/>
      <c r="BG505" s="73"/>
      <c r="BH505" s="88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</row>
    <row r="506">
      <c r="A506" s="73"/>
      <c r="B506" s="73"/>
      <c r="C506" s="73"/>
      <c r="D506" s="73"/>
      <c r="E506" s="140"/>
      <c r="F506" s="80"/>
      <c r="G506" s="80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168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5"/>
      <c r="BG506" s="73"/>
      <c r="BH506" s="88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</row>
    <row r="507">
      <c r="A507" s="73"/>
      <c r="B507" s="73"/>
      <c r="C507" s="73"/>
      <c r="D507" s="73"/>
      <c r="E507" s="140"/>
      <c r="F507" s="80"/>
      <c r="G507" s="80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168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5"/>
      <c r="BG507" s="73"/>
      <c r="BH507" s="88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</row>
    <row r="508">
      <c r="A508" s="73"/>
      <c r="B508" s="73"/>
      <c r="C508" s="73"/>
      <c r="D508" s="73"/>
      <c r="E508" s="140"/>
      <c r="F508" s="80"/>
      <c r="G508" s="80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168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5"/>
      <c r="BG508" s="73"/>
      <c r="BH508" s="88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</row>
    <row r="509">
      <c r="A509" s="73"/>
      <c r="B509" s="73"/>
      <c r="C509" s="73"/>
      <c r="D509" s="73"/>
      <c r="E509" s="140"/>
      <c r="F509" s="80"/>
      <c r="G509" s="80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168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5"/>
      <c r="BG509" s="73"/>
      <c r="BH509" s="88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</row>
    <row r="510">
      <c r="A510" s="73"/>
      <c r="B510" s="73"/>
      <c r="C510" s="73"/>
      <c r="D510" s="73"/>
      <c r="E510" s="140"/>
      <c r="F510" s="80"/>
      <c r="G510" s="80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168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5"/>
      <c r="BG510" s="73"/>
      <c r="BH510" s="88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</row>
    <row r="511">
      <c r="A511" s="73"/>
      <c r="B511" s="73"/>
      <c r="C511" s="73"/>
      <c r="D511" s="73"/>
      <c r="E511" s="140"/>
      <c r="F511" s="80"/>
      <c r="G511" s="80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168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5"/>
      <c r="BG511" s="73"/>
      <c r="BH511" s="88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</row>
    <row r="512">
      <c r="A512" s="73"/>
      <c r="B512" s="73"/>
      <c r="C512" s="73"/>
      <c r="D512" s="73"/>
      <c r="E512" s="140"/>
      <c r="F512" s="80"/>
      <c r="G512" s="80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168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5"/>
      <c r="BG512" s="73"/>
      <c r="BH512" s="88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</row>
    <row r="513">
      <c r="A513" s="73"/>
      <c r="B513" s="73"/>
      <c r="C513" s="73"/>
      <c r="D513" s="73"/>
      <c r="E513" s="140"/>
      <c r="F513" s="80"/>
      <c r="G513" s="80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168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5"/>
      <c r="BG513" s="73"/>
      <c r="BH513" s="88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</row>
    <row r="514">
      <c r="A514" s="73"/>
      <c r="B514" s="73"/>
      <c r="C514" s="73"/>
      <c r="D514" s="73"/>
      <c r="E514" s="140"/>
      <c r="F514" s="80"/>
      <c r="G514" s="80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168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5"/>
      <c r="BG514" s="73"/>
      <c r="BH514" s="88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</row>
    <row r="515">
      <c r="A515" s="73"/>
      <c r="B515" s="73"/>
      <c r="C515" s="73"/>
      <c r="D515" s="73"/>
      <c r="E515" s="140"/>
      <c r="F515" s="80"/>
      <c r="G515" s="80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168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5"/>
      <c r="BG515" s="73"/>
      <c r="BH515" s="88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</row>
    <row r="516">
      <c r="A516" s="73"/>
      <c r="B516" s="73"/>
      <c r="C516" s="73"/>
      <c r="D516" s="73"/>
      <c r="E516" s="140"/>
      <c r="F516" s="80"/>
      <c r="G516" s="80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168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5"/>
      <c r="BG516" s="73"/>
      <c r="BH516" s="88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</row>
    <row r="517">
      <c r="A517" s="73"/>
      <c r="B517" s="73"/>
      <c r="C517" s="73"/>
      <c r="D517" s="73"/>
      <c r="E517" s="140"/>
      <c r="F517" s="80"/>
      <c r="G517" s="80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168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5"/>
      <c r="BG517" s="73"/>
      <c r="BH517" s="88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</row>
    <row r="518">
      <c r="A518" s="73"/>
      <c r="B518" s="73"/>
      <c r="C518" s="73"/>
      <c r="D518" s="73"/>
      <c r="E518" s="140"/>
      <c r="F518" s="80"/>
      <c r="G518" s="80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168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5"/>
      <c r="BG518" s="73"/>
      <c r="BH518" s="88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</row>
    <row r="519">
      <c r="A519" s="73"/>
      <c r="B519" s="73"/>
      <c r="C519" s="73"/>
      <c r="D519" s="73"/>
      <c r="E519" s="140"/>
      <c r="F519" s="80"/>
      <c r="G519" s="80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168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5"/>
      <c r="BG519" s="73"/>
      <c r="BH519" s="88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</row>
    <row r="520">
      <c r="A520" s="73"/>
      <c r="B520" s="73"/>
      <c r="C520" s="73"/>
      <c r="D520" s="73"/>
      <c r="E520" s="140"/>
      <c r="F520" s="80"/>
      <c r="G520" s="80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168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5"/>
      <c r="BG520" s="73"/>
      <c r="BH520" s="88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</row>
    <row r="521">
      <c r="A521" s="73"/>
      <c r="B521" s="73"/>
      <c r="C521" s="73"/>
      <c r="D521" s="73"/>
      <c r="E521" s="140"/>
      <c r="F521" s="80"/>
      <c r="G521" s="80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168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5"/>
      <c r="BG521" s="73"/>
      <c r="BH521" s="88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</row>
    <row r="522">
      <c r="A522" s="73"/>
      <c r="B522" s="73"/>
      <c r="C522" s="73"/>
      <c r="D522" s="73"/>
      <c r="E522" s="140"/>
      <c r="F522" s="80"/>
      <c r="G522" s="80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168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5"/>
      <c r="BG522" s="73"/>
      <c r="BH522" s="88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</row>
    <row r="523">
      <c r="A523" s="73"/>
      <c r="B523" s="73"/>
      <c r="C523" s="73"/>
      <c r="D523" s="73"/>
      <c r="E523" s="140"/>
      <c r="F523" s="80"/>
      <c r="G523" s="80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168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5"/>
      <c r="BG523" s="73"/>
      <c r="BH523" s="88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</row>
    <row r="524">
      <c r="A524" s="73"/>
      <c r="B524" s="73"/>
      <c r="C524" s="73"/>
      <c r="D524" s="73"/>
      <c r="E524" s="140"/>
      <c r="F524" s="80"/>
      <c r="G524" s="80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168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5"/>
      <c r="BG524" s="73"/>
      <c r="BH524" s="88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</row>
    <row r="525">
      <c r="A525" s="73"/>
      <c r="B525" s="73"/>
      <c r="C525" s="73"/>
      <c r="D525" s="73"/>
      <c r="E525" s="140"/>
      <c r="F525" s="80"/>
      <c r="G525" s="80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168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5"/>
      <c r="BG525" s="73"/>
      <c r="BH525" s="88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</row>
    <row r="526">
      <c r="A526" s="73"/>
      <c r="B526" s="73"/>
      <c r="C526" s="73"/>
      <c r="D526" s="73"/>
      <c r="E526" s="140"/>
      <c r="F526" s="80"/>
      <c r="G526" s="80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168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5"/>
      <c r="BG526" s="73"/>
      <c r="BH526" s="88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</row>
    <row r="527">
      <c r="A527" s="73"/>
      <c r="B527" s="73"/>
      <c r="C527" s="73"/>
      <c r="D527" s="73"/>
      <c r="E527" s="140"/>
      <c r="F527" s="80"/>
      <c r="G527" s="80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168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5"/>
      <c r="BG527" s="73"/>
      <c r="BH527" s="88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</row>
    <row r="528">
      <c r="A528" s="73"/>
      <c r="B528" s="73"/>
      <c r="C528" s="73"/>
      <c r="D528" s="73"/>
      <c r="E528" s="140"/>
      <c r="F528" s="80"/>
      <c r="G528" s="80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168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5"/>
      <c r="BG528" s="73"/>
      <c r="BH528" s="88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</row>
    <row r="529">
      <c r="A529" s="73"/>
      <c r="B529" s="73"/>
      <c r="C529" s="73"/>
      <c r="D529" s="73"/>
      <c r="E529" s="140"/>
      <c r="F529" s="80"/>
      <c r="G529" s="80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168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5"/>
      <c r="BG529" s="73"/>
      <c r="BH529" s="88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</row>
    <row r="530">
      <c r="A530" s="73"/>
      <c r="B530" s="73"/>
      <c r="C530" s="73"/>
      <c r="D530" s="73"/>
      <c r="E530" s="140"/>
      <c r="F530" s="80"/>
      <c r="G530" s="80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168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5"/>
      <c r="BG530" s="73"/>
      <c r="BH530" s="88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</row>
    <row r="531">
      <c r="A531" s="73"/>
      <c r="B531" s="73"/>
      <c r="C531" s="73"/>
      <c r="D531" s="73"/>
      <c r="E531" s="140"/>
      <c r="F531" s="80"/>
      <c r="G531" s="80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168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5"/>
      <c r="BG531" s="73"/>
      <c r="BH531" s="88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</row>
    <row r="532">
      <c r="A532" s="73"/>
      <c r="B532" s="73"/>
      <c r="C532" s="73"/>
      <c r="D532" s="73"/>
      <c r="E532" s="140"/>
      <c r="F532" s="80"/>
      <c r="G532" s="80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168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5"/>
      <c r="BG532" s="73"/>
      <c r="BH532" s="88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</row>
    <row r="533">
      <c r="A533" s="73"/>
      <c r="B533" s="73"/>
      <c r="C533" s="73"/>
      <c r="D533" s="73"/>
      <c r="E533" s="140"/>
      <c r="F533" s="80"/>
      <c r="G533" s="80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168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5"/>
      <c r="BG533" s="73"/>
      <c r="BH533" s="88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</row>
    <row r="534">
      <c r="A534" s="73"/>
      <c r="B534" s="73"/>
      <c r="C534" s="73"/>
      <c r="D534" s="73"/>
      <c r="E534" s="140"/>
      <c r="F534" s="80"/>
      <c r="G534" s="80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168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5"/>
      <c r="BG534" s="73"/>
      <c r="BH534" s="88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</row>
    <row r="535">
      <c r="A535" s="73"/>
      <c r="B535" s="73"/>
      <c r="C535" s="73"/>
      <c r="D535" s="73"/>
      <c r="E535" s="140"/>
      <c r="F535" s="80"/>
      <c r="G535" s="80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168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5"/>
      <c r="BG535" s="73"/>
      <c r="BH535" s="88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</row>
    <row r="536">
      <c r="A536" s="73"/>
      <c r="B536" s="73"/>
      <c r="C536" s="73"/>
      <c r="D536" s="73"/>
      <c r="E536" s="140"/>
      <c r="F536" s="80"/>
      <c r="G536" s="80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168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5"/>
      <c r="BG536" s="73"/>
      <c r="BH536" s="88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</row>
    <row r="537">
      <c r="A537" s="73"/>
      <c r="B537" s="73"/>
      <c r="C537" s="73"/>
      <c r="D537" s="73"/>
      <c r="E537" s="140"/>
      <c r="F537" s="80"/>
      <c r="G537" s="80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168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5"/>
      <c r="BG537" s="73"/>
      <c r="BH537" s="88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</row>
    <row r="538">
      <c r="A538" s="73"/>
      <c r="B538" s="73"/>
      <c r="C538" s="73"/>
      <c r="D538" s="73"/>
      <c r="E538" s="140"/>
      <c r="F538" s="80"/>
      <c r="G538" s="80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168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5"/>
      <c r="BG538" s="73"/>
      <c r="BH538" s="88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</row>
    <row r="539">
      <c r="A539" s="73"/>
      <c r="B539" s="73"/>
      <c r="C539" s="73"/>
      <c r="D539" s="73"/>
      <c r="E539" s="140"/>
      <c r="F539" s="80"/>
      <c r="G539" s="80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168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5"/>
      <c r="BG539" s="73"/>
      <c r="BH539" s="88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</row>
    <row r="540">
      <c r="A540" s="73"/>
      <c r="B540" s="73"/>
      <c r="C540" s="73"/>
      <c r="D540" s="73"/>
      <c r="E540" s="140"/>
      <c r="F540" s="80"/>
      <c r="G540" s="80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168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5"/>
      <c r="BG540" s="73"/>
      <c r="BH540" s="88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</row>
    <row r="541">
      <c r="A541" s="73"/>
      <c r="B541" s="73"/>
      <c r="C541" s="73"/>
      <c r="D541" s="73"/>
      <c r="E541" s="140"/>
      <c r="F541" s="80"/>
      <c r="G541" s="80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168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5"/>
      <c r="BG541" s="73"/>
      <c r="BH541" s="88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</row>
    <row r="542">
      <c r="A542" s="73"/>
      <c r="B542" s="73"/>
      <c r="C542" s="73"/>
      <c r="D542" s="73"/>
      <c r="E542" s="140"/>
      <c r="F542" s="80"/>
      <c r="G542" s="80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168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5"/>
      <c r="BG542" s="73"/>
      <c r="BH542" s="88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</row>
    <row r="543">
      <c r="A543" s="73"/>
      <c r="B543" s="73"/>
      <c r="C543" s="73"/>
      <c r="D543" s="73"/>
      <c r="E543" s="140"/>
      <c r="F543" s="80"/>
      <c r="G543" s="80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168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5"/>
      <c r="BG543" s="73"/>
      <c r="BH543" s="88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</row>
    <row r="544">
      <c r="A544" s="73"/>
      <c r="B544" s="73"/>
      <c r="C544" s="73"/>
      <c r="D544" s="73"/>
      <c r="E544" s="140"/>
      <c r="F544" s="80"/>
      <c r="G544" s="80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168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5"/>
      <c r="BG544" s="73"/>
      <c r="BH544" s="88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</row>
    <row r="545">
      <c r="A545" s="73"/>
      <c r="B545" s="73"/>
      <c r="C545" s="73"/>
      <c r="D545" s="73"/>
      <c r="E545" s="140"/>
      <c r="F545" s="80"/>
      <c r="G545" s="80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168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5"/>
      <c r="BG545" s="73"/>
      <c r="BH545" s="88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</row>
    <row r="546">
      <c r="A546" s="73"/>
      <c r="B546" s="73"/>
      <c r="C546" s="73"/>
      <c r="D546" s="73"/>
      <c r="E546" s="140"/>
      <c r="F546" s="80"/>
      <c r="G546" s="80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168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5"/>
      <c r="BG546" s="73"/>
      <c r="BH546" s="88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</row>
    <row r="547">
      <c r="A547" s="73"/>
      <c r="B547" s="73"/>
      <c r="C547" s="73"/>
      <c r="D547" s="73"/>
      <c r="E547" s="140"/>
      <c r="F547" s="80"/>
      <c r="G547" s="80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168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5"/>
      <c r="BG547" s="73"/>
      <c r="BH547" s="88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</row>
    <row r="548">
      <c r="A548" s="73"/>
      <c r="B548" s="73"/>
      <c r="C548" s="73"/>
      <c r="D548" s="73"/>
      <c r="E548" s="140"/>
      <c r="F548" s="80"/>
      <c r="G548" s="80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168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5"/>
      <c r="BG548" s="73"/>
      <c r="BH548" s="88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</row>
    <row r="549">
      <c r="A549" s="73"/>
      <c r="B549" s="73"/>
      <c r="C549" s="73"/>
      <c r="D549" s="73"/>
      <c r="E549" s="140"/>
      <c r="F549" s="80"/>
      <c r="G549" s="80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168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5"/>
      <c r="BG549" s="73"/>
      <c r="BH549" s="88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</row>
    <row r="550">
      <c r="A550" s="73"/>
      <c r="B550" s="73"/>
      <c r="C550" s="73"/>
      <c r="D550" s="73"/>
      <c r="E550" s="140"/>
      <c r="F550" s="80"/>
      <c r="G550" s="80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168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5"/>
      <c r="BG550" s="73"/>
      <c r="BH550" s="88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</row>
    <row r="551">
      <c r="A551" s="73"/>
      <c r="B551" s="73"/>
      <c r="C551" s="73"/>
      <c r="D551" s="73"/>
      <c r="E551" s="140"/>
      <c r="F551" s="80"/>
      <c r="G551" s="80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168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5"/>
      <c r="BG551" s="73"/>
      <c r="BH551" s="88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</row>
    <row r="552">
      <c r="A552" s="73"/>
      <c r="B552" s="73"/>
      <c r="C552" s="73"/>
      <c r="D552" s="73"/>
      <c r="E552" s="140"/>
      <c r="F552" s="80"/>
      <c r="G552" s="80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168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5"/>
      <c r="BG552" s="73"/>
      <c r="BH552" s="88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</row>
    <row r="553">
      <c r="A553" s="73"/>
      <c r="B553" s="73"/>
      <c r="C553" s="73"/>
      <c r="D553" s="73"/>
      <c r="E553" s="140"/>
      <c r="F553" s="80"/>
      <c r="G553" s="80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168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5"/>
      <c r="BG553" s="73"/>
      <c r="BH553" s="88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</row>
    <row r="554">
      <c r="A554" s="73"/>
      <c r="B554" s="73"/>
      <c r="C554" s="73"/>
      <c r="D554" s="73"/>
      <c r="E554" s="140"/>
      <c r="F554" s="80"/>
      <c r="G554" s="80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168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5"/>
      <c r="BG554" s="73"/>
      <c r="BH554" s="88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</row>
    <row r="555">
      <c r="A555" s="73"/>
      <c r="B555" s="73"/>
      <c r="C555" s="73"/>
      <c r="D555" s="73"/>
      <c r="E555" s="140"/>
      <c r="F555" s="80"/>
      <c r="G555" s="80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168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5"/>
      <c r="BG555" s="73"/>
      <c r="BH555" s="88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</row>
    <row r="556">
      <c r="A556" s="73"/>
      <c r="B556" s="73"/>
      <c r="C556" s="73"/>
      <c r="D556" s="73"/>
      <c r="E556" s="140"/>
      <c r="F556" s="80"/>
      <c r="G556" s="80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168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5"/>
      <c r="BG556" s="73"/>
      <c r="BH556" s="88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</row>
    <row r="557">
      <c r="A557" s="73"/>
      <c r="B557" s="73"/>
      <c r="C557" s="73"/>
      <c r="D557" s="73"/>
      <c r="E557" s="140"/>
      <c r="F557" s="80"/>
      <c r="G557" s="80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168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5"/>
      <c r="BG557" s="73"/>
      <c r="BH557" s="88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</row>
    <row r="558">
      <c r="A558" s="73"/>
      <c r="B558" s="73"/>
      <c r="C558" s="73"/>
      <c r="D558" s="73"/>
      <c r="E558" s="140"/>
      <c r="F558" s="80"/>
      <c r="G558" s="80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168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5"/>
      <c r="BG558" s="73"/>
      <c r="BH558" s="88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</row>
    <row r="559">
      <c r="A559" s="73"/>
      <c r="B559" s="73"/>
      <c r="C559" s="73"/>
      <c r="D559" s="73"/>
      <c r="E559" s="140"/>
      <c r="F559" s="80"/>
      <c r="G559" s="80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168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5"/>
      <c r="BG559" s="73"/>
      <c r="BH559" s="88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</row>
    <row r="560">
      <c r="A560" s="73"/>
      <c r="B560" s="73"/>
      <c r="C560" s="73"/>
      <c r="D560" s="73"/>
      <c r="E560" s="140"/>
      <c r="F560" s="80"/>
      <c r="G560" s="80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168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5"/>
      <c r="BG560" s="73"/>
      <c r="BH560" s="88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</row>
    <row r="561">
      <c r="A561" s="73"/>
      <c r="B561" s="73"/>
      <c r="C561" s="73"/>
      <c r="D561" s="73"/>
      <c r="E561" s="140"/>
      <c r="F561" s="80"/>
      <c r="G561" s="80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168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5"/>
      <c r="BG561" s="73"/>
      <c r="BH561" s="88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</row>
    <row r="562">
      <c r="A562" s="73"/>
      <c r="B562" s="73"/>
      <c r="C562" s="73"/>
      <c r="D562" s="73"/>
      <c r="E562" s="140"/>
      <c r="F562" s="80"/>
      <c r="G562" s="80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168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5"/>
      <c r="BG562" s="73"/>
      <c r="BH562" s="88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</row>
    <row r="563">
      <c r="A563" s="73"/>
      <c r="B563" s="73"/>
      <c r="C563" s="73"/>
      <c r="D563" s="73"/>
      <c r="E563" s="140"/>
      <c r="F563" s="80"/>
      <c r="G563" s="80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168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5"/>
      <c r="BG563" s="73"/>
      <c r="BH563" s="88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</row>
    <row r="564">
      <c r="A564" s="73"/>
      <c r="B564" s="73"/>
      <c r="C564" s="73"/>
      <c r="D564" s="73"/>
      <c r="E564" s="140"/>
      <c r="F564" s="80"/>
      <c r="G564" s="80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168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5"/>
      <c r="BG564" s="73"/>
      <c r="BH564" s="88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</row>
    <row r="565">
      <c r="A565" s="73"/>
      <c r="B565" s="73"/>
      <c r="C565" s="73"/>
      <c r="D565" s="73"/>
      <c r="E565" s="140"/>
      <c r="F565" s="80"/>
      <c r="G565" s="80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168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5"/>
      <c r="BG565" s="73"/>
      <c r="BH565" s="88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</row>
    <row r="566">
      <c r="A566" s="73"/>
      <c r="B566" s="73"/>
      <c r="C566" s="73"/>
      <c r="D566" s="73"/>
      <c r="E566" s="140"/>
      <c r="F566" s="80"/>
      <c r="G566" s="80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168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5"/>
      <c r="BG566" s="73"/>
      <c r="BH566" s="88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</row>
    <row r="567">
      <c r="A567" s="73"/>
      <c r="B567" s="73"/>
      <c r="C567" s="73"/>
      <c r="D567" s="73"/>
      <c r="E567" s="140"/>
      <c r="F567" s="80"/>
      <c r="G567" s="80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168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5"/>
      <c r="BG567" s="73"/>
      <c r="BH567" s="88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</row>
    <row r="568">
      <c r="A568" s="73"/>
      <c r="B568" s="73"/>
      <c r="C568" s="73"/>
      <c r="D568" s="73"/>
      <c r="E568" s="140"/>
      <c r="F568" s="80"/>
      <c r="G568" s="80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168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5"/>
      <c r="BG568" s="73"/>
      <c r="BH568" s="88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</row>
    <row r="569">
      <c r="A569" s="73"/>
      <c r="B569" s="73"/>
      <c r="C569" s="73"/>
      <c r="D569" s="73"/>
      <c r="E569" s="140"/>
      <c r="F569" s="80"/>
      <c r="G569" s="80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168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5"/>
      <c r="BG569" s="73"/>
      <c r="BH569" s="88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</row>
    <row r="570">
      <c r="A570" s="73"/>
      <c r="B570" s="73"/>
      <c r="C570" s="73"/>
      <c r="D570" s="73"/>
      <c r="E570" s="140"/>
      <c r="F570" s="80"/>
      <c r="G570" s="80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168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5"/>
      <c r="BG570" s="73"/>
      <c r="BH570" s="88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</row>
    <row r="571">
      <c r="A571" s="73"/>
      <c r="B571" s="73"/>
      <c r="C571" s="73"/>
      <c r="D571" s="73"/>
      <c r="E571" s="140"/>
      <c r="F571" s="80"/>
      <c r="G571" s="80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168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5"/>
      <c r="BG571" s="73"/>
      <c r="BH571" s="88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</row>
    <row r="572">
      <c r="A572" s="73"/>
      <c r="B572" s="73"/>
      <c r="C572" s="73"/>
      <c r="D572" s="73"/>
      <c r="E572" s="140"/>
      <c r="F572" s="80"/>
      <c r="G572" s="80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168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5"/>
      <c r="BG572" s="73"/>
      <c r="BH572" s="88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</row>
    <row r="573">
      <c r="A573" s="73"/>
      <c r="B573" s="73"/>
      <c r="C573" s="73"/>
      <c r="D573" s="73"/>
      <c r="E573" s="140"/>
      <c r="F573" s="80"/>
      <c r="G573" s="80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168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5"/>
      <c r="BG573" s="73"/>
      <c r="BH573" s="88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</row>
    <row r="574">
      <c r="A574" s="73"/>
      <c r="B574" s="73"/>
      <c r="C574" s="73"/>
      <c r="D574" s="73"/>
      <c r="E574" s="140"/>
      <c r="F574" s="80"/>
      <c r="G574" s="80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168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5"/>
      <c r="BG574" s="73"/>
      <c r="BH574" s="88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</row>
    <row r="575">
      <c r="A575" s="73"/>
      <c r="B575" s="73"/>
      <c r="C575" s="73"/>
      <c r="D575" s="73"/>
      <c r="E575" s="140"/>
      <c r="F575" s="80"/>
      <c r="G575" s="80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168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5"/>
      <c r="BG575" s="73"/>
      <c r="BH575" s="88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</row>
    <row r="576">
      <c r="A576" s="73"/>
      <c r="B576" s="73"/>
      <c r="C576" s="73"/>
      <c r="D576" s="73"/>
      <c r="E576" s="140"/>
      <c r="F576" s="80"/>
      <c r="G576" s="80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168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5"/>
      <c r="BG576" s="73"/>
      <c r="BH576" s="88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</row>
    <row r="577">
      <c r="A577" s="73"/>
      <c r="B577" s="73"/>
      <c r="C577" s="73"/>
      <c r="D577" s="73"/>
      <c r="E577" s="140"/>
      <c r="F577" s="80"/>
      <c r="G577" s="80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168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5"/>
      <c r="BG577" s="73"/>
      <c r="BH577" s="88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</row>
    <row r="578">
      <c r="A578" s="73"/>
      <c r="B578" s="73"/>
      <c r="C578" s="73"/>
      <c r="D578" s="73"/>
      <c r="E578" s="140"/>
      <c r="F578" s="80"/>
      <c r="G578" s="80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168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5"/>
      <c r="BG578" s="73"/>
      <c r="BH578" s="88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</row>
    <row r="579">
      <c r="A579" s="73"/>
      <c r="B579" s="73"/>
      <c r="C579" s="73"/>
      <c r="D579" s="73"/>
      <c r="E579" s="140"/>
      <c r="F579" s="80"/>
      <c r="G579" s="80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168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5"/>
      <c r="BG579" s="73"/>
      <c r="BH579" s="88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</row>
    <row r="580">
      <c r="A580" s="73"/>
      <c r="B580" s="73"/>
      <c r="C580" s="73"/>
      <c r="D580" s="73"/>
      <c r="E580" s="140"/>
      <c r="F580" s="80"/>
      <c r="G580" s="80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168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5"/>
      <c r="BG580" s="73"/>
      <c r="BH580" s="88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</row>
    <row r="581">
      <c r="A581" s="73"/>
      <c r="B581" s="73"/>
      <c r="C581" s="73"/>
      <c r="D581" s="73"/>
      <c r="E581" s="140"/>
      <c r="F581" s="80"/>
      <c r="G581" s="80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168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5"/>
      <c r="BG581" s="73"/>
      <c r="BH581" s="88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</row>
    <row r="582">
      <c r="A582" s="73"/>
      <c r="B582" s="73"/>
      <c r="C582" s="73"/>
      <c r="D582" s="73"/>
      <c r="E582" s="140"/>
      <c r="F582" s="80"/>
      <c r="G582" s="80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168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5"/>
      <c r="BG582" s="73"/>
      <c r="BH582" s="88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</row>
    <row r="583">
      <c r="A583" s="73"/>
      <c r="B583" s="73"/>
      <c r="C583" s="73"/>
      <c r="D583" s="73"/>
      <c r="E583" s="140"/>
      <c r="F583" s="80"/>
      <c r="G583" s="80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168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5"/>
      <c r="BG583" s="73"/>
      <c r="BH583" s="88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</row>
    <row r="584">
      <c r="A584" s="73"/>
      <c r="B584" s="73"/>
      <c r="C584" s="73"/>
      <c r="D584" s="73"/>
      <c r="E584" s="140"/>
      <c r="F584" s="80"/>
      <c r="G584" s="80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168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5"/>
      <c r="BG584" s="73"/>
      <c r="BH584" s="88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</row>
    <row r="585">
      <c r="A585" s="73"/>
      <c r="B585" s="73"/>
      <c r="C585" s="73"/>
      <c r="D585" s="73"/>
      <c r="E585" s="140"/>
      <c r="F585" s="80"/>
      <c r="G585" s="80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168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5"/>
      <c r="BG585" s="73"/>
      <c r="BH585" s="88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</row>
    <row r="586">
      <c r="A586" s="73"/>
      <c r="B586" s="73"/>
      <c r="C586" s="73"/>
      <c r="D586" s="73"/>
      <c r="E586" s="140"/>
      <c r="F586" s="80"/>
      <c r="G586" s="80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168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5"/>
      <c r="BG586" s="73"/>
      <c r="BH586" s="88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</row>
    <row r="587">
      <c r="A587" s="73"/>
      <c r="B587" s="73"/>
      <c r="C587" s="73"/>
      <c r="D587" s="73"/>
      <c r="E587" s="140"/>
      <c r="F587" s="80"/>
      <c r="G587" s="80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168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5"/>
      <c r="BG587" s="73"/>
      <c r="BH587" s="88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</row>
    <row r="588">
      <c r="A588" s="73"/>
      <c r="B588" s="73"/>
      <c r="C588" s="73"/>
      <c r="D588" s="73"/>
      <c r="E588" s="140"/>
      <c r="F588" s="80"/>
      <c r="G588" s="80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168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5"/>
      <c r="BG588" s="73"/>
      <c r="BH588" s="88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</row>
    <row r="589">
      <c r="A589" s="73"/>
      <c r="B589" s="73"/>
      <c r="C589" s="73"/>
      <c r="D589" s="73"/>
      <c r="E589" s="140"/>
      <c r="F589" s="80"/>
      <c r="G589" s="80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168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5"/>
      <c r="BG589" s="73"/>
      <c r="BH589" s="88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</row>
    <row r="590">
      <c r="A590" s="73"/>
      <c r="B590" s="73"/>
      <c r="C590" s="73"/>
      <c r="D590" s="73"/>
      <c r="E590" s="140"/>
      <c r="F590" s="80"/>
      <c r="G590" s="80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168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5"/>
      <c r="BG590" s="73"/>
      <c r="BH590" s="88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</row>
    <row r="591">
      <c r="A591" s="73"/>
      <c r="B591" s="73"/>
      <c r="C591" s="73"/>
      <c r="D591" s="73"/>
      <c r="E591" s="140"/>
      <c r="F591" s="80"/>
      <c r="G591" s="80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168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5"/>
      <c r="BG591" s="73"/>
      <c r="BH591" s="88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</row>
    <row r="592">
      <c r="A592" s="73"/>
      <c r="B592" s="73"/>
      <c r="C592" s="73"/>
      <c r="D592" s="73"/>
      <c r="E592" s="140"/>
      <c r="F592" s="80"/>
      <c r="G592" s="80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168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5"/>
      <c r="BG592" s="73"/>
      <c r="BH592" s="88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</row>
    <row r="593">
      <c r="A593" s="73"/>
      <c r="B593" s="73"/>
      <c r="C593" s="73"/>
      <c r="D593" s="73"/>
      <c r="E593" s="140"/>
      <c r="F593" s="80"/>
      <c r="G593" s="80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168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5"/>
      <c r="BG593" s="73"/>
      <c r="BH593" s="88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</row>
    <row r="594">
      <c r="A594" s="73"/>
      <c r="B594" s="73"/>
      <c r="C594" s="73"/>
      <c r="D594" s="73"/>
      <c r="E594" s="140"/>
      <c r="F594" s="80"/>
      <c r="G594" s="80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168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5"/>
      <c r="BG594" s="73"/>
      <c r="BH594" s="88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</row>
    <row r="595">
      <c r="A595" s="73"/>
      <c r="B595" s="73"/>
      <c r="C595" s="73"/>
      <c r="D595" s="73"/>
      <c r="E595" s="140"/>
      <c r="F595" s="80"/>
      <c r="G595" s="80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168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5"/>
      <c r="BG595" s="73"/>
      <c r="BH595" s="88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</row>
    <row r="596">
      <c r="A596" s="73"/>
      <c r="B596" s="73"/>
      <c r="C596" s="73"/>
      <c r="D596" s="73"/>
      <c r="E596" s="140"/>
      <c r="F596" s="80"/>
      <c r="G596" s="80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168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5"/>
      <c r="BG596" s="73"/>
      <c r="BH596" s="88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</row>
    <row r="597">
      <c r="A597" s="73"/>
      <c r="B597" s="73"/>
      <c r="C597" s="73"/>
      <c r="D597" s="73"/>
      <c r="E597" s="140"/>
      <c r="F597" s="80"/>
      <c r="G597" s="80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168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5"/>
      <c r="BG597" s="73"/>
      <c r="BH597" s="88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</row>
    <row r="598">
      <c r="A598" s="73"/>
      <c r="B598" s="73"/>
      <c r="C598" s="73"/>
      <c r="D598" s="73"/>
      <c r="E598" s="140"/>
      <c r="F598" s="80"/>
      <c r="G598" s="80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168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5"/>
      <c r="BG598" s="73"/>
      <c r="BH598" s="88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</row>
    <row r="599">
      <c r="A599" s="73"/>
      <c r="B599" s="73"/>
      <c r="C599" s="73"/>
      <c r="D599" s="73"/>
      <c r="E599" s="140"/>
      <c r="F599" s="80"/>
      <c r="G599" s="80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168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5"/>
      <c r="BG599" s="73"/>
      <c r="BH599" s="88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</row>
    <row r="600">
      <c r="A600" s="73"/>
      <c r="B600" s="73"/>
      <c r="C600" s="73"/>
      <c r="D600" s="73"/>
      <c r="E600" s="140"/>
      <c r="F600" s="80"/>
      <c r="G600" s="80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168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5"/>
      <c r="BG600" s="73"/>
      <c r="BH600" s="88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</row>
    <row r="601">
      <c r="A601" s="73"/>
      <c r="B601" s="73"/>
      <c r="C601" s="73"/>
      <c r="D601" s="73"/>
      <c r="E601" s="140"/>
      <c r="F601" s="80"/>
      <c r="G601" s="80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168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5"/>
      <c r="BG601" s="73"/>
      <c r="BH601" s="88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</row>
    <row r="602">
      <c r="A602" s="73"/>
      <c r="B602" s="73"/>
      <c r="C602" s="73"/>
      <c r="D602" s="73"/>
      <c r="E602" s="140"/>
      <c r="F602" s="80"/>
      <c r="G602" s="80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168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5"/>
      <c r="BG602" s="73"/>
      <c r="BH602" s="88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</row>
    <row r="603">
      <c r="A603" s="73"/>
      <c r="B603" s="73"/>
      <c r="C603" s="73"/>
      <c r="D603" s="73"/>
      <c r="E603" s="140"/>
      <c r="F603" s="80"/>
      <c r="G603" s="80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168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5"/>
      <c r="BG603" s="73"/>
      <c r="BH603" s="88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</row>
    <row r="604">
      <c r="A604" s="73"/>
      <c r="B604" s="73"/>
      <c r="C604" s="73"/>
      <c r="D604" s="73"/>
      <c r="E604" s="140"/>
      <c r="F604" s="80"/>
      <c r="G604" s="80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168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5"/>
      <c r="BG604" s="73"/>
      <c r="BH604" s="88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</row>
    <row r="605">
      <c r="A605" s="73"/>
      <c r="B605" s="73"/>
      <c r="C605" s="73"/>
      <c r="D605" s="73"/>
      <c r="E605" s="140"/>
      <c r="F605" s="80"/>
      <c r="G605" s="80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168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5"/>
      <c r="BG605" s="73"/>
      <c r="BH605" s="88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</row>
    <row r="606">
      <c r="A606" s="73"/>
      <c r="B606" s="73"/>
      <c r="C606" s="73"/>
      <c r="D606" s="73"/>
      <c r="E606" s="140"/>
      <c r="F606" s="80"/>
      <c r="G606" s="80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168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5"/>
      <c r="BG606" s="73"/>
      <c r="BH606" s="88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</row>
    <row r="607">
      <c r="A607" s="73"/>
      <c r="B607" s="73"/>
      <c r="C607" s="73"/>
      <c r="D607" s="73"/>
      <c r="E607" s="140"/>
      <c r="F607" s="80"/>
      <c r="G607" s="80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168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5"/>
      <c r="BG607" s="73"/>
      <c r="BH607" s="88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</row>
    <row r="608">
      <c r="A608" s="73"/>
      <c r="B608" s="73"/>
      <c r="C608" s="73"/>
      <c r="D608" s="73"/>
      <c r="E608" s="140"/>
      <c r="F608" s="80"/>
      <c r="G608" s="80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168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5"/>
      <c r="BG608" s="73"/>
      <c r="BH608" s="88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</row>
    <row r="609">
      <c r="A609" s="73"/>
      <c r="B609" s="73"/>
      <c r="C609" s="73"/>
      <c r="D609" s="73"/>
      <c r="E609" s="140"/>
      <c r="F609" s="80"/>
      <c r="G609" s="80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168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5"/>
      <c r="BG609" s="73"/>
      <c r="BH609" s="88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</row>
    <row r="610">
      <c r="A610" s="73"/>
      <c r="B610" s="73"/>
      <c r="C610" s="73"/>
      <c r="D610" s="73"/>
      <c r="E610" s="140"/>
      <c r="F610" s="80"/>
      <c r="G610" s="80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168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5"/>
      <c r="BG610" s="73"/>
      <c r="BH610" s="88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</row>
    <row r="611">
      <c r="A611" s="73"/>
      <c r="B611" s="73"/>
      <c r="C611" s="73"/>
      <c r="D611" s="73"/>
      <c r="E611" s="140"/>
      <c r="F611" s="80"/>
      <c r="G611" s="80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168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5"/>
      <c r="BG611" s="73"/>
      <c r="BH611" s="88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</row>
    <row r="612">
      <c r="A612" s="73"/>
      <c r="B612" s="73"/>
      <c r="C612" s="73"/>
      <c r="D612" s="73"/>
      <c r="E612" s="140"/>
      <c r="F612" s="80"/>
      <c r="G612" s="80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168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5"/>
      <c r="BG612" s="73"/>
      <c r="BH612" s="88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</row>
    <row r="613">
      <c r="A613" s="73"/>
      <c r="B613" s="73"/>
      <c r="C613" s="73"/>
      <c r="D613" s="73"/>
      <c r="E613" s="140"/>
      <c r="F613" s="80"/>
      <c r="G613" s="80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168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5"/>
      <c r="BG613" s="73"/>
      <c r="BH613" s="88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</row>
    <row r="614">
      <c r="A614" s="73"/>
      <c r="B614" s="73"/>
      <c r="C614" s="73"/>
      <c r="D614" s="73"/>
      <c r="E614" s="140"/>
      <c r="F614" s="80"/>
      <c r="G614" s="80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168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5"/>
      <c r="BG614" s="73"/>
      <c r="BH614" s="88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</row>
    <row r="615">
      <c r="A615" s="73"/>
      <c r="B615" s="73"/>
      <c r="C615" s="73"/>
      <c r="D615" s="73"/>
      <c r="E615" s="140"/>
      <c r="F615" s="80"/>
      <c r="G615" s="80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168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5"/>
      <c r="BG615" s="73"/>
      <c r="BH615" s="88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</row>
    <row r="616">
      <c r="A616" s="73"/>
      <c r="B616" s="73"/>
      <c r="C616" s="73"/>
      <c r="D616" s="73"/>
      <c r="E616" s="140"/>
      <c r="F616" s="80"/>
      <c r="G616" s="80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168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5"/>
      <c r="BG616" s="73"/>
      <c r="BH616" s="88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</row>
    <row r="617">
      <c r="A617" s="73"/>
      <c r="B617" s="73"/>
      <c r="C617" s="73"/>
      <c r="D617" s="73"/>
      <c r="E617" s="140"/>
      <c r="F617" s="80"/>
      <c r="G617" s="80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168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5"/>
      <c r="BG617" s="73"/>
      <c r="BH617" s="88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</row>
    <row r="618">
      <c r="A618" s="73"/>
      <c r="B618" s="73"/>
      <c r="C618" s="73"/>
      <c r="D618" s="73"/>
      <c r="E618" s="140"/>
      <c r="F618" s="80"/>
      <c r="G618" s="80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168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5"/>
      <c r="BG618" s="73"/>
      <c r="BH618" s="88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</row>
    <row r="619">
      <c r="A619" s="73"/>
      <c r="B619" s="73"/>
      <c r="C619" s="73"/>
      <c r="D619" s="73"/>
      <c r="E619" s="140"/>
      <c r="F619" s="80"/>
      <c r="G619" s="80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168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5"/>
      <c r="BG619" s="73"/>
      <c r="BH619" s="88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</row>
    <row r="620">
      <c r="A620" s="73"/>
      <c r="B620" s="73"/>
      <c r="C620" s="73"/>
      <c r="D620" s="73"/>
      <c r="E620" s="140"/>
      <c r="F620" s="80"/>
      <c r="G620" s="80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168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5"/>
      <c r="BG620" s="73"/>
      <c r="BH620" s="88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</row>
    <row r="621">
      <c r="A621" s="73"/>
      <c r="B621" s="73"/>
      <c r="C621" s="73"/>
      <c r="D621" s="73"/>
      <c r="E621" s="140"/>
      <c r="F621" s="80"/>
      <c r="G621" s="80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168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5"/>
      <c r="BG621" s="73"/>
      <c r="BH621" s="88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</row>
    <row r="622">
      <c r="A622" s="73"/>
      <c r="B622" s="73"/>
      <c r="C622" s="73"/>
      <c r="D622" s="73"/>
      <c r="E622" s="140"/>
      <c r="F622" s="80"/>
      <c r="G622" s="80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168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5"/>
      <c r="BG622" s="73"/>
      <c r="BH622" s="88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</row>
    <row r="623">
      <c r="A623" s="73"/>
      <c r="B623" s="73"/>
      <c r="C623" s="73"/>
      <c r="D623" s="73"/>
      <c r="E623" s="140"/>
      <c r="F623" s="80"/>
      <c r="G623" s="80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168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5"/>
      <c r="BG623" s="73"/>
      <c r="BH623" s="88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</row>
    <row r="624">
      <c r="A624" s="73"/>
      <c r="B624" s="73"/>
      <c r="C624" s="73"/>
      <c r="D624" s="73"/>
      <c r="E624" s="140"/>
      <c r="F624" s="80"/>
      <c r="G624" s="80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168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5"/>
      <c r="BG624" s="73"/>
      <c r="BH624" s="88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</row>
    <row r="625">
      <c r="A625" s="73"/>
      <c r="B625" s="73"/>
      <c r="C625" s="73"/>
      <c r="D625" s="73"/>
      <c r="E625" s="140"/>
      <c r="F625" s="80"/>
      <c r="G625" s="80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168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5"/>
      <c r="BG625" s="73"/>
      <c r="BH625" s="88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</row>
    <row r="626">
      <c r="A626" s="73"/>
      <c r="B626" s="73"/>
      <c r="C626" s="73"/>
      <c r="D626" s="73"/>
      <c r="E626" s="140"/>
      <c r="F626" s="80"/>
      <c r="G626" s="80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168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5"/>
      <c r="BG626" s="73"/>
      <c r="BH626" s="88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</row>
    <row r="627">
      <c r="A627" s="73"/>
      <c r="B627" s="73"/>
      <c r="C627" s="73"/>
      <c r="D627" s="73"/>
      <c r="E627" s="140"/>
      <c r="F627" s="80"/>
      <c r="G627" s="80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168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5"/>
      <c r="BG627" s="73"/>
      <c r="BH627" s="88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</row>
    <row r="628">
      <c r="A628" s="73"/>
      <c r="B628" s="73"/>
      <c r="C628" s="73"/>
      <c r="D628" s="73"/>
      <c r="E628" s="140"/>
      <c r="F628" s="80"/>
      <c r="G628" s="80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168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5"/>
      <c r="BG628" s="73"/>
      <c r="BH628" s="88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</row>
    <row r="629">
      <c r="A629" s="73"/>
      <c r="B629" s="73"/>
      <c r="C629" s="73"/>
      <c r="D629" s="73"/>
      <c r="E629" s="140"/>
      <c r="F629" s="80"/>
      <c r="G629" s="80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168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5"/>
      <c r="BG629" s="73"/>
      <c r="BH629" s="88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</row>
    <row r="630">
      <c r="A630" s="73"/>
      <c r="B630" s="73"/>
      <c r="C630" s="73"/>
      <c r="D630" s="73"/>
      <c r="E630" s="140"/>
      <c r="F630" s="80"/>
      <c r="G630" s="80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168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5"/>
      <c r="BG630" s="73"/>
      <c r="BH630" s="88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</row>
    <row r="631">
      <c r="A631" s="73"/>
      <c r="B631" s="73"/>
      <c r="C631" s="73"/>
      <c r="D631" s="73"/>
      <c r="E631" s="140"/>
      <c r="F631" s="80"/>
      <c r="G631" s="80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168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5"/>
      <c r="BG631" s="73"/>
      <c r="BH631" s="88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</row>
    <row r="632">
      <c r="A632" s="73"/>
      <c r="B632" s="73"/>
      <c r="C632" s="73"/>
      <c r="D632" s="73"/>
      <c r="E632" s="140"/>
      <c r="F632" s="80"/>
      <c r="G632" s="80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168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5"/>
      <c r="BG632" s="73"/>
      <c r="BH632" s="88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</row>
    <row r="633">
      <c r="A633" s="73"/>
      <c r="B633" s="73"/>
      <c r="C633" s="73"/>
      <c r="D633" s="73"/>
      <c r="E633" s="140"/>
      <c r="F633" s="80"/>
      <c r="G633" s="80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168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5"/>
      <c r="BG633" s="73"/>
      <c r="BH633" s="88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</row>
    <row r="634">
      <c r="A634" s="73"/>
      <c r="B634" s="73"/>
      <c r="C634" s="73"/>
      <c r="D634" s="73"/>
      <c r="E634" s="140"/>
      <c r="F634" s="80"/>
      <c r="G634" s="80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168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5"/>
      <c r="BG634" s="73"/>
      <c r="BH634" s="88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</row>
    <row r="635">
      <c r="A635" s="73"/>
      <c r="B635" s="73"/>
      <c r="C635" s="73"/>
      <c r="D635" s="73"/>
      <c r="E635" s="140"/>
      <c r="F635" s="80"/>
      <c r="G635" s="80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168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5"/>
      <c r="BG635" s="73"/>
      <c r="BH635" s="88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</row>
    <row r="636">
      <c r="A636" s="73"/>
      <c r="B636" s="73"/>
      <c r="C636" s="73"/>
      <c r="D636" s="73"/>
      <c r="E636" s="140"/>
      <c r="F636" s="80"/>
      <c r="G636" s="80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168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5"/>
      <c r="BG636" s="73"/>
      <c r="BH636" s="88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</row>
    <row r="637">
      <c r="A637" s="73"/>
      <c r="B637" s="73"/>
      <c r="C637" s="73"/>
      <c r="D637" s="73"/>
      <c r="E637" s="140"/>
      <c r="F637" s="80"/>
      <c r="G637" s="80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168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5"/>
      <c r="BG637" s="73"/>
      <c r="BH637" s="88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</row>
    <row r="638">
      <c r="A638" s="73"/>
      <c r="B638" s="73"/>
      <c r="C638" s="73"/>
      <c r="D638" s="73"/>
      <c r="E638" s="140"/>
      <c r="F638" s="80"/>
      <c r="G638" s="80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168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5"/>
      <c r="BG638" s="73"/>
      <c r="BH638" s="88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</row>
    <row r="639">
      <c r="A639" s="73"/>
      <c r="B639" s="73"/>
      <c r="C639" s="73"/>
      <c r="D639" s="73"/>
      <c r="E639" s="140"/>
      <c r="F639" s="80"/>
      <c r="G639" s="80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168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5"/>
      <c r="BG639" s="73"/>
      <c r="BH639" s="88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</row>
    <row r="640">
      <c r="A640" s="73"/>
      <c r="B640" s="73"/>
      <c r="C640" s="73"/>
      <c r="D640" s="73"/>
      <c r="E640" s="140"/>
      <c r="F640" s="80"/>
      <c r="G640" s="80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168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5"/>
      <c r="BG640" s="73"/>
      <c r="BH640" s="88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</row>
    <row r="641">
      <c r="A641" s="73"/>
      <c r="B641" s="73"/>
      <c r="C641" s="73"/>
      <c r="D641" s="73"/>
      <c r="E641" s="140"/>
      <c r="F641" s="80"/>
      <c r="G641" s="80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168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5"/>
      <c r="BG641" s="73"/>
      <c r="BH641" s="88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</row>
    <row r="642">
      <c r="A642" s="73"/>
      <c r="B642" s="73"/>
      <c r="C642" s="73"/>
      <c r="D642" s="73"/>
      <c r="E642" s="140"/>
      <c r="F642" s="80"/>
      <c r="G642" s="80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168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5"/>
      <c r="BG642" s="73"/>
      <c r="BH642" s="88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</row>
    <row r="643">
      <c r="A643" s="73"/>
      <c r="B643" s="73"/>
      <c r="C643" s="73"/>
      <c r="D643" s="73"/>
      <c r="E643" s="140"/>
      <c r="F643" s="80"/>
      <c r="G643" s="80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168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5"/>
      <c r="BG643" s="73"/>
      <c r="BH643" s="88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</row>
    <row r="644">
      <c r="A644" s="73"/>
      <c r="B644" s="73"/>
      <c r="C644" s="73"/>
      <c r="D644" s="73"/>
      <c r="E644" s="140"/>
      <c r="F644" s="80"/>
      <c r="G644" s="80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168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5"/>
      <c r="BG644" s="73"/>
      <c r="BH644" s="88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</row>
    <row r="645">
      <c r="A645" s="73"/>
      <c r="B645" s="73"/>
      <c r="C645" s="73"/>
      <c r="D645" s="73"/>
      <c r="E645" s="140"/>
      <c r="F645" s="80"/>
      <c r="G645" s="80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168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5"/>
      <c r="BG645" s="73"/>
      <c r="BH645" s="88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</row>
    <row r="646">
      <c r="A646" s="73"/>
      <c r="B646" s="73"/>
      <c r="C646" s="73"/>
      <c r="D646" s="73"/>
      <c r="E646" s="140"/>
      <c r="F646" s="80"/>
      <c r="G646" s="80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168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5"/>
      <c r="BG646" s="73"/>
      <c r="BH646" s="88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</row>
    <row r="647">
      <c r="A647" s="73"/>
      <c r="B647" s="73"/>
      <c r="C647" s="73"/>
      <c r="D647" s="73"/>
      <c r="E647" s="140"/>
      <c r="F647" s="80"/>
      <c r="G647" s="80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168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5"/>
      <c r="BG647" s="73"/>
      <c r="BH647" s="88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</row>
    <row r="648">
      <c r="A648" s="73"/>
      <c r="B648" s="73"/>
      <c r="C648" s="73"/>
      <c r="D648" s="73"/>
      <c r="E648" s="140"/>
      <c r="F648" s="80"/>
      <c r="G648" s="80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168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5"/>
      <c r="BG648" s="73"/>
      <c r="BH648" s="88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</row>
    <row r="649">
      <c r="A649" s="73"/>
      <c r="B649" s="73"/>
      <c r="C649" s="73"/>
      <c r="D649" s="73"/>
      <c r="E649" s="140"/>
      <c r="F649" s="80"/>
      <c r="G649" s="80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168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5"/>
      <c r="BG649" s="73"/>
      <c r="BH649" s="88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</row>
    <row r="650">
      <c r="A650" s="73"/>
      <c r="B650" s="73"/>
      <c r="C650" s="73"/>
      <c r="D650" s="73"/>
      <c r="E650" s="140"/>
      <c r="F650" s="80"/>
      <c r="G650" s="80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168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5"/>
      <c r="BG650" s="73"/>
      <c r="BH650" s="88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</row>
    <row r="651">
      <c r="A651" s="73"/>
      <c r="B651" s="73"/>
      <c r="C651" s="73"/>
      <c r="D651" s="73"/>
      <c r="E651" s="140"/>
      <c r="F651" s="80"/>
      <c r="G651" s="80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168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5"/>
      <c r="BG651" s="73"/>
      <c r="BH651" s="88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</row>
    <row r="652">
      <c r="A652" s="73"/>
      <c r="B652" s="73"/>
      <c r="C652" s="73"/>
      <c r="D652" s="73"/>
      <c r="E652" s="140"/>
      <c r="F652" s="80"/>
      <c r="G652" s="80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168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5"/>
      <c r="BG652" s="73"/>
      <c r="BH652" s="88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</row>
    <row r="653">
      <c r="A653" s="73"/>
      <c r="B653" s="73"/>
      <c r="C653" s="73"/>
      <c r="D653" s="73"/>
      <c r="E653" s="140"/>
      <c r="F653" s="80"/>
      <c r="G653" s="80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168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5"/>
      <c r="BG653" s="73"/>
      <c r="BH653" s="88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</row>
    <row r="654">
      <c r="A654" s="73"/>
      <c r="B654" s="73"/>
      <c r="C654" s="73"/>
      <c r="D654" s="73"/>
      <c r="E654" s="140"/>
      <c r="F654" s="80"/>
      <c r="G654" s="80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168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5"/>
      <c r="BG654" s="73"/>
      <c r="BH654" s="88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</row>
    <row r="655">
      <c r="A655" s="73"/>
      <c r="B655" s="73"/>
      <c r="C655" s="73"/>
      <c r="D655" s="73"/>
      <c r="E655" s="140"/>
      <c r="F655" s="80"/>
      <c r="G655" s="80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168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5"/>
      <c r="BG655" s="73"/>
      <c r="BH655" s="88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</row>
    <row r="656">
      <c r="A656" s="73"/>
      <c r="B656" s="73"/>
      <c r="C656" s="73"/>
      <c r="D656" s="73"/>
      <c r="E656" s="140"/>
      <c r="F656" s="80"/>
      <c r="G656" s="80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168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5"/>
      <c r="BG656" s="73"/>
      <c r="BH656" s="88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</row>
    <row r="657">
      <c r="A657" s="73"/>
      <c r="B657" s="73"/>
      <c r="C657" s="73"/>
      <c r="D657" s="73"/>
      <c r="E657" s="140"/>
      <c r="F657" s="80"/>
      <c r="G657" s="80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168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5"/>
      <c r="BG657" s="73"/>
      <c r="BH657" s="88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</row>
    <row r="658">
      <c r="A658" s="73"/>
      <c r="B658" s="73"/>
      <c r="C658" s="73"/>
      <c r="D658" s="73"/>
      <c r="E658" s="140"/>
      <c r="F658" s="80"/>
      <c r="G658" s="80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168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5"/>
      <c r="BG658" s="73"/>
      <c r="BH658" s="88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</row>
    <row r="659">
      <c r="A659" s="73"/>
      <c r="B659" s="73"/>
      <c r="C659" s="73"/>
      <c r="D659" s="73"/>
      <c r="E659" s="140"/>
      <c r="F659" s="80"/>
      <c r="G659" s="80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168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5"/>
      <c r="BG659" s="73"/>
      <c r="BH659" s="88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</row>
    <row r="660">
      <c r="A660" s="73"/>
      <c r="B660" s="73"/>
      <c r="C660" s="73"/>
      <c r="D660" s="73"/>
      <c r="E660" s="140"/>
      <c r="F660" s="80"/>
      <c r="G660" s="80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168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5"/>
      <c r="BG660" s="73"/>
      <c r="BH660" s="88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</row>
    <row r="661">
      <c r="A661" s="73"/>
      <c r="B661" s="73"/>
      <c r="C661" s="73"/>
      <c r="D661" s="73"/>
      <c r="E661" s="140"/>
      <c r="F661" s="80"/>
      <c r="G661" s="80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168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5"/>
      <c r="BG661" s="73"/>
      <c r="BH661" s="88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</row>
    <row r="662">
      <c r="A662" s="73"/>
      <c r="B662" s="73"/>
      <c r="C662" s="73"/>
      <c r="D662" s="73"/>
      <c r="E662" s="140"/>
      <c r="F662" s="80"/>
      <c r="G662" s="80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168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5"/>
      <c r="BG662" s="73"/>
      <c r="BH662" s="88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</row>
    <row r="663">
      <c r="A663" s="73"/>
      <c r="B663" s="73"/>
      <c r="C663" s="73"/>
      <c r="D663" s="73"/>
      <c r="E663" s="140"/>
      <c r="F663" s="80"/>
      <c r="G663" s="80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168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5"/>
      <c r="BG663" s="73"/>
      <c r="BH663" s="88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</row>
    <row r="664">
      <c r="A664" s="73"/>
      <c r="B664" s="73"/>
      <c r="C664" s="73"/>
      <c r="D664" s="73"/>
      <c r="E664" s="140"/>
      <c r="F664" s="80"/>
      <c r="G664" s="80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168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5"/>
      <c r="BG664" s="73"/>
      <c r="BH664" s="88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</row>
    <row r="665">
      <c r="A665" s="73"/>
      <c r="B665" s="73"/>
      <c r="C665" s="73"/>
      <c r="D665" s="73"/>
      <c r="E665" s="140"/>
      <c r="F665" s="80"/>
      <c r="G665" s="80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168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5"/>
      <c r="BG665" s="73"/>
      <c r="BH665" s="88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</row>
    <row r="666">
      <c r="A666" s="73"/>
      <c r="B666" s="73"/>
      <c r="C666" s="73"/>
      <c r="D666" s="73"/>
      <c r="E666" s="140"/>
      <c r="F666" s="80"/>
      <c r="G666" s="80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168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5"/>
      <c r="BG666" s="73"/>
      <c r="BH666" s="88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</row>
    <row r="667">
      <c r="A667" s="73"/>
      <c r="B667" s="73"/>
      <c r="C667" s="73"/>
      <c r="D667" s="73"/>
      <c r="E667" s="140"/>
      <c r="F667" s="80"/>
      <c r="G667" s="80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168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5"/>
      <c r="BG667" s="73"/>
      <c r="BH667" s="88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</row>
    <row r="668">
      <c r="A668" s="73"/>
      <c r="B668" s="73"/>
      <c r="C668" s="73"/>
      <c r="D668" s="73"/>
      <c r="E668" s="140"/>
      <c r="F668" s="80"/>
      <c r="G668" s="80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168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5"/>
      <c r="BG668" s="73"/>
      <c r="BH668" s="88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</row>
    <row r="669">
      <c r="A669" s="73"/>
      <c r="B669" s="73"/>
      <c r="C669" s="73"/>
      <c r="D669" s="73"/>
      <c r="E669" s="140"/>
      <c r="F669" s="80"/>
      <c r="G669" s="80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168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5"/>
      <c r="BG669" s="73"/>
      <c r="BH669" s="88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</row>
    <row r="670">
      <c r="A670" s="73"/>
      <c r="B670" s="73"/>
      <c r="C670" s="73"/>
      <c r="D670" s="73"/>
      <c r="E670" s="140"/>
      <c r="F670" s="80"/>
      <c r="G670" s="80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168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5"/>
      <c r="BG670" s="73"/>
      <c r="BH670" s="88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</row>
    <row r="671">
      <c r="A671" s="73"/>
      <c r="B671" s="73"/>
      <c r="C671" s="73"/>
      <c r="D671" s="73"/>
      <c r="E671" s="140"/>
      <c r="F671" s="80"/>
      <c r="G671" s="80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168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5"/>
      <c r="BG671" s="73"/>
      <c r="BH671" s="88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</row>
    <row r="672">
      <c r="A672" s="73"/>
      <c r="B672" s="73"/>
      <c r="C672" s="73"/>
      <c r="D672" s="73"/>
      <c r="E672" s="140"/>
      <c r="F672" s="80"/>
      <c r="G672" s="80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168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5"/>
      <c r="BG672" s="73"/>
      <c r="BH672" s="88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</row>
    <row r="673">
      <c r="A673" s="73"/>
      <c r="B673" s="73"/>
      <c r="C673" s="73"/>
      <c r="D673" s="73"/>
      <c r="E673" s="140"/>
      <c r="F673" s="80"/>
      <c r="G673" s="80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168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5"/>
      <c r="BG673" s="73"/>
      <c r="BH673" s="88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</row>
    <row r="674">
      <c r="A674" s="73"/>
      <c r="B674" s="73"/>
      <c r="C674" s="73"/>
      <c r="D674" s="73"/>
      <c r="E674" s="140"/>
      <c r="F674" s="80"/>
      <c r="G674" s="80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168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5"/>
      <c r="BG674" s="73"/>
      <c r="BH674" s="88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</row>
    <row r="675">
      <c r="A675" s="73"/>
      <c r="B675" s="73"/>
      <c r="C675" s="73"/>
      <c r="D675" s="73"/>
      <c r="E675" s="140"/>
      <c r="F675" s="80"/>
      <c r="G675" s="80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168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5"/>
      <c r="BG675" s="73"/>
      <c r="BH675" s="88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</row>
    <row r="676">
      <c r="A676" s="73"/>
      <c r="B676" s="73"/>
      <c r="C676" s="73"/>
      <c r="D676" s="73"/>
      <c r="E676" s="140"/>
      <c r="F676" s="80"/>
      <c r="G676" s="80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168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5"/>
      <c r="BG676" s="73"/>
      <c r="BH676" s="88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</row>
    <row r="677">
      <c r="A677" s="73"/>
      <c r="B677" s="73"/>
      <c r="C677" s="73"/>
      <c r="D677" s="73"/>
      <c r="E677" s="140"/>
      <c r="F677" s="80"/>
      <c r="G677" s="80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168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5"/>
      <c r="BG677" s="73"/>
      <c r="BH677" s="88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</row>
    <row r="678">
      <c r="A678" s="73"/>
      <c r="B678" s="73"/>
      <c r="C678" s="73"/>
      <c r="D678" s="73"/>
      <c r="E678" s="140"/>
      <c r="F678" s="80"/>
      <c r="G678" s="80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168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5"/>
      <c r="BG678" s="73"/>
      <c r="BH678" s="88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</row>
    <row r="679">
      <c r="A679" s="73"/>
      <c r="B679" s="73"/>
      <c r="C679" s="73"/>
      <c r="D679" s="73"/>
      <c r="E679" s="140"/>
      <c r="F679" s="80"/>
      <c r="G679" s="80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168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5"/>
      <c r="BG679" s="73"/>
      <c r="BH679" s="88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</row>
    <row r="680">
      <c r="A680" s="73"/>
      <c r="B680" s="73"/>
      <c r="C680" s="73"/>
      <c r="D680" s="73"/>
      <c r="E680" s="140"/>
      <c r="F680" s="80"/>
      <c r="G680" s="80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168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5"/>
      <c r="BG680" s="73"/>
      <c r="BH680" s="88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</row>
    <row r="681">
      <c r="A681" s="73"/>
      <c r="B681" s="73"/>
      <c r="C681" s="73"/>
      <c r="D681" s="73"/>
      <c r="E681" s="140"/>
      <c r="F681" s="80"/>
      <c r="G681" s="80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168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5"/>
      <c r="BG681" s="73"/>
      <c r="BH681" s="88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</row>
    <row r="682">
      <c r="A682" s="73"/>
      <c r="B682" s="73"/>
      <c r="C682" s="73"/>
      <c r="D682" s="73"/>
      <c r="E682" s="140"/>
      <c r="F682" s="80"/>
      <c r="G682" s="80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168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5"/>
      <c r="BG682" s="73"/>
      <c r="BH682" s="88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</row>
    <row r="683">
      <c r="A683" s="73"/>
      <c r="B683" s="73"/>
      <c r="C683" s="73"/>
      <c r="D683" s="73"/>
      <c r="E683" s="140"/>
      <c r="F683" s="80"/>
      <c r="G683" s="80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168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5"/>
      <c r="BG683" s="73"/>
      <c r="BH683" s="88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</row>
    <row r="684">
      <c r="A684" s="73"/>
      <c r="B684" s="73"/>
      <c r="C684" s="73"/>
      <c r="D684" s="73"/>
      <c r="E684" s="140"/>
      <c r="F684" s="80"/>
      <c r="G684" s="80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168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5"/>
      <c r="BG684" s="73"/>
      <c r="BH684" s="88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</row>
    <row r="685">
      <c r="A685" s="73"/>
      <c r="B685" s="73"/>
      <c r="C685" s="73"/>
      <c r="D685" s="73"/>
      <c r="E685" s="140"/>
      <c r="F685" s="80"/>
      <c r="G685" s="80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168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5"/>
      <c r="BG685" s="73"/>
      <c r="BH685" s="88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</row>
    <row r="686">
      <c r="A686" s="73"/>
      <c r="B686" s="73"/>
      <c r="C686" s="73"/>
      <c r="D686" s="73"/>
      <c r="E686" s="140"/>
      <c r="F686" s="80"/>
      <c r="G686" s="80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168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5"/>
      <c r="BG686" s="73"/>
      <c r="BH686" s="88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</row>
    <row r="687">
      <c r="A687" s="73"/>
      <c r="B687" s="73"/>
      <c r="C687" s="73"/>
      <c r="D687" s="73"/>
      <c r="E687" s="140"/>
      <c r="F687" s="80"/>
      <c r="G687" s="80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168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5"/>
      <c r="BG687" s="73"/>
      <c r="BH687" s="88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</row>
    <row r="688">
      <c r="A688" s="73"/>
      <c r="B688" s="73"/>
      <c r="C688" s="73"/>
      <c r="D688" s="73"/>
      <c r="E688" s="140"/>
      <c r="F688" s="80"/>
      <c r="G688" s="80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168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5"/>
      <c r="BG688" s="73"/>
      <c r="BH688" s="88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</row>
    <row r="689">
      <c r="A689" s="73"/>
      <c r="B689" s="73"/>
      <c r="C689" s="73"/>
      <c r="D689" s="73"/>
      <c r="E689" s="140"/>
      <c r="F689" s="80"/>
      <c r="G689" s="80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168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5"/>
      <c r="BG689" s="73"/>
      <c r="BH689" s="88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</row>
    <row r="690">
      <c r="A690" s="73"/>
      <c r="B690" s="73"/>
      <c r="C690" s="73"/>
      <c r="D690" s="73"/>
      <c r="E690" s="140"/>
      <c r="F690" s="80"/>
      <c r="G690" s="80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168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5"/>
      <c r="BG690" s="73"/>
      <c r="BH690" s="88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</row>
    <row r="691">
      <c r="A691" s="73"/>
      <c r="B691" s="73"/>
      <c r="C691" s="73"/>
      <c r="D691" s="73"/>
      <c r="E691" s="140"/>
      <c r="F691" s="80"/>
      <c r="G691" s="80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168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5"/>
      <c r="BG691" s="73"/>
      <c r="BH691" s="88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</row>
    <row r="692">
      <c r="A692" s="73"/>
      <c r="B692" s="73"/>
      <c r="C692" s="73"/>
      <c r="D692" s="73"/>
      <c r="E692" s="140"/>
      <c r="F692" s="80"/>
      <c r="G692" s="80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168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5"/>
      <c r="BG692" s="73"/>
      <c r="BH692" s="88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</row>
    <row r="693">
      <c r="A693" s="73"/>
      <c r="B693" s="73"/>
      <c r="C693" s="73"/>
      <c r="D693" s="73"/>
      <c r="E693" s="140"/>
      <c r="F693" s="80"/>
      <c r="G693" s="80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168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5"/>
      <c r="BG693" s="73"/>
      <c r="BH693" s="88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</row>
    <row r="694">
      <c r="A694" s="73"/>
      <c r="B694" s="73"/>
      <c r="C694" s="73"/>
      <c r="D694" s="73"/>
      <c r="E694" s="140"/>
      <c r="F694" s="80"/>
      <c r="G694" s="80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168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5"/>
      <c r="BG694" s="73"/>
      <c r="BH694" s="88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</row>
    <row r="695">
      <c r="A695" s="73"/>
      <c r="B695" s="73"/>
      <c r="C695" s="73"/>
      <c r="D695" s="73"/>
      <c r="E695" s="140"/>
      <c r="F695" s="80"/>
      <c r="G695" s="80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168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5"/>
      <c r="BG695" s="73"/>
      <c r="BH695" s="88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</row>
    <row r="696">
      <c r="A696" s="73"/>
      <c r="B696" s="73"/>
      <c r="C696" s="73"/>
      <c r="D696" s="73"/>
      <c r="E696" s="140"/>
      <c r="F696" s="80"/>
      <c r="G696" s="80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168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5"/>
      <c r="BG696" s="73"/>
      <c r="BH696" s="88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</row>
    <row r="697">
      <c r="A697" s="73"/>
      <c r="B697" s="73"/>
      <c r="C697" s="73"/>
      <c r="D697" s="73"/>
      <c r="E697" s="140"/>
      <c r="F697" s="80"/>
      <c r="G697" s="80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168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5"/>
      <c r="BG697" s="73"/>
      <c r="BH697" s="88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</row>
    <row r="698">
      <c r="A698" s="73"/>
      <c r="B698" s="73"/>
      <c r="C698" s="73"/>
      <c r="D698" s="73"/>
      <c r="E698" s="140"/>
      <c r="F698" s="80"/>
      <c r="G698" s="80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168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5"/>
      <c r="BG698" s="73"/>
      <c r="BH698" s="88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</row>
    <row r="699">
      <c r="A699" s="73"/>
      <c r="B699" s="73"/>
      <c r="C699" s="73"/>
      <c r="D699" s="73"/>
      <c r="E699" s="140"/>
      <c r="F699" s="80"/>
      <c r="G699" s="80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168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5"/>
      <c r="BG699" s="73"/>
      <c r="BH699" s="88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</row>
    <row r="700">
      <c r="A700" s="73"/>
      <c r="B700" s="73"/>
      <c r="C700" s="73"/>
      <c r="D700" s="73"/>
      <c r="E700" s="140"/>
      <c r="F700" s="80"/>
      <c r="G700" s="80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168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5"/>
      <c r="BG700" s="73"/>
      <c r="BH700" s="88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</row>
    <row r="701">
      <c r="A701" s="73"/>
      <c r="B701" s="73"/>
      <c r="C701" s="73"/>
      <c r="D701" s="73"/>
      <c r="E701" s="140"/>
      <c r="F701" s="80"/>
      <c r="G701" s="80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168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5"/>
      <c r="BG701" s="73"/>
      <c r="BH701" s="88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</row>
    <row r="702">
      <c r="A702" s="73"/>
      <c r="B702" s="73"/>
      <c r="C702" s="73"/>
      <c r="D702" s="73"/>
      <c r="E702" s="140"/>
      <c r="F702" s="80"/>
      <c r="G702" s="80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168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5"/>
      <c r="BG702" s="73"/>
      <c r="BH702" s="88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</row>
    <row r="703">
      <c r="A703" s="73"/>
      <c r="B703" s="73"/>
      <c r="C703" s="73"/>
      <c r="D703" s="73"/>
      <c r="E703" s="140"/>
      <c r="F703" s="80"/>
      <c r="G703" s="80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168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5"/>
      <c r="BG703" s="73"/>
      <c r="BH703" s="88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</row>
    <row r="704">
      <c r="A704" s="73"/>
      <c r="B704" s="73"/>
      <c r="C704" s="73"/>
      <c r="D704" s="73"/>
      <c r="E704" s="140"/>
      <c r="F704" s="80"/>
      <c r="G704" s="80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168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5"/>
      <c r="BG704" s="73"/>
      <c r="BH704" s="88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</row>
    <row r="705">
      <c r="A705" s="73"/>
      <c r="B705" s="73"/>
      <c r="C705" s="73"/>
      <c r="D705" s="73"/>
      <c r="E705" s="140"/>
      <c r="F705" s="80"/>
      <c r="G705" s="80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168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5"/>
      <c r="BG705" s="73"/>
      <c r="BH705" s="88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</row>
    <row r="706">
      <c r="A706" s="73"/>
      <c r="B706" s="73"/>
      <c r="C706" s="73"/>
      <c r="D706" s="73"/>
      <c r="E706" s="140"/>
      <c r="F706" s="80"/>
      <c r="G706" s="80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168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5"/>
      <c r="BG706" s="73"/>
      <c r="BH706" s="88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</row>
    <row r="707">
      <c r="A707" s="73"/>
      <c r="B707" s="73"/>
      <c r="C707" s="73"/>
      <c r="D707" s="73"/>
      <c r="E707" s="140"/>
      <c r="F707" s="80"/>
      <c r="G707" s="80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168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5"/>
      <c r="BG707" s="73"/>
      <c r="BH707" s="88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</row>
    <row r="708">
      <c r="A708" s="73"/>
      <c r="B708" s="73"/>
      <c r="C708" s="73"/>
      <c r="D708" s="73"/>
      <c r="E708" s="140"/>
      <c r="F708" s="80"/>
      <c r="G708" s="80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168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5"/>
      <c r="BG708" s="73"/>
      <c r="BH708" s="88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</row>
    <row r="709">
      <c r="A709" s="73"/>
      <c r="B709" s="73"/>
      <c r="C709" s="73"/>
      <c r="D709" s="73"/>
      <c r="E709" s="140"/>
      <c r="F709" s="80"/>
      <c r="G709" s="80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168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5"/>
      <c r="BG709" s="73"/>
      <c r="BH709" s="88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</row>
    <row r="710">
      <c r="A710" s="73"/>
      <c r="B710" s="73"/>
      <c r="C710" s="73"/>
      <c r="D710" s="73"/>
      <c r="E710" s="140"/>
      <c r="F710" s="80"/>
      <c r="G710" s="80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168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5"/>
      <c r="BG710" s="73"/>
      <c r="BH710" s="88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</row>
    <row r="711">
      <c r="A711" s="73"/>
      <c r="B711" s="73"/>
      <c r="C711" s="73"/>
      <c r="D711" s="73"/>
      <c r="E711" s="140"/>
      <c r="F711" s="80"/>
      <c r="G711" s="80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168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5"/>
      <c r="BG711" s="73"/>
      <c r="BH711" s="88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</row>
    <row r="712">
      <c r="A712" s="73"/>
      <c r="B712" s="73"/>
      <c r="C712" s="73"/>
      <c r="D712" s="73"/>
      <c r="E712" s="140"/>
      <c r="F712" s="80"/>
      <c r="G712" s="80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168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5"/>
      <c r="BG712" s="73"/>
      <c r="BH712" s="88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</row>
    <row r="713">
      <c r="A713" s="73"/>
      <c r="B713" s="73"/>
      <c r="C713" s="73"/>
      <c r="D713" s="73"/>
      <c r="E713" s="140"/>
      <c r="F713" s="80"/>
      <c r="G713" s="80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168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5"/>
      <c r="BG713" s="73"/>
      <c r="BH713" s="88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</row>
    <row r="714">
      <c r="A714" s="73"/>
      <c r="B714" s="73"/>
      <c r="C714" s="73"/>
      <c r="D714" s="73"/>
      <c r="E714" s="140"/>
      <c r="F714" s="80"/>
      <c r="G714" s="80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168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5"/>
      <c r="BG714" s="73"/>
      <c r="BH714" s="88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</row>
    <row r="715">
      <c r="A715" s="73"/>
      <c r="B715" s="73"/>
      <c r="C715" s="73"/>
      <c r="D715" s="73"/>
      <c r="E715" s="140"/>
      <c r="F715" s="80"/>
      <c r="G715" s="80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168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5"/>
      <c r="BG715" s="73"/>
      <c r="BH715" s="88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</row>
    <row r="716">
      <c r="A716" s="73"/>
      <c r="B716" s="73"/>
      <c r="C716" s="73"/>
      <c r="D716" s="73"/>
      <c r="E716" s="140"/>
      <c r="F716" s="80"/>
      <c r="G716" s="80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168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5"/>
      <c r="BG716" s="73"/>
      <c r="BH716" s="88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</row>
    <row r="717">
      <c r="A717" s="73"/>
      <c r="B717" s="73"/>
      <c r="C717" s="73"/>
      <c r="D717" s="73"/>
      <c r="E717" s="140"/>
      <c r="F717" s="80"/>
      <c r="G717" s="80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168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5"/>
      <c r="BG717" s="73"/>
      <c r="BH717" s="88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</row>
    <row r="718">
      <c r="A718" s="73"/>
      <c r="B718" s="73"/>
      <c r="C718" s="73"/>
      <c r="D718" s="73"/>
      <c r="E718" s="140"/>
      <c r="F718" s="80"/>
      <c r="G718" s="80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168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5"/>
      <c r="BG718" s="73"/>
      <c r="BH718" s="88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</row>
    <row r="719">
      <c r="A719" s="73"/>
      <c r="B719" s="73"/>
      <c r="C719" s="73"/>
      <c r="D719" s="73"/>
      <c r="E719" s="140"/>
      <c r="F719" s="80"/>
      <c r="G719" s="80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168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5"/>
      <c r="BG719" s="73"/>
      <c r="BH719" s="88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</row>
    <row r="720">
      <c r="A720" s="73"/>
      <c r="B720" s="73"/>
      <c r="C720" s="73"/>
      <c r="D720" s="73"/>
      <c r="E720" s="140"/>
      <c r="F720" s="80"/>
      <c r="G720" s="80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168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5"/>
      <c r="BG720" s="73"/>
      <c r="BH720" s="88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</row>
    <row r="721">
      <c r="A721" s="73"/>
      <c r="B721" s="73"/>
      <c r="C721" s="73"/>
      <c r="D721" s="73"/>
      <c r="E721" s="140"/>
      <c r="F721" s="80"/>
      <c r="G721" s="80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168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5"/>
      <c r="BG721" s="73"/>
      <c r="BH721" s="88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</row>
    <row r="722">
      <c r="A722" s="73"/>
      <c r="B722" s="73"/>
      <c r="C722" s="73"/>
      <c r="D722" s="73"/>
      <c r="E722" s="140"/>
      <c r="F722" s="80"/>
      <c r="G722" s="80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168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5"/>
      <c r="BG722" s="73"/>
      <c r="BH722" s="88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</row>
    <row r="723">
      <c r="A723" s="73"/>
      <c r="B723" s="73"/>
      <c r="C723" s="73"/>
      <c r="D723" s="73"/>
      <c r="E723" s="140"/>
      <c r="F723" s="80"/>
      <c r="G723" s="80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168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5"/>
      <c r="BG723" s="73"/>
      <c r="BH723" s="88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</row>
    <row r="724">
      <c r="A724" s="73"/>
      <c r="B724" s="73"/>
      <c r="C724" s="73"/>
      <c r="D724" s="73"/>
      <c r="E724" s="140"/>
      <c r="F724" s="80"/>
      <c r="G724" s="80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168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5"/>
      <c r="BG724" s="73"/>
      <c r="BH724" s="88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</row>
    <row r="725">
      <c r="A725" s="73"/>
      <c r="B725" s="73"/>
      <c r="C725" s="73"/>
      <c r="D725" s="73"/>
      <c r="E725" s="140"/>
      <c r="F725" s="80"/>
      <c r="G725" s="80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168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5"/>
      <c r="BG725" s="73"/>
      <c r="BH725" s="88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</row>
    <row r="726">
      <c r="A726" s="73"/>
      <c r="B726" s="73"/>
      <c r="C726" s="73"/>
      <c r="D726" s="73"/>
      <c r="E726" s="140"/>
      <c r="F726" s="80"/>
      <c r="G726" s="80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168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5"/>
      <c r="BG726" s="73"/>
      <c r="BH726" s="88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</row>
    <row r="727">
      <c r="A727" s="73"/>
      <c r="B727" s="73"/>
      <c r="C727" s="73"/>
      <c r="D727" s="73"/>
      <c r="E727" s="140"/>
      <c r="F727" s="80"/>
      <c r="G727" s="80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168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5"/>
      <c r="BG727" s="73"/>
      <c r="BH727" s="88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</row>
    <row r="728">
      <c r="A728" s="73"/>
      <c r="B728" s="73"/>
      <c r="C728" s="73"/>
      <c r="D728" s="73"/>
      <c r="E728" s="140"/>
      <c r="F728" s="80"/>
      <c r="G728" s="80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168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5"/>
      <c r="BG728" s="73"/>
      <c r="BH728" s="88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</row>
    <row r="729">
      <c r="A729" s="73"/>
      <c r="B729" s="73"/>
      <c r="C729" s="73"/>
      <c r="D729" s="73"/>
      <c r="E729" s="140"/>
      <c r="F729" s="80"/>
      <c r="G729" s="80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168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5"/>
      <c r="BG729" s="73"/>
      <c r="BH729" s="88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</row>
    <row r="730">
      <c r="A730" s="73"/>
      <c r="B730" s="73"/>
      <c r="C730" s="73"/>
      <c r="D730" s="73"/>
      <c r="E730" s="140"/>
      <c r="F730" s="80"/>
      <c r="G730" s="80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168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5"/>
      <c r="BG730" s="73"/>
      <c r="BH730" s="88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</row>
    <row r="731">
      <c r="A731" s="73"/>
      <c r="B731" s="73"/>
      <c r="C731" s="73"/>
      <c r="D731" s="73"/>
      <c r="E731" s="140"/>
      <c r="F731" s="80"/>
      <c r="G731" s="80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168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5"/>
      <c r="BG731" s="73"/>
      <c r="BH731" s="88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</row>
    <row r="732">
      <c r="A732" s="73"/>
      <c r="B732" s="73"/>
      <c r="C732" s="73"/>
      <c r="D732" s="73"/>
      <c r="E732" s="140"/>
      <c r="F732" s="80"/>
      <c r="G732" s="80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168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5"/>
      <c r="BG732" s="73"/>
      <c r="BH732" s="88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</row>
    <row r="733">
      <c r="A733" s="73"/>
      <c r="B733" s="73"/>
      <c r="C733" s="73"/>
      <c r="D733" s="73"/>
      <c r="E733" s="140"/>
      <c r="F733" s="80"/>
      <c r="G733" s="80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168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5"/>
      <c r="BG733" s="73"/>
      <c r="BH733" s="88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</row>
    <row r="734">
      <c r="A734" s="73"/>
      <c r="B734" s="73"/>
      <c r="C734" s="73"/>
      <c r="D734" s="73"/>
      <c r="E734" s="140"/>
      <c r="F734" s="80"/>
      <c r="G734" s="80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168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5"/>
      <c r="BG734" s="73"/>
      <c r="BH734" s="88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</row>
    <row r="735">
      <c r="A735" s="73"/>
      <c r="B735" s="73"/>
      <c r="C735" s="73"/>
      <c r="D735" s="73"/>
      <c r="E735" s="140"/>
      <c r="F735" s="80"/>
      <c r="G735" s="80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168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5"/>
      <c r="BG735" s="73"/>
      <c r="BH735" s="88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</row>
    <row r="736">
      <c r="A736" s="73"/>
      <c r="B736" s="73"/>
      <c r="C736" s="73"/>
      <c r="D736" s="73"/>
      <c r="E736" s="140"/>
      <c r="F736" s="80"/>
      <c r="G736" s="80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168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5"/>
      <c r="BG736" s="73"/>
      <c r="BH736" s="88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</row>
    <row r="737">
      <c r="A737" s="73"/>
      <c r="B737" s="73"/>
      <c r="C737" s="73"/>
      <c r="D737" s="73"/>
      <c r="E737" s="140"/>
      <c r="F737" s="80"/>
      <c r="G737" s="80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168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5"/>
      <c r="BG737" s="73"/>
      <c r="BH737" s="88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</row>
    <row r="738">
      <c r="A738" s="73"/>
      <c r="B738" s="73"/>
      <c r="C738" s="73"/>
      <c r="D738" s="73"/>
      <c r="E738" s="140"/>
      <c r="F738" s="80"/>
      <c r="G738" s="80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168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5"/>
      <c r="BG738" s="73"/>
      <c r="BH738" s="88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</row>
    <row r="739">
      <c r="A739" s="73"/>
      <c r="B739" s="73"/>
      <c r="C739" s="73"/>
      <c r="D739" s="73"/>
      <c r="E739" s="140"/>
      <c r="F739" s="80"/>
      <c r="G739" s="80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168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5"/>
      <c r="BG739" s="73"/>
      <c r="BH739" s="88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</row>
    <row r="740">
      <c r="A740" s="73"/>
      <c r="B740" s="73"/>
      <c r="C740" s="73"/>
      <c r="D740" s="73"/>
      <c r="E740" s="140"/>
      <c r="F740" s="80"/>
      <c r="G740" s="80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168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5"/>
      <c r="BG740" s="73"/>
      <c r="BH740" s="88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</row>
    <row r="741">
      <c r="A741" s="73"/>
      <c r="B741" s="73"/>
      <c r="C741" s="73"/>
      <c r="D741" s="73"/>
      <c r="E741" s="140"/>
      <c r="F741" s="80"/>
      <c r="G741" s="80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168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5"/>
      <c r="BG741" s="73"/>
      <c r="BH741" s="88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</row>
    <row r="742">
      <c r="A742" s="73"/>
      <c r="B742" s="73"/>
      <c r="C742" s="73"/>
      <c r="D742" s="73"/>
      <c r="E742" s="140"/>
      <c r="F742" s="80"/>
      <c r="G742" s="80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168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5"/>
      <c r="BG742" s="73"/>
      <c r="BH742" s="88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</row>
    <row r="743">
      <c r="A743" s="73"/>
      <c r="B743" s="73"/>
      <c r="C743" s="73"/>
      <c r="D743" s="73"/>
      <c r="E743" s="140"/>
      <c r="F743" s="80"/>
      <c r="G743" s="80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168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5"/>
      <c r="BG743" s="73"/>
      <c r="BH743" s="88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</row>
    <row r="744">
      <c r="A744" s="73"/>
      <c r="B744" s="73"/>
      <c r="C744" s="73"/>
      <c r="D744" s="73"/>
      <c r="E744" s="140"/>
      <c r="F744" s="80"/>
      <c r="G744" s="80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168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5"/>
      <c r="BG744" s="73"/>
      <c r="BH744" s="88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</row>
    <row r="745">
      <c r="A745" s="73"/>
      <c r="B745" s="73"/>
      <c r="C745" s="73"/>
      <c r="D745" s="73"/>
      <c r="E745" s="140"/>
      <c r="F745" s="80"/>
      <c r="G745" s="80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168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5"/>
      <c r="BG745" s="73"/>
      <c r="BH745" s="88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</row>
    <row r="746">
      <c r="A746" s="73"/>
      <c r="B746" s="73"/>
      <c r="C746" s="73"/>
      <c r="D746" s="73"/>
      <c r="E746" s="140"/>
      <c r="F746" s="80"/>
      <c r="G746" s="80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168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5"/>
      <c r="BG746" s="73"/>
      <c r="BH746" s="88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</row>
    <row r="747">
      <c r="A747" s="73"/>
      <c r="B747" s="73"/>
      <c r="C747" s="73"/>
      <c r="D747" s="73"/>
      <c r="E747" s="140"/>
      <c r="F747" s="80"/>
      <c r="G747" s="80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168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5"/>
      <c r="BG747" s="73"/>
      <c r="BH747" s="88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</row>
    <row r="748">
      <c r="A748" s="73"/>
      <c r="B748" s="73"/>
      <c r="C748" s="73"/>
      <c r="D748" s="73"/>
      <c r="E748" s="140"/>
      <c r="F748" s="80"/>
      <c r="G748" s="80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168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5"/>
      <c r="BG748" s="73"/>
      <c r="BH748" s="88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</row>
    <row r="749">
      <c r="A749" s="73"/>
      <c r="B749" s="73"/>
      <c r="C749" s="73"/>
      <c r="D749" s="73"/>
      <c r="E749" s="140"/>
      <c r="F749" s="80"/>
      <c r="G749" s="80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168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5"/>
      <c r="BG749" s="73"/>
      <c r="BH749" s="88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</row>
    <row r="750">
      <c r="A750" s="73"/>
      <c r="B750" s="73"/>
      <c r="C750" s="73"/>
      <c r="D750" s="73"/>
      <c r="E750" s="140"/>
      <c r="F750" s="80"/>
      <c r="G750" s="80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168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5"/>
      <c r="BG750" s="73"/>
      <c r="BH750" s="88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</row>
    <row r="751">
      <c r="A751" s="73"/>
      <c r="B751" s="73"/>
      <c r="C751" s="73"/>
      <c r="D751" s="73"/>
      <c r="E751" s="140"/>
      <c r="F751" s="80"/>
      <c r="G751" s="80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168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5"/>
      <c r="BG751" s="73"/>
      <c r="BH751" s="88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</row>
    <row r="752">
      <c r="A752" s="73"/>
      <c r="B752" s="73"/>
      <c r="C752" s="73"/>
      <c r="D752" s="73"/>
      <c r="E752" s="140"/>
      <c r="F752" s="80"/>
      <c r="G752" s="80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168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5"/>
      <c r="BG752" s="73"/>
      <c r="BH752" s="88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</row>
    <row r="753">
      <c r="A753" s="73"/>
      <c r="B753" s="73"/>
      <c r="C753" s="73"/>
      <c r="D753" s="73"/>
      <c r="E753" s="140"/>
      <c r="F753" s="80"/>
      <c r="G753" s="80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168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5"/>
      <c r="BG753" s="73"/>
      <c r="BH753" s="88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</row>
    <row r="754">
      <c r="A754" s="73"/>
      <c r="B754" s="73"/>
      <c r="C754" s="73"/>
      <c r="D754" s="73"/>
      <c r="E754" s="140"/>
      <c r="F754" s="80"/>
      <c r="G754" s="80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168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5"/>
      <c r="BG754" s="73"/>
      <c r="BH754" s="88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</row>
    <row r="755">
      <c r="A755" s="73"/>
      <c r="B755" s="73"/>
      <c r="C755" s="73"/>
      <c r="D755" s="73"/>
      <c r="E755" s="140"/>
      <c r="F755" s="80"/>
      <c r="G755" s="80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168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5"/>
      <c r="BG755" s="73"/>
      <c r="BH755" s="88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</row>
    <row r="756">
      <c r="A756" s="73"/>
      <c r="B756" s="73"/>
      <c r="C756" s="73"/>
      <c r="D756" s="73"/>
      <c r="E756" s="140"/>
      <c r="F756" s="80"/>
      <c r="G756" s="80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168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5"/>
      <c r="BG756" s="73"/>
      <c r="BH756" s="88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</row>
    <row r="757">
      <c r="A757" s="73"/>
      <c r="B757" s="73"/>
      <c r="C757" s="73"/>
      <c r="D757" s="73"/>
      <c r="E757" s="140"/>
      <c r="F757" s="80"/>
      <c r="G757" s="80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168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5"/>
      <c r="BG757" s="73"/>
      <c r="BH757" s="88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</row>
    <row r="758">
      <c r="A758" s="73"/>
      <c r="B758" s="73"/>
      <c r="C758" s="73"/>
      <c r="D758" s="73"/>
      <c r="E758" s="140"/>
      <c r="F758" s="80"/>
      <c r="G758" s="80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168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5"/>
      <c r="BG758" s="73"/>
      <c r="BH758" s="88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</row>
    <row r="759">
      <c r="A759" s="73"/>
      <c r="B759" s="73"/>
      <c r="C759" s="73"/>
      <c r="D759" s="73"/>
      <c r="E759" s="140"/>
      <c r="F759" s="80"/>
      <c r="G759" s="80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168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5"/>
      <c r="BG759" s="73"/>
      <c r="BH759" s="88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</row>
    <row r="760">
      <c r="A760" s="73"/>
      <c r="B760" s="73"/>
      <c r="C760" s="73"/>
      <c r="D760" s="73"/>
      <c r="E760" s="140"/>
      <c r="F760" s="80"/>
      <c r="G760" s="80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168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5"/>
      <c r="BG760" s="73"/>
      <c r="BH760" s="88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</row>
    <row r="761">
      <c r="A761" s="73"/>
      <c r="B761" s="73"/>
      <c r="C761" s="73"/>
      <c r="D761" s="73"/>
      <c r="E761" s="140"/>
      <c r="F761" s="80"/>
      <c r="G761" s="80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168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5"/>
      <c r="BG761" s="73"/>
      <c r="BH761" s="88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</row>
    <row r="762">
      <c r="A762" s="73"/>
      <c r="B762" s="73"/>
      <c r="C762" s="73"/>
      <c r="D762" s="73"/>
      <c r="E762" s="140"/>
      <c r="F762" s="80"/>
      <c r="G762" s="80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168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5"/>
      <c r="BG762" s="73"/>
      <c r="BH762" s="88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</row>
    <row r="763">
      <c r="A763" s="73"/>
      <c r="B763" s="73"/>
      <c r="C763" s="73"/>
      <c r="D763" s="73"/>
      <c r="E763" s="140"/>
      <c r="F763" s="80"/>
      <c r="G763" s="80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168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5"/>
      <c r="BG763" s="73"/>
      <c r="BH763" s="88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</row>
    <row r="764">
      <c r="A764" s="73"/>
      <c r="B764" s="73"/>
      <c r="C764" s="73"/>
      <c r="D764" s="73"/>
      <c r="E764" s="140"/>
      <c r="F764" s="80"/>
      <c r="G764" s="80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168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5"/>
      <c r="BG764" s="73"/>
      <c r="BH764" s="88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</row>
    <row r="765">
      <c r="A765" s="73"/>
      <c r="B765" s="73"/>
      <c r="C765" s="73"/>
      <c r="D765" s="73"/>
      <c r="E765" s="140"/>
      <c r="F765" s="80"/>
      <c r="G765" s="80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168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5"/>
      <c r="BG765" s="73"/>
      <c r="BH765" s="88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</row>
    <row r="766">
      <c r="A766" s="73"/>
      <c r="B766" s="73"/>
      <c r="C766" s="73"/>
      <c r="D766" s="73"/>
      <c r="E766" s="140"/>
      <c r="F766" s="80"/>
      <c r="G766" s="80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168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5"/>
      <c r="BG766" s="73"/>
      <c r="BH766" s="88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</row>
    <row r="767">
      <c r="A767" s="73"/>
      <c r="B767" s="73"/>
      <c r="C767" s="73"/>
      <c r="D767" s="73"/>
      <c r="E767" s="140"/>
      <c r="F767" s="80"/>
      <c r="G767" s="80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168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5"/>
      <c r="BG767" s="73"/>
      <c r="BH767" s="88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</row>
    <row r="768">
      <c r="A768" s="73"/>
      <c r="B768" s="73"/>
      <c r="C768" s="73"/>
      <c r="D768" s="73"/>
      <c r="E768" s="140"/>
      <c r="F768" s="80"/>
      <c r="G768" s="80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168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5"/>
      <c r="BG768" s="73"/>
      <c r="BH768" s="88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</row>
    <row r="769">
      <c r="A769" s="73"/>
      <c r="B769" s="73"/>
      <c r="C769" s="73"/>
      <c r="D769" s="73"/>
      <c r="E769" s="140"/>
      <c r="F769" s="80"/>
      <c r="G769" s="80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168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5"/>
      <c r="BG769" s="73"/>
      <c r="BH769" s="88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</row>
    <row r="770">
      <c r="A770" s="73"/>
      <c r="B770" s="73"/>
      <c r="C770" s="73"/>
      <c r="D770" s="73"/>
      <c r="E770" s="140"/>
      <c r="F770" s="80"/>
      <c r="G770" s="80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168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5"/>
      <c r="BG770" s="73"/>
      <c r="BH770" s="88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</row>
    <row r="771">
      <c r="A771" s="73"/>
      <c r="B771" s="73"/>
      <c r="C771" s="73"/>
      <c r="D771" s="73"/>
      <c r="E771" s="140"/>
      <c r="F771" s="80"/>
      <c r="G771" s="80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168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5"/>
      <c r="BG771" s="73"/>
      <c r="BH771" s="88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</row>
    <row r="772">
      <c r="A772" s="73"/>
      <c r="B772" s="73"/>
      <c r="C772" s="73"/>
      <c r="D772" s="73"/>
      <c r="E772" s="140"/>
      <c r="F772" s="80"/>
      <c r="G772" s="80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168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5"/>
      <c r="BG772" s="73"/>
      <c r="BH772" s="88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</row>
    <row r="773">
      <c r="A773" s="73"/>
      <c r="B773" s="73"/>
      <c r="C773" s="73"/>
      <c r="D773" s="73"/>
      <c r="E773" s="140"/>
      <c r="F773" s="80"/>
      <c r="G773" s="80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168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5"/>
      <c r="BG773" s="73"/>
      <c r="BH773" s="88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</row>
    <row r="774">
      <c r="A774" s="73"/>
      <c r="B774" s="73"/>
      <c r="C774" s="73"/>
      <c r="D774" s="73"/>
      <c r="E774" s="140"/>
      <c r="F774" s="80"/>
      <c r="G774" s="80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168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5"/>
      <c r="BG774" s="73"/>
      <c r="BH774" s="88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</row>
    <row r="775">
      <c r="A775" s="73"/>
      <c r="B775" s="73"/>
      <c r="C775" s="73"/>
      <c r="D775" s="73"/>
      <c r="E775" s="140"/>
      <c r="F775" s="80"/>
      <c r="G775" s="80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168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5"/>
      <c r="BG775" s="73"/>
      <c r="BH775" s="88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</row>
    <row r="776">
      <c r="A776" s="73"/>
      <c r="B776" s="73"/>
      <c r="C776" s="73"/>
      <c r="D776" s="73"/>
      <c r="E776" s="140"/>
      <c r="F776" s="80"/>
      <c r="G776" s="80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168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5"/>
      <c r="BG776" s="73"/>
      <c r="BH776" s="88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</row>
    <row r="777">
      <c r="A777" s="73"/>
      <c r="B777" s="73"/>
      <c r="C777" s="73"/>
      <c r="D777" s="73"/>
      <c r="E777" s="140"/>
      <c r="F777" s="80"/>
      <c r="G777" s="80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168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5"/>
      <c r="BG777" s="73"/>
      <c r="BH777" s="88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</row>
    <row r="778">
      <c r="A778" s="73"/>
      <c r="B778" s="73"/>
      <c r="C778" s="73"/>
      <c r="D778" s="73"/>
      <c r="E778" s="140"/>
      <c r="F778" s="80"/>
      <c r="G778" s="80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168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5"/>
      <c r="BG778" s="73"/>
      <c r="BH778" s="88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</row>
    <row r="779">
      <c r="A779" s="73"/>
      <c r="B779" s="73"/>
      <c r="C779" s="73"/>
      <c r="D779" s="73"/>
      <c r="E779" s="140"/>
      <c r="F779" s="80"/>
      <c r="G779" s="80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168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5"/>
      <c r="BG779" s="73"/>
      <c r="BH779" s="88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</row>
    <row r="780">
      <c r="A780" s="73"/>
      <c r="B780" s="73"/>
      <c r="C780" s="73"/>
      <c r="D780" s="73"/>
      <c r="E780" s="140"/>
      <c r="F780" s="80"/>
      <c r="G780" s="80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168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5"/>
      <c r="BG780" s="73"/>
      <c r="BH780" s="88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</row>
    <row r="781">
      <c r="A781" s="73"/>
      <c r="B781" s="73"/>
      <c r="C781" s="73"/>
      <c r="D781" s="73"/>
      <c r="E781" s="140"/>
      <c r="F781" s="80"/>
      <c r="G781" s="80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168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5"/>
      <c r="BG781" s="73"/>
      <c r="BH781" s="88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</row>
    <row r="782">
      <c r="A782" s="73"/>
      <c r="B782" s="73"/>
      <c r="C782" s="73"/>
      <c r="D782" s="73"/>
      <c r="E782" s="140"/>
      <c r="F782" s="80"/>
      <c r="G782" s="80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168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5"/>
      <c r="BG782" s="73"/>
      <c r="BH782" s="88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</row>
    <row r="783">
      <c r="A783" s="73"/>
      <c r="B783" s="73"/>
      <c r="C783" s="73"/>
      <c r="D783" s="73"/>
      <c r="E783" s="140"/>
      <c r="F783" s="80"/>
      <c r="G783" s="80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168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5"/>
      <c r="BG783" s="73"/>
      <c r="BH783" s="88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</row>
    <row r="784">
      <c r="A784" s="73"/>
      <c r="B784" s="73"/>
      <c r="C784" s="73"/>
      <c r="D784" s="73"/>
      <c r="E784" s="140"/>
      <c r="F784" s="80"/>
      <c r="G784" s="80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168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5"/>
      <c r="BG784" s="73"/>
      <c r="BH784" s="88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</row>
    <row r="785">
      <c r="A785" s="73"/>
      <c r="B785" s="73"/>
      <c r="C785" s="73"/>
      <c r="D785" s="73"/>
      <c r="E785" s="140"/>
      <c r="F785" s="80"/>
      <c r="G785" s="80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168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5"/>
      <c r="BG785" s="73"/>
      <c r="BH785" s="88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</row>
    <row r="786">
      <c r="A786" s="73"/>
      <c r="B786" s="73"/>
      <c r="C786" s="73"/>
      <c r="D786" s="73"/>
      <c r="E786" s="140"/>
      <c r="F786" s="80"/>
      <c r="G786" s="80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168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5"/>
      <c r="BG786" s="73"/>
      <c r="BH786" s="88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</row>
    <row r="787">
      <c r="A787" s="73"/>
      <c r="B787" s="73"/>
      <c r="C787" s="73"/>
      <c r="D787" s="73"/>
      <c r="E787" s="140"/>
      <c r="F787" s="80"/>
      <c r="G787" s="80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168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5"/>
      <c r="BG787" s="73"/>
      <c r="BH787" s="88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</row>
    <row r="788">
      <c r="A788" s="73"/>
      <c r="B788" s="73"/>
      <c r="C788" s="73"/>
      <c r="D788" s="73"/>
      <c r="E788" s="140"/>
      <c r="F788" s="80"/>
      <c r="G788" s="80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168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5"/>
      <c r="BG788" s="73"/>
      <c r="BH788" s="88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</row>
    <row r="789">
      <c r="A789" s="73"/>
      <c r="B789" s="73"/>
      <c r="C789" s="73"/>
      <c r="D789" s="73"/>
      <c r="E789" s="140"/>
      <c r="F789" s="80"/>
      <c r="G789" s="80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168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5"/>
      <c r="BG789" s="73"/>
      <c r="BH789" s="88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</row>
    <row r="790">
      <c r="A790" s="73"/>
      <c r="B790" s="73"/>
      <c r="C790" s="73"/>
      <c r="D790" s="73"/>
      <c r="E790" s="140"/>
      <c r="F790" s="80"/>
      <c r="G790" s="80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168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5"/>
      <c r="BG790" s="73"/>
      <c r="BH790" s="88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</row>
    <row r="791">
      <c r="A791" s="73"/>
      <c r="B791" s="73"/>
      <c r="C791" s="73"/>
      <c r="D791" s="73"/>
      <c r="E791" s="140"/>
      <c r="F791" s="80"/>
      <c r="G791" s="80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168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5"/>
      <c r="BG791" s="73"/>
      <c r="BH791" s="88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</row>
    <row r="792">
      <c r="A792" s="73"/>
      <c r="B792" s="73"/>
      <c r="C792" s="73"/>
      <c r="D792" s="73"/>
      <c r="E792" s="140"/>
      <c r="F792" s="80"/>
      <c r="G792" s="80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168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5"/>
      <c r="BG792" s="73"/>
      <c r="BH792" s="88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</row>
    <row r="793">
      <c r="A793" s="73"/>
      <c r="B793" s="73"/>
      <c r="C793" s="73"/>
      <c r="D793" s="73"/>
      <c r="E793" s="140"/>
      <c r="F793" s="80"/>
      <c r="G793" s="80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168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5"/>
      <c r="BG793" s="73"/>
      <c r="BH793" s="88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</row>
    <row r="794">
      <c r="A794" s="73"/>
      <c r="B794" s="73"/>
      <c r="C794" s="73"/>
      <c r="D794" s="73"/>
      <c r="E794" s="140"/>
      <c r="F794" s="80"/>
      <c r="G794" s="80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168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5"/>
      <c r="BG794" s="73"/>
      <c r="BH794" s="88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</row>
    <row r="795">
      <c r="A795" s="73"/>
      <c r="B795" s="73"/>
      <c r="C795" s="73"/>
      <c r="D795" s="73"/>
      <c r="E795" s="140"/>
      <c r="F795" s="80"/>
      <c r="G795" s="80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168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5"/>
      <c r="BG795" s="73"/>
      <c r="BH795" s="88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</row>
    <row r="796">
      <c r="A796" s="73"/>
      <c r="B796" s="73"/>
      <c r="C796" s="73"/>
      <c r="D796" s="73"/>
      <c r="E796" s="140"/>
      <c r="F796" s="80"/>
      <c r="G796" s="80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168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5"/>
      <c r="BG796" s="73"/>
      <c r="BH796" s="88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</row>
    <row r="797">
      <c r="A797" s="73"/>
      <c r="B797" s="73"/>
      <c r="C797" s="73"/>
      <c r="D797" s="73"/>
      <c r="E797" s="140"/>
      <c r="F797" s="80"/>
      <c r="G797" s="80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168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5"/>
      <c r="BG797" s="73"/>
      <c r="BH797" s="88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</row>
    <row r="798">
      <c r="A798" s="73"/>
      <c r="B798" s="73"/>
      <c r="C798" s="73"/>
      <c r="D798" s="73"/>
      <c r="E798" s="140"/>
      <c r="F798" s="80"/>
      <c r="G798" s="80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168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5"/>
      <c r="BG798" s="73"/>
      <c r="BH798" s="88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</row>
    <row r="799">
      <c r="A799" s="73"/>
      <c r="B799" s="73"/>
      <c r="C799" s="73"/>
      <c r="D799" s="73"/>
      <c r="E799" s="140"/>
      <c r="F799" s="80"/>
      <c r="G799" s="80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168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5"/>
      <c r="BG799" s="73"/>
      <c r="BH799" s="88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</row>
    <row r="800">
      <c r="A800" s="73"/>
      <c r="B800" s="73"/>
      <c r="C800" s="73"/>
      <c r="D800" s="73"/>
      <c r="E800" s="140"/>
      <c r="F800" s="80"/>
      <c r="G800" s="80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168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5"/>
      <c r="BG800" s="73"/>
      <c r="BH800" s="88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</row>
    <row r="801">
      <c r="A801" s="73"/>
      <c r="B801" s="73"/>
      <c r="C801" s="73"/>
      <c r="D801" s="73"/>
      <c r="E801" s="140"/>
      <c r="F801" s="80"/>
      <c r="G801" s="80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168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5"/>
      <c r="BG801" s="73"/>
      <c r="BH801" s="88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</row>
    <row r="802">
      <c r="A802" s="73"/>
      <c r="B802" s="73"/>
      <c r="C802" s="73"/>
      <c r="D802" s="73"/>
      <c r="E802" s="140"/>
      <c r="F802" s="80"/>
      <c r="G802" s="80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168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5"/>
      <c r="BG802" s="73"/>
      <c r="BH802" s="88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</row>
    <row r="803">
      <c r="A803" s="73"/>
      <c r="B803" s="73"/>
      <c r="C803" s="73"/>
      <c r="D803" s="73"/>
      <c r="E803" s="140"/>
      <c r="F803" s="80"/>
      <c r="G803" s="80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168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5"/>
      <c r="BG803" s="73"/>
      <c r="BH803" s="88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</row>
    <row r="804">
      <c r="A804" s="73"/>
      <c r="B804" s="73"/>
      <c r="C804" s="73"/>
      <c r="D804" s="73"/>
      <c r="E804" s="140"/>
      <c r="F804" s="80"/>
      <c r="G804" s="80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168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5"/>
      <c r="BG804" s="73"/>
      <c r="BH804" s="88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</row>
    <row r="805">
      <c r="A805" s="73"/>
      <c r="B805" s="73"/>
      <c r="C805" s="73"/>
      <c r="D805" s="73"/>
      <c r="E805" s="140"/>
      <c r="F805" s="80"/>
      <c r="G805" s="80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168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5"/>
      <c r="BG805" s="73"/>
      <c r="BH805" s="88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</row>
    <row r="806">
      <c r="A806" s="73"/>
      <c r="B806" s="73"/>
      <c r="C806" s="73"/>
      <c r="D806" s="73"/>
      <c r="E806" s="140"/>
      <c r="F806" s="80"/>
      <c r="G806" s="80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168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5"/>
      <c r="BG806" s="73"/>
      <c r="BH806" s="88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</row>
    <row r="807">
      <c r="A807" s="73"/>
      <c r="B807" s="73"/>
      <c r="C807" s="73"/>
      <c r="D807" s="73"/>
      <c r="E807" s="140"/>
      <c r="F807" s="80"/>
      <c r="G807" s="80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168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5"/>
      <c r="BG807" s="73"/>
      <c r="BH807" s="88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</row>
    <row r="808">
      <c r="A808" s="73"/>
      <c r="B808" s="73"/>
      <c r="C808" s="73"/>
      <c r="D808" s="73"/>
      <c r="E808" s="140"/>
      <c r="F808" s="80"/>
      <c r="G808" s="80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168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5"/>
      <c r="BG808" s="73"/>
      <c r="BH808" s="88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</row>
    <row r="809">
      <c r="A809" s="73"/>
      <c r="B809" s="73"/>
      <c r="C809" s="73"/>
      <c r="D809" s="73"/>
      <c r="E809" s="140"/>
      <c r="F809" s="80"/>
      <c r="G809" s="80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168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5"/>
      <c r="BG809" s="73"/>
      <c r="BH809" s="88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</row>
    <row r="810">
      <c r="A810" s="73"/>
      <c r="B810" s="73"/>
      <c r="C810" s="73"/>
      <c r="D810" s="73"/>
      <c r="E810" s="140"/>
      <c r="F810" s="80"/>
      <c r="G810" s="80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168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5"/>
      <c r="BG810" s="73"/>
      <c r="BH810" s="88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</row>
    <row r="811">
      <c r="A811" s="73"/>
      <c r="B811" s="73"/>
      <c r="C811" s="73"/>
      <c r="D811" s="73"/>
      <c r="E811" s="140"/>
      <c r="F811" s="80"/>
      <c r="G811" s="80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168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5"/>
      <c r="BG811" s="73"/>
      <c r="BH811" s="88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</row>
    <row r="812">
      <c r="A812" s="73"/>
      <c r="B812" s="73"/>
      <c r="C812" s="73"/>
      <c r="D812" s="73"/>
      <c r="E812" s="140"/>
      <c r="F812" s="80"/>
      <c r="G812" s="80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168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5"/>
      <c r="BG812" s="73"/>
      <c r="BH812" s="88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</row>
    <row r="813">
      <c r="A813" s="73"/>
      <c r="B813" s="73"/>
      <c r="C813" s="73"/>
      <c r="D813" s="73"/>
      <c r="E813" s="140"/>
      <c r="F813" s="80"/>
      <c r="G813" s="80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168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5"/>
      <c r="BG813" s="73"/>
      <c r="BH813" s="88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</row>
    <row r="814">
      <c r="A814" s="73"/>
      <c r="B814" s="73"/>
      <c r="C814" s="73"/>
      <c r="D814" s="73"/>
      <c r="E814" s="140"/>
      <c r="F814" s="80"/>
      <c r="G814" s="80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168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5"/>
      <c r="BG814" s="73"/>
      <c r="BH814" s="88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</row>
    <row r="815">
      <c r="A815" s="73"/>
      <c r="B815" s="73"/>
      <c r="C815" s="73"/>
      <c r="D815" s="73"/>
      <c r="E815" s="140"/>
      <c r="F815" s="80"/>
      <c r="G815" s="80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168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5"/>
      <c r="BG815" s="73"/>
      <c r="BH815" s="88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</row>
    <row r="816">
      <c r="A816" s="73"/>
      <c r="B816" s="73"/>
      <c r="C816" s="73"/>
      <c r="D816" s="73"/>
      <c r="E816" s="140"/>
      <c r="F816" s="80"/>
      <c r="G816" s="80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168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5"/>
      <c r="BG816" s="73"/>
      <c r="BH816" s="88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</row>
    <row r="817">
      <c r="A817" s="73"/>
      <c r="B817" s="73"/>
      <c r="C817" s="73"/>
      <c r="D817" s="73"/>
      <c r="E817" s="140"/>
      <c r="F817" s="80"/>
      <c r="G817" s="80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168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5"/>
      <c r="BG817" s="73"/>
      <c r="BH817" s="88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</row>
    <row r="818">
      <c r="A818" s="73"/>
      <c r="B818" s="73"/>
      <c r="C818" s="73"/>
      <c r="D818" s="73"/>
      <c r="E818" s="140"/>
      <c r="F818" s="80"/>
      <c r="G818" s="80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168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5"/>
      <c r="BG818" s="73"/>
      <c r="BH818" s="88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</row>
    <row r="819">
      <c r="A819" s="73"/>
      <c r="B819" s="73"/>
      <c r="C819" s="73"/>
      <c r="D819" s="73"/>
      <c r="E819" s="140"/>
      <c r="F819" s="80"/>
      <c r="G819" s="80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168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5"/>
      <c r="BG819" s="73"/>
      <c r="BH819" s="88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</row>
    <row r="820">
      <c r="A820" s="73"/>
      <c r="B820" s="73"/>
      <c r="C820" s="73"/>
      <c r="D820" s="73"/>
      <c r="E820" s="140"/>
      <c r="F820" s="80"/>
      <c r="G820" s="80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168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5"/>
      <c r="BG820" s="73"/>
      <c r="BH820" s="88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</row>
    <row r="821">
      <c r="A821" s="73"/>
      <c r="B821" s="73"/>
      <c r="C821" s="73"/>
      <c r="D821" s="73"/>
      <c r="E821" s="140"/>
      <c r="F821" s="80"/>
      <c r="G821" s="80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168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5"/>
      <c r="BG821" s="73"/>
      <c r="BH821" s="88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</row>
    <row r="822">
      <c r="A822" s="73"/>
      <c r="B822" s="73"/>
      <c r="C822" s="73"/>
      <c r="D822" s="73"/>
      <c r="E822" s="140"/>
      <c r="F822" s="80"/>
      <c r="G822" s="80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168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5"/>
      <c r="BG822" s="73"/>
      <c r="BH822" s="88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</row>
    <row r="823">
      <c r="A823" s="73"/>
      <c r="B823" s="73"/>
      <c r="C823" s="73"/>
      <c r="D823" s="73"/>
      <c r="E823" s="140"/>
      <c r="F823" s="80"/>
      <c r="G823" s="80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168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5"/>
      <c r="BG823" s="73"/>
      <c r="BH823" s="88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</row>
    <row r="824">
      <c r="A824" s="73"/>
      <c r="B824" s="73"/>
      <c r="C824" s="73"/>
      <c r="D824" s="73"/>
      <c r="E824" s="140"/>
      <c r="F824" s="80"/>
      <c r="G824" s="80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168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5"/>
      <c r="BG824" s="73"/>
      <c r="BH824" s="88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</row>
    <row r="825">
      <c r="A825" s="73"/>
      <c r="B825" s="73"/>
      <c r="C825" s="73"/>
      <c r="D825" s="73"/>
      <c r="E825" s="140"/>
      <c r="F825" s="80"/>
      <c r="G825" s="80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168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5"/>
      <c r="BG825" s="73"/>
      <c r="BH825" s="88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</row>
    <row r="826">
      <c r="A826" s="73"/>
      <c r="B826" s="73"/>
      <c r="C826" s="73"/>
      <c r="D826" s="73"/>
      <c r="E826" s="140"/>
      <c r="F826" s="80"/>
      <c r="G826" s="80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168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5"/>
      <c r="BG826" s="73"/>
      <c r="BH826" s="88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</row>
    <row r="827">
      <c r="A827" s="73"/>
      <c r="B827" s="73"/>
      <c r="C827" s="73"/>
      <c r="D827" s="73"/>
      <c r="E827" s="140"/>
      <c r="F827" s="80"/>
      <c r="G827" s="80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168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5"/>
      <c r="BG827" s="73"/>
      <c r="BH827" s="88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</row>
    <row r="828">
      <c r="A828" s="73"/>
      <c r="B828" s="73"/>
      <c r="C828" s="73"/>
      <c r="D828" s="73"/>
      <c r="E828" s="140"/>
      <c r="F828" s="80"/>
      <c r="G828" s="80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168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5"/>
      <c r="BG828" s="73"/>
      <c r="BH828" s="88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</row>
    <row r="829">
      <c r="A829" s="73"/>
      <c r="B829" s="73"/>
      <c r="C829" s="73"/>
      <c r="D829" s="73"/>
      <c r="E829" s="140"/>
      <c r="F829" s="80"/>
      <c r="G829" s="80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168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5"/>
      <c r="BG829" s="73"/>
      <c r="BH829" s="88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</row>
    <row r="830">
      <c r="A830" s="73"/>
      <c r="B830" s="73"/>
      <c r="C830" s="73"/>
      <c r="D830" s="73"/>
      <c r="E830" s="140"/>
      <c r="F830" s="80"/>
      <c r="G830" s="80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168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5"/>
      <c r="BG830" s="73"/>
      <c r="BH830" s="88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</row>
    <row r="831">
      <c r="A831" s="73"/>
      <c r="B831" s="73"/>
      <c r="C831" s="73"/>
      <c r="D831" s="73"/>
      <c r="E831" s="140"/>
      <c r="F831" s="80"/>
      <c r="G831" s="80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168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5"/>
      <c r="BG831" s="73"/>
      <c r="BH831" s="88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</row>
    <row r="832">
      <c r="A832" s="73"/>
      <c r="B832" s="73"/>
      <c r="C832" s="73"/>
      <c r="D832" s="73"/>
      <c r="E832" s="140"/>
      <c r="F832" s="80"/>
      <c r="G832" s="80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168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5"/>
      <c r="BG832" s="73"/>
      <c r="BH832" s="88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</row>
    <row r="833">
      <c r="A833" s="73"/>
      <c r="B833" s="73"/>
      <c r="C833" s="73"/>
      <c r="D833" s="73"/>
      <c r="E833" s="140"/>
      <c r="F833" s="80"/>
      <c r="G833" s="80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168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5"/>
      <c r="BG833" s="73"/>
      <c r="BH833" s="88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</row>
    <row r="834">
      <c r="A834" s="73"/>
      <c r="B834" s="73"/>
      <c r="C834" s="73"/>
      <c r="D834" s="73"/>
      <c r="E834" s="140"/>
      <c r="F834" s="80"/>
      <c r="G834" s="80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168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5"/>
      <c r="BG834" s="73"/>
      <c r="BH834" s="88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</row>
    <row r="835">
      <c r="A835" s="73"/>
      <c r="B835" s="73"/>
      <c r="C835" s="73"/>
      <c r="D835" s="73"/>
      <c r="E835" s="140"/>
      <c r="F835" s="80"/>
      <c r="G835" s="80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168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5"/>
      <c r="BG835" s="73"/>
      <c r="BH835" s="88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</row>
    <row r="836">
      <c r="A836" s="73"/>
      <c r="B836" s="73"/>
      <c r="C836" s="73"/>
      <c r="D836" s="73"/>
      <c r="E836" s="140"/>
      <c r="F836" s="80"/>
      <c r="G836" s="80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168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5"/>
      <c r="BG836" s="73"/>
      <c r="BH836" s="88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</row>
    <row r="837">
      <c r="A837" s="73"/>
      <c r="B837" s="73"/>
      <c r="C837" s="73"/>
      <c r="D837" s="73"/>
      <c r="E837" s="140"/>
      <c r="F837" s="80"/>
      <c r="G837" s="80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168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5"/>
      <c r="BG837" s="73"/>
      <c r="BH837" s="88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</row>
    <row r="838">
      <c r="A838" s="73"/>
      <c r="B838" s="73"/>
      <c r="C838" s="73"/>
      <c r="D838" s="73"/>
      <c r="E838" s="140"/>
      <c r="F838" s="80"/>
      <c r="G838" s="80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168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5"/>
      <c r="BG838" s="73"/>
      <c r="BH838" s="88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</row>
    <row r="839">
      <c r="A839" s="73"/>
      <c r="B839" s="73"/>
      <c r="C839" s="73"/>
      <c r="D839" s="73"/>
      <c r="E839" s="140"/>
      <c r="F839" s="80"/>
      <c r="G839" s="80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168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5"/>
      <c r="BG839" s="73"/>
      <c r="BH839" s="88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</row>
    <row r="840">
      <c r="A840" s="73"/>
      <c r="B840" s="73"/>
      <c r="C840" s="73"/>
      <c r="D840" s="73"/>
      <c r="E840" s="140"/>
      <c r="F840" s="80"/>
      <c r="G840" s="80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168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5"/>
      <c r="BG840" s="73"/>
      <c r="BH840" s="88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</row>
    <row r="841">
      <c r="A841" s="73"/>
      <c r="B841" s="73"/>
      <c r="C841" s="73"/>
      <c r="D841" s="73"/>
      <c r="E841" s="140"/>
      <c r="F841" s="80"/>
      <c r="G841" s="80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168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5"/>
      <c r="BG841" s="73"/>
      <c r="BH841" s="88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</row>
    <row r="842">
      <c r="A842" s="73"/>
      <c r="B842" s="73"/>
      <c r="C842" s="73"/>
      <c r="D842" s="73"/>
      <c r="E842" s="140"/>
      <c r="F842" s="80"/>
      <c r="G842" s="80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168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5"/>
      <c r="BG842" s="73"/>
      <c r="BH842" s="88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</row>
    <row r="843">
      <c r="A843" s="73"/>
      <c r="B843" s="73"/>
      <c r="C843" s="73"/>
      <c r="D843" s="73"/>
      <c r="E843" s="140"/>
      <c r="F843" s="80"/>
      <c r="G843" s="80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168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5"/>
      <c r="BG843" s="73"/>
      <c r="BH843" s="88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</row>
    <row r="844">
      <c r="A844" s="73"/>
      <c r="B844" s="73"/>
      <c r="C844" s="73"/>
      <c r="D844" s="73"/>
      <c r="E844" s="140"/>
      <c r="F844" s="80"/>
      <c r="G844" s="80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168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5"/>
      <c r="BG844" s="73"/>
      <c r="BH844" s="88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</row>
    <row r="845">
      <c r="A845" s="73"/>
      <c r="B845" s="73"/>
      <c r="C845" s="73"/>
      <c r="D845" s="73"/>
      <c r="E845" s="140"/>
      <c r="F845" s="80"/>
      <c r="G845" s="80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168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5"/>
      <c r="BG845" s="73"/>
      <c r="BH845" s="88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</row>
    <row r="846">
      <c r="A846" s="73"/>
      <c r="B846" s="73"/>
      <c r="C846" s="73"/>
      <c r="D846" s="73"/>
      <c r="E846" s="140"/>
      <c r="F846" s="80"/>
      <c r="G846" s="80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168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5"/>
      <c r="BG846" s="73"/>
      <c r="BH846" s="88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</row>
    <row r="847">
      <c r="A847" s="73"/>
      <c r="B847" s="73"/>
      <c r="C847" s="73"/>
      <c r="D847" s="73"/>
      <c r="E847" s="140"/>
      <c r="F847" s="80"/>
      <c r="G847" s="80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168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5"/>
      <c r="BG847" s="73"/>
      <c r="BH847" s="88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</row>
    <row r="848">
      <c r="A848" s="73"/>
      <c r="B848" s="73"/>
      <c r="C848" s="73"/>
      <c r="D848" s="73"/>
      <c r="E848" s="140"/>
      <c r="F848" s="80"/>
      <c r="G848" s="80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168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5"/>
      <c r="BG848" s="73"/>
      <c r="BH848" s="88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</row>
    <row r="849">
      <c r="A849" s="73"/>
      <c r="B849" s="73"/>
      <c r="C849" s="73"/>
      <c r="D849" s="73"/>
      <c r="E849" s="140"/>
      <c r="F849" s="80"/>
      <c r="G849" s="80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168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5"/>
      <c r="BG849" s="73"/>
      <c r="BH849" s="88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</row>
    <row r="850">
      <c r="A850" s="73"/>
      <c r="B850" s="73"/>
      <c r="C850" s="73"/>
      <c r="D850" s="73"/>
      <c r="E850" s="140"/>
      <c r="F850" s="80"/>
      <c r="G850" s="80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168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5"/>
      <c r="BG850" s="73"/>
      <c r="BH850" s="88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</row>
    <row r="851">
      <c r="A851" s="73"/>
      <c r="B851" s="73"/>
      <c r="C851" s="73"/>
      <c r="D851" s="73"/>
      <c r="E851" s="140"/>
      <c r="F851" s="80"/>
      <c r="G851" s="80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168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5"/>
      <c r="BG851" s="73"/>
      <c r="BH851" s="88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</row>
    <row r="852">
      <c r="A852" s="73"/>
      <c r="B852" s="73"/>
      <c r="C852" s="73"/>
      <c r="D852" s="73"/>
      <c r="E852" s="140"/>
      <c r="F852" s="80"/>
      <c r="G852" s="80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168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5"/>
      <c r="BG852" s="73"/>
      <c r="BH852" s="88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</row>
    <row r="853">
      <c r="A853" s="73"/>
      <c r="B853" s="73"/>
      <c r="C853" s="73"/>
      <c r="D853" s="73"/>
      <c r="E853" s="140"/>
      <c r="F853" s="80"/>
      <c r="G853" s="80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168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5"/>
      <c r="BG853" s="73"/>
      <c r="BH853" s="88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</row>
    <row r="854">
      <c r="A854" s="73"/>
      <c r="B854" s="73"/>
      <c r="C854" s="73"/>
      <c r="D854" s="73"/>
      <c r="E854" s="140"/>
      <c r="F854" s="80"/>
      <c r="G854" s="80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168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5"/>
      <c r="BG854" s="73"/>
      <c r="BH854" s="88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</row>
    <row r="855">
      <c r="A855" s="73"/>
      <c r="B855" s="73"/>
      <c r="C855" s="73"/>
      <c r="D855" s="73"/>
      <c r="E855" s="140"/>
      <c r="F855" s="80"/>
      <c r="G855" s="80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168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5"/>
      <c r="BG855" s="73"/>
      <c r="BH855" s="88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</row>
    <row r="856">
      <c r="A856" s="73"/>
      <c r="B856" s="73"/>
      <c r="C856" s="73"/>
      <c r="D856" s="73"/>
      <c r="E856" s="140"/>
      <c r="F856" s="80"/>
      <c r="G856" s="80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168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5"/>
      <c r="BG856" s="73"/>
      <c r="BH856" s="88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</row>
    <row r="857">
      <c r="A857" s="73"/>
      <c r="B857" s="73"/>
      <c r="C857" s="73"/>
      <c r="D857" s="73"/>
      <c r="E857" s="140"/>
      <c r="F857" s="80"/>
      <c r="G857" s="80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168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5"/>
      <c r="BG857" s="73"/>
      <c r="BH857" s="88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</row>
    <row r="858">
      <c r="A858" s="73"/>
      <c r="B858" s="73"/>
      <c r="C858" s="73"/>
      <c r="D858" s="73"/>
      <c r="E858" s="140"/>
      <c r="F858" s="80"/>
      <c r="G858" s="80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168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5"/>
      <c r="BG858" s="73"/>
      <c r="BH858" s="88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</row>
    <row r="859">
      <c r="A859" s="73"/>
      <c r="B859" s="73"/>
      <c r="C859" s="73"/>
      <c r="D859" s="73"/>
      <c r="E859" s="140"/>
      <c r="F859" s="80"/>
      <c r="G859" s="80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168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5"/>
      <c r="BG859" s="73"/>
      <c r="BH859" s="88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</row>
    <row r="860">
      <c r="A860" s="73"/>
      <c r="B860" s="73"/>
      <c r="C860" s="73"/>
      <c r="D860" s="73"/>
      <c r="E860" s="140"/>
      <c r="F860" s="80"/>
      <c r="G860" s="80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168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5"/>
      <c r="BG860" s="73"/>
      <c r="BH860" s="88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</row>
    <row r="861">
      <c r="A861" s="73"/>
      <c r="B861" s="73"/>
      <c r="C861" s="73"/>
      <c r="D861" s="73"/>
      <c r="E861" s="140"/>
      <c r="F861" s="80"/>
      <c r="G861" s="80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168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5"/>
      <c r="BG861" s="73"/>
      <c r="BH861" s="88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</row>
    <row r="862">
      <c r="A862" s="73"/>
      <c r="B862" s="73"/>
      <c r="C862" s="73"/>
      <c r="D862" s="73"/>
      <c r="E862" s="140"/>
      <c r="F862" s="80"/>
      <c r="G862" s="80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168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5"/>
      <c r="BG862" s="73"/>
      <c r="BH862" s="88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</row>
    <row r="863">
      <c r="A863" s="73"/>
      <c r="B863" s="73"/>
      <c r="C863" s="73"/>
      <c r="D863" s="73"/>
      <c r="E863" s="140"/>
      <c r="F863" s="80"/>
      <c r="G863" s="80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168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5"/>
      <c r="BG863" s="73"/>
      <c r="BH863" s="88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</row>
    <row r="864">
      <c r="A864" s="73"/>
      <c r="B864" s="73"/>
      <c r="C864" s="73"/>
      <c r="D864" s="73"/>
      <c r="E864" s="140"/>
      <c r="F864" s="80"/>
      <c r="G864" s="80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168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5"/>
      <c r="BG864" s="73"/>
      <c r="BH864" s="88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</row>
    <row r="865">
      <c r="A865" s="73"/>
      <c r="B865" s="73"/>
      <c r="C865" s="73"/>
      <c r="D865" s="73"/>
      <c r="E865" s="140"/>
      <c r="F865" s="80"/>
      <c r="G865" s="80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168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5"/>
      <c r="BG865" s="73"/>
      <c r="BH865" s="88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</row>
    <row r="866">
      <c r="A866" s="73"/>
      <c r="B866" s="73"/>
      <c r="C866" s="73"/>
      <c r="D866" s="73"/>
      <c r="E866" s="140"/>
      <c r="F866" s="80"/>
      <c r="G866" s="80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168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5"/>
      <c r="BG866" s="73"/>
      <c r="BH866" s="88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</row>
    <row r="867">
      <c r="A867" s="73"/>
      <c r="B867" s="73"/>
      <c r="C867" s="73"/>
      <c r="D867" s="73"/>
      <c r="E867" s="140"/>
      <c r="F867" s="80"/>
      <c r="G867" s="80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168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5"/>
      <c r="BG867" s="73"/>
      <c r="BH867" s="88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</row>
    <row r="868">
      <c r="A868" s="73"/>
      <c r="B868" s="73"/>
      <c r="C868" s="73"/>
      <c r="D868" s="73"/>
      <c r="E868" s="140"/>
      <c r="F868" s="80"/>
      <c r="G868" s="80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168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5"/>
      <c r="BG868" s="73"/>
      <c r="BH868" s="88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</row>
    <row r="869">
      <c r="A869" s="73"/>
      <c r="B869" s="73"/>
      <c r="C869" s="73"/>
      <c r="D869" s="73"/>
      <c r="E869" s="140"/>
      <c r="F869" s="80"/>
      <c r="G869" s="80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168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5"/>
      <c r="BG869" s="73"/>
      <c r="BH869" s="88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</row>
    <row r="870">
      <c r="A870" s="73"/>
      <c r="B870" s="73"/>
      <c r="C870" s="73"/>
      <c r="D870" s="73"/>
      <c r="E870" s="140"/>
      <c r="F870" s="80"/>
      <c r="G870" s="80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168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5"/>
      <c r="BG870" s="73"/>
      <c r="BH870" s="88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</row>
    <row r="871">
      <c r="A871" s="73"/>
      <c r="B871" s="73"/>
      <c r="C871" s="73"/>
      <c r="D871" s="73"/>
      <c r="E871" s="140"/>
      <c r="F871" s="80"/>
      <c r="G871" s="80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168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5"/>
      <c r="BG871" s="73"/>
      <c r="BH871" s="88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</row>
    <row r="872">
      <c r="A872" s="73"/>
      <c r="B872" s="73"/>
      <c r="C872" s="73"/>
      <c r="D872" s="73"/>
      <c r="E872" s="140"/>
      <c r="F872" s="80"/>
      <c r="G872" s="80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168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5"/>
      <c r="BG872" s="73"/>
      <c r="BH872" s="88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</row>
    <row r="873">
      <c r="A873" s="73"/>
      <c r="B873" s="73"/>
      <c r="C873" s="73"/>
      <c r="D873" s="73"/>
      <c r="E873" s="140"/>
      <c r="F873" s="80"/>
      <c r="G873" s="80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168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5"/>
      <c r="BG873" s="73"/>
      <c r="BH873" s="88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</row>
    <row r="874">
      <c r="A874" s="73"/>
      <c r="B874" s="73"/>
      <c r="C874" s="73"/>
      <c r="D874" s="73"/>
      <c r="E874" s="140"/>
      <c r="F874" s="80"/>
      <c r="G874" s="80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168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5"/>
      <c r="BG874" s="73"/>
      <c r="BH874" s="88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</row>
    <row r="875">
      <c r="A875" s="73"/>
      <c r="B875" s="73"/>
      <c r="C875" s="73"/>
      <c r="D875" s="73"/>
      <c r="E875" s="140"/>
      <c r="F875" s="80"/>
      <c r="G875" s="80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168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5"/>
      <c r="BG875" s="73"/>
      <c r="BH875" s="88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</row>
    <row r="876">
      <c r="A876" s="73"/>
      <c r="B876" s="73"/>
      <c r="C876" s="73"/>
      <c r="D876" s="73"/>
      <c r="E876" s="140"/>
      <c r="F876" s="80"/>
      <c r="G876" s="80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168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5"/>
      <c r="BG876" s="73"/>
      <c r="BH876" s="88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</row>
    <row r="877">
      <c r="A877" s="73"/>
      <c r="B877" s="73"/>
      <c r="C877" s="73"/>
      <c r="D877" s="73"/>
      <c r="E877" s="140"/>
      <c r="F877" s="80"/>
      <c r="G877" s="80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168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5"/>
      <c r="BG877" s="73"/>
      <c r="BH877" s="88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</row>
    <row r="878">
      <c r="A878" s="73"/>
      <c r="B878" s="73"/>
      <c r="C878" s="73"/>
      <c r="D878" s="73"/>
      <c r="E878" s="140"/>
      <c r="F878" s="80"/>
      <c r="G878" s="80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168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5"/>
      <c r="BG878" s="73"/>
      <c r="BH878" s="88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</row>
    <row r="879">
      <c r="A879" s="73"/>
      <c r="B879" s="73"/>
      <c r="C879" s="73"/>
      <c r="D879" s="73"/>
      <c r="E879" s="140"/>
      <c r="F879" s="80"/>
      <c r="G879" s="80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168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5"/>
      <c r="BG879" s="73"/>
      <c r="BH879" s="88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</row>
    <row r="880">
      <c r="A880" s="73"/>
      <c r="B880" s="73"/>
      <c r="C880" s="73"/>
      <c r="D880" s="73"/>
      <c r="E880" s="140"/>
      <c r="F880" s="80"/>
      <c r="G880" s="80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168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5"/>
      <c r="BG880" s="73"/>
      <c r="BH880" s="88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</row>
    <row r="881">
      <c r="A881" s="73"/>
      <c r="B881" s="73"/>
      <c r="C881" s="73"/>
      <c r="D881" s="73"/>
      <c r="E881" s="140"/>
      <c r="F881" s="80"/>
      <c r="G881" s="80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168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5"/>
      <c r="BG881" s="73"/>
      <c r="BH881" s="88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</row>
    <row r="882">
      <c r="A882" s="73"/>
      <c r="B882" s="73"/>
      <c r="C882" s="73"/>
      <c r="D882" s="73"/>
      <c r="E882" s="140"/>
      <c r="F882" s="80"/>
      <c r="G882" s="80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168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5"/>
      <c r="BG882" s="73"/>
      <c r="BH882" s="88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</row>
    <row r="883">
      <c r="A883" s="73"/>
      <c r="B883" s="73"/>
      <c r="C883" s="73"/>
      <c r="D883" s="73"/>
      <c r="E883" s="140"/>
      <c r="F883" s="80"/>
      <c r="G883" s="80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168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5"/>
      <c r="BG883" s="73"/>
      <c r="BH883" s="88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</row>
    <row r="884">
      <c r="A884" s="73"/>
      <c r="B884" s="73"/>
      <c r="C884" s="73"/>
      <c r="D884" s="73"/>
      <c r="E884" s="140"/>
      <c r="F884" s="80"/>
      <c r="G884" s="80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168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5"/>
      <c r="BG884" s="73"/>
      <c r="BH884" s="88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</row>
    <row r="885">
      <c r="A885" s="73"/>
      <c r="B885" s="73"/>
      <c r="C885" s="73"/>
      <c r="D885" s="73"/>
      <c r="E885" s="140"/>
      <c r="F885" s="80"/>
      <c r="G885" s="80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168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5"/>
      <c r="BG885" s="73"/>
      <c r="BH885" s="88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</row>
    <row r="886">
      <c r="A886" s="73"/>
      <c r="B886" s="73"/>
      <c r="C886" s="73"/>
      <c r="D886" s="73"/>
      <c r="E886" s="140"/>
      <c r="F886" s="80"/>
      <c r="G886" s="80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168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5"/>
      <c r="BG886" s="73"/>
      <c r="BH886" s="88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</row>
    <row r="887">
      <c r="A887" s="73"/>
      <c r="B887" s="73"/>
      <c r="C887" s="73"/>
      <c r="D887" s="73"/>
      <c r="E887" s="140"/>
      <c r="F887" s="80"/>
      <c r="G887" s="80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168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5"/>
      <c r="BG887" s="73"/>
      <c r="BH887" s="88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</row>
    <row r="888">
      <c r="A888" s="73"/>
      <c r="B888" s="73"/>
      <c r="C888" s="73"/>
      <c r="D888" s="73"/>
      <c r="E888" s="140"/>
      <c r="F888" s="80"/>
      <c r="G888" s="80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168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5"/>
      <c r="BG888" s="73"/>
      <c r="BH888" s="88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</row>
    <row r="889">
      <c r="A889" s="73"/>
      <c r="B889" s="73"/>
      <c r="C889" s="73"/>
      <c r="D889" s="73"/>
      <c r="E889" s="140"/>
      <c r="F889" s="80"/>
      <c r="G889" s="80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168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5"/>
      <c r="BG889" s="73"/>
      <c r="BH889" s="88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</row>
    <row r="890">
      <c r="A890" s="73"/>
      <c r="B890" s="73"/>
      <c r="C890" s="73"/>
      <c r="D890" s="73"/>
      <c r="E890" s="140"/>
      <c r="F890" s="80"/>
      <c r="G890" s="80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168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5"/>
      <c r="BG890" s="73"/>
      <c r="BH890" s="88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</row>
    <row r="891">
      <c r="A891" s="73"/>
      <c r="B891" s="73"/>
      <c r="C891" s="73"/>
      <c r="D891" s="73"/>
      <c r="E891" s="140"/>
      <c r="F891" s="80"/>
      <c r="G891" s="80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168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5"/>
      <c r="BG891" s="73"/>
      <c r="BH891" s="88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</row>
    <row r="892">
      <c r="A892" s="73"/>
      <c r="B892" s="73"/>
      <c r="C892" s="73"/>
      <c r="D892" s="73"/>
      <c r="E892" s="140"/>
      <c r="F892" s="80"/>
      <c r="G892" s="80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168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5"/>
      <c r="BG892" s="73"/>
      <c r="BH892" s="88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</row>
    <row r="893">
      <c r="A893" s="73"/>
      <c r="B893" s="73"/>
      <c r="C893" s="73"/>
      <c r="D893" s="73"/>
      <c r="E893" s="140"/>
      <c r="F893" s="80"/>
      <c r="G893" s="80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168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5"/>
      <c r="BG893" s="73"/>
      <c r="BH893" s="88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</row>
    <row r="894">
      <c r="A894" s="73"/>
      <c r="B894" s="73"/>
      <c r="C894" s="73"/>
      <c r="D894" s="73"/>
      <c r="E894" s="140"/>
      <c r="F894" s="80"/>
      <c r="G894" s="80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168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5"/>
      <c r="BG894" s="73"/>
      <c r="BH894" s="88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</row>
    <row r="895">
      <c r="A895" s="73"/>
      <c r="B895" s="73"/>
      <c r="C895" s="73"/>
      <c r="D895" s="73"/>
      <c r="E895" s="140"/>
      <c r="F895" s="80"/>
      <c r="G895" s="80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168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5"/>
      <c r="BG895" s="73"/>
      <c r="BH895" s="88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</row>
    <row r="896">
      <c r="A896" s="73"/>
      <c r="B896" s="73"/>
      <c r="C896" s="73"/>
      <c r="D896" s="73"/>
      <c r="E896" s="140"/>
      <c r="F896" s="80"/>
      <c r="G896" s="80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168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5"/>
      <c r="BG896" s="73"/>
      <c r="BH896" s="88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</row>
    <row r="897">
      <c r="A897" s="73"/>
      <c r="B897" s="73"/>
      <c r="C897" s="73"/>
      <c r="D897" s="73"/>
      <c r="E897" s="140"/>
      <c r="F897" s="80"/>
      <c r="G897" s="80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168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5"/>
      <c r="BG897" s="73"/>
      <c r="BH897" s="88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</row>
    <row r="898">
      <c r="A898" s="73"/>
      <c r="B898" s="73"/>
      <c r="C898" s="73"/>
      <c r="D898" s="73"/>
      <c r="E898" s="140"/>
      <c r="F898" s="80"/>
      <c r="G898" s="80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168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5"/>
      <c r="BG898" s="73"/>
      <c r="BH898" s="88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</row>
    <row r="899">
      <c r="A899" s="73"/>
      <c r="B899" s="73"/>
      <c r="C899" s="73"/>
      <c r="D899" s="73"/>
      <c r="E899" s="140"/>
      <c r="F899" s="80"/>
      <c r="G899" s="80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168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5"/>
      <c r="BG899" s="73"/>
      <c r="BH899" s="88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</row>
    <row r="900">
      <c r="A900" s="73"/>
      <c r="B900" s="73"/>
      <c r="C900" s="73"/>
      <c r="D900" s="73"/>
      <c r="E900" s="140"/>
      <c r="F900" s="80"/>
      <c r="G900" s="80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168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5"/>
      <c r="BG900" s="73"/>
      <c r="BH900" s="88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</row>
    <row r="901">
      <c r="A901" s="73"/>
      <c r="B901" s="73"/>
      <c r="C901" s="73"/>
      <c r="D901" s="73"/>
      <c r="E901" s="140"/>
      <c r="F901" s="80"/>
      <c r="G901" s="80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168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5"/>
      <c r="BG901" s="73"/>
      <c r="BH901" s="88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</row>
    <row r="902">
      <c r="A902" s="73"/>
      <c r="B902" s="73"/>
      <c r="C902" s="73"/>
      <c r="D902" s="73"/>
      <c r="E902" s="140"/>
      <c r="F902" s="80"/>
      <c r="G902" s="80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168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5"/>
      <c r="BG902" s="73"/>
      <c r="BH902" s="88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</row>
    <row r="903">
      <c r="A903" s="73"/>
      <c r="B903" s="73"/>
      <c r="C903" s="73"/>
      <c r="D903" s="73"/>
      <c r="E903" s="140"/>
      <c r="F903" s="80"/>
      <c r="G903" s="80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168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5"/>
      <c r="BG903" s="73"/>
      <c r="BH903" s="88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</row>
    <row r="904">
      <c r="A904" s="73"/>
      <c r="B904" s="73"/>
      <c r="C904" s="73"/>
      <c r="D904" s="73"/>
      <c r="E904" s="140"/>
      <c r="F904" s="80"/>
      <c r="G904" s="80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168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5"/>
      <c r="BG904" s="73"/>
      <c r="BH904" s="88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</row>
    <row r="905">
      <c r="A905" s="73"/>
      <c r="B905" s="73"/>
      <c r="C905" s="73"/>
      <c r="D905" s="73"/>
      <c r="E905" s="140"/>
      <c r="F905" s="80"/>
      <c r="G905" s="80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168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5"/>
      <c r="BG905" s="73"/>
      <c r="BH905" s="88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</row>
    <row r="906">
      <c r="A906" s="73"/>
      <c r="B906" s="73"/>
      <c r="C906" s="73"/>
      <c r="D906" s="73"/>
      <c r="E906" s="140"/>
      <c r="F906" s="80"/>
      <c r="G906" s="80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168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5"/>
      <c r="BG906" s="73"/>
      <c r="BH906" s="88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</row>
    <row r="907">
      <c r="A907" s="73"/>
      <c r="B907" s="73"/>
      <c r="C907" s="73"/>
      <c r="D907" s="73"/>
      <c r="E907" s="140"/>
      <c r="F907" s="80"/>
      <c r="G907" s="80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168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5"/>
      <c r="BG907" s="73"/>
      <c r="BH907" s="88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</row>
    <row r="908">
      <c r="A908" s="73"/>
      <c r="B908" s="73"/>
      <c r="C908" s="73"/>
      <c r="D908" s="73"/>
      <c r="E908" s="140"/>
      <c r="F908" s="80"/>
      <c r="G908" s="80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168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5"/>
      <c r="BG908" s="73"/>
      <c r="BH908" s="88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</row>
    <row r="909">
      <c r="A909" s="73"/>
      <c r="B909" s="73"/>
      <c r="C909" s="73"/>
      <c r="D909" s="73"/>
      <c r="E909" s="140"/>
      <c r="F909" s="80"/>
      <c r="G909" s="80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168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5"/>
      <c r="BG909" s="73"/>
      <c r="BH909" s="88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</row>
    <row r="910">
      <c r="A910" s="73"/>
      <c r="B910" s="73"/>
      <c r="C910" s="73"/>
      <c r="D910" s="73"/>
      <c r="E910" s="140"/>
      <c r="F910" s="80"/>
      <c r="G910" s="80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168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5"/>
      <c r="BG910" s="73"/>
      <c r="BH910" s="88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</row>
    <row r="911">
      <c r="A911" s="73"/>
      <c r="B911" s="73"/>
      <c r="C911" s="73"/>
      <c r="D911" s="73"/>
      <c r="E911" s="140"/>
      <c r="F911" s="80"/>
      <c r="G911" s="80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168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5"/>
      <c r="BG911" s="73"/>
      <c r="BH911" s="88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</row>
    <row r="912">
      <c r="A912" s="73"/>
      <c r="B912" s="73"/>
      <c r="C912" s="73"/>
      <c r="D912" s="73"/>
      <c r="E912" s="140"/>
      <c r="F912" s="80"/>
      <c r="G912" s="80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168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5"/>
      <c r="BG912" s="73"/>
      <c r="BH912" s="88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</row>
    <row r="913">
      <c r="A913" s="73"/>
      <c r="B913" s="73"/>
      <c r="C913" s="73"/>
      <c r="D913" s="73"/>
      <c r="E913" s="140"/>
      <c r="F913" s="80"/>
      <c r="G913" s="80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168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5"/>
      <c r="BG913" s="73"/>
      <c r="BH913" s="88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</row>
    <row r="914">
      <c r="A914" s="73"/>
      <c r="B914" s="73"/>
      <c r="C914" s="73"/>
      <c r="D914" s="73"/>
      <c r="E914" s="140"/>
      <c r="F914" s="80"/>
      <c r="G914" s="80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168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5"/>
      <c r="BG914" s="73"/>
      <c r="BH914" s="88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</row>
    <row r="915">
      <c r="A915" s="73"/>
      <c r="B915" s="73"/>
      <c r="C915" s="73"/>
      <c r="D915" s="73"/>
      <c r="E915" s="140"/>
      <c r="F915" s="80"/>
      <c r="G915" s="80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168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5"/>
      <c r="BG915" s="73"/>
      <c r="BH915" s="88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</row>
    <row r="916">
      <c r="A916" s="73"/>
      <c r="B916" s="73"/>
      <c r="C916" s="73"/>
      <c r="D916" s="73"/>
      <c r="E916" s="140"/>
      <c r="F916" s="80"/>
      <c r="G916" s="80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168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5"/>
      <c r="BG916" s="73"/>
      <c r="BH916" s="88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</row>
    <row r="917">
      <c r="A917" s="73"/>
      <c r="B917" s="73"/>
      <c r="C917" s="73"/>
      <c r="D917" s="73"/>
      <c r="E917" s="140"/>
      <c r="F917" s="80"/>
      <c r="G917" s="80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168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5"/>
      <c r="BG917" s="73"/>
      <c r="BH917" s="88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</row>
    <row r="918">
      <c r="A918" s="73"/>
      <c r="B918" s="73"/>
      <c r="C918" s="73"/>
      <c r="D918" s="73"/>
      <c r="E918" s="140"/>
      <c r="F918" s="80"/>
      <c r="G918" s="80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168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5"/>
      <c r="BG918" s="73"/>
      <c r="BH918" s="88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</row>
    <row r="919">
      <c r="A919" s="73"/>
      <c r="B919" s="73"/>
      <c r="C919" s="73"/>
      <c r="D919" s="73"/>
      <c r="E919" s="140"/>
      <c r="F919" s="80"/>
      <c r="G919" s="80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168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5"/>
      <c r="BG919" s="73"/>
      <c r="BH919" s="88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</row>
    <row r="920">
      <c r="A920" s="73"/>
      <c r="B920" s="73"/>
      <c r="C920" s="73"/>
      <c r="D920" s="73"/>
      <c r="E920" s="140"/>
      <c r="F920" s="80"/>
      <c r="G920" s="80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168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5"/>
      <c r="BG920" s="73"/>
      <c r="BH920" s="88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</row>
    <row r="921">
      <c r="A921" s="73"/>
      <c r="B921" s="73"/>
      <c r="C921" s="73"/>
      <c r="D921" s="73"/>
      <c r="E921" s="140"/>
      <c r="F921" s="80"/>
      <c r="G921" s="80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168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5"/>
      <c r="BG921" s="73"/>
      <c r="BH921" s="88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</row>
    <row r="922">
      <c r="A922" s="73"/>
      <c r="B922" s="73"/>
      <c r="C922" s="73"/>
      <c r="D922" s="73"/>
      <c r="E922" s="140"/>
      <c r="F922" s="80"/>
      <c r="G922" s="80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168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5"/>
      <c r="BG922" s="73"/>
      <c r="BH922" s="88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</row>
    <row r="923">
      <c r="A923" s="73"/>
      <c r="B923" s="73"/>
      <c r="C923" s="73"/>
      <c r="D923" s="73"/>
      <c r="E923" s="140"/>
      <c r="F923" s="80"/>
      <c r="G923" s="80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168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5"/>
      <c r="BG923" s="73"/>
      <c r="BH923" s="88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</row>
    <row r="924">
      <c r="A924" s="73"/>
      <c r="B924" s="73"/>
      <c r="C924" s="73"/>
      <c r="D924" s="73"/>
      <c r="E924" s="140"/>
      <c r="F924" s="80"/>
      <c r="G924" s="80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168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5"/>
      <c r="BG924" s="73"/>
      <c r="BH924" s="88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</row>
    <row r="925">
      <c r="A925" s="73"/>
      <c r="B925" s="73"/>
      <c r="C925" s="73"/>
      <c r="D925" s="73"/>
      <c r="E925" s="140"/>
      <c r="F925" s="80"/>
      <c r="G925" s="80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168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5"/>
      <c r="BG925" s="73"/>
      <c r="BH925" s="88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</row>
    <row r="926">
      <c r="A926" s="73"/>
      <c r="B926" s="73"/>
      <c r="C926" s="73"/>
      <c r="D926" s="73"/>
      <c r="E926" s="140"/>
      <c r="F926" s="80"/>
      <c r="G926" s="80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168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5"/>
      <c r="BG926" s="73"/>
      <c r="BH926" s="88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</row>
    <row r="927">
      <c r="A927" s="73"/>
      <c r="B927" s="73"/>
      <c r="C927" s="73"/>
      <c r="D927" s="73"/>
      <c r="E927" s="140"/>
      <c r="F927" s="80"/>
      <c r="G927" s="80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168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5"/>
      <c r="BG927" s="73"/>
      <c r="BH927" s="88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</row>
    <row r="928">
      <c r="A928" s="73"/>
      <c r="B928" s="73"/>
      <c r="C928" s="73"/>
      <c r="D928" s="73"/>
      <c r="E928" s="140"/>
      <c r="F928" s="80"/>
      <c r="G928" s="80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168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5"/>
      <c r="BG928" s="73"/>
      <c r="BH928" s="88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</row>
    <row r="929">
      <c r="A929" s="73"/>
      <c r="B929" s="73"/>
      <c r="C929" s="73"/>
      <c r="D929" s="73"/>
      <c r="E929" s="140"/>
      <c r="F929" s="80"/>
      <c r="G929" s="80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168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5"/>
      <c r="BG929" s="73"/>
      <c r="BH929" s="88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</row>
    <row r="930">
      <c r="A930" s="73"/>
      <c r="B930" s="73"/>
      <c r="C930" s="73"/>
      <c r="D930" s="73"/>
      <c r="E930" s="140"/>
      <c r="F930" s="80"/>
      <c r="G930" s="80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168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5"/>
      <c r="BG930" s="73"/>
      <c r="BH930" s="88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</row>
    <row r="931">
      <c r="A931" s="73"/>
      <c r="B931" s="73"/>
      <c r="C931" s="73"/>
      <c r="D931" s="73"/>
      <c r="E931" s="140"/>
      <c r="F931" s="80"/>
      <c r="G931" s="80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168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5"/>
      <c r="BG931" s="73"/>
      <c r="BH931" s="88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</row>
    <row r="932">
      <c r="A932" s="73"/>
      <c r="B932" s="73"/>
      <c r="C932" s="73"/>
      <c r="D932" s="73"/>
      <c r="E932" s="140"/>
      <c r="F932" s="80"/>
      <c r="G932" s="80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168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5"/>
      <c r="BG932" s="73"/>
      <c r="BH932" s="88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</row>
    <row r="933">
      <c r="A933" s="73"/>
      <c r="B933" s="73"/>
      <c r="C933" s="73"/>
      <c r="D933" s="73"/>
      <c r="E933" s="140"/>
      <c r="F933" s="80"/>
      <c r="G933" s="80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168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5"/>
      <c r="BG933" s="73"/>
      <c r="BH933" s="88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</row>
    <row r="934">
      <c r="A934" s="73"/>
      <c r="B934" s="73"/>
      <c r="C934" s="73"/>
      <c r="D934" s="73"/>
      <c r="E934" s="140"/>
      <c r="F934" s="80"/>
      <c r="G934" s="80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168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5"/>
      <c r="BG934" s="73"/>
      <c r="BH934" s="88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</row>
    <row r="935">
      <c r="A935" s="73"/>
      <c r="B935" s="73"/>
      <c r="C935" s="73"/>
      <c r="D935" s="73"/>
      <c r="E935" s="140"/>
      <c r="F935" s="80"/>
      <c r="G935" s="80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168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5"/>
      <c r="BG935" s="73"/>
      <c r="BH935" s="88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</row>
    <row r="936">
      <c r="A936" s="73"/>
      <c r="B936" s="73"/>
      <c r="C936" s="73"/>
      <c r="D936" s="73"/>
      <c r="E936" s="140"/>
      <c r="F936" s="80"/>
      <c r="G936" s="80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168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5"/>
      <c r="BG936" s="73"/>
      <c r="BH936" s="88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</row>
    <row r="937">
      <c r="A937" s="73"/>
      <c r="B937" s="73"/>
      <c r="C937" s="73"/>
      <c r="D937" s="73"/>
      <c r="E937" s="140"/>
      <c r="F937" s="80"/>
      <c r="G937" s="80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168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5"/>
      <c r="BG937" s="73"/>
      <c r="BH937" s="88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</row>
    <row r="938">
      <c r="A938" s="73"/>
      <c r="B938" s="73"/>
      <c r="C938" s="73"/>
      <c r="D938" s="73"/>
      <c r="E938" s="140"/>
      <c r="F938" s="80"/>
      <c r="G938" s="80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168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5"/>
      <c r="BG938" s="73"/>
      <c r="BH938" s="88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</row>
    <row r="939">
      <c r="A939" s="73"/>
      <c r="B939" s="73"/>
      <c r="C939" s="73"/>
      <c r="D939" s="73"/>
      <c r="E939" s="140"/>
      <c r="F939" s="80"/>
      <c r="G939" s="80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168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5"/>
      <c r="BG939" s="73"/>
      <c r="BH939" s="88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</row>
    <row r="940">
      <c r="A940" s="73"/>
      <c r="B940" s="73"/>
      <c r="C940" s="73"/>
      <c r="D940" s="73"/>
      <c r="E940" s="140"/>
      <c r="F940" s="80"/>
      <c r="G940" s="80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168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5"/>
      <c r="BG940" s="73"/>
      <c r="BH940" s="88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</row>
    <row r="941">
      <c r="A941" s="73"/>
      <c r="B941" s="73"/>
      <c r="C941" s="73"/>
      <c r="D941" s="73"/>
      <c r="E941" s="140"/>
      <c r="F941" s="80"/>
      <c r="G941" s="80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168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5"/>
      <c r="BG941" s="73"/>
      <c r="BH941" s="88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</row>
    <row r="942">
      <c r="A942" s="73"/>
      <c r="B942" s="73"/>
      <c r="C942" s="73"/>
      <c r="D942" s="73"/>
      <c r="E942" s="140"/>
      <c r="F942" s="80"/>
      <c r="G942" s="80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168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5"/>
      <c r="BG942" s="73"/>
      <c r="BH942" s="88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</row>
    <row r="943">
      <c r="A943" s="73"/>
      <c r="B943" s="73"/>
      <c r="C943" s="73"/>
      <c r="D943" s="73"/>
      <c r="E943" s="140"/>
      <c r="F943" s="80"/>
      <c r="G943" s="80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168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5"/>
      <c r="BG943" s="73"/>
      <c r="BH943" s="88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</row>
    <row r="944">
      <c r="A944" s="73"/>
      <c r="B944" s="73"/>
      <c r="C944" s="73"/>
      <c r="D944" s="73"/>
      <c r="E944" s="140"/>
      <c r="F944" s="80"/>
      <c r="G944" s="80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168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5"/>
      <c r="BG944" s="73"/>
      <c r="BH944" s="88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</row>
    <row r="945">
      <c r="A945" s="73"/>
      <c r="B945" s="73"/>
      <c r="C945" s="73"/>
      <c r="D945" s="73"/>
      <c r="E945" s="140"/>
      <c r="F945" s="80"/>
      <c r="G945" s="80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168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5"/>
      <c r="BG945" s="73"/>
      <c r="BH945" s="88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</row>
    <row r="946">
      <c r="A946" s="73"/>
      <c r="B946" s="73"/>
      <c r="C946" s="73"/>
      <c r="D946" s="73"/>
      <c r="E946" s="140"/>
      <c r="F946" s="80"/>
      <c r="G946" s="80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168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5"/>
      <c r="BG946" s="73"/>
      <c r="BH946" s="88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</row>
    <row r="947">
      <c r="A947" s="73"/>
      <c r="B947" s="73"/>
      <c r="C947" s="73"/>
      <c r="D947" s="73"/>
      <c r="E947" s="140"/>
      <c r="F947" s="80"/>
      <c r="G947" s="80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168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5"/>
      <c r="BG947" s="73"/>
      <c r="BH947" s="88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</row>
    <row r="948">
      <c r="A948" s="73"/>
      <c r="B948" s="73"/>
      <c r="C948" s="73"/>
      <c r="D948" s="73"/>
      <c r="E948" s="140"/>
      <c r="F948" s="80"/>
      <c r="G948" s="80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168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5"/>
      <c r="BG948" s="73"/>
      <c r="BH948" s="88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</row>
    <row r="949">
      <c r="A949" s="73"/>
      <c r="B949" s="73"/>
      <c r="C949" s="73"/>
      <c r="D949" s="73"/>
      <c r="E949" s="140"/>
      <c r="F949" s="80"/>
      <c r="G949" s="80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168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5"/>
      <c r="BG949" s="73"/>
      <c r="BH949" s="88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</row>
    <row r="950">
      <c r="A950" s="73"/>
      <c r="B950" s="73"/>
      <c r="C950" s="73"/>
      <c r="D950" s="73"/>
      <c r="E950" s="140"/>
      <c r="F950" s="80"/>
      <c r="G950" s="80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168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5"/>
      <c r="BG950" s="73"/>
      <c r="BH950" s="88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</row>
    <row r="951">
      <c r="A951" s="73"/>
      <c r="B951" s="73"/>
      <c r="C951" s="73"/>
      <c r="D951" s="73"/>
      <c r="E951" s="140"/>
      <c r="F951" s="80"/>
      <c r="G951" s="80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168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5"/>
      <c r="BG951" s="73"/>
      <c r="BH951" s="88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</row>
    <row r="952">
      <c r="A952" s="73"/>
      <c r="B952" s="73"/>
      <c r="C952" s="73"/>
      <c r="D952" s="73"/>
      <c r="E952" s="140"/>
      <c r="F952" s="80"/>
      <c r="G952" s="80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168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5"/>
      <c r="BG952" s="73"/>
      <c r="BH952" s="88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</row>
    <row r="953">
      <c r="A953" s="73"/>
      <c r="B953" s="73"/>
      <c r="C953" s="73"/>
      <c r="D953" s="73"/>
      <c r="E953" s="140"/>
      <c r="F953" s="80"/>
      <c r="G953" s="80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168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5"/>
      <c r="BG953" s="73"/>
      <c r="BH953" s="88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</row>
    <row r="954">
      <c r="A954" s="73"/>
      <c r="B954" s="73"/>
      <c r="C954" s="73"/>
      <c r="D954" s="73"/>
      <c r="E954" s="140"/>
      <c r="F954" s="80"/>
      <c r="G954" s="80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168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5"/>
      <c r="BG954" s="73"/>
      <c r="BH954" s="88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</row>
    <row r="955">
      <c r="A955" s="73"/>
      <c r="B955" s="73"/>
      <c r="C955" s="73"/>
      <c r="D955" s="73"/>
      <c r="E955" s="140"/>
      <c r="F955" s="80"/>
      <c r="G955" s="80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168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5"/>
      <c r="BG955" s="73"/>
      <c r="BH955" s="88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</row>
    <row r="956">
      <c r="A956" s="73"/>
      <c r="B956" s="73"/>
      <c r="C956" s="73"/>
      <c r="D956" s="73"/>
      <c r="E956" s="140"/>
      <c r="F956" s="80"/>
      <c r="G956" s="80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168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5"/>
      <c r="BG956" s="73"/>
      <c r="BH956" s="88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</row>
    <row r="957">
      <c r="A957" s="73"/>
      <c r="B957" s="73"/>
      <c r="C957" s="73"/>
      <c r="D957" s="73"/>
      <c r="E957" s="140"/>
      <c r="F957" s="80"/>
      <c r="G957" s="80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168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5"/>
      <c r="BG957" s="73"/>
      <c r="BH957" s="88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</row>
    <row r="958">
      <c r="A958" s="73"/>
      <c r="B958" s="73"/>
      <c r="C958" s="73"/>
      <c r="D958" s="73"/>
      <c r="E958" s="140"/>
      <c r="F958" s="80"/>
      <c r="G958" s="80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168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5"/>
      <c r="BG958" s="73"/>
      <c r="BH958" s="88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</row>
    <row r="959">
      <c r="A959" s="73"/>
      <c r="B959" s="73"/>
      <c r="C959" s="73"/>
      <c r="D959" s="73"/>
      <c r="E959" s="140"/>
      <c r="F959" s="80"/>
      <c r="G959" s="80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168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5"/>
      <c r="BG959" s="73"/>
      <c r="BH959" s="88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</row>
    <row r="960">
      <c r="A960" s="73"/>
      <c r="B960" s="73"/>
      <c r="C960" s="73"/>
      <c r="D960" s="73"/>
      <c r="E960" s="140"/>
      <c r="F960" s="80"/>
      <c r="G960" s="80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168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5"/>
      <c r="BG960" s="73"/>
      <c r="BH960" s="88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</row>
    <row r="961">
      <c r="A961" s="73"/>
      <c r="B961" s="73"/>
      <c r="C961" s="73"/>
      <c r="D961" s="73"/>
      <c r="E961" s="140"/>
      <c r="F961" s="80"/>
      <c r="G961" s="80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168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5"/>
      <c r="BG961" s="73"/>
      <c r="BH961" s="88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</row>
    <row r="962">
      <c r="A962" s="73"/>
      <c r="B962" s="73"/>
      <c r="C962" s="73"/>
      <c r="D962" s="73"/>
      <c r="E962" s="140"/>
      <c r="F962" s="80"/>
      <c r="G962" s="80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168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5"/>
      <c r="BG962" s="73"/>
      <c r="BH962" s="88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</row>
    <row r="963">
      <c r="A963" s="73"/>
      <c r="B963" s="73"/>
      <c r="C963" s="73"/>
      <c r="D963" s="73"/>
      <c r="E963" s="140"/>
      <c r="F963" s="80"/>
      <c r="G963" s="80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168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5"/>
      <c r="BG963" s="73"/>
      <c r="BH963" s="88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</row>
    <row r="964">
      <c r="A964" s="73"/>
      <c r="B964" s="73"/>
      <c r="C964" s="73"/>
      <c r="D964" s="73"/>
      <c r="E964" s="140"/>
      <c r="F964" s="80"/>
      <c r="G964" s="80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168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5"/>
      <c r="BG964" s="73"/>
      <c r="BH964" s="88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</row>
    <row r="965">
      <c r="A965" s="73"/>
      <c r="B965" s="73"/>
      <c r="C965" s="73"/>
      <c r="D965" s="73"/>
      <c r="E965" s="140"/>
      <c r="F965" s="80"/>
      <c r="G965" s="80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168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5"/>
      <c r="BG965" s="73"/>
      <c r="BH965" s="88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</row>
    <row r="966">
      <c r="A966" s="73"/>
      <c r="B966" s="73"/>
      <c r="C966" s="73"/>
      <c r="D966" s="73"/>
      <c r="E966" s="140"/>
      <c r="F966" s="80"/>
      <c r="G966" s="80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168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5"/>
      <c r="BG966" s="73"/>
      <c r="BH966" s="88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</row>
    <row r="967">
      <c r="A967" s="73"/>
      <c r="B967" s="73"/>
      <c r="C967" s="73"/>
      <c r="D967" s="73"/>
      <c r="E967" s="140"/>
      <c r="F967" s="80"/>
      <c r="G967" s="80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168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5"/>
      <c r="BG967" s="73"/>
      <c r="BH967" s="88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</row>
    <row r="968">
      <c r="A968" s="73"/>
      <c r="B968" s="73"/>
      <c r="C968" s="73"/>
      <c r="D968" s="73"/>
      <c r="E968" s="140"/>
      <c r="F968" s="80"/>
      <c r="G968" s="80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168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5"/>
      <c r="BG968" s="73"/>
      <c r="BH968" s="88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</row>
    <row r="969">
      <c r="A969" s="73"/>
      <c r="B969" s="73"/>
      <c r="C969" s="73"/>
      <c r="D969" s="73"/>
      <c r="E969" s="140"/>
      <c r="F969" s="80"/>
      <c r="G969" s="80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168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5"/>
      <c r="BG969" s="73"/>
      <c r="BH969" s="88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</row>
    <row r="970">
      <c r="A970" s="73"/>
      <c r="B970" s="73"/>
      <c r="C970" s="73"/>
      <c r="D970" s="73"/>
      <c r="E970" s="140"/>
      <c r="F970" s="80"/>
      <c r="G970" s="80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168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5"/>
      <c r="BG970" s="73"/>
      <c r="BH970" s="88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</row>
    <row r="971">
      <c r="A971" s="73"/>
      <c r="B971" s="73"/>
      <c r="C971" s="73"/>
      <c r="D971" s="73"/>
      <c r="E971" s="140"/>
      <c r="F971" s="80"/>
      <c r="G971" s="80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168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5"/>
      <c r="BG971" s="73"/>
      <c r="BH971" s="88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</row>
    <row r="972">
      <c r="A972" s="73"/>
      <c r="B972" s="73"/>
      <c r="C972" s="73"/>
      <c r="D972" s="73"/>
      <c r="E972" s="140"/>
      <c r="F972" s="80"/>
      <c r="G972" s="80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168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5"/>
      <c r="BG972" s="73"/>
      <c r="BH972" s="88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</row>
    <row r="973">
      <c r="A973" s="73"/>
      <c r="B973" s="73"/>
      <c r="C973" s="73"/>
      <c r="D973" s="73"/>
      <c r="E973" s="140"/>
      <c r="F973" s="80"/>
      <c r="G973" s="80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168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5"/>
      <c r="BG973" s="73"/>
      <c r="BH973" s="88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</row>
    <row r="974">
      <c r="A974" s="73"/>
      <c r="B974" s="73"/>
      <c r="C974" s="73"/>
      <c r="D974" s="73"/>
      <c r="E974" s="140"/>
      <c r="F974" s="80"/>
      <c r="G974" s="80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168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5"/>
      <c r="BG974" s="73"/>
      <c r="BH974" s="88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</row>
    <row r="975">
      <c r="A975" s="73"/>
      <c r="B975" s="73"/>
      <c r="C975" s="73"/>
      <c r="D975" s="73"/>
      <c r="E975" s="140"/>
      <c r="F975" s="80"/>
      <c r="G975" s="80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168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5"/>
      <c r="BG975" s="73"/>
      <c r="BH975" s="88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</row>
    <row r="976">
      <c r="A976" s="73"/>
      <c r="B976" s="73"/>
      <c r="C976" s="73"/>
      <c r="D976" s="73"/>
      <c r="E976" s="140"/>
      <c r="F976" s="80"/>
      <c r="G976" s="80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168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5"/>
      <c r="BG976" s="73"/>
      <c r="BH976" s="88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</row>
    <row r="977">
      <c r="A977" s="73"/>
      <c r="B977" s="73"/>
      <c r="C977" s="73"/>
      <c r="D977" s="73"/>
      <c r="E977" s="140"/>
      <c r="F977" s="80"/>
      <c r="G977" s="80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168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5"/>
      <c r="BG977" s="73"/>
      <c r="BH977" s="88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</row>
    <row r="978">
      <c r="A978" s="73"/>
      <c r="B978" s="73"/>
      <c r="C978" s="73"/>
      <c r="D978" s="73"/>
      <c r="E978" s="140"/>
      <c r="F978" s="80"/>
      <c r="G978" s="80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168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5"/>
      <c r="BG978" s="73"/>
      <c r="BH978" s="88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</row>
    <row r="979">
      <c r="A979" s="73"/>
      <c r="B979" s="73"/>
      <c r="C979" s="73"/>
      <c r="D979" s="73"/>
      <c r="E979" s="140"/>
      <c r="F979" s="80"/>
      <c r="G979" s="80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168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5"/>
      <c r="BG979" s="73"/>
      <c r="BH979" s="88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</row>
    <row r="980">
      <c r="A980" s="73"/>
      <c r="B980" s="73"/>
      <c r="C980" s="73"/>
      <c r="D980" s="73"/>
      <c r="E980" s="140"/>
      <c r="F980" s="80"/>
      <c r="G980" s="80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168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5"/>
      <c r="BG980" s="73"/>
      <c r="BH980" s="88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</row>
    <row r="981">
      <c r="A981" s="73"/>
      <c r="B981" s="73"/>
      <c r="C981" s="73"/>
      <c r="D981" s="73"/>
      <c r="E981" s="140"/>
      <c r="F981" s="80"/>
      <c r="G981" s="80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168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5"/>
      <c r="BG981" s="73"/>
      <c r="BH981" s="88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</row>
    <row r="982">
      <c r="A982" s="73"/>
      <c r="B982" s="73"/>
      <c r="C982" s="73"/>
      <c r="D982" s="73"/>
      <c r="E982" s="140"/>
      <c r="F982" s="80"/>
      <c r="G982" s="80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168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5"/>
      <c r="BG982" s="73"/>
      <c r="BH982" s="88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</row>
    <row r="983">
      <c r="A983" s="73"/>
      <c r="B983" s="73"/>
      <c r="C983" s="73"/>
      <c r="D983" s="73"/>
      <c r="E983" s="140"/>
      <c r="F983" s="80"/>
      <c r="G983" s="80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168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5"/>
      <c r="BG983" s="73"/>
      <c r="BH983" s="88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</row>
    <row r="984">
      <c r="A984" s="73"/>
      <c r="B984" s="73"/>
      <c r="C984" s="73"/>
      <c r="D984" s="73"/>
      <c r="E984" s="140"/>
      <c r="F984" s="80"/>
      <c r="G984" s="80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168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5"/>
      <c r="BG984" s="73"/>
      <c r="BH984" s="88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</row>
    <row r="985">
      <c r="A985" s="73"/>
      <c r="B985" s="73"/>
      <c r="C985" s="73"/>
      <c r="D985" s="73"/>
      <c r="E985" s="140"/>
      <c r="F985" s="80"/>
      <c r="G985" s="80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168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5"/>
      <c r="BG985" s="73"/>
      <c r="BH985" s="88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</row>
    <row r="986">
      <c r="A986" s="73"/>
      <c r="B986" s="73"/>
      <c r="C986" s="73"/>
      <c r="D986" s="73"/>
      <c r="E986" s="140"/>
      <c r="F986" s="80"/>
      <c r="G986" s="80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168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5"/>
      <c r="BG986" s="73"/>
      <c r="BH986" s="88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</row>
    <row r="987">
      <c r="A987" s="73"/>
      <c r="B987" s="73"/>
      <c r="C987" s="73"/>
      <c r="D987" s="73"/>
      <c r="E987" s="140"/>
      <c r="F987" s="80"/>
      <c r="G987" s="80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168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5"/>
      <c r="BG987" s="73"/>
      <c r="BH987" s="88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</row>
    <row r="988">
      <c r="A988" s="73"/>
      <c r="B988" s="73"/>
      <c r="C988" s="73"/>
      <c r="D988" s="73"/>
      <c r="E988" s="140"/>
      <c r="F988" s="80"/>
      <c r="G988" s="80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168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5"/>
      <c r="BG988" s="73"/>
      <c r="BH988" s="88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</row>
    <row r="989">
      <c r="A989" s="73"/>
      <c r="B989" s="73"/>
      <c r="C989" s="73"/>
      <c r="D989" s="73"/>
      <c r="E989" s="140"/>
      <c r="F989" s="80"/>
      <c r="G989" s="80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168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5"/>
      <c r="BG989" s="73"/>
      <c r="BH989" s="88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</row>
    <row r="990">
      <c r="A990" s="73"/>
      <c r="B990" s="73"/>
      <c r="C990" s="73"/>
      <c r="D990" s="73"/>
      <c r="E990" s="140"/>
      <c r="F990" s="80"/>
      <c r="G990" s="80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168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5"/>
      <c r="BG990" s="73"/>
      <c r="BH990" s="88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</row>
    <row r="991">
      <c r="A991" s="73"/>
      <c r="B991" s="73"/>
      <c r="C991" s="73"/>
      <c r="D991" s="73"/>
      <c r="E991" s="140"/>
      <c r="F991" s="80"/>
      <c r="G991" s="80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168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5"/>
      <c r="BG991" s="73"/>
      <c r="BH991" s="88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</row>
    <row r="992">
      <c r="A992" s="73"/>
      <c r="B992" s="73"/>
      <c r="C992" s="73"/>
      <c r="D992" s="73"/>
      <c r="E992" s="140"/>
      <c r="F992" s="80"/>
      <c r="G992" s="80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168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5"/>
      <c r="BG992" s="73"/>
      <c r="BH992" s="88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</row>
    <row r="993">
      <c r="A993" s="73"/>
      <c r="B993" s="73"/>
      <c r="C993" s="73"/>
      <c r="D993" s="73"/>
      <c r="E993" s="140"/>
      <c r="F993" s="80"/>
      <c r="G993" s="80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168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5"/>
      <c r="BG993" s="73"/>
      <c r="BH993" s="88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</row>
    <row r="994">
      <c r="A994" s="73"/>
      <c r="B994" s="73"/>
      <c r="C994" s="73"/>
      <c r="D994" s="73"/>
      <c r="E994" s="140"/>
      <c r="F994" s="80"/>
      <c r="G994" s="80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168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5"/>
      <c r="BG994" s="73"/>
      <c r="BH994" s="88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</row>
    <row r="995">
      <c r="A995" s="73"/>
      <c r="B995" s="73"/>
      <c r="C995" s="73"/>
      <c r="D995" s="73"/>
      <c r="E995" s="140"/>
      <c r="F995" s="80"/>
      <c r="G995" s="80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168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5"/>
      <c r="BG995" s="73"/>
      <c r="BH995" s="88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</row>
    <row r="996">
      <c r="A996" s="73"/>
      <c r="B996" s="73"/>
      <c r="C996" s="73"/>
      <c r="D996" s="73"/>
      <c r="E996" s="140"/>
      <c r="F996" s="80"/>
      <c r="G996" s="80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168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5"/>
      <c r="BG996" s="73"/>
      <c r="BH996" s="88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</row>
    <row r="997">
      <c r="A997" s="73"/>
      <c r="B997" s="73"/>
      <c r="C997" s="73"/>
      <c r="D997" s="73"/>
      <c r="E997" s="140"/>
      <c r="F997" s="80"/>
      <c r="G997" s="80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168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5"/>
      <c r="BG997" s="73"/>
      <c r="BH997" s="88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</row>
    <row r="998">
      <c r="A998" s="73"/>
      <c r="B998" s="73"/>
      <c r="C998" s="73"/>
      <c r="D998" s="73"/>
      <c r="E998" s="140"/>
      <c r="F998" s="80"/>
      <c r="G998" s="80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168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5"/>
      <c r="BG998" s="73"/>
      <c r="BH998" s="88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</row>
    <row r="999">
      <c r="A999" s="73"/>
      <c r="B999" s="73"/>
      <c r="C999" s="73"/>
      <c r="D999" s="73"/>
      <c r="E999" s="140"/>
      <c r="F999" s="80"/>
      <c r="G999" s="80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168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5"/>
      <c r="BG999" s="73"/>
      <c r="BH999" s="88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</row>
    <row r="1000">
      <c r="A1000" s="73"/>
      <c r="B1000" s="73"/>
      <c r="C1000" s="73"/>
      <c r="D1000" s="73"/>
      <c r="E1000" s="140"/>
      <c r="F1000" s="80"/>
      <c r="G1000" s="80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168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5"/>
      <c r="BG1000" s="73"/>
      <c r="BH1000" s="88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</row>
    <row r="1001">
      <c r="A1001" s="73"/>
      <c r="B1001" s="73"/>
      <c r="C1001" s="73"/>
      <c r="D1001" s="73"/>
      <c r="E1001" s="140"/>
      <c r="F1001" s="80"/>
      <c r="G1001" s="80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168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5"/>
      <c r="BG1001" s="73"/>
      <c r="BH1001" s="88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</row>
    <row r="1002">
      <c r="A1002" s="73"/>
      <c r="B1002" s="73"/>
      <c r="C1002" s="73"/>
      <c r="D1002" s="73"/>
      <c r="E1002" s="140"/>
      <c r="F1002" s="80"/>
      <c r="G1002" s="80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168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5"/>
      <c r="BG1002" s="73"/>
      <c r="BH1002" s="88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</row>
    <row r="1003">
      <c r="A1003" s="73"/>
      <c r="B1003" s="73"/>
      <c r="C1003" s="73"/>
      <c r="D1003" s="73"/>
      <c r="E1003" s="140"/>
      <c r="F1003" s="80"/>
      <c r="G1003" s="80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168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5"/>
      <c r="BG1003" s="73"/>
      <c r="BH1003" s="88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</row>
    <row r="1004">
      <c r="A1004" s="73"/>
      <c r="B1004" s="73"/>
      <c r="C1004" s="73"/>
      <c r="D1004" s="73"/>
      <c r="E1004" s="140"/>
      <c r="F1004" s="80"/>
      <c r="G1004" s="80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168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5"/>
      <c r="BG1004" s="73"/>
      <c r="BH1004" s="88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</row>
    <row r="1005">
      <c r="A1005" s="73"/>
      <c r="B1005" s="73"/>
      <c r="C1005" s="73"/>
      <c r="D1005" s="73"/>
      <c r="E1005" s="140"/>
      <c r="F1005" s="80"/>
      <c r="G1005" s="80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168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5"/>
      <c r="BG1005" s="73"/>
      <c r="BH1005" s="88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</row>
    <row r="1006">
      <c r="A1006" s="73"/>
      <c r="B1006" s="73"/>
      <c r="C1006" s="73"/>
      <c r="D1006" s="73"/>
      <c r="E1006" s="140"/>
      <c r="F1006" s="80"/>
      <c r="G1006" s="80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168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5"/>
      <c r="BG1006" s="73"/>
      <c r="BH1006" s="88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</row>
    <row r="1007">
      <c r="A1007" s="73"/>
      <c r="B1007" s="73"/>
      <c r="C1007" s="73"/>
      <c r="D1007" s="73"/>
      <c r="E1007" s="140"/>
      <c r="F1007" s="80"/>
      <c r="G1007" s="80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168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5"/>
      <c r="BG1007" s="73"/>
      <c r="BH1007" s="88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</row>
    <row r="1008">
      <c r="A1008" s="73"/>
      <c r="B1008" s="73"/>
      <c r="C1008" s="73"/>
      <c r="D1008" s="73"/>
      <c r="E1008" s="140"/>
      <c r="F1008" s="80"/>
      <c r="G1008" s="80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168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5"/>
      <c r="BG1008" s="73"/>
      <c r="BH1008" s="88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</row>
    <row r="1009">
      <c r="A1009" s="73"/>
      <c r="B1009" s="73"/>
      <c r="C1009" s="73"/>
      <c r="D1009" s="73"/>
      <c r="E1009" s="140"/>
      <c r="F1009" s="80"/>
      <c r="G1009" s="80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168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5"/>
      <c r="BG1009" s="73"/>
      <c r="BH1009" s="88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</row>
    <row r="1010">
      <c r="A1010" s="73"/>
      <c r="B1010" s="73"/>
      <c r="C1010" s="73"/>
      <c r="D1010" s="73"/>
      <c r="E1010" s="140"/>
      <c r="F1010" s="80"/>
      <c r="G1010" s="80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168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5"/>
      <c r="BG1010" s="73"/>
      <c r="BH1010" s="88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</row>
    <row r="1011">
      <c r="A1011" s="73"/>
      <c r="B1011" s="73"/>
      <c r="C1011" s="73"/>
      <c r="D1011" s="73"/>
      <c r="E1011" s="140"/>
      <c r="F1011" s="80"/>
      <c r="G1011" s="80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168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5"/>
      <c r="BG1011" s="73"/>
      <c r="BH1011" s="88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</row>
    <row r="1012">
      <c r="A1012" s="73"/>
      <c r="B1012" s="73"/>
      <c r="C1012" s="73"/>
      <c r="D1012" s="73"/>
      <c r="E1012" s="140"/>
      <c r="F1012" s="80"/>
      <c r="G1012" s="80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168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5"/>
      <c r="BG1012" s="73"/>
      <c r="BH1012" s="88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</row>
    <row r="1013">
      <c r="A1013" s="73"/>
      <c r="B1013" s="73"/>
      <c r="C1013" s="73"/>
      <c r="D1013" s="73"/>
      <c r="E1013" s="140"/>
      <c r="F1013" s="80"/>
      <c r="G1013" s="80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  <c r="AA1013" s="73"/>
      <c r="AB1013" s="73"/>
      <c r="AC1013" s="73"/>
      <c r="AD1013" s="73"/>
      <c r="AE1013" s="73"/>
      <c r="AF1013" s="73"/>
      <c r="AG1013" s="73"/>
      <c r="AH1013" s="73"/>
      <c r="AI1013" s="73"/>
      <c r="AJ1013" s="168"/>
      <c r="AK1013" s="73"/>
      <c r="AL1013" s="73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5"/>
      <c r="BG1013" s="73"/>
      <c r="BH1013" s="88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</row>
    <row r="1014">
      <c r="A1014" s="73"/>
      <c r="B1014" s="73"/>
      <c r="C1014" s="73"/>
      <c r="D1014" s="73"/>
      <c r="E1014" s="140"/>
      <c r="F1014" s="80"/>
      <c r="G1014" s="80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  <c r="AA1014" s="73"/>
      <c r="AB1014" s="73"/>
      <c r="AC1014" s="73"/>
      <c r="AD1014" s="73"/>
      <c r="AE1014" s="73"/>
      <c r="AF1014" s="73"/>
      <c r="AG1014" s="73"/>
      <c r="AH1014" s="73"/>
      <c r="AI1014" s="73"/>
      <c r="AJ1014" s="168"/>
      <c r="AK1014" s="73"/>
      <c r="AL1014" s="73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5"/>
      <c r="BG1014" s="73"/>
      <c r="BH1014" s="88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</row>
    <row r="1015">
      <c r="A1015" s="73"/>
      <c r="B1015" s="73"/>
      <c r="C1015" s="73"/>
      <c r="D1015" s="73"/>
      <c r="E1015" s="140"/>
      <c r="F1015" s="80"/>
      <c r="G1015" s="80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  <c r="AA1015" s="73"/>
      <c r="AB1015" s="73"/>
      <c r="AC1015" s="73"/>
      <c r="AD1015" s="73"/>
      <c r="AE1015" s="73"/>
      <c r="AF1015" s="73"/>
      <c r="AG1015" s="73"/>
      <c r="AH1015" s="73"/>
      <c r="AI1015" s="73"/>
      <c r="AJ1015" s="168"/>
      <c r="AK1015" s="73"/>
      <c r="AL1015" s="73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5"/>
      <c r="BG1015" s="73"/>
      <c r="BH1015" s="88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</row>
    <row r="1016">
      <c r="A1016" s="73"/>
      <c r="B1016" s="73"/>
      <c r="C1016" s="73"/>
      <c r="D1016" s="73"/>
      <c r="E1016" s="140"/>
      <c r="F1016" s="80"/>
      <c r="G1016" s="80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  <c r="AA1016" s="73"/>
      <c r="AB1016" s="73"/>
      <c r="AC1016" s="73"/>
      <c r="AD1016" s="73"/>
      <c r="AE1016" s="73"/>
      <c r="AF1016" s="73"/>
      <c r="AG1016" s="73"/>
      <c r="AH1016" s="73"/>
      <c r="AI1016" s="73"/>
      <c r="AJ1016" s="168"/>
      <c r="AK1016" s="73"/>
      <c r="AL1016" s="73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5"/>
      <c r="BG1016" s="73"/>
      <c r="BH1016" s="88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</row>
    <row r="1017">
      <c r="A1017" s="73"/>
      <c r="B1017" s="73"/>
      <c r="C1017" s="73"/>
      <c r="D1017" s="73"/>
      <c r="E1017" s="140"/>
      <c r="F1017" s="80"/>
      <c r="G1017" s="80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  <c r="AA1017" s="73"/>
      <c r="AB1017" s="73"/>
      <c r="AC1017" s="73"/>
      <c r="AD1017" s="73"/>
      <c r="AE1017" s="73"/>
      <c r="AF1017" s="73"/>
      <c r="AG1017" s="73"/>
      <c r="AH1017" s="73"/>
      <c r="AI1017" s="73"/>
      <c r="AJ1017" s="168"/>
      <c r="AK1017" s="73"/>
      <c r="AL1017" s="73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5"/>
      <c r="BG1017" s="73"/>
      <c r="BH1017" s="88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</row>
    <row r="1018">
      <c r="A1018" s="73"/>
      <c r="B1018" s="73"/>
      <c r="C1018" s="73"/>
      <c r="D1018" s="73"/>
      <c r="E1018" s="140"/>
      <c r="F1018" s="80"/>
      <c r="G1018" s="80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  <c r="AA1018" s="73"/>
      <c r="AB1018" s="73"/>
      <c r="AC1018" s="73"/>
      <c r="AD1018" s="73"/>
      <c r="AE1018" s="73"/>
      <c r="AF1018" s="73"/>
      <c r="AG1018" s="73"/>
      <c r="AH1018" s="73"/>
      <c r="AI1018" s="73"/>
      <c r="AJ1018" s="168"/>
      <c r="AK1018" s="73"/>
      <c r="AL1018" s="73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5"/>
      <c r="BG1018" s="73"/>
      <c r="BH1018" s="88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</row>
    <row r="1019">
      <c r="A1019" s="73"/>
      <c r="B1019" s="73"/>
      <c r="C1019" s="73"/>
      <c r="D1019" s="73"/>
      <c r="E1019" s="140"/>
      <c r="F1019" s="80"/>
      <c r="G1019" s="80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  <c r="AA1019" s="73"/>
      <c r="AB1019" s="73"/>
      <c r="AC1019" s="73"/>
      <c r="AD1019" s="73"/>
      <c r="AE1019" s="73"/>
      <c r="AF1019" s="73"/>
      <c r="AG1019" s="73"/>
      <c r="AH1019" s="73"/>
      <c r="AI1019" s="73"/>
      <c r="AJ1019" s="168"/>
      <c r="AK1019" s="73"/>
      <c r="AL1019" s="73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5"/>
      <c r="BG1019" s="73"/>
      <c r="BH1019" s="88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</row>
    <row r="1020">
      <c r="A1020" s="73"/>
      <c r="B1020" s="73"/>
      <c r="C1020" s="73"/>
      <c r="D1020" s="73"/>
      <c r="E1020" s="140"/>
      <c r="F1020" s="80"/>
      <c r="G1020" s="80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  <c r="AA1020" s="73"/>
      <c r="AB1020" s="73"/>
      <c r="AC1020" s="73"/>
      <c r="AD1020" s="73"/>
      <c r="AE1020" s="73"/>
      <c r="AF1020" s="73"/>
      <c r="AG1020" s="73"/>
      <c r="AH1020" s="73"/>
      <c r="AI1020" s="73"/>
      <c r="AJ1020" s="168"/>
      <c r="AK1020" s="73"/>
      <c r="AL1020" s="73"/>
      <c r="AM1020" s="73"/>
      <c r="AN1020" s="73"/>
      <c r="AO1020" s="73"/>
      <c r="AP1020" s="73"/>
      <c r="AQ1020" s="73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5"/>
      <c r="BG1020" s="73"/>
      <c r="BH1020" s="88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</row>
    <row r="1021">
      <c r="A1021" s="73"/>
      <c r="B1021" s="73"/>
      <c r="C1021" s="73"/>
      <c r="D1021" s="73"/>
      <c r="E1021" s="140"/>
      <c r="F1021" s="80"/>
      <c r="G1021" s="80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  <c r="AA1021" s="73"/>
      <c r="AB1021" s="73"/>
      <c r="AC1021" s="73"/>
      <c r="AD1021" s="73"/>
      <c r="AE1021" s="73"/>
      <c r="AF1021" s="73"/>
      <c r="AG1021" s="73"/>
      <c r="AH1021" s="73"/>
      <c r="AI1021" s="73"/>
      <c r="AJ1021" s="168"/>
      <c r="AK1021" s="73"/>
      <c r="AL1021" s="73"/>
      <c r="AM1021" s="73"/>
      <c r="AN1021" s="73"/>
      <c r="AO1021" s="73"/>
      <c r="AP1021" s="73"/>
      <c r="AQ1021" s="73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5"/>
      <c r="BG1021" s="73"/>
      <c r="BH1021" s="88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</row>
    <row r="1022">
      <c r="A1022" s="73"/>
      <c r="B1022" s="73"/>
      <c r="C1022" s="73"/>
      <c r="D1022" s="73"/>
      <c r="E1022" s="140"/>
      <c r="F1022" s="80"/>
      <c r="G1022" s="80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  <c r="AA1022" s="73"/>
      <c r="AB1022" s="73"/>
      <c r="AC1022" s="73"/>
      <c r="AD1022" s="73"/>
      <c r="AE1022" s="73"/>
      <c r="AF1022" s="73"/>
      <c r="AG1022" s="73"/>
      <c r="AH1022" s="73"/>
      <c r="AI1022" s="73"/>
      <c r="AJ1022" s="168"/>
      <c r="AK1022" s="73"/>
      <c r="AL1022" s="73"/>
      <c r="AM1022" s="73"/>
      <c r="AN1022" s="73"/>
      <c r="AO1022" s="73"/>
      <c r="AP1022" s="73"/>
      <c r="AQ1022" s="73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5"/>
      <c r="BG1022" s="73"/>
      <c r="BH1022" s="88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</row>
    <row r="1023">
      <c r="A1023" s="73"/>
      <c r="B1023" s="73"/>
      <c r="C1023" s="73"/>
      <c r="D1023" s="73"/>
      <c r="E1023" s="140"/>
      <c r="F1023" s="80"/>
      <c r="G1023" s="80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  <c r="AH1023" s="73"/>
      <c r="AI1023" s="73"/>
      <c r="AJ1023" s="168"/>
      <c r="AK1023" s="73"/>
      <c r="AL1023" s="73"/>
      <c r="AM1023" s="73"/>
      <c r="AN1023" s="73"/>
      <c r="AO1023" s="73"/>
      <c r="AP1023" s="73"/>
      <c r="AQ1023" s="73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5"/>
      <c r="BG1023" s="73"/>
      <c r="BH1023" s="88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</row>
    <row r="1024">
      <c r="A1024" s="73"/>
      <c r="B1024" s="73"/>
      <c r="C1024" s="73"/>
      <c r="D1024" s="73"/>
      <c r="E1024" s="140"/>
      <c r="F1024" s="80"/>
      <c r="G1024" s="80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  <c r="AA1024" s="73"/>
      <c r="AB1024" s="73"/>
      <c r="AC1024" s="73"/>
      <c r="AD1024" s="73"/>
      <c r="AE1024" s="73"/>
      <c r="AF1024" s="73"/>
      <c r="AG1024" s="73"/>
      <c r="AH1024" s="73"/>
      <c r="AI1024" s="73"/>
      <c r="AJ1024" s="168"/>
      <c r="AK1024" s="73"/>
      <c r="AL1024" s="73"/>
      <c r="AM1024" s="73"/>
      <c r="AN1024" s="73"/>
      <c r="AO1024" s="73"/>
      <c r="AP1024" s="73"/>
      <c r="AQ1024" s="73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5"/>
      <c r="BG1024" s="73"/>
      <c r="BH1024" s="88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</row>
    <row r="1025">
      <c r="A1025" s="73"/>
      <c r="B1025" s="73"/>
      <c r="C1025" s="73"/>
      <c r="D1025" s="73"/>
      <c r="E1025" s="140"/>
      <c r="F1025" s="80"/>
      <c r="G1025" s="80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  <c r="AA1025" s="73"/>
      <c r="AB1025" s="73"/>
      <c r="AC1025" s="73"/>
      <c r="AD1025" s="73"/>
      <c r="AE1025" s="73"/>
      <c r="AF1025" s="73"/>
      <c r="AG1025" s="73"/>
      <c r="AH1025" s="73"/>
      <c r="AI1025" s="73"/>
      <c r="AJ1025" s="168"/>
      <c r="AK1025" s="73"/>
      <c r="AL1025" s="73"/>
      <c r="AM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5"/>
      <c r="BG1025" s="73"/>
      <c r="BH1025" s="88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</row>
    <row r="1026">
      <c r="A1026" s="73"/>
      <c r="B1026" s="73"/>
      <c r="C1026" s="73"/>
      <c r="D1026" s="73"/>
      <c r="E1026" s="140"/>
      <c r="F1026" s="80"/>
      <c r="G1026" s="80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  <c r="AA1026" s="73"/>
      <c r="AB1026" s="73"/>
      <c r="AC1026" s="73"/>
      <c r="AD1026" s="73"/>
      <c r="AE1026" s="73"/>
      <c r="AF1026" s="73"/>
      <c r="AG1026" s="73"/>
      <c r="AH1026" s="73"/>
      <c r="AI1026" s="73"/>
      <c r="AJ1026" s="168"/>
      <c r="AK1026" s="73"/>
      <c r="AL1026" s="73"/>
      <c r="AM1026" s="73"/>
      <c r="AN1026" s="73"/>
      <c r="AO1026" s="73"/>
      <c r="AP1026" s="73"/>
      <c r="AQ1026" s="73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5"/>
      <c r="BG1026" s="73"/>
      <c r="BH1026" s="88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</row>
    <row r="1027">
      <c r="A1027" s="73"/>
      <c r="B1027" s="73"/>
      <c r="C1027" s="73"/>
      <c r="D1027" s="73"/>
      <c r="E1027" s="140"/>
      <c r="F1027" s="80"/>
      <c r="G1027" s="80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  <c r="AA1027" s="73"/>
      <c r="AB1027" s="73"/>
      <c r="AC1027" s="73"/>
      <c r="AD1027" s="73"/>
      <c r="AE1027" s="73"/>
      <c r="AF1027" s="73"/>
      <c r="AG1027" s="73"/>
      <c r="AH1027" s="73"/>
      <c r="AI1027" s="73"/>
      <c r="AJ1027" s="168"/>
      <c r="AK1027" s="73"/>
      <c r="AL1027" s="73"/>
      <c r="AM1027" s="73"/>
      <c r="AN1027" s="73"/>
      <c r="AO1027" s="73"/>
      <c r="AP1027" s="73"/>
      <c r="AQ1027" s="73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5"/>
      <c r="BG1027" s="73"/>
      <c r="BH1027" s="88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</row>
    <row r="1028">
      <c r="A1028" s="73"/>
      <c r="B1028" s="73"/>
      <c r="C1028" s="73"/>
      <c r="D1028" s="73"/>
      <c r="E1028" s="140"/>
      <c r="F1028" s="80"/>
      <c r="G1028" s="80"/>
      <c r="H1028" s="73"/>
      <c r="I1028" s="73"/>
      <c r="J1028" s="73"/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73"/>
      <c r="V1028" s="73"/>
      <c r="W1028" s="73"/>
      <c r="X1028" s="73"/>
      <c r="Y1028" s="73"/>
      <c r="Z1028" s="73"/>
      <c r="AA1028" s="73"/>
      <c r="AB1028" s="73"/>
      <c r="AC1028" s="73"/>
      <c r="AD1028" s="73"/>
      <c r="AE1028" s="73"/>
      <c r="AF1028" s="73"/>
      <c r="AG1028" s="73"/>
      <c r="AH1028" s="73"/>
      <c r="AI1028" s="73"/>
      <c r="AJ1028" s="168"/>
      <c r="AK1028" s="73"/>
      <c r="AL1028" s="73"/>
      <c r="AM1028" s="73"/>
      <c r="AN1028" s="73"/>
      <c r="AO1028" s="73"/>
      <c r="AP1028" s="73"/>
      <c r="AQ1028" s="73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5"/>
      <c r="BG1028" s="73"/>
      <c r="BH1028" s="88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</row>
    <row r="1029">
      <c r="A1029" s="73"/>
      <c r="B1029" s="73"/>
      <c r="C1029" s="73"/>
      <c r="D1029" s="73"/>
      <c r="E1029" s="140"/>
      <c r="F1029" s="80"/>
      <c r="G1029" s="80"/>
      <c r="H1029" s="73"/>
      <c r="I1029" s="73"/>
      <c r="J1029" s="73"/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73"/>
      <c r="V1029" s="73"/>
      <c r="W1029" s="73"/>
      <c r="X1029" s="73"/>
      <c r="Y1029" s="73"/>
      <c r="Z1029" s="73"/>
      <c r="AA1029" s="73"/>
      <c r="AB1029" s="73"/>
      <c r="AC1029" s="73"/>
      <c r="AD1029" s="73"/>
      <c r="AE1029" s="73"/>
      <c r="AF1029" s="73"/>
      <c r="AG1029" s="73"/>
      <c r="AH1029" s="73"/>
      <c r="AI1029" s="73"/>
      <c r="AJ1029" s="168"/>
      <c r="AK1029" s="73"/>
      <c r="AL1029" s="73"/>
      <c r="AM1029" s="73"/>
      <c r="AN1029" s="73"/>
      <c r="AO1029" s="73"/>
      <c r="AP1029" s="73"/>
      <c r="AQ1029" s="73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5"/>
      <c r="BG1029" s="73"/>
      <c r="BH1029" s="88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</row>
    <row r="1030">
      <c r="A1030" s="73"/>
      <c r="B1030" s="73"/>
      <c r="C1030" s="73"/>
      <c r="D1030" s="73"/>
      <c r="E1030" s="140"/>
      <c r="F1030" s="80"/>
      <c r="G1030" s="80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73"/>
      <c r="V1030" s="73"/>
      <c r="W1030" s="73"/>
      <c r="X1030" s="73"/>
      <c r="Y1030" s="73"/>
      <c r="Z1030" s="73"/>
      <c r="AA1030" s="73"/>
      <c r="AB1030" s="73"/>
      <c r="AC1030" s="73"/>
      <c r="AD1030" s="73"/>
      <c r="AE1030" s="73"/>
      <c r="AF1030" s="73"/>
      <c r="AG1030" s="73"/>
      <c r="AH1030" s="73"/>
      <c r="AI1030" s="73"/>
      <c r="AJ1030" s="168"/>
      <c r="AK1030" s="73"/>
      <c r="AL1030" s="73"/>
      <c r="AM1030" s="73"/>
      <c r="AN1030" s="73"/>
      <c r="AO1030" s="73"/>
      <c r="AP1030" s="73"/>
      <c r="AQ1030" s="73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5"/>
      <c r="BG1030" s="73"/>
      <c r="BH1030" s="88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</row>
    <row r="1031">
      <c r="A1031" s="73"/>
      <c r="B1031" s="73"/>
      <c r="C1031" s="73"/>
      <c r="D1031" s="73"/>
      <c r="E1031" s="140"/>
      <c r="F1031" s="80"/>
      <c r="G1031" s="80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73"/>
      <c r="Y1031" s="73"/>
      <c r="Z1031" s="73"/>
      <c r="AA1031" s="73"/>
      <c r="AB1031" s="73"/>
      <c r="AC1031" s="73"/>
      <c r="AD1031" s="73"/>
      <c r="AE1031" s="73"/>
      <c r="AF1031" s="73"/>
      <c r="AG1031" s="73"/>
      <c r="AH1031" s="73"/>
      <c r="AI1031" s="73"/>
      <c r="AJ1031" s="168"/>
      <c r="AK1031" s="73"/>
      <c r="AL1031" s="73"/>
      <c r="AM1031" s="73"/>
      <c r="AN1031" s="73"/>
      <c r="AO1031" s="73"/>
      <c r="AP1031" s="73"/>
      <c r="AQ1031" s="73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5"/>
      <c r="BG1031" s="73"/>
      <c r="BH1031" s="88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</row>
    <row r="1032">
      <c r="A1032" s="73"/>
      <c r="B1032" s="73"/>
      <c r="C1032" s="73"/>
      <c r="D1032" s="73"/>
      <c r="E1032" s="140"/>
      <c r="F1032" s="80"/>
      <c r="G1032" s="80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73"/>
      <c r="Y1032" s="73"/>
      <c r="Z1032" s="73"/>
      <c r="AA1032" s="73"/>
      <c r="AB1032" s="73"/>
      <c r="AC1032" s="73"/>
      <c r="AD1032" s="73"/>
      <c r="AE1032" s="73"/>
      <c r="AF1032" s="73"/>
      <c r="AG1032" s="73"/>
      <c r="AH1032" s="73"/>
      <c r="AI1032" s="73"/>
      <c r="AJ1032" s="168"/>
      <c r="AK1032" s="73"/>
      <c r="AL1032" s="73"/>
      <c r="AM1032" s="73"/>
      <c r="AN1032" s="73"/>
      <c r="AO1032" s="73"/>
      <c r="AP1032" s="73"/>
      <c r="AQ1032" s="73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5"/>
      <c r="BG1032" s="73"/>
      <c r="BH1032" s="88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</row>
    <row r="1033">
      <c r="A1033" s="73"/>
      <c r="B1033" s="73"/>
      <c r="C1033" s="73"/>
      <c r="D1033" s="73"/>
      <c r="E1033" s="140"/>
      <c r="F1033" s="80"/>
      <c r="G1033" s="80"/>
      <c r="H1033" s="73"/>
      <c r="I1033" s="73"/>
      <c r="J1033" s="73"/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  <c r="X1033" s="73"/>
      <c r="Y1033" s="73"/>
      <c r="Z1033" s="73"/>
      <c r="AA1033" s="73"/>
      <c r="AB1033" s="73"/>
      <c r="AC1033" s="73"/>
      <c r="AD1033" s="73"/>
      <c r="AE1033" s="73"/>
      <c r="AF1033" s="73"/>
      <c r="AG1033" s="73"/>
      <c r="AH1033" s="73"/>
      <c r="AI1033" s="73"/>
      <c r="AJ1033" s="168"/>
      <c r="AK1033" s="73"/>
      <c r="AL1033" s="73"/>
      <c r="AM1033" s="73"/>
      <c r="AN1033" s="73"/>
      <c r="AO1033" s="73"/>
      <c r="AP1033" s="73"/>
      <c r="AQ1033" s="73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5"/>
      <c r="BG1033" s="73"/>
      <c r="BH1033" s="88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</row>
    <row r="1034">
      <c r="A1034" s="73"/>
      <c r="B1034" s="73"/>
      <c r="C1034" s="73"/>
      <c r="D1034" s="73"/>
      <c r="E1034" s="140"/>
      <c r="F1034" s="80"/>
      <c r="G1034" s="80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73"/>
      <c r="Y1034" s="73"/>
      <c r="Z1034" s="73"/>
      <c r="AA1034" s="73"/>
      <c r="AB1034" s="73"/>
      <c r="AC1034" s="73"/>
      <c r="AD1034" s="73"/>
      <c r="AE1034" s="73"/>
      <c r="AF1034" s="73"/>
      <c r="AG1034" s="73"/>
      <c r="AH1034" s="73"/>
      <c r="AI1034" s="73"/>
      <c r="AJ1034" s="168"/>
      <c r="AK1034" s="73"/>
      <c r="AL1034" s="73"/>
      <c r="AM1034" s="73"/>
      <c r="AN1034" s="73"/>
      <c r="AO1034" s="73"/>
      <c r="AP1034" s="73"/>
      <c r="AQ1034" s="73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5"/>
      <c r="BG1034" s="73"/>
      <c r="BH1034" s="88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</row>
    <row r="1035">
      <c r="A1035" s="73"/>
      <c r="B1035" s="73"/>
      <c r="C1035" s="73"/>
      <c r="D1035" s="73"/>
      <c r="E1035" s="140"/>
      <c r="F1035" s="80"/>
      <c r="G1035" s="80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3"/>
      <c r="X1035" s="73"/>
      <c r="Y1035" s="73"/>
      <c r="Z1035" s="73"/>
      <c r="AA1035" s="73"/>
      <c r="AB1035" s="73"/>
      <c r="AC1035" s="73"/>
      <c r="AD1035" s="73"/>
      <c r="AE1035" s="73"/>
      <c r="AF1035" s="73"/>
      <c r="AG1035" s="73"/>
      <c r="AH1035" s="73"/>
      <c r="AI1035" s="73"/>
      <c r="AJ1035" s="168"/>
      <c r="AK1035" s="73"/>
      <c r="AL1035" s="73"/>
      <c r="AM1035" s="73"/>
      <c r="AN1035" s="73"/>
      <c r="AO1035" s="73"/>
      <c r="AP1035" s="73"/>
      <c r="AQ1035" s="73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5"/>
      <c r="BG1035" s="73"/>
      <c r="BH1035" s="88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</row>
    <row r="1036">
      <c r="A1036" s="73"/>
      <c r="B1036" s="73"/>
      <c r="C1036" s="73"/>
      <c r="D1036" s="73"/>
      <c r="E1036" s="140"/>
      <c r="F1036" s="80"/>
      <c r="G1036" s="80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73"/>
      <c r="Y1036" s="73"/>
      <c r="Z1036" s="73"/>
      <c r="AA1036" s="73"/>
      <c r="AB1036" s="73"/>
      <c r="AC1036" s="73"/>
      <c r="AD1036" s="73"/>
      <c r="AE1036" s="73"/>
      <c r="AF1036" s="73"/>
      <c r="AG1036" s="73"/>
      <c r="AH1036" s="73"/>
      <c r="AI1036" s="73"/>
      <c r="AJ1036" s="168"/>
      <c r="AK1036" s="73"/>
      <c r="AL1036" s="73"/>
      <c r="AM1036" s="73"/>
      <c r="AN1036" s="73"/>
      <c r="AO1036" s="73"/>
      <c r="AP1036" s="73"/>
      <c r="AQ1036" s="73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5"/>
      <c r="BG1036" s="73"/>
      <c r="BH1036" s="88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</row>
    <row r="1037">
      <c r="A1037" s="73"/>
      <c r="B1037" s="73"/>
      <c r="C1037" s="73"/>
      <c r="D1037" s="73"/>
      <c r="E1037" s="140"/>
      <c r="F1037" s="80"/>
      <c r="G1037" s="80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73"/>
      <c r="Y1037" s="73"/>
      <c r="Z1037" s="73"/>
      <c r="AA1037" s="73"/>
      <c r="AB1037" s="73"/>
      <c r="AC1037" s="73"/>
      <c r="AD1037" s="73"/>
      <c r="AE1037" s="73"/>
      <c r="AF1037" s="73"/>
      <c r="AG1037" s="73"/>
      <c r="AH1037" s="73"/>
      <c r="AI1037" s="73"/>
      <c r="AJ1037" s="168"/>
      <c r="AK1037" s="73"/>
      <c r="AL1037" s="73"/>
      <c r="AM1037" s="73"/>
      <c r="AN1037" s="73"/>
      <c r="AO1037" s="73"/>
      <c r="AP1037" s="73"/>
      <c r="AQ1037" s="73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5"/>
      <c r="BG1037" s="73"/>
      <c r="BH1037" s="88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</row>
    <row r="1038">
      <c r="A1038" s="73"/>
      <c r="B1038" s="73"/>
      <c r="C1038" s="73"/>
      <c r="D1038" s="73"/>
      <c r="E1038" s="140"/>
      <c r="F1038" s="80"/>
      <c r="G1038" s="80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73"/>
      <c r="Y1038" s="73"/>
      <c r="Z1038" s="73"/>
      <c r="AA1038" s="73"/>
      <c r="AB1038" s="73"/>
      <c r="AC1038" s="73"/>
      <c r="AD1038" s="73"/>
      <c r="AE1038" s="73"/>
      <c r="AF1038" s="73"/>
      <c r="AG1038" s="73"/>
      <c r="AH1038" s="73"/>
      <c r="AI1038" s="73"/>
      <c r="AJ1038" s="168"/>
      <c r="AK1038" s="73"/>
      <c r="AL1038" s="73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5"/>
      <c r="BG1038" s="73"/>
      <c r="BH1038" s="88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</row>
    <row r="1039">
      <c r="A1039" s="73"/>
      <c r="B1039" s="73"/>
      <c r="C1039" s="73"/>
      <c r="D1039" s="73"/>
      <c r="E1039" s="140"/>
      <c r="F1039" s="80"/>
      <c r="G1039" s="80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73"/>
      <c r="Y1039" s="73"/>
      <c r="Z1039" s="73"/>
      <c r="AA1039" s="73"/>
      <c r="AB1039" s="73"/>
      <c r="AC1039" s="73"/>
      <c r="AD1039" s="73"/>
      <c r="AE1039" s="73"/>
      <c r="AF1039" s="73"/>
      <c r="AG1039" s="73"/>
      <c r="AH1039" s="73"/>
      <c r="AI1039" s="73"/>
      <c r="AJ1039" s="168"/>
      <c r="AK1039" s="73"/>
      <c r="AL1039" s="73"/>
      <c r="AM1039" s="73"/>
      <c r="AN1039" s="73"/>
      <c r="AO1039" s="73"/>
      <c r="AP1039" s="73"/>
      <c r="AQ1039" s="73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5"/>
      <c r="BG1039" s="73"/>
      <c r="BH1039" s="88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</row>
    <row r="1040">
      <c r="A1040" s="73"/>
      <c r="B1040" s="73"/>
      <c r="C1040" s="73"/>
      <c r="D1040" s="73"/>
      <c r="E1040" s="140"/>
      <c r="F1040" s="80"/>
      <c r="G1040" s="80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73"/>
      <c r="Y1040" s="73"/>
      <c r="Z1040" s="73"/>
      <c r="AA1040" s="73"/>
      <c r="AB1040" s="73"/>
      <c r="AC1040" s="73"/>
      <c r="AD1040" s="73"/>
      <c r="AE1040" s="73"/>
      <c r="AF1040" s="73"/>
      <c r="AG1040" s="73"/>
      <c r="AH1040" s="73"/>
      <c r="AI1040" s="73"/>
      <c r="AJ1040" s="168"/>
      <c r="AK1040" s="73"/>
      <c r="AL1040" s="73"/>
      <c r="AM1040" s="73"/>
      <c r="AN1040" s="73"/>
      <c r="AO1040" s="73"/>
      <c r="AP1040" s="73"/>
      <c r="AQ1040" s="73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5"/>
      <c r="BG1040" s="73"/>
      <c r="BH1040" s="88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</row>
    <row r="1041">
      <c r="A1041" s="73"/>
      <c r="B1041" s="73"/>
      <c r="C1041" s="73"/>
      <c r="D1041" s="73"/>
      <c r="E1041" s="140"/>
      <c r="F1041" s="80"/>
      <c r="G1041" s="80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  <c r="AH1041" s="73"/>
      <c r="AI1041" s="73"/>
      <c r="AJ1041" s="168"/>
      <c r="AK1041" s="73"/>
      <c r="AL1041" s="73"/>
      <c r="AM1041" s="73"/>
      <c r="AN1041" s="73"/>
      <c r="AO1041" s="73"/>
      <c r="AP1041" s="73"/>
      <c r="AQ1041" s="73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5"/>
      <c r="BG1041" s="73"/>
      <c r="BH1041" s="88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</row>
    <row r="1042">
      <c r="A1042" s="73"/>
      <c r="B1042" s="73"/>
      <c r="C1042" s="73"/>
      <c r="D1042" s="73"/>
      <c r="E1042" s="140"/>
      <c r="F1042" s="80"/>
      <c r="G1042" s="80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73"/>
      <c r="Y1042" s="73"/>
      <c r="Z1042" s="73"/>
      <c r="AA1042" s="73"/>
      <c r="AB1042" s="73"/>
      <c r="AC1042" s="73"/>
      <c r="AD1042" s="73"/>
      <c r="AE1042" s="73"/>
      <c r="AF1042" s="73"/>
      <c r="AG1042" s="73"/>
      <c r="AH1042" s="73"/>
      <c r="AI1042" s="73"/>
      <c r="AJ1042" s="168"/>
      <c r="AK1042" s="73"/>
      <c r="AL1042" s="73"/>
      <c r="AM1042" s="73"/>
      <c r="AN1042" s="73"/>
      <c r="AO1042" s="73"/>
      <c r="AP1042" s="73"/>
      <c r="AQ1042" s="73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5"/>
      <c r="BG1042" s="73"/>
      <c r="BH1042" s="88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</row>
    <row r="1043">
      <c r="A1043" s="73"/>
      <c r="B1043" s="73"/>
      <c r="C1043" s="73"/>
      <c r="D1043" s="73"/>
      <c r="E1043" s="140"/>
      <c r="F1043" s="80"/>
      <c r="G1043" s="80"/>
      <c r="H1043" s="73"/>
      <c r="I1043" s="73"/>
      <c r="J1043" s="73"/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73"/>
      <c r="Y1043" s="73"/>
      <c r="Z1043" s="73"/>
      <c r="AA1043" s="73"/>
      <c r="AB1043" s="73"/>
      <c r="AC1043" s="73"/>
      <c r="AD1043" s="73"/>
      <c r="AE1043" s="73"/>
      <c r="AF1043" s="73"/>
      <c r="AG1043" s="73"/>
      <c r="AH1043" s="73"/>
      <c r="AI1043" s="73"/>
      <c r="AJ1043" s="168"/>
      <c r="AK1043" s="73"/>
      <c r="AL1043" s="73"/>
      <c r="AM1043" s="73"/>
      <c r="AN1043" s="73"/>
      <c r="AO1043" s="73"/>
      <c r="AP1043" s="73"/>
      <c r="AQ1043" s="73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5"/>
      <c r="BG1043" s="73"/>
      <c r="BH1043" s="88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</row>
    <row r="1044">
      <c r="A1044" s="73"/>
      <c r="B1044" s="73"/>
      <c r="C1044" s="73"/>
      <c r="D1044" s="73"/>
      <c r="E1044" s="140"/>
      <c r="F1044" s="80"/>
      <c r="G1044" s="80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73"/>
      <c r="Y1044" s="73"/>
      <c r="Z1044" s="73"/>
      <c r="AA1044" s="73"/>
      <c r="AB1044" s="73"/>
      <c r="AC1044" s="73"/>
      <c r="AD1044" s="73"/>
      <c r="AE1044" s="73"/>
      <c r="AF1044" s="73"/>
      <c r="AG1044" s="73"/>
      <c r="AH1044" s="73"/>
      <c r="AI1044" s="73"/>
      <c r="AJ1044" s="168"/>
      <c r="AK1044" s="73"/>
      <c r="AL1044" s="73"/>
      <c r="AM1044" s="73"/>
      <c r="AN1044" s="73"/>
      <c r="AO1044" s="73"/>
      <c r="AP1044" s="73"/>
      <c r="AQ1044" s="73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5"/>
      <c r="BG1044" s="73"/>
      <c r="BH1044" s="88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</row>
    <row r="1045">
      <c r="A1045" s="73"/>
      <c r="B1045" s="73"/>
      <c r="C1045" s="73"/>
      <c r="D1045" s="73"/>
      <c r="E1045" s="140"/>
      <c r="F1045" s="80"/>
      <c r="G1045" s="80"/>
      <c r="H1045" s="73"/>
      <c r="I1045" s="73"/>
      <c r="J1045" s="73"/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73"/>
      <c r="Y1045" s="73"/>
      <c r="Z1045" s="73"/>
      <c r="AA1045" s="73"/>
      <c r="AB1045" s="73"/>
      <c r="AC1045" s="73"/>
      <c r="AD1045" s="73"/>
      <c r="AE1045" s="73"/>
      <c r="AF1045" s="73"/>
      <c r="AG1045" s="73"/>
      <c r="AH1045" s="73"/>
      <c r="AI1045" s="73"/>
      <c r="AJ1045" s="168"/>
      <c r="AK1045" s="73"/>
      <c r="AL1045" s="73"/>
      <c r="AM1045" s="73"/>
      <c r="AN1045" s="73"/>
      <c r="AO1045" s="73"/>
      <c r="AP1045" s="73"/>
      <c r="AQ1045" s="73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5"/>
      <c r="BG1045" s="73"/>
      <c r="BH1045" s="88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</row>
    <row r="1046">
      <c r="A1046" s="73"/>
      <c r="B1046" s="73"/>
      <c r="C1046" s="73"/>
      <c r="D1046" s="73"/>
      <c r="E1046" s="140"/>
      <c r="F1046" s="80"/>
      <c r="G1046" s="80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73"/>
      <c r="Y1046" s="73"/>
      <c r="Z1046" s="73"/>
      <c r="AA1046" s="73"/>
      <c r="AB1046" s="73"/>
      <c r="AC1046" s="73"/>
      <c r="AD1046" s="73"/>
      <c r="AE1046" s="73"/>
      <c r="AF1046" s="73"/>
      <c r="AG1046" s="73"/>
      <c r="AH1046" s="73"/>
      <c r="AI1046" s="73"/>
      <c r="AJ1046" s="168"/>
      <c r="AK1046" s="73"/>
      <c r="AL1046" s="73"/>
      <c r="AM1046" s="73"/>
      <c r="AN1046" s="73"/>
      <c r="AO1046" s="73"/>
      <c r="AP1046" s="73"/>
      <c r="AQ1046" s="73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5"/>
      <c r="BG1046" s="73"/>
      <c r="BH1046" s="88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</row>
    <row r="1047">
      <c r="A1047" s="73"/>
      <c r="B1047" s="73"/>
      <c r="C1047" s="73"/>
      <c r="D1047" s="73"/>
      <c r="E1047" s="140"/>
      <c r="F1047" s="80"/>
      <c r="G1047" s="80"/>
      <c r="H1047" s="73"/>
      <c r="I1047" s="73"/>
      <c r="J1047" s="73"/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73"/>
      <c r="V1047" s="73"/>
      <c r="W1047" s="73"/>
      <c r="X1047" s="73"/>
      <c r="Y1047" s="73"/>
      <c r="Z1047" s="73"/>
      <c r="AA1047" s="73"/>
      <c r="AB1047" s="73"/>
      <c r="AC1047" s="73"/>
      <c r="AD1047" s="73"/>
      <c r="AE1047" s="73"/>
      <c r="AF1047" s="73"/>
      <c r="AG1047" s="73"/>
      <c r="AH1047" s="73"/>
      <c r="AI1047" s="73"/>
      <c r="AJ1047" s="168"/>
      <c r="AK1047" s="73"/>
      <c r="AL1047" s="73"/>
      <c r="AM1047" s="73"/>
      <c r="AN1047" s="73"/>
      <c r="AO1047" s="73"/>
      <c r="AP1047" s="73"/>
      <c r="AQ1047" s="73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5"/>
      <c r="BG1047" s="73"/>
      <c r="BH1047" s="88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</row>
    <row r="1048">
      <c r="A1048" s="73"/>
      <c r="B1048" s="73"/>
      <c r="C1048" s="73"/>
      <c r="D1048" s="73"/>
      <c r="E1048" s="140"/>
      <c r="F1048" s="80"/>
      <c r="G1048" s="80"/>
      <c r="H1048" s="73"/>
      <c r="I1048" s="73"/>
      <c r="J1048" s="73"/>
      <c r="K1048" s="73"/>
      <c r="L1048" s="73"/>
      <c r="M1048" s="73"/>
      <c r="N1048" s="73"/>
      <c r="O1048" s="73"/>
      <c r="P1048" s="73"/>
      <c r="Q1048" s="73"/>
      <c r="R1048" s="73"/>
      <c r="S1048" s="73"/>
      <c r="T1048" s="73"/>
      <c r="U1048" s="73"/>
      <c r="V1048" s="73"/>
      <c r="W1048" s="73"/>
      <c r="X1048" s="73"/>
      <c r="Y1048" s="73"/>
      <c r="Z1048" s="73"/>
      <c r="AA1048" s="73"/>
      <c r="AB1048" s="73"/>
      <c r="AC1048" s="73"/>
      <c r="AD1048" s="73"/>
      <c r="AE1048" s="73"/>
      <c r="AF1048" s="73"/>
      <c r="AG1048" s="73"/>
      <c r="AH1048" s="73"/>
      <c r="AI1048" s="73"/>
      <c r="AJ1048" s="168"/>
      <c r="AK1048" s="73"/>
      <c r="AL1048" s="73"/>
      <c r="AM1048" s="73"/>
      <c r="AN1048" s="73"/>
      <c r="AO1048" s="73"/>
      <c r="AP1048" s="73"/>
      <c r="AQ1048" s="73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5"/>
      <c r="BG1048" s="73"/>
      <c r="BH1048" s="88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</row>
    <row r="1049">
      <c r="A1049" s="73"/>
      <c r="B1049" s="73"/>
      <c r="C1049" s="73"/>
      <c r="D1049" s="73"/>
      <c r="E1049" s="140"/>
      <c r="F1049" s="80"/>
      <c r="G1049" s="80"/>
      <c r="H1049" s="73"/>
      <c r="I1049" s="73"/>
      <c r="J1049" s="73"/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3"/>
      <c r="X1049" s="73"/>
      <c r="Y1049" s="73"/>
      <c r="Z1049" s="73"/>
      <c r="AA1049" s="73"/>
      <c r="AB1049" s="73"/>
      <c r="AC1049" s="73"/>
      <c r="AD1049" s="73"/>
      <c r="AE1049" s="73"/>
      <c r="AF1049" s="73"/>
      <c r="AG1049" s="73"/>
      <c r="AH1049" s="73"/>
      <c r="AI1049" s="73"/>
      <c r="AJ1049" s="168"/>
      <c r="AK1049" s="73"/>
      <c r="AL1049" s="73"/>
      <c r="AM1049" s="73"/>
      <c r="AN1049" s="73"/>
      <c r="AO1049" s="73"/>
      <c r="AP1049" s="73"/>
      <c r="AQ1049" s="73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5"/>
      <c r="BG1049" s="73"/>
      <c r="BH1049" s="88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</row>
    <row r="1050">
      <c r="A1050" s="73"/>
      <c r="B1050" s="73"/>
      <c r="C1050" s="73"/>
      <c r="D1050" s="73"/>
      <c r="E1050" s="140"/>
      <c r="F1050" s="80"/>
      <c r="G1050" s="80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3"/>
      <c r="X1050" s="73"/>
      <c r="Y1050" s="73"/>
      <c r="Z1050" s="73"/>
      <c r="AA1050" s="73"/>
      <c r="AB1050" s="73"/>
      <c r="AC1050" s="73"/>
      <c r="AD1050" s="73"/>
      <c r="AE1050" s="73"/>
      <c r="AF1050" s="73"/>
      <c r="AG1050" s="73"/>
      <c r="AH1050" s="73"/>
      <c r="AI1050" s="73"/>
      <c r="AJ1050" s="168"/>
      <c r="AK1050" s="73"/>
      <c r="AL1050" s="73"/>
      <c r="AM1050" s="73"/>
      <c r="AN1050" s="73"/>
      <c r="AO1050" s="73"/>
      <c r="AP1050" s="73"/>
      <c r="AQ1050" s="73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5"/>
      <c r="BG1050" s="73"/>
      <c r="BH1050" s="88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</row>
    <row r="1051">
      <c r="A1051" s="73"/>
      <c r="B1051" s="73"/>
      <c r="C1051" s="73"/>
      <c r="D1051" s="73"/>
      <c r="E1051" s="140"/>
      <c r="F1051" s="80"/>
      <c r="G1051" s="80"/>
      <c r="H1051" s="73"/>
      <c r="I1051" s="73"/>
      <c r="J1051" s="73"/>
      <c r="K1051" s="73"/>
      <c r="L1051" s="73"/>
      <c r="M1051" s="73"/>
      <c r="N1051" s="73"/>
      <c r="O1051" s="73"/>
      <c r="P1051" s="73"/>
      <c r="Q1051" s="73"/>
      <c r="R1051" s="73"/>
      <c r="S1051" s="73"/>
      <c r="T1051" s="73"/>
      <c r="U1051" s="73"/>
      <c r="V1051" s="73"/>
      <c r="W1051" s="73"/>
      <c r="X1051" s="73"/>
      <c r="Y1051" s="73"/>
      <c r="Z1051" s="73"/>
      <c r="AA1051" s="73"/>
      <c r="AB1051" s="73"/>
      <c r="AC1051" s="73"/>
      <c r="AD1051" s="73"/>
      <c r="AE1051" s="73"/>
      <c r="AF1051" s="73"/>
      <c r="AG1051" s="73"/>
      <c r="AH1051" s="73"/>
      <c r="AI1051" s="73"/>
      <c r="AJ1051" s="168"/>
      <c r="AK1051" s="73"/>
      <c r="AL1051" s="73"/>
      <c r="AM1051" s="73"/>
      <c r="AN1051" s="73"/>
      <c r="AO1051" s="73"/>
      <c r="AP1051" s="73"/>
      <c r="AQ1051" s="73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5"/>
      <c r="BG1051" s="73"/>
      <c r="BH1051" s="88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</row>
    <row r="1052">
      <c r="A1052" s="73"/>
      <c r="B1052" s="73"/>
      <c r="C1052" s="73"/>
      <c r="D1052" s="73"/>
      <c r="E1052" s="140"/>
      <c r="F1052" s="80"/>
      <c r="G1052" s="80"/>
      <c r="H1052" s="73"/>
      <c r="I1052" s="73"/>
      <c r="J1052" s="73"/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3"/>
      <c r="X1052" s="73"/>
      <c r="Y1052" s="73"/>
      <c r="Z1052" s="73"/>
      <c r="AA1052" s="73"/>
      <c r="AB1052" s="73"/>
      <c r="AC1052" s="73"/>
      <c r="AD1052" s="73"/>
      <c r="AE1052" s="73"/>
      <c r="AF1052" s="73"/>
      <c r="AG1052" s="73"/>
      <c r="AH1052" s="73"/>
      <c r="AI1052" s="73"/>
      <c r="AJ1052" s="168"/>
      <c r="AK1052" s="73"/>
      <c r="AL1052" s="73"/>
      <c r="AM1052" s="73"/>
      <c r="AN1052" s="73"/>
      <c r="AO1052" s="73"/>
      <c r="AP1052" s="73"/>
      <c r="AQ1052" s="73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5"/>
      <c r="BG1052" s="73"/>
      <c r="BH1052" s="88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</row>
    <row r="1053">
      <c r="A1053" s="73"/>
      <c r="B1053" s="73"/>
      <c r="C1053" s="73"/>
      <c r="D1053" s="73"/>
      <c r="E1053" s="140"/>
      <c r="F1053" s="80"/>
      <c r="G1053" s="80"/>
      <c r="H1053" s="73"/>
      <c r="I1053" s="73"/>
      <c r="J1053" s="73"/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3"/>
      <c r="X1053" s="73"/>
      <c r="Y1053" s="73"/>
      <c r="Z1053" s="73"/>
      <c r="AA1053" s="73"/>
      <c r="AB1053" s="73"/>
      <c r="AC1053" s="73"/>
      <c r="AD1053" s="73"/>
      <c r="AE1053" s="73"/>
      <c r="AF1053" s="73"/>
      <c r="AG1053" s="73"/>
      <c r="AH1053" s="73"/>
      <c r="AI1053" s="73"/>
      <c r="AJ1053" s="168"/>
      <c r="AK1053" s="73"/>
      <c r="AL1053" s="73"/>
      <c r="AM1053" s="73"/>
      <c r="AN1053" s="73"/>
      <c r="AO1053" s="73"/>
      <c r="AP1053" s="73"/>
      <c r="AQ1053" s="73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5"/>
      <c r="BG1053" s="73"/>
      <c r="BH1053" s="88"/>
      <c r="BI1053" s="73"/>
      <c r="BJ1053" s="73"/>
      <c r="BK1053" s="73"/>
      <c r="BL1053" s="73"/>
      <c r="BM1053" s="73"/>
      <c r="BN1053" s="73"/>
      <c r="BO1053" s="73"/>
      <c r="BP1053" s="73"/>
      <c r="BQ1053" s="73"/>
      <c r="BR1053" s="73"/>
      <c r="BS1053" s="73"/>
      <c r="BT1053" s="73"/>
      <c r="BU1053" s="73"/>
      <c r="BV1053" s="73"/>
      <c r="BW1053" s="73"/>
      <c r="BX1053" s="73"/>
      <c r="BY1053" s="73"/>
      <c r="BZ1053" s="73"/>
      <c r="CA1053" s="73"/>
      <c r="CB1053" s="73"/>
      <c r="CC1053" s="73"/>
      <c r="CD1053" s="73"/>
      <c r="CE1053" s="73"/>
      <c r="CF1053" s="73"/>
      <c r="CG1053" s="73"/>
      <c r="CH1053" s="73"/>
    </row>
    <row r="1054">
      <c r="A1054" s="73"/>
      <c r="B1054" s="73"/>
      <c r="C1054" s="73"/>
      <c r="D1054" s="73"/>
      <c r="E1054" s="140"/>
      <c r="F1054" s="80"/>
      <c r="G1054" s="80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3"/>
      <c r="X1054" s="73"/>
      <c r="Y1054" s="73"/>
      <c r="Z1054" s="73"/>
      <c r="AA1054" s="73"/>
      <c r="AB1054" s="73"/>
      <c r="AC1054" s="73"/>
      <c r="AD1054" s="73"/>
      <c r="AE1054" s="73"/>
      <c r="AF1054" s="73"/>
      <c r="AG1054" s="73"/>
      <c r="AH1054" s="73"/>
      <c r="AI1054" s="73"/>
      <c r="AJ1054" s="168"/>
      <c r="AK1054" s="73"/>
      <c r="AL1054" s="73"/>
      <c r="AM1054" s="73"/>
      <c r="AN1054" s="73"/>
      <c r="AO1054" s="73"/>
      <c r="AP1054" s="73"/>
      <c r="AQ1054" s="73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5"/>
      <c r="BG1054" s="73"/>
      <c r="BH1054" s="88"/>
      <c r="BI1054" s="73"/>
      <c r="BJ1054" s="73"/>
      <c r="BK1054" s="73"/>
      <c r="BL1054" s="73"/>
      <c r="BM1054" s="73"/>
      <c r="BN1054" s="73"/>
      <c r="BO1054" s="73"/>
      <c r="BP1054" s="73"/>
      <c r="BQ1054" s="73"/>
      <c r="BR1054" s="73"/>
      <c r="BS1054" s="73"/>
      <c r="BT1054" s="73"/>
      <c r="BU1054" s="73"/>
      <c r="BV1054" s="73"/>
      <c r="BW1054" s="73"/>
      <c r="BX1054" s="73"/>
      <c r="BY1054" s="73"/>
      <c r="BZ1054" s="73"/>
      <c r="CA1054" s="73"/>
      <c r="CB1054" s="73"/>
      <c r="CC1054" s="73"/>
      <c r="CD1054" s="73"/>
      <c r="CE1054" s="73"/>
      <c r="CF1054" s="73"/>
      <c r="CG1054" s="73"/>
      <c r="CH1054" s="73"/>
    </row>
    <row r="1055">
      <c r="A1055" s="73"/>
      <c r="B1055" s="73"/>
      <c r="C1055" s="73"/>
      <c r="D1055" s="73"/>
      <c r="E1055" s="140"/>
      <c r="F1055" s="80"/>
      <c r="G1055" s="80"/>
      <c r="H1055" s="73"/>
      <c r="I1055" s="73"/>
      <c r="J1055" s="73"/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3"/>
      <c r="X1055" s="73"/>
      <c r="Y1055" s="73"/>
      <c r="Z1055" s="73"/>
      <c r="AA1055" s="73"/>
      <c r="AB1055" s="73"/>
      <c r="AC1055" s="73"/>
      <c r="AD1055" s="73"/>
      <c r="AE1055" s="73"/>
      <c r="AF1055" s="73"/>
      <c r="AG1055" s="73"/>
      <c r="AH1055" s="73"/>
      <c r="AI1055" s="73"/>
      <c r="AJ1055" s="168"/>
      <c r="AK1055" s="73"/>
      <c r="AL1055" s="73"/>
      <c r="AM1055" s="73"/>
      <c r="AN1055" s="73"/>
      <c r="AO1055" s="73"/>
      <c r="AP1055" s="73"/>
      <c r="AQ1055" s="73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5"/>
      <c r="BG1055" s="73"/>
      <c r="BH1055" s="88"/>
      <c r="BI1055" s="73"/>
      <c r="BJ1055" s="73"/>
      <c r="BK1055" s="73"/>
      <c r="BL1055" s="73"/>
      <c r="BM1055" s="73"/>
      <c r="BN1055" s="73"/>
      <c r="BO1055" s="73"/>
      <c r="BP1055" s="73"/>
      <c r="BQ1055" s="73"/>
      <c r="BR1055" s="73"/>
      <c r="BS1055" s="73"/>
      <c r="BT1055" s="73"/>
      <c r="BU1055" s="73"/>
      <c r="BV1055" s="73"/>
      <c r="BW1055" s="73"/>
      <c r="BX1055" s="73"/>
      <c r="BY1055" s="73"/>
      <c r="BZ1055" s="73"/>
      <c r="CA1055" s="73"/>
      <c r="CB1055" s="73"/>
      <c r="CC1055" s="73"/>
      <c r="CD1055" s="73"/>
      <c r="CE1055" s="73"/>
      <c r="CF1055" s="73"/>
      <c r="CG1055" s="73"/>
      <c r="CH1055" s="73"/>
    </row>
    <row r="1056">
      <c r="A1056" s="73"/>
      <c r="B1056" s="73"/>
      <c r="C1056" s="73"/>
      <c r="D1056" s="73"/>
      <c r="E1056" s="140"/>
      <c r="F1056" s="80"/>
      <c r="G1056" s="80"/>
      <c r="H1056" s="73"/>
      <c r="I1056" s="73"/>
      <c r="J1056" s="73"/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3"/>
      <c r="X1056" s="73"/>
      <c r="Y1056" s="73"/>
      <c r="Z1056" s="73"/>
      <c r="AA1056" s="73"/>
      <c r="AB1056" s="73"/>
      <c r="AC1056" s="73"/>
      <c r="AD1056" s="73"/>
      <c r="AE1056" s="73"/>
      <c r="AF1056" s="73"/>
      <c r="AG1056" s="73"/>
      <c r="AH1056" s="73"/>
      <c r="AI1056" s="73"/>
      <c r="AJ1056" s="168"/>
      <c r="AK1056" s="73"/>
      <c r="AL1056" s="73"/>
      <c r="AM1056" s="73"/>
      <c r="AN1056" s="73"/>
      <c r="AO1056" s="73"/>
      <c r="AP1056" s="73"/>
      <c r="AQ1056" s="73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5"/>
      <c r="BG1056" s="73"/>
      <c r="BH1056" s="88"/>
      <c r="BI1056" s="73"/>
      <c r="BJ1056" s="73"/>
      <c r="BK1056" s="73"/>
      <c r="BL1056" s="73"/>
      <c r="BM1056" s="73"/>
      <c r="BN1056" s="73"/>
      <c r="BO1056" s="73"/>
      <c r="BP1056" s="73"/>
      <c r="BQ1056" s="73"/>
      <c r="BR1056" s="73"/>
      <c r="BS1056" s="73"/>
      <c r="BT1056" s="73"/>
      <c r="BU1056" s="73"/>
      <c r="BV1056" s="73"/>
      <c r="BW1056" s="73"/>
      <c r="BX1056" s="73"/>
      <c r="BY1056" s="73"/>
      <c r="BZ1056" s="73"/>
      <c r="CA1056" s="73"/>
      <c r="CB1056" s="73"/>
      <c r="CC1056" s="73"/>
      <c r="CD1056" s="73"/>
      <c r="CE1056" s="73"/>
      <c r="CF1056" s="73"/>
      <c r="CG1056" s="73"/>
      <c r="CH1056" s="73"/>
    </row>
    <row r="1057">
      <c r="A1057" s="73"/>
      <c r="B1057" s="73"/>
      <c r="C1057" s="73"/>
      <c r="D1057" s="73"/>
      <c r="E1057" s="140"/>
      <c r="F1057" s="80"/>
      <c r="G1057" s="80"/>
      <c r="H1057" s="73"/>
      <c r="I1057" s="73"/>
      <c r="J1057" s="73"/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73"/>
      <c r="Y1057" s="73"/>
      <c r="Z1057" s="73"/>
      <c r="AA1057" s="73"/>
      <c r="AB1057" s="73"/>
      <c r="AC1057" s="73"/>
      <c r="AD1057" s="73"/>
      <c r="AE1057" s="73"/>
      <c r="AF1057" s="73"/>
      <c r="AG1057" s="73"/>
      <c r="AH1057" s="73"/>
      <c r="AI1057" s="73"/>
      <c r="AJ1057" s="168"/>
      <c r="AK1057" s="73"/>
      <c r="AL1057" s="73"/>
      <c r="AM1057" s="73"/>
      <c r="AN1057" s="73"/>
      <c r="AO1057" s="73"/>
      <c r="AP1057" s="73"/>
      <c r="AQ1057" s="73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5"/>
      <c r="BG1057" s="73"/>
      <c r="BH1057" s="88"/>
      <c r="BI1057" s="73"/>
      <c r="BJ1057" s="73"/>
      <c r="BK1057" s="73"/>
      <c r="BL1057" s="73"/>
      <c r="BM1057" s="73"/>
      <c r="BN1057" s="73"/>
      <c r="BO1057" s="73"/>
      <c r="BP1057" s="73"/>
      <c r="BQ1057" s="73"/>
      <c r="BR1057" s="73"/>
      <c r="BS1057" s="73"/>
      <c r="BT1057" s="73"/>
      <c r="BU1057" s="73"/>
      <c r="BV1057" s="73"/>
      <c r="BW1057" s="73"/>
      <c r="BX1057" s="73"/>
      <c r="BY1057" s="73"/>
      <c r="BZ1057" s="73"/>
      <c r="CA1057" s="73"/>
      <c r="CB1057" s="73"/>
      <c r="CC1057" s="73"/>
      <c r="CD1057" s="73"/>
      <c r="CE1057" s="73"/>
      <c r="CF1057" s="73"/>
      <c r="CG1057" s="73"/>
      <c r="CH1057" s="73"/>
    </row>
    <row r="1058">
      <c r="A1058" s="73"/>
      <c r="B1058" s="73"/>
      <c r="C1058" s="73"/>
      <c r="D1058" s="73"/>
      <c r="E1058" s="140"/>
      <c r="F1058" s="80"/>
      <c r="G1058" s="80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3"/>
      <c r="X1058" s="73"/>
      <c r="Y1058" s="73"/>
      <c r="Z1058" s="73"/>
      <c r="AA1058" s="73"/>
      <c r="AB1058" s="73"/>
      <c r="AC1058" s="73"/>
      <c r="AD1058" s="73"/>
      <c r="AE1058" s="73"/>
      <c r="AF1058" s="73"/>
      <c r="AG1058" s="73"/>
      <c r="AH1058" s="73"/>
      <c r="AI1058" s="73"/>
      <c r="AJ1058" s="168"/>
      <c r="AK1058" s="73"/>
      <c r="AL1058" s="73"/>
      <c r="AM1058" s="73"/>
      <c r="AN1058" s="73"/>
      <c r="AO1058" s="73"/>
      <c r="AP1058" s="73"/>
      <c r="AQ1058" s="73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5"/>
      <c r="BG1058" s="73"/>
      <c r="BH1058" s="88"/>
      <c r="BI1058" s="73"/>
      <c r="BJ1058" s="73"/>
      <c r="BK1058" s="73"/>
      <c r="BL1058" s="73"/>
      <c r="BM1058" s="73"/>
      <c r="BN1058" s="73"/>
      <c r="BO1058" s="73"/>
      <c r="BP1058" s="73"/>
      <c r="BQ1058" s="73"/>
      <c r="BR1058" s="73"/>
      <c r="BS1058" s="73"/>
      <c r="BT1058" s="73"/>
      <c r="BU1058" s="73"/>
      <c r="BV1058" s="73"/>
      <c r="BW1058" s="73"/>
      <c r="BX1058" s="73"/>
      <c r="BY1058" s="73"/>
      <c r="BZ1058" s="73"/>
      <c r="CA1058" s="73"/>
      <c r="CB1058" s="73"/>
      <c r="CC1058" s="73"/>
      <c r="CD1058" s="73"/>
      <c r="CE1058" s="73"/>
      <c r="CF1058" s="73"/>
      <c r="CG1058" s="73"/>
      <c r="CH1058" s="73"/>
    </row>
    <row r="1059">
      <c r="A1059" s="73"/>
      <c r="B1059" s="73"/>
      <c r="C1059" s="73"/>
      <c r="D1059" s="73"/>
      <c r="E1059" s="140"/>
      <c r="F1059" s="80"/>
      <c r="G1059" s="80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  <c r="AA1059" s="73"/>
      <c r="AB1059" s="73"/>
      <c r="AC1059" s="73"/>
      <c r="AD1059" s="73"/>
      <c r="AE1059" s="73"/>
      <c r="AF1059" s="73"/>
      <c r="AG1059" s="73"/>
      <c r="AH1059" s="73"/>
      <c r="AI1059" s="73"/>
      <c r="AJ1059" s="168"/>
      <c r="AK1059" s="73"/>
      <c r="AL1059" s="73"/>
      <c r="AM1059" s="73"/>
      <c r="AN1059" s="73"/>
      <c r="AO1059" s="73"/>
      <c r="AP1059" s="73"/>
      <c r="AQ1059" s="73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5"/>
      <c r="BG1059" s="73"/>
      <c r="BH1059" s="88"/>
      <c r="BI1059" s="73"/>
      <c r="BJ1059" s="73"/>
      <c r="BK1059" s="73"/>
      <c r="BL1059" s="73"/>
      <c r="BM1059" s="73"/>
      <c r="BN1059" s="73"/>
      <c r="BO1059" s="73"/>
      <c r="BP1059" s="73"/>
      <c r="BQ1059" s="73"/>
      <c r="BR1059" s="73"/>
      <c r="BS1059" s="73"/>
      <c r="BT1059" s="73"/>
      <c r="BU1059" s="73"/>
      <c r="BV1059" s="73"/>
      <c r="BW1059" s="73"/>
      <c r="BX1059" s="73"/>
      <c r="BY1059" s="73"/>
      <c r="BZ1059" s="73"/>
      <c r="CA1059" s="73"/>
      <c r="CB1059" s="73"/>
      <c r="CC1059" s="73"/>
      <c r="CD1059" s="73"/>
      <c r="CE1059" s="73"/>
      <c r="CF1059" s="73"/>
      <c r="CG1059" s="73"/>
      <c r="CH1059" s="73"/>
    </row>
    <row r="1060">
      <c r="A1060" s="73"/>
      <c r="B1060" s="73"/>
      <c r="C1060" s="73"/>
      <c r="D1060" s="73"/>
      <c r="E1060" s="140"/>
      <c r="F1060" s="80"/>
      <c r="G1060" s="80"/>
      <c r="H1060" s="73"/>
      <c r="I1060" s="73"/>
      <c r="J1060" s="73"/>
      <c r="K1060" s="73"/>
      <c r="L1060" s="73"/>
      <c r="M1060" s="73"/>
      <c r="N1060" s="73"/>
      <c r="O1060" s="73"/>
      <c r="P1060" s="73"/>
      <c r="Q1060" s="73"/>
      <c r="R1060" s="73"/>
      <c r="S1060" s="73"/>
      <c r="T1060" s="73"/>
      <c r="U1060" s="73"/>
      <c r="V1060" s="73"/>
      <c r="W1060" s="73"/>
      <c r="X1060" s="73"/>
      <c r="Y1060" s="73"/>
      <c r="Z1060" s="73"/>
      <c r="AA1060" s="73"/>
      <c r="AB1060" s="73"/>
      <c r="AC1060" s="73"/>
      <c r="AD1060" s="73"/>
      <c r="AE1060" s="73"/>
      <c r="AF1060" s="73"/>
      <c r="AG1060" s="73"/>
      <c r="AH1060" s="73"/>
      <c r="AI1060" s="73"/>
      <c r="AJ1060" s="168"/>
      <c r="AK1060" s="73"/>
      <c r="AL1060" s="73"/>
      <c r="AM1060" s="73"/>
      <c r="AN1060" s="73"/>
      <c r="AO1060" s="73"/>
      <c r="AP1060" s="73"/>
      <c r="AQ1060" s="73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5"/>
      <c r="BG1060" s="73"/>
      <c r="BH1060" s="88"/>
      <c r="BI1060" s="73"/>
      <c r="BJ1060" s="73"/>
      <c r="BK1060" s="73"/>
      <c r="BL1060" s="73"/>
      <c r="BM1060" s="73"/>
      <c r="BN1060" s="73"/>
      <c r="BO1060" s="73"/>
      <c r="BP1060" s="73"/>
      <c r="BQ1060" s="73"/>
      <c r="BR1060" s="73"/>
      <c r="BS1060" s="73"/>
      <c r="BT1060" s="73"/>
      <c r="BU1060" s="73"/>
      <c r="BV1060" s="73"/>
      <c r="BW1060" s="73"/>
      <c r="BX1060" s="73"/>
      <c r="BY1060" s="73"/>
      <c r="BZ1060" s="73"/>
      <c r="CA1060" s="73"/>
      <c r="CB1060" s="73"/>
      <c r="CC1060" s="73"/>
      <c r="CD1060" s="73"/>
      <c r="CE1060" s="73"/>
      <c r="CF1060" s="73"/>
      <c r="CG1060" s="73"/>
      <c r="CH1060" s="73"/>
    </row>
    <row r="1061">
      <c r="A1061" s="73"/>
      <c r="B1061" s="73"/>
      <c r="C1061" s="73"/>
      <c r="D1061" s="73"/>
      <c r="E1061" s="140"/>
      <c r="F1061" s="80"/>
      <c r="G1061" s="80"/>
      <c r="H1061" s="73"/>
      <c r="I1061" s="73"/>
      <c r="J1061" s="73"/>
      <c r="K1061" s="73"/>
      <c r="L1061" s="73"/>
      <c r="M1061" s="73"/>
      <c r="N1061" s="73"/>
      <c r="O1061" s="73"/>
      <c r="P1061" s="73"/>
      <c r="Q1061" s="73"/>
      <c r="R1061" s="73"/>
      <c r="S1061" s="73"/>
      <c r="T1061" s="73"/>
      <c r="U1061" s="73"/>
      <c r="V1061" s="73"/>
      <c r="W1061" s="73"/>
      <c r="X1061" s="73"/>
      <c r="Y1061" s="73"/>
      <c r="Z1061" s="73"/>
      <c r="AA1061" s="73"/>
      <c r="AB1061" s="73"/>
      <c r="AC1061" s="73"/>
      <c r="AD1061" s="73"/>
      <c r="AE1061" s="73"/>
      <c r="AF1061" s="73"/>
      <c r="AG1061" s="73"/>
      <c r="AH1061" s="73"/>
      <c r="AI1061" s="73"/>
      <c r="AJ1061" s="168"/>
      <c r="AK1061" s="73"/>
      <c r="AL1061" s="73"/>
      <c r="AM1061" s="73"/>
      <c r="AN1061" s="73"/>
      <c r="AO1061" s="73"/>
      <c r="AP1061" s="73"/>
      <c r="AQ1061" s="73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5"/>
      <c r="BG1061" s="73"/>
      <c r="BH1061" s="88"/>
      <c r="BI1061" s="73"/>
      <c r="BJ1061" s="73"/>
      <c r="BK1061" s="73"/>
      <c r="BL1061" s="73"/>
      <c r="BM1061" s="73"/>
      <c r="BN1061" s="73"/>
      <c r="BO1061" s="73"/>
      <c r="BP1061" s="73"/>
      <c r="BQ1061" s="73"/>
      <c r="BR1061" s="73"/>
      <c r="BS1061" s="73"/>
      <c r="BT1061" s="73"/>
      <c r="BU1061" s="73"/>
      <c r="BV1061" s="73"/>
      <c r="BW1061" s="73"/>
      <c r="BX1061" s="73"/>
      <c r="BY1061" s="73"/>
      <c r="BZ1061" s="73"/>
      <c r="CA1061" s="73"/>
      <c r="CB1061" s="73"/>
      <c r="CC1061" s="73"/>
      <c r="CD1061" s="73"/>
      <c r="CE1061" s="73"/>
      <c r="CF1061" s="73"/>
      <c r="CG1061" s="73"/>
      <c r="CH1061" s="73"/>
    </row>
    <row r="1062">
      <c r="A1062" s="73"/>
      <c r="B1062" s="73"/>
      <c r="C1062" s="73"/>
      <c r="D1062" s="73"/>
      <c r="E1062" s="140"/>
      <c r="F1062" s="80"/>
      <c r="G1062" s="80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  <c r="X1062" s="73"/>
      <c r="Y1062" s="73"/>
      <c r="Z1062" s="73"/>
      <c r="AA1062" s="73"/>
      <c r="AB1062" s="73"/>
      <c r="AC1062" s="73"/>
      <c r="AD1062" s="73"/>
      <c r="AE1062" s="73"/>
      <c r="AF1062" s="73"/>
      <c r="AG1062" s="73"/>
      <c r="AH1062" s="73"/>
      <c r="AI1062" s="73"/>
      <c r="AJ1062" s="168"/>
      <c r="AK1062" s="73"/>
      <c r="AL1062" s="73"/>
      <c r="AM1062" s="73"/>
      <c r="AN1062" s="73"/>
      <c r="AO1062" s="73"/>
      <c r="AP1062" s="73"/>
      <c r="AQ1062" s="73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5"/>
      <c r="BG1062" s="73"/>
      <c r="BH1062" s="88"/>
      <c r="BI1062" s="73"/>
      <c r="BJ1062" s="73"/>
      <c r="BK1062" s="73"/>
      <c r="BL1062" s="73"/>
      <c r="BM1062" s="73"/>
      <c r="BN1062" s="73"/>
      <c r="BO1062" s="73"/>
      <c r="BP1062" s="73"/>
      <c r="BQ1062" s="73"/>
      <c r="BR1062" s="73"/>
      <c r="BS1062" s="73"/>
      <c r="BT1062" s="73"/>
      <c r="BU1062" s="73"/>
      <c r="BV1062" s="73"/>
      <c r="BW1062" s="73"/>
      <c r="BX1062" s="73"/>
      <c r="BY1062" s="73"/>
      <c r="BZ1062" s="73"/>
      <c r="CA1062" s="73"/>
      <c r="CB1062" s="73"/>
      <c r="CC1062" s="73"/>
      <c r="CD1062" s="73"/>
      <c r="CE1062" s="73"/>
      <c r="CF1062" s="73"/>
      <c r="CG1062" s="73"/>
      <c r="CH1062" s="73"/>
    </row>
    <row r="1063">
      <c r="A1063" s="73"/>
      <c r="B1063" s="73"/>
      <c r="C1063" s="73"/>
      <c r="D1063" s="73"/>
      <c r="E1063" s="140"/>
      <c r="F1063" s="80"/>
      <c r="G1063" s="80"/>
      <c r="H1063" s="73"/>
      <c r="I1063" s="73"/>
      <c r="J1063" s="73"/>
      <c r="K1063" s="73"/>
      <c r="L1063" s="73"/>
      <c r="M1063" s="73"/>
      <c r="N1063" s="73"/>
      <c r="O1063" s="73"/>
      <c r="P1063" s="73"/>
      <c r="Q1063" s="73"/>
      <c r="R1063" s="73"/>
      <c r="S1063" s="73"/>
      <c r="T1063" s="73"/>
      <c r="U1063" s="73"/>
      <c r="V1063" s="73"/>
      <c r="W1063" s="73"/>
      <c r="X1063" s="73"/>
      <c r="Y1063" s="73"/>
      <c r="Z1063" s="73"/>
      <c r="AA1063" s="73"/>
      <c r="AB1063" s="73"/>
      <c r="AC1063" s="73"/>
      <c r="AD1063" s="73"/>
      <c r="AE1063" s="73"/>
      <c r="AF1063" s="73"/>
      <c r="AG1063" s="73"/>
      <c r="AH1063" s="73"/>
      <c r="AI1063" s="73"/>
      <c r="AJ1063" s="168"/>
      <c r="AK1063" s="73"/>
      <c r="AL1063" s="73"/>
      <c r="AM1063" s="73"/>
      <c r="AN1063" s="73"/>
      <c r="AO1063" s="73"/>
      <c r="AP1063" s="73"/>
      <c r="AQ1063" s="73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5"/>
      <c r="BG1063" s="73"/>
      <c r="BH1063" s="88"/>
      <c r="BI1063" s="73"/>
      <c r="BJ1063" s="73"/>
      <c r="BK1063" s="73"/>
      <c r="BL1063" s="73"/>
      <c r="BM1063" s="73"/>
      <c r="BN1063" s="73"/>
      <c r="BO1063" s="73"/>
      <c r="BP1063" s="73"/>
      <c r="BQ1063" s="73"/>
      <c r="BR1063" s="73"/>
      <c r="BS1063" s="73"/>
      <c r="BT1063" s="73"/>
      <c r="BU1063" s="73"/>
      <c r="BV1063" s="73"/>
      <c r="BW1063" s="73"/>
      <c r="BX1063" s="73"/>
      <c r="BY1063" s="73"/>
      <c r="BZ1063" s="73"/>
      <c r="CA1063" s="73"/>
      <c r="CB1063" s="73"/>
      <c r="CC1063" s="73"/>
      <c r="CD1063" s="73"/>
      <c r="CE1063" s="73"/>
      <c r="CF1063" s="73"/>
      <c r="CG1063" s="73"/>
      <c r="CH1063" s="73"/>
    </row>
    <row r="1064">
      <c r="A1064" s="73"/>
      <c r="B1064" s="73"/>
      <c r="C1064" s="73"/>
      <c r="D1064" s="73"/>
      <c r="E1064" s="140"/>
      <c r="F1064" s="80"/>
      <c r="G1064" s="80"/>
      <c r="H1064" s="73"/>
      <c r="I1064" s="73"/>
      <c r="J1064" s="73"/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73"/>
      <c r="V1064" s="73"/>
      <c r="W1064" s="73"/>
      <c r="X1064" s="73"/>
      <c r="Y1064" s="73"/>
      <c r="Z1064" s="73"/>
      <c r="AA1064" s="73"/>
      <c r="AB1064" s="73"/>
      <c r="AC1064" s="73"/>
      <c r="AD1064" s="73"/>
      <c r="AE1064" s="73"/>
      <c r="AF1064" s="73"/>
      <c r="AG1064" s="73"/>
      <c r="AH1064" s="73"/>
      <c r="AI1064" s="73"/>
      <c r="AJ1064" s="168"/>
      <c r="AK1064" s="73"/>
      <c r="AL1064" s="73"/>
      <c r="AM1064" s="73"/>
      <c r="AN1064" s="73"/>
      <c r="AO1064" s="73"/>
      <c r="AP1064" s="73"/>
      <c r="AQ1064" s="73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5"/>
      <c r="BG1064" s="73"/>
      <c r="BH1064" s="88"/>
      <c r="BI1064" s="73"/>
      <c r="BJ1064" s="73"/>
      <c r="BK1064" s="73"/>
      <c r="BL1064" s="73"/>
      <c r="BM1064" s="73"/>
      <c r="BN1064" s="73"/>
      <c r="BO1064" s="73"/>
      <c r="BP1064" s="73"/>
      <c r="BQ1064" s="73"/>
      <c r="BR1064" s="73"/>
      <c r="BS1064" s="73"/>
      <c r="BT1064" s="73"/>
      <c r="BU1064" s="73"/>
      <c r="BV1064" s="73"/>
      <c r="BW1064" s="73"/>
      <c r="BX1064" s="73"/>
      <c r="BY1064" s="73"/>
      <c r="BZ1064" s="73"/>
      <c r="CA1064" s="73"/>
      <c r="CB1064" s="73"/>
      <c r="CC1064" s="73"/>
      <c r="CD1064" s="73"/>
      <c r="CE1064" s="73"/>
      <c r="CF1064" s="73"/>
      <c r="CG1064" s="73"/>
      <c r="CH1064" s="73"/>
    </row>
    <row r="1065">
      <c r="A1065" s="73"/>
      <c r="B1065" s="73"/>
      <c r="C1065" s="73"/>
      <c r="D1065" s="73"/>
      <c r="E1065" s="140"/>
      <c r="F1065" s="80"/>
      <c r="G1065" s="80"/>
      <c r="H1065" s="73"/>
      <c r="I1065" s="73"/>
      <c r="J1065" s="73"/>
      <c r="K1065" s="73"/>
      <c r="L1065" s="73"/>
      <c r="M1065" s="73"/>
      <c r="N1065" s="73"/>
      <c r="O1065" s="73"/>
      <c r="P1065" s="73"/>
      <c r="Q1065" s="73"/>
      <c r="R1065" s="73"/>
      <c r="S1065" s="73"/>
      <c r="T1065" s="73"/>
      <c r="U1065" s="73"/>
      <c r="V1065" s="73"/>
      <c r="W1065" s="73"/>
      <c r="X1065" s="73"/>
      <c r="Y1065" s="73"/>
      <c r="Z1065" s="73"/>
      <c r="AA1065" s="73"/>
      <c r="AB1065" s="73"/>
      <c r="AC1065" s="73"/>
      <c r="AD1065" s="73"/>
      <c r="AE1065" s="73"/>
      <c r="AF1065" s="73"/>
      <c r="AG1065" s="73"/>
      <c r="AH1065" s="73"/>
      <c r="AI1065" s="73"/>
      <c r="AJ1065" s="168"/>
      <c r="AK1065" s="73"/>
      <c r="AL1065" s="73"/>
      <c r="AM1065" s="73"/>
      <c r="AN1065" s="73"/>
      <c r="AO1065" s="73"/>
      <c r="AP1065" s="73"/>
      <c r="AQ1065" s="73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5"/>
      <c r="BG1065" s="73"/>
      <c r="BH1065" s="88"/>
      <c r="BI1065" s="73"/>
      <c r="BJ1065" s="73"/>
      <c r="BK1065" s="73"/>
      <c r="BL1065" s="73"/>
      <c r="BM1065" s="73"/>
      <c r="BN1065" s="73"/>
      <c r="BO1065" s="73"/>
      <c r="BP1065" s="73"/>
      <c r="BQ1065" s="73"/>
      <c r="BR1065" s="73"/>
      <c r="BS1065" s="73"/>
      <c r="BT1065" s="73"/>
      <c r="BU1065" s="73"/>
      <c r="BV1065" s="73"/>
      <c r="BW1065" s="73"/>
      <c r="BX1065" s="73"/>
      <c r="BY1065" s="73"/>
      <c r="BZ1065" s="73"/>
      <c r="CA1065" s="73"/>
      <c r="CB1065" s="73"/>
      <c r="CC1065" s="73"/>
      <c r="CD1065" s="73"/>
      <c r="CE1065" s="73"/>
      <c r="CF1065" s="73"/>
      <c r="CG1065" s="73"/>
      <c r="CH1065" s="73"/>
    </row>
    <row r="1066">
      <c r="A1066" s="73"/>
      <c r="B1066" s="73"/>
      <c r="C1066" s="73"/>
      <c r="D1066" s="73"/>
      <c r="E1066" s="140"/>
      <c r="F1066" s="80"/>
      <c r="G1066" s="80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  <c r="S1066" s="73"/>
      <c r="T1066" s="73"/>
      <c r="U1066" s="73"/>
      <c r="V1066" s="73"/>
      <c r="W1066" s="73"/>
      <c r="X1066" s="73"/>
      <c r="Y1066" s="73"/>
      <c r="Z1066" s="73"/>
      <c r="AA1066" s="73"/>
      <c r="AB1066" s="73"/>
      <c r="AC1066" s="73"/>
      <c r="AD1066" s="73"/>
      <c r="AE1066" s="73"/>
      <c r="AF1066" s="73"/>
      <c r="AG1066" s="73"/>
      <c r="AH1066" s="73"/>
      <c r="AI1066" s="73"/>
      <c r="AJ1066" s="168"/>
      <c r="AK1066" s="73"/>
      <c r="AL1066" s="73"/>
      <c r="AM1066" s="73"/>
      <c r="AN1066" s="73"/>
      <c r="AO1066" s="73"/>
      <c r="AP1066" s="73"/>
      <c r="AQ1066" s="73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5"/>
      <c r="BG1066" s="73"/>
      <c r="BH1066" s="88"/>
      <c r="BI1066" s="73"/>
      <c r="BJ1066" s="73"/>
      <c r="BK1066" s="73"/>
      <c r="BL1066" s="73"/>
      <c r="BM1066" s="73"/>
      <c r="BN1066" s="73"/>
      <c r="BO1066" s="73"/>
      <c r="BP1066" s="73"/>
      <c r="BQ1066" s="73"/>
      <c r="BR1066" s="73"/>
      <c r="BS1066" s="73"/>
      <c r="BT1066" s="73"/>
      <c r="BU1066" s="73"/>
      <c r="BV1066" s="73"/>
      <c r="BW1066" s="73"/>
      <c r="BX1066" s="73"/>
      <c r="BY1066" s="73"/>
      <c r="BZ1066" s="73"/>
      <c r="CA1066" s="73"/>
      <c r="CB1066" s="73"/>
      <c r="CC1066" s="73"/>
      <c r="CD1066" s="73"/>
      <c r="CE1066" s="73"/>
      <c r="CF1066" s="73"/>
      <c r="CG1066" s="73"/>
      <c r="CH1066" s="73"/>
    </row>
    <row r="1067">
      <c r="A1067" s="73"/>
      <c r="B1067" s="73"/>
      <c r="C1067" s="73"/>
      <c r="D1067" s="73"/>
      <c r="E1067" s="140"/>
      <c r="F1067" s="80"/>
      <c r="G1067" s="80"/>
      <c r="H1067" s="73"/>
      <c r="I1067" s="73"/>
      <c r="J1067" s="73"/>
      <c r="K1067" s="73"/>
      <c r="L1067" s="73"/>
      <c r="M1067" s="73"/>
      <c r="N1067" s="73"/>
      <c r="O1067" s="73"/>
      <c r="P1067" s="73"/>
      <c r="Q1067" s="73"/>
      <c r="R1067" s="73"/>
      <c r="S1067" s="73"/>
      <c r="T1067" s="73"/>
      <c r="U1067" s="73"/>
      <c r="V1067" s="73"/>
      <c r="W1067" s="73"/>
      <c r="X1067" s="73"/>
      <c r="Y1067" s="73"/>
      <c r="Z1067" s="73"/>
      <c r="AA1067" s="73"/>
      <c r="AB1067" s="73"/>
      <c r="AC1067" s="73"/>
      <c r="AD1067" s="73"/>
      <c r="AE1067" s="73"/>
      <c r="AF1067" s="73"/>
      <c r="AG1067" s="73"/>
      <c r="AH1067" s="73"/>
      <c r="AI1067" s="73"/>
      <c r="AJ1067" s="168"/>
      <c r="AK1067" s="73"/>
      <c r="AL1067" s="73"/>
      <c r="AM1067" s="73"/>
      <c r="AN1067" s="73"/>
      <c r="AO1067" s="73"/>
      <c r="AP1067" s="73"/>
      <c r="AQ1067" s="73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5"/>
      <c r="BG1067" s="73"/>
      <c r="BH1067" s="88"/>
      <c r="BI1067" s="73"/>
      <c r="BJ1067" s="73"/>
      <c r="BK1067" s="73"/>
      <c r="BL1067" s="73"/>
      <c r="BM1067" s="73"/>
      <c r="BN1067" s="73"/>
      <c r="BO1067" s="73"/>
      <c r="BP1067" s="73"/>
      <c r="BQ1067" s="73"/>
      <c r="BR1067" s="73"/>
      <c r="BS1067" s="73"/>
      <c r="BT1067" s="73"/>
      <c r="BU1067" s="73"/>
      <c r="BV1067" s="73"/>
      <c r="BW1067" s="73"/>
      <c r="BX1067" s="73"/>
      <c r="BY1067" s="73"/>
      <c r="BZ1067" s="73"/>
      <c r="CA1067" s="73"/>
      <c r="CB1067" s="73"/>
      <c r="CC1067" s="73"/>
      <c r="CD1067" s="73"/>
      <c r="CE1067" s="73"/>
      <c r="CF1067" s="73"/>
      <c r="CG1067" s="73"/>
      <c r="CH1067" s="73"/>
    </row>
    <row r="1068">
      <c r="A1068" s="73"/>
      <c r="B1068" s="73"/>
      <c r="C1068" s="73"/>
      <c r="D1068" s="73"/>
      <c r="E1068" s="140"/>
      <c r="F1068" s="80"/>
      <c r="G1068" s="80"/>
      <c r="H1068" s="73"/>
      <c r="I1068" s="73"/>
      <c r="J1068" s="73"/>
      <c r="K1068" s="73"/>
      <c r="L1068" s="73"/>
      <c r="M1068" s="73"/>
      <c r="N1068" s="73"/>
      <c r="O1068" s="73"/>
      <c r="P1068" s="73"/>
      <c r="Q1068" s="73"/>
      <c r="R1068" s="73"/>
      <c r="S1068" s="73"/>
      <c r="T1068" s="73"/>
      <c r="U1068" s="73"/>
      <c r="V1068" s="73"/>
      <c r="W1068" s="73"/>
      <c r="X1068" s="73"/>
      <c r="Y1068" s="73"/>
      <c r="Z1068" s="73"/>
      <c r="AA1068" s="73"/>
      <c r="AB1068" s="73"/>
      <c r="AC1068" s="73"/>
      <c r="AD1068" s="73"/>
      <c r="AE1068" s="73"/>
      <c r="AF1068" s="73"/>
      <c r="AG1068" s="73"/>
      <c r="AH1068" s="73"/>
      <c r="AI1068" s="73"/>
      <c r="AJ1068" s="168"/>
      <c r="AK1068" s="73"/>
      <c r="AL1068" s="73"/>
      <c r="AM1068" s="73"/>
      <c r="AN1068" s="73"/>
      <c r="AO1068" s="73"/>
      <c r="AP1068" s="73"/>
      <c r="AQ1068" s="73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5"/>
      <c r="BG1068" s="73"/>
      <c r="BH1068" s="88"/>
      <c r="BI1068" s="73"/>
      <c r="BJ1068" s="73"/>
      <c r="BK1068" s="73"/>
      <c r="BL1068" s="73"/>
      <c r="BM1068" s="73"/>
      <c r="BN1068" s="73"/>
      <c r="BO1068" s="73"/>
      <c r="BP1068" s="73"/>
      <c r="BQ1068" s="73"/>
      <c r="BR1068" s="73"/>
      <c r="BS1068" s="73"/>
      <c r="BT1068" s="73"/>
      <c r="BU1068" s="73"/>
      <c r="BV1068" s="73"/>
      <c r="BW1068" s="73"/>
      <c r="BX1068" s="73"/>
      <c r="BY1068" s="73"/>
      <c r="BZ1068" s="73"/>
      <c r="CA1068" s="73"/>
      <c r="CB1068" s="73"/>
      <c r="CC1068" s="73"/>
      <c r="CD1068" s="73"/>
      <c r="CE1068" s="73"/>
      <c r="CF1068" s="73"/>
      <c r="CG1068" s="73"/>
      <c r="CH1068" s="73"/>
    </row>
    <row r="1069">
      <c r="A1069" s="73"/>
      <c r="B1069" s="73"/>
      <c r="C1069" s="73"/>
      <c r="D1069" s="73"/>
      <c r="E1069" s="140"/>
      <c r="F1069" s="80"/>
      <c r="G1069" s="80"/>
      <c r="H1069" s="73"/>
      <c r="I1069" s="73"/>
      <c r="J1069" s="73"/>
      <c r="K1069" s="73"/>
      <c r="L1069" s="73"/>
      <c r="M1069" s="73"/>
      <c r="N1069" s="73"/>
      <c r="O1069" s="73"/>
      <c r="P1069" s="73"/>
      <c r="Q1069" s="73"/>
      <c r="R1069" s="73"/>
      <c r="S1069" s="73"/>
      <c r="T1069" s="73"/>
      <c r="U1069" s="73"/>
      <c r="V1069" s="73"/>
      <c r="W1069" s="73"/>
      <c r="X1069" s="73"/>
      <c r="Y1069" s="73"/>
      <c r="Z1069" s="73"/>
      <c r="AA1069" s="73"/>
      <c r="AB1069" s="73"/>
      <c r="AC1069" s="73"/>
      <c r="AD1069" s="73"/>
      <c r="AE1069" s="73"/>
      <c r="AF1069" s="73"/>
      <c r="AG1069" s="73"/>
      <c r="AH1069" s="73"/>
      <c r="AI1069" s="73"/>
      <c r="AJ1069" s="168"/>
      <c r="AK1069" s="73"/>
      <c r="AL1069" s="73"/>
      <c r="AM1069" s="73"/>
      <c r="AN1069" s="73"/>
      <c r="AO1069" s="73"/>
      <c r="AP1069" s="73"/>
      <c r="AQ1069" s="73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5"/>
      <c r="BG1069" s="73"/>
      <c r="BH1069" s="88"/>
      <c r="BI1069" s="73"/>
      <c r="BJ1069" s="73"/>
      <c r="BK1069" s="73"/>
      <c r="BL1069" s="73"/>
      <c r="BM1069" s="73"/>
      <c r="BN1069" s="73"/>
      <c r="BO1069" s="73"/>
      <c r="BP1069" s="73"/>
      <c r="BQ1069" s="73"/>
      <c r="BR1069" s="73"/>
      <c r="BS1069" s="73"/>
      <c r="BT1069" s="73"/>
      <c r="BU1069" s="73"/>
      <c r="BV1069" s="73"/>
      <c r="BW1069" s="73"/>
      <c r="BX1069" s="73"/>
      <c r="BY1069" s="73"/>
      <c r="BZ1069" s="73"/>
      <c r="CA1069" s="73"/>
      <c r="CB1069" s="73"/>
      <c r="CC1069" s="73"/>
      <c r="CD1069" s="73"/>
      <c r="CE1069" s="73"/>
      <c r="CF1069" s="73"/>
      <c r="CG1069" s="73"/>
      <c r="CH1069" s="73"/>
    </row>
    <row r="1070">
      <c r="A1070" s="73"/>
      <c r="B1070" s="73"/>
      <c r="C1070" s="73"/>
      <c r="D1070" s="73"/>
      <c r="E1070" s="140"/>
      <c r="F1070" s="80"/>
      <c r="G1070" s="80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3"/>
      <c r="X1070" s="73"/>
      <c r="Y1070" s="73"/>
      <c r="Z1070" s="73"/>
      <c r="AA1070" s="73"/>
      <c r="AB1070" s="73"/>
      <c r="AC1070" s="73"/>
      <c r="AD1070" s="73"/>
      <c r="AE1070" s="73"/>
      <c r="AF1070" s="73"/>
      <c r="AG1070" s="73"/>
      <c r="AH1070" s="73"/>
      <c r="AI1070" s="73"/>
      <c r="AJ1070" s="168"/>
      <c r="AK1070" s="73"/>
      <c r="AL1070" s="73"/>
      <c r="AM1070" s="73"/>
      <c r="AN1070" s="73"/>
      <c r="AO1070" s="73"/>
      <c r="AP1070" s="73"/>
      <c r="AQ1070" s="73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5"/>
      <c r="BG1070" s="73"/>
      <c r="BH1070" s="88"/>
      <c r="BI1070" s="73"/>
      <c r="BJ1070" s="73"/>
      <c r="BK1070" s="73"/>
      <c r="BL1070" s="73"/>
      <c r="BM1070" s="73"/>
      <c r="BN1070" s="73"/>
      <c r="BO1070" s="73"/>
      <c r="BP1070" s="73"/>
      <c r="BQ1070" s="73"/>
      <c r="BR1070" s="73"/>
      <c r="BS1070" s="73"/>
      <c r="BT1070" s="73"/>
      <c r="BU1070" s="73"/>
      <c r="BV1070" s="73"/>
      <c r="BW1070" s="73"/>
      <c r="BX1070" s="73"/>
      <c r="BY1070" s="73"/>
      <c r="BZ1070" s="73"/>
      <c r="CA1070" s="73"/>
      <c r="CB1070" s="73"/>
      <c r="CC1070" s="73"/>
      <c r="CD1070" s="73"/>
      <c r="CE1070" s="73"/>
      <c r="CF1070" s="73"/>
      <c r="CG1070" s="73"/>
      <c r="CH1070" s="73"/>
    </row>
    <row r="1071">
      <c r="A1071" s="73"/>
      <c r="B1071" s="73"/>
      <c r="C1071" s="73"/>
      <c r="D1071" s="73"/>
      <c r="E1071" s="140"/>
      <c r="F1071" s="80"/>
      <c r="G1071" s="80"/>
      <c r="H1071" s="73"/>
      <c r="I1071" s="73"/>
      <c r="J1071" s="73"/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W1071" s="73"/>
      <c r="X1071" s="73"/>
      <c r="Y1071" s="73"/>
      <c r="Z1071" s="73"/>
      <c r="AA1071" s="73"/>
      <c r="AB1071" s="73"/>
      <c r="AC1071" s="73"/>
      <c r="AD1071" s="73"/>
      <c r="AE1071" s="73"/>
      <c r="AF1071" s="73"/>
      <c r="AG1071" s="73"/>
      <c r="AH1071" s="73"/>
      <c r="AI1071" s="73"/>
      <c r="AJ1071" s="168"/>
      <c r="AK1071" s="73"/>
      <c r="AL1071" s="73"/>
      <c r="AM1071" s="73"/>
      <c r="AN1071" s="73"/>
      <c r="AO1071" s="73"/>
      <c r="AP1071" s="73"/>
      <c r="AQ1071" s="73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5"/>
      <c r="BG1071" s="73"/>
      <c r="BH1071" s="88"/>
      <c r="BI1071" s="73"/>
      <c r="BJ1071" s="73"/>
      <c r="BK1071" s="73"/>
      <c r="BL1071" s="73"/>
      <c r="BM1071" s="73"/>
      <c r="BN1071" s="73"/>
      <c r="BO1071" s="73"/>
      <c r="BP1071" s="73"/>
      <c r="BQ1071" s="73"/>
      <c r="BR1071" s="73"/>
      <c r="BS1071" s="73"/>
      <c r="BT1071" s="73"/>
      <c r="BU1071" s="73"/>
      <c r="BV1071" s="73"/>
      <c r="BW1071" s="73"/>
      <c r="BX1071" s="73"/>
      <c r="BY1071" s="73"/>
      <c r="BZ1071" s="73"/>
      <c r="CA1071" s="73"/>
      <c r="CB1071" s="73"/>
      <c r="CC1071" s="73"/>
      <c r="CD1071" s="73"/>
      <c r="CE1071" s="73"/>
      <c r="CF1071" s="73"/>
      <c r="CG1071" s="73"/>
      <c r="CH1071" s="73"/>
    </row>
    <row r="1072">
      <c r="A1072" s="73"/>
      <c r="B1072" s="73"/>
      <c r="C1072" s="73"/>
      <c r="D1072" s="73"/>
      <c r="E1072" s="140"/>
      <c r="F1072" s="80"/>
      <c r="G1072" s="80"/>
      <c r="H1072" s="73"/>
      <c r="I1072" s="73"/>
      <c r="J1072" s="73"/>
      <c r="K1072" s="73"/>
      <c r="L1072" s="73"/>
      <c r="M1072" s="73"/>
      <c r="N1072" s="73"/>
      <c r="O1072" s="73"/>
      <c r="P1072" s="73"/>
      <c r="Q1072" s="73"/>
      <c r="R1072" s="73"/>
      <c r="S1072" s="73"/>
      <c r="T1072" s="73"/>
      <c r="U1072" s="73"/>
      <c r="V1072" s="73"/>
      <c r="W1072" s="73"/>
      <c r="X1072" s="73"/>
      <c r="Y1072" s="73"/>
      <c r="Z1072" s="73"/>
      <c r="AA1072" s="73"/>
      <c r="AB1072" s="73"/>
      <c r="AC1072" s="73"/>
      <c r="AD1072" s="73"/>
      <c r="AE1072" s="73"/>
      <c r="AF1072" s="73"/>
      <c r="AG1072" s="73"/>
      <c r="AH1072" s="73"/>
      <c r="AI1072" s="73"/>
      <c r="AJ1072" s="168"/>
      <c r="AK1072" s="73"/>
      <c r="AL1072" s="73"/>
      <c r="AM1072" s="73"/>
      <c r="AN1072" s="73"/>
      <c r="AO1072" s="73"/>
      <c r="AP1072" s="73"/>
      <c r="AQ1072" s="73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5"/>
      <c r="BG1072" s="73"/>
      <c r="BH1072" s="88"/>
      <c r="BI1072" s="73"/>
      <c r="BJ1072" s="73"/>
      <c r="BK1072" s="73"/>
      <c r="BL1072" s="73"/>
      <c r="BM1072" s="73"/>
      <c r="BN1072" s="73"/>
      <c r="BO1072" s="73"/>
      <c r="BP1072" s="73"/>
      <c r="BQ1072" s="73"/>
      <c r="BR1072" s="73"/>
      <c r="BS1072" s="73"/>
      <c r="BT1072" s="73"/>
      <c r="BU1072" s="73"/>
      <c r="BV1072" s="73"/>
      <c r="BW1072" s="73"/>
      <c r="BX1072" s="73"/>
      <c r="BY1072" s="73"/>
      <c r="BZ1072" s="73"/>
      <c r="CA1072" s="73"/>
      <c r="CB1072" s="73"/>
      <c r="CC1072" s="73"/>
      <c r="CD1072" s="73"/>
      <c r="CE1072" s="73"/>
      <c r="CF1072" s="73"/>
      <c r="CG1072" s="73"/>
      <c r="CH1072" s="73"/>
    </row>
    <row r="1073">
      <c r="A1073" s="73"/>
      <c r="B1073" s="73"/>
      <c r="C1073" s="73"/>
      <c r="D1073" s="73"/>
      <c r="E1073" s="140"/>
      <c r="F1073" s="80"/>
      <c r="G1073" s="80"/>
      <c r="H1073" s="73"/>
      <c r="I1073" s="73"/>
      <c r="J1073" s="73"/>
      <c r="K1073" s="73"/>
      <c r="L1073" s="73"/>
      <c r="M1073" s="73"/>
      <c r="N1073" s="73"/>
      <c r="O1073" s="73"/>
      <c r="P1073" s="73"/>
      <c r="Q1073" s="73"/>
      <c r="R1073" s="73"/>
      <c r="S1073" s="73"/>
      <c r="T1073" s="73"/>
      <c r="U1073" s="73"/>
      <c r="V1073" s="73"/>
      <c r="W1073" s="73"/>
      <c r="X1073" s="73"/>
      <c r="Y1073" s="73"/>
      <c r="Z1073" s="73"/>
      <c r="AA1073" s="73"/>
      <c r="AB1073" s="73"/>
      <c r="AC1073" s="73"/>
      <c r="AD1073" s="73"/>
      <c r="AE1073" s="73"/>
      <c r="AF1073" s="73"/>
      <c r="AG1073" s="73"/>
      <c r="AH1073" s="73"/>
      <c r="AI1073" s="73"/>
      <c r="AJ1073" s="168"/>
      <c r="AK1073" s="73"/>
      <c r="AL1073" s="73"/>
      <c r="AM1073" s="73"/>
      <c r="AN1073" s="73"/>
      <c r="AO1073" s="73"/>
      <c r="AP1073" s="73"/>
      <c r="AQ1073" s="73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5"/>
      <c r="BG1073" s="73"/>
      <c r="BH1073" s="88"/>
      <c r="BI1073" s="73"/>
      <c r="BJ1073" s="73"/>
      <c r="BK1073" s="73"/>
      <c r="BL1073" s="73"/>
      <c r="BM1073" s="73"/>
      <c r="BN1073" s="73"/>
      <c r="BO1073" s="73"/>
      <c r="BP1073" s="73"/>
      <c r="BQ1073" s="73"/>
      <c r="BR1073" s="73"/>
      <c r="BS1073" s="73"/>
      <c r="BT1073" s="73"/>
      <c r="BU1073" s="73"/>
      <c r="BV1073" s="73"/>
      <c r="BW1073" s="73"/>
      <c r="BX1073" s="73"/>
      <c r="BY1073" s="73"/>
      <c r="BZ1073" s="73"/>
      <c r="CA1073" s="73"/>
      <c r="CB1073" s="73"/>
      <c r="CC1073" s="73"/>
      <c r="CD1073" s="73"/>
      <c r="CE1073" s="73"/>
      <c r="CF1073" s="73"/>
      <c r="CG1073" s="73"/>
      <c r="CH1073" s="73"/>
    </row>
    <row r="1074">
      <c r="A1074" s="73"/>
      <c r="B1074" s="73"/>
      <c r="C1074" s="73"/>
      <c r="D1074" s="73"/>
      <c r="E1074" s="140"/>
      <c r="F1074" s="80"/>
      <c r="G1074" s="80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  <c r="S1074" s="73"/>
      <c r="T1074" s="73"/>
      <c r="U1074" s="73"/>
      <c r="V1074" s="73"/>
      <c r="W1074" s="73"/>
      <c r="X1074" s="73"/>
      <c r="Y1074" s="73"/>
      <c r="Z1074" s="73"/>
      <c r="AA1074" s="73"/>
      <c r="AB1074" s="73"/>
      <c r="AC1074" s="73"/>
      <c r="AD1074" s="73"/>
      <c r="AE1074" s="73"/>
      <c r="AF1074" s="73"/>
      <c r="AG1074" s="73"/>
      <c r="AH1074" s="73"/>
      <c r="AI1074" s="73"/>
      <c r="AJ1074" s="168"/>
      <c r="AK1074" s="73"/>
      <c r="AL1074" s="73"/>
      <c r="AM1074" s="73"/>
      <c r="AN1074" s="73"/>
      <c r="AO1074" s="73"/>
      <c r="AP1074" s="73"/>
      <c r="AQ1074" s="73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5"/>
      <c r="BG1074" s="73"/>
      <c r="BH1074" s="88"/>
      <c r="BI1074" s="73"/>
      <c r="BJ1074" s="73"/>
      <c r="BK1074" s="73"/>
      <c r="BL1074" s="73"/>
      <c r="BM1074" s="73"/>
      <c r="BN1074" s="73"/>
      <c r="BO1074" s="73"/>
      <c r="BP1074" s="73"/>
      <c r="BQ1074" s="73"/>
      <c r="BR1074" s="73"/>
      <c r="BS1074" s="73"/>
      <c r="BT1074" s="73"/>
      <c r="BU1074" s="73"/>
      <c r="BV1074" s="73"/>
      <c r="BW1074" s="73"/>
      <c r="BX1074" s="73"/>
      <c r="BY1074" s="73"/>
      <c r="BZ1074" s="73"/>
      <c r="CA1074" s="73"/>
      <c r="CB1074" s="73"/>
      <c r="CC1074" s="73"/>
      <c r="CD1074" s="73"/>
      <c r="CE1074" s="73"/>
      <c r="CF1074" s="73"/>
      <c r="CG1074" s="73"/>
      <c r="CH1074" s="73"/>
    </row>
    <row r="1075">
      <c r="A1075" s="73"/>
      <c r="B1075" s="73"/>
      <c r="C1075" s="73"/>
      <c r="D1075" s="73"/>
      <c r="E1075" s="140"/>
      <c r="F1075" s="80"/>
      <c r="G1075" s="80"/>
      <c r="H1075" s="73"/>
      <c r="I1075" s="73"/>
      <c r="J1075" s="73"/>
      <c r="K1075" s="73"/>
      <c r="L1075" s="73"/>
      <c r="M1075" s="73"/>
      <c r="N1075" s="73"/>
      <c r="O1075" s="73"/>
      <c r="P1075" s="73"/>
      <c r="Q1075" s="73"/>
      <c r="R1075" s="73"/>
      <c r="S1075" s="73"/>
      <c r="T1075" s="73"/>
      <c r="U1075" s="73"/>
      <c r="V1075" s="73"/>
      <c r="W1075" s="73"/>
      <c r="X1075" s="73"/>
      <c r="Y1075" s="73"/>
      <c r="Z1075" s="73"/>
      <c r="AA1075" s="73"/>
      <c r="AB1075" s="73"/>
      <c r="AC1075" s="73"/>
      <c r="AD1075" s="73"/>
      <c r="AE1075" s="73"/>
      <c r="AF1075" s="73"/>
      <c r="AG1075" s="73"/>
      <c r="AH1075" s="73"/>
      <c r="AI1075" s="73"/>
      <c r="AJ1075" s="168"/>
      <c r="AK1075" s="73"/>
      <c r="AL1075" s="73"/>
      <c r="AM1075" s="73"/>
      <c r="AN1075" s="73"/>
      <c r="AO1075" s="73"/>
      <c r="AP1075" s="73"/>
      <c r="AQ1075" s="73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5"/>
      <c r="BG1075" s="73"/>
      <c r="BH1075" s="88"/>
      <c r="BI1075" s="73"/>
      <c r="BJ1075" s="73"/>
      <c r="BK1075" s="73"/>
      <c r="BL1075" s="73"/>
      <c r="BM1075" s="73"/>
      <c r="BN1075" s="73"/>
      <c r="BO1075" s="73"/>
      <c r="BP1075" s="73"/>
      <c r="BQ1075" s="73"/>
      <c r="BR1075" s="73"/>
      <c r="BS1075" s="73"/>
      <c r="BT1075" s="73"/>
      <c r="BU1075" s="73"/>
      <c r="BV1075" s="73"/>
      <c r="BW1075" s="73"/>
      <c r="BX1075" s="73"/>
      <c r="BY1075" s="73"/>
      <c r="BZ1075" s="73"/>
      <c r="CA1075" s="73"/>
      <c r="CB1075" s="73"/>
      <c r="CC1075" s="73"/>
      <c r="CD1075" s="73"/>
      <c r="CE1075" s="73"/>
      <c r="CF1075" s="73"/>
      <c r="CG1075" s="73"/>
      <c r="CH1075" s="73"/>
    </row>
    <row r="1076">
      <c r="A1076" s="73"/>
      <c r="B1076" s="73"/>
      <c r="C1076" s="73"/>
      <c r="D1076" s="73"/>
      <c r="E1076" s="140"/>
      <c r="F1076" s="80"/>
      <c r="G1076" s="80"/>
      <c r="H1076" s="73"/>
      <c r="I1076" s="73"/>
      <c r="J1076" s="73"/>
      <c r="K1076" s="73"/>
      <c r="L1076" s="73"/>
      <c r="M1076" s="73"/>
      <c r="N1076" s="73"/>
      <c r="O1076" s="73"/>
      <c r="P1076" s="73"/>
      <c r="Q1076" s="73"/>
      <c r="R1076" s="73"/>
      <c r="S1076" s="73"/>
      <c r="T1076" s="73"/>
      <c r="U1076" s="73"/>
      <c r="V1076" s="73"/>
      <c r="W1076" s="73"/>
      <c r="X1076" s="73"/>
      <c r="Y1076" s="73"/>
      <c r="Z1076" s="73"/>
      <c r="AA1076" s="73"/>
      <c r="AB1076" s="73"/>
      <c r="AC1076" s="73"/>
      <c r="AD1076" s="73"/>
      <c r="AE1076" s="73"/>
      <c r="AF1076" s="73"/>
      <c r="AG1076" s="73"/>
      <c r="AH1076" s="73"/>
      <c r="AI1076" s="73"/>
      <c r="AJ1076" s="168"/>
      <c r="AK1076" s="73"/>
      <c r="AL1076" s="73"/>
      <c r="AM1076" s="73"/>
      <c r="AN1076" s="73"/>
      <c r="AO1076" s="73"/>
      <c r="AP1076" s="73"/>
      <c r="AQ1076" s="73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5"/>
      <c r="BG1076" s="73"/>
      <c r="BH1076" s="88"/>
      <c r="BI1076" s="73"/>
      <c r="BJ1076" s="73"/>
      <c r="BK1076" s="73"/>
      <c r="BL1076" s="73"/>
      <c r="BM1076" s="73"/>
      <c r="BN1076" s="73"/>
      <c r="BO1076" s="73"/>
      <c r="BP1076" s="73"/>
      <c r="BQ1076" s="73"/>
      <c r="BR1076" s="73"/>
      <c r="BS1076" s="73"/>
      <c r="BT1076" s="73"/>
      <c r="BU1076" s="73"/>
      <c r="BV1076" s="73"/>
      <c r="BW1076" s="73"/>
      <c r="BX1076" s="73"/>
      <c r="BY1076" s="73"/>
      <c r="BZ1076" s="73"/>
      <c r="CA1076" s="73"/>
      <c r="CB1076" s="73"/>
      <c r="CC1076" s="73"/>
      <c r="CD1076" s="73"/>
      <c r="CE1076" s="73"/>
      <c r="CF1076" s="73"/>
      <c r="CG1076" s="73"/>
      <c r="CH1076" s="73"/>
    </row>
    <row r="1077">
      <c r="A1077" s="73"/>
      <c r="B1077" s="73"/>
      <c r="C1077" s="73"/>
      <c r="D1077" s="73"/>
      <c r="E1077" s="140"/>
      <c r="F1077" s="80"/>
      <c r="G1077" s="80"/>
      <c r="H1077" s="73"/>
      <c r="I1077" s="73"/>
      <c r="J1077" s="73"/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  <c r="AA1077" s="73"/>
      <c r="AB1077" s="73"/>
      <c r="AC1077" s="73"/>
      <c r="AD1077" s="73"/>
      <c r="AE1077" s="73"/>
      <c r="AF1077" s="73"/>
      <c r="AG1077" s="73"/>
      <c r="AH1077" s="73"/>
      <c r="AI1077" s="73"/>
      <c r="AJ1077" s="168"/>
      <c r="AK1077" s="73"/>
      <c r="AL1077" s="73"/>
      <c r="AM1077" s="73"/>
      <c r="AN1077" s="73"/>
      <c r="AO1077" s="73"/>
      <c r="AP1077" s="73"/>
      <c r="AQ1077" s="73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5"/>
      <c r="BG1077" s="73"/>
      <c r="BH1077" s="88"/>
      <c r="BI1077" s="73"/>
      <c r="BJ1077" s="73"/>
      <c r="BK1077" s="73"/>
      <c r="BL1077" s="73"/>
      <c r="BM1077" s="73"/>
      <c r="BN1077" s="73"/>
      <c r="BO1077" s="73"/>
      <c r="BP1077" s="73"/>
      <c r="BQ1077" s="73"/>
      <c r="BR1077" s="73"/>
      <c r="BS1077" s="73"/>
      <c r="BT1077" s="73"/>
      <c r="BU1077" s="73"/>
      <c r="BV1077" s="73"/>
      <c r="BW1077" s="73"/>
      <c r="BX1077" s="73"/>
      <c r="BY1077" s="73"/>
      <c r="BZ1077" s="73"/>
      <c r="CA1077" s="73"/>
      <c r="CB1077" s="73"/>
      <c r="CC1077" s="73"/>
      <c r="CD1077" s="73"/>
      <c r="CE1077" s="73"/>
      <c r="CF1077" s="73"/>
      <c r="CG1077" s="73"/>
      <c r="CH1077" s="73"/>
    </row>
    <row r="1078">
      <c r="A1078" s="73"/>
      <c r="B1078" s="73"/>
      <c r="C1078" s="73"/>
      <c r="D1078" s="73"/>
      <c r="E1078" s="140"/>
      <c r="F1078" s="80"/>
      <c r="G1078" s="80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  <c r="S1078" s="73"/>
      <c r="T1078" s="73"/>
      <c r="U1078" s="73"/>
      <c r="V1078" s="73"/>
      <c r="W1078" s="73"/>
      <c r="X1078" s="73"/>
      <c r="Y1078" s="73"/>
      <c r="Z1078" s="73"/>
      <c r="AA1078" s="73"/>
      <c r="AB1078" s="73"/>
      <c r="AC1078" s="73"/>
      <c r="AD1078" s="73"/>
      <c r="AE1078" s="73"/>
      <c r="AF1078" s="73"/>
      <c r="AG1078" s="73"/>
      <c r="AH1078" s="73"/>
      <c r="AI1078" s="73"/>
      <c r="AJ1078" s="168"/>
      <c r="AK1078" s="73"/>
      <c r="AL1078" s="73"/>
      <c r="AM1078" s="73"/>
      <c r="AN1078" s="73"/>
      <c r="AO1078" s="73"/>
      <c r="AP1078" s="73"/>
      <c r="AQ1078" s="73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5"/>
      <c r="BG1078" s="73"/>
      <c r="BH1078" s="88"/>
      <c r="BI1078" s="73"/>
      <c r="BJ1078" s="73"/>
      <c r="BK1078" s="73"/>
      <c r="BL1078" s="73"/>
      <c r="BM1078" s="73"/>
      <c r="BN1078" s="73"/>
      <c r="BO1078" s="73"/>
      <c r="BP1078" s="73"/>
      <c r="BQ1078" s="73"/>
      <c r="BR1078" s="73"/>
      <c r="BS1078" s="73"/>
      <c r="BT1078" s="73"/>
      <c r="BU1078" s="73"/>
      <c r="BV1078" s="73"/>
      <c r="BW1078" s="73"/>
      <c r="BX1078" s="73"/>
      <c r="BY1078" s="73"/>
      <c r="BZ1078" s="73"/>
      <c r="CA1078" s="73"/>
      <c r="CB1078" s="73"/>
      <c r="CC1078" s="73"/>
      <c r="CD1078" s="73"/>
      <c r="CE1078" s="73"/>
      <c r="CF1078" s="73"/>
      <c r="CG1078" s="73"/>
      <c r="CH1078" s="73"/>
    </row>
    <row r="1079">
      <c r="A1079" s="73"/>
      <c r="B1079" s="73"/>
      <c r="C1079" s="73"/>
      <c r="D1079" s="73"/>
      <c r="E1079" s="140"/>
      <c r="F1079" s="80"/>
      <c r="G1079" s="80"/>
      <c r="H1079" s="73"/>
      <c r="I1079" s="73"/>
      <c r="J1079" s="73"/>
      <c r="K1079" s="73"/>
      <c r="L1079" s="73"/>
      <c r="M1079" s="73"/>
      <c r="N1079" s="73"/>
      <c r="O1079" s="73"/>
      <c r="P1079" s="73"/>
      <c r="Q1079" s="73"/>
      <c r="R1079" s="73"/>
      <c r="S1079" s="73"/>
      <c r="T1079" s="73"/>
      <c r="U1079" s="73"/>
      <c r="V1079" s="73"/>
      <c r="W1079" s="73"/>
      <c r="X1079" s="73"/>
      <c r="Y1079" s="73"/>
      <c r="Z1079" s="73"/>
      <c r="AA1079" s="73"/>
      <c r="AB1079" s="73"/>
      <c r="AC1079" s="73"/>
      <c r="AD1079" s="73"/>
      <c r="AE1079" s="73"/>
      <c r="AF1079" s="73"/>
      <c r="AG1079" s="73"/>
      <c r="AH1079" s="73"/>
      <c r="AI1079" s="73"/>
      <c r="AJ1079" s="168"/>
      <c r="AK1079" s="73"/>
      <c r="AL1079" s="73"/>
      <c r="AM1079" s="73"/>
      <c r="AN1079" s="73"/>
      <c r="AO1079" s="73"/>
      <c r="AP1079" s="73"/>
      <c r="AQ1079" s="73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5"/>
      <c r="BG1079" s="73"/>
      <c r="BH1079" s="88"/>
      <c r="BI1079" s="73"/>
      <c r="BJ1079" s="73"/>
      <c r="BK1079" s="73"/>
      <c r="BL1079" s="73"/>
      <c r="BM1079" s="73"/>
      <c r="BN1079" s="73"/>
      <c r="BO1079" s="73"/>
      <c r="BP1079" s="73"/>
      <c r="BQ1079" s="73"/>
      <c r="BR1079" s="73"/>
      <c r="BS1079" s="73"/>
      <c r="BT1079" s="73"/>
      <c r="BU1079" s="73"/>
      <c r="BV1079" s="73"/>
      <c r="BW1079" s="73"/>
      <c r="BX1079" s="73"/>
      <c r="BY1079" s="73"/>
      <c r="BZ1079" s="73"/>
      <c r="CA1079" s="73"/>
      <c r="CB1079" s="73"/>
      <c r="CC1079" s="73"/>
      <c r="CD1079" s="73"/>
      <c r="CE1079" s="73"/>
      <c r="CF1079" s="73"/>
      <c r="CG1079" s="73"/>
      <c r="CH1079" s="73"/>
    </row>
    <row r="1080">
      <c r="A1080" s="73"/>
      <c r="B1080" s="73"/>
      <c r="C1080" s="73"/>
      <c r="D1080" s="73"/>
      <c r="E1080" s="140"/>
      <c r="F1080" s="80"/>
      <c r="G1080" s="80"/>
      <c r="H1080" s="73"/>
      <c r="I1080" s="73"/>
      <c r="J1080" s="73"/>
      <c r="K1080" s="73"/>
      <c r="L1080" s="73"/>
      <c r="M1080" s="73"/>
      <c r="N1080" s="73"/>
      <c r="O1080" s="73"/>
      <c r="P1080" s="73"/>
      <c r="Q1080" s="73"/>
      <c r="R1080" s="73"/>
      <c r="S1080" s="73"/>
      <c r="T1080" s="73"/>
      <c r="U1080" s="73"/>
      <c r="V1080" s="73"/>
      <c r="W1080" s="73"/>
      <c r="X1080" s="73"/>
      <c r="Y1080" s="73"/>
      <c r="Z1080" s="73"/>
      <c r="AA1080" s="73"/>
      <c r="AB1080" s="73"/>
      <c r="AC1080" s="73"/>
      <c r="AD1080" s="73"/>
      <c r="AE1080" s="73"/>
      <c r="AF1080" s="73"/>
      <c r="AG1080" s="73"/>
      <c r="AH1080" s="73"/>
      <c r="AI1080" s="73"/>
      <c r="AJ1080" s="168"/>
      <c r="AK1080" s="73"/>
      <c r="AL1080" s="73"/>
      <c r="AM1080" s="73"/>
      <c r="AN1080" s="73"/>
      <c r="AO1080" s="73"/>
      <c r="AP1080" s="73"/>
      <c r="AQ1080" s="73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5"/>
      <c r="BG1080" s="73"/>
      <c r="BH1080" s="88"/>
      <c r="BI1080" s="73"/>
      <c r="BJ1080" s="73"/>
      <c r="BK1080" s="73"/>
      <c r="BL1080" s="73"/>
      <c r="BM1080" s="73"/>
      <c r="BN1080" s="73"/>
      <c r="BO1080" s="73"/>
      <c r="BP1080" s="73"/>
      <c r="BQ1080" s="73"/>
      <c r="BR1080" s="73"/>
      <c r="BS1080" s="73"/>
      <c r="BT1080" s="73"/>
      <c r="BU1080" s="73"/>
      <c r="BV1080" s="73"/>
      <c r="BW1080" s="73"/>
      <c r="BX1080" s="73"/>
      <c r="BY1080" s="73"/>
      <c r="BZ1080" s="73"/>
      <c r="CA1080" s="73"/>
      <c r="CB1080" s="73"/>
      <c r="CC1080" s="73"/>
      <c r="CD1080" s="73"/>
      <c r="CE1080" s="73"/>
      <c r="CF1080" s="73"/>
      <c r="CG1080" s="73"/>
      <c r="CH1080" s="73"/>
    </row>
    <row r="1081">
      <c r="A1081" s="73"/>
      <c r="B1081" s="73"/>
      <c r="C1081" s="73"/>
      <c r="D1081" s="73"/>
      <c r="E1081" s="140"/>
      <c r="F1081" s="80"/>
      <c r="G1081" s="80"/>
      <c r="H1081" s="73"/>
      <c r="I1081" s="73"/>
      <c r="J1081" s="73"/>
      <c r="K1081" s="73"/>
      <c r="L1081" s="73"/>
      <c r="M1081" s="73"/>
      <c r="N1081" s="73"/>
      <c r="O1081" s="73"/>
      <c r="P1081" s="73"/>
      <c r="Q1081" s="73"/>
      <c r="R1081" s="73"/>
      <c r="S1081" s="73"/>
      <c r="T1081" s="73"/>
      <c r="U1081" s="73"/>
      <c r="V1081" s="73"/>
      <c r="W1081" s="73"/>
      <c r="X1081" s="73"/>
      <c r="Y1081" s="73"/>
      <c r="Z1081" s="73"/>
      <c r="AA1081" s="73"/>
      <c r="AB1081" s="73"/>
      <c r="AC1081" s="73"/>
      <c r="AD1081" s="73"/>
      <c r="AE1081" s="73"/>
      <c r="AF1081" s="73"/>
      <c r="AG1081" s="73"/>
      <c r="AH1081" s="73"/>
      <c r="AI1081" s="73"/>
      <c r="AJ1081" s="168"/>
      <c r="AK1081" s="73"/>
      <c r="AL1081" s="73"/>
      <c r="AM1081" s="73"/>
      <c r="AN1081" s="73"/>
      <c r="AO1081" s="73"/>
      <c r="AP1081" s="73"/>
      <c r="AQ1081" s="73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5"/>
      <c r="BG1081" s="73"/>
      <c r="BH1081" s="88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73"/>
      <c r="BY1081" s="73"/>
      <c r="BZ1081" s="73"/>
      <c r="CA1081" s="73"/>
      <c r="CB1081" s="73"/>
      <c r="CC1081" s="73"/>
      <c r="CD1081" s="73"/>
      <c r="CE1081" s="73"/>
      <c r="CF1081" s="73"/>
      <c r="CG1081" s="73"/>
      <c r="CH1081" s="73"/>
    </row>
    <row r="1082">
      <c r="A1082" s="73"/>
      <c r="B1082" s="73"/>
      <c r="C1082" s="73"/>
      <c r="D1082" s="73"/>
      <c r="E1082" s="140"/>
      <c r="F1082" s="80"/>
      <c r="G1082" s="80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  <c r="S1082" s="73"/>
      <c r="T1082" s="73"/>
      <c r="U1082" s="73"/>
      <c r="V1082" s="73"/>
      <c r="W1082" s="73"/>
      <c r="X1082" s="73"/>
      <c r="Y1082" s="73"/>
      <c r="Z1082" s="73"/>
      <c r="AA1082" s="73"/>
      <c r="AB1082" s="73"/>
      <c r="AC1082" s="73"/>
      <c r="AD1082" s="73"/>
      <c r="AE1082" s="73"/>
      <c r="AF1082" s="73"/>
      <c r="AG1082" s="73"/>
      <c r="AH1082" s="73"/>
      <c r="AI1082" s="73"/>
      <c r="AJ1082" s="168"/>
      <c r="AK1082" s="73"/>
      <c r="AL1082" s="73"/>
      <c r="AM1082" s="73"/>
      <c r="AN1082" s="73"/>
      <c r="AO1082" s="73"/>
      <c r="AP1082" s="73"/>
      <c r="AQ1082" s="73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5"/>
      <c r="BG1082" s="73"/>
      <c r="BH1082" s="88"/>
      <c r="BI1082" s="73"/>
      <c r="BJ1082" s="73"/>
      <c r="BK1082" s="73"/>
      <c r="BL1082" s="73"/>
      <c r="BM1082" s="73"/>
      <c r="BN1082" s="73"/>
      <c r="BO1082" s="73"/>
      <c r="BP1082" s="73"/>
      <c r="BQ1082" s="73"/>
      <c r="BR1082" s="73"/>
      <c r="BS1082" s="73"/>
      <c r="BT1082" s="73"/>
      <c r="BU1082" s="73"/>
      <c r="BV1082" s="73"/>
      <c r="BW1082" s="73"/>
      <c r="BX1082" s="73"/>
      <c r="BY1082" s="73"/>
      <c r="BZ1082" s="73"/>
      <c r="CA1082" s="73"/>
      <c r="CB1082" s="73"/>
      <c r="CC1082" s="73"/>
      <c r="CD1082" s="73"/>
      <c r="CE1082" s="73"/>
      <c r="CF1082" s="73"/>
      <c r="CG1082" s="73"/>
      <c r="CH1082" s="73"/>
    </row>
    <row r="1083">
      <c r="A1083" s="73"/>
      <c r="B1083" s="73"/>
      <c r="C1083" s="73"/>
      <c r="D1083" s="73"/>
      <c r="E1083" s="140"/>
      <c r="F1083" s="80"/>
      <c r="G1083" s="80"/>
      <c r="H1083" s="73"/>
      <c r="I1083" s="73"/>
      <c r="J1083" s="73"/>
      <c r="K1083" s="73"/>
      <c r="L1083" s="73"/>
      <c r="M1083" s="73"/>
      <c r="N1083" s="73"/>
      <c r="O1083" s="73"/>
      <c r="P1083" s="73"/>
      <c r="Q1083" s="73"/>
      <c r="R1083" s="73"/>
      <c r="S1083" s="73"/>
      <c r="T1083" s="73"/>
      <c r="U1083" s="73"/>
      <c r="V1083" s="73"/>
      <c r="W1083" s="73"/>
      <c r="X1083" s="73"/>
      <c r="Y1083" s="73"/>
      <c r="Z1083" s="73"/>
      <c r="AA1083" s="73"/>
      <c r="AB1083" s="73"/>
      <c r="AC1083" s="73"/>
      <c r="AD1083" s="73"/>
      <c r="AE1083" s="73"/>
      <c r="AF1083" s="73"/>
      <c r="AG1083" s="73"/>
      <c r="AH1083" s="73"/>
      <c r="AI1083" s="73"/>
      <c r="AJ1083" s="168"/>
      <c r="AK1083" s="73"/>
      <c r="AL1083" s="73"/>
      <c r="AM1083" s="73"/>
      <c r="AN1083" s="73"/>
      <c r="AO1083" s="73"/>
      <c r="AP1083" s="73"/>
      <c r="AQ1083" s="73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5"/>
      <c r="BG1083" s="73"/>
      <c r="BH1083" s="88"/>
      <c r="BI1083" s="73"/>
      <c r="BJ1083" s="73"/>
      <c r="BK1083" s="73"/>
      <c r="BL1083" s="73"/>
      <c r="BM1083" s="73"/>
      <c r="BN1083" s="73"/>
      <c r="BO1083" s="73"/>
      <c r="BP1083" s="73"/>
      <c r="BQ1083" s="73"/>
      <c r="BR1083" s="73"/>
      <c r="BS1083" s="73"/>
      <c r="BT1083" s="73"/>
      <c r="BU1083" s="73"/>
      <c r="BV1083" s="73"/>
      <c r="BW1083" s="73"/>
      <c r="BX1083" s="73"/>
      <c r="BY1083" s="73"/>
      <c r="BZ1083" s="73"/>
      <c r="CA1083" s="73"/>
      <c r="CB1083" s="73"/>
      <c r="CC1083" s="73"/>
      <c r="CD1083" s="73"/>
      <c r="CE1083" s="73"/>
      <c r="CF1083" s="73"/>
      <c r="CG1083" s="73"/>
      <c r="CH1083" s="73"/>
    </row>
    <row r="1084">
      <c r="A1084" s="73"/>
      <c r="B1084" s="73"/>
      <c r="C1084" s="73"/>
      <c r="D1084" s="73"/>
      <c r="E1084" s="140"/>
      <c r="F1084" s="80"/>
      <c r="G1084" s="80"/>
      <c r="H1084" s="73"/>
      <c r="I1084" s="73"/>
      <c r="J1084" s="73"/>
      <c r="K1084" s="73"/>
      <c r="L1084" s="73"/>
      <c r="M1084" s="73"/>
      <c r="N1084" s="73"/>
      <c r="O1084" s="73"/>
      <c r="P1084" s="73"/>
      <c r="Q1084" s="73"/>
      <c r="R1084" s="73"/>
      <c r="S1084" s="73"/>
      <c r="T1084" s="73"/>
      <c r="U1084" s="73"/>
      <c r="V1084" s="73"/>
      <c r="W1084" s="73"/>
      <c r="X1084" s="73"/>
      <c r="Y1084" s="73"/>
      <c r="Z1084" s="73"/>
      <c r="AA1084" s="73"/>
      <c r="AB1084" s="73"/>
      <c r="AC1084" s="73"/>
      <c r="AD1084" s="73"/>
      <c r="AE1084" s="73"/>
      <c r="AF1084" s="73"/>
      <c r="AG1084" s="73"/>
      <c r="AH1084" s="73"/>
      <c r="AI1084" s="73"/>
      <c r="AJ1084" s="168"/>
      <c r="AK1084" s="73"/>
      <c r="AL1084" s="73"/>
      <c r="AM1084" s="73"/>
      <c r="AN1084" s="73"/>
      <c r="AO1084" s="73"/>
      <c r="AP1084" s="73"/>
      <c r="AQ1084" s="73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5"/>
      <c r="BG1084" s="73"/>
      <c r="BH1084" s="88"/>
      <c r="BI1084" s="73"/>
      <c r="BJ1084" s="73"/>
      <c r="BK1084" s="73"/>
      <c r="BL1084" s="73"/>
      <c r="BM1084" s="73"/>
      <c r="BN1084" s="73"/>
      <c r="BO1084" s="73"/>
      <c r="BP1084" s="73"/>
      <c r="BQ1084" s="73"/>
      <c r="BR1084" s="73"/>
      <c r="BS1084" s="73"/>
      <c r="BT1084" s="73"/>
      <c r="BU1084" s="73"/>
      <c r="BV1084" s="73"/>
      <c r="BW1084" s="73"/>
      <c r="BX1084" s="73"/>
      <c r="BY1084" s="73"/>
      <c r="BZ1084" s="73"/>
      <c r="CA1084" s="73"/>
      <c r="CB1084" s="73"/>
      <c r="CC1084" s="73"/>
      <c r="CD1084" s="73"/>
      <c r="CE1084" s="73"/>
      <c r="CF1084" s="73"/>
      <c r="CG1084" s="73"/>
      <c r="CH1084" s="73"/>
    </row>
    <row r="1085">
      <c r="A1085" s="73"/>
      <c r="B1085" s="73"/>
      <c r="C1085" s="73"/>
      <c r="D1085" s="73"/>
      <c r="E1085" s="140"/>
      <c r="F1085" s="80"/>
      <c r="G1085" s="80"/>
      <c r="H1085" s="73"/>
      <c r="I1085" s="73"/>
      <c r="J1085" s="73"/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U1085" s="73"/>
      <c r="V1085" s="73"/>
      <c r="W1085" s="73"/>
      <c r="X1085" s="73"/>
      <c r="Y1085" s="73"/>
      <c r="Z1085" s="73"/>
      <c r="AA1085" s="73"/>
      <c r="AB1085" s="73"/>
      <c r="AC1085" s="73"/>
      <c r="AD1085" s="73"/>
      <c r="AE1085" s="73"/>
      <c r="AF1085" s="73"/>
      <c r="AG1085" s="73"/>
      <c r="AH1085" s="73"/>
      <c r="AI1085" s="73"/>
      <c r="AJ1085" s="168"/>
      <c r="AK1085" s="73"/>
      <c r="AL1085" s="73"/>
      <c r="AM1085" s="73"/>
      <c r="AN1085" s="73"/>
      <c r="AO1085" s="73"/>
      <c r="AP1085" s="73"/>
      <c r="AQ1085" s="73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5"/>
      <c r="BG1085" s="73"/>
      <c r="BH1085" s="88"/>
      <c r="BI1085" s="73"/>
      <c r="BJ1085" s="73"/>
      <c r="BK1085" s="73"/>
      <c r="BL1085" s="73"/>
      <c r="BM1085" s="73"/>
      <c r="BN1085" s="73"/>
      <c r="BO1085" s="73"/>
      <c r="BP1085" s="73"/>
      <c r="BQ1085" s="73"/>
      <c r="BR1085" s="73"/>
      <c r="BS1085" s="73"/>
      <c r="BT1085" s="73"/>
      <c r="BU1085" s="73"/>
      <c r="BV1085" s="73"/>
      <c r="BW1085" s="73"/>
      <c r="BX1085" s="73"/>
      <c r="BY1085" s="73"/>
      <c r="BZ1085" s="73"/>
      <c r="CA1085" s="73"/>
      <c r="CB1085" s="73"/>
      <c r="CC1085" s="73"/>
      <c r="CD1085" s="73"/>
      <c r="CE1085" s="73"/>
      <c r="CF1085" s="73"/>
      <c r="CG1085" s="73"/>
      <c r="CH1085" s="73"/>
    </row>
    <row r="1086">
      <c r="A1086" s="73"/>
      <c r="B1086" s="73"/>
      <c r="C1086" s="73"/>
      <c r="D1086" s="73"/>
      <c r="E1086" s="140"/>
      <c r="F1086" s="80"/>
      <c r="G1086" s="80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73"/>
      <c r="V1086" s="73"/>
      <c r="W1086" s="73"/>
      <c r="X1086" s="73"/>
      <c r="Y1086" s="73"/>
      <c r="Z1086" s="73"/>
      <c r="AA1086" s="73"/>
      <c r="AB1086" s="73"/>
      <c r="AC1086" s="73"/>
      <c r="AD1086" s="73"/>
      <c r="AE1086" s="73"/>
      <c r="AF1086" s="73"/>
      <c r="AG1086" s="73"/>
      <c r="AH1086" s="73"/>
      <c r="AI1086" s="73"/>
      <c r="AJ1086" s="168"/>
      <c r="AK1086" s="73"/>
      <c r="AL1086" s="73"/>
      <c r="AM1086" s="73"/>
      <c r="AN1086" s="73"/>
      <c r="AO1086" s="73"/>
      <c r="AP1086" s="73"/>
      <c r="AQ1086" s="73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5"/>
      <c r="BG1086" s="73"/>
      <c r="BH1086" s="88"/>
      <c r="BI1086" s="73"/>
      <c r="BJ1086" s="73"/>
      <c r="BK1086" s="73"/>
      <c r="BL1086" s="73"/>
      <c r="BM1086" s="73"/>
      <c r="BN1086" s="73"/>
      <c r="BO1086" s="73"/>
      <c r="BP1086" s="73"/>
      <c r="BQ1086" s="73"/>
      <c r="BR1086" s="73"/>
      <c r="BS1086" s="73"/>
      <c r="BT1086" s="73"/>
      <c r="BU1086" s="73"/>
      <c r="BV1086" s="73"/>
      <c r="BW1086" s="73"/>
      <c r="BX1086" s="73"/>
      <c r="BY1086" s="73"/>
      <c r="BZ1086" s="73"/>
      <c r="CA1086" s="73"/>
      <c r="CB1086" s="73"/>
      <c r="CC1086" s="73"/>
      <c r="CD1086" s="73"/>
      <c r="CE1086" s="73"/>
      <c r="CF1086" s="73"/>
      <c r="CG1086" s="73"/>
      <c r="CH1086" s="73"/>
    </row>
    <row r="1087">
      <c r="A1087" s="73"/>
      <c r="B1087" s="73"/>
      <c r="C1087" s="73"/>
      <c r="D1087" s="73"/>
      <c r="E1087" s="140"/>
      <c r="F1087" s="80"/>
      <c r="G1087" s="80"/>
      <c r="H1087" s="73"/>
      <c r="I1087" s="73"/>
      <c r="J1087" s="73"/>
      <c r="K1087" s="73"/>
      <c r="L1087" s="73"/>
      <c r="M1087" s="73"/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3"/>
      <c r="AA1087" s="73"/>
      <c r="AB1087" s="73"/>
      <c r="AC1087" s="73"/>
      <c r="AD1087" s="73"/>
      <c r="AE1087" s="73"/>
      <c r="AF1087" s="73"/>
      <c r="AG1087" s="73"/>
      <c r="AH1087" s="73"/>
      <c r="AI1087" s="73"/>
      <c r="AJ1087" s="168"/>
      <c r="AK1087" s="73"/>
      <c r="AL1087" s="73"/>
      <c r="AM1087" s="73"/>
      <c r="AN1087" s="73"/>
      <c r="AO1087" s="73"/>
      <c r="AP1087" s="73"/>
      <c r="AQ1087" s="73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5"/>
      <c r="BG1087" s="73"/>
      <c r="BH1087" s="88"/>
      <c r="BI1087" s="73"/>
      <c r="BJ1087" s="73"/>
      <c r="BK1087" s="73"/>
      <c r="BL1087" s="73"/>
      <c r="BM1087" s="73"/>
      <c r="BN1087" s="73"/>
      <c r="BO1087" s="73"/>
      <c r="BP1087" s="73"/>
      <c r="BQ1087" s="73"/>
      <c r="BR1087" s="73"/>
      <c r="BS1087" s="73"/>
      <c r="BT1087" s="73"/>
      <c r="BU1087" s="73"/>
      <c r="BV1087" s="73"/>
      <c r="BW1087" s="73"/>
      <c r="BX1087" s="73"/>
      <c r="BY1087" s="73"/>
      <c r="BZ1087" s="73"/>
      <c r="CA1087" s="73"/>
      <c r="CB1087" s="73"/>
      <c r="CC1087" s="73"/>
      <c r="CD1087" s="73"/>
      <c r="CE1087" s="73"/>
      <c r="CF1087" s="73"/>
      <c r="CG1087" s="73"/>
      <c r="CH1087" s="73"/>
    </row>
    <row r="1088">
      <c r="A1088" s="73"/>
      <c r="B1088" s="73"/>
      <c r="C1088" s="73"/>
      <c r="D1088" s="73"/>
      <c r="E1088" s="140"/>
      <c r="F1088" s="80"/>
      <c r="G1088" s="80"/>
      <c r="H1088" s="73"/>
      <c r="I1088" s="73"/>
      <c r="J1088" s="73"/>
      <c r="K1088" s="73"/>
      <c r="L1088" s="73"/>
      <c r="M1088" s="73"/>
      <c r="N1088" s="73"/>
      <c r="O1088" s="73"/>
      <c r="P1088" s="73"/>
      <c r="Q1088" s="73"/>
      <c r="R1088" s="73"/>
      <c r="S1088" s="73"/>
      <c r="T1088" s="73"/>
      <c r="U1088" s="73"/>
      <c r="V1088" s="73"/>
      <c r="W1088" s="73"/>
      <c r="X1088" s="73"/>
      <c r="Y1088" s="73"/>
      <c r="Z1088" s="73"/>
      <c r="AA1088" s="73"/>
      <c r="AB1088" s="73"/>
      <c r="AC1088" s="73"/>
      <c r="AD1088" s="73"/>
      <c r="AE1088" s="73"/>
      <c r="AF1088" s="73"/>
      <c r="AG1088" s="73"/>
      <c r="AH1088" s="73"/>
      <c r="AI1088" s="73"/>
      <c r="AJ1088" s="168"/>
      <c r="AK1088" s="73"/>
      <c r="AL1088" s="73"/>
      <c r="AM1088" s="73"/>
      <c r="AN1088" s="73"/>
      <c r="AO1088" s="73"/>
      <c r="AP1088" s="73"/>
      <c r="AQ1088" s="73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5"/>
      <c r="BG1088" s="73"/>
      <c r="BH1088" s="88"/>
      <c r="BI1088" s="73"/>
      <c r="BJ1088" s="73"/>
      <c r="BK1088" s="73"/>
      <c r="BL1088" s="73"/>
      <c r="BM1088" s="73"/>
      <c r="BN1088" s="73"/>
      <c r="BO1088" s="73"/>
      <c r="BP1088" s="73"/>
      <c r="BQ1088" s="73"/>
      <c r="BR1088" s="73"/>
      <c r="BS1088" s="73"/>
      <c r="BT1088" s="73"/>
      <c r="BU1088" s="73"/>
      <c r="BV1088" s="73"/>
      <c r="BW1088" s="73"/>
      <c r="BX1088" s="73"/>
      <c r="BY1088" s="73"/>
      <c r="BZ1088" s="73"/>
      <c r="CA1088" s="73"/>
      <c r="CB1088" s="73"/>
      <c r="CC1088" s="73"/>
      <c r="CD1088" s="73"/>
      <c r="CE1088" s="73"/>
      <c r="CF1088" s="73"/>
      <c r="CG1088" s="73"/>
      <c r="CH1088" s="73"/>
    </row>
    <row r="1089">
      <c r="A1089" s="73"/>
      <c r="B1089" s="73"/>
      <c r="C1089" s="73"/>
      <c r="D1089" s="73"/>
      <c r="E1089" s="140"/>
      <c r="F1089" s="80"/>
      <c r="G1089" s="80"/>
      <c r="H1089" s="73"/>
      <c r="I1089" s="73"/>
      <c r="J1089" s="73"/>
      <c r="K1089" s="73"/>
      <c r="L1089" s="73"/>
      <c r="M1089" s="73"/>
      <c r="N1089" s="73"/>
      <c r="O1089" s="73"/>
      <c r="P1089" s="73"/>
      <c r="Q1089" s="73"/>
      <c r="R1089" s="73"/>
      <c r="S1089" s="73"/>
      <c r="T1089" s="73"/>
      <c r="U1089" s="73"/>
      <c r="V1089" s="73"/>
      <c r="W1089" s="73"/>
      <c r="X1089" s="73"/>
      <c r="Y1089" s="73"/>
      <c r="Z1089" s="73"/>
      <c r="AA1089" s="73"/>
      <c r="AB1089" s="73"/>
      <c r="AC1089" s="73"/>
      <c r="AD1089" s="73"/>
      <c r="AE1089" s="73"/>
      <c r="AF1089" s="73"/>
      <c r="AG1089" s="73"/>
      <c r="AH1089" s="73"/>
      <c r="AI1089" s="73"/>
      <c r="AJ1089" s="168"/>
      <c r="AK1089" s="73"/>
      <c r="AL1089" s="73"/>
      <c r="AM1089" s="73"/>
      <c r="AN1089" s="73"/>
      <c r="AO1089" s="73"/>
      <c r="AP1089" s="73"/>
      <c r="AQ1089" s="73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5"/>
      <c r="BG1089" s="73"/>
      <c r="BH1089" s="88"/>
      <c r="BI1089" s="73"/>
      <c r="BJ1089" s="73"/>
      <c r="BK1089" s="73"/>
      <c r="BL1089" s="73"/>
      <c r="BM1089" s="73"/>
      <c r="BN1089" s="73"/>
      <c r="BO1089" s="73"/>
      <c r="BP1089" s="73"/>
      <c r="BQ1089" s="73"/>
      <c r="BR1089" s="73"/>
      <c r="BS1089" s="73"/>
      <c r="BT1089" s="73"/>
      <c r="BU1089" s="73"/>
      <c r="BV1089" s="73"/>
      <c r="BW1089" s="73"/>
      <c r="BX1089" s="73"/>
      <c r="BY1089" s="73"/>
      <c r="BZ1089" s="73"/>
      <c r="CA1089" s="73"/>
      <c r="CB1089" s="73"/>
      <c r="CC1089" s="73"/>
      <c r="CD1089" s="73"/>
      <c r="CE1089" s="73"/>
      <c r="CF1089" s="73"/>
      <c r="CG1089" s="73"/>
      <c r="CH1089" s="73"/>
    </row>
    <row r="1090">
      <c r="A1090" s="73"/>
      <c r="B1090" s="73"/>
      <c r="C1090" s="73"/>
      <c r="D1090" s="73"/>
      <c r="E1090" s="140"/>
      <c r="F1090" s="80"/>
      <c r="G1090" s="80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  <c r="S1090" s="73"/>
      <c r="T1090" s="73"/>
      <c r="U1090" s="73"/>
      <c r="V1090" s="73"/>
      <c r="W1090" s="73"/>
      <c r="X1090" s="73"/>
      <c r="Y1090" s="73"/>
      <c r="Z1090" s="73"/>
      <c r="AA1090" s="73"/>
      <c r="AB1090" s="73"/>
      <c r="AC1090" s="73"/>
      <c r="AD1090" s="73"/>
      <c r="AE1090" s="73"/>
      <c r="AF1090" s="73"/>
      <c r="AG1090" s="73"/>
      <c r="AH1090" s="73"/>
      <c r="AI1090" s="73"/>
      <c r="AJ1090" s="168"/>
      <c r="AK1090" s="73"/>
      <c r="AL1090" s="73"/>
      <c r="AM1090" s="73"/>
      <c r="AN1090" s="73"/>
      <c r="AO1090" s="73"/>
      <c r="AP1090" s="73"/>
      <c r="AQ1090" s="73"/>
      <c r="AR1090" s="73"/>
      <c r="AS1090" s="73"/>
      <c r="AT1090" s="73"/>
      <c r="AU1090" s="73"/>
      <c r="AV1090" s="73"/>
      <c r="AW1090" s="73"/>
      <c r="AX1090" s="73"/>
      <c r="AY1090" s="73"/>
      <c r="AZ1090" s="73"/>
      <c r="BA1090" s="73"/>
      <c r="BB1090" s="73"/>
      <c r="BC1090" s="73"/>
      <c r="BD1090" s="73"/>
      <c r="BE1090" s="73"/>
      <c r="BF1090" s="75"/>
      <c r="BG1090" s="73"/>
      <c r="BH1090" s="88"/>
      <c r="BI1090" s="73"/>
      <c r="BJ1090" s="73"/>
      <c r="BK1090" s="73"/>
      <c r="BL1090" s="73"/>
      <c r="BM1090" s="73"/>
      <c r="BN1090" s="73"/>
      <c r="BO1090" s="73"/>
      <c r="BP1090" s="73"/>
      <c r="BQ1090" s="73"/>
      <c r="BR1090" s="73"/>
      <c r="BS1090" s="73"/>
      <c r="BT1090" s="73"/>
      <c r="BU1090" s="73"/>
      <c r="BV1090" s="73"/>
      <c r="BW1090" s="73"/>
      <c r="BX1090" s="73"/>
      <c r="BY1090" s="73"/>
      <c r="BZ1090" s="73"/>
      <c r="CA1090" s="73"/>
      <c r="CB1090" s="73"/>
      <c r="CC1090" s="73"/>
      <c r="CD1090" s="73"/>
      <c r="CE1090" s="73"/>
      <c r="CF1090" s="73"/>
      <c r="CG1090" s="73"/>
      <c r="CH1090" s="73"/>
    </row>
    <row r="1091">
      <c r="A1091" s="73"/>
      <c r="B1091" s="73"/>
      <c r="C1091" s="73"/>
      <c r="D1091" s="73"/>
      <c r="E1091" s="140"/>
      <c r="F1091" s="80"/>
      <c r="G1091" s="80"/>
      <c r="H1091" s="73"/>
      <c r="I1091" s="73"/>
      <c r="J1091" s="73"/>
      <c r="K1091" s="73"/>
      <c r="L1091" s="73"/>
      <c r="M1091" s="73"/>
      <c r="N1091" s="73"/>
      <c r="O1091" s="73"/>
      <c r="P1091" s="73"/>
      <c r="Q1091" s="73"/>
      <c r="R1091" s="73"/>
      <c r="S1091" s="73"/>
      <c r="T1091" s="73"/>
      <c r="U1091" s="73"/>
      <c r="V1091" s="73"/>
      <c r="W1091" s="73"/>
      <c r="X1091" s="73"/>
      <c r="Y1091" s="73"/>
      <c r="Z1091" s="73"/>
      <c r="AA1091" s="73"/>
      <c r="AB1091" s="73"/>
      <c r="AC1091" s="73"/>
      <c r="AD1091" s="73"/>
      <c r="AE1091" s="73"/>
      <c r="AF1091" s="73"/>
      <c r="AG1091" s="73"/>
      <c r="AH1091" s="73"/>
      <c r="AI1091" s="73"/>
      <c r="AJ1091" s="168"/>
      <c r="AK1091" s="73"/>
      <c r="AL1091" s="73"/>
      <c r="AM1091" s="73"/>
      <c r="AN1091" s="73"/>
      <c r="AO1091" s="73"/>
      <c r="AP1091" s="73"/>
      <c r="AQ1091" s="73"/>
      <c r="AR1091" s="73"/>
      <c r="AS1091" s="73"/>
      <c r="AT1091" s="73"/>
      <c r="AU1091" s="73"/>
      <c r="AV1091" s="73"/>
      <c r="AW1091" s="73"/>
      <c r="AX1091" s="73"/>
      <c r="AY1091" s="73"/>
      <c r="AZ1091" s="73"/>
      <c r="BA1091" s="73"/>
      <c r="BB1091" s="73"/>
      <c r="BC1091" s="73"/>
      <c r="BD1091" s="73"/>
      <c r="BE1091" s="73"/>
      <c r="BF1091" s="75"/>
      <c r="BG1091" s="73"/>
      <c r="BH1091" s="88"/>
      <c r="BI1091" s="73"/>
      <c r="BJ1091" s="73"/>
      <c r="BK1091" s="73"/>
      <c r="BL1091" s="73"/>
      <c r="BM1091" s="73"/>
      <c r="BN1091" s="73"/>
      <c r="BO1091" s="73"/>
      <c r="BP1091" s="73"/>
      <c r="BQ1091" s="73"/>
      <c r="BR1091" s="73"/>
      <c r="BS1091" s="73"/>
      <c r="BT1091" s="73"/>
      <c r="BU1091" s="73"/>
      <c r="BV1091" s="73"/>
      <c r="BW1091" s="73"/>
      <c r="BX1091" s="73"/>
      <c r="BY1091" s="73"/>
      <c r="BZ1091" s="73"/>
      <c r="CA1091" s="73"/>
      <c r="CB1091" s="73"/>
      <c r="CC1091" s="73"/>
      <c r="CD1091" s="73"/>
      <c r="CE1091" s="73"/>
      <c r="CF1091" s="73"/>
      <c r="CG1091" s="73"/>
      <c r="CH1091" s="73"/>
    </row>
    <row r="1092">
      <c r="A1092" s="73"/>
      <c r="B1092" s="73"/>
      <c r="C1092" s="73"/>
      <c r="D1092" s="73"/>
      <c r="E1092" s="140"/>
      <c r="F1092" s="80"/>
      <c r="G1092" s="80"/>
      <c r="H1092" s="73"/>
      <c r="I1092" s="73"/>
      <c r="J1092" s="73"/>
      <c r="K1092" s="73"/>
      <c r="L1092" s="73"/>
      <c r="M1092" s="73"/>
      <c r="N1092" s="73"/>
      <c r="O1092" s="73"/>
      <c r="P1092" s="73"/>
      <c r="Q1092" s="73"/>
      <c r="R1092" s="73"/>
      <c r="S1092" s="73"/>
      <c r="T1092" s="73"/>
      <c r="U1092" s="73"/>
      <c r="V1092" s="73"/>
      <c r="W1092" s="73"/>
      <c r="X1092" s="73"/>
      <c r="Y1092" s="73"/>
      <c r="Z1092" s="73"/>
      <c r="AA1092" s="73"/>
      <c r="AB1092" s="73"/>
      <c r="AC1092" s="73"/>
      <c r="AD1092" s="73"/>
      <c r="AE1092" s="73"/>
      <c r="AF1092" s="73"/>
      <c r="AG1092" s="73"/>
      <c r="AH1092" s="73"/>
      <c r="AI1092" s="73"/>
      <c r="AJ1092" s="168"/>
      <c r="AK1092" s="73"/>
      <c r="AL1092" s="73"/>
      <c r="AM1092" s="73"/>
      <c r="AN1092" s="73"/>
      <c r="AO1092" s="73"/>
      <c r="AP1092" s="73"/>
      <c r="AQ1092" s="73"/>
      <c r="AR1092" s="73"/>
      <c r="AS1092" s="73"/>
      <c r="AT1092" s="73"/>
      <c r="AU1092" s="73"/>
      <c r="AV1092" s="73"/>
      <c r="AW1092" s="73"/>
      <c r="AX1092" s="73"/>
      <c r="AY1092" s="73"/>
      <c r="AZ1092" s="73"/>
      <c r="BA1092" s="73"/>
      <c r="BB1092" s="73"/>
      <c r="BC1092" s="73"/>
      <c r="BD1092" s="73"/>
      <c r="BE1092" s="73"/>
      <c r="BF1092" s="75"/>
      <c r="BG1092" s="73"/>
      <c r="BH1092" s="88"/>
      <c r="BI1092" s="73"/>
      <c r="BJ1092" s="73"/>
      <c r="BK1092" s="73"/>
      <c r="BL1092" s="73"/>
      <c r="BM1092" s="73"/>
      <c r="BN1092" s="73"/>
      <c r="BO1092" s="73"/>
      <c r="BP1092" s="73"/>
      <c r="BQ1092" s="73"/>
      <c r="BR1092" s="73"/>
      <c r="BS1092" s="73"/>
      <c r="BT1092" s="73"/>
      <c r="BU1092" s="73"/>
      <c r="BV1092" s="73"/>
      <c r="BW1092" s="73"/>
      <c r="BX1092" s="73"/>
      <c r="BY1092" s="73"/>
      <c r="BZ1092" s="73"/>
      <c r="CA1092" s="73"/>
      <c r="CB1092" s="73"/>
      <c r="CC1092" s="73"/>
      <c r="CD1092" s="73"/>
      <c r="CE1092" s="73"/>
      <c r="CF1092" s="73"/>
      <c r="CG1092" s="73"/>
      <c r="CH1092" s="73"/>
    </row>
    <row r="1093">
      <c r="A1093" s="73"/>
      <c r="B1093" s="73"/>
      <c r="C1093" s="73"/>
      <c r="D1093" s="73"/>
      <c r="E1093" s="140"/>
      <c r="F1093" s="80"/>
      <c r="G1093" s="80"/>
      <c r="H1093" s="73"/>
      <c r="I1093" s="73"/>
      <c r="J1093" s="73"/>
      <c r="K1093" s="73"/>
      <c r="L1093" s="73"/>
      <c r="M1093" s="73"/>
      <c r="N1093" s="73"/>
      <c r="O1093" s="73"/>
      <c r="P1093" s="73"/>
      <c r="Q1093" s="73"/>
      <c r="R1093" s="73"/>
      <c r="S1093" s="73"/>
      <c r="T1093" s="73"/>
      <c r="U1093" s="73"/>
      <c r="V1093" s="73"/>
      <c r="W1093" s="73"/>
      <c r="X1093" s="73"/>
      <c r="Y1093" s="73"/>
      <c r="Z1093" s="73"/>
      <c r="AA1093" s="73"/>
      <c r="AB1093" s="73"/>
      <c r="AC1093" s="73"/>
      <c r="AD1093" s="73"/>
      <c r="AE1093" s="73"/>
      <c r="AF1093" s="73"/>
      <c r="AG1093" s="73"/>
      <c r="AH1093" s="73"/>
      <c r="AI1093" s="73"/>
      <c r="AJ1093" s="168"/>
      <c r="AK1093" s="73"/>
      <c r="AL1093" s="73"/>
      <c r="AM1093" s="73"/>
      <c r="AN1093" s="73"/>
      <c r="AO1093" s="73"/>
      <c r="AP1093" s="73"/>
      <c r="AQ1093" s="73"/>
      <c r="AR1093" s="73"/>
      <c r="AS1093" s="73"/>
      <c r="AT1093" s="73"/>
      <c r="AU1093" s="73"/>
      <c r="AV1093" s="73"/>
      <c r="AW1093" s="73"/>
      <c r="AX1093" s="73"/>
      <c r="AY1093" s="73"/>
      <c r="AZ1093" s="73"/>
      <c r="BA1093" s="73"/>
      <c r="BB1093" s="73"/>
      <c r="BC1093" s="73"/>
      <c r="BD1093" s="73"/>
      <c r="BE1093" s="73"/>
      <c r="BF1093" s="75"/>
      <c r="BG1093" s="73"/>
      <c r="BH1093" s="88"/>
      <c r="BI1093" s="73"/>
      <c r="BJ1093" s="73"/>
      <c r="BK1093" s="73"/>
      <c r="BL1093" s="73"/>
      <c r="BM1093" s="73"/>
      <c r="BN1093" s="73"/>
      <c r="BO1093" s="73"/>
      <c r="BP1093" s="73"/>
      <c r="BQ1093" s="73"/>
      <c r="BR1093" s="73"/>
      <c r="BS1093" s="73"/>
      <c r="BT1093" s="73"/>
      <c r="BU1093" s="73"/>
      <c r="BV1093" s="73"/>
      <c r="BW1093" s="73"/>
      <c r="BX1093" s="73"/>
      <c r="BY1093" s="73"/>
      <c r="BZ1093" s="73"/>
      <c r="CA1093" s="73"/>
      <c r="CB1093" s="73"/>
      <c r="CC1093" s="73"/>
      <c r="CD1093" s="73"/>
      <c r="CE1093" s="73"/>
      <c r="CF1093" s="73"/>
      <c r="CG1093" s="73"/>
      <c r="CH1093" s="73"/>
    </row>
    <row r="1094">
      <c r="A1094" s="73"/>
      <c r="B1094" s="73"/>
      <c r="C1094" s="73"/>
      <c r="D1094" s="73"/>
      <c r="E1094" s="140"/>
      <c r="F1094" s="80"/>
      <c r="G1094" s="80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  <c r="S1094" s="73"/>
      <c r="T1094" s="73"/>
      <c r="U1094" s="73"/>
      <c r="V1094" s="73"/>
      <c r="W1094" s="73"/>
      <c r="X1094" s="73"/>
      <c r="Y1094" s="73"/>
      <c r="Z1094" s="73"/>
      <c r="AA1094" s="73"/>
      <c r="AB1094" s="73"/>
      <c r="AC1094" s="73"/>
      <c r="AD1094" s="73"/>
      <c r="AE1094" s="73"/>
      <c r="AF1094" s="73"/>
      <c r="AG1094" s="73"/>
      <c r="AH1094" s="73"/>
      <c r="AI1094" s="73"/>
      <c r="AJ1094" s="168"/>
      <c r="AK1094" s="73"/>
      <c r="AL1094" s="73"/>
      <c r="AM1094" s="73"/>
      <c r="AN1094" s="73"/>
      <c r="AO1094" s="73"/>
      <c r="AP1094" s="73"/>
      <c r="AQ1094" s="73"/>
      <c r="AR1094" s="73"/>
      <c r="AS1094" s="73"/>
      <c r="AT1094" s="73"/>
      <c r="AU1094" s="73"/>
      <c r="AV1094" s="73"/>
      <c r="AW1094" s="73"/>
      <c r="AX1094" s="73"/>
      <c r="AY1094" s="73"/>
      <c r="AZ1094" s="73"/>
      <c r="BA1094" s="73"/>
      <c r="BB1094" s="73"/>
      <c r="BC1094" s="73"/>
      <c r="BD1094" s="73"/>
      <c r="BE1094" s="73"/>
      <c r="BF1094" s="75"/>
      <c r="BG1094" s="73"/>
      <c r="BH1094" s="88"/>
      <c r="BI1094" s="73"/>
      <c r="BJ1094" s="73"/>
      <c r="BK1094" s="73"/>
      <c r="BL1094" s="73"/>
      <c r="BM1094" s="73"/>
      <c r="BN1094" s="73"/>
      <c r="BO1094" s="73"/>
      <c r="BP1094" s="73"/>
      <c r="BQ1094" s="73"/>
      <c r="BR1094" s="73"/>
      <c r="BS1094" s="73"/>
      <c r="BT1094" s="73"/>
      <c r="BU1094" s="73"/>
      <c r="BV1094" s="73"/>
      <c r="BW1094" s="73"/>
      <c r="BX1094" s="73"/>
      <c r="BY1094" s="73"/>
      <c r="BZ1094" s="73"/>
      <c r="CA1094" s="73"/>
      <c r="CB1094" s="73"/>
      <c r="CC1094" s="73"/>
      <c r="CD1094" s="73"/>
      <c r="CE1094" s="73"/>
      <c r="CF1094" s="73"/>
      <c r="CG1094" s="73"/>
      <c r="CH1094" s="73"/>
    </row>
    <row r="1095">
      <c r="A1095" s="73"/>
      <c r="B1095" s="73"/>
      <c r="C1095" s="73"/>
      <c r="D1095" s="73"/>
      <c r="E1095" s="140"/>
      <c r="F1095" s="80"/>
      <c r="G1095" s="80"/>
      <c r="H1095" s="73"/>
      <c r="I1095" s="73"/>
      <c r="J1095" s="73"/>
      <c r="K1095" s="73"/>
      <c r="L1095" s="73"/>
      <c r="M1095" s="73"/>
      <c r="N1095" s="73"/>
      <c r="O1095" s="73"/>
      <c r="P1095" s="73"/>
      <c r="Q1095" s="73"/>
      <c r="R1095" s="73"/>
      <c r="S1095" s="73"/>
      <c r="T1095" s="73"/>
      <c r="U1095" s="73"/>
      <c r="V1095" s="73"/>
      <c r="W1095" s="73"/>
      <c r="X1095" s="73"/>
      <c r="Y1095" s="73"/>
      <c r="Z1095" s="73"/>
      <c r="AA1095" s="73"/>
      <c r="AB1095" s="73"/>
      <c r="AC1095" s="73"/>
      <c r="AD1095" s="73"/>
      <c r="AE1095" s="73"/>
      <c r="AF1095" s="73"/>
      <c r="AG1095" s="73"/>
      <c r="AH1095" s="73"/>
      <c r="AI1095" s="73"/>
      <c r="AJ1095" s="168"/>
      <c r="AK1095" s="73"/>
      <c r="AL1095" s="73"/>
      <c r="AM1095" s="73"/>
      <c r="AN1095" s="73"/>
      <c r="AO1095" s="73"/>
      <c r="AP1095" s="73"/>
      <c r="AQ1095" s="73"/>
      <c r="AR1095" s="73"/>
      <c r="AS1095" s="73"/>
      <c r="AT1095" s="73"/>
      <c r="AU1095" s="73"/>
      <c r="AV1095" s="73"/>
      <c r="AW1095" s="73"/>
      <c r="AX1095" s="73"/>
      <c r="AY1095" s="73"/>
      <c r="AZ1095" s="73"/>
      <c r="BA1095" s="73"/>
      <c r="BB1095" s="73"/>
      <c r="BC1095" s="73"/>
      <c r="BD1095" s="73"/>
      <c r="BE1095" s="73"/>
      <c r="BF1095" s="75"/>
      <c r="BG1095" s="73"/>
      <c r="BH1095" s="88"/>
      <c r="BI1095" s="73"/>
      <c r="BJ1095" s="73"/>
      <c r="BK1095" s="73"/>
      <c r="BL1095" s="73"/>
      <c r="BM1095" s="73"/>
      <c r="BN1095" s="73"/>
      <c r="BO1095" s="73"/>
      <c r="BP1095" s="73"/>
      <c r="BQ1095" s="73"/>
      <c r="BR1095" s="73"/>
      <c r="BS1095" s="73"/>
      <c r="BT1095" s="73"/>
      <c r="BU1095" s="73"/>
      <c r="BV1095" s="73"/>
      <c r="BW1095" s="73"/>
      <c r="BX1095" s="73"/>
      <c r="BY1095" s="73"/>
      <c r="BZ1095" s="73"/>
      <c r="CA1095" s="73"/>
      <c r="CB1095" s="73"/>
      <c r="CC1095" s="73"/>
      <c r="CD1095" s="73"/>
      <c r="CE1095" s="73"/>
      <c r="CF1095" s="73"/>
      <c r="CG1095" s="73"/>
      <c r="CH1095" s="73"/>
    </row>
    <row r="1096">
      <c r="A1096" s="73"/>
      <c r="B1096" s="73"/>
      <c r="C1096" s="73"/>
      <c r="D1096" s="73"/>
      <c r="E1096" s="140"/>
      <c r="F1096" s="80"/>
      <c r="G1096" s="80"/>
      <c r="H1096" s="73"/>
      <c r="I1096" s="73"/>
      <c r="J1096" s="73"/>
      <c r="K1096" s="73"/>
      <c r="L1096" s="73"/>
      <c r="M1096" s="73"/>
      <c r="N1096" s="73"/>
      <c r="O1096" s="73"/>
      <c r="P1096" s="73"/>
      <c r="Q1096" s="73"/>
      <c r="R1096" s="73"/>
      <c r="S1096" s="73"/>
      <c r="T1096" s="73"/>
      <c r="U1096" s="73"/>
      <c r="V1096" s="73"/>
      <c r="W1096" s="73"/>
      <c r="X1096" s="73"/>
      <c r="Y1096" s="73"/>
      <c r="Z1096" s="73"/>
      <c r="AA1096" s="73"/>
      <c r="AB1096" s="73"/>
      <c r="AC1096" s="73"/>
      <c r="AD1096" s="73"/>
      <c r="AE1096" s="73"/>
      <c r="AF1096" s="73"/>
      <c r="AG1096" s="73"/>
      <c r="AH1096" s="73"/>
      <c r="AI1096" s="73"/>
      <c r="AJ1096" s="168"/>
      <c r="AK1096" s="73"/>
      <c r="AL1096" s="73"/>
      <c r="AM1096" s="73"/>
      <c r="AN1096" s="73"/>
      <c r="AO1096" s="73"/>
      <c r="AP1096" s="73"/>
      <c r="AQ1096" s="73"/>
      <c r="AR1096" s="73"/>
      <c r="AS1096" s="73"/>
      <c r="AT1096" s="73"/>
      <c r="AU1096" s="73"/>
      <c r="AV1096" s="73"/>
      <c r="AW1096" s="73"/>
      <c r="AX1096" s="73"/>
      <c r="AY1096" s="73"/>
      <c r="AZ1096" s="73"/>
      <c r="BA1096" s="73"/>
      <c r="BB1096" s="73"/>
      <c r="BC1096" s="73"/>
      <c r="BD1096" s="73"/>
      <c r="BE1096" s="73"/>
      <c r="BF1096" s="75"/>
      <c r="BG1096" s="73"/>
      <c r="BH1096" s="88"/>
      <c r="BI1096" s="73"/>
      <c r="BJ1096" s="73"/>
      <c r="BK1096" s="73"/>
      <c r="BL1096" s="73"/>
      <c r="BM1096" s="73"/>
      <c r="BN1096" s="73"/>
      <c r="BO1096" s="73"/>
      <c r="BP1096" s="73"/>
      <c r="BQ1096" s="73"/>
      <c r="BR1096" s="73"/>
      <c r="BS1096" s="73"/>
      <c r="BT1096" s="73"/>
      <c r="BU1096" s="73"/>
      <c r="BV1096" s="73"/>
      <c r="BW1096" s="73"/>
      <c r="BX1096" s="73"/>
      <c r="BY1096" s="73"/>
      <c r="BZ1096" s="73"/>
      <c r="CA1096" s="73"/>
      <c r="CB1096" s="73"/>
      <c r="CC1096" s="73"/>
      <c r="CD1096" s="73"/>
      <c r="CE1096" s="73"/>
      <c r="CF1096" s="73"/>
      <c r="CG1096" s="73"/>
      <c r="CH1096" s="73"/>
    </row>
    <row r="1097">
      <c r="A1097" s="73"/>
      <c r="B1097" s="73"/>
      <c r="C1097" s="73"/>
      <c r="D1097" s="73"/>
      <c r="E1097" s="140"/>
      <c r="F1097" s="80"/>
      <c r="G1097" s="80"/>
      <c r="H1097" s="73"/>
      <c r="I1097" s="73"/>
      <c r="J1097" s="73"/>
      <c r="K1097" s="73"/>
      <c r="L1097" s="73"/>
      <c r="M1097" s="73"/>
      <c r="N1097" s="73"/>
      <c r="O1097" s="73"/>
      <c r="P1097" s="73"/>
      <c r="Q1097" s="73"/>
      <c r="R1097" s="73"/>
      <c r="S1097" s="73"/>
      <c r="T1097" s="73"/>
      <c r="U1097" s="73"/>
      <c r="V1097" s="73"/>
      <c r="W1097" s="73"/>
      <c r="X1097" s="73"/>
      <c r="Y1097" s="73"/>
      <c r="Z1097" s="73"/>
      <c r="AA1097" s="73"/>
      <c r="AB1097" s="73"/>
      <c r="AC1097" s="73"/>
      <c r="AD1097" s="73"/>
      <c r="AE1097" s="73"/>
      <c r="AF1097" s="73"/>
      <c r="AG1097" s="73"/>
      <c r="AH1097" s="73"/>
      <c r="AI1097" s="73"/>
      <c r="AJ1097" s="168"/>
      <c r="AK1097" s="73"/>
      <c r="AL1097" s="73"/>
      <c r="AM1097" s="73"/>
      <c r="AN1097" s="73"/>
      <c r="AO1097" s="73"/>
      <c r="AP1097" s="73"/>
      <c r="AQ1097" s="73"/>
      <c r="AR1097" s="73"/>
      <c r="AS1097" s="73"/>
      <c r="AT1097" s="73"/>
      <c r="AU1097" s="73"/>
      <c r="AV1097" s="73"/>
      <c r="AW1097" s="73"/>
      <c r="AX1097" s="73"/>
      <c r="AY1097" s="73"/>
      <c r="AZ1097" s="73"/>
      <c r="BA1097" s="73"/>
      <c r="BB1097" s="73"/>
      <c r="BC1097" s="73"/>
      <c r="BD1097" s="73"/>
      <c r="BE1097" s="73"/>
      <c r="BF1097" s="75"/>
      <c r="BG1097" s="73"/>
      <c r="BH1097" s="88"/>
      <c r="BI1097" s="73"/>
      <c r="BJ1097" s="73"/>
      <c r="BK1097" s="73"/>
      <c r="BL1097" s="73"/>
      <c r="BM1097" s="73"/>
      <c r="BN1097" s="73"/>
      <c r="BO1097" s="73"/>
      <c r="BP1097" s="73"/>
      <c r="BQ1097" s="73"/>
      <c r="BR1097" s="73"/>
      <c r="BS1097" s="73"/>
      <c r="BT1097" s="73"/>
      <c r="BU1097" s="73"/>
      <c r="BV1097" s="73"/>
      <c r="BW1097" s="73"/>
      <c r="BX1097" s="73"/>
      <c r="BY1097" s="73"/>
      <c r="BZ1097" s="73"/>
      <c r="CA1097" s="73"/>
      <c r="CB1097" s="73"/>
      <c r="CC1097" s="73"/>
      <c r="CD1097" s="73"/>
      <c r="CE1097" s="73"/>
      <c r="CF1097" s="73"/>
      <c r="CG1097" s="73"/>
      <c r="CH1097" s="73"/>
    </row>
    <row r="1098">
      <c r="A1098" s="73"/>
      <c r="B1098" s="73"/>
      <c r="C1098" s="73"/>
      <c r="D1098" s="73"/>
      <c r="E1098" s="140"/>
      <c r="F1098" s="80"/>
      <c r="G1098" s="80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  <c r="S1098" s="73"/>
      <c r="T1098" s="73"/>
      <c r="U1098" s="73"/>
      <c r="V1098" s="73"/>
      <c r="W1098" s="73"/>
      <c r="X1098" s="73"/>
      <c r="Y1098" s="73"/>
      <c r="Z1098" s="73"/>
      <c r="AA1098" s="73"/>
      <c r="AB1098" s="73"/>
      <c r="AC1098" s="73"/>
      <c r="AD1098" s="73"/>
      <c r="AE1098" s="73"/>
      <c r="AF1098" s="73"/>
      <c r="AG1098" s="73"/>
      <c r="AH1098" s="73"/>
      <c r="AI1098" s="73"/>
      <c r="AJ1098" s="168"/>
      <c r="AK1098" s="73"/>
      <c r="AL1098" s="73"/>
      <c r="AM1098" s="73"/>
      <c r="AN1098" s="73"/>
      <c r="AO1098" s="73"/>
      <c r="AP1098" s="73"/>
      <c r="AQ1098" s="73"/>
      <c r="AR1098" s="73"/>
      <c r="AS1098" s="73"/>
      <c r="AT1098" s="73"/>
      <c r="AU1098" s="73"/>
      <c r="AV1098" s="73"/>
      <c r="AW1098" s="73"/>
      <c r="AX1098" s="73"/>
      <c r="AY1098" s="73"/>
      <c r="AZ1098" s="73"/>
      <c r="BA1098" s="73"/>
      <c r="BB1098" s="73"/>
      <c r="BC1098" s="73"/>
      <c r="BD1098" s="73"/>
      <c r="BE1098" s="73"/>
      <c r="BF1098" s="75"/>
      <c r="BG1098" s="73"/>
      <c r="BH1098" s="88"/>
      <c r="BI1098" s="73"/>
      <c r="BJ1098" s="73"/>
      <c r="BK1098" s="73"/>
      <c r="BL1098" s="73"/>
      <c r="BM1098" s="73"/>
      <c r="BN1098" s="73"/>
      <c r="BO1098" s="73"/>
      <c r="BP1098" s="73"/>
      <c r="BQ1098" s="73"/>
      <c r="BR1098" s="73"/>
      <c r="BS1098" s="73"/>
      <c r="BT1098" s="73"/>
      <c r="BU1098" s="73"/>
      <c r="BV1098" s="73"/>
      <c r="BW1098" s="73"/>
      <c r="BX1098" s="73"/>
      <c r="BY1098" s="73"/>
      <c r="BZ1098" s="73"/>
      <c r="CA1098" s="73"/>
      <c r="CB1098" s="73"/>
      <c r="CC1098" s="73"/>
      <c r="CD1098" s="73"/>
      <c r="CE1098" s="73"/>
      <c r="CF1098" s="73"/>
      <c r="CG1098" s="73"/>
      <c r="CH1098" s="73"/>
    </row>
    <row r="1099">
      <c r="A1099" s="73"/>
      <c r="B1099" s="73"/>
      <c r="C1099" s="73"/>
      <c r="D1099" s="73"/>
      <c r="E1099" s="140"/>
      <c r="F1099" s="80"/>
      <c r="G1099" s="80"/>
      <c r="H1099" s="73"/>
      <c r="I1099" s="73"/>
      <c r="J1099" s="73"/>
      <c r="K1099" s="73"/>
      <c r="L1099" s="73"/>
      <c r="M1099" s="73"/>
      <c r="N1099" s="73"/>
      <c r="O1099" s="73"/>
      <c r="P1099" s="73"/>
      <c r="Q1099" s="73"/>
      <c r="R1099" s="73"/>
      <c r="S1099" s="73"/>
      <c r="T1099" s="73"/>
      <c r="U1099" s="73"/>
      <c r="V1099" s="73"/>
      <c r="W1099" s="73"/>
      <c r="X1099" s="73"/>
      <c r="Y1099" s="73"/>
      <c r="Z1099" s="73"/>
      <c r="AA1099" s="73"/>
      <c r="AB1099" s="73"/>
      <c r="AC1099" s="73"/>
      <c r="AD1099" s="73"/>
      <c r="AE1099" s="73"/>
      <c r="AF1099" s="73"/>
      <c r="AG1099" s="73"/>
      <c r="AH1099" s="73"/>
      <c r="AI1099" s="73"/>
      <c r="AJ1099" s="168"/>
      <c r="AK1099" s="73"/>
      <c r="AL1099" s="73"/>
      <c r="AM1099" s="73"/>
      <c r="AN1099" s="73"/>
      <c r="AO1099" s="73"/>
      <c r="AP1099" s="73"/>
      <c r="AQ1099" s="73"/>
      <c r="AR1099" s="73"/>
      <c r="AS1099" s="73"/>
      <c r="AT1099" s="73"/>
      <c r="AU1099" s="73"/>
      <c r="AV1099" s="73"/>
      <c r="AW1099" s="73"/>
      <c r="AX1099" s="73"/>
      <c r="AY1099" s="73"/>
      <c r="AZ1099" s="73"/>
      <c r="BA1099" s="73"/>
      <c r="BB1099" s="73"/>
      <c r="BC1099" s="73"/>
      <c r="BD1099" s="73"/>
      <c r="BE1099" s="73"/>
      <c r="BF1099" s="75"/>
      <c r="BG1099" s="73"/>
      <c r="BH1099" s="88"/>
      <c r="BI1099" s="73"/>
      <c r="BJ1099" s="73"/>
      <c r="BK1099" s="73"/>
      <c r="BL1099" s="73"/>
      <c r="BM1099" s="73"/>
      <c r="BN1099" s="73"/>
      <c r="BO1099" s="73"/>
      <c r="BP1099" s="73"/>
      <c r="BQ1099" s="73"/>
      <c r="BR1099" s="73"/>
      <c r="BS1099" s="73"/>
      <c r="BT1099" s="73"/>
      <c r="BU1099" s="73"/>
      <c r="BV1099" s="73"/>
      <c r="BW1099" s="73"/>
      <c r="BX1099" s="73"/>
      <c r="BY1099" s="73"/>
      <c r="BZ1099" s="73"/>
      <c r="CA1099" s="73"/>
      <c r="CB1099" s="73"/>
      <c r="CC1099" s="73"/>
      <c r="CD1099" s="73"/>
      <c r="CE1099" s="73"/>
      <c r="CF1099" s="73"/>
      <c r="CG1099" s="73"/>
      <c r="CH1099" s="73"/>
    </row>
    <row r="1100">
      <c r="A1100" s="73"/>
      <c r="B1100" s="73"/>
      <c r="C1100" s="73"/>
      <c r="D1100" s="73"/>
      <c r="E1100" s="140"/>
      <c r="F1100" s="80"/>
      <c r="G1100" s="80"/>
      <c r="H1100" s="73"/>
      <c r="I1100" s="73"/>
      <c r="J1100" s="73"/>
      <c r="K1100" s="73"/>
      <c r="L1100" s="73"/>
      <c r="M1100" s="73"/>
      <c r="N1100" s="73"/>
      <c r="O1100" s="73"/>
      <c r="P1100" s="73"/>
      <c r="Q1100" s="73"/>
      <c r="R1100" s="73"/>
      <c r="S1100" s="73"/>
      <c r="T1100" s="73"/>
      <c r="U1100" s="73"/>
      <c r="V1100" s="73"/>
      <c r="W1100" s="73"/>
      <c r="X1100" s="73"/>
      <c r="Y1100" s="73"/>
      <c r="Z1100" s="73"/>
      <c r="AA1100" s="73"/>
      <c r="AB1100" s="73"/>
      <c r="AC1100" s="73"/>
      <c r="AD1100" s="73"/>
      <c r="AE1100" s="73"/>
      <c r="AF1100" s="73"/>
      <c r="AG1100" s="73"/>
      <c r="AH1100" s="73"/>
      <c r="AI1100" s="73"/>
      <c r="AJ1100" s="168"/>
      <c r="AK1100" s="73"/>
      <c r="AL1100" s="73"/>
      <c r="AM1100" s="73"/>
      <c r="AN1100" s="73"/>
      <c r="AO1100" s="73"/>
      <c r="AP1100" s="73"/>
      <c r="AQ1100" s="73"/>
      <c r="AR1100" s="73"/>
      <c r="AS1100" s="73"/>
      <c r="AT1100" s="73"/>
      <c r="AU1100" s="73"/>
      <c r="AV1100" s="73"/>
      <c r="AW1100" s="73"/>
      <c r="AX1100" s="73"/>
      <c r="AY1100" s="73"/>
      <c r="AZ1100" s="73"/>
      <c r="BA1100" s="73"/>
      <c r="BB1100" s="73"/>
      <c r="BC1100" s="73"/>
      <c r="BD1100" s="73"/>
      <c r="BE1100" s="73"/>
      <c r="BF1100" s="75"/>
      <c r="BG1100" s="73"/>
      <c r="BH1100" s="88"/>
      <c r="BI1100" s="73"/>
      <c r="BJ1100" s="73"/>
      <c r="BK1100" s="73"/>
      <c r="BL1100" s="73"/>
      <c r="BM1100" s="73"/>
      <c r="BN1100" s="73"/>
      <c r="BO1100" s="73"/>
      <c r="BP1100" s="73"/>
      <c r="BQ1100" s="73"/>
      <c r="BR1100" s="73"/>
      <c r="BS1100" s="73"/>
      <c r="BT1100" s="73"/>
      <c r="BU1100" s="73"/>
      <c r="BV1100" s="73"/>
      <c r="BW1100" s="73"/>
      <c r="BX1100" s="73"/>
      <c r="BY1100" s="73"/>
      <c r="BZ1100" s="73"/>
      <c r="CA1100" s="73"/>
      <c r="CB1100" s="73"/>
      <c r="CC1100" s="73"/>
      <c r="CD1100" s="73"/>
      <c r="CE1100" s="73"/>
      <c r="CF1100" s="73"/>
      <c r="CG1100" s="73"/>
      <c r="CH1100" s="73"/>
    </row>
    <row r="1101">
      <c r="A1101" s="73"/>
      <c r="B1101" s="73"/>
      <c r="C1101" s="73"/>
      <c r="D1101" s="73"/>
      <c r="E1101" s="140"/>
      <c r="F1101" s="80"/>
      <c r="G1101" s="80"/>
      <c r="H1101" s="73"/>
      <c r="I1101" s="73"/>
      <c r="J1101" s="73"/>
      <c r="K1101" s="73"/>
      <c r="L1101" s="73"/>
      <c r="M1101" s="73"/>
      <c r="N1101" s="73"/>
      <c r="O1101" s="73"/>
      <c r="P1101" s="73"/>
      <c r="Q1101" s="73"/>
      <c r="R1101" s="73"/>
      <c r="S1101" s="73"/>
      <c r="T1101" s="73"/>
      <c r="U1101" s="73"/>
      <c r="V1101" s="73"/>
      <c r="W1101" s="73"/>
      <c r="X1101" s="73"/>
      <c r="Y1101" s="73"/>
      <c r="Z1101" s="73"/>
      <c r="AA1101" s="73"/>
      <c r="AB1101" s="73"/>
      <c r="AC1101" s="73"/>
      <c r="AD1101" s="73"/>
      <c r="AE1101" s="73"/>
      <c r="AF1101" s="73"/>
      <c r="AG1101" s="73"/>
      <c r="AH1101" s="73"/>
      <c r="AI1101" s="73"/>
      <c r="AJ1101" s="168"/>
      <c r="AK1101" s="73"/>
      <c r="AL1101" s="73"/>
      <c r="AM1101" s="73"/>
      <c r="AN1101" s="73"/>
      <c r="AO1101" s="73"/>
      <c r="AP1101" s="73"/>
      <c r="AQ1101" s="73"/>
      <c r="AR1101" s="73"/>
      <c r="AS1101" s="73"/>
      <c r="AT1101" s="73"/>
      <c r="AU1101" s="73"/>
      <c r="AV1101" s="73"/>
      <c r="AW1101" s="73"/>
      <c r="AX1101" s="73"/>
      <c r="AY1101" s="73"/>
      <c r="AZ1101" s="73"/>
      <c r="BA1101" s="73"/>
      <c r="BB1101" s="73"/>
      <c r="BC1101" s="73"/>
      <c r="BD1101" s="73"/>
      <c r="BE1101" s="73"/>
      <c r="BF1101" s="75"/>
      <c r="BG1101" s="73"/>
      <c r="BH1101" s="88"/>
      <c r="BI1101" s="73"/>
      <c r="BJ1101" s="73"/>
      <c r="BK1101" s="73"/>
      <c r="BL1101" s="73"/>
      <c r="BM1101" s="73"/>
      <c r="BN1101" s="73"/>
      <c r="BO1101" s="73"/>
      <c r="BP1101" s="73"/>
      <c r="BQ1101" s="73"/>
      <c r="BR1101" s="73"/>
      <c r="BS1101" s="73"/>
      <c r="BT1101" s="73"/>
      <c r="BU1101" s="73"/>
      <c r="BV1101" s="73"/>
      <c r="BW1101" s="73"/>
      <c r="BX1101" s="73"/>
      <c r="BY1101" s="73"/>
      <c r="BZ1101" s="73"/>
      <c r="CA1101" s="73"/>
      <c r="CB1101" s="73"/>
      <c r="CC1101" s="73"/>
      <c r="CD1101" s="73"/>
      <c r="CE1101" s="73"/>
      <c r="CF1101" s="73"/>
      <c r="CG1101" s="73"/>
      <c r="CH1101" s="73"/>
    </row>
    <row r="1102">
      <c r="A1102" s="73"/>
      <c r="B1102" s="73"/>
      <c r="C1102" s="73"/>
      <c r="D1102" s="73"/>
      <c r="E1102" s="140"/>
      <c r="F1102" s="80"/>
      <c r="G1102" s="80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  <c r="S1102" s="73"/>
      <c r="T1102" s="73"/>
      <c r="U1102" s="73"/>
      <c r="V1102" s="73"/>
      <c r="W1102" s="73"/>
      <c r="X1102" s="73"/>
      <c r="Y1102" s="73"/>
      <c r="Z1102" s="73"/>
      <c r="AA1102" s="73"/>
      <c r="AB1102" s="73"/>
      <c r="AC1102" s="73"/>
      <c r="AD1102" s="73"/>
      <c r="AE1102" s="73"/>
      <c r="AF1102" s="73"/>
      <c r="AG1102" s="73"/>
      <c r="AH1102" s="73"/>
      <c r="AI1102" s="73"/>
      <c r="AJ1102" s="168"/>
      <c r="AK1102" s="73"/>
      <c r="AL1102" s="73"/>
      <c r="AM1102" s="73"/>
      <c r="AN1102" s="73"/>
      <c r="AO1102" s="73"/>
      <c r="AP1102" s="73"/>
      <c r="AQ1102" s="73"/>
      <c r="AR1102" s="73"/>
      <c r="AS1102" s="73"/>
      <c r="AT1102" s="73"/>
      <c r="AU1102" s="73"/>
      <c r="AV1102" s="73"/>
      <c r="AW1102" s="73"/>
      <c r="AX1102" s="73"/>
      <c r="AY1102" s="73"/>
      <c r="AZ1102" s="73"/>
      <c r="BA1102" s="73"/>
      <c r="BB1102" s="73"/>
      <c r="BC1102" s="73"/>
      <c r="BD1102" s="73"/>
      <c r="BE1102" s="73"/>
      <c r="BF1102" s="75"/>
      <c r="BG1102" s="73"/>
      <c r="BH1102" s="88"/>
      <c r="BI1102" s="73"/>
      <c r="BJ1102" s="73"/>
      <c r="BK1102" s="73"/>
      <c r="BL1102" s="73"/>
      <c r="BM1102" s="73"/>
      <c r="BN1102" s="73"/>
      <c r="BO1102" s="73"/>
      <c r="BP1102" s="73"/>
      <c r="BQ1102" s="73"/>
      <c r="BR1102" s="73"/>
      <c r="BS1102" s="73"/>
      <c r="BT1102" s="73"/>
      <c r="BU1102" s="73"/>
      <c r="BV1102" s="73"/>
      <c r="BW1102" s="73"/>
      <c r="BX1102" s="73"/>
      <c r="BY1102" s="73"/>
      <c r="BZ1102" s="73"/>
      <c r="CA1102" s="73"/>
      <c r="CB1102" s="73"/>
      <c r="CC1102" s="73"/>
      <c r="CD1102" s="73"/>
      <c r="CE1102" s="73"/>
      <c r="CF1102" s="73"/>
      <c r="CG1102" s="73"/>
      <c r="CH1102" s="73"/>
    </row>
    <row r="1103">
      <c r="A1103" s="73"/>
      <c r="B1103" s="73"/>
      <c r="C1103" s="73"/>
      <c r="D1103" s="73"/>
      <c r="E1103" s="140"/>
      <c r="F1103" s="80"/>
      <c r="G1103" s="80"/>
      <c r="H1103" s="73"/>
      <c r="I1103" s="73"/>
      <c r="J1103" s="73"/>
      <c r="K1103" s="73"/>
      <c r="L1103" s="73"/>
      <c r="M1103" s="73"/>
      <c r="N1103" s="73"/>
      <c r="O1103" s="73"/>
      <c r="P1103" s="73"/>
      <c r="Q1103" s="73"/>
      <c r="R1103" s="73"/>
      <c r="S1103" s="73"/>
      <c r="T1103" s="73"/>
      <c r="U1103" s="73"/>
      <c r="V1103" s="73"/>
      <c r="W1103" s="73"/>
      <c r="X1103" s="73"/>
      <c r="Y1103" s="73"/>
      <c r="Z1103" s="73"/>
      <c r="AA1103" s="73"/>
      <c r="AB1103" s="73"/>
      <c r="AC1103" s="73"/>
      <c r="AD1103" s="73"/>
      <c r="AE1103" s="73"/>
      <c r="AF1103" s="73"/>
      <c r="AG1103" s="73"/>
      <c r="AH1103" s="73"/>
      <c r="AI1103" s="73"/>
      <c r="AJ1103" s="168"/>
      <c r="AK1103" s="73"/>
      <c r="AL1103" s="73"/>
      <c r="AM1103" s="73"/>
      <c r="AN1103" s="73"/>
      <c r="AO1103" s="73"/>
      <c r="AP1103" s="73"/>
      <c r="AQ1103" s="73"/>
      <c r="AR1103" s="73"/>
      <c r="AS1103" s="73"/>
      <c r="AT1103" s="73"/>
      <c r="AU1103" s="73"/>
      <c r="AV1103" s="73"/>
      <c r="AW1103" s="73"/>
      <c r="AX1103" s="73"/>
      <c r="AY1103" s="73"/>
      <c r="AZ1103" s="73"/>
      <c r="BA1103" s="73"/>
      <c r="BB1103" s="73"/>
      <c r="BC1103" s="73"/>
      <c r="BD1103" s="73"/>
      <c r="BE1103" s="73"/>
      <c r="BF1103" s="75"/>
      <c r="BG1103" s="73"/>
      <c r="BH1103" s="88"/>
      <c r="BI1103" s="73"/>
      <c r="BJ1103" s="73"/>
      <c r="BK1103" s="73"/>
      <c r="BL1103" s="73"/>
      <c r="BM1103" s="73"/>
      <c r="BN1103" s="73"/>
      <c r="BO1103" s="73"/>
      <c r="BP1103" s="73"/>
      <c r="BQ1103" s="73"/>
      <c r="BR1103" s="73"/>
      <c r="BS1103" s="73"/>
      <c r="BT1103" s="73"/>
      <c r="BU1103" s="73"/>
      <c r="BV1103" s="73"/>
      <c r="BW1103" s="73"/>
      <c r="BX1103" s="73"/>
      <c r="BY1103" s="73"/>
      <c r="BZ1103" s="73"/>
      <c r="CA1103" s="73"/>
      <c r="CB1103" s="73"/>
      <c r="CC1103" s="73"/>
      <c r="CD1103" s="73"/>
      <c r="CE1103" s="73"/>
      <c r="CF1103" s="73"/>
      <c r="CG1103" s="73"/>
      <c r="CH1103" s="73"/>
    </row>
    <row r="1104">
      <c r="A1104" s="73"/>
      <c r="B1104" s="73"/>
      <c r="C1104" s="73"/>
      <c r="D1104" s="73"/>
      <c r="E1104" s="140"/>
      <c r="F1104" s="80"/>
      <c r="G1104" s="80"/>
      <c r="H1104" s="73"/>
      <c r="I1104" s="73"/>
      <c r="J1104" s="73"/>
      <c r="K1104" s="73"/>
      <c r="L1104" s="73"/>
      <c r="M1104" s="73"/>
      <c r="N1104" s="73"/>
      <c r="O1104" s="73"/>
      <c r="P1104" s="73"/>
      <c r="Q1104" s="73"/>
      <c r="R1104" s="73"/>
      <c r="S1104" s="73"/>
      <c r="T1104" s="73"/>
      <c r="U1104" s="73"/>
      <c r="V1104" s="73"/>
      <c r="W1104" s="73"/>
      <c r="X1104" s="73"/>
      <c r="Y1104" s="73"/>
      <c r="Z1104" s="73"/>
      <c r="AA1104" s="73"/>
      <c r="AB1104" s="73"/>
      <c r="AC1104" s="73"/>
      <c r="AD1104" s="73"/>
      <c r="AE1104" s="73"/>
      <c r="AF1104" s="73"/>
      <c r="AG1104" s="73"/>
      <c r="AH1104" s="73"/>
      <c r="AI1104" s="73"/>
      <c r="AJ1104" s="168"/>
      <c r="AK1104" s="73"/>
      <c r="AL1104" s="73"/>
      <c r="AM1104" s="73"/>
      <c r="AN1104" s="73"/>
      <c r="AO1104" s="73"/>
      <c r="AP1104" s="73"/>
      <c r="AQ1104" s="73"/>
      <c r="AR1104" s="73"/>
      <c r="AS1104" s="73"/>
      <c r="AT1104" s="73"/>
      <c r="AU1104" s="73"/>
      <c r="AV1104" s="73"/>
      <c r="AW1104" s="73"/>
      <c r="AX1104" s="73"/>
      <c r="AY1104" s="73"/>
      <c r="AZ1104" s="73"/>
      <c r="BA1104" s="73"/>
      <c r="BB1104" s="73"/>
      <c r="BC1104" s="73"/>
      <c r="BD1104" s="73"/>
      <c r="BE1104" s="73"/>
      <c r="BF1104" s="75"/>
      <c r="BG1104" s="73"/>
      <c r="BH1104" s="88"/>
      <c r="BI1104" s="73"/>
      <c r="BJ1104" s="73"/>
      <c r="BK1104" s="73"/>
      <c r="BL1104" s="73"/>
      <c r="BM1104" s="73"/>
      <c r="BN1104" s="73"/>
      <c r="BO1104" s="73"/>
      <c r="BP1104" s="73"/>
      <c r="BQ1104" s="73"/>
      <c r="BR1104" s="73"/>
      <c r="BS1104" s="73"/>
      <c r="BT1104" s="73"/>
      <c r="BU1104" s="73"/>
      <c r="BV1104" s="73"/>
      <c r="BW1104" s="73"/>
      <c r="BX1104" s="73"/>
      <c r="BY1104" s="73"/>
      <c r="BZ1104" s="73"/>
      <c r="CA1104" s="73"/>
      <c r="CB1104" s="73"/>
      <c r="CC1104" s="73"/>
      <c r="CD1104" s="73"/>
      <c r="CE1104" s="73"/>
      <c r="CF1104" s="73"/>
      <c r="CG1104" s="73"/>
      <c r="CH1104" s="73"/>
    </row>
    <row r="1105">
      <c r="A1105" s="73"/>
      <c r="B1105" s="73"/>
      <c r="C1105" s="73"/>
      <c r="D1105" s="73"/>
      <c r="E1105" s="140"/>
      <c r="F1105" s="80"/>
      <c r="G1105" s="80"/>
      <c r="H1105" s="73"/>
      <c r="I1105" s="73"/>
      <c r="J1105" s="73"/>
      <c r="K1105" s="73"/>
      <c r="L1105" s="73"/>
      <c r="M1105" s="73"/>
      <c r="N1105" s="73"/>
      <c r="O1105" s="73"/>
      <c r="P1105" s="73"/>
      <c r="Q1105" s="73"/>
      <c r="R1105" s="73"/>
      <c r="S1105" s="73"/>
      <c r="T1105" s="73"/>
      <c r="U1105" s="73"/>
      <c r="V1105" s="73"/>
      <c r="W1105" s="73"/>
      <c r="X1105" s="73"/>
      <c r="Y1105" s="73"/>
      <c r="Z1105" s="73"/>
      <c r="AA1105" s="73"/>
      <c r="AB1105" s="73"/>
      <c r="AC1105" s="73"/>
      <c r="AD1105" s="73"/>
      <c r="AE1105" s="73"/>
      <c r="AF1105" s="73"/>
      <c r="AG1105" s="73"/>
      <c r="AH1105" s="73"/>
      <c r="AI1105" s="73"/>
      <c r="AJ1105" s="168"/>
      <c r="AK1105" s="73"/>
      <c r="AL1105" s="73"/>
      <c r="AM1105" s="73"/>
      <c r="AN1105" s="73"/>
      <c r="AO1105" s="73"/>
      <c r="AP1105" s="73"/>
      <c r="AQ1105" s="73"/>
      <c r="AR1105" s="73"/>
      <c r="AS1105" s="73"/>
      <c r="AT1105" s="73"/>
      <c r="AU1105" s="73"/>
      <c r="AV1105" s="73"/>
      <c r="AW1105" s="73"/>
      <c r="AX1105" s="73"/>
      <c r="AY1105" s="73"/>
      <c r="AZ1105" s="73"/>
      <c r="BA1105" s="73"/>
      <c r="BB1105" s="73"/>
      <c r="BC1105" s="73"/>
      <c r="BD1105" s="73"/>
      <c r="BE1105" s="73"/>
      <c r="BF1105" s="75"/>
      <c r="BG1105" s="73"/>
      <c r="BH1105" s="88"/>
      <c r="BI1105" s="73"/>
      <c r="BJ1105" s="73"/>
      <c r="BK1105" s="73"/>
      <c r="BL1105" s="73"/>
      <c r="BM1105" s="73"/>
      <c r="BN1105" s="73"/>
      <c r="BO1105" s="73"/>
      <c r="BP1105" s="73"/>
      <c r="BQ1105" s="73"/>
      <c r="BR1105" s="73"/>
      <c r="BS1105" s="73"/>
      <c r="BT1105" s="73"/>
      <c r="BU1105" s="73"/>
      <c r="BV1105" s="73"/>
      <c r="BW1105" s="73"/>
      <c r="BX1105" s="73"/>
      <c r="BY1105" s="73"/>
      <c r="BZ1105" s="73"/>
      <c r="CA1105" s="73"/>
      <c r="CB1105" s="73"/>
      <c r="CC1105" s="73"/>
      <c r="CD1105" s="73"/>
      <c r="CE1105" s="73"/>
      <c r="CF1105" s="73"/>
      <c r="CG1105" s="73"/>
      <c r="CH1105" s="73"/>
    </row>
    <row r="1106">
      <c r="A1106" s="73"/>
      <c r="B1106" s="73"/>
      <c r="C1106" s="73"/>
      <c r="D1106" s="73"/>
      <c r="E1106" s="140"/>
      <c r="F1106" s="80"/>
      <c r="G1106" s="80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  <c r="S1106" s="73"/>
      <c r="T1106" s="73"/>
      <c r="U1106" s="73"/>
      <c r="V1106" s="73"/>
      <c r="W1106" s="73"/>
      <c r="X1106" s="73"/>
      <c r="Y1106" s="73"/>
      <c r="Z1106" s="73"/>
      <c r="AA1106" s="73"/>
      <c r="AB1106" s="73"/>
      <c r="AC1106" s="73"/>
      <c r="AD1106" s="73"/>
      <c r="AE1106" s="73"/>
      <c r="AF1106" s="73"/>
      <c r="AG1106" s="73"/>
      <c r="AH1106" s="73"/>
      <c r="AI1106" s="73"/>
      <c r="AJ1106" s="168"/>
      <c r="AK1106" s="73"/>
      <c r="AL1106" s="73"/>
      <c r="AM1106" s="73"/>
      <c r="AN1106" s="73"/>
      <c r="AO1106" s="73"/>
      <c r="AP1106" s="73"/>
      <c r="AQ1106" s="73"/>
      <c r="AR1106" s="73"/>
      <c r="AS1106" s="73"/>
      <c r="AT1106" s="73"/>
      <c r="AU1106" s="73"/>
      <c r="AV1106" s="73"/>
      <c r="AW1106" s="73"/>
      <c r="AX1106" s="73"/>
      <c r="AY1106" s="73"/>
      <c r="AZ1106" s="73"/>
      <c r="BA1106" s="73"/>
      <c r="BB1106" s="73"/>
      <c r="BC1106" s="73"/>
      <c r="BD1106" s="73"/>
      <c r="BE1106" s="73"/>
      <c r="BF1106" s="75"/>
      <c r="BG1106" s="73"/>
      <c r="BH1106" s="88"/>
      <c r="BI1106" s="73"/>
      <c r="BJ1106" s="73"/>
      <c r="BK1106" s="73"/>
      <c r="BL1106" s="73"/>
      <c r="BM1106" s="73"/>
      <c r="BN1106" s="73"/>
      <c r="BO1106" s="73"/>
      <c r="BP1106" s="73"/>
      <c r="BQ1106" s="73"/>
      <c r="BR1106" s="73"/>
      <c r="BS1106" s="73"/>
      <c r="BT1106" s="73"/>
      <c r="BU1106" s="73"/>
      <c r="BV1106" s="73"/>
      <c r="BW1106" s="73"/>
      <c r="BX1106" s="73"/>
      <c r="BY1106" s="73"/>
      <c r="BZ1106" s="73"/>
      <c r="CA1106" s="73"/>
      <c r="CB1106" s="73"/>
      <c r="CC1106" s="73"/>
      <c r="CD1106" s="73"/>
      <c r="CE1106" s="73"/>
      <c r="CF1106" s="73"/>
      <c r="CG1106" s="73"/>
      <c r="CH1106" s="73"/>
    </row>
    <row r="1107">
      <c r="A1107" s="73"/>
      <c r="B1107" s="73"/>
      <c r="C1107" s="73"/>
      <c r="D1107" s="73"/>
      <c r="E1107" s="140"/>
      <c r="F1107" s="80"/>
      <c r="G1107" s="80"/>
      <c r="H1107" s="73"/>
      <c r="I1107" s="73"/>
      <c r="J1107" s="73"/>
      <c r="K1107" s="73"/>
      <c r="L1107" s="73"/>
      <c r="M1107" s="73"/>
      <c r="N1107" s="73"/>
      <c r="O1107" s="73"/>
      <c r="P1107" s="73"/>
      <c r="Q1107" s="73"/>
      <c r="R1107" s="73"/>
      <c r="S1107" s="73"/>
      <c r="T1107" s="73"/>
      <c r="U1107" s="73"/>
      <c r="V1107" s="73"/>
      <c r="W1107" s="73"/>
      <c r="X1107" s="73"/>
      <c r="Y1107" s="73"/>
      <c r="Z1107" s="73"/>
      <c r="AA1107" s="73"/>
      <c r="AB1107" s="73"/>
      <c r="AC1107" s="73"/>
      <c r="AD1107" s="73"/>
      <c r="AE1107" s="73"/>
      <c r="AF1107" s="73"/>
      <c r="AG1107" s="73"/>
      <c r="AH1107" s="73"/>
      <c r="AI1107" s="73"/>
      <c r="AJ1107" s="168"/>
      <c r="AK1107" s="73"/>
      <c r="AL1107" s="73"/>
      <c r="AM1107" s="73"/>
      <c r="AN1107" s="73"/>
      <c r="AO1107" s="73"/>
      <c r="AP1107" s="73"/>
      <c r="AQ1107" s="73"/>
      <c r="AR1107" s="73"/>
      <c r="AS1107" s="73"/>
      <c r="AT1107" s="73"/>
      <c r="AU1107" s="73"/>
      <c r="AV1107" s="73"/>
      <c r="AW1107" s="73"/>
      <c r="AX1107" s="73"/>
      <c r="AY1107" s="73"/>
      <c r="AZ1107" s="73"/>
      <c r="BA1107" s="73"/>
      <c r="BB1107" s="73"/>
      <c r="BC1107" s="73"/>
      <c r="BD1107" s="73"/>
      <c r="BE1107" s="73"/>
      <c r="BF1107" s="75"/>
      <c r="BG1107" s="73"/>
      <c r="BH1107" s="88"/>
      <c r="BI1107" s="73"/>
      <c r="BJ1107" s="73"/>
      <c r="BK1107" s="73"/>
      <c r="BL1107" s="73"/>
      <c r="BM1107" s="73"/>
      <c r="BN1107" s="73"/>
      <c r="BO1107" s="73"/>
      <c r="BP1107" s="73"/>
      <c r="BQ1107" s="73"/>
      <c r="BR1107" s="73"/>
      <c r="BS1107" s="73"/>
      <c r="BT1107" s="73"/>
      <c r="BU1107" s="73"/>
      <c r="BV1107" s="73"/>
      <c r="BW1107" s="73"/>
      <c r="BX1107" s="73"/>
      <c r="BY1107" s="73"/>
      <c r="BZ1107" s="73"/>
      <c r="CA1107" s="73"/>
      <c r="CB1107" s="73"/>
      <c r="CC1107" s="73"/>
      <c r="CD1107" s="73"/>
      <c r="CE1107" s="73"/>
      <c r="CF1107" s="73"/>
      <c r="CG1107" s="73"/>
      <c r="CH1107" s="73"/>
    </row>
    <row r="1108">
      <c r="A1108" s="73"/>
      <c r="B1108" s="73"/>
      <c r="C1108" s="73"/>
      <c r="D1108" s="73"/>
      <c r="E1108" s="140"/>
      <c r="F1108" s="80"/>
      <c r="G1108" s="80"/>
      <c r="H1108" s="73"/>
      <c r="I1108" s="73"/>
      <c r="J1108" s="73"/>
      <c r="K1108" s="73"/>
      <c r="L1108" s="73"/>
      <c r="M1108" s="73"/>
      <c r="N1108" s="73"/>
      <c r="O1108" s="73"/>
      <c r="P1108" s="73"/>
      <c r="Q1108" s="73"/>
      <c r="R1108" s="73"/>
      <c r="S1108" s="73"/>
      <c r="T1108" s="73"/>
      <c r="U1108" s="73"/>
      <c r="V1108" s="73"/>
      <c r="W1108" s="73"/>
      <c r="X1108" s="73"/>
      <c r="Y1108" s="73"/>
      <c r="Z1108" s="73"/>
      <c r="AA1108" s="73"/>
      <c r="AB1108" s="73"/>
      <c r="AC1108" s="73"/>
      <c r="AD1108" s="73"/>
      <c r="AE1108" s="73"/>
      <c r="AF1108" s="73"/>
      <c r="AG1108" s="73"/>
      <c r="AH1108" s="73"/>
      <c r="AI1108" s="73"/>
      <c r="AJ1108" s="168"/>
      <c r="AK1108" s="73"/>
      <c r="AL1108" s="73"/>
      <c r="AM1108" s="73"/>
      <c r="AN1108" s="73"/>
      <c r="AO1108" s="73"/>
      <c r="AP1108" s="73"/>
      <c r="AQ1108" s="73"/>
      <c r="AR1108" s="73"/>
      <c r="AS1108" s="73"/>
      <c r="AT1108" s="73"/>
      <c r="AU1108" s="73"/>
      <c r="AV1108" s="73"/>
      <c r="AW1108" s="73"/>
      <c r="AX1108" s="73"/>
      <c r="AY1108" s="73"/>
      <c r="AZ1108" s="73"/>
      <c r="BA1108" s="73"/>
      <c r="BB1108" s="73"/>
      <c r="BC1108" s="73"/>
      <c r="BD1108" s="73"/>
      <c r="BE1108" s="73"/>
      <c r="BF1108" s="75"/>
      <c r="BG1108" s="73"/>
      <c r="BH1108" s="88"/>
      <c r="BI1108" s="73"/>
      <c r="BJ1108" s="73"/>
      <c r="BK1108" s="73"/>
      <c r="BL1108" s="73"/>
      <c r="BM1108" s="73"/>
      <c r="BN1108" s="73"/>
      <c r="BO1108" s="73"/>
      <c r="BP1108" s="73"/>
      <c r="BQ1108" s="73"/>
      <c r="BR1108" s="73"/>
      <c r="BS1108" s="73"/>
      <c r="BT1108" s="73"/>
      <c r="BU1108" s="73"/>
      <c r="BV1108" s="73"/>
      <c r="BW1108" s="73"/>
      <c r="BX1108" s="73"/>
      <c r="BY1108" s="73"/>
      <c r="BZ1108" s="73"/>
      <c r="CA1108" s="73"/>
      <c r="CB1108" s="73"/>
      <c r="CC1108" s="73"/>
      <c r="CD1108" s="73"/>
      <c r="CE1108" s="73"/>
      <c r="CF1108" s="73"/>
      <c r="CG1108" s="73"/>
      <c r="CH1108" s="73"/>
    </row>
    <row r="1109">
      <c r="A1109" s="73"/>
      <c r="B1109" s="73"/>
      <c r="C1109" s="73"/>
      <c r="D1109" s="73"/>
      <c r="E1109" s="140"/>
      <c r="F1109" s="80"/>
      <c r="G1109" s="80"/>
      <c r="H1109" s="73"/>
      <c r="I1109" s="73"/>
      <c r="J1109" s="73"/>
      <c r="K1109" s="73"/>
      <c r="L1109" s="73"/>
      <c r="M1109" s="73"/>
      <c r="N1109" s="73"/>
      <c r="O1109" s="73"/>
      <c r="P1109" s="73"/>
      <c r="Q1109" s="73"/>
      <c r="R1109" s="73"/>
      <c r="S1109" s="73"/>
      <c r="T1109" s="73"/>
      <c r="U1109" s="73"/>
      <c r="V1109" s="73"/>
      <c r="W1109" s="73"/>
      <c r="X1109" s="73"/>
      <c r="Y1109" s="73"/>
      <c r="Z1109" s="73"/>
      <c r="AA1109" s="73"/>
      <c r="AB1109" s="73"/>
      <c r="AC1109" s="73"/>
      <c r="AD1109" s="73"/>
      <c r="AE1109" s="73"/>
      <c r="AF1109" s="73"/>
      <c r="AG1109" s="73"/>
      <c r="AH1109" s="73"/>
      <c r="AI1109" s="73"/>
      <c r="AJ1109" s="168"/>
      <c r="AK1109" s="73"/>
      <c r="AL1109" s="73"/>
      <c r="AM1109" s="73"/>
      <c r="AN1109" s="73"/>
      <c r="AO1109" s="73"/>
      <c r="AP1109" s="73"/>
      <c r="AQ1109" s="73"/>
      <c r="AR1109" s="73"/>
      <c r="AS1109" s="73"/>
      <c r="AT1109" s="73"/>
      <c r="AU1109" s="73"/>
      <c r="AV1109" s="73"/>
      <c r="AW1109" s="73"/>
      <c r="AX1109" s="73"/>
      <c r="AY1109" s="73"/>
      <c r="AZ1109" s="73"/>
      <c r="BA1109" s="73"/>
      <c r="BB1109" s="73"/>
      <c r="BC1109" s="73"/>
      <c r="BD1109" s="73"/>
      <c r="BE1109" s="73"/>
      <c r="BF1109" s="75"/>
      <c r="BG1109" s="73"/>
      <c r="BH1109" s="88"/>
      <c r="BI1109" s="73"/>
      <c r="BJ1109" s="73"/>
      <c r="BK1109" s="73"/>
      <c r="BL1109" s="73"/>
      <c r="BM1109" s="73"/>
      <c r="BN1109" s="73"/>
      <c r="BO1109" s="73"/>
      <c r="BP1109" s="73"/>
      <c r="BQ1109" s="73"/>
      <c r="BR1109" s="73"/>
      <c r="BS1109" s="73"/>
      <c r="BT1109" s="73"/>
      <c r="BU1109" s="73"/>
      <c r="BV1109" s="73"/>
      <c r="BW1109" s="73"/>
      <c r="BX1109" s="73"/>
      <c r="BY1109" s="73"/>
      <c r="BZ1109" s="73"/>
      <c r="CA1109" s="73"/>
      <c r="CB1109" s="73"/>
      <c r="CC1109" s="73"/>
      <c r="CD1109" s="73"/>
      <c r="CE1109" s="73"/>
      <c r="CF1109" s="73"/>
      <c r="CG1109" s="73"/>
      <c r="CH1109" s="73"/>
    </row>
    <row r="1110">
      <c r="A1110" s="73"/>
      <c r="B1110" s="73"/>
      <c r="C1110" s="73"/>
      <c r="D1110" s="73"/>
      <c r="E1110" s="140"/>
      <c r="F1110" s="80"/>
      <c r="G1110" s="80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  <c r="S1110" s="73"/>
      <c r="T1110" s="73"/>
      <c r="U1110" s="73"/>
      <c r="V1110" s="73"/>
      <c r="W1110" s="73"/>
      <c r="X1110" s="73"/>
      <c r="Y1110" s="73"/>
      <c r="Z1110" s="73"/>
      <c r="AA1110" s="73"/>
      <c r="AB1110" s="73"/>
      <c r="AC1110" s="73"/>
      <c r="AD1110" s="73"/>
      <c r="AE1110" s="73"/>
      <c r="AF1110" s="73"/>
      <c r="AG1110" s="73"/>
      <c r="AH1110" s="73"/>
      <c r="AI1110" s="73"/>
      <c r="AJ1110" s="168"/>
      <c r="AK1110" s="73"/>
      <c r="AL1110" s="73"/>
      <c r="AM1110" s="73"/>
      <c r="AN1110" s="73"/>
      <c r="AO1110" s="73"/>
      <c r="AP1110" s="73"/>
      <c r="AQ1110" s="73"/>
      <c r="AR1110" s="73"/>
      <c r="AS1110" s="73"/>
      <c r="AT1110" s="73"/>
      <c r="AU1110" s="73"/>
      <c r="AV1110" s="73"/>
      <c r="AW1110" s="73"/>
      <c r="AX1110" s="73"/>
      <c r="AY1110" s="73"/>
      <c r="AZ1110" s="73"/>
      <c r="BA1110" s="73"/>
      <c r="BB1110" s="73"/>
      <c r="BC1110" s="73"/>
      <c r="BD1110" s="73"/>
      <c r="BE1110" s="73"/>
      <c r="BF1110" s="75"/>
      <c r="BG1110" s="73"/>
      <c r="BH1110" s="88"/>
      <c r="BI1110" s="73"/>
      <c r="BJ1110" s="73"/>
      <c r="BK1110" s="73"/>
      <c r="BL1110" s="73"/>
      <c r="BM1110" s="73"/>
      <c r="BN1110" s="73"/>
      <c r="BO1110" s="73"/>
      <c r="BP1110" s="73"/>
      <c r="BQ1110" s="73"/>
      <c r="BR1110" s="73"/>
      <c r="BS1110" s="73"/>
      <c r="BT1110" s="73"/>
      <c r="BU1110" s="73"/>
      <c r="BV1110" s="73"/>
      <c r="BW1110" s="73"/>
      <c r="BX1110" s="73"/>
      <c r="BY1110" s="73"/>
      <c r="BZ1110" s="73"/>
      <c r="CA1110" s="73"/>
      <c r="CB1110" s="73"/>
      <c r="CC1110" s="73"/>
      <c r="CD1110" s="73"/>
      <c r="CE1110" s="73"/>
      <c r="CF1110" s="73"/>
      <c r="CG1110" s="73"/>
      <c r="CH1110" s="73"/>
    </row>
    <row r="1111">
      <c r="A1111" s="73"/>
      <c r="B1111" s="73"/>
      <c r="C1111" s="73"/>
      <c r="D1111" s="73"/>
      <c r="E1111" s="140"/>
      <c r="F1111" s="80"/>
      <c r="G1111" s="80"/>
      <c r="H1111" s="73"/>
      <c r="I1111" s="73"/>
      <c r="J1111" s="73"/>
      <c r="K1111" s="73"/>
      <c r="L1111" s="73"/>
      <c r="M1111" s="73"/>
      <c r="N1111" s="73"/>
      <c r="O1111" s="73"/>
      <c r="P1111" s="73"/>
      <c r="Q1111" s="73"/>
      <c r="R1111" s="73"/>
      <c r="S1111" s="73"/>
      <c r="T1111" s="73"/>
      <c r="U1111" s="73"/>
      <c r="V1111" s="73"/>
      <c r="W1111" s="73"/>
      <c r="X1111" s="73"/>
      <c r="Y1111" s="73"/>
      <c r="Z1111" s="73"/>
      <c r="AA1111" s="73"/>
      <c r="AB1111" s="73"/>
      <c r="AC1111" s="73"/>
      <c r="AD1111" s="73"/>
      <c r="AE1111" s="73"/>
      <c r="AF1111" s="73"/>
      <c r="AG1111" s="73"/>
      <c r="AH1111" s="73"/>
      <c r="AI1111" s="73"/>
      <c r="AJ1111" s="168"/>
      <c r="AK1111" s="73"/>
      <c r="AL1111" s="73"/>
      <c r="AM1111" s="73"/>
      <c r="AN1111" s="73"/>
      <c r="AO1111" s="73"/>
      <c r="AP1111" s="73"/>
      <c r="AQ1111" s="73"/>
      <c r="AR1111" s="73"/>
      <c r="AS1111" s="73"/>
      <c r="AT1111" s="73"/>
      <c r="AU1111" s="73"/>
      <c r="AV1111" s="73"/>
      <c r="AW1111" s="73"/>
      <c r="AX1111" s="73"/>
      <c r="AY1111" s="73"/>
      <c r="AZ1111" s="73"/>
      <c r="BA1111" s="73"/>
      <c r="BB1111" s="73"/>
      <c r="BC1111" s="73"/>
      <c r="BD1111" s="73"/>
      <c r="BE1111" s="73"/>
      <c r="BF1111" s="75"/>
      <c r="BG1111" s="73"/>
      <c r="BH1111" s="88"/>
      <c r="BI1111" s="73"/>
      <c r="BJ1111" s="73"/>
      <c r="BK1111" s="73"/>
      <c r="BL1111" s="73"/>
      <c r="BM1111" s="73"/>
      <c r="BN1111" s="73"/>
      <c r="BO1111" s="73"/>
      <c r="BP1111" s="73"/>
      <c r="BQ1111" s="73"/>
      <c r="BR1111" s="73"/>
      <c r="BS1111" s="73"/>
      <c r="BT1111" s="73"/>
      <c r="BU1111" s="73"/>
      <c r="BV1111" s="73"/>
      <c r="BW1111" s="73"/>
      <c r="BX1111" s="73"/>
      <c r="BY1111" s="73"/>
      <c r="BZ1111" s="73"/>
      <c r="CA1111" s="73"/>
      <c r="CB1111" s="73"/>
      <c r="CC1111" s="73"/>
      <c r="CD1111" s="73"/>
      <c r="CE1111" s="73"/>
      <c r="CF1111" s="73"/>
      <c r="CG1111" s="73"/>
      <c r="CH1111" s="73"/>
    </row>
    <row r="1112">
      <c r="A1112" s="73"/>
      <c r="B1112" s="73"/>
      <c r="C1112" s="73"/>
      <c r="D1112" s="73"/>
      <c r="E1112" s="140"/>
      <c r="F1112" s="80"/>
      <c r="G1112" s="80"/>
      <c r="H1112" s="73"/>
      <c r="I1112" s="73"/>
      <c r="J1112" s="73"/>
      <c r="K1112" s="73"/>
      <c r="L1112" s="73"/>
      <c r="M1112" s="73"/>
      <c r="N1112" s="73"/>
      <c r="O1112" s="73"/>
      <c r="P1112" s="73"/>
      <c r="Q1112" s="73"/>
      <c r="R1112" s="73"/>
      <c r="S1112" s="73"/>
      <c r="T1112" s="73"/>
      <c r="U1112" s="73"/>
      <c r="V1112" s="73"/>
      <c r="W1112" s="73"/>
      <c r="X1112" s="73"/>
      <c r="Y1112" s="73"/>
      <c r="Z1112" s="73"/>
      <c r="AA1112" s="73"/>
      <c r="AB1112" s="73"/>
      <c r="AC1112" s="73"/>
      <c r="AD1112" s="73"/>
      <c r="AE1112" s="73"/>
      <c r="AF1112" s="73"/>
      <c r="AG1112" s="73"/>
      <c r="AH1112" s="73"/>
      <c r="AI1112" s="73"/>
      <c r="AJ1112" s="168"/>
      <c r="AK1112" s="73"/>
      <c r="AL1112" s="73"/>
      <c r="AM1112" s="73"/>
      <c r="AN1112" s="73"/>
      <c r="AO1112" s="73"/>
      <c r="AP1112" s="73"/>
      <c r="AQ1112" s="73"/>
      <c r="AR1112" s="73"/>
      <c r="AS1112" s="73"/>
      <c r="AT1112" s="73"/>
      <c r="AU1112" s="73"/>
      <c r="AV1112" s="73"/>
      <c r="AW1112" s="73"/>
      <c r="AX1112" s="73"/>
      <c r="AY1112" s="73"/>
      <c r="AZ1112" s="73"/>
      <c r="BA1112" s="73"/>
      <c r="BB1112" s="73"/>
      <c r="BC1112" s="73"/>
      <c r="BD1112" s="73"/>
      <c r="BE1112" s="73"/>
      <c r="BF1112" s="75"/>
      <c r="BG1112" s="73"/>
      <c r="BH1112" s="88"/>
      <c r="BI1112" s="73"/>
      <c r="BJ1112" s="73"/>
      <c r="BK1112" s="73"/>
      <c r="BL1112" s="73"/>
      <c r="BM1112" s="73"/>
      <c r="BN1112" s="73"/>
      <c r="BO1112" s="73"/>
      <c r="BP1112" s="73"/>
      <c r="BQ1112" s="73"/>
      <c r="BR1112" s="73"/>
      <c r="BS1112" s="73"/>
      <c r="BT1112" s="73"/>
      <c r="BU1112" s="73"/>
      <c r="BV1112" s="73"/>
      <c r="BW1112" s="73"/>
      <c r="BX1112" s="73"/>
      <c r="BY1112" s="73"/>
      <c r="BZ1112" s="73"/>
      <c r="CA1112" s="73"/>
      <c r="CB1112" s="73"/>
      <c r="CC1112" s="73"/>
      <c r="CD1112" s="73"/>
      <c r="CE1112" s="73"/>
      <c r="CF1112" s="73"/>
      <c r="CG1112" s="73"/>
      <c r="CH1112" s="73"/>
    </row>
    <row r="1113">
      <c r="A1113" s="73"/>
      <c r="B1113" s="73"/>
      <c r="C1113" s="73"/>
      <c r="D1113" s="73"/>
      <c r="E1113" s="140"/>
      <c r="F1113" s="80"/>
      <c r="G1113" s="80"/>
      <c r="H1113" s="73"/>
      <c r="I1113" s="73"/>
      <c r="J1113" s="73"/>
      <c r="K1113" s="73"/>
      <c r="L1113" s="73"/>
      <c r="M1113" s="73"/>
      <c r="N1113" s="73"/>
      <c r="O1113" s="73"/>
      <c r="P1113" s="73"/>
      <c r="Q1113" s="73"/>
      <c r="R1113" s="73"/>
      <c r="S1113" s="73"/>
      <c r="T1113" s="73"/>
      <c r="U1113" s="73"/>
      <c r="V1113" s="73"/>
      <c r="W1113" s="73"/>
      <c r="X1113" s="73"/>
      <c r="Y1113" s="73"/>
      <c r="Z1113" s="73"/>
      <c r="AA1113" s="73"/>
      <c r="AB1113" s="73"/>
      <c r="AC1113" s="73"/>
      <c r="AD1113" s="73"/>
      <c r="AE1113" s="73"/>
      <c r="AF1113" s="73"/>
      <c r="AG1113" s="73"/>
      <c r="AH1113" s="73"/>
      <c r="AI1113" s="73"/>
      <c r="AJ1113" s="168"/>
      <c r="AK1113" s="73"/>
      <c r="AL1113" s="73"/>
      <c r="AM1113" s="73"/>
      <c r="AN1113" s="73"/>
      <c r="AO1113" s="73"/>
      <c r="AP1113" s="73"/>
      <c r="AQ1113" s="73"/>
      <c r="AR1113" s="73"/>
      <c r="AS1113" s="73"/>
      <c r="AT1113" s="73"/>
      <c r="AU1113" s="73"/>
      <c r="AV1113" s="73"/>
      <c r="AW1113" s="73"/>
      <c r="AX1113" s="73"/>
      <c r="AY1113" s="73"/>
      <c r="AZ1113" s="73"/>
      <c r="BA1113" s="73"/>
      <c r="BB1113" s="73"/>
      <c r="BC1113" s="73"/>
      <c r="BD1113" s="73"/>
      <c r="BE1113" s="73"/>
      <c r="BF1113" s="75"/>
      <c r="BG1113" s="73"/>
      <c r="BH1113" s="88"/>
      <c r="BI1113" s="73"/>
      <c r="BJ1113" s="73"/>
      <c r="BK1113" s="73"/>
      <c r="BL1113" s="73"/>
      <c r="BM1113" s="73"/>
      <c r="BN1113" s="73"/>
      <c r="BO1113" s="73"/>
      <c r="BP1113" s="73"/>
      <c r="BQ1113" s="73"/>
      <c r="BR1113" s="73"/>
      <c r="BS1113" s="73"/>
      <c r="BT1113" s="73"/>
      <c r="BU1113" s="73"/>
      <c r="BV1113" s="73"/>
      <c r="BW1113" s="73"/>
      <c r="BX1113" s="73"/>
      <c r="BY1113" s="73"/>
      <c r="BZ1113" s="73"/>
      <c r="CA1113" s="73"/>
      <c r="CB1113" s="73"/>
      <c r="CC1113" s="73"/>
      <c r="CD1113" s="73"/>
      <c r="CE1113" s="73"/>
      <c r="CF1113" s="73"/>
      <c r="CG1113" s="73"/>
      <c r="CH1113" s="73"/>
    </row>
    <row r="1114">
      <c r="A1114" s="73"/>
      <c r="B1114" s="73"/>
      <c r="C1114" s="73"/>
      <c r="D1114" s="73"/>
      <c r="E1114" s="140"/>
      <c r="F1114" s="80"/>
      <c r="G1114" s="80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  <c r="S1114" s="73"/>
      <c r="T1114" s="73"/>
      <c r="U1114" s="73"/>
      <c r="V1114" s="73"/>
      <c r="W1114" s="73"/>
      <c r="X1114" s="73"/>
      <c r="Y1114" s="73"/>
      <c r="Z1114" s="73"/>
      <c r="AA1114" s="73"/>
      <c r="AB1114" s="73"/>
      <c r="AC1114" s="73"/>
      <c r="AD1114" s="73"/>
      <c r="AE1114" s="73"/>
      <c r="AF1114" s="73"/>
      <c r="AG1114" s="73"/>
      <c r="AH1114" s="73"/>
      <c r="AI1114" s="73"/>
      <c r="AJ1114" s="168"/>
      <c r="AK1114" s="73"/>
      <c r="AL1114" s="73"/>
      <c r="AM1114" s="73"/>
      <c r="AN1114" s="73"/>
      <c r="AO1114" s="73"/>
      <c r="AP1114" s="73"/>
      <c r="AQ1114" s="73"/>
      <c r="AR1114" s="73"/>
      <c r="AS1114" s="73"/>
      <c r="AT1114" s="73"/>
      <c r="AU1114" s="73"/>
      <c r="AV1114" s="73"/>
      <c r="AW1114" s="73"/>
      <c r="AX1114" s="73"/>
      <c r="AY1114" s="73"/>
      <c r="AZ1114" s="73"/>
      <c r="BA1114" s="73"/>
      <c r="BB1114" s="73"/>
      <c r="BC1114" s="73"/>
      <c r="BD1114" s="73"/>
      <c r="BE1114" s="73"/>
      <c r="BF1114" s="75"/>
      <c r="BG1114" s="73"/>
      <c r="BH1114" s="88"/>
      <c r="BI1114" s="73"/>
      <c r="BJ1114" s="73"/>
      <c r="BK1114" s="73"/>
      <c r="BL1114" s="73"/>
      <c r="BM1114" s="73"/>
      <c r="BN1114" s="73"/>
      <c r="BO1114" s="73"/>
      <c r="BP1114" s="73"/>
      <c r="BQ1114" s="73"/>
      <c r="BR1114" s="73"/>
      <c r="BS1114" s="73"/>
      <c r="BT1114" s="73"/>
      <c r="BU1114" s="73"/>
      <c r="BV1114" s="73"/>
      <c r="BW1114" s="73"/>
      <c r="BX1114" s="73"/>
      <c r="BY1114" s="73"/>
      <c r="BZ1114" s="73"/>
      <c r="CA1114" s="73"/>
      <c r="CB1114" s="73"/>
      <c r="CC1114" s="73"/>
      <c r="CD1114" s="73"/>
      <c r="CE1114" s="73"/>
      <c r="CF1114" s="73"/>
      <c r="CG1114" s="73"/>
      <c r="CH1114" s="73"/>
    </row>
    <row r="1115">
      <c r="A1115" s="73"/>
      <c r="B1115" s="73"/>
      <c r="C1115" s="73"/>
      <c r="D1115" s="73"/>
      <c r="E1115" s="140"/>
      <c r="F1115" s="80"/>
      <c r="G1115" s="80"/>
      <c r="H1115" s="73"/>
      <c r="I1115" s="73"/>
      <c r="J1115" s="73"/>
      <c r="K1115" s="73"/>
      <c r="L1115" s="73"/>
      <c r="M1115" s="73"/>
      <c r="N1115" s="73"/>
      <c r="O1115" s="73"/>
      <c r="P1115" s="73"/>
      <c r="Q1115" s="73"/>
      <c r="R1115" s="73"/>
      <c r="S1115" s="73"/>
      <c r="T1115" s="73"/>
      <c r="U1115" s="73"/>
      <c r="V1115" s="73"/>
      <c r="W1115" s="73"/>
      <c r="X1115" s="73"/>
      <c r="Y1115" s="73"/>
      <c r="Z1115" s="73"/>
      <c r="AA1115" s="73"/>
      <c r="AB1115" s="73"/>
      <c r="AC1115" s="73"/>
      <c r="AD1115" s="73"/>
      <c r="AE1115" s="73"/>
      <c r="AF1115" s="73"/>
      <c r="AG1115" s="73"/>
      <c r="AH1115" s="73"/>
      <c r="AI1115" s="73"/>
      <c r="AJ1115" s="168"/>
      <c r="AK1115" s="73"/>
      <c r="AL1115" s="73"/>
      <c r="AM1115" s="73"/>
      <c r="AN1115" s="73"/>
      <c r="AO1115" s="73"/>
      <c r="AP1115" s="73"/>
      <c r="AQ1115" s="73"/>
      <c r="AR1115" s="73"/>
      <c r="AS1115" s="73"/>
      <c r="AT1115" s="73"/>
      <c r="AU1115" s="73"/>
      <c r="AV1115" s="73"/>
      <c r="AW1115" s="73"/>
      <c r="AX1115" s="73"/>
      <c r="AY1115" s="73"/>
      <c r="AZ1115" s="73"/>
      <c r="BA1115" s="73"/>
      <c r="BB1115" s="73"/>
      <c r="BC1115" s="73"/>
      <c r="BD1115" s="73"/>
      <c r="BE1115" s="73"/>
      <c r="BF1115" s="75"/>
      <c r="BG1115" s="73"/>
      <c r="BH1115" s="88"/>
      <c r="BI1115" s="73"/>
      <c r="BJ1115" s="73"/>
      <c r="BK1115" s="73"/>
      <c r="BL1115" s="73"/>
      <c r="BM1115" s="73"/>
      <c r="BN1115" s="73"/>
      <c r="BO1115" s="73"/>
      <c r="BP1115" s="73"/>
      <c r="BQ1115" s="73"/>
      <c r="BR1115" s="73"/>
      <c r="BS1115" s="73"/>
      <c r="BT1115" s="73"/>
      <c r="BU1115" s="73"/>
      <c r="BV1115" s="73"/>
      <c r="BW1115" s="73"/>
      <c r="BX1115" s="73"/>
      <c r="BY1115" s="73"/>
      <c r="BZ1115" s="73"/>
      <c r="CA1115" s="73"/>
      <c r="CB1115" s="73"/>
      <c r="CC1115" s="73"/>
      <c r="CD1115" s="73"/>
      <c r="CE1115" s="73"/>
      <c r="CF1115" s="73"/>
      <c r="CG1115" s="73"/>
      <c r="CH1115" s="73"/>
    </row>
    <row r="1116">
      <c r="A1116" s="73"/>
      <c r="B1116" s="73"/>
      <c r="C1116" s="73"/>
      <c r="D1116" s="73"/>
      <c r="E1116" s="140"/>
      <c r="F1116" s="80"/>
      <c r="G1116" s="80"/>
      <c r="H1116" s="73"/>
      <c r="I1116" s="73"/>
      <c r="J1116" s="73"/>
      <c r="K1116" s="73"/>
      <c r="L1116" s="73"/>
      <c r="M1116" s="73"/>
      <c r="N1116" s="73"/>
      <c r="O1116" s="73"/>
      <c r="P1116" s="73"/>
      <c r="Q1116" s="73"/>
      <c r="R1116" s="73"/>
      <c r="S1116" s="73"/>
      <c r="T1116" s="73"/>
      <c r="U1116" s="73"/>
      <c r="V1116" s="73"/>
      <c r="W1116" s="73"/>
      <c r="X1116" s="73"/>
      <c r="Y1116" s="73"/>
      <c r="Z1116" s="73"/>
      <c r="AA1116" s="73"/>
      <c r="AB1116" s="73"/>
      <c r="AC1116" s="73"/>
      <c r="AD1116" s="73"/>
      <c r="AE1116" s="73"/>
      <c r="AF1116" s="73"/>
      <c r="AG1116" s="73"/>
      <c r="AH1116" s="73"/>
      <c r="AI1116" s="73"/>
      <c r="AJ1116" s="168"/>
      <c r="AK1116" s="73"/>
      <c r="AL1116" s="73"/>
      <c r="AM1116" s="73"/>
      <c r="AN1116" s="73"/>
      <c r="AO1116" s="73"/>
      <c r="AP1116" s="73"/>
      <c r="AQ1116" s="73"/>
      <c r="AR1116" s="73"/>
      <c r="AS1116" s="73"/>
      <c r="AT1116" s="73"/>
      <c r="AU1116" s="73"/>
      <c r="AV1116" s="73"/>
      <c r="AW1116" s="73"/>
      <c r="AX1116" s="73"/>
      <c r="AY1116" s="73"/>
      <c r="AZ1116" s="73"/>
      <c r="BA1116" s="73"/>
      <c r="BB1116" s="73"/>
      <c r="BC1116" s="73"/>
      <c r="BD1116" s="73"/>
      <c r="BE1116" s="73"/>
      <c r="BF1116" s="75"/>
      <c r="BG1116" s="73"/>
      <c r="BH1116" s="88"/>
      <c r="BI1116" s="73"/>
      <c r="BJ1116" s="73"/>
      <c r="BK1116" s="73"/>
      <c r="BL1116" s="73"/>
      <c r="BM1116" s="73"/>
      <c r="BN1116" s="73"/>
      <c r="BO1116" s="73"/>
      <c r="BP1116" s="73"/>
      <c r="BQ1116" s="73"/>
      <c r="BR1116" s="73"/>
      <c r="BS1116" s="73"/>
      <c r="BT1116" s="73"/>
      <c r="BU1116" s="73"/>
      <c r="BV1116" s="73"/>
      <c r="BW1116" s="73"/>
      <c r="BX1116" s="73"/>
      <c r="BY1116" s="73"/>
      <c r="BZ1116" s="73"/>
      <c r="CA1116" s="73"/>
      <c r="CB1116" s="73"/>
      <c r="CC1116" s="73"/>
      <c r="CD1116" s="73"/>
      <c r="CE1116" s="73"/>
      <c r="CF1116" s="73"/>
      <c r="CG1116" s="73"/>
      <c r="CH1116" s="73"/>
    </row>
    <row r="1117">
      <c r="A1117" s="73"/>
      <c r="B1117" s="73"/>
      <c r="C1117" s="73"/>
      <c r="D1117" s="73"/>
      <c r="E1117" s="140"/>
      <c r="F1117" s="80"/>
      <c r="G1117" s="80"/>
      <c r="H1117" s="73"/>
      <c r="I1117" s="73"/>
      <c r="J1117" s="73"/>
      <c r="K1117" s="73"/>
      <c r="L1117" s="73"/>
      <c r="M1117" s="73"/>
      <c r="N1117" s="73"/>
      <c r="O1117" s="73"/>
      <c r="P1117" s="73"/>
      <c r="Q1117" s="73"/>
      <c r="R1117" s="73"/>
      <c r="S1117" s="73"/>
      <c r="T1117" s="73"/>
      <c r="U1117" s="73"/>
      <c r="V1117" s="73"/>
      <c r="W1117" s="73"/>
      <c r="X1117" s="73"/>
      <c r="Y1117" s="73"/>
      <c r="Z1117" s="73"/>
      <c r="AA1117" s="73"/>
      <c r="AB1117" s="73"/>
      <c r="AC1117" s="73"/>
      <c r="AD1117" s="73"/>
      <c r="AE1117" s="73"/>
      <c r="AF1117" s="73"/>
      <c r="AG1117" s="73"/>
      <c r="AH1117" s="73"/>
      <c r="AI1117" s="73"/>
      <c r="AJ1117" s="168"/>
      <c r="AK1117" s="73"/>
      <c r="AL1117" s="73"/>
      <c r="AM1117" s="73"/>
      <c r="AN1117" s="73"/>
      <c r="AO1117" s="73"/>
      <c r="AP1117" s="73"/>
      <c r="AQ1117" s="73"/>
      <c r="AR1117" s="73"/>
      <c r="AS1117" s="73"/>
      <c r="AT1117" s="73"/>
      <c r="AU1117" s="73"/>
      <c r="AV1117" s="73"/>
      <c r="AW1117" s="73"/>
      <c r="AX1117" s="73"/>
      <c r="AY1117" s="73"/>
      <c r="AZ1117" s="73"/>
      <c r="BA1117" s="73"/>
      <c r="BB1117" s="73"/>
      <c r="BC1117" s="73"/>
      <c r="BD1117" s="73"/>
      <c r="BE1117" s="73"/>
      <c r="BF1117" s="75"/>
      <c r="BG1117" s="73"/>
      <c r="BH1117" s="88"/>
      <c r="BI1117" s="73"/>
      <c r="BJ1117" s="73"/>
      <c r="BK1117" s="73"/>
      <c r="BL1117" s="73"/>
      <c r="BM1117" s="73"/>
      <c r="BN1117" s="73"/>
      <c r="BO1117" s="73"/>
      <c r="BP1117" s="73"/>
      <c r="BQ1117" s="73"/>
      <c r="BR1117" s="73"/>
      <c r="BS1117" s="73"/>
      <c r="BT1117" s="73"/>
      <c r="BU1117" s="73"/>
      <c r="BV1117" s="73"/>
      <c r="BW1117" s="73"/>
      <c r="BX1117" s="73"/>
      <c r="BY1117" s="73"/>
      <c r="BZ1117" s="73"/>
      <c r="CA1117" s="73"/>
      <c r="CB1117" s="73"/>
      <c r="CC1117" s="73"/>
      <c r="CD1117" s="73"/>
      <c r="CE1117" s="73"/>
      <c r="CF1117" s="73"/>
      <c r="CG1117" s="73"/>
      <c r="CH1117" s="73"/>
    </row>
    <row r="1118">
      <c r="A1118" s="73"/>
      <c r="B1118" s="73"/>
      <c r="C1118" s="73"/>
      <c r="D1118" s="73"/>
      <c r="E1118" s="140"/>
      <c r="F1118" s="80"/>
      <c r="G1118" s="80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  <c r="S1118" s="73"/>
      <c r="T1118" s="73"/>
      <c r="U1118" s="73"/>
      <c r="V1118" s="73"/>
      <c r="W1118" s="73"/>
      <c r="X1118" s="73"/>
      <c r="Y1118" s="73"/>
      <c r="Z1118" s="73"/>
      <c r="AA1118" s="73"/>
      <c r="AB1118" s="73"/>
      <c r="AC1118" s="73"/>
      <c r="AD1118" s="73"/>
      <c r="AE1118" s="73"/>
      <c r="AF1118" s="73"/>
      <c r="AG1118" s="73"/>
      <c r="AH1118" s="73"/>
      <c r="AI1118" s="73"/>
      <c r="AJ1118" s="168"/>
      <c r="AK1118" s="73"/>
      <c r="AL1118" s="73"/>
      <c r="AM1118" s="73"/>
      <c r="AN1118" s="73"/>
      <c r="AO1118" s="73"/>
      <c r="AP1118" s="73"/>
      <c r="AQ1118" s="73"/>
      <c r="AR1118" s="73"/>
      <c r="AS1118" s="73"/>
      <c r="AT1118" s="73"/>
      <c r="AU1118" s="73"/>
      <c r="AV1118" s="73"/>
      <c r="AW1118" s="73"/>
      <c r="AX1118" s="73"/>
      <c r="AY1118" s="73"/>
      <c r="AZ1118" s="73"/>
      <c r="BA1118" s="73"/>
      <c r="BB1118" s="73"/>
      <c r="BC1118" s="73"/>
      <c r="BD1118" s="73"/>
      <c r="BE1118" s="73"/>
      <c r="BF1118" s="75"/>
      <c r="BG1118" s="73"/>
      <c r="BH1118" s="88"/>
      <c r="BI1118" s="73"/>
      <c r="BJ1118" s="73"/>
      <c r="BK1118" s="73"/>
      <c r="BL1118" s="73"/>
      <c r="BM1118" s="73"/>
      <c r="BN1118" s="73"/>
      <c r="BO1118" s="73"/>
      <c r="BP1118" s="73"/>
      <c r="BQ1118" s="73"/>
      <c r="BR1118" s="73"/>
      <c r="BS1118" s="73"/>
      <c r="BT1118" s="73"/>
      <c r="BU1118" s="73"/>
      <c r="BV1118" s="73"/>
      <c r="BW1118" s="73"/>
      <c r="BX1118" s="73"/>
      <c r="BY1118" s="73"/>
      <c r="BZ1118" s="73"/>
      <c r="CA1118" s="73"/>
      <c r="CB1118" s="73"/>
      <c r="CC1118" s="73"/>
      <c r="CD1118" s="73"/>
      <c r="CE1118" s="73"/>
      <c r="CF1118" s="73"/>
      <c r="CG1118" s="73"/>
      <c r="CH1118" s="73"/>
    </row>
    <row r="1119">
      <c r="A1119" s="73"/>
      <c r="B1119" s="73"/>
      <c r="C1119" s="73"/>
      <c r="D1119" s="73"/>
      <c r="E1119" s="140"/>
      <c r="F1119" s="80"/>
      <c r="G1119" s="80"/>
      <c r="H1119" s="73"/>
      <c r="I1119" s="73"/>
      <c r="J1119" s="73"/>
      <c r="K1119" s="73"/>
      <c r="L1119" s="73"/>
      <c r="M1119" s="73"/>
      <c r="N1119" s="73"/>
      <c r="O1119" s="73"/>
      <c r="P1119" s="73"/>
      <c r="Q1119" s="73"/>
      <c r="R1119" s="73"/>
      <c r="S1119" s="73"/>
      <c r="T1119" s="73"/>
      <c r="U1119" s="73"/>
      <c r="V1119" s="73"/>
      <c r="W1119" s="73"/>
      <c r="X1119" s="73"/>
      <c r="Y1119" s="73"/>
      <c r="Z1119" s="73"/>
      <c r="AA1119" s="73"/>
      <c r="AB1119" s="73"/>
      <c r="AC1119" s="73"/>
      <c r="AD1119" s="73"/>
      <c r="AE1119" s="73"/>
      <c r="AF1119" s="73"/>
      <c r="AG1119" s="73"/>
      <c r="AH1119" s="73"/>
      <c r="AI1119" s="73"/>
      <c r="AJ1119" s="168"/>
      <c r="AK1119" s="73"/>
      <c r="AL1119" s="73"/>
      <c r="AM1119" s="73"/>
      <c r="AN1119" s="73"/>
      <c r="AO1119" s="73"/>
      <c r="AP1119" s="73"/>
      <c r="AQ1119" s="73"/>
      <c r="AR1119" s="73"/>
      <c r="AS1119" s="73"/>
      <c r="AT1119" s="73"/>
      <c r="AU1119" s="73"/>
      <c r="AV1119" s="73"/>
      <c r="AW1119" s="73"/>
      <c r="AX1119" s="73"/>
      <c r="AY1119" s="73"/>
      <c r="AZ1119" s="73"/>
      <c r="BA1119" s="73"/>
      <c r="BB1119" s="73"/>
      <c r="BC1119" s="73"/>
      <c r="BD1119" s="73"/>
      <c r="BE1119" s="73"/>
      <c r="BF1119" s="75"/>
      <c r="BG1119" s="73"/>
      <c r="BH1119" s="88"/>
      <c r="BI1119" s="73"/>
      <c r="BJ1119" s="73"/>
      <c r="BK1119" s="73"/>
      <c r="BL1119" s="73"/>
      <c r="BM1119" s="73"/>
      <c r="BN1119" s="73"/>
      <c r="BO1119" s="73"/>
      <c r="BP1119" s="73"/>
      <c r="BQ1119" s="73"/>
      <c r="BR1119" s="73"/>
      <c r="BS1119" s="73"/>
      <c r="BT1119" s="73"/>
      <c r="BU1119" s="73"/>
      <c r="BV1119" s="73"/>
      <c r="BW1119" s="73"/>
      <c r="BX1119" s="73"/>
      <c r="BY1119" s="73"/>
      <c r="BZ1119" s="73"/>
      <c r="CA1119" s="73"/>
      <c r="CB1119" s="73"/>
      <c r="CC1119" s="73"/>
      <c r="CD1119" s="73"/>
      <c r="CE1119" s="73"/>
      <c r="CF1119" s="73"/>
      <c r="CG1119" s="73"/>
      <c r="CH1119" s="73"/>
    </row>
    <row r="1120">
      <c r="A1120" s="73"/>
      <c r="B1120" s="73"/>
      <c r="C1120" s="73"/>
      <c r="D1120" s="73"/>
      <c r="E1120" s="140"/>
      <c r="F1120" s="80"/>
      <c r="G1120" s="80"/>
      <c r="H1120" s="73"/>
      <c r="I1120" s="73"/>
      <c r="J1120" s="73"/>
      <c r="K1120" s="73"/>
      <c r="L1120" s="73"/>
      <c r="M1120" s="73"/>
      <c r="N1120" s="73"/>
      <c r="O1120" s="73"/>
      <c r="P1120" s="73"/>
      <c r="Q1120" s="73"/>
      <c r="R1120" s="73"/>
      <c r="S1120" s="73"/>
      <c r="T1120" s="73"/>
      <c r="U1120" s="73"/>
      <c r="V1120" s="73"/>
      <c r="W1120" s="73"/>
      <c r="X1120" s="73"/>
      <c r="Y1120" s="73"/>
      <c r="Z1120" s="73"/>
      <c r="AA1120" s="73"/>
      <c r="AB1120" s="73"/>
      <c r="AC1120" s="73"/>
      <c r="AD1120" s="73"/>
      <c r="AE1120" s="73"/>
      <c r="AF1120" s="73"/>
      <c r="AG1120" s="73"/>
      <c r="AH1120" s="73"/>
      <c r="AI1120" s="73"/>
      <c r="AJ1120" s="168"/>
      <c r="AK1120" s="73"/>
      <c r="AL1120" s="73"/>
      <c r="AM1120" s="73"/>
      <c r="AN1120" s="73"/>
      <c r="AO1120" s="73"/>
      <c r="AP1120" s="73"/>
      <c r="AQ1120" s="73"/>
      <c r="AR1120" s="73"/>
      <c r="AS1120" s="73"/>
      <c r="AT1120" s="73"/>
      <c r="AU1120" s="73"/>
      <c r="AV1120" s="73"/>
      <c r="AW1120" s="73"/>
      <c r="AX1120" s="73"/>
      <c r="AY1120" s="73"/>
      <c r="AZ1120" s="73"/>
      <c r="BA1120" s="73"/>
      <c r="BB1120" s="73"/>
      <c r="BC1120" s="73"/>
      <c r="BD1120" s="73"/>
      <c r="BE1120" s="73"/>
      <c r="BF1120" s="75"/>
      <c r="BG1120" s="73"/>
      <c r="BH1120" s="88"/>
      <c r="BI1120" s="73"/>
      <c r="BJ1120" s="73"/>
      <c r="BK1120" s="73"/>
      <c r="BL1120" s="73"/>
      <c r="BM1120" s="73"/>
      <c r="BN1120" s="73"/>
      <c r="BO1120" s="73"/>
      <c r="BP1120" s="73"/>
      <c r="BQ1120" s="73"/>
      <c r="BR1120" s="73"/>
      <c r="BS1120" s="73"/>
      <c r="BT1120" s="73"/>
      <c r="BU1120" s="73"/>
      <c r="BV1120" s="73"/>
      <c r="BW1120" s="73"/>
      <c r="BX1120" s="73"/>
      <c r="BY1120" s="73"/>
      <c r="BZ1120" s="73"/>
      <c r="CA1120" s="73"/>
      <c r="CB1120" s="73"/>
      <c r="CC1120" s="73"/>
      <c r="CD1120" s="73"/>
      <c r="CE1120" s="73"/>
      <c r="CF1120" s="73"/>
      <c r="CG1120" s="73"/>
      <c r="CH1120" s="73"/>
    </row>
    <row r="1121">
      <c r="A1121" s="73"/>
      <c r="B1121" s="73"/>
      <c r="C1121" s="73"/>
      <c r="D1121" s="73"/>
      <c r="E1121" s="140"/>
      <c r="F1121" s="80"/>
      <c r="G1121" s="80"/>
      <c r="H1121" s="73"/>
      <c r="I1121" s="73"/>
      <c r="J1121" s="73"/>
      <c r="K1121" s="73"/>
      <c r="L1121" s="73"/>
      <c r="M1121" s="73"/>
      <c r="N1121" s="73"/>
      <c r="O1121" s="73"/>
      <c r="P1121" s="73"/>
      <c r="Q1121" s="73"/>
      <c r="R1121" s="73"/>
      <c r="S1121" s="73"/>
      <c r="T1121" s="73"/>
      <c r="U1121" s="73"/>
      <c r="V1121" s="73"/>
      <c r="W1121" s="73"/>
      <c r="X1121" s="73"/>
      <c r="Y1121" s="73"/>
      <c r="Z1121" s="73"/>
      <c r="AA1121" s="73"/>
      <c r="AB1121" s="73"/>
      <c r="AC1121" s="73"/>
      <c r="AD1121" s="73"/>
      <c r="AE1121" s="73"/>
      <c r="AF1121" s="73"/>
      <c r="AG1121" s="73"/>
      <c r="AH1121" s="73"/>
      <c r="AI1121" s="73"/>
      <c r="AJ1121" s="168"/>
      <c r="AK1121" s="73"/>
      <c r="AL1121" s="73"/>
      <c r="AM1121" s="73"/>
      <c r="AN1121" s="73"/>
      <c r="AO1121" s="73"/>
      <c r="AP1121" s="73"/>
      <c r="AQ1121" s="73"/>
      <c r="AR1121" s="73"/>
      <c r="AS1121" s="73"/>
      <c r="AT1121" s="73"/>
      <c r="AU1121" s="73"/>
      <c r="AV1121" s="73"/>
      <c r="AW1121" s="73"/>
      <c r="AX1121" s="73"/>
      <c r="AY1121" s="73"/>
      <c r="AZ1121" s="73"/>
      <c r="BA1121" s="73"/>
      <c r="BB1121" s="73"/>
      <c r="BC1121" s="73"/>
      <c r="BD1121" s="73"/>
      <c r="BE1121" s="73"/>
      <c r="BF1121" s="75"/>
      <c r="BG1121" s="73"/>
      <c r="BH1121" s="88"/>
      <c r="BI1121" s="73"/>
      <c r="BJ1121" s="73"/>
      <c r="BK1121" s="73"/>
      <c r="BL1121" s="73"/>
      <c r="BM1121" s="73"/>
      <c r="BN1121" s="73"/>
      <c r="BO1121" s="73"/>
      <c r="BP1121" s="73"/>
      <c r="BQ1121" s="73"/>
      <c r="BR1121" s="73"/>
      <c r="BS1121" s="73"/>
      <c r="BT1121" s="73"/>
      <c r="BU1121" s="73"/>
      <c r="BV1121" s="73"/>
      <c r="BW1121" s="73"/>
      <c r="BX1121" s="73"/>
      <c r="BY1121" s="73"/>
      <c r="BZ1121" s="73"/>
      <c r="CA1121" s="73"/>
      <c r="CB1121" s="73"/>
      <c r="CC1121" s="73"/>
      <c r="CD1121" s="73"/>
      <c r="CE1121" s="73"/>
      <c r="CF1121" s="73"/>
      <c r="CG1121" s="73"/>
      <c r="CH1121" s="73"/>
    </row>
    <row r="1122">
      <c r="A1122" s="73"/>
      <c r="B1122" s="73"/>
      <c r="C1122" s="73"/>
      <c r="D1122" s="73"/>
      <c r="E1122" s="140"/>
      <c r="F1122" s="80"/>
      <c r="G1122" s="80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  <c r="S1122" s="73"/>
      <c r="T1122" s="73"/>
      <c r="U1122" s="73"/>
      <c r="V1122" s="73"/>
      <c r="W1122" s="73"/>
      <c r="X1122" s="73"/>
      <c r="Y1122" s="73"/>
      <c r="Z1122" s="73"/>
      <c r="AA1122" s="73"/>
      <c r="AB1122" s="73"/>
      <c r="AC1122" s="73"/>
      <c r="AD1122" s="73"/>
      <c r="AE1122" s="73"/>
      <c r="AF1122" s="73"/>
      <c r="AG1122" s="73"/>
      <c r="AH1122" s="73"/>
      <c r="AI1122" s="73"/>
      <c r="AJ1122" s="168"/>
      <c r="AK1122" s="73"/>
      <c r="AL1122" s="73"/>
      <c r="AM1122" s="73"/>
      <c r="AN1122" s="73"/>
      <c r="AO1122" s="73"/>
      <c r="AP1122" s="73"/>
      <c r="AQ1122" s="73"/>
      <c r="AR1122" s="73"/>
      <c r="AS1122" s="73"/>
      <c r="AT1122" s="73"/>
      <c r="AU1122" s="73"/>
      <c r="AV1122" s="73"/>
      <c r="AW1122" s="73"/>
      <c r="AX1122" s="73"/>
      <c r="AY1122" s="73"/>
      <c r="AZ1122" s="73"/>
      <c r="BA1122" s="73"/>
      <c r="BB1122" s="73"/>
      <c r="BC1122" s="73"/>
      <c r="BD1122" s="73"/>
      <c r="BE1122" s="73"/>
      <c r="BF1122" s="75"/>
      <c r="BG1122" s="73"/>
      <c r="BH1122" s="88"/>
      <c r="BI1122" s="73"/>
      <c r="BJ1122" s="73"/>
      <c r="BK1122" s="73"/>
      <c r="BL1122" s="73"/>
      <c r="BM1122" s="73"/>
      <c r="BN1122" s="73"/>
      <c r="BO1122" s="73"/>
      <c r="BP1122" s="73"/>
      <c r="BQ1122" s="73"/>
      <c r="BR1122" s="73"/>
      <c r="BS1122" s="73"/>
      <c r="BT1122" s="73"/>
      <c r="BU1122" s="73"/>
      <c r="BV1122" s="73"/>
      <c r="BW1122" s="73"/>
      <c r="BX1122" s="73"/>
      <c r="BY1122" s="73"/>
      <c r="BZ1122" s="73"/>
      <c r="CA1122" s="73"/>
      <c r="CB1122" s="73"/>
      <c r="CC1122" s="73"/>
      <c r="CD1122" s="73"/>
      <c r="CE1122" s="73"/>
      <c r="CF1122" s="73"/>
      <c r="CG1122" s="73"/>
      <c r="CH1122" s="73"/>
    </row>
    <row r="1123">
      <c r="A1123" s="73"/>
      <c r="B1123" s="73"/>
      <c r="C1123" s="73"/>
      <c r="D1123" s="73"/>
      <c r="E1123" s="140"/>
      <c r="F1123" s="80"/>
      <c r="G1123" s="80"/>
      <c r="H1123" s="73"/>
      <c r="I1123" s="73"/>
      <c r="J1123" s="73"/>
      <c r="K1123" s="73"/>
      <c r="L1123" s="73"/>
      <c r="M1123" s="73"/>
      <c r="N1123" s="73"/>
      <c r="O1123" s="73"/>
      <c r="P1123" s="73"/>
      <c r="Q1123" s="73"/>
      <c r="R1123" s="73"/>
      <c r="S1123" s="73"/>
      <c r="T1123" s="73"/>
      <c r="U1123" s="73"/>
      <c r="V1123" s="73"/>
      <c r="W1123" s="73"/>
      <c r="X1123" s="73"/>
      <c r="Y1123" s="73"/>
      <c r="Z1123" s="73"/>
      <c r="AA1123" s="73"/>
      <c r="AB1123" s="73"/>
      <c r="AC1123" s="73"/>
      <c r="AD1123" s="73"/>
      <c r="AE1123" s="73"/>
      <c r="AF1123" s="73"/>
      <c r="AG1123" s="73"/>
      <c r="AH1123" s="73"/>
      <c r="AI1123" s="73"/>
      <c r="AJ1123" s="168"/>
      <c r="AK1123" s="73"/>
      <c r="AL1123" s="73"/>
      <c r="AM1123" s="73"/>
      <c r="AN1123" s="73"/>
      <c r="AO1123" s="73"/>
      <c r="AP1123" s="73"/>
      <c r="AQ1123" s="73"/>
      <c r="AR1123" s="73"/>
      <c r="AS1123" s="73"/>
      <c r="AT1123" s="73"/>
      <c r="AU1123" s="73"/>
      <c r="AV1123" s="73"/>
      <c r="AW1123" s="73"/>
      <c r="AX1123" s="73"/>
      <c r="AY1123" s="73"/>
      <c r="AZ1123" s="73"/>
      <c r="BA1123" s="73"/>
      <c r="BB1123" s="73"/>
      <c r="BC1123" s="73"/>
      <c r="BD1123" s="73"/>
      <c r="BE1123" s="73"/>
      <c r="BF1123" s="75"/>
      <c r="BG1123" s="73"/>
      <c r="BH1123" s="88"/>
      <c r="BI1123" s="73"/>
      <c r="BJ1123" s="73"/>
      <c r="BK1123" s="73"/>
      <c r="BL1123" s="73"/>
      <c r="BM1123" s="73"/>
      <c r="BN1123" s="73"/>
      <c r="BO1123" s="73"/>
      <c r="BP1123" s="73"/>
      <c r="BQ1123" s="73"/>
      <c r="BR1123" s="73"/>
      <c r="BS1123" s="73"/>
      <c r="BT1123" s="73"/>
      <c r="BU1123" s="73"/>
      <c r="BV1123" s="73"/>
      <c r="BW1123" s="73"/>
      <c r="BX1123" s="73"/>
      <c r="BY1123" s="73"/>
      <c r="BZ1123" s="73"/>
      <c r="CA1123" s="73"/>
      <c r="CB1123" s="73"/>
      <c r="CC1123" s="73"/>
      <c r="CD1123" s="73"/>
      <c r="CE1123" s="73"/>
      <c r="CF1123" s="73"/>
      <c r="CG1123" s="73"/>
      <c r="CH1123" s="73"/>
    </row>
    <row r="1124">
      <c r="A1124" s="73"/>
      <c r="B1124" s="73"/>
      <c r="C1124" s="73"/>
      <c r="D1124" s="73"/>
      <c r="E1124" s="140"/>
      <c r="F1124" s="80"/>
      <c r="G1124" s="80"/>
      <c r="H1124" s="73"/>
      <c r="I1124" s="73"/>
      <c r="J1124" s="73"/>
      <c r="K1124" s="73"/>
      <c r="L1124" s="73"/>
      <c r="M1124" s="73"/>
      <c r="N1124" s="73"/>
      <c r="O1124" s="73"/>
      <c r="P1124" s="73"/>
      <c r="Q1124" s="73"/>
      <c r="R1124" s="73"/>
      <c r="S1124" s="73"/>
      <c r="T1124" s="73"/>
      <c r="U1124" s="73"/>
      <c r="V1124" s="73"/>
      <c r="W1124" s="73"/>
      <c r="X1124" s="73"/>
      <c r="Y1124" s="73"/>
      <c r="Z1124" s="73"/>
      <c r="AA1124" s="73"/>
      <c r="AB1124" s="73"/>
      <c r="AC1124" s="73"/>
      <c r="AD1124" s="73"/>
      <c r="AE1124" s="73"/>
      <c r="AF1124" s="73"/>
      <c r="AG1124" s="73"/>
      <c r="AH1124" s="73"/>
      <c r="AI1124" s="73"/>
      <c r="AJ1124" s="168"/>
      <c r="AK1124" s="73"/>
      <c r="AL1124" s="73"/>
      <c r="AM1124" s="73"/>
      <c r="AN1124" s="73"/>
      <c r="AO1124" s="73"/>
      <c r="AP1124" s="73"/>
      <c r="AQ1124" s="73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5"/>
      <c r="BG1124" s="73"/>
      <c r="BH1124" s="88"/>
      <c r="BI1124" s="73"/>
      <c r="BJ1124" s="73"/>
      <c r="BK1124" s="73"/>
      <c r="BL1124" s="73"/>
      <c r="BM1124" s="73"/>
      <c r="BN1124" s="73"/>
      <c r="BO1124" s="73"/>
      <c r="BP1124" s="73"/>
      <c r="BQ1124" s="73"/>
      <c r="BR1124" s="73"/>
      <c r="BS1124" s="73"/>
      <c r="BT1124" s="73"/>
      <c r="BU1124" s="73"/>
      <c r="BV1124" s="73"/>
      <c r="BW1124" s="73"/>
      <c r="BX1124" s="73"/>
      <c r="BY1124" s="73"/>
      <c r="BZ1124" s="73"/>
      <c r="CA1124" s="73"/>
      <c r="CB1124" s="73"/>
      <c r="CC1124" s="73"/>
      <c r="CD1124" s="73"/>
      <c r="CE1124" s="73"/>
      <c r="CF1124" s="73"/>
      <c r="CG1124" s="73"/>
      <c r="CH1124" s="73"/>
    </row>
    <row r="1125">
      <c r="A1125" s="73"/>
      <c r="B1125" s="73"/>
      <c r="C1125" s="73"/>
      <c r="D1125" s="73"/>
      <c r="E1125" s="140"/>
      <c r="F1125" s="80"/>
      <c r="G1125" s="80"/>
      <c r="H1125" s="73"/>
      <c r="I1125" s="73"/>
      <c r="J1125" s="73"/>
      <c r="K1125" s="73"/>
      <c r="L1125" s="73"/>
      <c r="M1125" s="73"/>
      <c r="N1125" s="73"/>
      <c r="O1125" s="73"/>
      <c r="P1125" s="73"/>
      <c r="Q1125" s="73"/>
      <c r="R1125" s="73"/>
      <c r="S1125" s="73"/>
      <c r="T1125" s="73"/>
      <c r="U1125" s="73"/>
      <c r="V1125" s="73"/>
      <c r="W1125" s="73"/>
      <c r="X1125" s="73"/>
      <c r="Y1125" s="73"/>
      <c r="Z1125" s="73"/>
      <c r="AA1125" s="73"/>
      <c r="AB1125" s="73"/>
      <c r="AC1125" s="73"/>
      <c r="AD1125" s="73"/>
      <c r="AE1125" s="73"/>
      <c r="AF1125" s="73"/>
      <c r="AG1125" s="73"/>
      <c r="AH1125" s="73"/>
      <c r="AI1125" s="73"/>
      <c r="AJ1125" s="168"/>
      <c r="AK1125" s="73"/>
      <c r="AL1125" s="73"/>
      <c r="AM1125" s="73"/>
      <c r="AN1125" s="73"/>
      <c r="AO1125" s="73"/>
      <c r="AP1125" s="73"/>
      <c r="AQ1125" s="73"/>
      <c r="AR1125" s="73"/>
      <c r="AS1125" s="73"/>
      <c r="AT1125" s="73"/>
      <c r="AU1125" s="73"/>
      <c r="AV1125" s="73"/>
      <c r="AW1125" s="73"/>
      <c r="AX1125" s="73"/>
      <c r="AY1125" s="73"/>
      <c r="AZ1125" s="73"/>
      <c r="BA1125" s="73"/>
      <c r="BB1125" s="73"/>
      <c r="BC1125" s="73"/>
      <c r="BD1125" s="73"/>
      <c r="BE1125" s="73"/>
      <c r="BF1125" s="75"/>
      <c r="BG1125" s="73"/>
      <c r="BH1125" s="88"/>
      <c r="BI1125" s="73"/>
      <c r="BJ1125" s="73"/>
      <c r="BK1125" s="73"/>
      <c r="BL1125" s="73"/>
      <c r="BM1125" s="73"/>
      <c r="BN1125" s="73"/>
      <c r="BO1125" s="73"/>
      <c r="BP1125" s="73"/>
      <c r="BQ1125" s="73"/>
      <c r="BR1125" s="73"/>
      <c r="BS1125" s="73"/>
      <c r="BT1125" s="73"/>
      <c r="BU1125" s="73"/>
      <c r="BV1125" s="73"/>
      <c r="BW1125" s="73"/>
      <c r="BX1125" s="73"/>
      <c r="BY1125" s="73"/>
      <c r="BZ1125" s="73"/>
      <c r="CA1125" s="73"/>
      <c r="CB1125" s="73"/>
      <c r="CC1125" s="73"/>
      <c r="CD1125" s="73"/>
      <c r="CE1125" s="73"/>
      <c r="CF1125" s="73"/>
      <c r="CG1125" s="73"/>
      <c r="CH1125" s="73"/>
    </row>
    <row r="1126">
      <c r="A1126" s="73"/>
      <c r="B1126" s="73"/>
      <c r="C1126" s="73"/>
      <c r="D1126" s="73"/>
      <c r="E1126" s="140"/>
      <c r="F1126" s="80"/>
      <c r="G1126" s="80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  <c r="S1126" s="73"/>
      <c r="T1126" s="73"/>
      <c r="U1126" s="73"/>
      <c r="V1126" s="73"/>
      <c r="W1126" s="73"/>
      <c r="X1126" s="73"/>
      <c r="Y1126" s="73"/>
      <c r="Z1126" s="73"/>
      <c r="AA1126" s="73"/>
      <c r="AB1126" s="73"/>
      <c r="AC1126" s="73"/>
      <c r="AD1126" s="73"/>
      <c r="AE1126" s="73"/>
      <c r="AF1126" s="73"/>
      <c r="AG1126" s="73"/>
      <c r="AH1126" s="73"/>
      <c r="AI1126" s="73"/>
      <c r="AJ1126" s="168"/>
      <c r="AK1126" s="73"/>
      <c r="AL1126" s="73"/>
      <c r="AM1126" s="73"/>
      <c r="AN1126" s="73"/>
      <c r="AO1126" s="73"/>
      <c r="AP1126" s="73"/>
      <c r="AQ1126" s="73"/>
      <c r="AR1126" s="73"/>
      <c r="AS1126" s="73"/>
      <c r="AT1126" s="73"/>
      <c r="AU1126" s="73"/>
      <c r="AV1126" s="73"/>
      <c r="AW1126" s="73"/>
      <c r="AX1126" s="73"/>
      <c r="AY1126" s="73"/>
      <c r="AZ1126" s="73"/>
      <c r="BA1126" s="73"/>
      <c r="BB1126" s="73"/>
      <c r="BC1126" s="73"/>
      <c r="BD1126" s="73"/>
      <c r="BE1126" s="73"/>
      <c r="BF1126" s="75"/>
      <c r="BG1126" s="73"/>
      <c r="BH1126" s="88"/>
      <c r="BI1126" s="73"/>
      <c r="BJ1126" s="73"/>
      <c r="BK1126" s="73"/>
      <c r="BL1126" s="73"/>
      <c r="BM1126" s="73"/>
      <c r="BN1126" s="73"/>
      <c r="BO1126" s="73"/>
      <c r="BP1126" s="73"/>
      <c r="BQ1126" s="73"/>
      <c r="BR1126" s="73"/>
      <c r="BS1126" s="73"/>
      <c r="BT1126" s="73"/>
      <c r="BU1126" s="73"/>
      <c r="BV1126" s="73"/>
      <c r="BW1126" s="73"/>
      <c r="BX1126" s="73"/>
      <c r="BY1126" s="73"/>
      <c r="BZ1126" s="73"/>
      <c r="CA1126" s="73"/>
      <c r="CB1126" s="73"/>
      <c r="CC1126" s="73"/>
      <c r="CD1126" s="73"/>
      <c r="CE1126" s="73"/>
      <c r="CF1126" s="73"/>
      <c r="CG1126" s="73"/>
      <c r="CH1126" s="73"/>
    </row>
    <row r="1127">
      <c r="A1127" s="73"/>
      <c r="B1127" s="73"/>
      <c r="C1127" s="73"/>
      <c r="D1127" s="73"/>
      <c r="E1127" s="140"/>
      <c r="F1127" s="80"/>
      <c r="G1127" s="80"/>
      <c r="H1127" s="73"/>
      <c r="I1127" s="73"/>
      <c r="J1127" s="73"/>
      <c r="K1127" s="73"/>
      <c r="L1127" s="73"/>
      <c r="M1127" s="73"/>
      <c r="N1127" s="73"/>
      <c r="O1127" s="73"/>
      <c r="P1127" s="73"/>
      <c r="Q1127" s="73"/>
      <c r="R1127" s="73"/>
      <c r="S1127" s="73"/>
      <c r="T1127" s="73"/>
      <c r="U1127" s="73"/>
      <c r="V1127" s="73"/>
      <c r="W1127" s="73"/>
      <c r="X1127" s="73"/>
      <c r="Y1127" s="73"/>
      <c r="Z1127" s="73"/>
      <c r="AA1127" s="73"/>
      <c r="AB1127" s="73"/>
      <c r="AC1127" s="73"/>
      <c r="AD1127" s="73"/>
      <c r="AE1127" s="73"/>
      <c r="AF1127" s="73"/>
      <c r="AG1127" s="73"/>
      <c r="AH1127" s="73"/>
      <c r="AI1127" s="73"/>
      <c r="AJ1127" s="168"/>
      <c r="AK1127" s="73"/>
      <c r="AL1127" s="73"/>
      <c r="AM1127" s="73"/>
      <c r="AN1127" s="73"/>
      <c r="AO1127" s="73"/>
      <c r="AP1127" s="73"/>
      <c r="AQ1127" s="73"/>
      <c r="AR1127" s="73"/>
      <c r="AS1127" s="73"/>
      <c r="AT1127" s="73"/>
      <c r="AU1127" s="73"/>
      <c r="AV1127" s="73"/>
      <c r="AW1127" s="73"/>
      <c r="AX1127" s="73"/>
      <c r="AY1127" s="73"/>
      <c r="AZ1127" s="73"/>
      <c r="BA1127" s="73"/>
      <c r="BB1127" s="73"/>
      <c r="BC1127" s="73"/>
      <c r="BD1127" s="73"/>
      <c r="BE1127" s="73"/>
      <c r="BF1127" s="75"/>
      <c r="BG1127" s="73"/>
      <c r="BH1127" s="88"/>
      <c r="BI1127" s="73"/>
      <c r="BJ1127" s="73"/>
      <c r="BK1127" s="73"/>
      <c r="BL1127" s="73"/>
      <c r="BM1127" s="73"/>
      <c r="BN1127" s="73"/>
      <c r="BO1127" s="73"/>
      <c r="BP1127" s="73"/>
      <c r="BQ1127" s="73"/>
      <c r="BR1127" s="73"/>
      <c r="BS1127" s="73"/>
      <c r="BT1127" s="73"/>
      <c r="BU1127" s="73"/>
      <c r="BV1127" s="73"/>
      <c r="BW1127" s="73"/>
      <c r="BX1127" s="73"/>
      <c r="BY1127" s="73"/>
      <c r="BZ1127" s="73"/>
      <c r="CA1127" s="73"/>
      <c r="CB1127" s="73"/>
      <c r="CC1127" s="73"/>
      <c r="CD1127" s="73"/>
      <c r="CE1127" s="73"/>
      <c r="CF1127" s="73"/>
      <c r="CG1127" s="73"/>
      <c r="CH1127" s="73"/>
    </row>
    <row r="1128">
      <c r="A1128" s="73"/>
      <c r="B1128" s="73"/>
      <c r="C1128" s="73"/>
      <c r="D1128" s="73"/>
      <c r="E1128" s="140"/>
      <c r="F1128" s="80"/>
      <c r="G1128" s="80"/>
      <c r="H1128" s="73"/>
      <c r="I1128" s="73"/>
      <c r="J1128" s="73"/>
      <c r="K1128" s="73"/>
      <c r="L1128" s="73"/>
      <c r="M1128" s="73"/>
      <c r="N1128" s="73"/>
      <c r="O1128" s="73"/>
      <c r="P1128" s="73"/>
      <c r="Q1128" s="73"/>
      <c r="R1128" s="73"/>
      <c r="S1128" s="73"/>
      <c r="T1128" s="73"/>
      <c r="U1128" s="73"/>
      <c r="V1128" s="73"/>
      <c r="W1128" s="73"/>
      <c r="X1128" s="73"/>
      <c r="Y1128" s="73"/>
      <c r="Z1128" s="73"/>
      <c r="AA1128" s="73"/>
      <c r="AB1128" s="73"/>
      <c r="AC1128" s="73"/>
      <c r="AD1128" s="73"/>
      <c r="AE1128" s="73"/>
      <c r="AF1128" s="73"/>
      <c r="AG1128" s="73"/>
      <c r="AH1128" s="73"/>
      <c r="AI1128" s="73"/>
      <c r="AJ1128" s="168"/>
      <c r="AK1128" s="73"/>
      <c r="AL1128" s="73"/>
      <c r="AM1128" s="73"/>
      <c r="AN1128" s="73"/>
      <c r="AO1128" s="73"/>
      <c r="AP1128" s="73"/>
      <c r="AQ1128" s="73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73"/>
      <c r="BD1128" s="73"/>
      <c r="BE1128" s="73"/>
      <c r="BF1128" s="75"/>
      <c r="BG1128" s="73"/>
      <c r="BH1128" s="88"/>
      <c r="BI1128" s="73"/>
      <c r="BJ1128" s="73"/>
      <c r="BK1128" s="73"/>
      <c r="BL1128" s="73"/>
      <c r="BM1128" s="73"/>
      <c r="BN1128" s="73"/>
      <c r="BO1128" s="73"/>
      <c r="BP1128" s="73"/>
      <c r="BQ1128" s="73"/>
      <c r="BR1128" s="73"/>
      <c r="BS1128" s="73"/>
      <c r="BT1128" s="73"/>
      <c r="BU1128" s="73"/>
      <c r="BV1128" s="73"/>
      <c r="BW1128" s="73"/>
      <c r="BX1128" s="73"/>
      <c r="BY1128" s="73"/>
      <c r="BZ1128" s="73"/>
      <c r="CA1128" s="73"/>
      <c r="CB1128" s="73"/>
      <c r="CC1128" s="73"/>
      <c r="CD1128" s="73"/>
      <c r="CE1128" s="73"/>
      <c r="CF1128" s="73"/>
      <c r="CG1128" s="73"/>
      <c r="CH1128" s="73"/>
    </row>
    <row r="1129">
      <c r="A1129" s="73"/>
      <c r="B1129" s="73"/>
      <c r="C1129" s="73"/>
      <c r="D1129" s="73"/>
      <c r="E1129" s="140"/>
      <c r="F1129" s="80"/>
      <c r="G1129" s="80"/>
      <c r="H1129" s="73"/>
      <c r="I1129" s="73"/>
      <c r="J1129" s="73"/>
      <c r="K1129" s="73"/>
      <c r="L1129" s="73"/>
      <c r="M1129" s="73"/>
      <c r="N1129" s="73"/>
      <c r="O1129" s="73"/>
      <c r="P1129" s="73"/>
      <c r="Q1129" s="73"/>
      <c r="R1129" s="73"/>
      <c r="S1129" s="73"/>
      <c r="T1129" s="73"/>
      <c r="U1129" s="73"/>
      <c r="V1129" s="73"/>
      <c r="W1129" s="73"/>
      <c r="X1129" s="73"/>
      <c r="Y1129" s="73"/>
      <c r="Z1129" s="73"/>
      <c r="AA1129" s="73"/>
      <c r="AB1129" s="73"/>
      <c r="AC1129" s="73"/>
      <c r="AD1129" s="73"/>
      <c r="AE1129" s="73"/>
      <c r="AF1129" s="73"/>
      <c r="AG1129" s="73"/>
      <c r="AH1129" s="73"/>
      <c r="AI1129" s="73"/>
      <c r="AJ1129" s="168"/>
      <c r="AK1129" s="73"/>
      <c r="AL1129" s="73"/>
      <c r="AM1129" s="73"/>
      <c r="AN1129" s="73"/>
      <c r="AO1129" s="73"/>
      <c r="AP1129" s="73"/>
      <c r="AQ1129" s="73"/>
      <c r="AR1129" s="73"/>
      <c r="AS1129" s="73"/>
      <c r="AT1129" s="73"/>
      <c r="AU1129" s="73"/>
      <c r="AV1129" s="73"/>
      <c r="AW1129" s="73"/>
      <c r="AX1129" s="73"/>
      <c r="AY1129" s="73"/>
      <c r="AZ1129" s="73"/>
      <c r="BA1129" s="73"/>
      <c r="BB1129" s="73"/>
      <c r="BC1129" s="73"/>
      <c r="BD1129" s="73"/>
      <c r="BE1129" s="73"/>
      <c r="BF1129" s="75"/>
      <c r="BG1129" s="73"/>
      <c r="BH1129" s="88"/>
      <c r="BI1129" s="73"/>
      <c r="BJ1129" s="73"/>
      <c r="BK1129" s="73"/>
      <c r="BL1129" s="73"/>
      <c r="BM1129" s="73"/>
      <c r="BN1129" s="73"/>
      <c r="BO1129" s="73"/>
      <c r="BP1129" s="73"/>
      <c r="BQ1129" s="73"/>
      <c r="BR1129" s="73"/>
      <c r="BS1129" s="73"/>
      <c r="BT1129" s="73"/>
      <c r="BU1129" s="73"/>
      <c r="BV1129" s="73"/>
      <c r="BW1129" s="73"/>
      <c r="BX1129" s="73"/>
      <c r="BY1129" s="73"/>
      <c r="BZ1129" s="73"/>
      <c r="CA1129" s="73"/>
      <c r="CB1129" s="73"/>
      <c r="CC1129" s="73"/>
      <c r="CD1129" s="73"/>
      <c r="CE1129" s="73"/>
      <c r="CF1129" s="73"/>
      <c r="CG1129" s="73"/>
      <c r="CH1129" s="73"/>
    </row>
    <row r="1130">
      <c r="A1130" s="73"/>
      <c r="B1130" s="73"/>
      <c r="C1130" s="73"/>
      <c r="D1130" s="73"/>
      <c r="E1130" s="140"/>
      <c r="F1130" s="80"/>
      <c r="G1130" s="80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  <c r="S1130" s="73"/>
      <c r="T1130" s="73"/>
      <c r="U1130" s="73"/>
      <c r="V1130" s="73"/>
      <c r="W1130" s="73"/>
      <c r="X1130" s="73"/>
      <c r="Y1130" s="73"/>
      <c r="Z1130" s="73"/>
      <c r="AA1130" s="73"/>
      <c r="AB1130" s="73"/>
      <c r="AC1130" s="73"/>
      <c r="AD1130" s="73"/>
      <c r="AE1130" s="73"/>
      <c r="AF1130" s="73"/>
      <c r="AG1130" s="73"/>
      <c r="AH1130" s="73"/>
      <c r="AI1130" s="73"/>
      <c r="AJ1130" s="168"/>
      <c r="AK1130" s="73"/>
      <c r="AL1130" s="73"/>
      <c r="AM1130" s="73"/>
      <c r="AN1130" s="73"/>
      <c r="AO1130" s="73"/>
      <c r="AP1130" s="73"/>
      <c r="AQ1130" s="73"/>
      <c r="AR1130" s="73"/>
      <c r="AS1130" s="73"/>
      <c r="AT1130" s="73"/>
      <c r="AU1130" s="73"/>
      <c r="AV1130" s="73"/>
      <c r="AW1130" s="73"/>
      <c r="AX1130" s="73"/>
      <c r="AY1130" s="73"/>
      <c r="AZ1130" s="73"/>
      <c r="BA1130" s="73"/>
      <c r="BB1130" s="73"/>
      <c r="BC1130" s="73"/>
      <c r="BD1130" s="73"/>
      <c r="BE1130" s="73"/>
      <c r="BF1130" s="75"/>
      <c r="BG1130" s="73"/>
      <c r="BH1130" s="88"/>
      <c r="BI1130" s="73"/>
      <c r="BJ1130" s="73"/>
      <c r="BK1130" s="73"/>
      <c r="BL1130" s="73"/>
      <c r="BM1130" s="73"/>
      <c r="BN1130" s="73"/>
      <c r="BO1130" s="73"/>
      <c r="BP1130" s="73"/>
      <c r="BQ1130" s="73"/>
      <c r="BR1130" s="73"/>
      <c r="BS1130" s="73"/>
      <c r="BT1130" s="73"/>
      <c r="BU1130" s="73"/>
      <c r="BV1130" s="73"/>
      <c r="BW1130" s="73"/>
      <c r="BX1130" s="73"/>
      <c r="BY1130" s="73"/>
      <c r="BZ1130" s="73"/>
      <c r="CA1130" s="73"/>
      <c r="CB1130" s="73"/>
      <c r="CC1130" s="73"/>
      <c r="CD1130" s="73"/>
      <c r="CE1130" s="73"/>
      <c r="CF1130" s="73"/>
      <c r="CG1130" s="73"/>
      <c r="CH1130" s="73"/>
    </row>
    <row r="1131">
      <c r="A1131" s="73"/>
      <c r="B1131" s="73"/>
      <c r="C1131" s="73"/>
      <c r="D1131" s="73"/>
      <c r="E1131" s="140"/>
      <c r="F1131" s="80"/>
      <c r="G1131" s="80"/>
      <c r="H1131" s="73"/>
      <c r="I1131" s="73"/>
      <c r="J1131" s="73"/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73"/>
      <c r="V1131" s="73"/>
      <c r="W1131" s="73"/>
      <c r="X1131" s="73"/>
      <c r="Y1131" s="73"/>
      <c r="Z1131" s="73"/>
      <c r="AA1131" s="73"/>
      <c r="AB1131" s="73"/>
      <c r="AC1131" s="73"/>
      <c r="AD1131" s="73"/>
      <c r="AE1131" s="73"/>
      <c r="AF1131" s="73"/>
      <c r="AG1131" s="73"/>
      <c r="AH1131" s="73"/>
      <c r="AI1131" s="73"/>
      <c r="AJ1131" s="168"/>
      <c r="AK1131" s="73"/>
      <c r="AL1131" s="73"/>
      <c r="AM1131" s="73"/>
      <c r="AN1131" s="73"/>
      <c r="AO1131" s="73"/>
      <c r="AP1131" s="73"/>
      <c r="AQ1131" s="73"/>
      <c r="AR1131" s="73"/>
      <c r="AS1131" s="73"/>
      <c r="AT1131" s="73"/>
      <c r="AU1131" s="73"/>
      <c r="AV1131" s="73"/>
      <c r="AW1131" s="73"/>
      <c r="AX1131" s="73"/>
      <c r="AY1131" s="73"/>
      <c r="AZ1131" s="73"/>
      <c r="BA1131" s="73"/>
      <c r="BB1131" s="73"/>
      <c r="BC1131" s="73"/>
      <c r="BD1131" s="73"/>
      <c r="BE1131" s="73"/>
      <c r="BF1131" s="75"/>
      <c r="BG1131" s="73"/>
      <c r="BH1131" s="88"/>
      <c r="BI1131" s="73"/>
      <c r="BJ1131" s="73"/>
      <c r="BK1131" s="73"/>
      <c r="BL1131" s="73"/>
      <c r="BM1131" s="73"/>
      <c r="BN1131" s="73"/>
      <c r="BO1131" s="73"/>
      <c r="BP1131" s="73"/>
      <c r="BQ1131" s="73"/>
      <c r="BR1131" s="73"/>
      <c r="BS1131" s="73"/>
      <c r="BT1131" s="73"/>
      <c r="BU1131" s="73"/>
      <c r="BV1131" s="73"/>
      <c r="BW1131" s="73"/>
      <c r="BX1131" s="73"/>
      <c r="BY1131" s="73"/>
      <c r="BZ1131" s="73"/>
      <c r="CA1131" s="73"/>
      <c r="CB1131" s="73"/>
      <c r="CC1131" s="73"/>
      <c r="CD1131" s="73"/>
      <c r="CE1131" s="73"/>
      <c r="CF1131" s="73"/>
      <c r="CG1131" s="73"/>
      <c r="CH1131" s="73"/>
    </row>
    <row r="1132">
      <c r="A1132" s="73"/>
      <c r="B1132" s="73"/>
      <c r="C1132" s="73"/>
      <c r="D1132" s="73"/>
      <c r="E1132" s="140"/>
      <c r="F1132" s="80"/>
      <c r="G1132" s="80"/>
      <c r="H1132" s="73"/>
      <c r="I1132" s="73"/>
      <c r="J1132" s="73"/>
      <c r="K1132" s="73"/>
      <c r="L1132" s="73"/>
      <c r="M1132" s="73"/>
      <c r="N1132" s="73"/>
      <c r="O1132" s="73"/>
      <c r="P1132" s="73"/>
      <c r="Q1132" s="73"/>
      <c r="R1132" s="73"/>
      <c r="S1132" s="73"/>
      <c r="T1132" s="73"/>
      <c r="U1132" s="73"/>
      <c r="V1132" s="73"/>
      <c r="W1132" s="73"/>
      <c r="X1132" s="73"/>
      <c r="Y1132" s="73"/>
      <c r="Z1132" s="73"/>
      <c r="AA1132" s="73"/>
      <c r="AB1132" s="73"/>
      <c r="AC1132" s="73"/>
      <c r="AD1132" s="73"/>
      <c r="AE1132" s="73"/>
      <c r="AF1132" s="73"/>
      <c r="AG1132" s="73"/>
      <c r="AH1132" s="73"/>
      <c r="AI1132" s="73"/>
      <c r="AJ1132" s="168"/>
      <c r="AK1132" s="73"/>
      <c r="AL1132" s="73"/>
      <c r="AM1132" s="73"/>
      <c r="AN1132" s="73"/>
      <c r="AO1132" s="73"/>
      <c r="AP1132" s="73"/>
      <c r="AQ1132" s="73"/>
      <c r="AR1132" s="73"/>
      <c r="AS1132" s="73"/>
      <c r="AT1132" s="73"/>
      <c r="AU1132" s="73"/>
      <c r="AV1132" s="73"/>
      <c r="AW1132" s="73"/>
      <c r="AX1132" s="73"/>
      <c r="AY1132" s="73"/>
      <c r="AZ1132" s="73"/>
      <c r="BA1132" s="73"/>
      <c r="BB1132" s="73"/>
      <c r="BC1132" s="73"/>
      <c r="BD1132" s="73"/>
      <c r="BE1132" s="73"/>
      <c r="BF1132" s="75"/>
      <c r="BG1132" s="73"/>
      <c r="BH1132" s="88"/>
      <c r="BI1132" s="73"/>
      <c r="BJ1132" s="73"/>
      <c r="BK1132" s="73"/>
      <c r="BL1132" s="73"/>
      <c r="BM1132" s="73"/>
      <c r="BN1132" s="73"/>
      <c r="BO1132" s="73"/>
      <c r="BP1132" s="73"/>
      <c r="BQ1132" s="73"/>
      <c r="BR1132" s="73"/>
      <c r="BS1132" s="73"/>
      <c r="BT1132" s="73"/>
      <c r="BU1132" s="73"/>
      <c r="BV1132" s="73"/>
      <c r="BW1132" s="73"/>
      <c r="BX1132" s="73"/>
      <c r="BY1132" s="73"/>
      <c r="BZ1132" s="73"/>
      <c r="CA1132" s="73"/>
      <c r="CB1132" s="73"/>
      <c r="CC1132" s="73"/>
      <c r="CD1132" s="73"/>
      <c r="CE1132" s="73"/>
      <c r="CF1132" s="73"/>
      <c r="CG1132" s="73"/>
      <c r="CH1132" s="73"/>
    </row>
    <row r="1133">
      <c r="A1133" s="73"/>
      <c r="B1133" s="73"/>
      <c r="C1133" s="73"/>
      <c r="D1133" s="73"/>
      <c r="E1133" s="140"/>
      <c r="F1133" s="80"/>
      <c r="G1133" s="80"/>
      <c r="H1133" s="73"/>
      <c r="I1133" s="73"/>
      <c r="J1133" s="73"/>
      <c r="K1133" s="73"/>
      <c r="L1133" s="73"/>
      <c r="M1133" s="73"/>
      <c r="N1133" s="73"/>
      <c r="O1133" s="73"/>
      <c r="P1133" s="73"/>
      <c r="Q1133" s="73"/>
      <c r="R1133" s="73"/>
      <c r="S1133" s="73"/>
      <c r="T1133" s="73"/>
      <c r="U1133" s="73"/>
      <c r="V1133" s="73"/>
      <c r="W1133" s="73"/>
      <c r="X1133" s="73"/>
      <c r="Y1133" s="73"/>
      <c r="Z1133" s="73"/>
      <c r="AA1133" s="73"/>
      <c r="AB1133" s="73"/>
      <c r="AC1133" s="73"/>
      <c r="AD1133" s="73"/>
      <c r="AE1133" s="73"/>
      <c r="AF1133" s="73"/>
      <c r="AG1133" s="73"/>
      <c r="AH1133" s="73"/>
      <c r="AI1133" s="73"/>
      <c r="AJ1133" s="168"/>
      <c r="AK1133" s="73"/>
      <c r="AL1133" s="73"/>
      <c r="AM1133" s="73"/>
      <c r="AN1133" s="73"/>
      <c r="AO1133" s="73"/>
      <c r="AP1133" s="73"/>
      <c r="AQ1133" s="73"/>
      <c r="AR1133" s="73"/>
      <c r="AS1133" s="73"/>
      <c r="AT1133" s="73"/>
      <c r="AU1133" s="73"/>
      <c r="AV1133" s="73"/>
      <c r="AW1133" s="73"/>
      <c r="AX1133" s="73"/>
      <c r="AY1133" s="73"/>
      <c r="AZ1133" s="73"/>
      <c r="BA1133" s="73"/>
      <c r="BB1133" s="73"/>
      <c r="BC1133" s="73"/>
      <c r="BD1133" s="73"/>
      <c r="BE1133" s="73"/>
      <c r="BF1133" s="75"/>
      <c r="BG1133" s="73"/>
      <c r="BH1133" s="88"/>
      <c r="BI1133" s="73"/>
      <c r="BJ1133" s="73"/>
      <c r="BK1133" s="73"/>
      <c r="BL1133" s="73"/>
      <c r="BM1133" s="73"/>
      <c r="BN1133" s="73"/>
      <c r="BO1133" s="73"/>
      <c r="BP1133" s="73"/>
      <c r="BQ1133" s="73"/>
      <c r="BR1133" s="73"/>
      <c r="BS1133" s="73"/>
      <c r="BT1133" s="73"/>
      <c r="BU1133" s="73"/>
      <c r="BV1133" s="73"/>
      <c r="BW1133" s="73"/>
      <c r="BX1133" s="73"/>
      <c r="BY1133" s="73"/>
      <c r="BZ1133" s="73"/>
      <c r="CA1133" s="73"/>
      <c r="CB1133" s="73"/>
      <c r="CC1133" s="73"/>
      <c r="CD1133" s="73"/>
      <c r="CE1133" s="73"/>
      <c r="CF1133" s="73"/>
      <c r="CG1133" s="73"/>
      <c r="CH1133" s="73"/>
    </row>
    <row r="1134">
      <c r="A1134" s="73"/>
      <c r="B1134" s="73"/>
      <c r="C1134" s="73"/>
      <c r="D1134" s="73"/>
      <c r="E1134" s="140"/>
      <c r="F1134" s="80"/>
      <c r="G1134" s="80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  <c r="S1134" s="73"/>
      <c r="T1134" s="73"/>
      <c r="U1134" s="73"/>
      <c r="V1134" s="73"/>
      <c r="W1134" s="73"/>
      <c r="X1134" s="73"/>
      <c r="Y1134" s="73"/>
      <c r="Z1134" s="73"/>
      <c r="AA1134" s="73"/>
      <c r="AB1134" s="73"/>
      <c r="AC1134" s="73"/>
      <c r="AD1134" s="73"/>
      <c r="AE1134" s="73"/>
      <c r="AF1134" s="73"/>
      <c r="AG1134" s="73"/>
      <c r="AH1134" s="73"/>
      <c r="AI1134" s="73"/>
      <c r="AJ1134" s="168"/>
      <c r="AK1134" s="73"/>
      <c r="AL1134" s="73"/>
      <c r="AM1134" s="73"/>
      <c r="AN1134" s="73"/>
      <c r="AO1134" s="73"/>
      <c r="AP1134" s="73"/>
      <c r="AQ1134" s="73"/>
      <c r="AR1134" s="73"/>
      <c r="AS1134" s="73"/>
      <c r="AT1134" s="73"/>
      <c r="AU1134" s="73"/>
      <c r="AV1134" s="73"/>
      <c r="AW1134" s="73"/>
      <c r="AX1134" s="73"/>
      <c r="AY1134" s="73"/>
      <c r="AZ1134" s="73"/>
      <c r="BA1134" s="73"/>
      <c r="BB1134" s="73"/>
      <c r="BC1134" s="73"/>
      <c r="BD1134" s="73"/>
      <c r="BE1134" s="73"/>
      <c r="BF1134" s="75"/>
      <c r="BG1134" s="73"/>
      <c r="BH1134" s="88"/>
      <c r="BI1134" s="73"/>
      <c r="BJ1134" s="73"/>
      <c r="BK1134" s="73"/>
      <c r="BL1134" s="73"/>
      <c r="BM1134" s="73"/>
      <c r="BN1134" s="73"/>
      <c r="BO1134" s="73"/>
      <c r="BP1134" s="73"/>
      <c r="BQ1134" s="73"/>
      <c r="BR1134" s="73"/>
      <c r="BS1134" s="73"/>
      <c r="BT1134" s="73"/>
      <c r="BU1134" s="73"/>
      <c r="BV1134" s="73"/>
      <c r="BW1134" s="73"/>
      <c r="BX1134" s="73"/>
      <c r="BY1134" s="73"/>
      <c r="BZ1134" s="73"/>
      <c r="CA1134" s="73"/>
      <c r="CB1134" s="73"/>
      <c r="CC1134" s="73"/>
      <c r="CD1134" s="73"/>
      <c r="CE1134" s="73"/>
      <c r="CF1134" s="73"/>
      <c r="CG1134" s="73"/>
      <c r="CH1134" s="73"/>
    </row>
    <row r="1135">
      <c r="A1135" s="73"/>
      <c r="B1135" s="73"/>
      <c r="C1135" s="73"/>
      <c r="D1135" s="73"/>
      <c r="E1135" s="140"/>
      <c r="F1135" s="80"/>
      <c r="G1135" s="80"/>
      <c r="H1135" s="73"/>
      <c r="I1135" s="73"/>
      <c r="J1135" s="73"/>
      <c r="K1135" s="73"/>
      <c r="L1135" s="73"/>
      <c r="M1135" s="73"/>
      <c r="N1135" s="73"/>
      <c r="O1135" s="73"/>
      <c r="P1135" s="73"/>
      <c r="Q1135" s="73"/>
      <c r="R1135" s="73"/>
      <c r="S1135" s="73"/>
      <c r="T1135" s="73"/>
      <c r="U1135" s="73"/>
      <c r="V1135" s="73"/>
      <c r="W1135" s="73"/>
      <c r="X1135" s="73"/>
      <c r="Y1135" s="73"/>
      <c r="Z1135" s="73"/>
      <c r="AA1135" s="73"/>
      <c r="AB1135" s="73"/>
      <c r="AC1135" s="73"/>
      <c r="AD1135" s="73"/>
      <c r="AE1135" s="73"/>
      <c r="AF1135" s="73"/>
      <c r="AG1135" s="73"/>
      <c r="AH1135" s="73"/>
      <c r="AI1135" s="73"/>
      <c r="AJ1135" s="168"/>
      <c r="AK1135" s="73"/>
      <c r="AL1135" s="73"/>
      <c r="AM1135" s="73"/>
      <c r="AN1135" s="73"/>
      <c r="AO1135" s="73"/>
      <c r="AP1135" s="73"/>
      <c r="AQ1135" s="73"/>
      <c r="AR1135" s="73"/>
      <c r="AS1135" s="73"/>
      <c r="AT1135" s="73"/>
      <c r="AU1135" s="73"/>
      <c r="AV1135" s="73"/>
      <c r="AW1135" s="73"/>
      <c r="AX1135" s="73"/>
      <c r="AY1135" s="73"/>
      <c r="AZ1135" s="73"/>
      <c r="BA1135" s="73"/>
      <c r="BB1135" s="73"/>
      <c r="BC1135" s="73"/>
      <c r="BD1135" s="73"/>
      <c r="BE1135" s="73"/>
      <c r="BF1135" s="75"/>
      <c r="BG1135" s="73"/>
      <c r="BH1135" s="88"/>
      <c r="BI1135" s="73"/>
      <c r="BJ1135" s="73"/>
      <c r="BK1135" s="73"/>
      <c r="BL1135" s="73"/>
      <c r="BM1135" s="73"/>
      <c r="BN1135" s="73"/>
      <c r="BO1135" s="73"/>
      <c r="BP1135" s="73"/>
      <c r="BQ1135" s="73"/>
      <c r="BR1135" s="73"/>
      <c r="BS1135" s="73"/>
      <c r="BT1135" s="73"/>
      <c r="BU1135" s="73"/>
      <c r="BV1135" s="73"/>
      <c r="BW1135" s="73"/>
      <c r="BX1135" s="73"/>
      <c r="BY1135" s="73"/>
      <c r="BZ1135" s="73"/>
      <c r="CA1135" s="73"/>
      <c r="CB1135" s="73"/>
      <c r="CC1135" s="73"/>
      <c r="CD1135" s="73"/>
      <c r="CE1135" s="73"/>
      <c r="CF1135" s="73"/>
      <c r="CG1135" s="73"/>
      <c r="CH1135" s="73"/>
    </row>
    <row r="1136">
      <c r="A1136" s="73"/>
      <c r="B1136" s="73"/>
      <c r="C1136" s="73"/>
      <c r="D1136" s="73"/>
      <c r="E1136" s="140"/>
      <c r="F1136" s="80"/>
      <c r="G1136" s="80"/>
      <c r="H1136" s="73"/>
      <c r="I1136" s="73"/>
      <c r="J1136" s="73"/>
      <c r="K1136" s="73"/>
      <c r="L1136" s="73"/>
      <c r="M1136" s="73"/>
      <c r="N1136" s="73"/>
      <c r="O1136" s="73"/>
      <c r="P1136" s="73"/>
      <c r="Q1136" s="73"/>
      <c r="R1136" s="73"/>
      <c r="S1136" s="73"/>
      <c r="T1136" s="73"/>
      <c r="U1136" s="73"/>
      <c r="V1136" s="73"/>
      <c r="W1136" s="73"/>
      <c r="X1136" s="73"/>
      <c r="Y1136" s="73"/>
      <c r="Z1136" s="73"/>
      <c r="AA1136" s="73"/>
      <c r="AB1136" s="73"/>
      <c r="AC1136" s="73"/>
      <c r="AD1136" s="73"/>
      <c r="AE1136" s="73"/>
      <c r="AF1136" s="73"/>
      <c r="AG1136" s="73"/>
      <c r="AH1136" s="73"/>
      <c r="AI1136" s="73"/>
      <c r="AJ1136" s="168"/>
      <c r="AK1136" s="73"/>
      <c r="AL1136" s="73"/>
      <c r="AM1136" s="73"/>
      <c r="AN1136" s="73"/>
      <c r="AO1136" s="73"/>
      <c r="AP1136" s="73"/>
      <c r="AQ1136" s="73"/>
      <c r="AR1136" s="73"/>
      <c r="AS1136" s="73"/>
      <c r="AT1136" s="73"/>
      <c r="AU1136" s="73"/>
      <c r="AV1136" s="73"/>
      <c r="AW1136" s="73"/>
      <c r="AX1136" s="73"/>
      <c r="AY1136" s="73"/>
      <c r="AZ1136" s="73"/>
      <c r="BA1136" s="73"/>
      <c r="BB1136" s="73"/>
      <c r="BC1136" s="73"/>
      <c r="BD1136" s="73"/>
      <c r="BE1136" s="73"/>
      <c r="BF1136" s="75"/>
      <c r="BG1136" s="73"/>
      <c r="BH1136" s="88"/>
      <c r="BI1136" s="73"/>
      <c r="BJ1136" s="73"/>
      <c r="BK1136" s="73"/>
      <c r="BL1136" s="73"/>
      <c r="BM1136" s="73"/>
      <c r="BN1136" s="73"/>
      <c r="BO1136" s="73"/>
      <c r="BP1136" s="73"/>
      <c r="BQ1136" s="73"/>
      <c r="BR1136" s="73"/>
      <c r="BS1136" s="73"/>
      <c r="BT1136" s="73"/>
      <c r="BU1136" s="73"/>
      <c r="BV1136" s="73"/>
      <c r="BW1136" s="73"/>
      <c r="BX1136" s="73"/>
      <c r="BY1136" s="73"/>
      <c r="BZ1136" s="73"/>
      <c r="CA1136" s="73"/>
      <c r="CB1136" s="73"/>
      <c r="CC1136" s="73"/>
      <c r="CD1136" s="73"/>
      <c r="CE1136" s="73"/>
      <c r="CF1136" s="73"/>
      <c r="CG1136" s="73"/>
      <c r="CH1136" s="73"/>
    </row>
    <row r="1137">
      <c r="A1137" s="73"/>
      <c r="B1137" s="73"/>
      <c r="C1137" s="73"/>
      <c r="D1137" s="73"/>
      <c r="E1137" s="140"/>
      <c r="F1137" s="80"/>
      <c r="G1137" s="80"/>
      <c r="H1137" s="73"/>
      <c r="I1137" s="73"/>
      <c r="J1137" s="73"/>
      <c r="K1137" s="73"/>
      <c r="L1137" s="73"/>
      <c r="M1137" s="73"/>
      <c r="N1137" s="73"/>
      <c r="O1137" s="73"/>
      <c r="P1137" s="73"/>
      <c r="Q1137" s="73"/>
      <c r="R1137" s="73"/>
      <c r="S1137" s="73"/>
      <c r="T1137" s="73"/>
      <c r="U1137" s="73"/>
      <c r="V1137" s="73"/>
      <c r="W1137" s="73"/>
      <c r="X1137" s="73"/>
      <c r="Y1137" s="73"/>
      <c r="Z1137" s="73"/>
      <c r="AA1137" s="73"/>
      <c r="AB1137" s="73"/>
      <c r="AC1137" s="73"/>
      <c r="AD1137" s="73"/>
      <c r="AE1137" s="73"/>
      <c r="AF1137" s="73"/>
      <c r="AG1137" s="73"/>
      <c r="AH1137" s="73"/>
      <c r="AI1137" s="73"/>
      <c r="AJ1137" s="168"/>
      <c r="AK1137" s="73"/>
      <c r="AL1137" s="73"/>
      <c r="AM1137" s="73"/>
      <c r="AN1137" s="73"/>
      <c r="AO1137" s="73"/>
      <c r="AP1137" s="73"/>
      <c r="AQ1137" s="73"/>
      <c r="AR1137" s="73"/>
      <c r="AS1137" s="73"/>
      <c r="AT1137" s="73"/>
      <c r="AU1137" s="73"/>
      <c r="AV1137" s="73"/>
      <c r="AW1137" s="73"/>
      <c r="AX1137" s="73"/>
      <c r="AY1137" s="73"/>
      <c r="AZ1137" s="73"/>
      <c r="BA1137" s="73"/>
      <c r="BB1137" s="73"/>
      <c r="BC1137" s="73"/>
      <c r="BD1137" s="73"/>
      <c r="BE1137" s="73"/>
      <c r="BF1137" s="75"/>
      <c r="BG1137" s="73"/>
      <c r="BH1137" s="88"/>
      <c r="BI1137" s="73"/>
      <c r="BJ1137" s="73"/>
      <c r="BK1137" s="73"/>
      <c r="BL1137" s="73"/>
      <c r="BM1137" s="73"/>
      <c r="BN1137" s="73"/>
      <c r="BO1137" s="73"/>
      <c r="BP1137" s="73"/>
      <c r="BQ1137" s="73"/>
      <c r="BR1137" s="73"/>
      <c r="BS1137" s="73"/>
      <c r="BT1137" s="73"/>
      <c r="BU1137" s="73"/>
      <c r="BV1137" s="73"/>
      <c r="BW1137" s="73"/>
      <c r="BX1137" s="73"/>
      <c r="BY1137" s="73"/>
      <c r="BZ1137" s="73"/>
      <c r="CA1137" s="73"/>
      <c r="CB1137" s="73"/>
      <c r="CC1137" s="73"/>
      <c r="CD1137" s="73"/>
      <c r="CE1137" s="73"/>
      <c r="CF1137" s="73"/>
      <c r="CG1137" s="73"/>
      <c r="CH1137" s="73"/>
    </row>
    <row r="1138">
      <c r="A1138" s="73"/>
      <c r="B1138" s="73"/>
      <c r="C1138" s="73"/>
      <c r="D1138" s="73"/>
      <c r="E1138" s="140"/>
      <c r="F1138" s="80"/>
      <c r="G1138" s="80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  <c r="S1138" s="73"/>
      <c r="T1138" s="73"/>
      <c r="U1138" s="73"/>
      <c r="V1138" s="73"/>
      <c r="W1138" s="73"/>
      <c r="X1138" s="73"/>
      <c r="Y1138" s="73"/>
      <c r="Z1138" s="73"/>
      <c r="AA1138" s="73"/>
      <c r="AB1138" s="73"/>
      <c r="AC1138" s="73"/>
      <c r="AD1138" s="73"/>
      <c r="AE1138" s="73"/>
      <c r="AF1138" s="73"/>
      <c r="AG1138" s="73"/>
      <c r="AH1138" s="73"/>
      <c r="AI1138" s="73"/>
      <c r="AJ1138" s="168"/>
      <c r="AK1138" s="73"/>
      <c r="AL1138" s="73"/>
      <c r="AM1138" s="73"/>
      <c r="AN1138" s="73"/>
      <c r="AO1138" s="73"/>
      <c r="AP1138" s="73"/>
      <c r="AQ1138" s="73"/>
      <c r="AR1138" s="73"/>
      <c r="AS1138" s="73"/>
      <c r="AT1138" s="73"/>
      <c r="AU1138" s="73"/>
      <c r="AV1138" s="73"/>
      <c r="AW1138" s="73"/>
      <c r="AX1138" s="73"/>
      <c r="AY1138" s="73"/>
      <c r="AZ1138" s="73"/>
      <c r="BA1138" s="73"/>
      <c r="BB1138" s="73"/>
      <c r="BC1138" s="73"/>
      <c r="BD1138" s="73"/>
      <c r="BE1138" s="73"/>
      <c r="BF1138" s="75"/>
      <c r="BG1138" s="73"/>
      <c r="BH1138" s="88"/>
      <c r="BI1138" s="73"/>
      <c r="BJ1138" s="73"/>
      <c r="BK1138" s="73"/>
      <c r="BL1138" s="73"/>
      <c r="BM1138" s="73"/>
      <c r="BN1138" s="73"/>
      <c r="BO1138" s="73"/>
      <c r="BP1138" s="73"/>
      <c r="BQ1138" s="73"/>
      <c r="BR1138" s="73"/>
      <c r="BS1138" s="73"/>
      <c r="BT1138" s="73"/>
      <c r="BU1138" s="73"/>
      <c r="BV1138" s="73"/>
      <c r="BW1138" s="73"/>
      <c r="BX1138" s="73"/>
      <c r="BY1138" s="73"/>
      <c r="BZ1138" s="73"/>
      <c r="CA1138" s="73"/>
      <c r="CB1138" s="73"/>
      <c r="CC1138" s="73"/>
      <c r="CD1138" s="73"/>
      <c r="CE1138" s="73"/>
      <c r="CF1138" s="73"/>
      <c r="CG1138" s="73"/>
      <c r="CH1138" s="73"/>
    </row>
    <row r="1139">
      <c r="A1139" s="73"/>
      <c r="B1139" s="73"/>
      <c r="C1139" s="73"/>
      <c r="D1139" s="73"/>
      <c r="E1139" s="140"/>
      <c r="F1139" s="80"/>
      <c r="G1139" s="80"/>
      <c r="H1139" s="73"/>
      <c r="I1139" s="73"/>
      <c r="J1139" s="73"/>
      <c r="K1139" s="73"/>
      <c r="L1139" s="73"/>
      <c r="M1139" s="73"/>
      <c r="N1139" s="73"/>
      <c r="O1139" s="73"/>
      <c r="P1139" s="73"/>
      <c r="Q1139" s="73"/>
      <c r="R1139" s="73"/>
      <c r="S1139" s="73"/>
      <c r="T1139" s="73"/>
      <c r="U1139" s="73"/>
      <c r="V1139" s="73"/>
      <c r="W1139" s="73"/>
      <c r="X1139" s="73"/>
      <c r="Y1139" s="73"/>
      <c r="Z1139" s="73"/>
      <c r="AA1139" s="73"/>
      <c r="AB1139" s="73"/>
      <c r="AC1139" s="73"/>
      <c r="AD1139" s="73"/>
      <c r="AE1139" s="73"/>
      <c r="AF1139" s="73"/>
      <c r="AG1139" s="73"/>
      <c r="AH1139" s="73"/>
      <c r="AI1139" s="73"/>
      <c r="AJ1139" s="168"/>
      <c r="AK1139" s="73"/>
      <c r="AL1139" s="73"/>
      <c r="AM1139" s="73"/>
      <c r="AN1139" s="73"/>
      <c r="AO1139" s="73"/>
      <c r="AP1139" s="73"/>
      <c r="AQ1139" s="73"/>
      <c r="AR1139" s="73"/>
      <c r="AS1139" s="73"/>
      <c r="AT1139" s="73"/>
      <c r="AU1139" s="73"/>
      <c r="AV1139" s="73"/>
      <c r="AW1139" s="73"/>
      <c r="AX1139" s="73"/>
      <c r="AY1139" s="73"/>
      <c r="AZ1139" s="73"/>
      <c r="BA1139" s="73"/>
      <c r="BB1139" s="73"/>
      <c r="BC1139" s="73"/>
      <c r="BD1139" s="73"/>
      <c r="BE1139" s="73"/>
      <c r="BF1139" s="75"/>
      <c r="BG1139" s="73"/>
      <c r="BH1139" s="88"/>
      <c r="BI1139" s="73"/>
      <c r="BJ1139" s="73"/>
      <c r="BK1139" s="73"/>
      <c r="BL1139" s="73"/>
      <c r="BM1139" s="73"/>
      <c r="BN1139" s="73"/>
      <c r="BO1139" s="73"/>
      <c r="BP1139" s="73"/>
      <c r="BQ1139" s="73"/>
      <c r="BR1139" s="73"/>
      <c r="BS1139" s="73"/>
      <c r="BT1139" s="73"/>
      <c r="BU1139" s="73"/>
      <c r="BV1139" s="73"/>
      <c r="BW1139" s="73"/>
      <c r="BX1139" s="73"/>
      <c r="BY1139" s="73"/>
      <c r="BZ1139" s="73"/>
      <c r="CA1139" s="73"/>
      <c r="CB1139" s="73"/>
      <c r="CC1139" s="73"/>
      <c r="CD1139" s="73"/>
      <c r="CE1139" s="73"/>
      <c r="CF1139" s="73"/>
      <c r="CG1139" s="73"/>
      <c r="CH1139" s="73"/>
    </row>
    <row r="1140">
      <c r="A1140" s="73"/>
      <c r="B1140" s="73"/>
      <c r="C1140" s="73"/>
      <c r="D1140" s="73"/>
      <c r="E1140" s="140"/>
      <c r="F1140" s="80"/>
      <c r="G1140" s="80"/>
      <c r="H1140" s="73"/>
      <c r="I1140" s="73"/>
      <c r="J1140" s="73"/>
      <c r="K1140" s="73"/>
      <c r="L1140" s="73"/>
      <c r="M1140" s="73"/>
      <c r="N1140" s="73"/>
      <c r="O1140" s="73"/>
      <c r="P1140" s="73"/>
      <c r="Q1140" s="73"/>
      <c r="R1140" s="73"/>
      <c r="S1140" s="73"/>
      <c r="T1140" s="73"/>
      <c r="U1140" s="73"/>
      <c r="V1140" s="73"/>
      <c r="W1140" s="73"/>
      <c r="X1140" s="73"/>
      <c r="Y1140" s="73"/>
      <c r="Z1140" s="73"/>
      <c r="AA1140" s="73"/>
      <c r="AB1140" s="73"/>
      <c r="AC1140" s="73"/>
      <c r="AD1140" s="73"/>
      <c r="AE1140" s="73"/>
      <c r="AF1140" s="73"/>
      <c r="AG1140" s="73"/>
      <c r="AH1140" s="73"/>
      <c r="AI1140" s="73"/>
      <c r="AJ1140" s="168"/>
      <c r="AK1140" s="73"/>
      <c r="AL1140" s="73"/>
      <c r="AM1140" s="73"/>
      <c r="AN1140" s="73"/>
      <c r="AO1140" s="73"/>
      <c r="AP1140" s="73"/>
      <c r="AQ1140" s="73"/>
      <c r="AR1140" s="73"/>
      <c r="AS1140" s="73"/>
      <c r="AT1140" s="73"/>
      <c r="AU1140" s="73"/>
      <c r="AV1140" s="73"/>
      <c r="AW1140" s="73"/>
      <c r="AX1140" s="73"/>
      <c r="AY1140" s="73"/>
      <c r="AZ1140" s="73"/>
      <c r="BA1140" s="73"/>
      <c r="BB1140" s="73"/>
      <c r="BC1140" s="73"/>
      <c r="BD1140" s="73"/>
      <c r="BE1140" s="73"/>
      <c r="BF1140" s="75"/>
      <c r="BG1140" s="73"/>
      <c r="BH1140" s="88"/>
      <c r="BI1140" s="73"/>
      <c r="BJ1140" s="73"/>
      <c r="BK1140" s="73"/>
      <c r="BL1140" s="73"/>
      <c r="BM1140" s="73"/>
      <c r="BN1140" s="73"/>
      <c r="BO1140" s="73"/>
      <c r="BP1140" s="73"/>
      <c r="BQ1140" s="73"/>
      <c r="BR1140" s="73"/>
      <c r="BS1140" s="73"/>
      <c r="BT1140" s="73"/>
      <c r="BU1140" s="73"/>
      <c r="BV1140" s="73"/>
      <c r="BW1140" s="73"/>
      <c r="BX1140" s="73"/>
      <c r="BY1140" s="73"/>
      <c r="BZ1140" s="73"/>
      <c r="CA1140" s="73"/>
      <c r="CB1140" s="73"/>
      <c r="CC1140" s="73"/>
      <c r="CD1140" s="73"/>
      <c r="CE1140" s="73"/>
      <c r="CF1140" s="73"/>
      <c r="CG1140" s="73"/>
      <c r="CH1140" s="73"/>
    </row>
    <row r="1141">
      <c r="A1141" s="73"/>
      <c r="B1141" s="73"/>
      <c r="C1141" s="73"/>
      <c r="D1141" s="73"/>
      <c r="E1141" s="140"/>
      <c r="F1141" s="80"/>
      <c r="G1141" s="80"/>
      <c r="H1141" s="73"/>
      <c r="I1141" s="73"/>
      <c r="J1141" s="73"/>
      <c r="K1141" s="73"/>
      <c r="L1141" s="73"/>
      <c r="M1141" s="73"/>
      <c r="N1141" s="73"/>
      <c r="O1141" s="73"/>
      <c r="P1141" s="73"/>
      <c r="Q1141" s="73"/>
      <c r="R1141" s="73"/>
      <c r="S1141" s="73"/>
      <c r="T1141" s="73"/>
      <c r="U1141" s="73"/>
      <c r="V1141" s="73"/>
      <c r="W1141" s="73"/>
      <c r="X1141" s="73"/>
      <c r="Y1141" s="73"/>
      <c r="Z1141" s="73"/>
      <c r="AA1141" s="73"/>
      <c r="AB1141" s="73"/>
      <c r="AC1141" s="73"/>
      <c r="AD1141" s="73"/>
      <c r="AE1141" s="73"/>
      <c r="AF1141" s="73"/>
      <c r="AG1141" s="73"/>
      <c r="AH1141" s="73"/>
      <c r="AI1141" s="73"/>
      <c r="AJ1141" s="168"/>
      <c r="AK1141" s="73"/>
      <c r="AL1141" s="73"/>
      <c r="AM1141" s="73"/>
      <c r="AN1141" s="73"/>
      <c r="AO1141" s="73"/>
      <c r="AP1141" s="73"/>
      <c r="AQ1141" s="73"/>
      <c r="AR1141" s="73"/>
      <c r="AS1141" s="73"/>
      <c r="AT1141" s="73"/>
      <c r="AU1141" s="73"/>
      <c r="AV1141" s="73"/>
      <c r="AW1141" s="73"/>
      <c r="AX1141" s="73"/>
      <c r="AY1141" s="73"/>
      <c r="AZ1141" s="73"/>
      <c r="BA1141" s="73"/>
      <c r="BB1141" s="73"/>
      <c r="BC1141" s="73"/>
      <c r="BD1141" s="73"/>
      <c r="BE1141" s="73"/>
      <c r="BF1141" s="75"/>
      <c r="BG1141" s="73"/>
      <c r="BH1141" s="88"/>
      <c r="BI1141" s="73"/>
      <c r="BJ1141" s="73"/>
      <c r="BK1141" s="73"/>
      <c r="BL1141" s="73"/>
      <c r="BM1141" s="73"/>
      <c r="BN1141" s="73"/>
      <c r="BO1141" s="73"/>
      <c r="BP1141" s="73"/>
      <c r="BQ1141" s="73"/>
      <c r="BR1141" s="73"/>
      <c r="BS1141" s="73"/>
      <c r="BT1141" s="73"/>
      <c r="BU1141" s="73"/>
      <c r="BV1141" s="73"/>
      <c r="BW1141" s="73"/>
      <c r="BX1141" s="73"/>
      <c r="BY1141" s="73"/>
      <c r="BZ1141" s="73"/>
      <c r="CA1141" s="73"/>
      <c r="CB1141" s="73"/>
      <c r="CC1141" s="73"/>
      <c r="CD1141" s="73"/>
      <c r="CE1141" s="73"/>
      <c r="CF1141" s="73"/>
      <c r="CG1141" s="73"/>
      <c r="CH1141" s="73"/>
    </row>
    <row r="1142">
      <c r="A1142" s="73"/>
      <c r="B1142" s="73"/>
      <c r="C1142" s="73"/>
      <c r="D1142" s="73"/>
      <c r="E1142" s="140"/>
      <c r="F1142" s="80"/>
      <c r="G1142" s="80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  <c r="S1142" s="73"/>
      <c r="T1142" s="73"/>
      <c r="U1142" s="73"/>
      <c r="V1142" s="73"/>
      <c r="W1142" s="73"/>
      <c r="X1142" s="73"/>
      <c r="Y1142" s="73"/>
      <c r="Z1142" s="73"/>
      <c r="AA1142" s="73"/>
      <c r="AB1142" s="73"/>
      <c r="AC1142" s="73"/>
      <c r="AD1142" s="73"/>
      <c r="AE1142" s="73"/>
      <c r="AF1142" s="73"/>
      <c r="AG1142" s="73"/>
      <c r="AH1142" s="73"/>
      <c r="AI1142" s="73"/>
      <c r="AJ1142" s="168"/>
      <c r="AK1142" s="73"/>
      <c r="AL1142" s="73"/>
      <c r="AM1142" s="73"/>
      <c r="AN1142" s="73"/>
      <c r="AO1142" s="73"/>
      <c r="AP1142" s="73"/>
      <c r="AQ1142" s="73"/>
      <c r="AR1142" s="73"/>
      <c r="AS1142" s="73"/>
      <c r="AT1142" s="73"/>
      <c r="AU1142" s="73"/>
      <c r="AV1142" s="73"/>
      <c r="AW1142" s="73"/>
      <c r="AX1142" s="73"/>
      <c r="AY1142" s="73"/>
      <c r="AZ1142" s="73"/>
      <c r="BA1142" s="73"/>
      <c r="BB1142" s="73"/>
      <c r="BC1142" s="73"/>
      <c r="BD1142" s="73"/>
      <c r="BE1142" s="73"/>
      <c r="BF1142" s="75"/>
      <c r="BG1142" s="73"/>
      <c r="BH1142" s="88"/>
      <c r="BI1142" s="73"/>
      <c r="BJ1142" s="73"/>
      <c r="BK1142" s="73"/>
      <c r="BL1142" s="73"/>
      <c r="BM1142" s="73"/>
      <c r="BN1142" s="73"/>
      <c r="BO1142" s="73"/>
      <c r="BP1142" s="73"/>
      <c r="BQ1142" s="73"/>
      <c r="BR1142" s="73"/>
      <c r="BS1142" s="73"/>
      <c r="BT1142" s="73"/>
      <c r="BU1142" s="73"/>
      <c r="BV1142" s="73"/>
      <c r="BW1142" s="73"/>
      <c r="BX1142" s="73"/>
      <c r="BY1142" s="73"/>
      <c r="BZ1142" s="73"/>
      <c r="CA1142" s="73"/>
      <c r="CB1142" s="73"/>
      <c r="CC1142" s="73"/>
      <c r="CD1142" s="73"/>
      <c r="CE1142" s="73"/>
      <c r="CF1142" s="73"/>
      <c r="CG1142" s="73"/>
      <c r="CH1142" s="73"/>
    </row>
    <row r="1143">
      <c r="A1143" s="73"/>
      <c r="B1143" s="73"/>
      <c r="C1143" s="73"/>
      <c r="D1143" s="73"/>
      <c r="E1143" s="140"/>
      <c r="F1143" s="80"/>
      <c r="G1143" s="80"/>
      <c r="H1143" s="73"/>
      <c r="I1143" s="73"/>
      <c r="J1143" s="73"/>
      <c r="K1143" s="73"/>
      <c r="L1143" s="73"/>
      <c r="M1143" s="73"/>
      <c r="N1143" s="73"/>
      <c r="O1143" s="73"/>
      <c r="P1143" s="73"/>
      <c r="Q1143" s="73"/>
      <c r="R1143" s="73"/>
      <c r="S1143" s="73"/>
      <c r="T1143" s="73"/>
      <c r="U1143" s="73"/>
      <c r="V1143" s="73"/>
      <c r="W1143" s="73"/>
      <c r="X1143" s="73"/>
      <c r="Y1143" s="73"/>
      <c r="Z1143" s="73"/>
      <c r="AA1143" s="73"/>
      <c r="AB1143" s="73"/>
      <c r="AC1143" s="73"/>
      <c r="AD1143" s="73"/>
      <c r="AE1143" s="73"/>
      <c r="AF1143" s="73"/>
      <c r="AG1143" s="73"/>
      <c r="AH1143" s="73"/>
      <c r="AI1143" s="73"/>
      <c r="AJ1143" s="168"/>
      <c r="AK1143" s="73"/>
      <c r="AL1143" s="73"/>
      <c r="AM1143" s="73"/>
      <c r="AN1143" s="73"/>
      <c r="AO1143" s="73"/>
      <c r="AP1143" s="73"/>
      <c r="AQ1143" s="73"/>
      <c r="AR1143" s="73"/>
      <c r="AS1143" s="73"/>
      <c r="AT1143" s="73"/>
      <c r="AU1143" s="73"/>
      <c r="AV1143" s="73"/>
      <c r="AW1143" s="73"/>
      <c r="AX1143" s="73"/>
      <c r="AY1143" s="73"/>
      <c r="AZ1143" s="73"/>
      <c r="BA1143" s="73"/>
      <c r="BB1143" s="73"/>
      <c r="BC1143" s="73"/>
      <c r="BD1143" s="73"/>
      <c r="BE1143" s="73"/>
      <c r="BF1143" s="75"/>
      <c r="BG1143" s="73"/>
      <c r="BH1143" s="88"/>
      <c r="BI1143" s="73"/>
      <c r="BJ1143" s="73"/>
      <c r="BK1143" s="73"/>
      <c r="BL1143" s="73"/>
      <c r="BM1143" s="73"/>
      <c r="BN1143" s="73"/>
      <c r="BO1143" s="73"/>
      <c r="BP1143" s="73"/>
      <c r="BQ1143" s="73"/>
      <c r="BR1143" s="73"/>
      <c r="BS1143" s="73"/>
      <c r="BT1143" s="73"/>
      <c r="BU1143" s="73"/>
      <c r="BV1143" s="73"/>
      <c r="BW1143" s="73"/>
      <c r="BX1143" s="73"/>
      <c r="BY1143" s="73"/>
      <c r="BZ1143" s="73"/>
      <c r="CA1143" s="73"/>
      <c r="CB1143" s="73"/>
      <c r="CC1143" s="73"/>
      <c r="CD1143" s="73"/>
      <c r="CE1143" s="73"/>
      <c r="CF1143" s="73"/>
      <c r="CG1143" s="73"/>
      <c r="CH1143" s="73"/>
    </row>
    <row r="1144">
      <c r="A1144" s="73"/>
      <c r="B1144" s="73"/>
      <c r="C1144" s="73"/>
      <c r="D1144" s="73"/>
      <c r="E1144" s="140"/>
      <c r="F1144" s="80"/>
      <c r="G1144" s="80"/>
      <c r="H1144" s="73"/>
      <c r="I1144" s="73"/>
      <c r="J1144" s="73"/>
      <c r="K1144" s="73"/>
      <c r="L1144" s="73"/>
      <c r="M1144" s="73"/>
      <c r="N1144" s="73"/>
      <c r="O1144" s="73"/>
      <c r="P1144" s="73"/>
      <c r="Q1144" s="73"/>
      <c r="R1144" s="73"/>
      <c r="S1144" s="73"/>
      <c r="T1144" s="73"/>
      <c r="U1144" s="73"/>
      <c r="V1144" s="73"/>
      <c r="W1144" s="73"/>
      <c r="X1144" s="73"/>
      <c r="Y1144" s="73"/>
      <c r="Z1144" s="73"/>
      <c r="AA1144" s="73"/>
      <c r="AB1144" s="73"/>
      <c r="AC1144" s="73"/>
      <c r="AD1144" s="73"/>
      <c r="AE1144" s="73"/>
      <c r="AF1144" s="73"/>
      <c r="AG1144" s="73"/>
      <c r="AH1144" s="73"/>
      <c r="AI1144" s="73"/>
      <c r="AJ1144" s="168"/>
      <c r="AK1144" s="73"/>
      <c r="AL1144" s="73"/>
      <c r="AM1144" s="73"/>
      <c r="AN1144" s="73"/>
      <c r="AO1144" s="73"/>
      <c r="AP1144" s="73"/>
      <c r="AQ1144" s="73"/>
      <c r="AR1144" s="73"/>
      <c r="AS1144" s="73"/>
      <c r="AT1144" s="73"/>
      <c r="AU1144" s="73"/>
      <c r="AV1144" s="73"/>
      <c r="AW1144" s="73"/>
      <c r="AX1144" s="73"/>
      <c r="AY1144" s="73"/>
      <c r="AZ1144" s="73"/>
      <c r="BA1144" s="73"/>
      <c r="BB1144" s="73"/>
      <c r="BC1144" s="73"/>
      <c r="BD1144" s="73"/>
      <c r="BE1144" s="73"/>
      <c r="BF1144" s="75"/>
      <c r="BG1144" s="73"/>
      <c r="BH1144" s="88"/>
      <c r="BI1144" s="73"/>
      <c r="BJ1144" s="73"/>
      <c r="BK1144" s="73"/>
      <c r="BL1144" s="73"/>
      <c r="BM1144" s="73"/>
      <c r="BN1144" s="73"/>
      <c r="BO1144" s="73"/>
      <c r="BP1144" s="73"/>
      <c r="BQ1144" s="73"/>
      <c r="BR1144" s="73"/>
      <c r="BS1144" s="73"/>
      <c r="BT1144" s="73"/>
      <c r="BU1144" s="73"/>
      <c r="BV1144" s="73"/>
      <c r="BW1144" s="73"/>
      <c r="BX1144" s="73"/>
      <c r="BY1144" s="73"/>
      <c r="BZ1144" s="73"/>
      <c r="CA1144" s="73"/>
      <c r="CB1144" s="73"/>
      <c r="CC1144" s="73"/>
      <c r="CD1144" s="73"/>
      <c r="CE1144" s="73"/>
      <c r="CF1144" s="73"/>
      <c r="CG1144" s="73"/>
      <c r="CH1144" s="73"/>
    </row>
    <row r="1145">
      <c r="A1145" s="73"/>
      <c r="B1145" s="73"/>
      <c r="C1145" s="73"/>
      <c r="D1145" s="73"/>
      <c r="E1145" s="140"/>
      <c r="F1145" s="80"/>
      <c r="G1145" s="80"/>
      <c r="H1145" s="73"/>
      <c r="I1145" s="73"/>
      <c r="J1145" s="73"/>
      <c r="K1145" s="73"/>
      <c r="L1145" s="73"/>
      <c r="M1145" s="73"/>
      <c r="N1145" s="73"/>
      <c r="O1145" s="73"/>
      <c r="P1145" s="73"/>
      <c r="Q1145" s="73"/>
      <c r="R1145" s="73"/>
      <c r="S1145" s="73"/>
      <c r="T1145" s="73"/>
      <c r="U1145" s="73"/>
      <c r="V1145" s="73"/>
      <c r="W1145" s="73"/>
      <c r="X1145" s="73"/>
      <c r="Y1145" s="73"/>
      <c r="Z1145" s="73"/>
      <c r="AA1145" s="73"/>
      <c r="AB1145" s="73"/>
      <c r="AC1145" s="73"/>
      <c r="AD1145" s="73"/>
      <c r="AE1145" s="73"/>
      <c r="AF1145" s="73"/>
      <c r="AG1145" s="73"/>
      <c r="AH1145" s="73"/>
      <c r="AI1145" s="73"/>
      <c r="AJ1145" s="168"/>
      <c r="AK1145" s="73"/>
      <c r="AL1145" s="73"/>
      <c r="AM1145" s="73"/>
      <c r="AN1145" s="73"/>
      <c r="AO1145" s="73"/>
      <c r="AP1145" s="73"/>
      <c r="AQ1145" s="73"/>
      <c r="AR1145" s="73"/>
      <c r="AS1145" s="73"/>
      <c r="AT1145" s="73"/>
      <c r="AU1145" s="73"/>
      <c r="AV1145" s="73"/>
      <c r="AW1145" s="73"/>
      <c r="AX1145" s="73"/>
      <c r="AY1145" s="73"/>
      <c r="AZ1145" s="73"/>
      <c r="BA1145" s="73"/>
      <c r="BB1145" s="73"/>
      <c r="BC1145" s="73"/>
      <c r="BD1145" s="73"/>
      <c r="BE1145" s="73"/>
      <c r="BF1145" s="75"/>
      <c r="BG1145" s="73"/>
      <c r="BH1145" s="88"/>
      <c r="BI1145" s="73"/>
      <c r="BJ1145" s="73"/>
      <c r="BK1145" s="73"/>
      <c r="BL1145" s="73"/>
      <c r="BM1145" s="73"/>
      <c r="BN1145" s="73"/>
      <c r="BO1145" s="73"/>
      <c r="BP1145" s="73"/>
      <c r="BQ1145" s="73"/>
      <c r="BR1145" s="73"/>
      <c r="BS1145" s="73"/>
      <c r="BT1145" s="73"/>
      <c r="BU1145" s="73"/>
      <c r="BV1145" s="73"/>
      <c r="BW1145" s="73"/>
      <c r="BX1145" s="73"/>
      <c r="BY1145" s="73"/>
      <c r="BZ1145" s="73"/>
      <c r="CA1145" s="73"/>
      <c r="CB1145" s="73"/>
      <c r="CC1145" s="73"/>
      <c r="CD1145" s="73"/>
      <c r="CE1145" s="73"/>
      <c r="CF1145" s="73"/>
      <c r="CG1145" s="73"/>
      <c r="CH1145" s="73"/>
    </row>
    <row r="1146">
      <c r="A1146" s="73"/>
      <c r="B1146" s="73"/>
      <c r="C1146" s="73"/>
      <c r="D1146" s="73"/>
      <c r="E1146" s="140"/>
      <c r="F1146" s="80"/>
      <c r="G1146" s="80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  <c r="S1146" s="73"/>
      <c r="T1146" s="73"/>
      <c r="U1146" s="73"/>
      <c r="V1146" s="73"/>
      <c r="W1146" s="73"/>
      <c r="X1146" s="73"/>
      <c r="Y1146" s="73"/>
      <c r="Z1146" s="73"/>
      <c r="AA1146" s="73"/>
      <c r="AB1146" s="73"/>
      <c r="AC1146" s="73"/>
      <c r="AD1146" s="73"/>
      <c r="AE1146" s="73"/>
      <c r="AF1146" s="73"/>
      <c r="AG1146" s="73"/>
      <c r="AH1146" s="73"/>
      <c r="AI1146" s="73"/>
      <c r="AJ1146" s="168"/>
      <c r="AK1146" s="73"/>
      <c r="AL1146" s="73"/>
      <c r="AM1146" s="73"/>
      <c r="AN1146" s="73"/>
      <c r="AO1146" s="73"/>
      <c r="AP1146" s="73"/>
      <c r="AQ1146" s="73"/>
      <c r="AR1146" s="73"/>
      <c r="AS1146" s="73"/>
      <c r="AT1146" s="73"/>
      <c r="AU1146" s="73"/>
      <c r="AV1146" s="73"/>
      <c r="AW1146" s="73"/>
      <c r="AX1146" s="73"/>
      <c r="AY1146" s="73"/>
      <c r="AZ1146" s="73"/>
      <c r="BA1146" s="73"/>
      <c r="BB1146" s="73"/>
      <c r="BC1146" s="73"/>
      <c r="BD1146" s="73"/>
      <c r="BE1146" s="73"/>
      <c r="BF1146" s="75"/>
      <c r="BG1146" s="73"/>
      <c r="BH1146" s="88"/>
      <c r="BI1146" s="73"/>
      <c r="BJ1146" s="73"/>
      <c r="BK1146" s="73"/>
      <c r="BL1146" s="73"/>
      <c r="BM1146" s="73"/>
      <c r="BN1146" s="73"/>
      <c r="BO1146" s="73"/>
      <c r="BP1146" s="73"/>
      <c r="BQ1146" s="73"/>
      <c r="BR1146" s="73"/>
      <c r="BS1146" s="73"/>
      <c r="BT1146" s="73"/>
      <c r="BU1146" s="73"/>
      <c r="BV1146" s="73"/>
      <c r="BW1146" s="73"/>
      <c r="BX1146" s="73"/>
      <c r="BY1146" s="73"/>
      <c r="BZ1146" s="73"/>
      <c r="CA1146" s="73"/>
      <c r="CB1146" s="73"/>
      <c r="CC1146" s="73"/>
      <c r="CD1146" s="73"/>
      <c r="CE1146" s="73"/>
      <c r="CF1146" s="73"/>
      <c r="CG1146" s="73"/>
      <c r="CH1146" s="73"/>
    </row>
    <row r="1147">
      <c r="A1147" s="73"/>
      <c r="B1147" s="73"/>
      <c r="C1147" s="73"/>
      <c r="D1147" s="73"/>
      <c r="E1147" s="140"/>
      <c r="F1147" s="80"/>
      <c r="G1147" s="80"/>
      <c r="H1147" s="73"/>
      <c r="I1147" s="73"/>
      <c r="J1147" s="73"/>
      <c r="K1147" s="73"/>
      <c r="L1147" s="73"/>
      <c r="M1147" s="73"/>
      <c r="N1147" s="73"/>
      <c r="O1147" s="73"/>
      <c r="P1147" s="73"/>
      <c r="Q1147" s="73"/>
      <c r="R1147" s="73"/>
      <c r="S1147" s="73"/>
      <c r="T1147" s="73"/>
      <c r="U1147" s="73"/>
      <c r="V1147" s="73"/>
      <c r="W1147" s="73"/>
      <c r="X1147" s="73"/>
      <c r="Y1147" s="73"/>
      <c r="Z1147" s="73"/>
      <c r="AA1147" s="73"/>
      <c r="AB1147" s="73"/>
      <c r="AC1147" s="73"/>
      <c r="AD1147" s="73"/>
      <c r="AE1147" s="73"/>
      <c r="AF1147" s="73"/>
      <c r="AG1147" s="73"/>
      <c r="AH1147" s="73"/>
      <c r="AI1147" s="73"/>
      <c r="AJ1147" s="168"/>
      <c r="AK1147" s="73"/>
      <c r="AL1147" s="73"/>
      <c r="AM1147" s="73"/>
      <c r="AN1147" s="73"/>
      <c r="AO1147" s="73"/>
      <c r="AP1147" s="73"/>
      <c r="AQ1147" s="73"/>
      <c r="AR1147" s="73"/>
      <c r="AS1147" s="73"/>
      <c r="AT1147" s="73"/>
      <c r="AU1147" s="73"/>
      <c r="AV1147" s="73"/>
      <c r="AW1147" s="73"/>
      <c r="AX1147" s="73"/>
      <c r="AY1147" s="73"/>
      <c r="AZ1147" s="73"/>
      <c r="BA1147" s="73"/>
      <c r="BB1147" s="73"/>
      <c r="BC1147" s="73"/>
      <c r="BD1147" s="73"/>
      <c r="BE1147" s="73"/>
      <c r="BF1147" s="75"/>
      <c r="BG1147" s="73"/>
      <c r="BH1147" s="88"/>
      <c r="BI1147" s="73"/>
      <c r="BJ1147" s="73"/>
      <c r="BK1147" s="73"/>
      <c r="BL1147" s="73"/>
      <c r="BM1147" s="73"/>
      <c r="BN1147" s="73"/>
      <c r="BO1147" s="73"/>
      <c r="BP1147" s="73"/>
      <c r="BQ1147" s="73"/>
      <c r="BR1147" s="73"/>
      <c r="BS1147" s="73"/>
      <c r="BT1147" s="73"/>
      <c r="BU1147" s="73"/>
      <c r="BV1147" s="73"/>
      <c r="BW1147" s="73"/>
      <c r="BX1147" s="73"/>
      <c r="BY1147" s="73"/>
      <c r="BZ1147" s="73"/>
      <c r="CA1147" s="73"/>
      <c r="CB1147" s="73"/>
      <c r="CC1147" s="73"/>
      <c r="CD1147" s="73"/>
      <c r="CE1147" s="73"/>
      <c r="CF1147" s="73"/>
      <c r="CG1147" s="73"/>
      <c r="CH1147" s="73"/>
    </row>
    <row r="1148">
      <c r="A1148" s="73"/>
      <c r="B1148" s="73"/>
      <c r="C1148" s="73"/>
      <c r="D1148" s="73"/>
      <c r="E1148" s="140"/>
      <c r="F1148" s="80"/>
      <c r="G1148" s="80"/>
      <c r="H1148" s="73"/>
      <c r="I1148" s="73"/>
      <c r="J1148" s="73"/>
      <c r="K1148" s="73"/>
      <c r="L1148" s="73"/>
      <c r="M1148" s="73"/>
      <c r="N1148" s="73"/>
      <c r="O1148" s="73"/>
      <c r="P1148" s="73"/>
      <c r="Q1148" s="73"/>
      <c r="R1148" s="73"/>
      <c r="S1148" s="73"/>
      <c r="T1148" s="73"/>
      <c r="U1148" s="73"/>
      <c r="V1148" s="73"/>
      <c r="W1148" s="73"/>
      <c r="X1148" s="73"/>
      <c r="Y1148" s="73"/>
      <c r="Z1148" s="73"/>
      <c r="AA1148" s="73"/>
      <c r="AB1148" s="73"/>
      <c r="AC1148" s="73"/>
      <c r="AD1148" s="73"/>
      <c r="AE1148" s="73"/>
      <c r="AF1148" s="73"/>
      <c r="AG1148" s="73"/>
      <c r="AH1148" s="73"/>
      <c r="AI1148" s="73"/>
      <c r="AJ1148" s="168"/>
      <c r="AK1148" s="73"/>
      <c r="AL1148" s="73"/>
      <c r="AM1148" s="73"/>
      <c r="AN1148" s="73"/>
      <c r="AO1148" s="73"/>
      <c r="AP1148" s="73"/>
      <c r="AQ1148" s="73"/>
      <c r="AR1148" s="73"/>
      <c r="AS1148" s="73"/>
      <c r="AT1148" s="73"/>
      <c r="AU1148" s="73"/>
      <c r="AV1148" s="73"/>
      <c r="AW1148" s="73"/>
      <c r="AX1148" s="73"/>
      <c r="AY1148" s="73"/>
      <c r="AZ1148" s="73"/>
      <c r="BA1148" s="73"/>
      <c r="BB1148" s="73"/>
      <c r="BC1148" s="73"/>
      <c r="BD1148" s="73"/>
      <c r="BE1148" s="73"/>
      <c r="BF1148" s="75"/>
      <c r="BG1148" s="73"/>
      <c r="BH1148" s="88"/>
      <c r="BI1148" s="73"/>
      <c r="BJ1148" s="73"/>
      <c r="BK1148" s="73"/>
      <c r="BL1148" s="73"/>
      <c r="BM1148" s="73"/>
      <c r="BN1148" s="73"/>
      <c r="BO1148" s="73"/>
      <c r="BP1148" s="73"/>
      <c r="BQ1148" s="73"/>
      <c r="BR1148" s="73"/>
      <c r="BS1148" s="73"/>
      <c r="BT1148" s="73"/>
      <c r="BU1148" s="73"/>
      <c r="BV1148" s="73"/>
      <c r="BW1148" s="73"/>
      <c r="BX1148" s="73"/>
      <c r="BY1148" s="73"/>
      <c r="BZ1148" s="73"/>
      <c r="CA1148" s="73"/>
      <c r="CB1148" s="73"/>
      <c r="CC1148" s="73"/>
      <c r="CD1148" s="73"/>
      <c r="CE1148" s="73"/>
      <c r="CF1148" s="73"/>
      <c r="CG1148" s="73"/>
      <c r="CH1148" s="73"/>
    </row>
    <row r="1149">
      <c r="A1149" s="73"/>
      <c r="B1149" s="73"/>
      <c r="C1149" s="73"/>
      <c r="D1149" s="73"/>
      <c r="E1149" s="140"/>
      <c r="F1149" s="80"/>
      <c r="G1149" s="80"/>
      <c r="H1149" s="73"/>
      <c r="I1149" s="73"/>
      <c r="J1149" s="73"/>
      <c r="K1149" s="73"/>
      <c r="L1149" s="73"/>
      <c r="M1149" s="73"/>
      <c r="N1149" s="73"/>
      <c r="O1149" s="73"/>
      <c r="P1149" s="73"/>
      <c r="Q1149" s="73"/>
      <c r="R1149" s="73"/>
      <c r="S1149" s="73"/>
      <c r="T1149" s="73"/>
      <c r="U1149" s="73"/>
      <c r="V1149" s="73"/>
      <c r="W1149" s="73"/>
      <c r="X1149" s="73"/>
      <c r="Y1149" s="73"/>
      <c r="Z1149" s="73"/>
      <c r="AA1149" s="73"/>
      <c r="AB1149" s="73"/>
      <c r="AC1149" s="73"/>
      <c r="AD1149" s="73"/>
      <c r="AE1149" s="73"/>
      <c r="AF1149" s="73"/>
      <c r="AG1149" s="73"/>
      <c r="AH1149" s="73"/>
      <c r="AI1149" s="73"/>
      <c r="AJ1149" s="168"/>
      <c r="AK1149" s="73"/>
      <c r="AL1149" s="73"/>
      <c r="AM1149" s="73"/>
      <c r="AN1149" s="73"/>
      <c r="AO1149" s="73"/>
      <c r="AP1149" s="73"/>
      <c r="AQ1149" s="73"/>
      <c r="AR1149" s="73"/>
      <c r="AS1149" s="73"/>
      <c r="AT1149" s="73"/>
      <c r="AU1149" s="73"/>
      <c r="AV1149" s="73"/>
      <c r="AW1149" s="73"/>
      <c r="AX1149" s="73"/>
      <c r="AY1149" s="73"/>
      <c r="AZ1149" s="73"/>
      <c r="BA1149" s="73"/>
      <c r="BB1149" s="73"/>
      <c r="BC1149" s="73"/>
      <c r="BD1149" s="73"/>
      <c r="BE1149" s="73"/>
      <c r="BF1149" s="75"/>
      <c r="BG1149" s="73"/>
      <c r="BH1149" s="88"/>
      <c r="BI1149" s="73"/>
      <c r="BJ1149" s="73"/>
      <c r="BK1149" s="73"/>
      <c r="BL1149" s="73"/>
      <c r="BM1149" s="73"/>
      <c r="BN1149" s="73"/>
      <c r="BO1149" s="73"/>
      <c r="BP1149" s="73"/>
      <c r="BQ1149" s="73"/>
      <c r="BR1149" s="73"/>
      <c r="BS1149" s="73"/>
      <c r="BT1149" s="73"/>
      <c r="BU1149" s="73"/>
      <c r="BV1149" s="73"/>
      <c r="BW1149" s="73"/>
      <c r="BX1149" s="73"/>
      <c r="BY1149" s="73"/>
      <c r="BZ1149" s="73"/>
      <c r="CA1149" s="73"/>
      <c r="CB1149" s="73"/>
      <c r="CC1149" s="73"/>
      <c r="CD1149" s="73"/>
      <c r="CE1149" s="73"/>
      <c r="CF1149" s="73"/>
      <c r="CG1149" s="73"/>
      <c r="CH1149" s="73"/>
    </row>
    <row r="1150">
      <c r="A1150" s="73"/>
      <c r="B1150" s="73"/>
      <c r="C1150" s="73"/>
      <c r="D1150" s="73"/>
      <c r="E1150" s="140"/>
      <c r="F1150" s="80"/>
      <c r="G1150" s="80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  <c r="S1150" s="73"/>
      <c r="T1150" s="73"/>
      <c r="U1150" s="73"/>
      <c r="V1150" s="73"/>
      <c r="W1150" s="73"/>
      <c r="X1150" s="73"/>
      <c r="Y1150" s="73"/>
      <c r="Z1150" s="73"/>
      <c r="AA1150" s="73"/>
      <c r="AB1150" s="73"/>
      <c r="AC1150" s="73"/>
      <c r="AD1150" s="73"/>
      <c r="AE1150" s="73"/>
      <c r="AF1150" s="73"/>
      <c r="AG1150" s="73"/>
      <c r="AH1150" s="73"/>
      <c r="AI1150" s="73"/>
      <c r="AJ1150" s="168"/>
      <c r="AK1150" s="73"/>
      <c r="AL1150" s="73"/>
      <c r="AM1150" s="73"/>
      <c r="AN1150" s="73"/>
      <c r="AO1150" s="73"/>
      <c r="AP1150" s="73"/>
      <c r="AQ1150" s="73"/>
      <c r="AR1150" s="73"/>
      <c r="AS1150" s="73"/>
      <c r="AT1150" s="73"/>
      <c r="AU1150" s="73"/>
      <c r="AV1150" s="73"/>
      <c r="AW1150" s="73"/>
      <c r="AX1150" s="73"/>
      <c r="AY1150" s="73"/>
      <c r="AZ1150" s="73"/>
      <c r="BA1150" s="73"/>
      <c r="BB1150" s="73"/>
      <c r="BC1150" s="73"/>
      <c r="BD1150" s="73"/>
      <c r="BE1150" s="73"/>
      <c r="BF1150" s="75"/>
      <c r="BG1150" s="73"/>
      <c r="BH1150" s="88"/>
      <c r="BI1150" s="73"/>
      <c r="BJ1150" s="73"/>
      <c r="BK1150" s="73"/>
      <c r="BL1150" s="73"/>
      <c r="BM1150" s="73"/>
      <c r="BN1150" s="73"/>
      <c r="BO1150" s="73"/>
      <c r="BP1150" s="73"/>
      <c r="BQ1150" s="73"/>
      <c r="BR1150" s="73"/>
      <c r="BS1150" s="73"/>
      <c r="BT1150" s="73"/>
      <c r="BU1150" s="73"/>
      <c r="BV1150" s="73"/>
      <c r="BW1150" s="73"/>
      <c r="BX1150" s="73"/>
      <c r="BY1150" s="73"/>
      <c r="BZ1150" s="73"/>
      <c r="CA1150" s="73"/>
      <c r="CB1150" s="73"/>
      <c r="CC1150" s="73"/>
      <c r="CD1150" s="73"/>
      <c r="CE1150" s="73"/>
      <c r="CF1150" s="73"/>
      <c r="CG1150" s="73"/>
      <c r="CH1150" s="73"/>
    </row>
    <row r="1151">
      <c r="A1151" s="73"/>
      <c r="B1151" s="73"/>
      <c r="C1151" s="73"/>
      <c r="D1151" s="73"/>
      <c r="E1151" s="140"/>
      <c r="F1151" s="80"/>
      <c r="G1151" s="80"/>
      <c r="H1151" s="73"/>
      <c r="I1151" s="73"/>
      <c r="J1151" s="73"/>
      <c r="K1151" s="73"/>
      <c r="L1151" s="73"/>
      <c r="M1151" s="73"/>
      <c r="N1151" s="73"/>
      <c r="O1151" s="73"/>
      <c r="P1151" s="73"/>
      <c r="Q1151" s="73"/>
      <c r="R1151" s="73"/>
      <c r="S1151" s="73"/>
      <c r="T1151" s="73"/>
      <c r="U1151" s="73"/>
      <c r="V1151" s="73"/>
      <c r="W1151" s="73"/>
      <c r="X1151" s="73"/>
      <c r="Y1151" s="73"/>
      <c r="Z1151" s="73"/>
      <c r="AA1151" s="73"/>
      <c r="AB1151" s="73"/>
      <c r="AC1151" s="73"/>
      <c r="AD1151" s="73"/>
      <c r="AE1151" s="73"/>
      <c r="AF1151" s="73"/>
      <c r="AG1151" s="73"/>
      <c r="AH1151" s="73"/>
      <c r="AI1151" s="73"/>
      <c r="AJ1151" s="168"/>
      <c r="AK1151" s="73"/>
      <c r="AL1151" s="73"/>
      <c r="AM1151" s="73"/>
      <c r="AN1151" s="73"/>
      <c r="AO1151" s="73"/>
      <c r="AP1151" s="73"/>
      <c r="AQ1151" s="73"/>
      <c r="AR1151" s="73"/>
      <c r="AS1151" s="73"/>
      <c r="AT1151" s="73"/>
      <c r="AU1151" s="73"/>
      <c r="AV1151" s="73"/>
      <c r="AW1151" s="73"/>
      <c r="AX1151" s="73"/>
      <c r="AY1151" s="73"/>
      <c r="AZ1151" s="73"/>
      <c r="BA1151" s="73"/>
      <c r="BB1151" s="73"/>
      <c r="BC1151" s="73"/>
      <c r="BD1151" s="73"/>
      <c r="BE1151" s="73"/>
      <c r="BF1151" s="75"/>
      <c r="BG1151" s="73"/>
      <c r="BH1151" s="88"/>
      <c r="BI1151" s="73"/>
      <c r="BJ1151" s="73"/>
      <c r="BK1151" s="73"/>
      <c r="BL1151" s="73"/>
      <c r="BM1151" s="73"/>
      <c r="BN1151" s="73"/>
      <c r="BO1151" s="73"/>
      <c r="BP1151" s="73"/>
      <c r="BQ1151" s="73"/>
      <c r="BR1151" s="73"/>
      <c r="BS1151" s="73"/>
      <c r="BT1151" s="73"/>
      <c r="BU1151" s="73"/>
      <c r="BV1151" s="73"/>
      <c r="BW1151" s="73"/>
      <c r="BX1151" s="73"/>
      <c r="BY1151" s="73"/>
      <c r="BZ1151" s="73"/>
      <c r="CA1151" s="73"/>
      <c r="CB1151" s="73"/>
      <c r="CC1151" s="73"/>
      <c r="CD1151" s="73"/>
      <c r="CE1151" s="73"/>
      <c r="CF1151" s="73"/>
      <c r="CG1151" s="73"/>
      <c r="CH1151" s="73"/>
    </row>
    <row r="1152">
      <c r="A1152" s="73"/>
      <c r="B1152" s="73"/>
      <c r="C1152" s="73"/>
      <c r="D1152" s="73"/>
      <c r="E1152" s="140"/>
      <c r="F1152" s="80"/>
      <c r="G1152" s="80"/>
      <c r="H1152" s="73"/>
      <c r="I1152" s="73"/>
      <c r="J1152" s="73"/>
      <c r="K1152" s="73"/>
      <c r="L1152" s="73"/>
      <c r="M1152" s="73"/>
      <c r="N1152" s="73"/>
      <c r="O1152" s="73"/>
      <c r="P1152" s="73"/>
      <c r="Q1152" s="73"/>
      <c r="R1152" s="73"/>
      <c r="S1152" s="73"/>
      <c r="T1152" s="73"/>
      <c r="U1152" s="73"/>
      <c r="V1152" s="73"/>
      <c r="W1152" s="73"/>
      <c r="X1152" s="73"/>
      <c r="Y1152" s="73"/>
      <c r="Z1152" s="73"/>
      <c r="AA1152" s="73"/>
      <c r="AB1152" s="73"/>
      <c r="AC1152" s="73"/>
      <c r="AD1152" s="73"/>
      <c r="AE1152" s="73"/>
      <c r="AF1152" s="73"/>
      <c r="AG1152" s="73"/>
      <c r="AH1152" s="73"/>
      <c r="AI1152" s="73"/>
      <c r="AJ1152" s="168"/>
      <c r="AK1152" s="73"/>
      <c r="AL1152" s="73"/>
      <c r="AM1152" s="73"/>
      <c r="AN1152" s="73"/>
      <c r="AO1152" s="73"/>
      <c r="AP1152" s="73"/>
      <c r="AQ1152" s="73"/>
      <c r="AR1152" s="73"/>
      <c r="AS1152" s="73"/>
      <c r="AT1152" s="73"/>
      <c r="AU1152" s="73"/>
      <c r="AV1152" s="73"/>
      <c r="AW1152" s="73"/>
      <c r="AX1152" s="73"/>
      <c r="AY1152" s="73"/>
      <c r="AZ1152" s="73"/>
      <c r="BA1152" s="73"/>
      <c r="BB1152" s="73"/>
      <c r="BC1152" s="73"/>
      <c r="BD1152" s="73"/>
      <c r="BE1152" s="73"/>
      <c r="BF1152" s="75"/>
      <c r="BG1152" s="73"/>
      <c r="BH1152" s="88"/>
      <c r="BI1152" s="73"/>
      <c r="BJ1152" s="73"/>
      <c r="BK1152" s="73"/>
      <c r="BL1152" s="73"/>
      <c r="BM1152" s="73"/>
      <c r="BN1152" s="73"/>
      <c r="BO1152" s="73"/>
      <c r="BP1152" s="73"/>
      <c r="BQ1152" s="73"/>
      <c r="BR1152" s="73"/>
      <c r="BS1152" s="73"/>
      <c r="BT1152" s="73"/>
      <c r="BU1152" s="73"/>
      <c r="BV1152" s="73"/>
      <c r="BW1152" s="73"/>
      <c r="BX1152" s="73"/>
      <c r="BY1152" s="73"/>
      <c r="BZ1152" s="73"/>
      <c r="CA1152" s="73"/>
      <c r="CB1152" s="73"/>
      <c r="CC1152" s="73"/>
      <c r="CD1152" s="73"/>
      <c r="CE1152" s="73"/>
      <c r="CF1152" s="73"/>
      <c r="CG1152" s="73"/>
      <c r="CH1152" s="73"/>
    </row>
    <row r="1153">
      <c r="A1153" s="73"/>
      <c r="B1153" s="73"/>
      <c r="C1153" s="73"/>
      <c r="D1153" s="73"/>
      <c r="E1153" s="140"/>
      <c r="F1153" s="80"/>
      <c r="G1153" s="80"/>
      <c r="H1153" s="73"/>
      <c r="I1153" s="73"/>
      <c r="J1153" s="73"/>
      <c r="K1153" s="73"/>
      <c r="L1153" s="73"/>
      <c r="M1153" s="73"/>
      <c r="N1153" s="73"/>
      <c r="O1153" s="73"/>
      <c r="P1153" s="73"/>
      <c r="Q1153" s="73"/>
      <c r="R1153" s="73"/>
      <c r="S1153" s="73"/>
      <c r="T1153" s="73"/>
      <c r="U1153" s="73"/>
      <c r="V1153" s="73"/>
      <c r="W1153" s="73"/>
      <c r="X1153" s="73"/>
      <c r="Y1153" s="73"/>
      <c r="Z1153" s="73"/>
      <c r="AA1153" s="73"/>
      <c r="AB1153" s="73"/>
      <c r="AC1153" s="73"/>
      <c r="AD1153" s="73"/>
      <c r="AE1153" s="73"/>
      <c r="AF1153" s="73"/>
      <c r="AG1153" s="73"/>
      <c r="AH1153" s="73"/>
      <c r="AI1153" s="73"/>
      <c r="AJ1153" s="168"/>
      <c r="AK1153" s="73"/>
      <c r="AL1153" s="73"/>
      <c r="AM1153" s="73"/>
      <c r="AN1153" s="73"/>
      <c r="AO1153" s="73"/>
      <c r="AP1153" s="73"/>
      <c r="AQ1153" s="73"/>
      <c r="AR1153" s="73"/>
      <c r="AS1153" s="73"/>
      <c r="AT1153" s="73"/>
      <c r="AU1153" s="73"/>
      <c r="AV1153" s="73"/>
      <c r="AW1153" s="73"/>
      <c r="AX1153" s="73"/>
      <c r="AY1153" s="73"/>
      <c r="AZ1153" s="73"/>
      <c r="BA1153" s="73"/>
      <c r="BB1153" s="73"/>
      <c r="BC1153" s="73"/>
      <c r="BD1153" s="73"/>
      <c r="BE1153" s="73"/>
      <c r="BF1153" s="75"/>
      <c r="BG1153" s="73"/>
      <c r="BH1153" s="88"/>
      <c r="BI1153" s="73"/>
      <c r="BJ1153" s="73"/>
      <c r="BK1153" s="73"/>
      <c r="BL1153" s="73"/>
      <c r="BM1153" s="73"/>
      <c r="BN1153" s="73"/>
      <c r="BO1153" s="73"/>
      <c r="BP1153" s="73"/>
      <c r="BQ1153" s="73"/>
      <c r="BR1153" s="73"/>
      <c r="BS1153" s="73"/>
      <c r="BT1153" s="73"/>
      <c r="BU1153" s="73"/>
      <c r="BV1153" s="73"/>
      <c r="BW1153" s="73"/>
      <c r="BX1153" s="73"/>
      <c r="BY1153" s="73"/>
      <c r="BZ1153" s="73"/>
      <c r="CA1153" s="73"/>
      <c r="CB1153" s="73"/>
      <c r="CC1153" s="73"/>
      <c r="CD1153" s="73"/>
      <c r="CE1153" s="73"/>
      <c r="CF1153" s="73"/>
      <c r="CG1153" s="73"/>
      <c r="CH1153" s="73"/>
    </row>
    <row r="1154">
      <c r="A1154" s="73"/>
      <c r="B1154" s="73"/>
      <c r="C1154" s="73"/>
      <c r="D1154" s="73"/>
      <c r="E1154" s="140"/>
      <c r="F1154" s="80"/>
      <c r="G1154" s="80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  <c r="S1154" s="73"/>
      <c r="T1154" s="73"/>
      <c r="U1154" s="73"/>
      <c r="V1154" s="73"/>
      <c r="W1154" s="73"/>
      <c r="X1154" s="73"/>
      <c r="Y1154" s="73"/>
      <c r="Z1154" s="73"/>
      <c r="AA1154" s="73"/>
      <c r="AB1154" s="73"/>
      <c r="AC1154" s="73"/>
      <c r="AD1154" s="73"/>
      <c r="AE1154" s="73"/>
      <c r="AF1154" s="73"/>
      <c r="AG1154" s="73"/>
      <c r="AH1154" s="73"/>
      <c r="AI1154" s="73"/>
      <c r="AJ1154" s="168"/>
      <c r="AK1154" s="73"/>
      <c r="AL1154" s="73"/>
      <c r="AM1154" s="73"/>
      <c r="AN1154" s="73"/>
      <c r="AO1154" s="73"/>
      <c r="AP1154" s="73"/>
      <c r="AQ1154" s="73"/>
      <c r="AR1154" s="73"/>
      <c r="AS1154" s="73"/>
      <c r="AT1154" s="73"/>
      <c r="AU1154" s="73"/>
      <c r="AV1154" s="73"/>
      <c r="AW1154" s="73"/>
      <c r="AX1154" s="73"/>
      <c r="AY1154" s="73"/>
      <c r="AZ1154" s="73"/>
      <c r="BA1154" s="73"/>
      <c r="BB1154" s="73"/>
      <c r="BC1154" s="73"/>
      <c r="BD1154" s="73"/>
      <c r="BE1154" s="73"/>
      <c r="BF1154" s="75"/>
      <c r="BG1154" s="73"/>
      <c r="BH1154" s="88"/>
      <c r="BI1154" s="73"/>
      <c r="BJ1154" s="73"/>
      <c r="BK1154" s="73"/>
      <c r="BL1154" s="73"/>
      <c r="BM1154" s="73"/>
      <c r="BN1154" s="73"/>
      <c r="BO1154" s="73"/>
      <c r="BP1154" s="73"/>
      <c r="BQ1154" s="73"/>
      <c r="BR1154" s="73"/>
      <c r="BS1154" s="73"/>
      <c r="BT1154" s="73"/>
      <c r="BU1154" s="73"/>
      <c r="BV1154" s="73"/>
      <c r="BW1154" s="73"/>
      <c r="BX1154" s="73"/>
      <c r="BY1154" s="73"/>
      <c r="BZ1154" s="73"/>
      <c r="CA1154" s="73"/>
      <c r="CB1154" s="73"/>
      <c r="CC1154" s="73"/>
      <c r="CD1154" s="73"/>
      <c r="CE1154" s="73"/>
      <c r="CF1154" s="73"/>
      <c r="CG1154" s="73"/>
      <c r="CH1154" s="73"/>
    </row>
    <row r="1155">
      <c r="A1155" s="73"/>
      <c r="B1155" s="73"/>
      <c r="C1155" s="73"/>
      <c r="D1155" s="73"/>
      <c r="E1155" s="140"/>
      <c r="F1155" s="80"/>
      <c r="G1155" s="80"/>
      <c r="H1155" s="73"/>
      <c r="I1155" s="73"/>
      <c r="J1155" s="73"/>
      <c r="K1155" s="73"/>
      <c r="L1155" s="73"/>
      <c r="M1155" s="73"/>
      <c r="N1155" s="73"/>
      <c r="O1155" s="73"/>
      <c r="P1155" s="73"/>
      <c r="Q1155" s="73"/>
      <c r="R1155" s="73"/>
      <c r="S1155" s="73"/>
      <c r="T1155" s="73"/>
      <c r="U1155" s="73"/>
      <c r="V1155" s="73"/>
      <c r="W1155" s="73"/>
      <c r="X1155" s="73"/>
      <c r="Y1155" s="73"/>
      <c r="Z1155" s="73"/>
      <c r="AA1155" s="73"/>
      <c r="AB1155" s="73"/>
      <c r="AC1155" s="73"/>
      <c r="AD1155" s="73"/>
      <c r="AE1155" s="73"/>
      <c r="AF1155" s="73"/>
      <c r="AG1155" s="73"/>
      <c r="AH1155" s="73"/>
      <c r="AI1155" s="73"/>
      <c r="AJ1155" s="168"/>
      <c r="AK1155" s="73"/>
      <c r="AL1155" s="73"/>
      <c r="AM1155" s="73"/>
      <c r="AN1155" s="73"/>
      <c r="AO1155" s="73"/>
      <c r="AP1155" s="73"/>
      <c r="AQ1155" s="73"/>
      <c r="AR1155" s="73"/>
      <c r="AS1155" s="73"/>
      <c r="AT1155" s="73"/>
      <c r="AU1155" s="73"/>
      <c r="AV1155" s="73"/>
      <c r="AW1155" s="73"/>
      <c r="AX1155" s="73"/>
      <c r="AY1155" s="73"/>
      <c r="AZ1155" s="73"/>
      <c r="BA1155" s="73"/>
      <c r="BB1155" s="73"/>
      <c r="BC1155" s="73"/>
      <c r="BD1155" s="73"/>
      <c r="BE1155" s="73"/>
      <c r="BF1155" s="75"/>
      <c r="BG1155" s="73"/>
      <c r="BH1155" s="88"/>
      <c r="BI1155" s="73"/>
      <c r="BJ1155" s="73"/>
      <c r="BK1155" s="73"/>
      <c r="BL1155" s="73"/>
      <c r="BM1155" s="73"/>
      <c r="BN1155" s="73"/>
      <c r="BO1155" s="73"/>
      <c r="BP1155" s="73"/>
      <c r="BQ1155" s="73"/>
      <c r="BR1155" s="73"/>
      <c r="BS1155" s="73"/>
      <c r="BT1155" s="73"/>
      <c r="BU1155" s="73"/>
      <c r="BV1155" s="73"/>
      <c r="BW1155" s="73"/>
      <c r="BX1155" s="73"/>
      <c r="BY1155" s="73"/>
      <c r="BZ1155" s="73"/>
      <c r="CA1155" s="73"/>
      <c r="CB1155" s="73"/>
      <c r="CC1155" s="73"/>
      <c r="CD1155" s="73"/>
      <c r="CE1155" s="73"/>
      <c r="CF1155" s="73"/>
      <c r="CG1155" s="73"/>
      <c r="CH1155" s="73"/>
    </row>
    <row r="1156">
      <c r="A1156" s="73"/>
      <c r="B1156" s="73"/>
      <c r="C1156" s="73"/>
      <c r="D1156" s="73"/>
      <c r="E1156" s="140"/>
      <c r="F1156" s="80"/>
      <c r="G1156" s="80"/>
      <c r="H1156" s="73"/>
      <c r="I1156" s="73"/>
      <c r="J1156" s="73"/>
      <c r="K1156" s="73"/>
      <c r="L1156" s="73"/>
      <c r="M1156" s="73"/>
      <c r="N1156" s="73"/>
      <c r="O1156" s="73"/>
      <c r="P1156" s="73"/>
      <c r="Q1156" s="73"/>
      <c r="R1156" s="73"/>
      <c r="S1156" s="73"/>
      <c r="T1156" s="73"/>
      <c r="U1156" s="73"/>
      <c r="V1156" s="73"/>
      <c r="W1156" s="73"/>
      <c r="X1156" s="73"/>
      <c r="Y1156" s="73"/>
      <c r="Z1156" s="73"/>
      <c r="AA1156" s="73"/>
      <c r="AB1156" s="73"/>
      <c r="AC1156" s="73"/>
      <c r="AD1156" s="73"/>
      <c r="AE1156" s="73"/>
      <c r="AF1156" s="73"/>
      <c r="AG1156" s="73"/>
      <c r="AH1156" s="73"/>
      <c r="AI1156" s="73"/>
      <c r="AJ1156" s="168"/>
      <c r="AK1156" s="73"/>
      <c r="AL1156" s="73"/>
      <c r="AM1156" s="73"/>
      <c r="AN1156" s="73"/>
      <c r="AO1156" s="73"/>
      <c r="AP1156" s="73"/>
      <c r="AQ1156" s="73"/>
      <c r="AR1156" s="73"/>
      <c r="AS1156" s="73"/>
      <c r="AT1156" s="73"/>
      <c r="AU1156" s="73"/>
      <c r="AV1156" s="73"/>
      <c r="AW1156" s="73"/>
      <c r="AX1156" s="73"/>
      <c r="AY1156" s="73"/>
      <c r="AZ1156" s="73"/>
      <c r="BA1156" s="73"/>
      <c r="BB1156" s="73"/>
      <c r="BC1156" s="73"/>
      <c r="BD1156" s="73"/>
      <c r="BE1156" s="73"/>
      <c r="BF1156" s="75"/>
      <c r="BG1156" s="73"/>
      <c r="BH1156" s="88"/>
      <c r="BI1156" s="73"/>
      <c r="BJ1156" s="73"/>
      <c r="BK1156" s="73"/>
      <c r="BL1156" s="73"/>
      <c r="BM1156" s="73"/>
      <c r="BN1156" s="73"/>
      <c r="BO1156" s="73"/>
      <c r="BP1156" s="73"/>
      <c r="BQ1156" s="73"/>
      <c r="BR1156" s="73"/>
      <c r="BS1156" s="73"/>
      <c r="BT1156" s="73"/>
      <c r="BU1156" s="73"/>
      <c r="BV1156" s="73"/>
      <c r="BW1156" s="73"/>
      <c r="BX1156" s="73"/>
      <c r="BY1156" s="73"/>
      <c r="BZ1156" s="73"/>
      <c r="CA1156" s="73"/>
      <c r="CB1156" s="73"/>
      <c r="CC1156" s="73"/>
      <c r="CD1156" s="73"/>
      <c r="CE1156" s="73"/>
      <c r="CF1156" s="73"/>
      <c r="CG1156" s="73"/>
      <c r="CH1156" s="73"/>
    </row>
    <row r="1157">
      <c r="A1157" s="73"/>
      <c r="B1157" s="73"/>
      <c r="C1157" s="73"/>
      <c r="D1157" s="73"/>
      <c r="E1157" s="140"/>
      <c r="F1157" s="80"/>
      <c r="G1157" s="80"/>
      <c r="H1157" s="73"/>
      <c r="I1157" s="73"/>
      <c r="J1157" s="73"/>
      <c r="K1157" s="73"/>
      <c r="L1157" s="73"/>
      <c r="M1157" s="73"/>
      <c r="N1157" s="73"/>
      <c r="O1157" s="73"/>
      <c r="P1157" s="73"/>
      <c r="Q1157" s="73"/>
      <c r="R1157" s="73"/>
      <c r="S1157" s="73"/>
      <c r="T1157" s="73"/>
      <c r="U1157" s="73"/>
      <c r="V1157" s="73"/>
      <c r="W1157" s="73"/>
      <c r="X1157" s="73"/>
      <c r="Y1157" s="73"/>
      <c r="Z1157" s="73"/>
      <c r="AA1157" s="73"/>
      <c r="AB1157" s="73"/>
      <c r="AC1157" s="73"/>
      <c r="AD1157" s="73"/>
      <c r="AE1157" s="73"/>
      <c r="AF1157" s="73"/>
      <c r="AG1157" s="73"/>
      <c r="AH1157" s="73"/>
      <c r="AI1157" s="73"/>
      <c r="AJ1157" s="168"/>
      <c r="AK1157" s="73"/>
      <c r="AL1157" s="73"/>
      <c r="AM1157" s="73"/>
      <c r="AN1157" s="73"/>
      <c r="AO1157" s="73"/>
      <c r="AP1157" s="73"/>
      <c r="AQ1157" s="73"/>
      <c r="AR1157" s="73"/>
      <c r="AS1157" s="73"/>
      <c r="AT1157" s="73"/>
      <c r="AU1157" s="73"/>
      <c r="AV1157" s="73"/>
      <c r="AW1157" s="73"/>
      <c r="AX1157" s="73"/>
      <c r="AY1157" s="73"/>
      <c r="AZ1157" s="73"/>
      <c r="BA1157" s="73"/>
      <c r="BB1157" s="73"/>
      <c r="BC1157" s="73"/>
      <c r="BD1157" s="73"/>
      <c r="BE1157" s="73"/>
      <c r="BF1157" s="75"/>
      <c r="BG1157" s="73"/>
      <c r="BH1157" s="88"/>
      <c r="BI1157" s="73"/>
      <c r="BJ1157" s="73"/>
      <c r="BK1157" s="73"/>
      <c r="BL1157" s="73"/>
      <c r="BM1157" s="73"/>
      <c r="BN1157" s="73"/>
      <c r="BO1157" s="73"/>
      <c r="BP1157" s="73"/>
      <c r="BQ1157" s="73"/>
      <c r="BR1157" s="73"/>
      <c r="BS1157" s="73"/>
      <c r="BT1157" s="73"/>
      <c r="BU1157" s="73"/>
      <c r="BV1157" s="73"/>
      <c r="BW1157" s="73"/>
      <c r="BX1157" s="73"/>
      <c r="BY1157" s="73"/>
      <c r="BZ1157" s="73"/>
      <c r="CA1157" s="73"/>
      <c r="CB1157" s="73"/>
      <c r="CC1157" s="73"/>
      <c r="CD1157" s="73"/>
      <c r="CE1157" s="73"/>
      <c r="CF1157" s="73"/>
      <c r="CG1157" s="73"/>
      <c r="CH1157" s="73"/>
    </row>
    <row r="1158">
      <c r="A1158" s="73"/>
      <c r="B1158" s="73"/>
      <c r="C1158" s="73"/>
      <c r="D1158" s="73"/>
      <c r="E1158" s="140"/>
      <c r="F1158" s="80"/>
      <c r="G1158" s="80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  <c r="S1158" s="73"/>
      <c r="T1158" s="73"/>
      <c r="U1158" s="73"/>
      <c r="V1158" s="73"/>
      <c r="W1158" s="73"/>
      <c r="X1158" s="73"/>
      <c r="Y1158" s="73"/>
      <c r="Z1158" s="73"/>
      <c r="AA1158" s="73"/>
      <c r="AB1158" s="73"/>
      <c r="AC1158" s="73"/>
      <c r="AD1158" s="73"/>
      <c r="AE1158" s="73"/>
      <c r="AF1158" s="73"/>
      <c r="AG1158" s="73"/>
      <c r="AH1158" s="73"/>
      <c r="AI1158" s="73"/>
      <c r="AJ1158" s="168"/>
      <c r="AK1158" s="73"/>
      <c r="AL1158" s="73"/>
      <c r="AM1158" s="73"/>
      <c r="AN1158" s="73"/>
      <c r="AO1158" s="73"/>
      <c r="AP1158" s="73"/>
      <c r="AQ1158" s="73"/>
      <c r="AR1158" s="73"/>
      <c r="AS1158" s="73"/>
      <c r="AT1158" s="73"/>
      <c r="AU1158" s="73"/>
      <c r="AV1158" s="73"/>
      <c r="AW1158" s="73"/>
      <c r="AX1158" s="73"/>
      <c r="AY1158" s="73"/>
      <c r="AZ1158" s="73"/>
      <c r="BA1158" s="73"/>
      <c r="BB1158" s="73"/>
      <c r="BC1158" s="73"/>
      <c r="BD1158" s="73"/>
      <c r="BE1158" s="73"/>
      <c r="BF1158" s="75"/>
      <c r="BG1158" s="73"/>
      <c r="BH1158" s="88"/>
      <c r="BI1158" s="73"/>
      <c r="BJ1158" s="73"/>
      <c r="BK1158" s="73"/>
      <c r="BL1158" s="73"/>
      <c r="BM1158" s="73"/>
      <c r="BN1158" s="73"/>
      <c r="BO1158" s="73"/>
      <c r="BP1158" s="73"/>
      <c r="BQ1158" s="73"/>
      <c r="BR1158" s="73"/>
      <c r="BS1158" s="73"/>
      <c r="BT1158" s="73"/>
      <c r="BU1158" s="73"/>
      <c r="BV1158" s="73"/>
      <c r="BW1158" s="73"/>
      <c r="BX1158" s="73"/>
      <c r="BY1158" s="73"/>
      <c r="BZ1158" s="73"/>
      <c r="CA1158" s="73"/>
      <c r="CB1158" s="73"/>
      <c r="CC1158" s="73"/>
      <c r="CD1158" s="73"/>
      <c r="CE1158" s="73"/>
      <c r="CF1158" s="73"/>
      <c r="CG1158" s="73"/>
      <c r="CH1158" s="73"/>
    </row>
    <row r="1159">
      <c r="A1159" s="73"/>
      <c r="B1159" s="73"/>
      <c r="C1159" s="73"/>
      <c r="D1159" s="73"/>
      <c r="E1159" s="140"/>
      <c r="F1159" s="80"/>
      <c r="G1159" s="80"/>
      <c r="H1159" s="73"/>
      <c r="I1159" s="73"/>
      <c r="J1159" s="73"/>
      <c r="K1159" s="73"/>
      <c r="L1159" s="73"/>
      <c r="M1159" s="73"/>
      <c r="N1159" s="73"/>
      <c r="O1159" s="73"/>
      <c r="P1159" s="73"/>
      <c r="Q1159" s="73"/>
      <c r="R1159" s="73"/>
      <c r="S1159" s="73"/>
      <c r="T1159" s="73"/>
      <c r="U1159" s="73"/>
      <c r="V1159" s="73"/>
      <c r="W1159" s="73"/>
      <c r="X1159" s="73"/>
      <c r="Y1159" s="73"/>
      <c r="Z1159" s="73"/>
      <c r="AA1159" s="73"/>
      <c r="AB1159" s="73"/>
      <c r="AC1159" s="73"/>
      <c r="AD1159" s="73"/>
      <c r="AE1159" s="73"/>
      <c r="AF1159" s="73"/>
      <c r="AG1159" s="73"/>
      <c r="AH1159" s="73"/>
      <c r="AI1159" s="73"/>
      <c r="AJ1159" s="168"/>
      <c r="AK1159" s="73"/>
      <c r="AL1159" s="73"/>
      <c r="AM1159" s="73"/>
      <c r="AN1159" s="73"/>
      <c r="AO1159" s="73"/>
      <c r="AP1159" s="73"/>
      <c r="AQ1159" s="73"/>
      <c r="AR1159" s="73"/>
      <c r="AS1159" s="73"/>
      <c r="AT1159" s="73"/>
      <c r="AU1159" s="73"/>
      <c r="AV1159" s="73"/>
      <c r="AW1159" s="73"/>
      <c r="AX1159" s="73"/>
      <c r="AY1159" s="73"/>
      <c r="AZ1159" s="73"/>
      <c r="BA1159" s="73"/>
      <c r="BB1159" s="73"/>
      <c r="BC1159" s="73"/>
      <c r="BD1159" s="73"/>
      <c r="BE1159" s="73"/>
      <c r="BF1159" s="75"/>
      <c r="BG1159" s="73"/>
      <c r="BH1159" s="88"/>
      <c r="BI1159" s="73"/>
      <c r="BJ1159" s="73"/>
      <c r="BK1159" s="73"/>
      <c r="BL1159" s="73"/>
      <c r="BM1159" s="73"/>
      <c r="BN1159" s="73"/>
      <c r="BO1159" s="73"/>
      <c r="BP1159" s="73"/>
      <c r="BQ1159" s="73"/>
      <c r="BR1159" s="73"/>
      <c r="BS1159" s="73"/>
      <c r="BT1159" s="73"/>
      <c r="BU1159" s="73"/>
      <c r="BV1159" s="73"/>
      <c r="BW1159" s="73"/>
      <c r="BX1159" s="73"/>
      <c r="BY1159" s="73"/>
      <c r="BZ1159" s="73"/>
      <c r="CA1159" s="73"/>
      <c r="CB1159" s="73"/>
      <c r="CC1159" s="73"/>
      <c r="CD1159" s="73"/>
      <c r="CE1159" s="73"/>
      <c r="CF1159" s="73"/>
      <c r="CG1159" s="73"/>
      <c r="CH1159" s="73"/>
    </row>
    <row r="1160">
      <c r="A1160" s="73"/>
      <c r="B1160" s="73"/>
      <c r="C1160" s="73"/>
      <c r="D1160" s="73"/>
      <c r="E1160" s="140"/>
      <c r="F1160" s="80"/>
      <c r="G1160" s="80"/>
      <c r="H1160" s="73"/>
      <c r="I1160" s="73"/>
      <c r="J1160" s="73"/>
      <c r="K1160" s="73"/>
      <c r="L1160" s="73"/>
      <c r="M1160" s="73"/>
      <c r="N1160" s="73"/>
      <c r="O1160" s="73"/>
      <c r="P1160" s="73"/>
      <c r="Q1160" s="73"/>
      <c r="R1160" s="73"/>
      <c r="S1160" s="73"/>
      <c r="T1160" s="73"/>
      <c r="U1160" s="73"/>
      <c r="V1160" s="73"/>
      <c r="W1160" s="73"/>
      <c r="X1160" s="73"/>
      <c r="Y1160" s="73"/>
      <c r="Z1160" s="73"/>
      <c r="AA1160" s="73"/>
      <c r="AB1160" s="73"/>
      <c r="AC1160" s="73"/>
      <c r="AD1160" s="73"/>
      <c r="AE1160" s="73"/>
      <c r="AF1160" s="73"/>
      <c r="AG1160" s="73"/>
      <c r="AH1160" s="73"/>
      <c r="AI1160" s="73"/>
      <c r="AJ1160" s="168"/>
      <c r="AK1160" s="73"/>
      <c r="AL1160" s="73"/>
      <c r="AM1160" s="73"/>
      <c r="AN1160" s="73"/>
      <c r="AO1160" s="73"/>
      <c r="AP1160" s="73"/>
      <c r="AQ1160" s="73"/>
      <c r="AR1160" s="73"/>
      <c r="AS1160" s="73"/>
      <c r="AT1160" s="73"/>
      <c r="AU1160" s="73"/>
      <c r="AV1160" s="73"/>
      <c r="AW1160" s="73"/>
      <c r="AX1160" s="73"/>
      <c r="AY1160" s="73"/>
      <c r="AZ1160" s="73"/>
      <c r="BA1160" s="73"/>
      <c r="BB1160" s="73"/>
      <c r="BC1160" s="73"/>
      <c r="BD1160" s="73"/>
      <c r="BE1160" s="73"/>
      <c r="BF1160" s="75"/>
      <c r="BG1160" s="73"/>
      <c r="BH1160" s="88"/>
      <c r="BI1160" s="73"/>
      <c r="BJ1160" s="73"/>
      <c r="BK1160" s="73"/>
      <c r="BL1160" s="73"/>
      <c r="BM1160" s="73"/>
      <c r="BN1160" s="73"/>
      <c r="BO1160" s="73"/>
      <c r="BP1160" s="73"/>
      <c r="BQ1160" s="73"/>
      <c r="BR1160" s="73"/>
      <c r="BS1160" s="73"/>
      <c r="BT1160" s="73"/>
      <c r="BU1160" s="73"/>
      <c r="BV1160" s="73"/>
      <c r="BW1160" s="73"/>
      <c r="BX1160" s="73"/>
      <c r="BY1160" s="73"/>
      <c r="BZ1160" s="73"/>
      <c r="CA1160" s="73"/>
      <c r="CB1160" s="73"/>
      <c r="CC1160" s="73"/>
      <c r="CD1160" s="73"/>
      <c r="CE1160" s="73"/>
      <c r="CF1160" s="73"/>
      <c r="CG1160" s="73"/>
      <c r="CH1160" s="73"/>
    </row>
    <row r="1161">
      <c r="A1161" s="73"/>
      <c r="B1161" s="73"/>
      <c r="C1161" s="73"/>
      <c r="D1161" s="73"/>
      <c r="E1161" s="140"/>
      <c r="F1161" s="80"/>
      <c r="G1161" s="80"/>
      <c r="H1161" s="73"/>
      <c r="I1161" s="73"/>
      <c r="J1161" s="73"/>
      <c r="K1161" s="73"/>
      <c r="L1161" s="73"/>
      <c r="M1161" s="73"/>
      <c r="N1161" s="73"/>
      <c r="O1161" s="73"/>
      <c r="P1161" s="73"/>
      <c r="Q1161" s="73"/>
      <c r="R1161" s="73"/>
      <c r="S1161" s="73"/>
      <c r="T1161" s="73"/>
      <c r="U1161" s="73"/>
      <c r="V1161" s="73"/>
      <c r="W1161" s="73"/>
      <c r="X1161" s="73"/>
      <c r="Y1161" s="73"/>
      <c r="Z1161" s="73"/>
      <c r="AA1161" s="73"/>
      <c r="AB1161" s="73"/>
      <c r="AC1161" s="73"/>
      <c r="AD1161" s="73"/>
      <c r="AE1161" s="73"/>
      <c r="AF1161" s="73"/>
      <c r="AG1161" s="73"/>
      <c r="AH1161" s="73"/>
      <c r="AI1161" s="73"/>
      <c r="AJ1161" s="168"/>
      <c r="AK1161" s="73"/>
      <c r="AL1161" s="73"/>
      <c r="AM1161" s="73"/>
      <c r="AN1161" s="73"/>
      <c r="AO1161" s="73"/>
      <c r="AP1161" s="73"/>
      <c r="AQ1161" s="73"/>
      <c r="AR1161" s="73"/>
      <c r="AS1161" s="73"/>
      <c r="AT1161" s="73"/>
      <c r="AU1161" s="73"/>
      <c r="AV1161" s="73"/>
      <c r="AW1161" s="73"/>
      <c r="AX1161" s="73"/>
      <c r="AY1161" s="73"/>
      <c r="AZ1161" s="73"/>
      <c r="BA1161" s="73"/>
      <c r="BB1161" s="73"/>
      <c r="BC1161" s="73"/>
      <c r="BD1161" s="73"/>
      <c r="BE1161" s="73"/>
      <c r="BF1161" s="75"/>
      <c r="BG1161" s="73"/>
      <c r="BH1161" s="88"/>
      <c r="BI1161" s="73"/>
      <c r="BJ1161" s="73"/>
      <c r="BK1161" s="73"/>
      <c r="BL1161" s="73"/>
      <c r="BM1161" s="73"/>
      <c r="BN1161" s="73"/>
      <c r="BO1161" s="73"/>
      <c r="BP1161" s="73"/>
      <c r="BQ1161" s="73"/>
      <c r="BR1161" s="73"/>
      <c r="BS1161" s="73"/>
      <c r="BT1161" s="73"/>
      <c r="BU1161" s="73"/>
      <c r="BV1161" s="73"/>
      <c r="BW1161" s="73"/>
      <c r="BX1161" s="73"/>
      <c r="BY1161" s="73"/>
      <c r="BZ1161" s="73"/>
      <c r="CA1161" s="73"/>
      <c r="CB1161" s="73"/>
      <c r="CC1161" s="73"/>
      <c r="CD1161" s="73"/>
      <c r="CE1161" s="73"/>
      <c r="CF1161" s="73"/>
      <c r="CG1161" s="73"/>
      <c r="CH1161" s="73"/>
    </row>
    <row r="1162">
      <c r="A1162" s="73"/>
      <c r="B1162" s="73"/>
      <c r="C1162" s="73"/>
      <c r="D1162" s="73"/>
      <c r="E1162" s="140"/>
      <c r="F1162" s="80"/>
      <c r="G1162" s="80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  <c r="S1162" s="73"/>
      <c r="T1162" s="73"/>
      <c r="U1162" s="73"/>
      <c r="V1162" s="73"/>
      <c r="W1162" s="73"/>
      <c r="X1162" s="73"/>
      <c r="Y1162" s="73"/>
      <c r="Z1162" s="73"/>
      <c r="AA1162" s="73"/>
      <c r="AB1162" s="73"/>
      <c r="AC1162" s="73"/>
      <c r="AD1162" s="73"/>
      <c r="AE1162" s="73"/>
      <c r="AF1162" s="73"/>
      <c r="AG1162" s="73"/>
      <c r="AH1162" s="73"/>
      <c r="AI1162" s="73"/>
      <c r="AJ1162" s="168"/>
      <c r="AK1162" s="73"/>
      <c r="AL1162" s="73"/>
      <c r="AM1162" s="73"/>
      <c r="AN1162" s="73"/>
      <c r="AO1162" s="73"/>
      <c r="AP1162" s="73"/>
      <c r="AQ1162" s="73"/>
      <c r="AR1162" s="73"/>
      <c r="AS1162" s="73"/>
      <c r="AT1162" s="73"/>
      <c r="AU1162" s="73"/>
      <c r="AV1162" s="73"/>
      <c r="AW1162" s="73"/>
      <c r="AX1162" s="73"/>
      <c r="AY1162" s="73"/>
      <c r="AZ1162" s="73"/>
      <c r="BA1162" s="73"/>
      <c r="BB1162" s="73"/>
      <c r="BC1162" s="73"/>
      <c r="BD1162" s="73"/>
      <c r="BE1162" s="73"/>
      <c r="BF1162" s="75"/>
      <c r="BG1162" s="73"/>
      <c r="BH1162" s="88"/>
      <c r="BI1162" s="73"/>
      <c r="BJ1162" s="73"/>
      <c r="BK1162" s="73"/>
      <c r="BL1162" s="73"/>
      <c r="BM1162" s="73"/>
      <c r="BN1162" s="73"/>
      <c r="BO1162" s="73"/>
      <c r="BP1162" s="73"/>
      <c r="BQ1162" s="73"/>
      <c r="BR1162" s="73"/>
      <c r="BS1162" s="73"/>
      <c r="BT1162" s="73"/>
      <c r="BU1162" s="73"/>
      <c r="BV1162" s="73"/>
      <c r="BW1162" s="73"/>
      <c r="BX1162" s="73"/>
      <c r="BY1162" s="73"/>
      <c r="BZ1162" s="73"/>
      <c r="CA1162" s="73"/>
      <c r="CB1162" s="73"/>
      <c r="CC1162" s="73"/>
      <c r="CD1162" s="73"/>
      <c r="CE1162" s="73"/>
      <c r="CF1162" s="73"/>
      <c r="CG1162" s="73"/>
      <c r="CH1162" s="73"/>
    </row>
    <row r="1163">
      <c r="A1163" s="73"/>
      <c r="B1163" s="73"/>
      <c r="C1163" s="73"/>
      <c r="D1163" s="73"/>
      <c r="E1163" s="140"/>
      <c r="F1163" s="80"/>
      <c r="G1163" s="80"/>
      <c r="H1163" s="73"/>
      <c r="I1163" s="73"/>
      <c r="J1163" s="73"/>
      <c r="K1163" s="73"/>
      <c r="L1163" s="73"/>
      <c r="M1163" s="73"/>
      <c r="N1163" s="73"/>
      <c r="O1163" s="73"/>
      <c r="P1163" s="73"/>
      <c r="Q1163" s="73"/>
      <c r="R1163" s="73"/>
      <c r="S1163" s="73"/>
      <c r="T1163" s="73"/>
      <c r="U1163" s="73"/>
      <c r="V1163" s="73"/>
      <c r="W1163" s="73"/>
      <c r="X1163" s="73"/>
      <c r="Y1163" s="73"/>
      <c r="Z1163" s="73"/>
      <c r="AA1163" s="73"/>
      <c r="AB1163" s="73"/>
      <c r="AC1163" s="73"/>
      <c r="AD1163" s="73"/>
      <c r="AE1163" s="73"/>
      <c r="AF1163" s="73"/>
      <c r="AG1163" s="73"/>
      <c r="AH1163" s="73"/>
      <c r="AI1163" s="73"/>
      <c r="AJ1163" s="168"/>
      <c r="AK1163" s="73"/>
      <c r="AL1163" s="73"/>
      <c r="AM1163" s="73"/>
      <c r="AN1163" s="73"/>
      <c r="AO1163" s="73"/>
      <c r="AP1163" s="73"/>
      <c r="AQ1163" s="73"/>
      <c r="AR1163" s="73"/>
      <c r="AS1163" s="73"/>
      <c r="AT1163" s="73"/>
      <c r="AU1163" s="73"/>
      <c r="AV1163" s="73"/>
      <c r="AW1163" s="73"/>
      <c r="AX1163" s="73"/>
      <c r="AY1163" s="73"/>
      <c r="AZ1163" s="73"/>
      <c r="BA1163" s="73"/>
      <c r="BB1163" s="73"/>
      <c r="BC1163" s="73"/>
      <c r="BD1163" s="73"/>
      <c r="BE1163" s="73"/>
      <c r="BF1163" s="75"/>
      <c r="BG1163" s="73"/>
      <c r="BH1163" s="88"/>
      <c r="BI1163" s="73"/>
      <c r="BJ1163" s="73"/>
      <c r="BK1163" s="73"/>
      <c r="BL1163" s="73"/>
      <c r="BM1163" s="73"/>
      <c r="BN1163" s="73"/>
      <c r="BO1163" s="73"/>
      <c r="BP1163" s="73"/>
      <c r="BQ1163" s="73"/>
      <c r="BR1163" s="73"/>
      <c r="BS1163" s="73"/>
      <c r="BT1163" s="73"/>
      <c r="BU1163" s="73"/>
      <c r="BV1163" s="73"/>
      <c r="BW1163" s="73"/>
      <c r="BX1163" s="73"/>
      <c r="BY1163" s="73"/>
      <c r="BZ1163" s="73"/>
      <c r="CA1163" s="73"/>
      <c r="CB1163" s="73"/>
      <c r="CC1163" s="73"/>
      <c r="CD1163" s="73"/>
      <c r="CE1163" s="73"/>
      <c r="CF1163" s="73"/>
      <c r="CG1163" s="73"/>
      <c r="CH1163" s="73"/>
    </row>
    <row r="1164">
      <c r="A1164" s="73"/>
      <c r="B1164" s="73"/>
      <c r="C1164" s="73"/>
      <c r="D1164" s="73"/>
      <c r="E1164" s="140"/>
      <c r="F1164" s="80"/>
      <c r="G1164" s="80"/>
      <c r="H1164" s="73"/>
      <c r="I1164" s="73"/>
      <c r="J1164" s="73"/>
      <c r="K1164" s="73"/>
      <c r="L1164" s="73"/>
      <c r="M1164" s="73"/>
      <c r="N1164" s="73"/>
      <c r="O1164" s="73"/>
      <c r="P1164" s="73"/>
      <c r="Q1164" s="73"/>
      <c r="R1164" s="73"/>
      <c r="S1164" s="73"/>
      <c r="T1164" s="73"/>
      <c r="U1164" s="73"/>
      <c r="V1164" s="73"/>
      <c r="W1164" s="73"/>
      <c r="X1164" s="73"/>
      <c r="Y1164" s="73"/>
      <c r="Z1164" s="73"/>
      <c r="AA1164" s="73"/>
      <c r="AB1164" s="73"/>
      <c r="AC1164" s="73"/>
      <c r="AD1164" s="73"/>
      <c r="AE1164" s="73"/>
      <c r="AF1164" s="73"/>
      <c r="AG1164" s="73"/>
      <c r="AH1164" s="73"/>
      <c r="AI1164" s="73"/>
      <c r="AJ1164" s="168"/>
      <c r="AK1164" s="73"/>
      <c r="AL1164" s="73"/>
      <c r="AM1164" s="73"/>
      <c r="AN1164" s="73"/>
      <c r="AO1164" s="73"/>
      <c r="AP1164" s="73"/>
      <c r="AQ1164" s="73"/>
      <c r="AR1164" s="73"/>
      <c r="AS1164" s="73"/>
      <c r="AT1164" s="73"/>
      <c r="AU1164" s="73"/>
      <c r="AV1164" s="73"/>
      <c r="AW1164" s="73"/>
      <c r="AX1164" s="73"/>
      <c r="AY1164" s="73"/>
      <c r="AZ1164" s="73"/>
      <c r="BA1164" s="73"/>
      <c r="BB1164" s="73"/>
      <c r="BC1164" s="73"/>
      <c r="BD1164" s="73"/>
      <c r="BE1164" s="73"/>
      <c r="BF1164" s="75"/>
      <c r="BG1164" s="73"/>
      <c r="BH1164" s="88"/>
      <c r="BI1164" s="73"/>
      <c r="BJ1164" s="73"/>
      <c r="BK1164" s="73"/>
      <c r="BL1164" s="73"/>
      <c r="BM1164" s="73"/>
      <c r="BN1164" s="73"/>
      <c r="BO1164" s="73"/>
      <c r="BP1164" s="73"/>
      <c r="BQ1164" s="73"/>
      <c r="BR1164" s="73"/>
      <c r="BS1164" s="73"/>
      <c r="BT1164" s="73"/>
      <c r="BU1164" s="73"/>
      <c r="BV1164" s="73"/>
      <c r="BW1164" s="73"/>
      <c r="BX1164" s="73"/>
      <c r="BY1164" s="73"/>
      <c r="BZ1164" s="73"/>
      <c r="CA1164" s="73"/>
      <c r="CB1164" s="73"/>
      <c r="CC1164" s="73"/>
      <c r="CD1164" s="73"/>
      <c r="CE1164" s="73"/>
      <c r="CF1164" s="73"/>
      <c r="CG1164" s="73"/>
      <c r="CH1164" s="73"/>
    </row>
    <row r="1165">
      <c r="A1165" s="73"/>
      <c r="B1165" s="73"/>
      <c r="C1165" s="73"/>
      <c r="D1165" s="73"/>
      <c r="E1165" s="140"/>
      <c r="F1165" s="80"/>
      <c r="G1165" s="80"/>
      <c r="H1165" s="73"/>
      <c r="I1165" s="73"/>
      <c r="J1165" s="73"/>
      <c r="K1165" s="73"/>
      <c r="L1165" s="73"/>
      <c r="M1165" s="73"/>
      <c r="N1165" s="73"/>
      <c r="O1165" s="73"/>
      <c r="P1165" s="73"/>
      <c r="Q1165" s="73"/>
      <c r="R1165" s="73"/>
      <c r="S1165" s="73"/>
      <c r="T1165" s="73"/>
      <c r="U1165" s="73"/>
      <c r="V1165" s="73"/>
      <c r="W1165" s="73"/>
      <c r="X1165" s="73"/>
      <c r="Y1165" s="73"/>
      <c r="Z1165" s="73"/>
      <c r="AA1165" s="73"/>
      <c r="AB1165" s="73"/>
      <c r="AC1165" s="73"/>
      <c r="AD1165" s="73"/>
      <c r="AE1165" s="73"/>
      <c r="AF1165" s="73"/>
      <c r="AG1165" s="73"/>
      <c r="AH1165" s="73"/>
      <c r="AI1165" s="73"/>
      <c r="AJ1165" s="168"/>
      <c r="AK1165" s="73"/>
      <c r="AL1165" s="73"/>
      <c r="AM1165" s="73"/>
      <c r="AN1165" s="73"/>
      <c r="AO1165" s="73"/>
      <c r="AP1165" s="73"/>
      <c r="AQ1165" s="73"/>
      <c r="AR1165" s="73"/>
      <c r="AS1165" s="73"/>
      <c r="AT1165" s="73"/>
      <c r="AU1165" s="73"/>
      <c r="AV1165" s="73"/>
      <c r="AW1165" s="73"/>
      <c r="AX1165" s="73"/>
      <c r="AY1165" s="73"/>
      <c r="AZ1165" s="73"/>
      <c r="BA1165" s="73"/>
      <c r="BB1165" s="73"/>
      <c r="BC1165" s="73"/>
      <c r="BD1165" s="73"/>
      <c r="BE1165" s="73"/>
      <c r="BF1165" s="75"/>
      <c r="BG1165" s="73"/>
      <c r="BH1165" s="88"/>
      <c r="BI1165" s="73"/>
      <c r="BJ1165" s="73"/>
      <c r="BK1165" s="73"/>
      <c r="BL1165" s="73"/>
      <c r="BM1165" s="73"/>
      <c r="BN1165" s="73"/>
      <c r="BO1165" s="73"/>
      <c r="BP1165" s="73"/>
      <c r="BQ1165" s="73"/>
      <c r="BR1165" s="73"/>
      <c r="BS1165" s="73"/>
      <c r="BT1165" s="73"/>
      <c r="BU1165" s="73"/>
      <c r="BV1165" s="73"/>
      <c r="BW1165" s="73"/>
      <c r="BX1165" s="73"/>
      <c r="BY1165" s="73"/>
      <c r="BZ1165" s="73"/>
      <c r="CA1165" s="73"/>
      <c r="CB1165" s="73"/>
      <c r="CC1165" s="73"/>
      <c r="CD1165" s="73"/>
      <c r="CE1165" s="73"/>
      <c r="CF1165" s="73"/>
      <c r="CG1165" s="73"/>
      <c r="CH1165" s="73"/>
    </row>
    <row r="1166">
      <c r="A1166" s="73"/>
      <c r="B1166" s="73"/>
      <c r="C1166" s="73"/>
      <c r="D1166" s="73"/>
      <c r="E1166" s="140"/>
      <c r="F1166" s="80"/>
      <c r="G1166" s="80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  <c r="S1166" s="73"/>
      <c r="T1166" s="73"/>
      <c r="U1166" s="73"/>
      <c r="V1166" s="73"/>
      <c r="W1166" s="73"/>
      <c r="X1166" s="73"/>
      <c r="Y1166" s="73"/>
      <c r="Z1166" s="73"/>
      <c r="AA1166" s="73"/>
      <c r="AB1166" s="73"/>
      <c r="AC1166" s="73"/>
      <c r="AD1166" s="73"/>
      <c r="AE1166" s="73"/>
      <c r="AF1166" s="73"/>
      <c r="AG1166" s="73"/>
      <c r="AH1166" s="73"/>
      <c r="AI1166" s="73"/>
      <c r="AJ1166" s="168"/>
      <c r="AK1166" s="73"/>
      <c r="AL1166" s="73"/>
      <c r="AM1166" s="73"/>
      <c r="AN1166" s="73"/>
      <c r="AO1166" s="73"/>
      <c r="AP1166" s="73"/>
      <c r="AQ1166" s="73"/>
      <c r="AR1166" s="73"/>
      <c r="AS1166" s="73"/>
      <c r="AT1166" s="73"/>
      <c r="AU1166" s="73"/>
      <c r="AV1166" s="73"/>
      <c r="AW1166" s="73"/>
      <c r="AX1166" s="73"/>
      <c r="AY1166" s="73"/>
      <c r="AZ1166" s="73"/>
      <c r="BA1166" s="73"/>
      <c r="BB1166" s="73"/>
      <c r="BC1166" s="73"/>
      <c r="BD1166" s="73"/>
      <c r="BE1166" s="73"/>
      <c r="BF1166" s="75"/>
      <c r="BG1166" s="73"/>
      <c r="BH1166" s="88"/>
      <c r="BI1166" s="73"/>
      <c r="BJ1166" s="73"/>
      <c r="BK1166" s="73"/>
      <c r="BL1166" s="73"/>
      <c r="BM1166" s="73"/>
      <c r="BN1166" s="73"/>
      <c r="BO1166" s="73"/>
      <c r="BP1166" s="73"/>
      <c r="BQ1166" s="73"/>
      <c r="BR1166" s="73"/>
      <c r="BS1166" s="73"/>
      <c r="BT1166" s="73"/>
      <c r="BU1166" s="73"/>
      <c r="BV1166" s="73"/>
      <c r="BW1166" s="73"/>
      <c r="BX1166" s="73"/>
      <c r="BY1166" s="73"/>
      <c r="BZ1166" s="73"/>
      <c r="CA1166" s="73"/>
      <c r="CB1166" s="73"/>
      <c r="CC1166" s="73"/>
      <c r="CD1166" s="73"/>
      <c r="CE1166" s="73"/>
      <c r="CF1166" s="73"/>
      <c r="CG1166" s="73"/>
      <c r="CH1166" s="73"/>
    </row>
    <row r="1167">
      <c r="A1167" s="73"/>
      <c r="B1167" s="73"/>
      <c r="C1167" s="73"/>
      <c r="D1167" s="73"/>
      <c r="E1167" s="140"/>
      <c r="F1167" s="80"/>
      <c r="G1167" s="80"/>
      <c r="H1167" s="73"/>
      <c r="I1167" s="73"/>
      <c r="J1167" s="73"/>
      <c r="K1167" s="73"/>
      <c r="L1167" s="73"/>
      <c r="M1167" s="73"/>
      <c r="N1167" s="73"/>
      <c r="O1167" s="73"/>
      <c r="P1167" s="73"/>
      <c r="Q1167" s="73"/>
      <c r="R1167" s="73"/>
      <c r="S1167" s="73"/>
      <c r="T1167" s="73"/>
      <c r="U1167" s="73"/>
      <c r="V1167" s="73"/>
      <c r="W1167" s="73"/>
      <c r="X1167" s="73"/>
      <c r="Y1167" s="73"/>
      <c r="Z1167" s="73"/>
      <c r="AA1167" s="73"/>
      <c r="AB1167" s="73"/>
      <c r="AC1167" s="73"/>
      <c r="AD1167" s="73"/>
      <c r="AE1167" s="73"/>
      <c r="AF1167" s="73"/>
      <c r="AG1167" s="73"/>
      <c r="AH1167" s="73"/>
      <c r="AI1167" s="73"/>
      <c r="AJ1167" s="168"/>
      <c r="AK1167" s="73"/>
      <c r="AL1167" s="73"/>
      <c r="AM1167" s="73"/>
      <c r="AN1167" s="73"/>
      <c r="AO1167" s="73"/>
      <c r="AP1167" s="73"/>
      <c r="AQ1167" s="73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5"/>
      <c r="BG1167" s="73"/>
      <c r="BH1167" s="88"/>
      <c r="BI1167" s="73"/>
      <c r="BJ1167" s="73"/>
      <c r="BK1167" s="73"/>
      <c r="BL1167" s="73"/>
      <c r="BM1167" s="73"/>
      <c r="BN1167" s="73"/>
      <c r="BO1167" s="73"/>
      <c r="BP1167" s="73"/>
      <c r="BQ1167" s="73"/>
      <c r="BR1167" s="73"/>
      <c r="BS1167" s="73"/>
      <c r="BT1167" s="73"/>
      <c r="BU1167" s="73"/>
      <c r="BV1167" s="73"/>
      <c r="BW1167" s="73"/>
      <c r="BX1167" s="73"/>
      <c r="BY1167" s="73"/>
      <c r="BZ1167" s="73"/>
      <c r="CA1167" s="73"/>
      <c r="CB1167" s="73"/>
      <c r="CC1167" s="73"/>
      <c r="CD1167" s="73"/>
      <c r="CE1167" s="73"/>
      <c r="CF1167" s="73"/>
      <c r="CG1167" s="73"/>
      <c r="CH1167" s="73"/>
    </row>
    <row r="1168">
      <c r="A1168" s="73"/>
      <c r="B1168" s="73"/>
      <c r="C1168" s="73"/>
      <c r="D1168" s="73"/>
      <c r="E1168" s="140"/>
      <c r="F1168" s="80"/>
      <c r="G1168" s="80"/>
      <c r="H1168" s="73"/>
      <c r="I1168" s="73"/>
      <c r="J1168" s="73"/>
      <c r="K1168" s="73"/>
      <c r="L1168" s="73"/>
      <c r="M1168" s="73"/>
      <c r="N1168" s="73"/>
      <c r="O1168" s="73"/>
      <c r="P1168" s="73"/>
      <c r="Q1168" s="73"/>
      <c r="R1168" s="73"/>
      <c r="S1168" s="73"/>
      <c r="T1168" s="73"/>
      <c r="U1168" s="73"/>
      <c r="V1168" s="73"/>
      <c r="W1168" s="73"/>
      <c r="X1168" s="73"/>
      <c r="Y1168" s="73"/>
      <c r="Z1168" s="73"/>
      <c r="AA1168" s="73"/>
      <c r="AB1168" s="73"/>
      <c r="AC1168" s="73"/>
      <c r="AD1168" s="73"/>
      <c r="AE1168" s="73"/>
      <c r="AF1168" s="73"/>
      <c r="AG1168" s="73"/>
      <c r="AH1168" s="73"/>
      <c r="AI1168" s="73"/>
      <c r="AJ1168" s="168"/>
      <c r="AK1168" s="73"/>
      <c r="AL1168" s="73"/>
      <c r="AM1168" s="73"/>
      <c r="AN1168" s="73"/>
      <c r="AO1168" s="73"/>
      <c r="AP1168" s="73"/>
      <c r="AQ1168" s="73"/>
      <c r="AR1168" s="73"/>
      <c r="AS1168" s="73"/>
      <c r="AT1168" s="73"/>
      <c r="AU1168" s="73"/>
      <c r="AV1168" s="73"/>
      <c r="AW1168" s="73"/>
      <c r="AX1168" s="73"/>
      <c r="AY1168" s="73"/>
      <c r="AZ1168" s="73"/>
      <c r="BA1168" s="73"/>
      <c r="BB1168" s="73"/>
      <c r="BC1168" s="73"/>
      <c r="BD1168" s="73"/>
      <c r="BE1168" s="73"/>
      <c r="BF1168" s="75"/>
      <c r="BG1168" s="73"/>
      <c r="BH1168" s="88"/>
      <c r="BI1168" s="73"/>
      <c r="BJ1168" s="73"/>
      <c r="BK1168" s="73"/>
      <c r="BL1168" s="73"/>
      <c r="BM1168" s="73"/>
      <c r="BN1168" s="73"/>
      <c r="BO1168" s="73"/>
      <c r="BP1168" s="73"/>
      <c r="BQ1168" s="73"/>
      <c r="BR1168" s="73"/>
      <c r="BS1168" s="73"/>
      <c r="BT1168" s="73"/>
      <c r="BU1168" s="73"/>
      <c r="BV1168" s="73"/>
      <c r="BW1168" s="73"/>
      <c r="BX1168" s="73"/>
      <c r="BY1168" s="73"/>
      <c r="BZ1168" s="73"/>
      <c r="CA1168" s="73"/>
      <c r="CB1168" s="73"/>
      <c r="CC1168" s="73"/>
      <c r="CD1168" s="73"/>
      <c r="CE1168" s="73"/>
      <c r="CF1168" s="73"/>
      <c r="CG1168" s="73"/>
      <c r="CH1168" s="73"/>
    </row>
    <row r="1169">
      <c r="A1169" s="73"/>
      <c r="B1169" s="73"/>
      <c r="C1169" s="73"/>
      <c r="D1169" s="73"/>
      <c r="E1169" s="140"/>
      <c r="F1169" s="80"/>
      <c r="G1169" s="80"/>
      <c r="H1169" s="73"/>
      <c r="I1169" s="73"/>
      <c r="J1169" s="73"/>
      <c r="K1169" s="73"/>
      <c r="L1169" s="73"/>
      <c r="M1169" s="73"/>
      <c r="N1169" s="73"/>
      <c r="O1169" s="73"/>
      <c r="P1169" s="73"/>
      <c r="Q1169" s="73"/>
      <c r="R1169" s="73"/>
      <c r="S1169" s="73"/>
      <c r="T1169" s="73"/>
      <c r="U1169" s="73"/>
      <c r="V1169" s="73"/>
      <c r="W1169" s="73"/>
      <c r="X1169" s="73"/>
      <c r="Y1169" s="73"/>
      <c r="Z1169" s="73"/>
      <c r="AA1169" s="73"/>
      <c r="AB1169" s="73"/>
      <c r="AC1169" s="73"/>
      <c r="AD1169" s="73"/>
      <c r="AE1169" s="73"/>
      <c r="AF1169" s="73"/>
      <c r="AG1169" s="73"/>
      <c r="AH1169" s="73"/>
      <c r="AI1169" s="73"/>
      <c r="AJ1169" s="168"/>
      <c r="AK1169" s="73"/>
      <c r="AL1169" s="73"/>
      <c r="AM1169" s="73"/>
      <c r="AN1169" s="73"/>
      <c r="AO1169" s="73"/>
      <c r="AP1169" s="73"/>
      <c r="AQ1169" s="73"/>
      <c r="AR1169" s="73"/>
      <c r="AS1169" s="73"/>
      <c r="AT1169" s="73"/>
      <c r="AU1169" s="73"/>
      <c r="AV1169" s="73"/>
      <c r="AW1169" s="73"/>
      <c r="AX1169" s="73"/>
      <c r="AY1169" s="73"/>
      <c r="AZ1169" s="73"/>
      <c r="BA1169" s="73"/>
      <c r="BB1169" s="73"/>
      <c r="BC1169" s="73"/>
      <c r="BD1169" s="73"/>
      <c r="BE1169" s="73"/>
      <c r="BF1169" s="75"/>
      <c r="BG1169" s="73"/>
      <c r="BH1169" s="88"/>
      <c r="BI1169" s="73"/>
      <c r="BJ1169" s="73"/>
      <c r="BK1169" s="73"/>
      <c r="BL1169" s="73"/>
      <c r="BM1169" s="73"/>
      <c r="BN1169" s="73"/>
      <c r="BO1169" s="73"/>
      <c r="BP1169" s="73"/>
      <c r="BQ1169" s="73"/>
      <c r="BR1169" s="73"/>
      <c r="BS1169" s="73"/>
      <c r="BT1169" s="73"/>
      <c r="BU1169" s="73"/>
      <c r="BV1169" s="73"/>
      <c r="BW1169" s="73"/>
      <c r="BX1169" s="73"/>
      <c r="BY1169" s="73"/>
      <c r="BZ1169" s="73"/>
      <c r="CA1169" s="73"/>
      <c r="CB1169" s="73"/>
      <c r="CC1169" s="73"/>
      <c r="CD1169" s="73"/>
      <c r="CE1169" s="73"/>
      <c r="CF1169" s="73"/>
      <c r="CG1169" s="73"/>
      <c r="CH1169" s="73"/>
    </row>
    <row r="1170">
      <c r="A1170" s="73"/>
      <c r="B1170" s="73"/>
      <c r="C1170" s="73"/>
      <c r="D1170" s="73"/>
      <c r="E1170" s="140"/>
      <c r="F1170" s="80"/>
      <c r="G1170" s="80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  <c r="S1170" s="73"/>
      <c r="T1170" s="73"/>
      <c r="U1170" s="73"/>
      <c r="V1170" s="73"/>
      <c r="W1170" s="73"/>
      <c r="X1170" s="73"/>
      <c r="Y1170" s="73"/>
      <c r="Z1170" s="73"/>
      <c r="AA1170" s="73"/>
      <c r="AB1170" s="73"/>
      <c r="AC1170" s="73"/>
      <c r="AD1170" s="73"/>
      <c r="AE1170" s="73"/>
      <c r="AF1170" s="73"/>
      <c r="AG1170" s="73"/>
      <c r="AH1170" s="73"/>
      <c r="AI1170" s="73"/>
      <c r="AJ1170" s="168"/>
      <c r="AK1170" s="73"/>
      <c r="AL1170" s="73"/>
      <c r="AM1170" s="73"/>
      <c r="AN1170" s="73"/>
      <c r="AO1170" s="73"/>
      <c r="AP1170" s="73"/>
      <c r="AQ1170" s="73"/>
      <c r="AR1170" s="73"/>
      <c r="AS1170" s="73"/>
      <c r="AT1170" s="73"/>
      <c r="AU1170" s="73"/>
      <c r="AV1170" s="73"/>
      <c r="AW1170" s="73"/>
      <c r="AX1170" s="73"/>
      <c r="AY1170" s="73"/>
      <c r="AZ1170" s="73"/>
      <c r="BA1170" s="73"/>
      <c r="BB1170" s="73"/>
      <c r="BC1170" s="73"/>
      <c r="BD1170" s="73"/>
      <c r="BE1170" s="73"/>
      <c r="BF1170" s="75"/>
      <c r="BG1170" s="73"/>
      <c r="BH1170" s="88"/>
      <c r="BI1170" s="73"/>
      <c r="BJ1170" s="73"/>
      <c r="BK1170" s="73"/>
      <c r="BL1170" s="73"/>
      <c r="BM1170" s="73"/>
      <c r="BN1170" s="73"/>
      <c r="BO1170" s="73"/>
      <c r="BP1170" s="73"/>
      <c r="BQ1170" s="73"/>
      <c r="BR1170" s="73"/>
      <c r="BS1170" s="73"/>
      <c r="BT1170" s="73"/>
      <c r="BU1170" s="73"/>
      <c r="BV1170" s="73"/>
      <c r="BW1170" s="73"/>
      <c r="BX1170" s="73"/>
      <c r="BY1170" s="73"/>
      <c r="BZ1170" s="73"/>
      <c r="CA1170" s="73"/>
      <c r="CB1170" s="73"/>
      <c r="CC1170" s="73"/>
      <c r="CD1170" s="73"/>
      <c r="CE1170" s="73"/>
      <c r="CF1170" s="73"/>
      <c r="CG1170" s="73"/>
      <c r="CH1170" s="73"/>
    </row>
    <row r="1171">
      <c r="A1171" s="73"/>
      <c r="B1171" s="73"/>
      <c r="C1171" s="73"/>
      <c r="D1171" s="73"/>
      <c r="E1171" s="140"/>
      <c r="F1171" s="80"/>
      <c r="G1171" s="80"/>
      <c r="H1171" s="73"/>
      <c r="I1171" s="73"/>
      <c r="J1171" s="73"/>
      <c r="K1171" s="73"/>
      <c r="L1171" s="73"/>
      <c r="M1171" s="73"/>
      <c r="N1171" s="73"/>
      <c r="O1171" s="73"/>
      <c r="P1171" s="73"/>
      <c r="Q1171" s="73"/>
      <c r="R1171" s="73"/>
      <c r="S1171" s="73"/>
      <c r="T1171" s="73"/>
      <c r="U1171" s="73"/>
      <c r="V1171" s="73"/>
      <c r="W1171" s="73"/>
      <c r="X1171" s="73"/>
      <c r="Y1171" s="73"/>
      <c r="Z1171" s="73"/>
      <c r="AA1171" s="73"/>
      <c r="AB1171" s="73"/>
      <c r="AC1171" s="73"/>
      <c r="AD1171" s="73"/>
      <c r="AE1171" s="73"/>
      <c r="AF1171" s="73"/>
      <c r="AG1171" s="73"/>
      <c r="AH1171" s="73"/>
      <c r="AI1171" s="73"/>
      <c r="AJ1171" s="168"/>
      <c r="AK1171" s="73"/>
      <c r="AL1171" s="73"/>
      <c r="AM1171" s="73"/>
      <c r="AN1171" s="73"/>
      <c r="AO1171" s="73"/>
      <c r="AP1171" s="73"/>
      <c r="AQ1171" s="73"/>
      <c r="AR1171" s="73"/>
      <c r="AS1171" s="73"/>
      <c r="AT1171" s="73"/>
      <c r="AU1171" s="73"/>
      <c r="AV1171" s="73"/>
      <c r="AW1171" s="73"/>
      <c r="AX1171" s="73"/>
      <c r="AY1171" s="73"/>
      <c r="AZ1171" s="73"/>
      <c r="BA1171" s="73"/>
      <c r="BB1171" s="73"/>
      <c r="BC1171" s="73"/>
      <c r="BD1171" s="73"/>
      <c r="BE1171" s="73"/>
      <c r="BF1171" s="75"/>
      <c r="BG1171" s="73"/>
      <c r="BH1171" s="88"/>
      <c r="BI1171" s="73"/>
      <c r="BJ1171" s="73"/>
      <c r="BK1171" s="73"/>
      <c r="BL1171" s="73"/>
      <c r="BM1171" s="73"/>
      <c r="BN1171" s="73"/>
      <c r="BO1171" s="73"/>
      <c r="BP1171" s="73"/>
      <c r="BQ1171" s="73"/>
      <c r="BR1171" s="73"/>
      <c r="BS1171" s="73"/>
      <c r="BT1171" s="73"/>
      <c r="BU1171" s="73"/>
      <c r="BV1171" s="73"/>
      <c r="BW1171" s="73"/>
      <c r="BX1171" s="73"/>
      <c r="BY1171" s="73"/>
      <c r="BZ1171" s="73"/>
      <c r="CA1171" s="73"/>
      <c r="CB1171" s="73"/>
      <c r="CC1171" s="73"/>
      <c r="CD1171" s="73"/>
      <c r="CE1171" s="73"/>
      <c r="CF1171" s="73"/>
      <c r="CG1171" s="73"/>
      <c r="CH1171" s="73"/>
    </row>
    <row r="1172">
      <c r="A1172" s="73"/>
      <c r="B1172" s="73"/>
      <c r="C1172" s="73"/>
      <c r="D1172" s="73"/>
      <c r="E1172" s="140"/>
      <c r="F1172" s="80"/>
      <c r="G1172" s="80"/>
      <c r="H1172" s="73"/>
      <c r="I1172" s="73"/>
      <c r="J1172" s="73"/>
      <c r="K1172" s="73"/>
      <c r="L1172" s="73"/>
      <c r="M1172" s="73"/>
      <c r="N1172" s="73"/>
      <c r="O1172" s="73"/>
      <c r="P1172" s="73"/>
      <c r="Q1172" s="73"/>
      <c r="R1172" s="73"/>
      <c r="S1172" s="73"/>
      <c r="T1172" s="73"/>
      <c r="U1172" s="73"/>
      <c r="V1172" s="73"/>
      <c r="W1172" s="73"/>
      <c r="X1172" s="73"/>
      <c r="Y1172" s="73"/>
      <c r="Z1172" s="73"/>
      <c r="AA1172" s="73"/>
      <c r="AB1172" s="73"/>
      <c r="AC1172" s="73"/>
      <c r="AD1172" s="73"/>
      <c r="AE1172" s="73"/>
      <c r="AF1172" s="73"/>
      <c r="AG1172" s="73"/>
      <c r="AH1172" s="73"/>
      <c r="AI1172" s="73"/>
      <c r="AJ1172" s="168"/>
      <c r="AK1172" s="73"/>
      <c r="AL1172" s="73"/>
      <c r="AM1172" s="73"/>
      <c r="AN1172" s="73"/>
      <c r="AO1172" s="73"/>
      <c r="AP1172" s="73"/>
      <c r="AQ1172" s="73"/>
      <c r="AR1172" s="73"/>
      <c r="AS1172" s="73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73"/>
      <c r="BD1172" s="73"/>
      <c r="BE1172" s="73"/>
      <c r="BF1172" s="75"/>
      <c r="BG1172" s="73"/>
      <c r="BH1172" s="88"/>
      <c r="BI1172" s="73"/>
      <c r="BJ1172" s="73"/>
      <c r="BK1172" s="73"/>
      <c r="BL1172" s="73"/>
      <c r="BM1172" s="73"/>
      <c r="BN1172" s="73"/>
      <c r="BO1172" s="73"/>
      <c r="BP1172" s="73"/>
      <c r="BQ1172" s="73"/>
      <c r="BR1172" s="73"/>
      <c r="BS1172" s="73"/>
      <c r="BT1172" s="73"/>
      <c r="BU1172" s="73"/>
      <c r="BV1172" s="73"/>
      <c r="BW1172" s="73"/>
      <c r="BX1172" s="73"/>
      <c r="BY1172" s="73"/>
      <c r="BZ1172" s="73"/>
      <c r="CA1172" s="73"/>
      <c r="CB1172" s="73"/>
      <c r="CC1172" s="73"/>
      <c r="CD1172" s="73"/>
      <c r="CE1172" s="73"/>
      <c r="CF1172" s="73"/>
      <c r="CG1172" s="73"/>
      <c r="CH1172" s="73"/>
    </row>
    <row r="1173">
      <c r="A1173" s="73"/>
      <c r="B1173" s="73"/>
      <c r="C1173" s="73"/>
      <c r="D1173" s="73"/>
      <c r="E1173" s="140"/>
      <c r="F1173" s="80"/>
      <c r="G1173" s="80"/>
      <c r="H1173" s="73"/>
      <c r="I1173" s="73"/>
      <c r="J1173" s="73"/>
      <c r="K1173" s="73"/>
      <c r="L1173" s="73"/>
      <c r="M1173" s="73"/>
      <c r="N1173" s="73"/>
      <c r="O1173" s="73"/>
      <c r="P1173" s="73"/>
      <c r="Q1173" s="73"/>
      <c r="R1173" s="73"/>
      <c r="S1173" s="73"/>
      <c r="T1173" s="73"/>
      <c r="U1173" s="73"/>
      <c r="V1173" s="73"/>
      <c r="W1173" s="73"/>
      <c r="X1173" s="73"/>
      <c r="Y1173" s="73"/>
      <c r="Z1173" s="73"/>
      <c r="AA1173" s="73"/>
      <c r="AB1173" s="73"/>
      <c r="AC1173" s="73"/>
      <c r="AD1173" s="73"/>
      <c r="AE1173" s="73"/>
      <c r="AF1173" s="73"/>
      <c r="AG1173" s="73"/>
      <c r="AH1173" s="73"/>
      <c r="AI1173" s="73"/>
      <c r="AJ1173" s="168"/>
      <c r="AK1173" s="73"/>
      <c r="AL1173" s="73"/>
      <c r="AM1173" s="73"/>
      <c r="AN1173" s="73"/>
      <c r="AO1173" s="73"/>
      <c r="AP1173" s="73"/>
      <c r="AQ1173" s="73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5"/>
      <c r="BG1173" s="73"/>
      <c r="BH1173" s="88"/>
      <c r="BI1173" s="73"/>
      <c r="BJ1173" s="73"/>
      <c r="BK1173" s="73"/>
      <c r="BL1173" s="73"/>
      <c r="BM1173" s="73"/>
      <c r="BN1173" s="73"/>
      <c r="BO1173" s="73"/>
      <c r="BP1173" s="73"/>
      <c r="BQ1173" s="73"/>
      <c r="BR1173" s="73"/>
      <c r="BS1173" s="73"/>
      <c r="BT1173" s="73"/>
      <c r="BU1173" s="73"/>
      <c r="BV1173" s="73"/>
      <c r="BW1173" s="73"/>
      <c r="BX1173" s="73"/>
      <c r="BY1173" s="73"/>
      <c r="BZ1173" s="73"/>
      <c r="CA1173" s="73"/>
      <c r="CB1173" s="73"/>
      <c r="CC1173" s="73"/>
      <c r="CD1173" s="73"/>
      <c r="CE1173" s="73"/>
      <c r="CF1173" s="73"/>
      <c r="CG1173" s="73"/>
      <c r="CH1173" s="73"/>
    </row>
    <row r="1174">
      <c r="A1174" s="73"/>
      <c r="B1174" s="73"/>
      <c r="C1174" s="73"/>
      <c r="D1174" s="73"/>
      <c r="E1174" s="140"/>
      <c r="F1174" s="80"/>
      <c r="G1174" s="80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  <c r="S1174" s="73"/>
      <c r="T1174" s="73"/>
      <c r="U1174" s="73"/>
      <c r="V1174" s="73"/>
      <c r="W1174" s="73"/>
      <c r="X1174" s="73"/>
      <c r="Y1174" s="73"/>
      <c r="Z1174" s="73"/>
      <c r="AA1174" s="73"/>
      <c r="AB1174" s="73"/>
      <c r="AC1174" s="73"/>
      <c r="AD1174" s="73"/>
      <c r="AE1174" s="73"/>
      <c r="AF1174" s="73"/>
      <c r="AG1174" s="73"/>
      <c r="AH1174" s="73"/>
      <c r="AI1174" s="73"/>
      <c r="AJ1174" s="168"/>
      <c r="AK1174" s="73"/>
      <c r="AL1174" s="73"/>
      <c r="AM1174" s="73"/>
      <c r="AN1174" s="73"/>
      <c r="AO1174" s="73"/>
      <c r="AP1174" s="73"/>
      <c r="AQ1174" s="73"/>
      <c r="AR1174" s="73"/>
      <c r="AS1174" s="73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73"/>
      <c r="BD1174" s="73"/>
      <c r="BE1174" s="73"/>
      <c r="BF1174" s="75"/>
      <c r="BG1174" s="73"/>
      <c r="BH1174" s="88"/>
      <c r="BI1174" s="73"/>
      <c r="BJ1174" s="73"/>
      <c r="BK1174" s="73"/>
      <c r="BL1174" s="73"/>
      <c r="BM1174" s="73"/>
      <c r="BN1174" s="73"/>
      <c r="BO1174" s="73"/>
      <c r="BP1174" s="73"/>
      <c r="BQ1174" s="73"/>
      <c r="BR1174" s="73"/>
      <c r="BS1174" s="73"/>
      <c r="BT1174" s="73"/>
      <c r="BU1174" s="73"/>
      <c r="BV1174" s="73"/>
      <c r="BW1174" s="73"/>
      <c r="BX1174" s="73"/>
      <c r="BY1174" s="73"/>
      <c r="BZ1174" s="73"/>
      <c r="CA1174" s="73"/>
      <c r="CB1174" s="73"/>
      <c r="CC1174" s="73"/>
      <c r="CD1174" s="73"/>
      <c r="CE1174" s="73"/>
      <c r="CF1174" s="73"/>
      <c r="CG1174" s="73"/>
      <c r="CH1174" s="73"/>
    </row>
    <row r="1175">
      <c r="A1175" s="73"/>
      <c r="B1175" s="73"/>
      <c r="C1175" s="73"/>
      <c r="D1175" s="73"/>
      <c r="E1175" s="140"/>
      <c r="F1175" s="80"/>
      <c r="G1175" s="80"/>
      <c r="H1175" s="73"/>
      <c r="I1175" s="73"/>
      <c r="J1175" s="73"/>
      <c r="K1175" s="73"/>
      <c r="L1175" s="73"/>
      <c r="M1175" s="73"/>
      <c r="N1175" s="73"/>
      <c r="O1175" s="73"/>
      <c r="P1175" s="73"/>
      <c r="Q1175" s="73"/>
      <c r="R1175" s="73"/>
      <c r="S1175" s="73"/>
      <c r="T1175" s="73"/>
      <c r="U1175" s="73"/>
      <c r="V1175" s="73"/>
      <c r="W1175" s="73"/>
      <c r="X1175" s="73"/>
      <c r="Y1175" s="73"/>
      <c r="Z1175" s="73"/>
      <c r="AA1175" s="73"/>
      <c r="AB1175" s="73"/>
      <c r="AC1175" s="73"/>
      <c r="AD1175" s="73"/>
      <c r="AE1175" s="73"/>
      <c r="AF1175" s="73"/>
      <c r="AG1175" s="73"/>
      <c r="AH1175" s="73"/>
      <c r="AI1175" s="73"/>
      <c r="AJ1175" s="168"/>
      <c r="AK1175" s="73"/>
      <c r="AL1175" s="73"/>
      <c r="AM1175" s="73"/>
      <c r="AN1175" s="73"/>
      <c r="AO1175" s="73"/>
      <c r="AP1175" s="73"/>
      <c r="AQ1175" s="73"/>
      <c r="AR1175" s="73"/>
      <c r="AS1175" s="73"/>
      <c r="AT1175" s="73"/>
      <c r="AU1175" s="73"/>
      <c r="AV1175" s="73"/>
      <c r="AW1175" s="73"/>
      <c r="AX1175" s="73"/>
      <c r="AY1175" s="73"/>
      <c r="AZ1175" s="73"/>
      <c r="BA1175" s="73"/>
      <c r="BB1175" s="73"/>
      <c r="BC1175" s="73"/>
      <c r="BD1175" s="73"/>
      <c r="BE1175" s="73"/>
      <c r="BF1175" s="75"/>
      <c r="BG1175" s="73"/>
      <c r="BH1175" s="88"/>
      <c r="BI1175" s="73"/>
      <c r="BJ1175" s="73"/>
      <c r="BK1175" s="73"/>
      <c r="BL1175" s="73"/>
      <c r="BM1175" s="73"/>
      <c r="BN1175" s="73"/>
      <c r="BO1175" s="73"/>
      <c r="BP1175" s="73"/>
      <c r="BQ1175" s="73"/>
      <c r="BR1175" s="73"/>
      <c r="BS1175" s="73"/>
      <c r="BT1175" s="73"/>
      <c r="BU1175" s="73"/>
      <c r="BV1175" s="73"/>
      <c r="BW1175" s="73"/>
      <c r="BX1175" s="73"/>
      <c r="BY1175" s="73"/>
      <c r="BZ1175" s="73"/>
      <c r="CA1175" s="73"/>
      <c r="CB1175" s="73"/>
      <c r="CC1175" s="73"/>
      <c r="CD1175" s="73"/>
      <c r="CE1175" s="73"/>
      <c r="CF1175" s="73"/>
      <c r="CG1175" s="73"/>
      <c r="CH1175" s="73"/>
    </row>
    <row r="1176">
      <c r="A1176" s="73"/>
      <c r="B1176" s="73"/>
      <c r="C1176" s="73"/>
      <c r="D1176" s="73"/>
      <c r="E1176" s="140"/>
      <c r="F1176" s="80"/>
      <c r="G1176" s="80"/>
      <c r="H1176" s="73"/>
      <c r="I1176" s="73"/>
      <c r="J1176" s="73"/>
      <c r="K1176" s="73"/>
      <c r="L1176" s="73"/>
      <c r="M1176" s="73"/>
      <c r="N1176" s="73"/>
      <c r="O1176" s="73"/>
      <c r="P1176" s="73"/>
      <c r="Q1176" s="73"/>
      <c r="R1176" s="73"/>
      <c r="S1176" s="73"/>
      <c r="T1176" s="73"/>
      <c r="U1176" s="73"/>
      <c r="V1176" s="73"/>
      <c r="W1176" s="73"/>
      <c r="X1176" s="73"/>
      <c r="Y1176" s="73"/>
      <c r="Z1176" s="73"/>
      <c r="AA1176" s="73"/>
      <c r="AB1176" s="73"/>
      <c r="AC1176" s="73"/>
      <c r="AD1176" s="73"/>
      <c r="AE1176" s="73"/>
      <c r="AF1176" s="73"/>
      <c r="AG1176" s="73"/>
      <c r="AH1176" s="73"/>
      <c r="AI1176" s="73"/>
      <c r="AJ1176" s="168"/>
      <c r="AK1176" s="73"/>
      <c r="AL1176" s="73"/>
      <c r="AM1176" s="73"/>
      <c r="AN1176" s="73"/>
      <c r="AO1176" s="73"/>
      <c r="AP1176" s="73"/>
      <c r="AQ1176" s="73"/>
      <c r="AR1176" s="73"/>
      <c r="AS1176" s="73"/>
      <c r="AT1176" s="73"/>
      <c r="AU1176" s="73"/>
      <c r="AV1176" s="73"/>
      <c r="AW1176" s="73"/>
      <c r="AX1176" s="73"/>
      <c r="AY1176" s="73"/>
      <c r="AZ1176" s="73"/>
      <c r="BA1176" s="73"/>
      <c r="BB1176" s="73"/>
      <c r="BC1176" s="73"/>
      <c r="BD1176" s="73"/>
      <c r="BE1176" s="73"/>
      <c r="BF1176" s="75"/>
      <c r="BG1176" s="73"/>
      <c r="BH1176" s="88"/>
      <c r="BI1176" s="73"/>
      <c r="BJ1176" s="73"/>
      <c r="BK1176" s="73"/>
      <c r="BL1176" s="73"/>
      <c r="BM1176" s="73"/>
      <c r="BN1176" s="73"/>
      <c r="BO1176" s="73"/>
      <c r="BP1176" s="73"/>
      <c r="BQ1176" s="73"/>
      <c r="BR1176" s="73"/>
      <c r="BS1176" s="73"/>
      <c r="BT1176" s="73"/>
      <c r="BU1176" s="73"/>
      <c r="BV1176" s="73"/>
      <c r="BW1176" s="73"/>
      <c r="BX1176" s="73"/>
      <c r="BY1176" s="73"/>
      <c r="BZ1176" s="73"/>
      <c r="CA1176" s="73"/>
      <c r="CB1176" s="73"/>
      <c r="CC1176" s="73"/>
      <c r="CD1176" s="73"/>
      <c r="CE1176" s="73"/>
      <c r="CF1176" s="73"/>
      <c r="CG1176" s="73"/>
      <c r="CH1176" s="73"/>
    </row>
    <row r="1177">
      <c r="A1177" s="73"/>
      <c r="B1177" s="73"/>
      <c r="C1177" s="73"/>
      <c r="D1177" s="73"/>
      <c r="E1177" s="140"/>
      <c r="F1177" s="80"/>
      <c r="G1177" s="80"/>
      <c r="H1177" s="73"/>
      <c r="I1177" s="73"/>
      <c r="J1177" s="73"/>
      <c r="K1177" s="73"/>
      <c r="L1177" s="73"/>
      <c r="M1177" s="73"/>
      <c r="N1177" s="73"/>
      <c r="O1177" s="73"/>
      <c r="P1177" s="73"/>
      <c r="Q1177" s="73"/>
      <c r="R1177" s="73"/>
      <c r="S1177" s="73"/>
      <c r="T1177" s="73"/>
      <c r="U1177" s="73"/>
      <c r="V1177" s="73"/>
      <c r="W1177" s="73"/>
      <c r="X1177" s="73"/>
      <c r="Y1177" s="73"/>
      <c r="Z1177" s="73"/>
      <c r="AA1177" s="73"/>
      <c r="AB1177" s="73"/>
      <c r="AC1177" s="73"/>
      <c r="AD1177" s="73"/>
      <c r="AE1177" s="73"/>
      <c r="AF1177" s="73"/>
      <c r="AG1177" s="73"/>
      <c r="AH1177" s="73"/>
      <c r="AI1177" s="73"/>
      <c r="AJ1177" s="168"/>
      <c r="AK1177" s="73"/>
      <c r="AL1177" s="73"/>
      <c r="AM1177" s="73"/>
      <c r="AN1177" s="73"/>
      <c r="AO1177" s="73"/>
      <c r="AP1177" s="73"/>
      <c r="AQ1177" s="73"/>
      <c r="AR1177" s="73"/>
      <c r="AS1177" s="73"/>
      <c r="AT1177" s="73"/>
      <c r="AU1177" s="73"/>
      <c r="AV1177" s="73"/>
      <c r="AW1177" s="73"/>
      <c r="AX1177" s="73"/>
      <c r="AY1177" s="73"/>
      <c r="AZ1177" s="73"/>
      <c r="BA1177" s="73"/>
      <c r="BB1177" s="73"/>
      <c r="BC1177" s="73"/>
      <c r="BD1177" s="73"/>
      <c r="BE1177" s="73"/>
      <c r="BF1177" s="75"/>
      <c r="BG1177" s="73"/>
      <c r="BH1177" s="88"/>
      <c r="BI1177" s="73"/>
      <c r="BJ1177" s="73"/>
      <c r="BK1177" s="73"/>
      <c r="BL1177" s="73"/>
      <c r="BM1177" s="73"/>
      <c r="BN1177" s="73"/>
      <c r="BO1177" s="73"/>
      <c r="BP1177" s="73"/>
      <c r="BQ1177" s="73"/>
      <c r="BR1177" s="73"/>
      <c r="BS1177" s="73"/>
      <c r="BT1177" s="73"/>
      <c r="BU1177" s="73"/>
      <c r="BV1177" s="73"/>
      <c r="BW1177" s="73"/>
      <c r="BX1177" s="73"/>
      <c r="BY1177" s="73"/>
      <c r="BZ1177" s="73"/>
      <c r="CA1177" s="73"/>
      <c r="CB1177" s="73"/>
      <c r="CC1177" s="73"/>
      <c r="CD1177" s="73"/>
      <c r="CE1177" s="73"/>
      <c r="CF1177" s="73"/>
      <c r="CG1177" s="73"/>
      <c r="CH1177" s="73"/>
    </row>
    <row r="1178">
      <c r="A1178" s="73"/>
      <c r="B1178" s="73"/>
      <c r="C1178" s="73"/>
      <c r="D1178" s="73"/>
      <c r="E1178" s="140"/>
      <c r="F1178" s="80"/>
      <c r="G1178" s="80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  <c r="S1178" s="73"/>
      <c r="T1178" s="73"/>
      <c r="U1178" s="73"/>
      <c r="V1178" s="73"/>
      <c r="W1178" s="73"/>
      <c r="X1178" s="73"/>
      <c r="Y1178" s="73"/>
      <c r="Z1178" s="73"/>
      <c r="AA1178" s="73"/>
      <c r="AB1178" s="73"/>
      <c r="AC1178" s="73"/>
      <c r="AD1178" s="73"/>
      <c r="AE1178" s="73"/>
      <c r="AF1178" s="73"/>
      <c r="AG1178" s="73"/>
      <c r="AH1178" s="73"/>
      <c r="AI1178" s="73"/>
      <c r="AJ1178" s="168"/>
      <c r="AK1178" s="73"/>
      <c r="AL1178" s="73"/>
      <c r="AM1178" s="73"/>
      <c r="AN1178" s="73"/>
      <c r="AO1178" s="73"/>
      <c r="AP1178" s="73"/>
      <c r="AQ1178" s="73"/>
      <c r="AR1178" s="73"/>
      <c r="AS1178" s="73"/>
      <c r="AT1178" s="73"/>
      <c r="AU1178" s="73"/>
      <c r="AV1178" s="73"/>
      <c r="AW1178" s="73"/>
      <c r="AX1178" s="73"/>
      <c r="AY1178" s="73"/>
      <c r="AZ1178" s="73"/>
      <c r="BA1178" s="73"/>
      <c r="BB1178" s="73"/>
      <c r="BC1178" s="73"/>
      <c r="BD1178" s="73"/>
      <c r="BE1178" s="73"/>
      <c r="BF1178" s="75"/>
      <c r="BG1178" s="73"/>
      <c r="BH1178" s="88"/>
      <c r="BI1178" s="73"/>
      <c r="BJ1178" s="73"/>
      <c r="BK1178" s="73"/>
      <c r="BL1178" s="73"/>
      <c r="BM1178" s="73"/>
      <c r="BN1178" s="73"/>
      <c r="BO1178" s="73"/>
      <c r="BP1178" s="73"/>
      <c r="BQ1178" s="73"/>
      <c r="BR1178" s="73"/>
      <c r="BS1178" s="73"/>
      <c r="BT1178" s="73"/>
      <c r="BU1178" s="73"/>
      <c r="BV1178" s="73"/>
      <c r="BW1178" s="73"/>
      <c r="BX1178" s="73"/>
      <c r="BY1178" s="73"/>
      <c r="BZ1178" s="73"/>
      <c r="CA1178" s="73"/>
      <c r="CB1178" s="73"/>
      <c r="CC1178" s="73"/>
      <c r="CD1178" s="73"/>
      <c r="CE1178" s="73"/>
      <c r="CF1178" s="73"/>
      <c r="CG1178" s="73"/>
      <c r="CH1178" s="73"/>
    </row>
    <row r="1179">
      <c r="A1179" s="73"/>
      <c r="B1179" s="73"/>
      <c r="C1179" s="73"/>
      <c r="D1179" s="73"/>
      <c r="E1179" s="140"/>
      <c r="F1179" s="80"/>
      <c r="G1179" s="80"/>
      <c r="H1179" s="73"/>
      <c r="I1179" s="73"/>
      <c r="J1179" s="73"/>
      <c r="K1179" s="73"/>
      <c r="L1179" s="73"/>
      <c r="M1179" s="73"/>
      <c r="N1179" s="73"/>
      <c r="O1179" s="73"/>
      <c r="P1179" s="73"/>
      <c r="Q1179" s="73"/>
      <c r="R1179" s="73"/>
      <c r="S1179" s="73"/>
      <c r="T1179" s="73"/>
      <c r="U1179" s="73"/>
      <c r="V1179" s="73"/>
      <c r="W1179" s="73"/>
      <c r="X1179" s="73"/>
      <c r="Y1179" s="73"/>
      <c r="Z1179" s="73"/>
      <c r="AA1179" s="73"/>
      <c r="AB1179" s="73"/>
      <c r="AC1179" s="73"/>
      <c r="AD1179" s="73"/>
      <c r="AE1179" s="73"/>
      <c r="AF1179" s="73"/>
      <c r="AG1179" s="73"/>
      <c r="AH1179" s="73"/>
      <c r="AI1179" s="73"/>
      <c r="AJ1179" s="168"/>
      <c r="AK1179" s="73"/>
      <c r="AL1179" s="73"/>
      <c r="AM1179" s="73"/>
      <c r="AN1179" s="73"/>
      <c r="AO1179" s="73"/>
      <c r="AP1179" s="73"/>
      <c r="AQ1179" s="73"/>
      <c r="AR1179" s="73"/>
      <c r="AS1179" s="73"/>
      <c r="AT1179" s="73"/>
      <c r="AU1179" s="73"/>
      <c r="AV1179" s="73"/>
      <c r="AW1179" s="73"/>
      <c r="AX1179" s="73"/>
      <c r="AY1179" s="73"/>
      <c r="AZ1179" s="73"/>
      <c r="BA1179" s="73"/>
      <c r="BB1179" s="73"/>
      <c r="BC1179" s="73"/>
      <c r="BD1179" s="73"/>
      <c r="BE1179" s="73"/>
      <c r="BF1179" s="75"/>
      <c r="BG1179" s="73"/>
      <c r="BH1179" s="88"/>
      <c r="BI1179" s="73"/>
      <c r="BJ1179" s="73"/>
      <c r="BK1179" s="73"/>
      <c r="BL1179" s="73"/>
      <c r="BM1179" s="73"/>
      <c r="BN1179" s="73"/>
      <c r="BO1179" s="73"/>
      <c r="BP1179" s="73"/>
      <c r="BQ1179" s="73"/>
      <c r="BR1179" s="73"/>
      <c r="BS1179" s="73"/>
      <c r="BT1179" s="73"/>
      <c r="BU1179" s="73"/>
      <c r="BV1179" s="73"/>
      <c r="BW1179" s="73"/>
      <c r="BX1179" s="73"/>
      <c r="BY1179" s="73"/>
      <c r="BZ1179" s="73"/>
      <c r="CA1179" s="73"/>
      <c r="CB1179" s="73"/>
      <c r="CC1179" s="73"/>
      <c r="CD1179" s="73"/>
      <c r="CE1179" s="73"/>
      <c r="CF1179" s="73"/>
      <c r="CG1179" s="73"/>
      <c r="CH1179" s="73"/>
    </row>
    <row r="1180">
      <c r="A1180" s="73"/>
      <c r="B1180" s="73"/>
      <c r="C1180" s="73"/>
      <c r="D1180" s="73"/>
      <c r="E1180" s="140"/>
      <c r="F1180" s="80"/>
      <c r="G1180" s="80"/>
      <c r="H1180" s="73"/>
      <c r="I1180" s="73"/>
      <c r="J1180" s="73"/>
      <c r="K1180" s="73"/>
      <c r="L1180" s="73"/>
      <c r="M1180" s="73"/>
      <c r="N1180" s="73"/>
      <c r="O1180" s="73"/>
      <c r="P1180" s="73"/>
      <c r="Q1180" s="73"/>
      <c r="R1180" s="73"/>
      <c r="S1180" s="73"/>
      <c r="T1180" s="73"/>
      <c r="U1180" s="73"/>
      <c r="V1180" s="73"/>
      <c r="W1180" s="73"/>
      <c r="X1180" s="73"/>
      <c r="Y1180" s="73"/>
      <c r="Z1180" s="73"/>
      <c r="AA1180" s="73"/>
      <c r="AB1180" s="73"/>
      <c r="AC1180" s="73"/>
      <c r="AD1180" s="73"/>
      <c r="AE1180" s="73"/>
      <c r="AF1180" s="73"/>
      <c r="AG1180" s="73"/>
      <c r="AH1180" s="73"/>
      <c r="AI1180" s="73"/>
      <c r="AJ1180" s="168"/>
      <c r="AK1180" s="73"/>
      <c r="AL1180" s="73"/>
      <c r="AM1180" s="73"/>
      <c r="AN1180" s="73"/>
      <c r="AO1180" s="73"/>
      <c r="AP1180" s="73"/>
      <c r="AQ1180" s="73"/>
      <c r="AR1180" s="73"/>
      <c r="AS1180" s="73"/>
      <c r="AT1180" s="73"/>
      <c r="AU1180" s="73"/>
      <c r="AV1180" s="73"/>
      <c r="AW1180" s="73"/>
      <c r="AX1180" s="73"/>
      <c r="AY1180" s="73"/>
      <c r="AZ1180" s="73"/>
      <c r="BA1180" s="73"/>
      <c r="BB1180" s="73"/>
      <c r="BC1180" s="73"/>
      <c r="BD1180" s="73"/>
      <c r="BE1180" s="73"/>
      <c r="BF1180" s="75"/>
      <c r="BG1180" s="73"/>
      <c r="BH1180" s="88"/>
      <c r="BI1180" s="73"/>
      <c r="BJ1180" s="73"/>
      <c r="BK1180" s="73"/>
      <c r="BL1180" s="73"/>
      <c r="BM1180" s="73"/>
      <c r="BN1180" s="73"/>
      <c r="BO1180" s="73"/>
      <c r="BP1180" s="73"/>
      <c r="BQ1180" s="73"/>
      <c r="BR1180" s="73"/>
      <c r="BS1180" s="73"/>
      <c r="BT1180" s="73"/>
      <c r="BU1180" s="73"/>
      <c r="BV1180" s="73"/>
      <c r="BW1180" s="73"/>
      <c r="BX1180" s="73"/>
      <c r="BY1180" s="73"/>
      <c r="BZ1180" s="73"/>
      <c r="CA1180" s="73"/>
      <c r="CB1180" s="73"/>
      <c r="CC1180" s="73"/>
      <c r="CD1180" s="73"/>
      <c r="CE1180" s="73"/>
      <c r="CF1180" s="73"/>
      <c r="CG1180" s="73"/>
      <c r="CH1180" s="73"/>
    </row>
    <row r="1181">
      <c r="A1181" s="73"/>
      <c r="B1181" s="73"/>
      <c r="C1181" s="73"/>
      <c r="D1181" s="73"/>
      <c r="E1181" s="140"/>
      <c r="F1181" s="80"/>
      <c r="G1181" s="80"/>
      <c r="H1181" s="73"/>
      <c r="I1181" s="73"/>
      <c r="J1181" s="73"/>
      <c r="K1181" s="73"/>
      <c r="L1181" s="73"/>
      <c r="M1181" s="73"/>
      <c r="N1181" s="73"/>
      <c r="O1181" s="73"/>
      <c r="P1181" s="73"/>
      <c r="Q1181" s="73"/>
      <c r="R1181" s="73"/>
      <c r="S1181" s="73"/>
      <c r="T1181" s="73"/>
      <c r="U1181" s="73"/>
      <c r="V1181" s="73"/>
      <c r="W1181" s="73"/>
      <c r="X1181" s="73"/>
      <c r="Y1181" s="73"/>
      <c r="Z1181" s="73"/>
      <c r="AA1181" s="73"/>
      <c r="AB1181" s="73"/>
      <c r="AC1181" s="73"/>
      <c r="AD1181" s="73"/>
      <c r="AE1181" s="73"/>
      <c r="AF1181" s="73"/>
      <c r="AG1181" s="73"/>
      <c r="AH1181" s="73"/>
      <c r="AI1181" s="73"/>
      <c r="AJ1181" s="168"/>
      <c r="AK1181" s="73"/>
      <c r="AL1181" s="73"/>
      <c r="AM1181" s="73"/>
      <c r="AN1181" s="73"/>
      <c r="AO1181" s="73"/>
      <c r="AP1181" s="73"/>
      <c r="AQ1181" s="73"/>
      <c r="AR1181" s="73"/>
      <c r="AS1181" s="73"/>
      <c r="AT1181" s="73"/>
      <c r="AU1181" s="73"/>
      <c r="AV1181" s="73"/>
      <c r="AW1181" s="73"/>
      <c r="AX1181" s="73"/>
      <c r="AY1181" s="73"/>
      <c r="AZ1181" s="73"/>
      <c r="BA1181" s="73"/>
      <c r="BB1181" s="73"/>
      <c r="BC1181" s="73"/>
      <c r="BD1181" s="73"/>
      <c r="BE1181" s="73"/>
      <c r="BF1181" s="75"/>
      <c r="BG1181" s="73"/>
      <c r="BH1181" s="88"/>
      <c r="BI1181" s="73"/>
      <c r="BJ1181" s="73"/>
      <c r="BK1181" s="73"/>
      <c r="BL1181" s="73"/>
      <c r="BM1181" s="73"/>
      <c r="BN1181" s="73"/>
      <c r="BO1181" s="73"/>
      <c r="BP1181" s="73"/>
      <c r="BQ1181" s="73"/>
      <c r="BR1181" s="73"/>
      <c r="BS1181" s="73"/>
      <c r="BT1181" s="73"/>
      <c r="BU1181" s="73"/>
      <c r="BV1181" s="73"/>
      <c r="BW1181" s="73"/>
      <c r="BX1181" s="73"/>
      <c r="BY1181" s="73"/>
      <c r="BZ1181" s="73"/>
      <c r="CA1181" s="73"/>
      <c r="CB1181" s="73"/>
      <c r="CC1181" s="73"/>
      <c r="CD1181" s="73"/>
      <c r="CE1181" s="73"/>
      <c r="CF1181" s="73"/>
      <c r="CG1181" s="73"/>
      <c r="CH1181" s="73"/>
    </row>
    <row r="1182">
      <c r="A1182" s="73"/>
      <c r="B1182" s="73"/>
      <c r="C1182" s="73"/>
      <c r="D1182" s="73"/>
      <c r="E1182" s="140"/>
      <c r="F1182" s="80"/>
      <c r="G1182" s="80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  <c r="S1182" s="73"/>
      <c r="T1182" s="73"/>
      <c r="U1182" s="73"/>
      <c r="V1182" s="73"/>
      <c r="W1182" s="73"/>
      <c r="X1182" s="73"/>
      <c r="Y1182" s="73"/>
      <c r="Z1182" s="73"/>
      <c r="AA1182" s="73"/>
      <c r="AB1182" s="73"/>
      <c r="AC1182" s="73"/>
      <c r="AD1182" s="73"/>
      <c r="AE1182" s="73"/>
      <c r="AF1182" s="73"/>
      <c r="AG1182" s="73"/>
      <c r="AH1182" s="73"/>
      <c r="AI1182" s="73"/>
      <c r="AJ1182" s="168"/>
      <c r="AK1182" s="73"/>
      <c r="AL1182" s="73"/>
      <c r="AM1182" s="73"/>
      <c r="AN1182" s="73"/>
      <c r="AO1182" s="73"/>
      <c r="AP1182" s="73"/>
      <c r="AQ1182" s="73"/>
      <c r="AR1182" s="73"/>
      <c r="AS1182" s="73"/>
      <c r="AT1182" s="73"/>
      <c r="AU1182" s="73"/>
      <c r="AV1182" s="73"/>
      <c r="AW1182" s="73"/>
      <c r="AX1182" s="73"/>
      <c r="AY1182" s="73"/>
      <c r="AZ1182" s="73"/>
      <c r="BA1182" s="73"/>
      <c r="BB1182" s="73"/>
      <c r="BC1182" s="73"/>
      <c r="BD1182" s="73"/>
      <c r="BE1182" s="73"/>
      <c r="BF1182" s="75"/>
      <c r="BG1182" s="73"/>
      <c r="BH1182" s="88"/>
      <c r="BI1182" s="73"/>
      <c r="BJ1182" s="73"/>
      <c r="BK1182" s="73"/>
      <c r="BL1182" s="73"/>
      <c r="BM1182" s="73"/>
      <c r="BN1182" s="73"/>
      <c r="BO1182" s="73"/>
      <c r="BP1182" s="73"/>
      <c r="BQ1182" s="73"/>
      <c r="BR1182" s="73"/>
      <c r="BS1182" s="73"/>
      <c r="BT1182" s="73"/>
      <c r="BU1182" s="73"/>
      <c r="BV1182" s="73"/>
      <c r="BW1182" s="73"/>
      <c r="BX1182" s="73"/>
      <c r="BY1182" s="73"/>
      <c r="BZ1182" s="73"/>
      <c r="CA1182" s="73"/>
      <c r="CB1182" s="73"/>
      <c r="CC1182" s="73"/>
      <c r="CD1182" s="73"/>
      <c r="CE1182" s="73"/>
      <c r="CF1182" s="73"/>
      <c r="CG1182" s="73"/>
      <c r="CH1182" s="73"/>
    </row>
    <row r="1183">
      <c r="A1183" s="73"/>
      <c r="B1183" s="73"/>
      <c r="C1183" s="73"/>
      <c r="D1183" s="73"/>
      <c r="E1183" s="140"/>
      <c r="F1183" s="80"/>
      <c r="G1183" s="80"/>
      <c r="H1183" s="73"/>
      <c r="I1183" s="73"/>
      <c r="J1183" s="73"/>
      <c r="K1183" s="73"/>
      <c r="L1183" s="73"/>
      <c r="M1183" s="73"/>
      <c r="N1183" s="73"/>
      <c r="O1183" s="73"/>
      <c r="P1183" s="73"/>
      <c r="Q1183" s="73"/>
      <c r="R1183" s="73"/>
      <c r="S1183" s="73"/>
      <c r="T1183" s="73"/>
      <c r="U1183" s="73"/>
      <c r="V1183" s="73"/>
      <c r="W1183" s="73"/>
      <c r="X1183" s="73"/>
      <c r="Y1183" s="73"/>
      <c r="Z1183" s="73"/>
      <c r="AA1183" s="73"/>
      <c r="AB1183" s="73"/>
      <c r="AC1183" s="73"/>
      <c r="AD1183" s="73"/>
      <c r="AE1183" s="73"/>
      <c r="AF1183" s="73"/>
      <c r="AG1183" s="73"/>
      <c r="AH1183" s="73"/>
      <c r="AI1183" s="73"/>
      <c r="AJ1183" s="168"/>
      <c r="AK1183" s="73"/>
      <c r="AL1183" s="73"/>
      <c r="AM1183" s="73"/>
      <c r="AN1183" s="73"/>
      <c r="AO1183" s="73"/>
      <c r="AP1183" s="73"/>
      <c r="AQ1183" s="73"/>
      <c r="AR1183" s="73"/>
      <c r="AS1183" s="73"/>
      <c r="AT1183" s="73"/>
      <c r="AU1183" s="73"/>
      <c r="AV1183" s="73"/>
      <c r="AW1183" s="73"/>
      <c r="AX1183" s="73"/>
      <c r="AY1183" s="73"/>
      <c r="AZ1183" s="73"/>
      <c r="BA1183" s="73"/>
      <c r="BB1183" s="73"/>
      <c r="BC1183" s="73"/>
      <c r="BD1183" s="73"/>
      <c r="BE1183" s="73"/>
      <c r="BF1183" s="75"/>
      <c r="BG1183" s="73"/>
      <c r="BH1183" s="88"/>
      <c r="BI1183" s="73"/>
      <c r="BJ1183" s="73"/>
      <c r="BK1183" s="73"/>
      <c r="BL1183" s="73"/>
      <c r="BM1183" s="73"/>
      <c r="BN1183" s="73"/>
      <c r="BO1183" s="73"/>
      <c r="BP1183" s="73"/>
      <c r="BQ1183" s="73"/>
      <c r="BR1183" s="73"/>
      <c r="BS1183" s="73"/>
      <c r="BT1183" s="73"/>
      <c r="BU1183" s="73"/>
      <c r="BV1183" s="73"/>
      <c r="BW1183" s="73"/>
      <c r="BX1183" s="73"/>
      <c r="BY1183" s="73"/>
      <c r="BZ1183" s="73"/>
      <c r="CA1183" s="73"/>
      <c r="CB1183" s="73"/>
      <c r="CC1183" s="73"/>
      <c r="CD1183" s="73"/>
      <c r="CE1183" s="73"/>
      <c r="CF1183" s="73"/>
      <c r="CG1183" s="73"/>
      <c r="CH1183" s="73"/>
    </row>
    <row r="1184">
      <c r="A1184" s="73"/>
      <c r="B1184" s="73"/>
      <c r="C1184" s="73"/>
      <c r="D1184" s="73"/>
      <c r="E1184" s="140"/>
      <c r="F1184" s="80"/>
      <c r="G1184" s="80"/>
      <c r="H1184" s="73"/>
      <c r="I1184" s="73"/>
      <c r="J1184" s="73"/>
      <c r="K1184" s="73"/>
      <c r="L1184" s="73"/>
      <c r="M1184" s="73"/>
      <c r="N1184" s="73"/>
      <c r="O1184" s="73"/>
      <c r="P1184" s="73"/>
      <c r="Q1184" s="73"/>
      <c r="R1184" s="73"/>
      <c r="S1184" s="73"/>
      <c r="T1184" s="73"/>
      <c r="U1184" s="73"/>
      <c r="V1184" s="73"/>
      <c r="W1184" s="73"/>
      <c r="X1184" s="73"/>
      <c r="Y1184" s="73"/>
      <c r="Z1184" s="73"/>
      <c r="AA1184" s="73"/>
      <c r="AB1184" s="73"/>
      <c r="AC1184" s="73"/>
      <c r="AD1184" s="73"/>
      <c r="AE1184" s="73"/>
      <c r="AF1184" s="73"/>
      <c r="AG1184" s="73"/>
      <c r="AH1184" s="73"/>
      <c r="AI1184" s="73"/>
      <c r="AJ1184" s="168"/>
      <c r="AK1184" s="73"/>
      <c r="AL1184" s="73"/>
      <c r="AM1184" s="73"/>
      <c r="AN1184" s="73"/>
      <c r="AO1184" s="73"/>
      <c r="AP1184" s="73"/>
      <c r="AQ1184" s="73"/>
      <c r="AR1184" s="73"/>
      <c r="AS1184" s="73"/>
      <c r="AT1184" s="73"/>
      <c r="AU1184" s="73"/>
      <c r="AV1184" s="73"/>
      <c r="AW1184" s="73"/>
      <c r="AX1184" s="73"/>
      <c r="AY1184" s="73"/>
      <c r="AZ1184" s="73"/>
      <c r="BA1184" s="73"/>
      <c r="BB1184" s="73"/>
      <c r="BC1184" s="73"/>
      <c r="BD1184" s="73"/>
      <c r="BE1184" s="73"/>
      <c r="BF1184" s="75"/>
      <c r="BG1184" s="73"/>
      <c r="BH1184" s="88"/>
      <c r="BI1184" s="73"/>
      <c r="BJ1184" s="73"/>
      <c r="BK1184" s="73"/>
      <c r="BL1184" s="73"/>
      <c r="BM1184" s="73"/>
      <c r="BN1184" s="73"/>
      <c r="BO1184" s="73"/>
      <c r="BP1184" s="73"/>
      <c r="BQ1184" s="73"/>
      <c r="BR1184" s="73"/>
      <c r="BS1184" s="73"/>
      <c r="BT1184" s="73"/>
      <c r="BU1184" s="73"/>
      <c r="BV1184" s="73"/>
      <c r="BW1184" s="73"/>
      <c r="BX1184" s="73"/>
      <c r="BY1184" s="73"/>
      <c r="BZ1184" s="73"/>
      <c r="CA1184" s="73"/>
      <c r="CB1184" s="73"/>
      <c r="CC1184" s="73"/>
      <c r="CD1184" s="73"/>
      <c r="CE1184" s="73"/>
      <c r="CF1184" s="73"/>
      <c r="CG1184" s="73"/>
      <c r="CH1184" s="73"/>
    </row>
    <row r="1185">
      <c r="A1185" s="73"/>
      <c r="B1185" s="73"/>
      <c r="C1185" s="73"/>
      <c r="D1185" s="73"/>
      <c r="E1185" s="140"/>
      <c r="F1185" s="80"/>
      <c r="G1185" s="80"/>
      <c r="H1185" s="73"/>
      <c r="I1185" s="73"/>
      <c r="J1185" s="73"/>
      <c r="K1185" s="73"/>
      <c r="L1185" s="73"/>
      <c r="M1185" s="73"/>
      <c r="N1185" s="73"/>
      <c r="O1185" s="73"/>
      <c r="P1185" s="73"/>
      <c r="Q1185" s="73"/>
      <c r="R1185" s="73"/>
      <c r="S1185" s="73"/>
      <c r="T1185" s="73"/>
      <c r="U1185" s="73"/>
      <c r="V1185" s="73"/>
      <c r="W1185" s="73"/>
      <c r="X1185" s="73"/>
      <c r="Y1185" s="73"/>
      <c r="Z1185" s="73"/>
      <c r="AA1185" s="73"/>
      <c r="AB1185" s="73"/>
      <c r="AC1185" s="73"/>
      <c r="AD1185" s="73"/>
      <c r="AE1185" s="73"/>
      <c r="AF1185" s="73"/>
      <c r="AG1185" s="73"/>
      <c r="AH1185" s="73"/>
      <c r="AI1185" s="73"/>
      <c r="AJ1185" s="168"/>
      <c r="AK1185" s="73"/>
      <c r="AL1185" s="73"/>
      <c r="AM1185" s="73"/>
      <c r="AN1185" s="73"/>
      <c r="AO1185" s="73"/>
      <c r="AP1185" s="73"/>
      <c r="AQ1185" s="73"/>
      <c r="AR1185" s="73"/>
      <c r="AS1185" s="73"/>
      <c r="AT1185" s="73"/>
      <c r="AU1185" s="73"/>
      <c r="AV1185" s="73"/>
      <c r="AW1185" s="73"/>
      <c r="AX1185" s="73"/>
      <c r="AY1185" s="73"/>
      <c r="AZ1185" s="73"/>
      <c r="BA1185" s="73"/>
      <c r="BB1185" s="73"/>
      <c r="BC1185" s="73"/>
      <c r="BD1185" s="73"/>
      <c r="BE1185" s="73"/>
      <c r="BF1185" s="75"/>
      <c r="BG1185" s="73"/>
      <c r="BH1185" s="88"/>
      <c r="BI1185" s="73"/>
      <c r="BJ1185" s="73"/>
      <c r="BK1185" s="73"/>
      <c r="BL1185" s="73"/>
      <c r="BM1185" s="73"/>
      <c r="BN1185" s="73"/>
      <c r="BO1185" s="73"/>
      <c r="BP1185" s="73"/>
      <c r="BQ1185" s="73"/>
      <c r="BR1185" s="73"/>
      <c r="BS1185" s="73"/>
      <c r="BT1185" s="73"/>
      <c r="BU1185" s="73"/>
      <c r="BV1185" s="73"/>
      <c r="BW1185" s="73"/>
      <c r="BX1185" s="73"/>
      <c r="BY1185" s="73"/>
      <c r="BZ1185" s="73"/>
      <c r="CA1185" s="73"/>
      <c r="CB1185" s="73"/>
      <c r="CC1185" s="73"/>
      <c r="CD1185" s="73"/>
      <c r="CE1185" s="73"/>
      <c r="CF1185" s="73"/>
      <c r="CG1185" s="73"/>
      <c r="CH1185" s="73"/>
    </row>
    <row r="1186">
      <c r="A1186" s="73"/>
      <c r="B1186" s="73"/>
      <c r="C1186" s="73"/>
      <c r="D1186" s="73"/>
      <c r="E1186" s="140"/>
      <c r="F1186" s="80"/>
      <c r="G1186" s="80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  <c r="S1186" s="73"/>
      <c r="T1186" s="73"/>
      <c r="U1186" s="73"/>
      <c r="V1186" s="73"/>
      <c r="W1186" s="73"/>
      <c r="X1186" s="73"/>
      <c r="Y1186" s="73"/>
      <c r="Z1186" s="73"/>
      <c r="AA1186" s="73"/>
      <c r="AB1186" s="73"/>
      <c r="AC1186" s="73"/>
      <c r="AD1186" s="73"/>
      <c r="AE1186" s="73"/>
      <c r="AF1186" s="73"/>
      <c r="AG1186" s="73"/>
      <c r="AH1186" s="73"/>
      <c r="AI1186" s="73"/>
      <c r="AJ1186" s="168"/>
      <c r="AK1186" s="73"/>
      <c r="AL1186" s="73"/>
      <c r="AM1186" s="73"/>
      <c r="AN1186" s="73"/>
      <c r="AO1186" s="73"/>
      <c r="AP1186" s="73"/>
      <c r="AQ1186" s="73"/>
      <c r="AR1186" s="73"/>
      <c r="AS1186" s="73"/>
      <c r="AT1186" s="73"/>
      <c r="AU1186" s="73"/>
      <c r="AV1186" s="73"/>
      <c r="AW1186" s="73"/>
      <c r="AX1186" s="73"/>
      <c r="AY1186" s="73"/>
      <c r="AZ1186" s="73"/>
      <c r="BA1186" s="73"/>
      <c r="BB1186" s="73"/>
      <c r="BC1186" s="73"/>
      <c r="BD1186" s="73"/>
      <c r="BE1186" s="73"/>
      <c r="BF1186" s="75"/>
      <c r="BG1186" s="73"/>
      <c r="BH1186" s="88"/>
      <c r="BI1186" s="73"/>
      <c r="BJ1186" s="73"/>
      <c r="BK1186" s="73"/>
      <c r="BL1186" s="73"/>
      <c r="BM1186" s="73"/>
      <c r="BN1186" s="73"/>
      <c r="BO1186" s="73"/>
      <c r="BP1186" s="73"/>
      <c r="BQ1186" s="73"/>
      <c r="BR1186" s="73"/>
      <c r="BS1186" s="73"/>
      <c r="BT1186" s="73"/>
      <c r="BU1186" s="73"/>
      <c r="BV1186" s="73"/>
      <c r="BW1186" s="73"/>
      <c r="BX1186" s="73"/>
      <c r="BY1186" s="73"/>
      <c r="BZ1186" s="73"/>
      <c r="CA1186" s="73"/>
      <c r="CB1186" s="73"/>
      <c r="CC1186" s="73"/>
      <c r="CD1186" s="73"/>
      <c r="CE1186" s="73"/>
      <c r="CF1186" s="73"/>
      <c r="CG1186" s="73"/>
      <c r="CH1186" s="73"/>
    </row>
    <row r="1187">
      <c r="A1187" s="73"/>
      <c r="B1187" s="73"/>
      <c r="C1187" s="73"/>
      <c r="D1187" s="73"/>
      <c r="E1187" s="140"/>
      <c r="F1187" s="80"/>
      <c r="G1187" s="80"/>
      <c r="H1187" s="73"/>
      <c r="I1187" s="73"/>
      <c r="J1187" s="73"/>
      <c r="K1187" s="73"/>
      <c r="L1187" s="73"/>
      <c r="M1187" s="73"/>
      <c r="N1187" s="73"/>
      <c r="O1187" s="73"/>
      <c r="P1187" s="73"/>
      <c r="Q1187" s="73"/>
      <c r="R1187" s="73"/>
      <c r="S1187" s="73"/>
      <c r="T1187" s="73"/>
      <c r="U1187" s="73"/>
      <c r="V1187" s="73"/>
      <c r="W1187" s="73"/>
      <c r="X1187" s="73"/>
      <c r="Y1187" s="73"/>
      <c r="Z1187" s="73"/>
      <c r="AA1187" s="73"/>
      <c r="AB1187" s="73"/>
      <c r="AC1187" s="73"/>
      <c r="AD1187" s="73"/>
      <c r="AE1187" s="73"/>
      <c r="AF1187" s="73"/>
      <c r="AG1187" s="73"/>
      <c r="AH1187" s="73"/>
      <c r="AI1187" s="73"/>
      <c r="AJ1187" s="168"/>
      <c r="AK1187" s="73"/>
      <c r="AL1187" s="73"/>
      <c r="AM1187" s="73"/>
      <c r="AN1187" s="73"/>
      <c r="AO1187" s="73"/>
      <c r="AP1187" s="73"/>
      <c r="AQ1187" s="73"/>
      <c r="AR1187" s="73"/>
      <c r="AS1187" s="73"/>
      <c r="AT1187" s="73"/>
      <c r="AU1187" s="73"/>
      <c r="AV1187" s="73"/>
      <c r="AW1187" s="73"/>
      <c r="AX1187" s="73"/>
      <c r="AY1187" s="73"/>
      <c r="AZ1187" s="73"/>
      <c r="BA1187" s="73"/>
      <c r="BB1187" s="73"/>
      <c r="BC1187" s="73"/>
      <c r="BD1187" s="73"/>
      <c r="BE1187" s="73"/>
      <c r="BF1187" s="75"/>
      <c r="BG1187" s="73"/>
      <c r="BH1187" s="88"/>
      <c r="BI1187" s="73"/>
      <c r="BJ1187" s="73"/>
      <c r="BK1187" s="73"/>
      <c r="BL1187" s="73"/>
      <c r="BM1187" s="73"/>
      <c r="BN1187" s="73"/>
      <c r="BO1187" s="73"/>
      <c r="BP1187" s="73"/>
      <c r="BQ1187" s="73"/>
      <c r="BR1187" s="73"/>
      <c r="BS1187" s="73"/>
      <c r="BT1187" s="73"/>
      <c r="BU1187" s="73"/>
      <c r="BV1187" s="73"/>
      <c r="BW1187" s="73"/>
      <c r="BX1187" s="73"/>
      <c r="BY1187" s="73"/>
      <c r="BZ1187" s="73"/>
      <c r="CA1187" s="73"/>
      <c r="CB1187" s="73"/>
      <c r="CC1187" s="73"/>
      <c r="CD1187" s="73"/>
      <c r="CE1187" s="73"/>
      <c r="CF1187" s="73"/>
      <c r="CG1187" s="73"/>
      <c r="CH1187" s="73"/>
    </row>
    <row r="1188">
      <c r="A1188" s="73"/>
      <c r="B1188" s="73"/>
      <c r="C1188" s="73"/>
      <c r="D1188" s="73"/>
      <c r="E1188" s="140"/>
      <c r="F1188" s="80"/>
      <c r="G1188" s="80"/>
      <c r="H1188" s="73"/>
      <c r="I1188" s="73"/>
      <c r="J1188" s="73"/>
      <c r="K1188" s="73"/>
      <c r="L1188" s="73"/>
      <c r="M1188" s="73"/>
      <c r="N1188" s="73"/>
      <c r="O1188" s="73"/>
      <c r="P1188" s="73"/>
      <c r="Q1188" s="73"/>
      <c r="R1188" s="73"/>
      <c r="S1188" s="73"/>
      <c r="T1188" s="73"/>
      <c r="U1188" s="73"/>
      <c r="V1188" s="73"/>
      <c r="W1188" s="73"/>
      <c r="X1188" s="73"/>
      <c r="Y1188" s="73"/>
      <c r="Z1188" s="73"/>
      <c r="AA1188" s="73"/>
      <c r="AB1188" s="73"/>
      <c r="AC1188" s="73"/>
      <c r="AD1188" s="73"/>
      <c r="AE1188" s="73"/>
      <c r="AF1188" s="73"/>
      <c r="AG1188" s="73"/>
      <c r="AH1188" s="73"/>
      <c r="AI1188" s="73"/>
      <c r="AJ1188" s="168"/>
      <c r="AK1188" s="73"/>
      <c r="AL1188" s="73"/>
      <c r="AM1188" s="73"/>
      <c r="AN1188" s="73"/>
      <c r="AO1188" s="73"/>
      <c r="AP1188" s="73"/>
      <c r="AQ1188" s="73"/>
      <c r="AR1188" s="73"/>
      <c r="AS1188" s="73"/>
      <c r="AT1188" s="73"/>
      <c r="AU1188" s="73"/>
      <c r="AV1188" s="73"/>
      <c r="AW1188" s="73"/>
      <c r="AX1188" s="73"/>
      <c r="AY1188" s="73"/>
      <c r="AZ1188" s="73"/>
      <c r="BA1188" s="73"/>
      <c r="BB1188" s="73"/>
      <c r="BC1188" s="73"/>
      <c r="BD1188" s="73"/>
      <c r="BE1188" s="73"/>
      <c r="BF1188" s="75"/>
      <c r="BG1188" s="73"/>
      <c r="BH1188" s="88"/>
      <c r="BI1188" s="73"/>
      <c r="BJ1188" s="73"/>
      <c r="BK1188" s="73"/>
      <c r="BL1188" s="73"/>
      <c r="BM1188" s="73"/>
      <c r="BN1188" s="73"/>
      <c r="BO1188" s="73"/>
      <c r="BP1188" s="73"/>
      <c r="BQ1188" s="73"/>
      <c r="BR1188" s="73"/>
      <c r="BS1188" s="73"/>
      <c r="BT1188" s="73"/>
      <c r="BU1188" s="73"/>
      <c r="BV1188" s="73"/>
      <c r="BW1188" s="73"/>
      <c r="BX1188" s="73"/>
      <c r="BY1188" s="73"/>
      <c r="BZ1188" s="73"/>
      <c r="CA1188" s="73"/>
      <c r="CB1188" s="73"/>
      <c r="CC1188" s="73"/>
      <c r="CD1188" s="73"/>
      <c r="CE1188" s="73"/>
      <c r="CF1188" s="73"/>
      <c r="CG1188" s="73"/>
      <c r="CH1188" s="73"/>
    </row>
    <row r="1189">
      <c r="A1189" s="73"/>
      <c r="B1189" s="73"/>
      <c r="C1189" s="73"/>
      <c r="D1189" s="73"/>
      <c r="E1189" s="140"/>
      <c r="F1189" s="80"/>
      <c r="G1189" s="80"/>
      <c r="H1189" s="73"/>
      <c r="I1189" s="73"/>
      <c r="J1189" s="73"/>
      <c r="K1189" s="73"/>
      <c r="L1189" s="73"/>
      <c r="M1189" s="73"/>
      <c r="N1189" s="73"/>
      <c r="O1189" s="73"/>
      <c r="P1189" s="73"/>
      <c r="Q1189" s="73"/>
      <c r="R1189" s="73"/>
      <c r="S1189" s="73"/>
      <c r="T1189" s="73"/>
      <c r="U1189" s="73"/>
      <c r="V1189" s="73"/>
      <c r="W1189" s="73"/>
      <c r="X1189" s="73"/>
      <c r="Y1189" s="73"/>
      <c r="Z1189" s="73"/>
      <c r="AA1189" s="73"/>
      <c r="AB1189" s="73"/>
      <c r="AC1189" s="73"/>
      <c r="AD1189" s="73"/>
      <c r="AE1189" s="73"/>
      <c r="AF1189" s="73"/>
      <c r="AG1189" s="73"/>
      <c r="AH1189" s="73"/>
      <c r="AI1189" s="73"/>
      <c r="AJ1189" s="168"/>
      <c r="AK1189" s="73"/>
      <c r="AL1189" s="73"/>
      <c r="AM1189" s="73"/>
      <c r="AN1189" s="73"/>
      <c r="AO1189" s="73"/>
      <c r="AP1189" s="73"/>
      <c r="AQ1189" s="73"/>
      <c r="AR1189" s="73"/>
      <c r="AS1189" s="73"/>
      <c r="AT1189" s="73"/>
      <c r="AU1189" s="73"/>
      <c r="AV1189" s="73"/>
      <c r="AW1189" s="73"/>
      <c r="AX1189" s="73"/>
      <c r="AY1189" s="73"/>
      <c r="AZ1189" s="73"/>
      <c r="BA1189" s="73"/>
      <c r="BB1189" s="73"/>
      <c r="BC1189" s="73"/>
      <c r="BD1189" s="73"/>
      <c r="BE1189" s="73"/>
      <c r="BF1189" s="75"/>
      <c r="BG1189" s="73"/>
      <c r="BH1189" s="88"/>
      <c r="BI1189" s="73"/>
      <c r="BJ1189" s="73"/>
      <c r="BK1189" s="73"/>
      <c r="BL1189" s="73"/>
      <c r="BM1189" s="73"/>
      <c r="BN1189" s="73"/>
      <c r="BO1189" s="73"/>
      <c r="BP1189" s="73"/>
      <c r="BQ1189" s="73"/>
      <c r="BR1189" s="73"/>
      <c r="BS1189" s="73"/>
      <c r="BT1189" s="73"/>
      <c r="BU1189" s="73"/>
      <c r="BV1189" s="73"/>
      <c r="BW1189" s="73"/>
      <c r="BX1189" s="73"/>
      <c r="BY1189" s="73"/>
      <c r="BZ1189" s="73"/>
      <c r="CA1189" s="73"/>
      <c r="CB1189" s="73"/>
      <c r="CC1189" s="73"/>
      <c r="CD1189" s="73"/>
      <c r="CE1189" s="73"/>
      <c r="CF1189" s="73"/>
      <c r="CG1189" s="73"/>
      <c r="CH1189" s="73"/>
    </row>
    <row r="1190">
      <c r="A1190" s="73"/>
      <c r="B1190" s="73"/>
      <c r="C1190" s="73"/>
      <c r="D1190" s="73"/>
      <c r="E1190" s="140"/>
      <c r="F1190" s="80"/>
      <c r="G1190" s="80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  <c r="S1190" s="73"/>
      <c r="T1190" s="73"/>
      <c r="U1190" s="73"/>
      <c r="V1190" s="73"/>
      <c r="W1190" s="73"/>
      <c r="X1190" s="73"/>
      <c r="Y1190" s="73"/>
      <c r="Z1190" s="73"/>
      <c r="AA1190" s="73"/>
      <c r="AB1190" s="73"/>
      <c r="AC1190" s="73"/>
      <c r="AD1190" s="73"/>
      <c r="AE1190" s="73"/>
      <c r="AF1190" s="73"/>
      <c r="AG1190" s="73"/>
      <c r="AH1190" s="73"/>
      <c r="AI1190" s="73"/>
      <c r="AJ1190" s="168"/>
      <c r="AK1190" s="73"/>
      <c r="AL1190" s="73"/>
      <c r="AM1190" s="73"/>
      <c r="AN1190" s="73"/>
      <c r="AO1190" s="73"/>
      <c r="AP1190" s="73"/>
      <c r="AQ1190" s="73"/>
      <c r="AR1190" s="73"/>
      <c r="AS1190" s="73"/>
      <c r="AT1190" s="73"/>
      <c r="AU1190" s="73"/>
      <c r="AV1190" s="73"/>
      <c r="AW1190" s="73"/>
      <c r="AX1190" s="73"/>
      <c r="AY1190" s="73"/>
      <c r="AZ1190" s="73"/>
      <c r="BA1190" s="73"/>
      <c r="BB1190" s="73"/>
      <c r="BC1190" s="73"/>
      <c r="BD1190" s="73"/>
      <c r="BE1190" s="73"/>
      <c r="BF1190" s="75"/>
      <c r="BG1190" s="73"/>
      <c r="BH1190" s="88"/>
      <c r="BI1190" s="73"/>
      <c r="BJ1190" s="73"/>
      <c r="BK1190" s="73"/>
      <c r="BL1190" s="73"/>
      <c r="BM1190" s="73"/>
      <c r="BN1190" s="73"/>
      <c r="BO1190" s="73"/>
      <c r="BP1190" s="73"/>
      <c r="BQ1190" s="73"/>
      <c r="BR1190" s="73"/>
      <c r="BS1190" s="73"/>
      <c r="BT1190" s="73"/>
      <c r="BU1190" s="73"/>
      <c r="BV1190" s="73"/>
      <c r="BW1190" s="73"/>
      <c r="BX1190" s="73"/>
      <c r="BY1190" s="73"/>
      <c r="BZ1190" s="73"/>
      <c r="CA1190" s="73"/>
      <c r="CB1190" s="73"/>
      <c r="CC1190" s="73"/>
      <c r="CD1190" s="73"/>
      <c r="CE1190" s="73"/>
      <c r="CF1190" s="73"/>
      <c r="CG1190" s="73"/>
      <c r="CH1190" s="73"/>
    </row>
    <row r="1191">
      <c r="A1191" s="73"/>
      <c r="B1191" s="73"/>
      <c r="C1191" s="73"/>
      <c r="D1191" s="73"/>
      <c r="E1191" s="140"/>
      <c r="F1191" s="80"/>
      <c r="G1191" s="80"/>
      <c r="H1191" s="73"/>
      <c r="I1191" s="73"/>
      <c r="J1191" s="73"/>
      <c r="K1191" s="73"/>
      <c r="L1191" s="73"/>
      <c r="M1191" s="73"/>
      <c r="N1191" s="73"/>
      <c r="O1191" s="73"/>
      <c r="P1191" s="73"/>
      <c r="Q1191" s="73"/>
      <c r="R1191" s="73"/>
      <c r="S1191" s="73"/>
      <c r="T1191" s="73"/>
      <c r="U1191" s="73"/>
      <c r="V1191" s="73"/>
      <c r="W1191" s="73"/>
      <c r="X1191" s="73"/>
      <c r="Y1191" s="73"/>
      <c r="Z1191" s="73"/>
      <c r="AA1191" s="73"/>
      <c r="AB1191" s="73"/>
      <c r="AC1191" s="73"/>
      <c r="AD1191" s="73"/>
      <c r="AE1191" s="73"/>
      <c r="AF1191" s="73"/>
      <c r="AG1191" s="73"/>
      <c r="AH1191" s="73"/>
      <c r="AI1191" s="73"/>
      <c r="AJ1191" s="168"/>
      <c r="AK1191" s="73"/>
      <c r="AL1191" s="73"/>
      <c r="AM1191" s="73"/>
      <c r="AN1191" s="73"/>
      <c r="AO1191" s="73"/>
      <c r="AP1191" s="73"/>
      <c r="AQ1191" s="73"/>
      <c r="AR1191" s="73"/>
      <c r="AS1191" s="73"/>
      <c r="AT1191" s="73"/>
      <c r="AU1191" s="73"/>
      <c r="AV1191" s="73"/>
      <c r="AW1191" s="73"/>
      <c r="AX1191" s="73"/>
      <c r="AY1191" s="73"/>
      <c r="AZ1191" s="73"/>
      <c r="BA1191" s="73"/>
      <c r="BB1191" s="73"/>
      <c r="BC1191" s="73"/>
      <c r="BD1191" s="73"/>
      <c r="BE1191" s="73"/>
      <c r="BF1191" s="75"/>
      <c r="BG1191" s="73"/>
      <c r="BH1191" s="88"/>
      <c r="BI1191" s="73"/>
      <c r="BJ1191" s="73"/>
      <c r="BK1191" s="73"/>
      <c r="BL1191" s="73"/>
      <c r="BM1191" s="73"/>
      <c r="BN1191" s="73"/>
      <c r="BO1191" s="73"/>
      <c r="BP1191" s="73"/>
      <c r="BQ1191" s="73"/>
      <c r="BR1191" s="73"/>
      <c r="BS1191" s="73"/>
      <c r="BT1191" s="73"/>
      <c r="BU1191" s="73"/>
      <c r="BV1191" s="73"/>
      <c r="BW1191" s="73"/>
      <c r="BX1191" s="73"/>
      <c r="BY1191" s="73"/>
      <c r="BZ1191" s="73"/>
      <c r="CA1191" s="73"/>
      <c r="CB1191" s="73"/>
      <c r="CC1191" s="73"/>
      <c r="CD1191" s="73"/>
      <c r="CE1191" s="73"/>
      <c r="CF1191" s="73"/>
      <c r="CG1191" s="73"/>
      <c r="CH1191" s="73"/>
    </row>
    <row r="1192">
      <c r="A1192" s="73"/>
      <c r="B1192" s="73"/>
      <c r="C1192" s="73"/>
      <c r="D1192" s="73"/>
      <c r="E1192" s="140"/>
      <c r="F1192" s="80"/>
      <c r="G1192" s="80"/>
      <c r="H1192" s="73"/>
      <c r="I1192" s="73"/>
      <c r="J1192" s="73"/>
      <c r="K1192" s="73"/>
      <c r="L1192" s="73"/>
      <c r="M1192" s="73"/>
      <c r="N1192" s="73"/>
      <c r="O1192" s="73"/>
      <c r="P1192" s="73"/>
      <c r="Q1192" s="73"/>
      <c r="R1192" s="73"/>
      <c r="S1192" s="73"/>
      <c r="T1192" s="73"/>
      <c r="U1192" s="73"/>
      <c r="V1192" s="73"/>
      <c r="W1192" s="73"/>
      <c r="X1192" s="73"/>
      <c r="Y1192" s="73"/>
      <c r="Z1192" s="73"/>
      <c r="AA1192" s="73"/>
      <c r="AB1192" s="73"/>
      <c r="AC1192" s="73"/>
      <c r="AD1192" s="73"/>
      <c r="AE1192" s="73"/>
      <c r="AF1192" s="73"/>
      <c r="AG1192" s="73"/>
      <c r="AH1192" s="73"/>
      <c r="AI1192" s="73"/>
      <c r="AJ1192" s="168"/>
      <c r="AK1192" s="73"/>
      <c r="AL1192" s="73"/>
      <c r="AM1192" s="73"/>
      <c r="AN1192" s="73"/>
      <c r="AO1192" s="73"/>
      <c r="AP1192" s="73"/>
      <c r="AQ1192" s="73"/>
      <c r="AR1192" s="73"/>
      <c r="AS1192" s="73"/>
      <c r="AT1192" s="73"/>
      <c r="AU1192" s="73"/>
      <c r="AV1192" s="73"/>
      <c r="AW1192" s="73"/>
      <c r="AX1192" s="73"/>
      <c r="AY1192" s="73"/>
      <c r="AZ1192" s="73"/>
      <c r="BA1192" s="73"/>
      <c r="BB1192" s="73"/>
      <c r="BC1192" s="73"/>
      <c r="BD1192" s="73"/>
      <c r="BE1192" s="73"/>
      <c r="BF1192" s="75"/>
      <c r="BG1192" s="73"/>
      <c r="BH1192" s="88"/>
      <c r="BI1192" s="73"/>
      <c r="BJ1192" s="73"/>
      <c r="BK1192" s="73"/>
      <c r="BL1192" s="73"/>
      <c r="BM1192" s="73"/>
      <c r="BN1192" s="73"/>
      <c r="BO1192" s="73"/>
      <c r="BP1192" s="73"/>
      <c r="BQ1192" s="73"/>
      <c r="BR1192" s="73"/>
      <c r="BS1192" s="73"/>
      <c r="BT1192" s="73"/>
      <c r="BU1192" s="73"/>
      <c r="BV1192" s="73"/>
      <c r="BW1192" s="73"/>
      <c r="BX1192" s="73"/>
      <c r="BY1192" s="73"/>
      <c r="BZ1192" s="73"/>
      <c r="CA1192" s="73"/>
      <c r="CB1192" s="73"/>
      <c r="CC1192" s="73"/>
      <c r="CD1192" s="73"/>
      <c r="CE1192" s="73"/>
      <c r="CF1192" s="73"/>
      <c r="CG1192" s="73"/>
      <c r="CH1192" s="73"/>
    </row>
    <row r="1193">
      <c r="A1193" s="73"/>
      <c r="B1193" s="73"/>
      <c r="C1193" s="73"/>
      <c r="D1193" s="73"/>
      <c r="E1193" s="140"/>
      <c r="F1193" s="80"/>
      <c r="G1193" s="80"/>
      <c r="H1193" s="73"/>
      <c r="I1193" s="73"/>
      <c r="J1193" s="73"/>
      <c r="K1193" s="73"/>
      <c r="L1193" s="73"/>
      <c r="M1193" s="73"/>
      <c r="N1193" s="73"/>
      <c r="O1193" s="73"/>
      <c r="P1193" s="73"/>
      <c r="Q1193" s="73"/>
      <c r="R1193" s="73"/>
      <c r="S1193" s="73"/>
      <c r="T1193" s="73"/>
      <c r="U1193" s="73"/>
      <c r="V1193" s="73"/>
      <c r="W1193" s="73"/>
      <c r="X1193" s="73"/>
      <c r="Y1193" s="73"/>
      <c r="Z1193" s="73"/>
      <c r="AA1193" s="73"/>
      <c r="AB1193" s="73"/>
      <c r="AC1193" s="73"/>
      <c r="AD1193" s="73"/>
      <c r="AE1193" s="73"/>
      <c r="AF1193" s="73"/>
      <c r="AG1193" s="73"/>
      <c r="AH1193" s="73"/>
      <c r="AI1193" s="73"/>
      <c r="AJ1193" s="168"/>
      <c r="AK1193" s="73"/>
      <c r="AL1193" s="73"/>
      <c r="AM1193" s="73"/>
      <c r="AN1193" s="73"/>
      <c r="AO1193" s="73"/>
      <c r="AP1193" s="73"/>
      <c r="AQ1193" s="73"/>
      <c r="AR1193" s="73"/>
      <c r="AS1193" s="73"/>
      <c r="AT1193" s="73"/>
      <c r="AU1193" s="73"/>
      <c r="AV1193" s="73"/>
      <c r="AW1193" s="73"/>
      <c r="AX1193" s="73"/>
      <c r="AY1193" s="73"/>
      <c r="AZ1193" s="73"/>
      <c r="BA1193" s="73"/>
      <c r="BB1193" s="73"/>
      <c r="BC1193" s="73"/>
      <c r="BD1193" s="73"/>
      <c r="BE1193" s="73"/>
      <c r="BF1193" s="75"/>
      <c r="BG1193" s="73"/>
      <c r="BH1193" s="88"/>
      <c r="BI1193" s="73"/>
      <c r="BJ1193" s="73"/>
      <c r="BK1193" s="73"/>
      <c r="BL1193" s="73"/>
      <c r="BM1193" s="73"/>
      <c r="BN1193" s="73"/>
      <c r="BO1193" s="73"/>
      <c r="BP1193" s="73"/>
      <c r="BQ1193" s="73"/>
      <c r="BR1193" s="73"/>
      <c r="BS1193" s="73"/>
      <c r="BT1193" s="73"/>
      <c r="BU1193" s="73"/>
      <c r="BV1193" s="73"/>
      <c r="BW1193" s="73"/>
      <c r="BX1193" s="73"/>
      <c r="BY1193" s="73"/>
      <c r="BZ1193" s="73"/>
      <c r="CA1193" s="73"/>
      <c r="CB1193" s="73"/>
      <c r="CC1193" s="73"/>
      <c r="CD1193" s="73"/>
      <c r="CE1193" s="73"/>
      <c r="CF1193" s="73"/>
      <c r="CG1193" s="73"/>
      <c r="CH1193" s="73"/>
    </row>
    <row r="1194">
      <c r="A1194" s="73"/>
      <c r="B1194" s="73"/>
      <c r="C1194" s="73"/>
      <c r="D1194" s="73"/>
      <c r="E1194" s="140"/>
      <c r="F1194" s="80"/>
      <c r="G1194" s="80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  <c r="S1194" s="73"/>
      <c r="T1194" s="73"/>
      <c r="U1194" s="73"/>
      <c r="V1194" s="73"/>
      <c r="W1194" s="73"/>
      <c r="X1194" s="73"/>
      <c r="Y1194" s="73"/>
      <c r="Z1194" s="73"/>
      <c r="AA1194" s="73"/>
      <c r="AB1194" s="73"/>
      <c r="AC1194" s="73"/>
      <c r="AD1194" s="73"/>
      <c r="AE1194" s="73"/>
      <c r="AF1194" s="73"/>
      <c r="AG1194" s="73"/>
      <c r="AH1194" s="73"/>
      <c r="AI1194" s="73"/>
      <c r="AJ1194" s="168"/>
      <c r="AK1194" s="73"/>
      <c r="AL1194" s="73"/>
      <c r="AM1194" s="73"/>
      <c r="AN1194" s="73"/>
      <c r="AO1194" s="73"/>
      <c r="AP1194" s="73"/>
      <c r="AQ1194" s="73"/>
      <c r="AR1194" s="73"/>
      <c r="AS1194" s="73"/>
      <c r="AT1194" s="73"/>
      <c r="AU1194" s="73"/>
      <c r="AV1194" s="73"/>
      <c r="AW1194" s="73"/>
      <c r="AX1194" s="73"/>
      <c r="AY1194" s="73"/>
      <c r="AZ1194" s="73"/>
      <c r="BA1194" s="73"/>
      <c r="BB1194" s="73"/>
      <c r="BC1194" s="73"/>
      <c r="BD1194" s="73"/>
      <c r="BE1194" s="73"/>
      <c r="BF1194" s="75"/>
      <c r="BG1194" s="73"/>
      <c r="BH1194" s="88"/>
      <c r="BI1194" s="73"/>
      <c r="BJ1194" s="73"/>
      <c r="BK1194" s="73"/>
      <c r="BL1194" s="73"/>
      <c r="BM1194" s="73"/>
      <c r="BN1194" s="73"/>
      <c r="BO1194" s="73"/>
      <c r="BP1194" s="73"/>
      <c r="BQ1194" s="73"/>
      <c r="BR1194" s="73"/>
      <c r="BS1194" s="73"/>
      <c r="BT1194" s="73"/>
      <c r="BU1194" s="73"/>
      <c r="BV1194" s="73"/>
      <c r="BW1194" s="73"/>
      <c r="BX1194" s="73"/>
      <c r="BY1194" s="73"/>
      <c r="BZ1194" s="73"/>
      <c r="CA1194" s="73"/>
      <c r="CB1194" s="73"/>
      <c r="CC1194" s="73"/>
      <c r="CD1194" s="73"/>
      <c r="CE1194" s="73"/>
      <c r="CF1194" s="73"/>
      <c r="CG1194" s="73"/>
      <c r="CH1194" s="73"/>
    </row>
    <row r="1195">
      <c r="A1195" s="73"/>
      <c r="B1195" s="73"/>
      <c r="C1195" s="73"/>
      <c r="D1195" s="73"/>
      <c r="E1195" s="140"/>
      <c r="F1195" s="80"/>
      <c r="G1195" s="80"/>
      <c r="H1195" s="73"/>
      <c r="I1195" s="73"/>
      <c r="J1195" s="73"/>
      <c r="K1195" s="73"/>
      <c r="L1195" s="73"/>
      <c r="M1195" s="73"/>
      <c r="N1195" s="73"/>
      <c r="O1195" s="73"/>
      <c r="P1195" s="73"/>
      <c r="Q1195" s="73"/>
      <c r="R1195" s="73"/>
      <c r="S1195" s="73"/>
      <c r="T1195" s="73"/>
      <c r="U1195" s="73"/>
      <c r="V1195" s="73"/>
      <c r="W1195" s="73"/>
      <c r="X1195" s="73"/>
      <c r="Y1195" s="73"/>
      <c r="Z1195" s="73"/>
      <c r="AA1195" s="73"/>
      <c r="AB1195" s="73"/>
      <c r="AC1195" s="73"/>
      <c r="AD1195" s="73"/>
      <c r="AE1195" s="73"/>
      <c r="AF1195" s="73"/>
      <c r="AG1195" s="73"/>
      <c r="AH1195" s="73"/>
      <c r="AI1195" s="73"/>
      <c r="AJ1195" s="168"/>
      <c r="AK1195" s="73"/>
      <c r="AL1195" s="73"/>
      <c r="AM1195" s="73"/>
      <c r="AN1195" s="73"/>
      <c r="AO1195" s="73"/>
      <c r="AP1195" s="73"/>
      <c r="AQ1195" s="73"/>
      <c r="AR1195" s="73"/>
      <c r="AS1195" s="73"/>
      <c r="AT1195" s="73"/>
      <c r="AU1195" s="73"/>
      <c r="AV1195" s="73"/>
      <c r="AW1195" s="73"/>
      <c r="AX1195" s="73"/>
      <c r="AY1195" s="73"/>
      <c r="AZ1195" s="73"/>
      <c r="BA1195" s="73"/>
      <c r="BB1195" s="73"/>
      <c r="BC1195" s="73"/>
      <c r="BD1195" s="73"/>
      <c r="BE1195" s="73"/>
      <c r="BF1195" s="75"/>
      <c r="BG1195" s="73"/>
      <c r="BH1195" s="88"/>
      <c r="BI1195" s="73"/>
      <c r="BJ1195" s="73"/>
      <c r="BK1195" s="73"/>
      <c r="BL1195" s="73"/>
      <c r="BM1195" s="73"/>
      <c r="BN1195" s="73"/>
      <c r="BO1195" s="73"/>
      <c r="BP1195" s="73"/>
      <c r="BQ1195" s="73"/>
      <c r="BR1195" s="73"/>
      <c r="BS1195" s="73"/>
      <c r="BT1195" s="73"/>
      <c r="BU1195" s="73"/>
      <c r="BV1195" s="73"/>
      <c r="BW1195" s="73"/>
      <c r="BX1195" s="73"/>
      <c r="BY1195" s="73"/>
      <c r="BZ1195" s="73"/>
      <c r="CA1195" s="73"/>
      <c r="CB1195" s="73"/>
      <c r="CC1195" s="73"/>
      <c r="CD1195" s="73"/>
      <c r="CE1195" s="73"/>
      <c r="CF1195" s="73"/>
      <c r="CG1195" s="73"/>
      <c r="CH1195" s="73"/>
    </row>
    <row r="1196">
      <c r="A1196" s="73"/>
      <c r="B1196" s="73"/>
      <c r="C1196" s="73"/>
      <c r="D1196" s="73"/>
      <c r="E1196" s="140"/>
      <c r="F1196" s="80"/>
      <c r="G1196" s="80"/>
      <c r="H1196" s="73"/>
      <c r="I1196" s="73"/>
      <c r="J1196" s="73"/>
      <c r="K1196" s="73"/>
      <c r="L1196" s="73"/>
      <c r="M1196" s="73"/>
      <c r="N1196" s="73"/>
      <c r="O1196" s="73"/>
      <c r="P1196" s="73"/>
      <c r="Q1196" s="73"/>
      <c r="R1196" s="73"/>
      <c r="S1196" s="73"/>
      <c r="T1196" s="73"/>
      <c r="U1196" s="73"/>
      <c r="V1196" s="73"/>
      <c r="W1196" s="73"/>
      <c r="X1196" s="73"/>
      <c r="Y1196" s="73"/>
      <c r="Z1196" s="73"/>
      <c r="AA1196" s="73"/>
      <c r="AB1196" s="73"/>
      <c r="AC1196" s="73"/>
      <c r="AD1196" s="73"/>
      <c r="AE1196" s="73"/>
      <c r="AF1196" s="73"/>
      <c r="AG1196" s="73"/>
      <c r="AH1196" s="73"/>
      <c r="AI1196" s="73"/>
      <c r="AJ1196" s="168"/>
      <c r="AK1196" s="73"/>
      <c r="AL1196" s="73"/>
      <c r="AM1196" s="73"/>
      <c r="AN1196" s="73"/>
      <c r="AO1196" s="73"/>
      <c r="AP1196" s="73"/>
      <c r="AQ1196" s="73"/>
      <c r="AR1196" s="73"/>
      <c r="AS1196" s="73"/>
      <c r="AT1196" s="73"/>
      <c r="AU1196" s="73"/>
      <c r="AV1196" s="73"/>
      <c r="AW1196" s="73"/>
      <c r="AX1196" s="73"/>
      <c r="AY1196" s="73"/>
      <c r="AZ1196" s="73"/>
      <c r="BA1196" s="73"/>
      <c r="BB1196" s="73"/>
      <c r="BC1196" s="73"/>
      <c r="BD1196" s="73"/>
      <c r="BE1196" s="73"/>
      <c r="BF1196" s="75"/>
      <c r="BG1196" s="73"/>
      <c r="BH1196" s="88"/>
      <c r="BI1196" s="73"/>
      <c r="BJ1196" s="73"/>
      <c r="BK1196" s="73"/>
      <c r="BL1196" s="73"/>
      <c r="BM1196" s="73"/>
      <c r="BN1196" s="73"/>
      <c r="BO1196" s="73"/>
      <c r="BP1196" s="73"/>
      <c r="BQ1196" s="73"/>
      <c r="BR1196" s="73"/>
      <c r="BS1196" s="73"/>
      <c r="BT1196" s="73"/>
      <c r="BU1196" s="73"/>
      <c r="BV1196" s="73"/>
      <c r="BW1196" s="73"/>
      <c r="BX1196" s="73"/>
      <c r="BY1196" s="73"/>
      <c r="BZ1196" s="73"/>
      <c r="CA1196" s="73"/>
      <c r="CB1196" s="73"/>
      <c r="CC1196" s="73"/>
      <c r="CD1196" s="73"/>
      <c r="CE1196" s="73"/>
      <c r="CF1196" s="73"/>
      <c r="CG1196" s="73"/>
      <c r="CH1196" s="73"/>
    </row>
    <row r="1197">
      <c r="A1197" s="73"/>
      <c r="B1197" s="73"/>
      <c r="C1197" s="73"/>
      <c r="D1197" s="73"/>
      <c r="E1197" s="140"/>
      <c r="F1197" s="80"/>
      <c r="G1197" s="80"/>
      <c r="H1197" s="73"/>
      <c r="I1197" s="73"/>
      <c r="J1197" s="73"/>
      <c r="K1197" s="73"/>
      <c r="L1197" s="73"/>
      <c r="M1197" s="73"/>
      <c r="N1197" s="73"/>
      <c r="O1197" s="73"/>
      <c r="P1197" s="73"/>
      <c r="Q1197" s="73"/>
      <c r="R1197" s="73"/>
      <c r="S1197" s="73"/>
      <c r="T1197" s="73"/>
      <c r="U1197" s="73"/>
      <c r="V1197" s="73"/>
      <c r="W1197" s="73"/>
      <c r="X1197" s="73"/>
      <c r="Y1197" s="73"/>
      <c r="Z1197" s="73"/>
      <c r="AA1197" s="73"/>
      <c r="AB1197" s="73"/>
      <c r="AC1197" s="73"/>
      <c r="AD1197" s="73"/>
      <c r="AE1197" s="73"/>
      <c r="AF1197" s="73"/>
      <c r="AG1197" s="73"/>
      <c r="AH1197" s="73"/>
      <c r="AI1197" s="73"/>
      <c r="AJ1197" s="168"/>
      <c r="AK1197" s="73"/>
      <c r="AL1197" s="73"/>
      <c r="AM1197" s="73"/>
      <c r="AN1197" s="73"/>
      <c r="AO1197" s="73"/>
      <c r="AP1197" s="73"/>
      <c r="AQ1197" s="73"/>
      <c r="AR1197" s="73"/>
      <c r="AS1197" s="73"/>
      <c r="AT1197" s="73"/>
      <c r="AU1197" s="73"/>
      <c r="AV1197" s="73"/>
      <c r="AW1197" s="73"/>
      <c r="AX1197" s="73"/>
      <c r="AY1197" s="73"/>
      <c r="AZ1197" s="73"/>
      <c r="BA1197" s="73"/>
      <c r="BB1197" s="73"/>
      <c r="BC1197" s="73"/>
      <c r="BD1197" s="73"/>
      <c r="BE1197" s="73"/>
      <c r="BF1197" s="75"/>
      <c r="BG1197" s="73"/>
      <c r="BH1197" s="88"/>
      <c r="BI1197" s="73"/>
      <c r="BJ1197" s="73"/>
      <c r="BK1197" s="73"/>
      <c r="BL1197" s="73"/>
      <c r="BM1197" s="73"/>
      <c r="BN1197" s="73"/>
      <c r="BO1197" s="73"/>
      <c r="BP1197" s="73"/>
      <c r="BQ1197" s="73"/>
      <c r="BR1197" s="73"/>
      <c r="BS1197" s="73"/>
      <c r="BT1197" s="73"/>
      <c r="BU1197" s="73"/>
      <c r="BV1197" s="73"/>
      <c r="BW1197" s="73"/>
      <c r="BX1197" s="73"/>
      <c r="BY1197" s="73"/>
      <c r="BZ1197" s="73"/>
      <c r="CA1197" s="73"/>
      <c r="CB1197" s="73"/>
      <c r="CC1197" s="73"/>
      <c r="CD1197" s="73"/>
      <c r="CE1197" s="73"/>
      <c r="CF1197" s="73"/>
      <c r="CG1197" s="73"/>
      <c r="CH1197" s="73"/>
    </row>
    <row r="1198">
      <c r="A1198" s="73"/>
      <c r="B1198" s="73"/>
      <c r="C1198" s="73"/>
      <c r="D1198" s="73"/>
      <c r="E1198" s="140"/>
      <c r="F1198" s="80"/>
      <c r="G1198" s="80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  <c r="S1198" s="73"/>
      <c r="T1198" s="73"/>
      <c r="U1198" s="73"/>
      <c r="V1198" s="73"/>
      <c r="W1198" s="73"/>
      <c r="X1198" s="73"/>
      <c r="Y1198" s="73"/>
      <c r="Z1198" s="73"/>
      <c r="AA1198" s="73"/>
      <c r="AB1198" s="73"/>
      <c r="AC1198" s="73"/>
      <c r="AD1198" s="73"/>
      <c r="AE1198" s="73"/>
      <c r="AF1198" s="73"/>
      <c r="AG1198" s="73"/>
      <c r="AH1198" s="73"/>
      <c r="AI1198" s="73"/>
      <c r="AJ1198" s="168"/>
      <c r="AK1198" s="73"/>
      <c r="AL1198" s="73"/>
      <c r="AM1198" s="73"/>
      <c r="AN1198" s="73"/>
      <c r="AO1198" s="73"/>
      <c r="AP1198" s="73"/>
      <c r="AQ1198" s="73"/>
      <c r="AR1198" s="73"/>
      <c r="AS1198" s="73"/>
      <c r="AT1198" s="73"/>
      <c r="AU1198" s="73"/>
      <c r="AV1198" s="73"/>
      <c r="AW1198" s="73"/>
      <c r="AX1198" s="73"/>
      <c r="AY1198" s="73"/>
      <c r="AZ1198" s="73"/>
      <c r="BA1198" s="73"/>
      <c r="BB1198" s="73"/>
      <c r="BC1198" s="73"/>
      <c r="BD1198" s="73"/>
      <c r="BE1198" s="73"/>
      <c r="BF1198" s="75"/>
      <c r="BG1198" s="73"/>
      <c r="BH1198" s="88"/>
      <c r="BI1198" s="73"/>
      <c r="BJ1198" s="73"/>
      <c r="BK1198" s="73"/>
      <c r="BL1198" s="73"/>
      <c r="BM1198" s="73"/>
      <c r="BN1198" s="73"/>
      <c r="BO1198" s="73"/>
      <c r="BP1198" s="73"/>
      <c r="BQ1198" s="73"/>
      <c r="BR1198" s="73"/>
      <c r="BS1198" s="73"/>
      <c r="BT1198" s="73"/>
      <c r="BU1198" s="73"/>
      <c r="BV1198" s="73"/>
      <c r="BW1198" s="73"/>
      <c r="BX1198" s="73"/>
      <c r="BY1198" s="73"/>
      <c r="BZ1198" s="73"/>
      <c r="CA1198" s="73"/>
      <c r="CB1198" s="73"/>
      <c r="CC1198" s="73"/>
      <c r="CD1198" s="73"/>
      <c r="CE1198" s="73"/>
      <c r="CF1198" s="73"/>
      <c r="CG1198" s="73"/>
      <c r="CH1198" s="73"/>
    </row>
    <row r="1199">
      <c r="A1199" s="73"/>
      <c r="B1199" s="73"/>
      <c r="C1199" s="73"/>
      <c r="D1199" s="73"/>
      <c r="E1199" s="140"/>
      <c r="F1199" s="80"/>
      <c r="G1199" s="80"/>
      <c r="H1199" s="73"/>
      <c r="I1199" s="73"/>
      <c r="J1199" s="73"/>
      <c r="K1199" s="73"/>
      <c r="L1199" s="73"/>
      <c r="M1199" s="73"/>
      <c r="N1199" s="73"/>
      <c r="O1199" s="73"/>
      <c r="P1199" s="73"/>
      <c r="Q1199" s="73"/>
      <c r="R1199" s="73"/>
      <c r="S1199" s="73"/>
      <c r="T1199" s="73"/>
      <c r="U1199" s="73"/>
      <c r="V1199" s="73"/>
      <c r="W1199" s="73"/>
      <c r="X1199" s="73"/>
      <c r="Y1199" s="73"/>
      <c r="Z1199" s="73"/>
      <c r="AA1199" s="73"/>
      <c r="AB1199" s="73"/>
      <c r="AC1199" s="73"/>
      <c r="AD1199" s="73"/>
      <c r="AE1199" s="73"/>
      <c r="AF1199" s="73"/>
      <c r="AG1199" s="73"/>
      <c r="AH1199" s="73"/>
      <c r="AI1199" s="73"/>
      <c r="AJ1199" s="168"/>
      <c r="AK1199" s="73"/>
      <c r="AL1199" s="73"/>
      <c r="AM1199" s="73"/>
      <c r="AN1199" s="73"/>
      <c r="AO1199" s="73"/>
      <c r="AP1199" s="73"/>
      <c r="AQ1199" s="73"/>
      <c r="AR1199" s="73"/>
      <c r="AS1199" s="73"/>
      <c r="AT1199" s="73"/>
      <c r="AU1199" s="73"/>
      <c r="AV1199" s="73"/>
      <c r="AW1199" s="73"/>
      <c r="AX1199" s="73"/>
      <c r="AY1199" s="73"/>
      <c r="AZ1199" s="73"/>
      <c r="BA1199" s="73"/>
      <c r="BB1199" s="73"/>
      <c r="BC1199" s="73"/>
      <c r="BD1199" s="73"/>
      <c r="BE1199" s="73"/>
      <c r="BF1199" s="75"/>
      <c r="BG1199" s="73"/>
      <c r="BH1199" s="88"/>
      <c r="BI1199" s="73"/>
      <c r="BJ1199" s="73"/>
      <c r="BK1199" s="73"/>
      <c r="BL1199" s="73"/>
      <c r="BM1199" s="73"/>
      <c r="BN1199" s="73"/>
      <c r="BO1199" s="73"/>
      <c r="BP1199" s="73"/>
      <c r="BQ1199" s="73"/>
      <c r="BR1199" s="73"/>
      <c r="BS1199" s="73"/>
      <c r="BT1199" s="73"/>
      <c r="BU1199" s="73"/>
      <c r="BV1199" s="73"/>
      <c r="BW1199" s="73"/>
      <c r="BX1199" s="73"/>
      <c r="BY1199" s="73"/>
      <c r="BZ1199" s="73"/>
      <c r="CA1199" s="73"/>
      <c r="CB1199" s="73"/>
      <c r="CC1199" s="73"/>
      <c r="CD1199" s="73"/>
      <c r="CE1199" s="73"/>
      <c r="CF1199" s="73"/>
      <c r="CG1199" s="73"/>
      <c r="CH1199" s="73"/>
    </row>
    <row r="1200">
      <c r="A1200" s="73"/>
      <c r="B1200" s="73"/>
      <c r="C1200" s="73"/>
      <c r="D1200" s="73"/>
      <c r="E1200" s="140"/>
      <c r="F1200" s="80"/>
      <c r="G1200" s="80"/>
      <c r="H1200" s="73"/>
      <c r="I1200" s="73"/>
      <c r="J1200" s="73"/>
      <c r="K1200" s="73"/>
      <c r="L1200" s="73"/>
      <c r="M1200" s="73"/>
      <c r="N1200" s="73"/>
      <c r="O1200" s="73"/>
      <c r="P1200" s="73"/>
      <c r="Q1200" s="73"/>
      <c r="R1200" s="73"/>
      <c r="S1200" s="73"/>
      <c r="T1200" s="73"/>
      <c r="U1200" s="73"/>
      <c r="V1200" s="73"/>
      <c r="W1200" s="73"/>
      <c r="X1200" s="73"/>
      <c r="Y1200" s="73"/>
      <c r="Z1200" s="73"/>
      <c r="AA1200" s="73"/>
      <c r="AB1200" s="73"/>
      <c r="AC1200" s="73"/>
      <c r="AD1200" s="73"/>
      <c r="AE1200" s="73"/>
      <c r="AF1200" s="73"/>
      <c r="AG1200" s="73"/>
      <c r="AH1200" s="73"/>
      <c r="AI1200" s="73"/>
      <c r="AJ1200" s="168"/>
      <c r="AK1200" s="73"/>
      <c r="AL1200" s="73"/>
      <c r="AM1200" s="73"/>
      <c r="AN1200" s="73"/>
      <c r="AO1200" s="73"/>
      <c r="AP1200" s="73"/>
      <c r="AQ1200" s="73"/>
      <c r="AR1200" s="73"/>
      <c r="AS1200" s="73"/>
      <c r="AT1200" s="73"/>
      <c r="AU1200" s="73"/>
      <c r="AV1200" s="73"/>
      <c r="AW1200" s="73"/>
      <c r="AX1200" s="73"/>
      <c r="AY1200" s="73"/>
      <c r="AZ1200" s="73"/>
      <c r="BA1200" s="73"/>
      <c r="BB1200" s="73"/>
      <c r="BC1200" s="73"/>
      <c r="BD1200" s="73"/>
      <c r="BE1200" s="73"/>
      <c r="BF1200" s="75"/>
      <c r="BG1200" s="73"/>
      <c r="BH1200" s="88"/>
      <c r="BI1200" s="73"/>
      <c r="BJ1200" s="73"/>
      <c r="BK1200" s="73"/>
      <c r="BL1200" s="73"/>
      <c r="BM1200" s="73"/>
      <c r="BN1200" s="73"/>
      <c r="BO1200" s="73"/>
      <c r="BP1200" s="73"/>
      <c r="BQ1200" s="73"/>
      <c r="BR1200" s="73"/>
      <c r="BS1200" s="73"/>
      <c r="BT1200" s="73"/>
      <c r="BU1200" s="73"/>
      <c r="BV1200" s="73"/>
      <c r="BW1200" s="73"/>
      <c r="BX1200" s="73"/>
      <c r="BY1200" s="73"/>
      <c r="BZ1200" s="73"/>
      <c r="CA1200" s="73"/>
      <c r="CB1200" s="73"/>
      <c r="CC1200" s="73"/>
      <c r="CD1200" s="73"/>
      <c r="CE1200" s="73"/>
      <c r="CF1200" s="73"/>
      <c r="CG1200" s="73"/>
      <c r="CH1200" s="73"/>
    </row>
    <row r="1201">
      <c r="A1201" s="73"/>
      <c r="B1201" s="73"/>
      <c r="C1201" s="73"/>
      <c r="D1201" s="73"/>
      <c r="E1201" s="140"/>
      <c r="F1201" s="80"/>
      <c r="G1201" s="80"/>
      <c r="H1201" s="73"/>
      <c r="I1201" s="73"/>
      <c r="J1201" s="73"/>
      <c r="K1201" s="73"/>
      <c r="L1201" s="73"/>
      <c r="M1201" s="73"/>
      <c r="N1201" s="73"/>
      <c r="O1201" s="73"/>
      <c r="P1201" s="73"/>
      <c r="Q1201" s="73"/>
      <c r="R1201" s="73"/>
      <c r="S1201" s="73"/>
      <c r="T1201" s="73"/>
      <c r="U1201" s="73"/>
      <c r="V1201" s="73"/>
      <c r="W1201" s="73"/>
      <c r="X1201" s="73"/>
      <c r="Y1201" s="73"/>
      <c r="Z1201" s="73"/>
      <c r="AA1201" s="73"/>
      <c r="AB1201" s="73"/>
      <c r="AC1201" s="73"/>
      <c r="AD1201" s="73"/>
      <c r="AE1201" s="73"/>
      <c r="AF1201" s="73"/>
      <c r="AG1201" s="73"/>
      <c r="AH1201" s="73"/>
      <c r="AI1201" s="73"/>
      <c r="AJ1201" s="168"/>
      <c r="AK1201" s="73"/>
      <c r="AL1201" s="73"/>
      <c r="AM1201" s="73"/>
      <c r="AN1201" s="73"/>
      <c r="AO1201" s="73"/>
      <c r="AP1201" s="73"/>
      <c r="AQ1201" s="73"/>
      <c r="AR1201" s="73"/>
      <c r="AS1201" s="73"/>
      <c r="AT1201" s="73"/>
      <c r="AU1201" s="73"/>
      <c r="AV1201" s="73"/>
      <c r="AW1201" s="73"/>
      <c r="AX1201" s="73"/>
      <c r="AY1201" s="73"/>
      <c r="AZ1201" s="73"/>
      <c r="BA1201" s="73"/>
      <c r="BB1201" s="73"/>
      <c r="BC1201" s="73"/>
      <c r="BD1201" s="73"/>
      <c r="BE1201" s="73"/>
      <c r="BF1201" s="75"/>
      <c r="BG1201" s="73"/>
      <c r="BH1201" s="88"/>
      <c r="BI1201" s="73"/>
      <c r="BJ1201" s="73"/>
      <c r="BK1201" s="73"/>
      <c r="BL1201" s="73"/>
      <c r="BM1201" s="73"/>
      <c r="BN1201" s="73"/>
      <c r="BO1201" s="73"/>
      <c r="BP1201" s="73"/>
      <c r="BQ1201" s="73"/>
      <c r="BR1201" s="73"/>
      <c r="BS1201" s="73"/>
      <c r="BT1201" s="73"/>
      <c r="BU1201" s="73"/>
      <c r="BV1201" s="73"/>
      <c r="BW1201" s="73"/>
      <c r="BX1201" s="73"/>
      <c r="BY1201" s="73"/>
      <c r="BZ1201" s="73"/>
      <c r="CA1201" s="73"/>
      <c r="CB1201" s="73"/>
      <c r="CC1201" s="73"/>
      <c r="CD1201" s="73"/>
      <c r="CE1201" s="73"/>
      <c r="CF1201" s="73"/>
      <c r="CG1201" s="73"/>
      <c r="CH1201" s="73"/>
    </row>
    <row r="1202">
      <c r="A1202" s="73"/>
      <c r="B1202" s="73"/>
      <c r="C1202" s="73"/>
      <c r="D1202" s="73"/>
      <c r="E1202" s="140"/>
      <c r="F1202" s="80"/>
      <c r="G1202" s="80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  <c r="S1202" s="73"/>
      <c r="T1202" s="73"/>
      <c r="U1202" s="73"/>
      <c r="V1202" s="73"/>
      <c r="W1202" s="73"/>
      <c r="X1202" s="73"/>
      <c r="Y1202" s="73"/>
      <c r="Z1202" s="73"/>
      <c r="AA1202" s="73"/>
      <c r="AB1202" s="73"/>
      <c r="AC1202" s="73"/>
      <c r="AD1202" s="73"/>
      <c r="AE1202" s="73"/>
      <c r="AF1202" s="73"/>
      <c r="AG1202" s="73"/>
      <c r="AH1202" s="73"/>
      <c r="AI1202" s="73"/>
      <c r="AJ1202" s="168"/>
      <c r="AK1202" s="73"/>
      <c r="AL1202" s="73"/>
      <c r="AM1202" s="73"/>
      <c r="AN1202" s="73"/>
      <c r="AO1202" s="73"/>
      <c r="AP1202" s="73"/>
      <c r="AQ1202" s="73"/>
      <c r="AR1202" s="73"/>
      <c r="AS1202" s="73"/>
      <c r="AT1202" s="73"/>
      <c r="AU1202" s="73"/>
      <c r="AV1202" s="73"/>
      <c r="AW1202" s="73"/>
      <c r="AX1202" s="73"/>
      <c r="AY1202" s="73"/>
      <c r="AZ1202" s="73"/>
      <c r="BA1202" s="73"/>
      <c r="BB1202" s="73"/>
      <c r="BC1202" s="73"/>
      <c r="BD1202" s="73"/>
      <c r="BE1202" s="73"/>
      <c r="BF1202" s="75"/>
      <c r="BG1202" s="73"/>
      <c r="BH1202" s="88"/>
      <c r="BI1202" s="73"/>
      <c r="BJ1202" s="73"/>
      <c r="BK1202" s="73"/>
      <c r="BL1202" s="73"/>
      <c r="BM1202" s="73"/>
      <c r="BN1202" s="73"/>
      <c r="BO1202" s="73"/>
      <c r="BP1202" s="73"/>
      <c r="BQ1202" s="73"/>
      <c r="BR1202" s="73"/>
      <c r="BS1202" s="73"/>
      <c r="BT1202" s="73"/>
      <c r="BU1202" s="73"/>
      <c r="BV1202" s="73"/>
      <c r="BW1202" s="73"/>
      <c r="BX1202" s="73"/>
      <c r="BY1202" s="73"/>
      <c r="BZ1202" s="73"/>
      <c r="CA1202" s="73"/>
      <c r="CB1202" s="73"/>
      <c r="CC1202" s="73"/>
      <c r="CD1202" s="73"/>
      <c r="CE1202" s="73"/>
      <c r="CF1202" s="73"/>
      <c r="CG1202" s="73"/>
      <c r="CH1202" s="73"/>
    </row>
    <row r="1203">
      <c r="A1203" s="73"/>
      <c r="B1203" s="73"/>
      <c r="C1203" s="73"/>
      <c r="D1203" s="73"/>
      <c r="E1203" s="140"/>
      <c r="F1203" s="80"/>
      <c r="G1203" s="80"/>
      <c r="H1203" s="73"/>
      <c r="I1203" s="73"/>
      <c r="J1203" s="73"/>
      <c r="K1203" s="73"/>
      <c r="L1203" s="73"/>
      <c r="M1203" s="73"/>
      <c r="N1203" s="73"/>
      <c r="O1203" s="73"/>
      <c r="P1203" s="73"/>
      <c r="Q1203" s="73"/>
      <c r="R1203" s="73"/>
      <c r="S1203" s="73"/>
      <c r="T1203" s="73"/>
      <c r="U1203" s="73"/>
      <c r="V1203" s="73"/>
      <c r="W1203" s="73"/>
      <c r="X1203" s="73"/>
      <c r="Y1203" s="73"/>
      <c r="Z1203" s="73"/>
      <c r="AA1203" s="73"/>
      <c r="AB1203" s="73"/>
      <c r="AC1203" s="73"/>
      <c r="AD1203" s="73"/>
      <c r="AE1203" s="73"/>
      <c r="AF1203" s="73"/>
      <c r="AG1203" s="73"/>
      <c r="AH1203" s="73"/>
      <c r="AI1203" s="73"/>
      <c r="AJ1203" s="168"/>
      <c r="AK1203" s="73"/>
      <c r="AL1203" s="73"/>
      <c r="AM1203" s="73"/>
      <c r="AN1203" s="73"/>
      <c r="AO1203" s="73"/>
      <c r="AP1203" s="73"/>
      <c r="AQ1203" s="73"/>
      <c r="AR1203" s="73"/>
      <c r="AS1203" s="73"/>
      <c r="AT1203" s="73"/>
      <c r="AU1203" s="73"/>
      <c r="AV1203" s="73"/>
      <c r="AW1203" s="73"/>
      <c r="AX1203" s="73"/>
      <c r="AY1203" s="73"/>
      <c r="AZ1203" s="73"/>
      <c r="BA1203" s="73"/>
      <c r="BB1203" s="73"/>
      <c r="BC1203" s="73"/>
      <c r="BD1203" s="73"/>
      <c r="BE1203" s="73"/>
      <c r="BF1203" s="75"/>
      <c r="BG1203" s="73"/>
      <c r="BH1203" s="88"/>
      <c r="BI1203" s="73"/>
      <c r="BJ1203" s="73"/>
      <c r="BK1203" s="73"/>
      <c r="BL1203" s="73"/>
      <c r="BM1203" s="73"/>
      <c r="BN1203" s="73"/>
      <c r="BO1203" s="73"/>
      <c r="BP1203" s="73"/>
      <c r="BQ1203" s="73"/>
      <c r="BR1203" s="73"/>
      <c r="BS1203" s="73"/>
      <c r="BT1203" s="73"/>
      <c r="BU1203" s="73"/>
      <c r="BV1203" s="73"/>
      <c r="BW1203" s="73"/>
      <c r="BX1203" s="73"/>
      <c r="BY1203" s="73"/>
      <c r="BZ1203" s="73"/>
      <c r="CA1203" s="73"/>
      <c r="CB1203" s="73"/>
      <c r="CC1203" s="73"/>
      <c r="CD1203" s="73"/>
      <c r="CE1203" s="73"/>
      <c r="CF1203" s="73"/>
      <c r="CG1203" s="73"/>
      <c r="CH1203" s="73"/>
    </row>
    <row r="1204">
      <c r="A1204" s="73"/>
      <c r="B1204" s="73"/>
      <c r="C1204" s="73"/>
      <c r="D1204" s="73"/>
      <c r="E1204" s="140"/>
      <c r="F1204" s="80"/>
      <c r="G1204" s="80"/>
      <c r="H1204" s="73"/>
      <c r="I1204" s="73"/>
      <c r="J1204" s="73"/>
      <c r="K1204" s="73"/>
      <c r="L1204" s="73"/>
      <c r="M1204" s="73"/>
      <c r="N1204" s="73"/>
      <c r="O1204" s="73"/>
      <c r="P1204" s="73"/>
      <c r="Q1204" s="73"/>
      <c r="R1204" s="73"/>
      <c r="S1204" s="73"/>
      <c r="T1204" s="73"/>
      <c r="U1204" s="73"/>
      <c r="V1204" s="73"/>
      <c r="W1204" s="73"/>
      <c r="X1204" s="73"/>
      <c r="Y1204" s="73"/>
      <c r="Z1204" s="73"/>
      <c r="AA1204" s="73"/>
      <c r="AB1204" s="73"/>
      <c r="AC1204" s="73"/>
      <c r="AD1204" s="73"/>
      <c r="AE1204" s="73"/>
      <c r="AF1204" s="73"/>
      <c r="AG1204" s="73"/>
      <c r="AH1204" s="73"/>
      <c r="AI1204" s="73"/>
      <c r="AJ1204" s="168"/>
      <c r="AK1204" s="73"/>
      <c r="AL1204" s="73"/>
      <c r="AM1204" s="73"/>
      <c r="AN1204" s="73"/>
      <c r="AO1204" s="73"/>
      <c r="AP1204" s="73"/>
      <c r="AQ1204" s="73"/>
      <c r="AR1204" s="73"/>
      <c r="AS1204" s="73"/>
      <c r="AT1204" s="73"/>
      <c r="AU1204" s="73"/>
      <c r="AV1204" s="73"/>
      <c r="AW1204" s="73"/>
      <c r="AX1204" s="73"/>
      <c r="AY1204" s="73"/>
      <c r="AZ1204" s="73"/>
      <c r="BA1204" s="73"/>
      <c r="BB1204" s="73"/>
      <c r="BC1204" s="73"/>
      <c r="BD1204" s="73"/>
      <c r="BE1204" s="73"/>
      <c r="BF1204" s="75"/>
      <c r="BG1204" s="73"/>
      <c r="BH1204" s="88"/>
      <c r="BI1204" s="73"/>
      <c r="BJ1204" s="73"/>
      <c r="BK1204" s="73"/>
      <c r="BL1204" s="73"/>
      <c r="BM1204" s="73"/>
      <c r="BN1204" s="73"/>
      <c r="BO1204" s="73"/>
      <c r="BP1204" s="73"/>
      <c r="BQ1204" s="73"/>
      <c r="BR1204" s="73"/>
      <c r="BS1204" s="73"/>
      <c r="BT1204" s="73"/>
      <c r="BU1204" s="73"/>
      <c r="BV1204" s="73"/>
      <c r="BW1204" s="73"/>
      <c r="BX1204" s="73"/>
      <c r="BY1204" s="73"/>
      <c r="BZ1204" s="73"/>
      <c r="CA1204" s="73"/>
      <c r="CB1204" s="73"/>
      <c r="CC1204" s="73"/>
      <c r="CD1204" s="73"/>
      <c r="CE1204" s="73"/>
      <c r="CF1204" s="73"/>
      <c r="CG1204" s="73"/>
      <c r="CH1204" s="73"/>
    </row>
    <row r="1205">
      <c r="A1205" s="73"/>
      <c r="B1205" s="73"/>
      <c r="C1205" s="73"/>
      <c r="D1205" s="73"/>
      <c r="E1205" s="140"/>
      <c r="F1205" s="80"/>
      <c r="G1205" s="80"/>
      <c r="H1205" s="73"/>
      <c r="I1205" s="73"/>
      <c r="J1205" s="73"/>
      <c r="K1205" s="73"/>
      <c r="L1205" s="73"/>
      <c r="M1205" s="73"/>
      <c r="N1205" s="73"/>
      <c r="O1205" s="73"/>
      <c r="P1205" s="73"/>
      <c r="Q1205" s="73"/>
      <c r="R1205" s="73"/>
      <c r="S1205" s="73"/>
      <c r="T1205" s="73"/>
      <c r="U1205" s="73"/>
      <c r="V1205" s="73"/>
      <c r="W1205" s="73"/>
      <c r="X1205" s="73"/>
      <c r="Y1205" s="73"/>
      <c r="Z1205" s="73"/>
      <c r="AA1205" s="73"/>
      <c r="AB1205" s="73"/>
      <c r="AC1205" s="73"/>
      <c r="AD1205" s="73"/>
      <c r="AE1205" s="73"/>
      <c r="AF1205" s="73"/>
      <c r="AG1205" s="73"/>
      <c r="AH1205" s="73"/>
      <c r="AI1205" s="73"/>
      <c r="AJ1205" s="168"/>
      <c r="AK1205" s="73"/>
      <c r="AL1205" s="73"/>
      <c r="AM1205" s="73"/>
      <c r="AN1205" s="73"/>
      <c r="AO1205" s="73"/>
      <c r="AP1205" s="73"/>
      <c r="AQ1205" s="73"/>
      <c r="AR1205" s="73"/>
      <c r="AS1205" s="73"/>
      <c r="AT1205" s="73"/>
      <c r="AU1205" s="73"/>
      <c r="AV1205" s="73"/>
      <c r="AW1205" s="73"/>
      <c r="AX1205" s="73"/>
      <c r="AY1205" s="73"/>
      <c r="AZ1205" s="73"/>
      <c r="BA1205" s="73"/>
      <c r="BB1205" s="73"/>
      <c r="BC1205" s="73"/>
      <c r="BD1205" s="73"/>
      <c r="BE1205" s="73"/>
      <c r="BF1205" s="75"/>
      <c r="BG1205" s="73"/>
      <c r="BH1205" s="88"/>
      <c r="BI1205" s="73"/>
      <c r="BJ1205" s="73"/>
      <c r="BK1205" s="73"/>
      <c r="BL1205" s="73"/>
      <c r="BM1205" s="73"/>
      <c r="BN1205" s="73"/>
      <c r="BO1205" s="73"/>
      <c r="BP1205" s="73"/>
      <c r="BQ1205" s="73"/>
      <c r="BR1205" s="73"/>
      <c r="BS1205" s="73"/>
      <c r="BT1205" s="73"/>
      <c r="BU1205" s="73"/>
      <c r="BV1205" s="73"/>
      <c r="BW1205" s="73"/>
      <c r="BX1205" s="73"/>
      <c r="BY1205" s="73"/>
      <c r="BZ1205" s="73"/>
      <c r="CA1205" s="73"/>
      <c r="CB1205" s="73"/>
      <c r="CC1205" s="73"/>
      <c r="CD1205" s="73"/>
      <c r="CE1205" s="73"/>
      <c r="CF1205" s="73"/>
      <c r="CG1205" s="73"/>
      <c r="CH1205" s="73"/>
    </row>
    <row r="1206">
      <c r="A1206" s="73"/>
      <c r="B1206" s="73"/>
      <c r="C1206" s="73"/>
      <c r="D1206" s="73"/>
      <c r="E1206" s="140"/>
      <c r="F1206" s="80"/>
      <c r="G1206" s="80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  <c r="S1206" s="73"/>
      <c r="T1206" s="73"/>
      <c r="U1206" s="73"/>
      <c r="V1206" s="73"/>
      <c r="W1206" s="73"/>
      <c r="X1206" s="73"/>
      <c r="Y1206" s="73"/>
      <c r="Z1206" s="73"/>
      <c r="AA1206" s="73"/>
      <c r="AB1206" s="73"/>
      <c r="AC1206" s="73"/>
      <c r="AD1206" s="73"/>
      <c r="AE1206" s="73"/>
      <c r="AF1206" s="73"/>
      <c r="AG1206" s="73"/>
      <c r="AH1206" s="73"/>
      <c r="AI1206" s="73"/>
      <c r="AJ1206" s="168"/>
      <c r="AK1206" s="73"/>
      <c r="AL1206" s="73"/>
      <c r="AM1206" s="73"/>
      <c r="AN1206" s="73"/>
      <c r="AO1206" s="73"/>
      <c r="AP1206" s="73"/>
      <c r="AQ1206" s="73"/>
      <c r="AR1206" s="73"/>
      <c r="AS1206" s="73"/>
      <c r="AT1206" s="73"/>
      <c r="AU1206" s="73"/>
      <c r="AV1206" s="73"/>
      <c r="AW1206" s="73"/>
      <c r="AX1206" s="73"/>
      <c r="AY1206" s="73"/>
      <c r="AZ1206" s="73"/>
      <c r="BA1206" s="73"/>
      <c r="BB1206" s="73"/>
      <c r="BC1206" s="73"/>
      <c r="BD1206" s="73"/>
      <c r="BE1206" s="73"/>
      <c r="BF1206" s="75"/>
      <c r="BG1206" s="73"/>
      <c r="BH1206" s="88"/>
      <c r="BI1206" s="73"/>
      <c r="BJ1206" s="73"/>
      <c r="BK1206" s="73"/>
      <c r="BL1206" s="73"/>
      <c r="BM1206" s="73"/>
      <c r="BN1206" s="73"/>
      <c r="BO1206" s="73"/>
      <c r="BP1206" s="73"/>
      <c r="BQ1206" s="73"/>
      <c r="BR1206" s="73"/>
      <c r="BS1206" s="73"/>
      <c r="BT1206" s="73"/>
      <c r="BU1206" s="73"/>
      <c r="BV1206" s="73"/>
      <c r="BW1206" s="73"/>
      <c r="BX1206" s="73"/>
      <c r="BY1206" s="73"/>
      <c r="BZ1206" s="73"/>
      <c r="CA1206" s="73"/>
      <c r="CB1206" s="73"/>
      <c r="CC1206" s="73"/>
      <c r="CD1206" s="73"/>
      <c r="CE1206" s="73"/>
      <c r="CF1206" s="73"/>
      <c r="CG1206" s="73"/>
      <c r="CH1206" s="73"/>
    </row>
    <row r="1207">
      <c r="A1207" s="73"/>
      <c r="B1207" s="73"/>
      <c r="C1207" s="73"/>
      <c r="D1207" s="73"/>
      <c r="E1207" s="140"/>
      <c r="F1207" s="80"/>
      <c r="G1207" s="80"/>
      <c r="H1207" s="73"/>
      <c r="I1207" s="73"/>
      <c r="J1207" s="73"/>
      <c r="K1207" s="73"/>
      <c r="L1207" s="73"/>
      <c r="M1207" s="73"/>
      <c r="N1207" s="73"/>
      <c r="O1207" s="73"/>
      <c r="P1207" s="73"/>
      <c r="Q1207" s="73"/>
      <c r="R1207" s="73"/>
      <c r="S1207" s="73"/>
      <c r="T1207" s="73"/>
      <c r="U1207" s="73"/>
      <c r="V1207" s="73"/>
      <c r="W1207" s="73"/>
      <c r="X1207" s="73"/>
      <c r="Y1207" s="73"/>
      <c r="Z1207" s="73"/>
      <c r="AA1207" s="73"/>
      <c r="AB1207" s="73"/>
      <c r="AC1207" s="73"/>
      <c r="AD1207" s="73"/>
      <c r="AE1207" s="73"/>
      <c r="AF1207" s="73"/>
      <c r="AG1207" s="73"/>
      <c r="AH1207" s="73"/>
      <c r="AI1207" s="73"/>
      <c r="AJ1207" s="168"/>
      <c r="AK1207" s="73"/>
      <c r="AL1207" s="73"/>
      <c r="AM1207" s="73"/>
      <c r="AN1207" s="73"/>
      <c r="AO1207" s="73"/>
      <c r="AP1207" s="73"/>
      <c r="AQ1207" s="73"/>
      <c r="AR1207" s="73"/>
      <c r="AS1207" s="73"/>
      <c r="AT1207" s="73"/>
      <c r="AU1207" s="73"/>
      <c r="AV1207" s="73"/>
      <c r="AW1207" s="73"/>
      <c r="AX1207" s="73"/>
      <c r="AY1207" s="73"/>
      <c r="AZ1207" s="73"/>
      <c r="BA1207" s="73"/>
      <c r="BB1207" s="73"/>
      <c r="BC1207" s="73"/>
      <c r="BD1207" s="73"/>
      <c r="BE1207" s="73"/>
      <c r="BF1207" s="75"/>
      <c r="BG1207" s="73"/>
      <c r="BH1207" s="88"/>
      <c r="BI1207" s="73"/>
      <c r="BJ1207" s="73"/>
      <c r="BK1207" s="73"/>
      <c r="BL1207" s="73"/>
      <c r="BM1207" s="73"/>
      <c r="BN1207" s="73"/>
      <c r="BO1207" s="73"/>
      <c r="BP1207" s="73"/>
      <c r="BQ1207" s="73"/>
      <c r="BR1207" s="73"/>
      <c r="BS1207" s="73"/>
      <c r="BT1207" s="73"/>
      <c r="BU1207" s="73"/>
      <c r="BV1207" s="73"/>
      <c r="BW1207" s="73"/>
      <c r="BX1207" s="73"/>
      <c r="BY1207" s="73"/>
      <c r="BZ1207" s="73"/>
      <c r="CA1207" s="73"/>
      <c r="CB1207" s="73"/>
      <c r="CC1207" s="73"/>
      <c r="CD1207" s="73"/>
      <c r="CE1207" s="73"/>
      <c r="CF1207" s="73"/>
      <c r="CG1207" s="73"/>
      <c r="CH1207" s="73"/>
    </row>
    <row r="1208">
      <c r="A1208" s="73"/>
      <c r="B1208" s="73"/>
      <c r="C1208" s="73"/>
      <c r="D1208" s="73"/>
      <c r="E1208" s="140"/>
      <c r="F1208" s="80"/>
      <c r="G1208" s="80"/>
      <c r="H1208" s="73"/>
      <c r="I1208" s="73"/>
      <c r="J1208" s="73"/>
      <c r="K1208" s="73"/>
      <c r="L1208" s="73"/>
      <c r="M1208" s="73"/>
      <c r="N1208" s="73"/>
      <c r="O1208" s="73"/>
      <c r="P1208" s="73"/>
      <c r="Q1208" s="73"/>
      <c r="R1208" s="73"/>
      <c r="S1208" s="73"/>
      <c r="T1208" s="73"/>
      <c r="U1208" s="73"/>
      <c r="V1208" s="73"/>
      <c r="W1208" s="73"/>
      <c r="X1208" s="73"/>
      <c r="Y1208" s="73"/>
      <c r="Z1208" s="73"/>
      <c r="AA1208" s="73"/>
      <c r="AB1208" s="73"/>
      <c r="AC1208" s="73"/>
      <c r="AD1208" s="73"/>
      <c r="AE1208" s="73"/>
      <c r="AF1208" s="73"/>
      <c r="AG1208" s="73"/>
      <c r="AH1208" s="73"/>
      <c r="AI1208" s="73"/>
      <c r="AJ1208" s="168"/>
      <c r="AK1208" s="73"/>
      <c r="AL1208" s="73"/>
      <c r="AM1208" s="73"/>
      <c r="AN1208" s="73"/>
      <c r="AO1208" s="73"/>
      <c r="AP1208" s="73"/>
      <c r="AQ1208" s="73"/>
      <c r="AR1208" s="73"/>
      <c r="AS1208" s="73"/>
      <c r="AT1208" s="73"/>
      <c r="AU1208" s="73"/>
      <c r="AV1208" s="73"/>
      <c r="AW1208" s="73"/>
      <c r="AX1208" s="73"/>
      <c r="AY1208" s="73"/>
      <c r="AZ1208" s="73"/>
      <c r="BA1208" s="73"/>
      <c r="BB1208" s="73"/>
      <c r="BC1208" s="73"/>
      <c r="BD1208" s="73"/>
      <c r="BE1208" s="73"/>
      <c r="BF1208" s="75"/>
      <c r="BG1208" s="73"/>
      <c r="BH1208" s="88"/>
      <c r="BI1208" s="73"/>
      <c r="BJ1208" s="73"/>
      <c r="BK1208" s="73"/>
      <c r="BL1208" s="73"/>
      <c r="BM1208" s="73"/>
      <c r="BN1208" s="73"/>
      <c r="BO1208" s="73"/>
      <c r="BP1208" s="73"/>
      <c r="BQ1208" s="73"/>
      <c r="BR1208" s="73"/>
      <c r="BS1208" s="73"/>
      <c r="BT1208" s="73"/>
      <c r="BU1208" s="73"/>
      <c r="BV1208" s="73"/>
      <c r="BW1208" s="73"/>
      <c r="BX1208" s="73"/>
      <c r="BY1208" s="73"/>
      <c r="BZ1208" s="73"/>
      <c r="CA1208" s="73"/>
      <c r="CB1208" s="73"/>
      <c r="CC1208" s="73"/>
      <c r="CD1208" s="73"/>
      <c r="CE1208" s="73"/>
      <c r="CF1208" s="73"/>
      <c r="CG1208" s="73"/>
      <c r="CH1208" s="73"/>
    </row>
    <row r="1209">
      <c r="A1209" s="73"/>
      <c r="B1209" s="73"/>
      <c r="C1209" s="73"/>
      <c r="D1209" s="73"/>
      <c r="E1209" s="140"/>
      <c r="F1209" s="80"/>
      <c r="G1209" s="80"/>
      <c r="H1209" s="73"/>
      <c r="I1209" s="73"/>
      <c r="J1209" s="73"/>
      <c r="K1209" s="73"/>
      <c r="L1209" s="73"/>
      <c r="M1209" s="73"/>
      <c r="N1209" s="73"/>
      <c r="O1209" s="73"/>
      <c r="P1209" s="73"/>
      <c r="Q1209" s="73"/>
      <c r="R1209" s="73"/>
      <c r="S1209" s="73"/>
      <c r="T1209" s="73"/>
      <c r="U1209" s="73"/>
      <c r="V1209" s="73"/>
      <c r="W1209" s="73"/>
      <c r="X1209" s="73"/>
      <c r="Y1209" s="73"/>
      <c r="Z1209" s="73"/>
      <c r="AA1209" s="73"/>
      <c r="AB1209" s="73"/>
      <c r="AC1209" s="73"/>
      <c r="AD1209" s="73"/>
      <c r="AE1209" s="73"/>
      <c r="AF1209" s="73"/>
      <c r="AG1209" s="73"/>
      <c r="AH1209" s="73"/>
      <c r="AI1209" s="73"/>
      <c r="AJ1209" s="168"/>
      <c r="AK1209" s="73"/>
      <c r="AL1209" s="73"/>
      <c r="AM1209" s="73"/>
      <c r="AN1209" s="73"/>
      <c r="AO1209" s="73"/>
      <c r="AP1209" s="73"/>
      <c r="AQ1209" s="73"/>
      <c r="AR1209" s="73"/>
      <c r="AS1209" s="73"/>
      <c r="AT1209" s="73"/>
      <c r="AU1209" s="73"/>
      <c r="AV1209" s="73"/>
      <c r="AW1209" s="73"/>
      <c r="AX1209" s="73"/>
      <c r="AY1209" s="73"/>
      <c r="AZ1209" s="73"/>
      <c r="BA1209" s="73"/>
      <c r="BB1209" s="73"/>
      <c r="BC1209" s="73"/>
      <c r="BD1209" s="73"/>
      <c r="BE1209" s="73"/>
      <c r="BF1209" s="75"/>
      <c r="BG1209" s="73"/>
      <c r="BH1209" s="88"/>
      <c r="BI1209" s="73"/>
      <c r="BJ1209" s="73"/>
      <c r="BK1209" s="73"/>
      <c r="BL1209" s="73"/>
      <c r="BM1209" s="73"/>
      <c r="BN1209" s="73"/>
      <c r="BO1209" s="73"/>
      <c r="BP1209" s="73"/>
      <c r="BQ1209" s="73"/>
      <c r="BR1209" s="73"/>
      <c r="BS1209" s="73"/>
      <c r="BT1209" s="73"/>
      <c r="BU1209" s="73"/>
      <c r="BV1209" s="73"/>
      <c r="BW1209" s="73"/>
      <c r="BX1209" s="73"/>
      <c r="BY1209" s="73"/>
      <c r="BZ1209" s="73"/>
      <c r="CA1209" s="73"/>
      <c r="CB1209" s="73"/>
      <c r="CC1209" s="73"/>
      <c r="CD1209" s="73"/>
      <c r="CE1209" s="73"/>
      <c r="CF1209" s="73"/>
      <c r="CG1209" s="73"/>
      <c r="CH1209" s="73"/>
    </row>
    <row r="1210">
      <c r="A1210" s="73"/>
      <c r="B1210" s="73"/>
      <c r="C1210" s="73"/>
      <c r="D1210" s="73"/>
      <c r="E1210" s="140"/>
      <c r="F1210" s="80"/>
      <c r="G1210" s="80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  <c r="S1210" s="73"/>
      <c r="T1210" s="73"/>
      <c r="U1210" s="73"/>
      <c r="V1210" s="73"/>
      <c r="W1210" s="73"/>
      <c r="X1210" s="73"/>
      <c r="Y1210" s="73"/>
      <c r="Z1210" s="73"/>
      <c r="AA1210" s="73"/>
      <c r="AB1210" s="73"/>
      <c r="AC1210" s="73"/>
      <c r="AD1210" s="73"/>
      <c r="AE1210" s="73"/>
      <c r="AF1210" s="73"/>
      <c r="AG1210" s="73"/>
      <c r="AH1210" s="73"/>
      <c r="AI1210" s="73"/>
      <c r="AJ1210" s="168"/>
      <c r="AK1210" s="73"/>
      <c r="AL1210" s="73"/>
      <c r="AM1210" s="73"/>
      <c r="AN1210" s="73"/>
      <c r="AO1210" s="73"/>
      <c r="AP1210" s="73"/>
      <c r="AQ1210" s="73"/>
      <c r="AR1210" s="73"/>
      <c r="AS1210" s="73"/>
      <c r="AT1210" s="73"/>
      <c r="AU1210" s="73"/>
      <c r="AV1210" s="73"/>
      <c r="AW1210" s="73"/>
      <c r="AX1210" s="73"/>
      <c r="AY1210" s="73"/>
      <c r="AZ1210" s="73"/>
      <c r="BA1210" s="73"/>
      <c r="BB1210" s="73"/>
      <c r="BC1210" s="73"/>
      <c r="BD1210" s="73"/>
      <c r="BE1210" s="73"/>
      <c r="BF1210" s="75"/>
      <c r="BG1210" s="73"/>
      <c r="BH1210" s="88"/>
      <c r="BI1210" s="73"/>
      <c r="BJ1210" s="73"/>
      <c r="BK1210" s="73"/>
      <c r="BL1210" s="73"/>
      <c r="BM1210" s="73"/>
      <c r="BN1210" s="73"/>
      <c r="BO1210" s="73"/>
      <c r="BP1210" s="73"/>
      <c r="BQ1210" s="73"/>
      <c r="BR1210" s="73"/>
      <c r="BS1210" s="73"/>
      <c r="BT1210" s="73"/>
      <c r="BU1210" s="73"/>
      <c r="BV1210" s="73"/>
      <c r="BW1210" s="73"/>
      <c r="BX1210" s="73"/>
      <c r="BY1210" s="73"/>
      <c r="BZ1210" s="73"/>
      <c r="CA1210" s="73"/>
      <c r="CB1210" s="73"/>
      <c r="CC1210" s="73"/>
      <c r="CD1210" s="73"/>
      <c r="CE1210" s="73"/>
      <c r="CF1210" s="73"/>
      <c r="CG1210" s="73"/>
      <c r="CH1210" s="73"/>
    </row>
    <row r="1211">
      <c r="A1211" s="73"/>
      <c r="B1211" s="73"/>
      <c r="C1211" s="73"/>
      <c r="D1211" s="73"/>
      <c r="E1211" s="140"/>
      <c r="F1211" s="80"/>
      <c r="G1211" s="80"/>
      <c r="H1211" s="73"/>
      <c r="I1211" s="73"/>
      <c r="J1211" s="73"/>
      <c r="K1211" s="73"/>
      <c r="L1211" s="73"/>
      <c r="M1211" s="73"/>
      <c r="N1211" s="73"/>
      <c r="O1211" s="73"/>
      <c r="P1211" s="73"/>
      <c r="Q1211" s="73"/>
      <c r="R1211" s="73"/>
      <c r="S1211" s="73"/>
      <c r="T1211" s="73"/>
      <c r="U1211" s="73"/>
      <c r="V1211" s="73"/>
      <c r="W1211" s="73"/>
      <c r="X1211" s="73"/>
      <c r="Y1211" s="73"/>
      <c r="Z1211" s="73"/>
      <c r="AA1211" s="73"/>
      <c r="AB1211" s="73"/>
      <c r="AC1211" s="73"/>
      <c r="AD1211" s="73"/>
      <c r="AE1211" s="73"/>
      <c r="AF1211" s="73"/>
      <c r="AG1211" s="73"/>
      <c r="AH1211" s="73"/>
      <c r="AI1211" s="73"/>
      <c r="AJ1211" s="168"/>
      <c r="AK1211" s="73"/>
      <c r="AL1211" s="73"/>
      <c r="AM1211" s="73"/>
      <c r="AN1211" s="73"/>
      <c r="AO1211" s="73"/>
      <c r="AP1211" s="73"/>
      <c r="AQ1211" s="73"/>
      <c r="AR1211" s="73"/>
      <c r="AS1211" s="73"/>
      <c r="AT1211" s="73"/>
      <c r="AU1211" s="73"/>
      <c r="AV1211" s="73"/>
      <c r="AW1211" s="73"/>
      <c r="AX1211" s="73"/>
      <c r="AY1211" s="73"/>
      <c r="AZ1211" s="73"/>
      <c r="BA1211" s="73"/>
      <c r="BB1211" s="73"/>
      <c r="BC1211" s="73"/>
      <c r="BD1211" s="73"/>
      <c r="BE1211" s="73"/>
      <c r="BF1211" s="75"/>
      <c r="BG1211" s="73"/>
      <c r="BH1211" s="88"/>
      <c r="BI1211" s="73"/>
      <c r="BJ1211" s="73"/>
      <c r="BK1211" s="73"/>
      <c r="BL1211" s="73"/>
      <c r="BM1211" s="73"/>
      <c r="BN1211" s="73"/>
      <c r="BO1211" s="73"/>
      <c r="BP1211" s="73"/>
      <c r="BQ1211" s="73"/>
      <c r="BR1211" s="73"/>
      <c r="BS1211" s="73"/>
      <c r="BT1211" s="73"/>
      <c r="BU1211" s="73"/>
      <c r="BV1211" s="73"/>
      <c r="BW1211" s="73"/>
      <c r="BX1211" s="73"/>
      <c r="BY1211" s="73"/>
      <c r="BZ1211" s="73"/>
      <c r="CA1211" s="73"/>
      <c r="CB1211" s="73"/>
      <c r="CC1211" s="73"/>
      <c r="CD1211" s="73"/>
      <c r="CE1211" s="73"/>
      <c r="CF1211" s="73"/>
      <c r="CG1211" s="73"/>
      <c r="CH1211" s="73"/>
    </row>
    <row r="1212">
      <c r="A1212" s="73"/>
      <c r="B1212" s="73"/>
      <c r="C1212" s="73"/>
      <c r="D1212" s="73"/>
      <c r="E1212" s="140"/>
      <c r="F1212" s="80"/>
      <c r="G1212" s="80"/>
      <c r="H1212" s="73"/>
      <c r="I1212" s="73"/>
      <c r="J1212" s="73"/>
      <c r="K1212" s="73"/>
      <c r="L1212" s="73"/>
      <c r="M1212" s="73"/>
      <c r="N1212" s="73"/>
      <c r="O1212" s="73"/>
      <c r="P1212" s="73"/>
      <c r="Q1212" s="73"/>
      <c r="R1212" s="73"/>
      <c r="S1212" s="73"/>
      <c r="T1212" s="73"/>
      <c r="U1212" s="73"/>
      <c r="V1212" s="73"/>
      <c r="W1212" s="73"/>
      <c r="X1212" s="73"/>
      <c r="Y1212" s="73"/>
      <c r="Z1212" s="73"/>
      <c r="AA1212" s="73"/>
      <c r="AB1212" s="73"/>
      <c r="AC1212" s="73"/>
      <c r="AD1212" s="73"/>
      <c r="AE1212" s="73"/>
      <c r="AF1212" s="73"/>
      <c r="AG1212" s="73"/>
      <c r="AH1212" s="73"/>
      <c r="AI1212" s="73"/>
      <c r="AJ1212" s="168"/>
      <c r="AK1212" s="73"/>
      <c r="AL1212" s="73"/>
      <c r="AM1212" s="73"/>
      <c r="AN1212" s="73"/>
      <c r="AO1212" s="73"/>
      <c r="AP1212" s="73"/>
      <c r="AQ1212" s="73"/>
      <c r="AR1212" s="73"/>
      <c r="AS1212" s="73"/>
      <c r="AT1212" s="73"/>
      <c r="AU1212" s="73"/>
      <c r="AV1212" s="73"/>
      <c r="AW1212" s="73"/>
      <c r="AX1212" s="73"/>
      <c r="AY1212" s="73"/>
      <c r="AZ1212" s="73"/>
      <c r="BA1212" s="73"/>
      <c r="BB1212" s="73"/>
      <c r="BC1212" s="73"/>
      <c r="BD1212" s="73"/>
      <c r="BE1212" s="73"/>
      <c r="BF1212" s="75"/>
      <c r="BG1212" s="73"/>
      <c r="BH1212" s="88"/>
      <c r="BI1212" s="73"/>
      <c r="BJ1212" s="73"/>
      <c r="BK1212" s="73"/>
      <c r="BL1212" s="73"/>
      <c r="BM1212" s="73"/>
      <c r="BN1212" s="73"/>
      <c r="BO1212" s="73"/>
      <c r="BP1212" s="73"/>
      <c r="BQ1212" s="73"/>
      <c r="BR1212" s="73"/>
      <c r="BS1212" s="73"/>
      <c r="BT1212" s="73"/>
      <c r="BU1212" s="73"/>
      <c r="BV1212" s="73"/>
      <c r="BW1212" s="73"/>
      <c r="BX1212" s="73"/>
      <c r="BY1212" s="73"/>
      <c r="BZ1212" s="73"/>
      <c r="CA1212" s="73"/>
      <c r="CB1212" s="73"/>
      <c r="CC1212" s="73"/>
      <c r="CD1212" s="73"/>
      <c r="CE1212" s="73"/>
      <c r="CF1212" s="73"/>
      <c r="CG1212" s="73"/>
      <c r="CH1212" s="73"/>
    </row>
    <row r="1213">
      <c r="A1213" s="73"/>
      <c r="B1213" s="73"/>
      <c r="C1213" s="73"/>
      <c r="D1213" s="73"/>
      <c r="E1213" s="140"/>
      <c r="F1213" s="80"/>
      <c r="G1213" s="80"/>
      <c r="H1213" s="73"/>
      <c r="I1213" s="73"/>
      <c r="J1213" s="73"/>
      <c r="K1213" s="73"/>
      <c r="L1213" s="73"/>
      <c r="M1213" s="73"/>
      <c r="N1213" s="73"/>
      <c r="O1213" s="73"/>
      <c r="P1213" s="73"/>
      <c r="Q1213" s="73"/>
      <c r="R1213" s="73"/>
      <c r="S1213" s="73"/>
      <c r="T1213" s="73"/>
      <c r="U1213" s="73"/>
      <c r="V1213" s="73"/>
      <c r="W1213" s="73"/>
      <c r="X1213" s="73"/>
      <c r="Y1213" s="73"/>
      <c r="Z1213" s="73"/>
      <c r="AA1213" s="73"/>
      <c r="AB1213" s="73"/>
      <c r="AC1213" s="73"/>
      <c r="AD1213" s="73"/>
      <c r="AE1213" s="73"/>
      <c r="AF1213" s="73"/>
      <c r="AG1213" s="73"/>
      <c r="AH1213" s="73"/>
      <c r="AI1213" s="73"/>
      <c r="AJ1213" s="168"/>
      <c r="AK1213" s="73"/>
      <c r="AL1213" s="73"/>
      <c r="AM1213" s="73"/>
      <c r="AN1213" s="73"/>
      <c r="AO1213" s="73"/>
      <c r="AP1213" s="73"/>
      <c r="AQ1213" s="73"/>
      <c r="AR1213" s="73"/>
      <c r="AS1213" s="73"/>
      <c r="AT1213" s="73"/>
      <c r="AU1213" s="73"/>
      <c r="AV1213" s="73"/>
      <c r="AW1213" s="73"/>
      <c r="AX1213" s="73"/>
      <c r="AY1213" s="73"/>
      <c r="AZ1213" s="73"/>
      <c r="BA1213" s="73"/>
      <c r="BB1213" s="73"/>
      <c r="BC1213" s="73"/>
      <c r="BD1213" s="73"/>
      <c r="BE1213" s="73"/>
      <c r="BF1213" s="75"/>
      <c r="BG1213" s="73"/>
      <c r="BH1213" s="88"/>
      <c r="BI1213" s="73"/>
      <c r="BJ1213" s="73"/>
      <c r="BK1213" s="73"/>
      <c r="BL1213" s="73"/>
      <c r="BM1213" s="73"/>
      <c r="BN1213" s="73"/>
      <c r="BO1213" s="73"/>
      <c r="BP1213" s="73"/>
      <c r="BQ1213" s="73"/>
      <c r="BR1213" s="73"/>
      <c r="BS1213" s="73"/>
      <c r="BT1213" s="73"/>
      <c r="BU1213" s="73"/>
      <c r="BV1213" s="73"/>
      <c r="BW1213" s="73"/>
      <c r="BX1213" s="73"/>
      <c r="BY1213" s="73"/>
      <c r="BZ1213" s="73"/>
      <c r="CA1213" s="73"/>
      <c r="CB1213" s="73"/>
      <c r="CC1213" s="73"/>
      <c r="CD1213" s="73"/>
      <c r="CE1213" s="73"/>
      <c r="CF1213" s="73"/>
      <c r="CG1213" s="73"/>
      <c r="CH1213" s="73"/>
    </row>
    <row r="1214">
      <c r="A1214" s="73"/>
      <c r="B1214" s="73"/>
      <c r="C1214" s="73"/>
      <c r="D1214" s="73"/>
      <c r="E1214" s="140"/>
      <c r="F1214" s="80"/>
      <c r="G1214" s="80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  <c r="S1214" s="73"/>
      <c r="T1214" s="73"/>
      <c r="U1214" s="73"/>
      <c r="V1214" s="73"/>
      <c r="W1214" s="73"/>
      <c r="X1214" s="73"/>
      <c r="Y1214" s="73"/>
      <c r="Z1214" s="73"/>
      <c r="AA1214" s="73"/>
      <c r="AB1214" s="73"/>
      <c r="AC1214" s="73"/>
      <c r="AD1214" s="73"/>
      <c r="AE1214" s="73"/>
      <c r="AF1214" s="73"/>
      <c r="AG1214" s="73"/>
      <c r="AH1214" s="73"/>
      <c r="AI1214" s="73"/>
      <c r="AJ1214" s="168"/>
      <c r="AK1214" s="73"/>
      <c r="AL1214" s="73"/>
      <c r="AM1214" s="73"/>
      <c r="AN1214" s="73"/>
      <c r="AO1214" s="73"/>
      <c r="AP1214" s="73"/>
      <c r="AQ1214" s="73"/>
      <c r="AR1214" s="73"/>
      <c r="AS1214" s="73"/>
      <c r="AT1214" s="73"/>
      <c r="AU1214" s="73"/>
      <c r="AV1214" s="73"/>
      <c r="AW1214" s="73"/>
      <c r="AX1214" s="73"/>
      <c r="AY1214" s="73"/>
      <c r="AZ1214" s="73"/>
      <c r="BA1214" s="73"/>
      <c r="BB1214" s="73"/>
      <c r="BC1214" s="73"/>
      <c r="BD1214" s="73"/>
      <c r="BE1214" s="73"/>
      <c r="BF1214" s="75"/>
      <c r="BG1214" s="73"/>
      <c r="BH1214" s="88"/>
      <c r="BI1214" s="73"/>
      <c r="BJ1214" s="73"/>
      <c r="BK1214" s="73"/>
      <c r="BL1214" s="73"/>
      <c r="BM1214" s="73"/>
      <c r="BN1214" s="73"/>
      <c r="BO1214" s="73"/>
      <c r="BP1214" s="73"/>
      <c r="BQ1214" s="73"/>
      <c r="BR1214" s="73"/>
      <c r="BS1214" s="73"/>
      <c r="BT1214" s="73"/>
      <c r="BU1214" s="73"/>
      <c r="BV1214" s="73"/>
      <c r="BW1214" s="73"/>
      <c r="BX1214" s="73"/>
      <c r="BY1214" s="73"/>
      <c r="BZ1214" s="73"/>
      <c r="CA1214" s="73"/>
      <c r="CB1214" s="73"/>
      <c r="CC1214" s="73"/>
      <c r="CD1214" s="73"/>
      <c r="CE1214" s="73"/>
      <c r="CF1214" s="73"/>
      <c r="CG1214" s="73"/>
      <c r="CH1214" s="73"/>
    </row>
    <row r="1215">
      <c r="A1215" s="73"/>
      <c r="B1215" s="73"/>
      <c r="C1215" s="73"/>
      <c r="D1215" s="73"/>
      <c r="E1215" s="140"/>
      <c r="F1215" s="80"/>
      <c r="G1215" s="80"/>
      <c r="H1215" s="73"/>
      <c r="I1215" s="73"/>
      <c r="J1215" s="73"/>
      <c r="K1215" s="73"/>
      <c r="L1215" s="73"/>
      <c r="M1215" s="73"/>
      <c r="N1215" s="73"/>
      <c r="O1215" s="73"/>
      <c r="P1215" s="73"/>
      <c r="Q1215" s="73"/>
      <c r="R1215" s="73"/>
      <c r="S1215" s="73"/>
      <c r="T1215" s="73"/>
      <c r="U1215" s="73"/>
      <c r="V1215" s="73"/>
      <c r="W1215" s="73"/>
      <c r="X1215" s="73"/>
      <c r="Y1215" s="73"/>
      <c r="Z1215" s="73"/>
      <c r="AA1215" s="73"/>
      <c r="AB1215" s="73"/>
      <c r="AC1215" s="73"/>
      <c r="AD1215" s="73"/>
      <c r="AE1215" s="73"/>
      <c r="AF1215" s="73"/>
      <c r="AG1215" s="73"/>
      <c r="AH1215" s="73"/>
      <c r="AI1215" s="73"/>
      <c r="AJ1215" s="168"/>
      <c r="AK1215" s="73"/>
      <c r="AL1215" s="73"/>
      <c r="AM1215" s="73"/>
      <c r="AN1215" s="73"/>
      <c r="AO1215" s="73"/>
      <c r="AP1215" s="73"/>
      <c r="AQ1215" s="73"/>
      <c r="AR1215" s="73"/>
      <c r="AS1215" s="73"/>
      <c r="AT1215" s="73"/>
      <c r="AU1215" s="73"/>
      <c r="AV1215" s="73"/>
      <c r="AW1215" s="73"/>
      <c r="AX1215" s="73"/>
      <c r="AY1215" s="73"/>
      <c r="AZ1215" s="73"/>
      <c r="BA1215" s="73"/>
      <c r="BB1215" s="73"/>
      <c r="BC1215" s="73"/>
      <c r="BD1215" s="73"/>
      <c r="BE1215" s="73"/>
      <c r="BF1215" s="75"/>
      <c r="BG1215" s="73"/>
      <c r="BH1215" s="88"/>
      <c r="BI1215" s="73"/>
      <c r="BJ1215" s="73"/>
      <c r="BK1215" s="73"/>
      <c r="BL1215" s="73"/>
      <c r="BM1215" s="73"/>
      <c r="BN1215" s="73"/>
      <c r="BO1215" s="73"/>
      <c r="BP1215" s="73"/>
      <c r="BQ1215" s="73"/>
      <c r="BR1215" s="73"/>
      <c r="BS1215" s="73"/>
      <c r="BT1215" s="73"/>
      <c r="BU1215" s="73"/>
      <c r="BV1215" s="73"/>
      <c r="BW1215" s="73"/>
      <c r="BX1215" s="73"/>
      <c r="BY1215" s="73"/>
      <c r="BZ1215" s="73"/>
      <c r="CA1215" s="73"/>
      <c r="CB1215" s="73"/>
      <c r="CC1215" s="73"/>
      <c r="CD1215" s="73"/>
      <c r="CE1215" s="73"/>
      <c r="CF1215" s="73"/>
      <c r="CG1215" s="73"/>
      <c r="CH1215" s="73"/>
    </row>
    <row r="1216">
      <c r="A1216" s="73"/>
      <c r="B1216" s="73"/>
      <c r="C1216" s="73"/>
      <c r="D1216" s="73"/>
      <c r="E1216" s="140"/>
      <c r="F1216" s="80"/>
      <c r="G1216" s="80"/>
      <c r="H1216" s="73"/>
      <c r="I1216" s="73"/>
      <c r="J1216" s="73"/>
      <c r="K1216" s="73"/>
      <c r="L1216" s="73"/>
      <c r="M1216" s="73"/>
      <c r="N1216" s="73"/>
      <c r="O1216" s="73"/>
      <c r="P1216" s="73"/>
      <c r="Q1216" s="73"/>
      <c r="R1216" s="73"/>
      <c r="S1216" s="73"/>
      <c r="T1216" s="73"/>
      <c r="U1216" s="73"/>
      <c r="V1216" s="73"/>
      <c r="W1216" s="73"/>
      <c r="X1216" s="73"/>
      <c r="Y1216" s="73"/>
      <c r="Z1216" s="73"/>
      <c r="AA1216" s="73"/>
      <c r="AB1216" s="73"/>
      <c r="AC1216" s="73"/>
      <c r="AD1216" s="73"/>
      <c r="AE1216" s="73"/>
      <c r="AF1216" s="73"/>
      <c r="AG1216" s="73"/>
      <c r="AH1216" s="73"/>
      <c r="AI1216" s="73"/>
      <c r="AJ1216" s="168"/>
      <c r="AK1216" s="73"/>
      <c r="AL1216" s="73"/>
      <c r="AM1216" s="73"/>
      <c r="AN1216" s="73"/>
      <c r="AO1216" s="73"/>
      <c r="AP1216" s="73"/>
      <c r="AQ1216" s="73"/>
      <c r="AR1216" s="73"/>
      <c r="AS1216" s="73"/>
      <c r="AT1216" s="73"/>
      <c r="AU1216" s="73"/>
      <c r="AV1216" s="73"/>
      <c r="AW1216" s="73"/>
      <c r="AX1216" s="73"/>
      <c r="AY1216" s="73"/>
      <c r="AZ1216" s="73"/>
      <c r="BA1216" s="73"/>
      <c r="BB1216" s="73"/>
      <c r="BC1216" s="73"/>
      <c r="BD1216" s="73"/>
      <c r="BE1216" s="73"/>
      <c r="BF1216" s="75"/>
      <c r="BG1216" s="73"/>
      <c r="BH1216" s="88"/>
      <c r="BI1216" s="73"/>
      <c r="BJ1216" s="73"/>
      <c r="BK1216" s="73"/>
      <c r="BL1216" s="73"/>
      <c r="BM1216" s="73"/>
      <c r="BN1216" s="73"/>
      <c r="BO1216" s="73"/>
      <c r="BP1216" s="73"/>
      <c r="BQ1216" s="73"/>
      <c r="BR1216" s="73"/>
      <c r="BS1216" s="73"/>
      <c r="BT1216" s="73"/>
      <c r="BU1216" s="73"/>
      <c r="BV1216" s="73"/>
      <c r="BW1216" s="73"/>
      <c r="BX1216" s="73"/>
      <c r="BY1216" s="73"/>
      <c r="BZ1216" s="73"/>
      <c r="CA1216" s="73"/>
      <c r="CB1216" s="73"/>
      <c r="CC1216" s="73"/>
      <c r="CD1216" s="73"/>
      <c r="CE1216" s="73"/>
      <c r="CF1216" s="73"/>
      <c r="CG1216" s="73"/>
      <c r="CH1216" s="73"/>
    </row>
    <row r="1217">
      <c r="A1217" s="73"/>
      <c r="B1217" s="73"/>
      <c r="C1217" s="73"/>
      <c r="D1217" s="73"/>
      <c r="E1217" s="140"/>
      <c r="F1217" s="80"/>
      <c r="G1217" s="80"/>
      <c r="H1217" s="73"/>
      <c r="I1217" s="73"/>
      <c r="J1217" s="73"/>
      <c r="K1217" s="73"/>
      <c r="L1217" s="73"/>
      <c r="M1217" s="73"/>
      <c r="N1217" s="73"/>
      <c r="O1217" s="73"/>
      <c r="P1217" s="73"/>
      <c r="Q1217" s="73"/>
      <c r="R1217" s="73"/>
      <c r="S1217" s="73"/>
      <c r="T1217" s="73"/>
      <c r="U1217" s="73"/>
      <c r="V1217" s="73"/>
      <c r="W1217" s="73"/>
      <c r="X1217" s="73"/>
      <c r="Y1217" s="73"/>
      <c r="Z1217" s="73"/>
      <c r="AA1217" s="73"/>
      <c r="AB1217" s="73"/>
      <c r="AC1217" s="73"/>
      <c r="AD1217" s="73"/>
      <c r="AE1217" s="73"/>
      <c r="AF1217" s="73"/>
      <c r="AG1217" s="73"/>
      <c r="AH1217" s="73"/>
      <c r="AI1217" s="73"/>
      <c r="AJ1217" s="168"/>
      <c r="AK1217" s="73"/>
      <c r="AL1217" s="73"/>
      <c r="AM1217" s="73"/>
      <c r="AN1217" s="73"/>
      <c r="AO1217" s="73"/>
      <c r="AP1217" s="73"/>
      <c r="AQ1217" s="73"/>
      <c r="AR1217" s="73"/>
      <c r="AS1217" s="73"/>
      <c r="AT1217" s="73"/>
      <c r="AU1217" s="73"/>
      <c r="AV1217" s="73"/>
      <c r="AW1217" s="73"/>
      <c r="AX1217" s="73"/>
      <c r="AY1217" s="73"/>
      <c r="AZ1217" s="73"/>
      <c r="BA1217" s="73"/>
      <c r="BB1217" s="73"/>
      <c r="BC1217" s="73"/>
      <c r="BD1217" s="73"/>
      <c r="BE1217" s="73"/>
      <c r="BF1217" s="75"/>
      <c r="BG1217" s="73"/>
      <c r="BH1217" s="88"/>
      <c r="BI1217" s="73"/>
      <c r="BJ1217" s="73"/>
      <c r="BK1217" s="73"/>
      <c r="BL1217" s="73"/>
      <c r="BM1217" s="73"/>
      <c r="BN1217" s="73"/>
      <c r="BO1217" s="73"/>
      <c r="BP1217" s="73"/>
      <c r="BQ1217" s="73"/>
      <c r="BR1217" s="73"/>
      <c r="BS1217" s="73"/>
      <c r="BT1217" s="73"/>
      <c r="BU1217" s="73"/>
      <c r="BV1217" s="73"/>
      <c r="BW1217" s="73"/>
      <c r="BX1217" s="73"/>
      <c r="BY1217" s="73"/>
      <c r="BZ1217" s="73"/>
      <c r="CA1217" s="73"/>
      <c r="CB1217" s="73"/>
      <c r="CC1217" s="73"/>
      <c r="CD1217" s="73"/>
      <c r="CE1217" s="73"/>
      <c r="CF1217" s="73"/>
      <c r="CG1217" s="73"/>
      <c r="CH1217" s="73"/>
    </row>
    <row r="1218">
      <c r="A1218" s="73"/>
      <c r="B1218" s="73"/>
      <c r="C1218" s="73"/>
      <c r="D1218" s="73"/>
      <c r="E1218" s="140"/>
      <c r="F1218" s="80"/>
      <c r="G1218" s="80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  <c r="S1218" s="73"/>
      <c r="T1218" s="73"/>
      <c r="U1218" s="73"/>
      <c r="V1218" s="73"/>
      <c r="W1218" s="73"/>
      <c r="X1218" s="73"/>
      <c r="Y1218" s="73"/>
      <c r="Z1218" s="73"/>
      <c r="AA1218" s="73"/>
      <c r="AB1218" s="73"/>
      <c r="AC1218" s="73"/>
      <c r="AD1218" s="73"/>
      <c r="AE1218" s="73"/>
      <c r="AF1218" s="73"/>
      <c r="AG1218" s="73"/>
      <c r="AH1218" s="73"/>
      <c r="AI1218" s="73"/>
      <c r="AJ1218" s="168"/>
      <c r="AK1218" s="73"/>
      <c r="AL1218" s="73"/>
      <c r="AM1218" s="73"/>
      <c r="AN1218" s="73"/>
      <c r="AO1218" s="73"/>
      <c r="AP1218" s="73"/>
      <c r="AQ1218" s="73"/>
      <c r="AR1218" s="73"/>
      <c r="AS1218" s="73"/>
      <c r="AT1218" s="73"/>
      <c r="AU1218" s="73"/>
      <c r="AV1218" s="73"/>
      <c r="AW1218" s="73"/>
      <c r="AX1218" s="73"/>
      <c r="AY1218" s="73"/>
      <c r="AZ1218" s="73"/>
      <c r="BA1218" s="73"/>
      <c r="BB1218" s="73"/>
      <c r="BC1218" s="73"/>
      <c r="BD1218" s="73"/>
      <c r="BE1218" s="73"/>
      <c r="BF1218" s="75"/>
      <c r="BG1218" s="73"/>
      <c r="BH1218" s="88"/>
      <c r="BI1218" s="73"/>
      <c r="BJ1218" s="73"/>
      <c r="BK1218" s="73"/>
      <c r="BL1218" s="73"/>
      <c r="BM1218" s="73"/>
      <c r="BN1218" s="73"/>
      <c r="BO1218" s="73"/>
      <c r="BP1218" s="73"/>
      <c r="BQ1218" s="73"/>
      <c r="BR1218" s="73"/>
      <c r="BS1218" s="73"/>
      <c r="BT1218" s="73"/>
      <c r="BU1218" s="73"/>
      <c r="BV1218" s="73"/>
      <c r="BW1218" s="73"/>
      <c r="BX1218" s="73"/>
      <c r="BY1218" s="73"/>
      <c r="BZ1218" s="73"/>
      <c r="CA1218" s="73"/>
      <c r="CB1218" s="73"/>
      <c r="CC1218" s="73"/>
      <c r="CD1218" s="73"/>
      <c r="CE1218" s="73"/>
      <c r="CF1218" s="73"/>
      <c r="CG1218" s="73"/>
      <c r="CH1218" s="73"/>
    </row>
    <row r="1219">
      <c r="A1219" s="73"/>
      <c r="B1219" s="73"/>
      <c r="C1219" s="73"/>
      <c r="D1219" s="73"/>
      <c r="E1219" s="140"/>
      <c r="F1219" s="80"/>
      <c r="G1219" s="80"/>
      <c r="H1219" s="73"/>
      <c r="I1219" s="73"/>
      <c r="J1219" s="73"/>
      <c r="K1219" s="73"/>
      <c r="L1219" s="73"/>
      <c r="M1219" s="73"/>
      <c r="N1219" s="73"/>
      <c r="O1219" s="73"/>
      <c r="P1219" s="73"/>
      <c r="Q1219" s="73"/>
      <c r="R1219" s="73"/>
      <c r="S1219" s="73"/>
      <c r="T1219" s="73"/>
      <c r="U1219" s="73"/>
      <c r="V1219" s="73"/>
      <c r="W1219" s="73"/>
      <c r="X1219" s="73"/>
      <c r="Y1219" s="73"/>
      <c r="Z1219" s="73"/>
      <c r="AA1219" s="73"/>
      <c r="AB1219" s="73"/>
      <c r="AC1219" s="73"/>
      <c r="AD1219" s="73"/>
      <c r="AE1219" s="73"/>
      <c r="AF1219" s="73"/>
      <c r="AG1219" s="73"/>
      <c r="AH1219" s="73"/>
      <c r="AI1219" s="73"/>
      <c r="AJ1219" s="168"/>
      <c r="AK1219" s="73"/>
      <c r="AL1219" s="73"/>
      <c r="AM1219" s="73"/>
      <c r="AN1219" s="73"/>
      <c r="AO1219" s="73"/>
      <c r="AP1219" s="73"/>
      <c r="AQ1219" s="73"/>
      <c r="AR1219" s="73"/>
      <c r="AS1219" s="73"/>
      <c r="AT1219" s="73"/>
      <c r="AU1219" s="73"/>
      <c r="AV1219" s="73"/>
      <c r="AW1219" s="73"/>
      <c r="AX1219" s="73"/>
      <c r="AY1219" s="73"/>
      <c r="AZ1219" s="73"/>
      <c r="BA1219" s="73"/>
      <c r="BB1219" s="73"/>
      <c r="BC1219" s="73"/>
      <c r="BD1219" s="73"/>
      <c r="BE1219" s="73"/>
      <c r="BF1219" s="75"/>
      <c r="BG1219" s="73"/>
      <c r="BH1219" s="88"/>
      <c r="BI1219" s="73"/>
      <c r="BJ1219" s="73"/>
      <c r="BK1219" s="73"/>
      <c r="BL1219" s="73"/>
      <c r="BM1219" s="73"/>
      <c r="BN1219" s="73"/>
      <c r="BO1219" s="73"/>
      <c r="BP1219" s="73"/>
      <c r="BQ1219" s="73"/>
      <c r="BR1219" s="73"/>
      <c r="BS1219" s="73"/>
      <c r="BT1219" s="73"/>
      <c r="BU1219" s="73"/>
      <c r="BV1219" s="73"/>
      <c r="BW1219" s="73"/>
      <c r="BX1219" s="73"/>
      <c r="BY1219" s="73"/>
      <c r="BZ1219" s="73"/>
      <c r="CA1219" s="73"/>
      <c r="CB1219" s="73"/>
      <c r="CC1219" s="73"/>
      <c r="CD1219" s="73"/>
      <c r="CE1219" s="73"/>
      <c r="CF1219" s="73"/>
      <c r="CG1219" s="73"/>
      <c r="CH1219" s="73"/>
    </row>
    <row r="1220">
      <c r="A1220" s="73"/>
      <c r="B1220" s="73"/>
      <c r="C1220" s="73"/>
      <c r="D1220" s="73"/>
      <c r="E1220" s="140"/>
      <c r="F1220" s="80"/>
      <c r="G1220" s="80"/>
      <c r="H1220" s="73"/>
      <c r="I1220" s="73"/>
      <c r="J1220" s="73"/>
      <c r="K1220" s="73"/>
      <c r="L1220" s="73"/>
      <c r="M1220" s="73"/>
      <c r="N1220" s="73"/>
      <c r="O1220" s="73"/>
      <c r="P1220" s="73"/>
      <c r="Q1220" s="73"/>
      <c r="R1220" s="73"/>
      <c r="S1220" s="73"/>
      <c r="T1220" s="73"/>
      <c r="U1220" s="73"/>
      <c r="V1220" s="73"/>
      <c r="W1220" s="73"/>
      <c r="X1220" s="73"/>
      <c r="Y1220" s="73"/>
      <c r="Z1220" s="73"/>
      <c r="AA1220" s="73"/>
      <c r="AB1220" s="73"/>
      <c r="AC1220" s="73"/>
      <c r="AD1220" s="73"/>
      <c r="AE1220" s="73"/>
      <c r="AF1220" s="73"/>
      <c r="AG1220" s="73"/>
      <c r="AH1220" s="73"/>
      <c r="AI1220" s="73"/>
      <c r="AJ1220" s="168"/>
      <c r="AK1220" s="73"/>
      <c r="AL1220" s="73"/>
      <c r="AM1220" s="73"/>
      <c r="AN1220" s="73"/>
      <c r="AO1220" s="73"/>
      <c r="AP1220" s="73"/>
      <c r="AQ1220" s="73"/>
      <c r="AR1220" s="73"/>
      <c r="AS1220" s="73"/>
      <c r="AT1220" s="73"/>
      <c r="AU1220" s="73"/>
      <c r="AV1220" s="73"/>
      <c r="AW1220" s="73"/>
      <c r="AX1220" s="73"/>
      <c r="AY1220" s="73"/>
      <c r="AZ1220" s="73"/>
      <c r="BA1220" s="73"/>
      <c r="BB1220" s="73"/>
      <c r="BC1220" s="73"/>
      <c r="BD1220" s="73"/>
      <c r="BE1220" s="73"/>
      <c r="BF1220" s="75"/>
      <c r="BG1220" s="73"/>
      <c r="BH1220" s="88"/>
      <c r="BI1220" s="73"/>
      <c r="BJ1220" s="73"/>
      <c r="BK1220" s="73"/>
      <c r="BL1220" s="73"/>
      <c r="BM1220" s="73"/>
      <c r="BN1220" s="73"/>
      <c r="BO1220" s="73"/>
      <c r="BP1220" s="73"/>
      <c r="BQ1220" s="73"/>
      <c r="BR1220" s="73"/>
      <c r="BS1220" s="73"/>
      <c r="BT1220" s="73"/>
      <c r="BU1220" s="73"/>
      <c r="BV1220" s="73"/>
      <c r="BW1220" s="73"/>
      <c r="BX1220" s="73"/>
      <c r="BY1220" s="73"/>
      <c r="BZ1220" s="73"/>
      <c r="CA1220" s="73"/>
      <c r="CB1220" s="73"/>
      <c r="CC1220" s="73"/>
      <c r="CD1220" s="73"/>
      <c r="CE1220" s="73"/>
      <c r="CF1220" s="73"/>
      <c r="CG1220" s="73"/>
      <c r="CH1220" s="73"/>
    </row>
    <row r="1221">
      <c r="A1221" s="73"/>
      <c r="B1221" s="73"/>
      <c r="C1221" s="73"/>
      <c r="D1221" s="73"/>
      <c r="E1221" s="140"/>
      <c r="F1221" s="80"/>
      <c r="G1221" s="80"/>
      <c r="H1221" s="73"/>
      <c r="I1221" s="73"/>
      <c r="J1221" s="73"/>
      <c r="K1221" s="73"/>
      <c r="L1221" s="73"/>
      <c r="M1221" s="73"/>
      <c r="N1221" s="73"/>
      <c r="O1221" s="73"/>
      <c r="P1221" s="73"/>
      <c r="Q1221" s="73"/>
      <c r="R1221" s="73"/>
      <c r="S1221" s="73"/>
      <c r="T1221" s="73"/>
      <c r="U1221" s="73"/>
      <c r="V1221" s="73"/>
      <c r="W1221" s="73"/>
      <c r="X1221" s="73"/>
      <c r="Y1221" s="73"/>
      <c r="Z1221" s="73"/>
      <c r="AA1221" s="73"/>
      <c r="AB1221" s="73"/>
      <c r="AC1221" s="73"/>
      <c r="AD1221" s="73"/>
      <c r="AE1221" s="73"/>
      <c r="AF1221" s="73"/>
      <c r="AG1221" s="73"/>
      <c r="AH1221" s="73"/>
      <c r="AI1221" s="73"/>
      <c r="AJ1221" s="168"/>
      <c r="AK1221" s="73"/>
      <c r="AL1221" s="73"/>
      <c r="AM1221" s="73"/>
      <c r="AN1221" s="73"/>
      <c r="AO1221" s="73"/>
      <c r="AP1221" s="73"/>
      <c r="AQ1221" s="73"/>
      <c r="AR1221" s="73"/>
      <c r="AS1221" s="73"/>
      <c r="AT1221" s="73"/>
      <c r="AU1221" s="73"/>
      <c r="AV1221" s="73"/>
      <c r="AW1221" s="73"/>
      <c r="AX1221" s="73"/>
      <c r="AY1221" s="73"/>
      <c r="AZ1221" s="73"/>
      <c r="BA1221" s="73"/>
      <c r="BB1221" s="73"/>
      <c r="BC1221" s="73"/>
      <c r="BD1221" s="73"/>
      <c r="BE1221" s="73"/>
      <c r="BF1221" s="75"/>
      <c r="BG1221" s="73"/>
      <c r="BH1221" s="88"/>
      <c r="BI1221" s="73"/>
      <c r="BJ1221" s="73"/>
      <c r="BK1221" s="73"/>
      <c r="BL1221" s="73"/>
      <c r="BM1221" s="73"/>
      <c r="BN1221" s="73"/>
      <c r="BO1221" s="73"/>
      <c r="BP1221" s="73"/>
      <c r="BQ1221" s="73"/>
      <c r="BR1221" s="73"/>
      <c r="BS1221" s="73"/>
      <c r="BT1221" s="73"/>
      <c r="BU1221" s="73"/>
      <c r="BV1221" s="73"/>
      <c r="BW1221" s="73"/>
      <c r="BX1221" s="73"/>
      <c r="BY1221" s="73"/>
      <c r="BZ1221" s="73"/>
      <c r="CA1221" s="73"/>
      <c r="CB1221" s="73"/>
      <c r="CC1221" s="73"/>
      <c r="CD1221" s="73"/>
      <c r="CE1221" s="73"/>
      <c r="CF1221" s="73"/>
      <c r="CG1221" s="73"/>
      <c r="CH1221" s="73"/>
    </row>
    <row r="1222">
      <c r="A1222" s="73"/>
      <c r="B1222" s="73"/>
      <c r="C1222" s="73"/>
      <c r="D1222" s="73"/>
      <c r="E1222" s="140"/>
      <c r="F1222" s="80"/>
      <c r="G1222" s="80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  <c r="S1222" s="73"/>
      <c r="T1222" s="73"/>
      <c r="U1222" s="73"/>
      <c r="V1222" s="73"/>
      <c r="W1222" s="73"/>
      <c r="X1222" s="73"/>
      <c r="Y1222" s="73"/>
      <c r="Z1222" s="73"/>
      <c r="AA1222" s="73"/>
      <c r="AB1222" s="73"/>
      <c r="AC1222" s="73"/>
      <c r="AD1222" s="73"/>
      <c r="AE1222" s="73"/>
      <c r="AF1222" s="73"/>
      <c r="AG1222" s="73"/>
      <c r="AH1222" s="73"/>
      <c r="AI1222" s="73"/>
      <c r="AJ1222" s="168"/>
      <c r="AK1222" s="73"/>
      <c r="AL1222" s="73"/>
      <c r="AM1222" s="73"/>
      <c r="AN1222" s="73"/>
      <c r="AO1222" s="73"/>
      <c r="AP1222" s="73"/>
      <c r="AQ1222" s="73"/>
      <c r="AR1222" s="73"/>
      <c r="AS1222" s="73"/>
      <c r="AT1222" s="73"/>
      <c r="AU1222" s="73"/>
      <c r="AV1222" s="73"/>
      <c r="AW1222" s="73"/>
      <c r="AX1222" s="73"/>
      <c r="AY1222" s="73"/>
      <c r="AZ1222" s="73"/>
      <c r="BA1222" s="73"/>
      <c r="BB1222" s="73"/>
      <c r="BC1222" s="73"/>
      <c r="BD1222" s="73"/>
      <c r="BE1222" s="73"/>
      <c r="BF1222" s="75"/>
      <c r="BG1222" s="73"/>
      <c r="BH1222" s="88"/>
      <c r="BI1222" s="73"/>
      <c r="BJ1222" s="73"/>
      <c r="BK1222" s="73"/>
      <c r="BL1222" s="73"/>
      <c r="BM1222" s="73"/>
      <c r="BN1222" s="73"/>
      <c r="BO1222" s="73"/>
      <c r="BP1222" s="73"/>
      <c r="BQ1222" s="73"/>
      <c r="BR1222" s="73"/>
      <c r="BS1222" s="73"/>
      <c r="BT1222" s="73"/>
      <c r="BU1222" s="73"/>
      <c r="BV1222" s="73"/>
      <c r="BW1222" s="73"/>
      <c r="BX1222" s="73"/>
      <c r="BY1222" s="73"/>
      <c r="BZ1222" s="73"/>
      <c r="CA1222" s="73"/>
      <c r="CB1222" s="73"/>
      <c r="CC1222" s="73"/>
      <c r="CD1222" s="73"/>
      <c r="CE1222" s="73"/>
      <c r="CF1222" s="73"/>
      <c r="CG1222" s="73"/>
      <c r="CH1222" s="73"/>
    </row>
    <row r="1223">
      <c r="A1223" s="73"/>
      <c r="B1223" s="73"/>
      <c r="C1223" s="73"/>
      <c r="D1223" s="73"/>
      <c r="E1223" s="140"/>
      <c r="F1223" s="80"/>
      <c r="G1223" s="80"/>
      <c r="H1223" s="73"/>
      <c r="I1223" s="73"/>
      <c r="J1223" s="73"/>
      <c r="K1223" s="73"/>
      <c r="L1223" s="73"/>
      <c r="M1223" s="73"/>
      <c r="N1223" s="73"/>
      <c r="O1223" s="73"/>
      <c r="P1223" s="73"/>
      <c r="Q1223" s="73"/>
      <c r="R1223" s="73"/>
      <c r="S1223" s="73"/>
      <c r="T1223" s="73"/>
      <c r="U1223" s="73"/>
      <c r="V1223" s="73"/>
      <c r="W1223" s="73"/>
      <c r="X1223" s="73"/>
      <c r="Y1223" s="73"/>
      <c r="Z1223" s="73"/>
      <c r="AA1223" s="73"/>
      <c r="AB1223" s="73"/>
      <c r="AC1223" s="73"/>
      <c r="AD1223" s="73"/>
      <c r="AE1223" s="73"/>
      <c r="AF1223" s="73"/>
      <c r="AG1223" s="73"/>
      <c r="AH1223" s="73"/>
      <c r="AI1223" s="73"/>
      <c r="AJ1223" s="168"/>
      <c r="AK1223" s="73"/>
      <c r="AL1223" s="73"/>
      <c r="AM1223" s="73"/>
      <c r="AN1223" s="73"/>
      <c r="AO1223" s="73"/>
      <c r="AP1223" s="73"/>
      <c r="AQ1223" s="73"/>
      <c r="AR1223" s="73"/>
      <c r="AS1223" s="73"/>
      <c r="AT1223" s="73"/>
      <c r="AU1223" s="73"/>
      <c r="AV1223" s="73"/>
      <c r="AW1223" s="73"/>
      <c r="AX1223" s="73"/>
      <c r="AY1223" s="73"/>
      <c r="AZ1223" s="73"/>
      <c r="BA1223" s="73"/>
      <c r="BB1223" s="73"/>
      <c r="BC1223" s="73"/>
      <c r="BD1223" s="73"/>
      <c r="BE1223" s="73"/>
      <c r="BF1223" s="75"/>
      <c r="BG1223" s="73"/>
      <c r="BH1223" s="88"/>
      <c r="BI1223" s="73"/>
      <c r="BJ1223" s="73"/>
      <c r="BK1223" s="73"/>
      <c r="BL1223" s="73"/>
      <c r="BM1223" s="73"/>
      <c r="BN1223" s="73"/>
      <c r="BO1223" s="73"/>
      <c r="BP1223" s="73"/>
      <c r="BQ1223" s="73"/>
      <c r="BR1223" s="73"/>
      <c r="BS1223" s="73"/>
      <c r="BT1223" s="73"/>
      <c r="BU1223" s="73"/>
      <c r="BV1223" s="73"/>
      <c r="BW1223" s="73"/>
      <c r="BX1223" s="73"/>
      <c r="BY1223" s="73"/>
      <c r="BZ1223" s="73"/>
      <c r="CA1223" s="73"/>
      <c r="CB1223" s="73"/>
      <c r="CC1223" s="73"/>
      <c r="CD1223" s="73"/>
      <c r="CE1223" s="73"/>
      <c r="CF1223" s="73"/>
      <c r="CG1223" s="73"/>
      <c r="CH1223" s="73"/>
    </row>
    <row r="1224">
      <c r="A1224" s="73"/>
      <c r="B1224" s="73"/>
      <c r="C1224" s="73"/>
      <c r="D1224" s="73"/>
      <c r="E1224" s="140"/>
      <c r="F1224" s="80"/>
      <c r="G1224" s="80"/>
      <c r="H1224" s="73"/>
      <c r="I1224" s="73"/>
      <c r="J1224" s="73"/>
      <c r="K1224" s="73"/>
      <c r="L1224" s="73"/>
      <c r="M1224" s="73"/>
      <c r="N1224" s="73"/>
      <c r="O1224" s="73"/>
      <c r="P1224" s="73"/>
      <c r="Q1224" s="73"/>
      <c r="R1224" s="73"/>
      <c r="S1224" s="73"/>
      <c r="T1224" s="73"/>
      <c r="U1224" s="73"/>
      <c r="V1224" s="73"/>
      <c r="W1224" s="73"/>
      <c r="X1224" s="73"/>
      <c r="Y1224" s="73"/>
      <c r="Z1224" s="73"/>
      <c r="AA1224" s="73"/>
      <c r="AB1224" s="73"/>
      <c r="AC1224" s="73"/>
      <c r="AD1224" s="73"/>
      <c r="AE1224" s="73"/>
      <c r="AF1224" s="73"/>
      <c r="AG1224" s="73"/>
      <c r="AH1224" s="73"/>
      <c r="AI1224" s="73"/>
      <c r="AJ1224" s="168"/>
      <c r="AK1224" s="73"/>
      <c r="AL1224" s="73"/>
      <c r="AM1224" s="73"/>
      <c r="AN1224" s="73"/>
      <c r="AO1224" s="73"/>
      <c r="AP1224" s="73"/>
      <c r="AQ1224" s="73"/>
      <c r="AR1224" s="73"/>
      <c r="AS1224" s="73"/>
      <c r="AT1224" s="73"/>
      <c r="AU1224" s="73"/>
      <c r="AV1224" s="73"/>
      <c r="AW1224" s="73"/>
      <c r="AX1224" s="73"/>
      <c r="AY1224" s="73"/>
      <c r="AZ1224" s="73"/>
      <c r="BA1224" s="73"/>
      <c r="BB1224" s="73"/>
      <c r="BC1224" s="73"/>
      <c r="BD1224" s="73"/>
      <c r="BE1224" s="73"/>
      <c r="BF1224" s="75"/>
      <c r="BG1224" s="73"/>
      <c r="BH1224" s="88"/>
      <c r="BI1224" s="73"/>
      <c r="BJ1224" s="73"/>
      <c r="BK1224" s="73"/>
      <c r="BL1224" s="73"/>
      <c r="BM1224" s="73"/>
      <c r="BN1224" s="73"/>
      <c r="BO1224" s="73"/>
      <c r="BP1224" s="73"/>
      <c r="BQ1224" s="73"/>
      <c r="BR1224" s="73"/>
      <c r="BS1224" s="73"/>
      <c r="BT1224" s="73"/>
      <c r="BU1224" s="73"/>
      <c r="BV1224" s="73"/>
      <c r="BW1224" s="73"/>
      <c r="BX1224" s="73"/>
      <c r="BY1224" s="73"/>
      <c r="BZ1224" s="73"/>
      <c r="CA1224" s="73"/>
      <c r="CB1224" s="73"/>
      <c r="CC1224" s="73"/>
      <c r="CD1224" s="73"/>
      <c r="CE1224" s="73"/>
      <c r="CF1224" s="73"/>
      <c r="CG1224" s="73"/>
      <c r="CH1224" s="73"/>
    </row>
    <row r="1225">
      <c r="A1225" s="73"/>
      <c r="B1225" s="73"/>
      <c r="C1225" s="73"/>
      <c r="D1225" s="73"/>
      <c r="E1225" s="140"/>
      <c r="F1225" s="80"/>
      <c r="G1225" s="80"/>
      <c r="H1225" s="73"/>
      <c r="I1225" s="73"/>
      <c r="J1225" s="73"/>
      <c r="K1225" s="73"/>
      <c r="L1225" s="73"/>
      <c r="M1225" s="73"/>
      <c r="N1225" s="73"/>
      <c r="O1225" s="73"/>
      <c r="P1225" s="73"/>
      <c r="Q1225" s="73"/>
      <c r="R1225" s="73"/>
      <c r="S1225" s="73"/>
      <c r="T1225" s="73"/>
      <c r="U1225" s="73"/>
      <c r="V1225" s="73"/>
      <c r="W1225" s="73"/>
      <c r="X1225" s="73"/>
      <c r="Y1225" s="73"/>
      <c r="Z1225" s="73"/>
      <c r="AA1225" s="73"/>
      <c r="AB1225" s="73"/>
      <c r="AC1225" s="73"/>
      <c r="AD1225" s="73"/>
      <c r="AE1225" s="73"/>
      <c r="AF1225" s="73"/>
      <c r="AG1225" s="73"/>
      <c r="AH1225" s="73"/>
      <c r="AI1225" s="73"/>
      <c r="AJ1225" s="168"/>
      <c r="AK1225" s="73"/>
      <c r="AL1225" s="73"/>
      <c r="AM1225" s="73"/>
      <c r="AN1225" s="73"/>
      <c r="AO1225" s="73"/>
      <c r="AP1225" s="73"/>
      <c r="AQ1225" s="73"/>
      <c r="AR1225" s="73"/>
      <c r="AS1225" s="73"/>
      <c r="AT1225" s="73"/>
      <c r="AU1225" s="73"/>
      <c r="AV1225" s="73"/>
      <c r="AW1225" s="73"/>
      <c r="AX1225" s="73"/>
      <c r="AY1225" s="73"/>
      <c r="AZ1225" s="73"/>
      <c r="BA1225" s="73"/>
      <c r="BB1225" s="73"/>
      <c r="BC1225" s="73"/>
      <c r="BD1225" s="73"/>
      <c r="BE1225" s="73"/>
      <c r="BF1225" s="75"/>
      <c r="BG1225" s="73"/>
      <c r="BH1225" s="88"/>
      <c r="BI1225" s="73"/>
      <c r="BJ1225" s="73"/>
      <c r="BK1225" s="73"/>
      <c r="BL1225" s="73"/>
      <c r="BM1225" s="73"/>
      <c r="BN1225" s="73"/>
      <c r="BO1225" s="73"/>
      <c r="BP1225" s="73"/>
      <c r="BQ1225" s="73"/>
      <c r="BR1225" s="73"/>
      <c r="BS1225" s="73"/>
      <c r="BT1225" s="73"/>
      <c r="BU1225" s="73"/>
      <c r="BV1225" s="73"/>
      <c r="BW1225" s="73"/>
      <c r="BX1225" s="73"/>
      <c r="BY1225" s="73"/>
      <c r="BZ1225" s="73"/>
      <c r="CA1225" s="73"/>
      <c r="CB1225" s="73"/>
      <c r="CC1225" s="73"/>
      <c r="CD1225" s="73"/>
      <c r="CE1225" s="73"/>
      <c r="CF1225" s="73"/>
      <c r="CG1225" s="73"/>
      <c r="CH1225" s="73"/>
    </row>
    <row r="1226">
      <c r="A1226" s="73"/>
      <c r="B1226" s="73"/>
      <c r="C1226" s="73"/>
      <c r="D1226" s="73"/>
      <c r="E1226" s="140"/>
      <c r="F1226" s="80"/>
      <c r="G1226" s="80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  <c r="S1226" s="73"/>
      <c r="T1226" s="73"/>
      <c r="U1226" s="73"/>
      <c r="V1226" s="73"/>
      <c r="W1226" s="73"/>
      <c r="X1226" s="73"/>
      <c r="Y1226" s="73"/>
      <c r="Z1226" s="73"/>
      <c r="AA1226" s="73"/>
      <c r="AB1226" s="73"/>
      <c r="AC1226" s="73"/>
      <c r="AD1226" s="73"/>
      <c r="AE1226" s="73"/>
      <c r="AF1226" s="73"/>
      <c r="AG1226" s="73"/>
      <c r="AH1226" s="73"/>
      <c r="AI1226" s="73"/>
      <c r="AJ1226" s="168"/>
      <c r="AK1226" s="73"/>
      <c r="AL1226" s="73"/>
      <c r="AM1226" s="73"/>
      <c r="AN1226" s="73"/>
      <c r="AO1226" s="73"/>
      <c r="AP1226" s="73"/>
      <c r="AQ1226" s="73"/>
      <c r="AR1226" s="73"/>
      <c r="AS1226" s="73"/>
      <c r="AT1226" s="73"/>
      <c r="AU1226" s="73"/>
      <c r="AV1226" s="73"/>
      <c r="AW1226" s="73"/>
      <c r="AX1226" s="73"/>
      <c r="AY1226" s="73"/>
      <c r="AZ1226" s="73"/>
      <c r="BA1226" s="73"/>
      <c r="BB1226" s="73"/>
      <c r="BC1226" s="73"/>
      <c r="BD1226" s="73"/>
      <c r="BE1226" s="73"/>
      <c r="BF1226" s="75"/>
      <c r="BG1226" s="73"/>
      <c r="BH1226" s="88"/>
      <c r="BI1226" s="73"/>
      <c r="BJ1226" s="73"/>
      <c r="BK1226" s="73"/>
      <c r="BL1226" s="73"/>
      <c r="BM1226" s="73"/>
      <c r="BN1226" s="73"/>
      <c r="BO1226" s="73"/>
      <c r="BP1226" s="73"/>
      <c r="BQ1226" s="73"/>
      <c r="BR1226" s="73"/>
      <c r="BS1226" s="73"/>
      <c r="BT1226" s="73"/>
      <c r="BU1226" s="73"/>
      <c r="BV1226" s="73"/>
      <c r="BW1226" s="73"/>
      <c r="BX1226" s="73"/>
      <c r="BY1226" s="73"/>
      <c r="BZ1226" s="73"/>
      <c r="CA1226" s="73"/>
      <c r="CB1226" s="73"/>
      <c r="CC1226" s="73"/>
      <c r="CD1226" s="73"/>
      <c r="CE1226" s="73"/>
      <c r="CF1226" s="73"/>
      <c r="CG1226" s="73"/>
      <c r="CH1226" s="73"/>
    </row>
    <row r="1227">
      <c r="A1227" s="73"/>
      <c r="B1227" s="73"/>
      <c r="C1227" s="73"/>
      <c r="D1227" s="73"/>
      <c r="E1227" s="140"/>
      <c r="F1227" s="80"/>
      <c r="G1227" s="80"/>
      <c r="H1227" s="73"/>
      <c r="I1227" s="73"/>
      <c r="J1227" s="73"/>
      <c r="K1227" s="73"/>
      <c r="L1227" s="73"/>
      <c r="M1227" s="73"/>
      <c r="N1227" s="73"/>
      <c r="O1227" s="73"/>
      <c r="P1227" s="73"/>
      <c r="Q1227" s="73"/>
      <c r="R1227" s="73"/>
      <c r="S1227" s="73"/>
      <c r="T1227" s="73"/>
      <c r="U1227" s="73"/>
      <c r="V1227" s="73"/>
      <c r="W1227" s="73"/>
      <c r="X1227" s="73"/>
      <c r="Y1227" s="73"/>
      <c r="Z1227" s="73"/>
      <c r="AA1227" s="73"/>
      <c r="AB1227" s="73"/>
      <c r="AC1227" s="73"/>
      <c r="AD1227" s="73"/>
      <c r="AE1227" s="73"/>
      <c r="AF1227" s="73"/>
      <c r="AG1227" s="73"/>
      <c r="AH1227" s="73"/>
      <c r="AI1227" s="73"/>
      <c r="AJ1227" s="168"/>
      <c r="AK1227" s="73"/>
      <c r="AL1227" s="73"/>
      <c r="AM1227" s="73"/>
      <c r="AN1227" s="73"/>
      <c r="AO1227" s="73"/>
      <c r="AP1227" s="73"/>
      <c r="AQ1227" s="73"/>
      <c r="AR1227" s="73"/>
      <c r="AS1227" s="73"/>
      <c r="AT1227" s="73"/>
      <c r="AU1227" s="73"/>
      <c r="AV1227" s="73"/>
      <c r="AW1227" s="73"/>
      <c r="AX1227" s="73"/>
      <c r="AY1227" s="73"/>
      <c r="AZ1227" s="73"/>
      <c r="BA1227" s="73"/>
      <c r="BB1227" s="73"/>
      <c r="BC1227" s="73"/>
      <c r="BD1227" s="73"/>
      <c r="BE1227" s="73"/>
      <c r="BF1227" s="75"/>
      <c r="BG1227" s="73"/>
      <c r="BH1227" s="88"/>
      <c r="BI1227" s="73"/>
      <c r="BJ1227" s="73"/>
      <c r="BK1227" s="73"/>
      <c r="BL1227" s="73"/>
      <c r="BM1227" s="73"/>
      <c r="BN1227" s="73"/>
      <c r="BO1227" s="73"/>
      <c r="BP1227" s="73"/>
      <c r="BQ1227" s="73"/>
      <c r="BR1227" s="73"/>
      <c r="BS1227" s="73"/>
      <c r="BT1227" s="73"/>
      <c r="BU1227" s="73"/>
      <c r="BV1227" s="73"/>
      <c r="BW1227" s="73"/>
      <c r="BX1227" s="73"/>
      <c r="BY1227" s="73"/>
      <c r="BZ1227" s="73"/>
      <c r="CA1227" s="73"/>
      <c r="CB1227" s="73"/>
      <c r="CC1227" s="73"/>
      <c r="CD1227" s="73"/>
      <c r="CE1227" s="73"/>
      <c r="CF1227" s="73"/>
      <c r="CG1227" s="73"/>
      <c r="CH1227" s="73"/>
    </row>
    <row r="1228">
      <c r="A1228" s="73"/>
      <c r="B1228" s="73"/>
      <c r="C1228" s="73"/>
      <c r="D1228" s="73"/>
      <c r="E1228" s="140"/>
      <c r="F1228" s="80"/>
      <c r="G1228" s="80"/>
      <c r="H1228" s="73"/>
      <c r="I1228" s="73"/>
      <c r="J1228" s="73"/>
      <c r="K1228" s="73"/>
      <c r="L1228" s="73"/>
      <c r="M1228" s="73"/>
      <c r="N1228" s="73"/>
      <c r="O1228" s="73"/>
      <c r="P1228" s="73"/>
      <c r="Q1228" s="73"/>
      <c r="R1228" s="73"/>
      <c r="S1228" s="73"/>
      <c r="T1228" s="73"/>
      <c r="U1228" s="73"/>
      <c r="V1228" s="73"/>
      <c r="W1228" s="73"/>
      <c r="X1228" s="73"/>
      <c r="Y1228" s="73"/>
      <c r="Z1228" s="73"/>
      <c r="AA1228" s="73"/>
      <c r="AB1228" s="73"/>
      <c r="AC1228" s="73"/>
      <c r="AD1228" s="73"/>
      <c r="AE1228" s="73"/>
      <c r="AF1228" s="73"/>
      <c r="AG1228" s="73"/>
      <c r="AH1228" s="73"/>
      <c r="AI1228" s="73"/>
      <c r="AJ1228" s="168"/>
      <c r="AK1228" s="73"/>
      <c r="AL1228" s="73"/>
      <c r="AM1228" s="73"/>
      <c r="AN1228" s="73"/>
      <c r="AO1228" s="73"/>
      <c r="AP1228" s="73"/>
      <c r="AQ1228" s="73"/>
      <c r="AR1228" s="73"/>
      <c r="AS1228" s="73"/>
      <c r="AT1228" s="73"/>
      <c r="AU1228" s="73"/>
      <c r="AV1228" s="73"/>
      <c r="AW1228" s="73"/>
      <c r="AX1228" s="73"/>
      <c r="AY1228" s="73"/>
      <c r="AZ1228" s="73"/>
      <c r="BA1228" s="73"/>
      <c r="BB1228" s="73"/>
      <c r="BC1228" s="73"/>
      <c r="BD1228" s="73"/>
      <c r="BE1228" s="73"/>
      <c r="BF1228" s="75"/>
      <c r="BG1228" s="73"/>
      <c r="BH1228" s="88"/>
      <c r="BI1228" s="73"/>
      <c r="BJ1228" s="73"/>
      <c r="BK1228" s="73"/>
      <c r="BL1228" s="73"/>
      <c r="BM1228" s="73"/>
      <c r="BN1228" s="73"/>
      <c r="BO1228" s="73"/>
      <c r="BP1228" s="73"/>
      <c r="BQ1228" s="73"/>
      <c r="BR1228" s="73"/>
      <c r="BS1228" s="73"/>
      <c r="BT1228" s="73"/>
      <c r="BU1228" s="73"/>
      <c r="BV1228" s="73"/>
      <c r="BW1228" s="73"/>
      <c r="BX1228" s="73"/>
      <c r="BY1228" s="73"/>
      <c r="BZ1228" s="73"/>
      <c r="CA1228" s="73"/>
      <c r="CB1228" s="73"/>
      <c r="CC1228" s="73"/>
      <c r="CD1228" s="73"/>
      <c r="CE1228" s="73"/>
      <c r="CF1228" s="73"/>
      <c r="CG1228" s="73"/>
      <c r="CH1228" s="73"/>
    </row>
    <row r="1229">
      <c r="A1229" s="73"/>
      <c r="B1229" s="73"/>
      <c r="C1229" s="73"/>
      <c r="D1229" s="73"/>
      <c r="E1229" s="140"/>
      <c r="F1229" s="80"/>
      <c r="G1229" s="80"/>
      <c r="H1229" s="73"/>
      <c r="I1229" s="73"/>
      <c r="J1229" s="73"/>
      <c r="K1229" s="73"/>
      <c r="L1229" s="73"/>
      <c r="M1229" s="73"/>
      <c r="N1229" s="73"/>
      <c r="O1229" s="73"/>
      <c r="P1229" s="73"/>
      <c r="Q1229" s="73"/>
      <c r="R1229" s="73"/>
      <c r="S1229" s="73"/>
      <c r="T1229" s="73"/>
      <c r="U1229" s="73"/>
      <c r="V1229" s="73"/>
      <c r="W1229" s="73"/>
      <c r="X1229" s="73"/>
      <c r="Y1229" s="73"/>
      <c r="Z1229" s="73"/>
      <c r="AA1229" s="73"/>
      <c r="AB1229" s="73"/>
      <c r="AC1229" s="73"/>
      <c r="AD1229" s="73"/>
      <c r="AE1229" s="73"/>
      <c r="AF1229" s="73"/>
      <c r="AG1229" s="73"/>
      <c r="AH1229" s="73"/>
      <c r="AI1229" s="73"/>
      <c r="AJ1229" s="168"/>
      <c r="AK1229" s="73"/>
      <c r="AL1229" s="73"/>
      <c r="AM1229" s="73"/>
      <c r="AN1229" s="73"/>
      <c r="AO1229" s="73"/>
      <c r="AP1229" s="73"/>
      <c r="AQ1229" s="73"/>
      <c r="AR1229" s="73"/>
      <c r="AS1229" s="73"/>
      <c r="AT1229" s="73"/>
      <c r="AU1229" s="73"/>
      <c r="AV1229" s="73"/>
      <c r="AW1229" s="73"/>
      <c r="AX1229" s="73"/>
      <c r="AY1229" s="73"/>
      <c r="AZ1229" s="73"/>
      <c r="BA1229" s="73"/>
      <c r="BB1229" s="73"/>
      <c r="BC1229" s="73"/>
      <c r="BD1229" s="73"/>
      <c r="BE1229" s="73"/>
      <c r="BF1229" s="75"/>
      <c r="BG1229" s="73"/>
      <c r="BH1229" s="88"/>
      <c r="BI1229" s="73"/>
      <c r="BJ1229" s="73"/>
      <c r="BK1229" s="73"/>
      <c r="BL1229" s="73"/>
      <c r="BM1229" s="73"/>
      <c r="BN1229" s="73"/>
      <c r="BO1229" s="73"/>
      <c r="BP1229" s="73"/>
      <c r="BQ1229" s="73"/>
      <c r="BR1229" s="73"/>
      <c r="BS1229" s="73"/>
      <c r="BT1229" s="73"/>
      <c r="BU1229" s="73"/>
      <c r="BV1229" s="73"/>
      <c r="BW1229" s="73"/>
      <c r="BX1229" s="73"/>
      <c r="BY1229" s="73"/>
      <c r="BZ1229" s="73"/>
      <c r="CA1229" s="73"/>
      <c r="CB1229" s="73"/>
      <c r="CC1229" s="73"/>
      <c r="CD1229" s="73"/>
      <c r="CE1229" s="73"/>
      <c r="CF1229" s="73"/>
      <c r="CG1229" s="73"/>
      <c r="CH1229" s="73"/>
    </row>
    <row r="1230">
      <c r="A1230" s="73"/>
      <c r="B1230" s="73"/>
      <c r="C1230" s="73"/>
      <c r="D1230" s="73"/>
      <c r="E1230" s="140"/>
      <c r="F1230" s="80"/>
      <c r="G1230" s="80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  <c r="S1230" s="73"/>
      <c r="T1230" s="73"/>
      <c r="U1230" s="73"/>
      <c r="V1230" s="73"/>
      <c r="W1230" s="73"/>
      <c r="X1230" s="73"/>
      <c r="Y1230" s="73"/>
      <c r="Z1230" s="73"/>
      <c r="AA1230" s="73"/>
      <c r="AB1230" s="73"/>
      <c r="AC1230" s="73"/>
      <c r="AD1230" s="73"/>
      <c r="AE1230" s="73"/>
      <c r="AF1230" s="73"/>
      <c r="AG1230" s="73"/>
      <c r="AH1230" s="73"/>
      <c r="AI1230" s="73"/>
      <c r="AJ1230" s="168"/>
      <c r="AK1230" s="73"/>
      <c r="AL1230" s="73"/>
      <c r="AM1230" s="73"/>
      <c r="AN1230" s="73"/>
      <c r="AO1230" s="73"/>
      <c r="AP1230" s="73"/>
      <c r="AQ1230" s="73"/>
      <c r="AR1230" s="73"/>
      <c r="AS1230" s="73"/>
      <c r="AT1230" s="73"/>
      <c r="AU1230" s="73"/>
      <c r="AV1230" s="73"/>
      <c r="AW1230" s="73"/>
      <c r="AX1230" s="73"/>
      <c r="AY1230" s="73"/>
      <c r="AZ1230" s="73"/>
      <c r="BA1230" s="73"/>
      <c r="BB1230" s="73"/>
      <c r="BC1230" s="73"/>
      <c r="BD1230" s="73"/>
      <c r="BE1230" s="73"/>
      <c r="BF1230" s="75"/>
      <c r="BG1230" s="73"/>
      <c r="BH1230" s="88"/>
      <c r="BI1230" s="73"/>
      <c r="BJ1230" s="73"/>
      <c r="BK1230" s="73"/>
      <c r="BL1230" s="73"/>
      <c r="BM1230" s="73"/>
      <c r="BN1230" s="73"/>
      <c r="BO1230" s="73"/>
      <c r="BP1230" s="73"/>
      <c r="BQ1230" s="73"/>
      <c r="BR1230" s="73"/>
      <c r="BS1230" s="73"/>
      <c r="BT1230" s="73"/>
      <c r="BU1230" s="73"/>
      <c r="BV1230" s="73"/>
      <c r="BW1230" s="73"/>
      <c r="BX1230" s="73"/>
      <c r="BY1230" s="73"/>
      <c r="BZ1230" s="73"/>
      <c r="CA1230" s="73"/>
      <c r="CB1230" s="73"/>
      <c r="CC1230" s="73"/>
      <c r="CD1230" s="73"/>
      <c r="CE1230" s="73"/>
      <c r="CF1230" s="73"/>
      <c r="CG1230" s="73"/>
      <c r="CH1230" s="73"/>
    </row>
    <row r="1231">
      <c r="A1231" s="73"/>
      <c r="B1231" s="73"/>
      <c r="C1231" s="73"/>
      <c r="D1231" s="73"/>
      <c r="E1231" s="140"/>
      <c r="F1231" s="80"/>
      <c r="G1231" s="80"/>
      <c r="H1231" s="73"/>
      <c r="I1231" s="73"/>
      <c r="J1231" s="73"/>
      <c r="K1231" s="73"/>
      <c r="L1231" s="73"/>
      <c r="M1231" s="73"/>
      <c r="N1231" s="73"/>
      <c r="O1231" s="73"/>
      <c r="P1231" s="73"/>
      <c r="Q1231" s="73"/>
      <c r="R1231" s="73"/>
      <c r="S1231" s="73"/>
      <c r="T1231" s="73"/>
      <c r="U1231" s="73"/>
      <c r="V1231" s="73"/>
      <c r="W1231" s="73"/>
      <c r="X1231" s="73"/>
      <c r="Y1231" s="73"/>
      <c r="Z1231" s="73"/>
      <c r="AA1231" s="73"/>
      <c r="AB1231" s="73"/>
      <c r="AC1231" s="73"/>
      <c r="AD1231" s="73"/>
      <c r="AE1231" s="73"/>
      <c r="AF1231" s="73"/>
      <c r="AG1231" s="73"/>
      <c r="AH1231" s="73"/>
      <c r="AI1231" s="73"/>
      <c r="AJ1231" s="168"/>
      <c r="AK1231" s="73"/>
      <c r="AL1231" s="73"/>
      <c r="AM1231" s="73"/>
      <c r="AN1231" s="73"/>
      <c r="AO1231" s="73"/>
      <c r="AP1231" s="73"/>
      <c r="AQ1231" s="73"/>
      <c r="AR1231" s="73"/>
      <c r="AS1231" s="73"/>
      <c r="AT1231" s="73"/>
      <c r="AU1231" s="73"/>
      <c r="AV1231" s="73"/>
      <c r="AW1231" s="73"/>
      <c r="AX1231" s="73"/>
      <c r="AY1231" s="73"/>
      <c r="AZ1231" s="73"/>
      <c r="BA1231" s="73"/>
      <c r="BB1231" s="73"/>
      <c r="BC1231" s="73"/>
      <c r="BD1231" s="73"/>
      <c r="BE1231" s="73"/>
      <c r="BF1231" s="75"/>
      <c r="BG1231" s="73"/>
      <c r="BH1231" s="88"/>
      <c r="BI1231" s="73"/>
      <c r="BJ1231" s="73"/>
      <c r="BK1231" s="73"/>
      <c r="BL1231" s="73"/>
      <c r="BM1231" s="73"/>
      <c r="BN1231" s="73"/>
      <c r="BO1231" s="73"/>
      <c r="BP1231" s="73"/>
      <c r="BQ1231" s="73"/>
      <c r="BR1231" s="73"/>
      <c r="BS1231" s="73"/>
      <c r="BT1231" s="73"/>
      <c r="BU1231" s="73"/>
      <c r="BV1231" s="73"/>
      <c r="BW1231" s="73"/>
      <c r="BX1231" s="73"/>
      <c r="BY1231" s="73"/>
      <c r="BZ1231" s="73"/>
      <c r="CA1231" s="73"/>
      <c r="CB1231" s="73"/>
      <c r="CC1231" s="73"/>
      <c r="CD1231" s="73"/>
      <c r="CE1231" s="73"/>
      <c r="CF1231" s="73"/>
      <c r="CG1231" s="73"/>
      <c r="CH1231" s="73"/>
    </row>
    <row r="1232">
      <c r="A1232" s="73"/>
      <c r="B1232" s="73"/>
      <c r="C1232" s="73"/>
      <c r="D1232" s="73"/>
      <c r="E1232" s="140"/>
      <c r="F1232" s="80"/>
      <c r="G1232" s="80"/>
      <c r="H1232" s="73"/>
      <c r="I1232" s="73"/>
      <c r="J1232" s="73"/>
      <c r="K1232" s="73"/>
      <c r="L1232" s="73"/>
      <c r="M1232" s="73"/>
      <c r="N1232" s="73"/>
      <c r="O1232" s="73"/>
      <c r="P1232" s="73"/>
      <c r="Q1232" s="73"/>
      <c r="R1232" s="73"/>
      <c r="S1232" s="73"/>
      <c r="T1232" s="73"/>
      <c r="U1232" s="73"/>
      <c r="V1232" s="73"/>
      <c r="W1232" s="73"/>
      <c r="X1232" s="73"/>
      <c r="Y1232" s="73"/>
      <c r="Z1232" s="73"/>
      <c r="AA1232" s="73"/>
      <c r="AB1232" s="73"/>
      <c r="AC1232" s="73"/>
      <c r="AD1232" s="73"/>
      <c r="AE1232" s="73"/>
      <c r="AF1232" s="73"/>
      <c r="AG1232" s="73"/>
      <c r="AH1232" s="73"/>
      <c r="AI1232" s="73"/>
      <c r="AJ1232" s="168"/>
      <c r="AK1232" s="73"/>
      <c r="AL1232" s="73"/>
      <c r="AM1232" s="73"/>
      <c r="AN1232" s="73"/>
      <c r="AO1232" s="73"/>
      <c r="AP1232" s="73"/>
      <c r="AQ1232" s="73"/>
      <c r="AR1232" s="73"/>
      <c r="AS1232" s="73"/>
      <c r="AT1232" s="73"/>
      <c r="AU1232" s="73"/>
      <c r="AV1232" s="73"/>
      <c r="AW1232" s="73"/>
      <c r="AX1232" s="73"/>
      <c r="AY1232" s="73"/>
      <c r="AZ1232" s="73"/>
      <c r="BA1232" s="73"/>
      <c r="BB1232" s="73"/>
      <c r="BC1232" s="73"/>
      <c r="BD1232" s="73"/>
      <c r="BE1232" s="73"/>
      <c r="BF1232" s="75"/>
      <c r="BG1232" s="73"/>
      <c r="BH1232" s="88"/>
      <c r="BI1232" s="73"/>
      <c r="BJ1232" s="73"/>
      <c r="BK1232" s="73"/>
      <c r="BL1232" s="73"/>
      <c r="BM1232" s="73"/>
      <c r="BN1232" s="73"/>
      <c r="BO1232" s="73"/>
      <c r="BP1232" s="73"/>
      <c r="BQ1232" s="73"/>
      <c r="BR1232" s="73"/>
      <c r="BS1232" s="73"/>
      <c r="BT1232" s="73"/>
      <c r="BU1232" s="73"/>
      <c r="BV1232" s="73"/>
      <c r="BW1232" s="73"/>
      <c r="BX1232" s="73"/>
      <c r="BY1232" s="73"/>
      <c r="BZ1232" s="73"/>
      <c r="CA1232" s="73"/>
      <c r="CB1232" s="73"/>
      <c r="CC1232" s="73"/>
      <c r="CD1232" s="73"/>
      <c r="CE1232" s="73"/>
      <c r="CF1232" s="73"/>
      <c r="CG1232" s="73"/>
      <c r="CH1232" s="73"/>
    </row>
    <row r="1233">
      <c r="A1233" s="73"/>
      <c r="B1233" s="73"/>
      <c r="C1233" s="73"/>
      <c r="D1233" s="73"/>
      <c r="E1233" s="140"/>
      <c r="F1233" s="80"/>
      <c r="G1233" s="80"/>
      <c r="H1233" s="73"/>
      <c r="I1233" s="73"/>
      <c r="J1233" s="73"/>
      <c r="K1233" s="73"/>
      <c r="L1233" s="73"/>
      <c r="M1233" s="73"/>
      <c r="N1233" s="73"/>
      <c r="O1233" s="73"/>
      <c r="P1233" s="73"/>
      <c r="Q1233" s="73"/>
      <c r="R1233" s="73"/>
      <c r="S1233" s="73"/>
      <c r="T1233" s="73"/>
      <c r="U1233" s="73"/>
      <c r="V1233" s="73"/>
      <c r="W1233" s="73"/>
      <c r="X1233" s="73"/>
      <c r="Y1233" s="73"/>
      <c r="Z1233" s="73"/>
      <c r="AA1233" s="73"/>
      <c r="AB1233" s="73"/>
      <c r="AC1233" s="73"/>
      <c r="AD1233" s="73"/>
      <c r="AE1233" s="73"/>
      <c r="AF1233" s="73"/>
      <c r="AG1233" s="73"/>
      <c r="AH1233" s="73"/>
      <c r="AI1233" s="73"/>
      <c r="AJ1233" s="168"/>
      <c r="AK1233" s="73"/>
      <c r="AL1233" s="73"/>
      <c r="AM1233" s="73"/>
      <c r="AN1233" s="73"/>
      <c r="AO1233" s="73"/>
      <c r="AP1233" s="73"/>
      <c r="AQ1233" s="73"/>
      <c r="AR1233" s="73"/>
      <c r="AS1233" s="73"/>
      <c r="AT1233" s="73"/>
      <c r="AU1233" s="73"/>
      <c r="AV1233" s="73"/>
      <c r="AW1233" s="73"/>
      <c r="AX1233" s="73"/>
      <c r="AY1233" s="73"/>
      <c r="AZ1233" s="73"/>
      <c r="BA1233" s="73"/>
      <c r="BB1233" s="73"/>
      <c r="BC1233" s="73"/>
      <c r="BD1233" s="73"/>
      <c r="BE1233" s="73"/>
      <c r="BF1233" s="75"/>
      <c r="BG1233" s="73"/>
      <c r="BH1233" s="88"/>
      <c r="BI1233" s="73"/>
      <c r="BJ1233" s="73"/>
      <c r="BK1233" s="73"/>
      <c r="BL1233" s="73"/>
      <c r="BM1233" s="73"/>
      <c r="BN1233" s="73"/>
      <c r="BO1233" s="73"/>
      <c r="BP1233" s="73"/>
      <c r="BQ1233" s="73"/>
      <c r="BR1233" s="73"/>
      <c r="BS1233" s="73"/>
      <c r="BT1233" s="73"/>
      <c r="BU1233" s="73"/>
      <c r="BV1233" s="73"/>
      <c r="BW1233" s="73"/>
      <c r="BX1233" s="73"/>
      <c r="BY1233" s="73"/>
      <c r="BZ1233" s="73"/>
      <c r="CA1233" s="73"/>
      <c r="CB1233" s="73"/>
      <c r="CC1233" s="73"/>
      <c r="CD1233" s="73"/>
      <c r="CE1233" s="73"/>
      <c r="CF1233" s="73"/>
      <c r="CG1233" s="73"/>
      <c r="CH1233" s="73"/>
    </row>
    <row r="1234">
      <c r="A1234" s="73"/>
      <c r="B1234" s="73"/>
      <c r="C1234" s="73"/>
      <c r="D1234" s="73"/>
      <c r="E1234" s="140"/>
      <c r="F1234" s="80"/>
      <c r="G1234" s="80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  <c r="S1234" s="73"/>
      <c r="T1234" s="73"/>
      <c r="U1234" s="73"/>
      <c r="V1234" s="73"/>
      <c r="W1234" s="73"/>
      <c r="X1234" s="73"/>
      <c r="Y1234" s="73"/>
      <c r="Z1234" s="73"/>
      <c r="AA1234" s="73"/>
      <c r="AB1234" s="73"/>
      <c r="AC1234" s="73"/>
      <c r="AD1234" s="73"/>
      <c r="AE1234" s="73"/>
      <c r="AF1234" s="73"/>
      <c r="AG1234" s="73"/>
      <c r="AH1234" s="73"/>
      <c r="AI1234" s="73"/>
      <c r="AJ1234" s="168"/>
      <c r="AK1234" s="73"/>
      <c r="AL1234" s="73"/>
      <c r="AM1234" s="73"/>
      <c r="AN1234" s="73"/>
      <c r="AO1234" s="73"/>
      <c r="AP1234" s="73"/>
      <c r="AQ1234" s="73"/>
      <c r="AR1234" s="73"/>
      <c r="AS1234" s="73"/>
      <c r="AT1234" s="73"/>
      <c r="AU1234" s="73"/>
      <c r="AV1234" s="73"/>
      <c r="AW1234" s="73"/>
      <c r="AX1234" s="73"/>
      <c r="AY1234" s="73"/>
      <c r="AZ1234" s="73"/>
      <c r="BA1234" s="73"/>
      <c r="BB1234" s="73"/>
      <c r="BC1234" s="73"/>
      <c r="BD1234" s="73"/>
      <c r="BE1234" s="73"/>
      <c r="BF1234" s="75"/>
      <c r="BG1234" s="73"/>
      <c r="BH1234" s="88"/>
      <c r="BI1234" s="73"/>
      <c r="BJ1234" s="73"/>
      <c r="BK1234" s="73"/>
      <c r="BL1234" s="73"/>
      <c r="BM1234" s="73"/>
      <c r="BN1234" s="73"/>
      <c r="BO1234" s="73"/>
      <c r="BP1234" s="73"/>
      <c r="BQ1234" s="73"/>
      <c r="BR1234" s="73"/>
      <c r="BS1234" s="73"/>
      <c r="BT1234" s="73"/>
      <c r="BU1234" s="73"/>
      <c r="BV1234" s="73"/>
      <c r="BW1234" s="73"/>
      <c r="BX1234" s="73"/>
      <c r="BY1234" s="73"/>
      <c r="BZ1234" s="73"/>
      <c r="CA1234" s="73"/>
      <c r="CB1234" s="73"/>
      <c r="CC1234" s="73"/>
      <c r="CD1234" s="73"/>
      <c r="CE1234" s="73"/>
      <c r="CF1234" s="73"/>
      <c r="CG1234" s="73"/>
      <c r="CH1234" s="73"/>
    </row>
    <row r="1235">
      <c r="A1235" s="73"/>
      <c r="B1235" s="73"/>
      <c r="C1235" s="73"/>
      <c r="D1235" s="73"/>
      <c r="E1235" s="140"/>
      <c r="F1235" s="80"/>
      <c r="G1235" s="80"/>
      <c r="H1235" s="73"/>
      <c r="I1235" s="73"/>
      <c r="J1235" s="73"/>
      <c r="K1235" s="73"/>
      <c r="L1235" s="73"/>
      <c r="M1235" s="73"/>
      <c r="N1235" s="73"/>
      <c r="O1235" s="73"/>
      <c r="P1235" s="73"/>
      <c r="Q1235" s="73"/>
      <c r="R1235" s="73"/>
      <c r="S1235" s="73"/>
      <c r="T1235" s="73"/>
      <c r="U1235" s="73"/>
      <c r="V1235" s="73"/>
      <c r="W1235" s="73"/>
      <c r="X1235" s="73"/>
      <c r="Y1235" s="73"/>
      <c r="Z1235" s="73"/>
      <c r="AA1235" s="73"/>
      <c r="AB1235" s="73"/>
      <c r="AC1235" s="73"/>
      <c r="AD1235" s="73"/>
      <c r="AE1235" s="73"/>
      <c r="AF1235" s="73"/>
      <c r="AG1235" s="73"/>
      <c r="AH1235" s="73"/>
      <c r="AI1235" s="73"/>
      <c r="AJ1235" s="168"/>
      <c r="AK1235" s="73"/>
      <c r="AL1235" s="73"/>
      <c r="AM1235" s="73"/>
      <c r="AN1235" s="73"/>
      <c r="AO1235" s="73"/>
      <c r="AP1235" s="73"/>
      <c r="AQ1235" s="73"/>
      <c r="AR1235" s="73"/>
      <c r="AS1235" s="73"/>
      <c r="AT1235" s="73"/>
      <c r="AU1235" s="73"/>
      <c r="AV1235" s="73"/>
      <c r="AW1235" s="73"/>
      <c r="AX1235" s="73"/>
      <c r="AY1235" s="73"/>
      <c r="AZ1235" s="73"/>
      <c r="BA1235" s="73"/>
      <c r="BB1235" s="73"/>
      <c r="BC1235" s="73"/>
      <c r="BD1235" s="73"/>
      <c r="BE1235" s="73"/>
      <c r="BF1235" s="75"/>
      <c r="BG1235" s="73"/>
      <c r="BH1235" s="88"/>
      <c r="BI1235" s="73"/>
      <c r="BJ1235" s="73"/>
      <c r="BK1235" s="73"/>
      <c r="BL1235" s="73"/>
      <c r="BM1235" s="73"/>
      <c r="BN1235" s="73"/>
      <c r="BO1235" s="73"/>
      <c r="BP1235" s="73"/>
      <c r="BQ1235" s="73"/>
      <c r="BR1235" s="73"/>
      <c r="BS1235" s="73"/>
      <c r="BT1235" s="73"/>
      <c r="BU1235" s="73"/>
      <c r="BV1235" s="73"/>
      <c r="BW1235" s="73"/>
      <c r="BX1235" s="73"/>
      <c r="BY1235" s="73"/>
      <c r="BZ1235" s="73"/>
      <c r="CA1235" s="73"/>
      <c r="CB1235" s="73"/>
      <c r="CC1235" s="73"/>
      <c r="CD1235" s="73"/>
      <c r="CE1235" s="73"/>
      <c r="CF1235" s="73"/>
      <c r="CG1235" s="73"/>
      <c r="CH1235" s="73"/>
    </row>
    <row r="1236">
      <c r="A1236" s="73"/>
      <c r="B1236" s="73"/>
      <c r="C1236" s="73"/>
      <c r="D1236" s="73"/>
      <c r="E1236" s="140"/>
      <c r="F1236" s="80"/>
      <c r="G1236" s="80"/>
      <c r="H1236" s="73"/>
      <c r="I1236" s="73"/>
      <c r="J1236" s="73"/>
      <c r="K1236" s="73"/>
      <c r="L1236" s="73"/>
      <c r="M1236" s="73"/>
      <c r="N1236" s="73"/>
      <c r="O1236" s="73"/>
      <c r="P1236" s="73"/>
      <c r="Q1236" s="73"/>
      <c r="R1236" s="73"/>
      <c r="S1236" s="73"/>
      <c r="T1236" s="73"/>
      <c r="U1236" s="73"/>
      <c r="V1236" s="73"/>
      <c r="W1236" s="73"/>
      <c r="X1236" s="73"/>
      <c r="Y1236" s="73"/>
      <c r="Z1236" s="73"/>
      <c r="AA1236" s="73"/>
      <c r="AB1236" s="73"/>
      <c r="AC1236" s="73"/>
      <c r="AD1236" s="73"/>
      <c r="AE1236" s="73"/>
      <c r="AF1236" s="73"/>
      <c r="AG1236" s="73"/>
      <c r="AH1236" s="73"/>
      <c r="AI1236" s="73"/>
      <c r="AJ1236" s="168"/>
      <c r="AK1236" s="73"/>
      <c r="AL1236" s="73"/>
      <c r="AM1236" s="73"/>
      <c r="AN1236" s="73"/>
      <c r="AO1236" s="73"/>
      <c r="AP1236" s="73"/>
      <c r="AQ1236" s="73"/>
      <c r="AR1236" s="73"/>
      <c r="AS1236" s="73"/>
      <c r="AT1236" s="73"/>
      <c r="AU1236" s="73"/>
      <c r="AV1236" s="73"/>
      <c r="AW1236" s="73"/>
      <c r="AX1236" s="73"/>
      <c r="AY1236" s="73"/>
      <c r="AZ1236" s="73"/>
      <c r="BA1236" s="73"/>
      <c r="BB1236" s="73"/>
      <c r="BC1236" s="73"/>
      <c r="BD1236" s="73"/>
      <c r="BE1236" s="73"/>
      <c r="BF1236" s="75"/>
      <c r="BG1236" s="73"/>
      <c r="BH1236" s="88"/>
      <c r="BI1236" s="73"/>
      <c r="BJ1236" s="73"/>
      <c r="BK1236" s="73"/>
      <c r="BL1236" s="73"/>
      <c r="BM1236" s="73"/>
      <c r="BN1236" s="73"/>
      <c r="BO1236" s="73"/>
      <c r="BP1236" s="73"/>
      <c r="BQ1236" s="73"/>
      <c r="BR1236" s="73"/>
      <c r="BS1236" s="73"/>
      <c r="BT1236" s="73"/>
      <c r="BU1236" s="73"/>
      <c r="BV1236" s="73"/>
      <c r="BW1236" s="73"/>
      <c r="BX1236" s="73"/>
      <c r="BY1236" s="73"/>
      <c r="BZ1236" s="73"/>
      <c r="CA1236" s="73"/>
      <c r="CB1236" s="73"/>
      <c r="CC1236" s="73"/>
      <c r="CD1236" s="73"/>
      <c r="CE1236" s="73"/>
      <c r="CF1236" s="73"/>
      <c r="CG1236" s="73"/>
      <c r="CH1236" s="73"/>
    </row>
    <row r="1237">
      <c r="A1237" s="73"/>
      <c r="B1237" s="73"/>
      <c r="C1237" s="73"/>
      <c r="D1237" s="73"/>
      <c r="E1237" s="140"/>
      <c r="F1237" s="80"/>
      <c r="G1237" s="80"/>
      <c r="H1237" s="73"/>
      <c r="I1237" s="73"/>
      <c r="J1237" s="73"/>
      <c r="K1237" s="73"/>
      <c r="L1237" s="73"/>
      <c r="M1237" s="73"/>
      <c r="N1237" s="73"/>
      <c r="O1237" s="73"/>
      <c r="P1237" s="73"/>
      <c r="Q1237" s="73"/>
      <c r="R1237" s="73"/>
      <c r="S1237" s="73"/>
      <c r="T1237" s="73"/>
      <c r="U1237" s="73"/>
      <c r="V1237" s="73"/>
      <c r="W1237" s="73"/>
      <c r="X1237" s="73"/>
      <c r="Y1237" s="73"/>
      <c r="Z1237" s="73"/>
      <c r="AA1237" s="73"/>
      <c r="AB1237" s="73"/>
      <c r="AC1237" s="73"/>
      <c r="AD1237" s="73"/>
      <c r="AE1237" s="73"/>
      <c r="AF1237" s="73"/>
      <c r="AG1237" s="73"/>
      <c r="AH1237" s="73"/>
      <c r="AI1237" s="73"/>
      <c r="AJ1237" s="168"/>
      <c r="AK1237" s="73"/>
      <c r="AL1237" s="73"/>
      <c r="AM1237" s="73"/>
      <c r="AN1237" s="73"/>
      <c r="AO1237" s="73"/>
      <c r="AP1237" s="73"/>
      <c r="AQ1237" s="73"/>
      <c r="AR1237" s="73"/>
      <c r="AS1237" s="73"/>
      <c r="AT1237" s="73"/>
      <c r="AU1237" s="73"/>
      <c r="AV1237" s="73"/>
      <c r="AW1237" s="73"/>
      <c r="AX1237" s="73"/>
      <c r="AY1237" s="73"/>
      <c r="AZ1237" s="73"/>
      <c r="BA1237" s="73"/>
      <c r="BB1237" s="73"/>
      <c r="BC1237" s="73"/>
      <c r="BD1237" s="73"/>
      <c r="BE1237" s="73"/>
      <c r="BF1237" s="75"/>
      <c r="BG1237" s="73"/>
      <c r="BH1237" s="88"/>
      <c r="BI1237" s="73"/>
      <c r="BJ1237" s="73"/>
      <c r="BK1237" s="73"/>
      <c r="BL1237" s="73"/>
      <c r="BM1237" s="73"/>
      <c r="BN1237" s="73"/>
      <c r="BO1237" s="73"/>
      <c r="BP1237" s="73"/>
      <c r="BQ1237" s="73"/>
      <c r="BR1237" s="73"/>
      <c r="BS1237" s="73"/>
      <c r="BT1237" s="73"/>
      <c r="BU1237" s="73"/>
      <c r="BV1237" s="73"/>
      <c r="BW1237" s="73"/>
      <c r="BX1237" s="73"/>
      <c r="BY1237" s="73"/>
      <c r="BZ1237" s="73"/>
      <c r="CA1237" s="73"/>
      <c r="CB1237" s="73"/>
      <c r="CC1237" s="73"/>
      <c r="CD1237" s="73"/>
      <c r="CE1237" s="73"/>
      <c r="CF1237" s="73"/>
      <c r="CG1237" s="73"/>
      <c r="CH1237" s="73"/>
    </row>
    <row r="1238">
      <c r="A1238" s="73"/>
      <c r="B1238" s="73"/>
      <c r="C1238" s="73"/>
      <c r="D1238" s="73"/>
      <c r="E1238" s="140"/>
      <c r="F1238" s="80"/>
      <c r="G1238" s="80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  <c r="S1238" s="73"/>
      <c r="T1238" s="73"/>
      <c r="U1238" s="73"/>
      <c r="V1238" s="73"/>
      <c r="W1238" s="73"/>
      <c r="X1238" s="73"/>
      <c r="Y1238" s="73"/>
      <c r="Z1238" s="73"/>
      <c r="AA1238" s="73"/>
      <c r="AB1238" s="73"/>
      <c r="AC1238" s="73"/>
      <c r="AD1238" s="73"/>
      <c r="AE1238" s="73"/>
      <c r="AF1238" s="73"/>
      <c r="AG1238" s="73"/>
      <c r="AH1238" s="73"/>
      <c r="AI1238" s="73"/>
      <c r="AJ1238" s="168"/>
      <c r="AK1238" s="73"/>
      <c r="AL1238" s="73"/>
      <c r="AM1238" s="73"/>
      <c r="AN1238" s="73"/>
      <c r="AO1238" s="73"/>
      <c r="AP1238" s="73"/>
      <c r="AQ1238" s="73"/>
      <c r="AR1238" s="73"/>
      <c r="AS1238" s="73"/>
      <c r="AT1238" s="73"/>
      <c r="AU1238" s="73"/>
      <c r="AV1238" s="73"/>
      <c r="AW1238" s="73"/>
      <c r="AX1238" s="73"/>
      <c r="AY1238" s="73"/>
      <c r="AZ1238" s="73"/>
      <c r="BA1238" s="73"/>
      <c r="BB1238" s="73"/>
      <c r="BC1238" s="73"/>
      <c r="BD1238" s="73"/>
      <c r="BE1238" s="73"/>
      <c r="BF1238" s="75"/>
      <c r="BG1238" s="73"/>
      <c r="BH1238" s="88"/>
      <c r="BI1238" s="73"/>
      <c r="BJ1238" s="73"/>
      <c r="BK1238" s="73"/>
      <c r="BL1238" s="73"/>
      <c r="BM1238" s="73"/>
      <c r="BN1238" s="73"/>
      <c r="BO1238" s="73"/>
      <c r="BP1238" s="73"/>
      <c r="BQ1238" s="73"/>
      <c r="BR1238" s="73"/>
      <c r="BS1238" s="73"/>
      <c r="BT1238" s="73"/>
      <c r="BU1238" s="73"/>
      <c r="BV1238" s="73"/>
      <c r="BW1238" s="73"/>
      <c r="BX1238" s="73"/>
      <c r="BY1238" s="73"/>
      <c r="BZ1238" s="73"/>
      <c r="CA1238" s="73"/>
      <c r="CB1238" s="73"/>
      <c r="CC1238" s="73"/>
      <c r="CD1238" s="73"/>
      <c r="CE1238" s="73"/>
      <c r="CF1238" s="73"/>
      <c r="CG1238" s="73"/>
      <c r="CH1238" s="73"/>
    </row>
    <row r="1239">
      <c r="A1239" s="73"/>
      <c r="B1239" s="73"/>
      <c r="C1239" s="73"/>
      <c r="D1239" s="73"/>
      <c r="E1239" s="140"/>
      <c r="F1239" s="80"/>
      <c r="G1239" s="80"/>
      <c r="H1239" s="73"/>
      <c r="I1239" s="73"/>
      <c r="J1239" s="73"/>
      <c r="K1239" s="73"/>
      <c r="L1239" s="73"/>
      <c r="M1239" s="73"/>
      <c r="N1239" s="73"/>
      <c r="O1239" s="73"/>
      <c r="P1239" s="73"/>
      <c r="Q1239" s="73"/>
      <c r="R1239" s="73"/>
      <c r="S1239" s="73"/>
      <c r="T1239" s="73"/>
      <c r="U1239" s="73"/>
      <c r="V1239" s="73"/>
      <c r="W1239" s="73"/>
      <c r="X1239" s="73"/>
      <c r="Y1239" s="73"/>
      <c r="Z1239" s="73"/>
      <c r="AA1239" s="73"/>
      <c r="AB1239" s="73"/>
      <c r="AC1239" s="73"/>
      <c r="AD1239" s="73"/>
      <c r="AE1239" s="73"/>
      <c r="AF1239" s="73"/>
      <c r="AG1239" s="73"/>
      <c r="AH1239" s="73"/>
      <c r="AI1239" s="73"/>
      <c r="AJ1239" s="168"/>
      <c r="AK1239" s="73"/>
      <c r="AL1239" s="73"/>
      <c r="AM1239" s="73"/>
      <c r="AN1239" s="73"/>
      <c r="AO1239" s="73"/>
      <c r="AP1239" s="73"/>
      <c r="AQ1239" s="73"/>
      <c r="AR1239" s="73"/>
      <c r="AS1239" s="73"/>
      <c r="AT1239" s="73"/>
      <c r="AU1239" s="73"/>
      <c r="AV1239" s="73"/>
      <c r="AW1239" s="73"/>
      <c r="AX1239" s="73"/>
      <c r="AY1239" s="73"/>
      <c r="AZ1239" s="73"/>
      <c r="BA1239" s="73"/>
      <c r="BB1239" s="73"/>
      <c r="BC1239" s="73"/>
      <c r="BD1239" s="73"/>
      <c r="BE1239" s="73"/>
      <c r="BF1239" s="75"/>
      <c r="BG1239" s="73"/>
      <c r="BH1239" s="88"/>
      <c r="BI1239" s="73"/>
      <c r="BJ1239" s="73"/>
      <c r="BK1239" s="73"/>
      <c r="BL1239" s="73"/>
      <c r="BM1239" s="73"/>
      <c r="BN1239" s="73"/>
      <c r="BO1239" s="73"/>
      <c r="BP1239" s="73"/>
      <c r="BQ1239" s="73"/>
      <c r="BR1239" s="73"/>
      <c r="BS1239" s="73"/>
      <c r="BT1239" s="73"/>
      <c r="BU1239" s="73"/>
      <c r="BV1239" s="73"/>
      <c r="BW1239" s="73"/>
      <c r="BX1239" s="73"/>
      <c r="BY1239" s="73"/>
      <c r="BZ1239" s="73"/>
      <c r="CA1239" s="73"/>
      <c r="CB1239" s="73"/>
      <c r="CC1239" s="73"/>
      <c r="CD1239" s="73"/>
      <c r="CE1239" s="73"/>
      <c r="CF1239" s="73"/>
      <c r="CG1239" s="73"/>
      <c r="CH1239" s="73"/>
    </row>
    <row r="1240">
      <c r="A1240" s="73"/>
      <c r="B1240" s="73"/>
      <c r="C1240" s="73"/>
      <c r="D1240" s="73"/>
      <c r="E1240" s="140"/>
      <c r="F1240" s="80"/>
      <c r="G1240" s="80"/>
      <c r="H1240" s="73"/>
      <c r="I1240" s="73"/>
      <c r="J1240" s="73"/>
      <c r="K1240" s="73"/>
      <c r="L1240" s="73"/>
      <c r="M1240" s="73"/>
      <c r="N1240" s="73"/>
      <c r="O1240" s="73"/>
      <c r="P1240" s="73"/>
      <c r="Q1240" s="73"/>
      <c r="R1240" s="73"/>
      <c r="S1240" s="73"/>
      <c r="T1240" s="73"/>
      <c r="U1240" s="73"/>
      <c r="V1240" s="73"/>
      <c r="W1240" s="73"/>
      <c r="X1240" s="73"/>
      <c r="Y1240" s="73"/>
      <c r="Z1240" s="73"/>
      <c r="AA1240" s="73"/>
      <c r="AB1240" s="73"/>
      <c r="AC1240" s="73"/>
      <c r="AD1240" s="73"/>
      <c r="AE1240" s="73"/>
      <c r="AF1240" s="73"/>
      <c r="AG1240" s="73"/>
      <c r="AH1240" s="73"/>
      <c r="AI1240" s="73"/>
      <c r="AJ1240" s="168"/>
      <c r="AK1240" s="73"/>
      <c r="AL1240" s="73"/>
      <c r="AM1240" s="73"/>
      <c r="AN1240" s="73"/>
      <c r="AO1240" s="73"/>
      <c r="AP1240" s="73"/>
      <c r="AQ1240" s="73"/>
      <c r="AR1240" s="73"/>
      <c r="AS1240" s="73"/>
      <c r="AT1240" s="73"/>
      <c r="AU1240" s="73"/>
      <c r="AV1240" s="73"/>
      <c r="AW1240" s="73"/>
      <c r="AX1240" s="73"/>
      <c r="AY1240" s="73"/>
      <c r="AZ1240" s="73"/>
      <c r="BA1240" s="73"/>
      <c r="BB1240" s="73"/>
      <c r="BC1240" s="73"/>
      <c r="BD1240" s="73"/>
      <c r="BE1240" s="73"/>
      <c r="BF1240" s="75"/>
      <c r="BG1240" s="73"/>
      <c r="BH1240" s="88"/>
      <c r="BI1240" s="73"/>
      <c r="BJ1240" s="73"/>
      <c r="BK1240" s="73"/>
      <c r="BL1240" s="73"/>
      <c r="BM1240" s="73"/>
      <c r="BN1240" s="73"/>
      <c r="BO1240" s="73"/>
      <c r="BP1240" s="73"/>
      <c r="BQ1240" s="73"/>
      <c r="BR1240" s="73"/>
      <c r="BS1240" s="73"/>
      <c r="BT1240" s="73"/>
      <c r="BU1240" s="73"/>
      <c r="BV1240" s="73"/>
      <c r="BW1240" s="73"/>
      <c r="BX1240" s="73"/>
      <c r="BY1240" s="73"/>
      <c r="BZ1240" s="73"/>
      <c r="CA1240" s="73"/>
      <c r="CB1240" s="73"/>
      <c r="CC1240" s="73"/>
      <c r="CD1240" s="73"/>
      <c r="CE1240" s="73"/>
      <c r="CF1240" s="73"/>
      <c r="CG1240" s="73"/>
      <c r="CH1240" s="73"/>
    </row>
    <row r="1241">
      <c r="A1241" s="73"/>
      <c r="B1241" s="73"/>
      <c r="C1241" s="73"/>
      <c r="D1241" s="73"/>
      <c r="E1241" s="140"/>
      <c r="F1241" s="80"/>
      <c r="G1241" s="80"/>
      <c r="H1241" s="73"/>
      <c r="I1241" s="73"/>
      <c r="J1241" s="73"/>
      <c r="K1241" s="73"/>
      <c r="L1241" s="73"/>
      <c r="M1241" s="73"/>
      <c r="N1241" s="73"/>
      <c r="O1241" s="73"/>
      <c r="P1241" s="73"/>
      <c r="Q1241" s="73"/>
      <c r="R1241" s="73"/>
      <c r="S1241" s="73"/>
      <c r="T1241" s="73"/>
      <c r="U1241" s="73"/>
      <c r="V1241" s="73"/>
      <c r="W1241" s="73"/>
      <c r="X1241" s="73"/>
      <c r="Y1241" s="73"/>
      <c r="Z1241" s="73"/>
      <c r="AA1241" s="73"/>
      <c r="AB1241" s="73"/>
      <c r="AC1241" s="73"/>
      <c r="AD1241" s="73"/>
      <c r="AE1241" s="73"/>
      <c r="AF1241" s="73"/>
      <c r="AG1241" s="73"/>
      <c r="AH1241" s="73"/>
      <c r="AI1241" s="73"/>
      <c r="AJ1241" s="168"/>
      <c r="AK1241" s="73"/>
      <c r="AL1241" s="73"/>
      <c r="AM1241" s="73"/>
      <c r="AN1241" s="73"/>
      <c r="AO1241" s="73"/>
      <c r="AP1241" s="73"/>
      <c r="AQ1241" s="73"/>
      <c r="AR1241" s="73"/>
      <c r="AS1241" s="73"/>
      <c r="AT1241" s="73"/>
      <c r="AU1241" s="73"/>
      <c r="AV1241" s="73"/>
      <c r="AW1241" s="73"/>
      <c r="AX1241" s="73"/>
      <c r="AY1241" s="73"/>
      <c r="AZ1241" s="73"/>
      <c r="BA1241" s="73"/>
      <c r="BB1241" s="73"/>
      <c r="BC1241" s="73"/>
      <c r="BD1241" s="73"/>
      <c r="BE1241" s="73"/>
      <c r="BF1241" s="75"/>
      <c r="BG1241" s="73"/>
      <c r="BH1241" s="88"/>
      <c r="BI1241" s="73"/>
      <c r="BJ1241" s="73"/>
      <c r="BK1241" s="73"/>
      <c r="BL1241" s="73"/>
      <c r="BM1241" s="73"/>
      <c r="BN1241" s="73"/>
      <c r="BO1241" s="73"/>
      <c r="BP1241" s="73"/>
      <c r="BQ1241" s="73"/>
      <c r="BR1241" s="73"/>
      <c r="BS1241" s="73"/>
      <c r="BT1241" s="73"/>
      <c r="BU1241" s="73"/>
      <c r="BV1241" s="73"/>
      <c r="BW1241" s="73"/>
      <c r="BX1241" s="73"/>
      <c r="BY1241" s="73"/>
      <c r="BZ1241" s="73"/>
      <c r="CA1241" s="73"/>
      <c r="CB1241" s="73"/>
      <c r="CC1241" s="73"/>
      <c r="CD1241" s="73"/>
      <c r="CE1241" s="73"/>
      <c r="CF1241" s="73"/>
      <c r="CG1241" s="73"/>
      <c r="CH1241" s="73"/>
    </row>
    <row r="1242">
      <c r="A1242" s="73"/>
      <c r="B1242" s="73"/>
      <c r="C1242" s="73"/>
      <c r="D1242" s="73"/>
      <c r="E1242" s="140"/>
      <c r="F1242" s="80"/>
      <c r="G1242" s="80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  <c r="S1242" s="73"/>
      <c r="T1242" s="73"/>
      <c r="U1242" s="73"/>
      <c r="V1242" s="73"/>
      <c r="W1242" s="73"/>
      <c r="X1242" s="73"/>
      <c r="Y1242" s="73"/>
      <c r="Z1242" s="73"/>
      <c r="AA1242" s="73"/>
      <c r="AB1242" s="73"/>
      <c r="AC1242" s="73"/>
      <c r="AD1242" s="73"/>
      <c r="AE1242" s="73"/>
      <c r="AF1242" s="73"/>
      <c r="AG1242" s="73"/>
      <c r="AH1242" s="73"/>
      <c r="AI1242" s="73"/>
      <c r="AJ1242" s="168"/>
      <c r="AK1242" s="73"/>
      <c r="AL1242" s="73"/>
      <c r="AM1242" s="73"/>
      <c r="AN1242" s="73"/>
      <c r="AO1242" s="73"/>
      <c r="AP1242" s="73"/>
      <c r="AQ1242" s="73"/>
      <c r="AR1242" s="73"/>
      <c r="AS1242" s="73"/>
      <c r="AT1242" s="73"/>
      <c r="AU1242" s="73"/>
      <c r="AV1242" s="73"/>
      <c r="AW1242" s="73"/>
      <c r="AX1242" s="73"/>
      <c r="AY1242" s="73"/>
      <c r="AZ1242" s="73"/>
      <c r="BA1242" s="73"/>
      <c r="BB1242" s="73"/>
      <c r="BC1242" s="73"/>
      <c r="BD1242" s="73"/>
      <c r="BE1242" s="73"/>
      <c r="BF1242" s="75"/>
      <c r="BG1242" s="73"/>
      <c r="BH1242" s="88"/>
      <c r="BI1242" s="73"/>
      <c r="BJ1242" s="73"/>
      <c r="BK1242" s="73"/>
      <c r="BL1242" s="73"/>
      <c r="BM1242" s="73"/>
      <c r="BN1242" s="73"/>
      <c r="BO1242" s="73"/>
      <c r="BP1242" s="73"/>
      <c r="BQ1242" s="73"/>
      <c r="BR1242" s="73"/>
      <c r="BS1242" s="73"/>
      <c r="BT1242" s="73"/>
      <c r="BU1242" s="73"/>
      <c r="BV1242" s="73"/>
      <c r="BW1242" s="73"/>
      <c r="BX1242" s="73"/>
      <c r="BY1242" s="73"/>
      <c r="BZ1242" s="73"/>
      <c r="CA1242" s="73"/>
      <c r="CB1242" s="73"/>
      <c r="CC1242" s="73"/>
      <c r="CD1242" s="73"/>
      <c r="CE1242" s="73"/>
      <c r="CF1242" s="73"/>
      <c r="CG1242" s="73"/>
      <c r="CH1242" s="73"/>
    </row>
    <row r="1243">
      <c r="A1243" s="73"/>
      <c r="B1243" s="73"/>
      <c r="C1243" s="73"/>
      <c r="D1243" s="73"/>
      <c r="E1243" s="140"/>
      <c r="F1243" s="80"/>
      <c r="G1243" s="80"/>
      <c r="H1243" s="73"/>
      <c r="I1243" s="73"/>
      <c r="J1243" s="73"/>
      <c r="K1243" s="73"/>
      <c r="L1243" s="73"/>
      <c r="M1243" s="73"/>
      <c r="N1243" s="73"/>
      <c r="O1243" s="73"/>
      <c r="P1243" s="73"/>
      <c r="Q1243" s="73"/>
      <c r="R1243" s="73"/>
      <c r="S1243" s="73"/>
      <c r="T1243" s="73"/>
      <c r="U1243" s="73"/>
      <c r="V1243" s="73"/>
      <c r="W1243" s="73"/>
      <c r="X1243" s="73"/>
      <c r="Y1243" s="73"/>
      <c r="Z1243" s="73"/>
      <c r="AA1243" s="73"/>
      <c r="AB1243" s="73"/>
      <c r="AC1243" s="73"/>
      <c r="AD1243" s="73"/>
      <c r="AE1243" s="73"/>
      <c r="AF1243" s="73"/>
      <c r="AG1243" s="73"/>
      <c r="AH1243" s="73"/>
      <c r="AI1243" s="73"/>
      <c r="AJ1243" s="168"/>
      <c r="AK1243" s="73"/>
      <c r="AL1243" s="73"/>
      <c r="AM1243" s="73"/>
      <c r="AN1243" s="73"/>
      <c r="AO1243" s="73"/>
      <c r="AP1243" s="73"/>
      <c r="AQ1243" s="73"/>
      <c r="AR1243" s="73"/>
      <c r="AS1243" s="73"/>
      <c r="AT1243" s="73"/>
      <c r="AU1243" s="73"/>
      <c r="AV1243" s="73"/>
      <c r="AW1243" s="73"/>
      <c r="AX1243" s="73"/>
      <c r="AY1243" s="73"/>
      <c r="AZ1243" s="73"/>
      <c r="BA1243" s="73"/>
      <c r="BB1243" s="73"/>
      <c r="BC1243" s="73"/>
      <c r="BD1243" s="73"/>
      <c r="BE1243" s="73"/>
      <c r="BF1243" s="75"/>
      <c r="BG1243" s="73"/>
      <c r="BH1243" s="88"/>
      <c r="BI1243" s="73"/>
      <c r="BJ1243" s="73"/>
      <c r="BK1243" s="73"/>
      <c r="BL1243" s="73"/>
      <c r="BM1243" s="73"/>
      <c r="BN1243" s="73"/>
      <c r="BO1243" s="73"/>
      <c r="BP1243" s="73"/>
      <c r="BQ1243" s="73"/>
      <c r="BR1243" s="73"/>
      <c r="BS1243" s="73"/>
      <c r="BT1243" s="73"/>
      <c r="BU1243" s="73"/>
      <c r="BV1243" s="73"/>
      <c r="BW1243" s="73"/>
      <c r="BX1243" s="73"/>
      <c r="BY1243" s="73"/>
      <c r="BZ1243" s="73"/>
      <c r="CA1243" s="73"/>
      <c r="CB1243" s="73"/>
      <c r="CC1243" s="73"/>
      <c r="CD1243" s="73"/>
      <c r="CE1243" s="73"/>
      <c r="CF1243" s="73"/>
      <c r="CG1243" s="73"/>
      <c r="CH1243" s="73"/>
    </row>
    <row r="1244">
      <c r="A1244" s="73"/>
      <c r="B1244" s="73"/>
      <c r="C1244" s="73"/>
      <c r="D1244" s="73"/>
      <c r="E1244" s="140"/>
      <c r="F1244" s="80"/>
      <c r="G1244" s="80"/>
      <c r="H1244" s="73"/>
      <c r="I1244" s="73"/>
      <c r="J1244" s="73"/>
      <c r="K1244" s="73"/>
      <c r="L1244" s="73"/>
      <c r="M1244" s="73"/>
      <c r="N1244" s="73"/>
      <c r="O1244" s="73"/>
      <c r="P1244" s="73"/>
      <c r="Q1244" s="73"/>
      <c r="R1244" s="73"/>
      <c r="S1244" s="73"/>
      <c r="T1244" s="73"/>
      <c r="U1244" s="73"/>
      <c r="V1244" s="73"/>
      <c r="W1244" s="73"/>
      <c r="X1244" s="73"/>
      <c r="Y1244" s="73"/>
      <c r="Z1244" s="73"/>
      <c r="AA1244" s="73"/>
      <c r="AB1244" s="73"/>
      <c r="AC1244" s="73"/>
      <c r="AD1244" s="73"/>
      <c r="AE1244" s="73"/>
      <c r="AF1244" s="73"/>
      <c r="AG1244" s="73"/>
      <c r="AH1244" s="73"/>
      <c r="AI1244" s="73"/>
      <c r="AJ1244" s="168"/>
      <c r="AK1244" s="73"/>
      <c r="AL1244" s="73"/>
      <c r="AM1244" s="73"/>
      <c r="AN1244" s="73"/>
      <c r="AO1244" s="73"/>
      <c r="AP1244" s="73"/>
      <c r="AQ1244" s="73"/>
      <c r="AR1244" s="73"/>
      <c r="AS1244" s="73"/>
      <c r="AT1244" s="73"/>
      <c r="AU1244" s="73"/>
      <c r="AV1244" s="73"/>
      <c r="AW1244" s="73"/>
      <c r="AX1244" s="73"/>
      <c r="AY1244" s="73"/>
      <c r="AZ1244" s="73"/>
      <c r="BA1244" s="73"/>
      <c r="BB1244" s="73"/>
      <c r="BC1244" s="73"/>
      <c r="BD1244" s="73"/>
      <c r="BE1244" s="73"/>
      <c r="BF1244" s="75"/>
      <c r="BG1244" s="73"/>
      <c r="BH1244" s="88"/>
      <c r="BI1244" s="73"/>
      <c r="BJ1244" s="73"/>
      <c r="BK1244" s="73"/>
      <c r="BL1244" s="73"/>
      <c r="BM1244" s="73"/>
      <c r="BN1244" s="73"/>
      <c r="BO1244" s="73"/>
      <c r="BP1244" s="73"/>
      <c r="BQ1244" s="73"/>
      <c r="BR1244" s="73"/>
      <c r="BS1244" s="73"/>
      <c r="BT1244" s="73"/>
      <c r="BU1244" s="73"/>
      <c r="BV1244" s="73"/>
      <c r="BW1244" s="73"/>
      <c r="BX1244" s="73"/>
      <c r="BY1244" s="73"/>
      <c r="BZ1244" s="73"/>
      <c r="CA1244" s="73"/>
      <c r="CB1244" s="73"/>
      <c r="CC1244" s="73"/>
      <c r="CD1244" s="73"/>
      <c r="CE1244" s="73"/>
      <c r="CF1244" s="73"/>
      <c r="CG1244" s="73"/>
      <c r="CH1244" s="73"/>
    </row>
    <row r="1245">
      <c r="A1245" s="73"/>
      <c r="B1245" s="73"/>
      <c r="C1245" s="73"/>
      <c r="D1245" s="73"/>
      <c r="E1245" s="140"/>
      <c r="F1245" s="80"/>
      <c r="G1245" s="80"/>
      <c r="H1245" s="73"/>
      <c r="I1245" s="73"/>
      <c r="J1245" s="73"/>
      <c r="K1245" s="73"/>
      <c r="L1245" s="73"/>
      <c r="M1245" s="73"/>
      <c r="N1245" s="73"/>
      <c r="O1245" s="73"/>
      <c r="P1245" s="73"/>
      <c r="Q1245" s="73"/>
      <c r="R1245" s="73"/>
      <c r="S1245" s="73"/>
      <c r="T1245" s="73"/>
      <c r="U1245" s="73"/>
      <c r="V1245" s="73"/>
      <c r="W1245" s="73"/>
      <c r="X1245" s="73"/>
      <c r="Y1245" s="73"/>
      <c r="Z1245" s="73"/>
      <c r="AA1245" s="73"/>
      <c r="AB1245" s="73"/>
      <c r="AC1245" s="73"/>
      <c r="AD1245" s="73"/>
      <c r="AE1245" s="73"/>
      <c r="AF1245" s="73"/>
      <c r="AG1245" s="73"/>
      <c r="AH1245" s="73"/>
      <c r="AI1245" s="73"/>
      <c r="AJ1245" s="168"/>
      <c r="AK1245" s="73"/>
      <c r="AL1245" s="73"/>
      <c r="AM1245" s="73"/>
      <c r="AN1245" s="73"/>
      <c r="AO1245" s="73"/>
      <c r="AP1245" s="73"/>
      <c r="AQ1245" s="73"/>
      <c r="AR1245" s="73"/>
      <c r="AS1245" s="73"/>
      <c r="AT1245" s="73"/>
      <c r="AU1245" s="73"/>
      <c r="AV1245" s="73"/>
      <c r="AW1245" s="73"/>
      <c r="AX1245" s="73"/>
      <c r="AY1245" s="73"/>
      <c r="AZ1245" s="73"/>
      <c r="BA1245" s="73"/>
      <c r="BB1245" s="73"/>
      <c r="BC1245" s="73"/>
      <c r="BD1245" s="73"/>
      <c r="BE1245" s="73"/>
      <c r="BF1245" s="75"/>
      <c r="BG1245" s="73"/>
      <c r="BH1245" s="88"/>
      <c r="BI1245" s="73"/>
      <c r="BJ1245" s="73"/>
      <c r="BK1245" s="73"/>
      <c r="BL1245" s="73"/>
      <c r="BM1245" s="73"/>
      <c r="BN1245" s="73"/>
      <c r="BO1245" s="73"/>
      <c r="BP1245" s="73"/>
      <c r="BQ1245" s="73"/>
      <c r="BR1245" s="73"/>
      <c r="BS1245" s="73"/>
      <c r="BT1245" s="73"/>
      <c r="BU1245" s="73"/>
      <c r="BV1245" s="73"/>
      <c r="BW1245" s="73"/>
      <c r="BX1245" s="73"/>
      <c r="BY1245" s="73"/>
      <c r="BZ1245" s="73"/>
      <c r="CA1245" s="73"/>
      <c r="CB1245" s="73"/>
      <c r="CC1245" s="73"/>
      <c r="CD1245" s="73"/>
      <c r="CE1245" s="73"/>
      <c r="CF1245" s="73"/>
      <c r="CG1245" s="73"/>
      <c r="CH1245" s="73"/>
    </row>
    <row r="1246">
      <c r="A1246" s="73"/>
      <c r="B1246" s="73"/>
      <c r="C1246" s="73"/>
      <c r="D1246" s="73"/>
      <c r="E1246" s="140"/>
      <c r="F1246" s="80"/>
      <c r="G1246" s="80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  <c r="S1246" s="73"/>
      <c r="T1246" s="73"/>
      <c r="U1246" s="73"/>
      <c r="V1246" s="73"/>
      <c r="W1246" s="73"/>
      <c r="X1246" s="73"/>
      <c r="Y1246" s="73"/>
      <c r="Z1246" s="73"/>
      <c r="AA1246" s="73"/>
      <c r="AB1246" s="73"/>
      <c r="AC1246" s="73"/>
      <c r="AD1246" s="73"/>
      <c r="AE1246" s="73"/>
      <c r="AF1246" s="73"/>
      <c r="AG1246" s="73"/>
      <c r="AH1246" s="73"/>
      <c r="AI1246" s="73"/>
      <c r="AJ1246" s="168"/>
      <c r="AK1246" s="73"/>
      <c r="AL1246" s="73"/>
      <c r="AM1246" s="73"/>
      <c r="AN1246" s="73"/>
      <c r="AO1246" s="73"/>
      <c r="AP1246" s="73"/>
      <c r="AQ1246" s="73"/>
      <c r="AR1246" s="73"/>
      <c r="AS1246" s="73"/>
      <c r="AT1246" s="73"/>
      <c r="AU1246" s="73"/>
      <c r="AV1246" s="73"/>
      <c r="AW1246" s="73"/>
      <c r="AX1246" s="73"/>
      <c r="AY1246" s="73"/>
      <c r="AZ1246" s="73"/>
      <c r="BA1246" s="73"/>
      <c r="BB1246" s="73"/>
      <c r="BC1246" s="73"/>
      <c r="BD1246" s="73"/>
      <c r="BE1246" s="73"/>
      <c r="BF1246" s="75"/>
      <c r="BG1246" s="73"/>
      <c r="BH1246" s="88"/>
      <c r="BI1246" s="73"/>
      <c r="BJ1246" s="73"/>
      <c r="BK1246" s="73"/>
      <c r="BL1246" s="73"/>
      <c r="BM1246" s="73"/>
      <c r="BN1246" s="73"/>
      <c r="BO1246" s="73"/>
      <c r="BP1246" s="73"/>
      <c r="BQ1246" s="73"/>
      <c r="BR1246" s="73"/>
      <c r="BS1246" s="73"/>
      <c r="BT1246" s="73"/>
      <c r="BU1246" s="73"/>
      <c r="BV1246" s="73"/>
      <c r="BW1246" s="73"/>
      <c r="BX1246" s="73"/>
      <c r="BY1246" s="73"/>
      <c r="BZ1246" s="73"/>
      <c r="CA1246" s="73"/>
      <c r="CB1246" s="73"/>
      <c r="CC1246" s="73"/>
      <c r="CD1246" s="73"/>
      <c r="CE1246" s="73"/>
      <c r="CF1246" s="73"/>
      <c r="CG1246" s="73"/>
      <c r="CH1246" s="73"/>
    </row>
    <row r="1247">
      <c r="A1247" s="73"/>
      <c r="B1247" s="73"/>
      <c r="C1247" s="73"/>
      <c r="D1247" s="73"/>
      <c r="E1247" s="140"/>
      <c r="F1247" s="80"/>
      <c r="G1247" s="80"/>
      <c r="H1247" s="73"/>
      <c r="I1247" s="73"/>
      <c r="J1247" s="73"/>
      <c r="K1247" s="73"/>
      <c r="L1247" s="73"/>
      <c r="M1247" s="73"/>
      <c r="N1247" s="73"/>
      <c r="O1247" s="73"/>
      <c r="P1247" s="73"/>
      <c r="Q1247" s="73"/>
      <c r="R1247" s="73"/>
      <c r="S1247" s="73"/>
      <c r="T1247" s="73"/>
      <c r="U1247" s="73"/>
      <c r="V1247" s="73"/>
      <c r="W1247" s="73"/>
      <c r="X1247" s="73"/>
      <c r="Y1247" s="73"/>
      <c r="Z1247" s="73"/>
      <c r="AA1247" s="73"/>
      <c r="AB1247" s="73"/>
      <c r="AC1247" s="73"/>
      <c r="AD1247" s="73"/>
      <c r="AE1247" s="73"/>
      <c r="AF1247" s="73"/>
      <c r="AG1247" s="73"/>
      <c r="AH1247" s="73"/>
      <c r="AI1247" s="73"/>
      <c r="AJ1247" s="168"/>
      <c r="AK1247" s="73"/>
      <c r="AL1247" s="73"/>
      <c r="AM1247" s="73"/>
      <c r="AN1247" s="73"/>
      <c r="AO1247" s="73"/>
      <c r="AP1247" s="73"/>
      <c r="AQ1247" s="73"/>
      <c r="AR1247" s="73"/>
      <c r="AS1247" s="73"/>
      <c r="AT1247" s="73"/>
      <c r="AU1247" s="73"/>
      <c r="AV1247" s="73"/>
      <c r="AW1247" s="73"/>
      <c r="AX1247" s="73"/>
      <c r="AY1247" s="73"/>
      <c r="AZ1247" s="73"/>
      <c r="BA1247" s="73"/>
      <c r="BB1247" s="73"/>
      <c r="BC1247" s="73"/>
      <c r="BD1247" s="73"/>
      <c r="BE1247" s="73"/>
      <c r="BF1247" s="75"/>
      <c r="BG1247" s="73"/>
      <c r="BH1247" s="88"/>
      <c r="BI1247" s="73"/>
      <c r="BJ1247" s="73"/>
      <c r="BK1247" s="73"/>
      <c r="BL1247" s="73"/>
      <c r="BM1247" s="73"/>
      <c r="BN1247" s="73"/>
      <c r="BO1247" s="73"/>
      <c r="BP1247" s="73"/>
      <c r="BQ1247" s="73"/>
      <c r="BR1247" s="73"/>
      <c r="BS1247" s="73"/>
      <c r="BT1247" s="73"/>
      <c r="BU1247" s="73"/>
      <c r="BV1247" s="73"/>
      <c r="BW1247" s="73"/>
      <c r="BX1247" s="73"/>
      <c r="BY1247" s="73"/>
      <c r="BZ1247" s="73"/>
      <c r="CA1247" s="73"/>
      <c r="CB1247" s="73"/>
      <c r="CC1247" s="73"/>
      <c r="CD1247" s="73"/>
      <c r="CE1247" s="73"/>
      <c r="CF1247" s="73"/>
      <c r="CG1247" s="73"/>
      <c r="CH1247" s="73"/>
    </row>
    <row r="1248">
      <c r="A1248" s="73"/>
      <c r="B1248" s="73"/>
      <c r="C1248" s="73"/>
      <c r="D1248" s="73"/>
      <c r="E1248" s="140"/>
      <c r="F1248" s="80"/>
      <c r="G1248" s="80"/>
      <c r="H1248" s="73"/>
      <c r="I1248" s="73"/>
      <c r="J1248" s="73"/>
      <c r="K1248" s="73"/>
      <c r="L1248" s="73"/>
      <c r="M1248" s="73"/>
      <c r="N1248" s="73"/>
      <c r="O1248" s="73"/>
      <c r="P1248" s="73"/>
      <c r="Q1248" s="73"/>
      <c r="R1248" s="73"/>
      <c r="S1248" s="73"/>
      <c r="T1248" s="73"/>
      <c r="U1248" s="73"/>
      <c r="V1248" s="73"/>
      <c r="W1248" s="73"/>
      <c r="X1248" s="73"/>
      <c r="Y1248" s="73"/>
      <c r="Z1248" s="73"/>
      <c r="AA1248" s="73"/>
      <c r="AB1248" s="73"/>
      <c r="AC1248" s="73"/>
      <c r="AD1248" s="73"/>
      <c r="AE1248" s="73"/>
      <c r="AF1248" s="73"/>
      <c r="AG1248" s="73"/>
      <c r="AH1248" s="73"/>
      <c r="AI1248" s="73"/>
      <c r="AJ1248" s="168"/>
      <c r="AK1248" s="73"/>
      <c r="AL1248" s="73"/>
      <c r="AM1248" s="73"/>
      <c r="AN1248" s="73"/>
      <c r="AO1248" s="73"/>
      <c r="AP1248" s="73"/>
      <c r="AQ1248" s="73"/>
      <c r="AR1248" s="73"/>
      <c r="AS1248" s="73"/>
      <c r="AT1248" s="73"/>
      <c r="AU1248" s="73"/>
      <c r="AV1248" s="73"/>
      <c r="AW1248" s="73"/>
      <c r="AX1248" s="73"/>
      <c r="AY1248" s="73"/>
      <c r="AZ1248" s="73"/>
      <c r="BA1248" s="73"/>
      <c r="BB1248" s="73"/>
      <c r="BC1248" s="73"/>
      <c r="BD1248" s="73"/>
      <c r="BE1248" s="73"/>
      <c r="BF1248" s="75"/>
      <c r="BG1248" s="73"/>
      <c r="BH1248" s="88"/>
      <c r="BI1248" s="73"/>
      <c r="BJ1248" s="73"/>
      <c r="BK1248" s="73"/>
      <c r="BL1248" s="73"/>
      <c r="BM1248" s="73"/>
      <c r="BN1248" s="73"/>
      <c r="BO1248" s="73"/>
      <c r="BP1248" s="73"/>
      <c r="BQ1248" s="73"/>
      <c r="BR1248" s="73"/>
      <c r="BS1248" s="73"/>
      <c r="BT1248" s="73"/>
      <c r="BU1248" s="73"/>
      <c r="BV1248" s="73"/>
      <c r="BW1248" s="73"/>
      <c r="BX1248" s="73"/>
      <c r="BY1248" s="73"/>
      <c r="BZ1248" s="73"/>
      <c r="CA1248" s="73"/>
      <c r="CB1248" s="73"/>
      <c r="CC1248" s="73"/>
      <c r="CD1248" s="73"/>
      <c r="CE1248" s="73"/>
      <c r="CF1248" s="73"/>
      <c r="CG1248" s="73"/>
      <c r="CH1248" s="73"/>
    </row>
    <row r="1249">
      <c r="A1249" s="73"/>
      <c r="B1249" s="73"/>
      <c r="C1249" s="73"/>
      <c r="D1249" s="73"/>
      <c r="E1249" s="140"/>
      <c r="F1249" s="80"/>
      <c r="G1249" s="80"/>
      <c r="H1249" s="73"/>
      <c r="I1249" s="73"/>
      <c r="J1249" s="73"/>
      <c r="K1249" s="73"/>
      <c r="L1249" s="73"/>
      <c r="M1249" s="73"/>
      <c r="N1249" s="73"/>
      <c r="O1249" s="73"/>
      <c r="P1249" s="73"/>
      <c r="Q1249" s="73"/>
      <c r="R1249" s="73"/>
      <c r="S1249" s="73"/>
      <c r="T1249" s="73"/>
      <c r="U1249" s="73"/>
      <c r="V1249" s="73"/>
      <c r="W1249" s="73"/>
      <c r="X1249" s="73"/>
      <c r="Y1249" s="73"/>
      <c r="Z1249" s="73"/>
      <c r="AA1249" s="73"/>
      <c r="AB1249" s="73"/>
      <c r="AC1249" s="73"/>
      <c r="AD1249" s="73"/>
      <c r="AE1249" s="73"/>
      <c r="AF1249" s="73"/>
      <c r="AG1249" s="73"/>
      <c r="AH1249" s="73"/>
      <c r="AI1249" s="73"/>
      <c r="AJ1249" s="168"/>
      <c r="AK1249" s="73"/>
      <c r="AL1249" s="73"/>
      <c r="AM1249" s="73"/>
      <c r="AN1249" s="73"/>
      <c r="AO1249" s="73"/>
      <c r="AP1249" s="73"/>
      <c r="AQ1249" s="73"/>
      <c r="AR1249" s="73"/>
      <c r="AS1249" s="73"/>
      <c r="AT1249" s="73"/>
      <c r="AU1249" s="73"/>
      <c r="AV1249" s="73"/>
      <c r="AW1249" s="73"/>
      <c r="AX1249" s="73"/>
      <c r="AY1249" s="73"/>
      <c r="AZ1249" s="73"/>
      <c r="BA1249" s="73"/>
      <c r="BB1249" s="73"/>
      <c r="BC1249" s="73"/>
      <c r="BD1249" s="73"/>
      <c r="BE1249" s="73"/>
      <c r="BF1249" s="75"/>
      <c r="BG1249" s="73"/>
      <c r="BH1249" s="88"/>
      <c r="BI1249" s="73"/>
      <c r="BJ1249" s="73"/>
      <c r="BK1249" s="73"/>
      <c r="BL1249" s="73"/>
      <c r="BM1249" s="73"/>
      <c r="BN1249" s="73"/>
      <c r="BO1249" s="73"/>
      <c r="BP1249" s="73"/>
      <c r="BQ1249" s="73"/>
      <c r="BR1249" s="73"/>
      <c r="BS1249" s="73"/>
      <c r="BT1249" s="73"/>
      <c r="BU1249" s="73"/>
      <c r="BV1249" s="73"/>
      <c r="BW1249" s="73"/>
      <c r="BX1249" s="73"/>
      <c r="BY1249" s="73"/>
      <c r="BZ1249" s="73"/>
      <c r="CA1249" s="73"/>
      <c r="CB1249" s="73"/>
      <c r="CC1249" s="73"/>
      <c r="CD1249" s="73"/>
      <c r="CE1249" s="73"/>
      <c r="CF1249" s="73"/>
      <c r="CG1249" s="73"/>
      <c r="CH1249" s="73"/>
    </row>
    <row r="1250">
      <c r="A1250" s="73"/>
      <c r="B1250" s="73"/>
      <c r="C1250" s="73"/>
      <c r="D1250" s="73"/>
      <c r="E1250" s="140"/>
      <c r="F1250" s="80"/>
      <c r="G1250" s="80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  <c r="S1250" s="73"/>
      <c r="T1250" s="73"/>
      <c r="U1250" s="73"/>
      <c r="V1250" s="73"/>
      <c r="W1250" s="73"/>
      <c r="X1250" s="73"/>
      <c r="Y1250" s="73"/>
      <c r="Z1250" s="73"/>
      <c r="AA1250" s="73"/>
      <c r="AB1250" s="73"/>
      <c r="AC1250" s="73"/>
      <c r="AD1250" s="73"/>
      <c r="AE1250" s="73"/>
      <c r="AF1250" s="73"/>
      <c r="AG1250" s="73"/>
      <c r="AH1250" s="73"/>
      <c r="AI1250" s="73"/>
      <c r="AJ1250" s="168"/>
      <c r="AK1250" s="73"/>
      <c r="AL1250" s="73"/>
      <c r="AM1250" s="73"/>
      <c r="AN1250" s="73"/>
      <c r="AO1250" s="73"/>
      <c r="AP1250" s="73"/>
      <c r="AQ1250" s="73"/>
      <c r="AR1250" s="73"/>
      <c r="AS1250" s="73"/>
      <c r="AT1250" s="73"/>
      <c r="AU1250" s="73"/>
      <c r="AV1250" s="73"/>
      <c r="AW1250" s="73"/>
      <c r="AX1250" s="73"/>
      <c r="AY1250" s="73"/>
      <c r="AZ1250" s="73"/>
      <c r="BA1250" s="73"/>
      <c r="BB1250" s="73"/>
      <c r="BC1250" s="73"/>
      <c r="BD1250" s="73"/>
      <c r="BE1250" s="73"/>
      <c r="BF1250" s="75"/>
      <c r="BG1250" s="73"/>
      <c r="BH1250" s="88"/>
      <c r="BI1250" s="73"/>
      <c r="BJ1250" s="73"/>
      <c r="BK1250" s="73"/>
      <c r="BL1250" s="73"/>
      <c r="BM1250" s="73"/>
      <c r="BN1250" s="73"/>
      <c r="BO1250" s="73"/>
      <c r="BP1250" s="73"/>
      <c r="BQ1250" s="73"/>
      <c r="BR1250" s="73"/>
      <c r="BS1250" s="73"/>
      <c r="BT1250" s="73"/>
      <c r="BU1250" s="73"/>
      <c r="BV1250" s="73"/>
      <c r="BW1250" s="73"/>
      <c r="BX1250" s="73"/>
      <c r="BY1250" s="73"/>
      <c r="BZ1250" s="73"/>
      <c r="CA1250" s="73"/>
      <c r="CB1250" s="73"/>
      <c r="CC1250" s="73"/>
      <c r="CD1250" s="73"/>
      <c r="CE1250" s="73"/>
      <c r="CF1250" s="73"/>
      <c r="CG1250" s="73"/>
      <c r="CH1250" s="73"/>
    </row>
    <row r="1251">
      <c r="A1251" s="73"/>
      <c r="B1251" s="73"/>
      <c r="C1251" s="73"/>
      <c r="D1251" s="73"/>
      <c r="E1251" s="140"/>
      <c r="F1251" s="80"/>
      <c r="G1251" s="80"/>
      <c r="H1251" s="73"/>
      <c r="I1251" s="73"/>
      <c r="J1251" s="73"/>
      <c r="K1251" s="73"/>
      <c r="L1251" s="73"/>
      <c r="M1251" s="73"/>
      <c r="N1251" s="73"/>
      <c r="O1251" s="73"/>
      <c r="P1251" s="73"/>
      <c r="Q1251" s="73"/>
      <c r="R1251" s="73"/>
      <c r="S1251" s="73"/>
      <c r="T1251" s="73"/>
      <c r="U1251" s="73"/>
      <c r="V1251" s="73"/>
      <c r="W1251" s="73"/>
      <c r="X1251" s="73"/>
      <c r="Y1251" s="73"/>
      <c r="Z1251" s="73"/>
      <c r="AA1251" s="73"/>
      <c r="AB1251" s="73"/>
      <c r="AC1251" s="73"/>
      <c r="AD1251" s="73"/>
      <c r="AE1251" s="73"/>
      <c r="AF1251" s="73"/>
      <c r="AG1251" s="73"/>
      <c r="AH1251" s="73"/>
      <c r="AI1251" s="73"/>
      <c r="AJ1251" s="168"/>
      <c r="AK1251" s="73"/>
      <c r="AL1251" s="73"/>
      <c r="AM1251" s="73"/>
      <c r="AN1251" s="73"/>
      <c r="AO1251" s="73"/>
      <c r="AP1251" s="73"/>
      <c r="AQ1251" s="73"/>
      <c r="AR1251" s="73"/>
      <c r="AS1251" s="73"/>
      <c r="AT1251" s="73"/>
      <c r="AU1251" s="73"/>
      <c r="AV1251" s="73"/>
      <c r="AW1251" s="73"/>
      <c r="AX1251" s="73"/>
      <c r="AY1251" s="73"/>
      <c r="AZ1251" s="73"/>
      <c r="BA1251" s="73"/>
      <c r="BB1251" s="73"/>
      <c r="BC1251" s="73"/>
      <c r="BD1251" s="73"/>
      <c r="BE1251" s="73"/>
      <c r="BF1251" s="75"/>
      <c r="BG1251" s="73"/>
      <c r="BH1251" s="88"/>
      <c r="BI1251" s="73"/>
      <c r="BJ1251" s="73"/>
      <c r="BK1251" s="73"/>
      <c r="BL1251" s="73"/>
      <c r="BM1251" s="73"/>
      <c r="BN1251" s="73"/>
      <c r="BO1251" s="73"/>
      <c r="BP1251" s="73"/>
      <c r="BQ1251" s="73"/>
      <c r="BR1251" s="73"/>
      <c r="BS1251" s="73"/>
      <c r="BT1251" s="73"/>
      <c r="BU1251" s="73"/>
      <c r="BV1251" s="73"/>
      <c r="BW1251" s="73"/>
      <c r="BX1251" s="73"/>
      <c r="BY1251" s="73"/>
      <c r="BZ1251" s="73"/>
      <c r="CA1251" s="73"/>
      <c r="CB1251" s="73"/>
      <c r="CC1251" s="73"/>
      <c r="CD1251" s="73"/>
      <c r="CE1251" s="73"/>
      <c r="CF1251" s="73"/>
      <c r="CG1251" s="73"/>
      <c r="CH1251" s="73"/>
    </row>
    <row r="1252">
      <c r="A1252" s="73"/>
      <c r="B1252" s="73"/>
      <c r="C1252" s="73"/>
      <c r="D1252" s="73"/>
      <c r="E1252" s="140"/>
      <c r="F1252" s="80"/>
      <c r="G1252" s="80"/>
      <c r="H1252" s="73"/>
      <c r="I1252" s="73"/>
      <c r="J1252" s="73"/>
      <c r="K1252" s="73"/>
      <c r="L1252" s="73"/>
      <c r="M1252" s="73"/>
      <c r="N1252" s="73"/>
      <c r="O1252" s="73"/>
      <c r="P1252" s="73"/>
      <c r="Q1252" s="73"/>
      <c r="R1252" s="73"/>
      <c r="S1252" s="73"/>
      <c r="T1252" s="73"/>
      <c r="U1252" s="73"/>
      <c r="V1252" s="73"/>
      <c r="W1252" s="73"/>
      <c r="X1252" s="73"/>
      <c r="Y1252" s="73"/>
      <c r="Z1252" s="73"/>
      <c r="AA1252" s="73"/>
      <c r="AB1252" s="73"/>
      <c r="AC1252" s="73"/>
      <c r="AD1252" s="73"/>
      <c r="AE1252" s="73"/>
      <c r="AF1252" s="73"/>
      <c r="AG1252" s="73"/>
      <c r="AH1252" s="73"/>
      <c r="AI1252" s="73"/>
      <c r="AJ1252" s="168"/>
      <c r="AK1252" s="73"/>
      <c r="AL1252" s="73"/>
      <c r="AM1252" s="73"/>
      <c r="AN1252" s="73"/>
      <c r="AO1252" s="73"/>
      <c r="AP1252" s="73"/>
      <c r="AQ1252" s="73"/>
      <c r="AR1252" s="73"/>
      <c r="AS1252" s="73"/>
      <c r="AT1252" s="73"/>
      <c r="AU1252" s="73"/>
      <c r="AV1252" s="73"/>
      <c r="AW1252" s="73"/>
      <c r="AX1252" s="73"/>
      <c r="AY1252" s="73"/>
      <c r="AZ1252" s="73"/>
      <c r="BA1252" s="73"/>
      <c r="BB1252" s="73"/>
      <c r="BC1252" s="73"/>
      <c r="BD1252" s="73"/>
      <c r="BE1252" s="73"/>
      <c r="BF1252" s="75"/>
      <c r="BG1252" s="73"/>
      <c r="BH1252" s="88"/>
      <c r="BI1252" s="73"/>
      <c r="BJ1252" s="73"/>
      <c r="BK1252" s="73"/>
      <c r="BL1252" s="73"/>
      <c r="BM1252" s="73"/>
      <c r="BN1252" s="73"/>
      <c r="BO1252" s="73"/>
      <c r="BP1252" s="73"/>
      <c r="BQ1252" s="73"/>
      <c r="BR1252" s="73"/>
      <c r="BS1252" s="73"/>
      <c r="BT1252" s="73"/>
      <c r="BU1252" s="73"/>
      <c r="BV1252" s="73"/>
      <c r="BW1252" s="73"/>
      <c r="BX1252" s="73"/>
      <c r="BY1252" s="73"/>
      <c r="BZ1252" s="73"/>
      <c r="CA1252" s="73"/>
      <c r="CB1252" s="73"/>
      <c r="CC1252" s="73"/>
      <c r="CD1252" s="73"/>
      <c r="CE1252" s="73"/>
      <c r="CF1252" s="73"/>
      <c r="CG1252" s="73"/>
      <c r="CH1252" s="73"/>
    </row>
    <row r="1253">
      <c r="A1253" s="73"/>
      <c r="B1253" s="73"/>
      <c r="C1253" s="73"/>
      <c r="D1253" s="73"/>
      <c r="E1253" s="140"/>
      <c r="F1253" s="80"/>
      <c r="G1253" s="80"/>
      <c r="H1253" s="73"/>
      <c r="I1253" s="73"/>
      <c r="J1253" s="73"/>
      <c r="K1253" s="73"/>
      <c r="L1253" s="73"/>
      <c r="M1253" s="73"/>
      <c r="N1253" s="73"/>
      <c r="O1253" s="73"/>
      <c r="P1253" s="73"/>
      <c r="Q1253" s="73"/>
      <c r="R1253" s="73"/>
      <c r="S1253" s="73"/>
      <c r="T1253" s="73"/>
      <c r="U1253" s="73"/>
      <c r="V1253" s="73"/>
      <c r="W1253" s="73"/>
      <c r="X1253" s="73"/>
      <c r="Y1253" s="73"/>
      <c r="Z1253" s="73"/>
      <c r="AA1253" s="73"/>
      <c r="AB1253" s="73"/>
      <c r="AC1253" s="73"/>
      <c r="AD1253" s="73"/>
      <c r="AE1253" s="73"/>
      <c r="AF1253" s="73"/>
      <c r="AG1253" s="73"/>
      <c r="AH1253" s="73"/>
      <c r="AI1253" s="73"/>
      <c r="AJ1253" s="168"/>
      <c r="AK1253" s="73"/>
      <c r="AL1253" s="73"/>
      <c r="AM1253" s="73"/>
      <c r="AN1253" s="73"/>
      <c r="AO1253" s="73"/>
      <c r="AP1253" s="73"/>
      <c r="AQ1253" s="73"/>
      <c r="AR1253" s="73"/>
      <c r="AS1253" s="73"/>
      <c r="AT1253" s="73"/>
      <c r="AU1253" s="73"/>
      <c r="AV1253" s="73"/>
      <c r="AW1253" s="73"/>
      <c r="AX1253" s="73"/>
      <c r="AY1253" s="73"/>
      <c r="AZ1253" s="73"/>
      <c r="BA1253" s="73"/>
      <c r="BB1253" s="73"/>
      <c r="BC1253" s="73"/>
      <c r="BD1253" s="73"/>
      <c r="BE1253" s="73"/>
      <c r="BF1253" s="75"/>
      <c r="BG1253" s="73"/>
      <c r="BH1253" s="88"/>
      <c r="BI1253" s="73"/>
      <c r="BJ1253" s="73"/>
      <c r="BK1253" s="73"/>
      <c r="BL1253" s="73"/>
      <c r="BM1253" s="73"/>
      <c r="BN1253" s="73"/>
      <c r="BO1253" s="73"/>
      <c r="BP1253" s="73"/>
      <c r="BQ1253" s="73"/>
      <c r="BR1253" s="73"/>
      <c r="BS1253" s="73"/>
      <c r="BT1253" s="73"/>
      <c r="BU1253" s="73"/>
      <c r="BV1253" s="73"/>
      <c r="BW1253" s="73"/>
      <c r="BX1253" s="73"/>
      <c r="BY1253" s="73"/>
      <c r="BZ1253" s="73"/>
      <c r="CA1253" s="73"/>
      <c r="CB1253" s="73"/>
      <c r="CC1253" s="73"/>
      <c r="CD1253" s="73"/>
      <c r="CE1253" s="73"/>
      <c r="CF1253" s="73"/>
      <c r="CG1253" s="73"/>
      <c r="CH1253" s="73"/>
    </row>
    <row r="1254">
      <c r="A1254" s="73"/>
      <c r="B1254" s="73"/>
      <c r="C1254" s="73"/>
      <c r="D1254" s="73"/>
      <c r="E1254" s="140"/>
      <c r="F1254" s="80"/>
      <c r="G1254" s="80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  <c r="S1254" s="73"/>
      <c r="T1254" s="73"/>
      <c r="U1254" s="73"/>
      <c r="V1254" s="73"/>
      <c r="W1254" s="73"/>
      <c r="X1254" s="73"/>
      <c r="Y1254" s="73"/>
      <c r="Z1254" s="73"/>
      <c r="AA1254" s="73"/>
      <c r="AB1254" s="73"/>
      <c r="AC1254" s="73"/>
      <c r="AD1254" s="73"/>
      <c r="AE1254" s="73"/>
      <c r="AF1254" s="73"/>
      <c r="AG1254" s="73"/>
      <c r="AH1254" s="73"/>
      <c r="AI1254" s="73"/>
      <c r="AJ1254" s="168"/>
      <c r="AK1254" s="73"/>
      <c r="AL1254" s="73"/>
      <c r="AM1254" s="73"/>
      <c r="AN1254" s="73"/>
      <c r="AO1254" s="73"/>
      <c r="AP1254" s="73"/>
      <c r="AQ1254" s="73"/>
      <c r="AR1254" s="73"/>
      <c r="AS1254" s="73"/>
      <c r="AT1254" s="73"/>
      <c r="AU1254" s="73"/>
      <c r="AV1254" s="73"/>
      <c r="AW1254" s="73"/>
      <c r="AX1254" s="73"/>
      <c r="AY1254" s="73"/>
      <c r="AZ1254" s="73"/>
      <c r="BA1254" s="73"/>
      <c r="BB1254" s="73"/>
      <c r="BC1254" s="73"/>
      <c r="BD1254" s="73"/>
      <c r="BE1254" s="73"/>
      <c r="BF1254" s="75"/>
      <c r="BG1254" s="73"/>
      <c r="BH1254" s="88"/>
      <c r="BI1254" s="73"/>
      <c r="BJ1254" s="73"/>
      <c r="BK1254" s="73"/>
      <c r="BL1254" s="73"/>
      <c r="BM1254" s="73"/>
      <c r="BN1254" s="73"/>
      <c r="BO1254" s="73"/>
      <c r="BP1254" s="73"/>
      <c r="BQ1254" s="73"/>
      <c r="BR1254" s="73"/>
      <c r="BS1254" s="73"/>
      <c r="BT1254" s="73"/>
      <c r="BU1254" s="73"/>
      <c r="BV1254" s="73"/>
      <c r="BW1254" s="73"/>
      <c r="BX1254" s="73"/>
      <c r="BY1254" s="73"/>
      <c r="BZ1254" s="73"/>
      <c r="CA1254" s="73"/>
      <c r="CB1254" s="73"/>
      <c r="CC1254" s="73"/>
      <c r="CD1254" s="73"/>
      <c r="CE1254" s="73"/>
      <c r="CF1254" s="73"/>
      <c r="CG1254" s="73"/>
      <c r="CH1254" s="73"/>
    </row>
    <row r="1255">
      <c r="A1255" s="73"/>
      <c r="B1255" s="73"/>
      <c r="C1255" s="73"/>
      <c r="D1255" s="73"/>
      <c r="E1255" s="140"/>
      <c r="F1255" s="80"/>
      <c r="G1255" s="80"/>
      <c r="H1255" s="73"/>
      <c r="I1255" s="73"/>
      <c r="J1255" s="73"/>
      <c r="K1255" s="73"/>
      <c r="L1255" s="73"/>
      <c r="M1255" s="73"/>
      <c r="N1255" s="73"/>
      <c r="O1255" s="73"/>
      <c r="P1255" s="73"/>
      <c r="Q1255" s="73"/>
      <c r="R1255" s="73"/>
      <c r="S1255" s="73"/>
      <c r="T1255" s="73"/>
      <c r="U1255" s="73"/>
      <c r="V1255" s="73"/>
      <c r="W1255" s="73"/>
      <c r="X1255" s="73"/>
      <c r="Y1255" s="73"/>
      <c r="Z1255" s="73"/>
      <c r="AA1255" s="73"/>
      <c r="AB1255" s="73"/>
      <c r="AC1255" s="73"/>
      <c r="AD1255" s="73"/>
      <c r="AE1255" s="73"/>
      <c r="AF1255" s="73"/>
      <c r="AG1255" s="73"/>
      <c r="AH1255" s="73"/>
      <c r="AI1255" s="73"/>
      <c r="AJ1255" s="168"/>
      <c r="AK1255" s="73"/>
      <c r="AL1255" s="73"/>
      <c r="AM1255" s="73"/>
      <c r="AN1255" s="73"/>
      <c r="AO1255" s="73"/>
      <c r="AP1255" s="73"/>
      <c r="AQ1255" s="73"/>
      <c r="AR1255" s="73"/>
      <c r="AS1255" s="73"/>
      <c r="AT1255" s="73"/>
      <c r="AU1255" s="73"/>
      <c r="AV1255" s="73"/>
      <c r="AW1255" s="73"/>
      <c r="AX1255" s="73"/>
      <c r="AY1255" s="73"/>
      <c r="AZ1255" s="73"/>
      <c r="BA1255" s="73"/>
      <c r="BB1255" s="73"/>
      <c r="BC1255" s="73"/>
      <c r="BD1255" s="73"/>
      <c r="BE1255" s="73"/>
      <c r="BF1255" s="75"/>
      <c r="BG1255" s="73"/>
      <c r="BH1255" s="88"/>
      <c r="BI1255" s="73"/>
      <c r="BJ1255" s="73"/>
      <c r="BK1255" s="73"/>
      <c r="BL1255" s="73"/>
      <c r="BM1255" s="73"/>
      <c r="BN1255" s="73"/>
      <c r="BO1255" s="73"/>
      <c r="BP1255" s="73"/>
      <c r="BQ1255" s="73"/>
      <c r="BR1255" s="73"/>
      <c r="BS1255" s="73"/>
      <c r="BT1255" s="73"/>
      <c r="BU1255" s="73"/>
      <c r="BV1255" s="73"/>
      <c r="BW1255" s="73"/>
      <c r="BX1255" s="73"/>
      <c r="BY1255" s="73"/>
      <c r="BZ1255" s="73"/>
      <c r="CA1255" s="73"/>
      <c r="CB1255" s="73"/>
      <c r="CC1255" s="73"/>
      <c r="CD1255" s="73"/>
      <c r="CE1255" s="73"/>
      <c r="CF1255" s="73"/>
      <c r="CG1255" s="73"/>
      <c r="CH1255" s="73"/>
    </row>
    <row r="1256">
      <c r="A1256" s="73"/>
      <c r="B1256" s="73"/>
      <c r="C1256" s="73"/>
      <c r="D1256" s="73"/>
      <c r="E1256" s="140"/>
      <c r="F1256" s="80"/>
      <c r="G1256" s="80"/>
      <c r="H1256" s="73"/>
      <c r="I1256" s="73"/>
      <c r="J1256" s="73"/>
      <c r="K1256" s="73"/>
      <c r="L1256" s="73"/>
      <c r="M1256" s="73"/>
      <c r="N1256" s="73"/>
      <c r="O1256" s="73"/>
      <c r="P1256" s="73"/>
      <c r="Q1256" s="73"/>
      <c r="R1256" s="73"/>
      <c r="S1256" s="73"/>
      <c r="T1256" s="73"/>
      <c r="U1256" s="73"/>
      <c r="V1256" s="73"/>
      <c r="W1256" s="73"/>
      <c r="X1256" s="73"/>
      <c r="Y1256" s="73"/>
      <c r="Z1256" s="73"/>
      <c r="AA1256" s="73"/>
      <c r="AB1256" s="73"/>
      <c r="AC1256" s="73"/>
      <c r="AD1256" s="73"/>
      <c r="AE1256" s="73"/>
      <c r="AF1256" s="73"/>
      <c r="AG1256" s="73"/>
      <c r="AH1256" s="73"/>
      <c r="AI1256" s="73"/>
      <c r="AJ1256" s="168"/>
      <c r="AK1256" s="73"/>
      <c r="AL1256" s="73"/>
      <c r="AM1256" s="73"/>
      <c r="AN1256" s="73"/>
      <c r="AO1256" s="73"/>
      <c r="AP1256" s="73"/>
      <c r="AQ1256" s="73"/>
      <c r="AR1256" s="73"/>
      <c r="AS1256" s="73"/>
      <c r="AT1256" s="73"/>
      <c r="AU1256" s="73"/>
      <c r="AV1256" s="73"/>
      <c r="AW1256" s="73"/>
      <c r="AX1256" s="73"/>
      <c r="AY1256" s="73"/>
      <c r="AZ1256" s="73"/>
      <c r="BA1256" s="73"/>
      <c r="BB1256" s="73"/>
      <c r="BC1256" s="73"/>
      <c r="BD1256" s="73"/>
      <c r="BE1256" s="73"/>
      <c r="BF1256" s="75"/>
      <c r="BG1256" s="73"/>
      <c r="BH1256" s="88"/>
      <c r="BI1256" s="73"/>
      <c r="BJ1256" s="73"/>
      <c r="BK1256" s="73"/>
      <c r="BL1256" s="73"/>
      <c r="BM1256" s="73"/>
      <c r="BN1256" s="73"/>
      <c r="BO1256" s="73"/>
      <c r="BP1256" s="73"/>
      <c r="BQ1256" s="73"/>
      <c r="BR1256" s="73"/>
      <c r="BS1256" s="73"/>
      <c r="BT1256" s="73"/>
      <c r="BU1256" s="73"/>
      <c r="BV1256" s="73"/>
      <c r="BW1256" s="73"/>
      <c r="BX1256" s="73"/>
      <c r="BY1256" s="73"/>
      <c r="BZ1256" s="73"/>
      <c r="CA1256" s="73"/>
      <c r="CB1256" s="73"/>
      <c r="CC1256" s="73"/>
      <c r="CD1256" s="73"/>
      <c r="CE1256" s="73"/>
      <c r="CF1256" s="73"/>
      <c r="CG1256" s="73"/>
      <c r="CH1256" s="73"/>
    </row>
    <row r="1257">
      <c r="A1257" s="73"/>
      <c r="B1257" s="73"/>
      <c r="C1257" s="73"/>
      <c r="D1257" s="73"/>
      <c r="E1257" s="140"/>
      <c r="F1257" s="80"/>
      <c r="G1257" s="80"/>
      <c r="H1257" s="73"/>
      <c r="I1257" s="73"/>
      <c r="J1257" s="73"/>
      <c r="K1257" s="73"/>
      <c r="L1257" s="73"/>
      <c r="M1257" s="73"/>
      <c r="N1257" s="73"/>
      <c r="O1257" s="73"/>
      <c r="P1257" s="73"/>
      <c r="Q1257" s="73"/>
      <c r="R1257" s="73"/>
      <c r="S1257" s="73"/>
      <c r="T1257" s="73"/>
      <c r="U1257" s="73"/>
      <c r="V1257" s="73"/>
      <c r="W1257" s="73"/>
      <c r="X1257" s="73"/>
      <c r="Y1257" s="73"/>
      <c r="Z1257" s="73"/>
      <c r="AA1257" s="73"/>
      <c r="AB1257" s="73"/>
      <c r="AC1257" s="73"/>
      <c r="AD1257" s="73"/>
      <c r="AE1257" s="73"/>
      <c r="AF1257" s="73"/>
      <c r="AG1257" s="73"/>
      <c r="AH1257" s="73"/>
      <c r="AI1257" s="73"/>
      <c r="AJ1257" s="168"/>
      <c r="AK1257" s="73"/>
      <c r="AL1257" s="73"/>
      <c r="AM1257" s="73"/>
      <c r="AN1257" s="73"/>
      <c r="AO1257" s="73"/>
      <c r="AP1257" s="73"/>
      <c r="AQ1257" s="73"/>
      <c r="AR1257" s="73"/>
      <c r="AS1257" s="73"/>
      <c r="AT1257" s="73"/>
      <c r="AU1257" s="73"/>
      <c r="AV1257" s="73"/>
      <c r="AW1257" s="73"/>
      <c r="AX1257" s="73"/>
      <c r="AY1257" s="73"/>
      <c r="AZ1257" s="73"/>
      <c r="BA1257" s="73"/>
      <c r="BB1257" s="73"/>
      <c r="BC1257" s="73"/>
      <c r="BD1257" s="73"/>
      <c r="BE1257" s="73"/>
      <c r="BF1257" s="75"/>
      <c r="BG1257" s="73"/>
      <c r="BH1257" s="88"/>
      <c r="BI1257" s="73"/>
      <c r="BJ1257" s="73"/>
      <c r="BK1257" s="73"/>
      <c r="BL1257" s="73"/>
      <c r="BM1257" s="73"/>
      <c r="BN1257" s="73"/>
      <c r="BO1257" s="73"/>
      <c r="BP1257" s="73"/>
      <c r="BQ1257" s="73"/>
      <c r="BR1257" s="73"/>
      <c r="BS1257" s="73"/>
      <c r="BT1257" s="73"/>
      <c r="BU1257" s="73"/>
      <c r="BV1257" s="73"/>
      <c r="BW1257" s="73"/>
      <c r="BX1257" s="73"/>
      <c r="BY1257" s="73"/>
      <c r="BZ1257" s="73"/>
      <c r="CA1257" s="73"/>
      <c r="CB1257" s="73"/>
      <c r="CC1257" s="73"/>
      <c r="CD1257" s="73"/>
      <c r="CE1257" s="73"/>
      <c r="CF1257" s="73"/>
      <c r="CG1257" s="73"/>
      <c r="CH1257" s="73"/>
    </row>
    <row r="1258">
      <c r="A1258" s="73"/>
      <c r="B1258" s="73"/>
      <c r="C1258" s="73"/>
      <c r="D1258" s="73"/>
      <c r="E1258" s="140"/>
      <c r="F1258" s="80"/>
      <c r="G1258" s="80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  <c r="S1258" s="73"/>
      <c r="T1258" s="73"/>
      <c r="U1258" s="73"/>
      <c r="V1258" s="73"/>
      <c r="W1258" s="73"/>
      <c r="X1258" s="73"/>
      <c r="Y1258" s="73"/>
      <c r="Z1258" s="73"/>
      <c r="AA1258" s="73"/>
      <c r="AB1258" s="73"/>
      <c r="AC1258" s="73"/>
      <c r="AD1258" s="73"/>
      <c r="AE1258" s="73"/>
      <c r="AF1258" s="73"/>
      <c r="AG1258" s="73"/>
      <c r="AH1258" s="73"/>
      <c r="AI1258" s="73"/>
      <c r="AJ1258" s="168"/>
      <c r="AK1258" s="73"/>
      <c r="AL1258" s="73"/>
      <c r="AM1258" s="73"/>
      <c r="AN1258" s="73"/>
      <c r="AO1258" s="73"/>
      <c r="AP1258" s="73"/>
      <c r="AQ1258" s="73"/>
      <c r="AR1258" s="73"/>
      <c r="AS1258" s="73"/>
      <c r="AT1258" s="73"/>
      <c r="AU1258" s="73"/>
      <c r="AV1258" s="73"/>
      <c r="AW1258" s="73"/>
      <c r="AX1258" s="73"/>
      <c r="AY1258" s="73"/>
      <c r="AZ1258" s="73"/>
      <c r="BA1258" s="73"/>
      <c r="BB1258" s="73"/>
      <c r="BC1258" s="73"/>
      <c r="BD1258" s="73"/>
      <c r="BE1258" s="73"/>
      <c r="BF1258" s="75"/>
      <c r="BG1258" s="73"/>
      <c r="BH1258" s="88"/>
      <c r="BI1258" s="73"/>
      <c r="BJ1258" s="73"/>
      <c r="BK1258" s="73"/>
      <c r="BL1258" s="73"/>
      <c r="BM1258" s="73"/>
      <c r="BN1258" s="73"/>
      <c r="BO1258" s="73"/>
      <c r="BP1258" s="73"/>
      <c r="BQ1258" s="73"/>
      <c r="BR1258" s="73"/>
      <c r="BS1258" s="73"/>
      <c r="BT1258" s="73"/>
      <c r="BU1258" s="73"/>
      <c r="BV1258" s="73"/>
      <c r="BW1258" s="73"/>
      <c r="BX1258" s="73"/>
      <c r="BY1258" s="73"/>
      <c r="BZ1258" s="73"/>
      <c r="CA1258" s="73"/>
      <c r="CB1258" s="73"/>
      <c r="CC1258" s="73"/>
      <c r="CD1258" s="73"/>
      <c r="CE1258" s="73"/>
      <c r="CF1258" s="73"/>
      <c r="CG1258" s="73"/>
      <c r="CH1258" s="73"/>
    </row>
    <row r="1259">
      <c r="A1259" s="73"/>
      <c r="B1259" s="73"/>
      <c r="C1259" s="73"/>
      <c r="D1259" s="73"/>
      <c r="E1259" s="140"/>
      <c r="F1259" s="80"/>
      <c r="G1259" s="80"/>
      <c r="H1259" s="73"/>
      <c r="I1259" s="73"/>
      <c r="J1259" s="73"/>
      <c r="K1259" s="73"/>
      <c r="L1259" s="73"/>
      <c r="M1259" s="73"/>
      <c r="N1259" s="73"/>
      <c r="O1259" s="73"/>
      <c r="P1259" s="73"/>
      <c r="Q1259" s="73"/>
      <c r="R1259" s="73"/>
      <c r="S1259" s="73"/>
      <c r="T1259" s="73"/>
      <c r="U1259" s="73"/>
      <c r="V1259" s="73"/>
      <c r="W1259" s="73"/>
      <c r="X1259" s="73"/>
      <c r="Y1259" s="73"/>
      <c r="Z1259" s="73"/>
      <c r="AA1259" s="73"/>
      <c r="AB1259" s="73"/>
      <c r="AC1259" s="73"/>
      <c r="AD1259" s="73"/>
      <c r="AE1259" s="73"/>
      <c r="AF1259" s="73"/>
      <c r="AG1259" s="73"/>
      <c r="AH1259" s="73"/>
      <c r="AI1259" s="73"/>
      <c r="AJ1259" s="168"/>
      <c r="AK1259" s="73"/>
      <c r="AL1259" s="73"/>
      <c r="AM1259" s="73"/>
      <c r="AN1259" s="73"/>
      <c r="AO1259" s="73"/>
      <c r="AP1259" s="73"/>
      <c r="AQ1259" s="73"/>
      <c r="AR1259" s="73"/>
      <c r="AS1259" s="73"/>
      <c r="AT1259" s="73"/>
      <c r="AU1259" s="73"/>
      <c r="AV1259" s="73"/>
      <c r="AW1259" s="73"/>
      <c r="AX1259" s="73"/>
      <c r="AY1259" s="73"/>
      <c r="AZ1259" s="73"/>
      <c r="BA1259" s="73"/>
      <c r="BB1259" s="73"/>
      <c r="BC1259" s="73"/>
      <c r="BD1259" s="73"/>
      <c r="BE1259" s="73"/>
      <c r="BF1259" s="75"/>
      <c r="BG1259" s="73"/>
      <c r="BH1259" s="88"/>
      <c r="BI1259" s="73"/>
      <c r="BJ1259" s="73"/>
      <c r="BK1259" s="73"/>
      <c r="BL1259" s="73"/>
      <c r="BM1259" s="73"/>
      <c r="BN1259" s="73"/>
      <c r="BO1259" s="73"/>
      <c r="BP1259" s="73"/>
      <c r="BQ1259" s="73"/>
      <c r="BR1259" s="73"/>
      <c r="BS1259" s="73"/>
      <c r="BT1259" s="73"/>
      <c r="BU1259" s="73"/>
      <c r="BV1259" s="73"/>
      <c r="BW1259" s="73"/>
      <c r="BX1259" s="73"/>
      <c r="BY1259" s="73"/>
      <c r="BZ1259" s="73"/>
      <c r="CA1259" s="73"/>
      <c r="CB1259" s="73"/>
      <c r="CC1259" s="73"/>
      <c r="CD1259" s="73"/>
      <c r="CE1259" s="73"/>
      <c r="CF1259" s="73"/>
      <c r="CG1259" s="73"/>
      <c r="CH1259" s="73"/>
    </row>
    <row r="1260">
      <c r="A1260" s="73"/>
      <c r="B1260" s="73"/>
      <c r="C1260" s="73"/>
      <c r="D1260" s="73"/>
      <c r="E1260" s="140"/>
      <c r="F1260" s="80"/>
      <c r="G1260" s="80"/>
      <c r="H1260" s="73"/>
      <c r="I1260" s="73"/>
      <c r="J1260" s="73"/>
      <c r="K1260" s="73"/>
      <c r="L1260" s="73"/>
      <c r="M1260" s="73"/>
      <c r="N1260" s="73"/>
      <c r="O1260" s="73"/>
      <c r="P1260" s="73"/>
      <c r="Q1260" s="73"/>
      <c r="R1260" s="73"/>
      <c r="S1260" s="73"/>
      <c r="T1260" s="73"/>
      <c r="U1260" s="73"/>
      <c r="V1260" s="73"/>
      <c r="W1260" s="73"/>
      <c r="X1260" s="73"/>
      <c r="Y1260" s="73"/>
      <c r="Z1260" s="73"/>
      <c r="AA1260" s="73"/>
      <c r="AB1260" s="73"/>
      <c r="AC1260" s="73"/>
      <c r="AD1260" s="73"/>
      <c r="AE1260" s="73"/>
      <c r="AF1260" s="73"/>
      <c r="AG1260" s="73"/>
      <c r="AH1260" s="73"/>
      <c r="AI1260" s="73"/>
      <c r="AJ1260" s="168"/>
      <c r="AK1260" s="73"/>
      <c r="AL1260" s="73"/>
      <c r="AM1260" s="73"/>
      <c r="AN1260" s="73"/>
      <c r="AO1260" s="73"/>
      <c r="AP1260" s="73"/>
      <c r="AQ1260" s="73"/>
      <c r="AR1260" s="73"/>
      <c r="AS1260" s="73"/>
      <c r="AT1260" s="73"/>
      <c r="AU1260" s="73"/>
      <c r="AV1260" s="73"/>
      <c r="AW1260" s="73"/>
      <c r="AX1260" s="73"/>
      <c r="AY1260" s="73"/>
      <c r="AZ1260" s="73"/>
      <c r="BA1260" s="73"/>
      <c r="BB1260" s="73"/>
      <c r="BC1260" s="73"/>
      <c r="BD1260" s="73"/>
      <c r="BE1260" s="73"/>
      <c r="BF1260" s="75"/>
      <c r="BG1260" s="73"/>
      <c r="BH1260" s="88"/>
      <c r="BI1260" s="73"/>
      <c r="BJ1260" s="73"/>
      <c r="BK1260" s="73"/>
      <c r="BL1260" s="73"/>
      <c r="BM1260" s="73"/>
      <c r="BN1260" s="73"/>
      <c r="BO1260" s="73"/>
      <c r="BP1260" s="73"/>
      <c r="BQ1260" s="73"/>
      <c r="BR1260" s="73"/>
      <c r="BS1260" s="73"/>
      <c r="BT1260" s="73"/>
      <c r="BU1260" s="73"/>
      <c r="BV1260" s="73"/>
      <c r="BW1260" s="73"/>
      <c r="BX1260" s="73"/>
      <c r="BY1260" s="73"/>
      <c r="BZ1260" s="73"/>
      <c r="CA1260" s="73"/>
      <c r="CB1260" s="73"/>
      <c r="CC1260" s="73"/>
      <c r="CD1260" s="73"/>
      <c r="CE1260" s="73"/>
      <c r="CF1260" s="73"/>
      <c r="CG1260" s="73"/>
      <c r="CH1260" s="73"/>
    </row>
    <row r="1261">
      <c r="A1261" s="73"/>
      <c r="B1261" s="73"/>
      <c r="C1261" s="73"/>
      <c r="D1261" s="73"/>
      <c r="E1261" s="140"/>
      <c r="F1261" s="80"/>
      <c r="G1261" s="80"/>
      <c r="H1261" s="73"/>
      <c r="I1261" s="73"/>
      <c r="J1261" s="73"/>
      <c r="K1261" s="73"/>
      <c r="L1261" s="73"/>
      <c r="M1261" s="73"/>
      <c r="N1261" s="73"/>
      <c r="O1261" s="73"/>
      <c r="P1261" s="73"/>
      <c r="Q1261" s="73"/>
      <c r="R1261" s="73"/>
      <c r="S1261" s="73"/>
      <c r="T1261" s="73"/>
      <c r="U1261" s="73"/>
      <c r="V1261" s="73"/>
      <c r="W1261" s="73"/>
      <c r="X1261" s="73"/>
      <c r="Y1261" s="73"/>
      <c r="Z1261" s="73"/>
      <c r="AA1261" s="73"/>
      <c r="AB1261" s="73"/>
      <c r="AC1261" s="73"/>
      <c r="AD1261" s="73"/>
      <c r="AE1261" s="73"/>
      <c r="AF1261" s="73"/>
      <c r="AG1261" s="73"/>
      <c r="AH1261" s="73"/>
      <c r="AI1261" s="73"/>
      <c r="AJ1261" s="168"/>
      <c r="AK1261" s="73"/>
      <c r="AL1261" s="73"/>
      <c r="AM1261" s="73"/>
      <c r="AN1261" s="73"/>
      <c r="AO1261" s="73"/>
      <c r="AP1261" s="73"/>
      <c r="AQ1261" s="73"/>
      <c r="AR1261" s="73"/>
      <c r="AS1261" s="73"/>
      <c r="AT1261" s="73"/>
      <c r="AU1261" s="73"/>
      <c r="AV1261" s="73"/>
      <c r="AW1261" s="73"/>
      <c r="AX1261" s="73"/>
      <c r="AY1261" s="73"/>
      <c r="AZ1261" s="73"/>
      <c r="BA1261" s="73"/>
      <c r="BB1261" s="73"/>
      <c r="BC1261" s="73"/>
      <c r="BD1261" s="73"/>
      <c r="BE1261" s="73"/>
      <c r="BF1261" s="75"/>
      <c r="BG1261" s="73"/>
      <c r="BH1261" s="88"/>
      <c r="BI1261" s="73"/>
      <c r="BJ1261" s="73"/>
      <c r="BK1261" s="73"/>
      <c r="BL1261" s="73"/>
      <c r="BM1261" s="73"/>
      <c r="BN1261" s="73"/>
      <c r="BO1261" s="73"/>
      <c r="BP1261" s="73"/>
      <c r="BQ1261" s="73"/>
      <c r="BR1261" s="73"/>
      <c r="BS1261" s="73"/>
      <c r="BT1261" s="73"/>
      <c r="BU1261" s="73"/>
      <c r="BV1261" s="73"/>
      <c r="BW1261" s="73"/>
      <c r="BX1261" s="73"/>
      <c r="BY1261" s="73"/>
      <c r="BZ1261" s="73"/>
      <c r="CA1261" s="73"/>
      <c r="CB1261" s="73"/>
      <c r="CC1261" s="73"/>
      <c r="CD1261" s="73"/>
      <c r="CE1261" s="73"/>
      <c r="CF1261" s="73"/>
      <c r="CG1261" s="73"/>
      <c r="CH1261" s="73"/>
    </row>
    <row r="1262">
      <c r="A1262" s="73"/>
      <c r="B1262" s="73"/>
      <c r="C1262" s="73"/>
      <c r="D1262" s="73"/>
      <c r="E1262" s="140"/>
      <c r="F1262" s="80"/>
      <c r="G1262" s="80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  <c r="S1262" s="73"/>
      <c r="T1262" s="73"/>
      <c r="U1262" s="73"/>
      <c r="V1262" s="73"/>
      <c r="W1262" s="73"/>
      <c r="X1262" s="73"/>
      <c r="Y1262" s="73"/>
      <c r="Z1262" s="73"/>
      <c r="AA1262" s="73"/>
      <c r="AB1262" s="73"/>
      <c r="AC1262" s="73"/>
      <c r="AD1262" s="73"/>
      <c r="AE1262" s="73"/>
      <c r="AF1262" s="73"/>
      <c r="AG1262" s="73"/>
      <c r="AH1262" s="73"/>
      <c r="AI1262" s="73"/>
      <c r="AJ1262" s="168"/>
      <c r="AK1262" s="73"/>
      <c r="AL1262" s="73"/>
      <c r="AM1262" s="73"/>
      <c r="AN1262" s="73"/>
      <c r="AO1262" s="73"/>
      <c r="AP1262" s="73"/>
      <c r="AQ1262" s="73"/>
      <c r="AR1262" s="73"/>
      <c r="AS1262" s="73"/>
      <c r="AT1262" s="73"/>
      <c r="AU1262" s="73"/>
      <c r="AV1262" s="73"/>
      <c r="AW1262" s="73"/>
      <c r="AX1262" s="73"/>
      <c r="AY1262" s="73"/>
      <c r="AZ1262" s="73"/>
      <c r="BA1262" s="73"/>
      <c r="BB1262" s="73"/>
      <c r="BC1262" s="73"/>
      <c r="BD1262" s="73"/>
      <c r="BE1262" s="73"/>
      <c r="BF1262" s="75"/>
      <c r="BG1262" s="73"/>
      <c r="BH1262" s="88"/>
      <c r="BI1262" s="73"/>
      <c r="BJ1262" s="73"/>
      <c r="BK1262" s="73"/>
      <c r="BL1262" s="73"/>
      <c r="BM1262" s="73"/>
      <c r="BN1262" s="73"/>
      <c r="BO1262" s="73"/>
      <c r="BP1262" s="73"/>
      <c r="BQ1262" s="73"/>
      <c r="BR1262" s="73"/>
      <c r="BS1262" s="73"/>
      <c r="BT1262" s="73"/>
      <c r="BU1262" s="73"/>
      <c r="BV1262" s="73"/>
      <c r="BW1262" s="73"/>
      <c r="BX1262" s="73"/>
      <c r="BY1262" s="73"/>
      <c r="BZ1262" s="73"/>
      <c r="CA1262" s="73"/>
      <c r="CB1262" s="73"/>
      <c r="CC1262" s="73"/>
      <c r="CD1262" s="73"/>
      <c r="CE1262" s="73"/>
      <c r="CF1262" s="73"/>
      <c r="CG1262" s="73"/>
      <c r="CH1262" s="73"/>
    </row>
    <row r="1263">
      <c r="A1263" s="73"/>
      <c r="B1263" s="73"/>
      <c r="C1263" s="73"/>
      <c r="D1263" s="73"/>
      <c r="E1263" s="140"/>
      <c r="F1263" s="80"/>
      <c r="G1263" s="80"/>
      <c r="H1263" s="73"/>
      <c r="I1263" s="73"/>
      <c r="J1263" s="73"/>
      <c r="K1263" s="73"/>
      <c r="L1263" s="73"/>
      <c r="M1263" s="73"/>
      <c r="N1263" s="73"/>
      <c r="O1263" s="73"/>
      <c r="P1263" s="73"/>
      <c r="Q1263" s="73"/>
      <c r="R1263" s="73"/>
      <c r="S1263" s="73"/>
      <c r="T1263" s="73"/>
      <c r="U1263" s="73"/>
      <c r="V1263" s="73"/>
      <c r="W1263" s="73"/>
      <c r="X1263" s="73"/>
      <c r="Y1263" s="73"/>
      <c r="Z1263" s="73"/>
      <c r="AA1263" s="73"/>
      <c r="AB1263" s="73"/>
      <c r="AC1263" s="73"/>
      <c r="AD1263" s="73"/>
      <c r="AE1263" s="73"/>
      <c r="AF1263" s="73"/>
      <c r="AG1263" s="73"/>
      <c r="AH1263" s="73"/>
      <c r="AI1263" s="73"/>
      <c r="AJ1263" s="168"/>
      <c r="AK1263" s="73"/>
      <c r="AL1263" s="73"/>
      <c r="AM1263" s="73"/>
      <c r="AN1263" s="73"/>
      <c r="AO1263" s="73"/>
      <c r="AP1263" s="73"/>
      <c r="AQ1263" s="73"/>
      <c r="AR1263" s="73"/>
      <c r="AS1263" s="73"/>
      <c r="AT1263" s="73"/>
      <c r="AU1263" s="73"/>
      <c r="AV1263" s="73"/>
      <c r="AW1263" s="73"/>
      <c r="AX1263" s="73"/>
      <c r="AY1263" s="73"/>
      <c r="AZ1263" s="73"/>
      <c r="BA1263" s="73"/>
      <c r="BB1263" s="73"/>
      <c r="BC1263" s="73"/>
      <c r="BD1263" s="73"/>
      <c r="BE1263" s="73"/>
      <c r="BF1263" s="75"/>
      <c r="BG1263" s="73"/>
      <c r="BH1263" s="88"/>
      <c r="BI1263" s="73"/>
      <c r="BJ1263" s="73"/>
      <c r="BK1263" s="73"/>
      <c r="BL1263" s="73"/>
      <c r="BM1263" s="73"/>
      <c r="BN1263" s="73"/>
      <c r="BO1263" s="73"/>
      <c r="BP1263" s="73"/>
      <c r="BQ1263" s="73"/>
      <c r="BR1263" s="73"/>
      <c r="BS1263" s="73"/>
      <c r="BT1263" s="73"/>
      <c r="BU1263" s="73"/>
      <c r="BV1263" s="73"/>
      <c r="BW1263" s="73"/>
      <c r="BX1263" s="73"/>
      <c r="BY1263" s="73"/>
      <c r="BZ1263" s="73"/>
      <c r="CA1263" s="73"/>
      <c r="CB1263" s="73"/>
      <c r="CC1263" s="73"/>
      <c r="CD1263" s="73"/>
      <c r="CE1263" s="73"/>
      <c r="CF1263" s="73"/>
      <c r="CG1263" s="73"/>
      <c r="CH1263" s="73"/>
    </row>
    <row r="1264">
      <c r="A1264" s="73"/>
      <c r="B1264" s="73"/>
      <c r="C1264" s="73"/>
      <c r="D1264" s="73"/>
      <c r="E1264" s="140"/>
      <c r="F1264" s="80"/>
      <c r="G1264" s="80"/>
      <c r="H1264" s="73"/>
      <c r="I1264" s="73"/>
      <c r="J1264" s="73"/>
      <c r="K1264" s="73"/>
      <c r="L1264" s="73"/>
      <c r="M1264" s="73"/>
      <c r="N1264" s="73"/>
      <c r="O1264" s="73"/>
      <c r="P1264" s="73"/>
      <c r="Q1264" s="73"/>
      <c r="R1264" s="73"/>
      <c r="S1264" s="73"/>
      <c r="T1264" s="73"/>
      <c r="U1264" s="73"/>
      <c r="V1264" s="73"/>
      <c r="W1264" s="73"/>
      <c r="X1264" s="73"/>
      <c r="Y1264" s="73"/>
      <c r="Z1264" s="73"/>
      <c r="AA1264" s="73"/>
      <c r="AB1264" s="73"/>
      <c r="AC1264" s="73"/>
      <c r="AD1264" s="73"/>
      <c r="AE1264" s="73"/>
      <c r="AF1264" s="73"/>
      <c r="AG1264" s="73"/>
      <c r="AH1264" s="73"/>
      <c r="AI1264" s="73"/>
      <c r="AJ1264" s="168"/>
      <c r="AK1264" s="73"/>
      <c r="AL1264" s="73"/>
      <c r="AM1264" s="73"/>
      <c r="AN1264" s="73"/>
      <c r="AO1264" s="73"/>
      <c r="AP1264" s="73"/>
      <c r="AQ1264" s="73"/>
      <c r="AR1264" s="73"/>
      <c r="AS1264" s="73"/>
      <c r="AT1264" s="73"/>
      <c r="AU1264" s="73"/>
      <c r="AV1264" s="73"/>
      <c r="AW1264" s="73"/>
      <c r="AX1264" s="73"/>
      <c r="AY1264" s="73"/>
      <c r="AZ1264" s="73"/>
      <c r="BA1264" s="73"/>
      <c r="BB1264" s="73"/>
      <c r="BC1264" s="73"/>
      <c r="BD1264" s="73"/>
      <c r="BE1264" s="73"/>
      <c r="BF1264" s="75"/>
      <c r="BG1264" s="73"/>
      <c r="BH1264" s="88"/>
      <c r="BI1264" s="73"/>
      <c r="BJ1264" s="73"/>
      <c r="BK1264" s="73"/>
      <c r="BL1264" s="73"/>
      <c r="BM1264" s="73"/>
      <c r="BN1264" s="73"/>
      <c r="BO1264" s="73"/>
      <c r="BP1264" s="73"/>
      <c r="BQ1264" s="73"/>
      <c r="BR1264" s="73"/>
      <c r="BS1264" s="73"/>
      <c r="BT1264" s="73"/>
      <c r="BU1264" s="73"/>
      <c r="BV1264" s="73"/>
      <c r="BW1264" s="73"/>
      <c r="BX1264" s="73"/>
      <c r="BY1264" s="73"/>
      <c r="BZ1264" s="73"/>
      <c r="CA1264" s="73"/>
      <c r="CB1264" s="73"/>
      <c r="CC1264" s="73"/>
      <c r="CD1264" s="73"/>
      <c r="CE1264" s="73"/>
      <c r="CF1264" s="73"/>
      <c r="CG1264" s="73"/>
      <c r="CH1264" s="73"/>
    </row>
    <row r="1265">
      <c r="A1265" s="73"/>
      <c r="B1265" s="73"/>
      <c r="C1265" s="73"/>
      <c r="D1265" s="73"/>
      <c r="E1265" s="140"/>
      <c r="F1265" s="80"/>
      <c r="G1265" s="80"/>
      <c r="H1265" s="73"/>
      <c r="I1265" s="73"/>
      <c r="J1265" s="73"/>
      <c r="K1265" s="73"/>
      <c r="L1265" s="73"/>
      <c r="M1265" s="73"/>
      <c r="N1265" s="73"/>
      <c r="O1265" s="73"/>
      <c r="P1265" s="73"/>
      <c r="Q1265" s="73"/>
      <c r="R1265" s="73"/>
      <c r="S1265" s="73"/>
      <c r="T1265" s="73"/>
      <c r="U1265" s="73"/>
      <c r="V1265" s="73"/>
      <c r="W1265" s="73"/>
      <c r="X1265" s="73"/>
      <c r="Y1265" s="73"/>
      <c r="Z1265" s="73"/>
      <c r="AA1265" s="73"/>
      <c r="AB1265" s="73"/>
      <c r="AC1265" s="73"/>
      <c r="AD1265" s="73"/>
      <c r="AE1265" s="73"/>
      <c r="AF1265" s="73"/>
      <c r="AG1265" s="73"/>
      <c r="AH1265" s="73"/>
      <c r="AI1265" s="73"/>
      <c r="AJ1265" s="168"/>
      <c r="AK1265" s="73"/>
      <c r="AL1265" s="73"/>
      <c r="AM1265" s="73"/>
      <c r="AN1265" s="73"/>
      <c r="AO1265" s="73"/>
      <c r="AP1265" s="73"/>
      <c r="AQ1265" s="73"/>
      <c r="AR1265" s="73"/>
      <c r="AS1265" s="73"/>
      <c r="AT1265" s="73"/>
      <c r="AU1265" s="73"/>
      <c r="AV1265" s="73"/>
      <c r="AW1265" s="73"/>
      <c r="AX1265" s="73"/>
      <c r="AY1265" s="73"/>
      <c r="AZ1265" s="73"/>
      <c r="BA1265" s="73"/>
      <c r="BB1265" s="73"/>
      <c r="BC1265" s="73"/>
      <c r="BD1265" s="73"/>
      <c r="BE1265" s="73"/>
      <c r="BF1265" s="75"/>
      <c r="BG1265" s="73"/>
      <c r="BH1265" s="88"/>
      <c r="BI1265" s="73"/>
      <c r="BJ1265" s="73"/>
      <c r="BK1265" s="73"/>
      <c r="BL1265" s="73"/>
      <c r="BM1265" s="73"/>
      <c r="BN1265" s="73"/>
      <c r="BO1265" s="73"/>
      <c r="BP1265" s="73"/>
      <c r="BQ1265" s="73"/>
      <c r="BR1265" s="73"/>
      <c r="BS1265" s="73"/>
      <c r="BT1265" s="73"/>
      <c r="BU1265" s="73"/>
      <c r="BV1265" s="73"/>
      <c r="BW1265" s="73"/>
      <c r="BX1265" s="73"/>
      <c r="BY1265" s="73"/>
      <c r="BZ1265" s="73"/>
      <c r="CA1265" s="73"/>
      <c r="CB1265" s="73"/>
      <c r="CC1265" s="73"/>
      <c r="CD1265" s="73"/>
      <c r="CE1265" s="73"/>
      <c r="CF1265" s="73"/>
      <c r="CG1265" s="73"/>
      <c r="CH1265" s="73"/>
    </row>
    <row r="1266">
      <c r="A1266" s="73"/>
      <c r="B1266" s="73"/>
      <c r="C1266" s="73"/>
      <c r="D1266" s="73"/>
      <c r="E1266" s="140"/>
      <c r="F1266" s="80"/>
      <c r="G1266" s="80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  <c r="S1266" s="73"/>
      <c r="T1266" s="73"/>
      <c r="U1266" s="73"/>
      <c r="V1266" s="73"/>
      <c r="W1266" s="73"/>
      <c r="X1266" s="73"/>
      <c r="Y1266" s="73"/>
      <c r="Z1266" s="73"/>
      <c r="AA1266" s="73"/>
      <c r="AB1266" s="73"/>
      <c r="AC1266" s="73"/>
      <c r="AD1266" s="73"/>
      <c r="AE1266" s="73"/>
      <c r="AF1266" s="73"/>
      <c r="AG1266" s="73"/>
      <c r="AH1266" s="73"/>
      <c r="AI1266" s="73"/>
      <c r="AJ1266" s="168"/>
      <c r="AK1266" s="73"/>
      <c r="AL1266" s="73"/>
      <c r="AM1266" s="73"/>
      <c r="AN1266" s="73"/>
      <c r="AO1266" s="73"/>
      <c r="AP1266" s="73"/>
      <c r="AQ1266" s="73"/>
      <c r="AR1266" s="73"/>
      <c r="AS1266" s="73"/>
      <c r="AT1266" s="73"/>
      <c r="AU1266" s="73"/>
      <c r="AV1266" s="73"/>
      <c r="AW1266" s="73"/>
      <c r="AX1266" s="73"/>
      <c r="AY1266" s="73"/>
      <c r="AZ1266" s="73"/>
      <c r="BA1266" s="73"/>
      <c r="BB1266" s="73"/>
      <c r="BC1266" s="73"/>
      <c r="BD1266" s="73"/>
      <c r="BE1266" s="73"/>
      <c r="BF1266" s="75"/>
      <c r="BG1266" s="73"/>
      <c r="BH1266" s="88"/>
      <c r="BI1266" s="73"/>
      <c r="BJ1266" s="73"/>
      <c r="BK1266" s="73"/>
      <c r="BL1266" s="73"/>
      <c r="BM1266" s="73"/>
      <c r="BN1266" s="73"/>
      <c r="BO1266" s="73"/>
      <c r="BP1266" s="73"/>
      <c r="BQ1266" s="73"/>
      <c r="BR1266" s="73"/>
      <c r="BS1266" s="73"/>
      <c r="BT1266" s="73"/>
      <c r="BU1266" s="73"/>
      <c r="BV1266" s="73"/>
      <c r="BW1266" s="73"/>
      <c r="BX1266" s="73"/>
      <c r="BY1266" s="73"/>
      <c r="BZ1266" s="73"/>
      <c r="CA1266" s="73"/>
      <c r="CB1266" s="73"/>
      <c r="CC1266" s="73"/>
      <c r="CD1266" s="73"/>
      <c r="CE1266" s="73"/>
      <c r="CF1266" s="73"/>
      <c r="CG1266" s="73"/>
      <c r="CH1266" s="73"/>
    </row>
    <row r="1267">
      <c r="A1267" s="73"/>
      <c r="B1267" s="73"/>
      <c r="C1267" s="73"/>
      <c r="D1267" s="73"/>
      <c r="E1267" s="140"/>
      <c r="F1267" s="80"/>
      <c r="G1267" s="80"/>
      <c r="H1267" s="73"/>
      <c r="I1267" s="73"/>
      <c r="J1267" s="73"/>
      <c r="K1267" s="73"/>
      <c r="L1267" s="73"/>
      <c r="M1267" s="73"/>
      <c r="N1267" s="73"/>
      <c r="O1267" s="73"/>
      <c r="P1267" s="73"/>
      <c r="Q1267" s="73"/>
      <c r="R1267" s="73"/>
      <c r="S1267" s="73"/>
      <c r="T1267" s="73"/>
      <c r="U1267" s="73"/>
      <c r="V1267" s="73"/>
      <c r="W1267" s="73"/>
      <c r="X1267" s="73"/>
      <c r="Y1267" s="73"/>
      <c r="Z1267" s="73"/>
      <c r="AA1267" s="73"/>
      <c r="AB1267" s="73"/>
      <c r="AC1267" s="73"/>
      <c r="AD1267" s="73"/>
      <c r="AE1267" s="73"/>
      <c r="AF1267" s="73"/>
      <c r="AG1267" s="73"/>
      <c r="AH1267" s="73"/>
      <c r="AI1267" s="73"/>
      <c r="AJ1267" s="168"/>
      <c r="AK1267" s="73"/>
      <c r="AL1267" s="73"/>
      <c r="AM1267" s="73"/>
      <c r="AN1267" s="73"/>
      <c r="AO1267" s="73"/>
      <c r="AP1267" s="73"/>
      <c r="AQ1267" s="73"/>
      <c r="AR1267" s="73"/>
      <c r="AS1267" s="73"/>
      <c r="AT1267" s="73"/>
      <c r="AU1267" s="73"/>
      <c r="AV1267" s="73"/>
      <c r="AW1267" s="73"/>
      <c r="AX1267" s="73"/>
      <c r="AY1267" s="73"/>
      <c r="AZ1267" s="73"/>
      <c r="BA1267" s="73"/>
      <c r="BB1267" s="73"/>
      <c r="BC1267" s="73"/>
      <c r="BD1267" s="73"/>
      <c r="BE1267" s="73"/>
      <c r="BF1267" s="75"/>
      <c r="BG1267" s="73"/>
      <c r="BH1267" s="88"/>
      <c r="BI1267" s="73"/>
      <c r="BJ1267" s="73"/>
      <c r="BK1267" s="73"/>
      <c r="BL1267" s="73"/>
      <c r="BM1267" s="73"/>
      <c r="BN1267" s="73"/>
      <c r="BO1267" s="73"/>
      <c r="BP1267" s="73"/>
      <c r="BQ1267" s="73"/>
      <c r="BR1267" s="73"/>
      <c r="BS1267" s="73"/>
      <c r="BT1267" s="73"/>
      <c r="BU1267" s="73"/>
      <c r="BV1267" s="73"/>
      <c r="BW1267" s="73"/>
      <c r="BX1267" s="73"/>
      <c r="BY1267" s="73"/>
      <c r="BZ1267" s="73"/>
      <c r="CA1267" s="73"/>
      <c r="CB1267" s="73"/>
      <c r="CC1267" s="73"/>
      <c r="CD1267" s="73"/>
      <c r="CE1267" s="73"/>
      <c r="CF1267" s="73"/>
      <c r="CG1267" s="73"/>
      <c r="CH1267" s="73"/>
    </row>
    <row r="1268">
      <c r="A1268" s="73"/>
      <c r="B1268" s="73"/>
      <c r="C1268" s="73"/>
      <c r="D1268" s="73"/>
      <c r="E1268" s="140"/>
      <c r="F1268" s="80"/>
      <c r="G1268" s="80"/>
      <c r="H1268" s="73"/>
      <c r="I1268" s="73"/>
      <c r="J1268" s="73"/>
      <c r="K1268" s="73"/>
      <c r="L1268" s="73"/>
      <c r="M1268" s="73"/>
      <c r="N1268" s="73"/>
      <c r="O1268" s="73"/>
      <c r="P1268" s="73"/>
      <c r="Q1268" s="73"/>
      <c r="R1268" s="73"/>
      <c r="S1268" s="73"/>
      <c r="T1268" s="73"/>
      <c r="U1268" s="73"/>
      <c r="V1268" s="73"/>
      <c r="W1268" s="73"/>
      <c r="X1268" s="73"/>
      <c r="Y1268" s="73"/>
      <c r="Z1268" s="73"/>
      <c r="AA1268" s="73"/>
      <c r="AB1268" s="73"/>
      <c r="AC1268" s="73"/>
      <c r="AD1268" s="73"/>
      <c r="AE1268" s="73"/>
      <c r="AF1268" s="73"/>
      <c r="AG1268" s="73"/>
      <c r="AH1268" s="73"/>
      <c r="AI1268" s="73"/>
      <c r="AJ1268" s="168"/>
      <c r="AK1268" s="73"/>
      <c r="AL1268" s="73"/>
      <c r="AM1268" s="73"/>
      <c r="AN1268" s="73"/>
      <c r="AO1268" s="73"/>
      <c r="AP1268" s="73"/>
      <c r="AQ1268" s="73"/>
      <c r="AR1268" s="73"/>
      <c r="AS1268" s="73"/>
      <c r="AT1268" s="73"/>
      <c r="AU1268" s="73"/>
      <c r="AV1268" s="73"/>
      <c r="AW1268" s="73"/>
      <c r="AX1268" s="73"/>
      <c r="AY1268" s="73"/>
      <c r="AZ1268" s="73"/>
      <c r="BA1268" s="73"/>
      <c r="BB1268" s="73"/>
      <c r="BC1268" s="73"/>
      <c r="BD1268" s="73"/>
      <c r="BE1268" s="73"/>
      <c r="BF1268" s="75"/>
      <c r="BG1268" s="73"/>
      <c r="BH1268" s="88"/>
      <c r="BI1268" s="73"/>
      <c r="BJ1268" s="73"/>
      <c r="BK1268" s="73"/>
      <c r="BL1268" s="73"/>
      <c r="BM1268" s="73"/>
      <c r="BN1268" s="73"/>
      <c r="BO1268" s="73"/>
      <c r="BP1268" s="73"/>
      <c r="BQ1268" s="73"/>
      <c r="BR1268" s="73"/>
      <c r="BS1268" s="73"/>
      <c r="BT1268" s="73"/>
      <c r="BU1268" s="73"/>
      <c r="BV1268" s="73"/>
      <c r="BW1268" s="73"/>
      <c r="BX1268" s="73"/>
      <c r="BY1268" s="73"/>
      <c r="BZ1268" s="73"/>
      <c r="CA1268" s="73"/>
      <c r="CB1268" s="73"/>
      <c r="CC1268" s="73"/>
      <c r="CD1268" s="73"/>
      <c r="CE1268" s="73"/>
      <c r="CF1268" s="73"/>
      <c r="CG1268" s="73"/>
      <c r="CH1268" s="73"/>
    </row>
    <row r="1269">
      <c r="A1269" s="73"/>
      <c r="B1269" s="73"/>
      <c r="C1269" s="73"/>
      <c r="D1269" s="73"/>
      <c r="E1269" s="140"/>
      <c r="F1269" s="80"/>
      <c r="G1269" s="80"/>
      <c r="H1269" s="73"/>
      <c r="I1269" s="73"/>
      <c r="J1269" s="73"/>
      <c r="K1269" s="73"/>
      <c r="L1269" s="73"/>
      <c r="M1269" s="73"/>
      <c r="N1269" s="73"/>
      <c r="O1269" s="73"/>
      <c r="P1269" s="73"/>
      <c r="Q1269" s="73"/>
      <c r="R1269" s="73"/>
      <c r="S1269" s="73"/>
      <c r="T1269" s="73"/>
      <c r="U1269" s="73"/>
      <c r="V1269" s="73"/>
      <c r="W1269" s="73"/>
      <c r="X1269" s="73"/>
      <c r="Y1269" s="73"/>
      <c r="Z1269" s="73"/>
      <c r="AA1269" s="73"/>
      <c r="AB1269" s="73"/>
      <c r="AC1269" s="73"/>
      <c r="AD1269" s="73"/>
      <c r="AE1269" s="73"/>
      <c r="AF1269" s="73"/>
      <c r="AG1269" s="73"/>
      <c r="AH1269" s="73"/>
      <c r="AI1269" s="73"/>
      <c r="AJ1269" s="168"/>
      <c r="AK1269" s="73"/>
      <c r="AL1269" s="73"/>
      <c r="AM1269" s="73"/>
      <c r="AN1269" s="73"/>
      <c r="AO1269" s="73"/>
      <c r="AP1269" s="73"/>
      <c r="AQ1269" s="73"/>
      <c r="AR1269" s="73"/>
      <c r="AS1269" s="73"/>
      <c r="AT1269" s="73"/>
      <c r="AU1269" s="73"/>
      <c r="AV1269" s="73"/>
      <c r="AW1269" s="73"/>
      <c r="AX1269" s="73"/>
      <c r="AY1269" s="73"/>
      <c r="AZ1269" s="73"/>
      <c r="BA1269" s="73"/>
      <c r="BB1269" s="73"/>
      <c r="BC1269" s="73"/>
      <c r="BD1269" s="73"/>
      <c r="BE1269" s="73"/>
      <c r="BF1269" s="75"/>
      <c r="BG1269" s="73"/>
      <c r="BH1269" s="88"/>
      <c r="BI1269" s="73"/>
      <c r="BJ1269" s="73"/>
      <c r="BK1269" s="73"/>
      <c r="BL1269" s="73"/>
      <c r="BM1269" s="73"/>
      <c r="BN1269" s="73"/>
      <c r="BO1269" s="73"/>
      <c r="BP1269" s="73"/>
      <c r="BQ1269" s="73"/>
      <c r="BR1269" s="73"/>
      <c r="BS1269" s="73"/>
      <c r="BT1269" s="73"/>
      <c r="BU1269" s="73"/>
      <c r="BV1269" s="73"/>
      <c r="BW1269" s="73"/>
      <c r="BX1269" s="73"/>
      <c r="BY1269" s="73"/>
      <c r="BZ1269" s="73"/>
      <c r="CA1269" s="73"/>
      <c r="CB1269" s="73"/>
      <c r="CC1269" s="73"/>
      <c r="CD1269" s="73"/>
      <c r="CE1269" s="73"/>
      <c r="CF1269" s="73"/>
      <c r="CG1269" s="73"/>
      <c r="CH1269" s="73"/>
    </row>
    <row r="1270">
      <c r="A1270" s="73"/>
      <c r="B1270" s="73"/>
      <c r="C1270" s="73"/>
      <c r="D1270" s="73"/>
      <c r="E1270" s="140"/>
      <c r="F1270" s="80"/>
      <c r="G1270" s="80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  <c r="S1270" s="73"/>
      <c r="T1270" s="73"/>
      <c r="U1270" s="73"/>
      <c r="V1270" s="73"/>
      <c r="W1270" s="73"/>
      <c r="X1270" s="73"/>
      <c r="Y1270" s="73"/>
      <c r="Z1270" s="73"/>
      <c r="AA1270" s="73"/>
      <c r="AB1270" s="73"/>
      <c r="AC1270" s="73"/>
      <c r="AD1270" s="73"/>
      <c r="AE1270" s="73"/>
      <c r="AF1270" s="73"/>
      <c r="AG1270" s="73"/>
      <c r="AH1270" s="73"/>
      <c r="AI1270" s="73"/>
      <c r="AJ1270" s="168"/>
      <c r="AK1270" s="73"/>
      <c r="AL1270" s="73"/>
      <c r="AM1270" s="73"/>
      <c r="AN1270" s="73"/>
      <c r="AO1270" s="73"/>
      <c r="AP1270" s="73"/>
      <c r="AQ1270" s="73"/>
      <c r="AR1270" s="73"/>
      <c r="AS1270" s="73"/>
      <c r="AT1270" s="73"/>
      <c r="AU1270" s="73"/>
      <c r="AV1270" s="73"/>
      <c r="AW1270" s="73"/>
      <c r="AX1270" s="73"/>
      <c r="AY1270" s="73"/>
      <c r="AZ1270" s="73"/>
      <c r="BA1270" s="73"/>
      <c r="BB1270" s="73"/>
      <c r="BC1270" s="73"/>
      <c r="BD1270" s="73"/>
      <c r="BE1270" s="73"/>
      <c r="BF1270" s="75"/>
      <c r="BG1270" s="73"/>
      <c r="BH1270" s="88"/>
      <c r="BI1270" s="73"/>
      <c r="BJ1270" s="73"/>
      <c r="BK1270" s="73"/>
      <c r="BL1270" s="73"/>
      <c r="BM1270" s="73"/>
      <c r="BN1270" s="73"/>
      <c r="BO1270" s="73"/>
      <c r="BP1270" s="73"/>
      <c r="BQ1270" s="73"/>
      <c r="BR1270" s="73"/>
      <c r="BS1270" s="73"/>
      <c r="BT1270" s="73"/>
      <c r="BU1270" s="73"/>
      <c r="BV1270" s="73"/>
      <c r="BW1270" s="73"/>
      <c r="BX1270" s="73"/>
      <c r="BY1270" s="73"/>
      <c r="BZ1270" s="73"/>
      <c r="CA1270" s="73"/>
      <c r="CB1270" s="73"/>
      <c r="CC1270" s="73"/>
      <c r="CD1270" s="73"/>
      <c r="CE1270" s="73"/>
      <c r="CF1270" s="73"/>
      <c r="CG1270" s="73"/>
      <c r="CH1270" s="73"/>
    </row>
    <row r="1271">
      <c r="A1271" s="73"/>
      <c r="B1271" s="73"/>
      <c r="C1271" s="73"/>
      <c r="D1271" s="73"/>
      <c r="E1271" s="140"/>
      <c r="F1271" s="80"/>
      <c r="G1271" s="80"/>
      <c r="H1271" s="73"/>
      <c r="I1271" s="73"/>
      <c r="J1271" s="73"/>
      <c r="K1271" s="73"/>
      <c r="L1271" s="73"/>
      <c r="M1271" s="73"/>
      <c r="N1271" s="73"/>
      <c r="O1271" s="73"/>
      <c r="P1271" s="73"/>
      <c r="Q1271" s="73"/>
      <c r="R1271" s="73"/>
      <c r="S1271" s="73"/>
      <c r="T1271" s="73"/>
      <c r="U1271" s="73"/>
      <c r="V1271" s="73"/>
      <c r="W1271" s="73"/>
      <c r="X1271" s="73"/>
      <c r="Y1271" s="73"/>
      <c r="Z1271" s="73"/>
      <c r="AA1271" s="73"/>
      <c r="AB1271" s="73"/>
      <c r="AC1271" s="73"/>
      <c r="AD1271" s="73"/>
      <c r="AE1271" s="73"/>
      <c r="AF1271" s="73"/>
      <c r="AG1271" s="73"/>
      <c r="AH1271" s="73"/>
      <c r="AI1271" s="73"/>
      <c r="AJ1271" s="168"/>
      <c r="AK1271" s="73"/>
      <c r="AL1271" s="73"/>
      <c r="AM1271" s="73"/>
      <c r="AN1271" s="73"/>
      <c r="AO1271" s="73"/>
      <c r="AP1271" s="73"/>
      <c r="AQ1271" s="73"/>
      <c r="AR1271" s="73"/>
      <c r="AS1271" s="73"/>
      <c r="AT1271" s="73"/>
      <c r="AU1271" s="73"/>
      <c r="AV1271" s="73"/>
      <c r="AW1271" s="73"/>
      <c r="AX1271" s="73"/>
      <c r="AY1271" s="73"/>
      <c r="AZ1271" s="73"/>
      <c r="BA1271" s="73"/>
      <c r="BB1271" s="73"/>
      <c r="BC1271" s="73"/>
      <c r="BD1271" s="73"/>
      <c r="BE1271" s="73"/>
      <c r="BF1271" s="75"/>
      <c r="BG1271" s="73"/>
      <c r="BH1271" s="88"/>
      <c r="BI1271" s="73"/>
      <c r="BJ1271" s="73"/>
      <c r="BK1271" s="73"/>
      <c r="BL1271" s="73"/>
      <c r="BM1271" s="73"/>
      <c r="BN1271" s="73"/>
      <c r="BO1271" s="73"/>
      <c r="BP1271" s="73"/>
      <c r="BQ1271" s="73"/>
      <c r="BR1271" s="73"/>
      <c r="BS1271" s="73"/>
      <c r="BT1271" s="73"/>
      <c r="BU1271" s="73"/>
      <c r="BV1271" s="73"/>
      <c r="BW1271" s="73"/>
      <c r="BX1271" s="73"/>
      <c r="BY1271" s="73"/>
      <c r="BZ1271" s="73"/>
      <c r="CA1271" s="73"/>
      <c r="CB1271" s="73"/>
      <c r="CC1271" s="73"/>
      <c r="CD1271" s="73"/>
      <c r="CE1271" s="73"/>
      <c r="CF1271" s="73"/>
      <c r="CG1271" s="73"/>
      <c r="CH1271" s="73"/>
    </row>
    <row r="1272">
      <c r="A1272" s="73"/>
      <c r="B1272" s="73"/>
      <c r="C1272" s="73"/>
      <c r="D1272" s="73"/>
      <c r="E1272" s="140"/>
      <c r="F1272" s="80"/>
      <c r="G1272" s="80"/>
      <c r="H1272" s="73"/>
      <c r="I1272" s="73"/>
      <c r="J1272" s="73"/>
      <c r="K1272" s="73"/>
      <c r="L1272" s="73"/>
      <c r="M1272" s="73"/>
      <c r="N1272" s="73"/>
      <c r="O1272" s="73"/>
      <c r="P1272" s="73"/>
      <c r="Q1272" s="73"/>
      <c r="R1272" s="73"/>
      <c r="S1272" s="73"/>
      <c r="T1272" s="73"/>
      <c r="U1272" s="73"/>
      <c r="V1272" s="73"/>
      <c r="W1272" s="73"/>
      <c r="X1272" s="73"/>
      <c r="Y1272" s="73"/>
      <c r="Z1272" s="73"/>
      <c r="AA1272" s="73"/>
      <c r="AB1272" s="73"/>
      <c r="AC1272" s="73"/>
      <c r="AD1272" s="73"/>
      <c r="AE1272" s="73"/>
      <c r="AF1272" s="73"/>
      <c r="AG1272" s="73"/>
      <c r="AH1272" s="73"/>
      <c r="AI1272" s="73"/>
      <c r="AJ1272" s="168"/>
      <c r="AK1272" s="73"/>
      <c r="AL1272" s="73"/>
      <c r="AM1272" s="73"/>
      <c r="AN1272" s="73"/>
      <c r="AO1272" s="73"/>
      <c r="AP1272" s="73"/>
      <c r="AQ1272" s="73"/>
      <c r="AR1272" s="73"/>
      <c r="AS1272" s="73"/>
      <c r="AT1272" s="73"/>
      <c r="AU1272" s="73"/>
      <c r="AV1272" s="73"/>
      <c r="AW1272" s="73"/>
      <c r="AX1272" s="73"/>
      <c r="AY1272" s="73"/>
      <c r="AZ1272" s="73"/>
      <c r="BA1272" s="73"/>
      <c r="BB1272" s="73"/>
      <c r="BC1272" s="73"/>
      <c r="BD1272" s="73"/>
      <c r="BE1272" s="73"/>
      <c r="BF1272" s="75"/>
      <c r="BG1272" s="73"/>
      <c r="BH1272" s="88"/>
      <c r="BI1272" s="73"/>
      <c r="BJ1272" s="73"/>
      <c r="BK1272" s="73"/>
      <c r="BL1272" s="73"/>
      <c r="BM1272" s="73"/>
      <c r="BN1272" s="73"/>
      <c r="BO1272" s="73"/>
      <c r="BP1272" s="73"/>
      <c r="BQ1272" s="73"/>
      <c r="BR1272" s="73"/>
      <c r="BS1272" s="73"/>
      <c r="BT1272" s="73"/>
      <c r="BU1272" s="73"/>
      <c r="BV1272" s="73"/>
      <c r="BW1272" s="73"/>
      <c r="BX1272" s="73"/>
      <c r="BY1272" s="73"/>
      <c r="BZ1272" s="73"/>
      <c r="CA1272" s="73"/>
      <c r="CB1272" s="73"/>
      <c r="CC1272" s="73"/>
      <c r="CD1272" s="73"/>
      <c r="CE1272" s="73"/>
      <c r="CF1272" s="73"/>
      <c r="CG1272" s="73"/>
      <c r="CH1272" s="73"/>
    </row>
    <row r="1273">
      <c r="A1273" s="73"/>
      <c r="B1273" s="73"/>
      <c r="C1273" s="73"/>
      <c r="D1273" s="73"/>
      <c r="E1273" s="140"/>
      <c r="F1273" s="80"/>
      <c r="G1273" s="80"/>
      <c r="H1273" s="73"/>
      <c r="I1273" s="73"/>
      <c r="J1273" s="73"/>
      <c r="K1273" s="73"/>
      <c r="L1273" s="73"/>
      <c r="M1273" s="73"/>
      <c r="N1273" s="73"/>
      <c r="O1273" s="73"/>
      <c r="P1273" s="73"/>
      <c r="Q1273" s="73"/>
      <c r="R1273" s="73"/>
      <c r="S1273" s="73"/>
      <c r="T1273" s="73"/>
      <c r="U1273" s="73"/>
      <c r="V1273" s="73"/>
      <c r="W1273" s="73"/>
      <c r="X1273" s="73"/>
      <c r="Y1273" s="73"/>
      <c r="Z1273" s="73"/>
      <c r="AA1273" s="73"/>
      <c r="AB1273" s="73"/>
      <c r="AC1273" s="73"/>
      <c r="AD1273" s="73"/>
      <c r="AE1273" s="73"/>
      <c r="AF1273" s="73"/>
      <c r="AG1273" s="73"/>
      <c r="AH1273" s="73"/>
      <c r="AI1273" s="73"/>
      <c r="AJ1273" s="168"/>
      <c r="AK1273" s="73"/>
      <c r="AL1273" s="73"/>
      <c r="AM1273" s="73"/>
      <c r="AN1273" s="73"/>
      <c r="AO1273" s="73"/>
      <c r="AP1273" s="73"/>
      <c r="AQ1273" s="73"/>
      <c r="AR1273" s="73"/>
      <c r="AS1273" s="73"/>
      <c r="AT1273" s="73"/>
      <c r="AU1273" s="73"/>
      <c r="AV1273" s="73"/>
      <c r="AW1273" s="73"/>
      <c r="AX1273" s="73"/>
      <c r="AY1273" s="73"/>
      <c r="AZ1273" s="73"/>
      <c r="BA1273" s="73"/>
      <c r="BB1273" s="73"/>
      <c r="BC1273" s="73"/>
      <c r="BD1273" s="73"/>
      <c r="BE1273" s="73"/>
      <c r="BF1273" s="75"/>
      <c r="BG1273" s="73"/>
      <c r="BH1273" s="88"/>
      <c r="BI1273" s="73"/>
      <c r="BJ1273" s="73"/>
      <c r="BK1273" s="73"/>
      <c r="BL1273" s="73"/>
      <c r="BM1273" s="73"/>
      <c r="BN1273" s="73"/>
      <c r="BO1273" s="73"/>
      <c r="BP1273" s="73"/>
      <c r="BQ1273" s="73"/>
      <c r="BR1273" s="73"/>
      <c r="BS1273" s="73"/>
      <c r="BT1273" s="73"/>
      <c r="BU1273" s="73"/>
      <c r="BV1273" s="73"/>
      <c r="BW1273" s="73"/>
      <c r="BX1273" s="73"/>
      <c r="BY1273" s="73"/>
      <c r="BZ1273" s="73"/>
      <c r="CA1273" s="73"/>
      <c r="CB1273" s="73"/>
      <c r="CC1273" s="73"/>
      <c r="CD1273" s="73"/>
      <c r="CE1273" s="73"/>
      <c r="CF1273" s="73"/>
      <c r="CG1273" s="73"/>
      <c r="CH1273" s="73"/>
    </row>
    <row r="1274">
      <c r="A1274" s="73"/>
      <c r="B1274" s="73"/>
      <c r="C1274" s="73"/>
      <c r="D1274" s="73"/>
      <c r="E1274" s="140"/>
      <c r="F1274" s="80"/>
      <c r="G1274" s="80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  <c r="S1274" s="73"/>
      <c r="T1274" s="73"/>
      <c r="U1274" s="73"/>
      <c r="V1274" s="73"/>
      <c r="W1274" s="73"/>
      <c r="X1274" s="73"/>
      <c r="Y1274" s="73"/>
      <c r="Z1274" s="73"/>
      <c r="AA1274" s="73"/>
      <c r="AB1274" s="73"/>
      <c r="AC1274" s="73"/>
      <c r="AD1274" s="73"/>
      <c r="AE1274" s="73"/>
      <c r="AF1274" s="73"/>
      <c r="AG1274" s="73"/>
      <c r="AH1274" s="73"/>
      <c r="AI1274" s="73"/>
      <c r="AJ1274" s="168"/>
      <c r="AK1274" s="73"/>
      <c r="AL1274" s="73"/>
      <c r="AM1274" s="73"/>
      <c r="AN1274" s="73"/>
      <c r="AO1274" s="73"/>
      <c r="AP1274" s="73"/>
      <c r="AQ1274" s="73"/>
      <c r="AR1274" s="73"/>
      <c r="AS1274" s="73"/>
      <c r="AT1274" s="73"/>
      <c r="AU1274" s="73"/>
      <c r="AV1274" s="73"/>
      <c r="AW1274" s="73"/>
      <c r="AX1274" s="73"/>
      <c r="AY1274" s="73"/>
      <c r="AZ1274" s="73"/>
      <c r="BA1274" s="73"/>
      <c r="BB1274" s="73"/>
      <c r="BC1274" s="73"/>
      <c r="BD1274" s="73"/>
      <c r="BE1274" s="73"/>
      <c r="BF1274" s="75"/>
      <c r="BG1274" s="73"/>
      <c r="BH1274" s="88"/>
      <c r="BI1274" s="73"/>
      <c r="BJ1274" s="73"/>
      <c r="BK1274" s="73"/>
      <c r="BL1274" s="73"/>
      <c r="BM1274" s="73"/>
      <c r="BN1274" s="73"/>
      <c r="BO1274" s="73"/>
      <c r="BP1274" s="73"/>
      <c r="BQ1274" s="73"/>
      <c r="BR1274" s="73"/>
      <c r="BS1274" s="73"/>
      <c r="BT1274" s="73"/>
      <c r="BU1274" s="73"/>
      <c r="BV1274" s="73"/>
      <c r="BW1274" s="73"/>
      <c r="BX1274" s="73"/>
      <c r="BY1274" s="73"/>
      <c r="BZ1274" s="73"/>
      <c r="CA1274" s="73"/>
      <c r="CB1274" s="73"/>
      <c r="CC1274" s="73"/>
      <c r="CD1274" s="73"/>
      <c r="CE1274" s="73"/>
      <c r="CF1274" s="73"/>
      <c r="CG1274" s="73"/>
      <c r="CH1274" s="73"/>
    </row>
    <row r="1275">
      <c r="A1275" s="73"/>
      <c r="B1275" s="73"/>
      <c r="C1275" s="73"/>
      <c r="D1275" s="73"/>
      <c r="E1275" s="140"/>
      <c r="F1275" s="80"/>
      <c r="G1275" s="80"/>
      <c r="H1275" s="73"/>
      <c r="I1275" s="73"/>
      <c r="J1275" s="73"/>
      <c r="K1275" s="73"/>
      <c r="L1275" s="73"/>
      <c r="M1275" s="73"/>
      <c r="N1275" s="73"/>
      <c r="O1275" s="73"/>
      <c r="P1275" s="73"/>
      <c r="Q1275" s="73"/>
      <c r="R1275" s="73"/>
      <c r="S1275" s="73"/>
      <c r="T1275" s="73"/>
      <c r="U1275" s="73"/>
      <c r="V1275" s="73"/>
      <c r="W1275" s="73"/>
      <c r="X1275" s="73"/>
      <c r="Y1275" s="73"/>
      <c r="Z1275" s="73"/>
      <c r="AA1275" s="73"/>
      <c r="AB1275" s="73"/>
      <c r="AC1275" s="73"/>
      <c r="AD1275" s="73"/>
      <c r="AE1275" s="73"/>
      <c r="AF1275" s="73"/>
      <c r="AG1275" s="73"/>
      <c r="AH1275" s="73"/>
      <c r="AI1275" s="73"/>
      <c r="AJ1275" s="168"/>
      <c r="AK1275" s="73"/>
      <c r="AL1275" s="73"/>
      <c r="AM1275" s="73"/>
      <c r="AN1275" s="73"/>
      <c r="AO1275" s="73"/>
      <c r="AP1275" s="73"/>
      <c r="AQ1275" s="73"/>
      <c r="AR1275" s="73"/>
      <c r="AS1275" s="73"/>
      <c r="AT1275" s="73"/>
      <c r="AU1275" s="73"/>
      <c r="AV1275" s="73"/>
      <c r="AW1275" s="73"/>
      <c r="AX1275" s="73"/>
      <c r="AY1275" s="73"/>
      <c r="AZ1275" s="73"/>
      <c r="BA1275" s="73"/>
      <c r="BB1275" s="73"/>
      <c r="BC1275" s="73"/>
      <c r="BD1275" s="73"/>
      <c r="BE1275" s="73"/>
      <c r="BF1275" s="75"/>
      <c r="BG1275" s="73"/>
      <c r="BH1275" s="88"/>
      <c r="BI1275" s="73"/>
      <c r="BJ1275" s="73"/>
      <c r="BK1275" s="73"/>
      <c r="BL1275" s="73"/>
      <c r="BM1275" s="73"/>
      <c r="BN1275" s="73"/>
      <c r="BO1275" s="73"/>
      <c r="BP1275" s="73"/>
      <c r="BQ1275" s="73"/>
      <c r="BR1275" s="73"/>
      <c r="BS1275" s="73"/>
      <c r="BT1275" s="73"/>
      <c r="BU1275" s="73"/>
      <c r="BV1275" s="73"/>
      <c r="BW1275" s="73"/>
      <c r="BX1275" s="73"/>
      <c r="BY1275" s="73"/>
      <c r="BZ1275" s="73"/>
      <c r="CA1275" s="73"/>
      <c r="CB1275" s="73"/>
      <c r="CC1275" s="73"/>
      <c r="CD1275" s="73"/>
      <c r="CE1275" s="73"/>
      <c r="CF1275" s="73"/>
      <c r="CG1275" s="73"/>
      <c r="CH1275" s="73"/>
    </row>
    <row r="1276">
      <c r="A1276" s="73"/>
      <c r="B1276" s="73"/>
      <c r="C1276" s="73"/>
      <c r="D1276" s="73"/>
      <c r="E1276" s="140"/>
      <c r="F1276" s="80"/>
      <c r="G1276" s="80"/>
      <c r="H1276" s="73"/>
      <c r="I1276" s="73"/>
      <c r="J1276" s="73"/>
      <c r="K1276" s="73"/>
      <c r="L1276" s="73"/>
      <c r="M1276" s="73"/>
      <c r="N1276" s="73"/>
      <c r="O1276" s="73"/>
      <c r="P1276" s="73"/>
      <c r="Q1276" s="73"/>
      <c r="R1276" s="73"/>
      <c r="S1276" s="73"/>
      <c r="T1276" s="73"/>
      <c r="U1276" s="73"/>
      <c r="V1276" s="73"/>
      <c r="W1276" s="73"/>
      <c r="X1276" s="73"/>
      <c r="Y1276" s="73"/>
      <c r="Z1276" s="73"/>
      <c r="AA1276" s="73"/>
      <c r="AB1276" s="73"/>
      <c r="AC1276" s="73"/>
      <c r="AD1276" s="73"/>
      <c r="AE1276" s="73"/>
      <c r="AF1276" s="73"/>
      <c r="AG1276" s="73"/>
      <c r="AH1276" s="73"/>
      <c r="AI1276" s="73"/>
      <c r="AJ1276" s="168"/>
      <c r="AK1276" s="73"/>
      <c r="AL1276" s="73"/>
      <c r="AM1276" s="73"/>
      <c r="AN1276" s="73"/>
      <c r="AO1276" s="73"/>
      <c r="AP1276" s="73"/>
      <c r="AQ1276" s="73"/>
      <c r="AR1276" s="73"/>
      <c r="AS1276" s="73"/>
      <c r="AT1276" s="73"/>
      <c r="AU1276" s="73"/>
      <c r="AV1276" s="73"/>
      <c r="AW1276" s="73"/>
      <c r="AX1276" s="73"/>
      <c r="AY1276" s="73"/>
      <c r="AZ1276" s="73"/>
      <c r="BA1276" s="73"/>
      <c r="BB1276" s="73"/>
      <c r="BC1276" s="73"/>
      <c r="BD1276" s="73"/>
      <c r="BE1276" s="73"/>
      <c r="BF1276" s="75"/>
      <c r="BG1276" s="73"/>
      <c r="BH1276" s="88"/>
      <c r="BI1276" s="73"/>
      <c r="BJ1276" s="73"/>
      <c r="BK1276" s="73"/>
      <c r="BL1276" s="73"/>
      <c r="BM1276" s="73"/>
      <c r="BN1276" s="73"/>
      <c r="BO1276" s="73"/>
      <c r="BP1276" s="73"/>
      <c r="BQ1276" s="73"/>
      <c r="BR1276" s="73"/>
      <c r="BS1276" s="73"/>
      <c r="BT1276" s="73"/>
      <c r="BU1276" s="73"/>
      <c r="BV1276" s="73"/>
      <c r="BW1276" s="73"/>
      <c r="BX1276" s="73"/>
      <c r="BY1276" s="73"/>
      <c r="BZ1276" s="73"/>
      <c r="CA1276" s="73"/>
      <c r="CB1276" s="73"/>
      <c r="CC1276" s="73"/>
      <c r="CD1276" s="73"/>
      <c r="CE1276" s="73"/>
      <c r="CF1276" s="73"/>
      <c r="CG1276" s="73"/>
      <c r="CH1276" s="73"/>
    </row>
    <row r="1277">
      <c r="A1277" s="73"/>
      <c r="B1277" s="73"/>
      <c r="C1277" s="73"/>
      <c r="D1277" s="73"/>
      <c r="E1277" s="140"/>
      <c r="F1277" s="80"/>
      <c r="G1277" s="80"/>
      <c r="H1277" s="73"/>
      <c r="I1277" s="73"/>
      <c r="J1277" s="73"/>
      <c r="K1277" s="73"/>
      <c r="L1277" s="73"/>
      <c r="M1277" s="73"/>
      <c r="N1277" s="73"/>
      <c r="O1277" s="73"/>
      <c r="P1277" s="73"/>
      <c r="Q1277" s="73"/>
      <c r="R1277" s="73"/>
      <c r="S1277" s="73"/>
      <c r="T1277" s="73"/>
      <c r="U1277" s="73"/>
      <c r="V1277" s="73"/>
      <c r="W1277" s="73"/>
      <c r="X1277" s="73"/>
      <c r="Y1277" s="73"/>
      <c r="Z1277" s="73"/>
      <c r="AA1277" s="73"/>
      <c r="AB1277" s="73"/>
      <c r="AC1277" s="73"/>
      <c r="AD1277" s="73"/>
      <c r="AE1277" s="73"/>
      <c r="AF1277" s="73"/>
      <c r="AG1277" s="73"/>
      <c r="AH1277" s="73"/>
      <c r="AI1277" s="73"/>
      <c r="AJ1277" s="168"/>
      <c r="AK1277" s="73"/>
      <c r="AL1277" s="73"/>
      <c r="AM1277" s="73"/>
      <c r="AN1277" s="73"/>
      <c r="AO1277" s="73"/>
      <c r="AP1277" s="73"/>
      <c r="AQ1277" s="73"/>
      <c r="AR1277" s="73"/>
      <c r="AS1277" s="73"/>
      <c r="AT1277" s="73"/>
      <c r="AU1277" s="73"/>
      <c r="AV1277" s="73"/>
      <c r="AW1277" s="73"/>
      <c r="AX1277" s="73"/>
      <c r="AY1277" s="73"/>
      <c r="AZ1277" s="73"/>
      <c r="BA1277" s="73"/>
      <c r="BB1277" s="73"/>
      <c r="BC1277" s="73"/>
      <c r="BD1277" s="73"/>
      <c r="BE1277" s="73"/>
      <c r="BF1277" s="75"/>
      <c r="BG1277" s="73"/>
      <c r="BH1277" s="88"/>
      <c r="BI1277" s="73"/>
      <c r="BJ1277" s="73"/>
      <c r="BK1277" s="73"/>
      <c r="BL1277" s="73"/>
      <c r="BM1277" s="73"/>
      <c r="BN1277" s="73"/>
      <c r="BO1277" s="73"/>
      <c r="BP1277" s="73"/>
      <c r="BQ1277" s="73"/>
      <c r="BR1277" s="73"/>
      <c r="BS1277" s="73"/>
      <c r="BT1277" s="73"/>
      <c r="BU1277" s="73"/>
      <c r="BV1277" s="73"/>
      <c r="BW1277" s="73"/>
      <c r="BX1277" s="73"/>
      <c r="BY1277" s="73"/>
      <c r="BZ1277" s="73"/>
      <c r="CA1277" s="73"/>
      <c r="CB1277" s="73"/>
      <c r="CC1277" s="73"/>
      <c r="CD1277" s="73"/>
      <c r="CE1277" s="73"/>
      <c r="CF1277" s="73"/>
      <c r="CG1277" s="73"/>
      <c r="CH1277" s="73"/>
    </row>
    <row r="1278">
      <c r="A1278" s="73"/>
      <c r="B1278" s="73"/>
      <c r="C1278" s="73"/>
      <c r="D1278" s="73"/>
      <c r="E1278" s="140"/>
      <c r="F1278" s="80"/>
      <c r="G1278" s="80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  <c r="S1278" s="73"/>
      <c r="T1278" s="73"/>
      <c r="U1278" s="73"/>
      <c r="V1278" s="73"/>
      <c r="W1278" s="73"/>
      <c r="X1278" s="73"/>
      <c r="Y1278" s="73"/>
      <c r="Z1278" s="73"/>
      <c r="AA1278" s="73"/>
      <c r="AB1278" s="73"/>
      <c r="AC1278" s="73"/>
      <c r="AD1278" s="73"/>
      <c r="AE1278" s="73"/>
      <c r="AF1278" s="73"/>
      <c r="AG1278" s="73"/>
      <c r="AH1278" s="73"/>
      <c r="AI1278" s="73"/>
      <c r="AJ1278" s="168"/>
      <c r="AK1278" s="73"/>
      <c r="AL1278" s="73"/>
      <c r="AM1278" s="73"/>
      <c r="AN1278" s="73"/>
      <c r="AO1278" s="73"/>
      <c r="AP1278" s="73"/>
      <c r="AQ1278" s="73"/>
      <c r="AR1278" s="73"/>
      <c r="AS1278" s="73"/>
      <c r="AT1278" s="73"/>
      <c r="AU1278" s="73"/>
      <c r="AV1278" s="73"/>
      <c r="AW1278" s="73"/>
      <c r="AX1278" s="73"/>
      <c r="AY1278" s="73"/>
      <c r="AZ1278" s="73"/>
      <c r="BA1278" s="73"/>
      <c r="BB1278" s="73"/>
      <c r="BC1278" s="73"/>
      <c r="BD1278" s="73"/>
      <c r="BE1278" s="73"/>
      <c r="BF1278" s="75"/>
      <c r="BG1278" s="73"/>
      <c r="BH1278" s="88"/>
      <c r="BI1278" s="73"/>
      <c r="BJ1278" s="73"/>
      <c r="BK1278" s="73"/>
      <c r="BL1278" s="73"/>
      <c r="BM1278" s="73"/>
      <c r="BN1278" s="73"/>
      <c r="BO1278" s="73"/>
      <c r="BP1278" s="73"/>
      <c r="BQ1278" s="73"/>
      <c r="BR1278" s="73"/>
      <c r="BS1278" s="73"/>
      <c r="BT1278" s="73"/>
      <c r="BU1278" s="73"/>
      <c r="BV1278" s="73"/>
      <c r="BW1278" s="73"/>
      <c r="BX1278" s="73"/>
      <c r="BY1278" s="73"/>
      <c r="BZ1278" s="73"/>
      <c r="CA1278" s="73"/>
      <c r="CB1278" s="73"/>
      <c r="CC1278" s="73"/>
      <c r="CD1278" s="73"/>
      <c r="CE1278" s="73"/>
      <c r="CF1278" s="73"/>
      <c r="CG1278" s="73"/>
      <c r="CH1278" s="73"/>
    </row>
    <row r="1279">
      <c r="A1279" s="73"/>
      <c r="B1279" s="73"/>
      <c r="C1279" s="73"/>
      <c r="D1279" s="73"/>
      <c r="E1279" s="140"/>
      <c r="F1279" s="80"/>
      <c r="G1279" s="80"/>
      <c r="H1279" s="73"/>
      <c r="I1279" s="73"/>
      <c r="J1279" s="73"/>
      <c r="K1279" s="73"/>
      <c r="L1279" s="73"/>
      <c r="M1279" s="73"/>
      <c r="N1279" s="73"/>
      <c r="O1279" s="73"/>
      <c r="P1279" s="73"/>
      <c r="Q1279" s="73"/>
      <c r="R1279" s="73"/>
      <c r="S1279" s="73"/>
      <c r="T1279" s="73"/>
      <c r="U1279" s="73"/>
      <c r="V1279" s="73"/>
      <c r="W1279" s="73"/>
      <c r="X1279" s="73"/>
      <c r="Y1279" s="73"/>
      <c r="Z1279" s="73"/>
      <c r="AA1279" s="73"/>
      <c r="AB1279" s="73"/>
      <c r="AC1279" s="73"/>
      <c r="AD1279" s="73"/>
      <c r="AE1279" s="73"/>
      <c r="AF1279" s="73"/>
      <c r="AG1279" s="73"/>
      <c r="AH1279" s="73"/>
      <c r="AI1279" s="73"/>
      <c r="AJ1279" s="168"/>
      <c r="AK1279" s="73"/>
      <c r="AL1279" s="73"/>
      <c r="AM1279" s="73"/>
      <c r="AN1279" s="73"/>
      <c r="AO1279" s="73"/>
      <c r="AP1279" s="73"/>
      <c r="AQ1279" s="73"/>
      <c r="AR1279" s="73"/>
      <c r="AS1279" s="73"/>
      <c r="AT1279" s="73"/>
      <c r="AU1279" s="73"/>
      <c r="AV1279" s="73"/>
      <c r="AW1279" s="73"/>
      <c r="AX1279" s="73"/>
      <c r="AY1279" s="73"/>
      <c r="AZ1279" s="73"/>
      <c r="BA1279" s="73"/>
      <c r="BB1279" s="73"/>
      <c r="BC1279" s="73"/>
      <c r="BD1279" s="73"/>
      <c r="BE1279" s="73"/>
      <c r="BF1279" s="75"/>
      <c r="BG1279" s="73"/>
      <c r="BH1279" s="88"/>
      <c r="BI1279" s="73"/>
      <c r="BJ1279" s="73"/>
      <c r="BK1279" s="73"/>
      <c r="BL1279" s="73"/>
      <c r="BM1279" s="73"/>
      <c r="BN1279" s="73"/>
      <c r="BO1279" s="73"/>
      <c r="BP1279" s="73"/>
      <c r="BQ1279" s="73"/>
      <c r="BR1279" s="73"/>
      <c r="BS1279" s="73"/>
      <c r="BT1279" s="73"/>
      <c r="BU1279" s="73"/>
      <c r="BV1279" s="73"/>
      <c r="BW1279" s="73"/>
      <c r="BX1279" s="73"/>
      <c r="BY1279" s="73"/>
      <c r="BZ1279" s="73"/>
      <c r="CA1279" s="73"/>
      <c r="CB1279" s="73"/>
      <c r="CC1279" s="73"/>
      <c r="CD1279" s="73"/>
      <c r="CE1279" s="73"/>
      <c r="CF1279" s="73"/>
      <c r="CG1279" s="73"/>
      <c r="CH1279" s="73"/>
    </row>
    <row r="1280">
      <c r="A1280" s="73"/>
      <c r="B1280" s="73"/>
      <c r="C1280" s="73"/>
      <c r="D1280" s="73"/>
      <c r="E1280" s="140"/>
      <c r="F1280" s="80"/>
      <c r="G1280" s="80"/>
      <c r="H1280" s="73"/>
      <c r="I1280" s="73"/>
      <c r="J1280" s="73"/>
      <c r="K1280" s="73"/>
      <c r="L1280" s="73"/>
      <c r="M1280" s="73"/>
      <c r="N1280" s="73"/>
      <c r="O1280" s="73"/>
      <c r="P1280" s="73"/>
      <c r="Q1280" s="73"/>
      <c r="R1280" s="73"/>
      <c r="S1280" s="73"/>
      <c r="T1280" s="73"/>
      <c r="U1280" s="73"/>
      <c r="V1280" s="73"/>
      <c r="W1280" s="73"/>
      <c r="X1280" s="73"/>
      <c r="Y1280" s="73"/>
      <c r="Z1280" s="73"/>
      <c r="AA1280" s="73"/>
      <c r="AB1280" s="73"/>
      <c r="AC1280" s="73"/>
      <c r="AD1280" s="73"/>
      <c r="AE1280" s="73"/>
      <c r="AF1280" s="73"/>
      <c r="AG1280" s="73"/>
      <c r="AH1280" s="73"/>
      <c r="AI1280" s="73"/>
      <c r="AJ1280" s="168"/>
      <c r="AK1280" s="73"/>
      <c r="AL1280" s="73"/>
      <c r="AM1280" s="73"/>
      <c r="AN1280" s="73"/>
      <c r="AO1280" s="73"/>
      <c r="AP1280" s="73"/>
      <c r="AQ1280" s="73"/>
      <c r="AR1280" s="73"/>
      <c r="AS1280" s="73"/>
      <c r="AT1280" s="73"/>
      <c r="AU1280" s="73"/>
      <c r="AV1280" s="73"/>
      <c r="AW1280" s="73"/>
      <c r="AX1280" s="73"/>
      <c r="AY1280" s="73"/>
      <c r="AZ1280" s="73"/>
      <c r="BA1280" s="73"/>
      <c r="BB1280" s="73"/>
      <c r="BC1280" s="73"/>
      <c r="BD1280" s="73"/>
      <c r="BE1280" s="73"/>
      <c r="BF1280" s="75"/>
      <c r="BG1280" s="73"/>
      <c r="BH1280" s="88"/>
      <c r="BI1280" s="73"/>
      <c r="BJ1280" s="73"/>
      <c r="BK1280" s="73"/>
      <c r="BL1280" s="73"/>
      <c r="BM1280" s="73"/>
      <c r="BN1280" s="73"/>
      <c r="BO1280" s="73"/>
      <c r="BP1280" s="73"/>
      <c r="BQ1280" s="73"/>
      <c r="BR1280" s="73"/>
      <c r="BS1280" s="73"/>
      <c r="BT1280" s="73"/>
      <c r="BU1280" s="73"/>
      <c r="BV1280" s="73"/>
      <c r="BW1280" s="73"/>
      <c r="BX1280" s="73"/>
      <c r="BY1280" s="73"/>
      <c r="BZ1280" s="73"/>
      <c r="CA1280" s="73"/>
      <c r="CB1280" s="73"/>
      <c r="CC1280" s="73"/>
      <c r="CD1280" s="73"/>
      <c r="CE1280" s="73"/>
      <c r="CF1280" s="73"/>
      <c r="CG1280" s="73"/>
      <c r="CH1280" s="73"/>
    </row>
    <row r="1281">
      <c r="A1281" s="73"/>
      <c r="B1281" s="73"/>
      <c r="C1281" s="73"/>
      <c r="D1281" s="73"/>
      <c r="E1281" s="140"/>
      <c r="F1281" s="80"/>
      <c r="G1281" s="80"/>
      <c r="H1281" s="73"/>
      <c r="I1281" s="73"/>
      <c r="J1281" s="73"/>
      <c r="K1281" s="73"/>
      <c r="L1281" s="73"/>
      <c r="M1281" s="73"/>
      <c r="N1281" s="73"/>
      <c r="O1281" s="73"/>
      <c r="P1281" s="73"/>
      <c r="Q1281" s="73"/>
      <c r="R1281" s="73"/>
      <c r="S1281" s="73"/>
      <c r="T1281" s="73"/>
      <c r="U1281" s="73"/>
      <c r="V1281" s="73"/>
      <c r="W1281" s="73"/>
      <c r="X1281" s="73"/>
      <c r="Y1281" s="73"/>
      <c r="Z1281" s="73"/>
      <c r="AA1281" s="73"/>
      <c r="AB1281" s="73"/>
      <c r="AC1281" s="73"/>
      <c r="AD1281" s="73"/>
      <c r="AE1281" s="73"/>
      <c r="AF1281" s="73"/>
      <c r="AG1281" s="73"/>
      <c r="AH1281" s="73"/>
      <c r="AI1281" s="73"/>
      <c r="AJ1281" s="168"/>
      <c r="AK1281" s="73"/>
      <c r="AL1281" s="73"/>
      <c r="AM1281" s="73"/>
      <c r="AN1281" s="73"/>
      <c r="AO1281" s="73"/>
      <c r="AP1281" s="73"/>
      <c r="AQ1281" s="73"/>
      <c r="AR1281" s="73"/>
      <c r="AS1281" s="73"/>
      <c r="AT1281" s="73"/>
      <c r="AU1281" s="73"/>
      <c r="AV1281" s="73"/>
      <c r="AW1281" s="73"/>
      <c r="AX1281" s="73"/>
      <c r="AY1281" s="73"/>
      <c r="AZ1281" s="73"/>
      <c r="BA1281" s="73"/>
      <c r="BB1281" s="73"/>
      <c r="BC1281" s="73"/>
      <c r="BD1281" s="73"/>
      <c r="BE1281" s="73"/>
      <c r="BF1281" s="75"/>
      <c r="BG1281" s="73"/>
      <c r="BH1281" s="88"/>
      <c r="BI1281" s="73"/>
      <c r="BJ1281" s="73"/>
      <c r="BK1281" s="73"/>
      <c r="BL1281" s="73"/>
      <c r="BM1281" s="73"/>
      <c r="BN1281" s="73"/>
      <c r="BO1281" s="73"/>
      <c r="BP1281" s="73"/>
      <c r="BQ1281" s="73"/>
      <c r="BR1281" s="73"/>
      <c r="BS1281" s="73"/>
      <c r="BT1281" s="73"/>
      <c r="BU1281" s="73"/>
      <c r="BV1281" s="73"/>
      <c r="BW1281" s="73"/>
      <c r="BX1281" s="73"/>
      <c r="BY1281" s="73"/>
      <c r="BZ1281" s="73"/>
      <c r="CA1281" s="73"/>
      <c r="CB1281" s="73"/>
      <c r="CC1281" s="73"/>
      <c r="CD1281" s="73"/>
      <c r="CE1281" s="73"/>
      <c r="CF1281" s="73"/>
      <c r="CG1281" s="73"/>
      <c r="CH1281" s="73"/>
    </row>
    <row r="1282">
      <c r="A1282" s="73"/>
      <c r="B1282" s="73"/>
      <c r="C1282" s="73"/>
      <c r="D1282" s="73"/>
      <c r="E1282" s="140"/>
      <c r="F1282" s="80"/>
      <c r="G1282" s="80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  <c r="S1282" s="73"/>
      <c r="T1282" s="73"/>
      <c r="U1282" s="73"/>
      <c r="V1282" s="73"/>
      <c r="W1282" s="73"/>
      <c r="X1282" s="73"/>
      <c r="Y1282" s="73"/>
      <c r="Z1282" s="73"/>
      <c r="AA1282" s="73"/>
      <c r="AB1282" s="73"/>
      <c r="AC1282" s="73"/>
      <c r="AD1282" s="73"/>
      <c r="AE1282" s="73"/>
      <c r="AF1282" s="73"/>
      <c r="AG1282" s="73"/>
      <c r="AH1282" s="73"/>
      <c r="AI1282" s="73"/>
      <c r="AJ1282" s="168"/>
      <c r="AK1282" s="73"/>
      <c r="AL1282" s="73"/>
      <c r="AM1282" s="73"/>
      <c r="AN1282" s="73"/>
      <c r="AO1282" s="73"/>
      <c r="AP1282" s="73"/>
      <c r="AQ1282" s="73"/>
      <c r="AR1282" s="73"/>
      <c r="AS1282" s="73"/>
      <c r="AT1282" s="73"/>
      <c r="AU1282" s="73"/>
      <c r="AV1282" s="73"/>
      <c r="AW1282" s="73"/>
      <c r="AX1282" s="73"/>
      <c r="AY1282" s="73"/>
      <c r="AZ1282" s="73"/>
      <c r="BA1282" s="73"/>
      <c r="BB1282" s="73"/>
      <c r="BC1282" s="73"/>
      <c r="BD1282" s="73"/>
      <c r="BE1282" s="73"/>
      <c r="BF1282" s="75"/>
      <c r="BG1282" s="73"/>
      <c r="BH1282" s="88"/>
      <c r="BI1282" s="73"/>
      <c r="BJ1282" s="73"/>
      <c r="BK1282" s="73"/>
      <c r="BL1282" s="73"/>
      <c r="BM1282" s="73"/>
      <c r="BN1282" s="73"/>
      <c r="BO1282" s="73"/>
      <c r="BP1282" s="73"/>
      <c r="BQ1282" s="73"/>
      <c r="BR1282" s="73"/>
      <c r="BS1282" s="73"/>
      <c r="BT1282" s="73"/>
      <c r="BU1282" s="73"/>
      <c r="BV1282" s="73"/>
      <c r="BW1282" s="73"/>
      <c r="BX1282" s="73"/>
      <c r="BY1282" s="73"/>
      <c r="BZ1282" s="73"/>
      <c r="CA1282" s="73"/>
      <c r="CB1282" s="73"/>
      <c r="CC1282" s="73"/>
      <c r="CD1282" s="73"/>
      <c r="CE1282" s="73"/>
      <c r="CF1282" s="73"/>
      <c r="CG1282" s="73"/>
      <c r="CH1282" s="73"/>
    </row>
    <row r="1283">
      <c r="A1283" s="73"/>
      <c r="B1283" s="73"/>
      <c r="C1283" s="73"/>
      <c r="D1283" s="73"/>
      <c r="E1283" s="140"/>
      <c r="F1283" s="80"/>
      <c r="G1283" s="80"/>
      <c r="H1283" s="73"/>
      <c r="I1283" s="73"/>
      <c r="J1283" s="73"/>
      <c r="K1283" s="73"/>
      <c r="L1283" s="73"/>
      <c r="M1283" s="73"/>
      <c r="N1283" s="73"/>
      <c r="O1283" s="73"/>
      <c r="P1283" s="73"/>
      <c r="Q1283" s="73"/>
      <c r="R1283" s="73"/>
      <c r="S1283" s="73"/>
      <c r="T1283" s="73"/>
      <c r="U1283" s="73"/>
      <c r="V1283" s="73"/>
      <c r="W1283" s="73"/>
      <c r="X1283" s="73"/>
      <c r="Y1283" s="73"/>
      <c r="Z1283" s="73"/>
      <c r="AA1283" s="73"/>
      <c r="AB1283" s="73"/>
      <c r="AC1283" s="73"/>
      <c r="AD1283" s="73"/>
      <c r="AE1283" s="73"/>
      <c r="AF1283" s="73"/>
      <c r="AG1283" s="73"/>
      <c r="AH1283" s="73"/>
      <c r="AI1283" s="73"/>
      <c r="AJ1283" s="168"/>
      <c r="AK1283" s="73"/>
      <c r="AL1283" s="73"/>
      <c r="AM1283" s="73"/>
      <c r="AN1283" s="73"/>
      <c r="AO1283" s="73"/>
      <c r="AP1283" s="73"/>
      <c r="AQ1283" s="73"/>
      <c r="AR1283" s="73"/>
      <c r="AS1283" s="73"/>
      <c r="AT1283" s="73"/>
      <c r="AU1283" s="73"/>
      <c r="AV1283" s="73"/>
      <c r="AW1283" s="73"/>
      <c r="AX1283" s="73"/>
      <c r="AY1283" s="73"/>
      <c r="AZ1283" s="73"/>
      <c r="BA1283" s="73"/>
      <c r="BB1283" s="73"/>
      <c r="BC1283" s="73"/>
      <c r="BD1283" s="73"/>
      <c r="BE1283" s="73"/>
      <c r="BF1283" s="75"/>
      <c r="BG1283" s="73"/>
      <c r="BH1283" s="88"/>
      <c r="BI1283" s="73"/>
      <c r="BJ1283" s="73"/>
      <c r="BK1283" s="73"/>
      <c r="BL1283" s="73"/>
      <c r="BM1283" s="73"/>
      <c r="BN1283" s="73"/>
      <c r="BO1283" s="73"/>
      <c r="BP1283" s="73"/>
      <c r="BQ1283" s="73"/>
      <c r="BR1283" s="73"/>
      <c r="BS1283" s="73"/>
      <c r="BT1283" s="73"/>
      <c r="BU1283" s="73"/>
      <c r="BV1283" s="73"/>
      <c r="BW1283" s="73"/>
      <c r="BX1283" s="73"/>
      <c r="BY1283" s="73"/>
      <c r="BZ1283" s="73"/>
      <c r="CA1283" s="73"/>
      <c r="CB1283" s="73"/>
      <c r="CC1283" s="73"/>
      <c r="CD1283" s="73"/>
      <c r="CE1283" s="73"/>
      <c r="CF1283" s="73"/>
      <c r="CG1283" s="73"/>
      <c r="CH1283" s="73"/>
    </row>
    <row r="1284">
      <c r="A1284" s="73"/>
      <c r="B1284" s="73"/>
      <c r="C1284" s="73"/>
      <c r="D1284" s="73"/>
      <c r="E1284" s="140"/>
      <c r="F1284" s="80"/>
      <c r="G1284" s="80"/>
      <c r="H1284" s="73"/>
      <c r="I1284" s="73"/>
      <c r="J1284" s="73"/>
      <c r="K1284" s="73"/>
      <c r="L1284" s="73"/>
      <c r="M1284" s="73"/>
      <c r="N1284" s="73"/>
      <c r="O1284" s="73"/>
      <c r="P1284" s="73"/>
      <c r="Q1284" s="73"/>
      <c r="R1284" s="73"/>
      <c r="S1284" s="73"/>
      <c r="T1284" s="73"/>
      <c r="U1284" s="73"/>
      <c r="V1284" s="73"/>
      <c r="W1284" s="73"/>
      <c r="X1284" s="73"/>
      <c r="Y1284" s="73"/>
      <c r="Z1284" s="73"/>
      <c r="AA1284" s="73"/>
      <c r="AB1284" s="73"/>
      <c r="AC1284" s="73"/>
      <c r="AD1284" s="73"/>
      <c r="AE1284" s="73"/>
      <c r="AF1284" s="73"/>
      <c r="AG1284" s="73"/>
      <c r="AH1284" s="73"/>
      <c r="AI1284" s="73"/>
      <c r="AJ1284" s="168"/>
      <c r="AK1284" s="73"/>
      <c r="AL1284" s="73"/>
      <c r="AM1284" s="73"/>
      <c r="AN1284" s="73"/>
      <c r="AO1284" s="73"/>
      <c r="AP1284" s="73"/>
      <c r="AQ1284" s="73"/>
      <c r="AR1284" s="73"/>
      <c r="AS1284" s="73"/>
      <c r="AT1284" s="73"/>
      <c r="AU1284" s="73"/>
      <c r="AV1284" s="73"/>
      <c r="AW1284" s="73"/>
      <c r="AX1284" s="73"/>
      <c r="AY1284" s="73"/>
      <c r="AZ1284" s="73"/>
      <c r="BA1284" s="73"/>
      <c r="BB1284" s="73"/>
      <c r="BC1284" s="73"/>
      <c r="BD1284" s="73"/>
      <c r="BE1284" s="73"/>
      <c r="BF1284" s="75"/>
      <c r="BG1284" s="73"/>
      <c r="BH1284" s="88"/>
      <c r="BI1284" s="73"/>
      <c r="BJ1284" s="73"/>
      <c r="BK1284" s="73"/>
      <c r="BL1284" s="73"/>
      <c r="BM1284" s="73"/>
      <c r="BN1284" s="73"/>
      <c r="BO1284" s="73"/>
      <c r="BP1284" s="73"/>
      <c r="BQ1284" s="73"/>
      <c r="BR1284" s="73"/>
      <c r="BS1284" s="73"/>
      <c r="BT1284" s="73"/>
      <c r="BU1284" s="73"/>
      <c r="BV1284" s="73"/>
      <c r="BW1284" s="73"/>
      <c r="BX1284" s="73"/>
      <c r="BY1284" s="73"/>
      <c r="BZ1284" s="73"/>
      <c r="CA1284" s="73"/>
      <c r="CB1284" s="73"/>
      <c r="CC1284" s="73"/>
      <c r="CD1284" s="73"/>
      <c r="CE1284" s="73"/>
      <c r="CF1284" s="73"/>
      <c r="CG1284" s="73"/>
      <c r="CH1284" s="73"/>
    </row>
    <row r="1285">
      <c r="A1285" s="73"/>
      <c r="B1285" s="73"/>
      <c r="C1285" s="73"/>
      <c r="D1285" s="73"/>
      <c r="E1285" s="140"/>
      <c r="F1285" s="80"/>
      <c r="G1285" s="80"/>
      <c r="H1285" s="73"/>
      <c r="I1285" s="73"/>
      <c r="J1285" s="73"/>
      <c r="K1285" s="73"/>
      <c r="L1285" s="73"/>
      <c r="M1285" s="73"/>
      <c r="N1285" s="73"/>
      <c r="O1285" s="73"/>
      <c r="P1285" s="73"/>
      <c r="Q1285" s="73"/>
      <c r="R1285" s="73"/>
      <c r="S1285" s="73"/>
      <c r="T1285" s="73"/>
      <c r="U1285" s="73"/>
      <c r="V1285" s="73"/>
      <c r="W1285" s="73"/>
      <c r="X1285" s="73"/>
      <c r="Y1285" s="73"/>
      <c r="Z1285" s="73"/>
      <c r="AA1285" s="73"/>
      <c r="AB1285" s="73"/>
      <c r="AC1285" s="73"/>
      <c r="AD1285" s="73"/>
      <c r="AE1285" s="73"/>
      <c r="AF1285" s="73"/>
      <c r="AG1285" s="73"/>
      <c r="AH1285" s="73"/>
      <c r="AI1285" s="73"/>
      <c r="AJ1285" s="168"/>
      <c r="AK1285" s="73"/>
      <c r="AL1285" s="73"/>
      <c r="AM1285" s="73"/>
      <c r="AN1285" s="73"/>
      <c r="AO1285" s="73"/>
      <c r="AP1285" s="73"/>
      <c r="AQ1285" s="73"/>
      <c r="AR1285" s="73"/>
      <c r="AS1285" s="73"/>
      <c r="AT1285" s="73"/>
      <c r="AU1285" s="73"/>
      <c r="AV1285" s="73"/>
      <c r="AW1285" s="73"/>
      <c r="AX1285" s="73"/>
      <c r="AY1285" s="73"/>
      <c r="AZ1285" s="73"/>
      <c r="BA1285" s="73"/>
      <c r="BB1285" s="73"/>
      <c r="BC1285" s="73"/>
      <c r="BD1285" s="73"/>
      <c r="BE1285" s="73"/>
      <c r="BF1285" s="75"/>
      <c r="BG1285" s="73"/>
      <c r="BH1285" s="88"/>
      <c r="BI1285" s="73"/>
      <c r="BJ1285" s="73"/>
      <c r="BK1285" s="73"/>
      <c r="BL1285" s="73"/>
      <c r="BM1285" s="73"/>
      <c r="BN1285" s="73"/>
      <c r="BO1285" s="73"/>
      <c r="BP1285" s="73"/>
      <c r="BQ1285" s="73"/>
      <c r="BR1285" s="73"/>
      <c r="BS1285" s="73"/>
      <c r="BT1285" s="73"/>
      <c r="BU1285" s="73"/>
      <c r="BV1285" s="73"/>
      <c r="BW1285" s="73"/>
      <c r="BX1285" s="73"/>
      <c r="BY1285" s="73"/>
      <c r="BZ1285" s="73"/>
      <c r="CA1285" s="73"/>
      <c r="CB1285" s="73"/>
      <c r="CC1285" s="73"/>
      <c r="CD1285" s="73"/>
      <c r="CE1285" s="73"/>
      <c r="CF1285" s="73"/>
      <c r="CG1285" s="73"/>
      <c r="CH1285" s="73"/>
    </row>
    <row r="1286">
      <c r="A1286" s="73"/>
      <c r="B1286" s="73"/>
      <c r="C1286" s="73"/>
      <c r="D1286" s="73"/>
      <c r="E1286" s="140"/>
      <c r="F1286" s="80"/>
      <c r="G1286" s="80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  <c r="S1286" s="73"/>
      <c r="T1286" s="73"/>
      <c r="U1286" s="73"/>
      <c r="V1286" s="73"/>
      <c r="W1286" s="73"/>
      <c r="X1286" s="73"/>
      <c r="Y1286" s="73"/>
      <c r="Z1286" s="73"/>
      <c r="AA1286" s="73"/>
      <c r="AB1286" s="73"/>
      <c r="AC1286" s="73"/>
      <c r="AD1286" s="73"/>
      <c r="AE1286" s="73"/>
      <c r="AF1286" s="73"/>
      <c r="AG1286" s="73"/>
      <c r="AH1286" s="73"/>
      <c r="AI1286" s="73"/>
      <c r="AJ1286" s="168"/>
      <c r="AK1286" s="73"/>
      <c r="AL1286" s="73"/>
      <c r="AM1286" s="73"/>
      <c r="AN1286" s="73"/>
      <c r="AO1286" s="73"/>
      <c r="AP1286" s="73"/>
      <c r="AQ1286" s="73"/>
      <c r="AR1286" s="73"/>
      <c r="AS1286" s="73"/>
      <c r="AT1286" s="73"/>
      <c r="AU1286" s="73"/>
      <c r="AV1286" s="73"/>
      <c r="AW1286" s="73"/>
      <c r="AX1286" s="73"/>
      <c r="AY1286" s="73"/>
      <c r="AZ1286" s="73"/>
      <c r="BA1286" s="73"/>
      <c r="BB1286" s="73"/>
      <c r="BC1286" s="73"/>
      <c r="BD1286" s="73"/>
      <c r="BE1286" s="73"/>
      <c r="BF1286" s="75"/>
      <c r="BG1286" s="73"/>
      <c r="BH1286" s="88"/>
      <c r="BI1286" s="73"/>
      <c r="BJ1286" s="73"/>
      <c r="BK1286" s="73"/>
      <c r="BL1286" s="73"/>
      <c r="BM1286" s="73"/>
      <c r="BN1286" s="73"/>
      <c r="BO1286" s="73"/>
      <c r="BP1286" s="73"/>
      <c r="BQ1286" s="73"/>
      <c r="BR1286" s="73"/>
      <c r="BS1286" s="73"/>
      <c r="BT1286" s="73"/>
      <c r="BU1286" s="73"/>
      <c r="BV1286" s="73"/>
      <c r="BW1286" s="73"/>
      <c r="BX1286" s="73"/>
      <c r="BY1286" s="73"/>
      <c r="BZ1286" s="73"/>
      <c r="CA1286" s="73"/>
      <c r="CB1286" s="73"/>
      <c r="CC1286" s="73"/>
      <c r="CD1286" s="73"/>
      <c r="CE1286" s="73"/>
      <c r="CF1286" s="73"/>
      <c r="CG1286" s="73"/>
      <c r="CH1286" s="73"/>
    </row>
    <row r="1287">
      <c r="A1287" s="73"/>
      <c r="B1287" s="73"/>
      <c r="C1287" s="73"/>
      <c r="D1287" s="73"/>
      <c r="E1287" s="140"/>
      <c r="F1287" s="80"/>
      <c r="G1287" s="80"/>
      <c r="H1287" s="73"/>
      <c r="I1287" s="73"/>
      <c r="J1287" s="73"/>
      <c r="K1287" s="73"/>
      <c r="L1287" s="73"/>
      <c r="M1287" s="73"/>
      <c r="N1287" s="73"/>
      <c r="O1287" s="73"/>
      <c r="P1287" s="73"/>
      <c r="Q1287" s="73"/>
      <c r="R1287" s="73"/>
      <c r="S1287" s="73"/>
      <c r="T1287" s="73"/>
      <c r="U1287" s="73"/>
      <c r="V1287" s="73"/>
      <c r="W1287" s="73"/>
      <c r="X1287" s="73"/>
      <c r="Y1287" s="73"/>
      <c r="Z1287" s="73"/>
      <c r="AA1287" s="73"/>
      <c r="AB1287" s="73"/>
      <c r="AC1287" s="73"/>
      <c r="AD1287" s="73"/>
      <c r="AE1287" s="73"/>
      <c r="AF1287" s="73"/>
      <c r="AG1287" s="73"/>
      <c r="AH1287" s="73"/>
      <c r="AI1287" s="73"/>
      <c r="AJ1287" s="168"/>
      <c r="AK1287" s="73"/>
      <c r="AL1287" s="73"/>
      <c r="AM1287" s="73"/>
      <c r="AN1287" s="73"/>
      <c r="AO1287" s="73"/>
      <c r="AP1287" s="73"/>
      <c r="AQ1287" s="73"/>
      <c r="AR1287" s="73"/>
      <c r="AS1287" s="73"/>
      <c r="AT1287" s="73"/>
      <c r="AU1287" s="73"/>
      <c r="AV1287" s="73"/>
      <c r="AW1287" s="73"/>
      <c r="AX1287" s="73"/>
      <c r="AY1287" s="73"/>
      <c r="AZ1287" s="73"/>
      <c r="BA1287" s="73"/>
      <c r="BB1287" s="73"/>
      <c r="BC1287" s="73"/>
      <c r="BD1287" s="73"/>
      <c r="BE1287" s="73"/>
      <c r="BF1287" s="75"/>
      <c r="BG1287" s="73"/>
      <c r="BH1287" s="88"/>
      <c r="BI1287" s="73"/>
      <c r="BJ1287" s="73"/>
      <c r="BK1287" s="73"/>
      <c r="BL1287" s="73"/>
      <c r="BM1287" s="73"/>
      <c r="BN1287" s="73"/>
      <c r="BO1287" s="73"/>
      <c r="BP1287" s="73"/>
      <c r="BQ1287" s="73"/>
      <c r="BR1287" s="73"/>
      <c r="BS1287" s="73"/>
      <c r="BT1287" s="73"/>
      <c r="BU1287" s="73"/>
      <c r="BV1287" s="73"/>
      <c r="BW1287" s="73"/>
      <c r="BX1287" s="73"/>
      <c r="BY1287" s="73"/>
      <c r="BZ1287" s="73"/>
      <c r="CA1287" s="73"/>
      <c r="CB1287" s="73"/>
      <c r="CC1287" s="73"/>
      <c r="CD1287" s="73"/>
      <c r="CE1287" s="73"/>
      <c r="CF1287" s="73"/>
      <c r="CG1287" s="73"/>
      <c r="CH1287" s="73"/>
    </row>
    <row r="1288">
      <c r="A1288" s="73"/>
      <c r="B1288" s="73"/>
      <c r="C1288" s="73"/>
      <c r="D1288" s="73"/>
      <c r="E1288" s="140"/>
      <c r="F1288" s="80"/>
      <c r="G1288" s="80"/>
      <c r="H1288" s="73"/>
      <c r="I1288" s="73"/>
      <c r="J1288" s="73"/>
      <c r="K1288" s="73"/>
      <c r="L1288" s="73"/>
      <c r="M1288" s="73"/>
      <c r="N1288" s="73"/>
      <c r="O1288" s="73"/>
      <c r="P1288" s="73"/>
      <c r="Q1288" s="73"/>
      <c r="R1288" s="73"/>
      <c r="S1288" s="73"/>
      <c r="T1288" s="73"/>
      <c r="U1288" s="73"/>
      <c r="V1288" s="73"/>
      <c r="W1288" s="73"/>
      <c r="X1288" s="73"/>
      <c r="Y1288" s="73"/>
      <c r="Z1288" s="73"/>
      <c r="AA1288" s="73"/>
      <c r="AB1288" s="73"/>
      <c r="AC1288" s="73"/>
      <c r="AD1288" s="73"/>
      <c r="AE1288" s="73"/>
      <c r="AF1288" s="73"/>
      <c r="AG1288" s="73"/>
      <c r="AH1288" s="73"/>
      <c r="AI1288" s="73"/>
      <c r="AJ1288" s="168"/>
      <c r="AK1288" s="73"/>
      <c r="AL1288" s="73"/>
      <c r="AM1288" s="73"/>
      <c r="AN1288" s="73"/>
      <c r="AO1288" s="73"/>
      <c r="AP1288" s="73"/>
      <c r="AQ1288" s="73"/>
      <c r="AR1288" s="73"/>
      <c r="AS1288" s="73"/>
      <c r="AT1288" s="73"/>
      <c r="AU1288" s="73"/>
      <c r="AV1288" s="73"/>
      <c r="AW1288" s="73"/>
      <c r="AX1288" s="73"/>
      <c r="AY1288" s="73"/>
      <c r="AZ1288" s="73"/>
      <c r="BA1288" s="73"/>
      <c r="BB1288" s="73"/>
      <c r="BC1288" s="73"/>
      <c r="BD1288" s="73"/>
      <c r="BE1288" s="73"/>
      <c r="BF1288" s="75"/>
      <c r="BG1288" s="73"/>
      <c r="BH1288" s="88"/>
      <c r="BI1288" s="73"/>
      <c r="BJ1288" s="73"/>
      <c r="BK1288" s="73"/>
      <c r="BL1288" s="73"/>
      <c r="BM1288" s="73"/>
      <c r="BN1288" s="73"/>
      <c r="BO1288" s="73"/>
      <c r="BP1288" s="73"/>
      <c r="BQ1288" s="73"/>
      <c r="BR1288" s="73"/>
      <c r="BS1288" s="73"/>
      <c r="BT1288" s="73"/>
      <c r="BU1288" s="73"/>
      <c r="BV1288" s="73"/>
      <c r="BW1288" s="73"/>
      <c r="BX1288" s="73"/>
      <c r="BY1288" s="73"/>
      <c r="BZ1288" s="73"/>
      <c r="CA1288" s="73"/>
      <c r="CB1288" s="73"/>
      <c r="CC1288" s="73"/>
      <c r="CD1288" s="73"/>
      <c r="CE1288" s="73"/>
      <c r="CF1288" s="73"/>
      <c r="CG1288" s="73"/>
      <c r="CH1288" s="73"/>
    </row>
    <row r="1289">
      <c r="A1289" s="73"/>
      <c r="B1289" s="73"/>
      <c r="C1289" s="73"/>
      <c r="D1289" s="73"/>
      <c r="E1289" s="140"/>
      <c r="F1289" s="80"/>
      <c r="G1289" s="80"/>
      <c r="H1289" s="73"/>
      <c r="I1289" s="73"/>
      <c r="J1289" s="73"/>
      <c r="K1289" s="73"/>
      <c r="L1289" s="73"/>
      <c r="M1289" s="73"/>
      <c r="N1289" s="73"/>
      <c r="O1289" s="73"/>
      <c r="P1289" s="73"/>
      <c r="Q1289" s="73"/>
      <c r="R1289" s="73"/>
      <c r="S1289" s="73"/>
      <c r="T1289" s="73"/>
      <c r="U1289" s="73"/>
      <c r="V1289" s="73"/>
      <c r="W1289" s="73"/>
      <c r="X1289" s="73"/>
      <c r="Y1289" s="73"/>
      <c r="Z1289" s="73"/>
      <c r="AA1289" s="73"/>
      <c r="AB1289" s="73"/>
      <c r="AC1289" s="73"/>
      <c r="AD1289" s="73"/>
      <c r="AE1289" s="73"/>
      <c r="AF1289" s="73"/>
      <c r="AG1289" s="73"/>
      <c r="AH1289" s="73"/>
      <c r="AI1289" s="73"/>
      <c r="AJ1289" s="168"/>
      <c r="AK1289" s="73"/>
      <c r="AL1289" s="73"/>
      <c r="AM1289" s="73"/>
      <c r="AN1289" s="73"/>
      <c r="AO1289" s="73"/>
      <c r="AP1289" s="73"/>
      <c r="AQ1289" s="73"/>
      <c r="AR1289" s="73"/>
      <c r="AS1289" s="73"/>
      <c r="AT1289" s="73"/>
      <c r="AU1289" s="73"/>
      <c r="AV1289" s="73"/>
      <c r="AW1289" s="73"/>
      <c r="AX1289" s="73"/>
      <c r="AY1289" s="73"/>
      <c r="AZ1289" s="73"/>
      <c r="BA1289" s="73"/>
      <c r="BB1289" s="73"/>
      <c r="BC1289" s="73"/>
      <c r="BD1289" s="73"/>
      <c r="BE1289" s="73"/>
      <c r="BF1289" s="75"/>
      <c r="BG1289" s="73"/>
      <c r="BH1289" s="88"/>
      <c r="BI1289" s="73"/>
      <c r="BJ1289" s="73"/>
      <c r="BK1289" s="73"/>
      <c r="BL1289" s="73"/>
      <c r="BM1289" s="73"/>
      <c r="BN1289" s="73"/>
      <c r="BO1289" s="73"/>
      <c r="BP1289" s="73"/>
      <c r="BQ1289" s="73"/>
      <c r="BR1289" s="73"/>
      <c r="BS1289" s="73"/>
      <c r="BT1289" s="73"/>
      <c r="BU1289" s="73"/>
      <c r="BV1289" s="73"/>
      <c r="BW1289" s="73"/>
      <c r="BX1289" s="73"/>
      <c r="BY1289" s="73"/>
      <c r="BZ1289" s="73"/>
      <c r="CA1289" s="73"/>
      <c r="CB1289" s="73"/>
      <c r="CC1289" s="73"/>
      <c r="CD1289" s="73"/>
      <c r="CE1289" s="73"/>
      <c r="CF1289" s="73"/>
      <c r="CG1289" s="73"/>
      <c r="CH1289" s="73"/>
    </row>
    <row r="1290">
      <c r="A1290" s="73"/>
      <c r="B1290" s="73"/>
      <c r="C1290" s="73"/>
      <c r="D1290" s="73"/>
      <c r="E1290" s="140"/>
      <c r="F1290" s="80"/>
      <c r="G1290" s="80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  <c r="S1290" s="73"/>
      <c r="T1290" s="73"/>
      <c r="U1290" s="73"/>
      <c r="V1290" s="73"/>
      <c r="W1290" s="73"/>
      <c r="X1290" s="73"/>
      <c r="Y1290" s="73"/>
      <c r="Z1290" s="73"/>
      <c r="AA1290" s="73"/>
      <c r="AB1290" s="73"/>
      <c r="AC1290" s="73"/>
      <c r="AD1290" s="73"/>
      <c r="AE1290" s="73"/>
      <c r="AF1290" s="73"/>
      <c r="AG1290" s="73"/>
      <c r="AH1290" s="73"/>
      <c r="AI1290" s="73"/>
      <c r="AJ1290" s="168"/>
      <c r="AK1290" s="73"/>
      <c r="AL1290" s="73"/>
      <c r="AM1290" s="73"/>
      <c r="AN1290" s="73"/>
      <c r="AO1290" s="73"/>
      <c r="AP1290" s="73"/>
      <c r="AQ1290" s="73"/>
      <c r="AR1290" s="73"/>
      <c r="AS1290" s="73"/>
      <c r="AT1290" s="73"/>
      <c r="AU1290" s="73"/>
      <c r="AV1290" s="73"/>
      <c r="AW1290" s="73"/>
      <c r="AX1290" s="73"/>
      <c r="AY1290" s="73"/>
      <c r="AZ1290" s="73"/>
      <c r="BA1290" s="73"/>
      <c r="BB1290" s="73"/>
      <c r="BC1290" s="73"/>
      <c r="BD1290" s="73"/>
      <c r="BE1290" s="73"/>
      <c r="BF1290" s="75"/>
      <c r="BG1290" s="73"/>
      <c r="BH1290" s="88"/>
      <c r="BI1290" s="73"/>
      <c r="BJ1290" s="73"/>
      <c r="BK1290" s="73"/>
      <c r="BL1290" s="73"/>
      <c r="BM1290" s="73"/>
      <c r="BN1290" s="73"/>
      <c r="BO1290" s="73"/>
      <c r="BP1290" s="73"/>
      <c r="BQ1290" s="73"/>
      <c r="BR1290" s="73"/>
      <c r="BS1290" s="73"/>
      <c r="BT1290" s="73"/>
      <c r="BU1290" s="73"/>
      <c r="BV1290" s="73"/>
      <c r="BW1290" s="73"/>
      <c r="BX1290" s="73"/>
      <c r="BY1290" s="73"/>
      <c r="BZ1290" s="73"/>
      <c r="CA1290" s="73"/>
      <c r="CB1290" s="73"/>
      <c r="CC1290" s="73"/>
      <c r="CD1290" s="73"/>
      <c r="CE1290" s="73"/>
      <c r="CF1290" s="73"/>
      <c r="CG1290" s="73"/>
      <c r="CH1290" s="73"/>
    </row>
    <row r="1291">
      <c r="A1291" s="73"/>
      <c r="B1291" s="73"/>
      <c r="C1291" s="73"/>
      <c r="D1291" s="73"/>
      <c r="E1291" s="140"/>
      <c r="F1291" s="80"/>
      <c r="G1291" s="80"/>
      <c r="H1291" s="73"/>
      <c r="I1291" s="73"/>
      <c r="J1291" s="73"/>
      <c r="K1291" s="73"/>
      <c r="L1291" s="73"/>
      <c r="M1291" s="73"/>
      <c r="N1291" s="73"/>
      <c r="O1291" s="73"/>
      <c r="P1291" s="73"/>
      <c r="Q1291" s="73"/>
      <c r="R1291" s="73"/>
      <c r="S1291" s="73"/>
      <c r="T1291" s="73"/>
      <c r="U1291" s="73"/>
      <c r="V1291" s="73"/>
      <c r="W1291" s="73"/>
      <c r="X1291" s="73"/>
      <c r="Y1291" s="73"/>
      <c r="Z1291" s="73"/>
      <c r="AA1291" s="73"/>
      <c r="AB1291" s="73"/>
      <c r="AC1291" s="73"/>
      <c r="AD1291" s="73"/>
      <c r="AE1291" s="73"/>
      <c r="AF1291" s="73"/>
      <c r="AG1291" s="73"/>
      <c r="AH1291" s="73"/>
      <c r="AI1291" s="73"/>
      <c r="AJ1291" s="168"/>
      <c r="AK1291" s="73"/>
      <c r="AL1291" s="73"/>
      <c r="AM1291" s="73"/>
      <c r="AN1291" s="73"/>
      <c r="AO1291" s="73"/>
      <c r="AP1291" s="73"/>
      <c r="AQ1291" s="73"/>
      <c r="AR1291" s="73"/>
      <c r="AS1291" s="73"/>
      <c r="AT1291" s="73"/>
      <c r="AU1291" s="73"/>
      <c r="AV1291" s="73"/>
      <c r="AW1291" s="73"/>
      <c r="AX1291" s="73"/>
      <c r="AY1291" s="73"/>
      <c r="AZ1291" s="73"/>
      <c r="BA1291" s="73"/>
      <c r="BB1291" s="73"/>
      <c r="BC1291" s="73"/>
      <c r="BD1291" s="73"/>
      <c r="BE1291" s="73"/>
      <c r="BF1291" s="75"/>
      <c r="BG1291" s="73"/>
      <c r="BH1291" s="88"/>
      <c r="BI1291" s="73"/>
      <c r="BJ1291" s="73"/>
      <c r="BK1291" s="73"/>
      <c r="BL1291" s="73"/>
      <c r="BM1291" s="73"/>
      <c r="BN1291" s="73"/>
      <c r="BO1291" s="73"/>
      <c r="BP1291" s="73"/>
      <c r="BQ1291" s="73"/>
      <c r="BR1291" s="73"/>
      <c r="BS1291" s="73"/>
      <c r="BT1291" s="73"/>
      <c r="BU1291" s="73"/>
      <c r="BV1291" s="73"/>
      <c r="BW1291" s="73"/>
      <c r="BX1291" s="73"/>
      <c r="BY1291" s="73"/>
      <c r="BZ1291" s="73"/>
      <c r="CA1291" s="73"/>
      <c r="CB1291" s="73"/>
      <c r="CC1291" s="73"/>
      <c r="CD1291" s="73"/>
      <c r="CE1291" s="73"/>
      <c r="CF1291" s="73"/>
      <c r="CG1291" s="73"/>
      <c r="CH1291" s="73"/>
    </row>
    <row r="1292">
      <c r="A1292" s="73"/>
      <c r="B1292" s="73"/>
      <c r="C1292" s="73"/>
      <c r="D1292" s="73"/>
      <c r="E1292" s="140"/>
      <c r="F1292" s="80"/>
      <c r="G1292" s="80"/>
      <c r="H1292" s="73"/>
      <c r="I1292" s="73"/>
      <c r="J1292" s="73"/>
      <c r="K1292" s="73"/>
      <c r="L1292" s="73"/>
      <c r="M1292" s="73"/>
      <c r="N1292" s="73"/>
      <c r="O1292" s="73"/>
      <c r="P1292" s="73"/>
      <c r="Q1292" s="73"/>
      <c r="R1292" s="73"/>
      <c r="S1292" s="73"/>
      <c r="T1292" s="73"/>
      <c r="U1292" s="73"/>
      <c r="V1292" s="73"/>
      <c r="W1292" s="73"/>
      <c r="X1292" s="73"/>
      <c r="Y1292" s="73"/>
      <c r="Z1292" s="73"/>
      <c r="AA1292" s="73"/>
      <c r="AB1292" s="73"/>
      <c r="AC1292" s="73"/>
      <c r="AD1292" s="73"/>
      <c r="AE1292" s="73"/>
      <c r="AF1292" s="73"/>
      <c r="AG1292" s="73"/>
      <c r="AH1292" s="73"/>
      <c r="AI1292" s="73"/>
      <c r="AJ1292" s="168"/>
      <c r="AK1292" s="73"/>
      <c r="AL1292" s="73"/>
      <c r="AM1292" s="73"/>
      <c r="AN1292" s="73"/>
      <c r="AO1292" s="73"/>
      <c r="AP1292" s="73"/>
      <c r="AQ1292" s="73"/>
      <c r="AR1292" s="73"/>
      <c r="AS1292" s="73"/>
      <c r="AT1292" s="73"/>
      <c r="AU1292" s="73"/>
      <c r="AV1292" s="73"/>
      <c r="AW1292" s="73"/>
      <c r="AX1292" s="73"/>
      <c r="AY1292" s="73"/>
      <c r="AZ1292" s="73"/>
      <c r="BA1292" s="73"/>
      <c r="BB1292" s="73"/>
      <c r="BC1292" s="73"/>
      <c r="BD1292" s="73"/>
      <c r="BE1292" s="73"/>
      <c r="BF1292" s="75"/>
      <c r="BG1292" s="73"/>
      <c r="BH1292" s="88"/>
      <c r="BI1292" s="73"/>
      <c r="BJ1292" s="73"/>
      <c r="BK1292" s="73"/>
      <c r="BL1292" s="73"/>
      <c r="BM1292" s="73"/>
      <c r="BN1292" s="73"/>
      <c r="BO1292" s="73"/>
      <c r="BP1292" s="73"/>
      <c r="BQ1292" s="73"/>
      <c r="BR1292" s="73"/>
      <c r="BS1292" s="73"/>
      <c r="BT1292" s="73"/>
      <c r="BU1292" s="73"/>
      <c r="BV1292" s="73"/>
      <c r="BW1292" s="73"/>
      <c r="BX1292" s="73"/>
      <c r="BY1292" s="73"/>
      <c r="BZ1292" s="73"/>
      <c r="CA1292" s="73"/>
      <c r="CB1292" s="73"/>
      <c r="CC1292" s="73"/>
      <c r="CD1292" s="73"/>
      <c r="CE1292" s="73"/>
      <c r="CF1292" s="73"/>
      <c r="CG1292" s="73"/>
      <c r="CH1292" s="73"/>
    </row>
    <row r="1293">
      <c r="A1293" s="73"/>
      <c r="B1293" s="73"/>
      <c r="C1293" s="73"/>
      <c r="D1293" s="73"/>
      <c r="E1293" s="140"/>
      <c r="F1293" s="80"/>
      <c r="G1293" s="80"/>
      <c r="H1293" s="73"/>
      <c r="I1293" s="73"/>
      <c r="J1293" s="73"/>
      <c r="K1293" s="73"/>
      <c r="L1293" s="73"/>
      <c r="M1293" s="73"/>
      <c r="N1293" s="73"/>
      <c r="O1293" s="73"/>
      <c r="P1293" s="73"/>
      <c r="Q1293" s="73"/>
      <c r="R1293" s="73"/>
      <c r="S1293" s="73"/>
      <c r="T1293" s="73"/>
      <c r="U1293" s="73"/>
      <c r="V1293" s="73"/>
      <c r="W1293" s="73"/>
      <c r="X1293" s="73"/>
      <c r="Y1293" s="73"/>
      <c r="Z1293" s="73"/>
      <c r="AA1293" s="73"/>
      <c r="AB1293" s="73"/>
      <c r="AC1293" s="73"/>
      <c r="AD1293" s="73"/>
      <c r="AE1293" s="73"/>
      <c r="AF1293" s="73"/>
      <c r="AG1293" s="73"/>
      <c r="AH1293" s="73"/>
      <c r="AI1293" s="73"/>
      <c r="AJ1293" s="168"/>
      <c r="AK1293" s="73"/>
      <c r="AL1293" s="73"/>
      <c r="AM1293" s="73"/>
      <c r="AN1293" s="73"/>
      <c r="AO1293" s="73"/>
      <c r="AP1293" s="73"/>
      <c r="AQ1293" s="73"/>
      <c r="AR1293" s="73"/>
      <c r="AS1293" s="73"/>
      <c r="AT1293" s="73"/>
      <c r="AU1293" s="73"/>
      <c r="AV1293" s="73"/>
      <c r="AW1293" s="73"/>
      <c r="AX1293" s="73"/>
      <c r="AY1293" s="73"/>
      <c r="AZ1293" s="73"/>
      <c r="BA1293" s="73"/>
      <c r="BB1293" s="73"/>
      <c r="BC1293" s="73"/>
      <c r="BD1293" s="73"/>
      <c r="BE1293" s="73"/>
      <c r="BF1293" s="75"/>
      <c r="BG1293" s="73"/>
      <c r="BH1293" s="88"/>
      <c r="BI1293" s="73"/>
      <c r="BJ1293" s="73"/>
      <c r="BK1293" s="73"/>
      <c r="BL1293" s="73"/>
      <c r="BM1293" s="73"/>
      <c r="BN1293" s="73"/>
      <c r="BO1293" s="73"/>
      <c r="BP1293" s="73"/>
      <c r="BQ1293" s="73"/>
      <c r="BR1293" s="73"/>
      <c r="BS1293" s="73"/>
      <c r="BT1293" s="73"/>
      <c r="BU1293" s="73"/>
      <c r="BV1293" s="73"/>
      <c r="BW1293" s="73"/>
      <c r="BX1293" s="73"/>
      <c r="BY1293" s="73"/>
      <c r="BZ1293" s="73"/>
      <c r="CA1293" s="73"/>
      <c r="CB1293" s="73"/>
      <c r="CC1293" s="73"/>
      <c r="CD1293" s="73"/>
      <c r="CE1293" s="73"/>
      <c r="CF1293" s="73"/>
      <c r="CG1293" s="73"/>
      <c r="CH1293" s="73"/>
    </row>
    <row r="1294">
      <c r="A1294" s="73"/>
      <c r="B1294" s="73"/>
      <c r="C1294" s="73"/>
      <c r="D1294" s="73"/>
      <c r="E1294" s="140"/>
      <c r="F1294" s="80"/>
      <c r="G1294" s="80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  <c r="S1294" s="73"/>
      <c r="T1294" s="73"/>
      <c r="U1294" s="73"/>
      <c r="V1294" s="73"/>
      <c r="W1294" s="73"/>
      <c r="X1294" s="73"/>
      <c r="Y1294" s="73"/>
      <c r="Z1294" s="73"/>
      <c r="AA1294" s="73"/>
      <c r="AB1294" s="73"/>
      <c r="AC1294" s="73"/>
      <c r="AD1294" s="73"/>
      <c r="AE1294" s="73"/>
      <c r="AF1294" s="73"/>
      <c r="AG1294" s="73"/>
      <c r="AH1294" s="73"/>
      <c r="AI1294" s="73"/>
      <c r="AJ1294" s="168"/>
      <c r="AK1294" s="73"/>
      <c r="AL1294" s="73"/>
      <c r="AM1294" s="73"/>
      <c r="AN1294" s="73"/>
      <c r="AO1294" s="73"/>
      <c r="AP1294" s="73"/>
      <c r="AQ1294" s="73"/>
      <c r="AR1294" s="73"/>
      <c r="AS1294" s="73"/>
      <c r="AT1294" s="73"/>
      <c r="AU1294" s="73"/>
      <c r="AV1294" s="73"/>
      <c r="AW1294" s="73"/>
      <c r="AX1294" s="73"/>
      <c r="AY1294" s="73"/>
      <c r="AZ1294" s="73"/>
      <c r="BA1294" s="73"/>
      <c r="BB1294" s="73"/>
      <c r="BC1294" s="73"/>
      <c r="BD1294" s="73"/>
      <c r="BE1294" s="73"/>
      <c r="BF1294" s="75"/>
      <c r="BG1294" s="73"/>
      <c r="BH1294" s="88"/>
      <c r="BI1294" s="73"/>
      <c r="BJ1294" s="73"/>
      <c r="BK1294" s="73"/>
      <c r="BL1294" s="73"/>
      <c r="BM1294" s="73"/>
      <c r="BN1294" s="73"/>
      <c r="BO1294" s="73"/>
      <c r="BP1294" s="73"/>
      <c r="BQ1294" s="73"/>
      <c r="BR1294" s="73"/>
      <c r="BS1294" s="73"/>
      <c r="BT1294" s="73"/>
      <c r="BU1294" s="73"/>
      <c r="BV1294" s="73"/>
      <c r="BW1294" s="73"/>
      <c r="BX1294" s="73"/>
      <c r="BY1294" s="73"/>
      <c r="BZ1294" s="73"/>
      <c r="CA1294" s="73"/>
      <c r="CB1294" s="73"/>
      <c r="CC1294" s="73"/>
      <c r="CD1294" s="73"/>
      <c r="CE1294" s="73"/>
      <c r="CF1294" s="73"/>
      <c r="CG1294" s="73"/>
      <c r="CH1294" s="73"/>
    </row>
    <row r="1295">
      <c r="A1295" s="73"/>
      <c r="B1295" s="73"/>
      <c r="C1295" s="73"/>
      <c r="D1295" s="73"/>
      <c r="E1295" s="140"/>
      <c r="F1295" s="80"/>
      <c r="G1295" s="80"/>
      <c r="H1295" s="73"/>
      <c r="I1295" s="73"/>
      <c r="J1295" s="73"/>
      <c r="K1295" s="73"/>
      <c r="L1295" s="73"/>
      <c r="M1295" s="73"/>
      <c r="N1295" s="73"/>
      <c r="O1295" s="73"/>
      <c r="P1295" s="73"/>
      <c r="Q1295" s="73"/>
      <c r="R1295" s="73"/>
      <c r="S1295" s="73"/>
      <c r="T1295" s="73"/>
      <c r="U1295" s="73"/>
      <c r="V1295" s="73"/>
      <c r="W1295" s="73"/>
      <c r="X1295" s="73"/>
      <c r="Y1295" s="73"/>
      <c r="Z1295" s="73"/>
      <c r="AA1295" s="73"/>
      <c r="AB1295" s="73"/>
      <c r="AC1295" s="73"/>
      <c r="AD1295" s="73"/>
      <c r="AE1295" s="73"/>
      <c r="AF1295" s="73"/>
      <c r="AG1295" s="73"/>
      <c r="AH1295" s="73"/>
      <c r="AI1295" s="73"/>
      <c r="AJ1295" s="168"/>
      <c r="AK1295" s="73"/>
      <c r="AL1295" s="73"/>
      <c r="AM1295" s="73"/>
      <c r="AN1295" s="73"/>
      <c r="AO1295" s="73"/>
      <c r="AP1295" s="73"/>
      <c r="AQ1295" s="73"/>
      <c r="AR1295" s="73"/>
      <c r="AS1295" s="73"/>
      <c r="AT1295" s="73"/>
      <c r="AU1295" s="73"/>
      <c r="AV1295" s="73"/>
      <c r="AW1295" s="73"/>
      <c r="AX1295" s="73"/>
      <c r="AY1295" s="73"/>
      <c r="AZ1295" s="73"/>
      <c r="BA1295" s="73"/>
      <c r="BB1295" s="73"/>
      <c r="BC1295" s="73"/>
      <c r="BD1295" s="73"/>
      <c r="BE1295" s="73"/>
      <c r="BF1295" s="75"/>
      <c r="BG1295" s="73"/>
      <c r="BH1295" s="88"/>
      <c r="BI1295" s="73"/>
      <c r="BJ1295" s="73"/>
      <c r="BK1295" s="73"/>
      <c r="BL1295" s="73"/>
      <c r="BM1295" s="73"/>
      <c r="BN1295" s="73"/>
      <c r="BO1295" s="73"/>
      <c r="BP1295" s="73"/>
      <c r="BQ1295" s="73"/>
      <c r="BR1295" s="73"/>
      <c r="BS1295" s="73"/>
      <c r="BT1295" s="73"/>
      <c r="BU1295" s="73"/>
      <c r="BV1295" s="73"/>
      <c r="BW1295" s="73"/>
      <c r="BX1295" s="73"/>
      <c r="BY1295" s="73"/>
      <c r="BZ1295" s="73"/>
      <c r="CA1295" s="73"/>
      <c r="CB1295" s="73"/>
      <c r="CC1295" s="73"/>
      <c r="CD1295" s="73"/>
      <c r="CE1295" s="73"/>
      <c r="CF1295" s="73"/>
      <c r="CG1295" s="73"/>
      <c r="CH1295" s="73"/>
    </row>
    <row r="1296">
      <c r="A1296" s="73"/>
      <c r="B1296" s="73"/>
      <c r="C1296" s="73"/>
      <c r="D1296" s="73"/>
      <c r="E1296" s="140"/>
      <c r="F1296" s="80"/>
      <c r="G1296" s="80"/>
      <c r="H1296" s="73"/>
      <c r="I1296" s="73"/>
      <c r="J1296" s="73"/>
      <c r="K1296" s="73"/>
      <c r="L1296" s="73"/>
      <c r="M1296" s="73"/>
      <c r="N1296" s="73"/>
      <c r="O1296" s="73"/>
      <c r="P1296" s="73"/>
      <c r="Q1296" s="73"/>
      <c r="R1296" s="73"/>
      <c r="S1296" s="73"/>
      <c r="T1296" s="73"/>
      <c r="U1296" s="73"/>
      <c r="V1296" s="73"/>
      <c r="W1296" s="73"/>
      <c r="X1296" s="73"/>
      <c r="Y1296" s="73"/>
      <c r="Z1296" s="73"/>
      <c r="AA1296" s="73"/>
      <c r="AB1296" s="73"/>
      <c r="AC1296" s="73"/>
      <c r="AD1296" s="73"/>
      <c r="AE1296" s="73"/>
      <c r="AF1296" s="73"/>
      <c r="AG1296" s="73"/>
      <c r="AH1296" s="73"/>
      <c r="AI1296" s="73"/>
      <c r="AJ1296" s="168"/>
      <c r="AK1296" s="73"/>
      <c r="AL1296" s="73"/>
      <c r="AM1296" s="73"/>
      <c r="AN1296" s="73"/>
      <c r="AO1296" s="73"/>
      <c r="AP1296" s="73"/>
      <c r="AQ1296" s="73"/>
      <c r="AR1296" s="73"/>
      <c r="AS1296" s="73"/>
      <c r="AT1296" s="73"/>
      <c r="AU1296" s="73"/>
      <c r="AV1296" s="73"/>
      <c r="AW1296" s="73"/>
      <c r="AX1296" s="73"/>
      <c r="AY1296" s="73"/>
      <c r="AZ1296" s="73"/>
      <c r="BA1296" s="73"/>
      <c r="BB1296" s="73"/>
      <c r="BC1296" s="73"/>
      <c r="BD1296" s="73"/>
      <c r="BE1296" s="73"/>
      <c r="BF1296" s="75"/>
      <c r="BG1296" s="73"/>
      <c r="BH1296" s="88"/>
      <c r="BI1296" s="73"/>
      <c r="BJ1296" s="73"/>
      <c r="BK1296" s="73"/>
      <c r="BL1296" s="73"/>
      <c r="BM1296" s="73"/>
      <c r="BN1296" s="73"/>
      <c r="BO1296" s="73"/>
      <c r="BP1296" s="73"/>
      <c r="BQ1296" s="73"/>
      <c r="BR1296" s="73"/>
      <c r="BS1296" s="73"/>
      <c r="BT1296" s="73"/>
      <c r="BU1296" s="73"/>
      <c r="BV1296" s="73"/>
      <c r="BW1296" s="73"/>
      <c r="BX1296" s="73"/>
      <c r="BY1296" s="73"/>
      <c r="BZ1296" s="73"/>
      <c r="CA1296" s="73"/>
      <c r="CB1296" s="73"/>
      <c r="CC1296" s="73"/>
      <c r="CD1296" s="73"/>
      <c r="CE1296" s="73"/>
      <c r="CF1296" s="73"/>
      <c r="CG1296" s="73"/>
      <c r="CH1296" s="73"/>
    </row>
    <row r="1297">
      <c r="A1297" s="73"/>
      <c r="B1297" s="73"/>
      <c r="C1297" s="73"/>
      <c r="D1297" s="73"/>
      <c r="E1297" s="140"/>
      <c r="F1297" s="80"/>
      <c r="G1297" s="80"/>
      <c r="H1297" s="73"/>
      <c r="I1297" s="73"/>
      <c r="J1297" s="73"/>
      <c r="K1297" s="73"/>
      <c r="L1297" s="73"/>
      <c r="M1297" s="73"/>
      <c r="N1297" s="73"/>
      <c r="O1297" s="73"/>
      <c r="P1297" s="73"/>
      <c r="Q1297" s="73"/>
      <c r="R1297" s="73"/>
      <c r="S1297" s="73"/>
      <c r="T1297" s="73"/>
      <c r="U1297" s="73"/>
      <c r="V1297" s="73"/>
      <c r="W1297" s="73"/>
      <c r="X1297" s="73"/>
      <c r="Y1297" s="73"/>
      <c r="Z1297" s="73"/>
      <c r="AA1297" s="73"/>
      <c r="AB1297" s="73"/>
      <c r="AC1297" s="73"/>
      <c r="AD1297" s="73"/>
      <c r="AE1297" s="73"/>
      <c r="AF1297" s="73"/>
      <c r="AG1297" s="73"/>
      <c r="AH1297" s="73"/>
      <c r="AI1297" s="73"/>
      <c r="AJ1297" s="168"/>
      <c r="AK1297" s="73"/>
      <c r="AL1297" s="73"/>
      <c r="AM1297" s="73"/>
      <c r="AN1297" s="73"/>
      <c r="AO1297" s="73"/>
      <c r="AP1297" s="73"/>
      <c r="AQ1297" s="73"/>
      <c r="AR1297" s="73"/>
      <c r="AS1297" s="73"/>
      <c r="AT1297" s="73"/>
      <c r="AU1297" s="73"/>
      <c r="AV1297" s="73"/>
      <c r="AW1297" s="73"/>
      <c r="AX1297" s="73"/>
      <c r="AY1297" s="73"/>
      <c r="AZ1297" s="73"/>
      <c r="BA1297" s="73"/>
      <c r="BB1297" s="73"/>
      <c r="BC1297" s="73"/>
      <c r="BD1297" s="73"/>
      <c r="BE1297" s="73"/>
      <c r="BF1297" s="75"/>
      <c r="BG1297" s="73"/>
      <c r="BH1297" s="88"/>
      <c r="BI1297" s="73"/>
      <c r="BJ1297" s="73"/>
      <c r="BK1297" s="73"/>
      <c r="BL1297" s="73"/>
      <c r="BM1297" s="73"/>
      <c r="BN1297" s="73"/>
      <c r="BO1297" s="73"/>
      <c r="BP1297" s="73"/>
      <c r="BQ1297" s="73"/>
      <c r="BR1297" s="73"/>
      <c r="BS1297" s="73"/>
      <c r="BT1297" s="73"/>
      <c r="BU1297" s="73"/>
      <c r="BV1297" s="73"/>
      <c r="BW1297" s="73"/>
      <c r="BX1297" s="73"/>
      <c r="BY1297" s="73"/>
      <c r="BZ1297" s="73"/>
      <c r="CA1297" s="73"/>
      <c r="CB1297" s="73"/>
      <c r="CC1297" s="73"/>
      <c r="CD1297" s="73"/>
      <c r="CE1297" s="73"/>
      <c r="CF1297" s="73"/>
      <c r="CG1297" s="73"/>
      <c r="CH1297" s="73"/>
    </row>
    <row r="1298">
      <c r="A1298" s="73"/>
      <c r="B1298" s="73"/>
      <c r="C1298" s="73"/>
      <c r="D1298" s="73"/>
      <c r="E1298" s="140"/>
      <c r="F1298" s="80"/>
      <c r="G1298" s="80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  <c r="S1298" s="73"/>
      <c r="T1298" s="73"/>
      <c r="U1298" s="73"/>
      <c r="V1298" s="73"/>
      <c r="W1298" s="73"/>
      <c r="X1298" s="73"/>
      <c r="Y1298" s="73"/>
      <c r="Z1298" s="73"/>
      <c r="AA1298" s="73"/>
      <c r="AB1298" s="73"/>
      <c r="AC1298" s="73"/>
      <c r="AD1298" s="73"/>
      <c r="AE1298" s="73"/>
      <c r="AF1298" s="73"/>
      <c r="AG1298" s="73"/>
      <c r="AH1298" s="73"/>
      <c r="AI1298" s="73"/>
      <c r="AJ1298" s="168"/>
      <c r="AK1298" s="73"/>
      <c r="AL1298" s="73"/>
      <c r="AM1298" s="73"/>
      <c r="AN1298" s="73"/>
      <c r="AO1298" s="73"/>
      <c r="AP1298" s="73"/>
      <c r="AQ1298" s="73"/>
      <c r="AR1298" s="73"/>
      <c r="AS1298" s="73"/>
      <c r="AT1298" s="73"/>
      <c r="AU1298" s="73"/>
      <c r="AV1298" s="73"/>
      <c r="AW1298" s="73"/>
      <c r="AX1298" s="73"/>
      <c r="AY1298" s="73"/>
      <c r="AZ1298" s="73"/>
      <c r="BA1298" s="73"/>
      <c r="BB1298" s="73"/>
      <c r="BC1298" s="73"/>
      <c r="BD1298" s="73"/>
      <c r="BE1298" s="73"/>
      <c r="BF1298" s="75"/>
      <c r="BG1298" s="73"/>
      <c r="BH1298" s="88"/>
      <c r="BI1298" s="73"/>
      <c r="BJ1298" s="73"/>
      <c r="BK1298" s="73"/>
      <c r="BL1298" s="73"/>
      <c r="BM1298" s="73"/>
      <c r="BN1298" s="73"/>
      <c r="BO1298" s="73"/>
      <c r="BP1298" s="73"/>
      <c r="BQ1298" s="73"/>
      <c r="BR1298" s="73"/>
      <c r="BS1298" s="73"/>
      <c r="BT1298" s="73"/>
      <c r="BU1298" s="73"/>
      <c r="BV1298" s="73"/>
      <c r="BW1298" s="73"/>
      <c r="BX1298" s="73"/>
      <c r="BY1298" s="73"/>
      <c r="BZ1298" s="73"/>
      <c r="CA1298" s="73"/>
      <c r="CB1298" s="73"/>
      <c r="CC1298" s="73"/>
      <c r="CD1298" s="73"/>
      <c r="CE1298" s="73"/>
      <c r="CF1298" s="73"/>
      <c r="CG1298" s="73"/>
      <c r="CH1298" s="73"/>
    </row>
    <row r="1299">
      <c r="A1299" s="73"/>
      <c r="B1299" s="73"/>
      <c r="C1299" s="73"/>
      <c r="D1299" s="73"/>
      <c r="E1299" s="140"/>
      <c r="F1299" s="80"/>
      <c r="G1299" s="80"/>
      <c r="H1299" s="73"/>
      <c r="I1299" s="73"/>
      <c r="J1299" s="73"/>
      <c r="K1299" s="73"/>
      <c r="L1299" s="73"/>
      <c r="M1299" s="73"/>
      <c r="N1299" s="73"/>
      <c r="O1299" s="73"/>
      <c r="P1299" s="73"/>
      <c r="Q1299" s="73"/>
      <c r="R1299" s="73"/>
      <c r="S1299" s="73"/>
      <c r="T1299" s="73"/>
      <c r="U1299" s="73"/>
      <c r="V1299" s="73"/>
      <c r="W1299" s="73"/>
      <c r="X1299" s="73"/>
      <c r="Y1299" s="73"/>
      <c r="Z1299" s="73"/>
      <c r="AA1299" s="73"/>
      <c r="AB1299" s="73"/>
      <c r="AC1299" s="73"/>
      <c r="AD1299" s="73"/>
      <c r="AE1299" s="73"/>
      <c r="AF1299" s="73"/>
      <c r="AG1299" s="73"/>
      <c r="AH1299" s="73"/>
      <c r="AI1299" s="73"/>
      <c r="AJ1299" s="168"/>
      <c r="AK1299" s="73"/>
      <c r="AL1299" s="73"/>
      <c r="AM1299" s="73"/>
      <c r="AN1299" s="73"/>
      <c r="AO1299" s="73"/>
      <c r="AP1299" s="73"/>
      <c r="AQ1299" s="73"/>
      <c r="AR1299" s="73"/>
      <c r="AS1299" s="73"/>
      <c r="AT1299" s="73"/>
      <c r="AU1299" s="73"/>
      <c r="AV1299" s="73"/>
      <c r="AW1299" s="73"/>
      <c r="AX1299" s="73"/>
      <c r="AY1299" s="73"/>
      <c r="AZ1299" s="73"/>
      <c r="BA1299" s="73"/>
      <c r="BB1299" s="73"/>
      <c r="BC1299" s="73"/>
      <c r="BD1299" s="73"/>
      <c r="BE1299" s="73"/>
      <c r="BF1299" s="75"/>
      <c r="BG1299" s="73"/>
      <c r="BH1299" s="88"/>
      <c r="BI1299" s="73"/>
      <c r="BJ1299" s="73"/>
      <c r="BK1299" s="73"/>
      <c r="BL1299" s="73"/>
      <c r="BM1299" s="73"/>
      <c r="BN1299" s="73"/>
      <c r="BO1299" s="73"/>
      <c r="BP1299" s="73"/>
      <c r="BQ1299" s="73"/>
      <c r="BR1299" s="73"/>
      <c r="BS1299" s="73"/>
      <c r="BT1299" s="73"/>
      <c r="BU1299" s="73"/>
      <c r="BV1299" s="73"/>
      <c r="BW1299" s="73"/>
      <c r="BX1299" s="73"/>
      <c r="BY1299" s="73"/>
      <c r="BZ1299" s="73"/>
      <c r="CA1299" s="73"/>
      <c r="CB1299" s="73"/>
      <c r="CC1299" s="73"/>
      <c r="CD1299" s="73"/>
      <c r="CE1299" s="73"/>
      <c r="CF1299" s="73"/>
      <c r="CG1299" s="73"/>
      <c r="CH1299" s="73"/>
    </row>
    <row r="1300">
      <c r="A1300" s="73"/>
      <c r="B1300" s="73"/>
      <c r="C1300" s="73"/>
      <c r="D1300" s="73"/>
      <c r="E1300" s="140"/>
      <c r="F1300" s="80"/>
      <c r="G1300" s="80"/>
      <c r="H1300" s="73"/>
      <c r="I1300" s="73"/>
      <c r="J1300" s="73"/>
      <c r="K1300" s="73"/>
      <c r="L1300" s="73"/>
      <c r="M1300" s="73"/>
      <c r="N1300" s="73"/>
      <c r="O1300" s="73"/>
      <c r="P1300" s="73"/>
      <c r="Q1300" s="73"/>
      <c r="R1300" s="73"/>
      <c r="S1300" s="73"/>
      <c r="T1300" s="73"/>
      <c r="U1300" s="73"/>
      <c r="V1300" s="73"/>
      <c r="W1300" s="73"/>
      <c r="X1300" s="73"/>
      <c r="Y1300" s="73"/>
      <c r="Z1300" s="73"/>
      <c r="AA1300" s="73"/>
      <c r="AB1300" s="73"/>
      <c r="AC1300" s="73"/>
      <c r="AD1300" s="73"/>
      <c r="AE1300" s="73"/>
      <c r="AF1300" s="73"/>
      <c r="AG1300" s="73"/>
      <c r="AH1300" s="73"/>
      <c r="AI1300" s="73"/>
      <c r="AJ1300" s="168"/>
      <c r="AK1300" s="73"/>
      <c r="AL1300" s="73"/>
      <c r="AM1300" s="73"/>
      <c r="AN1300" s="73"/>
      <c r="AO1300" s="73"/>
      <c r="AP1300" s="73"/>
      <c r="AQ1300" s="73"/>
      <c r="AR1300" s="73"/>
      <c r="AS1300" s="73"/>
      <c r="AT1300" s="73"/>
      <c r="AU1300" s="73"/>
      <c r="AV1300" s="73"/>
      <c r="AW1300" s="73"/>
      <c r="AX1300" s="73"/>
      <c r="AY1300" s="73"/>
      <c r="AZ1300" s="73"/>
      <c r="BA1300" s="73"/>
      <c r="BB1300" s="73"/>
      <c r="BC1300" s="73"/>
      <c r="BD1300" s="73"/>
      <c r="BE1300" s="73"/>
      <c r="BF1300" s="75"/>
      <c r="BG1300" s="73"/>
      <c r="BH1300" s="88"/>
      <c r="BI1300" s="73"/>
      <c r="BJ1300" s="73"/>
      <c r="BK1300" s="73"/>
      <c r="BL1300" s="73"/>
      <c r="BM1300" s="73"/>
      <c r="BN1300" s="73"/>
      <c r="BO1300" s="73"/>
      <c r="BP1300" s="73"/>
      <c r="BQ1300" s="73"/>
      <c r="BR1300" s="73"/>
      <c r="BS1300" s="73"/>
      <c r="BT1300" s="73"/>
      <c r="BU1300" s="73"/>
      <c r="BV1300" s="73"/>
      <c r="BW1300" s="73"/>
      <c r="BX1300" s="73"/>
      <c r="BY1300" s="73"/>
      <c r="BZ1300" s="73"/>
      <c r="CA1300" s="73"/>
      <c r="CB1300" s="73"/>
      <c r="CC1300" s="73"/>
      <c r="CD1300" s="73"/>
      <c r="CE1300" s="73"/>
      <c r="CF1300" s="73"/>
      <c r="CG1300" s="73"/>
      <c r="CH1300" s="73"/>
    </row>
    <row r="1301">
      <c r="A1301" s="73"/>
      <c r="B1301" s="73"/>
      <c r="C1301" s="73"/>
      <c r="D1301" s="73"/>
      <c r="E1301" s="140"/>
      <c r="F1301" s="80"/>
      <c r="G1301" s="80"/>
      <c r="H1301" s="73"/>
      <c r="I1301" s="73"/>
      <c r="J1301" s="73"/>
      <c r="K1301" s="73"/>
      <c r="L1301" s="73"/>
      <c r="M1301" s="73"/>
      <c r="N1301" s="73"/>
      <c r="O1301" s="73"/>
      <c r="P1301" s="73"/>
      <c r="Q1301" s="73"/>
      <c r="R1301" s="73"/>
      <c r="S1301" s="73"/>
      <c r="T1301" s="73"/>
      <c r="U1301" s="73"/>
      <c r="V1301" s="73"/>
      <c r="W1301" s="73"/>
      <c r="X1301" s="73"/>
      <c r="Y1301" s="73"/>
      <c r="Z1301" s="73"/>
      <c r="AA1301" s="73"/>
      <c r="AB1301" s="73"/>
      <c r="AC1301" s="73"/>
      <c r="AD1301" s="73"/>
      <c r="AE1301" s="73"/>
      <c r="AF1301" s="73"/>
      <c r="AG1301" s="73"/>
      <c r="AH1301" s="73"/>
      <c r="AI1301" s="73"/>
      <c r="AJ1301" s="168"/>
      <c r="AK1301" s="73"/>
      <c r="AL1301" s="73"/>
      <c r="AM1301" s="73"/>
      <c r="AN1301" s="73"/>
      <c r="AO1301" s="73"/>
      <c r="AP1301" s="73"/>
      <c r="AQ1301" s="73"/>
      <c r="AR1301" s="73"/>
      <c r="AS1301" s="73"/>
      <c r="AT1301" s="73"/>
      <c r="AU1301" s="73"/>
      <c r="AV1301" s="73"/>
      <c r="AW1301" s="73"/>
      <c r="AX1301" s="73"/>
      <c r="AY1301" s="73"/>
      <c r="AZ1301" s="73"/>
      <c r="BA1301" s="73"/>
      <c r="BB1301" s="73"/>
      <c r="BC1301" s="73"/>
      <c r="BD1301" s="73"/>
      <c r="BE1301" s="73"/>
      <c r="BF1301" s="75"/>
      <c r="BG1301" s="73"/>
      <c r="BH1301" s="88"/>
      <c r="BI1301" s="73"/>
      <c r="BJ1301" s="73"/>
      <c r="BK1301" s="73"/>
      <c r="BL1301" s="73"/>
      <c r="BM1301" s="73"/>
      <c r="BN1301" s="73"/>
      <c r="BO1301" s="73"/>
      <c r="BP1301" s="73"/>
      <c r="BQ1301" s="73"/>
      <c r="BR1301" s="73"/>
      <c r="BS1301" s="73"/>
      <c r="BT1301" s="73"/>
      <c r="BU1301" s="73"/>
      <c r="BV1301" s="73"/>
      <c r="BW1301" s="73"/>
      <c r="BX1301" s="73"/>
      <c r="BY1301" s="73"/>
      <c r="BZ1301" s="73"/>
      <c r="CA1301" s="73"/>
      <c r="CB1301" s="73"/>
      <c r="CC1301" s="73"/>
      <c r="CD1301" s="73"/>
      <c r="CE1301" s="73"/>
      <c r="CF1301" s="73"/>
      <c r="CG1301" s="73"/>
      <c r="CH1301" s="73"/>
    </row>
    <row r="1302">
      <c r="A1302" s="73"/>
      <c r="B1302" s="73"/>
      <c r="C1302" s="73"/>
      <c r="D1302" s="73"/>
      <c r="E1302" s="140"/>
      <c r="F1302" s="80"/>
      <c r="G1302" s="80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  <c r="S1302" s="73"/>
      <c r="T1302" s="73"/>
      <c r="U1302" s="73"/>
      <c r="V1302" s="73"/>
      <c r="W1302" s="73"/>
      <c r="X1302" s="73"/>
      <c r="Y1302" s="73"/>
      <c r="Z1302" s="73"/>
      <c r="AA1302" s="73"/>
      <c r="AB1302" s="73"/>
      <c r="AC1302" s="73"/>
      <c r="AD1302" s="73"/>
      <c r="AE1302" s="73"/>
      <c r="AF1302" s="73"/>
      <c r="AG1302" s="73"/>
      <c r="AH1302" s="73"/>
      <c r="AI1302" s="73"/>
      <c r="AJ1302" s="168"/>
      <c r="AK1302" s="73"/>
      <c r="AL1302" s="73"/>
      <c r="AM1302" s="73"/>
      <c r="AN1302" s="73"/>
      <c r="AO1302" s="73"/>
      <c r="AP1302" s="73"/>
      <c r="AQ1302" s="73"/>
      <c r="AR1302" s="73"/>
      <c r="AS1302" s="73"/>
      <c r="AT1302" s="73"/>
      <c r="AU1302" s="73"/>
      <c r="AV1302" s="73"/>
      <c r="AW1302" s="73"/>
      <c r="AX1302" s="73"/>
      <c r="AY1302" s="73"/>
      <c r="AZ1302" s="73"/>
      <c r="BA1302" s="73"/>
      <c r="BB1302" s="73"/>
      <c r="BC1302" s="73"/>
      <c r="BD1302" s="73"/>
      <c r="BE1302" s="73"/>
      <c r="BF1302" s="75"/>
      <c r="BG1302" s="73"/>
      <c r="BH1302" s="88"/>
      <c r="BI1302" s="73"/>
      <c r="BJ1302" s="73"/>
      <c r="BK1302" s="73"/>
      <c r="BL1302" s="73"/>
      <c r="BM1302" s="73"/>
      <c r="BN1302" s="73"/>
      <c r="BO1302" s="73"/>
      <c r="BP1302" s="73"/>
      <c r="BQ1302" s="73"/>
      <c r="BR1302" s="73"/>
      <c r="BS1302" s="73"/>
      <c r="BT1302" s="73"/>
      <c r="BU1302" s="73"/>
      <c r="BV1302" s="73"/>
      <c r="BW1302" s="73"/>
      <c r="BX1302" s="73"/>
      <c r="BY1302" s="73"/>
      <c r="BZ1302" s="73"/>
      <c r="CA1302" s="73"/>
      <c r="CB1302" s="73"/>
      <c r="CC1302" s="73"/>
      <c r="CD1302" s="73"/>
      <c r="CE1302" s="73"/>
      <c r="CF1302" s="73"/>
      <c r="CG1302" s="73"/>
      <c r="CH1302" s="73"/>
    </row>
    <row r="1303">
      <c r="A1303" s="73"/>
      <c r="B1303" s="73"/>
      <c r="C1303" s="73"/>
      <c r="D1303" s="73"/>
      <c r="E1303" s="140"/>
      <c r="F1303" s="80"/>
      <c r="G1303" s="80"/>
      <c r="H1303" s="73"/>
      <c r="I1303" s="73"/>
      <c r="J1303" s="73"/>
      <c r="K1303" s="73"/>
      <c r="L1303" s="73"/>
      <c r="M1303" s="73"/>
      <c r="N1303" s="73"/>
      <c r="O1303" s="73"/>
      <c r="P1303" s="73"/>
      <c r="Q1303" s="73"/>
      <c r="R1303" s="73"/>
      <c r="S1303" s="73"/>
      <c r="T1303" s="73"/>
      <c r="U1303" s="73"/>
      <c r="V1303" s="73"/>
      <c r="W1303" s="73"/>
      <c r="X1303" s="73"/>
      <c r="Y1303" s="73"/>
      <c r="Z1303" s="73"/>
      <c r="AA1303" s="73"/>
      <c r="AB1303" s="73"/>
      <c r="AC1303" s="73"/>
      <c r="AD1303" s="73"/>
      <c r="AE1303" s="73"/>
      <c r="AF1303" s="73"/>
      <c r="AG1303" s="73"/>
      <c r="AH1303" s="73"/>
      <c r="AI1303" s="73"/>
      <c r="AJ1303" s="168"/>
      <c r="AK1303" s="73"/>
      <c r="AL1303" s="73"/>
      <c r="AM1303" s="73"/>
      <c r="AN1303" s="73"/>
      <c r="AO1303" s="73"/>
      <c r="AP1303" s="73"/>
      <c r="AQ1303" s="73"/>
      <c r="AR1303" s="73"/>
      <c r="AS1303" s="73"/>
      <c r="AT1303" s="73"/>
      <c r="AU1303" s="73"/>
      <c r="AV1303" s="73"/>
      <c r="AW1303" s="73"/>
      <c r="AX1303" s="73"/>
      <c r="AY1303" s="73"/>
      <c r="AZ1303" s="73"/>
      <c r="BA1303" s="73"/>
      <c r="BB1303" s="73"/>
      <c r="BC1303" s="73"/>
      <c r="BD1303" s="73"/>
      <c r="BE1303" s="73"/>
      <c r="BF1303" s="75"/>
      <c r="BG1303" s="73"/>
      <c r="BH1303" s="88"/>
      <c r="BI1303" s="73"/>
      <c r="BJ1303" s="73"/>
      <c r="BK1303" s="73"/>
      <c r="BL1303" s="73"/>
      <c r="BM1303" s="73"/>
      <c r="BN1303" s="73"/>
      <c r="BO1303" s="73"/>
      <c r="BP1303" s="73"/>
      <c r="BQ1303" s="73"/>
      <c r="BR1303" s="73"/>
      <c r="BS1303" s="73"/>
      <c r="BT1303" s="73"/>
      <c r="BU1303" s="73"/>
      <c r="BV1303" s="73"/>
      <c r="BW1303" s="73"/>
      <c r="BX1303" s="73"/>
      <c r="BY1303" s="73"/>
      <c r="BZ1303" s="73"/>
      <c r="CA1303" s="73"/>
      <c r="CB1303" s="73"/>
      <c r="CC1303" s="73"/>
      <c r="CD1303" s="73"/>
      <c r="CE1303" s="73"/>
      <c r="CF1303" s="73"/>
      <c r="CG1303" s="73"/>
      <c r="CH1303" s="73"/>
    </row>
    <row r="1304">
      <c r="A1304" s="73"/>
      <c r="B1304" s="73"/>
      <c r="C1304" s="73"/>
      <c r="D1304" s="73"/>
      <c r="E1304" s="140"/>
      <c r="F1304" s="80"/>
      <c r="G1304" s="80"/>
      <c r="H1304" s="73"/>
      <c r="I1304" s="73"/>
      <c r="J1304" s="73"/>
      <c r="K1304" s="73"/>
      <c r="L1304" s="73"/>
      <c r="M1304" s="73"/>
      <c r="N1304" s="73"/>
      <c r="O1304" s="73"/>
      <c r="P1304" s="73"/>
      <c r="Q1304" s="73"/>
      <c r="R1304" s="73"/>
      <c r="S1304" s="73"/>
      <c r="T1304" s="73"/>
      <c r="U1304" s="73"/>
      <c r="V1304" s="73"/>
      <c r="W1304" s="73"/>
      <c r="X1304" s="73"/>
      <c r="Y1304" s="73"/>
      <c r="Z1304" s="73"/>
      <c r="AA1304" s="73"/>
      <c r="AB1304" s="73"/>
      <c r="AC1304" s="73"/>
      <c r="AD1304" s="73"/>
      <c r="AE1304" s="73"/>
      <c r="AF1304" s="73"/>
      <c r="AG1304" s="73"/>
      <c r="AH1304" s="73"/>
      <c r="AI1304" s="73"/>
      <c r="AJ1304" s="168"/>
      <c r="AK1304" s="73"/>
      <c r="AL1304" s="73"/>
      <c r="AM1304" s="73"/>
      <c r="AN1304" s="73"/>
      <c r="AO1304" s="73"/>
      <c r="AP1304" s="73"/>
      <c r="AQ1304" s="73"/>
      <c r="AR1304" s="73"/>
      <c r="AS1304" s="73"/>
      <c r="AT1304" s="73"/>
      <c r="AU1304" s="73"/>
      <c r="AV1304" s="73"/>
      <c r="AW1304" s="73"/>
      <c r="AX1304" s="73"/>
      <c r="AY1304" s="73"/>
      <c r="AZ1304" s="73"/>
      <c r="BA1304" s="73"/>
      <c r="BB1304" s="73"/>
      <c r="BC1304" s="73"/>
      <c r="BD1304" s="73"/>
      <c r="BE1304" s="73"/>
      <c r="BF1304" s="75"/>
      <c r="BG1304" s="73"/>
      <c r="BH1304" s="88"/>
      <c r="BI1304" s="73"/>
      <c r="BJ1304" s="73"/>
      <c r="BK1304" s="73"/>
      <c r="BL1304" s="73"/>
      <c r="BM1304" s="73"/>
      <c r="BN1304" s="73"/>
      <c r="BO1304" s="73"/>
      <c r="BP1304" s="73"/>
      <c r="BQ1304" s="73"/>
      <c r="BR1304" s="73"/>
      <c r="BS1304" s="73"/>
      <c r="BT1304" s="73"/>
      <c r="BU1304" s="73"/>
      <c r="BV1304" s="73"/>
      <c r="BW1304" s="73"/>
      <c r="BX1304" s="73"/>
      <c r="BY1304" s="73"/>
      <c r="BZ1304" s="73"/>
      <c r="CA1304" s="73"/>
      <c r="CB1304" s="73"/>
      <c r="CC1304" s="73"/>
      <c r="CD1304" s="73"/>
      <c r="CE1304" s="73"/>
      <c r="CF1304" s="73"/>
      <c r="CG1304" s="73"/>
      <c r="CH1304" s="73"/>
    </row>
    <row r="1305">
      <c r="A1305" s="73"/>
      <c r="B1305" s="73"/>
      <c r="C1305" s="73"/>
      <c r="D1305" s="73"/>
      <c r="E1305" s="140"/>
      <c r="F1305" s="80"/>
      <c r="G1305" s="80"/>
      <c r="H1305" s="73"/>
      <c r="I1305" s="73"/>
      <c r="J1305" s="73"/>
      <c r="K1305" s="73"/>
      <c r="L1305" s="73"/>
      <c r="M1305" s="73"/>
      <c r="N1305" s="73"/>
      <c r="O1305" s="73"/>
      <c r="P1305" s="73"/>
      <c r="Q1305" s="73"/>
      <c r="R1305" s="73"/>
      <c r="S1305" s="73"/>
      <c r="T1305" s="73"/>
      <c r="U1305" s="73"/>
      <c r="V1305" s="73"/>
      <c r="W1305" s="73"/>
      <c r="X1305" s="73"/>
      <c r="Y1305" s="73"/>
      <c r="Z1305" s="73"/>
      <c r="AA1305" s="73"/>
      <c r="AB1305" s="73"/>
      <c r="AC1305" s="73"/>
      <c r="AD1305" s="73"/>
      <c r="AE1305" s="73"/>
      <c r="AF1305" s="73"/>
      <c r="AG1305" s="73"/>
      <c r="AH1305" s="73"/>
      <c r="AI1305" s="73"/>
      <c r="AJ1305" s="168"/>
      <c r="AK1305" s="73"/>
      <c r="AL1305" s="73"/>
      <c r="AM1305" s="73"/>
      <c r="AN1305" s="73"/>
      <c r="AO1305" s="73"/>
      <c r="AP1305" s="73"/>
      <c r="AQ1305" s="73"/>
      <c r="AR1305" s="73"/>
      <c r="AS1305" s="73"/>
      <c r="AT1305" s="73"/>
      <c r="AU1305" s="73"/>
      <c r="AV1305" s="73"/>
      <c r="AW1305" s="73"/>
      <c r="AX1305" s="73"/>
      <c r="AY1305" s="73"/>
      <c r="AZ1305" s="73"/>
      <c r="BA1305" s="73"/>
      <c r="BB1305" s="73"/>
      <c r="BC1305" s="73"/>
      <c r="BD1305" s="73"/>
      <c r="BE1305" s="73"/>
      <c r="BF1305" s="75"/>
      <c r="BG1305" s="73"/>
      <c r="BH1305" s="88"/>
      <c r="BI1305" s="73"/>
      <c r="BJ1305" s="73"/>
      <c r="BK1305" s="73"/>
      <c r="BL1305" s="73"/>
      <c r="BM1305" s="73"/>
      <c r="BN1305" s="73"/>
      <c r="BO1305" s="73"/>
      <c r="BP1305" s="73"/>
      <c r="BQ1305" s="73"/>
      <c r="BR1305" s="73"/>
      <c r="BS1305" s="73"/>
      <c r="BT1305" s="73"/>
      <c r="BU1305" s="73"/>
      <c r="BV1305" s="73"/>
      <c r="BW1305" s="73"/>
      <c r="BX1305" s="73"/>
      <c r="BY1305" s="73"/>
      <c r="BZ1305" s="73"/>
      <c r="CA1305" s="73"/>
      <c r="CB1305" s="73"/>
      <c r="CC1305" s="73"/>
      <c r="CD1305" s="73"/>
      <c r="CE1305" s="73"/>
      <c r="CF1305" s="73"/>
      <c r="CG1305" s="73"/>
      <c r="CH1305" s="73"/>
    </row>
    <row r="1306">
      <c r="A1306" s="73"/>
      <c r="B1306" s="73"/>
      <c r="C1306" s="73"/>
      <c r="D1306" s="73"/>
      <c r="E1306" s="140"/>
      <c r="F1306" s="80"/>
      <c r="G1306" s="80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  <c r="S1306" s="73"/>
      <c r="T1306" s="73"/>
      <c r="U1306" s="73"/>
      <c r="V1306" s="73"/>
      <c r="W1306" s="73"/>
      <c r="X1306" s="73"/>
      <c r="Y1306" s="73"/>
      <c r="Z1306" s="73"/>
      <c r="AA1306" s="73"/>
      <c r="AB1306" s="73"/>
      <c r="AC1306" s="73"/>
      <c r="AD1306" s="73"/>
      <c r="AE1306" s="73"/>
      <c r="AF1306" s="73"/>
      <c r="AG1306" s="73"/>
      <c r="AH1306" s="73"/>
      <c r="AI1306" s="73"/>
      <c r="AJ1306" s="168"/>
      <c r="AK1306" s="73"/>
      <c r="AL1306" s="73"/>
      <c r="AM1306" s="73"/>
      <c r="AN1306" s="73"/>
      <c r="AO1306" s="73"/>
      <c r="AP1306" s="73"/>
      <c r="AQ1306" s="73"/>
      <c r="AR1306" s="73"/>
      <c r="AS1306" s="73"/>
      <c r="AT1306" s="73"/>
      <c r="AU1306" s="73"/>
      <c r="AV1306" s="73"/>
      <c r="AW1306" s="73"/>
      <c r="AX1306" s="73"/>
      <c r="AY1306" s="73"/>
      <c r="AZ1306" s="73"/>
      <c r="BA1306" s="73"/>
      <c r="BB1306" s="73"/>
      <c r="BC1306" s="73"/>
      <c r="BD1306" s="73"/>
      <c r="BE1306" s="73"/>
      <c r="BF1306" s="75"/>
      <c r="BG1306" s="73"/>
      <c r="BH1306" s="88"/>
      <c r="BI1306" s="73"/>
      <c r="BJ1306" s="73"/>
      <c r="BK1306" s="73"/>
      <c r="BL1306" s="73"/>
      <c r="BM1306" s="73"/>
      <c r="BN1306" s="73"/>
      <c r="BO1306" s="73"/>
      <c r="BP1306" s="73"/>
      <c r="BQ1306" s="73"/>
      <c r="BR1306" s="73"/>
      <c r="BS1306" s="73"/>
      <c r="BT1306" s="73"/>
      <c r="BU1306" s="73"/>
      <c r="BV1306" s="73"/>
      <c r="BW1306" s="73"/>
      <c r="BX1306" s="73"/>
      <c r="BY1306" s="73"/>
      <c r="BZ1306" s="73"/>
      <c r="CA1306" s="73"/>
      <c r="CB1306" s="73"/>
      <c r="CC1306" s="73"/>
      <c r="CD1306" s="73"/>
      <c r="CE1306" s="73"/>
      <c r="CF1306" s="73"/>
      <c r="CG1306" s="73"/>
      <c r="CH1306" s="73"/>
    </row>
    <row r="1307">
      <c r="A1307" s="73"/>
      <c r="B1307" s="73"/>
      <c r="C1307" s="73"/>
      <c r="D1307" s="73"/>
      <c r="E1307" s="140"/>
      <c r="F1307" s="80"/>
      <c r="G1307" s="80"/>
      <c r="H1307" s="73"/>
      <c r="I1307" s="73"/>
      <c r="J1307" s="73"/>
      <c r="K1307" s="73"/>
      <c r="L1307" s="73"/>
      <c r="M1307" s="73"/>
      <c r="N1307" s="73"/>
      <c r="O1307" s="73"/>
      <c r="P1307" s="73"/>
      <c r="Q1307" s="73"/>
      <c r="R1307" s="73"/>
      <c r="S1307" s="73"/>
      <c r="T1307" s="73"/>
      <c r="U1307" s="73"/>
      <c r="V1307" s="73"/>
      <c r="W1307" s="73"/>
      <c r="X1307" s="73"/>
      <c r="Y1307" s="73"/>
      <c r="Z1307" s="73"/>
      <c r="AA1307" s="73"/>
      <c r="AB1307" s="73"/>
      <c r="AC1307" s="73"/>
      <c r="AD1307" s="73"/>
      <c r="AE1307" s="73"/>
      <c r="AF1307" s="73"/>
      <c r="AG1307" s="73"/>
      <c r="AH1307" s="73"/>
      <c r="AI1307" s="73"/>
      <c r="AJ1307" s="168"/>
      <c r="AK1307" s="73"/>
      <c r="AL1307" s="73"/>
      <c r="AM1307" s="73"/>
      <c r="AN1307" s="73"/>
      <c r="AO1307" s="73"/>
      <c r="AP1307" s="73"/>
      <c r="AQ1307" s="73"/>
      <c r="AR1307" s="73"/>
      <c r="AS1307" s="73"/>
      <c r="AT1307" s="73"/>
      <c r="AU1307" s="73"/>
      <c r="AV1307" s="73"/>
      <c r="AW1307" s="73"/>
      <c r="AX1307" s="73"/>
      <c r="AY1307" s="73"/>
      <c r="AZ1307" s="73"/>
      <c r="BA1307" s="73"/>
      <c r="BB1307" s="73"/>
      <c r="BC1307" s="73"/>
      <c r="BD1307" s="73"/>
      <c r="BE1307" s="73"/>
      <c r="BF1307" s="75"/>
      <c r="BG1307" s="73"/>
      <c r="BH1307" s="88"/>
      <c r="BI1307" s="73"/>
      <c r="BJ1307" s="73"/>
      <c r="BK1307" s="73"/>
      <c r="BL1307" s="73"/>
      <c r="BM1307" s="73"/>
      <c r="BN1307" s="73"/>
      <c r="BO1307" s="73"/>
      <c r="BP1307" s="73"/>
      <c r="BQ1307" s="73"/>
      <c r="BR1307" s="73"/>
      <c r="BS1307" s="73"/>
      <c r="BT1307" s="73"/>
      <c r="BU1307" s="73"/>
      <c r="BV1307" s="73"/>
      <c r="BW1307" s="73"/>
      <c r="BX1307" s="73"/>
      <c r="BY1307" s="73"/>
      <c r="BZ1307" s="73"/>
      <c r="CA1307" s="73"/>
      <c r="CB1307" s="73"/>
      <c r="CC1307" s="73"/>
      <c r="CD1307" s="73"/>
      <c r="CE1307" s="73"/>
      <c r="CF1307" s="73"/>
      <c r="CG1307" s="73"/>
      <c r="CH1307" s="73"/>
    </row>
    <row r="1308">
      <c r="A1308" s="73"/>
      <c r="B1308" s="73"/>
      <c r="C1308" s="73"/>
      <c r="D1308" s="73"/>
      <c r="E1308" s="140"/>
      <c r="F1308" s="80"/>
      <c r="G1308" s="80"/>
      <c r="H1308" s="73"/>
      <c r="I1308" s="73"/>
      <c r="J1308" s="73"/>
      <c r="K1308" s="73"/>
      <c r="L1308" s="73"/>
      <c r="M1308" s="73"/>
      <c r="N1308" s="73"/>
      <c r="O1308" s="73"/>
      <c r="P1308" s="73"/>
      <c r="Q1308" s="73"/>
      <c r="R1308" s="73"/>
      <c r="S1308" s="73"/>
      <c r="T1308" s="73"/>
      <c r="U1308" s="73"/>
      <c r="V1308" s="73"/>
      <c r="W1308" s="73"/>
      <c r="X1308" s="73"/>
      <c r="Y1308" s="73"/>
      <c r="Z1308" s="73"/>
      <c r="AA1308" s="73"/>
      <c r="AB1308" s="73"/>
      <c r="AC1308" s="73"/>
      <c r="AD1308" s="73"/>
      <c r="AE1308" s="73"/>
      <c r="AF1308" s="73"/>
      <c r="AG1308" s="73"/>
      <c r="AH1308" s="73"/>
      <c r="AI1308" s="73"/>
      <c r="AJ1308" s="168"/>
      <c r="AK1308" s="73"/>
      <c r="AL1308" s="73"/>
      <c r="AM1308" s="73"/>
      <c r="AN1308" s="73"/>
      <c r="AO1308" s="73"/>
      <c r="AP1308" s="73"/>
      <c r="AQ1308" s="73"/>
      <c r="AR1308" s="73"/>
      <c r="AS1308" s="73"/>
      <c r="AT1308" s="73"/>
      <c r="AU1308" s="73"/>
      <c r="AV1308" s="73"/>
      <c r="AW1308" s="73"/>
      <c r="AX1308" s="73"/>
      <c r="AY1308" s="73"/>
      <c r="AZ1308" s="73"/>
      <c r="BA1308" s="73"/>
      <c r="BB1308" s="73"/>
      <c r="BC1308" s="73"/>
      <c r="BD1308" s="73"/>
      <c r="BE1308" s="73"/>
      <c r="BF1308" s="75"/>
      <c r="BG1308" s="73"/>
      <c r="BH1308" s="88"/>
      <c r="BI1308" s="73"/>
      <c r="BJ1308" s="73"/>
      <c r="BK1308" s="73"/>
      <c r="BL1308" s="73"/>
      <c r="BM1308" s="73"/>
      <c r="BN1308" s="73"/>
      <c r="BO1308" s="73"/>
      <c r="BP1308" s="73"/>
      <c r="BQ1308" s="73"/>
      <c r="BR1308" s="73"/>
      <c r="BS1308" s="73"/>
      <c r="BT1308" s="73"/>
      <c r="BU1308" s="73"/>
      <c r="BV1308" s="73"/>
      <c r="BW1308" s="73"/>
      <c r="BX1308" s="73"/>
      <c r="BY1308" s="73"/>
      <c r="BZ1308" s="73"/>
      <c r="CA1308" s="73"/>
      <c r="CB1308" s="73"/>
      <c r="CC1308" s="73"/>
      <c r="CD1308" s="73"/>
      <c r="CE1308" s="73"/>
      <c r="CF1308" s="73"/>
      <c r="CG1308" s="73"/>
      <c r="CH1308" s="73"/>
    </row>
    <row r="1309">
      <c r="A1309" s="73"/>
      <c r="B1309" s="73"/>
      <c r="C1309" s="73"/>
      <c r="D1309" s="73"/>
      <c r="E1309" s="140"/>
      <c r="F1309" s="80"/>
      <c r="G1309" s="80"/>
      <c r="H1309" s="73"/>
      <c r="I1309" s="73"/>
      <c r="J1309" s="73"/>
      <c r="K1309" s="73"/>
      <c r="L1309" s="73"/>
      <c r="M1309" s="73"/>
      <c r="N1309" s="73"/>
      <c r="O1309" s="73"/>
      <c r="P1309" s="73"/>
      <c r="Q1309" s="73"/>
      <c r="R1309" s="73"/>
      <c r="S1309" s="73"/>
      <c r="T1309" s="73"/>
      <c r="U1309" s="73"/>
      <c r="V1309" s="73"/>
      <c r="W1309" s="73"/>
      <c r="X1309" s="73"/>
      <c r="Y1309" s="73"/>
      <c r="Z1309" s="73"/>
      <c r="AA1309" s="73"/>
      <c r="AB1309" s="73"/>
      <c r="AC1309" s="73"/>
      <c r="AD1309" s="73"/>
      <c r="AE1309" s="73"/>
      <c r="AF1309" s="73"/>
      <c r="AG1309" s="73"/>
      <c r="AH1309" s="73"/>
      <c r="AI1309" s="73"/>
      <c r="AJ1309" s="168"/>
      <c r="AK1309" s="73"/>
      <c r="AL1309" s="73"/>
      <c r="AM1309" s="73"/>
      <c r="AN1309" s="73"/>
      <c r="AO1309" s="73"/>
      <c r="AP1309" s="73"/>
      <c r="AQ1309" s="73"/>
      <c r="AR1309" s="73"/>
      <c r="AS1309" s="73"/>
      <c r="AT1309" s="73"/>
      <c r="AU1309" s="73"/>
      <c r="AV1309" s="73"/>
      <c r="AW1309" s="73"/>
      <c r="AX1309" s="73"/>
      <c r="AY1309" s="73"/>
      <c r="AZ1309" s="73"/>
      <c r="BA1309" s="73"/>
      <c r="BB1309" s="73"/>
      <c r="BC1309" s="73"/>
      <c r="BD1309" s="73"/>
      <c r="BE1309" s="73"/>
      <c r="BF1309" s="75"/>
      <c r="BG1309" s="73"/>
      <c r="BH1309" s="88"/>
      <c r="BI1309" s="73"/>
      <c r="BJ1309" s="73"/>
      <c r="BK1309" s="73"/>
      <c r="BL1309" s="73"/>
      <c r="BM1309" s="73"/>
      <c r="BN1309" s="73"/>
      <c r="BO1309" s="73"/>
      <c r="BP1309" s="73"/>
      <c r="BQ1309" s="73"/>
      <c r="BR1309" s="73"/>
      <c r="BS1309" s="73"/>
      <c r="BT1309" s="73"/>
      <c r="BU1309" s="73"/>
      <c r="BV1309" s="73"/>
      <c r="BW1309" s="73"/>
      <c r="BX1309" s="73"/>
      <c r="BY1309" s="73"/>
      <c r="BZ1309" s="73"/>
      <c r="CA1309" s="73"/>
      <c r="CB1309" s="73"/>
      <c r="CC1309" s="73"/>
      <c r="CD1309" s="73"/>
      <c r="CE1309" s="73"/>
      <c r="CF1309" s="73"/>
      <c r="CG1309" s="73"/>
      <c r="CH1309" s="73"/>
    </row>
    <row r="1310">
      <c r="A1310" s="73"/>
      <c r="B1310" s="73"/>
      <c r="C1310" s="73"/>
      <c r="D1310" s="73"/>
      <c r="E1310" s="140"/>
      <c r="F1310" s="80"/>
      <c r="G1310" s="80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  <c r="S1310" s="73"/>
      <c r="T1310" s="73"/>
      <c r="U1310" s="73"/>
      <c r="V1310" s="73"/>
      <c r="W1310" s="73"/>
      <c r="X1310" s="73"/>
      <c r="Y1310" s="73"/>
      <c r="Z1310" s="73"/>
      <c r="AA1310" s="73"/>
      <c r="AB1310" s="73"/>
      <c r="AC1310" s="73"/>
      <c r="AD1310" s="73"/>
      <c r="AE1310" s="73"/>
      <c r="AF1310" s="73"/>
      <c r="AG1310" s="73"/>
      <c r="AH1310" s="73"/>
      <c r="AI1310" s="73"/>
      <c r="AJ1310" s="168"/>
      <c r="AK1310" s="73"/>
      <c r="AL1310" s="73"/>
      <c r="AM1310" s="73"/>
      <c r="AN1310" s="73"/>
      <c r="AO1310" s="73"/>
      <c r="AP1310" s="73"/>
      <c r="AQ1310" s="73"/>
      <c r="AR1310" s="73"/>
      <c r="AS1310" s="73"/>
      <c r="AT1310" s="73"/>
      <c r="AU1310" s="73"/>
      <c r="AV1310" s="73"/>
      <c r="AW1310" s="73"/>
      <c r="AX1310" s="73"/>
      <c r="AY1310" s="73"/>
      <c r="AZ1310" s="73"/>
      <c r="BA1310" s="73"/>
      <c r="BB1310" s="73"/>
      <c r="BC1310" s="73"/>
      <c r="BD1310" s="73"/>
      <c r="BE1310" s="73"/>
      <c r="BF1310" s="75"/>
      <c r="BG1310" s="73"/>
      <c r="BH1310" s="88"/>
      <c r="BI1310" s="73"/>
      <c r="BJ1310" s="73"/>
      <c r="BK1310" s="73"/>
      <c r="BL1310" s="73"/>
      <c r="BM1310" s="73"/>
      <c r="BN1310" s="73"/>
      <c r="BO1310" s="73"/>
      <c r="BP1310" s="73"/>
      <c r="BQ1310" s="73"/>
      <c r="BR1310" s="73"/>
      <c r="BS1310" s="73"/>
      <c r="BT1310" s="73"/>
      <c r="BU1310" s="73"/>
      <c r="BV1310" s="73"/>
      <c r="BW1310" s="73"/>
      <c r="BX1310" s="73"/>
      <c r="BY1310" s="73"/>
      <c r="BZ1310" s="73"/>
      <c r="CA1310" s="73"/>
      <c r="CB1310" s="73"/>
      <c r="CC1310" s="73"/>
      <c r="CD1310" s="73"/>
      <c r="CE1310" s="73"/>
      <c r="CF1310" s="73"/>
      <c r="CG1310" s="73"/>
      <c r="CH1310" s="73"/>
    </row>
    <row r="1311">
      <c r="A1311" s="73"/>
      <c r="B1311" s="73"/>
      <c r="C1311" s="73"/>
      <c r="D1311" s="73"/>
      <c r="E1311" s="140"/>
      <c r="F1311" s="80"/>
      <c r="G1311" s="80"/>
      <c r="H1311" s="73"/>
      <c r="I1311" s="73"/>
      <c r="J1311" s="73"/>
      <c r="K1311" s="73"/>
      <c r="L1311" s="73"/>
      <c r="M1311" s="73"/>
      <c r="N1311" s="73"/>
      <c r="O1311" s="73"/>
      <c r="P1311" s="73"/>
      <c r="Q1311" s="73"/>
      <c r="R1311" s="73"/>
      <c r="S1311" s="73"/>
      <c r="T1311" s="73"/>
      <c r="U1311" s="73"/>
      <c r="V1311" s="73"/>
      <c r="W1311" s="73"/>
      <c r="X1311" s="73"/>
      <c r="Y1311" s="73"/>
      <c r="Z1311" s="73"/>
      <c r="AA1311" s="73"/>
      <c r="AB1311" s="73"/>
      <c r="AC1311" s="73"/>
      <c r="AD1311" s="73"/>
      <c r="AE1311" s="73"/>
      <c r="AF1311" s="73"/>
      <c r="AG1311" s="73"/>
      <c r="AH1311" s="73"/>
      <c r="AI1311" s="73"/>
      <c r="AJ1311" s="168"/>
      <c r="AK1311" s="73"/>
      <c r="AL1311" s="73"/>
      <c r="AM1311" s="73"/>
      <c r="AN1311" s="73"/>
      <c r="AO1311" s="73"/>
      <c r="AP1311" s="73"/>
      <c r="AQ1311" s="73"/>
      <c r="AR1311" s="73"/>
      <c r="AS1311" s="73"/>
      <c r="AT1311" s="73"/>
      <c r="AU1311" s="73"/>
      <c r="AV1311" s="73"/>
      <c r="AW1311" s="73"/>
      <c r="AX1311" s="73"/>
      <c r="AY1311" s="73"/>
      <c r="AZ1311" s="73"/>
      <c r="BA1311" s="73"/>
      <c r="BB1311" s="73"/>
      <c r="BC1311" s="73"/>
      <c r="BD1311" s="73"/>
      <c r="BE1311" s="73"/>
      <c r="BF1311" s="75"/>
      <c r="BG1311" s="73"/>
      <c r="BH1311" s="88"/>
      <c r="BI1311" s="73"/>
      <c r="BJ1311" s="73"/>
      <c r="BK1311" s="73"/>
      <c r="BL1311" s="73"/>
      <c r="BM1311" s="73"/>
      <c r="BN1311" s="73"/>
      <c r="BO1311" s="73"/>
      <c r="BP1311" s="73"/>
      <c r="BQ1311" s="73"/>
      <c r="BR1311" s="73"/>
      <c r="BS1311" s="73"/>
      <c r="BT1311" s="73"/>
      <c r="BU1311" s="73"/>
      <c r="BV1311" s="73"/>
      <c r="BW1311" s="73"/>
      <c r="BX1311" s="73"/>
      <c r="BY1311" s="73"/>
      <c r="BZ1311" s="73"/>
      <c r="CA1311" s="73"/>
      <c r="CB1311" s="73"/>
      <c r="CC1311" s="73"/>
      <c r="CD1311" s="73"/>
      <c r="CE1311" s="73"/>
      <c r="CF1311" s="73"/>
      <c r="CG1311" s="73"/>
      <c r="CH1311" s="73"/>
    </row>
    <row r="1312">
      <c r="A1312" s="73"/>
      <c r="B1312" s="73"/>
      <c r="C1312" s="73"/>
      <c r="D1312" s="73"/>
      <c r="E1312" s="140"/>
      <c r="F1312" s="80"/>
      <c r="G1312" s="80"/>
      <c r="H1312" s="73"/>
      <c r="I1312" s="73"/>
      <c r="J1312" s="73"/>
      <c r="K1312" s="73"/>
      <c r="L1312" s="73"/>
      <c r="M1312" s="73"/>
      <c r="N1312" s="73"/>
      <c r="O1312" s="73"/>
      <c r="P1312" s="73"/>
      <c r="Q1312" s="73"/>
      <c r="R1312" s="73"/>
      <c r="S1312" s="73"/>
      <c r="T1312" s="73"/>
      <c r="U1312" s="73"/>
      <c r="V1312" s="73"/>
      <c r="W1312" s="73"/>
      <c r="X1312" s="73"/>
      <c r="Y1312" s="73"/>
      <c r="Z1312" s="73"/>
      <c r="AA1312" s="73"/>
      <c r="AB1312" s="73"/>
      <c r="AC1312" s="73"/>
      <c r="AD1312" s="73"/>
      <c r="AE1312" s="73"/>
      <c r="AF1312" s="73"/>
      <c r="AG1312" s="73"/>
      <c r="AH1312" s="73"/>
      <c r="AI1312" s="73"/>
      <c r="AJ1312" s="168"/>
      <c r="AK1312" s="73"/>
      <c r="AL1312" s="73"/>
      <c r="AM1312" s="73"/>
      <c r="AN1312" s="73"/>
      <c r="AO1312" s="73"/>
      <c r="AP1312" s="73"/>
      <c r="AQ1312" s="73"/>
      <c r="AR1312" s="73"/>
      <c r="AS1312" s="73"/>
      <c r="AT1312" s="73"/>
      <c r="AU1312" s="73"/>
      <c r="AV1312" s="73"/>
      <c r="AW1312" s="73"/>
      <c r="AX1312" s="73"/>
      <c r="AY1312" s="73"/>
      <c r="AZ1312" s="73"/>
      <c r="BA1312" s="73"/>
      <c r="BB1312" s="73"/>
      <c r="BC1312" s="73"/>
      <c r="BD1312" s="73"/>
      <c r="BE1312" s="73"/>
      <c r="BF1312" s="75"/>
      <c r="BG1312" s="73"/>
      <c r="BH1312" s="88"/>
      <c r="BI1312" s="73"/>
      <c r="BJ1312" s="73"/>
      <c r="BK1312" s="73"/>
      <c r="BL1312" s="73"/>
      <c r="BM1312" s="73"/>
      <c r="BN1312" s="73"/>
      <c r="BO1312" s="73"/>
      <c r="BP1312" s="73"/>
      <c r="BQ1312" s="73"/>
      <c r="BR1312" s="73"/>
      <c r="BS1312" s="73"/>
      <c r="BT1312" s="73"/>
      <c r="BU1312" s="73"/>
      <c r="BV1312" s="73"/>
      <c r="BW1312" s="73"/>
      <c r="BX1312" s="73"/>
      <c r="BY1312" s="73"/>
      <c r="BZ1312" s="73"/>
      <c r="CA1312" s="73"/>
      <c r="CB1312" s="73"/>
      <c r="CC1312" s="73"/>
      <c r="CD1312" s="73"/>
      <c r="CE1312" s="73"/>
      <c r="CF1312" s="73"/>
      <c r="CG1312" s="73"/>
      <c r="CH1312" s="73"/>
    </row>
    <row r="1313">
      <c r="A1313" s="73"/>
      <c r="B1313" s="73"/>
      <c r="C1313" s="73"/>
      <c r="D1313" s="73"/>
      <c r="E1313" s="140"/>
      <c r="F1313" s="80"/>
      <c r="G1313" s="80"/>
      <c r="H1313" s="73"/>
      <c r="I1313" s="73"/>
      <c r="J1313" s="73"/>
      <c r="K1313" s="73"/>
      <c r="L1313" s="73"/>
      <c r="M1313" s="73"/>
      <c r="N1313" s="73"/>
      <c r="O1313" s="73"/>
      <c r="P1313" s="73"/>
      <c r="Q1313" s="73"/>
      <c r="R1313" s="73"/>
      <c r="S1313" s="73"/>
      <c r="T1313" s="73"/>
      <c r="U1313" s="73"/>
      <c r="V1313" s="73"/>
      <c r="W1313" s="73"/>
      <c r="X1313" s="73"/>
      <c r="Y1313" s="73"/>
      <c r="Z1313" s="73"/>
      <c r="AA1313" s="73"/>
      <c r="AB1313" s="73"/>
      <c r="AC1313" s="73"/>
      <c r="AD1313" s="73"/>
      <c r="AE1313" s="73"/>
      <c r="AF1313" s="73"/>
      <c r="AG1313" s="73"/>
      <c r="AH1313" s="73"/>
      <c r="AI1313" s="73"/>
      <c r="AJ1313" s="168"/>
      <c r="AK1313" s="73"/>
      <c r="AL1313" s="73"/>
      <c r="AM1313" s="73"/>
      <c r="AN1313" s="73"/>
      <c r="AO1313" s="73"/>
      <c r="AP1313" s="73"/>
      <c r="AQ1313" s="73"/>
      <c r="AR1313" s="73"/>
      <c r="AS1313" s="73"/>
      <c r="AT1313" s="73"/>
      <c r="AU1313" s="73"/>
      <c r="AV1313" s="73"/>
      <c r="AW1313" s="73"/>
      <c r="AX1313" s="73"/>
      <c r="AY1313" s="73"/>
      <c r="AZ1313" s="73"/>
      <c r="BA1313" s="73"/>
      <c r="BB1313" s="73"/>
      <c r="BC1313" s="73"/>
      <c r="BD1313" s="73"/>
      <c r="BE1313" s="73"/>
      <c r="BF1313" s="75"/>
      <c r="BG1313" s="73"/>
      <c r="BH1313" s="88"/>
      <c r="BI1313" s="73"/>
      <c r="BJ1313" s="73"/>
      <c r="BK1313" s="73"/>
      <c r="BL1313" s="73"/>
      <c r="BM1313" s="73"/>
      <c r="BN1313" s="73"/>
      <c r="BO1313" s="73"/>
      <c r="BP1313" s="73"/>
      <c r="BQ1313" s="73"/>
      <c r="BR1313" s="73"/>
      <c r="BS1313" s="73"/>
      <c r="BT1313" s="73"/>
      <c r="BU1313" s="73"/>
      <c r="BV1313" s="73"/>
      <c r="BW1313" s="73"/>
      <c r="BX1313" s="73"/>
      <c r="BY1313" s="73"/>
      <c r="BZ1313" s="73"/>
      <c r="CA1313" s="73"/>
      <c r="CB1313" s="73"/>
      <c r="CC1313" s="73"/>
      <c r="CD1313" s="73"/>
      <c r="CE1313" s="73"/>
      <c r="CF1313" s="73"/>
      <c r="CG1313" s="73"/>
      <c r="CH1313" s="73"/>
    </row>
    <row r="1314">
      <c r="A1314" s="73"/>
      <c r="B1314" s="73"/>
      <c r="C1314" s="73"/>
      <c r="D1314" s="73"/>
      <c r="E1314" s="140"/>
      <c r="F1314" s="80"/>
      <c r="G1314" s="80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  <c r="S1314" s="73"/>
      <c r="T1314" s="73"/>
      <c r="U1314" s="73"/>
      <c r="V1314" s="73"/>
      <c r="W1314" s="73"/>
      <c r="X1314" s="73"/>
      <c r="Y1314" s="73"/>
      <c r="Z1314" s="73"/>
      <c r="AA1314" s="73"/>
      <c r="AB1314" s="73"/>
      <c r="AC1314" s="73"/>
      <c r="AD1314" s="73"/>
      <c r="AE1314" s="73"/>
      <c r="AF1314" s="73"/>
      <c r="AG1314" s="73"/>
      <c r="AH1314" s="73"/>
      <c r="AI1314" s="73"/>
      <c r="AJ1314" s="168"/>
      <c r="AK1314" s="73"/>
      <c r="AL1314" s="73"/>
      <c r="AM1314" s="73"/>
      <c r="AN1314" s="73"/>
      <c r="AO1314" s="73"/>
      <c r="AP1314" s="73"/>
      <c r="AQ1314" s="73"/>
      <c r="AR1314" s="73"/>
      <c r="AS1314" s="73"/>
      <c r="AT1314" s="73"/>
      <c r="AU1314" s="73"/>
      <c r="AV1314" s="73"/>
      <c r="AW1314" s="73"/>
      <c r="AX1314" s="73"/>
      <c r="AY1314" s="73"/>
      <c r="AZ1314" s="73"/>
      <c r="BA1314" s="73"/>
      <c r="BB1314" s="73"/>
      <c r="BC1314" s="73"/>
      <c r="BD1314" s="73"/>
      <c r="BE1314" s="73"/>
      <c r="BF1314" s="75"/>
      <c r="BG1314" s="73"/>
      <c r="BH1314" s="88"/>
      <c r="BI1314" s="73"/>
      <c r="BJ1314" s="73"/>
      <c r="BK1314" s="73"/>
      <c r="BL1314" s="73"/>
      <c r="BM1314" s="73"/>
      <c r="BN1314" s="73"/>
      <c r="BO1314" s="73"/>
      <c r="BP1314" s="73"/>
      <c r="BQ1314" s="73"/>
      <c r="BR1314" s="73"/>
      <c r="BS1314" s="73"/>
      <c r="BT1314" s="73"/>
      <c r="BU1314" s="73"/>
      <c r="BV1314" s="73"/>
      <c r="BW1314" s="73"/>
      <c r="BX1314" s="73"/>
      <c r="BY1314" s="73"/>
      <c r="BZ1314" s="73"/>
      <c r="CA1314" s="73"/>
      <c r="CB1314" s="73"/>
      <c r="CC1314" s="73"/>
      <c r="CD1314" s="73"/>
      <c r="CE1314" s="73"/>
      <c r="CF1314" s="73"/>
      <c r="CG1314" s="73"/>
      <c r="CH1314" s="73"/>
    </row>
    <row r="1315">
      <c r="A1315" s="73"/>
      <c r="B1315" s="73"/>
      <c r="C1315" s="73"/>
      <c r="D1315" s="73"/>
      <c r="E1315" s="140"/>
      <c r="F1315" s="80"/>
      <c r="G1315" s="80"/>
      <c r="H1315" s="73"/>
      <c r="I1315" s="73"/>
      <c r="J1315" s="73"/>
      <c r="K1315" s="73"/>
      <c r="L1315" s="73"/>
      <c r="M1315" s="73"/>
      <c r="N1315" s="73"/>
      <c r="O1315" s="73"/>
      <c r="P1315" s="73"/>
      <c r="Q1315" s="73"/>
      <c r="R1315" s="73"/>
      <c r="S1315" s="73"/>
      <c r="T1315" s="73"/>
      <c r="U1315" s="73"/>
      <c r="V1315" s="73"/>
      <c r="W1315" s="73"/>
      <c r="X1315" s="73"/>
      <c r="Y1315" s="73"/>
      <c r="Z1315" s="73"/>
      <c r="AA1315" s="73"/>
      <c r="AB1315" s="73"/>
      <c r="AC1315" s="73"/>
      <c r="AD1315" s="73"/>
      <c r="AE1315" s="73"/>
      <c r="AF1315" s="73"/>
      <c r="AG1315" s="73"/>
      <c r="AH1315" s="73"/>
      <c r="AI1315" s="73"/>
      <c r="AJ1315" s="168"/>
      <c r="AK1315" s="73"/>
      <c r="AL1315" s="73"/>
      <c r="AM1315" s="73"/>
      <c r="AN1315" s="73"/>
      <c r="AO1315" s="73"/>
      <c r="AP1315" s="73"/>
      <c r="AQ1315" s="73"/>
      <c r="AR1315" s="73"/>
      <c r="AS1315" s="73"/>
      <c r="AT1315" s="73"/>
      <c r="AU1315" s="73"/>
      <c r="AV1315" s="73"/>
      <c r="AW1315" s="73"/>
      <c r="AX1315" s="73"/>
      <c r="AY1315" s="73"/>
      <c r="AZ1315" s="73"/>
      <c r="BA1315" s="73"/>
      <c r="BB1315" s="73"/>
      <c r="BC1315" s="73"/>
      <c r="BD1315" s="73"/>
      <c r="BE1315" s="73"/>
      <c r="BF1315" s="75"/>
      <c r="BG1315" s="73"/>
      <c r="BH1315" s="88"/>
      <c r="BI1315" s="73"/>
      <c r="BJ1315" s="73"/>
      <c r="BK1315" s="73"/>
      <c r="BL1315" s="73"/>
      <c r="BM1315" s="73"/>
      <c r="BN1315" s="73"/>
      <c r="BO1315" s="73"/>
      <c r="BP1315" s="73"/>
      <c r="BQ1315" s="73"/>
      <c r="BR1315" s="73"/>
      <c r="BS1315" s="73"/>
      <c r="BT1315" s="73"/>
      <c r="BU1315" s="73"/>
      <c r="BV1315" s="73"/>
      <c r="BW1315" s="73"/>
      <c r="BX1315" s="73"/>
      <c r="BY1315" s="73"/>
      <c r="BZ1315" s="73"/>
      <c r="CA1315" s="73"/>
      <c r="CB1315" s="73"/>
      <c r="CC1315" s="73"/>
      <c r="CD1315" s="73"/>
      <c r="CE1315" s="73"/>
      <c r="CF1315" s="73"/>
      <c r="CG1315" s="73"/>
      <c r="CH1315" s="73"/>
    </row>
    <row r="1316">
      <c r="A1316" s="73"/>
      <c r="B1316" s="73"/>
      <c r="C1316" s="73"/>
      <c r="D1316" s="73"/>
      <c r="E1316" s="140"/>
      <c r="F1316" s="80"/>
      <c r="G1316" s="80"/>
      <c r="H1316" s="73"/>
      <c r="I1316" s="73"/>
      <c r="J1316" s="73"/>
      <c r="K1316" s="73"/>
      <c r="L1316" s="73"/>
      <c r="M1316" s="73"/>
      <c r="N1316" s="73"/>
      <c r="O1316" s="73"/>
      <c r="P1316" s="73"/>
      <c r="Q1316" s="73"/>
      <c r="R1316" s="73"/>
      <c r="S1316" s="73"/>
      <c r="T1316" s="73"/>
      <c r="U1316" s="73"/>
      <c r="V1316" s="73"/>
      <c r="W1316" s="73"/>
      <c r="X1316" s="73"/>
      <c r="Y1316" s="73"/>
      <c r="Z1316" s="73"/>
      <c r="AA1316" s="73"/>
      <c r="AB1316" s="73"/>
      <c r="AC1316" s="73"/>
      <c r="AD1316" s="73"/>
      <c r="AE1316" s="73"/>
      <c r="AF1316" s="73"/>
      <c r="AG1316" s="73"/>
      <c r="AH1316" s="73"/>
      <c r="AI1316" s="73"/>
      <c r="AJ1316" s="168"/>
      <c r="AK1316" s="73"/>
      <c r="AL1316" s="73"/>
      <c r="AM1316" s="73"/>
      <c r="AN1316" s="73"/>
      <c r="AO1316" s="73"/>
      <c r="AP1316" s="73"/>
      <c r="AQ1316" s="73"/>
      <c r="AR1316" s="73"/>
      <c r="AS1316" s="73"/>
      <c r="AT1316" s="73"/>
      <c r="AU1316" s="73"/>
      <c r="AV1316" s="73"/>
      <c r="AW1316" s="73"/>
      <c r="AX1316" s="73"/>
      <c r="AY1316" s="73"/>
      <c r="AZ1316" s="73"/>
      <c r="BA1316" s="73"/>
      <c r="BB1316" s="73"/>
      <c r="BC1316" s="73"/>
      <c r="BD1316" s="73"/>
      <c r="BE1316" s="73"/>
      <c r="BF1316" s="75"/>
      <c r="BG1316" s="73"/>
      <c r="BH1316" s="88"/>
      <c r="BI1316" s="73"/>
      <c r="BJ1316" s="73"/>
      <c r="BK1316" s="73"/>
      <c r="BL1316" s="73"/>
      <c r="BM1316" s="73"/>
      <c r="BN1316" s="73"/>
      <c r="BO1316" s="73"/>
      <c r="BP1316" s="73"/>
      <c r="BQ1316" s="73"/>
      <c r="BR1316" s="73"/>
      <c r="BS1316" s="73"/>
      <c r="BT1316" s="73"/>
      <c r="BU1316" s="73"/>
      <c r="BV1316" s="73"/>
      <c r="BW1316" s="73"/>
      <c r="BX1316" s="73"/>
      <c r="BY1316" s="73"/>
      <c r="BZ1316" s="73"/>
      <c r="CA1316" s="73"/>
      <c r="CB1316" s="73"/>
      <c r="CC1316" s="73"/>
      <c r="CD1316" s="73"/>
      <c r="CE1316" s="73"/>
      <c r="CF1316" s="73"/>
      <c r="CG1316" s="73"/>
      <c r="CH1316" s="73"/>
    </row>
    <row r="1317">
      <c r="A1317" s="73"/>
      <c r="B1317" s="73"/>
      <c r="C1317" s="73"/>
      <c r="D1317" s="73"/>
      <c r="E1317" s="140"/>
      <c r="F1317" s="80"/>
      <c r="G1317" s="80"/>
      <c r="H1317" s="73"/>
      <c r="I1317" s="73"/>
      <c r="J1317" s="73"/>
      <c r="K1317" s="73"/>
      <c r="L1317" s="73"/>
      <c r="M1317" s="73"/>
      <c r="N1317" s="73"/>
      <c r="O1317" s="73"/>
      <c r="P1317" s="73"/>
      <c r="Q1317" s="73"/>
      <c r="R1317" s="73"/>
      <c r="S1317" s="73"/>
      <c r="T1317" s="73"/>
      <c r="U1317" s="73"/>
      <c r="V1317" s="73"/>
      <c r="W1317" s="73"/>
      <c r="X1317" s="73"/>
      <c r="Y1317" s="73"/>
      <c r="Z1317" s="73"/>
      <c r="AA1317" s="73"/>
      <c r="AB1317" s="73"/>
      <c r="AC1317" s="73"/>
      <c r="AD1317" s="73"/>
      <c r="AE1317" s="73"/>
      <c r="AF1317" s="73"/>
      <c r="AG1317" s="73"/>
      <c r="AH1317" s="73"/>
      <c r="AI1317" s="73"/>
      <c r="AJ1317" s="168"/>
      <c r="AK1317" s="73"/>
      <c r="AL1317" s="73"/>
      <c r="AM1317" s="73"/>
      <c r="AN1317" s="73"/>
      <c r="AO1317" s="73"/>
      <c r="AP1317" s="73"/>
      <c r="AQ1317" s="73"/>
      <c r="AR1317" s="73"/>
      <c r="AS1317" s="73"/>
      <c r="AT1317" s="73"/>
      <c r="AU1317" s="73"/>
      <c r="AV1317" s="73"/>
      <c r="AW1317" s="73"/>
      <c r="AX1317" s="73"/>
      <c r="AY1317" s="73"/>
      <c r="AZ1317" s="73"/>
      <c r="BA1317" s="73"/>
      <c r="BB1317" s="73"/>
      <c r="BC1317" s="73"/>
      <c r="BD1317" s="73"/>
      <c r="BE1317" s="73"/>
      <c r="BF1317" s="75"/>
      <c r="BG1317" s="73"/>
      <c r="BH1317" s="88"/>
      <c r="BI1317" s="73"/>
      <c r="BJ1317" s="73"/>
      <c r="BK1317" s="73"/>
      <c r="BL1317" s="73"/>
      <c r="BM1317" s="73"/>
      <c r="BN1317" s="73"/>
      <c r="BO1317" s="73"/>
      <c r="BP1317" s="73"/>
      <c r="BQ1317" s="73"/>
      <c r="BR1317" s="73"/>
      <c r="BS1317" s="73"/>
      <c r="BT1317" s="73"/>
      <c r="BU1317" s="73"/>
      <c r="BV1317" s="73"/>
      <c r="BW1317" s="73"/>
      <c r="BX1317" s="73"/>
      <c r="BY1317" s="73"/>
      <c r="BZ1317" s="73"/>
      <c r="CA1317" s="73"/>
      <c r="CB1317" s="73"/>
      <c r="CC1317" s="73"/>
      <c r="CD1317" s="73"/>
      <c r="CE1317" s="73"/>
      <c r="CF1317" s="73"/>
      <c r="CG1317" s="73"/>
      <c r="CH1317" s="73"/>
    </row>
    <row r="1318">
      <c r="A1318" s="73"/>
      <c r="B1318" s="73"/>
      <c r="C1318" s="73"/>
      <c r="D1318" s="73"/>
      <c r="E1318" s="140"/>
      <c r="F1318" s="80"/>
      <c r="G1318" s="80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  <c r="S1318" s="73"/>
      <c r="T1318" s="73"/>
      <c r="U1318" s="73"/>
      <c r="V1318" s="73"/>
      <c r="W1318" s="73"/>
      <c r="X1318" s="73"/>
      <c r="Y1318" s="73"/>
      <c r="Z1318" s="73"/>
      <c r="AA1318" s="73"/>
      <c r="AB1318" s="73"/>
      <c r="AC1318" s="73"/>
      <c r="AD1318" s="73"/>
      <c r="AE1318" s="73"/>
      <c r="AF1318" s="73"/>
      <c r="AG1318" s="73"/>
      <c r="AH1318" s="73"/>
      <c r="AI1318" s="73"/>
      <c r="AJ1318" s="168"/>
      <c r="AK1318" s="73"/>
      <c r="AL1318" s="73"/>
      <c r="AM1318" s="73"/>
      <c r="AN1318" s="73"/>
      <c r="AO1318" s="73"/>
      <c r="AP1318" s="73"/>
      <c r="AQ1318" s="73"/>
      <c r="AR1318" s="73"/>
      <c r="AS1318" s="73"/>
      <c r="AT1318" s="73"/>
      <c r="AU1318" s="73"/>
      <c r="AV1318" s="73"/>
      <c r="AW1318" s="73"/>
      <c r="AX1318" s="73"/>
      <c r="AY1318" s="73"/>
      <c r="AZ1318" s="73"/>
      <c r="BA1318" s="73"/>
      <c r="BB1318" s="73"/>
      <c r="BC1318" s="73"/>
      <c r="BD1318" s="73"/>
      <c r="BE1318" s="73"/>
      <c r="BF1318" s="75"/>
      <c r="BG1318" s="73"/>
      <c r="BH1318" s="88"/>
      <c r="BI1318" s="73"/>
      <c r="BJ1318" s="73"/>
      <c r="BK1318" s="73"/>
      <c r="BL1318" s="73"/>
      <c r="BM1318" s="73"/>
      <c r="BN1318" s="73"/>
      <c r="BO1318" s="73"/>
      <c r="BP1318" s="73"/>
      <c r="BQ1318" s="73"/>
      <c r="BR1318" s="73"/>
      <c r="BS1318" s="73"/>
      <c r="BT1318" s="73"/>
      <c r="BU1318" s="73"/>
      <c r="BV1318" s="73"/>
      <c r="BW1318" s="73"/>
      <c r="BX1318" s="73"/>
      <c r="BY1318" s="73"/>
      <c r="BZ1318" s="73"/>
      <c r="CA1318" s="73"/>
      <c r="CB1318" s="73"/>
      <c r="CC1318" s="73"/>
      <c r="CD1318" s="73"/>
      <c r="CE1318" s="73"/>
      <c r="CF1318" s="73"/>
      <c r="CG1318" s="73"/>
      <c r="CH1318" s="73"/>
    </row>
    <row r="1319">
      <c r="A1319" s="73"/>
      <c r="B1319" s="73"/>
      <c r="C1319" s="73"/>
      <c r="D1319" s="73"/>
      <c r="E1319" s="140"/>
      <c r="F1319" s="80"/>
      <c r="G1319" s="80"/>
      <c r="H1319" s="73"/>
      <c r="I1319" s="73"/>
      <c r="J1319" s="73"/>
      <c r="K1319" s="73"/>
      <c r="L1319" s="73"/>
      <c r="M1319" s="73"/>
      <c r="N1319" s="73"/>
      <c r="O1319" s="73"/>
      <c r="P1319" s="73"/>
      <c r="Q1319" s="73"/>
      <c r="R1319" s="73"/>
      <c r="S1319" s="73"/>
      <c r="T1319" s="73"/>
      <c r="U1319" s="73"/>
      <c r="V1319" s="73"/>
      <c r="W1319" s="73"/>
      <c r="X1319" s="73"/>
      <c r="Y1319" s="73"/>
      <c r="Z1319" s="73"/>
      <c r="AA1319" s="73"/>
      <c r="AB1319" s="73"/>
      <c r="AC1319" s="73"/>
      <c r="AD1319" s="73"/>
      <c r="AE1319" s="73"/>
      <c r="AF1319" s="73"/>
      <c r="AG1319" s="73"/>
      <c r="AH1319" s="73"/>
      <c r="AI1319" s="73"/>
      <c r="AJ1319" s="168"/>
      <c r="AK1319" s="73"/>
      <c r="AL1319" s="73"/>
      <c r="AM1319" s="73"/>
      <c r="AN1319" s="73"/>
      <c r="AO1319" s="73"/>
      <c r="AP1319" s="73"/>
      <c r="AQ1319" s="73"/>
      <c r="AR1319" s="73"/>
      <c r="AS1319" s="73"/>
      <c r="AT1319" s="73"/>
      <c r="AU1319" s="73"/>
      <c r="AV1319" s="73"/>
      <c r="AW1319" s="73"/>
      <c r="AX1319" s="73"/>
      <c r="AY1319" s="73"/>
      <c r="AZ1319" s="73"/>
      <c r="BA1319" s="73"/>
      <c r="BB1319" s="73"/>
      <c r="BC1319" s="73"/>
      <c r="BD1319" s="73"/>
      <c r="BE1319" s="73"/>
      <c r="BF1319" s="75"/>
      <c r="BG1319" s="73"/>
      <c r="BH1319" s="88"/>
      <c r="BI1319" s="73"/>
      <c r="BJ1319" s="73"/>
      <c r="BK1319" s="73"/>
      <c r="BL1319" s="73"/>
      <c r="BM1319" s="73"/>
      <c r="BN1319" s="73"/>
      <c r="BO1319" s="73"/>
      <c r="BP1319" s="73"/>
      <c r="BQ1319" s="73"/>
      <c r="BR1319" s="73"/>
      <c r="BS1319" s="73"/>
      <c r="BT1319" s="73"/>
      <c r="BU1319" s="73"/>
      <c r="BV1319" s="73"/>
      <c r="BW1319" s="73"/>
      <c r="BX1319" s="73"/>
      <c r="BY1319" s="73"/>
      <c r="BZ1319" s="73"/>
      <c r="CA1319" s="73"/>
      <c r="CB1319" s="73"/>
      <c r="CC1319" s="73"/>
      <c r="CD1319" s="73"/>
      <c r="CE1319" s="73"/>
      <c r="CF1319" s="73"/>
      <c r="CG1319" s="73"/>
      <c r="CH1319" s="73"/>
    </row>
    <row r="1320">
      <c r="A1320" s="73"/>
      <c r="B1320" s="73"/>
      <c r="C1320" s="73"/>
      <c r="D1320" s="73"/>
      <c r="E1320" s="140"/>
      <c r="F1320" s="80"/>
      <c r="G1320" s="80"/>
      <c r="H1320" s="73"/>
      <c r="I1320" s="73"/>
      <c r="J1320" s="73"/>
      <c r="K1320" s="73"/>
      <c r="L1320" s="73"/>
      <c r="M1320" s="73"/>
      <c r="N1320" s="73"/>
      <c r="O1320" s="73"/>
      <c r="P1320" s="73"/>
      <c r="Q1320" s="73"/>
      <c r="R1320" s="73"/>
      <c r="S1320" s="73"/>
      <c r="T1320" s="73"/>
      <c r="U1320" s="73"/>
      <c r="V1320" s="73"/>
      <c r="W1320" s="73"/>
      <c r="X1320" s="73"/>
      <c r="Y1320" s="73"/>
      <c r="Z1320" s="73"/>
      <c r="AA1320" s="73"/>
      <c r="AB1320" s="73"/>
      <c r="AC1320" s="73"/>
      <c r="AD1320" s="73"/>
      <c r="AE1320" s="73"/>
      <c r="AF1320" s="73"/>
      <c r="AG1320" s="73"/>
      <c r="AH1320" s="73"/>
      <c r="AI1320" s="73"/>
      <c r="AJ1320" s="168"/>
      <c r="AK1320" s="73"/>
      <c r="AL1320" s="73"/>
      <c r="AM1320" s="73"/>
      <c r="AN1320" s="73"/>
      <c r="AO1320" s="73"/>
      <c r="AP1320" s="73"/>
      <c r="AQ1320" s="73"/>
      <c r="AR1320" s="73"/>
      <c r="AS1320" s="73"/>
      <c r="AT1320" s="73"/>
      <c r="AU1320" s="73"/>
      <c r="AV1320" s="73"/>
      <c r="AW1320" s="73"/>
      <c r="AX1320" s="73"/>
      <c r="AY1320" s="73"/>
      <c r="AZ1320" s="73"/>
      <c r="BA1320" s="73"/>
      <c r="BB1320" s="73"/>
      <c r="BC1320" s="73"/>
      <c r="BD1320" s="73"/>
      <c r="BE1320" s="73"/>
      <c r="BF1320" s="75"/>
      <c r="BG1320" s="73"/>
      <c r="BH1320" s="88"/>
      <c r="BI1320" s="73"/>
      <c r="BJ1320" s="73"/>
      <c r="BK1320" s="73"/>
      <c r="BL1320" s="73"/>
      <c r="BM1320" s="73"/>
      <c r="BN1320" s="73"/>
      <c r="BO1320" s="73"/>
      <c r="BP1320" s="73"/>
      <c r="BQ1320" s="73"/>
      <c r="BR1320" s="73"/>
      <c r="BS1320" s="73"/>
      <c r="BT1320" s="73"/>
      <c r="BU1320" s="73"/>
      <c r="BV1320" s="73"/>
      <c r="BW1320" s="73"/>
      <c r="BX1320" s="73"/>
      <c r="BY1320" s="73"/>
      <c r="BZ1320" s="73"/>
      <c r="CA1320" s="73"/>
      <c r="CB1320" s="73"/>
      <c r="CC1320" s="73"/>
      <c r="CD1320" s="73"/>
      <c r="CE1320" s="73"/>
      <c r="CF1320" s="73"/>
      <c r="CG1320" s="73"/>
      <c r="CH1320" s="73"/>
    </row>
    <row r="1321">
      <c r="A1321" s="73"/>
      <c r="B1321" s="73"/>
      <c r="C1321" s="73"/>
      <c r="D1321" s="73"/>
      <c r="E1321" s="140"/>
      <c r="F1321" s="80"/>
      <c r="G1321" s="80"/>
      <c r="H1321" s="73"/>
      <c r="I1321" s="73"/>
      <c r="J1321" s="73"/>
      <c r="K1321" s="73"/>
      <c r="L1321" s="73"/>
      <c r="M1321" s="73"/>
      <c r="N1321" s="73"/>
      <c r="O1321" s="73"/>
      <c r="P1321" s="73"/>
      <c r="Q1321" s="73"/>
      <c r="R1321" s="73"/>
      <c r="S1321" s="73"/>
      <c r="T1321" s="73"/>
      <c r="U1321" s="73"/>
      <c r="V1321" s="73"/>
      <c r="W1321" s="73"/>
      <c r="X1321" s="73"/>
      <c r="Y1321" s="73"/>
      <c r="Z1321" s="73"/>
      <c r="AA1321" s="73"/>
      <c r="AB1321" s="73"/>
      <c r="AC1321" s="73"/>
      <c r="AD1321" s="73"/>
      <c r="AE1321" s="73"/>
      <c r="AF1321" s="73"/>
      <c r="AG1321" s="73"/>
      <c r="AH1321" s="73"/>
      <c r="AI1321" s="73"/>
      <c r="AJ1321" s="168"/>
      <c r="AK1321" s="73"/>
      <c r="AL1321" s="73"/>
      <c r="AM1321" s="73"/>
      <c r="AN1321" s="73"/>
      <c r="AO1321" s="73"/>
      <c r="AP1321" s="73"/>
      <c r="AQ1321" s="73"/>
      <c r="AR1321" s="73"/>
      <c r="AS1321" s="73"/>
      <c r="AT1321" s="73"/>
      <c r="AU1321" s="73"/>
      <c r="AV1321" s="73"/>
      <c r="AW1321" s="73"/>
      <c r="AX1321" s="73"/>
      <c r="AY1321" s="73"/>
      <c r="AZ1321" s="73"/>
      <c r="BA1321" s="73"/>
      <c r="BB1321" s="73"/>
      <c r="BC1321" s="73"/>
      <c r="BD1321" s="73"/>
      <c r="BE1321" s="73"/>
      <c r="BF1321" s="75"/>
      <c r="BG1321" s="73"/>
      <c r="BH1321" s="88"/>
      <c r="BI1321" s="73"/>
      <c r="BJ1321" s="73"/>
      <c r="BK1321" s="73"/>
      <c r="BL1321" s="73"/>
      <c r="BM1321" s="73"/>
      <c r="BN1321" s="73"/>
      <c r="BO1321" s="73"/>
      <c r="BP1321" s="73"/>
      <c r="BQ1321" s="73"/>
      <c r="BR1321" s="73"/>
      <c r="BS1321" s="73"/>
      <c r="BT1321" s="73"/>
      <c r="BU1321" s="73"/>
      <c r="BV1321" s="73"/>
      <c r="BW1321" s="73"/>
      <c r="BX1321" s="73"/>
      <c r="BY1321" s="73"/>
      <c r="BZ1321" s="73"/>
      <c r="CA1321" s="73"/>
      <c r="CB1321" s="73"/>
      <c r="CC1321" s="73"/>
      <c r="CD1321" s="73"/>
      <c r="CE1321" s="73"/>
      <c r="CF1321" s="73"/>
      <c r="CG1321" s="73"/>
      <c r="CH1321" s="73"/>
    </row>
    <row r="1322">
      <c r="A1322" s="73"/>
      <c r="B1322" s="73"/>
      <c r="C1322" s="73"/>
      <c r="D1322" s="73"/>
      <c r="E1322" s="140"/>
      <c r="F1322" s="80"/>
      <c r="G1322" s="80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  <c r="S1322" s="73"/>
      <c r="T1322" s="73"/>
      <c r="U1322" s="73"/>
      <c r="V1322" s="73"/>
      <c r="W1322" s="73"/>
      <c r="X1322" s="73"/>
      <c r="Y1322" s="73"/>
      <c r="Z1322" s="73"/>
      <c r="AA1322" s="73"/>
      <c r="AB1322" s="73"/>
      <c r="AC1322" s="73"/>
      <c r="AD1322" s="73"/>
      <c r="AE1322" s="73"/>
      <c r="AF1322" s="73"/>
      <c r="AG1322" s="73"/>
      <c r="AH1322" s="73"/>
      <c r="AI1322" s="73"/>
      <c r="AJ1322" s="168"/>
      <c r="AK1322" s="73"/>
      <c r="AL1322" s="73"/>
      <c r="AM1322" s="73"/>
      <c r="AN1322" s="73"/>
      <c r="AO1322" s="73"/>
      <c r="AP1322" s="73"/>
      <c r="AQ1322" s="73"/>
      <c r="AR1322" s="73"/>
      <c r="AS1322" s="73"/>
      <c r="AT1322" s="73"/>
      <c r="AU1322" s="73"/>
      <c r="AV1322" s="73"/>
      <c r="AW1322" s="73"/>
      <c r="AX1322" s="73"/>
      <c r="AY1322" s="73"/>
      <c r="AZ1322" s="73"/>
      <c r="BA1322" s="73"/>
      <c r="BB1322" s="73"/>
      <c r="BC1322" s="73"/>
      <c r="BD1322" s="73"/>
      <c r="BE1322" s="73"/>
      <c r="BF1322" s="75"/>
      <c r="BG1322" s="73"/>
      <c r="BH1322" s="88"/>
      <c r="BI1322" s="73"/>
      <c r="BJ1322" s="73"/>
      <c r="BK1322" s="73"/>
      <c r="BL1322" s="73"/>
      <c r="BM1322" s="73"/>
      <c r="BN1322" s="73"/>
      <c r="BO1322" s="73"/>
      <c r="BP1322" s="73"/>
      <c r="BQ1322" s="73"/>
      <c r="BR1322" s="73"/>
      <c r="BS1322" s="73"/>
      <c r="BT1322" s="73"/>
      <c r="BU1322" s="73"/>
      <c r="BV1322" s="73"/>
      <c r="BW1322" s="73"/>
      <c r="BX1322" s="73"/>
      <c r="BY1322" s="73"/>
      <c r="BZ1322" s="73"/>
      <c r="CA1322" s="73"/>
      <c r="CB1322" s="73"/>
      <c r="CC1322" s="73"/>
      <c r="CD1322" s="73"/>
      <c r="CE1322" s="73"/>
      <c r="CF1322" s="73"/>
      <c r="CG1322" s="73"/>
      <c r="CH1322" s="73"/>
    </row>
    <row r="1323">
      <c r="A1323" s="73"/>
      <c r="B1323" s="73"/>
      <c r="C1323" s="73"/>
      <c r="D1323" s="73"/>
      <c r="E1323" s="140"/>
      <c r="F1323" s="80"/>
      <c r="G1323" s="80"/>
      <c r="H1323" s="73"/>
      <c r="I1323" s="73"/>
      <c r="J1323" s="73"/>
      <c r="K1323" s="73"/>
      <c r="L1323" s="73"/>
      <c r="M1323" s="73"/>
      <c r="N1323" s="73"/>
      <c r="O1323" s="73"/>
      <c r="P1323" s="73"/>
      <c r="Q1323" s="73"/>
      <c r="R1323" s="73"/>
      <c r="S1323" s="73"/>
      <c r="T1323" s="73"/>
      <c r="U1323" s="73"/>
      <c r="V1323" s="73"/>
      <c r="W1323" s="73"/>
      <c r="X1323" s="73"/>
      <c r="Y1323" s="73"/>
      <c r="Z1323" s="73"/>
      <c r="AA1323" s="73"/>
      <c r="AB1323" s="73"/>
      <c r="AC1323" s="73"/>
      <c r="AD1323" s="73"/>
      <c r="AE1323" s="73"/>
      <c r="AF1323" s="73"/>
      <c r="AG1323" s="73"/>
      <c r="AH1323" s="73"/>
      <c r="AI1323" s="73"/>
      <c r="AJ1323" s="168"/>
      <c r="AK1323" s="73"/>
      <c r="AL1323" s="73"/>
      <c r="AM1323" s="73"/>
      <c r="AN1323" s="73"/>
      <c r="AO1323" s="73"/>
      <c r="AP1323" s="73"/>
      <c r="AQ1323" s="73"/>
      <c r="AR1323" s="73"/>
      <c r="AS1323" s="73"/>
      <c r="AT1323" s="73"/>
      <c r="AU1323" s="73"/>
      <c r="AV1323" s="73"/>
      <c r="AW1323" s="73"/>
      <c r="AX1323" s="73"/>
      <c r="AY1323" s="73"/>
      <c r="AZ1323" s="73"/>
      <c r="BA1323" s="73"/>
      <c r="BB1323" s="73"/>
      <c r="BC1323" s="73"/>
      <c r="BD1323" s="73"/>
      <c r="BE1323" s="73"/>
      <c r="BF1323" s="75"/>
      <c r="BG1323" s="73"/>
      <c r="BH1323" s="88"/>
      <c r="BI1323" s="73"/>
      <c r="BJ1323" s="73"/>
      <c r="BK1323" s="73"/>
      <c r="BL1323" s="73"/>
      <c r="BM1323" s="73"/>
      <c r="BN1323" s="73"/>
      <c r="BO1323" s="73"/>
      <c r="BP1323" s="73"/>
      <c r="BQ1323" s="73"/>
      <c r="BR1323" s="73"/>
      <c r="BS1323" s="73"/>
      <c r="BT1323" s="73"/>
      <c r="BU1323" s="73"/>
      <c r="BV1323" s="73"/>
      <c r="BW1323" s="73"/>
      <c r="BX1323" s="73"/>
      <c r="BY1323" s="73"/>
      <c r="BZ1323" s="73"/>
      <c r="CA1323" s="73"/>
      <c r="CB1323" s="73"/>
      <c r="CC1323" s="73"/>
      <c r="CD1323" s="73"/>
      <c r="CE1323" s="73"/>
      <c r="CF1323" s="73"/>
      <c r="CG1323" s="73"/>
      <c r="CH1323" s="73"/>
    </row>
    <row r="1324">
      <c r="A1324" s="73"/>
      <c r="B1324" s="73"/>
      <c r="C1324" s="73"/>
      <c r="D1324" s="73"/>
      <c r="E1324" s="140"/>
      <c r="F1324" s="80"/>
      <c r="G1324" s="80"/>
      <c r="H1324" s="73"/>
      <c r="I1324" s="73"/>
      <c r="J1324" s="73"/>
      <c r="K1324" s="73"/>
      <c r="L1324" s="73"/>
      <c r="M1324" s="73"/>
      <c r="N1324" s="73"/>
      <c r="O1324" s="73"/>
      <c r="P1324" s="73"/>
      <c r="Q1324" s="73"/>
      <c r="R1324" s="73"/>
      <c r="S1324" s="73"/>
      <c r="T1324" s="73"/>
      <c r="U1324" s="73"/>
      <c r="V1324" s="73"/>
      <c r="W1324" s="73"/>
      <c r="X1324" s="73"/>
      <c r="Y1324" s="73"/>
      <c r="Z1324" s="73"/>
      <c r="AA1324" s="73"/>
      <c r="AB1324" s="73"/>
      <c r="AC1324" s="73"/>
      <c r="AD1324" s="73"/>
      <c r="AE1324" s="73"/>
      <c r="AF1324" s="73"/>
      <c r="AG1324" s="73"/>
      <c r="AH1324" s="73"/>
      <c r="AI1324" s="73"/>
      <c r="AJ1324" s="168"/>
      <c r="AK1324" s="73"/>
      <c r="AL1324" s="73"/>
      <c r="AM1324" s="73"/>
      <c r="AN1324" s="73"/>
      <c r="AO1324" s="73"/>
      <c r="AP1324" s="73"/>
      <c r="AQ1324" s="73"/>
      <c r="AR1324" s="73"/>
      <c r="AS1324" s="73"/>
      <c r="AT1324" s="73"/>
      <c r="AU1324" s="73"/>
      <c r="AV1324" s="73"/>
      <c r="AW1324" s="73"/>
      <c r="AX1324" s="73"/>
      <c r="AY1324" s="73"/>
      <c r="AZ1324" s="73"/>
      <c r="BA1324" s="73"/>
      <c r="BB1324" s="73"/>
      <c r="BC1324" s="73"/>
      <c r="BD1324" s="73"/>
      <c r="BE1324" s="73"/>
      <c r="BF1324" s="75"/>
      <c r="BG1324" s="73"/>
      <c r="BH1324" s="88"/>
      <c r="BI1324" s="73"/>
      <c r="BJ1324" s="73"/>
      <c r="BK1324" s="73"/>
      <c r="BL1324" s="73"/>
      <c r="BM1324" s="73"/>
      <c r="BN1324" s="73"/>
      <c r="BO1324" s="73"/>
      <c r="BP1324" s="73"/>
      <c r="BQ1324" s="73"/>
      <c r="BR1324" s="73"/>
      <c r="BS1324" s="73"/>
      <c r="BT1324" s="73"/>
      <c r="BU1324" s="73"/>
      <c r="BV1324" s="73"/>
      <c r="BW1324" s="73"/>
      <c r="BX1324" s="73"/>
      <c r="BY1324" s="73"/>
      <c r="BZ1324" s="73"/>
      <c r="CA1324" s="73"/>
      <c r="CB1324" s="73"/>
      <c r="CC1324" s="73"/>
      <c r="CD1324" s="73"/>
      <c r="CE1324" s="73"/>
      <c r="CF1324" s="73"/>
      <c r="CG1324" s="73"/>
      <c r="CH1324" s="73"/>
    </row>
    <row r="1325">
      <c r="A1325" s="73"/>
      <c r="B1325" s="73"/>
      <c r="C1325" s="73"/>
      <c r="D1325" s="73"/>
      <c r="E1325" s="140"/>
      <c r="F1325" s="80"/>
      <c r="G1325" s="80"/>
      <c r="H1325" s="73"/>
      <c r="I1325" s="73"/>
      <c r="J1325" s="73"/>
      <c r="K1325" s="73"/>
      <c r="L1325" s="73"/>
      <c r="M1325" s="73"/>
      <c r="N1325" s="73"/>
      <c r="O1325" s="73"/>
      <c r="P1325" s="73"/>
      <c r="Q1325" s="73"/>
      <c r="R1325" s="73"/>
      <c r="S1325" s="73"/>
      <c r="T1325" s="73"/>
      <c r="U1325" s="73"/>
      <c r="V1325" s="73"/>
      <c r="W1325" s="73"/>
      <c r="X1325" s="73"/>
      <c r="Y1325" s="73"/>
      <c r="Z1325" s="73"/>
      <c r="AA1325" s="73"/>
      <c r="AB1325" s="73"/>
      <c r="AC1325" s="73"/>
      <c r="AD1325" s="73"/>
      <c r="AE1325" s="73"/>
      <c r="AF1325" s="73"/>
      <c r="AG1325" s="73"/>
      <c r="AH1325" s="73"/>
      <c r="AI1325" s="73"/>
      <c r="AJ1325" s="168"/>
      <c r="AK1325" s="73"/>
      <c r="AL1325" s="73"/>
      <c r="AM1325" s="73"/>
      <c r="AN1325" s="73"/>
      <c r="AO1325" s="73"/>
      <c r="AP1325" s="73"/>
      <c r="AQ1325" s="73"/>
      <c r="AR1325" s="73"/>
      <c r="AS1325" s="73"/>
      <c r="AT1325" s="73"/>
      <c r="AU1325" s="73"/>
      <c r="AV1325" s="73"/>
      <c r="AW1325" s="73"/>
      <c r="AX1325" s="73"/>
      <c r="AY1325" s="73"/>
      <c r="AZ1325" s="73"/>
      <c r="BA1325" s="73"/>
      <c r="BB1325" s="73"/>
      <c r="BC1325" s="73"/>
      <c r="BD1325" s="73"/>
      <c r="BE1325" s="73"/>
      <c r="BF1325" s="75"/>
      <c r="BG1325" s="73"/>
      <c r="BH1325" s="88"/>
      <c r="BI1325" s="73"/>
      <c r="BJ1325" s="73"/>
      <c r="BK1325" s="73"/>
      <c r="BL1325" s="73"/>
      <c r="BM1325" s="73"/>
      <c r="BN1325" s="73"/>
      <c r="BO1325" s="73"/>
      <c r="BP1325" s="73"/>
      <c r="BQ1325" s="73"/>
      <c r="BR1325" s="73"/>
      <c r="BS1325" s="73"/>
      <c r="BT1325" s="73"/>
      <c r="BU1325" s="73"/>
      <c r="BV1325" s="73"/>
      <c r="BW1325" s="73"/>
      <c r="BX1325" s="73"/>
      <c r="BY1325" s="73"/>
      <c r="BZ1325" s="73"/>
      <c r="CA1325" s="73"/>
      <c r="CB1325" s="73"/>
      <c r="CC1325" s="73"/>
      <c r="CD1325" s="73"/>
      <c r="CE1325" s="73"/>
      <c r="CF1325" s="73"/>
      <c r="CG1325" s="73"/>
      <c r="CH1325" s="73"/>
    </row>
    <row r="1326">
      <c r="A1326" s="73"/>
      <c r="B1326" s="73"/>
      <c r="C1326" s="73"/>
      <c r="D1326" s="73"/>
      <c r="E1326" s="140"/>
      <c r="F1326" s="80"/>
      <c r="G1326" s="80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  <c r="S1326" s="73"/>
      <c r="T1326" s="73"/>
      <c r="U1326" s="73"/>
      <c r="V1326" s="73"/>
      <c r="W1326" s="73"/>
      <c r="X1326" s="73"/>
      <c r="Y1326" s="73"/>
      <c r="Z1326" s="73"/>
      <c r="AA1326" s="73"/>
      <c r="AB1326" s="73"/>
      <c r="AC1326" s="73"/>
      <c r="AD1326" s="73"/>
      <c r="AE1326" s="73"/>
      <c r="AF1326" s="73"/>
      <c r="AG1326" s="73"/>
      <c r="AH1326" s="73"/>
      <c r="AI1326" s="73"/>
      <c r="AJ1326" s="168"/>
      <c r="AK1326" s="73"/>
      <c r="AL1326" s="73"/>
      <c r="AM1326" s="73"/>
      <c r="AN1326" s="73"/>
      <c r="AO1326" s="73"/>
      <c r="AP1326" s="73"/>
      <c r="AQ1326" s="73"/>
      <c r="AR1326" s="73"/>
      <c r="AS1326" s="73"/>
      <c r="AT1326" s="73"/>
      <c r="AU1326" s="73"/>
      <c r="AV1326" s="73"/>
      <c r="AW1326" s="73"/>
      <c r="AX1326" s="73"/>
      <c r="AY1326" s="73"/>
      <c r="AZ1326" s="73"/>
      <c r="BA1326" s="73"/>
      <c r="BB1326" s="73"/>
      <c r="BC1326" s="73"/>
      <c r="BD1326" s="73"/>
      <c r="BE1326" s="73"/>
      <c r="BF1326" s="75"/>
      <c r="BG1326" s="73"/>
      <c r="BH1326" s="88"/>
      <c r="BI1326" s="73"/>
      <c r="BJ1326" s="73"/>
      <c r="BK1326" s="73"/>
      <c r="BL1326" s="73"/>
      <c r="BM1326" s="73"/>
      <c r="BN1326" s="73"/>
      <c r="BO1326" s="73"/>
      <c r="BP1326" s="73"/>
      <c r="BQ1326" s="73"/>
      <c r="BR1326" s="73"/>
      <c r="BS1326" s="73"/>
      <c r="BT1326" s="73"/>
      <c r="BU1326" s="73"/>
      <c r="BV1326" s="73"/>
      <c r="BW1326" s="73"/>
      <c r="BX1326" s="73"/>
      <c r="BY1326" s="73"/>
      <c r="BZ1326" s="73"/>
      <c r="CA1326" s="73"/>
      <c r="CB1326" s="73"/>
      <c r="CC1326" s="73"/>
      <c r="CD1326" s="73"/>
      <c r="CE1326" s="73"/>
      <c r="CF1326" s="73"/>
      <c r="CG1326" s="73"/>
      <c r="CH1326" s="73"/>
    </row>
    <row r="1327">
      <c r="A1327" s="73"/>
      <c r="B1327" s="73"/>
      <c r="C1327" s="73"/>
      <c r="D1327" s="73"/>
      <c r="E1327" s="140"/>
      <c r="F1327" s="80"/>
      <c r="G1327" s="80"/>
      <c r="H1327" s="73"/>
      <c r="I1327" s="73"/>
      <c r="J1327" s="73"/>
      <c r="K1327" s="73"/>
      <c r="L1327" s="73"/>
      <c r="M1327" s="73"/>
      <c r="N1327" s="73"/>
      <c r="O1327" s="73"/>
      <c r="P1327" s="73"/>
      <c r="Q1327" s="73"/>
      <c r="R1327" s="73"/>
      <c r="S1327" s="73"/>
      <c r="T1327" s="73"/>
      <c r="U1327" s="73"/>
      <c r="V1327" s="73"/>
      <c r="W1327" s="73"/>
      <c r="X1327" s="73"/>
      <c r="Y1327" s="73"/>
      <c r="Z1327" s="73"/>
      <c r="AA1327" s="73"/>
      <c r="AB1327" s="73"/>
      <c r="AC1327" s="73"/>
      <c r="AD1327" s="73"/>
      <c r="AE1327" s="73"/>
      <c r="AF1327" s="73"/>
      <c r="AG1327" s="73"/>
      <c r="AH1327" s="73"/>
      <c r="AI1327" s="73"/>
      <c r="AJ1327" s="168"/>
      <c r="AK1327" s="73"/>
      <c r="AL1327" s="73"/>
      <c r="AM1327" s="73"/>
      <c r="AN1327" s="73"/>
      <c r="AO1327" s="73"/>
      <c r="AP1327" s="73"/>
      <c r="AQ1327" s="73"/>
      <c r="AR1327" s="73"/>
      <c r="AS1327" s="73"/>
      <c r="AT1327" s="73"/>
      <c r="AU1327" s="73"/>
      <c r="AV1327" s="73"/>
      <c r="AW1327" s="73"/>
      <c r="AX1327" s="73"/>
      <c r="AY1327" s="73"/>
      <c r="AZ1327" s="73"/>
      <c r="BA1327" s="73"/>
      <c r="BB1327" s="73"/>
      <c r="BC1327" s="73"/>
      <c r="BD1327" s="73"/>
      <c r="BE1327" s="73"/>
      <c r="BF1327" s="75"/>
      <c r="BG1327" s="73"/>
      <c r="BH1327" s="88"/>
      <c r="BI1327" s="73"/>
      <c r="BJ1327" s="73"/>
      <c r="BK1327" s="73"/>
      <c r="BL1327" s="73"/>
      <c r="BM1327" s="73"/>
      <c r="BN1327" s="73"/>
      <c r="BO1327" s="73"/>
      <c r="BP1327" s="73"/>
      <c r="BQ1327" s="73"/>
      <c r="BR1327" s="73"/>
      <c r="BS1327" s="73"/>
      <c r="BT1327" s="73"/>
      <c r="BU1327" s="73"/>
      <c r="BV1327" s="73"/>
      <c r="BW1327" s="73"/>
      <c r="BX1327" s="73"/>
      <c r="BY1327" s="73"/>
      <c r="BZ1327" s="73"/>
      <c r="CA1327" s="73"/>
      <c r="CB1327" s="73"/>
      <c r="CC1327" s="73"/>
      <c r="CD1327" s="73"/>
      <c r="CE1327" s="73"/>
      <c r="CF1327" s="73"/>
      <c r="CG1327" s="73"/>
      <c r="CH1327" s="73"/>
    </row>
    <row r="1328">
      <c r="A1328" s="73"/>
      <c r="B1328" s="73"/>
      <c r="C1328" s="73"/>
      <c r="D1328" s="73"/>
      <c r="E1328" s="140"/>
      <c r="F1328" s="80"/>
      <c r="G1328" s="80"/>
      <c r="H1328" s="73"/>
      <c r="I1328" s="73"/>
      <c r="J1328" s="73"/>
      <c r="K1328" s="73"/>
      <c r="L1328" s="73"/>
      <c r="M1328" s="73"/>
      <c r="N1328" s="73"/>
      <c r="O1328" s="73"/>
      <c r="P1328" s="73"/>
      <c r="Q1328" s="73"/>
      <c r="R1328" s="73"/>
      <c r="S1328" s="73"/>
      <c r="T1328" s="73"/>
      <c r="U1328" s="73"/>
      <c r="V1328" s="73"/>
      <c r="W1328" s="73"/>
      <c r="X1328" s="73"/>
      <c r="Y1328" s="73"/>
      <c r="Z1328" s="73"/>
      <c r="AA1328" s="73"/>
      <c r="AB1328" s="73"/>
      <c r="AC1328" s="73"/>
      <c r="AD1328" s="73"/>
      <c r="AE1328" s="73"/>
      <c r="AF1328" s="73"/>
      <c r="AG1328" s="73"/>
      <c r="AH1328" s="73"/>
      <c r="AI1328" s="73"/>
      <c r="AJ1328" s="168"/>
      <c r="AK1328" s="73"/>
      <c r="AL1328" s="73"/>
      <c r="AM1328" s="73"/>
      <c r="AN1328" s="73"/>
      <c r="AO1328" s="73"/>
      <c r="AP1328" s="73"/>
      <c r="AQ1328" s="73"/>
      <c r="AR1328" s="73"/>
      <c r="AS1328" s="73"/>
      <c r="AT1328" s="73"/>
      <c r="AU1328" s="73"/>
      <c r="AV1328" s="73"/>
      <c r="AW1328" s="73"/>
      <c r="AX1328" s="73"/>
      <c r="AY1328" s="73"/>
      <c r="AZ1328" s="73"/>
      <c r="BA1328" s="73"/>
      <c r="BB1328" s="73"/>
      <c r="BC1328" s="73"/>
      <c r="BD1328" s="73"/>
      <c r="BE1328" s="73"/>
      <c r="BF1328" s="75"/>
      <c r="BG1328" s="73"/>
      <c r="BH1328" s="88"/>
      <c r="BI1328" s="73"/>
      <c r="BJ1328" s="73"/>
      <c r="BK1328" s="73"/>
      <c r="BL1328" s="73"/>
      <c r="BM1328" s="73"/>
      <c r="BN1328" s="73"/>
      <c r="BO1328" s="73"/>
      <c r="BP1328" s="73"/>
      <c r="BQ1328" s="73"/>
      <c r="BR1328" s="73"/>
      <c r="BS1328" s="73"/>
      <c r="BT1328" s="73"/>
      <c r="BU1328" s="73"/>
      <c r="BV1328" s="73"/>
      <c r="BW1328" s="73"/>
      <c r="BX1328" s="73"/>
      <c r="BY1328" s="73"/>
      <c r="BZ1328" s="73"/>
      <c r="CA1328" s="73"/>
      <c r="CB1328" s="73"/>
      <c r="CC1328" s="73"/>
      <c r="CD1328" s="73"/>
      <c r="CE1328" s="73"/>
      <c r="CF1328" s="73"/>
      <c r="CG1328" s="73"/>
      <c r="CH1328" s="73"/>
    </row>
    <row r="1329">
      <c r="A1329" s="73"/>
      <c r="B1329" s="73"/>
      <c r="C1329" s="73"/>
      <c r="D1329" s="73"/>
      <c r="E1329" s="140"/>
      <c r="F1329" s="80"/>
      <c r="G1329" s="80"/>
      <c r="H1329" s="73"/>
      <c r="I1329" s="73"/>
      <c r="J1329" s="73"/>
      <c r="K1329" s="73"/>
      <c r="L1329" s="73"/>
      <c r="M1329" s="73"/>
      <c r="N1329" s="73"/>
      <c r="O1329" s="73"/>
      <c r="P1329" s="73"/>
      <c r="Q1329" s="73"/>
      <c r="R1329" s="73"/>
      <c r="S1329" s="73"/>
      <c r="T1329" s="73"/>
      <c r="U1329" s="73"/>
      <c r="V1329" s="73"/>
      <c r="W1329" s="73"/>
      <c r="X1329" s="73"/>
      <c r="Y1329" s="73"/>
      <c r="Z1329" s="73"/>
      <c r="AA1329" s="73"/>
      <c r="AB1329" s="73"/>
      <c r="AC1329" s="73"/>
      <c r="AD1329" s="73"/>
      <c r="AE1329" s="73"/>
      <c r="AF1329" s="73"/>
      <c r="AG1329" s="73"/>
      <c r="AH1329" s="73"/>
      <c r="AI1329" s="73"/>
      <c r="AJ1329" s="168"/>
      <c r="AK1329" s="73"/>
      <c r="AL1329" s="73"/>
      <c r="AM1329" s="73"/>
      <c r="AN1329" s="73"/>
      <c r="AO1329" s="73"/>
      <c r="AP1329" s="73"/>
      <c r="AQ1329" s="73"/>
      <c r="AR1329" s="73"/>
      <c r="AS1329" s="73"/>
      <c r="AT1329" s="73"/>
      <c r="AU1329" s="73"/>
      <c r="AV1329" s="73"/>
      <c r="AW1329" s="73"/>
      <c r="AX1329" s="73"/>
      <c r="AY1329" s="73"/>
      <c r="AZ1329" s="73"/>
      <c r="BA1329" s="73"/>
      <c r="BB1329" s="73"/>
      <c r="BC1329" s="73"/>
      <c r="BD1329" s="73"/>
      <c r="BE1329" s="73"/>
      <c r="BF1329" s="75"/>
      <c r="BG1329" s="73"/>
      <c r="BH1329" s="88"/>
      <c r="BI1329" s="73"/>
      <c r="BJ1329" s="73"/>
      <c r="BK1329" s="73"/>
      <c r="BL1329" s="73"/>
      <c r="BM1329" s="73"/>
      <c r="BN1329" s="73"/>
      <c r="BO1329" s="73"/>
      <c r="BP1329" s="73"/>
      <c r="BQ1329" s="73"/>
      <c r="BR1329" s="73"/>
      <c r="BS1329" s="73"/>
      <c r="BT1329" s="73"/>
      <c r="BU1329" s="73"/>
      <c r="BV1329" s="73"/>
      <c r="BW1329" s="73"/>
      <c r="BX1329" s="73"/>
      <c r="BY1329" s="73"/>
      <c r="BZ1329" s="73"/>
      <c r="CA1329" s="73"/>
      <c r="CB1329" s="73"/>
      <c r="CC1329" s="73"/>
      <c r="CD1329" s="73"/>
      <c r="CE1329" s="73"/>
      <c r="CF1329" s="73"/>
      <c r="CG1329" s="73"/>
      <c r="CH1329" s="73"/>
    </row>
    <row r="1330">
      <c r="A1330" s="73"/>
      <c r="B1330" s="73"/>
      <c r="C1330" s="73"/>
      <c r="D1330" s="73"/>
      <c r="E1330" s="140"/>
      <c r="F1330" s="80"/>
      <c r="G1330" s="80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  <c r="S1330" s="73"/>
      <c r="T1330" s="73"/>
      <c r="U1330" s="73"/>
      <c r="V1330" s="73"/>
      <c r="W1330" s="73"/>
      <c r="X1330" s="73"/>
      <c r="Y1330" s="73"/>
      <c r="Z1330" s="73"/>
      <c r="AA1330" s="73"/>
      <c r="AB1330" s="73"/>
      <c r="AC1330" s="73"/>
      <c r="AD1330" s="73"/>
      <c r="AE1330" s="73"/>
      <c r="AF1330" s="73"/>
      <c r="AG1330" s="73"/>
      <c r="AH1330" s="73"/>
      <c r="AI1330" s="73"/>
      <c r="AJ1330" s="168"/>
      <c r="AK1330" s="73"/>
      <c r="AL1330" s="73"/>
      <c r="AM1330" s="73"/>
      <c r="AN1330" s="73"/>
      <c r="AO1330" s="73"/>
      <c r="AP1330" s="73"/>
      <c r="AQ1330" s="73"/>
      <c r="AR1330" s="73"/>
      <c r="AS1330" s="73"/>
      <c r="AT1330" s="73"/>
      <c r="AU1330" s="73"/>
      <c r="AV1330" s="73"/>
      <c r="AW1330" s="73"/>
      <c r="AX1330" s="73"/>
      <c r="AY1330" s="73"/>
      <c r="AZ1330" s="73"/>
      <c r="BA1330" s="73"/>
      <c r="BB1330" s="73"/>
      <c r="BC1330" s="73"/>
      <c r="BD1330" s="73"/>
      <c r="BE1330" s="73"/>
      <c r="BF1330" s="75"/>
      <c r="BG1330" s="73"/>
      <c r="BH1330" s="88"/>
      <c r="BI1330" s="73"/>
      <c r="BJ1330" s="73"/>
      <c r="BK1330" s="73"/>
      <c r="BL1330" s="73"/>
      <c r="BM1330" s="73"/>
      <c r="BN1330" s="73"/>
      <c r="BO1330" s="73"/>
      <c r="BP1330" s="73"/>
      <c r="BQ1330" s="73"/>
      <c r="BR1330" s="73"/>
      <c r="BS1330" s="73"/>
      <c r="BT1330" s="73"/>
      <c r="BU1330" s="73"/>
      <c r="BV1330" s="73"/>
      <c r="BW1330" s="73"/>
      <c r="BX1330" s="73"/>
      <c r="BY1330" s="73"/>
      <c r="BZ1330" s="73"/>
      <c r="CA1330" s="73"/>
      <c r="CB1330" s="73"/>
      <c r="CC1330" s="73"/>
      <c r="CD1330" s="73"/>
      <c r="CE1330" s="73"/>
      <c r="CF1330" s="73"/>
      <c r="CG1330" s="73"/>
      <c r="CH1330" s="73"/>
    </row>
    <row r="1331">
      <c r="A1331" s="73"/>
      <c r="B1331" s="73"/>
      <c r="C1331" s="73"/>
      <c r="D1331" s="73"/>
      <c r="E1331" s="140"/>
      <c r="F1331" s="80"/>
      <c r="G1331" s="80"/>
      <c r="H1331" s="73"/>
      <c r="I1331" s="73"/>
      <c r="J1331" s="73"/>
      <c r="K1331" s="73"/>
      <c r="L1331" s="73"/>
      <c r="M1331" s="73"/>
      <c r="N1331" s="73"/>
      <c r="O1331" s="73"/>
      <c r="P1331" s="73"/>
      <c r="Q1331" s="73"/>
      <c r="R1331" s="73"/>
      <c r="S1331" s="73"/>
      <c r="T1331" s="73"/>
      <c r="U1331" s="73"/>
      <c r="V1331" s="73"/>
      <c r="W1331" s="73"/>
      <c r="X1331" s="73"/>
      <c r="Y1331" s="73"/>
      <c r="Z1331" s="73"/>
      <c r="AA1331" s="73"/>
      <c r="AB1331" s="73"/>
      <c r="AC1331" s="73"/>
      <c r="AD1331" s="73"/>
      <c r="AE1331" s="73"/>
      <c r="AF1331" s="73"/>
      <c r="AG1331" s="73"/>
      <c r="AH1331" s="73"/>
      <c r="AI1331" s="73"/>
      <c r="AJ1331" s="168"/>
      <c r="AK1331" s="73"/>
      <c r="AL1331" s="73"/>
      <c r="AM1331" s="73"/>
      <c r="AN1331" s="73"/>
      <c r="AO1331" s="73"/>
      <c r="AP1331" s="73"/>
      <c r="AQ1331" s="73"/>
      <c r="AR1331" s="73"/>
      <c r="AS1331" s="73"/>
      <c r="AT1331" s="73"/>
      <c r="AU1331" s="73"/>
      <c r="AV1331" s="73"/>
      <c r="AW1331" s="73"/>
      <c r="AX1331" s="73"/>
      <c r="AY1331" s="73"/>
      <c r="AZ1331" s="73"/>
      <c r="BA1331" s="73"/>
      <c r="BB1331" s="73"/>
      <c r="BC1331" s="73"/>
      <c r="BD1331" s="73"/>
      <c r="BE1331" s="73"/>
      <c r="BF1331" s="75"/>
      <c r="BG1331" s="73"/>
      <c r="BH1331" s="88"/>
      <c r="BI1331" s="73"/>
      <c r="BJ1331" s="73"/>
      <c r="BK1331" s="73"/>
      <c r="BL1331" s="73"/>
      <c r="BM1331" s="73"/>
      <c r="BN1331" s="73"/>
      <c r="BO1331" s="73"/>
      <c r="BP1331" s="73"/>
      <c r="BQ1331" s="73"/>
      <c r="BR1331" s="73"/>
      <c r="BS1331" s="73"/>
      <c r="BT1331" s="73"/>
      <c r="BU1331" s="73"/>
      <c r="BV1331" s="73"/>
      <c r="BW1331" s="73"/>
      <c r="BX1331" s="73"/>
      <c r="BY1331" s="73"/>
      <c r="BZ1331" s="73"/>
      <c r="CA1331" s="73"/>
      <c r="CB1331" s="73"/>
      <c r="CC1331" s="73"/>
      <c r="CD1331" s="73"/>
      <c r="CE1331" s="73"/>
      <c r="CF1331" s="73"/>
      <c r="CG1331" s="73"/>
      <c r="CH1331" s="73"/>
    </row>
    <row r="1332">
      <c r="A1332" s="73"/>
      <c r="B1332" s="73"/>
      <c r="C1332" s="73"/>
      <c r="D1332" s="73"/>
      <c r="E1332" s="140"/>
      <c r="F1332" s="80"/>
      <c r="G1332" s="80"/>
      <c r="H1332" s="73"/>
      <c r="I1332" s="73"/>
      <c r="J1332" s="73"/>
      <c r="K1332" s="73"/>
      <c r="L1332" s="73"/>
      <c r="M1332" s="73"/>
      <c r="N1332" s="73"/>
      <c r="O1332" s="73"/>
      <c r="P1332" s="73"/>
      <c r="Q1332" s="73"/>
      <c r="R1332" s="73"/>
      <c r="S1332" s="73"/>
      <c r="T1332" s="73"/>
      <c r="U1332" s="73"/>
      <c r="V1332" s="73"/>
      <c r="W1332" s="73"/>
      <c r="X1332" s="73"/>
      <c r="Y1332" s="73"/>
      <c r="Z1332" s="73"/>
      <c r="AA1332" s="73"/>
      <c r="AB1332" s="73"/>
      <c r="AC1332" s="73"/>
      <c r="AD1332" s="73"/>
      <c r="AE1332" s="73"/>
      <c r="AF1332" s="73"/>
      <c r="AG1332" s="73"/>
      <c r="AH1332" s="73"/>
      <c r="AI1332" s="73"/>
      <c r="AJ1332" s="168"/>
      <c r="AK1332" s="73"/>
      <c r="AL1332" s="73"/>
      <c r="AM1332" s="73"/>
      <c r="AN1332" s="73"/>
      <c r="AO1332" s="73"/>
      <c r="AP1332" s="73"/>
      <c r="AQ1332" s="73"/>
      <c r="AR1332" s="73"/>
      <c r="AS1332" s="73"/>
      <c r="AT1332" s="73"/>
      <c r="AU1332" s="73"/>
      <c r="AV1332" s="73"/>
      <c r="AW1332" s="73"/>
      <c r="AX1332" s="73"/>
      <c r="AY1332" s="73"/>
      <c r="AZ1332" s="73"/>
      <c r="BA1332" s="73"/>
      <c r="BB1332" s="73"/>
      <c r="BC1332" s="73"/>
      <c r="BD1332" s="73"/>
      <c r="BE1332" s="73"/>
      <c r="BF1332" s="75"/>
      <c r="BG1332" s="73"/>
      <c r="BH1332" s="88"/>
      <c r="BI1332" s="73"/>
      <c r="BJ1332" s="73"/>
      <c r="BK1332" s="73"/>
      <c r="BL1332" s="73"/>
      <c r="BM1332" s="73"/>
      <c r="BN1332" s="73"/>
      <c r="BO1332" s="73"/>
      <c r="BP1332" s="73"/>
      <c r="BQ1332" s="73"/>
      <c r="BR1332" s="73"/>
      <c r="BS1332" s="73"/>
      <c r="BT1332" s="73"/>
      <c r="BU1332" s="73"/>
      <c r="BV1332" s="73"/>
      <c r="BW1332" s="73"/>
      <c r="BX1332" s="73"/>
      <c r="BY1332" s="73"/>
      <c r="BZ1332" s="73"/>
      <c r="CA1332" s="73"/>
      <c r="CB1332" s="73"/>
      <c r="CC1332" s="73"/>
      <c r="CD1332" s="73"/>
      <c r="CE1332" s="73"/>
      <c r="CF1332" s="73"/>
      <c r="CG1332" s="73"/>
      <c r="CH1332" s="73"/>
    </row>
    <row r="1333">
      <c r="A1333" s="73"/>
      <c r="B1333" s="73"/>
      <c r="C1333" s="73"/>
      <c r="D1333" s="73"/>
      <c r="E1333" s="140"/>
      <c r="F1333" s="80"/>
      <c r="G1333" s="80"/>
      <c r="H1333" s="73"/>
      <c r="I1333" s="73"/>
      <c r="J1333" s="73"/>
      <c r="K1333" s="73"/>
      <c r="L1333" s="73"/>
      <c r="M1333" s="73"/>
      <c r="N1333" s="73"/>
      <c r="O1333" s="73"/>
      <c r="P1333" s="73"/>
      <c r="Q1333" s="73"/>
      <c r="R1333" s="73"/>
      <c r="S1333" s="73"/>
      <c r="T1333" s="73"/>
      <c r="U1333" s="73"/>
      <c r="V1333" s="73"/>
      <c r="W1333" s="73"/>
      <c r="X1333" s="73"/>
      <c r="Y1333" s="73"/>
      <c r="Z1333" s="73"/>
      <c r="AA1333" s="73"/>
      <c r="AB1333" s="73"/>
      <c r="AC1333" s="73"/>
      <c r="AD1333" s="73"/>
      <c r="AE1333" s="73"/>
      <c r="AF1333" s="73"/>
      <c r="AG1333" s="73"/>
      <c r="AH1333" s="73"/>
      <c r="AI1333" s="73"/>
      <c r="AJ1333" s="168"/>
      <c r="AK1333" s="73"/>
      <c r="AL1333" s="73"/>
      <c r="AM1333" s="73"/>
      <c r="AN1333" s="73"/>
      <c r="AO1333" s="73"/>
      <c r="AP1333" s="73"/>
      <c r="AQ1333" s="73"/>
      <c r="AR1333" s="73"/>
      <c r="AS1333" s="73"/>
      <c r="AT1333" s="73"/>
      <c r="AU1333" s="73"/>
      <c r="AV1333" s="73"/>
      <c r="AW1333" s="73"/>
      <c r="AX1333" s="73"/>
      <c r="AY1333" s="73"/>
      <c r="AZ1333" s="73"/>
      <c r="BA1333" s="73"/>
      <c r="BB1333" s="73"/>
      <c r="BC1333" s="73"/>
      <c r="BD1333" s="73"/>
      <c r="BE1333" s="73"/>
      <c r="BF1333" s="75"/>
      <c r="BG1333" s="73"/>
      <c r="BH1333" s="88"/>
      <c r="BI1333" s="73"/>
      <c r="BJ1333" s="73"/>
      <c r="BK1333" s="73"/>
      <c r="BL1333" s="73"/>
      <c r="BM1333" s="73"/>
      <c r="BN1333" s="73"/>
      <c r="BO1333" s="73"/>
      <c r="BP1333" s="73"/>
      <c r="BQ1333" s="73"/>
      <c r="BR1333" s="73"/>
      <c r="BS1333" s="73"/>
      <c r="BT1333" s="73"/>
      <c r="BU1333" s="73"/>
      <c r="BV1333" s="73"/>
      <c r="BW1333" s="73"/>
      <c r="BX1333" s="73"/>
      <c r="BY1333" s="73"/>
      <c r="BZ1333" s="73"/>
      <c r="CA1333" s="73"/>
      <c r="CB1333" s="73"/>
      <c r="CC1333" s="73"/>
      <c r="CD1333" s="73"/>
      <c r="CE1333" s="73"/>
      <c r="CF1333" s="73"/>
      <c r="CG1333" s="73"/>
      <c r="CH1333" s="73"/>
    </row>
    <row r="1334">
      <c r="A1334" s="73"/>
      <c r="B1334" s="73"/>
      <c r="C1334" s="73"/>
      <c r="D1334" s="73"/>
      <c r="E1334" s="140"/>
      <c r="F1334" s="80"/>
      <c r="G1334" s="80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  <c r="S1334" s="73"/>
      <c r="T1334" s="73"/>
      <c r="U1334" s="73"/>
      <c r="V1334" s="73"/>
      <c r="W1334" s="73"/>
      <c r="X1334" s="73"/>
      <c r="Y1334" s="73"/>
      <c r="Z1334" s="73"/>
      <c r="AA1334" s="73"/>
      <c r="AB1334" s="73"/>
      <c r="AC1334" s="73"/>
      <c r="AD1334" s="73"/>
      <c r="AE1334" s="73"/>
      <c r="AF1334" s="73"/>
      <c r="AG1334" s="73"/>
      <c r="AH1334" s="73"/>
      <c r="AI1334" s="73"/>
      <c r="AJ1334" s="168"/>
      <c r="AK1334" s="73"/>
      <c r="AL1334" s="73"/>
      <c r="AM1334" s="73"/>
      <c r="AN1334" s="73"/>
      <c r="AO1334" s="73"/>
      <c r="AP1334" s="73"/>
      <c r="AQ1334" s="73"/>
      <c r="AR1334" s="73"/>
      <c r="AS1334" s="73"/>
      <c r="AT1334" s="73"/>
      <c r="AU1334" s="73"/>
      <c r="AV1334" s="73"/>
      <c r="AW1334" s="73"/>
      <c r="AX1334" s="73"/>
      <c r="AY1334" s="73"/>
      <c r="AZ1334" s="73"/>
      <c r="BA1334" s="73"/>
      <c r="BB1334" s="73"/>
      <c r="BC1334" s="73"/>
      <c r="BD1334" s="73"/>
      <c r="BE1334" s="73"/>
      <c r="BF1334" s="75"/>
      <c r="BG1334" s="73"/>
      <c r="BH1334" s="88"/>
      <c r="BI1334" s="73"/>
      <c r="BJ1334" s="73"/>
      <c r="BK1334" s="73"/>
      <c r="BL1334" s="73"/>
      <c r="BM1334" s="73"/>
      <c r="BN1334" s="73"/>
      <c r="BO1334" s="73"/>
      <c r="BP1334" s="73"/>
      <c r="BQ1334" s="73"/>
      <c r="BR1334" s="73"/>
      <c r="BS1334" s="73"/>
      <c r="BT1334" s="73"/>
      <c r="BU1334" s="73"/>
      <c r="BV1334" s="73"/>
      <c r="BW1334" s="73"/>
      <c r="BX1334" s="73"/>
      <c r="BY1334" s="73"/>
      <c r="BZ1334" s="73"/>
      <c r="CA1334" s="73"/>
      <c r="CB1334" s="73"/>
      <c r="CC1334" s="73"/>
      <c r="CD1334" s="73"/>
      <c r="CE1334" s="73"/>
      <c r="CF1334" s="73"/>
      <c r="CG1334" s="73"/>
      <c r="CH1334" s="73"/>
    </row>
    <row r="1335">
      <c r="A1335" s="73"/>
      <c r="B1335" s="73"/>
      <c r="C1335" s="73"/>
      <c r="D1335" s="73"/>
      <c r="E1335" s="140"/>
      <c r="F1335" s="80"/>
      <c r="G1335" s="80"/>
      <c r="H1335" s="73"/>
      <c r="I1335" s="73"/>
      <c r="J1335" s="73"/>
      <c r="K1335" s="73"/>
      <c r="L1335" s="73"/>
      <c r="M1335" s="73"/>
      <c r="N1335" s="73"/>
      <c r="O1335" s="73"/>
      <c r="P1335" s="73"/>
      <c r="Q1335" s="73"/>
      <c r="R1335" s="73"/>
      <c r="S1335" s="73"/>
      <c r="T1335" s="73"/>
      <c r="U1335" s="73"/>
      <c r="V1335" s="73"/>
      <c r="W1335" s="73"/>
      <c r="X1335" s="73"/>
      <c r="Y1335" s="73"/>
      <c r="Z1335" s="73"/>
      <c r="AA1335" s="73"/>
      <c r="AB1335" s="73"/>
      <c r="AC1335" s="73"/>
      <c r="AD1335" s="73"/>
      <c r="AE1335" s="73"/>
      <c r="AF1335" s="73"/>
      <c r="AG1335" s="73"/>
      <c r="AH1335" s="73"/>
      <c r="AI1335" s="73"/>
      <c r="AJ1335" s="168"/>
      <c r="AK1335" s="73"/>
      <c r="AL1335" s="73"/>
      <c r="AM1335" s="73"/>
      <c r="AN1335" s="73"/>
      <c r="AO1335" s="73"/>
      <c r="AP1335" s="73"/>
      <c r="AQ1335" s="73"/>
      <c r="AR1335" s="73"/>
      <c r="AS1335" s="73"/>
      <c r="AT1335" s="73"/>
      <c r="AU1335" s="73"/>
      <c r="AV1335" s="73"/>
      <c r="AW1335" s="73"/>
      <c r="AX1335" s="73"/>
      <c r="AY1335" s="73"/>
      <c r="AZ1335" s="73"/>
      <c r="BA1335" s="73"/>
      <c r="BB1335" s="73"/>
      <c r="BC1335" s="73"/>
      <c r="BD1335" s="73"/>
      <c r="BE1335" s="73"/>
      <c r="BF1335" s="75"/>
      <c r="BG1335" s="73"/>
      <c r="BH1335" s="88"/>
      <c r="BI1335" s="73"/>
      <c r="BJ1335" s="73"/>
      <c r="BK1335" s="73"/>
      <c r="BL1335" s="73"/>
      <c r="BM1335" s="73"/>
      <c r="BN1335" s="73"/>
      <c r="BO1335" s="73"/>
      <c r="BP1335" s="73"/>
      <c r="BQ1335" s="73"/>
      <c r="BR1335" s="73"/>
      <c r="BS1335" s="73"/>
      <c r="BT1335" s="73"/>
      <c r="BU1335" s="73"/>
      <c r="BV1335" s="73"/>
      <c r="BW1335" s="73"/>
      <c r="BX1335" s="73"/>
      <c r="BY1335" s="73"/>
      <c r="BZ1335" s="73"/>
      <c r="CA1335" s="73"/>
      <c r="CB1335" s="73"/>
      <c r="CC1335" s="73"/>
      <c r="CD1335" s="73"/>
      <c r="CE1335" s="73"/>
      <c r="CF1335" s="73"/>
      <c r="CG1335" s="73"/>
      <c r="CH1335" s="73"/>
    </row>
    <row r="1336">
      <c r="A1336" s="73"/>
      <c r="B1336" s="73"/>
      <c r="C1336" s="73"/>
      <c r="D1336" s="73"/>
      <c r="E1336" s="140"/>
      <c r="F1336" s="80"/>
      <c r="G1336" s="80"/>
      <c r="H1336" s="73"/>
      <c r="I1336" s="73"/>
      <c r="J1336" s="73"/>
      <c r="K1336" s="73"/>
      <c r="L1336" s="73"/>
      <c r="M1336" s="73"/>
      <c r="N1336" s="73"/>
      <c r="O1336" s="73"/>
      <c r="P1336" s="73"/>
      <c r="Q1336" s="73"/>
      <c r="R1336" s="73"/>
      <c r="S1336" s="73"/>
      <c r="T1336" s="73"/>
      <c r="U1336" s="73"/>
      <c r="V1336" s="73"/>
      <c r="W1336" s="73"/>
      <c r="X1336" s="73"/>
      <c r="Y1336" s="73"/>
      <c r="Z1336" s="73"/>
      <c r="AA1336" s="73"/>
      <c r="AB1336" s="73"/>
      <c r="AC1336" s="73"/>
      <c r="AD1336" s="73"/>
      <c r="AE1336" s="73"/>
      <c r="AF1336" s="73"/>
      <c r="AG1336" s="73"/>
      <c r="AH1336" s="73"/>
      <c r="AI1336" s="73"/>
      <c r="AJ1336" s="168"/>
      <c r="AK1336" s="73"/>
      <c r="AL1336" s="73"/>
      <c r="AM1336" s="73"/>
      <c r="AN1336" s="73"/>
      <c r="AO1336" s="73"/>
      <c r="AP1336" s="73"/>
      <c r="AQ1336" s="73"/>
      <c r="AR1336" s="73"/>
      <c r="AS1336" s="73"/>
      <c r="AT1336" s="73"/>
      <c r="AU1336" s="73"/>
      <c r="AV1336" s="73"/>
      <c r="AW1336" s="73"/>
      <c r="AX1336" s="73"/>
      <c r="AY1336" s="73"/>
      <c r="AZ1336" s="73"/>
      <c r="BA1336" s="73"/>
      <c r="BB1336" s="73"/>
      <c r="BC1336" s="73"/>
      <c r="BD1336" s="73"/>
      <c r="BE1336" s="73"/>
      <c r="BF1336" s="75"/>
      <c r="BG1336" s="73"/>
      <c r="BH1336" s="88"/>
      <c r="BI1336" s="73"/>
      <c r="BJ1336" s="73"/>
      <c r="BK1336" s="73"/>
      <c r="BL1336" s="73"/>
      <c r="BM1336" s="73"/>
      <c r="BN1336" s="73"/>
      <c r="BO1336" s="73"/>
      <c r="BP1336" s="73"/>
      <c r="BQ1336" s="73"/>
      <c r="BR1336" s="73"/>
      <c r="BS1336" s="73"/>
      <c r="BT1336" s="73"/>
      <c r="BU1336" s="73"/>
      <c r="BV1336" s="73"/>
      <c r="BW1336" s="73"/>
      <c r="BX1336" s="73"/>
      <c r="BY1336" s="73"/>
      <c r="BZ1336" s="73"/>
      <c r="CA1336" s="73"/>
      <c r="CB1336" s="73"/>
      <c r="CC1336" s="73"/>
      <c r="CD1336" s="73"/>
      <c r="CE1336" s="73"/>
      <c r="CF1336" s="73"/>
      <c r="CG1336" s="73"/>
      <c r="CH1336" s="73"/>
    </row>
    <row r="1337">
      <c r="A1337" s="73"/>
      <c r="B1337" s="73"/>
      <c r="C1337" s="73"/>
      <c r="D1337" s="73"/>
      <c r="E1337" s="140"/>
      <c r="F1337" s="80"/>
      <c r="G1337" s="80"/>
      <c r="H1337" s="73"/>
      <c r="I1337" s="73"/>
      <c r="J1337" s="73"/>
      <c r="K1337" s="73"/>
      <c r="L1337" s="73"/>
      <c r="M1337" s="73"/>
      <c r="N1337" s="73"/>
      <c r="O1337" s="73"/>
      <c r="P1337" s="73"/>
      <c r="Q1337" s="73"/>
      <c r="R1337" s="73"/>
      <c r="S1337" s="73"/>
      <c r="T1337" s="73"/>
      <c r="U1337" s="73"/>
      <c r="V1337" s="73"/>
      <c r="W1337" s="73"/>
      <c r="X1337" s="73"/>
      <c r="Y1337" s="73"/>
      <c r="Z1337" s="73"/>
      <c r="AA1337" s="73"/>
      <c r="AB1337" s="73"/>
      <c r="AC1337" s="73"/>
      <c r="AD1337" s="73"/>
      <c r="AE1337" s="73"/>
      <c r="AF1337" s="73"/>
      <c r="AG1337" s="73"/>
      <c r="AH1337" s="73"/>
      <c r="AI1337" s="73"/>
      <c r="AJ1337" s="168"/>
      <c r="AK1337" s="73"/>
      <c r="AL1337" s="73"/>
      <c r="AM1337" s="73"/>
      <c r="AN1337" s="73"/>
      <c r="AO1337" s="73"/>
      <c r="AP1337" s="73"/>
      <c r="AQ1337" s="73"/>
      <c r="AR1337" s="73"/>
      <c r="AS1337" s="73"/>
      <c r="AT1337" s="73"/>
      <c r="AU1337" s="73"/>
      <c r="AV1337" s="73"/>
      <c r="AW1337" s="73"/>
      <c r="AX1337" s="73"/>
      <c r="AY1337" s="73"/>
      <c r="AZ1337" s="73"/>
      <c r="BA1337" s="73"/>
      <c r="BB1337" s="73"/>
      <c r="BC1337" s="73"/>
      <c r="BD1337" s="73"/>
      <c r="BE1337" s="73"/>
      <c r="BF1337" s="75"/>
      <c r="BG1337" s="73"/>
      <c r="BH1337" s="88"/>
      <c r="BI1337" s="73"/>
      <c r="BJ1337" s="73"/>
      <c r="BK1337" s="73"/>
      <c r="BL1337" s="73"/>
      <c r="BM1337" s="73"/>
      <c r="BN1337" s="73"/>
      <c r="BO1337" s="73"/>
      <c r="BP1337" s="73"/>
      <c r="BQ1337" s="73"/>
      <c r="BR1337" s="73"/>
      <c r="BS1337" s="73"/>
      <c r="BT1337" s="73"/>
      <c r="BU1337" s="73"/>
      <c r="BV1337" s="73"/>
      <c r="BW1337" s="73"/>
      <c r="BX1337" s="73"/>
      <c r="BY1337" s="73"/>
      <c r="BZ1337" s="73"/>
      <c r="CA1337" s="73"/>
      <c r="CB1337" s="73"/>
      <c r="CC1337" s="73"/>
      <c r="CD1337" s="73"/>
      <c r="CE1337" s="73"/>
      <c r="CF1337" s="73"/>
      <c r="CG1337" s="73"/>
      <c r="CH1337" s="73"/>
    </row>
    <row r="1338">
      <c r="A1338" s="73"/>
      <c r="B1338" s="73"/>
      <c r="C1338" s="73"/>
      <c r="D1338" s="73"/>
      <c r="E1338" s="140"/>
      <c r="F1338" s="80"/>
      <c r="G1338" s="80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  <c r="S1338" s="73"/>
      <c r="T1338" s="73"/>
      <c r="U1338" s="73"/>
      <c r="V1338" s="73"/>
      <c r="W1338" s="73"/>
      <c r="X1338" s="73"/>
      <c r="Y1338" s="73"/>
      <c r="Z1338" s="73"/>
      <c r="AA1338" s="73"/>
      <c r="AB1338" s="73"/>
      <c r="AC1338" s="73"/>
      <c r="AD1338" s="73"/>
      <c r="AE1338" s="73"/>
      <c r="AF1338" s="73"/>
      <c r="AG1338" s="73"/>
      <c r="AH1338" s="73"/>
      <c r="AI1338" s="73"/>
      <c r="AJ1338" s="168"/>
      <c r="AK1338" s="73"/>
      <c r="AL1338" s="73"/>
      <c r="AM1338" s="73"/>
      <c r="AN1338" s="73"/>
      <c r="AO1338" s="73"/>
      <c r="AP1338" s="73"/>
      <c r="AQ1338" s="73"/>
      <c r="AR1338" s="73"/>
      <c r="AS1338" s="73"/>
      <c r="AT1338" s="73"/>
      <c r="AU1338" s="73"/>
      <c r="AV1338" s="73"/>
      <c r="AW1338" s="73"/>
      <c r="AX1338" s="73"/>
      <c r="AY1338" s="73"/>
      <c r="AZ1338" s="73"/>
      <c r="BA1338" s="73"/>
      <c r="BB1338" s="73"/>
      <c r="BC1338" s="73"/>
      <c r="BD1338" s="73"/>
      <c r="BE1338" s="73"/>
      <c r="BF1338" s="75"/>
      <c r="BG1338" s="73"/>
      <c r="BH1338" s="88"/>
      <c r="BI1338" s="73"/>
      <c r="BJ1338" s="73"/>
      <c r="BK1338" s="73"/>
      <c r="BL1338" s="73"/>
      <c r="BM1338" s="73"/>
      <c r="BN1338" s="73"/>
      <c r="BO1338" s="73"/>
      <c r="BP1338" s="73"/>
      <c r="BQ1338" s="73"/>
      <c r="BR1338" s="73"/>
      <c r="BS1338" s="73"/>
      <c r="BT1338" s="73"/>
      <c r="BU1338" s="73"/>
      <c r="BV1338" s="73"/>
      <c r="BW1338" s="73"/>
      <c r="BX1338" s="73"/>
      <c r="BY1338" s="73"/>
      <c r="BZ1338" s="73"/>
      <c r="CA1338" s="73"/>
      <c r="CB1338" s="73"/>
      <c r="CC1338" s="73"/>
      <c r="CD1338" s="73"/>
      <c r="CE1338" s="73"/>
      <c r="CF1338" s="73"/>
      <c r="CG1338" s="73"/>
      <c r="CH1338" s="73"/>
    </row>
    <row r="1339">
      <c r="A1339" s="73"/>
      <c r="B1339" s="73"/>
      <c r="C1339" s="73"/>
      <c r="D1339" s="73"/>
      <c r="E1339" s="140"/>
      <c r="F1339" s="80"/>
      <c r="G1339" s="80"/>
      <c r="H1339" s="73"/>
      <c r="I1339" s="73"/>
      <c r="J1339" s="73"/>
      <c r="K1339" s="73"/>
      <c r="L1339" s="73"/>
      <c r="M1339" s="73"/>
      <c r="N1339" s="73"/>
      <c r="O1339" s="73"/>
      <c r="P1339" s="73"/>
      <c r="Q1339" s="73"/>
      <c r="R1339" s="73"/>
      <c r="S1339" s="73"/>
      <c r="T1339" s="73"/>
      <c r="U1339" s="73"/>
      <c r="V1339" s="73"/>
      <c r="W1339" s="73"/>
      <c r="X1339" s="73"/>
      <c r="Y1339" s="73"/>
      <c r="Z1339" s="73"/>
      <c r="AA1339" s="73"/>
      <c r="AB1339" s="73"/>
      <c r="AC1339" s="73"/>
      <c r="AD1339" s="73"/>
      <c r="AE1339" s="73"/>
      <c r="AF1339" s="73"/>
      <c r="AG1339" s="73"/>
      <c r="AH1339" s="73"/>
      <c r="AI1339" s="73"/>
      <c r="AJ1339" s="168"/>
      <c r="AK1339" s="73"/>
      <c r="AL1339" s="73"/>
      <c r="AM1339" s="73"/>
      <c r="AN1339" s="73"/>
      <c r="AO1339" s="73"/>
      <c r="AP1339" s="73"/>
      <c r="AQ1339" s="73"/>
      <c r="AR1339" s="73"/>
      <c r="AS1339" s="73"/>
      <c r="AT1339" s="73"/>
      <c r="AU1339" s="73"/>
      <c r="AV1339" s="73"/>
      <c r="AW1339" s="73"/>
      <c r="AX1339" s="73"/>
      <c r="AY1339" s="73"/>
      <c r="AZ1339" s="73"/>
      <c r="BA1339" s="73"/>
      <c r="BB1339" s="73"/>
      <c r="BC1339" s="73"/>
      <c r="BD1339" s="73"/>
      <c r="BE1339" s="73"/>
      <c r="BF1339" s="75"/>
      <c r="BG1339" s="73"/>
      <c r="BH1339" s="88"/>
      <c r="BI1339" s="73"/>
      <c r="BJ1339" s="73"/>
      <c r="BK1339" s="73"/>
      <c r="BL1339" s="73"/>
      <c r="BM1339" s="73"/>
      <c r="BN1339" s="73"/>
      <c r="BO1339" s="73"/>
      <c r="BP1339" s="73"/>
      <c r="BQ1339" s="73"/>
      <c r="BR1339" s="73"/>
      <c r="BS1339" s="73"/>
      <c r="BT1339" s="73"/>
      <c r="BU1339" s="73"/>
      <c r="BV1339" s="73"/>
      <c r="BW1339" s="73"/>
      <c r="BX1339" s="73"/>
      <c r="BY1339" s="73"/>
      <c r="BZ1339" s="73"/>
      <c r="CA1339" s="73"/>
      <c r="CB1339" s="73"/>
      <c r="CC1339" s="73"/>
      <c r="CD1339" s="73"/>
      <c r="CE1339" s="73"/>
      <c r="CF1339" s="73"/>
      <c r="CG1339" s="73"/>
      <c r="CH1339" s="73"/>
    </row>
    <row r="1340">
      <c r="A1340" s="73"/>
      <c r="B1340" s="73"/>
      <c r="C1340" s="73"/>
      <c r="D1340" s="73"/>
      <c r="E1340" s="140"/>
      <c r="F1340" s="80"/>
      <c r="G1340" s="80"/>
      <c r="H1340" s="73"/>
      <c r="I1340" s="73"/>
      <c r="J1340" s="73"/>
      <c r="K1340" s="73"/>
      <c r="L1340" s="73"/>
      <c r="M1340" s="73"/>
      <c r="N1340" s="73"/>
      <c r="O1340" s="73"/>
      <c r="P1340" s="73"/>
      <c r="Q1340" s="73"/>
      <c r="R1340" s="73"/>
      <c r="S1340" s="73"/>
      <c r="T1340" s="73"/>
      <c r="U1340" s="73"/>
      <c r="V1340" s="73"/>
      <c r="W1340" s="73"/>
      <c r="X1340" s="73"/>
      <c r="Y1340" s="73"/>
      <c r="Z1340" s="73"/>
      <c r="AA1340" s="73"/>
      <c r="AB1340" s="73"/>
      <c r="AC1340" s="73"/>
      <c r="AD1340" s="73"/>
      <c r="AE1340" s="73"/>
      <c r="AF1340" s="73"/>
      <c r="AG1340" s="73"/>
      <c r="AH1340" s="73"/>
      <c r="AI1340" s="73"/>
      <c r="AJ1340" s="168"/>
      <c r="AK1340" s="73"/>
      <c r="AL1340" s="73"/>
      <c r="AM1340" s="73"/>
      <c r="AN1340" s="73"/>
      <c r="AO1340" s="73"/>
      <c r="AP1340" s="73"/>
      <c r="AQ1340" s="73"/>
      <c r="AR1340" s="73"/>
      <c r="AS1340" s="73"/>
      <c r="AT1340" s="73"/>
      <c r="AU1340" s="73"/>
      <c r="AV1340" s="73"/>
      <c r="AW1340" s="73"/>
      <c r="AX1340" s="73"/>
      <c r="AY1340" s="73"/>
      <c r="AZ1340" s="73"/>
      <c r="BA1340" s="73"/>
      <c r="BB1340" s="73"/>
      <c r="BC1340" s="73"/>
      <c r="BD1340" s="73"/>
      <c r="BE1340" s="73"/>
      <c r="BF1340" s="75"/>
      <c r="BG1340" s="73"/>
      <c r="BH1340" s="88"/>
      <c r="BI1340" s="73"/>
      <c r="BJ1340" s="73"/>
      <c r="BK1340" s="73"/>
      <c r="BL1340" s="73"/>
      <c r="BM1340" s="73"/>
      <c r="BN1340" s="73"/>
      <c r="BO1340" s="73"/>
      <c r="BP1340" s="73"/>
      <c r="BQ1340" s="73"/>
      <c r="BR1340" s="73"/>
      <c r="BS1340" s="73"/>
      <c r="BT1340" s="73"/>
      <c r="BU1340" s="73"/>
      <c r="BV1340" s="73"/>
      <c r="BW1340" s="73"/>
      <c r="BX1340" s="73"/>
      <c r="BY1340" s="73"/>
      <c r="BZ1340" s="73"/>
      <c r="CA1340" s="73"/>
      <c r="CB1340" s="73"/>
      <c r="CC1340" s="73"/>
      <c r="CD1340" s="73"/>
      <c r="CE1340" s="73"/>
      <c r="CF1340" s="73"/>
      <c r="CG1340" s="73"/>
      <c r="CH1340" s="73"/>
    </row>
    <row r="1341">
      <c r="A1341" s="73"/>
      <c r="B1341" s="73"/>
      <c r="C1341" s="73"/>
      <c r="D1341" s="73"/>
      <c r="E1341" s="140"/>
      <c r="F1341" s="80"/>
      <c r="G1341" s="80"/>
      <c r="H1341" s="73"/>
      <c r="I1341" s="73"/>
      <c r="J1341" s="73"/>
      <c r="K1341" s="73"/>
      <c r="L1341" s="73"/>
      <c r="M1341" s="73"/>
      <c r="N1341" s="73"/>
      <c r="O1341" s="73"/>
      <c r="P1341" s="73"/>
      <c r="Q1341" s="73"/>
      <c r="R1341" s="73"/>
      <c r="S1341" s="73"/>
      <c r="T1341" s="73"/>
      <c r="U1341" s="73"/>
      <c r="V1341" s="73"/>
      <c r="W1341" s="73"/>
      <c r="X1341" s="73"/>
      <c r="Y1341" s="73"/>
      <c r="Z1341" s="73"/>
      <c r="AA1341" s="73"/>
      <c r="AB1341" s="73"/>
      <c r="AC1341" s="73"/>
      <c r="AD1341" s="73"/>
      <c r="AE1341" s="73"/>
      <c r="AF1341" s="73"/>
      <c r="AG1341" s="73"/>
      <c r="AH1341" s="73"/>
      <c r="AI1341" s="73"/>
      <c r="AJ1341" s="168"/>
      <c r="AK1341" s="73"/>
      <c r="AL1341" s="73"/>
      <c r="AM1341" s="73"/>
      <c r="AN1341" s="73"/>
      <c r="AO1341" s="73"/>
      <c r="AP1341" s="73"/>
      <c r="AQ1341" s="73"/>
      <c r="AR1341" s="73"/>
      <c r="AS1341" s="73"/>
      <c r="AT1341" s="73"/>
      <c r="AU1341" s="73"/>
      <c r="AV1341" s="73"/>
      <c r="AW1341" s="73"/>
      <c r="AX1341" s="73"/>
      <c r="AY1341" s="73"/>
      <c r="AZ1341" s="73"/>
      <c r="BA1341" s="73"/>
      <c r="BB1341" s="73"/>
      <c r="BC1341" s="73"/>
      <c r="BD1341" s="73"/>
      <c r="BE1341" s="73"/>
      <c r="BF1341" s="75"/>
      <c r="BG1341" s="73"/>
      <c r="BH1341" s="88"/>
      <c r="BI1341" s="73"/>
      <c r="BJ1341" s="73"/>
      <c r="BK1341" s="73"/>
      <c r="BL1341" s="73"/>
      <c r="BM1341" s="73"/>
      <c r="BN1341" s="73"/>
      <c r="BO1341" s="73"/>
      <c r="BP1341" s="73"/>
      <c r="BQ1341" s="73"/>
      <c r="BR1341" s="73"/>
      <c r="BS1341" s="73"/>
      <c r="BT1341" s="73"/>
      <c r="BU1341" s="73"/>
      <c r="BV1341" s="73"/>
      <c r="BW1341" s="73"/>
      <c r="BX1341" s="73"/>
      <c r="BY1341" s="73"/>
      <c r="BZ1341" s="73"/>
      <c r="CA1341" s="73"/>
      <c r="CB1341" s="73"/>
      <c r="CC1341" s="73"/>
      <c r="CD1341" s="73"/>
      <c r="CE1341" s="73"/>
      <c r="CF1341" s="73"/>
      <c r="CG1341" s="73"/>
      <c r="CH1341" s="73"/>
    </row>
    <row r="1342">
      <c r="A1342" s="73"/>
      <c r="B1342" s="73"/>
      <c r="C1342" s="73"/>
      <c r="D1342" s="73"/>
      <c r="E1342" s="140"/>
      <c r="F1342" s="80"/>
      <c r="G1342" s="80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  <c r="S1342" s="73"/>
      <c r="T1342" s="73"/>
      <c r="U1342" s="73"/>
      <c r="V1342" s="73"/>
      <c r="W1342" s="73"/>
      <c r="X1342" s="73"/>
      <c r="Y1342" s="73"/>
      <c r="Z1342" s="73"/>
      <c r="AA1342" s="73"/>
      <c r="AB1342" s="73"/>
      <c r="AC1342" s="73"/>
      <c r="AD1342" s="73"/>
      <c r="AE1342" s="73"/>
      <c r="AF1342" s="73"/>
      <c r="AG1342" s="73"/>
      <c r="AH1342" s="73"/>
      <c r="AI1342" s="73"/>
      <c r="AJ1342" s="168"/>
      <c r="AK1342" s="73"/>
      <c r="AL1342" s="73"/>
      <c r="AM1342" s="73"/>
      <c r="AN1342" s="73"/>
      <c r="AO1342" s="73"/>
      <c r="AP1342" s="73"/>
      <c r="AQ1342" s="73"/>
      <c r="AR1342" s="73"/>
      <c r="AS1342" s="73"/>
      <c r="AT1342" s="73"/>
      <c r="AU1342" s="73"/>
      <c r="AV1342" s="73"/>
      <c r="AW1342" s="73"/>
      <c r="AX1342" s="73"/>
      <c r="AY1342" s="73"/>
      <c r="AZ1342" s="73"/>
      <c r="BA1342" s="73"/>
      <c r="BB1342" s="73"/>
      <c r="BC1342" s="73"/>
      <c r="BD1342" s="73"/>
      <c r="BE1342" s="73"/>
      <c r="BF1342" s="75"/>
      <c r="BG1342" s="73"/>
      <c r="BH1342" s="88"/>
      <c r="BI1342" s="73"/>
      <c r="BJ1342" s="73"/>
      <c r="BK1342" s="73"/>
      <c r="BL1342" s="73"/>
      <c r="BM1342" s="73"/>
      <c r="BN1342" s="73"/>
      <c r="BO1342" s="73"/>
      <c r="BP1342" s="73"/>
      <c r="BQ1342" s="73"/>
      <c r="BR1342" s="73"/>
      <c r="BS1342" s="73"/>
      <c r="BT1342" s="73"/>
      <c r="BU1342" s="73"/>
      <c r="BV1342" s="73"/>
      <c r="BW1342" s="73"/>
      <c r="BX1342" s="73"/>
      <c r="BY1342" s="73"/>
      <c r="BZ1342" s="73"/>
      <c r="CA1342" s="73"/>
      <c r="CB1342" s="73"/>
      <c r="CC1342" s="73"/>
      <c r="CD1342" s="73"/>
      <c r="CE1342" s="73"/>
      <c r="CF1342" s="73"/>
      <c r="CG1342" s="73"/>
      <c r="CH1342" s="73"/>
    </row>
    <row r="1343">
      <c r="A1343" s="73"/>
      <c r="B1343" s="73"/>
      <c r="C1343" s="73"/>
      <c r="D1343" s="73"/>
      <c r="E1343" s="140"/>
      <c r="F1343" s="80"/>
      <c r="G1343" s="80"/>
      <c r="H1343" s="73"/>
      <c r="I1343" s="73"/>
      <c r="J1343" s="73"/>
      <c r="K1343" s="73"/>
      <c r="L1343" s="73"/>
      <c r="M1343" s="73"/>
      <c r="N1343" s="73"/>
      <c r="O1343" s="73"/>
      <c r="P1343" s="73"/>
      <c r="Q1343" s="73"/>
      <c r="R1343" s="73"/>
      <c r="S1343" s="73"/>
      <c r="T1343" s="73"/>
      <c r="U1343" s="73"/>
      <c r="V1343" s="73"/>
      <c r="W1343" s="73"/>
      <c r="X1343" s="73"/>
      <c r="Y1343" s="73"/>
      <c r="Z1343" s="73"/>
      <c r="AA1343" s="73"/>
      <c r="AB1343" s="73"/>
      <c r="AC1343" s="73"/>
      <c r="AD1343" s="73"/>
      <c r="AE1343" s="73"/>
      <c r="AF1343" s="73"/>
      <c r="AG1343" s="73"/>
      <c r="AH1343" s="73"/>
      <c r="AI1343" s="73"/>
      <c r="AJ1343" s="168"/>
      <c r="AK1343" s="73"/>
      <c r="AL1343" s="73"/>
      <c r="AM1343" s="73"/>
      <c r="AN1343" s="73"/>
      <c r="AO1343" s="73"/>
      <c r="AP1343" s="73"/>
      <c r="AQ1343" s="73"/>
      <c r="AR1343" s="73"/>
      <c r="AS1343" s="73"/>
      <c r="AT1343" s="73"/>
      <c r="AU1343" s="73"/>
      <c r="AV1343" s="73"/>
      <c r="AW1343" s="73"/>
      <c r="AX1343" s="73"/>
      <c r="AY1343" s="73"/>
      <c r="AZ1343" s="73"/>
      <c r="BA1343" s="73"/>
      <c r="BB1343" s="73"/>
      <c r="BC1343" s="73"/>
      <c r="BD1343" s="73"/>
      <c r="BE1343" s="73"/>
      <c r="BF1343" s="75"/>
      <c r="BG1343" s="73"/>
      <c r="BH1343" s="88"/>
      <c r="BI1343" s="73"/>
      <c r="BJ1343" s="73"/>
      <c r="BK1343" s="73"/>
      <c r="BL1343" s="73"/>
      <c r="BM1343" s="73"/>
      <c r="BN1343" s="73"/>
      <c r="BO1343" s="73"/>
      <c r="BP1343" s="73"/>
      <c r="BQ1343" s="73"/>
      <c r="BR1343" s="73"/>
      <c r="BS1343" s="73"/>
      <c r="BT1343" s="73"/>
      <c r="BU1343" s="73"/>
      <c r="BV1343" s="73"/>
      <c r="BW1343" s="73"/>
      <c r="BX1343" s="73"/>
      <c r="BY1343" s="73"/>
      <c r="BZ1343" s="73"/>
      <c r="CA1343" s="73"/>
      <c r="CB1343" s="73"/>
      <c r="CC1343" s="73"/>
      <c r="CD1343" s="73"/>
      <c r="CE1343" s="73"/>
      <c r="CF1343" s="73"/>
      <c r="CG1343" s="73"/>
      <c r="CH1343" s="73"/>
    </row>
    <row r="1344">
      <c r="A1344" s="73"/>
      <c r="B1344" s="73"/>
      <c r="C1344" s="73"/>
      <c r="D1344" s="73"/>
      <c r="E1344" s="140"/>
      <c r="F1344" s="80"/>
      <c r="G1344" s="80"/>
      <c r="H1344" s="73"/>
      <c r="I1344" s="73"/>
      <c r="J1344" s="73"/>
      <c r="K1344" s="73"/>
      <c r="L1344" s="73"/>
      <c r="M1344" s="73"/>
      <c r="N1344" s="73"/>
      <c r="O1344" s="73"/>
      <c r="P1344" s="73"/>
      <c r="Q1344" s="73"/>
      <c r="R1344" s="73"/>
      <c r="S1344" s="73"/>
      <c r="T1344" s="73"/>
      <c r="U1344" s="73"/>
      <c r="V1344" s="73"/>
      <c r="W1344" s="73"/>
      <c r="X1344" s="73"/>
      <c r="Y1344" s="73"/>
      <c r="Z1344" s="73"/>
      <c r="AA1344" s="73"/>
      <c r="AB1344" s="73"/>
      <c r="AC1344" s="73"/>
      <c r="AD1344" s="73"/>
      <c r="AE1344" s="73"/>
      <c r="AF1344" s="73"/>
      <c r="AG1344" s="73"/>
      <c r="AH1344" s="73"/>
      <c r="AI1344" s="73"/>
      <c r="AJ1344" s="168"/>
      <c r="AK1344" s="73"/>
      <c r="AL1344" s="73"/>
      <c r="AM1344" s="73"/>
      <c r="AN1344" s="73"/>
      <c r="AO1344" s="73"/>
      <c r="AP1344" s="73"/>
      <c r="AQ1344" s="73"/>
      <c r="AR1344" s="73"/>
      <c r="AS1344" s="73"/>
      <c r="AT1344" s="73"/>
      <c r="AU1344" s="73"/>
      <c r="AV1344" s="73"/>
      <c r="AW1344" s="73"/>
      <c r="AX1344" s="73"/>
      <c r="AY1344" s="73"/>
      <c r="AZ1344" s="73"/>
      <c r="BA1344" s="73"/>
      <c r="BB1344" s="73"/>
      <c r="BC1344" s="73"/>
      <c r="BD1344" s="73"/>
      <c r="BE1344" s="73"/>
      <c r="BF1344" s="75"/>
      <c r="BG1344" s="73"/>
      <c r="BH1344" s="88"/>
      <c r="BI1344" s="73"/>
      <c r="BJ1344" s="73"/>
      <c r="BK1344" s="73"/>
      <c r="BL1344" s="73"/>
      <c r="BM1344" s="73"/>
      <c r="BN1344" s="73"/>
      <c r="BO1344" s="73"/>
      <c r="BP1344" s="73"/>
      <c r="BQ1344" s="73"/>
      <c r="BR1344" s="73"/>
      <c r="BS1344" s="73"/>
      <c r="BT1344" s="73"/>
      <c r="BU1344" s="73"/>
      <c r="BV1344" s="73"/>
      <c r="BW1344" s="73"/>
      <c r="BX1344" s="73"/>
      <c r="BY1344" s="73"/>
      <c r="BZ1344" s="73"/>
      <c r="CA1344" s="73"/>
      <c r="CB1344" s="73"/>
      <c r="CC1344" s="73"/>
      <c r="CD1344" s="73"/>
      <c r="CE1344" s="73"/>
      <c r="CF1344" s="73"/>
      <c r="CG1344" s="73"/>
      <c r="CH1344" s="73"/>
    </row>
    <row r="1345">
      <c r="A1345" s="73"/>
      <c r="B1345" s="73"/>
      <c r="C1345" s="73"/>
      <c r="D1345" s="73"/>
      <c r="E1345" s="140"/>
      <c r="F1345" s="80"/>
      <c r="G1345" s="80"/>
      <c r="H1345" s="73"/>
      <c r="I1345" s="73"/>
      <c r="J1345" s="73"/>
      <c r="K1345" s="73"/>
      <c r="L1345" s="73"/>
      <c r="M1345" s="73"/>
      <c r="N1345" s="73"/>
      <c r="O1345" s="73"/>
      <c r="P1345" s="73"/>
      <c r="Q1345" s="73"/>
      <c r="R1345" s="73"/>
      <c r="S1345" s="73"/>
      <c r="T1345" s="73"/>
      <c r="U1345" s="73"/>
      <c r="V1345" s="73"/>
      <c r="W1345" s="73"/>
      <c r="X1345" s="73"/>
      <c r="Y1345" s="73"/>
      <c r="Z1345" s="73"/>
      <c r="AA1345" s="73"/>
      <c r="AB1345" s="73"/>
      <c r="AC1345" s="73"/>
      <c r="AD1345" s="73"/>
      <c r="AE1345" s="73"/>
      <c r="AF1345" s="73"/>
      <c r="AG1345" s="73"/>
      <c r="AH1345" s="73"/>
      <c r="AI1345" s="73"/>
      <c r="AJ1345" s="168"/>
      <c r="AK1345" s="73"/>
      <c r="AL1345" s="73"/>
      <c r="AM1345" s="73"/>
      <c r="AN1345" s="73"/>
      <c r="AO1345" s="73"/>
      <c r="AP1345" s="73"/>
      <c r="AQ1345" s="73"/>
      <c r="AR1345" s="73"/>
      <c r="AS1345" s="73"/>
      <c r="AT1345" s="73"/>
      <c r="AU1345" s="73"/>
      <c r="AV1345" s="73"/>
      <c r="AW1345" s="73"/>
      <c r="AX1345" s="73"/>
      <c r="AY1345" s="73"/>
      <c r="AZ1345" s="73"/>
      <c r="BA1345" s="73"/>
      <c r="BB1345" s="73"/>
      <c r="BC1345" s="73"/>
      <c r="BD1345" s="73"/>
      <c r="BE1345" s="73"/>
      <c r="BF1345" s="75"/>
      <c r="BG1345" s="73"/>
      <c r="BH1345" s="88"/>
      <c r="BI1345" s="73"/>
      <c r="BJ1345" s="73"/>
      <c r="BK1345" s="73"/>
      <c r="BL1345" s="73"/>
      <c r="BM1345" s="73"/>
      <c r="BN1345" s="73"/>
      <c r="BO1345" s="73"/>
      <c r="BP1345" s="73"/>
      <c r="BQ1345" s="73"/>
      <c r="BR1345" s="73"/>
      <c r="BS1345" s="73"/>
      <c r="BT1345" s="73"/>
      <c r="BU1345" s="73"/>
      <c r="BV1345" s="73"/>
      <c r="BW1345" s="73"/>
      <c r="BX1345" s="73"/>
      <c r="BY1345" s="73"/>
      <c r="BZ1345" s="73"/>
      <c r="CA1345" s="73"/>
      <c r="CB1345" s="73"/>
      <c r="CC1345" s="73"/>
      <c r="CD1345" s="73"/>
      <c r="CE1345" s="73"/>
      <c r="CF1345" s="73"/>
      <c r="CG1345" s="73"/>
      <c r="CH1345" s="73"/>
    </row>
    <row r="1346">
      <c r="A1346" s="73"/>
      <c r="B1346" s="73"/>
      <c r="C1346" s="73"/>
      <c r="D1346" s="73"/>
      <c r="E1346" s="140"/>
      <c r="F1346" s="80"/>
      <c r="G1346" s="80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  <c r="S1346" s="73"/>
      <c r="T1346" s="73"/>
      <c r="U1346" s="73"/>
      <c r="V1346" s="73"/>
      <c r="W1346" s="73"/>
      <c r="X1346" s="73"/>
      <c r="Y1346" s="73"/>
      <c r="Z1346" s="73"/>
      <c r="AA1346" s="73"/>
      <c r="AB1346" s="73"/>
      <c r="AC1346" s="73"/>
      <c r="AD1346" s="73"/>
      <c r="AE1346" s="73"/>
      <c r="AF1346" s="73"/>
      <c r="AG1346" s="73"/>
      <c r="AH1346" s="73"/>
      <c r="AI1346" s="73"/>
      <c r="AJ1346" s="168"/>
      <c r="AK1346" s="73"/>
      <c r="AL1346" s="73"/>
      <c r="AM1346" s="73"/>
      <c r="AN1346" s="73"/>
      <c r="AO1346" s="73"/>
      <c r="AP1346" s="73"/>
      <c r="AQ1346" s="73"/>
      <c r="AR1346" s="73"/>
      <c r="AS1346" s="73"/>
      <c r="AT1346" s="73"/>
      <c r="AU1346" s="73"/>
      <c r="AV1346" s="73"/>
      <c r="AW1346" s="73"/>
      <c r="AX1346" s="73"/>
      <c r="AY1346" s="73"/>
      <c r="AZ1346" s="73"/>
      <c r="BA1346" s="73"/>
      <c r="BB1346" s="73"/>
      <c r="BC1346" s="73"/>
      <c r="BD1346" s="73"/>
      <c r="BE1346" s="73"/>
      <c r="BF1346" s="75"/>
      <c r="BG1346" s="73"/>
      <c r="BH1346" s="88"/>
      <c r="BI1346" s="73"/>
      <c r="BJ1346" s="73"/>
      <c r="BK1346" s="73"/>
      <c r="BL1346" s="73"/>
      <c r="BM1346" s="73"/>
      <c r="BN1346" s="73"/>
      <c r="BO1346" s="73"/>
      <c r="BP1346" s="73"/>
      <c r="BQ1346" s="73"/>
      <c r="BR1346" s="73"/>
      <c r="BS1346" s="73"/>
      <c r="BT1346" s="73"/>
      <c r="BU1346" s="73"/>
      <c r="BV1346" s="73"/>
      <c r="BW1346" s="73"/>
      <c r="BX1346" s="73"/>
      <c r="BY1346" s="73"/>
      <c r="BZ1346" s="73"/>
      <c r="CA1346" s="73"/>
      <c r="CB1346" s="73"/>
      <c r="CC1346" s="73"/>
      <c r="CD1346" s="73"/>
      <c r="CE1346" s="73"/>
      <c r="CF1346" s="73"/>
      <c r="CG1346" s="73"/>
      <c r="CH1346" s="73"/>
    </row>
    <row r="1347">
      <c r="A1347" s="73"/>
      <c r="B1347" s="73"/>
      <c r="C1347" s="73"/>
      <c r="D1347" s="73"/>
      <c r="E1347" s="140"/>
      <c r="F1347" s="80"/>
      <c r="G1347" s="80"/>
      <c r="H1347" s="73"/>
      <c r="I1347" s="73"/>
      <c r="J1347" s="73"/>
      <c r="K1347" s="73"/>
      <c r="L1347" s="73"/>
      <c r="M1347" s="73"/>
      <c r="N1347" s="73"/>
      <c r="O1347" s="73"/>
      <c r="P1347" s="73"/>
      <c r="Q1347" s="73"/>
      <c r="R1347" s="73"/>
      <c r="S1347" s="73"/>
      <c r="T1347" s="73"/>
      <c r="U1347" s="73"/>
      <c r="V1347" s="73"/>
      <c r="W1347" s="73"/>
      <c r="X1347" s="73"/>
      <c r="Y1347" s="73"/>
      <c r="Z1347" s="73"/>
      <c r="AA1347" s="73"/>
      <c r="AB1347" s="73"/>
      <c r="AC1347" s="73"/>
      <c r="AD1347" s="73"/>
      <c r="AE1347" s="73"/>
      <c r="AF1347" s="73"/>
      <c r="AG1347" s="73"/>
      <c r="AH1347" s="73"/>
      <c r="AI1347" s="73"/>
      <c r="AJ1347" s="168"/>
      <c r="AK1347" s="73"/>
      <c r="AL1347" s="73"/>
      <c r="AM1347" s="73"/>
      <c r="AN1347" s="73"/>
      <c r="AO1347" s="73"/>
      <c r="AP1347" s="73"/>
      <c r="AQ1347" s="73"/>
      <c r="AR1347" s="73"/>
      <c r="AS1347" s="73"/>
      <c r="AT1347" s="73"/>
      <c r="AU1347" s="73"/>
      <c r="AV1347" s="73"/>
      <c r="AW1347" s="73"/>
      <c r="AX1347" s="73"/>
      <c r="AY1347" s="73"/>
      <c r="AZ1347" s="73"/>
      <c r="BA1347" s="73"/>
      <c r="BB1347" s="73"/>
      <c r="BC1347" s="73"/>
      <c r="BD1347" s="73"/>
      <c r="BE1347" s="73"/>
      <c r="BF1347" s="75"/>
      <c r="BG1347" s="73"/>
      <c r="BH1347" s="88"/>
      <c r="BI1347" s="73"/>
      <c r="BJ1347" s="73"/>
      <c r="BK1347" s="73"/>
      <c r="BL1347" s="73"/>
      <c r="BM1347" s="73"/>
      <c r="BN1347" s="73"/>
      <c r="BO1347" s="73"/>
      <c r="BP1347" s="73"/>
      <c r="BQ1347" s="73"/>
      <c r="BR1347" s="73"/>
      <c r="BS1347" s="73"/>
      <c r="BT1347" s="73"/>
      <c r="BU1347" s="73"/>
      <c r="BV1347" s="73"/>
      <c r="BW1347" s="73"/>
      <c r="BX1347" s="73"/>
      <c r="BY1347" s="73"/>
      <c r="BZ1347" s="73"/>
      <c r="CA1347" s="73"/>
      <c r="CB1347" s="73"/>
      <c r="CC1347" s="73"/>
      <c r="CD1347" s="73"/>
      <c r="CE1347" s="73"/>
      <c r="CF1347" s="73"/>
      <c r="CG1347" s="73"/>
      <c r="CH1347" s="73"/>
    </row>
    <row r="1348">
      <c r="A1348" s="73"/>
      <c r="B1348" s="73"/>
      <c r="C1348" s="73"/>
      <c r="D1348" s="73"/>
      <c r="E1348" s="140"/>
      <c r="F1348" s="80"/>
      <c r="G1348" s="80"/>
      <c r="H1348" s="73"/>
      <c r="I1348" s="73"/>
      <c r="J1348" s="73"/>
      <c r="K1348" s="73"/>
      <c r="L1348" s="73"/>
      <c r="M1348" s="73"/>
      <c r="N1348" s="73"/>
      <c r="O1348" s="73"/>
      <c r="P1348" s="73"/>
      <c r="Q1348" s="73"/>
      <c r="R1348" s="73"/>
      <c r="S1348" s="73"/>
      <c r="T1348" s="73"/>
      <c r="U1348" s="73"/>
      <c r="V1348" s="73"/>
      <c r="W1348" s="73"/>
      <c r="X1348" s="73"/>
      <c r="Y1348" s="73"/>
      <c r="Z1348" s="73"/>
      <c r="AA1348" s="73"/>
      <c r="AB1348" s="73"/>
      <c r="AC1348" s="73"/>
      <c r="AD1348" s="73"/>
      <c r="AE1348" s="73"/>
      <c r="AF1348" s="73"/>
      <c r="AG1348" s="73"/>
      <c r="AH1348" s="73"/>
      <c r="AI1348" s="73"/>
      <c r="AJ1348" s="168"/>
      <c r="AK1348" s="73"/>
      <c r="AL1348" s="73"/>
      <c r="AM1348" s="73"/>
      <c r="AN1348" s="73"/>
      <c r="AO1348" s="73"/>
      <c r="AP1348" s="73"/>
      <c r="AQ1348" s="73"/>
      <c r="AR1348" s="73"/>
      <c r="AS1348" s="73"/>
      <c r="AT1348" s="73"/>
      <c r="AU1348" s="73"/>
      <c r="AV1348" s="73"/>
      <c r="AW1348" s="73"/>
      <c r="AX1348" s="73"/>
      <c r="AY1348" s="73"/>
      <c r="AZ1348" s="73"/>
      <c r="BA1348" s="73"/>
      <c r="BB1348" s="73"/>
      <c r="BC1348" s="73"/>
      <c r="BD1348" s="73"/>
      <c r="BE1348" s="73"/>
      <c r="BF1348" s="75"/>
      <c r="BG1348" s="73"/>
      <c r="BH1348" s="88"/>
      <c r="BI1348" s="73"/>
      <c r="BJ1348" s="73"/>
      <c r="BK1348" s="73"/>
      <c r="BL1348" s="73"/>
      <c r="BM1348" s="73"/>
      <c r="BN1348" s="73"/>
      <c r="BO1348" s="73"/>
      <c r="BP1348" s="73"/>
      <c r="BQ1348" s="73"/>
      <c r="BR1348" s="73"/>
      <c r="BS1348" s="73"/>
      <c r="BT1348" s="73"/>
      <c r="BU1348" s="73"/>
      <c r="BV1348" s="73"/>
      <c r="BW1348" s="73"/>
      <c r="BX1348" s="73"/>
      <c r="BY1348" s="73"/>
      <c r="BZ1348" s="73"/>
      <c r="CA1348" s="73"/>
      <c r="CB1348" s="73"/>
      <c r="CC1348" s="73"/>
      <c r="CD1348" s="73"/>
      <c r="CE1348" s="73"/>
      <c r="CF1348" s="73"/>
      <c r="CG1348" s="73"/>
      <c r="CH1348" s="73"/>
    </row>
    <row r="1349">
      <c r="A1349" s="73"/>
      <c r="B1349" s="73"/>
      <c r="C1349" s="73"/>
      <c r="D1349" s="73"/>
      <c r="E1349" s="140"/>
      <c r="F1349" s="80"/>
      <c r="G1349" s="80"/>
      <c r="H1349" s="73"/>
      <c r="I1349" s="73"/>
      <c r="J1349" s="73"/>
      <c r="K1349" s="73"/>
      <c r="L1349" s="73"/>
      <c r="M1349" s="73"/>
      <c r="N1349" s="73"/>
      <c r="O1349" s="73"/>
      <c r="P1349" s="73"/>
      <c r="Q1349" s="73"/>
      <c r="R1349" s="73"/>
      <c r="S1349" s="73"/>
      <c r="T1349" s="73"/>
      <c r="U1349" s="73"/>
      <c r="V1349" s="73"/>
      <c r="W1349" s="73"/>
      <c r="X1349" s="73"/>
      <c r="Y1349" s="73"/>
      <c r="Z1349" s="73"/>
      <c r="AA1349" s="73"/>
      <c r="AB1349" s="73"/>
      <c r="AC1349" s="73"/>
      <c r="AD1349" s="73"/>
      <c r="AE1349" s="73"/>
      <c r="AF1349" s="73"/>
      <c r="AG1349" s="73"/>
      <c r="AH1349" s="73"/>
      <c r="AI1349" s="73"/>
      <c r="AJ1349" s="168"/>
      <c r="AK1349" s="73"/>
      <c r="AL1349" s="73"/>
      <c r="AM1349" s="73"/>
      <c r="AN1349" s="73"/>
      <c r="AO1349" s="73"/>
      <c r="AP1349" s="73"/>
      <c r="AQ1349" s="73"/>
      <c r="AR1349" s="73"/>
      <c r="AS1349" s="73"/>
      <c r="AT1349" s="73"/>
      <c r="AU1349" s="73"/>
      <c r="AV1349" s="73"/>
      <c r="AW1349" s="73"/>
      <c r="AX1349" s="73"/>
      <c r="AY1349" s="73"/>
      <c r="AZ1349" s="73"/>
      <c r="BA1349" s="73"/>
      <c r="BB1349" s="73"/>
      <c r="BC1349" s="73"/>
      <c r="BD1349" s="73"/>
      <c r="BE1349" s="73"/>
      <c r="BF1349" s="75"/>
      <c r="BG1349" s="73"/>
      <c r="BH1349" s="88"/>
      <c r="BI1349" s="73"/>
      <c r="BJ1349" s="73"/>
      <c r="BK1349" s="73"/>
      <c r="BL1349" s="73"/>
      <c r="BM1349" s="73"/>
      <c r="BN1349" s="73"/>
      <c r="BO1349" s="73"/>
      <c r="BP1349" s="73"/>
      <c r="BQ1349" s="73"/>
      <c r="BR1349" s="73"/>
      <c r="BS1349" s="73"/>
      <c r="BT1349" s="73"/>
      <c r="BU1349" s="73"/>
      <c r="BV1349" s="73"/>
      <c r="BW1349" s="73"/>
      <c r="BX1349" s="73"/>
      <c r="BY1349" s="73"/>
      <c r="BZ1349" s="73"/>
      <c r="CA1349" s="73"/>
      <c r="CB1349" s="73"/>
      <c r="CC1349" s="73"/>
      <c r="CD1349" s="73"/>
      <c r="CE1349" s="73"/>
      <c r="CF1349" s="73"/>
      <c r="CG1349" s="73"/>
      <c r="CH1349" s="73"/>
    </row>
    <row r="1350">
      <c r="A1350" s="73"/>
      <c r="B1350" s="73"/>
      <c r="C1350" s="73"/>
      <c r="D1350" s="73"/>
      <c r="E1350" s="140"/>
      <c r="F1350" s="80"/>
      <c r="G1350" s="80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  <c r="S1350" s="73"/>
      <c r="T1350" s="73"/>
      <c r="U1350" s="73"/>
      <c r="V1350" s="73"/>
      <c r="W1350" s="73"/>
      <c r="X1350" s="73"/>
      <c r="Y1350" s="73"/>
      <c r="Z1350" s="73"/>
      <c r="AA1350" s="73"/>
      <c r="AB1350" s="73"/>
      <c r="AC1350" s="73"/>
      <c r="AD1350" s="73"/>
      <c r="AE1350" s="73"/>
      <c r="AF1350" s="73"/>
      <c r="AG1350" s="73"/>
      <c r="AH1350" s="73"/>
      <c r="AI1350" s="73"/>
      <c r="AJ1350" s="168"/>
      <c r="AK1350" s="73"/>
      <c r="AL1350" s="73"/>
      <c r="AM1350" s="73"/>
      <c r="AN1350" s="73"/>
      <c r="AO1350" s="73"/>
      <c r="AP1350" s="73"/>
      <c r="AQ1350" s="73"/>
      <c r="AR1350" s="73"/>
      <c r="AS1350" s="73"/>
      <c r="AT1350" s="73"/>
      <c r="AU1350" s="73"/>
      <c r="AV1350" s="73"/>
      <c r="AW1350" s="73"/>
      <c r="AX1350" s="73"/>
      <c r="AY1350" s="73"/>
      <c r="AZ1350" s="73"/>
      <c r="BA1350" s="73"/>
      <c r="BB1350" s="73"/>
      <c r="BC1350" s="73"/>
      <c r="BD1350" s="73"/>
      <c r="BE1350" s="73"/>
      <c r="BF1350" s="75"/>
      <c r="BG1350" s="73"/>
      <c r="BH1350" s="88"/>
      <c r="BI1350" s="73"/>
      <c r="BJ1350" s="73"/>
      <c r="BK1350" s="73"/>
      <c r="BL1350" s="73"/>
      <c r="BM1350" s="73"/>
      <c r="BN1350" s="73"/>
      <c r="BO1350" s="73"/>
      <c r="BP1350" s="73"/>
      <c r="BQ1350" s="73"/>
      <c r="BR1350" s="73"/>
      <c r="BS1350" s="73"/>
      <c r="BT1350" s="73"/>
      <c r="BU1350" s="73"/>
      <c r="BV1350" s="73"/>
      <c r="BW1350" s="73"/>
      <c r="BX1350" s="73"/>
      <c r="BY1350" s="73"/>
      <c r="BZ1350" s="73"/>
      <c r="CA1350" s="73"/>
      <c r="CB1350" s="73"/>
      <c r="CC1350" s="73"/>
      <c r="CD1350" s="73"/>
      <c r="CE1350" s="73"/>
      <c r="CF1350" s="73"/>
      <c r="CG1350" s="73"/>
      <c r="CH1350" s="73"/>
    </row>
    <row r="1351">
      <c r="A1351" s="73"/>
      <c r="B1351" s="73"/>
      <c r="C1351" s="73"/>
      <c r="D1351" s="73"/>
      <c r="E1351" s="140"/>
      <c r="F1351" s="80"/>
      <c r="G1351" s="80"/>
      <c r="H1351" s="73"/>
      <c r="I1351" s="73"/>
      <c r="J1351" s="73"/>
      <c r="K1351" s="73"/>
      <c r="L1351" s="73"/>
      <c r="M1351" s="73"/>
      <c r="N1351" s="73"/>
      <c r="O1351" s="73"/>
      <c r="P1351" s="73"/>
      <c r="Q1351" s="73"/>
      <c r="R1351" s="73"/>
      <c r="S1351" s="73"/>
      <c r="T1351" s="73"/>
      <c r="U1351" s="73"/>
      <c r="V1351" s="73"/>
      <c r="W1351" s="73"/>
      <c r="X1351" s="73"/>
      <c r="Y1351" s="73"/>
      <c r="Z1351" s="73"/>
      <c r="AA1351" s="73"/>
      <c r="AB1351" s="73"/>
      <c r="AC1351" s="73"/>
      <c r="AD1351" s="73"/>
      <c r="AE1351" s="73"/>
      <c r="AF1351" s="73"/>
      <c r="AG1351" s="73"/>
      <c r="AH1351" s="73"/>
      <c r="AI1351" s="73"/>
      <c r="AJ1351" s="168"/>
      <c r="AK1351" s="73"/>
      <c r="AL1351" s="73"/>
      <c r="AM1351" s="73"/>
      <c r="AN1351" s="73"/>
      <c r="AO1351" s="73"/>
      <c r="AP1351" s="73"/>
      <c r="AQ1351" s="73"/>
      <c r="AR1351" s="73"/>
      <c r="AS1351" s="73"/>
      <c r="AT1351" s="73"/>
      <c r="AU1351" s="73"/>
      <c r="AV1351" s="73"/>
      <c r="AW1351" s="73"/>
      <c r="AX1351" s="73"/>
      <c r="AY1351" s="73"/>
      <c r="AZ1351" s="73"/>
      <c r="BA1351" s="73"/>
      <c r="BB1351" s="73"/>
      <c r="BC1351" s="73"/>
      <c r="BD1351" s="73"/>
      <c r="BE1351" s="73"/>
      <c r="BF1351" s="75"/>
      <c r="BG1351" s="73"/>
      <c r="BH1351" s="88"/>
      <c r="BI1351" s="73"/>
      <c r="BJ1351" s="73"/>
      <c r="BK1351" s="73"/>
      <c r="BL1351" s="73"/>
      <c r="BM1351" s="73"/>
      <c r="BN1351" s="73"/>
      <c r="BO1351" s="73"/>
      <c r="BP1351" s="73"/>
      <c r="BQ1351" s="73"/>
      <c r="BR1351" s="73"/>
      <c r="BS1351" s="73"/>
      <c r="BT1351" s="73"/>
      <c r="BU1351" s="73"/>
      <c r="BV1351" s="73"/>
      <c r="BW1351" s="73"/>
      <c r="BX1351" s="73"/>
      <c r="BY1351" s="73"/>
      <c r="BZ1351" s="73"/>
      <c r="CA1351" s="73"/>
      <c r="CB1351" s="73"/>
      <c r="CC1351" s="73"/>
      <c r="CD1351" s="73"/>
      <c r="CE1351" s="73"/>
      <c r="CF1351" s="73"/>
      <c r="CG1351" s="73"/>
      <c r="CH1351" s="73"/>
    </row>
    <row r="1352">
      <c r="A1352" s="73"/>
      <c r="B1352" s="73"/>
      <c r="C1352" s="73"/>
      <c r="D1352" s="73"/>
      <c r="E1352" s="140"/>
      <c r="F1352" s="80"/>
      <c r="G1352" s="80"/>
      <c r="H1352" s="73"/>
      <c r="I1352" s="73"/>
      <c r="J1352" s="73"/>
      <c r="K1352" s="73"/>
      <c r="L1352" s="73"/>
      <c r="M1352" s="73"/>
      <c r="N1352" s="73"/>
      <c r="O1352" s="73"/>
      <c r="P1352" s="73"/>
      <c r="Q1352" s="73"/>
      <c r="R1352" s="73"/>
      <c r="S1352" s="73"/>
      <c r="T1352" s="73"/>
      <c r="U1352" s="73"/>
      <c r="V1352" s="73"/>
      <c r="W1352" s="73"/>
      <c r="X1352" s="73"/>
      <c r="Y1352" s="73"/>
      <c r="Z1352" s="73"/>
      <c r="AA1352" s="73"/>
      <c r="AB1352" s="73"/>
      <c r="AC1352" s="73"/>
      <c r="AD1352" s="73"/>
      <c r="AE1352" s="73"/>
      <c r="AF1352" s="73"/>
      <c r="AG1352" s="73"/>
      <c r="AH1352" s="73"/>
      <c r="AI1352" s="73"/>
      <c r="AJ1352" s="168"/>
      <c r="AK1352" s="73"/>
      <c r="AL1352" s="73"/>
      <c r="AM1352" s="73"/>
      <c r="AN1352" s="73"/>
      <c r="AO1352" s="73"/>
      <c r="AP1352" s="73"/>
      <c r="AQ1352" s="73"/>
      <c r="AR1352" s="73"/>
      <c r="AS1352" s="73"/>
      <c r="AT1352" s="73"/>
      <c r="AU1352" s="73"/>
      <c r="AV1352" s="73"/>
      <c r="AW1352" s="73"/>
      <c r="AX1352" s="73"/>
      <c r="AY1352" s="73"/>
      <c r="AZ1352" s="73"/>
      <c r="BA1352" s="73"/>
      <c r="BB1352" s="73"/>
      <c r="BC1352" s="73"/>
      <c r="BD1352" s="73"/>
      <c r="BE1352" s="73"/>
      <c r="BF1352" s="75"/>
      <c r="BG1352" s="73"/>
      <c r="BH1352" s="88"/>
      <c r="BI1352" s="73"/>
      <c r="BJ1352" s="73"/>
      <c r="BK1352" s="73"/>
      <c r="BL1352" s="73"/>
      <c r="BM1352" s="73"/>
      <c r="BN1352" s="73"/>
      <c r="BO1352" s="73"/>
      <c r="BP1352" s="73"/>
      <c r="BQ1352" s="73"/>
      <c r="BR1352" s="73"/>
      <c r="BS1352" s="73"/>
      <c r="BT1352" s="73"/>
      <c r="BU1352" s="73"/>
      <c r="BV1352" s="73"/>
      <c r="BW1352" s="73"/>
      <c r="BX1352" s="73"/>
      <c r="BY1352" s="73"/>
      <c r="BZ1352" s="73"/>
      <c r="CA1352" s="73"/>
      <c r="CB1352" s="73"/>
      <c r="CC1352" s="73"/>
      <c r="CD1352" s="73"/>
      <c r="CE1352" s="73"/>
      <c r="CF1352" s="73"/>
      <c r="CG1352" s="73"/>
      <c r="CH1352" s="73"/>
    </row>
    <row r="1353">
      <c r="A1353" s="73"/>
      <c r="B1353" s="73"/>
      <c r="C1353" s="73"/>
      <c r="D1353" s="73"/>
      <c r="E1353" s="140"/>
      <c r="F1353" s="80"/>
      <c r="G1353" s="80"/>
      <c r="H1353" s="73"/>
      <c r="I1353" s="73"/>
      <c r="J1353" s="73"/>
      <c r="K1353" s="73"/>
      <c r="L1353" s="73"/>
      <c r="M1353" s="73"/>
      <c r="N1353" s="73"/>
      <c r="O1353" s="73"/>
      <c r="P1353" s="73"/>
      <c r="Q1353" s="73"/>
      <c r="R1353" s="73"/>
      <c r="S1353" s="73"/>
      <c r="T1353" s="73"/>
      <c r="U1353" s="73"/>
      <c r="V1353" s="73"/>
      <c r="W1353" s="73"/>
      <c r="X1353" s="73"/>
      <c r="Y1353" s="73"/>
      <c r="Z1353" s="73"/>
      <c r="AA1353" s="73"/>
      <c r="AB1353" s="73"/>
      <c r="AC1353" s="73"/>
      <c r="AD1353" s="73"/>
      <c r="AE1353" s="73"/>
      <c r="AF1353" s="73"/>
      <c r="AG1353" s="73"/>
      <c r="AH1353" s="73"/>
      <c r="AI1353" s="73"/>
      <c r="AJ1353" s="168"/>
      <c r="AK1353" s="73"/>
      <c r="AL1353" s="73"/>
      <c r="AM1353" s="73"/>
      <c r="AN1353" s="73"/>
      <c r="AO1353" s="73"/>
      <c r="AP1353" s="73"/>
      <c r="AQ1353" s="73"/>
      <c r="AR1353" s="73"/>
      <c r="AS1353" s="73"/>
      <c r="AT1353" s="73"/>
      <c r="AU1353" s="73"/>
      <c r="AV1353" s="73"/>
      <c r="AW1353" s="73"/>
      <c r="AX1353" s="73"/>
      <c r="AY1353" s="73"/>
      <c r="AZ1353" s="73"/>
      <c r="BA1353" s="73"/>
      <c r="BB1353" s="73"/>
      <c r="BC1353" s="73"/>
      <c r="BD1353" s="73"/>
      <c r="BE1353" s="73"/>
      <c r="BF1353" s="75"/>
      <c r="BG1353" s="73"/>
      <c r="BH1353" s="88"/>
      <c r="BI1353" s="73"/>
      <c r="BJ1353" s="73"/>
      <c r="BK1353" s="73"/>
      <c r="BL1353" s="73"/>
      <c r="BM1353" s="73"/>
      <c r="BN1353" s="73"/>
      <c r="BO1353" s="73"/>
      <c r="BP1353" s="73"/>
      <c r="BQ1353" s="73"/>
      <c r="BR1353" s="73"/>
      <c r="BS1353" s="73"/>
      <c r="BT1353" s="73"/>
      <c r="BU1353" s="73"/>
      <c r="BV1353" s="73"/>
      <c r="BW1353" s="73"/>
      <c r="BX1353" s="73"/>
      <c r="BY1353" s="73"/>
      <c r="BZ1353" s="73"/>
      <c r="CA1353" s="73"/>
      <c r="CB1353" s="73"/>
      <c r="CC1353" s="73"/>
      <c r="CD1353" s="73"/>
      <c r="CE1353" s="73"/>
      <c r="CF1353" s="73"/>
      <c r="CG1353" s="73"/>
      <c r="CH1353" s="73"/>
    </row>
    <row r="1354">
      <c r="A1354" s="73"/>
      <c r="B1354" s="73"/>
      <c r="C1354" s="73"/>
      <c r="D1354" s="73"/>
      <c r="E1354" s="140"/>
      <c r="F1354" s="80"/>
      <c r="G1354" s="80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  <c r="S1354" s="73"/>
      <c r="T1354" s="73"/>
      <c r="U1354" s="73"/>
      <c r="V1354" s="73"/>
      <c r="W1354" s="73"/>
      <c r="X1354" s="73"/>
      <c r="Y1354" s="73"/>
      <c r="Z1354" s="73"/>
      <c r="AA1354" s="73"/>
      <c r="AB1354" s="73"/>
      <c r="AC1354" s="73"/>
      <c r="AD1354" s="73"/>
      <c r="AE1354" s="73"/>
      <c r="AF1354" s="73"/>
      <c r="AG1354" s="73"/>
      <c r="AH1354" s="73"/>
      <c r="AI1354" s="73"/>
      <c r="AJ1354" s="168"/>
      <c r="AK1354" s="73"/>
      <c r="AL1354" s="73"/>
      <c r="AM1354" s="73"/>
      <c r="AN1354" s="73"/>
      <c r="AO1354" s="73"/>
      <c r="AP1354" s="73"/>
      <c r="AQ1354" s="73"/>
      <c r="AR1354" s="73"/>
      <c r="AS1354" s="73"/>
      <c r="AT1354" s="73"/>
      <c r="AU1354" s="73"/>
      <c r="AV1354" s="73"/>
      <c r="AW1354" s="73"/>
      <c r="AX1354" s="73"/>
      <c r="AY1354" s="73"/>
      <c r="AZ1354" s="73"/>
      <c r="BA1354" s="73"/>
      <c r="BB1354" s="73"/>
      <c r="BC1354" s="73"/>
      <c r="BD1354" s="73"/>
      <c r="BE1354" s="73"/>
      <c r="BF1354" s="75"/>
      <c r="BG1354" s="73"/>
      <c r="BH1354" s="88"/>
      <c r="BI1354" s="73"/>
      <c r="BJ1354" s="73"/>
      <c r="BK1354" s="73"/>
      <c r="BL1354" s="73"/>
      <c r="BM1354" s="73"/>
      <c r="BN1354" s="73"/>
      <c r="BO1354" s="73"/>
      <c r="BP1354" s="73"/>
      <c r="BQ1354" s="73"/>
      <c r="BR1354" s="73"/>
      <c r="BS1354" s="73"/>
      <c r="BT1354" s="73"/>
      <c r="BU1354" s="73"/>
      <c r="BV1354" s="73"/>
      <c r="BW1354" s="73"/>
      <c r="BX1354" s="73"/>
      <c r="BY1354" s="73"/>
      <c r="BZ1354" s="73"/>
      <c r="CA1354" s="73"/>
      <c r="CB1354" s="73"/>
      <c r="CC1354" s="73"/>
      <c r="CD1354" s="73"/>
      <c r="CE1354" s="73"/>
      <c r="CF1354" s="73"/>
      <c r="CG1354" s="73"/>
      <c r="CH1354" s="73"/>
    </row>
    <row r="1355">
      <c r="A1355" s="73"/>
      <c r="B1355" s="73"/>
      <c r="C1355" s="73"/>
      <c r="D1355" s="73"/>
      <c r="E1355" s="140"/>
      <c r="F1355" s="80"/>
      <c r="G1355" s="80"/>
      <c r="H1355" s="73"/>
      <c r="I1355" s="73"/>
      <c r="J1355" s="73"/>
      <c r="K1355" s="73"/>
      <c r="L1355" s="73"/>
      <c r="M1355" s="73"/>
      <c r="N1355" s="73"/>
      <c r="O1355" s="73"/>
      <c r="P1355" s="73"/>
      <c r="Q1355" s="73"/>
      <c r="R1355" s="73"/>
      <c r="S1355" s="73"/>
      <c r="T1355" s="73"/>
      <c r="U1355" s="73"/>
      <c r="V1355" s="73"/>
      <c r="W1355" s="73"/>
      <c r="X1355" s="73"/>
      <c r="Y1355" s="73"/>
      <c r="Z1355" s="73"/>
      <c r="AA1355" s="73"/>
      <c r="AB1355" s="73"/>
      <c r="AC1355" s="73"/>
      <c r="AD1355" s="73"/>
      <c r="AE1355" s="73"/>
      <c r="AF1355" s="73"/>
      <c r="AG1355" s="73"/>
      <c r="AH1355" s="73"/>
      <c r="AI1355" s="73"/>
      <c r="AJ1355" s="168"/>
      <c r="AK1355" s="73"/>
      <c r="AL1355" s="73"/>
      <c r="AM1355" s="73"/>
      <c r="AN1355" s="73"/>
      <c r="AO1355" s="73"/>
      <c r="AP1355" s="73"/>
      <c r="AQ1355" s="73"/>
      <c r="AR1355" s="73"/>
      <c r="AS1355" s="73"/>
      <c r="AT1355" s="73"/>
      <c r="AU1355" s="73"/>
      <c r="AV1355" s="73"/>
      <c r="AW1355" s="73"/>
      <c r="AX1355" s="73"/>
      <c r="AY1355" s="73"/>
      <c r="AZ1355" s="73"/>
      <c r="BA1355" s="73"/>
      <c r="BB1355" s="73"/>
      <c r="BC1355" s="73"/>
      <c r="BD1355" s="73"/>
      <c r="BE1355" s="73"/>
      <c r="BF1355" s="75"/>
      <c r="BG1355" s="73"/>
      <c r="BH1355" s="88"/>
      <c r="BI1355" s="73"/>
      <c r="BJ1355" s="73"/>
      <c r="BK1355" s="73"/>
      <c r="BL1355" s="73"/>
      <c r="BM1355" s="73"/>
      <c r="BN1355" s="73"/>
      <c r="BO1355" s="73"/>
      <c r="BP1355" s="73"/>
      <c r="BQ1355" s="73"/>
      <c r="BR1355" s="73"/>
      <c r="BS1355" s="73"/>
      <c r="BT1355" s="73"/>
      <c r="BU1355" s="73"/>
      <c r="BV1355" s="73"/>
      <c r="BW1355" s="73"/>
      <c r="BX1355" s="73"/>
      <c r="BY1355" s="73"/>
      <c r="BZ1355" s="73"/>
      <c r="CA1355" s="73"/>
      <c r="CB1355" s="73"/>
      <c r="CC1355" s="73"/>
      <c r="CD1355" s="73"/>
      <c r="CE1355" s="73"/>
      <c r="CF1355" s="73"/>
      <c r="CG1355" s="73"/>
      <c r="CH1355" s="73"/>
    </row>
    <row r="1356">
      <c r="A1356" s="73"/>
      <c r="B1356" s="73"/>
      <c r="C1356" s="73"/>
      <c r="D1356" s="73"/>
      <c r="E1356" s="140"/>
      <c r="F1356" s="80"/>
      <c r="G1356" s="80"/>
      <c r="H1356" s="73"/>
      <c r="I1356" s="73"/>
      <c r="J1356" s="73"/>
      <c r="K1356" s="73"/>
      <c r="L1356" s="73"/>
      <c r="M1356" s="73"/>
      <c r="N1356" s="73"/>
      <c r="O1356" s="73"/>
      <c r="P1356" s="73"/>
      <c r="Q1356" s="73"/>
      <c r="R1356" s="73"/>
      <c r="S1356" s="73"/>
      <c r="T1356" s="73"/>
      <c r="U1356" s="73"/>
      <c r="V1356" s="73"/>
      <c r="W1356" s="73"/>
      <c r="X1356" s="73"/>
      <c r="Y1356" s="73"/>
      <c r="Z1356" s="73"/>
      <c r="AA1356" s="73"/>
      <c r="AB1356" s="73"/>
      <c r="AC1356" s="73"/>
      <c r="AD1356" s="73"/>
      <c r="AE1356" s="73"/>
      <c r="AF1356" s="73"/>
      <c r="AG1356" s="73"/>
      <c r="AH1356" s="73"/>
      <c r="AI1356" s="73"/>
      <c r="AJ1356" s="168"/>
      <c r="AK1356" s="73"/>
      <c r="AL1356" s="73"/>
      <c r="AM1356" s="73"/>
      <c r="AN1356" s="73"/>
      <c r="AO1356" s="73"/>
      <c r="AP1356" s="73"/>
      <c r="AQ1356" s="73"/>
      <c r="AR1356" s="73"/>
      <c r="AS1356" s="73"/>
      <c r="AT1356" s="73"/>
      <c r="AU1356" s="73"/>
      <c r="AV1356" s="73"/>
      <c r="AW1356" s="73"/>
      <c r="AX1356" s="73"/>
      <c r="AY1356" s="73"/>
      <c r="AZ1356" s="73"/>
      <c r="BA1356" s="73"/>
      <c r="BB1356" s="73"/>
      <c r="BC1356" s="73"/>
      <c r="BD1356" s="73"/>
      <c r="BE1356" s="73"/>
      <c r="BF1356" s="75"/>
      <c r="BG1356" s="73"/>
      <c r="BH1356" s="88"/>
      <c r="BI1356" s="73"/>
      <c r="BJ1356" s="73"/>
      <c r="BK1356" s="73"/>
      <c r="BL1356" s="73"/>
      <c r="BM1356" s="73"/>
      <c r="BN1356" s="73"/>
      <c r="BO1356" s="73"/>
      <c r="BP1356" s="73"/>
      <c r="BQ1356" s="73"/>
      <c r="BR1356" s="73"/>
      <c r="BS1356" s="73"/>
      <c r="BT1356" s="73"/>
      <c r="BU1356" s="73"/>
      <c r="BV1356" s="73"/>
      <c r="BW1356" s="73"/>
      <c r="BX1356" s="73"/>
      <c r="BY1356" s="73"/>
      <c r="BZ1356" s="73"/>
      <c r="CA1356" s="73"/>
      <c r="CB1356" s="73"/>
      <c r="CC1356" s="73"/>
      <c r="CD1356" s="73"/>
      <c r="CE1356" s="73"/>
      <c r="CF1356" s="73"/>
      <c r="CG1356" s="73"/>
      <c r="CH1356" s="73"/>
    </row>
    <row r="1357">
      <c r="A1357" s="73"/>
      <c r="B1357" s="73"/>
      <c r="C1357" s="73"/>
      <c r="D1357" s="73"/>
      <c r="E1357" s="140"/>
      <c r="F1357" s="80"/>
      <c r="G1357" s="80"/>
      <c r="H1357" s="73"/>
      <c r="I1357" s="73"/>
      <c r="J1357" s="73"/>
      <c r="K1357" s="73"/>
      <c r="L1357" s="73"/>
      <c r="M1357" s="73"/>
      <c r="N1357" s="73"/>
      <c r="O1357" s="73"/>
      <c r="P1357" s="73"/>
      <c r="Q1357" s="73"/>
      <c r="R1357" s="73"/>
      <c r="S1357" s="73"/>
      <c r="T1357" s="73"/>
      <c r="U1357" s="73"/>
      <c r="V1357" s="73"/>
      <c r="W1357" s="73"/>
      <c r="X1357" s="73"/>
      <c r="Y1357" s="73"/>
      <c r="Z1357" s="73"/>
      <c r="AA1357" s="73"/>
      <c r="AB1357" s="73"/>
      <c r="AC1357" s="73"/>
      <c r="AD1357" s="73"/>
      <c r="AE1357" s="73"/>
      <c r="AF1357" s="73"/>
      <c r="AG1357" s="73"/>
      <c r="AH1357" s="73"/>
      <c r="AI1357" s="73"/>
      <c r="AJ1357" s="168"/>
      <c r="AK1357" s="73"/>
      <c r="AL1357" s="73"/>
      <c r="AM1357" s="73"/>
      <c r="AN1357" s="73"/>
      <c r="AO1357" s="73"/>
      <c r="AP1357" s="73"/>
      <c r="AQ1357" s="73"/>
      <c r="AR1357" s="73"/>
      <c r="AS1357" s="73"/>
      <c r="AT1357" s="73"/>
      <c r="AU1357" s="73"/>
      <c r="AV1357" s="73"/>
      <c r="AW1357" s="73"/>
      <c r="AX1357" s="73"/>
      <c r="AY1357" s="73"/>
      <c r="AZ1357" s="73"/>
      <c r="BA1357" s="73"/>
      <c r="BB1357" s="73"/>
      <c r="BC1357" s="73"/>
      <c r="BD1357" s="73"/>
      <c r="BE1357" s="73"/>
      <c r="BF1357" s="75"/>
      <c r="BG1357" s="73"/>
      <c r="BH1357" s="88"/>
      <c r="BI1357" s="73"/>
      <c r="BJ1357" s="73"/>
      <c r="BK1357" s="73"/>
      <c r="BL1357" s="73"/>
      <c r="BM1357" s="73"/>
      <c r="BN1357" s="73"/>
      <c r="BO1357" s="73"/>
      <c r="BP1357" s="73"/>
      <c r="BQ1357" s="73"/>
      <c r="BR1357" s="73"/>
      <c r="BS1357" s="73"/>
      <c r="BT1357" s="73"/>
      <c r="BU1357" s="73"/>
      <c r="BV1357" s="73"/>
      <c r="BW1357" s="73"/>
      <c r="BX1357" s="73"/>
      <c r="BY1357" s="73"/>
      <c r="BZ1357" s="73"/>
      <c r="CA1357" s="73"/>
      <c r="CB1357" s="73"/>
      <c r="CC1357" s="73"/>
      <c r="CD1357" s="73"/>
      <c r="CE1357" s="73"/>
      <c r="CF1357" s="73"/>
      <c r="CG1357" s="73"/>
      <c r="CH1357" s="73"/>
    </row>
    <row r="1358">
      <c r="A1358" s="73"/>
      <c r="B1358" s="73"/>
      <c r="C1358" s="73"/>
      <c r="D1358" s="73"/>
      <c r="E1358" s="140"/>
      <c r="F1358" s="80"/>
      <c r="G1358" s="80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  <c r="S1358" s="73"/>
      <c r="T1358" s="73"/>
      <c r="U1358" s="73"/>
      <c r="V1358" s="73"/>
      <c r="W1358" s="73"/>
      <c r="X1358" s="73"/>
      <c r="Y1358" s="73"/>
      <c r="Z1358" s="73"/>
      <c r="AA1358" s="73"/>
      <c r="AB1358" s="73"/>
      <c r="AC1358" s="73"/>
      <c r="AD1358" s="73"/>
      <c r="AE1358" s="73"/>
      <c r="AF1358" s="73"/>
      <c r="AG1358" s="73"/>
      <c r="AH1358" s="73"/>
      <c r="AI1358" s="73"/>
      <c r="AJ1358" s="168"/>
      <c r="AK1358" s="73"/>
      <c r="AL1358" s="73"/>
      <c r="AM1358" s="73"/>
      <c r="AN1358" s="73"/>
      <c r="AO1358" s="73"/>
      <c r="AP1358" s="73"/>
      <c r="AQ1358" s="73"/>
      <c r="AR1358" s="73"/>
      <c r="AS1358" s="73"/>
      <c r="AT1358" s="73"/>
      <c r="AU1358" s="73"/>
      <c r="AV1358" s="73"/>
      <c r="AW1358" s="73"/>
      <c r="AX1358" s="73"/>
      <c r="AY1358" s="73"/>
      <c r="AZ1358" s="73"/>
      <c r="BA1358" s="73"/>
      <c r="BB1358" s="73"/>
      <c r="BC1358" s="73"/>
      <c r="BD1358" s="73"/>
      <c r="BE1358" s="73"/>
      <c r="BF1358" s="75"/>
      <c r="BG1358" s="73"/>
      <c r="BH1358" s="88"/>
      <c r="BI1358" s="73"/>
      <c r="BJ1358" s="73"/>
      <c r="BK1358" s="73"/>
      <c r="BL1358" s="73"/>
      <c r="BM1358" s="73"/>
      <c r="BN1358" s="73"/>
      <c r="BO1358" s="73"/>
      <c r="BP1358" s="73"/>
      <c r="BQ1358" s="73"/>
      <c r="BR1358" s="73"/>
      <c r="BS1358" s="73"/>
      <c r="BT1358" s="73"/>
      <c r="BU1358" s="73"/>
      <c r="BV1358" s="73"/>
      <c r="BW1358" s="73"/>
      <c r="BX1358" s="73"/>
      <c r="BY1358" s="73"/>
      <c r="BZ1358" s="73"/>
      <c r="CA1358" s="73"/>
      <c r="CB1358" s="73"/>
      <c r="CC1358" s="73"/>
      <c r="CD1358" s="73"/>
      <c r="CE1358" s="73"/>
      <c r="CF1358" s="73"/>
      <c r="CG1358" s="73"/>
      <c r="CH1358" s="73"/>
    </row>
    <row r="1359">
      <c r="A1359" s="73"/>
      <c r="B1359" s="73"/>
      <c r="C1359" s="73"/>
      <c r="D1359" s="73"/>
      <c r="E1359" s="140"/>
      <c r="F1359" s="80"/>
      <c r="G1359" s="80"/>
      <c r="H1359" s="73"/>
      <c r="I1359" s="73"/>
      <c r="J1359" s="73"/>
      <c r="K1359" s="73"/>
      <c r="L1359" s="73"/>
      <c r="M1359" s="73"/>
      <c r="N1359" s="73"/>
      <c r="O1359" s="73"/>
      <c r="P1359" s="73"/>
      <c r="Q1359" s="73"/>
      <c r="R1359" s="73"/>
      <c r="S1359" s="73"/>
      <c r="T1359" s="73"/>
      <c r="U1359" s="73"/>
      <c r="V1359" s="73"/>
      <c r="W1359" s="73"/>
      <c r="X1359" s="73"/>
      <c r="Y1359" s="73"/>
      <c r="Z1359" s="73"/>
      <c r="AA1359" s="73"/>
      <c r="AB1359" s="73"/>
      <c r="AC1359" s="73"/>
      <c r="AD1359" s="73"/>
      <c r="AE1359" s="73"/>
      <c r="AF1359" s="73"/>
      <c r="AG1359" s="73"/>
      <c r="AH1359" s="73"/>
      <c r="AI1359" s="73"/>
      <c r="AJ1359" s="168"/>
      <c r="AK1359" s="73"/>
      <c r="AL1359" s="73"/>
      <c r="AM1359" s="73"/>
      <c r="AN1359" s="73"/>
      <c r="AO1359" s="73"/>
      <c r="AP1359" s="73"/>
      <c r="AQ1359" s="73"/>
      <c r="AR1359" s="73"/>
      <c r="AS1359" s="73"/>
      <c r="AT1359" s="73"/>
      <c r="AU1359" s="73"/>
      <c r="AV1359" s="73"/>
      <c r="AW1359" s="73"/>
      <c r="AX1359" s="73"/>
      <c r="AY1359" s="73"/>
      <c r="AZ1359" s="73"/>
      <c r="BA1359" s="73"/>
      <c r="BB1359" s="73"/>
      <c r="BC1359" s="73"/>
      <c r="BD1359" s="73"/>
      <c r="BE1359" s="73"/>
      <c r="BF1359" s="75"/>
      <c r="BG1359" s="73"/>
      <c r="BH1359" s="88"/>
      <c r="BI1359" s="73"/>
      <c r="BJ1359" s="73"/>
      <c r="BK1359" s="73"/>
      <c r="BL1359" s="73"/>
      <c r="BM1359" s="73"/>
      <c r="BN1359" s="73"/>
      <c r="BO1359" s="73"/>
      <c r="BP1359" s="73"/>
      <c r="BQ1359" s="73"/>
      <c r="BR1359" s="73"/>
      <c r="BS1359" s="73"/>
      <c r="BT1359" s="73"/>
      <c r="BU1359" s="73"/>
      <c r="BV1359" s="73"/>
      <c r="BW1359" s="73"/>
      <c r="BX1359" s="73"/>
      <c r="BY1359" s="73"/>
      <c r="BZ1359" s="73"/>
      <c r="CA1359" s="73"/>
      <c r="CB1359" s="73"/>
      <c r="CC1359" s="73"/>
      <c r="CD1359" s="73"/>
      <c r="CE1359" s="73"/>
      <c r="CF1359" s="73"/>
      <c r="CG1359" s="73"/>
      <c r="CH1359" s="73"/>
    </row>
    <row r="1360">
      <c r="A1360" s="73"/>
      <c r="B1360" s="73"/>
      <c r="C1360" s="73"/>
      <c r="D1360" s="73"/>
      <c r="E1360" s="140"/>
      <c r="F1360" s="80"/>
      <c r="G1360" s="80"/>
      <c r="H1360" s="73"/>
      <c r="I1360" s="73"/>
      <c r="J1360" s="73"/>
      <c r="K1360" s="73"/>
      <c r="L1360" s="73"/>
      <c r="M1360" s="73"/>
      <c r="N1360" s="73"/>
      <c r="O1360" s="73"/>
      <c r="P1360" s="73"/>
      <c r="Q1360" s="73"/>
      <c r="R1360" s="73"/>
      <c r="S1360" s="73"/>
      <c r="T1360" s="73"/>
      <c r="U1360" s="73"/>
      <c r="V1360" s="73"/>
      <c r="W1360" s="73"/>
      <c r="X1360" s="73"/>
      <c r="Y1360" s="73"/>
      <c r="Z1360" s="73"/>
      <c r="AA1360" s="73"/>
      <c r="AB1360" s="73"/>
      <c r="AC1360" s="73"/>
      <c r="AD1360" s="73"/>
      <c r="AE1360" s="73"/>
      <c r="AF1360" s="73"/>
      <c r="AG1360" s="73"/>
      <c r="AH1360" s="73"/>
      <c r="AI1360" s="73"/>
      <c r="AJ1360" s="168"/>
      <c r="AK1360" s="73"/>
      <c r="AL1360" s="73"/>
      <c r="AM1360" s="73"/>
      <c r="AN1360" s="73"/>
      <c r="AO1360" s="73"/>
      <c r="AP1360" s="73"/>
      <c r="AQ1360" s="73"/>
      <c r="AR1360" s="73"/>
      <c r="AS1360" s="73"/>
      <c r="AT1360" s="73"/>
      <c r="AU1360" s="73"/>
      <c r="AV1360" s="73"/>
      <c r="AW1360" s="73"/>
      <c r="AX1360" s="73"/>
      <c r="AY1360" s="73"/>
      <c r="AZ1360" s="73"/>
      <c r="BA1360" s="73"/>
      <c r="BB1360" s="73"/>
      <c r="BC1360" s="73"/>
      <c r="BD1360" s="73"/>
      <c r="BE1360" s="73"/>
      <c r="BF1360" s="75"/>
      <c r="BG1360" s="73"/>
      <c r="BH1360" s="88"/>
      <c r="BI1360" s="73"/>
      <c r="BJ1360" s="73"/>
      <c r="BK1360" s="73"/>
      <c r="BL1360" s="73"/>
      <c r="BM1360" s="73"/>
      <c r="BN1360" s="73"/>
      <c r="BO1360" s="73"/>
      <c r="BP1360" s="73"/>
      <c r="BQ1360" s="73"/>
      <c r="BR1360" s="73"/>
      <c r="BS1360" s="73"/>
      <c r="BT1360" s="73"/>
      <c r="BU1360" s="73"/>
      <c r="BV1360" s="73"/>
      <c r="BW1360" s="73"/>
      <c r="BX1360" s="73"/>
      <c r="BY1360" s="73"/>
      <c r="BZ1360" s="73"/>
      <c r="CA1360" s="73"/>
      <c r="CB1360" s="73"/>
      <c r="CC1360" s="73"/>
      <c r="CD1360" s="73"/>
      <c r="CE1360" s="73"/>
      <c r="CF1360" s="73"/>
      <c r="CG1360" s="73"/>
      <c r="CH1360" s="73"/>
    </row>
    <row r="1361">
      <c r="A1361" s="73"/>
      <c r="B1361" s="73"/>
      <c r="C1361" s="73"/>
      <c r="D1361" s="73"/>
      <c r="E1361" s="140"/>
      <c r="F1361" s="80"/>
      <c r="G1361" s="80"/>
      <c r="H1361" s="73"/>
      <c r="I1361" s="73"/>
      <c r="J1361" s="73"/>
      <c r="K1361" s="73"/>
      <c r="L1361" s="73"/>
      <c r="M1361" s="73"/>
      <c r="N1361" s="73"/>
      <c r="O1361" s="73"/>
      <c r="P1361" s="73"/>
      <c r="Q1361" s="73"/>
      <c r="R1361" s="73"/>
      <c r="S1361" s="73"/>
      <c r="T1361" s="73"/>
      <c r="U1361" s="73"/>
      <c r="V1361" s="73"/>
      <c r="W1361" s="73"/>
      <c r="X1361" s="73"/>
      <c r="Y1361" s="73"/>
      <c r="Z1361" s="73"/>
      <c r="AA1361" s="73"/>
      <c r="AB1361" s="73"/>
      <c r="AC1361" s="73"/>
      <c r="AD1361" s="73"/>
      <c r="AE1361" s="73"/>
      <c r="AF1361" s="73"/>
      <c r="AG1361" s="73"/>
      <c r="AH1361" s="73"/>
      <c r="AI1361" s="73"/>
      <c r="AJ1361" s="168"/>
      <c r="AK1361" s="73"/>
      <c r="AL1361" s="73"/>
      <c r="AM1361" s="73"/>
      <c r="AN1361" s="73"/>
      <c r="AO1361" s="73"/>
      <c r="AP1361" s="73"/>
      <c r="AQ1361" s="73"/>
      <c r="AR1361" s="73"/>
      <c r="AS1361" s="73"/>
      <c r="AT1361" s="73"/>
      <c r="AU1361" s="73"/>
      <c r="AV1361" s="73"/>
      <c r="AW1361" s="73"/>
      <c r="AX1361" s="73"/>
      <c r="AY1361" s="73"/>
      <c r="AZ1361" s="73"/>
      <c r="BA1361" s="73"/>
      <c r="BB1361" s="73"/>
      <c r="BC1361" s="73"/>
      <c r="BD1361" s="73"/>
      <c r="BE1361" s="73"/>
      <c r="BF1361" s="75"/>
      <c r="BG1361" s="73"/>
      <c r="BH1361" s="88"/>
      <c r="BI1361" s="73"/>
      <c r="BJ1361" s="73"/>
      <c r="BK1361" s="73"/>
      <c r="BL1361" s="73"/>
      <c r="BM1361" s="73"/>
      <c r="BN1361" s="73"/>
      <c r="BO1361" s="73"/>
      <c r="BP1361" s="73"/>
      <c r="BQ1361" s="73"/>
      <c r="BR1361" s="73"/>
      <c r="BS1361" s="73"/>
      <c r="BT1361" s="73"/>
      <c r="BU1361" s="73"/>
      <c r="BV1361" s="73"/>
      <c r="BW1361" s="73"/>
      <c r="BX1361" s="73"/>
      <c r="BY1361" s="73"/>
      <c r="BZ1361" s="73"/>
      <c r="CA1361" s="73"/>
      <c r="CB1361" s="73"/>
      <c r="CC1361" s="73"/>
      <c r="CD1361" s="73"/>
      <c r="CE1361" s="73"/>
      <c r="CF1361" s="73"/>
      <c r="CG1361" s="73"/>
      <c r="CH1361" s="73"/>
    </row>
    <row r="1362">
      <c r="A1362" s="73"/>
      <c r="B1362" s="73"/>
      <c r="C1362" s="73"/>
      <c r="D1362" s="73"/>
      <c r="E1362" s="140"/>
      <c r="F1362" s="80"/>
      <c r="G1362" s="80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  <c r="S1362" s="73"/>
      <c r="T1362" s="73"/>
      <c r="U1362" s="73"/>
      <c r="V1362" s="73"/>
      <c r="W1362" s="73"/>
      <c r="X1362" s="73"/>
      <c r="Y1362" s="73"/>
      <c r="Z1362" s="73"/>
      <c r="AA1362" s="73"/>
      <c r="AB1362" s="73"/>
      <c r="AC1362" s="73"/>
      <c r="AD1362" s="73"/>
      <c r="AE1362" s="73"/>
      <c r="AF1362" s="73"/>
      <c r="AG1362" s="73"/>
      <c r="AH1362" s="73"/>
      <c r="AI1362" s="73"/>
      <c r="AJ1362" s="168"/>
      <c r="AK1362" s="73"/>
      <c r="AL1362" s="73"/>
      <c r="AM1362" s="73"/>
      <c r="AN1362" s="73"/>
      <c r="AO1362" s="73"/>
      <c r="AP1362" s="73"/>
      <c r="AQ1362" s="73"/>
      <c r="AR1362" s="73"/>
      <c r="AS1362" s="73"/>
      <c r="AT1362" s="73"/>
      <c r="AU1362" s="73"/>
      <c r="AV1362" s="73"/>
      <c r="AW1362" s="73"/>
      <c r="AX1362" s="73"/>
      <c r="AY1362" s="73"/>
      <c r="AZ1362" s="73"/>
      <c r="BA1362" s="73"/>
      <c r="BB1362" s="73"/>
      <c r="BC1362" s="73"/>
      <c r="BD1362" s="73"/>
      <c r="BE1362" s="73"/>
      <c r="BF1362" s="75"/>
      <c r="BG1362" s="73"/>
      <c r="BH1362" s="88"/>
      <c r="BI1362" s="73"/>
      <c r="BJ1362" s="73"/>
      <c r="BK1362" s="73"/>
      <c r="BL1362" s="73"/>
      <c r="BM1362" s="73"/>
      <c r="BN1362" s="73"/>
      <c r="BO1362" s="73"/>
      <c r="BP1362" s="73"/>
      <c r="BQ1362" s="73"/>
      <c r="BR1362" s="73"/>
      <c r="BS1362" s="73"/>
      <c r="BT1362" s="73"/>
      <c r="BU1362" s="73"/>
      <c r="BV1362" s="73"/>
      <c r="BW1362" s="73"/>
      <c r="BX1362" s="73"/>
      <c r="BY1362" s="73"/>
      <c r="BZ1362" s="73"/>
      <c r="CA1362" s="73"/>
      <c r="CB1362" s="73"/>
      <c r="CC1362" s="73"/>
      <c r="CD1362" s="73"/>
      <c r="CE1362" s="73"/>
      <c r="CF1362" s="73"/>
      <c r="CG1362" s="73"/>
      <c r="CH1362" s="73"/>
    </row>
    <row r="1363">
      <c r="A1363" s="73"/>
      <c r="B1363" s="73"/>
      <c r="C1363" s="73"/>
      <c r="D1363" s="73"/>
      <c r="E1363" s="140"/>
      <c r="F1363" s="80"/>
      <c r="G1363" s="80"/>
      <c r="H1363" s="73"/>
      <c r="I1363" s="73"/>
      <c r="J1363" s="73"/>
      <c r="K1363" s="73"/>
      <c r="L1363" s="73"/>
      <c r="M1363" s="73"/>
      <c r="N1363" s="73"/>
      <c r="O1363" s="73"/>
      <c r="P1363" s="73"/>
      <c r="Q1363" s="73"/>
      <c r="R1363" s="73"/>
      <c r="S1363" s="73"/>
      <c r="T1363" s="73"/>
      <c r="U1363" s="73"/>
      <c r="V1363" s="73"/>
      <c r="W1363" s="73"/>
      <c r="X1363" s="73"/>
      <c r="Y1363" s="73"/>
      <c r="Z1363" s="73"/>
      <c r="AA1363" s="73"/>
      <c r="AB1363" s="73"/>
      <c r="AC1363" s="73"/>
      <c r="AD1363" s="73"/>
      <c r="AE1363" s="73"/>
      <c r="AF1363" s="73"/>
      <c r="AG1363" s="73"/>
      <c r="AH1363" s="73"/>
      <c r="AI1363" s="73"/>
      <c r="AJ1363" s="168"/>
      <c r="AK1363" s="73"/>
      <c r="AL1363" s="73"/>
      <c r="AM1363" s="73"/>
      <c r="AN1363" s="73"/>
      <c r="AO1363" s="73"/>
      <c r="AP1363" s="73"/>
      <c r="AQ1363" s="73"/>
      <c r="AR1363" s="73"/>
      <c r="AS1363" s="73"/>
      <c r="AT1363" s="73"/>
      <c r="AU1363" s="73"/>
      <c r="AV1363" s="73"/>
      <c r="AW1363" s="73"/>
      <c r="AX1363" s="73"/>
      <c r="AY1363" s="73"/>
      <c r="AZ1363" s="73"/>
      <c r="BA1363" s="73"/>
      <c r="BB1363" s="73"/>
      <c r="BC1363" s="73"/>
      <c r="BD1363" s="73"/>
      <c r="BE1363" s="73"/>
      <c r="BF1363" s="75"/>
      <c r="BG1363" s="73"/>
      <c r="BH1363" s="88"/>
      <c r="BI1363" s="73"/>
      <c r="BJ1363" s="73"/>
      <c r="BK1363" s="73"/>
      <c r="BL1363" s="73"/>
      <c r="BM1363" s="73"/>
      <c r="BN1363" s="73"/>
      <c r="BO1363" s="73"/>
      <c r="BP1363" s="73"/>
      <c r="BQ1363" s="73"/>
      <c r="BR1363" s="73"/>
      <c r="BS1363" s="73"/>
      <c r="BT1363" s="73"/>
      <c r="BU1363" s="73"/>
      <c r="BV1363" s="73"/>
      <c r="BW1363" s="73"/>
      <c r="BX1363" s="73"/>
      <c r="BY1363" s="73"/>
      <c r="BZ1363" s="73"/>
      <c r="CA1363" s="73"/>
      <c r="CB1363" s="73"/>
      <c r="CC1363" s="73"/>
      <c r="CD1363" s="73"/>
      <c r="CE1363" s="73"/>
      <c r="CF1363" s="73"/>
      <c r="CG1363" s="73"/>
      <c r="CH1363" s="73"/>
    </row>
    <row r="1364">
      <c r="A1364" s="73"/>
      <c r="B1364" s="73"/>
      <c r="C1364" s="73"/>
      <c r="D1364" s="73"/>
      <c r="E1364" s="140"/>
      <c r="F1364" s="80"/>
      <c r="G1364" s="80"/>
      <c r="H1364" s="73"/>
      <c r="I1364" s="73"/>
      <c r="J1364" s="73"/>
      <c r="K1364" s="73"/>
      <c r="L1364" s="73"/>
      <c r="M1364" s="73"/>
      <c r="N1364" s="73"/>
      <c r="O1364" s="73"/>
      <c r="P1364" s="73"/>
      <c r="Q1364" s="73"/>
      <c r="R1364" s="73"/>
      <c r="S1364" s="73"/>
      <c r="T1364" s="73"/>
      <c r="U1364" s="73"/>
      <c r="V1364" s="73"/>
      <c r="W1364" s="73"/>
      <c r="X1364" s="73"/>
      <c r="Y1364" s="73"/>
      <c r="Z1364" s="73"/>
      <c r="AA1364" s="73"/>
      <c r="AB1364" s="73"/>
      <c r="AC1364" s="73"/>
      <c r="AD1364" s="73"/>
      <c r="AE1364" s="73"/>
      <c r="AF1364" s="73"/>
      <c r="AG1364" s="73"/>
      <c r="AH1364" s="73"/>
      <c r="AI1364" s="73"/>
      <c r="AJ1364" s="168"/>
      <c r="AK1364" s="73"/>
      <c r="AL1364" s="73"/>
      <c r="AM1364" s="73"/>
      <c r="AN1364" s="73"/>
      <c r="AO1364" s="73"/>
      <c r="AP1364" s="73"/>
      <c r="AQ1364" s="73"/>
      <c r="AR1364" s="73"/>
      <c r="AS1364" s="73"/>
      <c r="AT1364" s="73"/>
      <c r="AU1364" s="73"/>
      <c r="AV1364" s="73"/>
      <c r="AW1364" s="73"/>
      <c r="AX1364" s="73"/>
      <c r="AY1364" s="73"/>
      <c r="AZ1364" s="73"/>
      <c r="BA1364" s="73"/>
      <c r="BB1364" s="73"/>
      <c r="BC1364" s="73"/>
      <c r="BD1364" s="73"/>
      <c r="BE1364" s="73"/>
      <c r="BF1364" s="75"/>
      <c r="BG1364" s="73"/>
      <c r="BH1364" s="88"/>
      <c r="BI1364" s="73"/>
      <c r="BJ1364" s="73"/>
      <c r="BK1364" s="73"/>
      <c r="BL1364" s="73"/>
      <c r="BM1364" s="73"/>
      <c r="BN1364" s="73"/>
      <c r="BO1364" s="73"/>
      <c r="BP1364" s="73"/>
      <c r="BQ1364" s="73"/>
      <c r="BR1364" s="73"/>
      <c r="BS1364" s="73"/>
      <c r="BT1364" s="73"/>
      <c r="BU1364" s="73"/>
      <c r="BV1364" s="73"/>
      <c r="BW1364" s="73"/>
      <c r="BX1364" s="73"/>
      <c r="BY1364" s="73"/>
      <c r="BZ1364" s="73"/>
      <c r="CA1364" s="73"/>
      <c r="CB1364" s="73"/>
      <c r="CC1364" s="73"/>
      <c r="CD1364" s="73"/>
      <c r="CE1364" s="73"/>
      <c r="CF1364" s="73"/>
      <c r="CG1364" s="73"/>
      <c r="CH1364" s="73"/>
    </row>
    <row r="1365">
      <c r="A1365" s="73"/>
      <c r="B1365" s="73"/>
      <c r="C1365" s="73"/>
      <c r="D1365" s="73"/>
      <c r="E1365" s="140"/>
      <c r="F1365" s="80"/>
      <c r="G1365" s="80"/>
      <c r="H1365" s="73"/>
      <c r="I1365" s="73"/>
      <c r="J1365" s="73"/>
      <c r="K1365" s="73"/>
      <c r="L1365" s="73"/>
      <c r="M1365" s="73"/>
      <c r="N1365" s="73"/>
      <c r="O1365" s="73"/>
      <c r="P1365" s="73"/>
      <c r="Q1365" s="73"/>
      <c r="R1365" s="73"/>
      <c r="S1365" s="73"/>
      <c r="T1365" s="73"/>
      <c r="U1365" s="73"/>
      <c r="V1365" s="73"/>
      <c r="W1365" s="73"/>
      <c r="X1365" s="73"/>
      <c r="Y1365" s="73"/>
      <c r="Z1365" s="73"/>
      <c r="AA1365" s="73"/>
      <c r="AB1365" s="73"/>
      <c r="AC1365" s="73"/>
      <c r="AD1365" s="73"/>
      <c r="AE1365" s="73"/>
      <c r="AF1365" s="73"/>
      <c r="AG1365" s="73"/>
      <c r="AH1365" s="73"/>
      <c r="AI1365" s="73"/>
      <c r="AJ1365" s="168"/>
      <c r="AK1365" s="73"/>
      <c r="AL1365" s="73"/>
      <c r="AM1365" s="73"/>
      <c r="AN1365" s="73"/>
      <c r="AO1365" s="73"/>
      <c r="AP1365" s="73"/>
      <c r="AQ1365" s="73"/>
      <c r="AR1365" s="73"/>
      <c r="AS1365" s="73"/>
      <c r="AT1365" s="73"/>
      <c r="AU1365" s="73"/>
      <c r="AV1365" s="73"/>
      <c r="AW1365" s="73"/>
      <c r="AX1365" s="73"/>
      <c r="AY1365" s="73"/>
      <c r="AZ1365" s="73"/>
      <c r="BA1365" s="73"/>
      <c r="BB1365" s="73"/>
      <c r="BC1365" s="73"/>
      <c r="BD1365" s="73"/>
      <c r="BE1365" s="73"/>
      <c r="BF1365" s="75"/>
      <c r="BG1365" s="73"/>
      <c r="BH1365" s="88"/>
      <c r="BI1365" s="73"/>
      <c r="BJ1365" s="73"/>
      <c r="BK1365" s="73"/>
      <c r="BL1365" s="73"/>
      <c r="BM1365" s="73"/>
      <c r="BN1365" s="73"/>
      <c r="BO1365" s="73"/>
      <c r="BP1365" s="73"/>
      <c r="BQ1365" s="73"/>
      <c r="BR1365" s="73"/>
      <c r="BS1365" s="73"/>
      <c r="BT1365" s="73"/>
      <c r="BU1365" s="73"/>
      <c r="BV1365" s="73"/>
      <c r="BW1365" s="73"/>
      <c r="BX1365" s="73"/>
      <c r="BY1365" s="73"/>
      <c r="BZ1365" s="73"/>
      <c r="CA1365" s="73"/>
      <c r="CB1365" s="73"/>
      <c r="CC1365" s="73"/>
      <c r="CD1365" s="73"/>
      <c r="CE1365" s="73"/>
      <c r="CF1365" s="73"/>
      <c r="CG1365" s="73"/>
      <c r="CH1365" s="73"/>
    </row>
    <row r="1366">
      <c r="A1366" s="73"/>
      <c r="B1366" s="73"/>
      <c r="C1366" s="73"/>
      <c r="D1366" s="73"/>
      <c r="E1366" s="140"/>
      <c r="F1366" s="80"/>
      <c r="G1366" s="80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  <c r="S1366" s="73"/>
      <c r="T1366" s="73"/>
      <c r="U1366" s="73"/>
      <c r="V1366" s="73"/>
      <c r="W1366" s="73"/>
      <c r="X1366" s="73"/>
      <c r="Y1366" s="73"/>
      <c r="Z1366" s="73"/>
      <c r="AA1366" s="73"/>
      <c r="AB1366" s="73"/>
      <c r="AC1366" s="73"/>
      <c r="AD1366" s="73"/>
      <c r="AE1366" s="73"/>
      <c r="AF1366" s="73"/>
      <c r="AG1366" s="73"/>
      <c r="AH1366" s="73"/>
      <c r="AI1366" s="73"/>
      <c r="AJ1366" s="168"/>
      <c r="AK1366" s="73"/>
      <c r="AL1366" s="73"/>
      <c r="AM1366" s="73"/>
      <c r="AN1366" s="73"/>
      <c r="AO1366" s="73"/>
      <c r="AP1366" s="73"/>
      <c r="AQ1366" s="73"/>
      <c r="AR1366" s="73"/>
      <c r="AS1366" s="73"/>
      <c r="AT1366" s="73"/>
      <c r="AU1366" s="73"/>
      <c r="AV1366" s="73"/>
      <c r="AW1366" s="73"/>
      <c r="AX1366" s="73"/>
      <c r="AY1366" s="73"/>
      <c r="AZ1366" s="73"/>
      <c r="BA1366" s="73"/>
      <c r="BB1366" s="73"/>
      <c r="BC1366" s="73"/>
      <c r="BD1366" s="73"/>
      <c r="BE1366" s="73"/>
      <c r="BF1366" s="75"/>
      <c r="BG1366" s="73"/>
      <c r="BH1366" s="88"/>
      <c r="BI1366" s="73"/>
      <c r="BJ1366" s="73"/>
      <c r="BK1366" s="73"/>
      <c r="BL1366" s="73"/>
      <c r="BM1366" s="73"/>
      <c r="BN1366" s="73"/>
      <c r="BO1366" s="73"/>
      <c r="BP1366" s="73"/>
      <c r="BQ1366" s="73"/>
      <c r="BR1366" s="73"/>
      <c r="BS1366" s="73"/>
      <c r="BT1366" s="73"/>
      <c r="BU1366" s="73"/>
      <c r="BV1366" s="73"/>
      <c r="BW1366" s="73"/>
      <c r="BX1366" s="73"/>
      <c r="BY1366" s="73"/>
      <c r="BZ1366" s="73"/>
      <c r="CA1366" s="73"/>
      <c r="CB1366" s="73"/>
      <c r="CC1366" s="73"/>
      <c r="CD1366" s="73"/>
      <c r="CE1366" s="73"/>
      <c r="CF1366" s="73"/>
      <c r="CG1366" s="73"/>
      <c r="CH1366" s="73"/>
    </row>
    <row r="1367">
      <c r="A1367" s="73"/>
      <c r="B1367" s="73"/>
      <c r="C1367" s="73"/>
      <c r="D1367" s="73"/>
      <c r="E1367" s="140"/>
      <c r="F1367" s="80"/>
      <c r="G1367" s="80"/>
      <c r="H1367" s="73"/>
      <c r="I1367" s="73"/>
      <c r="J1367" s="73"/>
      <c r="K1367" s="73"/>
      <c r="L1367" s="73"/>
      <c r="M1367" s="73"/>
      <c r="N1367" s="73"/>
      <c r="O1367" s="73"/>
      <c r="P1367" s="73"/>
      <c r="Q1367" s="73"/>
      <c r="R1367" s="73"/>
      <c r="S1367" s="73"/>
      <c r="T1367" s="73"/>
      <c r="U1367" s="73"/>
      <c r="V1367" s="73"/>
      <c r="W1367" s="73"/>
      <c r="X1367" s="73"/>
      <c r="Y1367" s="73"/>
      <c r="Z1367" s="73"/>
      <c r="AA1367" s="73"/>
      <c r="AB1367" s="73"/>
      <c r="AC1367" s="73"/>
      <c r="AD1367" s="73"/>
      <c r="AE1367" s="73"/>
      <c r="AF1367" s="73"/>
      <c r="AG1367" s="73"/>
      <c r="AH1367" s="73"/>
      <c r="AI1367" s="73"/>
      <c r="AJ1367" s="168"/>
      <c r="AK1367" s="73"/>
      <c r="AL1367" s="73"/>
      <c r="AM1367" s="73"/>
      <c r="AN1367" s="73"/>
      <c r="AO1367" s="73"/>
      <c r="AP1367" s="73"/>
      <c r="AQ1367" s="73"/>
      <c r="AR1367" s="73"/>
      <c r="AS1367" s="73"/>
      <c r="AT1367" s="73"/>
      <c r="AU1367" s="73"/>
      <c r="AV1367" s="73"/>
      <c r="AW1367" s="73"/>
      <c r="AX1367" s="73"/>
      <c r="AY1367" s="73"/>
      <c r="AZ1367" s="73"/>
      <c r="BA1367" s="73"/>
      <c r="BB1367" s="73"/>
      <c r="BC1367" s="73"/>
      <c r="BD1367" s="73"/>
      <c r="BE1367" s="73"/>
      <c r="BF1367" s="75"/>
      <c r="BG1367" s="73"/>
      <c r="BH1367" s="88"/>
      <c r="BI1367" s="73"/>
      <c r="BJ1367" s="73"/>
      <c r="BK1367" s="73"/>
      <c r="BL1367" s="73"/>
      <c r="BM1367" s="73"/>
      <c r="BN1367" s="73"/>
      <c r="BO1367" s="73"/>
      <c r="BP1367" s="73"/>
      <c r="BQ1367" s="73"/>
      <c r="BR1367" s="73"/>
      <c r="BS1367" s="73"/>
      <c r="BT1367" s="73"/>
      <c r="BU1367" s="73"/>
      <c r="BV1367" s="73"/>
      <c r="BW1367" s="73"/>
      <c r="BX1367" s="73"/>
      <c r="BY1367" s="73"/>
      <c r="BZ1367" s="73"/>
      <c r="CA1367" s="73"/>
      <c r="CB1367" s="73"/>
      <c r="CC1367" s="73"/>
      <c r="CD1367" s="73"/>
      <c r="CE1367" s="73"/>
      <c r="CF1367" s="73"/>
      <c r="CG1367" s="73"/>
      <c r="CH1367" s="73"/>
    </row>
    <row r="1368">
      <c r="A1368" s="73"/>
      <c r="B1368" s="73"/>
      <c r="C1368" s="73"/>
      <c r="D1368" s="73"/>
      <c r="E1368" s="140"/>
      <c r="F1368" s="80"/>
      <c r="G1368" s="80"/>
      <c r="H1368" s="73"/>
      <c r="I1368" s="73"/>
      <c r="J1368" s="73"/>
      <c r="K1368" s="73"/>
      <c r="L1368" s="73"/>
      <c r="M1368" s="73"/>
      <c r="N1368" s="73"/>
      <c r="O1368" s="73"/>
      <c r="P1368" s="73"/>
      <c r="Q1368" s="73"/>
      <c r="R1368" s="73"/>
      <c r="S1368" s="73"/>
      <c r="T1368" s="73"/>
      <c r="U1368" s="73"/>
      <c r="V1368" s="73"/>
      <c r="W1368" s="73"/>
      <c r="X1368" s="73"/>
      <c r="Y1368" s="73"/>
      <c r="Z1368" s="73"/>
      <c r="AA1368" s="73"/>
      <c r="AB1368" s="73"/>
      <c r="AC1368" s="73"/>
      <c r="AD1368" s="73"/>
      <c r="AE1368" s="73"/>
      <c r="AF1368" s="73"/>
      <c r="AG1368" s="73"/>
      <c r="AH1368" s="73"/>
      <c r="AI1368" s="73"/>
      <c r="AJ1368" s="168"/>
      <c r="AK1368" s="73"/>
      <c r="AL1368" s="73"/>
      <c r="AM1368" s="73"/>
      <c r="AN1368" s="73"/>
      <c r="AO1368" s="73"/>
      <c r="AP1368" s="73"/>
      <c r="AQ1368" s="73"/>
      <c r="AR1368" s="73"/>
      <c r="AS1368" s="73"/>
      <c r="AT1368" s="73"/>
      <c r="AU1368" s="73"/>
      <c r="AV1368" s="73"/>
      <c r="AW1368" s="73"/>
      <c r="AX1368" s="73"/>
      <c r="AY1368" s="73"/>
      <c r="AZ1368" s="73"/>
      <c r="BA1368" s="73"/>
      <c r="BB1368" s="73"/>
      <c r="BC1368" s="73"/>
      <c r="BD1368" s="73"/>
      <c r="BE1368" s="73"/>
      <c r="BF1368" s="75"/>
      <c r="BG1368" s="73"/>
      <c r="BH1368" s="88"/>
      <c r="BI1368" s="73"/>
      <c r="BJ1368" s="73"/>
      <c r="BK1368" s="73"/>
      <c r="BL1368" s="73"/>
      <c r="BM1368" s="73"/>
      <c r="BN1368" s="73"/>
      <c r="BO1368" s="73"/>
      <c r="BP1368" s="73"/>
      <c r="BQ1368" s="73"/>
      <c r="BR1368" s="73"/>
      <c r="BS1368" s="73"/>
      <c r="BT1368" s="73"/>
      <c r="BU1368" s="73"/>
      <c r="BV1368" s="73"/>
      <c r="BW1368" s="73"/>
      <c r="BX1368" s="73"/>
      <c r="BY1368" s="73"/>
      <c r="BZ1368" s="73"/>
      <c r="CA1368" s="73"/>
      <c r="CB1368" s="73"/>
      <c r="CC1368" s="73"/>
      <c r="CD1368" s="73"/>
      <c r="CE1368" s="73"/>
      <c r="CF1368" s="73"/>
      <c r="CG1368" s="73"/>
      <c r="CH1368" s="73"/>
    </row>
    <row r="1369">
      <c r="A1369" s="73"/>
      <c r="B1369" s="73"/>
      <c r="C1369" s="73"/>
      <c r="D1369" s="73"/>
      <c r="E1369" s="140"/>
      <c r="F1369" s="80"/>
      <c r="G1369" s="80"/>
      <c r="H1369" s="73"/>
      <c r="I1369" s="73"/>
      <c r="J1369" s="73"/>
      <c r="K1369" s="73"/>
      <c r="L1369" s="73"/>
      <c r="M1369" s="73"/>
      <c r="N1369" s="73"/>
      <c r="O1369" s="73"/>
      <c r="P1369" s="73"/>
      <c r="Q1369" s="73"/>
      <c r="R1369" s="73"/>
      <c r="S1369" s="73"/>
      <c r="T1369" s="73"/>
      <c r="U1369" s="73"/>
      <c r="V1369" s="73"/>
      <c r="W1369" s="73"/>
      <c r="X1369" s="73"/>
      <c r="Y1369" s="73"/>
      <c r="Z1369" s="73"/>
      <c r="AA1369" s="73"/>
      <c r="AB1369" s="73"/>
      <c r="AC1369" s="73"/>
      <c r="AD1369" s="73"/>
      <c r="AE1369" s="73"/>
      <c r="AF1369" s="73"/>
      <c r="AG1369" s="73"/>
      <c r="AH1369" s="73"/>
      <c r="AI1369" s="73"/>
      <c r="AJ1369" s="168"/>
      <c r="AK1369" s="73"/>
      <c r="AL1369" s="73"/>
      <c r="AM1369" s="73"/>
      <c r="AN1369" s="73"/>
      <c r="AO1369" s="73"/>
      <c r="AP1369" s="73"/>
      <c r="AQ1369" s="73"/>
      <c r="AR1369" s="73"/>
      <c r="AS1369" s="73"/>
      <c r="AT1369" s="73"/>
      <c r="AU1369" s="73"/>
      <c r="AV1369" s="73"/>
      <c r="AW1369" s="73"/>
      <c r="AX1369" s="73"/>
      <c r="AY1369" s="73"/>
      <c r="AZ1369" s="73"/>
      <c r="BA1369" s="73"/>
      <c r="BB1369" s="73"/>
      <c r="BC1369" s="73"/>
      <c r="BD1369" s="73"/>
      <c r="BE1369" s="73"/>
      <c r="BF1369" s="75"/>
      <c r="BG1369" s="73"/>
      <c r="BH1369" s="88"/>
      <c r="BI1369" s="73"/>
      <c r="BJ1369" s="73"/>
      <c r="BK1369" s="73"/>
      <c r="BL1369" s="73"/>
      <c r="BM1369" s="73"/>
      <c r="BN1369" s="73"/>
      <c r="BO1369" s="73"/>
      <c r="BP1369" s="73"/>
      <c r="BQ1369" s="73"/>
      <c r="BR1369" s="73"/>
      <c r="BS1369" s="73"/>
      <c r="BT1369" s="73"/>
      <c r="BU1369" s="73"/>
      <c r="BV1369" s="73"/>
      <c r="BW1369" s="73"/>
      <c r="BX1369" s="73"/>
      <c r="BY1369" s="73"/>
      <c r="BZ1369" s="73"/>
      <c r="CA1369" s="73"/>
      <c r="CB1369" s="73"/>
      <c r="CC1369" s="73"/>
      <c r="CD1369" s="73"/>
      <c r="CE1369" s="73"/>
      <c r="CF1369" s="73"/>
      <c r="CG1369" s="73"/>
      <c r="CH1369" s="73"/>
    </row>
    <row r="1370">
      <c r="A1370" s="73"/>
      <c r="B1370" s="73"/>
      <c r="C1370" s="73"/>
      <c r="D1370" s="73"/>
      <c r="E1370" s="140"/>
      <c r="F1370" s="80"/>
      <c r="G1370" s="80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  <c r="S1370" s="73"/>
      <c r="T1370" s="73"/>
      <c r="U1370" s="73"/>
      <c r="V1370" s="73"/>
      <c r="W1370" s="73"/>
      <c r="X1370" s="73"/>
      <c r="Y1370" s="73"/>
      <c r="Z1370" s="73"/>
      <c r="AA1370" s="73"/>
      <c r="AB1370" s="73"/>
      <c r="AC1370" s="73"/>
      <c r="AD1370" s="73"/>
      <c r="AE1370" s="73"/>
      <c r="AF1370" s="73"/>
      <c r="AG1370" s="73"/>
      <c r="AH1370" s="73"/>
      <c r="AI1370" s="73"/>
      <c r="AJ1370" s="168"/>
      <c r="AK1370" s="73"/>
      <c r="AL1370" s="73"/>
      <c r="AM1370" s="73"/>
      <c r="AN1370" s="73"/>
      <c r="AO1370" s="73"/>
      <c r="AP1370" s="73"/>
      <c r="AQ1370" s="73"/>
      <c r="AR1370" s="73"/>
      <c r="AS1370" s="73"/>
      <c r="AT1370" s="73"/>
      <c r="AU1370" s="73"/>
      <c r="AV1370" s="73"/>
      <c r="AW1370" s="73"/>
      <c r="AX1370" s="73"/>
      <c r="AY1370" s="73"/>
      <c r="AZ1370" s="73"/>
      <c r="BA1370" s="73"/>
      <c r="BB1370" s="73"/>
      <c r="BC1370" s="73"/>
      <c r="BD1370" s="73"/>
      <c r="BE1370" s="73"/>
      <c r="BF1370" s="75"/>
      <c r="BG1370" s="73"/>
      <c r="BH1370" s="88"/>
      <c r="BI1370" s="73"/>
      <c r="BJ1370" s="73"/>
      <c r="BK1370" s="73"/>
      <c r="BL1370" s="73"/>
      <c r="BM1370" s="73"/>
      <c r="BN1370" s="73"/>
      <c r="BO1370" s="73"/>
      <c r="BP1370" s="73"/>
      <c r="BQ1370" s="73"/>
      <c r="BR1370" s="73"/>
      <c r="BS1370" s="73"/>
      <c r="BT1370" s="73"/>
      <c r="BU1370" s="73"/>
      <c r="BV1370" s="73"/>
      <c r="BW1370" s="73"/>
      <c r="BX1370" s="73"/>
      <c r="BY1370" s="73"/>
      <c r="BZ1370" s="73"/>
      <c r="CA1370" s="73"/>
      <c r="CB1370" s="73"/>
      <c r="CC1370" s="73"/>
      <c r="CD1370" s="73"/>
      <c r="CE1370" s="73"/>
      <c r="CF1370" s="73"/>
      <c r="CG1370" s="73"/>
      <c r="CH1370" s="73"/>
    </row>
    <row r="1371">
      <c r="A1371" s="73"/>
      <c r="B1371" s="73"/>
      <c r="C1371" s="73"/>
      <c r="D1371" s="73"/>
      <c r="E1371" s="140"/>
      <c r="F1371" s="80"/>
      <c r="G1371" s="80"/>
      <c r="H1371" s="73"/>
      <c r="I1371" s="73"/>
      <c r="J1371" s="73"/>
      <c r="K1371" s="73"/>
      <c r="L1371" s="73"/>
      <c r="M1371" s="73"/>
      <c r="N1371" s="73"/>
      <c r="O1371" s="73"/>
      <c r="P1371" s="73"/>
      <c r="Q1371" s="73"/>
      <c r="R1371" s="73"/>
      <c r="S1371" s="73"/>
      <c r="T1371" s="73"/>
      <c r="U1371" s="73"/>
      <c r="V1371" s="73"/>
      <c r="W1371" s="73"/>
      <c r="X1371" s="73"/>
      <c r="Y1371" s="73"/>
      <c r="Z1371" s="73"/>
      <c r="AA1371" s="73"/>
      <c r="AB1371" s="73"/>
      <c r="AC1371" s="73"/>
      <c r="AD1371" s="73"/>
      <c r="AE1371" s="73"/>
      <c r="AF1371" s="73"/>
      <c r="AG1371" s="73"/>
      <c r="AH1371" s="73"/>
      <c r="AI1371" s="73"/>
      <c r="AJ1371" s="168"/>
      <c r="AK1371" s="73"/>
      <c r="AL1371" s="73"/>
      <c r="AM1371" s="73"/>
      <c r="AN1371" s="73"/>
      <c r="AO1371" s="73"/>
      <c r="AP1371" s="73"/>
      <c r="AQ1371" s="73"/>
      <c r="AR1371" s="73"/>
      <c r="AS1371" s="73"/>
      <c r="AT1371" s="73"/>
      <c r="AU1371" s="73"/>
      <c r="AV1371" s="73"/>
      <c r="AW1371" s="73"/>
      <c r="AX1371" s="73"/>
      <c r="AY1371" s="73"/>
      <c r="AZ1371" s="73"/>
      <c r="BA1371" s="73"/>
      <c r="BB1371" s="73"/>
      <c r="BC1371" s="73"/>
      <c r="BD1371" s="73"/>
      <c r="BE1371" s="73"/>
      <c r="BF1371" s="75"/>
      <c r="BG1371" s="73"/>
      <c r="BH1371" s="88"/>
      <c r="BI1371" s="73"/>
      <c r="BJ1371" s="73"/>
      <c r="BK1371" s="73"/>
      <c r="BL1371" s="73"/>
      <c r="BM1371" s="73"/>
      <c r="BN1371" s="73"/>
      <c r="BO1371" s="73"/>
      <c r="BP1371" s="73"/>
      <c r="BQ1371" s="73"/>
      <c r="BR1371" s="73"/>
      <c r="BS1371" s="73"/>
      <c r="BT1371" s="73"/>
      <c r="BU1371" s="73"/>
      <c r="BV1371" s="73"/>
      <c r="BW1371" s="73"/>
      <c r="BX1371" s="73"/>
      <c r="BY1371" s="73"/>
      <c r="BZ1371" s="73"/>
      <c r="CA1371" s="73"/>
      <c r="CB1371" s="73"/>
      <c r="CC1371" s="73"/>
      <c r="CD1371" s="73"/>
      <c r="CE1371" s="73"/>
      <c r="CF1371" s="73"/>
      <c r="CG1371" s="73"/>
      <c r="CH1371" s="73"/>
    </row>
    <row r="1372">
      <c r="A1372" s="73"/>
      <c r="B1372" s="73"/>
      <c r="C1372" s="73"/>
      <c r="D1372" s="73"/>
      <c r="E1372" s="140"/>
      <c r="F1372" s="80"/>
      <c r="G1372" s="80"/>
      <c r="H1372" s="73"/>
      <c r="I1372" s="73"/>
      <c r="J1372" s="73"/>
      <c r="K1372" s="73"/>
      <c r="L1372" s="73"/>
      <c r="M1372" s="73"/>
      <c r="N1372" s="73"/>
      <c r="O1372" s="73"/>
      <c r="P1372" s="73"/>
      <c r="Q1372" s="73"/>
      <c r="R1372" s="73"/>
      <c r="S1372" s="73"/>
      <c r="T1372" s="73"/>
      <c r="U1372" s="73"/>
      <c r="V1372" s="73"/>
      <c r="W1372" s="73"/>
      <c r="X1372" s="73"/>
      <c r="Y1372" s="73"/>
      <c r="Z1372" s="73"/>
      <c r="AA1372" s="73"/>
      <c r="AB1372" s="73"/>
      <c r="AC1372" s="73"/>
      <c r="AD1372" s="73"/>
      <c r="AE1372" s="73"/>
      <c r="AF1372" s="73"/>
      <c r="AG1372" s="73"/>
      <c r="AH1372" s="73"/>
      <c r="AI1372" s="73"/>
      <c r="AJ1372" s="168"/>
      <c r="AK1372" s="73"/>
      <c r="AL1372" s="73"/>
      <c r="AM1372" s="73"/>
      <c r="AN1372" s="73"/>
      <c r="AO1372" s="73"/>
      <c r="AP1372" s="73"/>
      <c r="AQ1372" s="73"/>
      <c r="AR1372" s="73"/>
      <c r="AS1372" s="73"/>
      <c r="AT1372" s="73"/>
      <c r="AU1372" s="73"/>
      <c r="AV1372" s="73"/>
      <c r="AW1372" s="73"/>
      <c r="AX1372" s="73"/>
      <c r="AY1372" s="73"/>
      <c r="AZ1372" s="73"/>
      <c r="BA1372" s="73"/>
      <c r="BB1372" s="73"/>
      <c r="BC1372" s="73"/>
      <c r="BD1372" s="73"/>
      <c r="BE1372" s="73"/>
      <c r="BF1372" s="75"/>
      <c r="BG1372" s="73"/>
      <c r="BH1372" s="88"/>
      <c r="BI1372" s="73"/>
      <c r="BJ1372" s="73"/>
      <c r="BK1372" s="73"/>
      <c r="BL1372" s="73"/>
      <c r="BM1372" s="73"/>
      <c r="BN1372" s="73"/>
      <c r="BO1372" s="73"/>
      <c r="BP1372" s="73"/>
      <c r="BQ1372" s="73"/>
      <c r="BR1372" s="73"/>
      <c r="BS1372" s="73"/>
      <c r="BT1372" s="73"/>
      <c r="BU1372" s="73"/>
      <c r="BV1372" s="73"/>
      <c r="BW1372" s="73"/>
      <c r="BX1372" s="73"/>
      <c r="BY1372" s="73"/>
      <c r="BZ1372" s="73"/>
      <c r="CA1372" s="73"/>
      <c r="CB1372" s="73"/>
      <c r="CC1372" s="73"/>
      <c r="CD1372" s="73"/>
      <c r="CE1372" s="73"/>
      <c r="CF1372" s="73"/>
      <c r="CG1372" s="73"/>
      <c r="CH1372" s="73"/>
    </row>
    <row r="1373">
      <c r="A1373" s="73"/>
      <c r="B1373" s="73"/>
      <c r="C1373" s="73"/>
      <c r="D1373" s="73"/>
      <c r="E1373" s="140"/>
      <c r="F1373" s="80"/>
      <c r="G1373" s="80"/>
      <c r="H1373" s="73"/>
      <c r="I1373" s="73"/>
      <c r="J1373" s="73"/>
      <c r="K1373" s="73"/>
      <c r="L1373" s="73"/>
      <c r="M1373" s="73"/>
      <c r="N1373" s="73"/>
      <c r="O1373" s="73"/>
      <c r="P1373" s="73"/>
      <c r="Q1373" s="73"/>
      <c r="R1373" s="73"/>
      <c r="S1373" s="73"/>
      <c r="T1373" s="73"/>
      <c r="U1373" s="73"/>
      <c r="V1373" s="73"/>
      <c r="W1373" s="73"/>
      <c r="X1373" s="73"/>
      <c r="Y1373" s="73"/>
      <c r="Z1373" s="73"/>
      <c r="AA1373" s="73"/>
      <c r="AB1373" s="73"/>
      <c r="AC1373" s="73"/>
      <c r="AD1373" s="73"/>
      <c r="AE1373" s="73"/>
      <c r="AF1373" s="73"/>
      <c r="AG1373" s="73"/>
      <c r="AH1373" s="73"/>
      <c r="AI1373" s="73"/>
      <c r="AJ1373" s="168"/>
      <c r="AK1373" s="73"/>
      <c r="AL1373" s="73"/>
      <c r="AM1373" s="73"/>
      <c r="AN1373" s="73"/>
      <c r="AO1373" s="73"/>
      <c r="AP1373" s="73"/>
      <c r="AQ1373" s="73"/>
      <c r="AR1373" s="73"/>
      <c r="AS1373" s="73"/>
      <c r="AT1373" s="73"/>
      <c r="AU1373" s="73"/>
      <c r="AV1373" s="73"/>
      <c r="AW1373" s="73"/>
      <c r="AX1373" s="73"/>
      <c r="AY1373" s="73"/>
      <c r="AZ1373" s="73"/>
      <c r="BA1373" s="73"/>
      <c r="BB1373" s="73"/>
      <c r="BC1373" s="73"/>
      <c r="BD1373" s="73"/>
      <c r="BE1373" s="73"/>
      <c r="BF1373" s="75"/>
      <c r="BG1373" s="73"/>
      <c r="BH1373" s="88"/>
      <c r="BI1373" s="73"/>
      <c r="BJ1373" s="73"/>
      <c r="BK1373" s="73"/>
      <c r="BL1373" s="73"/>
      <c r="BM1373" s="73"/>
      <c r="BN1373" s="73"/>
      <c r="BO1373" s="73"/>
      <c r="BP1373" s="73"/>
      <c r="BQ1373" s="73"/>
      <c r="BR1373" s="73"/>
      <c r="BS1373" s="73"/>
      <c r="BT1373" s="73"/>
      <c r="BU1373" s="73"/>
      <c r="BV1373" s="73"/>
      <c r="BW1373" s="73"/>
      <c r="BX1373" s="73"/>
      <c r="BY1373" s="73"/>
      <c r="BZ1373" s="73"/>
      <c r="CA1373" s="73"/>
      <c r="CB1373" s="73"/>
      <c r="CC1373" s="73"/>
      <c r="CD1373" s="73"/>
      <c r="CE1373" s="73"/>
      <c r="CF1373" s="73"/>
      <c r="CG1373" s="73"/>
      <c r="CH1373" s="73"/>
    </row>
    <row r="1374">
      <c r="A1374" s="73"/>
      <c r="B1374" s="73"/>
      <c r="C1374" s="73"/>
      <c r="D1374" s="73"/>
      <c r="E1374" s="140"/>
      <c r="F1374" s="80"/>
      <c r="G1374" s="80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  <c r="S1374" s="73"/>
      <c r="T1374" s="73"/>
      <c r="U1374" s="73"/>
      <c r="V1374" s="73"/>
      <c r="W1374" s="73"/>
      <c r="X1374" s="73"/>
      <c r="Y1374" s="73"/>
      <c r="Z1374" s="73"/>
      <c r="AA1374" s="73"/>
      <c r="AB1374" s="73"/>
      <c r="AC1374" s="73"/>
      <c r="AD1374" s="73"/>
      <c r="AE1374" s="73"/>
      <c r="AF1374" s="73"/>
      <c r="AG1374" s="73"/>
      <c r="AH1374" s="73"/>
      <c r="AI1374" s="73"/>
      <c r="AJ1374" s="168"/>
      <c r="AK1374" s="73"/>
      <c r="AL1374" s="73"/>
      <c r="AM1374" s="73"/>
      <c r="AN1374" s="73"/>
      <c r="AO1374" s="73"/>
      <c r="AP1374" s="73"/>
      <c r="AQ1374" s="73"/>
      <c r="AR1374" s="73"/>
      <c r="AS1374" s="73"/>
      <c r="AT1374" s="73"/>
      <c r="AU1374" s="73"/>
      <c r="AV1374" s="73"/>
      <c r="AW1374" s="73"/>
      <c r="AX1374" s="73"/>
      <c r="AY1374" s="73"/>
      <c r="AZ1374" s="73"/>
      <c r="BA1374" s="73"/>
      <c r="BB1374" s="73"/>
      <c r="BC1374" s="73"/>
      <c r="BD1374" s="73"/>
      <c r="BE1374" s="73"/>
      <c r="BF1374" s="75"/>
      <c r="BG1374" s="73"/>
      <c r="BH1374" s="88"/>
      <c r="BI1374" s="73"/>
      <c r="BJ1374" s="73"/>
      <c r="BK1374" s="73"/>
      <c r="BL1374" s="73"/>
      <c r="BM1374" s="73"/>
      <c r="BN1374" s="73"/>
      <c r="BO1374" s="73"/>
      <c r="BP1374" s="73"/>
      <c r="BQ1374" s="73"/>
      <c r="BR1374" s="73"/>
      <c r="BS1374" s="73"/>
      <c r="BT1374" s="73"/>
      <c r="BU1374" s="73"/>
      <c r="BV1374" s="73"/>
      <c r="BW1374" s="73"/>
      <c r="BX1374" s="73"/>
      <c r="BY1374" s="73"/>
      <c r="BZ1374" s="73"/>
      <c r="CA1374" s="73"/>
      <c r="CB1374" s="73"/>
      <c r="CC1374" s="73"/>
      <c r="CD1374" s="73"/>
      <c r="CE1374" s="73"/>
      <c r="CF1374" s="73"/>
      <c r="CG1374" s="73"/>
      <c r="CH1374" s="73"/>
    </row>
    <row r="1375">
      <c r="A1375" s="73"/>
      <c r="B1375" s="73"/>
      <c r="C1375" s="73"/>
      <c r="D1375" s="73"/>
      <c r="E1375" s="140"/>
      <c r="F1375" s="80"/>
      <c r="G1375" s="80"/>
      <c r="H1375" s="73"/>
      <c r="I1375" s="73"/>
      <c r="J1375" s="73"/>
      <c r="K1375" s="73"/>
      <c r="L1375" s="73"/>
      <c r="M1375" s="73"/>
      <c r="N1375" s="73"/>
      <c r="O1375" s="73"/>
      <c r="P1375" s="73"/>
      <c r="Q1375" s="73"/>
      <c r="R1375" s="73"/>
      <c r="S1375" s="73"/>
      <c r="T1375" s="73"/>
      <c r="U1375" s="73"/>
      <c r="V1375" s="73"/>
      <c r="W1375" s="73"/>
      <c r="X1375" s="73"/>
      <c r="Y1375" s="73"/>
      <c r="Z1375" s="73"/>
      <c r="AA1375" s="73"/>
      <c r="AB1375" s="73"/>
      <c r="AC1375" s="73"/>
      <c r="AD1375" s="73"/>
      <c r="AE1375" s="73"/>
      <c r="AF1375" s="73"/>
      <c r="AG1375" s="73"/>
      <c r="AH1375" s="73"/>
      <c r="AI1375" s="73"/>
      <c r="AJ1375" s="168"/>
      <c r="AK1375" s="73"/>
      <c r="AL1375" s="73"/>
      <c r="AM1375" s="73"/>
      <c r="AN1375" s="73"/>
      <c r="AO1375" s="73"/>
      <c r="AP1375" s="73"/>
      <c r="AQ1375" s="73"/>
      <c r="AR1375" s="73"/>
      <c r="AS1375" s="73"/>
      <c r="AT1375" s="73"/>
      <c r="AU1375" s="73"/>
      <c r="AV1375" s="73"/>
      <c r="AW1375" s="73"/>
      <c r="AX1375" s="73"/>
      <c r="AY1375" s="73"/>
      <c r="AZ1375" s="73"/>
      <c r="BA1375" s="73"/>
      <c r="BB1375" s="73"/>
      <c r="BC1375" s="73"/>
      <c r="BD1375" s="73"/>
      <c r="BE1375" s="73"/>
      <c r="BF1375" s="75"/>
      <c r="BG1375" s="73"/>
      <c r="BH1375" s="88"/>
      <c r="BI1375" s="73"/>
      <c r="BJ1375" s="73"/>
      <c r="BK1375" s="73"/>
      <c r="BL1375" s="73"/>
      <c r="BM1375" s="73"/>
      <c r="BN1375" s="73"/>
      <c r="BO1375" s="73"/>
      <c r="BP1375" s="73"/>
      <c r="BQ1375" s="73"/>
      <c r="BR1375" s="73"/>
      <c r="BS1375" s="73"/>
      <c r="BT1375" s="73"/>
      <c r="BU1375" s="73"/>
      <c r="BV1375" s="73"/>
      <c r="BW1375" s="73"/>
      <c r="BX1375" s="73"/>
      <c r="BY1375" s="73"/>
      <c r="BZ1375" s="73"/>
      <c r="CA1375" s="73"/>
      <c r="CB1375" s="73"/>
      <c r="CC1375" s="73"/>
      <c r="CD1375" s="73"/>
      <c r="CE1375" s="73"/>
      <c r="CF1375" s="73"/>
      <c r="CG1375" s="73"/>
      <c r="CH1375" s="73"/>
    </row>
    <row r="1376">
      <c r="A1376" s="73"/>
      <c r="B1376" s="73"/>
      <c r="C1376" s="73"/>
      <c r="D1376" s="73"/>
      <c r="E1376" s="140"/>
      <c r="F1376" s="80"/>
      <c r="G1376" s="80"/>
      <c r="H1376" s="73"/>
      <c r="I1376" s="73"/>
      <c r="J1376" s="73"/>
      <c r="K1376" s="73"/>
      <c r="L1376" s="73"/>
      <c r="M1376" s="73"/>
      <c r="N1376" s="73"/>
      <c r="O1376" s="73"/>
      <c r="P1376" s="73"/>
      <c r="Q1376" s="73"/>
      <c r="R1376" s="73"/>
      <c r="S1376" s="73"/>
      <c r="T1376" s="73"/>
      <c r="U1376" s="73"/>
      <c r="V1376" s="73"/>
      <c r="W1376" s="73"/>
      <c r="X1376" s="73"/>
      <c r="Y1376" s="73"/>
      <c r="Z1376" s="73"/>
      <c r="AA1376" s="73"/>
      <c r="AB1376" s="73"/>
      <c r="AC1376" s="73"/>
      <c r="AD1376" s="73"/>
      <c r="AE1376" s="73"/>
      <c r="AF1376" s="73"/>
      <c r="AG1376" s="73"/>
      <c r="AH1376" s="73"/>
      <c r="AI1376" s="73"/>
      <c r="AJ1376" s="168"/>
      <c r="AK1376" s="73"/>
      <c r="AL1376" s="73"/>
      <c r="AM1376" s="73"/>
      <c r="AN1376" s="73"/>
      <c r="AO1376" s="73"/>
      <c r="AP1376" s="73"/>
      <c r="AQ1376" s="73"/>
      <c r="AR1376" s="73"/>
      <c r="AS1376" s="73"/>
      <c r="AT1376" s="73"/>
      <c r="AU1376" s="73"/>
      <c r="AV1376" s="73"/>
      <c r="AW1376" s="73"/>
      <c r="AX1376" s="73"/>
      <c r="AY1376" s="73"/>
      <c r="AZ1376" s="73"/>
      <c r="BA1376" s="73"/>
      <c r="BB1376" s="73"/>
      <c r="BC1376" s="73"/>
      <c r="BD1376" s="73"/>
      <c r="BE1376" s="73"/>
      <c r="BF1376" s="75"/>
      <c r="BG1376" s="73"/>
      <c r="BH1376" s="88"/>
      <c r="BI1376" s="73"/>
      <c r="BJ1376" s="73"/>
      <c r="BK1376" s="73"/>
      <c r="BL1376" s="73"/>
      <c r="BM1376" s="73"/>
      <c r="BN1376" s="73"/>
      <c r="BO1376" s="73"/>
      <c r="BP1376" s="73"/>
      <c r="BQ1376" s="73"/>
      <c r="BR1376" s="73"/>
      <c r="BS1376" s="73"/>
      <c r="BT1376" s="73"/>
      <c r="BU1376" s="73"/>
      <c r="BV1376" s="73"/>
      <c r="BW1376" s="73"/>
      <c r="BX1376" s="73"/>
      <c r="BY1376" s="73"/>
      <c r="BZ1376" s="73"/>
      <c r="CA1376" s="73"/>
      <c r="CB1376" s="73"/>
      <c r="CC1376" s="73"/>
      <c r="CD1376" s="73"/>
      <c r="CE1376" s="73"/>
      <c r="CF1376" s="73"/>
      <c r="CG1376" s="73"/>
      <c r="CH1376" s="73"/>
    </row>
    <row r="1377">
      <c r="A1377" s="73"/>
      <c r="B1377" s="73"/>
      <c r="C1377" s="73"/>
      <c r="D1377" s="73"/>
      <c r="E1377" s="140"/>
      <c r="F1377" s="80"/>
      <c r="G1377" s="80"/>
      <c r="H1377" s="73"/>
      <c r="I1377" s="73"/>
      <c r="J1377" s="73"/>
      <c r="K1377" s="73"/>
      <c r="L1377" s="73"/>
      <c r="M1377" s="73"/>
      <c r="N1377" s="73"/>
      <c r="O1377" s="73"/>
      <c r="P1377" s="73"/>
      <c r="Q1377" s="73"/>
      <c r="R1377" s="73"/>
      <c r="S1377" s="73"/>
      <c r="T1377" s="73"/>
      <c r="U1377" s="73"/>
      <c r="V1377" s="73"/>
      <c r="W1377" s="73"/>
      <c r="X1377" s="73"/>
      <c r="Y1377" s="73"/>
      <c r="Z1377" s="73"/>
      <c r="AA1377" s="73"/>
      <c r="AB1377" s="73"/>
      <c r="AC1377" s="73"/>
      <c r="AD1377" s="73"/>
      <c r="AE1377" s="73"/>
      <c r="AF1377" s="73"/>
      <c r="AG1377" s="73"/>
      <c r="AH1377" s="73"/>
      <c r="AI1377" s="73"/>
      <c r="AJ1377" s="168"/>
      <c r="AK1377" s="73"/>
      <c r="AL1377" s="73"/>
      <c r="AM1377" s="73"/>
      <c r="AN1377" s="73"/>
      <c r="AO1377" s="73"/>
      <c r="AP1377" s="73"/>
      <c r="AQ1377" s="73"/>
      <c r="AR1377" s="73"/>
      <c r="AS1377" s="73"/>
      <c r="AT1377" s="73"/>
      <c r="AU1377" s="73"/>
      <c r="AV1377" s="73"/>
      <c r="AW1377" s="73"/>
      <c r="AX1377" s="73"/>
      <c r="AY1377" s="73"/>
      <c r="AZ1377" s="73"/>
      <c r="BA1377" s="73"/>
      <c r="BB1377" s="73"/>
      <c r="BC1377" s="73"/>
      <c r="BD1377" s="73"/>
      <c r="BE1377" s="73"/>
      <c r="BF1377" s="75"/>
      <c r="BG1377" s="73"/>
      <c r="BH1377" s="88"/>
      <c r="BI1377" s="73"/>
      <c r="BJ1377" s="73"/>
      <c r="BK1377" s="73"/>
      <c r="BL1377" s="73"/>
      <c r="BM1377" s="73"/>
      <c r="BN1377" s="73"/>
      <c r="BO1377" s="73"/>
      <c r="BP1377" s="73"/>
      <c r="BQ1377" s="73"/>
      <c r="BR1377" s="73"/>
      <c r="BS1377" s="73"/>
      <c r="BT1377" s="73"/>
      <c r="BU1377" s="73"/>
      <c r="BV1377" s="73"/>
      <c r="BW1377" s="73"/>
      <c r="BX1377" s="73"/>
      <c r="BY1377" s="73"/>
      <c r="BZ1377" s="73"/>
      <c r="CA1377" s="73"/>
      <c r="CB1377" s="73"/>
      <c r="CC1377" s="73"/>
      <c r="CD1377" s="73"/>
      <c r="CE1377" s="73"/>
      <c r="CF1377" s="73"/>
      <c r="CG1377" s="73"/>
      <c r="CH1377" s="73"/>
    </row>
    <row r="1378">
      <c r="A1378" s="73"/>
      <c r="B1378" s="73"/>
      <c r="C1378" s="73"/>
      <c r="D1378" s="73"/>
      <c r="E1378" s="140"/>
      <c r="F1378" s="80"/>
      <c r="G1378" s="80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  <c r="S1378" s="73"/>
      <c r="T1378" s="73"/>
      <c r="U1378" s="73"/>
      <c r="V1378" s="73"/>
      <c r="W1378" s="73"/>
      <c r="X1378" s="73"/>
      <c r="Y1378" s="73"/>
      <c r="Z1378" s="73"/>
      <c r="AA1378" s="73"/>
      <c r="AB1378" s="73"/>
      <c r="AC1378" s="73"/>
      <c r="AD1378" s="73"/>
      <c r="AE1378" s="73"/>
      <c r="AF1378" s="73"/>
      <c r="AG1378" s="73"/>
      <c r="AH1378" s="73"/>
      <c r="AI1378" s="73"/>
      <c r="AJ1378" s="168"/>
      <c r="AK1378" s="73"/>
      <c r="AL1378" s="73"/>
      <c r="AM1378" s="73"/>
      <c r="AN1378" s="73"/>
      <c r="AO1378" s="73"/>
      <c r="AP1378" s="73"/>
      <c r="AQ1378" s="73"/>
      <c r="AR1378" s="73"/>
      <c r="AS1378" s="73"/>
      <c r="AT1378" s="73"/>
      <c r="AU1378" s="73"/>
      <c r="AV1378" s="73"/>
      <c r="AW1378" s="73"/>
      <c r="AX1378" s="73"/>
      <c r="AY1378" s="73"/>
      <c r="AZ1378" s="73"/>
      <c r="BA1378" s="73"/>
      <c r="BB1378" s="73"/>
      <c r="BC1378" s="73"/>
      <c r="BD1378" s="73"/>
      <c r="BE1378" s="73"/>
      <c r="BF1378" s="75"/>
      <c r="BG1378" s="73"/>
      <c r="BH1378" s="88"/>
      <c r="BI1378" s="73"/>
      <c r="BJ1378" s="73"/>
      <c r="BK1378" s="73"/>
      <c r="BL1378" s="73"/>
      <c r="BM1378" s="73"/>
      <c r="BN1378" s="73"/>
      <c r="BO1378" s="73"/>
      <c r="BP1378" s="73"/>
      <c r="BQ1378" s="73"/>
      <c r="BR1378" s="73"/>
      <c r="BS1378" s="73"/>
      <c r="BT1378" s="73"/>
      <c r="BU1378" s="73"/>
      <c r="BV1378" s="73"/>
      <c r="BW1378" s="73"/>
      <c r="BX1378" s="73"/>
      <c r="BY1378" s="73"/>
      <c r="BZ1378" s="73"/>
      <c r="CA1378" s="73"/>
      <c r="CB1378" s="73"/>
      <c r="CC1378" s="73"/>
      <c r="CD1378" s="73"/>
      <c r="CE1378" s="73"/>
      <c r="CF1378" s="73"/>
      <c r="CG1378" s="73"/>
      <c r="CH1378" s="73"/>
    </row>
    <row r="1379">
      <c r="A1379" s="73"/>
      <c r="B1379" s="73"/>
      <c r="C1379" s="73"/>
      <c r="D1379" s="73"/>
      <c r="E1379" s="140"/>
      <c r="F1379" s="80"/>
      <c r="G1379" s="80"/>
      <c r="H1379" s="73"/>
      <c r="I1379" s="73"/>
      <c r="J1379" s="73"/>
      <c r="K1379" s="73"/>
      <c r="L1379" s="73"/>
      <c r="M1379" s="73"/>
      <c r="N1379" s="73"/>
      <c r="O1379" s="73"/>
      <c r="P1379" s="73"/>
      <c r="Q1379" s="73"/>
      <c r="R1379" s="73"/>
      <c r="S1379" s="73"/>
      <c r="T1379" s="73"/>
      <c r="U1379" s="73"/>
      <c r="V1379" s="73"/>
      <c r="W1379" s="73"/>
      <c r="X1379" s="73"/>
      <c r="Y1379" s="73"/>
      <c r="Z1379" s="73"/>
      <c r="AA1379" s="73"/>
      <c r="AB1379" s="73"/>
      <c r="AC1379" s="73"/>
      <c r="AD1379" s="73"/>
      <c r="AE1379" s="73"/>
      <c r="AF1379" s="73"/>
      <c r="AG1379" s="73"/>
      <c r="AH1379" s="73"/>
      <c r="AI1379" s="73"/>
      <c r="AJ1379" s="168"/>
      <c r="AK1379" s="73"/>
      <c r="AL1379" s="73"/>
      <c r="AM1379" s="73"/>
      <c r="AN1379" s="73"/>
      <c r="AO1379" s="73"/>
      <c r="AP1379" s="73"/>
      <c r="AQ1379" s="73"/>
      <c r="AR1379" s="73"/>
      <c r="AS1379" s="73"/>
      <c r="AT1379" s="73"/>
      <c r="AU1379" s="73"/>
      <c r="AV1379" s="73"/>
      <c r="AW1379" s="73"/>
      <c r="AX1379" s="73"/>
      <c r="AY1379" s="73"/>
      <c r="AZ1379" s="73"/>
      <c r="BA1379" s="73"/>
      <c r="BB1379" s="73"/>
      <c r="BC1379" s="73"/>
      <c r="BD1379" s="73"/>
      <c r="BE1379" s="73"/>
      <c r="BF1379" s="75"/>
      <c r="BG1379" s="73"/>
      <c r="BH1379" s="88"/>
      <c r="BI1379" s="73"/>
      <c r="BJ1379" s="73"/>
      <c r="BK1379" s="73"/>
      <c r="BL1379" s="73"/>
      <c r="BM1379" s="73"/>
      <c r="BN1379" s="73"/>
      <c r="BO1379" s="73"/>
      <c r="BP1379" s="73"/>
      <c r="BQ1379" s="73"/>
      <c r="BR1379" s="73"/>
      <c r="BS1379" s="73"/>
      <c r="BT1379" s="73"/>
      <c r="BU1379" s="73"/>
      <c r="BV1379" s="73"/>
      <c r="BW1379" s="73"/>
      <c r="BX1379" s="73"/>
      <c r="BY1379" s="73"/>
      <c r="BZ1379" s="73"/>
      <c r="CA1379" s="73"/>
      <c r="CB1379" s="73"/>
      <c r="CC1379" s="73"/>
      <c r="CD1379" s="73"/>
      <c r="CE1379" s="73"/>
      <c r="CF1379" s="73"/>
      <c r="CG1379" s="73"/>
      <c r="CH1379" s="73"/>
    </row>
    <row r="1380">
      <c r="A1380" s="73"/>
      <c r="B1380" s="73"/>
      <c r="C1380" s="73"/>
      <c r="D1380" s="73"/>
      <c r="E1380" s="140"/>
      <c r="F1380" s="80"/>
      <c r="G1380" s="80"/>
      <c r="H1380" s="73"/>
      <c r="I1380" s="73"/>
      <c r="J1380" s="73"/>
      <c r="K1380" s="73"/>
      <c r="L1380" s="73"/>
      <c r="M1380" s="73"/>
      <c r="N1380" s="73"/>
      <c r="O1380" s="73"/>
      <c r="P1380" s="73"/>
      <c r="Q1380" s="73"/>
      <c r="R1380" s="73"/>
      <c r="S1380" s="73"/>
      <c r="T1380" s="73"/>
      <c r="U1380" s="73"/>
      <c r="V1380" s="73"/>
      <c r="W1380" s="73"/>
      <c r="X1380" s="73"/>
      <c r="Y1380" s="73"/>
      <c r="Z1380" s="73"/>
      <c r="AA1380" s="73"/>
      <c r="AB1380" s="73"/>
      <c r="AC1380" s="73"/>
      <c r="AD1380" s="73"/>
      <c r="AE1380" s="73"/>
      <c r="AF1380" s="73"/>
      <c r="AG1380" s="73"/>
      <c r="AH1380" s="73"/>
      <c r="AI1380" s="73"/>
      <c r="AJ1380" s="168"/>
      <c r="AK1380" s="73"/>
      <c r="AL1380" s="73"/>
      <c r="AM1380" s="73"/>
      <c r="AN1380" s="73"/>
      <c r="AO1380" s="73"/>
      <c r="AP1380" s="73"/>
      <c r="AQ1380" s="73"/>
      <c r="AR1380" s="73"/>
      <c r="AS1380" s="73"/>
      <c r="AT1380" s="73"/>
      <c r="AU1380" s="73"/>
      <c r="AV1380" s="73"/>
      <c r="AW1380" s="73"/>
      <c r="AX1380" s="73"/>
      <c r="AY1380" s="73"/>
      <c r="AZ1380" s="73"/>
      <c r="BA1380" s="73"/>
      <c r="BB1380" s="73"/>
      <c r="BC1380" s="73"/>
      <c r="BD1380" s="73"/>
      <c r="BE1380" s="73"/>
      <c r="BF1380" s="75"/>
      <c r="BG1380" s="73"/>
      <c r="BH1380" s="88"/>
      <c r="BI1380" s="73"/>
      <c r="BJ1380" s="73"/>
      <c r="BK1380" s="73"/>
      <c r="BL1380" s="73"/>
      <c r="BM1380" s="73"/>
      <c r="BN1380" s="73"/>
      <c r="BO1380" s="73"/>
      <c r="BP1380" s="73"/>
      <c r="BQ1380" s="73"/>
      <c r="BR1380" s="73"/>
      <c r="BS1380" s="73"/>
      <c r="BT1380" s="73"/>
      <c r="BU1380" s="73"/>
      <c r="BV1380" s="73"/>
      <c r="BW1380" s="73"/>
      <c r="BX1380" s="73"/>
      <c r="BY1380" s="73"/>
      <c r="BZ1380" s="73"/>
      <c r="CA1380" s="73"/>
      <c r="CB1380" s="73"/>
      <c r="CC1380" s="73"/>
      <c r="CD1380" s="73"/>
      <c r="CE1380" s="73"/>
      <c r="CF1380" s="73"/>
      <c r="CG1380" s="73"/>
      <c r="CH1380" s="73"/>
    </row>
    <row r="1381">
      <c r="A1381" s="73"/>
      <c r="B1381" s="73"/>
      <c r="C1381" s="73"/>
      <c r="D1381" s="73"/>
      <c r="E1381" s="140"/>
      <c r="F1381" s="80"/>
      <c r="G1381" s="80"/>
      <c r="H1381" s="73"/>
      <c r="I1381" s="73"/>
      <c r="J1381" s="73"/>
      <c r="K1381" s="73"/>
      <c r="L1381" s="73"/>
      <c r="M1381" s="73"/>
      <c r="N1381" s="73"/>
      <c r="O1381" s="73"/>
      <c r="P1381" s="73"/>
      <c r="Q1381" s="73"/>
      <c r="R1381" s="73"/>
      <c r="S1381" s="73"/>
      <c r="T1381" s="73"/>
      <c r="U1381" s="73"/>
      <c r="V1381" s="73"/>
      <c r="W1381" s="73"/>
      <c r="X1381" s="73"/>
      <c r="Y1381" s="73"/>
      <c r="Z1381" s="73"/>
      <c r="AA1381" s="73"/>
      <c r="AB1381" s="73"/>
      <c r="AC1381" s="73"/>
      <c r="AD1381" s="73"/>
      <c r="AE1381" s="73"/>
      <c r="AF1381" s="73"/>
      <c r="AG1381" s="73"/>
      <c r="AH1381" s="73"/>
      <c r="AI1381" s="73"/>
      <c r="AJ1381" s="168"/>
      <c r="AK1381" s="73"/>
      <c r="AL1381" s="73"/>
      <c r="AM1381" s="73"/>
      <c r="AN1381" s="73"/>
      <c r="AO1381" s="73"/>
      <c r="AP1381" s="73"/>
      <c r="AQ1381" s="73"/>
      <c r="AR1381" s="73"/>
      <c r="AS1381" s="73"/>
      <c r="AT1381" s="73"/>
      <c r="AU1381" s="73"/>
      <c r="AV1381" s="73"/>
      <c r="AW1381" s="73"/>
      <c r="AX1381" s="73"/>
      <c r="AY1381" s="73"/>
      <c r="AZ1381" s="73"/>
      <c r="BA1381" s="73"/>
      <c r="BB1381" s="73"/>
      <c r="BC1381" s="73"/>
      <c r="BD1381" s="73"/>
      <c r="BE1381" s="73"/>
      <c r="BF1381" s="75"/>
      <c r="BG1381" s="73"/>
      <c r="BH1381" s="88"/>
      <c r="BI1381" s="73"/>
      <c r="BJ1381" s="73"/>
      <c r="BK1381" s="73"/>
      <c r="BL1381" s="73"/>
      <c r="BM1381" s="73"/>
      <c r="BN1381" s="73"/>
      <c r="BO1381" s="73"/>
      <c r="BP1381" s="73"/>
      <c r="BQ1381" s="73"/>
      <c r="BR1381" s="73"/>
      <c r="BS1381" s="73"/>
      <c r="BT1381" s="73"/>
      <c r="BU1381" s="73"/>
      <c r="BV1381" s="73"/>
      <c r="BW1381" s="73"/>
      <c r="BX1381" s="73"/>
      <c r="BY1381" s="73"/>
      <c r="BZ1381" s="73"/>
      <c r="CA1381" s="73"/>
      <c r="CB1381" s="73"/>
      <c r="CC1381" s="73"/>
      <c r="CD1381" s="73"/>
      <c r="CE1381" s="73"/>
      <c r="CF1381" s="73"/>
      <c r="CG1381" s="73"/>
      <c r="CH1381" s="73"/>
    </row>
    <row r="1382">
      <c r="A1382" s="73"/>
      <c r="B1382" s="73"/>
      <c r="C1382" s="73"/>
      <c r="D1382" s="73"/>
      <c r="E1382" s="140"/>
      <c r="F1382" s="80"/>
      <c r="G1382" s="80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  <c r="S1382" s="73"/>
      <c r="T1382" s="73"/>
      <c r="U1382" s="73"/>
      <c r="V1382" s="73"/>
      <c r="W1382" s="73"/>
      <c r="X1382" s="73"/>
      <c r="Y1382" s="73"/>
      <c r="Z1382" s="73"/>
      <c r="AA1382" s="73"/>
      <c r="AB1382" s="73"/>
      <c r="AC1382" s="73"/>
      <c r="AD1382" s="73"/>
      <c r="AE1382" s="73"/>
      <c r="AF1382" s="73"/>
      <c r="AG1382" s="73"/>
      <c r="AH1382" s="73"/>
      <c r="AI1382" s="73"/>
      <c r="AJ1382" s="168"/>
      <c r="AK1382" s="73"/>
      <c r="AL1382" s="73"/>
      <c r="AM1382" s="73"/>
      <c r="AN1382" s="73"/>
      <c r="AO1382" s="73"/>
      <c r="AP1382" s="73"/>
      <c r="AQ1382" s="73"/>
      <c r="AR1382" s="73"/>
      <c r="AS1382" s="73"/>
      <c r="AT1382" s="73"/>
      <c r="AU1382" s="73"/>
      <c r="AV1382" s="73"/>
      <c r="AW1382" s="73"/>
      <c r="AX1382" s="73"/>
      <c r="AY1382" s="73"/>
      <c r="AZ1382" s="73"/>
      <c r="BA1382" s="73"/>
      <c r="BB1382" s="73"/>
      <c r="BC1382" s="73"/>
      <c r="BD1382" s="73"/>
      <c r="BE1382" s="73"/>
      <c r="BF1382" s="75"/>
      <c r="BG1382" s="73"/>
      <c r="BH1382" s="88"/>
      <c r="BI1382" s="73"/>
      <c r="BJ1382" s="73"/>
      <c r="BK1382" s="73"/>
      <c r="BL1382" s="73"/>
      <c r="BM1382" s="73"/>
      <c r="BN1382" s="73"/>
      <c r="BO1382" s="73"/>
      <c r="BP1382" s="73"/>
      <c r="BQ1382" s="73"/>
      <c r="BR1382" s="73"/>
      <c r="BS1382" s="73"/>
      <c r="BT1382" s="73"/>
      <c r="BU1382" s="73"/>
      <c r="BV1382" s="73"/>
      <c r="BW1382" s="73"/>
      <c r="BX1382" s="73"/>
      <c r="BY1382" s="73"/>
      <c r="BZ1382" s="73"/>
      <c r="CA1382" s="73"/>
      <c r="CB1382" s="73"/>
      <c r="CC1382" s="73"/>
      <c r="CD1382" s="73"/>
      <c r="CE1382" s="73"/>
      <c r="CF1382" s="73"/>
      <c r="CG1382" s="73"/>
      <c r="CH1382" s="73"/>
    </row>
    <row r="1383">
      <c r="A1383" s="73"/>
      <c r="B1383" s="73"/>
      <c r="C1383" s="73"/>
      <c r="D1383" s="73"/>
      <c r="E1383" s="140"/>
      <c r="F1383" s="80"/>
      <c r="G1383" s="80"/>
      <c r="H1383" s="73"/>
      <c r="I1383" s="73"/>
      <c r="J1383" s="73"/>
      <c r="K1383" s="73"/>
      <c r="L1383" s="73"/>
      <c r="M1383" s="73"/>
      <c r="N1383" s="73"/>
      <c r="O1383" s="73"/>
      <c r="P1383" s="73"/>
      <c r="Q1383" s="73"/>
      <c r="R1383" s="73"/>
      <c r="S1383" s="73"/>
      <c r="T1383" s="73"/>
      <c r="U1383" s="73"/>
      <c r="V1383" s="73"/>
      <c r="W1383" s="73"/>
      <c r="X1383" s="73"/>
      <c r="Y1383" s="73"/>
      <c r="Z1383" s="73"/>
      <c r="AA1383" s="73"/>
      <c r="AB1383" s="73"/>
      <c r="AC1383" s="73"/>
      <c r="AD1383" s="73"/>
      <c r="AE1383" s="73"/>
      <c r="AF1383" s="73"/>
      <c r="AG1383" s="73"/>
      <c r="AH1383" s="73"/>
      <c r="AI1383" s="73"/>
      <c r="AJ1383" s="168"/>
      <c r="AK1383" s="73"/>
      <c r="AL1383" s="73"/>
      <c r="AM1383" s="73"/>
      <c r="AN1383" s="73"/>
      <c r="AO1383" s="73"/>
      <c r="AP1383" s="73"/>
      <c r="AQ1383" s="73"/>
      <c r="AR1383" s="73"/>
      <c r="AS1383" s="73"/>
      <c r="AT1383" s="73"/>
      <c r="AU1383" s="73"/>
      <c r="AV1383" s="73"/>
      <c r="AW1383" s="73"/>
      <c r="AX1383" s="73"/>
      <c r="AY1383" s="73"/>
      <c r="AZ1383" s="73"/>
      <c r="BA1383" s="73"/>
      <c r="BB1383" s="73"/>
      <c r="BC1383" s="73"/>
      <c r="BD1383" s="73"/>
      <c r="BE1383" s="73"/>
      <c r="BF1383" s="75"/>
      <c r="BG1383" s="73"/>
      <c r="BH1383" s="88"/>
      <c r="BI1383" s="73"/>
      <c r="BJ1383" s="73"/>
      <c r="BK1383" s="73"/>
      <c r="BL1383" s="73"/>
      <c r="BM1383" s="73"/>
      <c r="BN1383" s="73"/>
      <c r="BO1383" s="73"/>
      <c r="BP1383" s="73"/>
      <c r="BQ1383" s="73"/>
      <c r="BR1383" s="73"/>
      <c r="BS1383" s="73"/>
      <c r="BT1383" s="73"/>
      <c r="BU1383" s="73"/>
      <c r="BV1383" s="73"/>
      <c r="BW1383" s="73"/>
      <c r="BX1383" s="73"/>
      <c r="BY1383" s="73"/>
      <c r="BZ1383" s="73"/>
      <c r="CA1383" s="73"/>
      <c r="CB1383" s="73"/>
      <c r="CC1383" s="73"/>
      <c r="CD1383" s="73"/>
      <c r="CE1383" s="73"/>
      <c r="CF1383" s="73"/>
      <c r="CG1383" s="73"/>
      <c r="CH1383" s="73"/>
    </row>
    <row r="1384">
      <c r="A1384" s="73"/>
      <c r="B1384" s="73"/>
      <c r="C1384" s="73"/>
      <c r="D1384" s="73"/>
      <c r="E1384" s="140"/>
      <c r="F1384" s="80"/>
      <c r="G1384" s="80"/>
      <c r="H1384" s="73"/>
      <c r="I1384" s="73"/>
      <c r="J1384" s="73"/>
      <c r="K1384" s="73"/>
      <c r="L1384" s="73"/>
      <c r="M1384" s="73"/>
      <c r="N1384" s="73"/>
      <c r="O1384" s="73"/>
      <c r="P1384" s="73"/>
      <c r="Q1384" s="73"/>
      <c r="R1384" s="73"/>
      <c r="S1384" s="73"/>
      <c r="T1384" s="73"/>
      <c r="U1384" s="73"/>
      <c r="V1384" s="73"/>
      <c r="W1384" s="73"/>
      <c r="X1384" s="73"/>
      <c r="Y1384" s="73"/>
      <c r="Z1384" s="73"/>
      <c r="AA1384" s="73"/>
      <c r="AB1384" s="73"/>
      <c r="AC1384" s="73"/>
      <c r="AD1384" s="73"/>
      <c r="AE1384" s="73"/>
      <c r="AF1384" s="73"/>
      <c r="AG1384" s="73"/>
      <c r="AH1384" s="73"/>
      <c r="AI1384" s="73"/>
      <c r="AJ1384" s="168"/>
      <c r="AK1384" s="73"/>
      <c r="AL1384" s="73"/>
      <c r="AM1384" s="73"/>
      <c r="AN1384" s="73"/>
      <c r="AO1384" s="73"/>
      <c r="AP1384" s="73"/>
      <c r="AQ1384" s="73"/>
      <c r="AR1384" s="73"/>
      <c r="AS1384" s="73"/>
      <c r="AT1384" s="73"/>
      <c r="AU1384" s="73"/>
      <c r="AV1384" s="73"/>
      <c r="AW1384" s="73"/>
      <c r="AX1384" s="73"/>
      <c r="AY1384" s="73"/>
      <c r="AZ1384" s="73"/>
      <c r="BA1384" s="73"/>
      <c r="BB1384" s="73"/>
      <c r="BC1384" s="73"/>
      <c r="BD1384" s="73"/>
      <c r="BE1384" s="73"/>
      <c r="BF1384" s="75"/>
      <c r="BG1384" s="73"/>
      <c r="BH1384" s="88"/>
      <c r="BI1384" s="73"/>
      <c r="BJ1384" s="73"/>
      <c r="BK1384" s="73"/>
      <c r="BL1384" s="73"/>
      <c r="BM1384" s="73"/>
      <c r="BN1384" s="73"/>
      <c r="BO1384" s="73"/>
      <c r="BP1384" s="73"/>
      <c r="BQ1384" s="73"/>
      <c r="BR1384" s="73"/>
      <c r="BS1384" s="73"/>
      <c r="BT1384" s="73"/>
      <c r="BU1384" s="73"/>
      <c r="BV1384" s="73"/>
      <c r="BW1384" s="73"/>
      <c r="BX1384" s="73"/>
      <c r="BY1384" s="73"/>
      <c r="BZ1384" s="73"/>
      <c r="CA1384" s="73"/>
      <c r="CB1384" s="73"/>
      <c r="CC1384" s="73"/>
      <c r="CD1384" s="73"/>
      <c r="CE1384" s="73"/>
      <c r="CF1384" s="73"/>
      <c r="CG1384" s="73"/>
      <c r="CH1384" s="73"/>
    </row>
    <row r="1385">
      <c r="A1385" s="73"/>
      <c r="B1385" s="73"/>
      <c r="C1385" s="73"/>
      <c r="D1385" s="73"/>
      <c r="E1385" s="140"/>
      <c r="F1385" s="80"/>
      <c r="G1385" s="80"/>
      <c r="H1385" s="73"/>
      <c r="I1385" s="73"/>
      <c r="J1385" s="73"/>
      <c r="K1385" s="73"/>
      <c r="L1385" s="73"/>
      <c r="M1385" s="73"/>
      <c r="N1385" s="73"/>
      <c r="O1385" s="73"/>
      <c r="P1385" s="73"/>
      <c r="Q1385" s="73"/>
      <c r="R1385" s="73"/>
      <c r="S1385" s="73"/>
      <c r="T1385" s="73"/>
      <c r="U1385" s="73"/>
      <c r="V1385" s="73"/>
      <c r="W1385" s="73"/>
      <c r="X1385" s="73"/>
      <c r="Y1385" s="73"/>
      <c r="Z1385" s="73"/>
      <c r="AA1385" s="73"/>
      <c r="AB1385" s="73"/>
      <c r="AC1385" s="73"/>
      <c r="AD1385" s="73"/>
      <c r="AE1385" s="73"/>
      <c r="AF1385" s="73"/>
      <c r="AG1385" s="73"/>
      <c r="AH1385" s="73"/>
      <c r="AI1385" s="73"/>
      <c r="AJ1385" s="168"/>
      <c r="AK1385" s="73"/>
      <c r="AL1385" s="73"/>
      <c r="AM1385" s="73"/>
      <c r="AN1385" s="73"/>
      <c r="AO1385" s="73"/>
      <c r="AP1385" s="73"/>
      <c r="AQ1385" s="73"/>
      <c r="AR1385" s="73"/>
      <c r="AS1385" s="73"/>
      <c r="AT1385" s="73"/>
      <c r="AU1385" s="73"/>
      <c r="AV1385" s="73"/>
      <c r="AW1385" s="73"/>
      <c r="AX1385" s="73"/>
      <c r="AY1385" s="73"/>
      <c r="AZ1385" s="73"/>
      <c r="BA1385" s="73"/>
      <c r="BB1385" s="73"/>
      <c r="BC1385" s="73"/>
      <c r="BD1385" s="73"/>
      <c r="BE1385" s="73"/>
      <c r="BF1385" s="75"/>
      <c r="BG1385" s="73"/>
      <c r="BH1385" s="88"/>
      <c r="BI1385" s="73"/>
      <c r="BJ1385" s="73"/>
      <c r="BK1385" s="73"/>
      <c r="BL1385" s="73"/>
      <c r="BM1385" s="73"/>
      <c r="BN1385" s="73"/>
      <c r="BO1385" s="73"/>
      <c r="BP1385" s="73"/>
      <c r="BQ1385" s="73"/>
      <c r="BR1385" s="73"/>
      <c r="BS1385" s="73"/>
      <c r="BT1385" s="73"/>
      <c r="BU1385" s="73"/>
      <c r="BV1385" s="73"/>
      <c r="BW1385" s="73"/>
      <c r="BX1385" s="73"/>
      <c r="BY1385" s="73"/>
      <c r="BZ1385" s="73"/>
      <c r="CA1385" s="73"/>
      <c r="CB1385" s="73"/>
      <c r="CC1385" s="73"/>
      <c r="CD1385" s="73"/>
      <c r="CE1385" s="73"/>
      <c r="CF1385" s="73"/>
      <c r="CG1385" s="73"/>
      <c r="CH1385" s="73"/>
    </row>
    <row r="1386">
      <c r="A1386" s="73"/>
      <c r="B1386" s="73"/>
      <c r="C1386" s="73"/>
      <c r="D1386" s="73"/>
      <c r="E1386" s="140"/>
      <c r="F1386" s="80"/>
      <c r="G1386" s="80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  <c r="S1386" s="73"/>
      <c r="T1386" s="73"/>
      <c r="U1386" s="73"/>
      <c r="V1386" s="73"/>
      <c r="W1386" s="73"/>
      <c r="X1386" s="73"/>
      <c r="Y1386" s="73"/>
      <c r="Z1386" s="73"/>
      <c r="AA1386" s="73"/>
      <c r="AB1386" s="73"/>
      <c r="AC1386" s="73"/>
      <c r="AD1386" s="73"/>
      <c r="AE1386" s="73"/>
      <c r="AF1386" s="73"/>
      <c r="AG1386" s="73"/>
      <c r="AH1386" s="73"/>
      <c r="AI1386" s="73"/>
      <c r="AJ1386" s="168"/>
      <c r="AK1386" s="73"/>
      <c r="AL1386" s="73"/>
      <c r="AM1386" s="73"/>
      <c r="AN1386" s="73"/>
      <c r="AO1386" s="73"/>
      <c r="AP1386" s="73"/>
      <c r="AQ1386" s="73"/>
      <c r="AR1386" s="73"/>
      <c r="AS1386" s="73"/>
      <c r="AT1386" s="73"/>
      <c r="AU1386" s="73"/>
      <c r="AV1386" s="73"/>
      <c r="AW1386" s="73"/>
      <c r="AX1386" s="73"/>
      <c r="AY1386" s="73"/>
      <c r="AZ1386" s="73"/>
      <c r="BA1386" s="73"/>
      <c r="BB1386" s="73"/>
      <c r="BC1386" s="73"/>
      <c r="BD1386" s="73"/>
      <c r="BE1386" s="73"/>
      <c r="BF1386" s="75"/>
      <c r="BG1386" s="73"/>
      <c r="BH1386" s="88"/>
      <c r="BI1386" s="73"/>
      <c r="BJ1386" s="73"/>
      <c r="BK1386" s="73"/>
      <c r="BL1386" s="73"/>
      <c r="BM1386" s="73"/>
      <c r="BN1386" s="73"/>
      <c r="BO1386" s="73"/>
      <c r="BP1386" s="73"/>
      <c r="BQ1386" s="73"/>
      <c r="BR1386" s="73"/>
      <c r="BS1386" s="73"/>
      <c r="BT1386" s="73"/>
      <c r="BU1386" s="73"/>
      <c r="BV1386" s="73"/>
      <c r="BW1386" s="73"/>
      <c r="BX1386" s="73"/>
      <c r="BY1386" s="73"/>
      <c r="BZ1386" s="73"/>
      <c r="CA1386" s="73"/>
      <c r="CB1386" s="73"/>
      <c r="CC1386" s="73"/>
      <c r="CD1386" s="73"/>
      <c r="CE1386" s="73"/>
      <c r="CF1386" s="73"/>
      <c r="CG1386" s="73"/>
      <c r="CH1386" s="73"/>
    </row>
    <row r="1387">
      <c r="A1387" s="73"/>
      <c r="B1387" s="73"/>
      <c r="C1387" s="73"/>
      <c r="D1387" s="73"/>
      <c r="E1387" s="140"/>
      <c r="F1387" s="80"/>
      <c r="G1387" s="80"/>
      <c r="H1387" s="73"/>
      <c r="I1387" s="73"/>
      <c r="J1387" s="73"/>
      <c r="K1387" s="73"/>
      <c r="L1387" s="73"/>
      <c r="M1387" s="73"/>
      <c r="N1387" s="73"/>
      <c r="O1387" s="73"/>
      <c r="P1387" s="73"/>
      <c r="Q1387" s="73"/>
      <c r="R1387" s="73"/>
      <c r="S1387" s="73"/>
      <c r="T1387" s="73"/>
      <c r="U1387" s="73"/>
      <c r="V1387" s="73"/>
      <c r="W1387" s="73"/>
      <c r="X1387" s="73"/>
      <c r="Y1387" s="73"/>
      <c r="Z1387" s="73"/>
      <c r="AA1387" s="73"/>
      <c r="AB1387" s="73"/>
      <c r="AC1387" s="73"/>
      <c r="AD1387" s="73"/>
      <c r="AE1387" s="73"/>
      <c r="AF1387" s="73"/>
      <c r="AG1387" s="73"/>
      <c r="AH1387" s="73"/>
      <c r="AI1387" s="73"/>
      <c r="AJ1387" s="168"/>
      <c r="AK1387" s="73"/>
      <c r="AL1387" s="73"/>
      <c r="AM1387" s="73"/>
      <c r="AN1387" s="73"/>
      <c r="AO1387" s="73"/>
      <c r="AP1387" s="73"/>
      <c r="AQ1387" s="73"/>
      <c r="AR1387" s="73"/>
      <c r="AS1387" s="73"/>
      <c r="AT1387" s="73"/>
      <c r="AU1387" s="73"/>
      <c r="AV1387" s="73"/>
      <c r="AW1387" s="73"/>
      <c r="AX1387" s="73"/>
      <c r="AY1387" s="73"/>
      <c r="AZ1387" s="73"/>
      <c r="BA1387" s="73"/>
      <c r="BB1387" s="73"/>
      <c r="BC1387" s="73"/>
      <c r="BD1387" s="73"/>
      <c r="BE1387" s="73"/>
      <c r="BF1387" s="75"/>
      <c r="BG1387" s="73"/>
      <c r="BH1387" s="88"/>
      <c r="BI1387" s="73"/>
      <c r="BJ1387" s="73"/>
      <c r="BK1387" s="73"/>
      <c r="BL1387" s="73"/>
      <c r="BM1387" s="73"/>
      <c r="BN1387" s="73"/>
      <c r="BO1387" s="73"/>
      <c r="BP1387" s="73"/>
      <c r="BQ1387" s="73"/>
      <c r="BR1387" s="73"/>
      <c r="BS1387" s="73"/>
      <c r="BT1387" s="73"/>
      <c r="BU1387" s="73"/>
      <c r="BV1387" s="73"/>
      <c r="BW1387" s="73"/>
      <c r="BX1387" s="73"/>
      <c r="BY1387" s="73"/>
      <c r="BZ1387" s="73"/>
      <c r="CA1387" s="73"/>
      <c r="CB1387" s="73"/>
      <c r="CC1387" s="73"/>
      <c r="CD1387" s="73"/>
      <c r="CE1387" s="73"/>
      <c r="CF1387" s="73"/>
      <c r="CG1387" s="73"/>
      <c r="CH1387" s="73"/>
    </row>
    <row r="1388">
      <c r="A1388" s="73"/>
      <c r="B1388" s="73"/>
      <c r="C1388" s="73"/>
      <c r="D1388" s="73"/>
      <c r="E1388" s="140"/>
      <c r="F1388" s="80"/>
      <c r="G1388" s="80"/>
      <c r="H1388" s="73"/>
      <c r="I1388" s="73"/>
      <c r="J1388" s="73"/>
      <c r="K1388" s="73"/>
      <c r="L1388" s="73"/>
      <c r="M1388" s="73"/>
      <c r="N1388" s="73"/>
      <c r="O1388" s="73"/>
      <c r="P1388" s="73"/>
      <c r="Q1388" s="73"/>
      <c r="R1388" s="73"/>
      <c r="S1388" s="73"/>
      <c r="T1388" s="73"/>
      <c r="U1388" s="73"/>
      <c r="V1388" s="73"/>
      <c r="W1388" s="73"/>
      <c r="X1388" s="73"/>
      <c r="Y1388" s="73"/>
      <c r="Z1388" s="73"/>
      <c r="AA1388" s="73"/>
      <c r="AB1388" s="73"/>
      <c r="AC1388" s="73"/>
      <c r="AD1388" s="73"/>
      <c r="AE1388" s="73"/>
      <c r="AF1388" s="73"/>
      <c r="AG1388" s="73"/>
      <c r="AH1388" s="73"/>
      <c r="AI1388" s="73"/>
      <c r="AJ1388" s="168"/>
      <c r="AK1388" s="73"/>
      <c r="AL1388" s="73"/>
      <c r="AM1388" s="73"/>
      <c r="AN1388" s="73"/>
      <c r="AO1388" s="73"/>
      <c r="AP1388" s="73"/>
      <c r="AQ1388" s="73"/>
      <c r="AR1388" s="73"/>
      <c r="AS1388" s="73"/>
      <c r="AT1388" s="73"/>
      <c r="AU1388" s="73"/>
      <c r="AV1388" s="73"/>
      <c r="AW1388" s="73"/>
      <c r="AX1388" s="73"/>
      <c r="AY1388" s="73"/>
      <c r="AZ1388" s="73"/>
      <c r="BA1388" s="73"/>
      <c r="BB1388" s="73"/>
      <c r="BC1388" s="73"/>
      <c r="BD1388" s="73"/>
      <c r="BE1388" s="73"/>
      <c r="BF1388" s="75"/>
      <c r="BG1388" s="73"/>
      <c r="BH1388" s="88"/>
      <c r="BI1388" s="73"/>
      <c r="BJ1388" s="73"/>
      <c r="BK1388" s="73"/>
      <c r="BL1388" s="73"/>
      <c r="BM1388" s="73"/>
      <c r="BN1388" s="73"/>
      <c r="BO1388" s="73"/>
      <c r="BP1388" s="73"/>
      <c r="BQ1388" s="73"/>
      <c r="BR1388" s="73"/>
      <c r="BS1388" s="73"/>
      <c r="BT1388" s="73"/>
      <c r="BU1388" s="73"/>
      <c r="BV1388" s="73"/>
      <c r="BW1388" s="73"/>
      <c r="BX1388" s="73"/>
      <c r="BY1388" s="73"/>
      <c r="BZ1388" s="73"/>
      <c r="CA1388" s="73"/>
      <c r="CB1388" s="73"/>
      <c r="CC1388" s="73"/>
      <c r="CD1388" s="73"/>
      <c r="CE1388" s="73"/>
      <c r="CF1388" s="73"/>
      <c r="CG1388" s="73"/>
      <c r="CH1388" s="73"/>
    </row>
    <row r="1389">
      <c r="A1389" s="73"/>
      <c r="B1389" s="73"/>
      <c r="C1389" s="73"/>
      <c r="D1389" s="73"/>
      <c r="E1389" s="140"/>
      <c r="F1389" s="80"/>
      <c r="G1389" s="80"/>
      <c r="H1389" s="73"/>
      <c r="I1389" s="73"/>
      <c r="J1389" s="73"/>
      <c r="K1389" s="73"/>
      <c r="L1389" s="73"/>
      <c r="M1389" s="73"/>
      <c r="N1389" s="73"/>
      <c r="O1389" s="73"/>
      <c r="P1389" s="73"/>
      <c r="Q1389" s="73"/>
      <c r="R1389" s="73"/>
      <c r="S1389" s="73"/>
      <c r="T1389" s="73"/>
      <c r="U1389" s="73"/>
      <c r="V1389" s="73"/>
      <c r="W1389" s="73"/>
      <c r="X1389" s="73"/>
      <c r="Y1389" s="73"/>
      <c r="Z1389" s="73"/>
      <c r="AA1389" s="73"/>
      <c r="AB1389" s="73"/>
      <c r="AC1389" s="73"/>
      <c r="AD1389" s="73"/>
      <c r="AE1389" s="73"/>
      <c r="AF1389" s="73"/>
      <c r="AG1389" s="73"/>
      <c r="AH1389" s="73"/>
      <c r="AI1389" s="73"/>
      <c r="AJ1389" s="168"/>
      <c r="AK1389" s="73"/>
      <c r="AL1389" s="73"/>
      <c r="AM1389" s="73"/>
      <c r="AN1389" s="73"/>
      <c r="AO1389" s="73"/>
      <c r="AP1389" s="73"/>
      <c r="AQ1389" s="73"/>
      <c r="AR1389" s="73"/>
      <c r="AS1389" s="73"/>
      <c r="AT1389" s="73"/>
      <c r="AU1389" s="73"/>
      <c r="AV1389" s="73"/>
      <c r="AW1389" s="73"/>
      <c r="AX1389" s="73"/>
      <c r="AY1389" s="73"/>
      <c r="AZ1389" s="73"/>
      <c r="BA1389" s="73"/>
      <c r="BB1389" s="73"/>
      <c r="BC1389" s="73"/>
      <c r="BD1389" s="73"/>
      <c r="BE1389" s="73"/>
      <c r="BF1389" s="75"/>
      <c r="BG1389" s="73"/>
      <c r="BH1389" s="88"/>
      <c r="BI1389" s="73"/>
      <c r="BJ1389" s="73"/>
      <c r="BK1389" s="73"/>
      <c r="BL1389" s="73"/>
      <c r="BM1389" s="73"/>
      <c r="BN1389" s="73"/>
      <c r="BO1389" s="73"/>
      <c r="BP1389" s="73"/>
      <c r="BQ1389" s="73"/>
      <c r="BR1389" s="73"/>
      <c r="BS1389" s="73"/>
      <c r="BT1389" s="73"/>
      <c r="BU1389" s="73"/>
      <c r="BV1389" s="73"/>
      <c r="BW1389" s="73"/>
      <c r="BX1389" s="73"/>
      <c r="BY1389" s="73"/>
      <c r="BZ1389" s="73"/>
      <c r="CA1389" s="73"/>
      <c r="CB1389" s="73"/>
      <c r="CC1389" s="73"/>
      <c r="CD1389" s="73"/>
      <c r="CE1389" s="73"/>
      <c r="CF1389" s="73"/>
      <c r="CG1389" s="73"/>
      <c r="CH1389" s="73"/>
    </row>
    <row r="1390">
      <c r="A1390" s="73"/>
      <c r="B1390" s="73"/>
      <c r="C1390" s="73"/>
      <c r="D1390" s="73"/>
      <c r="E1390" s="140"/>
      <c r="F1390" s="80"/>
      <c r="G1390" s="80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  <c r="S1390" s="73"/>
      <c r="T1390" s="73"/>
      <c r="U1390" s="73"/>
      <c r="V1390" s="73"/>
      <c r="W1390" s="73"/>
      <c r="X1390" s="73"/>
      <c r="Y1390" s="73"/>
      <c r="Z1390" s="73"/>
      <c r="AA1390" s="73"/>
      <c r="AB1390" s="73"/>
      <c r="AC1390" s="73"/>
      <c r="AD1390" s="73"/>
      <c r="AE1390" s="73"/>
      <c r="AF1390" s="73"/>
      <c r="AG1390" s="73"/>
      <c r="AH1390" s="73"/>
      <c r="AI1390" s="73"/>
      <c r="AJ1390" s="168"/>
      <c r="AK1390" s="73"/>
      <c r="AL1390" s="73"/>
      <c r="AM1390" s="73"/>
      <c r="AN1390" s="73"/>
      <c r="AO1390" s="73"/>
      <c r="AP1390" s="73"/>
      <c r="AQ1390" s="73"/>
      <c r="AR1390" s="73"/>
      <c r="AS1390" s="73"/>
      <c r="AT1390" s="73"/>
      <c r="AU1390" s="73"/>
      <c r="AV1390" s="73"/>
      <c r="AW1390" s="73"/>
      <c r="AX1390" s="73"/>
      <c r="AY1390" s="73"/>
      <c r="AZ1390" s="73"/>
      <c r="BA1390" s="73"/>
      <c r="BB1390" s="73"/>
      <c r="BC1390" s="73"/>
      <c r="BD1390" s="73"/>
      <c r="BE1390" s="73"/>
      <c r="BF1390" s="75"/>
      <c r="BG1390" s="73"/>
      <c r="BH1390" s="88"/>
      <c r="BI1390" s="73"/>
      <c r="BJ1390" s="73"/>
      <c r="BK1390" s="73"/>
      <c r="BL1390" s="73"/>
      <c r="BM1390" s="73"/>
      <c r="BN1390" s="73"/>
      <c r="BO1390" s="73"/>
      <c r="BP1390" s="73"/>
      <c r="BQ1390" s="73"/>
      <c r="BR1390" s="73"/>
      <c r="BS1390" s="73"/>
      <c r="BT1390" s="73"/>
      <c r="BU1390" s="73"/>
      <c r="BV1390" s="73"/>
      <c r="BW1390" s="73"/>
      <c r="BX1390" s="73"/>
      <c r="BY1390" s="73"/>
      <c r="BZ1390" s="73"/>
      <c r="CA1390" s="73"/>
      <c r="CB1390" s="73"/>
      <c r="CC1390" s="73"/>
      <c r="CD1390" s="73"/>
      <c r="CE1390" s="73"/>
      <c r="CF1390" s="73"/>
      <c r="CG1390" s="73"/>
      <c r="CH1390" s="73"/>
    </row>
    <row r="1391">
      <c r="A1391" s="73"/>
      <c r="B1391" s="73"/>
      <c r="C1391" s="73"/>
      <c r="D1391" s="73"/>
      <c r="E1391" s="140"/>
      <c r="F1391" s="80"/>
      <c r="G1391" s="80"/>
      <c r="H1391" s="73"/>
      <c r="I1391" s="73"/>
      <c r="J1391" s="73"/>
      <c r="K1391" s="73"/>
      <c r="L1391" s="73"/>
      <c r="M1391" s="73"/>
      <c r="N1391" s="73"/>
      <c r="O1391" s="73"/>
      <c r="P1391" s="73"/>
      <c r="Q1391" s="73"/>
      <c r="R1391" s="73"/>
      <c r="S1391" s="73"/>
      <c r="T1391" s="73"/>
      <c r="U1391" s="73"/>
      <c r="V1391" s="73"/>
      <c r="W1391" s="73"/>
      <c r="X1391" s="73"/>
      <c r="Y1391" s="73"/>
      <c r="Z1391" s="73"/>
      <c r="AA1391" s="73"/>
      <c r="AB1391" s="73"/>
      <c r="AC1391" s="73"/>
      <c r="AD1391" s="73"/>
      <c r="AE1391" s="73"/>
      <c r="AF1391" s="73"/>
      <c r="AG1391" s="73"/>
      <c r="AH1391" s="73"/>
      <c r="AI1391" s="73"/>
      <c r="AJ1391" s="168"/>
      <c r="AK1391" s="73"/>
      <c r="AL1391" s="73"/>
      <c r="AM1391" s="73"/>
      <c r="AN1391" s="73"/>
      <c r="AO1391" s="73"/>
      <c r="AP1391" s="73"/>
      <c r="AQ1391" s="73"/>
      <c r="AR1391" s="73"/>
      <c r="AS1391" s="73"/>
      <c r="AT1391" s="73"/>
      <c r="AU1391" s="73"/>
      <c r="AV1391" s="73"/>
      <c r="AW1391" s="73"/>
      <c r="AX1391" s="73"/>
      <c r="AY1391" s="73"/>
      <c r="AZ1391" s="73"/>
      <c r="BA1391" s="73"/>
      <c r="BB1391" s="73"/>
      <c r="BC1391" s="73"/>
      <c r="BD1391" s="73"/>
      <c r="BE1391" s="73"/>
      <c r="BF1391" s="75"/>
      <c r="BG1391" s="73"/>
      <c r="BH1391" s="88"/>
      <c r="BI1391" s="73"/>
      <c r="BJ1391" s="73"/>
      <c r="BK1391" s="73"/>
      <c r="BL1391" s="73"/>
      <c r="BM1391" s="73"/>
      <c r="BN1391" s="73"/>
      <c r="BO1391" s="73"/>
      <c r="BP1391" s="73"/>
      <c r="BQ1391" s="73"/>
      <c r="BR1391" s="73"/>
      <c r="BS1391" s="73"/>
      <c r="BT1391" s="73"/>
      <c r="BU1391" s="73"/>
      <c r="BV1391" s="73"/>
      <c r="BW1391" s="73"/>
      <c r="BX1391" s="73"/>
      <c r="BY1391" s="73"/>
      <c r="BZ1391" s="73"/>
      <c r="CA1391" s="73"/>
      <c r="CB1391" s="73"/>
      <c r="CC1391" s="73"/>
      <c r="CD1391" s="73"/>
      <c r="CE1391" s="73"/>
      <c r="CF1391" s="73"/>
      <c r="CG1391" s="73"/>
      <c r="CH1391" s="73"/>
    </row>
    <row r="1392">
      <c r="A1392" s="73"/>
      <c r="B1392" s="73"/>
      <c r="C1392" s="73"/>
      <c r="D1392" s="73"/>
      <c r="E1392" s="140"/>
      <c r="F1392" s="80"/>
      <c r="G1392" s="80"/>
      <c r="H1392" s="73"/>
      <c r="I1392" s="73"/>
      <c r="J1392" s="73"/>
      <c r="K1392" s="73"/>
      <c r="L1392" s="73"/>
      <c r="M1392" s="73"/>
      <c r="N1392" s="73"/>
      <c r="O1392" s="73"/>
      <c r="P1392" s="73"/>
      <c r="Q1392" s="73"/>
      <c r="R1392" s="73"/>
      <c r="S1392" s="73"/>
      <c r="T1392" s="73"/>
      <c r="U1392" s="73"/>
      <c r="V1392" s="73"/>
      <c r="W1392" s="73"/>
      <c r="X1392" s="73"/>
      <c r="Y1392" s="73"/>
      <c r="Z1392" s="73"/>
      <c r="AA1392" s="73"/>
      <c r="AB1392" s="73"/>
      <c r="AC1392" s="73"/>
      <c r="AD1392" s="73"/>
      <c r="AE1392" s="73"/>
      <c r="AF1392" s="73"/>
      <c r="AG1392" s="73"/>
      <c r="AH1392" s="73"/>
      <c r="AI1392" s="73"/>
      <c r="AJ1392" s="168"/>
      <c r="AK1392" s="73"/>
      <c r="AL1392" s="73"/>
      <c r="AM1392" s="73"/>
      <c r="AN1392" s="73"/>
      <c r="AO1392" s="73"/>
      <c r="AP1392" s="73"/>
      <c r="AQ1392" s="73"/>
      <c r="AR1392" s="73"/>
      <c r="AS1392" s="73"/>
      <c r="AT1392" s="73"/>
      <c r="AU1392" s="73"/>
      <c r="AV1392" s="73"/>
      <c r="AW1392" s="73"/>
      <c r="AX1392" s="73"/>
      <c r="AY1392" s="73"/>
      <c r="AZ1392" s="73"/>
      <c r="BA1392" s="73"/>
      <c r="BB1392" s="73"/>
      <c r="BC1392" s="73"/>
      <c r="BD1392" s="73"/>
      <c r="BE1392" s="73"/>
      <c r="BF1392" s="75"/>
      <c r="BG1392" s="73"/>
      <c r="BH1392" s="88"/>
      <c r="BI1392" s="73"/>
      <c r="BJ1392" s="73"/>
      <c r="BK1392" s="73"/>
      <c r="BL1392" s="73"/>
      <c r="BM1392" s="73"/>
      <c r="BN1392" s="73"/>
      <c r="BO1392" s="73"/>
      <c r="BP1392" s="73"/>
      <c r="BQ1392" s="73"/>
      <c r="BR1392" s="73"/>
      <c r="BS1392" s="73"/>
      <c r="BT1392" s="73"/>
      <c r="BU1392" s="73"/>
      <c r="BV1392" s="73"/>
      <c r="BW1392" s="73"/>
      <c r="BX1392" s="73"/>
      <c r="BY1392" s="73"/>
      <c r="BZ1392" s="73"/>
      <c r="CA1392" s="73"/>
      <c r="CB1392" s="73"/>
      <c r="CC1392" s="73"/>
      <c r="CD1392" s="73"/>
      <c r="CE1392" s="73"/>
      <c r="CF1392" s="73"/>
      <c r="CG1392" s="73"/>
      <c r="CH1392" s="73"/>
    </row>
    <row r="1393">
      <c r="A1393" s="73"/>
      <c r="B1393" s="73"/>
      <c r="C1393" s="73"/>
      <c r="D1393" s="73"/>
      <c r="E1393" s="140"/>
      <c r="F1393" s="80"/>
      <c r="G1393" s="80"/>
      <c r="H1393" s="73"/>
      <c r="I1393" s="73"/>
      <c r="J1393" s="73"/>
      <c r="K1393" s="73"/>
      <c r="L1393" s="73"/>
      <c r="M1393" s="73"/>
      <c r="N1393" s="73"/>
      <c r="O1393" s="73"/>
      <c r="P1393" s="73"/>
      <c r="Q1393" s="73"/>
      <c r="R1393" s="73"/>
      <c r="S1393" s="73"/>
      <c r="T1393" s="73"/>
      <c r="U1393" s="73"/>
      <c r="V1393" s="73"/>
      <c r="W1393" s="73"/>
      <c r="X1393" s="73"/>
      <c r="Y1393" s="73"/>
      <c r="Z1393" s="73"/>
      <c r="AA1393" s="73"/>
      <c r="AB1393" s="73"/>
      <c r="AC1393" s="73"/>
      <c r="AD1393" s="73"/>
      <c r="AE1393" s="73"/>
      <c r="AF1393" s="73"/>
      <c r="AG1393" s="73"/>
      <c r="AH1393" s="73"/>
      <c r="AI1393" s="73"/>
      <c r="AJ1393" s="168"/>
      <c r="AK1393" s="73"/>
      <c r="AL1393" s="73"/>
      <c r="AM1393" s="73"/>
      <c r="AN1393" s="73"/>
      <c r="AO1393" s="73"/>
      <c r="AP1393" s="73"/>
      <c r="AQ1393" s="73"/>
      <c r="AR1393" s="73"/>
      <c r="AS1393" s="73"/>
      <c r="AT1393" s="73"/>
      <c r="AU1393" s="73"/>
      <c r="AV1393" s="73"/>
      <c r="AW1393" s="73"/>
      <c r="AX1393" s="73"/>
      <c r="AY1393" s="73"/>
      <c r="AZ1393" s="73"/>
      <c r="BA1393" s="73"/>
      <c r="BB1393" s="73"/>
      <c r="BC1393" s="73"/>
      <c r="BD1393" s="73"/>
      <c r="BE1393" s="73"/>
      <c r="BF1393" s="75"/>
      <c r="BG1393" s="73"/>
      <c r="BH1393" s="88"/>
      <c r="BI1393" s="73"/>
      <c r="BJ1393" s="73"/>
      <c r="BK1393" s="73"/>
      <c r="BL1393" s="73"/>
      <c r="BM1393" s="73"/>
      <c r="BN1393" s="73"/>
      <c r="BO1393" s="73"/>
      <c r="BP1393" s="73"/>
      <c r="BQ1393" s="73"/>
      <c r="BR1393" s="73"/>
      <c r="BS1393" s="73"/>
      <c r="BT1393" s="73"/>
      <c r="BU1393" s="73"/>
      <c r="BV1393" s="73"/>
      <c r="BW1393" s="73"/>
      <c r="BX1393" s="73"/>
      <c r="BY1393" s="73"/>
      <c r="BZ1393" s="73"/>
      <c r="CA1393" s="73"/>
      <c r="CB1393" s="73"/>
      <c r="CC1393" s="73"/>
      <c r="CD1393" s="73"/>
      <c r="CE1393" s="73"/>
      <c r="CF1393" s="73"/>
      <c r="CG1393" s="73"/>
      <c r="CH1393" s="73"/>
    </row>
    <row r="1394">
      <c r="A1394" s="73"/>
      <c r="B1394" s="73"/>
      <c r="C1394" s="73"/>
      <c r="D1394" s="73"/>
      <c r="E1394" s="140"/>
      <c r="F1394" s="80"/>
      <c r="G1394" s="80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  <c r="S1394" s="73"/>
      <c r="T1394" s="73"/>
      <c r="U1394" s="73"/>
      <c r="V1394" s="73"/>
      <c r="W1394" s="73"/>
      <c r="X1394" s="73"/>
      <c r="Y1394" s="73"/>
      <c r="Z1394" s="73"/>
      <c r="AA1394" s="73"/>
      <c r="AB1394" s="73"/>
      <c r="AC1394" s="73"/>
      <c r="AD1394" s="73"/>
      <c r="AE1394" s="73"/>
      <c r="AF1394" s="73"/>
      <c r="AG1394" s="73"/>
      <c r="AH1394" s="73"/>
      <c r="AI1394" s="73"/>
      <c r="AJ1394" s="168"/>
      <c r="AK1394" s="73"/>
      <c r="AL1394" s="73"/>
      <c r="AM1394" s="73"/>
      <c r="AN1394" s="73"/>
      <c r="AO1394" s="73"/>
      <c r="AP1394" s="73"/>
      <c r="AQ1394" s="73"/>
      <c r="AR1394" s="73"/>
      <c r="AS1394" s="73"/>
      <c r="AT1394" s="73"/>
      <c r="AU1394" s="73"/>
      <c r="AV1394" s="73"/>
      <c r="AW1394" s="73"/>
      <c r="AX1394" s="73"/>
      <c r="AY1394" s="73"/>
      <c r="AZ1394" s="73"/>
      <c r="BA1394" s="73"/>
      <c r="BB1394" s="73"/>
      <c r="BC1394" s="73"/>
      <c r="BD1394" s="73"/>
      <c r="BE1394" s="73"/>
      <c r="BF1394" s="75"/>
      <c r="BG1394" s="73"/>
      <c r="BH1394" s="88"/>
      <c r="BI1394" s="73"/>
      <c r="BJ1394" s="73"/>
      <c r="BK1394" s="73"/>
      <c r="BL1394" s="73"/>
      <c r="BM1394" s="73"/>
      <c r="BN1394" s="73"/>
      <c r="BO1394" s="73"/>
      <c r="BP1394" s="73"/>
      <c r="BQ1394" s="73"/>
      <c r="BR1394" s="73"/>
      <c r="BS1394" s="73"/>
      <c r="BT1394" s="73"/>
      <c r="BU1394" s="73"/>
      <c r="BV1394" s="73"/>
      <c r="BW1394" s="73"/>
      <c r="BX1394" s="73"/>
      <c r="BY1394" s="73"/>
      <c r="BZ1394" s="73"/>
      <c r="CA1394" s="73"/>
      <c r="CB1394" s="73"/>
      <c r="CC1394" s="73"/>
      <c r="CD1394" s="73"/>
      <c r="CE1394" s="73"/>
      <c r="CF1394" s="73"/>
      <c r="CG1394" s="73"/>
      <c r="CH1394" s="73"/>
    </row>
    <row r="1395">
      <c r="A1395" s="73"/>
      <c r="B1395" s="73"/>
      <c r="C1395" s="73"/>
      <c r="D1395" s="73"/>
      <c r="E1395" s="140"/>
      <c r="F1395" s="80"/>
      <c r="G1395" s="80"/>
      <c r="H1395" s="73"/>
      <c r="I1395" s="73"/>
      <c r="J1395" s="73"/>
      <c r="K1395" s="73"/>
      <c r="L1395" s="73"/>
      <c r="M1395" s="73"/>
      <c r="N1395" s="73"/>
      <c r="O1395" s="73"/>
      <c r="P1395" s="73"/>
      <c r="Q1395" s="73"/>
      <c r="R1395" s="73"/>
      <c r="S1395" s="73"/>
      <c r="T1395" s="73"/>
      <c r="U1395" s="73"/>
      <c r="V1395" s="73"/>
      <c r="W1395" s="73"/>
      <c r="X1395" s="73"/>
      <c r="Y1395" s="73"/>
      <c r="Z1395" s="73"/>
      <c r="AA1395" s="73"/>
      <c r="AB1395" s="73"/>
      <c r="AC1395" s="73"/>
      <c r="AD1395" s="73"/>
      <c r="AE1395" s="73"/>
      <c r="AF1395" s="73"/>
      <c r="AG1395" s="73"/>
      <c r="AH1395" s="73"/>
      <c r="AI1395" s="73"/>
      <c r="AJ1395" s="168"/>
      <c r="AK1395" s="73"/>
      <c r="AL1395" s="73"/>
      <c r="AM1395" s="73"/>
      <c r="AN1395" s="73"/>
      <c r="AO1395" s="73"/>
      <c r="AP1395" s="73"/>
      <c r="AQ1395" s="73"/>
      <c r="AR1395" s="73"/>
      <c r="AS1395" s="73"/>
      <c r="AT1395" s="73"/>
      <c r="AU1395" s="73"/>
      <c r="AV1395" s="73"/>
      <c r="AW1395" s="73"/>
      <c r="AX1395" s="73"/>
      <c r="AY1395" s="73"/>
      <c r="AZ1395" s="73"/>
      <c r="BA1395" s="73"/>
      <c r="BB1395" s="73"/>
      <c r="BC1395" s="73"/>
      <c r="BD1395" s="73"/>
      <c r="BE1395" s="73"/>
      <c r="BF1395" s="75"/>
      <c r="BG1395" s="73"/>
      <c r="BH1395" s="88"/>
      <c r="BI1395" s="73"/>
      <c r="BJ1395" s="73"/>
      <c r="BK1395" s="73"/>
      <c r="BL1395" s="73"/>
      <c r="BM1395" s="73"/>
      <c r="BN1395" s="73"/>
      <c r="BO1395" s="73"/>
      <c r="BP1395" s="73"/>
      <c r="BQ1395" s="73"/>
      <c r="BR1395" s="73"/>
      <c r="BS1395" s="73"/>
      <c r="BT1395" s="73"/>
      <c r="BU1395" s="73"/>
      <c r="BV1395" s="73"/>
      <c r="BW1395" s="73"/>
      <c r="BX1395" s="73"/>
      <c r="BY1395" s="73"/>
      <c r="BZ1395" s="73"/>
      <c r="CA1395" s="73"/>
      <c r="CB1395" s="73"/>
      <c r="CC1395" s="73"/>
      <c r="CD1395" s="73"/>
      <c r="CE1395" s="73"/>
      <c r="CF1395" s="73"/>
      <c r="CG1395" s="73"/>
      <c r="CH1395" s="73"/>
    </row>
    <row r="1396">
      <c r="A1396" s="73"/>
      <c r="B1396" s="73"/>
      <c r="C1396" s="73"/>
      <c r="D1396" s="73"/>
      <c r="E1396" s="140"/>
      <c r="F1396" s="80"/>
      <c r="G1396" s="80"/>
      <c r="H1396" s="73"/>
      <c r="I1396" s="73"/>
      <c r="J1396" s="73"/>
      <c r="K1396" s="73"/>
      <c r="L1396" s="73"/>
      <c r="M1396" s="73"/>
      <c r="N1396" s="73"/>
      <c r="O1396" s="73"/>
      <c r="P1396" s="73"/>
      <c r="Q1396" s="73"/>
      <c r="R1396" s="73"/>
      <c r="S1396" s="73"/>
      <c r="T1396" s="73"/>
      <c r="U1396" s="73"/>
      <c r="V1396" s="73"/>
      <c r="W1396" s="73"/>
      <c r="X1396" s="73"/>
      <c r="Y1396" s="73"/>
      <c r="Z1396" s="73"/>
      <c r="AA1396" s="73"/>
      <c r="AB1396" s="73"/>
      <c r="AC1396" s="73"/>
      <c r="AD1396" s="73"/>
      <c r="AE1396" s="73"/>
      <c r="AF1396" s="73"/>
      <c r="AG1396" s="73"/>
      <c r="AH1396" s="73"/>
      <c r="AI1396" s="73"/>
      <c r="AJ1396" s="168"/>
      <c r="AK1396" s="73"/>
      <c r="AL1396" s="73"/>
      <c r="AM1396" s="73"/>
      <c r="AN1396" s="73"/>
      <c r="AO1396" s="73"/>
      <c r="AP1396" s="73"/>
      <c r="AQ1396" s="73"/>
      <c r="AR1396" s="73"/>
      <c r="AS1396" s="73"/>
      <c r="AT1396" s="73"/>
      <c r="AU1396" s="73"/>
      <c r="AV1396" s="73"/>
      <c r="AW1396" s="73"/>
      <c r="AX1396" s="73"/>
      <c r="AY1396" s="73"/>
      <c r="AZ1396" s="73"/>
      <c r="BA1396" s="73"/>
      <c r="BB1396" s="73"/>
      <c r="BC1396" s="73"/>
      <c r="BD1396" s="73"/>
      <c r="BE1396" s="73"/>
      <c r="BF1396" s="75"/>
      <c r="BG1396" s="73"/>
      <c r="BH1396" s="88"/>
      <c r="BI1396" s="73"/>
      <c r="BJ1396" s="73"/>
      <c r="BK1396" s="73"/>
      <c r="BL1396" s="73"/>
      <c r="BM1396" s="73"/>
      <c r="BN1396" s="73"/>
      <c r="BO1396" s="73"/>
      <c r="BP1396" s="73"/>
      <c r="BQ1396" s="73"/>
      <c r="BR1396" s="73"/>
      <c r="BS1396" s="73"/>
      <c r="BT1396" s="73"/>
      <c r="BU1396" s="73"/>
      <c r="BV1396" s="73"/>
      <c r="BW1396" s="73"/>
      <c r="BX1396" s="73"/>
      <c r="BY1396" s="73"/>
      <c r="BZ1396" s="73"/>
      <c r="CA1396" s="73"/>
      <c r="CB1396" s="73"/>
      <c r="CC1396" s="73"/>
      <c r="CD1396" s="73"/>
      <c r="CE1396" s="73"/>
      <c r="CF1396" s="73"/>
      <c r="CG1396" s="73"/>
      <c r="CH1396" s="73"/>
    </row>
    <row r="1397">
      <c r="A1397" s="73"/>
      <c r="B1397" s="73"/>
      <c r="C1397" s="73"/>
      <c r="D1397" s="73"/>
      <c r="E1397" s="140"/>
      <c r="F1397" s="80"/>
      <c r="G1397" s="80"/>
      <c r="H1397" s="73"/>
      <c r="I1397" s="73"/>
      <c r="J1397" s="73"/>
      <c r="K1397" s="73"/>
      <c r="L1397" s="73"/>
      <c r="M1397" s="73"/>
      <c r="N1397" s="73"/>
      <c r="O1397" s="73"/>
      <c r="P1397" s="73"/>
      <c r="Q1397" s="73"/>
      <c r="R1397" s="73"/>
      <c r="S1397" s="73"/>
      <c r="T1397" s="73"/>
      <c r="U1397" s="73"/>
      <c r="V1397" s="73"/>
      <c r="W1397" s="73"/>
      <c r="X1397" s="73"/>
      <c r="Y1397" s="73"/>
      <c r="Z1397" s="73"/>
      <c r="AA1397" s="73"/>
      <c r="AB1397" s="73"/>
      <c r="AC1397" s="73"/>
      <c r="AD1397" s="73"/>
      <c r="AE1397" s="73"/>
      <c r="AF1397" s="73"/>
      <c r="AG1397" s="73"/>
      <c r="AH1397" s="73"/>
      <c r="AI1397" s="73"/>
      <c r="AJ1397" s="168"/>
      <c r="AK1397" s="73"/>
      <c r="AL1397" s="73"/>
      <c r="AM1397" s="73"/>
      <c r="AN1397" s="73"/>
      <c r="AO1397" s="73"/>
      <c r="AP1397" s="73"/>
      <c r="AQ1397" s="73"/>
      <c r="AR1397" s="73"/>
      <c r="AS1397" s="73"/>
      <c r="AT1397" s="73"/>
      <c r="AU1397" s="73"/>
      <c r="AV1397" s="73"/>
      <c r="AW1397" s="73"/>
      <c r="AX1397" s="73"/>
      <c r="AY1397" s="73"/>
      <c r="AZ1397" s="73"/>
      <c r="BA1397" s="73"/>
      <c r="BB1397" s="73"/>
      <c r="BC1397" s="73"/>
      <c r="BD1397" s="73"/>
      <c r="BE1397" s="73"/>
      <c r="BF1397" s="75"/>
      <c r="BG1397" s="73"/>
      <c r="BH1397" s="88"/>
      <c r="BI1397" s="73"/>
      <c r="BJ1397" s="73"/>
      <c r="BK1397" s="73"/>
      <c r="BL1397" s="73"/>
      <c r="BM1397" s="73"/>
      <c r="BN1397" s="73"/>
      <c r="BO1397" s="73"/>
      <c r="BP1397" s="73"/>
      <c r="BQ1397" s="73"/>
      <c r="BR1397" s="73"/>
      <c r="BS1397" s="73"/>
      <c r="BT1397" s="73"/>
      <c r="BU1397" s="73"/>
      <c r="BV1397" s="73"/>
      <c r="BW1397" s="73"/>
      <c r="BX1397" s="73"/>
      <c r="BY1397" s="73"/>
      <c r="BZ1397" s="73"/>
      <c r="CA1397" s="73"/>
      <c r="CB1397" s="73"/>
      <c r="CC1397" s="73"/>
      <c r="CD1397" s="73"/>
      <c r="CE1397" s="73"/>
      <c r="CF1397" s="73"/>
      <c r="CG1397" s="73"/>
      <c r="CH1397" s="73"/>
    </row>
    <row r="1398">
      <c r="A1398" s="73"/>
      <c r="B1398" s="73"/>
      <c r="C1398" s="73"/>
      <c r="D1398" s="73"/>
      <c r="E1398" s="140"/>
      <c r="F1398" s="80"/>
      <c r="G1398" s="80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  <c r="S1398" s="73"/>
      <c r="T1398" s="73"/>
      <c r="U1398" s="73"/>
      <c r="V1398" s="73"/>
      <c r="W1398" s="73"/>
      <c r="X1398" s="73"/>
      <c r="Y1398" s="73"/>
      <c r="Z1398" s="73"/>
      <c r="AA1398" s="73"/>
      <c r="AB1398" s="73"/>
      <c r="AC1398" s="73"/>
      <c r="AD1398" s="73"/>
      <c r="AE1398" s="73"/>
      <c r="AF1398" s="73"/>
      <c r="AG1398" s="73"/>
      <c r="AH1398" s="73"/>
      <c r="AI1398" s="73"/>
      <c r="AJ1398" s="168"/>
      <c r="AK1398" s="73"/>
      <c r="AL1398" s="73"/>
      <c r="AM1398" s="73"/>
      <c r="AN1398" s="73"/>
      <c r="AO1398" s="73"/>
      <c r="AP1398" s="73"/>
      <c r="AQ1398" s="73"/>
      <c r="AR1398" s="73"/>
      <c r="AS1398" s="73"/>
      <c r="AT1398" s="73"/>
      <c r="AU1398" s="73"/>
      <c r="AV1398" s="73"/>
      <c r="AW1398" s="73"/>
      <c r="AX1398" s="73"/>
      <c r="AY1398" s="73"/>
      <c r="AZ1398" s="73"/>
      <c r="BA1398" s="73"/>
      <c r="BB1398" s="73"/>
      <c r="BC1398" s="73"/>
      <c r="BD1398" s="73"/>
      <c r="BE1398" s="73"/>
      <c r="BF1398" s="75"/>
      <c r="BG1398" s="73"/>
      <c r="BH1398" s="88"/>
      <c r="BI1398" s="73"/>
      <c r="BJ1398" s="73"/>
      <c r="BK1398" s="73"/>
      <c r="BL1398" s="73"/>
      <c r="BM1398" s="73"/>
      <c r="BN1398" s="73"/>
      <c r="BO1398" s="73"/>
      <c r="BP1398" s="73"/>
      <c r="BQ1398" s="73"/>
      <c r="BR1398" s="73"/>
      <c r="BS1398" s="73"/>
      <c r="BT1398" s="73"/>
      <c r="BU1398" s="73"/>
      <c r="BV1398" s="73"/>
      <c r="BW1398" s="73"/>
      <c r="BX1398" s="73"/>
      <c r="BY1398" s="73"/>
      <c r="BZ1398" s="73"/>
      <c r="CA1398" s="73"/>
      <c r="CB1398" s="73"/>
      <c r="CC1398" s="73"/>
      <c r="CD1398" s="73"/>
      <c r="CE1398" s="73"/>
      <c r="CF1398" s="73"/>
      <c r="CG1398" s="73"/>
      <c r="CH1398" s="73"/>
    </row>
    <row r="1399">
      <c r="A1399" s="73"/>
      <c r="B1399" s="73"/>
      <c r="C1399" s="73"/>
      <c r="D1399" s="73"/>
      <c r="E1399" s="140"/>
      <c r="F1399" s="80"/>
      <c r="G1399" s="80"/>
      <c r="H1399" s="73"/>
      <c r="I1399" s="73"/>
      <c r="J1399" s="73"/>
      <c r="K1399" s="73"/>
      <c r="L1399" s="73"/>
      <c r="M1399" s="73"/>
      <c r="N1399" s="73"/>
      <c r="O1399" s="73"/>
      <c r="P1399" s="73"/>
      <c r="Q1399" s="73"/>
      <c r="R1399" s="73"/>
      <c r="S1399" s="73"/>
      <c r="T1399" s="73"/>
      <c r="U1399" s="73"/>
      <c r="V1399" s="73"/>
      <c r="W1399" s="73"/>
      <c r="X1399" s="73"/>
      <c r="Y1399" s="73"/>
      <c r="Z1399" s="73"/>
      <c r="AA1399" s="73"/>
      <c r="AB1399" s="73"/>
      <c r="AC1399" s="73"/>
      <c r="AD1399" s="73"/>
      <c r="AE1399" s="73"/>
      <c r="AF1399" s="73"/>
      <c r="AG1399" s="73"/>
      <c r="AH1399" s="73"/>
      <c r="AI1399" s="73"/>
      <c r="AJ1399" s="168"/>
      <c r="AK1399" s="73"/>
      <c r="AL1399" s="73"/>
      <c r="AM1399" s="73"/>
      <c r="AN1399" s="73"/>
      <c r="AO1399" s="73"/>
      <c r="AP1399" s="73"/>
      <c r="AQ1399" s="73"/>
      <c r="AR1399" s="73"/>
      <c r="AS1399" s="73"/>
      <c r="AT1399" s="73"/>
      <c r="AU1399" s="73"/>
      <c r="AV1399" s="73"/>
      <c r="AW1399" s="73"/>
      <c r="AX1399" s="73"/>
      <c r="AY1399" s="73"/>
      <c r="AZ1399" s="73"/>
      <c r="BA1399" s="73"/>
      <c r="BB1399" s="73"/>
      <c r="BC1399" s="73"/>
      <c r="BD1399" s="73"/>
      <c r="BE1399" s="73"/>
      <c r="BF1399" s="75"/>
      <c r="BG1399" s="73"/>
      <c r="BH1399" s="88"/>
      <c r="BI1399" s="73"/>
      <c r="BJ1399" s="73"/>
      <c r="BK1399" s="73"/>
      <c r="BL1399" s="73"/>
      <c r="BM1399" s="73"/>
      <c r="BN1399" s="73"/>
      <c r="BO1399" s="73"/>
      <c r="BP1399" s="73"/>
      <c r="BQ1399" s="73"/>
      <c r="BR1399" s="73"/>
      <c r="BS1399" s="73"/>
      <c r="BT1399" s="73"/>
      <c r="BU1399" s="73"/>
      <c r="BV1399" s="73"/>
      <c r="BW1399" s="73"/>
      <c r="BX1399" s="73"/>
      <c r="BY1399" s="73"/>
      <c r="BZ1399" s="73"/>
      <c r="CA1399" s="73"/>
      <c r="CB1399" s="73"/>
      <c r="CC1399" s="73"/>
      <c r="CD1399" s="73"/>
      <c r="CE1399" s="73"/>
      <c r="CF1399" s="73"/>
      <c r="CG1399" s="73"/>
      <c r="CH1399" s="73"/>
    </row>
    <row r="1400">
      <c r="A1400" s="73"/>
      <c r="B1400" s="73"/>
      <c r="C1400" s="73"/>
      <c r="D1400" s="73"/>
      <c r="E1400" s="140"/>
      <c r="F1400" s="80"/>
      <c r="G1400" s="80"/>
      <c r="H1400" s="73"/>
      <c r="I1400" s="73"/>
      <c r="J1400" s="73"/>
      <c r="K1400" s="73"/>
      <c r="L1400" s="73"/>
      <c r="M1400" s="73"/>
      <c r="N1400" s="73"/>
      <c r="O1400" s="73"/>
      <c r="P1400" s="73"/>
      <c r="Q1400" s="73"/>
      <c r="R1400" s="73"/>
      <c r="S1400" s="73"/>
      <c r="T1400" s="73"/>
      <c r="U1400" s="73"/>
      <c r="V1400" s="73"/>
      <c r="W1400" s="73"/>
      <c r="X1400" s="73"/>
      <c r="Y1400" s="73"/>
      <c r="Z1400" s="73"/>
      <c r="AA1400" s="73"/>
      <c r="AB1400" s="73"/>
      <c r="AC1400" s="73"/>
      <c r="AD1400" s="73"/>
      <c r="AE1400" s="73"/>
      <c r="AF1400" s="73"/>
      <c r="AG1400" s="73"/>
      <c r="AH1400" s="73"/>
      <c r="AI1400" s="73"/>
      <c r="AJ1400" s="168"/>
      <c r="AK1400" s="73"/>
      <c r="AL1400" s="73"/>
      <c r="AM1400" s="73"/>
      <c r="AN1400" s="73"/>
      <c r="AO1400" s="73"/>
      <c r="AP1400" s="73"/>
      <c r="AQ1400" s="73"/>
      <c r="AR1400" s="73"/>
      <c r="AS1400" s="73"/>
      <c r="AT1400" s="73"/>
      <c r="AU1400" s="73"/>
      <c r="AV1400" s="73"/>
      <c r="AW1400" s="73"/>
      <c r="AX1400" s="73"/>
      <c r="AY1400" s="73"/>
      <c r="AZ1400" s="73"/>
      <c r="BA1400" s="73"/>
      <c r="BB1400" s="73"/>
      <c r="BC1400" s="73"/>
      <c r="BD1400" s="73"/>
      <c r="BE1400" s="73"/>
      <c r="BF1400" s="75"/>
      <c r="BG1400" s="73"/>
      <c r="BH1400" s="88"/>
      <c r="BI1400" s="73"/>
      <c r="BJ1400" s="73"/>
      <c r="BK1400" s="73"/>
      <c r="BL1400" s="73"/>
      <c r="BM1400" s="73"/>
      <c r="BN1400" s="73"/>
      <c r="BO1400" s="73"/>
      <c r="BP1400" s="73"/>
      <c r="BQ1400" s="73"/>
      <c r="BR1400" s="73"/>
      <c r="BS1400" s="73"/>
      <c r="BT1400" s="73"/>
      <c r="BU1400" s="73"/>
      <c r="BV1400" s="73"/>
      <c r="BW1400" s="73"/>
      <c r="BX1400" s="73"/>
      <c r="BY1400" s="73"/>
      <c r="BZ1400" s="73"/>
      <c r="CA1400" s="73"/>
      <c r="CB1400" s="73"/>
      <c r="CC1400" s="73"/>
      <c r="CD1400" s="73"/>
      <c r="CE1400" s="73"/>
      <c r="CF1400" s="73"/>
      <c r="CG1400" s="73"/>
      <c r="CH1400" s="73"/>
    </row>
    <row r="1401">
      <c r="A1401" s="73"/>
      <c r="B1401" s="73"/>
      <c r="C1401" s="73"/>
      <c r="D1401" s="73"/>
      <c r="E1401" s="140"/>
      <c r="F1401" s="80"/>
      <c r="G1401" s="80"/>
      <c r="H1401" s="73"/>
      <c r="I1401" s="73"/>
      <c r="J1401" s="73"/>
      <c r="K1401" s="73"/>
      <c r="L1401" s="73"/>
      <c r="M1401" s="73"/>
      <c r="N1401" s="73"/>
      <c r="O1401" s="73"/>
      <c r="P1401" s="73"/>
      <c r="Q1401" s="73"/>
      <c r="R1401" s="73"/>
      <c r="S1401" s="73"/>
      <c r="T1401" s="73"/>
      <c r="U1401" s="73"/>
      <c r="V1401" s="73"/>
      <c r="W1401" s="73"/>
      <c r="X1401" s="73"/>
      <c r="Y1401" s="73"/>
      <c r="Z1401" s="73"/>
      <c r="AA1401" s="73"/>
      <c r="AB1401" s="73"/>
      <c r="AC1401" s="73"/>
      <c r="AD1401" s="73"/>
      <c r="AE1401" s="73"/>
      <c r="AF1401" s="73"/>
      <c r="AG1401" s="73"/>
      <c r="AH1401" s="73"/>
      <c r="AI1401" s="73"/>
      <c r="AJ1401" s="168"/>
      <c r="AK1401" s="73"/>
      <c r="AL1401" s="73"/>
      <c r="AM1401" s="73"/>
      <c r="AN1401" s="73"/>
      <c r="AO1401" s="73"/>
      <c r="AP1401" s="73"/>
      <c r="AQ1401" s="73"/>
      <c r="AR1401" s="73"/>
      <c r="AS1401" s="73"/>
      <c r="AT1401" s="73"/>
      <c r="AU1401" s="73"/>
      <c r="AV1401" s="73"/>
      <c r="AW1401" s="73"/>
      <c r="AX1401" s="73"/>
      <c r="AY1401" s="73"/>
      <c r="AZ1401" s="73"/>
      <c r="BA1401" s="73"/>
      <c r="BB1401" s="73"/>
      <c r="BC1401" s="73"/>
      <c r="BD1401" s="73"/>
      <c r="BE1401" s="73"/>
      <c r="BF1401" s="75"/>
      <c r="BG1401" s="73"/>
      <c r="BH1401" s="88"/>
      <c r="BI1401" s="73"/>
      <c r="BJ1401" s="73"/>
      <c r="BK1401" s="73"/>
      <c r="BL1401" s="73"/>
      <c r="BM1401" s="73"/>
      <c r="BN1401" s="73"/>
      <c r="BO1401" s="73"/>
      <c r="BP1401" s="73"/>
      <c r="BQ1401" s="73"/>
      <c r="BR1401" s="73"/>
      <c r="BS1401" s="73"/>
      <c r="BT1401" s="73"/>
      <c r="BU1401" s="73"/>
      <c r="BV1401" s="73"/>
      <c r="BW1401" s="73"/>
      <c r="BX1401" s="73"/>
      <c r="BY1401" s="73"/>
      <c r="BZ1401" s="73"/>
      <c r="CA1401" s="73"/>
      <c r="CB1401" s="73"/>
      <c r="CC1401" s="73"/>
      <c r="CD1401" s="73"/>
      <c r="CE1401" s="73"/>
      <c r="CF1401" s="73"/>
      <c r="CG1401" s="73"/>
      <c r="CH1401" s="73"/>
    </row>
    <row r="1402">
      <c r="A1402" s="73"/>
      <c r="B1402" s="73"/>
      <c r="C1402" s="73"/>
      <c r="D1402" s="73"/>
      <c r="E1402" s="140"/>
      <c r="F1402" s="80"/>
      <c r="G1402" s="80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  <c r="S1402" s="73"/>
      <c r="T1402" s="73"/>
      <c r="U1402" s="73"/>
      <c r="V1402" s="73"/>
      <c r="W1402" s="73"/>
      <c r="X1402" s="73"/>
      <c r="Y1402" s="73"/>
      <c r="Z1402" s="73"/>
      <c r="AA1402" s="73"/>
      <c r="AB1402" s="73"/>
      <c r="AC1402" s="73"/>
      <c r="AD1402" s="73"/>
      <c r="AE1402" s="73"/>
      <c r="AF1402" s="73"/>
      <c r="AG1402" s="73"/>
      <c r="AH1402" s="73"/>
      <c r="AI1402" s="73"/>
      <c r="AJ1402" s="168"/>
      <c r="AK1402" s="73"/>
      <c r="AL1402" s="73"/>
      <c r="AM1402" s="73"/>
      <c r="AN1402" s="73"/>
      <c r="AO1402" s="73"/>
      <c r="AP1402" s="73"/>
      <c r="AQ1402" s="73"/>
      <c r="AR1402" s="73"/>
      <c r="AS1402" s="73"/>
      <c r="AT1402" s="73"/>
      <c r="AU1402" s="73"/>
      <c r="AV1402" s="73"/>
      <c r="AW1402" s="73"/>
      <c r="AX1402" s="73"/>
      <c r="AY1402" s="73"/>
      <c r="AZ1402" s="73"/>
      <c r="BA1402" s="73"/>
      <c r="BB1402" s="73"/>
      <c r="BC1402" s="73"/>
      <c r="BD1402" s="73"/>
      <c r="BE1402" s="73"/>
      <c r="BF1402" s="75"/>
      <c r="BG1402" s="73"/>
      <c r="BH1402" s="88"/>
      <c r="BI1402" s="73"/>
      <c r="BJ1402" s="73"/>
      <c r="BK1402" s="73"/>
      <c r="BL1402" s="73"/>
      <c r="BM1402" s="73"/>
      <c r="BN1402" s="73"/>
      <c r="BO1402" s="73"/>
      <c r="BP1402" s="73"/>
      <c r="BQ1402" s="73"/>
      <c r="BR1402" s="73"/>
      <c r="BS1402" s="73"/>
      <c r="BT1402" s="73"/>
      <c r="BU1402" s="73"/>
      <c r="BV1402" s="73"/>
      <c r="BW1402" s="73"/>
      <c r="BX1402" s="73"/>
      <c r="BY1402" s="73"/>
      <c r="BZ1402" s="73"/>
      <c r="CA1402" s="73"/>
      <c r="CB1402" s="73"/>
      <c r="CC1402" s="73"/>
      <c r="CD1402" s="73"/>
      <c r="CE1402" s="73"/>
      <c r="CF1402" s="73"/>
      <c r="CG1402" s="73"/>
      <c r="CH1402" s="73"/>
    </row>
    <row r="1403">
      <c r="A1403" s="73"/>
      <c r="B1403" s="73"/>
      <c r="C1403" s="73"/>
      <c r="D1403" s="73"/>
      <c r="E1403" s="140"/>
      <c r="F1403" s="80"/>
      <c r="G1403" s="80"/>
      <c r="H1403" s="73"/>
      <c r="I1403" s="73"/>
      <c r="J1403" s="73"/>
      <c r="K1403" s="73"/>
      <c r="L1403" s="73"/>
      <c r="M1403" s="73"/>
      <c r="N1403" s="73"/>
      <c r="O1403" s="73"/>
      <c r="P1403" s="73"/>
      <c r="Q1403" s="73"/>
      <c r="R1403" s="73"/>
      <c r="S1403" s="73"/>
      <c r="T1403" s="73"/>
      <c r="U1403" s="73"/>
      <c r="V1403" s="73"/>
      <c r="W1403" s="73"/>
      <c r="X1403" s="73"/>
      <c r="Y1403" s="73"/>
      <c r="Z1403" s="73"/>
      <c r="AA1403" s="73"/>
      <c r="AB1403" s="73"/>
      <c r="AC1403" s="73"/>
      <c r="AD1403" s="73"/>
      <c r="AE1403" s="73"/>
      <c r="AF1403" s="73"/>
      <c r="AG1403" s="73"/>
      <c r="AH1403" s="73"/>
      <c r="AI1403" s="73"/>
      <c r="AJ1403" s="168"/>
      <c r="AK1403" s="73"/>
      <c r="AL1403" s="73"/>
      <c r="AM1403" s="73"/>
      <c r="AN1403" s="73"/>
      <c r="AO1403" s="73"/>
      <c r="AP1403" s="73"/>
      <c r="AQ1403" s="73"/>
      <c r="AR1403" s="73"/>
      <c r="AS1403" s="73"/>
      <c r="AT1403" s="73"/>
      <c r="AU1403" s="73"/>
      <c r="AV1403" s="73"/>
      <c r="AW1403" s="73"/>
      <c r="AX1403" s="73"/>
      <c r="AY1403" s="73"/>
      <c r="AZ1403" s="73"/>
      <c r="BA1403" s="73"/>
      <c r="BB1403" s="73"/>
      <c r="BC1403" s="73"/>
      <c r="BD1403" s="73"/>
      <c r="BE1403" s="73"/>
      <c r="BF1403" s="75"/>
      <c r="BG1403" s="73"/>
      <c r="BH1403" s="88"/>
      <c r="BI1403" s="73"/>
      <c r="BJ1403" s="73"/>
      <c r="BK1403" s="73"/>
      <c r="BL1403" s="73"/>
      <c r="BM1403" s="73"/>
      <c r="BN1403" s="73"/>
      <c r="BO1403" s="73"/>
      <c r="BP1403" s="73"/>
      <c r="BQ1403" s="73"/>
      <c r="BR1403" s="73"/>
      <c r="BS1403" s="73"/>
      <c r="BT1403" s="73"/>
      <c r="BU1403" s="73"/>
      <c r="BV1403" s="73"/>
      <c r="BW1403" s="73"/>
      <c r="BX1403" s="73"/>
      <c r="BY1403" s="73"/>
      <c r="BZ1403" s="73"/>
      <c r="CA1403" s="73"/>
      <c r="CB1403" s="73"/>
      <c r="CC1403" s="73"/>
      <c r="CD1403" s="73"/>
      <c r="CE1403" s="73"/>
      <c r="CF1403" s="73"/>
      <c r="CG1403" s="73"/>
      <c r="CH1403" s="73"/>
    </row>
    <row r="1404">
      <c r="A1404" s="73"/>
      <c r="B1404" s="73"/>
      <c r="C1404" s="73"/>
      <c r="D1404" s="73"/>
      <c r="E1404" s="140"/>
      <c r="F1404" s="80"/>
      <c r="G1404" s="80"/>
      <c r="H1404" s="73"/>
      <c r="I1404" s="73"/>
      <c r="J1404" s="73"/>
      <c r="K1404" s="73"/>
      <c r="L1404" s="73"/>
      <c r="M1404" s="73"/>
      <c r="N1404" s="73"/>
      <c r="O1404" s="73"/>
      <c r="P1404" s="73"/>
      <c r="Q1404" s="73"/>
      <c r="R1404" s="73"/>
      <c r="S1404" s="73"/>
      <c r="T1404" s="73"/>
      <c r="U1404" s="73"/>
      <c r="V1404" s="73"/>
      <c r="W1404" s="73"/>
      <c r="X1404" s="73"/>
      <c r="Y1404" s="73"/>
      <c r="Z1404" s="73"/>
      <c r="AA1404" s="73"/>
      <c r="AB1404" s="73"/>
      <c r="AC1404" s="73"/>
      <c r="AD1404" s="73"/>
      <c r="AE1404" s="73"/>
      <c r="AF1404" s="73"/>
      <c r="AG1404" s="73"/>
      <c r="AH1404" s="73"/>
      <c r="AI1404" s="73"/>
      <c r="AJ1404" s="168"/>
      <c r="AK1404" s="73"/>
      <c r="AL1404" s="73"/>
      <c r="AM1404" s="73"/>
      <c r="AN1404" s="73"/>
      <c r="AO1404" s="73"/>
      <c r="AP1404" s="73"/>
      <c r="AQ1404" s="73"/>
      <c r="AR1404" s="73"/>
      <c r="AS1404" s="73"/>
      <c r="AT1404" s="73"/>
      <c r="AU1404" s="73"/>
      <c r="AV1404" s="73"/>
      <c r="AW1404" s="73"/>
      <c r="AX1404" s="73"/>
      <c r="AY1404" s="73"/>
      <c r="AZ1404" s="73"/>
      <c r="BA1404" s="73"/>
      <c r="BB1404" s="73"/>
      <c r="BC1404" s="73"/>
      <c r="BD1404" s="73"/>
      <c r="BE1404" s="73"/>
      <c r="BF1404" s="75"/>
      <c r="BG1404" s="73"/>
      <c r="BH1404" s="88"/>
      <c r="BI1404" s="73"/>
      <c r="BJ1404" s="73"/>
      <c r="BK1404" s="73"/>
      <c r="BL1404" s="73"/>
      <c r="BM1404" s="73"/>
      <c r="BN1404" s="73"/>
      <c r="BO1404" s="73"/>
      <c r="BP1404" s="73"/>
      <c r="BQ1404" s="73"/>
      <c r="BR1404" s="73"/>
      <c r="BS1404" s="73"/>
      <c r="BT1404" s="73"/>
      <c r="BU1404" s="73"/>
      <c r="BV1404" s="73"/>
      <c r="BW1404" s="73"/>
      <c r="BX1404" s="73"/>
      <c r="BY1404" s="73"/>
      <c r="BZ1404" s="73"/>
      <c r="CA1404" s="73"/>
      <c r="CB1404" s="73"/>
      <c r="CC1404" s="73"/>
      <c r="CD1404" s="73"/>
      <c r="CE1404" s="73"/>
      <c r="CF1404" s="73"/>
      <c r="CG1404" s="73"/>
      <c r="CH1404" s="73"/>
    </row>
    <row r="1405">
      <c r="A1405" s="73"/>
      <c r="B1405" s="73"/>
      <c r="C1405" s="73"/>
      <c r="D1405" s="73"/>
      <c r="E1405" s="140"/>
      <c r="F1405" s="80"/>
      <c r="G1405" s="80"/>
      <c r="H1405" s="73"/>
      <c r="I1405" s="73"/>
      <c r="J1405" s="73"/>
      <c r="K1405" s="73"/>
      <c r="L1405" s="73"/>
      <c r="M1405" s="73"/>
      <c r="N1405" s="73"/>
      <c r="O1405" s="73"/>
      <c r="P1405" s="73"/>
      <c r="Q1405" s="73"/>
      <c r="R1405" s="73"/>
      <c r="S1405" s="73"/>
      <c r="T1405" s="73"/>
      <c r="U1405" s="73"/>
      <c r="V1405" s="73"/>
      <c r="W1405" s="73"/>
      <c r="X1405" s="73"/>
      <c r="Y1405" s="73"/>
      <c r="Z1405" s="73"/>
      <c r="AA1405" s="73"/>
      <c r="AB1405" s="73"/>
      <c r="AC1405" s="73"/>
      <c r="AD1405" s="73"/>
      <c r="AE1405" s="73"/>
      <c r="AF1405" s="73"/>
      <c r="AG1405" s="73"/>
      <c r="AH1405" s="73"/>
      <c r="AI1405" s="73"/>
      <c r="AJ1405" s="168"/>
      <c r="AK1405" s="73"/>
      <c r="AL1405" s="73"/>
      <c r="AM1405" s="73"/>
      <c r="AN1405" s="73"/>
      <c r="AO1405" s="73"/>
      <c r="AP1405" s="73"/>
      <c r="AQ1405" s="73"/>
      <c r="AR1405" s="73"/>
      <c r="AS1405" s="73"/>
      <c r="AT1405" s="73"/>
      <c r="AU1405" s="73"/>
      <c r="AV1405" s="73"/>
      <c r="AW1405" s="73"/>
      <c r="AX1405" s="73"/>
      <c r="AY1405" s="73"/>
      <c r="AZ1405" s="73"/>
      <c r="BA1405" s="73"/>
      <c r="BB1405" s="73"/>
      <c r="BC1405" s="73"/>
      <c r="BD1405" s="73"/>
      <c r="BE1405" s="73"/>
      <c r="BF1405" s="75"/>
      <c r="BG1405" s="73"/>
      <c r="BH1405" s="88"/>
      <c r="BI1405" s="73"/>
      <c r="BJ1405" s="73"/>
      <c r="BK1405" s="73"/>
      <c r="BL1405" s="73"/>
      <c r="BM1405" s="73"/>
      <c r="BN1405" s="73"/>
      <c r="BO1405" s="73"/>
      <c r="BP1405" s="73"/>
      <c r="BQ1405" s="73"/>
      <c r="BR1405" s="73"/>
      <c r="BS1405" s="73"/>
      <c r="BT1405" s="73"/>
      <c r="BU1405" s="73"/>
      <c r="BV1405" s="73"/>
      <c r="BW1405" s="73"/>
      <c r="BX1405" s="73"/>
      <c r="BY1405" s="73"/>
      <c r="BZ1405" s="73"/>
      <c r="CA1405" s="73"/>
      <c r="CB1405" s="73"/>
      <c r="CC1405" s="73"/>
      <c r="CD1405" s="73"/>
      <c r="CE1405" s="73"/>
      <c r="CF1405" s="73"/>
      <c r="CG1405" s="73"/>
      <c r="CH1405" s="73"/>
    </row>
    <row r="1406">
      <c r="A1406" s="73"/>
      <c r="B1406" s="73"/>
      <c r="C1406" s="73"/>
      <c r="D1406" s="73"/>
      <c r="E1406" s="140"/>
      <c r="F1406" s="80"/>
      <c r="G1406" s="80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  <c r="S1406" s="73"/>
      <c r="T1406" s="73"/>
      <c r="U1406" s="73"/>
      <c r="V1406" s="73"/>
      <c r="W1406" s="73"/>
      <c r="X1406" s="73"/>
      <c r="Y1406" s="73"/>
      <c r="Z1406" s="73"/>
      <c r="AA1406" s="73"/>
      <c r="AB1406" s="73"/>
      <c r="AC1406" s="73"/>
      <c r="AD1406" s="73"/>
      <c r="AE1406" s="73"/>
      <c r="AF1406" s="73"/>
      <c r="AG1406" s="73"/>
      <c r="AH1406" s="73"/>
      <c r="AI1406" s="73"/>
      <c r="AJ1406" s="168"/>
      <c r="AK1406" s="73"/>
      <c r="AL1406" s="73"/>
      <c r="AM1406" s="73"/>
      <c r="AN1406" s="73"/>
      <c r="AO1406" s="73"/>
      <c r="AP1406" s="73"/>
      <c r="AQ1406" s="73"/>
      <c r="AR1406" s="73"/>
      <c r="AS1406" s="73"/>
      <c r="AT1406" s="73"/>
      <c r="AU1406" s="73"/>
      <c r="AV1406" s="73"/>
      <c r="AW1406" s="73"/>
      <c r="AX1406" s="73"/>
      <c r="AY1406" s="73"/>
      <c r="AZ1406" s="73"/>
      <c r="BA1406" s="73"/>
      <c r="BB1406" s="73"/>
      <c r="BC1406" s="73"/>
      <c r="BD1406" s="73"/>
      <c r="BE1406" s="73"/>
      <c r="BF1406" s="75"/>
      <c r="BG1406" s="73"/>
      <c r="BH1406" s="88"/>
      <c r="BI1406" s="73"/>
      <c r="BJ1406" s="73"/>
      <c r="BK1406" s="73"/>
      <c r="BL1406" s="73"/>
      <c r="BM1406" s="73"/>
      <c r="BN1406" s="73"/>
      <c r="BO1406" s="73"/>
      <c r="BP1406" s="73"/>
      <c r="BQ1406" s="73"/>
      <c r="BR1406" s="73"/>
      <c r="BS1406" s="73"/>
      <c r="BT1406" s="73"/>
      <c r="BU1406" s="73"/>
      <c r="BV1406" s="73"/>
      <c r="BW1406" s="73"/>
      <c r="BX1406" s="73"/>
      <c r="BY1406" s="73"/>
      <c r="BZ1406" s="73"/>
      <c r="CA1406" s="73"/>
      <c r="CB1406" s="73"/>
      <c r="CC1406" s="73"/>
      <c r="CD1406" s="73"/>
      <c r="CE1406" s="73"/>
      <c r="CF1406" s="73"/>
      <c r="CG1406" s="73"/>
      <c r="CH1406" s="73"/>
    </row>
    <row r="1407">
      <c r="A1407" s="73"/>
      <c r="B1407" s="73"/>
      <c r="C1407" s="73"/>
      <c r="D1407" s="73"/>
      <c r="E1407" s="140"/>
      <c r="F1407" s="80"/>
      <c r="G1407" s="80"/>
      <c r="H1407" s="73"/>
      <c r="I1407" s="73"/>
      <c r="J1407" s="73"/>
      <c r="K1407" s="73"/>
      <c r="L1407" s="73"/>
      <c r="M1407" s="73"/>
      <c r="N1407" s="73"/>
      <c r="O1407" s="73"/>
      <c r="P1407" s="73"/>
      <c r="Q1407" s="73"/>
      <c r="R1407" s="73"/>
      <c r="S1407" s="73"/>
      <c r="T1407" s="73"/>
      <c r="U1407" s="73"/>
      <c r="V1407" s="73"/>
      <c r="W1407" s="73"/>
      <c r="X1407" s="73"/>
      <c r="Y1407" s="73"/>
      <c r="Z1407" s="73"/>
      <c r="AA1407" s="73"/>
      <c r="AB1407" s="73"/>
      <c r="AC1407" s="73"/>
      <c r="AD1407" s="73"/>
      <c r="AE1407" s="73"/>
      <c r="AF1407" s="73"/>
      <c r="AG1407" s="73"/>
      <c r="AH1407" s="73"/>
      <c r="AI1407" s="73"/>
      <c r="AJ1407" s="168"/>
      <c r="AK1407" s="73"/>
      <c r="AL1407" s="73"/>
      <c r="AM1407" s="73"/>
      <c r="AN1407" s="73"/>
      <c r="AO1407" s="73"/>
      <c r="AP1407" s="73"/>
      <c r="AQ1407" s="73"/>
      <c r="AR1407" s="73"/>
      <c r="AS1407" s="73"/>
      <c r="AT1407" s="73"/>
      <c r="AU1407" s="73"/>
      <c r="AV1407" s="73"/>
      <c r="AW1407" s="73"/>
      <c r="AX1407" s="73"/>
      <c r="AY1407" s="73"/>
      <c r="AZ1407" s="73"/>
      <c r="BA1407" s="73"/>
      <c r="BB1407" s="73"/>
      <c r="BC1407" s="73"/>
      <c r="BD1407" s="73"/>
      <c r="BE1407" s="73"/>
      <c r="BF1407" s="75"/>
      <c r="BG1407" s="73"/>
      <c r="BH1407" s="88"/>
      <c r="BI1407" s="73"/>
      <c r="BJ1407" s="73"/>
      <c r="BK1407" s="73"/>
      <c r="BL1407" s="73"/>
      <c r="BM1407" s="73"/>
      <c r="BN1407" s="73"/>
      <c r="BO1407" s="73"/>
      <c r="BP1407" s="73"/>
      <c r="BQ1407" s="73"/>
      <c r="BR1407" s="73"/>
      <c r="BS1407" s="73"/>
      <c r="BT1407" s="73"/>
      <c r="BU1407" s="73"/>
      <c r="BV1407" s="73"/>
      <c r="BW1407" s="73"/>
      <c r="BX1407" s="73"/>
      <c r="BY1407" s="73"/>
      <c r="BZ1407" s="73"/>
      <c r="CA1407" s="73"/>
      <c r="CB1407" s="73"/>
      <c r="CC1407" s="73"/>
      <c r="CD1407" s="73"/>
      <c r="CE1407" s="73"/>
      <c r="CF1407" s="73"/>
      <c r="CG1407" s="73"/>
      <c r="CH1407" s="73"/>
    </row>
    <row r="1408">
      <c r="A1408" s="73"/>
      <c r="B1408" s="73"/>
      <c r="C1408" s="73"/>
      <c r="D1408" s="73"/>
      <c r="E1408" s="140"/>
      <c r="F1408" s="80"/>
      <c r="G1408" s="80"/>
      <c r="H1408" s="73"/>
      <c r="I1408" s="73"/>
      <c r="J1408" s="73"/>
      <c r="K1408" s="73"/>
      <c r="L1408" s="73"/>
      <c r="M1408" s="73"/>
      <c r="N1408" s="73"/>
      <c r="O1408" s="73"/>
      <c r="P1408" s="73"/>
      <c r="Q1408" s="73"/>
      <c r="R1408" s="73"/>
      <c r="S1408" s="73"/>
      <c r="T1408" s="73"/>
      <c r="U1408" s="73"/>
      <c r="V1408" s="73"/>
      <c r="W1408" s="73"/>
      <c r="X1408" s="73"/>
      <c r="Y1408" s="73"/>
      <c r="Z1408" s="73"/>
      <c r="AA1408" s="73"/>
      <c r="AB1408" s="73"/>
      <c r="AC1408" s="73"/>
      <c r="AD1408" s="73"/>
      <c r="AE1408" s="73"/>
      <c r="AF1408" s="73"/>
      <c r="AG1408" s="73"/>
      <c r="AH1408" s="73"/>
      <c r="AI1408" s="73"/>
      <c r="AJ1408" s="168"/>
      <c r="AK1408" s="73"/>
      <c r="AL1408" s="73"/>
      <c r="AM1408" s="73"/>
      <c r="AN1408" s="73"/>
      <c r="AO1408" s="73"/>
      <c r="AP1408" s="73"/>
      <c r="AQ1408" s="73"/>
      <c r="AR1408" s="73"/>
      <c r="AS1408" s="73"/>
      <c r="AT1408" s="73"/>
      <c r="AU1408" s="73"/>
      <c r="AV1408" s="73"/>
      <c r="AW1408" s="73"/>
      <c r="AX1408" s="73"/>
      <c r="AY1408" s="73"/>
      <c r="AZ1408" s="73"/>
      <c r="BA1408" s="73"/>
      <c r="BB1408" s="73"/>
      <c r="BC1408" s="73"/>
      <c r="BD1408" s="73"/>
      <c r="BE1408" s="73"/>
      <c r="BF1408" s="75"/>
      <c r="BG1408" s="73"/>
      <c r="BH1408" s="88"/>
      <c r="BI1408" s="73"/>
      <c r="BJ1408" s="73"/>
      <c r="BK1408" s="73"/>
      <c r="BL1408" s="73"/>
      <c r="BM1408" s="73"/>
      <c r="BN1408" s="73"/>
      <c r="BO1408" s="73"/>
      <c r="BP1408" s="73"/>
      <c r="BQ1408" s="73"/>
      <c r="BR1408" s="73"/>
      <c r="BS1408" s="73"/>
      <c r="BT1408" s="73"/>
      <c r="BU1408" s="73"/>
      <c r="BV1408" s="73"/>
      <c r="BW1408" s="73"/>
      <c r="BX1408" s="73"/>
      <c r="BY1408" s="73"/>
      <c r="BZ1408" s="73"/>
      <c r="CA1408" s="73"/>
      <c r="CB1408" s="73"/>
      <c r="CC1408" s="73"/>
      <c r="CD1408" s="73"/>
      <c r="CE1408" s="73"/>
      <c r="CF1408" s="73"/>
      <c r="CG1408" s="73"/>
      <c r="CH1408" s="73"/>
    </row>
    <row r="1409">
      <c r="A1409" s="73"/>
      <c r="B1409" s="73"/>
      <c r="C1409" s="73"/>
      <c r="D1409" s="73"/>
      <c r="E1409" s="140"/>
      <c r="F1409" s="80"/>
      <c r="G1409" s="80"/>
      <c r="H1409" s="73"/>
      <c r="I1409" s="73"/>
      <c r="J1409" s="73"/>
      <c r="K1409" s="73"/>
      <c r="L1409" s="73"/>
      <c r="M1409" s="73"/>
      <c r="N1409" s="73"/>
      <c r="O1409" s="73"/>
      <c r="P1409" s="73"/>
      <c r="Q1409" s="73"/>
      <c r="R1409" s="73"/>
      <c r="S1409" s="73"/>
      <c r="T1409" s="73"/>
      <c r="U1409" s="73"/>
      <c r="V1409" s="73"/>
      <c r="W1409" s="73"/>
      <c r="X1409" s="73"/>
      <c r="Y1409" s="73"/>
      <c r="Z1409" s="73"/>
      <c r="AA1409" s="73"/>
      <c r="AB1409" s="73"/>
      <c r="AC1409" s="73"/>
      <c r="AD1409" s="73"/>
      <c r="AE1409" s="73"/>
      <c r="AF1409" s="73"/>
      <c r="AG1409" s="73"/>
      <c r="AH1409" s="73"/>
      <c r="AI1409" s="73"/>
      <c r="AJ1409" s="168"/>
      <c r="AK1409" s="73"/>
      <c r="AL1409" s="73"/>
      <c r="AM1409" s="73"/>
      <c r="AN1409" s="73"/>
      <c r="AO1409" s="73"/>
      <c r="AP1409" s="73"/>
      <c r="AQ1409" s="73"/>
      <c r="AR1409" s="73"/>
      <c r="AS1409" s="73"/>
      <c r="AT1409" s="73"/>
      <c r="AU1409" s="73"/>
      <c r="AV1409" s="73"/>
      <c r="AW1409" s="73"/>
      <c r="AX1409" s="73"/>
      <c r="AY1409" s="73"/>
      <c r="AZ1409" s="73"/>
      <c r="BA1409" s="73"/>
      <c r="BB1409" s="73"/>
      <c r="BC1409" s="73"/>
      <c r="BD1409" s="73"/>
      <c r="BE1409" s="73"/>
      <c r="BF1409" s="75"/>
      <c r="BG1409" s="73"/>
      <c r="BH1409" s="88"/>
      <c r="BI1409" s="73"/>
      <c r="BJ1409" s="73"/>
      <c r="BK1409" s="73"/>
      <c r="BL1409" s="73"/>
      <c r="BM1409" s="73"/>
      <c r="BN1409" s="73"/>
      <c r="BO1409" s="73"/>
      <c r="BP1409" s="73"/>
      <c r="BQ1409" s="73"/>
      <c r="BR1409" s="73"/>
      <c r="BS1409" s="73"/>
      <c r="BT1409" s="73"/>
      <c r="BU1409" s="73"/>
      <c r="BV1409" s="73"/>
      <c r="BW1409" s="73"/>
      <c r="BX1409" s="73"/>
      <c r="BY1409" s="73"/>
      <c r="BZ1409" s="73"/>
      <c r="CA1409" s="73"/>
      <c r="CB1409" s="73"/>
      <c r="CC1409" s="73"/>
      <c r="CD1409" s="73"/>
      <c r="CE1409" s="73"/>
      <c r="CF1409" s="73"/>
      <c r="CG1409" s="73"/>
      <c r="CH1409" s="73"/>
    </row>
    <row r="1410">
      <c r="A1410" s="73"/>
      <c r="B1410" s="73"/>
      <c r="C1410" s="73"/>
      <c r="D1410" s="73"/>
      <c r="E1410" s="140"/>
      <c r="F1410" s="80"/>
      <c r="G1410" s="80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  <c r="S1410" s="73"/>
      <c r="T1410" s="73"/>
      <c r="U1410" s="73"/>
      <c r="V1410" s="73"/>
      <c r="W1410" s="73"/>
      <c r="X1410" s="73"/>
      <c r="Y1410" s="73"/>
      <c r="Z1410" s="73"/>
      <c r="AA1410" s="73"/>
      <c r="AB1410" s="73"/>
      <c r="AC1410" s="73"/>
      <c r="AD1410" s="73"/>
      <c r="AE1410" s="73"/>
      <c r="AF1410" s="73"/>
      <c r="AG1410" s="73"/>
      <c r="AH1410" s="73"/>
      <c r="AI1410" s="73"/>
      <c r="AJ1410" s="168"/>
      <c r="AK1410" s="73"/>
      <c r="AL1410" s="73"/>
      <c r="AM1410" s="73"/>
      <c r="AN1410" s="73"/>
      <c r="AO1410" s="73"/>
      <c r="AP1410" s="73"/>
      <c r="AQ1410" s="73"/>
      <c r="AR1410" s="73"/>
      <c r="AS1410" s="73"/>
      <c r="AT1410" s="73"/>
      <c r="AU1410" s="73"/>
      <c r="AV1410" s="73"/>
      <c r="AW1410" s="73"/>
      <c r="AX1410" s="73"/>
      <c r="AY1410" s="73"/>
      <c r="AZ1410" s="73"/>
      <c r="BA1410" s="73"/>
      <c r="BB1410" s="73"/>
      <c r="BC1410" s="73"/>
      <c r="BD1410" s="73"/>
      <c r="BE1410" s="73"/>
      <c r="BF1410" s="75"/>
      <c r="BG1410" s="73"/>
      <c r="BH1410" s="88"/>
      <c r="BI1410" s="73"/>
      <c r="BJ1410" s="73"/>
      <c r="BK1410" s="73"/>
      <c r="BL1410" s="73"/>
      <c r="BM1410" s="73"/>
      <c r="BN1410" s="73"/>
      <c r="BO1410" s="73"/>
      <c r="BP1410" s="73"/>
      <c r="BQ1410" s="73"/>
      <c r="BR1410" s="73"/>
      <c r="BS1410" s="73"/>
      <c r="BT1410" s="73"/>
      <c r="BU1410" s="73"/>
      <c r="BV1410" s="73"/>
      <c r="BW1410" s="73"/>
      <c r="BX1410" s="73"/>
      <c r="BY1410" s="73"/>
      <c r="BZ1410" s="73"/>
      <c r="CA1410" s="73"/>
      <c r="CB1410" s="73"/>
      <c r="CC1410" s="73"/>
      <c r="CD1410" s="73"/>
      <c r="CE1410" s="73"/>
      <c r="CF1410" s="73"/>
      <c r="CG1410" s="73"/>
      <c r="CH1410" s="73"/>
    </row>
    <row r="1411">
      <c r="A1411" s="73"/>
      <c r="B1411" s="73"/>
      <c r="C1411" s="73"/>
      <c r="D1411" s="73"/>
      <c r="E1411" s="140"/>
      <c r="F1411" s="80"/>
      <c r="G1411" s="80"/>
      <c r="H1411" s="73"/>
      <c r="I1411" s="73"/>
      <c r="J1411" s="73"/>
      <c r="K1411" s="73"/>
      <c r="L1411" s="73"/>
      <c r="M1411" s="73"/>
      <c r="N1411" s="73"/>
      <c r="O1411" s="73"/>
      <c r="P1411" s="73"/>
      <c r="Q1411" s="73"/>
      <c r="R1411" s="73"/>
      <c r="S1411" s="73"/>
      <c r="T1411" s="73"/>
      <c r="U1411" s="73"/>
      <c r="V1411" s="73"/>
      <c r="W1411" s="73"/>
      <c r="X1411" s="73"/>
      <c r="Y1411" s="73"/>
      <c r="Z1411" s="73"/>
      <c r="AA1411" s="73"/>
      <c r="AB1411" s="73"/>
      <c r="AC1411" s="73"/>
      <c r="AD1411" s="73"/>
      <c r="AE1411" s="73"/>
      <c r="AF1411" s="73"/>
      <c r="AG1411" s="73"/>
      <c r="AH1411" s="73"/>
      <c r="AI1411" s="73"/>
      <c r="AJ1411" s="168"/>
      <c r="AK1411" s="73"/>
      <c r="AL1411" s="73"/>
      <c r="AM1411" s="73"/>
      <c r="AN1411" s="73"/>
      <c r="AO1411" s="73"/>
      <c r="AP1411" s="73"/>
      <c r="AQ1411" s="73"/>
      <c r="AR1411" s="73"/>
      <c r="AS1411" s="73"/>
      <c r="AT1411" s="73"/>
      <c r="AU1411" s="73"/>
      <c r="AV1411" s="73"/>
      <c r="AW1411" s="73"/>
      <c r="AX1411" s="73"/>
      <c r="AY1411" s="73"/>
      <c r="AZ1411" s="73"/>
      <c r="BA1411" s="73"/>
      <c r="BB1411" s="73"/>
      <c r="BC1411" s="73"/>
      <c r="BD1411" s="73"/>
      <c r="BE1411" s="73"/>
      <c r="BF1411" s="75"/>
      <c r="BG1411" s="73"/>
      <c r="BH1411" s="88"/>
      <c r="BI1411" s="73"/>
      <c r="BJ1411" s="73"/>
      <c r="BK1411" s="73"/>
      <c r="BL1411" s="73"/>
      <c r="BM1411" s="73"/>
      <c r="BN1411" s="73"/>
      <c r="BO1411" s="73"/>
      <c r="BP1411" s="73"/>
      <c r="BQ1411" s="73"/>
      <c r="BR1411" s="73"/>
      <c r="BS1411" s="73"/>
      <c r="BT1411" s="73"/>
      <c r="BU1411" s="73"/>
      <c r="BV1411" s="73"/>
      <c r="BW1411" s="73"/>
      <c r="BX1411" s="73"/>
      <c r="BY1411" s="73"/>
      <c r="BZ1411" s="73"/>
      <c r="CA1411" s="73"/>
      <c r="CB1411" s="73"/>
      <c r="CC1411" s="73"/>
      <c r="CD1411" s="73"/>
      <c r="CE1411" s="73"/>
      <c r="CF1411" s="73"/>
      <c r="CG1411" s="73"/>
      <c r="CH1411" s="73"/>
    </row>
    <row r="1412">
      <c r="A1412" s="73"/>
      <c r="B1412" s="73"/>
      <c r="C1412" s="73"/>
      <c r="D1412" s="73"/>
      <c r="E1412" s="140"/>
      <c r="F1412" s="80"/>
      <c r="G1412" s="80"/>
      <c r="H1412" s="73"/>
      <c r="I1412" s="73"/>
      <c r="J1412" s="73"/>
      <c r="K1412" s="73"/>
      <c r="L1412" s="73"/>
      <c r="M1412" s="73"/>
      <c r="N1412" s="73"/>
      <c r="O1412" s="73"/>
      <c r="P1412" s="73"/>
      <c r="Q1412" s="73"/>
      <c r="R1412" s="73"/>
      <c r="S1412" s="73"/>
      <c r="T1412" s="73"/>
      <c r="U1412" s="73"/>
      <c r="V1412" s="73"/>
      <c r="W1412" s="73"/>
      <c r="X1412" s="73"/>
      <c r="Y1412" s="73"/>
      <c r="Z1412" s="73"/>
      <c r="AA1412" s="73"/>
      <c r="AB1412" s="73"/>
      <c r="AC1412" s="73"/>
      <c r="AD1412" s="73"/>
      <c r="AE1412" s="73"/>
      <c r="AF1412" s="73"/>
      <c r="AG1412" s="73"/>
      <c r="AH1412" s="73"/>
      <c r="AI1412" s="73"/>
      <c r="AJ1412" s="168"/>
      <c r="AK1412" s="73"/>
      <c r="AL1412" s="73"/>
      <c r="AM1412" s="73"/>
      <c r="AN1412" s="73"/>
      <c r="AO1412" s="73"/>
      <c r="AP1412" s="73"/>
      <c r="AQ1412" s="73"/>
      <c r="AR1412" s="73"/>
      <c r="AS1412" s="73"/>
      <c r="AT1412" s="73"/>
      <c r="AU1412" s="73"/>
      <c r="AV1412" s="73"/>
      <c r="AW1412" s="73"/>
      <c r="AX1412" s="73"/>
      <c r="AY1412" s="73"/>
      <c r="AZ1412" s="73"/>
      <c r="BA1412" s="73"/>
      <c r="BB1412" s="73"/>
      <c r="BC1412" s="73"/>
      <c r="BD1412" s="73"/>
      <c r="BE1412" s="73"/>
      <c r="BF1412" s="75"/>
      <c r="BG1412" s="73"/>
      <c r="BH1412" s="88"/>
      <c r="BI1412" s="73"/>
      <c r="BJ1412" s="73"/>
      <c r="BK1412" s="73"/>
      <c r="BL1412" s="73"/>
      <c r="BM1412" s="73"/>
      <c r="BN1412" s="73"/>
      <c r="BO1412" s="73"/>
      <c r="BP1412" s="73"/>
      <c r="BQ1412" s="73"/>
      <c r="BR1412" s="73"/>
      <c r="BS1412" s="73"/>
      <c r="BT1412" s="73"/>
      <c r="BU1412" s="73"/>
      <c r="BV1412" s="73"/>
      <c r="BW1412" s="73"/>
      <c r="BX1412" s="73"/>
      <c r="BY1412" s="73"/>
      <c r="BZ1412" s="73"/>
      <c r="CA1412" s="73"/>
      <c r="CB1412" s="73"/>
      <c r="CC1412" s="73"/>
      <c r="CD1412" s="73"/>
      <c r="CE1412" s="73"/>
      <c r="CF1412" s="73"/>
      <c r="CG1412" s="73"/>
      <c r="CH1412" s="73"/>
    </row>
    <row r="1413">
      <c r="A1413" s="73"/>
      <c r="B1413" s="73"/>
      <c r="C1413" s="73"/>
      <c r="D1413" s="73"/>
      <c r="E1413" s="140"/>
      <c r="F1413" s="80"/>
      <c r="G1413" s="80"/>
      <c r="H1413" s="73"/>
      <c r="I1413" s="73"/>
      <c r="J1413" s="73"/>
      <c r="K1413" s="73"/>
      <c r="L1413" s="73"/>
      <c r="M1413" s="73"/>
      <c r="N1413" s="73"/>
      <c r="O1413" s="73"/>
      <c r="P1413" s="73"/>
      <c r="Q1413" s="73"/>
      <c r="R1413" s="73"/>
      <c r="S1413" s="73"/>
      <c r="T1413" s="73"/>
      <c r="U1413" s="73"/>
      <c r="V1413" s="73"/>
      <c r="W1413" s="73"/>
      <c r="X1413" s="73"/>
      <c r="Y1413" s="73"/>
      <c r="Z1413" s="73"/>
      <c r="AA1413" s="73"/>
      <c r="AB1413" s="73"/>
      <c r="AC1413" s="73"/>
      <c r="AD1413" s="73"/>
      <c r="AE1413" s="73"/>
      <c r="AF1413" s="73"/>
      <c r="AG1413" s="73"/>
      <c r="AH1413" s="73"/>
      <c r="AI1413" s="73"/>
      <c r="AJ1413" s="168"/>
      <c r="AK1413" s="73"/>
      <c r="AL1413" s="73"/>
      <c r="AM1413" s="73"/>
      <c r="AN1413" s="73"/>
      <c r="AO1413" s="73"/>
      <c r="AP1413" s="73"/>
      <c r="AQ1413" s="73"/>
      <c r="AR1413" s="73"/>
      <c r="AS1413" s="73"/>
      <c r="AT1413" s="73"/>
      <c r="AU1413" s="73"/>
      <c r="AV1413" s="73"/>
      <c r="AW1413" s="73"/>
      <c r="AX1413" s="73"/>
      <c r="AY1413" s="73"/>
      <c r="AZ1413" s="73"/>
      <c r="BA1413" s="73"/>
      <c r="BB1413" s="73"/>
      <c r="BC1413" s="73"/>
      <c r="BD1413" s="73"/>
      <c r="BE1413" s="73"/>
      <c r="BF1413" s="75"/>
      <c r="BG1413" s="73"/>
      <c r="BH1413" s="88"/>
      <c r="BI1413" s="73"/>
      <c r="BJ1413" s="73"/>
      <c r="BK1413" s="73"/>
      <c r="BL1413" s="73"/>
      <c r="BM1413" s="73"/>
      <c r="BN1413" s="73"/>
      <c r="BO1413" s="73"/>
      <c r="BP1413" s="73"/>
      <c r="BQ1413" s="73"/>
      <c r="BR1413" s="73"/>
      <c r="BS1413" s="73"/>
      <c r="BT1413" s="73"/>
      <c r="BU1413" s="73"/>
      <c r="BV1413" s="73"/>
      <c r="BW1413" s="73"/>
      <c r="BX1413" s="73"/>
      <c r="BY1413" s="73"/>
      <c r="BZ1413" s="73"/>
      <c r="CA1413" s="73"/>
      <c r="CB1413" s="73"/>
      <c r="CC1413" s="73"/>
      <c r="CD1413" s="73"/>
      <c r="CE1413" s="73"/>
      <c r="CF1413" s="73"/>
      <c r="CG1413" s="73"/>
      <c r="CH1413" s="73"/>
    </row>
    <row r="1414">
      <c r="A1414" s="73"/>
      <c r="B1414" s="73"/>
      <c r="C1414" s="73"/>
      <c r="D1414" s="73"/>
      <c r="E1414" s="140"/>
      <c r="F1414" s="80"/>
      <c r="G1414" s="80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  <c r="S1414" s="73"/>
      <c r="T1414" s="73"/>
      <c r="U1414" s="73"/>
      <c r="V1414" s="73"/>
      <c r="W1414" s="73"/>
      <c r="X1414" s="73"/>
      <c r="Y1414" s="73"/>
      <c r="Z1414" s="73"/>
      <c r="AA1414" s="73"/>
      <c r="AB1414" s="73"/>
      <c r="AC1414" s="73"/>
      <c r="AD1414" s="73"/>
      <c r="AE1414" s="73"/>
      <c r="AF1414" s="73"/>
      <c r="AG1414" s="73"/>
      <c r="AH1414" s="73"/>
      <c r="AI1414" s="73"/>
      <c r="AJ1414" s="168"/>
      <c r="AK1414" s="73"/>
      <c r="AL1414" s="73"/>
      <c r="AM1414" s="73"/>
      <c r="AN1414" s="73"/>
      <c r="AO1414" s="73"/>
      <c r="AP1414" s="73"/>
      <c r="AQ1414" s="73"/>
      <c r="AR1414" s="73"/>
      <c r="AS1414" s="73"/>
      <c r="AT1414" s="73"/>
      <c r="AU1414" s="73"/>
      <c r="AV1414" s="73"/>
      <c r="AW1414" s="73"/>
      <c r="AX1414" s="73"/>
      <c r="AY1414" s="73"/>
      <c r="AZ1414" s="73"/>
      <c r="BA1414" s="73"/>
      <c r="BB1414" s="73"/>
      <c r="BC1414" s="73"/>
      <c r="BD1414" s="73"/>
      <c r="BE1414" s="73"/>
      <c r="BF1414" s="75"/>
      <c r="BG1414" s="73"/>
      <c r="BH1414" s="88"/>
      <c r="BI1414" s="73"/>
      <c r="BJ1414" s="73"/>
      <c r="BK1414" s="73"/>
      <c r="BL1414" s="73"/>
      <c r="BM1414" s="73"/>
      <c r="BN1414" s="73"/>
      <c r="BO1414" s="73"/>
      <c r="BP1414" s="73"/>
      <c r="BQ1414" s="73"/>
      <c r="BR1414" s="73"/>
      <c r="BS1414" s="73"/>
      <c r="BT1414" s="73"/>
      <c r="BU1414" s="73"/>
      <c r="BV1414" s="73"/>
      <c r="BW1414" s="73"/>
      <c r="BX1414" s="73"/>
      <c r="BY1414" s="73"/>
      <c r="BZ1414" s="73"/>
      <c r="CA1414" s="73"/>
      <c r="CB1414" s="73"/>
      <c r="CC1414" s="73"/>
      <c r="CD1414" s="73"/>
      <c r="CE1414" s="73"/>
      <c r="CF1414" s="73"/>
      <c r="CG1414" s="73"/>
      <c r="CH1414" s="73"/>
    </row>
    <row r="1415">
      <c r="A1415" s="73"/>
      <c r="B1415" s="73"/>
      <c r="C1415" s="73"/>
      <c r="D1415" s="73"/>
      <c r="E1415" s="140"/>
      <c r="F1415" s="80"/>
      <c r="G1415" s="80"/>
      <c r="H1415" s="73"/>
      <c r="I1415" s="73"/>
      <c r="J1415" s="73"/>
      <c r="K1415" s="73"/>
      <c r="L1415" s="73"/>
      <c r="M1415" s="73"/>
      <c r="N1415" s="73"/>
      <c r="O1415" s="73"/>
      <c r="P1415" s="73"/>
      <c r="Q1415" s="73"/>
      <c r="R1415" s="73"/>
      <c r="S1415" s="73"/>
      <c r="T1415" s="73"/>
      <c r="U1415" s="73"/>
      <c r="V1415" s="73"/>
      <c r="W1415" s="73"/>
      <c r="X1415" s="73"/>
      <c r="Y1415" s="73"/>
      <c r="Z1415" s="73"/>
      <c r="AA1415" s="73"/>
      <c r="AB1415" s="73"/>
      <c r="AC1415" s="73"/>
      <c r="AD1415" s="73"/>
      <c r="AE1415" s="73"/>
      <c r="AF1415" s="73"/>
      <c r="AG1415" s="73"/>
      <c r="AH1415" s="73"/>
      <c r="AI1415" s="73"/>
      <c r="AJ1415" s="168"/>
      <c r="AK1415" s="73"/>
      <c r="AL1415" s="73"/>
      <c r="AM1415" s="73"/>
      <c r="AN1415" s="73"/>
      <c r="AO1415" s="73"/>
      <c r="AP1415" s="73"/>
      <c r="AQ1415" s="73"/>
      <c r="AR1415" s="73"/>
      <c r="AS1415" s="73"/>
      <c r="AT1415" s="73"/>
      <c r="AU1415" s="73"/>
      <c r="AV1415" s="73"/>
      <c r="AW1415" s="73"/>
      <c r="AX1415" s="73"/>
      <c r="AY1415" s="73"/>
      <c r="AZ1415" s="73"/>
      <c r="BA1415" s="73"/>
      <c r="BB1415" s="73"/>
      <c r="BC1415" s="73"/>
      <c r="BD1415" s="73"/>
      <c r="BE1415" s="73"/>
      <c r="BF1415" s="75"/>
      <c r="BG1415" s="73"/>
      <c r="BH1415" s="88"/>
      <c r="BI1415" s="73"/>
      <c r="BJ1415" s="73"/>
      <c r="BK1415" s="73"/>
      <c r="BL1415" s="73"/>
      <c r="BM1415" s="73"/>
      <c r="BN1415" s="73"/>
      <c r="BO1415" s="73"/>
      <c r="BP1415" s="73"/>
      <c r="BQ1415" s="73"/>
      <c r="BR1415" s="73"/>
      <c r="BS1415" s="73"/>
      <c r="BT1415" s="73"/>
      <c r="BU1415" s="73"/>
      <c r="BV1415" s="73"/>
      <c r="BW1415" s="73"/>
      <c r="BX1415" s="73"/>
      <c r="BY1415" s="73"/>
      <c r="BZ1415" s="73"/>
      <c r="CA1415" s="73"/>
      <c r="CB1415" s="73"/>
      <c r="CC1415" s="73"/>
      <c r="CD1415" s="73"/>
      <c r="CE1415" s="73"/>
      <c r="CF1415" s="73"/>
      <c r="CG1415" s="73"/>
      <c r="CH1415" s="73"/>
    </row>
    <row r="1416">
      <c r="A1416" s="73"/>
      <c r="B1416" s="73"/>
      <c r="C1416" s="73"/>
      <c r="D1416" s="73"/>
      <c r="E1416" s="140"/>
      <c r="F1416" s="80"/>
      <c r="G1416" s="80"/>
      <c r="H1416" s="73"/>
      <c r="I1416" s="73"/>
      <c r="J1416" s="73"/>
      <c r="K1416" s="73"/>
      <c r="L1416" s="73"/>
      <c r="M1416" s="73"/>
      <c r="N1416" s="73"/>
      <c r="O1416" s="73"/>
      <c r="P1416" s="73"/>
      <c r="Q1416" s="73"/>
      <c r="R1416" s="73"/>
      <c r="S1416" s="73"/>
      <c r="T1416" s="73"/>
      <c r="U1416" s="73"/>
      <c r="V1416" s="73"/>
      <c r="W1416" s="73"/>
      <c r="X1416" s="73"/>
      <c r="Y1416" s="73"/>
      <c r="Z1416" s="73"/>
      <c r="AA1416" s="73"/>
      <c r="AB1416" s="73"/>
      <c r="AC1416" s="73"/>
      <c r="AD1416" s="73"/>
      <c r="AE1416" s="73"/>
      <c r="AF1416" s="73"/>
      <c r="AG1416" s="73"/>
      <c r="AH1416" s="73"/>
      <c r="AI1416" s="73"/>
      <c r="AJ1416" s="168"/>
      <c r="AK1416" s="73"/>
      <c r="AL1416" s="73"/>
      <c r="AM1416" s="73"/>
      <c r="AN1416" s="73"/>
      <c r="AO1416" s="73"/>
      <c r="AP1416" s="73"/>
      <c r="AQ1416" s="73"/>
      <c r="AR1416" s="73"/>
      <c r="AS1416" s="73"/>
      <c r="AT1416" s="73"/>
      <c r="AU1416" s="73"/>
      <c r="AV1416" s="73"/>
      <c r="AW1416" s="73"/>
      <c r="AX1416" s="73"/>
      <c r="AY1416" s="73"/>
      <c r="AZ1416" s="73"/>
      <c r="BA1416" s="73"/>
      <c r="BB1416" s="73"/>
      <c r="BC1416" s="73"/>
      <c r="BD1416" s="73"/>
      <c r="BE1416" s="73"/>
      <c r="BF1416" s="75"/>
      <c r="BG1416" s="73"/>
      <c r="BH1416" s="88"/>
      <c r="BI1416" s="73"/>
      <c r="BJ1416" s="73"/>
      <c r="BK1416" s="73"/>
      <c r="BL1416" s="73"/>
      <c r="BM1416" s="73"/>
      <c r="BN1416" s="73"/>
      <c r="BO1416" s="73"/>
      <c r="BP1416" s="73"/>
      <c r="BQ1416" s="73"/>
      <c r="BR1416" s="73"/>
      <c r="BS1416" s="73"/>
      <c r="BT1416" s="73"/>
      <c r="BU1416" s="73"/>
      <c r="BV1416" s="73"/>
      <c r="BW1416" s="73"/>
      <c r="BX1416" s="73"/>
      <c r="BY1416" s="73"/>
      <c r="BZ1416" s="73"/>
      <c r="CA1416" s="73"/>
      <c r="CB1416" s="73"/>
      <c r="CC1416" s="73"/>
      <c r="CD1416" s="73"/>
      <c r="CE1416" s="73"/>
      <c r="CF1416" s="73"/>
      <c r="CG1416" s="73"/>
      <c r="CH1416" s="73"/>
    </row>
    <row r="1417">
      <c r="A1417" s="73"/>
      <c r="B1417" s="73"/>
      <c r="C1417" s="73"/>
      <c r="D1417" s="73"/>
      <c r="E1417" s="140"/>
      <c r="F1417" s="80"/>
      <c r="G1417" s="80"/>
      <c r="H1417" s="73"/>
      <c r="I1417" s="73"/>
      <c r="J1417" s="73"/>
      <c r="K1417" s="73"/>
      <c r="L1417" s="73"/>
      <c r="M1417" s="73"/>
      <c r="N1417" s="73"/>
      <c r="O1417" s="73"/>
      <c r="P1417" s="73"/>
      <c r="Q1417" s="73"/>
      <c r="R1417" s="73"/>
      <c r="S1417" s="73"/>
      <c r="T1417" s="73"/>
      <c r="U1417" s="73"/>
      <c r="V1417" s="73"/>
      <c r="W1417" s="73"/>
      <c r="X1417" s="73"/>
      <c r="Y1417" s="73"/>
      <c r="Z1417" s="73"/>
      <c r="AA1417" s="73"/>
      <c r="AB1417" s="73"/>
      <c r="AC1417" s="73"/>
      <c r="AD1417" s="73"/>
      <c r="AE1417" s="73"/>
      <c r="AF1417" s="73"/>
      <c r="AG1417" s="73"/>
      <c r="AH1417" s="73"/>
      <c r="AI1417" s="73"/>
      <c r="AJ1417" s="168"/>
      <c r="AK1417" s="73"/>
      <c r="AL1417" s="73"/>
      <c r="AM1417" s="73"/>
      <c r="AN1417" s="73"/>
      <c r="AO1417" s="73"/>
      <c r="AP1417" s="73"/>
      <c r="AQ1417" s="73"/>
      <c r="AR1417" s="73"/>
      <c r="AS1417" s="73"/>
      <c r="AT1417" s="73"/>
      <c r="AU1417" s="73"/>
      <c r="AV1417" s="73"/>
      <c r="AW1417" s="73"/>
      <c r="AX1417" s="73"/>
      <c r="AY1417" s="73"/>
      <c r="AZ1417" s="73"/>
      <c r="BA1417" s="73"/>
      <c r="BB1417" s="73"/>
      <c r="BC1417" s="73"/>
      <c r="BD1417" s="73"/>
      <c r="BE1417" s="73"/>
      <c r="BF1417" s="75"/>
      <c r="BG1417" s="73"/>
      <c r="BH1417" s="88"/>
      <c r="BI1417" s="73"/>
      <c r="BJ1417" s="73"/>
      <c r="BK1417" s="73"/>
      <c r="BL1417" s="73"/>
      <c r="BM1417" s="73"/>
      <c r="BN1417" s="73"/>
      <c r="BO1417" s="73"/>
      <c r="BP1417" s="73"/>
      <c r="BQ1417" s="73"/>
      <c r="BR1417" s="73"/>
      <c r="BS1417" s="73"/>
      <c r="BT1417" s="73"/>
      <c r="BU1417" s="73"/>
      <c r="BV1417" s="73"/>
      <c r="BW1417" s="73"/>
      <c r="BX1417" s="73"/>
      <c r="BY1417" s="73"/>
      <c r="BZ1417" s="73"/>
      <c r="CA1417" s="73"/>
      <c r="CB1417" s="73"/>
      <c r="CC1417" s="73"/>
      <c r="CD1417" s="73"/>
      <c r="CE1417" s="73"/>
      <c r="CF1417" s="73"/>
      <c r="CG1417" s="73"/>
      <c r="CH1417" s="73"/>
    </row>
    <row r="1418">
      <c r="A1418" s="73"/>
      <c r="B1418" s="73"/>
      <c r="C1418" s="73"/>
      <c r="D1418" s="73"/>
      <c r="E1418" s="140"/>
      <c r="F1418" s="80"/>
      <c r="G1418" s="80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  <c r="S1418" s="73"/>
      <c r="T1418" s="73"/>
      <c r="U1418" s="73"/>
      <c r="V1418" s="73"/>
      <c r="W1418" s="73"/>
      <c r="X1418" s="73"/>
      <c r="Y1418" s="73"/>
      <c r="Z1418" s="73"/>
      <c r="AA1418" s="73"/>
      <c r="AB1418" s="73"/>
      <c r="AC1418" s="73"/>
      <c r="AD1418" s="73"/>
      <c r="AE1418" s="73"/>
      <c r="AF1418" s="73"/>
      <c r="AG1418" s="73"/>
      <c r="AH1418" s="73"/>
      <c r="AI1418" s="73"/>
      <c r="AJ1418" s="168"/>
      <c r="AK1418" s="73"/>
      <c r="AL1418" s="73"/>
      <c r="AM1418" s="73"/>
      <c r="AN1418" s="73"/>
      <c r="AO1418" s="73"/>
      <c r="AP1418" s="73"/>
      <c r="AQ1418" s="73"/>
      <c r="AR1418" s="73"/>
      <c r="AS1418" s="73"/>
      <c r="AT1418" s="73"/>
      <c r="AU1418" s="73"/>
      <c r="AV1418" s="73"/>
      <c r="AW1418" s="73"/>
      <c r="AX1418" s="73"/>
      <c r="AY1418" s="73"/>
      <c r="AZ1418" s="73"/>
      <c r="BA1418" s="73"/>
      <c r="BB1418" s="73"/>
      <c r="BC1418" s="73"/>
      <c r="BD1418" s="73"/>
      <c r="BE1418" s="73"/>
      <c r="BF1418" s="75"/>
      <c r="BG1418" s="73"/>
      <c r="BH1418" s="88"/>
      <c r="BI1418" s="73"/>
      <c r="BJ1418" s="73"/>
      <c r="BK1418" s="73"/>
      <c r="BL1418" s="73"/>
      <c r="BM1418" s="73"/>
      <c r="BN1418" s="73"/>
      <c r="BO1418" s="73"/>
      <c r="BP1418" s="73"/>
      <c r="BQ1418" s="73"/>
      <c r="BR1418" s="73"/>
      <c r="BS1418" s="73"/>
      <c r="BT1418" s="73"/>
      <c r="BU1418" s="73"/>
      <c r="BV1418" s="73"/>
      <c r="BW1418" s="73"/>
      <c r="BX1418" s="73"/>
      <c r="BY1418" s="73"/>
      <c r="BZ1418" s="73"/>
      <c r="CA1418" s="73"/>
      <c r="CB1418" s="73"/>
      <c r="CC1418" s="73"/>
      <c r="CD1418" s="73"/>
      <c r="CE1418" s="73"/>
      <c r="CF1418" s="73"/>
      <c r="CG1418" s="73"/>
      <c r="CH1418" s="73"/>
    </row>
    <row r="1419">
      <c r="A1419" s="73"/>
      <c r="B1419" s="73"/>
      <c r="C1419" s="73"/>
      <c r="D1419" s="73"/>
      <c r="E1419" s="140"/>
      <c r="F1419" s="80"/>
      <c r="G1419" s="80"/>
      <c r="H1419" s="73"/>
      <c r="I1419" s="73"/>
      <c r="J1419" s="73"/>
      <c r="K1419" s="73"/>
      <c r="L1419" s="73"/>
      <c r="M1419" s="73"/>
      <c r="N1419" s="73"/>
      <c r="O1419" s="73"/>
      <c r="P1419" s="73"/>
      <c r="Q1419" s="73"/>
      <c r="R1419" s="73"/>
      <c r="S1419" s="73"/>
      <c r="T1419" s="73"/>
      <c r="U1419" s="73"/>
      <c r="V1419" s="73"/>
      <c r="W1419" s="73"/>
      <c r="X1419" s="73"/>
      <c r="Y1419" s="73"/>
      <c r="Z1419" s="73"/>
      <c r="AA1419" s="73"/>
      <c r="AB1419" s="73"/>
      <c r="AC1419" s="73"/>
      <c r="AD1419" s="73"/>
      <c r="AE1419" s="73"/>
      <c r="AF1419" s="73"/>
      <c r="AG1419" s="73"/>
      <c r="AH1419" s="73"/>
      <c r="AI1419" s="73"/>
      <c r="AJ1419" s="168"/>
      <c r="AK1419" s="73"/>
      <c r="AL1419" s="73"/>
      <c r="AM1419" s="73"/>
      <c r="AN1419" s="73"/>
      <c r="AO1419" s="73"/>
      <c r="AP1419" s="73"/>
      <c r="AQ1419" s="73"/>
      <c r="AR1419" s="73"/>
      <c r="AS1419" s="73"/>
      <c r="AT1419" s="73"/>
      <c r="AU1419" s="73"/>
      <c r="AV1419" s="73"/>
      <c r="AW1419" s="73"/>
      <c r="AX1419" s="73"/>
      <c r="AY1419" s="73"/>
      <c r="AZ1419" s="73"/>
      <c r="BA1419" s="73"/>
      <c r="BB1419" s="73"/>
      <c r="BC1419" s="73"/>
      <c r="BD1419" s="73"/>
      <c r="BE1419" s="73"/>
      <c r="BF1419" s="75"/>
      <c r="BG1419" s="73"/>
      <c r="BH1419" s="88"/>
      <c r="BI1419" s="73"/>
      <c r="BJ1419" s="73"/>
      <c r="BK1419" s="73"/>
      <c r="BL1419" s="73"/>
      <c r="BM1419" s="73"/>
      <c r="BN1419" s="73"/>
      <c r="BO1419" s="73"/>
      <c r="BP1419" s="73"/>
      <c r="BQ1419" s="73"/>
      <c r="BR1419" s="73"/>
      <c r="BS1419" s="73"/>
      <c r="BT1419" s="73"/>
      <c r="BU1419" s="73"/>
      <c r="BV1419" s="73"/>
      <c r="BW1419" s="73"/>
      <c r="BX1419" s="73"/>
      <c r="BY1419" s="73"/>
      <c r="BZ1419" s="73"/>
      <c r="CA1419" s="73"/>
      <c r="CB1419" s="73"/>
      <c r="CC1419" s="73"/>
      <c r="CD1419" s="73"/>
      <c r="CE1419" s="73"/>
      <c r="CF1419" s="73"/>
      <c r="CG1419" s="73"/>
      <c r="CH1419" s="73"/>
    </row>
    <row r="1420">
      <c r="A1420" s="73"/>
      <c r="B1420" s="73"/>
      <c r="C1420" s="73"/>
      <c r="D1420" s="73"/>
      <c r="E1420" s="140"/>
      <c r="F1420" s="80"/>
      <c r="G1420" s="80"/>
      <c r="H1420" s="73"/>
      <c r="I1420" s="73"/>
      <c r="J1420" s="73"/>
      <c r="K1420" s="73"/>
      <c r="L1420" s="73"/>
      <c r="M1420" s="73"/>
      <c r="N1420" s="73"/>
      <c r="O1420" s="73"/>
      <c r="P1420" s="73"/>
      <c r="Q1420" s="73"/>
      <c r="R1420" s="73"/>
      <c r="S1420" s="73"/>
      <c r="T1420" s="73"/>
      <c r="U1420" s="73"/>
      <c r="V1420" s="73"/>
      <c r="W1420" s="73"/>
      <c r="X1420" s="73"/>
      <c r="Y1420" s="73"/>
      <c r="Z1420" s="73"/>
      <c r="AA1420" s="73"/>
      <c r="AB1420" s="73"/>
      <c r="AC1420" s="73"/>
      <c r="AD1420" s="73"/>
      <c r="AE1420" s="73"/>
      <c r="AF1420" s="73"/>
      <c r="AG1420" s="73"/>
      <c r="AH1420" s="73"/>
      <c r="AI1420" s="73"/>
      <c r="AJ1420" s="168"/>
      <c r="AK1420" s="73"/>
      <c r="AL1420" s="73"/>
      <c r="AM1420" s="73"/>
      <c r="AN1420" s="73"/>
      <c r="AO1420" s="73"/>
      <c r="AP1420" s="73"/>
      <c r="AQ1420" s="73"/>
      <c r="AR1420" s="73"/>
      <c r="AS1420" s="73"/>
      <c r="AT1420" s="73"/>
      <c r="AU1420" s="73"/>
      <c r="AV1420" s="73"/>
      <c r="AW1420" s="73"/>
      <c r="AX1420" s="73"/>
      <c r="AY1420" s="73"/>
      <c r="AZ1420" s="73"/>
      <c r="BA1420" s="73"/>
      <c r="BB1420" s="73"/>
      <c r="BC1420" s="73"/>
      <c r="BD1420" s="73"/>
      <c r="BE1420" s="73"/>
      <c r="BF1420" s="75"/>
      <c r="BG1420" s="73"/>
      <c r="BH1420" s="88"/>
      <c r="BI1420" s="73"/>
      <c r="BJ1420" s="73"/>
      <c r="BK1420" s="73"/>
      <c r="BL1420" s="73"/>
      <c r="BM1420" s="73"/>
      <c r="BN1420" s="73"/>
      <c r="BO1420" s="73"/>
      <c r="BP1420" s="73"/>
      <c r="BQ1420" s="73"/>
      <c r="BR1420" s="73"/>
      <c r="BS1420" s="73"/>
      <c r="BT1420" s="73"/>
      <c r="BU1420" s="73"/>
      <c r="BV1420" s="73"/>
      <c r="BW1420" s="73"/>
      <c r="BX1420" s="73"/>
      <c r="BY1420" s="73"/>
      <c r="BZ1420" s="73"/>
      <c r="CA1420" s="73"/>
      <c r="CB1420" s="73"/>
      <c r="CC1420" s="73"/>
      <c r="CD1420" s="73"/>
      <c r="CE1420" s="73"/>
      <c r="CF1420" s="73"/>
      <c r="CG1420" s="73"/>
      <c r="CH1420" s="73"/>
    </row>
    <row r="1421">
      <c r="A1421" s="73"/>
      <c r="B1421" s="73"/>
      <c r="C1421" s="73"/>
      <c r="D1421" s="73"/>
      <c r="E1421" s="140"/>
      <c r="F1421" s="80"/>
      <c r="G1421" s="80"/>
      <c r="H1421" s="73"/>
      <c r="I1421" s="73"/>
      <c r="J1421" s="73"/>
      <c r="K1421" s="73"/>
      <c r="L1421" s="73"/>
      <c r="M1421" s="73"/>
      <c r="N1421" s="73"/>
      <c r="O1421" s="73"/>
      <c r="P1421" s="73"/>
      <c r="Q1421" s="73"/>
      <c r="R1421" s="73"/>
      <c r="S1421" s="73"/>
      <c r="T1421" s="73"/>
      <c r="U1421" s="73"/>
      <c r="V1421" s="73"/>
      <c r="W1421" s="73"/>
      <c r="X1421" s="73"/>
      <c r="Y1421" s="73"/>
      <c r="Z1421" s="73"/>
      <c r="AA1421" s="73"/>
      <c r="AB1421" s="73"/>
      <c r="AC1421" s="73"/>
      <c r="AD1421" s="73"/>
      <c r="AE1421" s="73"/>
      <c r="AF1421" s="73"/>
      <c r="AG1421" s="73"/>
      <c r="AH1421" s="73"/>
      <c r="AI1421" s="73"/>
      <c r="AJ1421" s="168"/>
      <c r="AK1421" s="73"/>
      <c r="AL1421" s="73"/>
      <c r="AM1421" s="73"/>
      <c r="AN1421" s="73"/>
      <c r="AO1421" s="73"/>
      <c r="AP1421" s="73"/>
      <c r="AQ1421" s="73"/>
      <c r="AR1421" s="73"/>
      <c r="AS1421" s="73"/>
      <c r="AT1421" s="73"/>
      <c r="AU1421" s="73"/>
      <c r="AV1421" s="73"/>
      <c r="AW1421" s="73"/>
      <c r="AX1421" s="73"/>
      <c r="AY1421" s="73"/>
      <c r="AZ1421" s="73"/>
      <c r="BA1421" s="73"/>
      <c r="BB1421" s="73"/>
      <c r="BC1421" s="73"/>
      <c r="BD1421" s="73"/>
      <c r="BE1421" s="73"/>
      <c r="BF1421" s="75"/>
      <c r="BG1421" s="73"/>
      <c r="BH1421" s="88"/>
      <c r="BI1421" s="73"/>
      <c r="BJ1421" s="73"/>
      <c r="BK1421" s="73"/>
      <c r="BL1421" s="73"/>
      <c r="BM1421" s="73"/>
      <c r="BN1421" s="73"/>
      <c r="BO1421" s="73"/>
      <c r="BP1421" s="73"/>
      <c r="BQ1421" s="73"/>
      <c r="BR1421" s="73"/>
      <c r="BS1421" s="73"/>
      <c r="BT1421" s="73"/>
      <c r="BU1421" s="73"/>
      <c r="BV1421" s="73"/>
      <c r="BW1421" s="73"/>
      <c r="BX1421" s="73"/>
      <c r="BY1421" s="73"/>
      <c r="BZ1421" s="73"/>
      <c r="CA1421" s="73"/>
      <c r="CB1421" s="73"/>
      <c r="CC1421" s="73"/>
      <c r="CD1421" s="73"/>
      <c r="CE1421" s="73"/>
      <c r="CF1421" s="73"/>
      <c r="CG1421" s="73"/>
      <c r="CH1421" s="73"/>
    </row>
    <row r="1422">
      <c r="A1422" s="73"/>
      <c r="B1422" s="73"/>
      <c r="C1422" s="73"/>
      <c r="D1422" s="73"/>
      <c r="E1422" s="140"/>
      <c r="F1422" s="80"/>
      <c r="G1422" s="80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  <c r="S1422" s="73"/>
      <c r="T1422" s="73"/>
      <c r="U1422" s="73"/>
      <c r="V1422" s="73"/>
      <c r="W1422" s="73"/>
      <c r="X1422" s="73"/>
      <c r="Y1422" s="73"/>
      <c r="Z1422" s="73"/>
      <c r="AA1422" s="73"/>
      <c r="AB1422" s="73"/>
      <c r="AC1422" s="73"/>
      <c r="AD1422" s="73"/>
      <c r="AE1422" s="73"/>
      <c r="AF1422" s="73"/>
      <c r="AG1422" s="73"/>
      <c r="AH1422" s="73"/>
      <c r="AI1422" s="73"/>
      <c r="AJ1422" s="168"/>
      <c r="AK1422" s="73"/>
      <c r="AL1422" s="73"/>
      <c r="AM1422" s="73"/>
      <c r="AN1422" s="73"/>
      <c r="AO1422" s="73"/>
      <c r="AP1422" s="73"/>
      <c r="AQ1422" s="73"/>
      <c r="AR1422" s="73"/>
      <c r="AS1422" s="73"/>
      <c r="AT1422" s="73"/>
      <c r="AU1422" s="73"/>
      <c r="AV1422" s="73"/>
      <c r="AW1422" s="73"/>
      <c r="AX1422" s="73"/>
      <c r="AY1422" s="73"/>
      <c r="AZ1422" s="73"/>
      <c r="BA1422" s="73"/>
      <c r="BB1422" s="73"/>
      <c r="BC1422" s="73"/>
      <c r="BD1422" s="73"/>
      <c r="BE1422" s="73"/>
      <c r="BF1422" s="75"/>
      <c r="BG1422" s="73"/>
      <c r="BH1422" s="88"/>
      <c r="BI1422" s="73"/>
      <c r="BJ1422" s="73"/>
      <c r="BK1422" s="73"/>
      <c r="BL1422" s="73"/>
      <c r="BM1422" s="73"/>
      <c r="BN1422" s="73"/>
      <c r="BO1422" s="73"/>
      <c r="BP1422" s="73"/>
      <c r="BQ1422" s="73"/>
      <c r="BR1422" s="73"/>
      <c r="BS1422" s="73"/>
      <c r="BT1422" s="73"/>
      <c r="BU1422" s="73"/>
      <c r="BV1422" s="73"/>
      <c r="BW1422" s="73"/>
      <c r="BX1422" s="73"/>
      <c r="BY1422" s="73"/>
      <c r="BZ1422" s="73"/>
      <c r="CA1422" s="73"/>
      <c r="CB1422" s="73"/>
      <c r="CC1422" s="73"/>
      <c r="CD1422" s="73"/>
      <c r="CE1422" s="73"/>
      <c r="CF1422" s="73"/>
      <c r="CG1422" s="73"/>
      <c r="CH1422" s="73"/>
    </row>
    <row r="1423">
      <c r="A1423" s="73"/>
      <c r="B1423" s="73"/>
      <c r="C1423" s="73"/>
      <c r="D1423" s="73"/>
      <c r="E1423" s="140"/>
      <c r="F1423" s="80"/>
      <c r="G1423" s="80"/>
      <c r="H1423" s="73"/>
      <c r="I1423" s="73"/>
      <c r="J1423" s="73"/>
      <c r="K1423" s="73"/>
      <c r="L1423" s="73"/>
      <c r="M1423" s="73"/>
      <c r="N1423" s="73"/>
      <c r="O1423" s="73"/>
      <c r="P1423" s="73"/>
      <c r="Q1423" s="73"/>
      <c r="R1423" s="73"/>
      <c r="S1423" s="73"/>
      <c r="T1423" s="73"/>
      <c r="U1423" s="73"/>
      <c r="V1423" s="73"/>
      <c r="W1423" s="73"/>
      <c r="X1423" s="73"/>
      <c r="Y1423" s="73"/>
      <c r="Z1423" s="73"/>
      <c r="AA1423" s="73"/>
      <c r="AB1423" s="73"/>
      <c r="AC1423" s="73"/>
      <c r="AD1423" s="73"/>
      <c r="AE1423" s="73"/>
      <c r="AF1423" s="73"/>
      <c r="AG1423" s="73"/>
      <c r="AH1423" s="73"/>
      <c r="AI1423" s="73"/>
      <c r="AJ1423" s="168"/>
      <c r="AK1423" s="73"/>
      <c r="AL1423" s="73"/>
      <c r="AM1423" s="73"/>
      <c r="AN1423" s="73"/>
      <c r="AO1423" s="73"/>
      <c r="AP1423" s="73"/>
      <c r="AQ1423" s="73"/>
      <c r="AR1423" s="73"/>
      <c r="AS1423" s="73"/>
      <c r="AT1423" s="73"/>
      <c r="AU1423" s="73"/>
      <c r="AV1423" s="73"/>
      <c r="AW1423" s="73"/>
      <c r="AX1423" s="73"/>
      <c r="AY1423" s="73"/>
      <c r="AZ1423" s="73"/>
      <c r="BA1423" s="73"/>
      <c r="BB1423" s="73"/>
      <c r="BC1423" s="73"/>
      <c r="BD1423" s="73"/>
      <c r="BE1423" s="73"/>
      <c r="BF1423" s="75"/>
      <c r="BG1423" s="73"/>
      <c r="BH1423" s="88"/>
      <c r="BI1423" s="73"/>
      <c r="BJ1423" s="73"/>
      <c r="BK1423" s="73"/>
      <c r="BL1423" s="73"/>
      <c r="BM1423" s="73"/>
      <c r="BN1423" s="73"/>
      <c r="BO1423" s="73"/>
      <c r="BP1423" s="73"/>
      <c r="BQ1423" s="73"/>
      <c r="BR1423" s="73"/>
      <c r="BS1423" s="73"/>
      <c r="BT1423" s="73"/>
      <c r="BU1423" s="73"/>
      <c r="BV1423" s="73"/>
      <c r="BW1423" s="73"/>
      <c r="BX1423" s="73"/>
      <c r="BY1423" s="73"/>
      <c r="BZ1423" s="73"/>
      <c r="CA1423" s="73"/>
      <c r="CB1423" s="73"/>
      <c r="CC1423" s="73"/>
      <c r="CD1423" s="73"/>
      <c r="CE1423" s="73"/>
      <c r="CF1423" s="73"/>
      <c r="CG1423" s="73"/>
      <c r="CH1423" s="73"/>
    </row>
    <row r="1424">
      <c r="A1424" s="73"/>
      <c r="B1424" s="73"/>
      <c r="C1424" s="73"/>
      <c r="D1424" s="73"/>
      <c r="E1424" s="140"/>
      <c r="F1424" s="80"/>
      <c r="G1424" s="80"/>
      <c r="H1424" s="73"/>
      <c r="I1424" s="73"/>
      <c r="J1424" s="73"/>
      <c r="K1424" s="73"/>
      <c r="L1424" s="73"/>
      <c r="M1424" s="73"/>
      <c r="N1424" s="73"/>
      <c r="O1424" s="73"/>
      <c r="P1424" s="73"/>
      <c r="Q1424" s="73"/>
      <c r="R1424" s="73"/>
      <c r="S1424" s="73"/>
      <c r="T1424" s="73"/>
      <c r="U1424" s="73"/>
      <c r="V1424" s="73"/>
      <c r="W1424" s="73"/>
      <c r="X1424" s="73"/>
      <c r="Y1424" s="73"/>
      <c r="Z1424" s="73"/>
      <c r="AA1424" s="73"/>
      <c r="AB1424" s="73"/>
      <c r="AC1424" s="73"/>
      <c r="AD1424" s="73"/>
      <c r="AE1424" s="73"/>
      <c r="AF1424" s="73"/>
      <c r="AG1424" s="73"/>
      <c r="AH1424" s="73"/>
      <c r="AI1424" s="73"/>
      <c r="AJ1424" s="168"/>
      <c r="AK1424" s="73"/>
      <c r="AL1424" s="73"/>
      <c r="AM1424" s="73"/>
      <c r="AN1424" s="73"/>
      <c r="AO1424" s="73"/>
      <c r="AP1424" s="73"/>
      <c r="AQ1424" s="73"/>
      <c r="AR1424" s="73"/>
      <c r="AS1424" s="73"/>
      <c r="AT1424" s="73"/>
      <c r="AU1424" s="73"/>
      <c r="AV1424" s="73"/>
      <c r="AW1424" s="73"/>
      <c r="AX1424" s="73"/>
      <c r="AY1424" s="73"/>
      <c r="AZ1424" s="73"/>
      <c r="BA1424" s="73"/>
      <c r="BB1424" s="73"/>
      <c r="BC1424" s="73"/>
      <c r="BD1424" s="73"/>
      <c r="BE1424" s="73"/>
      <c r="BF1424" s="75"/>
      <c r="BG1424" s="73"/>
      <c r="BH1424" s="88"/>
      <c r="BI1424" s="73"/>
      <c r="BJ1424" s="73"/>
      <c r="BK1424" s="73"/>
      <c r="BL1424" s="73"/>
      <c r="BM1424" s="73"/>
      <c r="BN1424" s="73"/>
      <c r="BO1424" s="73"/>
      <c r="BP1424" s="73"/>
      <c r="BQ1424" s="73"/>
      <c r="BR1424" s="73"/>
      <c r="BS1424" s="73"/>
      <c r="BT1424" s="73"/>
      <c r="BU1424" s="73"/>
      <c r="BV1424" s="73"/>
      <c r="BW1424" s="73"/>
      <c r="BX1424" s="73"/>
      <c r="BY1424" s="73"/>
      <c r="BZ1424" s="73"/>
      <c r="CA1424" s="73"/>
      <c r="CB1424" s="73"/>
      <c r="CC1424" s="73"/>
      <c r="CD1424" s="73"/>
      <c r="CE1424" s="73"/>
      <c r="CF1424" s="73"/>
      <c r="CG1424" s="73"/>
      <c r="CH1424" s="73"/>
    </row>
    <row r="1425">
      <c r="A1425" s="73"/>
      <c r="B1425" s="73"/>
      <c r="C1425" s="73"/>
      <c r="D1425" s="73"/>
      <c r="E1425" s="140"/>
      <c r="F1425" s="80"/>
      <c r="G1425" s="80"/>
      <c r="H1425" s="73"/>
      <c r="I1425" s="73"/>
      <c r="J1425" s="73"/>
      <c r="K1425" s="73"/>
      <c r="L1425" s="73"/>
      <c r="M1425" s="73"/>
      <c r="N1425" s="73"/>
      <c r="O1425" s="73"/>
      <c r="P1425" s="73"/>
      <c r="Q1425" s="73"/>
      <c r="R1425" s="73"/>
      <c r="S1425" s="73"/>
      <c r="T1425" s="73"/>
      <c r="U1425" s="73"/>
      <c r="V1425" s="73"/>
      <c r="W1425" s="73"/>
      <c r="X1425" s="73"/>
      <c r="Y1425" s="73"/>
      <c r="Z1425" s="73"/>
      <c r="AA1425" s="73"/>
      <c r="AB1425" s="73"/>
      <c r="AC1425" s="73"/>
      <c r="AD1425" s="73"/>
      <c r="AE1425" s="73"/>
      <c r="AF1425" s="73"/>
      <c r="AG1425" s="73"/>
      <c r="AH1425" s="73"/>
      <c r="AI1425" s="73"/>
      <c r="AJ1425" s="168"/>
      <c r="AK1425" s="73"/>
      <c r="AL1425" s="73"/>
      <c r="AM1425" s="73"/>
      <c r="AN1425" s="73"/>
      <c r="AO1425" s="73"/>
      <c r="AP1425" s="73"/>
      <c r="AQ1425" s="73"/>
      <c r="AR1425" s="73"/>
      <c r="AS1425" s="73"/>
      <c r="AT1425" s="73"/>
      <c r="AU1425" s="73"/>
      <c r="AV1425" s="73"/>
      <c r="AW1425" s="73"/>
      <c r="AX1425" s="73"/>
      <c r="AY1425" s="73"/>
      <c r="AZ1425" s="73"/>
      <c r="BA1425" s="73"/>
      <c r="BB1425" s="73"/>
      <c r="BC1425" s="73"/>
      <c r="BD1425" s="73"/>
      <c r="BE1425" s="73"/>
      <c r="BF1425" s="75"/>
      <c r="BG1425" s="73"/>
      <c r="BH1425" s="88"/>
      <c r="BI1425" s="73"/>
      <c r="BJ1425" s="73"/>
      <c r="BK1425" s="73"/>
      <c r="BL1425" s="73"/>
      <c r="BM1425" s="73"/>
      <c r="BN1425" s="73"/>
      <c r="BO1425" s="73"/>
      <c r="BP1425" s="73"/>
      <c r="BQ1425" s="73"/>
      <c r="BR1425" s="73"/>
      <c r="BS1425" s="73"/>
      <c r="BT1425" s="73"/>
      <c r="BU1425" s="73"/>
      <c r="BV1425" s="73"/>
      <c r="BW1425" s="73"/>
      <c r="BX1425" s="73"/>
      <c r="BY1425" s="73"/>
      <c r="BZ1425" s="73"/>
      <c r="CA1425" s="73"/>
      <c r="CB1425" s="73"/>
      <c r="CC1425" s="73"/>
      <c r="CD1425" s="73"/>
      <c r="CE1425" s="73"/>
      <c r="CF1425" s="73"/>
      <c r="CG1425" s="73"/>
      <c r="CH1425" s="73"/>
    </row>
    <row r="1426">
      <c r="A1426" s="73"/>
      <c r="B1426" s="73"/>
      <c r="C1426" s="73"/>
      <c r="D1426" s="73"/>
      <c r="E1426" s="140"/>
      <c r="F1426" s="80"/>
      <c r="G1426" s="80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  <c r="S1426" s="73"/>
      <c r="T1426" s="73"/>
      <c r="U1426" s="73"/>
      <c r="V1426" s="73"/>
      <c r="W1426" s="73"/>
      <c r="X1426" s="73"/>
      <c r="Y1426" s="73"/>
      <c r="Z1426" s="73"/>
      <c r="AA1426" s="73"/>
      <c r="AB1426" s="73"/>
      <c r="AC1426" s="73"/>
      <c r="AD1426" s="73"/>
      <c r="AE1426" s="73"/>
      <c r="AF1426" s="73"/>
      <c r="AG1426" s="73"/>
      <c r="AH1426" s="73"/>
      <c r="AI1426" s="73"/>
      <c r="AJ1426" s="168"/>
      <c r="AK1426" s="73"/>
      <c r="AL1426" s="73"/>
      <c r="AM1426" s="73"/>
      <c r="AN1426" s="73"/>
      <c r="AO1426" s="73"/>
      <c r="AP1426" s="73"/>
      <c r="AQ1426" s="73"/>
      <c r="AR1426" s="73"/>
      <c r="AS1426" s="73"/>
      <c r="AT1426" s="73"/>
      <c r="AU1426" s="73"/>
      <c r="AV1426" s="73"/>
      <c r="AW1426" s="73"/>
      <c r="AX1426" s="73"/>
      <c r="AY1426" s="73"/>
      <c r="AZ1426" s="73"/>
      <c r="BA1426" s="73"/>
      <c r="BB1426" s="73"/>
      <c r="BC1426" s="73"/>
      <c r="BD1426" s="73"/>
      <c r="BE1426" s="73"/>
      <c r="BF1426" s="75"/>
      <c r="BG1426" s="73"/>
      <c r="BH1426" s="88"/>
      <c r="BI1426" s="73"/>
      <c r="BJ1426" s="73"/>
      <c r="BK1426" s="73"/>
      <c r="BL1426" s="73"/>
      <c r="BM1426" s="73"/>
      <c r="BN1426" s="73"/>
      <c r="BO1426" s="73"/>
      <c r="BP1426" s="73"/>
      <c r="BQ1426" s="73"/>
      <c r="BR1426" s="73"/>
      <c r="BS1426" s="73"/>
      <c r="BT1426" s="73"/>
      <c r="BU1426" s="73"/>
      <c r="BV1426" s="73"/>
      <c r="BW1426" s="73"/>
      <c r="BX1426" s="73"/>
      <c r="BY1426" s="73"/>
      <c r="BZ1426" s="73"/>
      <c r="CA1426" s="73"/>
      <c r="CB1426" s="73"/>
      <c r="CC1426" s="73"/>
      <c r="CD1426" s="73"/>
      <c r="CE1426" s="73"/>
      <c r="CF1426" s="73"/>
      <c r="CG1426" s="73"/>
      <c r="CH1426" s="73"/>
    </row>
    <row r="1427">
      <c r="A1427" s="73"/>
      <c r="B1427" s="73"/>
      <c r="C1427" s="73"/>
      <c r="D1427" s="73"/>
      <c r="E1427" s="140"/>
      <c r="F1427" s="80"/>
      <c r="G1427" s="80"/>
      <c r="H1427" s="73"/>
      <c r="I1427" s="73"/>
      <c r="J1427" s="73"/>
      <c r="K1427" s="73"/>
      <c r="L1427" s="73"/>
      <c r="M1427" s="73"/>
      <c r="N1427" s="73"/>
      <c r="O1427" s="73"/>
      <c r="P1427" s="73"/>
      <c r="Q1427" s="73"/>
      <c r="R1427" s="73"/>
      <c r="S1427" s="73"/>
      <c r="T1427" s="73"/>
      <c r="U1427" s="73"/>
      <c r="V1427" s="73"/>
      <c r="W1427" s="73"/>
      <c r="X1427" s="73"/>
      <c r="Y1427" s="73"/>
      <c r="Z1427" s="73"/>
      <c r="AA1427" s="73"/>
      <c r="AB1427" s="73"/>
      <c r="AC1427" s="73"/>
      <c r="AD1427" s="73"/>
      <c r="AE1427" s="73"/>
      <c r="AF1427" s="73"/>
      <c r="AG1427" s="73"/>
      <c r="AH1427" s="73"/>
      <c r="AI1427" s="73"/>
      <c r="AJ1427" s="168"/>
      <c r="AK1427" s="73"/>
      <c r="AL1427" s="73"/>
      <c r="AM1427" s="73"/>
      <c r="AN1427" s="73"/>
      <c r="AO1427" s="73"/>
      <c r="AP1427" s="73"/>
      <c r="AQ1427" s="73"/>
      <c r="AR1427" s="73"/>
      <c r="AS1427" s="73"/>
      <c r="AT1427" s="73"/>
      <c r="AU1427" s="73"/>
      <c r="AV1427" s="73"/>
      <c r="AW1427" s="73"/>
      <c r="AX1427" s="73"/>
      <c r="AY1427" s="73"/>
      <c r="AZ1427" s="73"/>
      <c r="BA1427" s="73"/>
      <c r="BB1427" s="73"/>
      <c r="BC1427" s="73"/>
      <c r="BD1427" s="73"/>
      <c r="BE1427" s="73"/>
      <c r="BF1427" s="75"/>
      <c r="BG1427" s="73"/>
      <c r="BH1427" s="88"/>
      <c r="BI1427" s="73"/>
      <c r="BJ1427" s="73"/>
      <c r="BK1427" s="73"/>
      <c r="BL1427" s="73"/>
      <c r="BM1427" s="73"/>
      <c r="BN1427" s="73"/>
      <c r="BO1427" s="73"/>
      <c r="BP1427" s="73"/>
      <c r="BQ1427" s="73"/>
      <c r="BR1427" s="73"/>
      <c r="BS1427" s="73"/>
      <c r="BT1427" s="73"/>
      <c r="BU1427" s="73"/>
      <c r="BV1427" s="73"/>
      <c r="BW1427" s="73"/>
      <c r="BX1427" s="73"/>
      <c r="BY1427" s="73"/>
      <c r="BZ1427" s="73"/>
      <c r="CA1427" s="73"/>
      <c r="CB1427" s="73"/>
      <c r="CC1427" s="73"/>
      <c r="CD1427" s="73"/>
      <c r="CE1427" s="73"/>
      <c r="CF1427" s="73"/>
      <c r="CG1427" s="73"/>
      <c r="CH1427" s="73"/>
    </row>
    <row r="1428">
      <c r="A1428" s="73"/>
      <c r="B1428" s="73"/>
      <c r="C1428" s="73"/>
      <c r="D1428" s="73"/>
      <c r="E1428" s="140"/>
      <c r="F1428" s="80"/>
      <c r="G1428" s="80"/>
      <c r="H1428" s="73"/>
      <c r="I1428" s="73"/>
      <c r="J1428" s="73"/>
      <c r="K1428" s="73"/>
      <c r="L1428" s="73"/>
      <c r="M1428" s="73"/>
      <c r="N1428" s="73"/>
      <c r="O1428" s="73"/>
      <c r="P1428" s="73"/>
      <c r="Q1428" s="73"/>
      <c r="R1428" s="73"/>
      <c r="S1428" s="73"/>
      <c r="T1428" s="73"/>
      <c r="U1428" s="73"/>
      <c r="V1428" s="73"/>
      <c r="W1428" s="73"/>
      <c r="X1428" s="73"/>
      <c r="Y1428" s="73"/>
      <c r="Z1428" s="73"/>
      <c r="AA1428" s="73"/>
      <c r="AB1428" s="73"/>
      <c r="AC1428" s="73"/>
      <c r="AD1428" s="73"/>
      <c r="AE1428" s="73"/>
      <c r="AF1428" s="73"/>
      <c r="AG1428" s="73"/>
      <c r="AH1428" s="73"/>
      <c r="AI1428" s="73"/>
      <c r="AJ1428" s="168"/>
      <c r="AK1428" s="73"/>
      <c r="AL1428" s="73"/>
      <c r="AM1428" s="73"/>
      <c r="AN1428" s="73"/>
      <c r="AO1428" s="73"/>
      <c r="AP1428" s="73"/>
      <c r="AQ1428" s="73"/>
      <c r="AR1428" s="73"/>
      <c r="AS1428" s="73"/>
      <c r="AT1428" s="73"/>
      <c r="AU1428" s="73"/>
      <c r="AV1428" s="73"/>
      <c r="AW1428" s="73"/>
      <c r="AX1428" s="73"/>
      <c r="AY1428" s="73"/>
      <c r="AZ1428" s="73"/>
      <c r="BA1428" s="73"/>
      <c r="BB1428" s="73"/>
      <c r="BC1428" s="73"/>
      <c r="BD1428" s="73"/>
      <c r="BE1428" s="73"/>
      <c r="BF1428" s="75"/>
      <c r="BG1428" s="73"/>
      <c r="BH1428" s="88"/>
      <c r="BI1428" s="73"/>
      <c r="BJ1428" s="73"/>
      <c r="BK1428" s="73"/>
      <c r="BL1428" s="73"/>
      <c r="BM1428" s="73"/>
      <c r="BN1428" s="73"/>
      <c r="BO1428" s="73"/>
      <c r="BP1428" s="73"/>
      <c r="BQ1428" s="73"/>
      <c r="BR1428" s="73"/>
      <c r="BS1428" s="73"/>
      <c r="BT1428" s="73"/>
      <c r="BU1428" s="73"/>
      <c r="BV1428" s="73"/>
      <c r="BW1428" s="73"/>
      <c r="BX1428" s="73"/>
      <c r="BY1428" s="73"/>
      <c r="BZ1428" s="73"/>
      <c r="CA1428" s="73"/>
      <c r="CB1428" s="73"/>
      <c r="CC1428" s="73"/>
      <c r="CD1428" s="73"/>
      <c r="CE1428" s="73"/>
      <c r="CF1428" s="73"/>
      <c r="CG1428" s="73"/>
      <c r="CH1428" s="73"/>
    </row>
    <row r="1429">
      <c r="A1429" s="73"/>
      <c r="B1429" s="73"/>
      <c r="C1429" s="73"/>
      <c r="D1429" s="73"/>
      <c r="E1429" s="140"/>
      <c r="F1429" s="80"/>
      <c r="G1429" s="80"/>
      <c r="H1429" s="73"/>
      <c r="I1429" s="73"/>
      <c r="J1429" s="73"/>
      <c r="K1429" s="73"/>
      <c r="L1429" s="73"/>
      <c r="M1429" s="73"/>
      <c r="N1429" s="73"/>
      <c r="O1429" s="73"/>
      <c r="P1429" s="73"/>
      <c r="Q1429" s="73"/>
      <c r="R1429" s="73"/>
      <c r="S1429" s="73"/>
      <c r="T1429" s="73"/>
      <c r="U1429" s="73"/>
      <c r="V1429" s="73"/>
      <c r="W1429" s="73"/>
      <c r="X1429" s="73"/>
      <c r="Y1429" s="73"/>
      <c r="Z1429" s="73"/>
      <c r="AA1429" s="73"/>
      <c r="AB1429" s="73"/>
      <c r="AC1429" s="73"/>
      <c r="AD1429" s="73"/>
      <c r="AE1429" s="73"/>
      <c r="AF1429" s="73"/>
      <c r="AG1429" s="73"/>
      <c r="AH1429" s="73"/>
      <c r="AI1429" s="73"/>
      <c r="AJ1429" s="168"/>
      <c r="AK1429" s="73"/>
      <c r="AL1429" s="73"/>
      <c r="AM1429" s="73"/>
      <c r="AN1429" s="73"/>
      <c r="AO1429" s="73"/>
      <c r="AP1429" s="73"/>
      <c r="AQ1429" s="73"/>
      <c r="AR1429" s="73"/>
      <c r="AS1429" s="73"/>
      <c r="AT1429" s="73"/>
      <c r="AU1429" s="73"/>
      <c r="AV1429" s="73"/>
      <c r="AW1429" s="73"/>
      <c r="AX1429" s="73"/>
      <c r="AY1429" s="73"/>
      <c r="AZ1429" s="73"/>
      <c r="BA1429" s="73"/>
      <c r="BB1429" s="73"/>
      <c r="BC1429" s="73"/>
      <c r="BD1429" s="73"/>
      <c r="BE1429" s="73"/>
      <c r="BF1429" s="75"/>
      <c r="BG1429" s="73"/>
      <c r="BH1429" s="88"/>
      <c r="BI1429" s="73"/>
      <c r="BJ1429" s="73"/>
      <c r="BK1429" s="73"/>
      <c r="BL1429" s="73"/>
      <c r="BM1429" s="73"/>
      <c r="BN1429" s="73"/>
      <c r="BO1429" s="73"/>
      <c r="BP1429" s="73"/>
      <c r="BQ1429" s="73"/>
      <c r="BR1429" s="73"/>
      <c r="BS1429" s="73"/>
      <c r="BT1429" s="73"/>
      <c r="BU1429" s="73"/>
      <c r="BV1429" s="73"/>
      <c r="BW1429" s="73"/>
      <c r="BX1429" s="73"/>
      <c r="BY1429" s="73"/>
      <c r="BZ1429" s="73"/>
      <c r="CA1429" s="73"/>
      <c r="CB1429" s="73"/>
      <c r="CC1429" s="73"/>
      <c r="CD1429" s="73"/>
      <c r="CE1429" s="73"/>
      <c r="CF1429" s="73"/>
      <c r="CG1429" s="73"/>
      <c r="CH1429" s="73"/>
    </row>
    <row r="1430">
      <c r="A1430" s="73"/>
      <c r="B1430" s="73"/>
      <c r="C1430" s="73"/>
      <c r="D1430" s="73"/>
      <c r="E1430" s="140"/>
      <c r="F1430" s="80"/>
      <c r="G1430" s="80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  <c r="S1430" s="73"/>
      <c r="T1430" s="73"/>
      <c r="U1430" s="73"/>
      <c r="V1430" s="73"/>
      <c r="W1430" s="73"/>
      <c r="X1430" s="73"/>
      <c r="Y1430" s="73"/>
      <c r="Z1430" s="73"/>
      <c r="AA1430" s="73"/>
      <c r="AB1430" s="73"/>
      <c r="AC1430" s="73"/>
      <c r="AD1430" s="73"/>
      <c r="AE1430" s="73"/>
      <c r="AF1430" s="73"/>
      <c r="AG1430" s="73"/>
      <c r="AH1430" s="73"/>
      <c r="AI1430" s="73"/>
      <c r="AJ1430" s="168"/>
      <c r="AK1430" s="73"/>
      <c r="AL1430" s="73"/>
      <c r="AM1430" s="73"/>
      <c r="AN1430" s="73"/>
      <c r="AO1430" s="73"/>
      <c r="AP1430" s="73"/>
      <c r="AQ1430" s="73"/>
      <c r="AR1430" s="73"/>
      <c r="AS1430" s="73"/>
      <c r="AT1430" s="73"/>
      <c r="AU1430" s="73"/>
      <c r="AV1430" s="73"/>
      <c r="AW1430" s="73"/>
      <c r="AX1430" s="73"/>
      <c r="AY1430" s="73"/>
      <c r="AZ1430" s="73"/>
      <c r="BA1430" s="73"/>
      <c r="BB1430" s="73"/>
      <c r="BC1430" s="73"/>
      <c r="BD1430" s="73"/>
      <c r="BE1430" s="73"/>
      <c r="BF1430" s="75"/>
      <c r="BG1430" s="73"/>
      <c r="BH1430" s="88"/>
      <c r="BI1430" s="73"/>
      <c r="BJ1430" s="73"/>
      <c r="BK1430" s="73"/>
      <c r="BL1430" s="73"/>
      <c r="BM1430" s="73"/>
      <c r="BN1430" s="73"/>
      <c r="BO1430" s="73"/>
      <c r="BP1430" s="73"/>
      <c r="BQ1430" s="73"/>
      <c r="BR1430" s="73"/>
      <c r="BS1430" s="73"/>
      <c r="BT1430" s="73"/>
      <c r="BU1430" s="73"/>
      <c r="BV1430" s="73"/>
      <c r="BW1430" s="73"/>
      <c r="BX1430" s="73"/>
      <c r="BY1430" s="73"/>
      <c r="BZ1430" s="73"/>
      <c r="CA1430" s="73"/>
      <c r="CB1430" s="73"/>
      <c r="CC1430" s="73"/>
      <c r="CD1430" s="73"/>
      <c r="CE1430" s="73"/>
      <c r="CF1430" s="73"/>
      <c r="CG1430" s="73"/>
      <c r="CH1430" s="73"/>
    </row>
    <row r="1431">
      <c r="A1431" s="73"/>
      <c r="B1431" s="73"/>
      <c r="C1431" s="73"/>
      <c r="D1431" s="73"/>
      <c r="E1431" s="140"/>
      <c r="F1431" s="80"/>
      <c r="G1431" s="80"/>
      <c r="H1431" s="73"/>
      <c r="I1431" s="73"/>
      <c r="J1431" s="73"/>
      <c r="K1431" s="73"/>
      <c r="L1431" s="73"/>
      <c r="M1431" s="73"/>
      <c r="N1431" s="73"/>
      <c r="O1431" s="73"/>
      <c r="P1431" s="73"/>
      <c r="Q1431" s="73"/>
      <c r="R1431" s="73"/>
      <c r="S1431" s="73"/>
      <c r="T1431" s="73"/>
      <c r="U1431" s="73"/>
      <c r="V1431" s="73"/>
      <c r="W1431" s="73"/>
      <c r="X1431" s="73"/>
      <c r="Y1431" s="73"/>
      <c r="Z1431" s="73"/>
      <c r="AA1431" s="73"/>
      <c r="AB1431" s="73"/>
      <c r="AC1431" s="73"/>
      <c r="AD1431" s="73"/>
      <c r="AE1431" s="73"/>
      <c r="AF1431" s="73"/>
      <c r="AG1431" s="73"/>
      <c r="AH1431" s="73"/>
      <c r="AI1431" s="73"/>
      <c r="AJ1431" s="168"/>
      <c r="AK1431" s="73"/>
      <c r="AL1431" s="73"/>
      <c r="AM1431" s="73"/>
      <c r="AN1431" s="73"/>
      <c r="AO1431" s="73"/>
      <c r="AP1431" s="73"/>
      <c r="AQ1431" s="73"/>
      <c r="AR1431" s="73"/>
      <c r="AS1431" s="73"/>
      <c r="AT1431" s="73"/>
      <c r="AU1431" s="73"/>
      <c r="AV1431" s="73"/>
      <c r="AW1431" s="73"/>
      <c r="AX1431" s="73"/>
      <c r="AY1431" s="73"/>
      <c r="AZ1431" s="73"/>
      <c r="BA1431" s="73"/>
      <c r="BB1431" s="73"/>
      <c r="BC1431" s="73"/>
      <c r="BD1431" s="73"/>
      <c r="BE1431" s="73"/>
      <c r="BF1431" s="75"/>
      <c r="BG1431" s="73"/>
      <c r="BH1431" s="88"/>
      <c r="BI1431" s="73"/>
      <c r="BJ1431" s="73"/>
      <c r="BK1431" s="73"/>
      <c r="BL1431" s="73"/>
      <c r="BM1431" s="73"/>
      <c r="BN1431" s="73"/>
      <c r="BO1431" s="73"/>
      <c r="BP1431" s="73"/>
      <c r="BQ1431" s="73"/>
      <c r="BR1431" s="73"/>
      <c r="BS1431" s="73"/>
      <c r="BT1431" s="73"/>
      <c r="BU1431" s="73"/>
      <c r="BV1431" s="73"/>
      <c r="BW1431" s="73"/>
      <c r="BX1431" s="73"/>
      <c r="BY1431" s="73"/>
      <c r="BZ1431" s="73"/>
      <c r="CA1431" s="73"/>
      <c r="CB1431" s="73"/>
      <c r="CC1431" s="73"/>
      <c r="CD1431" s="73"/>
      <c r="CE1431" s="73"/>
      <c r="CF1431" s="73"/>
      <c r="CG1431" s="73"/>
      <c r="CH1431" s="73"/>
    </row>
    <row r="1432">
      <c r="A1432" s="73"/>
      <c r="B1432" s="73"/>
      <c r="C1432" s="73"/>
      <c r="D1432" s="73"/>
      <c r="E1432" s="140"/>
      <c r="F1432" s="80"/>
      <c r="G1432" s="80"/>
      <c r="H1432" s="73"/>
      <c r="I1432" s="73"/>
      <c r="J1432" s="73"/>
      <c r="K1432" s="73"/>
      <c r="L1432" s="73"/>
      <c r="M1432" s="73"/>
      <c r="N1432" s="73"/>
      <c r="O1432" s="73"/>
      <c r="P1432" s="73"/>
      <c r="Q1432" s="73"/>
      <c r="R1432" s="73"/>
      <c r="S1432" s="73"/>
      <c r="T1432" s="73"/>
      <c r="U1432" s="73"/>
      <c r="V1432" s="73"/>
      <c r="W1432" s="73"/>
      <c r="X1432" s="73"/>
      <c r="Y1432" s="73"/>
      <c r="Z1432" s="73"/>
      <c r="AA1432" s="73"/>
      <c r="AB1432" s="73"/>
      <c r="AC1432" s="73"/>
      <c r="AD1432" s="73"/>
      <c r="AE1432" s="73"/>
      <c r="AF1432" s="73"/>
      <c r="AG1432" s="73"/>
      <c r="AH1432" s="73"/>
      <c r="AI1432" s="73"/>
      <c r="AJ1432" s="168"/>
      <c r="AK1432" s="73"/>
      <c r="AL1432" s="73"/>
      <c r="AM1432" s="73"/>
      <c r="AN1432" s="73"/>
      <c r="AO1432" s="73"/>
      <c r="AP1432" s="73"/>
      <c r="AQ1432" s="73"/>
      <c r="AR1432" s="73"/>
      <c r="AS1432" s="73"/>
      <c r="AT1432" s="73"/>
      <c r="AU1432" s="73"/>
      <c r="AV1432" s="73"/>
      <c r="AW1432" s="73"/>
      <c r="AX1432" s="73"/>
      <c r="AY1432" s="73"/>
      <c r="AZ1432" s="73"/>
      <c r="BA1432" s="73"/>
      <c r="BB1432" s="73"/>
      <c r="BC1432" s="73"/>
      <c r="BD1432" s="73"/>
      <c r="BE1432" s="73"/>
      <c r="BF1432" s="75"/>
      <c r="BG1432" s="73"/>
      <c r="BH1432" s="88"/>
      <c r="BI1432" s="73"/>
      <c r="BJ1432" s="73"/>
      <c r="BK1432" s="73"/>
      <c r="BL1432" s="73"/>
      <c r="BM1432" s="73"/>
      <c r="BN1432" s="73"/>
      <c r="BO1432" s="73"/>
      <c r="BP1432" s="73"/>
      <c r="BQ1432" s="73"/>
      <c r="BR1432" s="73"/>
      <c r="BS1432" s="73"/>
      <c r="BT1432" s="73"/>
      <c r="BU1432" s="73"/>
      <c r="BV1432" s="73"/>
      <c r="BW1432" s="73"/>
      <c r="BX1432" s="73"/>
      <c r="BY1432" s="73"/>
      <c r="BZ1432" s="73"/>
      <c r="CA1432" s="73"/>
      <c r="CB1432" s="73"/>
      <c r="CC1432" s="73"/>
      <c r="CD1432" s="73"/>
      <c r="CE1432" s="73"/>
      <c r="CF1432" s="73"/>
      <c r="CG1432" s="73"/>
      <c r="CH1432" s="73"/>
    </row>
    <row r="1433">
      <c r="A1433" s="73"/>
      <c r="B1433" s="73"/>
      <c r="C1433" s="73"/>
      <c r="D1433" s="73"/>
      <c r="E1433" s="140"/>
      <c r="F1433" s="80"/>
      <c r="G1433" s="80"/>
      <c r="H1433" s="73"/>
      <c r="I1433" s="73"/>
      <c r="J1433" s="73"/>
      <c r="K1433" s="73"/>
      <c r="L1433" s="73"/>
      <c r="M1433" s="73"/>
      <c r="N1433" s="73"/>
      <c r="O1433" s="73"/>
      <c r="P1433" s="73"/>
      <c r="Q1433" s="73"/>
      <c r="R1433" s="73"/>
      <c r="S1433" s="73"/>
      <c r="T1433" s="73"/>
      <c r="U1433" s="73"/>
      <c r="V1433" s="73"/>
      <c r="W1433" s="73"/>
      <c r="X1433" s="73"/>
      <c r="Y1433" s="73"/>
      <c r="Z1433" s="73"/>
      <c r="AA1433" s="73"/>
      <c r="AB1433" s="73"/>
      <c r="AC1433" s="73"/>
      <c r="AD1433" s="73"/>
      <c r="AE1433" s="73"/>
      <c r="AF1433" s="73"/>
      <c r="AG1433" s="73"/>
      <c r="AH1433" s="73"/>
      <c r="AI1433" s="73"/>
      <c r="AJ1433" s="168"/>
      <c r="AK1433" s="73"/>
      <c r="AL1433" s="73"/>
      <c r="AM1433" s="73"/>
      <c r="AN1433" s="73"/>
      <c r="AO1433" s="73"/>
      <c r="AP1433" s="73"/>
      <c r="AQ1433" s="73"/>
      <c r="AR1433" s="73"/>
      <c r="AS1433" s="73"/>
      <c r="AT1433" s="73"/>
      <c r="AU1433" s="73"/>
      <c r="AV1433" s="73"/>
      <c r="AW1433" s="73"/>
      <c r="AX1433" s="73"/>
      <c r="AY1433" s="73"/>
      <c r="AZ1433" s="73"/>
      <c r="BA1433" s="73"/>
      <c r="BB1433" s="73"/>
      <c r="BC1433" s="73"/>
      <c r="BD1433" s="73"/>
      <c r="BE1433" s="73"/>
      <c r="BF1433" s="75"/>
      <c r="BG1433" s="73"/>
      <c r="BH1433" s="88"/>
      <c r="BI1433" s="73"/>
      <c r="BJ1433" s="73"/>
      <c r="BK1433" s="73"/>
      <c r="BL1433" s="73"/>
      <c r="BM1433" s="73"/>
      <c r="BN1433" s="73"/>
      <c r="BO1433" s="73"/>
      <c r="BP1433" s="73"/>
      <c r="BQ1433" s="73"/>
      <c r="BR1433" s="73"/>
      <c r="BS1433" s="73"/>
      <c r="BT1433" s="73"/>
      <c r="BU1433" s="73"/>
      <c r="BV1433" s="73"/>
      <c r="BW1433" s="73"/>
      <c r="BX1433" s="73"/>
      <c r="BY1433" s="73"/>
      <c r="BZ1433" s="73"/>
      <c r="CA1433" s="73"/>
      <c r="CB1433" s="73"/>
      <c r="CC1433" s="73"/>
      <c r="CD1433" s="73"/>
      <c r="CE1433" s="73"/>
      <c r="CF1433" s="73"/>
      <c r="CG1433" s="73"/>
      <c r="CH1433" s="73"/>
    </row>
    <row r="1434">
      <c r="A1434" s="73"/>
      <c r="B1434" s="73"/>
      <c r="C1434" s="73"/>
      <c r="D1434" s="73"/>
      <c r="E1434" s="140"/>
      <c r="F1434" s="80"/>
      <c r="G1434" s="80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  <c r="S1434" s="73"/>
      <c r="T1434" s="73"/>
      <c r="U1434" s="73"/>
      <c r="V1434" s="73"/>
      <c r="W1434" s="73"/>
      <c r="X1434" s="73"/>
      <c r="Y1434" s="73"/>
      <c r="Z1434" s="73"/>
      <c r="AA1434" s="73"/>
      <c r="AB1434" s="73"/>
      <c r="AC1434" s="73"/>
      <c r="AD1434" s="73"/>
      <c r="AE1434" s="73"/>
      <c r="AF1434" s="73"/>
      <c r="AG1434" s="73"/>
      <c r="AH1434" s="73"/>
      <c r="AI1434" s="73"/>
      <c r="AJ1434" s="168"/>
      <c r="AK1434" s="73"/>
      <c r="AL1434" s="73"/>
      <c r="AM1434" s="73"/>
      <c r="AN1434" s="73"/>
      <c r="AO1434" s="73"/>
      <c r="AP1434" s="73"/>
      <c r="AQ1434" s="73"/>
      <c r="AR1434" s="73"/>
      <c r="AS1434" s="73"/>
      <c r="AT1434" s="73"/>
      <c r="AU1434" s="73"/>
      <c r="AV1434" s="73"/>
      <c r="AW1434" s="73"/>
      <c r="AX1434" s="73"/>
      <c r="AY1434" s="73"/>
      <c r="AZ1434" s="73"/>
      <c r="BA1434" s="73"/>
      <c r="BB1434" s="73"/>
      <c r="BC1434" s="73"/>
      <c r="BD1434" s="73"/>
      <c r="BE1434" s="73"/>
      <c r="BF1434" s="75"/>
      <c r="BG1434" s="73"/>
      <c r="BH1434" s="88"/>
      <c r="BI1434" s="73"/>
      <c r="BJ1434" s="73"/>
      <c r="BK1434" s="73"/>
      <c r="BL1434" s="73"/>
      <c r="BM1434" s="73"/>
      <c r="BN1434" s="73"/>
      <c r="BO1434" s="73"/>
      <c r="BP1434" s="73"/>
      <c r="BQ1434" s="73"/>
      <c r="BR1434" s="73"/>
      <c r="BS1434" s="73"/>
      <c r="BT1434" s="73"/>
      <c r="BU1434" s="73"/>
      <c r="BV1434" s="73"/>
      <c r="BW1434" s="73"/>
      <c r="BX1434" s="73"/>
      <c r="BY1434" s="73"/>
      <c r="BZ1434" s="73"/>
      <c r="CA1434" s="73"/>
      <c r="CB1434" s="73"/>
      <c r="CC1434" s="73"/>
      <c r="CD1434" s="73"/>
      <c r="CE1434" s="73"/>
      <c r="CF1434" s="73"/>
      <c r="CG1434" s="73"/>
      <c r="CH1434" s="73"/>
    </row>
    <row r="1435">
      <c r="A1435" s="73"/>
      <c r="B1435" s="73"/>
      <c r="C1435" s="73"/>
      <c r="D1435" s="73"/>
      <c r="E1435" s="140"/>
      <c r="F1435" s="80"/>
      <c r="G1435" s="80"/>
      <c r="H1435" s="73"/>
      <c r="I1435" s="73"/>
      <c r="J1435" s="73"/>
      <c r="K1435" s="73"/>
      <c r="L1435" s="73"/>
      <c r="M1435" s="73"/>
      <c r="N1435" s="73"/>
      <c r="O1435" s="73"/>
      <c r="P1435" s="73"/>
      <c r="Q1435" s="73"/>
      <c r="R1435" s="73"/>
      <c r="S1435" s="73"/>
      <c r="T1435" s="73"/>
      <c r="U1435" s="73"/>
      <c r="V1435" s="73"/>
      <c r="W1435" s="73"/>
      <c r="X1435" s="73"/>
      <c r="Y1435" s="73"/>
      <c r="Z1435" s="73"/>
      <c r="AA1435" s="73"/>
      <c r="AB1435" s="73"/>
      <c r="AC1435" s="73"/>
      <c r="AD1435" s="73"/>
      <c r="AE1435" s="73"/>
      <c r="AF1435" s="73"/>
      <c r="AG1435" s="73"/>
      <c r="AH1435" s="73"/>
      <c r="AI1435" s="73"/>
      <c r="AJ1435" s="168"/>
      <c r="AK1435" s="73"/>
      <c r="AL1435" s="73"/>
      <c r="AM1435" s="73"/>
      <c r="AN1435" s="73"/>
      <c r="AO1435" s="73"/>
      <c r="AP1435" s="73"/>
      <c r="AQ1435" s="73"/>
      <c r="AR1435" s="73"/>
      <c r="AS1435" s="73"/>
      <c r="AT1435" s="73"/>
      <c r="AU1435" s="73"/>
      <c r="AV1435" s="73"/>
      <c r="AW1435" s="73"/>
      <c r="AX1435" s="73"/>
      <c r="AY1435" s="73"/>
      <c r="AZ1435" s="73"/>
      <c r="BA1435" s="73"/>
      <c r="BB1435" s="73"/>
      <c r="BC1435" s="73"/>
      <c r="BD1435" s="73"/>
      <c r="BE1435" s="73"/>
      <c r="BF1435" s="75"/>
      <c r="BG1435" s="73"/>
      <c r="BH1435" s="88"/>
      <c r="BI1435" s="73"/>
      <c r="BJ1435" s="73"/>
      <c r="BK1435" s="73"/>
      <c r="BL1435" s="73"/>
      <c r="BM1435" s="73"/>
      <c r="BN1435" s="73"/>
      <c r="BO1435" s="73"/>
      <c r="BP1435" s="73"/>
      <c r="BQ1435" s="73"/>
      <c r="BR1435" s="73"/>
      <c r="BS1435" s="73"/>
      <c r="BT1435" s="73"/>
      <c r="BU1435" s="73"/>
      <c r="BV1435" s="73"/>
      <c r="BW1435" s="73"/>
      <c r="BX1435" s="73"/>
      <c r="BY1435" s="73"/>
      <c r="BZ1435" s="73"/>
      <c r="CA1435" s="73"/>
      <c r="CB1435" s="73"/>
      <c r="CC1435" s="73"/>
      <c r="CD1435" s="73"/>
      <c r="CE1435" s="73"/>
      <c r="CF1435" s="73"/>
      <c r="CG1435" s="73"/>
      <c r="CH1435" s="73"/>
    </row>
    <row r="1436">
      <c r="A1436" s="73"/>
      <c r="B1436" s="73"/>
      <c r="C1436" s="73"/>
      <c r="D1436" s="73"/>
      <c r="E1436" s="140"/>
      <c r="F1436" s="80"/>
      <c r="G1436" s="80"/>
      <c r="H1436" s="73"/>
      <c r="I1436" s="73"/>
      <c r="J1436" s="73"/>
      <c r="K1436" s="73"/>
      <c r="L1436" s="73"/>
      <c r="M1436" s="73"/>
      <c r="N1436" s="73"/>
      <c r="O1436" s="73"/>
      <c r="P1436" s="73"/>
      <c r="Q1436" s="73"/>
      <c r="R1436" s="73"/>
      <c r="S1436" s="73"/>
      <c r="T1436" s="73"/>
      <c r="U1436" s="73"/>
      <c r="V1436" s="73"/>
      <c r="W1436" s="73"/>
      <c r="X1436" s="73"/>
      <c r="Y1436" s="73"/>
      <c r="Z1436" s="73"/>
      <c r="AA1436" s="73"/>
      <c r="AB1436" s="73"/>
      <c r="AC1436" s="73"/>
      <c r="AD1436" s="73"/>
      <c r="AE1436" s="73"/>
      <c r="AF1436" s="73"/>
      <c r="AG1436" s="73"/>
      <c r="AH1436" s="73"/>
      <c r="AI1436" s="73"/>
      <c r="AJ1436" s="168"/>
      <c r="AK1436" s="73"/>
      <c r="AL1436" s="73"/>
      <c r="AM1436" s="73"/>
      <c r="AN1436" s="73"/>
      <c r="AO1436" s="73"/>
      <c r="AP1436" s="73"/>
      <c r="AQ1436" s="73"/>
      <c r="AR1436" s="73"/>
      <c r="AS1436" s="73"/>
      <c r="AT1436" s="73"/>
      <c r="AU1436" s="73"/>
      <c r="AV1436" s="73"/>
      <c r="AW1436" s="73"/>
      <c r="AX1436" s="73"/>
      <c r="AY1436" s="73"/>
      <c r="AZ1436" s="73"/>
      <c r="BA1436" s="73"/>
      <c r="BB1436" s="73"/>
      <c r="BC1436" s="73"/>
      <c r="BD1436" s="73"/>
      <c r="BE1436" s="73"/>
      <c r="BF1436" s="75"/>
      <c r="BG1436" s="73"/>
      <c r="BH1436" s="88"/>
      <c r="BI1436" s="73"/>
      <c r="BJ1436" s="73"/>
      <c r="BK1436" s="73"/>
      <c r="BL1436" s="73"/>
      <c r="BM1436" s="73"/>
      <c r="BN1436" s="73"/>
      <c r="BO1436" s="73"/>
      <c r="BP1436" s="73"/>
      <c r="BQ1436" s="73"/>
      <c r="BR1436" s="73"/>
      <c r="BS1436" s="73"/>
      <c r="BT1436" s="73"/>
      <c r="BU1436" s="73"/>
      <c r="BV1436" s="73"/>
      <c r="BW1436" s="73"/>
      <c r="BX1436" s="73"/>
      <c r="BY1436" s="73"/>
      <c r="BZ1436" s="73"/>
      <c r="CA1436" s="73"/>
      <c r="CB1436" s="73"/>
      <c r="CC1436" s="73"/>
      <c r="CD1436" s="73"/>
      <c r="CE1436" s="73"/>
      <c r="CF1436" s="73"/>
      <c r="CG1436" s="73"/>
      <c r="CH1436" s="73"/>
    </row>
    <row r="1437">
      <c r="A1437" s="73"/>
      <c r="B1437" s="73"/>
      <c r="C1437" s="73"/>
      <c r="D1437" s="73"/>
      <c r="E1437" s="140"/>
      <c r="F1437" s="80"/>
      <c r="G1437" s="80"/>
      <c r="H1437" s="73"/>
      <c r="I1437" s="73"/>
      <c r="J1437" s="73"/>
      <c r="K1437" s="73"/>
      <c r="L1437" s="73"/>
      <c r="M1437" s="73"/>
      <c r="N1437" s="73"/>
      <c r="O1437" s="73"/>
      <c r="P1437" s="73"/>
      <c r="Q1437" s="73"/>
      <c r="R1437" s="73"/>
      <c r="S1437" s="73"/>
      <c r="T1437" s="73"/>
      <c r="U1437" s="73"/>
      <c r="V1437" s="73"/>
      <c r="W1437" s="73"/>
      <c r="X1437" s="73"/>
      <c r="Y1437" s="73"/>
      <c r="Z1437" s="73"/>
      <c r="AA1437" s="73"/>
      <c r="AB1437" s="73"/>
      <c r="AC1437" s="73"/>
      <c r="AD1437" s="73"/>
      <c r="AE1437" s="73"/>
      <c r="AF1437" s="73"/>
      <c r="AG1437" s="73"/>
      <c r="AH1437" s="73"/>
      <c r="AI1437" s="73"/>
      <c r="AJ1437" s="168"/>
      <c r="AK1437" s="73"/>
      <c r="AL1437" s="73"/>
      <c r="AM1437" s="73"/>
      <c r="AN1437" s="73"/>
      <c r="AO1437" s="73"/>
      <c r="AP1437" s="73"/>
      <c r="AQ1437" s="73"/>
      <c r="AR1437" s="73"/>
      <c r="AS1437" s="73"/>
      <c r="AT1437" s="73"/>
      <c r="AU1437" s="73"/>
      <c r="AV1437" s="73"/>
      <c r="AW1437" s="73"/>
      <c r="AX1437" s="73"/>
      <c r="AY1437" s="73"/>
      <c r="AZ1437" s="73"/>
      <c r="BA1437" s="73"/>
      <c r="BB1437" s="73"/>
      <c r="BC1437" s="73"/>
      <c r="BD1437" s="73"/>
      <c r="BE1437" s="73"/>
      <c r="BF1437" s="75"/>
      <c r="BG1437" s="73"/>
      <c r="BH1437" s="88"/>
      <c r="BI1437" s="73"/>
      <c r="BJ1437" s="73"/>
      <c r="BK1437" s="73"/>
      <c r="BL1437" s="73"/>
      <c r="BM1437" s="73"/>
      <c r="BN1437" s="73"/>
      <c r="BO1437" s="73"/>
      <c r="BP1437" s="73"/>
      <c r="BQ1437" s="73"/>
      <c r="BR1437" s="73"/>
      <c r="BS1437" s="73"/>
      <c r="BT1437" s="73"/>
      <c r="BU1437" s="73"/>
      <c r="BV1437" s="73"/>
      <c r="BW1437" s="73"/>
      <c r="BX1437" s="73"/>
      <c r="BY1437" s="73"/>
      <c r="BZ1437" s="73"/>
      <c r="CA1437" s="73"/>
      <c r="CB1437" s="73"/>
      <c r="CC1437" s="73"/>
      <c r="CD1437" s="73"/>
      <c r="CE1437" s="73"/>
      <c r="CF1437" s="73"/>
      <c r="CG1437" s="73"/>
      <c r="CH1437" s="73"/>
    </row>
    <row r="1438">
      <c r="A1438" s="73"/>
      <c r="B1438" s="73"/>
      <c r="C1438" s="73"/>
      <c r="D1438" s="73"/>
      <c r="E1438" s="140"/>
      <c r="F1438" s="80"/>
      <c r="G1438" s="80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  <c r="S1438" s="73"/>
      <c r="T1438" s="73"/>
      <c r="U1438" s="73"/>
      <c r="V1438" s="73"/>
      <c r="W1438" s="73"/>
      <c r="X1438" s="73"/>
      <c r="Y1438" s="73"/>
      <c r="Z1438" s="73"/>
      <c r="AA1438" s="73"/>
      <c r="AB1438" s="73"/>
      <c r="AC1438" s="73"/>
      <c r="AD1438" s="73"/>
      <c r="AE1438" s="73"/>
      <c r="AF1438" s="73"/>
      <c r="AG1438" s="73"/>
      <c r="AH1438" s="73"/>
      <c r="AI1438" s="73"/>
      <c r="AJ1438" s="168"/>
      <c r="AK1438" s="73"/>
      <c r="AL1438" s="73"/>
      <c r="AM1438" s="73"/>
      <c r="AN1438" s="73"/>
      <c r="AO1438" s="73"/>
      <c r="AP1438" s="73"/>
      <c r="AQ1438" s="73"/>
      <c r="AR1438" s="73"/>
      <c r="AS1438" s="73"/>
      <c r="AT1438" s="73"/>
      <c r="AU1438" s="73"/>
      <c r="AV1438" s="73"/>
      <c r="AW1438" s="73"/>
      <c r="AX1438" s="73"/>
      <c r="AY1438" s="73"/>
      <c r="AZ1438" s="73"/>
      <c r="BA1438" s="73"/>
      <c r="BB1438" s="73"/>
      <c r="BC1438" s="73"/>
      <c r="BD1438" s="73"/>
      <c r="BE1438" s="73"/>
      <c r="BF1438" s="75"/>
      <c r="BG1438" s="73"/>
      <c r="BH1438" s="88"/>
      <c r="BI1438" s="73"/>
      <c r="BJ1438" s="73"/>
      <c r="BK1438" s="73"/>
      <c r="BL1438" s="73"/>
      <c r="BM1438" s="73"/>
      <c r="BN1438" s="73"/>
      <c r="BO1438" s="73"/>
      <c r="BP1438" s="73"/>
      <c r="BQ1438" s="73"/>
      <c r="BR1438" s="73"/>
      <c r="BS1438" s="73"/>
      <c r="BT1438" s="73"/>
      <c r="BU1438" s="73"/>
      <c r="BV1438" s="73"/>
      <c r="BW1438" s="73"/>
      <c r="BX1438" s="73"/>
      <c r="BY1438" s="73"/>
      <c r="BZ1438" s="73"/>
      <c r="CA1438" s="73"/>
      <c r="CB1438" s="73"/>
      <c r="CC1438" s="73"/>
      <c r="CD1438" s="73"/>
      <c r="CE1438" s="73"/>
      <c r="CF1438" s="73"/>
      <c r="CG1438" s="73"/>
      <c r="CH1438" s="73"/>
    </row>
    <row r="1439">
      <c r="A1439" s="73"/>
      <c r="B1439" s="73"/>
      <c r="C1439" s="73"/>
      <c r="D1439" s="73"/>
      <c r="E1439" s="140"/>
      <c r="F1439" s="80"/>
      <c r="G1439" s="80"/>
      <c r="H1439" s="73"/>
      <c r="I1439" s="73"/>
      <c r="J1439" s="73"/>
      <c r="K1439" s="73"/>
      <c r="L1439" s="73"/>
      <c r="M1439" s="73"/>
      <c r="N1439" s="73"/>
      <c r="O1439" s="73"/>
      <c r="P1439" s="73"/>
      <c r="Q1439" s="73"/>
      <c r="R1439" s="73"/>
      <c r="S1439" s="73"/>
      <c r="T1439" s="73"/>
      <c r="U1439" s="73"/>
      <c r="V1439" s="73"/>
      <c r="W1439" s="73"/>
      <c r="X1439" s="73"/>
      <c r="Y1439" s="73"/>
      <c r="Z1439" s="73"/>
      <c r="AA1439" s="73"/>
      <c r="AB1439" s="73"/>
      <c r="AC1439" s="73"/>
      <c r="AD1439" s="73"/>
      <c r="AE1439" s="73"/>
      <c r="AF1439" s="73"/>
      <c r="AG1439" s="73"/>
      <c r="AH1439" s="73"/>
      <c r="AI1439" s="73"/>
      <c r="AJ1439" s="168"/>
      <c r="AK1439" s="73"/>
      <c r="AL1439" s="73"/>
      <c r="AM1439" s="73"/>
      <c r="AN1439" s="73"/>
      <c r="AO1439" s="73"/>
      <c r="AP1439" s="73"/>
      <c r="AQ1439" s="73"/>
      <c r="AR1439" s="73"/>
      <c r="AS1439" s="73"/>
      <c r="AT1439" s="73"/>
      <c r="AU1439" s="73"/>
      <c r="AV1439" s="73"/>
      <c r="AW1439" s="73"/>
      <c r="AX1439" s="73"/>
      <c r="AY1439" s="73"/>
      <c r="AZ1439" s="73"/>
      <c r="BA1439" s="73"/>
      <c r="BB1439" s="73"/>
      <c r="BC1439" s="73"/>
      <c r="BD1439" s="73"/>
      <c r="BE1439" s="73"/>
      <c r="BF1439" s="75"/>
      <c r="BG1439" s="73"/>
      <c r="BH1439" s="88"/>
      <c r="BI1439" s="73"/>
      <c r="BJ1439" s="73"/>
      <c r="BK1439" s="73"/>
      <c r="BL1439" s="73"/>
      <c r="BM1439" s="73"/>
      <c r="BN1439" s="73"/>
      <c r="BO1439" s="73"/>
      <c r="BP1439" s="73"/>
      <c r="BQ1439" s="73"/>
      <c r="BR1439" s="73"/>
      <c r="BS1439" s="73"/>
      <c r="BT1439" s="73"/>
      <c r="BU1439" s="73"/>
      <c r="BV1439" s="73"/>
      <c r="BW1439" s="73"/>
      <c r="BX1439" s="73"/>
      <c r="BY1439" s="73"/>
      <c r="BZ1439" s="73"/>
      <c r="CA1439" s="73"/>
      <c r="CB1439" s="73"/>
      <c r="CC1439" s="73"/>
      <c r="CD1439" s="73"/>
      <c r="CE1439" s="73"/>
      <c r="CF1439" s="73"/>
      <c r="CG1439" s="73"/>
      <c r="CH1439" s="73"/>
    </row>
    <row r="1440">
      <c r="A1440" s="73"/>
      <c r="B1440" s="73"/>
      <c r="C1440" s="73"/>
      <c r="D1440" s="73"/>
      <c r="E1440" s="140"/>
      <c r="F1440" s="80"/>
      <c r="G1440" s="80"/>
      <c r="H1440" s="73"/>
      <c r="I1440" s="73"/>
      <c r="J1440" s="73"/>
      <c r="K1440" s="73"/>
      <c r="L1440" s="73"/>
      <c r="M1440" s="73"/>
      <c r="N1440" s="73"/>
      <c r="O1440" s="73"/>
      <c r="P1440" s="73"/>
      <c r="Q1440" s="73"/>
      <c r="R1440" s="73"/>
      <c r="S1440" s="73"/>
      <c r="T1440" s="73"/>
      <c r="U1440" s="73"/>
      <c r="V1440" s="73"/>
      <c r="W1440" s="73"/>
      <c r="X1440" s="73"/>
      <c r="Y1440" s="73"/>
      <c r="Z1440" s="73"/>
      <c r="AA1440" s="73"/>
      <c r="AB1440" s="73"/>
      <c r="AC1440" s="73"/>
      <c r="AD1440" s="73"/>
      <c r="AE1440" s="73"/>
      <c r="AF1440" s="73"/>
      <c r="AG1440" s="73"/>
      <c r="AH1440" s="73"/>
      <c r="AI1440" s="73"/>
      <c r="AJ1440" s="168"/>
      <c r="AK1440" s="73"/>
      <c r="AL1440" s="73"/>
      <c r="AM1440" s="73"/>
      <c r="AN1440" s="73"/>
      <c r="AO1440" s="73"/>
      <c r="AP1440" s="73"/>
      <c r="AQ1440" s="73"/>
      <c r="AR1440" s="73"/>
      <c r="AS1440" s="73"/>
      <c r="AT1440" s="73"/>
      <c r="AU1440" s="73"/>
      <c r="AV1440" s="73"/>
      <c r="AW1440" s="73"/>
      <c r="AX1440" s="73"/>
      <c r="AY1440" s="73"/>
      <c r="AZ1440" s="73"/>
      <c r="BA1440" s="73"/>
      <c r="BB1440" s="73"/>
      <c r="BC1440" s="73"/>
      <c r="BD1440" s="73"/>
      <c r="BE1440" s="73"/>
      <c r="BF1440" s="75"/>
      <c r="BG1440" s="73"/>
      <c r="BH1440" s="88"/>
      <c r="BI1440" s="73"/>
      <c r="BJ1440" s="73"/>
      <c r="BK1440" s="73"/>
      <c r="BL1440" s="73"/>
      <c r="BM1440" s="73"/>
      <c r="BN1440" s="73"/>
      <c r="BO1440" s="73"/>
      <c r="BP1440" s="73"/>
      <c r="BQ1440" s="73"/>
      <c r="BR1440" s="73"/>
      <c r="BS1440" s="73"/>
      <c r="BT1440" s="73"/>
      <c r="BU1440" s="73"/>
      <c r="BV1440" s="73"/>
      <c r="BW1440" s="73"/>
      <c r="BX1440" s="73"/>
      <c r="BY1440" s="73"/>
      <c r="BZ1440" s="73"/>
      <c r="CA1440" s="73"/>
      <c r="CB1440" s="73"/>
      <c r="CC1440" s="73"/>
      <c r="CD1440" s="73"/>
      <c r="CE1440" s="73"/>
      <c r="CF1440" s="73"/>
      <c r="CG1440" s="73"/>
      <c r="CH1440" s="73"/>
    </row>
    <row r="1441">
      <c r="A1441" s="73"/>
      <c r="B1441" s="73"/>
      <c r="C1441" s="73"/>
      <c r="D1441" s="73"/>
      <c r="E1441" s="140"/>
      <c r="F1441" s="80"/>
      <c r="G1441" s="80"/>
      <c r="H1441" s="73"/>
      <c r="I1441" s="73"/>
      <c r="J1441" s="73"/>
      <c r="K1441" s="73"/>
      <c r="L1441" s="73"/>
      <c r="M1441" s="73"/>
      <c r="N1441" s="73"/>
      <c r="O1441" s="73"/>
      <c r="P1441" s="73"/>
      <c r="Q1441" s="73"/>
      <c r="R1441" s="73"/>
      <c r="S1441" s="73"/>
      <c r="T1441" s="73"/>
      <c r="U1441" s="73"/>
      <c r="V1441" s="73"/>
      <c r="W1441" s="73"/>
      <c r="X1441" s="73"/>
      <c r="Y1441" s="73"/>
      <c r="Z1441" s="73"/>
      <c r="AA1441" s="73"/>
      <c r="AB1441" s="73"/>
      <c r="AC1441" s="73"/>
      <c r="AD1441" s="73"/>
      <c r="AE1441" s="73"/>
      <c r="AF1441" s="73"/>
      <c r="AG1441" s="73"/>
      <c r="AH1441" s="73"/>
      <c r="AI1441" s="73"/>
      <c r="AJ1441" s="168"/>
      <c r="AK1441" s="73"/>
      <c r="AL1441" s="73"/>
      <c r="AM1441" s="73"/>
      <c r="AN1441" s="73"/>
      <c r="AO1441" s="73"/>
      <c r="AP1441" s="73"/>
      <c r="AQ1441" s="73"/>
      <c r="AR1441" s="73"/>
      <c r="AS1441" s="73"/>
      <c r="AT1441" s="73"/>
      <c r="AU1441" s="73"/>
      <c r="AV1441" s="73"/>
      <c r="AW1441" s="73"/>
      <c r="AX1441" s="73"/>
      <c r="AY1441" s="73"/>
      <c r="AZ1441" s="73"/>
      <c r="BA1441" s="73"/>
      <c r="BB1441" s="73"/>
      <c r="BC1441" s="73"/>
      <c r="BD1441" s="73"/>
      <c r="BE1441" s="73"/>
      <c r="BF1441" s="75"/>
      <c r="BG1441" s="73"/>
      <c r="BH1441" s="88"/>
      <c r="BI1441" s="73"/>
      <c r="BJ1441" s="73"/>
      <c r="BK1441" s="73"/>
      <c r="BL1441" s="73"/>
      <c r="BM1441" s="73"/>
      <c r="BN1441" s="73"/>
      <c r="BO1441" s="73"/>
      <c r="BP1441" s="73"/>
      <c r="BQ1441" s="73"/>
      <c r="BR1441" s="73"/>
      <c r="BS1441" s="73"/>
      <c r="BT1441" s="73"/>
      <c r="BU1441" s="73"/>
      <c r="BV1441" s="73"/>
      <c r="BW1441" s="73"/>
      <c r="BX1441" s="73"/>
      <c r="BY1441" s="73"/>
      <c r="BZ1441" s="73"/>
      <c r="CA1441" s="73"/>
      <c r="CB1441" s="73"/>
      <c r="CC1441" s="73"/>
      <c r="CD1441" s="73"/>
      <c r="CE1441" s="73"/>
      <c r="CF1441" s="73"/>
      <c r="CG1441" s="73"/>
      <c r="CH1441" s="73"/>
    </row>
    <row r="1442">
      <c r="A1442" s="73"/>
      <c r="B1442" s="73"/>
      <c r="C1442" s="73"/>
      <c r="D1442" s="73"/>
      <c r="E1442" s="140"/>
      <c r="F1442" s="80"/>
      <c r="G1442" s="80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  <c r="S1442" s="73"/>
      <c r="T1442" s="73"/>
      <c r="U1442" s="73"/>
      <c r="V1442" s="73"/>
      <c r="W1442" s="73"/>
      <c r="X1442" s="73"/>
      <c r="Y1442" s="73"/>
      <c r="Z1442" s="73"/>
      <c r="AA1442" s="73"/>
      <c r="AB1442" s="73"/>
      <c r="AC1442" s="73"/>
      <c r="AD1442" s="73"/>
      <c r="AE1442" s="73"/>
      <c r="AF1442" s="73"/>
      <c r="AG1442" s="73"/>
      <c r="AH1442" s="73"/>
      <c r="AI1442" s="73"/>
      <c r="AJ1442" s="168"/>
      <c r="AK1442" s="73"/>
      <c r="AL1442" s="73"/>
      <c r="AM1442" s="73"/>
      <c r="AN1442" s="73"/>
      <c r="AO1442" s="73"/>
      <c r="AP1442" s="73"/>
      <c r="AQ1442" s="73"/>
      <c r="AR1442" s="73"/>
      <c r="AS1442" s="73"/>
      <c r="AT1442" s="73"/>
      <c r="AU1442" s="73"/>
      <c r="AV1442" s="73"/>
      <c r="AW1442" s="73"/>
      <c r="AX1442" s="73"/>
      <c r="AY1442" s="73"/>
      <c r="AZ1442" s="73"/>
      <c r="BA1442" s="73"/>
      <c r="BB1442" s="73"/>
      <c r="BC1442" s="73"/>
      <c r="BD1442" s="73"/>
      <c r="BE1442" s="73"/>
      <c r="BF1442" s="75"/>
      <c r="BG1442" s="73"/>
      <c r="BH1442" s="88"/>
      <c r="BI1442" s="73"/>
      <c r="BJ1442" s="73"/>
      <c r="BK1442" s="73"/>
      <c r="BL1442" s="73"/>
      <c r="BM1442" s="73"/>
      <c r="BN1442" s="73"/>
      <c r="BO1442" s="73"/>
      <c r="BP1442" s="73"/>
      <c r="BQ1442" s="73"/>
      <c r="BR1442" s="73"/>
      <c r="BS1442" s="73"/>
      <c r="BT1442" s="73"/>
      <c r="BU1442" s="73"/>
      <c r="BV1442" s="73"/>
      <c r="BW1442" s="73"/>
      <c r="BX1442" s="73"/>
      <c r="BY1442" s="73"/>
      <c r="BZ1442" s="73"/>
      <c r="CA1442" s="73"/>
      <c r="CB1442" s="73"/>
      <c r="CC1442" s="73"/>
      <c r="CD1442" s="73"/>
      <c r="CE1442" s="73"/>
      <c r="CF1442" s="73"/>
      <c r="CG1442" s="73"/>
      <c r="CH1442" s="73"/>
    </row>
    <row r="1443">
      <c r="A1443" s="73"/>
      <c r="B1443" s="73"/>
      <c r="C1443" s="73"/>
      <c r="D1443" s="73"/>
      <c r="E1443" s="140"/>
      <c r="F1443" s="80"/>
      <c r="G1443" s="80"/>
      <c r="H1443" s="73"/>
      <c r="I1443" s="73"/>
      <c r="J1443" s="73"/>
      <c r="K1443" s="73"/>
      <c r="L1443" s="73"/>
      <c r="M1443" s="73"/>
      <c r="N1443" s="73"/>
      <c r="O1443" s="73"/>
      <c r="P1443" s="73"/>
      <c r="Q1443" s="73"/>
      <c r="R1443" s="73"/>
      <c r="S1443" s="73"/>
      <c r="T1443" s="73"/>
      <c r="U1443" s="73"/>
      <c r="V1443" s="73"/>
      <c r="W1443" s="73"/>
      <c r="X1443" s="73"/>
      <c r="Y1443" s="73"/>
      <c r="Z1443" s="73"/>
      <c r="AA1443" s="73"/>
      <c r="AB1443" s="73"/>
      <c r="AC1443" s="73"/>
      <c r="AD1443" s="73"/>
      <c r="AE1443" s="73"/>
      <c r="AF1443" s="73"/>
      <c r="AG1443" s="73"/>
      <c r="AH1443" s="73"/>
      <c r="AI1443" s="73"/>
      <c r="AJ1443" s="168"/>
      <c r="AK1443" s="73"/>
      <c r="AL1443" s="73"/>
      <c r="AM1443" s="73"/>
      <c r="AN1443" s="73"/>
      <c r="AO1443" s="73"/>
      <c r="AP1443" s="73"/>
      <c r="AQ1443" s="73"/>
      <c r="AR1443" s="73"/>
      <c r="AS1443" s="73"/>
      <c r="AT1443" s="73"/>
      <c r="AU1443" s="73"/>
      <c r="AV1443" s="73"/>
      <c r="AW1443" s="73"/>
      <c r="AX1443" s="73"/>
      <c r="AY1443" s="73"/>
      <c r="AZ1443" s="73"/>
      <c r="BA1443" s="73"/>
      <c r="BB1443" s="73"/>
      <c r="BC1443" s="73"/>
      <c r="BD1443" s="73"/>
      <c r="BE1443" s="73"/>
      <c r="BF1443" s="75"/>
      <c r="BG1443" s="73"/>
      <c r="BH1443" s="88"/>
      <c r="BI1443" s="73"/>
      <c r="BJ1443" s="73"/>
      <c r="BK1443" s="73"/>
      <c r="BL1443" s="73"/>
      <c r="BM1443" s="73"/>
      <c r="BN1443" s="73"/>
      <c r="BO1443" s="73"/>
      <c r="BP1443" s="73"/>
      <c r="BQ1443" s="73"/>
      <c r="BR1443" s="73"/>
      <c r="BS1443" s="73"/>
      <c r="BT1443" s="73"/>
      <c r="BU1443" s="73"/>
      <c r="BV1443" s="73"/>
      <c r="BW1443" s="73"/>
      <c r="BX1443" s="73"/>
      <c r="BY1443" s="73"/>
      <c r="BZ1443" s="73"/>
      <c r="CA1443" s="73"/>
      <c r="CB1443" s="73"/>
      <c r="CC1443" s="73"/>
      <c r="CD1443" s="73"/>
      <c r="CE1443" s="73"/>
      <c r="CF1443" s="73"/>
      <c r="CG1443" s="73"/>
      <c r="CH1443" s="73"/>
    </row>
    <row r="1444">
      <c r="A1444" s="73"/>
      <c r="B1444" s="73"/>
      <c r="C1444" s="73"/>
      <c r="D1444" s="73"/>
      <c r="E1444" s="140"/>
      <c r="F1444" s="80"/>
      <c r="G1444" s="80"/>
      <c r="H1444" s="73"/>
      <c r="I1444" s="73"/>
      <c r="J1444" s="73"/>
      <c r="K1444" s="73"/>
      <c r="L1444" s="73"/>
      <c r="M1444" s="73"/>
      <c r="N1444" s="73"/>
      <c r="O1444" s="73"/>
      <c r="P1444" s="73"/>
      <c r="Q1444" s="73"/>
      <c r="R1444" s="73"/>
      <c r="S1444" s="73"/>
      <c r="T1444" s="73"/>
      <c r="U1444" s="73"/>
      <c r="V1444" s="73"/>
      <c r="W1444" s="73"/>
      <c r="X1444" s="73"/>
      <c r="Y1444" s="73"/>
      <c r="Z1444" s="73"/>
      <c r="AA1444" s="73"/>
      <c r="AB1444" s="73"/>
      <c r="AC1444" s="73"/>
      <c r="AD1444" s="73"/>
      <c r="AE1444" s="73"/>
      <c r="AF1444" s="73"/>
      <c r="AG1444" s="73"/>
      <c r="AH1444" s="73"/>
      <c r="AI1444" s="73"/>
      <c r="AJ1444" s="168"/>
      <c r="AK1444" s="73"/>
      <c r="AL1444" s="73"/>
      <c r="AM1444" s="73"/>
      <c r="AN1444" s="73"/>
      <c r="AO1444" s="73"/>
      <c r="AP1444" s="73"/>
      <c r="AQ1444" s="73"/>
      <c r="AR1444" s="73"/>
      <c r="AS1444" s="73"/>
      <c r="AT1444" s="73"/>
      <c r="AU1444" s="73"/>
      <c r="AV1444" s="73"/>
      <c r="AW1444" s="73"/>
      <c r="AX1444" s="73"/>
      <c r="AY1444" s="73"/>
      <c r="AZ1444" s="73"/>
      <c r="BA1444" s="73"/>
      <c r="BB1444" s="73"/>
      <c r="BC1444" s="73"/>
      <c r="BD1444" s="73"/>
      <c r="BE1444" s="73"/>
      <c r="BF1444" s="75"/>
      <c r="BG1444" s="73"/>
      <c r="BH1444" s="88"/>
      <c r="BI1444" s="73"/>
      <c r="BJ1444" s="73"/>
      <c r="BK1444" s="73"/>
      <c r="BL1444" s="73"/>
      <c r="BM1444" s="73"/>
      <c r="BN1444" s="73"/>
      <c r="BO1444" s="73"/>
      <c r="BP1444" s="73"/>
      <c r="BQ1444" s="73"/>
      <c r="BR1444" s="73"/>
      <c r="BS1444" s="73"/>
      <c r="BT1444" s="73"/>
      <c r="BU1444" s="73"/>
      <c r="BV1444" s="73"/>
      <c r="BW1444" s="73"/>
      <c r="BX1444" s="73"/>
      <c r="BY1444" s="73"/>
      <c r="BZ1444" s="73"/>
      <c r="CA1444" s="73"/>
      <c r="CB1444" s="73"/>
      <c r="CC1444" s="73"/>
      <c r="CD1444" s="73"/>
      <c r="CE1444" s="73"/>
      <c r="CF1444" s="73"/>
      <c r="CG1444" s="73"/>
      <c r="CH1444" s="73"/>
    </row>
    <row r="1445">
      <c r="A1445" s="73"/>
      <c r="B1445" s="73"/>
      <c r="C1445" s="73"/>
      <c r="D1445" s="73"/>
      <c r="E1445" s="140"/>
      <c r="F1445" s="80"/>
      <c r="G1445" s="80"/>
      <c r="H1445" s="73"/>
      <c r="I1445" s="73"/>
      <c r="J1445" s="73"/>
      <c r="K1445" s="73"/>
      <c r="L1445" s="73"/>
      <c r="M1445" s="73"/>
      <c r="N1445" s="73"/>
      <c r="O1445" s="73"/>
      <c r="P1445" s="73"/>
      <c r="Q1445" s="73"/>
      <c r="R1445" s="73"/>
      <c r="S1445" s="73"/>
      <c r="T1445" s="73"/>
      <c r="U1445" s="73"/>
      <c r="V1445" s="73"/>
      <c r="W1445" s="73"/>
      <c r="X1445" s="73"/>
      <c r="Y1445" s="73"/>
      <c r="Z1445" s="73"/>
      <c r="AA1445" s="73"/>
      <c r="AB1445" s="73"/>
      <c r="AC1445" s="73"/>
      <c r="AD1445" s="73"/>
      <c r="AE1445" s="73"/>
      <c r="AF1445" s="73"/>
      <c r="AG1445" s="73"/>
      <c r="AH1445" s="73"/>
      <c r="AI1445" s="73"/>
      <c r="AJ1445" s="168"/>
      <c r="AK1445" s="73"/>
      <c r="AL1445" s="73"/>
      <c r="AM1445" s="73"/>
      <c r="AN1445" s="73"/>
      <c r="AO1445" s="73"/>
      <c r="AP1445" s="73"/>
      <c r="AQ1445" s="73"/>
      <c r="AR1445" s="73"/>
      <c r="AS1445" s="73"/>
      <c r="AT1445" s="73"/>
      <c r="AU1445" s="73"/>
      <c r="AV1445" s="73"/>
      <c r="AW1445" s="73"/>
      <c r="AX1445" s="73"/>
      <c r="AY1445" s="73"/>
      <c r="AZ1445" s="73"/>
      <c r="BA1445" s="73"/>
      <c r="BB1445" s="73"/>
      <c r="BC1445" s="73"/>
      <c r="BD1445" s="73"/>
      <c r="BE1445" s="73"/>
      <c r="BF1445" s="75"/>
      <c r="BG1445" s="73"/>
      <c r="BH1445" s="88"/>
      <c r="BI1445" s="73"/>
      <c r="BJ1445" s="73"/>
      <c r="BK1445" s="73"/>
      <c r="BL1445" s="73"/>
      <c r="BM1445" s="73"/>
      <c r="BN1445" s="73"/>
      <c r="BO1445" s="73"/>
      <c r="BP1445" s="73"/>
      <c r="BQ1445" s="73"/>
      <c r="BR1445" s="73"/>
      <c r="BS1445" s="73"/>
      <c r="BT1445" s="73"/>
      <c r="BU1445" s="73"/>
      <c r="BV1445" s="73"/>
      <c r="BW1445" s="73"/>
      <c r="BX1445" s="73"/>
      <c r="BY1445" s="73"/>
      <c r="BZ1445" s="73"/>
      <c r="CA1445" s="73"/>
      <c r="CB1445" s="73"/>
      <c r="CC1445" s="73"/>
      <c r="CD1445" s="73"/>
      <c r="CE1445" s="73"/>
      <c r="CF1445" s="73"/>
      <c r="CG1445" s="73"/>
      <c r="CH1445" s="73"/>
    </row>
    <row r="1446">
      <c r="A1446" s="73"/>
      <c r="B1446" s="73"/>
      <c r="C1446" s="73"/>
      <c r="D1446" s="73"/>
      <c r="E1446" s="140"/>
      <c r="F1446" s="80"/>
      <c r="G1446" s="80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  <c r="S1446" s="73"/>
      <c r="T1446" s="73"/>
      <c r="U1446" s="73"/>
      <c r="V1446" s="73"/>
      <c r="W1446" s="73"/>
      <c r="X1446" s="73"/>
      <c r="Y1446" s="73"/>
      <c r="Z1446" s="73"/>
      <c r="AA1446" s="73"/>
      <c r="AB1446" s="73"/>
      <c r="AC1446" s="73"/>
      <c r="AD1446" s="73"/>
      <c r="AE1446" s="73"/>
      <c r="AF1446" s="73"/>
      <c r="AG1446" s="73"/>
      <c r="AH1446" s="73"/>
      <c r="AI1446" s="73"/>
      <c r="AJ1446" s="168"/>
      <c r="AK1446" s="73"/>
      <c r="AL1446" s="73"/>
      <c r="AM1446" s="73"/>
      <c r="AN1446" s="73"/>
      <c r="AO1446" s="73"/>
      <c r="AP1446" s="73"/>
      <c r="AQ1446" s="73"/>
      <c r="AR1446" s="73"/>
      <c r="AS1446" s="73"/>
      <c r="AT1446" s="73"/>
      <c r="AU1446" s="73"/>
      <c r="AV1446" s="73"/>
      <c r="AW1446" s="73"/>
      <c r="AX1446" s="73"/>
      <c r="AY1446" s="73"/>
      <c r="AZ1446" s="73"/>
      <c r="BA1446" s="73"/>
      <c r="BB1446" s="73"/>
      <c r="BC1446" s="73"/>
      <c r="BD1446" s="73"/>
      <c r="BE1446" s="73"/>
      <c r="BF1446" s="75"/>
      <c r="BG1446" s="73"/>
      <c r="BH1446" s="88"/>
      <c r="BI1446" s="73"/>
      <c r="BJ1446" s="73"/>
      <c r="BK1446" s="73"/>
      <c r="BL1446" s="73"/>
      <c r="BM1446" s="73"/>
      <c r="BN1446" s="73"/>
      <c r="BO1446" s="73"/>
      <c r="BP1446" s="73"/>
      <c r="BQ1446" s="73"/>
      <c r="BR1446" s="73"/>
      <c r="BS1446" s="73"/>
      <c r="BT1446" s="73"/>
      <c r="BU1446" s="73"/>
      <c r="BV1446" s="73"/>
      <c r="BW1446" s="73"/>
      <c r="BX1446" s="73"/>
      <c r="BY1446" s="73"/>
      <c r="BZ1446" s="73"/>
      <c r="CA1446" s="73"/>
      <c r="CB1446" s="73"/>
      <c r="CC1446" s="73"/>
      <c r="CD1446" s="73"/>
      <c r="CE1446" s="73"/>
      <c r="CF1446" s="73"/>
      <c r="CG1446" s="73"/>
      <c r="CH1446" s="73"/>
    </row>
    <row r="1447">
      <c r="A1447" s="73"/>
      <c r="B1447" s="73"/>
      <c r="C1447" s="73"/>
      <c r="D1447" s="73"/>
      <c r="E1447" s="140"/>
      <c r="F1447" s="80"/>
      <c r="G1447" s="80"/>
      <c r="H1447" s="73"/>
      <c r="I1447" s="73"/>
      <c r="J1447" s="73"/>
      <c r="K1447" s="73"/>
      <c r="L1447" s="73"/>
      <c r="M1447" s="73"/>
      <c r="N1447" s="73"/>
      <c r="O1447" s="73"/>
      <c r="P1447" s="73"/>
      <c r="Q1447" s="73"/>
      <c r="R1447" s="73"/>
      <c r="S1447" s="73"/>
      <c r="T1447" s="73"/>
      <c r="U1447" s="73"/>
      <c r="V1447" s="73"/>
      <c r="W1447" s="73"/>
      <c r="X1447" s="73"/>
      <c r="Y1447" s="73"/>
      <c r="Z1447" s="73"/>
      <c r="AA1447" s="73"/>
      <c r="AB1447" s="73"/>
      <c r="AC1447" s="73"/>
      <c r="AD1447" s="73"/>
      <c r="AE1447" s="73"/>
      <c r="AF1447" s="73"/>
      <c r="AG1447" s="73"/>
      <c r="AH1447" s="73"/>
      <c r="AI1447" s="73"/>
      <c r="AJ1447" s="168"/>
      <c r="AK1447" s="73"/>
      <c r="AL1447" s="73"/>
      <c r="AM1447" s="73"/>
      <c r="AN1447" s="73"/>
      <c r="AO1447" s="73"/>
      <c r="AP1447" s="73"/>
      <c r="AQ1447" s="73"/>
      <c r="AR1447" s="73"/>
      <c r="AS1447" s="73"/>
      <c r="AT1447" s="73"/>
      <c r="AU1447" s="73"/>
      <c r="AV1447" s="73"/>
      <c r="AW1447" s="73"/>
      <c r="AX1447" s="73"/>
      <c r="AY1447" s="73"/>
      <c r="AZ1447" s="73"/>
      <c r="BA1447" s="73"/>
      <c r="BB1447" s="73"/>
      <c r="BC1447" s="73"/>
      <c r="BD1447" s="73"/>
      <c r="BE1447" s="73"/>
      <c r="BF1447" s="75"/>
      <c r="BG1447" s="73"/>
      <c r="BH1447" s="88"/>
      <c r="BI1447" s="73"/>
      <c r="BJ1447" s="73"/>
      <c r="BK1447" s="73"/>
      <c r="BL1447" s="73"/>
      <c r="BM1447" s="73"/>
      <c r="BN1447" s="73"/>
      <c r="BO1447" s="73"/>
      <c r="BP1447" s="73"/>
      <c r="BQ1447" s="73"/>
      <c r="BR1447" s="73"/>
      <c r="BS1447" s="73"/>
      <c r="BT1447" s="73"/>
      <c r="BU1447" s="73"/>
      <c r="BV1447" s="73"/>
      <c r="BW1447" s="73"/>
      <c r="BX1447" s="73"/>
      <c r="BY1447" s="73"/>
      <c r="BZ1447" s="73"/>
      <c r="CA1447" s="73"/>
      <c r="CB1447" s="73"/>
      <c r="CC1447" s="73"/>
      <c r="CD1447" s="73"/>
      <c r="CE1447" s="73"/>
      <c r="CF1447" s="73"/>
      <c r="CG1447" s="73"/>
      <c r="CH1447" s="73"/>
    </row>
    <row r="1448">
      <c r="A1448" s="73"/>
      <c r="B1448" s="73"/>
      <c r="C1448" s="73"/>
      <c r="D1448" s="73"/>
      <c r="E1448" s="140"/>
      <c r="F1448" s="80"/>
      <c r="G1448" s="80"/>
      <c r="H1448" s="73"/>
      <c r="I1448" s="73"/>
      <c r="J1448" s="73"/>
      <c r="K1448" s="73"/>
      <c r="L1448" s="73"/>
      <c r="M1448" s="73"/>
      <c r="N1448" s="73"/>
      <c r="O1448" s="73"/>
      <c r="P1448" s="73"/>
      <c r="Q1448" s="73"/>
      <c r="R1448" s="73"/>
      <c r="S1448" s="73"/>
      <c r="T1448" s="73"/>
      <c r="U1448" s="73"/>
      <c r="V1448" s="73"/>
      <c r="W1448" s="73"/>
      <c r="X1448" s="73"/>
      <c r="Y1448" s="73"/>
      <c r="Z1448" s="73"/>
      <c r="AA1448" s="73"/>
      <c r="AB1448" s="73"/>
      <c r="AC1448" s="73"/>
      <c r="AD1448" s="73"/>
      <c r="AE1448" s="73"/>
      <c r="AF1448" s="73"/>
      <c r="AG1448" s="73"/>
      <c r="AH1448" s="73"/>
      <c r="AI1448" s="73"/>
      <c r="AJ1448" s="168"/>
      <c r="AK1448" s="73"/>
      <c r="AL1448" s="73"/>
      <c r="AM1448" s="73"/>
      <c r="AN1448" s="73"/>
      <c r="AO1448" s="73"/>
      <c r="AP1448" s="73"/>
      <c r="AQ1448" s="73"/>
      <c r="AR1448" s="73"/>
      <c r="AS1448" s="73"/>
      <c r="AT1448" s="73"/>
      <c r="AU1448" s="73"/>
      <c r="AV1448" s="73"/>
      <c r="AW1448" s="73"/>
      <c r="AX1448" s="73"/>
      <c r="AY1448" s="73"/>
      <c r="AZ1448" s="73"/>
      <c r="BA1448" s="73"/>
      <c r="BB1448" s="73"/>
      <c r="BC1448" s="73"/>
      <c r="BD1448" s="73"/>
      <c r="BE1448" s="73"/>
      <c r="BF1448" s="75"/>
      <c r="BG1448" s="73"/>
      <c r="BH1448" s="88"/>
      <c r="BI1448" s="73"/>
      <c r="BJ1448" s="73"/>
      <c r="BK1448" s="73"/>
      <c r="BL1448" s="73"/>
      <c r="BM1448" s="73"/>
      <c r="BN1448" s="73"/>
      <c r="BO1448" s="73"/>
      <c r="BP1448" s="73"/>
      <c r="BQ1448" s="73"/>
      <c r="BR1448" s="73"/>
      <c r="BS1448" s="73"/>
      <c r="BT1448" s="73"/>
      <c r="BU1448" s="73"/>
      <c r="BV1448" s="73"/>
      <c r="BW1448" s="73"/>
      <c r="BX1448" s="73"/>
      <c r="BY1448" s="73"/>
      <c r="BZ1448" s="73"/>
      <c r="CA1448" s="73"/>
      <c r="CB1448" s="73"/>
      <c r="CC1448" s="73"/>
      <c r="CD1448" s="73"/>
      <c r="CE1448" s="73"/>
      <c r="CF1448" s="73"/>
      <c r="CG1448" s="73"/>
      <c r="CH1448" s="73"/>
    </row>
    <row r="1449">
      <c r="A1449" s="73"/>
      <c r="B1449" s="73"/>
      <c r="C1449" s="73"/>
      <c r="D1449" s="73"/>
      <c r="E1449" s="140"/>
      <c r="F1449" s="80"/>
      <c r="G1449" s="80"/>
      <c r="H1449" s="73"/>
      <c r="I1449" s="73"/>
      <c r="J1449" s="73"/>
      <c r="K1449" s="73"/>
      <c r="L1449" s="73"/>
      <c r="M1449" s="73"/>
      <c r="N1449" s="73"/>
      <c r="O1449" s="73"/>
      <c r="P1449" s="73"/>
      <c r="Q1449" s="73"/>
      <c r="R1449" s="73"/>
      <c r="S1449" s="73"/>
      <c r="T1449" s="73"/>
      <c r="U1449" s="73"/>
      <c r="V1449" s="73"/>
      <c r="W1449" s="73"/>
      <c r="X1449" s="73"/>
      <c r="Y1449" s="73"/>
      <c r="Z1449" s="73"/>
      <c r="AA1449" s="73"/>
      <c r="AB1449" s="73"/>
      <c r="AC1449" s="73"/>
      <c r="AD1449" s="73"/>
      <c r="AE1449" s="73"/>
      <c r="AF1449" s="73"/>
      <c r="AG1449" s="73"/>
      <c r="AH1449" s="73"/>
      <c r="AI1449" s="73"/>
      <c r="AJ1449" s="168"/>
      <c r="AK1449" s="73"/>
      <c r="AL1449" s="73"/>
      <c r="AM1449" s="73"/>
      <c r="AN1449" s="73"/>
      <c r="AO1449" s="73"/>
      <c r="AP1449" s="73"/>
      <c r="AQ1449" s="73"/>
      <c r="AR1449" s="73"/>
      <c r="AS1449" s="73"/>
      <c r="AT1449" s="73"/>
      <c r="AU1449" s="73"/>
      <c r="AV1449" s="73"/>
      <c r="AW1449" s="73"/>
      <c r="AX1449" s="73"/>
      <c r="AY1449" s="73"/>
      <c r="AZ1449" s="73"/>
      <c r="BA1449" s="73"/>
      <c r="BB1449" s="73"/>
      <c r="BC1449" s="73"/>
      <c r="BD1449" s="73"/>
      <c r="BE1449" s="73"/>
      <c r="BF1449" s="75"/>
      <c r="BG1449" s="73"/>
      <c r="BH1449" s="88"/>
      <c r="BI1449" s="73"/>
      <c r="BJ1449" s="73"/>
      <c r="BK1449" s="73"/>
      <c r="BL1449" s="73"/>
      <c r="BM1449" s="73"/>
      <c r="BN1449" s="73"/>
      <c r="BO1449" s="73"/>
      <c r="BP1449" s="73"/>
      <c r="BQ1449" s="73"/>
      <c r="BR1449" s="73"/>
      <c r="BS1449" s="73"/>
      <c r="BT1449" s="73"/>
      <c r="BU1449" s="73"/>
      <c r="BV1449" s="73"/>
      <c r="BW1449" s="73"/>
      <c r="BX1449" s="73"/>
      <c r="BY1449" s="73"/>
      <c r="BZ1449" s="73"/>
      <c r="CA1449" s="73"/>
      <c r="CB1449" s="73"/>
      <c r="CC1449" s="73"/>
      <c r="CD1449" s="73"/>
      <c r="CE1449" s="73"/>
      <c r="CF1449" s="73"/>
      <c r="CG1449" s="73"/>
      <c r="CH1449" s="73"/>
    </row>
    <row r="1450">
      <c r="A1450" s="73"/>
      <c r="B1450" s="73"/>
      <c r="C1450" s="73"/>
      <c r="D1450" s="73"/>
      <c r="E1450" s="140"/>
      <c r="F1450" s="80"/>
      <c r="G1450" s="80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  <c r="S1450" s="73"/>
      <c r="T1450" s="73"/>
      <c r="U1450" s="73"/>
      <c r="V1450" s="73"/>
      <c r="W1450" s="73"/>
      <c r="X1450" s="73"/>
      <c r="Y1450" s="73"/>
      <c r="Z1450" s="73"/>
      <c r="AA1450" s="73"/>
      <c r="AB1450" s="73"/>
      <c r="AC1450" s="73"/>
      <c r="AD1450" s="73"/>
      <c r="AE1450" s="73"/>
      <c r="AF1450" s="73"/>
      <c r="AG1450" s="73"/>
      <c r="AH1450" s="73"/>
      <c r="AI1450" s="73"/>
      <c r="AJ1450" s="168"/>
      <c r="AK1450" s="73"/>
      <c r="AL1450" s="73"/>
      <c r="AM1450" s="73"/>
      <c r="AN1450" s="73"/>
      <c r="AO1450" s="73"/>
      <c r="AP1450" s="73"/>
      <c r="AQ1450" s="73"/>
      <c r="AR1450" s="73"/>
      <c r="AS1450" s="73"/>
      <c r="AT1450" s="73"/>
      <c r="AU1450" s="73"/>
      <c r="AV1450" s="73"/>
      <c r="AW1450" s="73"/>
      <c r="AX1450" s="73"/>
      <c r="AY1450" s="73"/>
      <c r="AZ1450" s="73"/>
      <c r="BA1450" s="73"/>
      <c r="BB1450" s="73"/>
      <c r="BC1450" s="73"/>
      <c r="BD1450" s="73"/>
      <c r="BE1450" s="73"/>
      <c r="BF1450" s="75"/>
      <c r="BG1450" s="73"/>
      <c r="BH1450" s="88"/>
      <c r="BI1450" s="73"/>
      <c r="BJ1450" s="73"/>
      <c r="BK1450" s="73"/>
      <c r="BL1450" s="73"/>
      <c r="BM1450" s="73"/>
      <c r="BN1450" s="73"/>
      <c r="BO1450" s="73"/>
      <c r="BP1450" s="73"/>
      <c r="BQ1450" s="73"/>
      <c r="BR1450" s="73"/>
      <c r="BS1450" s="73"/>
      <c r="BT1450" s="73"/>
      <c r="BU1450" s="73"/>
      <c r="BV1450" s="73"/>
      <c r="BW1450" s="73"/>
      <c r="BX1450" s="73"/>
      <c r="BY1450" s="73"/>
      <c r="BZ1450" s="73"/>
      <c r="CA1450" s="73"/>
      <c r="CB1450" s="73"/>
      <c r="CC1450" s="73"/>
      <c r="CD1450" s="73"/>
      <c r="CE1450" s="73"/>
      <c r="CF1450" s="73"/>
      <c r="CG1450" s="73"/>
      <c r="CH1450" s="73"/>
    </row>
    <row r="1451">
      <c r="A1451" s="73"/>
      <c r="B1451" s="73"/>
      <c r="C1451" s="73"/>
      <c r="D1451" s="73"/>
      <c r="E1451" s="140"/>
      <c r="F1451" s="80"/>
      <c r="G1451" s="80"/>
      <c r="H1451" s="73"/>
      <c r="I1451" s="73"/>
      <c r="J1451" s="73"/>
      <c r="K1451" s="73"/>
      <c r="L1451" s="73"/>
      <c r="M1451" s="73"/>
      <c r="N1451" s="73"/>
      <c r="O1451" s="73"/>
      <c r="P1451" s="73"/>
      <c r="Q1451" s="73"/>
      <c r="R1451" s="73"/>
      <c r="S1451" s="73"/>
      <c r="T1451" s="73"/>
      <c r="U1451" s="73"/>
      <c r="V1451" s="73"/>
      <c r="W1451" s="73"/>
      <c r="X1451" s="73"/>
      <c r="Y1451" s="73"/>
      <c r="Z1451" s="73"/>
      <c r="AA1451" s="73"/>
      <c r="AB1451" s="73"/>
      <c r="AC1451" s="73"/>
      <c r="AD1451" s="73"/>
      <c r="AE1451" s="73"/>
      <c r="AF1451" s="73"/>
      <c r="AG1451" s="73"/>
      <c r="AH1451" s="73"/>
      <c r="AI1451" s="73"/>
      <c r="AJ1451" s="168"/>
      <c r="AK1451" s="73"/>
      <c r="AL1451" s="73"/>
      <c r="AM1451" s="73"/>
      <c r="AN1451" s="73"/>
      <c r="AO1451" s="73"/>
      <c r="AP1451" s="73"/>
      <c r="AQ1451" s="73"/>
      <c r="AR1451" s="73"/>
      <c r="AS1451" s="73"/>
      <c r="AT1451" s="73"/>
      <c r="AU1451" s="73"/>
      <c r="AV1451" s="73"/>
      <c r="AW1451" s="73"/>
      <c r="AX1451" s="73"/>
      <c r="AY1451" s="73"/>
      <c r="AZ1451" s="73"/>
      <c r="BA1451" s="73"/>
      <c r="BB1451" s="73"/>
      <c r="BC1451" s="73"/>
      <c r="BD1451" s="73"/>
      <c r="BE1451" s="73"/>
      <c r="BF1451" s="75"/>
      <c r="BG1451" s="73"/>
      <c r="BH1451" s="88"/>
      <c r="BI1451" s="73"/>
      <c r="BJ1451" s="73"/>
      <c r="BK1451" s="73"/>
      <c r="BL1451" s="73"/>
      <c r="BM1451" s="73"/>
      <c r="BN1451" s="73"/>
      <c r="BO1451" s="73"/>
      <c r="BP1451" s="73"/>
      <c r="BQ1451" s="73"/>
      <c r="BR1451" s="73"/>
      <c r="BS1451" s="73"/>
      <c r="BT1451" s="73"/>
      <c r="BU1451" s="73"/>
      <c r="BV1451" s="73"/>
      <c r="BW1451" s="73"/>
      <c r="BX1451" s="73"/>
      <c r="BY1451" s="73"/>
      <c r="BZ1451" s="73"/>
      <c r="CA1451" s="73"/>
      <c r="CB1451" s="73"/>
      <c r="CC1451" s="73"/>
      <c r="CD1451" s="73"/>
      <c r="CE1451" s="73"/>
      <c r="CF1451" s="73"/>
      <c r="CG1451" s="73"/>
      <c r="CH1451" s="73"/>
    </row>
    <row r="1452">
      <c r="A1452" s="73"/>
      <c r="B1452" s="73"/>
      <c r="C1452" s="73"/>
      <c r="D1452" s="73"/>
      <c r="E1452" s="140"/>
      <c r="F1452" s="80"/>
      <c r="G1452" s="80"/>
      <c r="H1452" s="73"/>
      <c r="I1452" s="73"/>
      <c r="J1452" s="73"/>
      <c r="K1452" s="73"/>
      <c r="L1452" s="73"/>
      <c r="M1452" s="73"/>
      <c r="N1452" s="73"/>
      <c r="O1452" s="73"/>
      <c r="P1452" s="73"/>
      <c r="Q1452" s="73"/>
      <c r="R1452" s="73"/>
      <c r="S1452" s="73"/>
      <c r="T1452" s="73"/>
      <c r="U1452" s="73"/>
      <c r="V1452" s="73"/>
      <c r="W1452" s="73"/>
      <c r="X1452" s="73"/>
      <c r="Y1452" s="73"/>
      <c r="Z1452" s="73"/>
      <c r="AA1452" s="73"/>
      <c r="AB1452" s="73"/>
      <c r="AC1452" s="73"/>
      <c r="AD1452" s="73"/>
      <c r="AE1452" s="73"/>
      <c r="AF1452" s="73"/>
      <c r="AG1452" s="73"/>
      <c r="AH1452" s="73"/>
      <c r="AI1452" s="73"/>
      <c r="AJ1452" s="168"/>
      <c r="AK1452" s="73"/>
      <c r="AL1452" s="73"/>
      <c r="AM1452" s="73"/>
      <c r="AN1452" s="73"/>
      <c r="AO1452" s="73"/>
      <c r="AP1452" s="73"/>
      <c r="AQ1452" s="73"/>
      <c r="AR1452" s="73"/>
      <c r="AS1452" s="73"/>
      <c r="AT1452" s="73"/>
      <c r="AU1452" s="73"/>
      <c r="AV1452" s="73"/>
      <c r="AW1452" s="73"/>
      <c r="AX1452" s="73"/>
      <c r="AY1452" s="73"/>
      <c r="AZ1452" s="73"/>
      <c r="BA1452" s="73"/>
      <c r="BB1452" s="73"/>
      <c r="BC1452" s="73"/>
      <c r="BD1452" s="73"/>
      <c r="BE1452" s="73"/>
      <c r="BF1452" s="75"/>
      <c r="BG1452" s="73"/>
      <c r="BH1452" s="88"/>
      <c r="BI1452" s="73"/>
      <c r="BJ1452" s="73"/>
      <c r="BK1452" s="73"/>
      <c r="BL1452" s="73"/>
      <c r="BM1452" s="73"/>
      <c r="BN1452" s="73"/>
      <c r="BO1452" s="73"/>
      <c r="BP1452" s="73"/>
      <c r="BQ1452" s="73"/>
      <c r="BR1452" s="73"/>
      <c r="BS1452" s="73"/>
      <c r="BT1452" s="73"/>
      <c r="BU1452" s="73"/>
      <c r="BV1452" s="73"/>
      <c r="BW1452" s="73"/>
      <c r="BX1452" s="73"/>
      <c r="BY1452" s="73"/>
      <c r="BZ1452" s="73"/>
      <c r="CA1452" s="73"/>
      <c r="CB1452" s="73"/>
      <c r="CC1452" s="73"/>
      <c r="CD1452" s="73"/>
      <c r="CE1452" s="73"/>
      <c r="CF1452" s="73"/>
      <c r="CG1452" s="73"/>
      <c r="CH1452" s="73"/>
    </row>
    <row r="1453">
      <c r="A1453" s="73"/>
      <c r="B1453" s="73"/>
      <c r="C1453" s="73"/>
      <c r="D1453" s="73"/>
      <c r="E1453" s="140"/>
      <c r="F1453" s="80"/>
      <c r="G1453" s="80"/>
      <c r="H1453" s="73"/>
      <c r="I1453" s="73"/>
      <c r="J1453" s="73"/>
      <c r="K1453" s="73"/>
      <c r="L1453" s="73"/>
      <c r="M1453" s="73"/>
      <c r="N1453" s="73"/>
      <c r="O1453" s="73"/>
      <c r="P1453" s="73"/>
      <c r="Q1453" s="73"/>
      <c r="R1453" s="73"/>
      <c r="S1453" s="73"/>
      <c r="T1453" s="73"/>
      <c r="U1453" s="73"/>
      <c r="V1453" s="73"/>
      <c r="W1453" s="73"/>
      <c r="X1453" s="73"/>
      <c r="Y1453" s="73"/>
      <c r="Z1453" s="73"/>
      <c r="AA1453" s="73"/>
      <c r="AB1453" s="73"/>
      <c r="AC1453" s="73"/>
      <c r="AD1453" s="73"/>
      <c r="AE1453" s="73"/>
      <c r="AF1453" s="73"/>
      <c r="AG1453" s="73"/>
      <c r="AH1453" s="73"/>
      <c r="AI1453" s="73"/>
      <c r="AJ1453" s="168"/>
      <c r="AK1453" s="73"/>
      <c r="AL1453" s="73"/>
      <c r="AM1453" s="73"/>
      <c r="AN1453" s="73"/>
      <c r="AO1453" s="73"/>
      <c r="AP1453" s="73"/>
      <c r="AQ1453" s="73"/>
      <c r="AR1453" s="73"/>
      <c r="AS1453" s="73"/>
      <c r="AT1453" s="73"/>
      <c r="AU1453" s="73"/>
      <c r="AV1453" s="73"/>
      <c r="AW1453" s="73"/>
      <c r="AX1453" s="73"/>
      <c r="AY1453" s="73"/>
      <c r="AZ1453" s="73"/>
      <c r="BA1453" s="73"/>
      <c r="BB1453" s="73"/>
      <c r="BC1453" s="73"/>
      <c r="BD1453" s="73"/>
      <c r="BE1453" s="73"/>
      <c r="BF1453" s="75"/>
      <c r="BG1453" s="73"/>
      <c r="BH1453" s="88"/>
      <c r="BI1453" s="73"/>
      <c r="BJ1453" s="73"/>
      <c r="BK1453" s="73"/>
      <c r="BL1453" s="73"/>
      <c r="BM1453" s="73"/>
      <c r="BN1453" s="73"/>
      <c r="BO1453" s="73"/>
      <c r="BP1453" s="73"/>
      <c r="BQ1453" s="73"/>
      <c r="BR1453" s="73"/>
      <c r="BS1453" s="73"/>
      <c r="BT1453" s="73"/>
      <c r="BU1453" s="73"/>
      <c r="BV1453" s="73"/>
      <c r="BW1453" s="73"/>
      <c r="BX1453" s="73"/>
      <c r="BY1453" s="73"/>
      <c r="BZ1453" s="73"/>
      <c r="CA1453" s="73"/>
      <c r="CB1453" s="73"/>
      <c r="CC1453" s="73"/>
      <c r="CD1453" s="73"/>
      <c r="CE1453" s="73"/>
      <c r="CF1453" s="73"/>
      <c r="CG1453" s="73"/>
      <c r="CH1453" s="73"/>
    </row>
    <row r="1454">
      <c r="A1454" s="73"/>
      <c r="B1454" s="73"/>
      <c r="C1454" s="73"/>
      <c r="D1454" s="73"/>
      <c r="E1454" s="140"/>
      <c r="F1454" s="80"/>
      <c r="G1454" s="80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  <c r="S1454" s="73"/>
      <c r="T1454" s="73"/>
      <c r="U1454" s="73"/>
      <c r="V1454" s="73"/>
      <c r="W1454" s="73"/>
      <c r="X1454" s="73"/>
      <c r="Y1454" s="73"/>
      <c r="Z1454" s="73"/>
      <c r="AA1454" s="73"/>
      <c r="AB1454" s="73"/>
      <c r="AC1454" s="73"/>
      <c r="AD1454" s="73"/>
      <c r="AE1454" s="73"/>
      <c r="AF1454" s="73"/>
      <c r="AG1454" s="73"/>
      <c r="AH1454" s="73"/>
      <c r="AI1454" s="73"/>
      <c r="AJ1454" s="168"/>
      <c r="AK1454" s="73"/>
      <c r="AL1454" s="73"/>
      <c r="AM1454" s="73"/>
      <c r="AN1454" s="73"/>
      <c r="AO1454" s="73"/>
      <c r="AP1454" s="73"/>
      <c r="AQ1454" s="73"/>
      <c r="AR1454" s="73"/>
      <c r="AS1454" s="73"/>
      <c r="AT1454" s="73"/>
      <c r="AU1454" s="73"/>
      <c r="AV1454" s="73"/>
      <c r="AW1454" s="73"/>
      <c r="AX1454" s="73"/>
      <c r="AY1454" s="73"/>
      <c r="AZ1454" s="73"/>
      <c r="BA1454" s="73"/>
      <c r="BB1454" s="73"/>
      <c r="BC1454" s="73"/>
      <c r="BD1454" s="73"/>
      <c r="BE1454" s="73"/>
      <c r="BF1454" s="75"/>
      <c r="BG1454" s="73"/>
      <c r="BH1454" s="88"/>
      <c r="BI1454" s="73"/>
      <c r="BJ1454" s="73"/>
      <c r="BK1454" s="73"/>
      <c r="BL1454" s="73"/>
      <c r="BM1454" s="73"/>
      <c r="BN1454" s="73"/>
      <c r="BO1454" s="73"/>
      <c r="BP1454" s="73"/>
      <c r="BQ1454" s="73"/>
      <c r="BR1454" s="73"/>
      <c r="BS1454" s="73"/>
      <c r="BT1454" s="73"/>
      <c r="BU1454" s="73"/>
      <c r="BV1454" s="73"/>
      <c r="BW1454" s="73"/>
      <c r="BX1454" s="73"/>
      <c r="BY1454" s="73"/>
      <c r="BZ1454" s="73"/>
      <c r="CA1454" s="73"/>
      <c r="CB1454" s="73"/>
      <c r="CC1454" s="73"/>
      <c r="CD1454" s="73"/>
      <c r="CE1454" s="73"/>
      <c r="CF1454" s="73"/>
      <c r="CG1454" s="73"/>
      <c r="CH1454" s="73"/>
    </row>
    <row r="1455">
      <c r="A1455" s="73"/>
      <c r="B1455" s="73"/>
      <c r="C1455" s="73"/>
      <c r="D1455" s="73"/>
      <c r="E1455" s="140"/>
      <c r="F1455" s="80"/>
      <c r="G1455" s="80"/>
      <c r="H1455" s="73"/>
      <c r="I1455" s="73"/>
      <c r="J1455" s="73"/>
      <c r="K1455" s="73"/>
      <c r="L1455" s="73"/>
      <c r="M1455" s="73"/>
      <c r="N1455" s="73"/>
      <c r="O1455" s="73"/>
      <c r="P1455" s="73"/>
      <c r="Q1455" s="73"/>
      <c r="R1455" s="73"/>
      <c r="S1455" s="73"/>
      <c r="T1455" s="73"/>
      <c r="U1455" s="73"/>
      <c r="V1455" s="73"/>
      <c r="W1455" s="73"/>
      <c r="X1455" s="73"/>
      <c r="Y1455" s="73"/>
      <c r="Z1455" s="73"/>
      <c r="AA1455" s="73"/>
      <c r="AB1455" s="73"/>
      <c r="AC1455" s="73"/>
      <c r="AD1455" s="73"/>
      <c r="AE1455" s="73"/>
      <c r="AF1455" s="73"/>
      <c r="AG1455" s="73"/>
      <c r="AH1455" s="73"/>
      <c r="AI1455" s="73"/>
      <c r="AJ1455" s="168"/>
      <c r="AK1455" s="73"/>
      <c r="AL1455" s="73"/>
      <c r="AM1455" s="73"/>
      <c r="AN1455" s="73"/>
      <c r="AO1455" s="73"/>
      <c r="AP1455" s="73"/>
      <c r="AQ1455" s="73"/>
      <c r="AR1455" s="73"/>
      <c r="AS1455" s="73"/>
      <c r="AT1455" s="73"/>
      <c r="AU1455" s="73"/>
      <c r="AV1455" s="73"/>
      <c r="AW1455" s="73"/>
      <c r="AX1455" s="73"/>
      <c r="AY1455" s="73"/>
      <c r="AZ1455" s="73"/>
      <c r="BA1455" s="73"/>
      <c r="BB1455" s="73"/>
      <c r="BC1455" s="73"/>
      <c r="BD1455" s="73"/>
      <c r="BE1455" s="73"/>
      <c r="BF1455" s="75"/>
      <c r="BG1455" s="73"/>
      <c r="BH1455" s="88"/>
      <c r="BI1455" s="73"/>
      <c r="BJ1455" s="73"/>
      <c r="BK1455" s="73"/>
      <c r="BL1455" s="73"/>
      <c r="BM1455" s="73"/>
      <c r="BN1455" s="73"/>
      <c r="BO1455" s="73"/>
      <c r="BP1455" s="73"/>
      <c r="BQ1455" s="73"/>
      <c r="BR1455" s="73"/>
      <c r="BS1455" s="73"/>
      <c r="BT1455" s="73"/>
      <c r="BU1455" s="73"/>
      <c r="BV1455" s="73"/>
      <c r="BW1455" s="73"/>
      <c r="BX1455" s="73"/>
      <c r="BY1455" s="73"/>
      <c r="BZ1455" s="73"/>
      <c r="CA1455" s="73"/>
      <c r="CB1455" s="73"/>
      <c r="CC1455" s="73"/>
      <c r="CD1455" s="73"/>
      <c r="CE1455" s="73"/>
      <c r="CF1455" s="73"/>
      <c r="CG1455" s="73"/>
      <c r="CH1455" s="73"/>
    </row>
    <row r="1456">
      <c r="A1456" s="73"/>
      <c r="B1456" s="73"/>
      <c r="C1456" s="73"/>
      <c r="D1456" s="73"/>
      <c r="E1456" s="140"/>
      <c r="F1456" s="80"/>
      <c r="G1456" s="80"/>
      <c r="H1456" s="73"/>
      <c r="I1456" s="73"/>
      <c r="J1456" s="73"/>
      <c r="K1456" s="73"/>
      <c r="L1456" s="73"/>
      <c r="M1456" s="73"/>
      <c r="N1456" s="73"/>
      <c r="O1456" s="73"/>
      <c r="P1456" s="73"/>
      <c r="Q1456" s="73"/>
      <c r="R1456" s="73"/>
      <c r="S1456" s="73"/>
      <c r="T1456" s="73"/>
      <c r="U1456" s="73"/>
      <c r="V1456" s="73"/>
      <c r="W1456" s="73"/>
      <c r="X1456" s="73"/>
      <c r="Y1456" s="73"/>
      <c r="Z1456" s="73"/>
      <c r="AA1456" s="73"/>
      <c r="AB1456" s="73"/>
      <c r="AC1456" s="73"/>
      <c r="AD1456" s="73"/>
      <c r="AE1456" s="73"/>
      <c r="AF1456" s="73"/>
      <c r="AG1456" s="73"/>
      <c r="AH1456" s="73"/>
      <c r="AI1456" s="73"/>
      <c r="AJ1456" s="168"/>
      <c r="AK1456" s="73"/>
      <c r="AL1456" s="73"/>
      <c r="AM1456" s="73"/>
      <c r="AN1456" s="73"/>
      <c r="AO1456" s="73"/>
      <c r="AP1456" s="73"/>
      <c r="AQ1456" s="73"/>
      <c r="AR1456" s="73"/>
      <c r="AS1456" s="73"/>
      <c r="AT1456" s="73"/>
      <c r="AU1456" s="73"/>
      <c r="AV1456" s="73"/>
      <c r="AW1456" s="73"/>
      <c r="AX1456" s="73"/>
      <c r="AY1456" s="73"/>
      <c r="AZ1456" s="73"/>
      <c r="BA1456" s="73"/>
      <c r="BB1456" s="73"/>
      <c r="BC1456" s="73"/>
      <c r="BD1456" s="73"/>
      <c r="BE1456" s="73"/>
      <c r="BF1456" s="75"/>
      <c r="BG1456" s="73"/>
      <c r="BH1456" s="88"/>
      <c r="BI1456" s="73"/>
      <c r="BJ1456" s="73"/>
      <c r="BK1456" s="73"/>
      <c r="BL1456" s="73"/>
      <c r="BM1456" s="73"/>
      <c r="BN1456" s="73"/>
      <c r="BO1456" s="73"/>
      <c r="BP1456" s="73"/>
      <c r="BQ1456" s="73"/>
      <c r="BR1456" s="73"/>
      <c r="BS1456" s="73"/>
      <c r="BT1456" s="73"/>
      <c r="BU1456" s="73"/>
      <c r="BV1456" s="73"/>
      <c r="BW1456" s="73"/>
      <c r="BX1456" s="73"/>
      <c r="BY1456" s="73"/>
      <c r="BZ1456" s="73"/>
      <c r="CA1456" s="73"/>
      <c r="CB1456" s="73"/>
      <c r="CC1456" s="73"/>
      <c r="CD1456" s="73"/>
      <c r="CE1456" s="73"/>
      <c r="CF1456" s="73"/>
      <c r="CG1456" s="73"/>
      <c r="CH1456" s="73"/>
    </row>
    <row r="1457">
      <c r="A1457" s="73"/>
      <c r="B1457" s="73"/>
      <c r="C1457" s="73"/>
      <c r="D1457" s="73"/>
      <c r="E1457" s="140"/>
      <c r="F1457" s="80"/>
      <c r="G1457" s="80"/>
      <c r="H1457" s="73"/>
      <c r="I1457" s="73"/>
      <c r="J1457" s="73"/>
      <c r="K1457" s="73"/>
      <c r="L1457" s="73"/>
      <c r="M1457" s="73"/>
      <c r="N1457" s="73"/>
      <c r="O1457" s="73"/>
      <c r="P1457" s="73"/>
      <c r="Q1457" s="73"/>
      <c r="R1457" s="73"/>
      <c r="S1457" s="73"/>
      <c r="T1457" s="73"/>
      <c r="U1457" s="73"/>
      <c r="V1457" s="73"/>
      <c r="W1457" s="73"/>
      <c r="X1457" s="73"/>
      <c r="Y1457" s="73"/>
      <c r="Z1457" s="73"/>
      <c r="AA1457" s="73"/>
      <c r="AB1457" s="73"/>
      <c r="AC1457" s="73"/>
      <c r="AD1457" s="73"/>
      <c r="AE1457" s="73"/>
      <c r="AF1457" s="73"/>
      <c r="AG1457" s="73"/>
      <c r="AH1457" s="73"/>
      <c r="AI1457" s="73"/>
      <c r="AJ1457" s="168"/>
      <c r="AK1457" s="73"/>
      <c r="AL1457" s="73"/>
      <c r="AM1457" s="73"/>
      <c r="AN1457" s="73"/>
      <c r="AO1457" s="73"/>
      <c r="AP1457" s="73"/>
      <c r="AQ1457" s="73"/>
      <c r="AR1457" s="73"/>
      <c r="AS1457" s="73"/>
      <c r="AT1457" s="73"/>
      <c r="AU1457" s="73"/>
      <c r="AV1457" s="73"/>
      <c r="AW1457" s="73"/>
      <c r="AX1457" s="73"/>
      <c r="AY1457" s="73"/>
      <c r="AZ1457" s="73"/>
      <c r="BA1457" s="73"/>
      <c r="BB1457" s="73"/>
      <c r="BC1457" s="73"/>
      <c r="BD1457" s="73"/>
      <c r="BE1457" s="73"/>
      <c r="BF1457" s="75"/>
      <c r="BG1457" s="73"/>
      <c r="BH1457" s="88"/>
      <c r="BI1457" s="73"/>
      <c r="BJ1457" s="73"/>
      <c r="BK1457" s="73"/>
      <c r="BL1457" s="73"/>
      <c r="BM1457" s="73"/>
      <c r="BN1457" s="73"/>
      <c r="BO1457" s="73"/>
      <c r="BP1457" s="73"/>
      <c r="BQ1457" s="73"/>
      <c r="BR1457" s="73"/>
      <c r="BS1457" s="73"/>
      <c r="BT1457" s="73"/>
      <c r="BU1457" s="73"/>
      <c r="BV1457" s="73"/>
      <c r="BW1457" s="73"/>
      <c r="BX1457" s="73"/>
      <c r="BY1457" s="73"/>
      <c r="BZ1457" s="73"/>
      <c r="CA1457" s="73"/>
      <c r="CB1457" s="73"/>
      <c r="CC1457" s="73"/>
      <c r="CD1457" s="73"/>
      <c r="CE1457" s="73"/>
      <c r="CF1457" s="73"/>
      <c r="CG1457" s="73"/>
      <c r="CH1457" s="73"/>
    </row>
    <row r="1458">
      <c r="A1458" s="73"/>
      <c r="B1458" s="73"/>
      <c r="C1458" s="73"/>
      <c r="D1458" s="73"/>
      <c r="E1458" s="140"/>
      <c r="F1458" s="80"/>
      <c r="G1458" s="80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  <c r="S1458" s="73"/>
      <c r="T1458" s="73"/>
      <c r="U1458" s="73"/>
      <c r="V1458" s="73"/>
      <c r="W1458" s="73"/>
      <c r="X1458" s="73"/>
      <c r="Y1458" s="73"/>
      <c r="Z1458" s="73"/>
      <c r="AA1458" s="73"/>
      <c r="AB1458" s="73"/>
      <c r="AC1458" s="73"/>
      <c r="AD1458" s="73"/>
      <c r="AE1458" s="73"/>
      <c r="AF1458" s="73"/>
      <c r="AG1458" s="73"/>
      <c r="AH1458" s="73"/>
      <c r="AI1458" s="73"/>
      <c r="AJ1458" s="168"/>
      <c r="AK1458" s="73"/>
      <c r="AL1458" s="73"/>
      <c r="AM1458" s="73"/>
      <c r="AN1458" s="73"/>
      <c r="AO1458" s="73"/>
      <c r="AP1458" s="73"/>
      <c r="AQ1458" s="73"/>
      <c r="AR1458" s="73"/>
      <c r="AS1458" s="73"/>
      <c r="AT1458" s="73"/>
      <c r="AU1458" s="73"/>
      <c r="AV1458" s="73"/>
      <c r="AW1458" s="73"/>
      <c r="AX1458" s="73"/>
      <c r="AY1458" s="73"/>
      <c r="AZ1458" s="73"/>
      <c r="BA1458" s="73"/>
      <c r="BB1458" s="73"/>
      <c r="BC1458" s="73"/>
      <c r="BD1458" s="73"/>
      <c r="BE1458" s="73"/>
      <c r="BF1458" s="75"/>
      <c r="BG1458" s="73"/>
      <c r="BH1458" s="88"/>
      <c r="BI1458" s="73"/>
      <c r="BJ1458" s="73"/>
      <c r="BK1458" s="73"/>
      <c r="BL1458" s="73"/>
      <c r="BM1458" s="73"/>
      <c r="BN1458" s="73"/>
      <c r="BO1458" s="73"/>
      <c r="BP1458" s="73"/>
      <c r="BQ1458" s="73"/>
      <c r="BR1458" s="73"/>
      <c r="BS1458" s="73"/>
      <c r="BT1458" s="73"/>
      <c r="BU1458" s="73"/>
      <c r="BV1458" s="73"/>
      <c r="BW1458" s="73"/>
      <c r="BX1458" s="73"/>
      <c r="BY1458" s="73"/>
      <c r="BZ1458" s="73"/>
      <c r="CA1458" s="73"/>
      <c r="CB1458" s="73"/>
      <c r="CC1458" s="73"/>
      <c r="CD1458" s="73"/>
      <c r="CE1458" s="73"/>
      <c r="CF1458" s="73"/>
      <c r="CG1458" s="73"/>
      <c r="CH1458" s="73"/>
    </row>
    <row r="1459">
      <c r="A1459" s="73"/>
      <c r="B1459" s="73"/>
      <c r="C1459" s="73"/>
      <c r="D1459" s="73"/>
      <c r="E1459" s="140"/>
      <c r="F1459" s="80"/>
      <c r="G1459" s="80"/>
      <c r="H1459" s="73"/>
      <c r="I1459" s="73"/>
      <c r="J1459" s="73"/>
      <c r="K1459" s="73"/>
      <c r="L1459" s="73"/>
      <c r="M1459" s="73"/>
      <c r="N1459" s="73"/>
      <c r="O1459" s="73"/>
      <c r="P1459" s="73"/>
      <c r="Q1459" s="73"/>
      <c r="R1459" s="73"/>
      <c r="S1459" s="73"/>
      <c r="T1459" s="73"/>
      <c r="U1459" s="73"/>
      <c r="V1459" s="73"/>
      <c r="W1459" s="73"/>
      <c r="X1459" s="73"/>
      <c r="Y1459" s="73"/>
      <c r="Z1459" s="73"/>
      <c r="AA1459" s="73"/>
      <c r="AB1459" s="73"/>
      <c r="AC1459" s="73"/>
      <c r="AD1459" s="73"/>
      <c r="AE1459" s="73"/>
      <c r="AF1459" s="73"/>
      <c r="AG1459" s="73"/>
      <c r="AH1459" s="73"/>
      <c r="AI1459" s="73"/>
      <c r="AJ1459" s="168"/>
      <c r="AK1459" s="73"/>
      <c r="AL1459" s="73"/>
      <c r="AM1459" s="73"/>
      <c r="AN1459" s="73"/>
      <c r="AO1459" s="73"/>
      <c r="AP1459" s="73"/>
      <c r="AQ1459" s="73"/>
      <c r="AR1459" s="73"/>
      <c r="AS1459" s="73"/>
      <c r="AT1459" s="73"/>
      <c r="AU1459" s="73"/>
      <c r="AV1459" s="73"/>
      <c r="AW1459" s="73"/>
      <c r="AX1459" s="73"/>
      <c r="AY1459" s="73"/>
      <c r="AZ1459" s="73"/>
      <c r="BA1459" s="73"/>
      <c r="BB1459" s="73"/>
      <c r="BC1459" s="73"/>
      <c r="BD1459" s="73"/>
      <c r="BE1459" s="73"/>
      <c r="BF1459" s="75"/>
      <c r="BG1459" s="73"/>
      <c r="BH1459" s="88"/>
      <c r="BI1459" s="73"/>
      <c r="BJ1459" s="73"/>
      <c r="BK1459" s="73"/>
      <c r="BL1459" s="73"/>
      <c r="BM1459" s="73"/>
      <c r="BN1459" s="73"/>
      <c r="BO1459" s="73"/>
      <c r="BP1459" s="73"/>
      <c r="BQ1459" s="73"/>
      <c r="BR1459" s="73"/>
      <c r="BS1459" s="73"/>
      <c r="BT1459" s="73"/>
      <c r="BU1459" s="73"/>
      <c r="BV1459" s="73"/>
      <c r="BW1459" s="73"/>
      <c r="BX1459" s="73"/>
      <c r="BY1459" s="73"/>
      <c r="BZ1459" s="73"/>
      <c r="CA1459" s="73"/>
      <c r="CB1459" s="73"/>
      <c r="CC1459" s="73"/>
      <c r="CD1459" s="73"/>
      <c r="CE1459" s="73"/>
      <c r="CF1459" s="73"/>
      <c r="CG1459" s="73"/>
      <c r="CH1459" s="73"/>
    </row>
    <row r="1460">
      <c r="A1460" s="73"/>
      <c r="B1460" s="73"/>
      <c r="C1460" s="73"/>
      <c r="D1460" s="73"/>
      <c r="E1460" s="140"/>
      <c r="F1460" s="80"/>
      <c r="G1460" s="80"/>
      <c r="H1460" s="73"/>
      <c r="I1460" s="73"/>
      <c r="J1460" s="73"/>
      <c r="K1460" s="73"/>
      <c r="L1460" s="73"/>
      <c r="M1460" s="73"/>
      <c r="N1460" s="73"/>
      <c r="O1460" s="73"/>
      <c r="P1460" s="73"/>
      <c r="Q1460" s="73"/>
      <c r="R1460" s="73"/>
      <c r="S1460" s="73"/>
      <c r="T1460" s="73"/>
      <c r="U1460" s="73"/>
      <c r="V1460" s="73"/>
      <c r="W1460" s="73"/>
      <c r="X1460" s="73"/>
      <c r="Y1460" s="73"/>
      <c r="Z1460" s="73"/>
      <c r="AA1460" s="73"/>
      <c r="AB1460" s="73"/>
      <c r="AC1460" s="73"/>
      <c r="AD1460" s="73"/>
      <c r="AE1460" s="73"/>
      <c r="AF1460" s="73"/>
      <c r="AG1460" s="73"/>
      <c r="AH1460" s="73"/>
      <c r="AI1460" s="73"/>
      <c r="AJ1460" s="168"/>
      <c r="AK1460" s="73"/>
      <c r="AL1460" s="73"/>
      <c r="AM1460" s="73"/>
      <c r="AN1460" s="73"/>
      <c r="AO1460" s="73"/>
      <c r="AP1460" s="73"/>
      <c r="AQ1460" s="73"/>
      <c r="AR1460" s="73"/>
      <c r="AS1460" s="73"/>
      <c r="AT1460" s="73"/>
      <c r="AU1460" s="73"/>
      <c r="AV1460" s="73"/>
      <c r="AW1460" s="73"/>
      <c r="AX1460" s="73"/>
      <c r="AY1460" s="73"/>
      <c r="AZ1460" s="73"/>
      <c r="BA1460" s="73"/>
      <c r="BB1460" s="73"/>
      <c r="BC1460" s="73"/>
      <c r="BD1460" s="73"/>
      <c r="BE1460" s="73"/>
      <c r="BF1460" s="75"/>
      <c r="BG1460" s="73"/>
      <c r="BH1460" s="88"/>
      <c r="BI1460" s="73"/>
      <c r="BJ1460" s="73"/>
      <c r="BK1460" s="73"/>
      <c r="BL1460" s="73"/>
      <c r="BM1460" s="73"/>
      <c r="BN1460" s="73"/>
      <c r="BO1460" s="73"/>
      <c r="BP1460" s="73"/>
      <c r="BQ1460" s="73"/>
      <c r="BR1460" s="73"/>
      <c r="BS1460" s="73"/>
      <c r="BT1460" s="73"/>
      <c r="BU1460" s="73"/>
      <c r="BV1460" s="73"/>
      <c r="BW1460" s="73"/>
      <c r="BX1460" s="73"/>
      <c r="BY1460" s="73"/>
      <c r="BZ1460" s="73"/>
      <c r="CA1460" s="73"/>
      <c r="CB1460" s="73"/>
      <c r="CC1460" s="73"/>
      <c r="CD1460" s="73"/>
      <c r="CE1460" s="73"/>
      <c r="CF1460" s="73"/>
      <c r="CG1460" s="73"/>
      <c r="CH1460" s="73"/>
    </row>
    <row r="1461">
      <c r="A1461" s="73"/>
      <c r="B1461" s="73"/>
      <c r="C1461" s="73"/>
      <c r="D1461" s="73"/>
      <c r="E1461" s="140"/>
      <c r="F1461" s="80"/>
      <c r="G1461" s="80"/>
      <c r="H1461" s="73"/>
      <c r="I1461" s="73"/>
      <c r="J1461" s="73"/>
      <c r="K1461" s="73"/>
      <c r="L1461" s="73"/>
      <c r="M1461" s="73"/>
      <c r="N1461" s="73"/>
      <c r="O1461" s="73"/>
      <c r="P1461" s="73"/>
      <c r="Q1461" s="73"/>
      <c r="R1461" s="73"/>
      <c r="S1461" s="73"/>
      <c r="T1461" s="73"/>
      <c r="U1461" s="73"/>
      <c r="V1461" s="73"/>
      <c r="W1461" s="73"/>
      <c r="X1461" s="73"/>
      <c r="Y1461" s="73"/>
      <c r="Z1461" s="73"/>
      <c r="AA1461" s="73"/>
      <c r="AB1461" s="73"/>
      <c r="AC1461" s="73"/>
      <c r="AD1461" s="73"/>
      <c r="AE1461" s="73"/>
      <c r="AF1461" s="73"/>
      <c r="AG1461" s="73"/>
      <c r="AH1461" s="73"/>
      <c r="AI1461" s="73"/>
      <c r="AJ1461" s="168"/>
      <c r="AK1461" s="73"/>
      <c r="AL1461" s="73"/>
      <c r="AM1461" s="73"/>
      <c r="AN1461" s="73"/>
      <c r="AO1461" s="73"/>
      <c r="AP1461" s="73"/>
      <c r="AQ1461" s="73"/>
      <c r="AR1461" s="73"/>
      <c r="AS1461" s="73"/>
      <c r="AT1461" s="73"/>
      <c r="AU1461" s="73"/>
      <c r="AV1461" s="73"/>
      <c r="AW1461" s="73"/>
      <c r="AX1461" s="73"/>
      <c r="AY1461" s="73"/>
      <c r="AZ1461" s="73"/>
      <c r="BA1461" s="73"/>
      <c r="BB1461" s="73"/>
      <c r="BC1461" s="73"/>
      <c r="BD1461" s="73"/>
      <c r="BE1461" s="73"/>
      <c r="BF1461" s="75"/>
      <c r="BG1461" s="73"/>
      <c r="BH1461" s="88"/>
      <c r="BI1461" s="73"/>
      <c r="BJ1461" s="73"/>
      <c r="BK1461" s="73"/>
      <c r="BL1461" s="73"/>
      <c r="BM1461" s="73"/>
      <c r="BN1461" s="73"/>
      <c r="BO1461" s="73"/>
      <c r="BP1461" s="73"/>
      <c r="BQ1461" s="73"/>
      <c r="BR1461" s="73"/>
      <c r="BS1461" s="73"/>
      <c r="BT1461" s="73"/>
      <c r="BU1461" s="73"/>
      <c r="BV1461" s="73"/>
      <c r="BW1461" s="73"/>
      <c r="BX1461" s="73"/>
      <c r="BY1461" s="73"/>
      <c r="BZ1461" s="73"/>
      <c r="CA1461" s="73"/>
      <c r="CB1461" s="73"/>
      <c r="CC1461" s="73"/>
      <c r="CD1461" s="73"/>
      <c r="CE1461" s="73"/>
      <c r="CF1461" s="73"/>
      <c r="CG1461" s="73"/>
      <c r="CH1461" s="73"/>
    </row>
    <row r="1462">
      <c r="A1462" s="73"/>
      <c r="B1462" s="73"/>
      <c r="C1462" s="73"/>
      <c r="D1462" s="73"/>
      <c r="E1462" s="140"/>
      <c r="F1462" s="80"/>
      <c r="G1462" s="80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  <c r="S1462" s="73"/>
      <c r="T1462" s="73"/>
      <c r="U1462" s="73"/>
      <c r="V1462" s="73"/>
      <c r="W1462" s="73"/>
      <c r="X1462" s="73"/>
      <c r="Y1462" s="73"/>
      <c r="Z1462" s="73"/>
      <c r="AA1462" s="73"/>
      <c r="AB1462" s="73"/>
      <c r="AC1462" s="73"/>
      <c r="AD1462" s="73"/>
      <c r="AE1462" s="73"/>
      <c r="AF1462" s="73"/>
      <c r="AG1462" s="73"/>
      <c r="AH1462" s="73"/>
      <c r="AI1462" s="73"/>
      <c r="AJ1462" s="168"/>
      <c r="AK1462" s="73"/>
      <c r="AL1462" s="73"/>
      <c r="AM1462" s="73"/>
      <c r="AN1462" s="73"/>
      <c r="AO1462" s="73"/>
      <c r="AP1462" s="73"/>
      <c r="AQ1462" s="73"/>
      <c r="AR1462" s="73"/>
      <c r="AS1462" s="73"/>
      <c r="AT1462" s="73"/>
      <c r="AU1462" s="73"/>
      <c r="AV1462" s="73"/>
      <c r="AW1462" s="73"/>
      <c r="AX1462" s="73"/>
      <c r="AY1462" s="73"/>
      <c r="AZ1462" s="73"/>
      <c r="BA1462" s="73"/>
      <c r="BB1462" s="73"/>
      <c r="BC1462" s="73"/>
      <c r="BD1462" s="73"/>
      <c r="BE1462" s="73"/>
      <c r="BF1462" s="75"/>
      <c r="BG1462" s="73"/>
      <c r="BH1462" s="88"/>
      <c r="BI1462" s="73"/>
      <c r="BJ1462" s="73"/>
      <c r="BK1462" s="73"/>
      <c r="BL1462" s="73"/>
      <c r="BM1462" s="73"/>
      <c r="BN1462" s="73"/>
      <c r="BO1462" s="73"/>
      <c r="BP1462" s="73"/>
      <c r="BQ1462" s="73"/>
      <c r="BR1462" s="73"/>
      <c r="BS1462" s="73"/>
      <c r="BT1462" s="73"/>
      <c r="BU1462" s="73"/>
      <c r="BV1462" s="73"/>
      <c r="BW1462" s="73"/>
      <c r="BX1462" s="73"/>
      <c r="BY1462" s="73"/>
      <c r="BZ1462" s="73"/>
      <c r="CA1462" s="73"/>
      <c r="CB1462" s="73"/>
      <c r="CC1462" s="73"/>
      <c r="CD1462" s="73"/>
      <c r="CE1462" s="73"/>
      <c r="CF1462" s="73"/>
      <c r="CG1462" s="73"/>
      <c r="CH1462" s="73"/>
    </row>
    <row r="1463">
      <c r="A1463" s="73"/>
      <c r="B1463" s="73"/>
      <c r="C1463" s="73"/>
      <c r="D1463" s="73"/>
      <c r="E1463" s="140"/>
      <c r="F1463" s="80"/>
      <c r="G1463" s="80"/>
      <c r="H1463" s="73"/>
      <c r="I1463" s="73"/>
      <c r="J1463" s="73"/>
      <c r="K1463" s="73"/>
      <c r="L1463" s="73"/>
      <c r="M1463" s="73"/>
      <c r="N1463" s="73"/>
      <c r="O1463" s="73"/>
      <c r="P1463" s="73"/>
      <c r="Q1463" s="73"/>
      <c r="R1463" s="73"/>
      <c r="S1463" s="73"/>
      <c r="T1463" s="73"/>
      <c r="U1463" s="73"/>
      <c r="V1463" s="73"/>
      <c r="W1463" s="73"/>
      <c r="X1463" s="73"/>
      <c r="Y1463" s="73"/>
      <c r="Z1463" s="73"/>
      <c r="AA1463" s="73"/>
      <c r="AB1463" s="73"/>
      <c r="AC1463" s="73"/>
      <c r="AD1463" s="73"/>
      <c r="AE1463" s="73"/>
      <c r="AF1463" s="73"/>
      <c r="AG1463" s="73"/>
      <c r="AH1463" s="73"/>
      <c r="AI1463" s="73"/>
      <c r="AJ1463" s="168"/>
      <c r="AK1463" s="73"/>
      <c r="AL1463" s="73"/>
      <c r="AM1463" s="73"/>
      <c r="AN1463" s="73"/>
      <c r="AO1463" s="73"/>
      <c r="AP1463" s="73"/>
      <c r="AQ1463" s="73"/>
      <c r="AR1463" s="73"/>
      <c r="AS1463" s="73"/>
      <c r="AT1463" s="73"/>
      <c r="AU1463" s="73"/>
      <c r="AV1463" s="73"/>
      <c r="AW1463" s="73"/>
      <c r="AX1463" s="73"/>
      <c r="AY1463" s="73"/>
      <c r="AZ1463" s="73"/>
      <c r="BA1463" s="73"/>
      <c r="BB1463" s="73"/>
      <c r="BC1463" s="73"/>
      <c r="BD1463" s="73"/>
      <c r="BE1463" s="73"/>
      <c r="BF1463" s="75"/>
      <c r="BG1463" s="73"/>
      <c r="BH1463" s="88"/>
      <c r="BI1463" s="73"/>
      <c r="BJ1463" s="73"/>
      <c r="BK1463" s="73"/>
      <c r="BL1463" s="73"/>
      <c r="BM1463" s="73"/>
      <c r="BN1463" s="73"/>
      <c r="BO1463" s="73"/>
      <c r="BP1463" s="73"/>
      <c r="BQ1463" s="73"/>
      <c r="BR1463" s="73"/>
      <c r="BS1463" s="73"/>
      <c r="BT1463" s="73"/>
      <c r="BU1463" s="73"/>
      <c r="BV1463" s="73"/>
      <c r="BW1463" s="73"/>
      <c r="BX1463" s="73"/>
      <c r="BY1463" s="73"/>
      <c r="BZ1463" s="73"/>
      <c r="CA1463" s="73"/>
      <c r="CB1463" s="73"/>
      <c r="CC1463" s="73"/>
      <c r="CD1463" s="73"/>
      <c r="CE1463" s="73"/>
      <c r="CF1463" s="73"/>
      <c r="CG1463" s="73"/>
      <c r="CH1463" s="73"/>
    </row>
    <row r="1464">
      <c r="A1464" s="73"/>
      <c r="B1464" s="73"/>
      <c r="C1464" s="73"/>
      <c r="D1464" s="73"/>
      <c r="E1464" s="140"/>
      <c r="F1464" s="80"/>
      <c r="G1464" s="80"/>
      <c r="H1464" s="73"/>
      <c r="I1464" s="73"/>
      <c r="J1464" s="73"/>
      <c r="K1464" s="73"/>
      <c r="L1464" s="73"/>
      <c r="M1464" s="73"/>
      <c r="N1464" s="73"/>
      <c r="O1464" s="73"/>
      <c r="P1464" s="73"/>
      <c r="Q1464" s="73"/>
      <c r="R1464" s="73"/>
      <c r="S1464" s="73"/>
      <c r="T1464" s="73"/>
      <c r="U1464" s="73"/>
      <c r="V1464" s="73"/>
      <c r="W1464" s="73"/>
      <c r="X1464" s="73"/>
      <c r="Y1464" s="73"/>
      <c r="Z1464" s="73"/>
      <c r="AA1464" s="73"/>
      <c r="AB1464" s="73"/>
      <c r="AC1464" s="73"/>
      <c r="AD1464" s="73"/>
      <c r="AE1464" s="73"/>
      <c r="AF1464" s="73"/>
      <c r="AG1464" s="73"/>
      <c r="AH1464" s="73"/>
      <c r="AI1464" s="73"/>
      <c r="AJ1464" s="168"/>
      <c r="AK1464" s="73"/>
      <c r="AL1464" s="73"/>
      <c r="AM1464" s="73"/>
      <c r="AN1464" s="73"/>
      <c r="AO1464" s="73"/>
      <c r="AP1464" s="73"/>
      <c r="AQ1464" s="73"/>
      <c r="AR1464" s="73"/>
      <c r="AS1464" s="73"/>
      <c r="AT1464" s="73"/>
      <c r="AU1464" s="73"/>
      <c r="AV1464" s="73"/>
      <c r="AW1464" s="73"/>
      <c r="AX1464" s="73"/>
      <c r="AY1464" s="73"/>
      <c r="AZ1464" s="73"/>
      <c r="BA1464" s="73"/>
      <c r="BB1464" s="73"/>
      <c r="BC1464" s="73"/>
      <c r="BD1464" s="73"/>
      <c r="BE1464" s="73"/>
      <c r="BF1464" s="75"/>
      <c r="BG1464" s="73"/>
      <c r="BH1464" s="88"/>
      <c r="BI1464" s="73"/>
      <c r="BJ1464" s="73"/>
      <c r="BK1464" s="73"/>
      <c r="BL1464" s="73"/>
      <c r="BM1464" s="73"/>
      <c r="BN1464" s="73"/>
      <c r="BO1464" s="73"/>
      <c r="BP1464" s="73"/>
      <c r="BQ1464" s="73"/>
      <c r="BR1464" s="73"/>
      <c r="BS1464" s="73"/>
      <c r="BT1464" s="73"/>
      <c r="BU1464" s="73"/>
      <c r="BV1464" s="73"/>
      <c r="BW1464" s="73"/>
      <c r="BX1464" s="73"/>
      <c r="BY1464" s="73"/>
      <c r="BZ1464" s="73"/>
      <c r="CA1464" s="73"/>
      <c r="CB1464" s="73"/>
      <c r="CC1464" s="73"/>
      <c r="CD1464" s="73"/>
      <c r="CE1464" s="73"/>
      <c r="CF1464" s="73"/>
      <c r="CG1464" s="73"/>
      <c r="CH1464" s="73"/>
    </row>
    <row r="1465">
      <c r="A1465" s="73"/>
      <c r="B1465" s="73"/>
      <c r="C1465" s="73"/>
      <c r="D1465" s="73"/>
      <c r="E1465" s="140"/>
      <c r="F1465" s="80"/>
      <c r="G1465" s="80"/>
      <c r="H1465" s="73"/>
      <c r="I1465" s="73"/>
      <c r="J1465" s="73"/>
      <c r="K1465" s="73"/>
      <c r="L1465" s="73"/>
      <c r="M1465" s="73"/>
      <c r="N1465" s="73"/>
      <c r="O1465" s="73"/>
      <c r="P1465" s="73"/>
      <c r="Q1465" s="73"/>
      <c r="R1465" s="73"/>
      <c r="S1465" s="73"/>
      <c r="T1465" s="73"/>
      <c r="U1465" s="73"/>
      <c r="V1465" s="73"/>
      <c r="W1465" s="73"/>
      <c r="X1465" s="73"/>
      <c r="Y1465" s="73"/>
      <c r="Z1465" s="73"/>
      <c r="AA1465" s="73"/>
      <c r="AB1465" s="73"/>
      <c r="AC1465" s="73"/>
      <c r="AD1465" s="73"/>
      <c r="AE1465" s="73"/>
      <c r="AF1465" s="73"/>
      <c r="AG1465" s="73"/>
      <c r="AH1465" s="73"/>
      <c r="AI1465" s="73"/>
      <c r="AJ1465" s="168"/>
      <c r="AK1465" s="73"/>
      <c r="AL1465" s="73"/>
      <c r="AM1465" s="73"/>
      <c r="AN1465" s="73"/>
      <c r="AO1465" s="73"/>
      <c r="AP1465" s="73"/>
      <c r="AQ1465" s="73"/>
      <c r="AR1465" s="73"/>
      <c r="AS1465" s="73"/>
      <c r="AT1465" s="73"/>
      <c r="AU1465" s="73"/>
      <c r="AV1465" s="73"/>
      <c r="AW1465" s="73"/>
      <c r="AX1465" s="73"/>
      <c r="AY1465" s="73"/>
      <c r="AZ1465" s="73"/>
      <c r="BA1465" s="73"/>
      <c r="BB1465" s="73"/>
      <c r="BC1465" s="73"/>
      <c r="BD1465" s="73"/>
      <c r="BE1465" s="73"/>
      <c r="BF1465" s="75"/>
      <c r="BG1465" s="73"/>
      <c r="BH1465" s="88"/>
      <c r="BI1465" s="73"/>
      <c r="BJ1465" s="73"/>
      <c r="BK1465" s="73"/>
      <c r="BL1465" s="73"/>
      <c r="BM1465" s="73"/>
      <c r="BN1465" s="73"/>
      <c r="BO1465" s="73"/>
      <c r="BP1465" s="73"/>
      <c r="BQ1465" s="73"/>
      <c r="BR1465" s="73"/>
      <c r="BS1465" s="73"/>
      <c r="BT1465" s="73"/>
      <c r="BU1465" s="73"/>
      <c r="BV1465" s="73"/>
      <c r="BW1465" s="73"/>
      <c r="BX1465" s="73"/>
      <c r="BY1465" s="73"/>
      <c r="BZ1465" s="73"/>
      <c r="CA1465" s="73"/>
      <c r="CB1465" s="73"/>
      <c r="CC1465" s="73"/>
      <c r="CD1465" s="73"/>
      <c r="CE1465" s="73"/>
      <c r="CF1465" s="73"/>
      <c r="CG1465" s="73"/>
      <c r="CH1465" s="73"/>
    </row>
    <row r="1466">
      <c r="A1466" s="73"/>
      <c r="B1466" s="73"/>
      <c r="C1466" s="73"/>
      <c r="D1466" s="73"/>
      <c r="E1466" s="140"/>
      <c r="F1466" s="80"/>
      <c r="G1466" s="80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  <c r="S1466" s="73"/>
      <c r="T1466" s="73"/>
      <c r="U1466" s="73"/>
      <c r="V1466" s="73"/>
      <c r="W1466" s="73"/>
      <c r="X1466" s="73"/>
      <c r="Y1466" s="73"/>
      <c r="Z1466" s="73"/>
      <c r="AA1466" s="73"/>
      <c r="AB1466" s="73"/>
      <c r="AC1466" s="73"/>
      <c r="AD1466" s="73"/>
      <c r="AE1466" s="73"/>
      <c r="AF1466" s="73"/>
      <c r="AG1466" s="73"/>
      <c r="AH1466" s="73"/>
      <c r="AI1466" s="73"/>
      <c r="AJ1466" s="168"/>
      <c r="AK1466" s="73"/>
      <c r="AL1466" s="73"/>
      <c r="AM1466" s="73"/>
      <c r="AN1466" s="73"/>
      <c r="AO1466" s="73"/>
      <c r="AP1466" s="73"/>
      <c r="AQ1466" s="73"/>
      <c r="AR1466" s="73"/>
      <c r="AS1466" s="73"/>
      <c r="AT1466" s="73"/>
      <c r="AU1466" s="73"/>
      <c r="AV1466" s="73"/>
      <c r="AW1466" s="73"/>
      <c r="AX1466" s="73"/>
      <c r="AY1466" s="73"/>
      <c r="AZ1466" s="73"/>
      <c r="BA1466" s="73"/>
      <c r="BB1466" s="73"/>
      <c r="BC1466" s="73"/>
      <c r="BD1466" s="73"/>
      <c r="BE1466" s="73"/>
      <c r="BF1466" s="75"/>
      <c r="BG1466" s="73"/>
      <c r="BH1466" s="88"/>
      <c r="BI1466" s="73"/>
      <c r="BJ1466" s="73"/>
      <c r="BK1466" s="73"/>
      <c r="BL1466" s="73"/>
      <c r="BM1466" s="73"/>
      <c r="BN1466" s="73"/>
      <c r="BO1466" s="73"/>
      <c r="BP1466" s="73"/>
      <c r="BQ1466" s="73"/>
      <c r="BR1466" s="73"/>
      <c r="BS1466" s="73"/>
      <c r="BT1466" s="73"/>
      <c r="BU1466" s="73"/>
      <c r="BV1466" s="73"/>
      <c r="BW1466" s="73"/>
      <c r="BX1466" s="73"/>
      <c r="BY1466" s="73"/>
      <c r="BZ1466" s="73"/>
      <c r="CA1466" s="73"/>
      <c r="CB1466" s="73"/>
      <c r="CC1466" s="73"/>
      <c r="CD1466" s="73"/>
      <c r="CE1466" s="73"/>
      <c r="CF1466" s="73"/>
      <c r="CG1466" s="73"/>
      <c r="CH1466" s="73"/>
    </row>
    <row r="1467">
      <c r="A1467" s="73"/>
      <c r="B1467" s="73"/>
      <c r="C1467" s="73"/>
      <c r="D1467" s="73"/>
      <c r="E1467" s="140"/>
      <c r="F1467" s="80"/>
      <c r="G1467" s="80"/>
      <c r="H1467" s="73"/>
      <c r="I1467" s="73"/>
      <c r="J1467" s="73"/>
      <c r="K1467" s="73"/>
      <c r="L1467" s="73"/>
      <c r="M1467" s="73"/>
      <c r="N1467" s="73"/>
      <c r="O1467" s="73"/>
      <c r="P1467" s="73"/>
      <c r="Q1467" s="73"/>
      <c r="R1467" s="73"/>
      <c r="S1467" s="73"/>
      <c r="T1467" s="73"/>
      <c r="U1467" s="73"/>
      <c r="V1467" s="73"/>
      <c r="W1467" s="73"/>
      <c r="X1467" s="73"/>
      <c r="Y1467" s="73"/>
      <c r="Z1467" s="73"/>
      <c r="AA1467" s="73"/>
      <c r="AB1467" s="73"/>
      <c r="AC1467" s="73"/>
      <c r="AD1467" s="73"/>
      <c r="AE1467" s="73"/>
      <c r="AF1467" s="73"/>
      <c r="AG1467" s="73"/>
      <c r="AH1467" s="73"/>
      <c r="AI1467" s="73"/>
      <c r="AJ1467" s="168"/>
      <c r="AK1467" s="73"/>
      <c r="AL1467" s="73"/>
      <c r="AM1467" s="73"/>
      <c r="AN1467" s="73"/>
      <c r="AO1467" s="73"/>
      <c r="AP1467" s="73"/>
      <c r="AQ1467" s="73"/>
      <c r="AR1467" s="73"/>
      <c r="AS1467" s="73"/>
      <c r="AT1467" s="73"/>
      <c r="AU1467" s="73"/>
      <c r="AV1467" s="73"/>
      <c r="AW1467" s="73"/>
      <c r="AX1467" s="73"/>
      <c r="AY1467" s="73"/>
      <c r="AZ1467" s="73"/>
      <c r="BA1467" s="73"/>
      <c r="BB1467" s="73"/>
      <c r="BC1467" s="73"/>
      <c r="BD1467" s="73"/>
      <c r="BE1467" s="73"/>
      <c r="BF1467" s="75"/>
      <c r="BG1467" s="73"/>
      <c r="BH1467" s="88"/>
      <c r="BI1467" s="73"/>
      <c r="BJ1467" s="73"/>
      <c r="BK1467" s="73"/>
      <c r="BL1467" s="73"/>
      <c r="BM1467" s="73"/>
      <c r="BN1467" s="73"/>
      <c r="BO1467" s="73"/>
      <c r="BP1467" s="73"/>
      <c r="BQ1467" s="73"/>
      <c r="BR1467" s="73"/>
      <c r="BS1467" s="73"/>
      <c r="BT1467" s="73"/>
      <c r="BU1467" s="73"/>
      <c r="BV1467" s="73"/>
      <c r="BW1467" s="73"/>
      <c r="BX1467" s="73"/>
      <c r="BY1467" s="73"/>
      <c r="BZ1467" s="73"/>
      <c r="CA1467" s="73"/>
      <c r="CB1467" s="73"/>
      <c r="CC1467" s="73"/>
      <c r="CD1467" s="73"/>
      <c r="CE1467" s="73"/>
      <c r="CF1467" s="73"/>
      <c r="CG1467" s="73"/>
      <c r="CH1467" s="73"/>
    </row>
    <row r="1468">
      <c r="A1468" s="73"/>
      <c r="B1468" s="73"/>
      <c r="C1468" s="73"/>
      <c r="D1468" s="73"/>
      <c r="E1468" s="140"/>
      <c r="F1468" s="80"/>
      <c r="G1468" s="80"/>
      <c r="H1468" s="73"/>
      <c r="I1468" s="73"/>
      <c r="J1468" s="73"/>
      <c r="K1468" s="73"/>
      <c r="L1468" s="73"/>
      <c r="M1468" s="73"/>
      <c r="N1468" s="73"/>
      <c r="O1468" s="73"/>
      <c r="P1468" s="73"/>
      <c r="Q1468" s="73"/>
      <c r="R1468" s="73"/>
      <c r="S1468" s="73"/>
      <c r="T1468" s="73"/>
      <c r="U1468" s="73"/>
      <c r="V1468" s="73"/>
      <c r="W1468" s="73"/>
      <c r="X1468" s="73"/>
      <c r="Y1468" s="73"/>
      <c r="Z1468" s="73"/>
      <c r="AA1468" s="73"/>
      <c r="AB1468" s="73"/>
      <c r="AC1468" s="73"/>
      <c r="AD1468" s="73"/>
      <c r="AE1468" s="73"/>
      <c r="AF1468" s="73"/>
      <c r="AG1468" s="73"/>
      <c r="AH1468" s="73"/>
      <c r="AI1468" s="73"/>
      <c r="AJ1468" s="168"/>
      <c r="AK1468" s="73"/>
      <c r="AL1468" s="73"/>
      <c r="AM1468" s="73"/>
      <c r="AN1468" s="73"/>
      <c r="AO1468" s="73"/>
      <c r="AP1468" s="73"/>
      <c r="AQ1468" s="73"/>
      <c r="AR1468" s="73"/>
      <c r="AS1468" s="73"/>
      <c r="AT1468" s="73"/>
      <c r="AU1468" s="73"/>
      <c r="AV1468" s="73"/>
      <c r="AW1468" s="73"/>
      <c r="AX1468" s="73"/>
      <c r="AY1468" s="73"/>
      <c r="AZ1468" s="73"/>
      <c r="BA1468" s="73"/>
      <c r="BB1468" s="73"/>
      <c r="BC1468" s="73"/>
      <c r="BD1468" s="73"/>
      <c r="BE1468" s="73"/>
      <c r="BF1468" s="75"/>
      <c r="BG1468" s="73"/>
      <c r="BH1468" s="88"/>
      <c r="BI1468" s="73"/>
      <c r="BJ1468" s="73"/>
      <c r="BK1468" s="73"/>
      <c r="BL1468" s="73"/>
      <c r="BM1468" s="73"/>
      <c r="BN1468" s="73"/>
      <c r="BO1468" s="73"/>
      <c r="BP1468" s="73"/>
      <c r="BQ1468" s="73"/>
      <c r="BR1468" s="73"/>
      <c r="BS1468" s="73"/>
      <c r="BT1468" s="73"/>
      <c r="BU1468" s="73"/>
      <c r="BV1468" s="73"/>
      <c r="BW1468" s="73"/>
      <c r="BX1468" s="73"/>
      <c r="BY1468" s="73"/>
      <c r="BZ1468" s="73"/>
      <c r="CA1468" s="73"/>
      <c r="CB1468" s="73"/>
      <c r="CC1468" s="73"/>
      <c r="CD1468" s="73"/>
      <c r="CE1468" s="73"/>
      <c r="CF1468" s="73"/>
      <c r="CG1468" s="73"/>
      <c r="CH1468" s="73"/>
    </row>
    <row r="1469">
      <c r="A1469" s="73"/>
      <c r="B1469" s="73"/>
      <c r="C1469" s="73"/>
      <c r="D1469" s="73"/>
      <c r="E1469" s="140"/>
      <c r="F1469" s="80"/>
      <c r="G1469" s="80"/>
      <c r="H1469" s="73"/>
      <c r="I1469" s="73"/>
      <c r="J1469" s="73"/>
      <c r="K1469" s="73"/>
      <c r="L1469" s="73"/>
      <c r="M1469" s="73"/>
      <c r="N1469" s="73"/>
      <c r="O1469" s="73"/>
      <c r="P1469" s="73"/>
      <c r="Q1469" s="73"/>
      <c r="R1469" s="73"/>
      <c r="S1469" s="73"/>
      <c r="T1469" s="73"/>
      <c r="U1469" s="73"/>
      <c r="V1469" s="73"/>
      <c r="W1469" s="73"/>
      <c r="X1469" s="73"/>
      <c r="Y1469" s="73"/>
      <c r="Z1469" s="73"/>
      <c r="AA1469" s="73"/>
      <c r="AB1469" s="73"/>
      <c r="AC1469" s="73"/>
      <c r="AD1469" s="73"/>
      <c r="AE1469" s="73"/>
      <c r="AF1469" s="73"/>
      <c r="AG1469" s="73"/>
      <c r="AH1469" s="73"/>
      <c r="AI1469" s="73"/>
      <c r="AJ1469" s="168"/>
      <c r="AK1469" s="73"/>
      <c r="AL1469" s="73"/>
      <c r="AM1469" s="73"/>
      <c r="AN1469" s="73"/>
      <c r="AO1469" s="73"/>
      <c r="AP1469" s="73"/>
      <c r="AQ1469" s="73"/>
      <c r="AR1469" s="73"/>
      <c r="AS1469" s="73"/>
      <c r="AT1469" s="73"/>
      <c r="AU1469" s="73"/>
      <c r="AV1469" s="73"/>
      <c r="AW1469" s="73"/>
      <c r="AX1469" s="73"/>
      <c r="AY1469" s="73"/>
      <c r="AZ1469" s="73"/>
      <c r="BA1469" s="73"/>
      <c r="BB1469" s="73"/>
      <c r="BC1469" s="73"/>
      <c r="BD1469" s="73"/>
      <c r="BE1469" s="73"/>
      <c r="BF1469" s="75"/>
      <c r="BG1469" s="73"/>
      <c r="BH1469" s="88"/>
      <c r="BI1469" s="73"/>
      <c r="BJ1469" s="73"/>
      <c r="BK1469" s="73"/>
      <c r="BL1469" s="73"/>
      <c r="BM1469" s="73"/>
      <c r="BN1469" s="73"/>
      <c r="BO1469" s="73"/>
      <c r="BP1469" s="73"/>
      <c r="BQ1469" s="73"/>
      <c r="BR1469" s="73"/>
      <c r="BS1469" s="73"/>
      <c r="BT1469" s="73"/>
      <c r="BU1469" s="73"/>
      <c r="BV1469" s="73"/>
      <c r="BW1469" s="73"/>
      <c r="BX1469" s="73"/>
      <c r="BY1469" s="73"/>
      <c r="BZ1469" s="73"/>
      <c r="CA1469" s="73"/>
      <c r="CB1469" s="73"/>
      <c r="CC1469" s="73"/>
      <c r="CD1469" s="73"/>
      <c r="CE1469" s="73"/>
      <c r="CF1469" s="73"/>
      <c r="CG1469" s="73"/>
      <c r="CH1469" s="73"/>
    </row>
    <row r="1470">
      <c r="A1470" s="73"/>
      <c r="B1470" s="73"/>
      <c r="C1470" s="73"/>
      <c r="D1470" s="73"/>
      <c r="E1470" s="140"/>
      <c r="F1470" s="80"/>
      <c r="G1470" s="80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  <c r="S1470" s="73"/>
      <c r="T1470" s="73"/>
      <c r="U1470" s="73"/>
      <c r="V1470" s="73"/>
      <c r="W1470" s="73"/>
      <c r="X1470" s="73"/>
      <c r="Y1470" s="73"/>
      <c r="Z1470" s="73"/>
      <c r="AA1470" s="73"/>
      <c r="AB1470" s="73"/>
      <c r="AC1470" s="73"/>
      <c r="AD1470" s="73"/>
      <c r="AE1470" s="73"/>
      <c r="AF1470" s="73"/>
      <c r="AG1470" s="73"/>
      <c r="AH1470" s="73"/>
      <c r="AI1470" s="73"/>
      <c r="AJ1470" s="168"/>
      <c r="AK1470" s="73"/>
      <c r="AL1470" s="73"/>
      <c r="AM1470" s="73"/>
      <c r="AN1470" s="73"/>
      <c r="AO1470" s="73"/>
      <c r="AP1470" s="73"/>
      <c r="AQ1470" s="73"/>
      <c r="AR1470" s="73"/>
      <c r="AS1470" s="73"/>
      <c r="AT1470" s="73"/>
      <c r="AU1470" s="73"/>
      <c r="AV1470" s="73"/>
      <c r="AW1470" s="73"/>
      <c r="AX1470" s="73"/>
      <c r="AY1470" s="73"/>
      <c r="AZ1470" s="73"/>
      <c r="BA1470" s="73"/>
      <c r="BB1470" s="73"/>
      <c r="BC1470" s="73"/>
      <c r="BD1470" s="73"/>
      <c r="BE1470" s="73"/>
      <c r="BF1470" s="75"/>
      <c r="BG1470" s="73"/>
      <c r="BH1470" s="88"/>
      <c r="BI1470" s="73"/>
      <c r="BJ1470" s="73"/>
      <c r="BK1470" s="73"/>
      <c r="BL1470" s="73"/>
      <c r="BM1470" s="73"/>
      <c r="BN1470" s="73"/>
      <c r="BO1470" s="73"/>
      <c r="BP1470" s="73"/>
      <c r="BQ1470" s="73"/>
      <c r="BR1470" s="73"/>
      <c r="BS1470" s="73"/>
      <c r="BT1470" s="73"/>
      <c r="BU1470" s="73"/>
      <c r="BV1470" s="73"/>
      <c r="BW1470" s="73"/>
      <c r="BX1470" s="73"/>
      <c r="BY1470" s="73"/>
      <c r="BZ1470" s="73"/>
      <c r="CA1470" s="73"/>
      <c r="CB1470" s="73"/>
      <c r="CC1470" s="73"/>
      <c r="CD1470" s="73"/>
      <c r="CE1470" s="73"/>
      <c r="CF1470" s="73"/>
      <c r="CG1470" s="73"/>
      <c r="CH1470" s="73"/>
    </row>
    <row r="1471">
      <c r="A1471" s="73"/>
      <c r="B1471" s="73"/>
      <c r="C1471" s="73"/>
      <c r="D1471" s="73"/>
      <c r="E1471" s="140"/>
      <c r="F1471" s="80"/>
      <c r="G1471" s="80"/>
      <c r="H1471" s="73"/>
      <c r="I1471" s="73"/>
      <c r="J1471" s="73"/>
      <c r="K1471" s="73"/>
      <c r="L1471" s="73"/>
      <c r="M1471" s="73"/>
      <c r="N1471" s="73"/>
      <c r="O1471" s="73"/>
      <c r="P1471" s="73"/>
      <c r="Q1471" s="73"/>
      <c r="R1471" s="73"/>
      <c r="S1471" s="73"/>
      <c r="T1471" s="73"/>
      <c r="U1471" s="73"/>
      <c r="V1471" s="73"/>
      <c r="W1471" s="73"/>
      <c r="X1471" s="73"/>
      <c r="Y1471" s="73"/>
      <c r="Z1471" s="73"/>
      <c r="AA1471" s="73"/>
      <c r="AB1471" s="73"/>
      <c r="AC1471" s="73"/>
      <c r="AD1471" s="73"/>
      <c r="AE1471" s="73"/>
      <c r="AF1471" s="73"/>
      <c r="AG1471" s="73"/>
      <c r="AH1471" s="73"/>
      <c r="AI1471" s="73"/>
      <c r="AJ1471" s="168"/>
      <c r="AK1471" s="73"/>
      <c r="AL1471" s="73"/>
      <c r="AM1471" s="73"/>
      <c r="AN1471" s="73"/>
      <c r="AO1471" s="73"/>
      <c r="AP1471" s="73"/>
      <c r="AQ1471" s="73"/>
      <c r="AR1471" s="73"/>
      <c r="AS1471" s="73"/>
      <c r="AT1471" s="73"/>
      <c r="AU1471" s="73"/>
      <c r="AV1471" s="73"/>
      <c r="AW1471" s="73"/>
      <c r="AX1471" s="73"/>
      <c r="AY1471" s="73"/>
      <c r="AZ1471" s="73"/>
      <c r="BA1471" s="73"/>
      <c r="BB1471" s="73"/>
      <c r="BC1471" s="73"/>
      <c r="BD1471" s="73"/>
      <c r="BE1471" s="73"/>
      <c r="BF1471" s="75"/>
      <c r="BG1471" s="73"/>
      <c r="BH1471" s="88"/>
      <c r="BI1471" s="73"/>
      <c r="BJ1471" s="73"/>
      <c r="BK1471" s="73"/>
      <c r="BL1471" s="73"/>
      <c r="BM1471" s="73"/>
      <c r="BN1471" s="73"/>
      <c r="BO1471" s="73"/>
      <c r="BP1471" s="73"/>
      <c r="BQ1471" s="73"/>
      <c r="BR1471" s="73"/>
      <c r="BS1471" s="73"/>
      <c r="BT1471" s="73"/>
      <c r="BU1471" s="73"/>
      <c r="BV1471" s="73"/>
      <c r="BW1471" s="73"/>
      <c r="BX1471" s="73"/>
      <c r="BY1471" s="73"/>
      <c r="BZ1471" s="73"/>
      <c r="CA1471" s="73"/>
      <c r="CB1471" s="73"/>
      <c r="CC1471" s="73"/>
      <c r="CD1471" s="73"/>
      <c r="CE1471" s="73"/>
      <c r="CF1471" s="73"/>
      <c r="CG1471" s="73"/>
      <c r="CH1471" s="73"/>
    </row>
    <row r="1472">
      <c r="A1472" s="73"/>
      <c r="B1472" s="73"/>
      <c r="C1472" s="73"/>
      <c r="D1472" s="73"/>
      <c r="E1472" s="140"/>
      <c r="F1472" s="80"/>
      <c r="G1472" s="80"/>
      <c r="H1472" s="73"/>
      <c r="I1472" s="73"/>
      <c r="J1472" s="73"/>
      <c r="K1472" s="73"/>
      <c r="L1472" s="73"/>
      <c r="M1472" s="73"/>
      <c r="N1472" s="73"/>
      <c r="O1472" s="73"/>
      <c r="P1472" s="73"/>
      <c r="Q1472" s="73"/>
      <c r="R1472" s="73"/>
      <c r="S1472" s="73"/>
      <c r="T1472" s="73"/>
      <c r="U1472" s="73"/>
      <c r="V1472" s="73"/>
      <c r="W1472" s="73"/>
      <c r="X1472" s="73"/>
      <c r="Y1472" s="73"/>
      <c r="Z1472" s="73"/>
      <c r="AA1472" s="73"/>
      <c r="AB1472" s="73"/>
      <c r="AC1472" s="73"/>
      <c r="AD1472" s="73"/>
      <c r="AE1472" s="73"/>
      <c r="AF1472" s="73"/>
      <c r="AG1472" s="73"/>
      <c r="AH1472" s="73"/>
      <c r="AI1472" s="73"/>
      <c r="AJ1472" s="168"/>
      <c r="AK1472" s="73"/>
      <c r="AL1472" s="73"/>
      <c r="AM1472" s="73"/>
      <c r="AN1472" s="73"/>
      <c r="AO1472" s="73"/>
      <c r="AP1472" s="73"/>
      <c r="AQ1472" s="73"/>
      <c r="AR1472" s="73"/>
      <c r="AS1472" s="73"/>
      <c r="AT1472" s="73"/>
      <c r="AU1472" s="73"/>
      <c r="AV1472" s="73"/>
      <c r="AW1472" s="73"/>
      <c r="AX1472" s="73"/>
      <c r="AY1472" s="73"/>
      <c r="AZ1472" s="73"/>
      <c r="BA1472" s="73"/>
      <c r="BB1472" s="73"/>
      <c r="BC1472" s="73"/>
      <c r="BD1472" s="73"/>
      <c r="BE1472" s="73"/>
      <c r="BF1472" s="75"/>
      <c r="BG1472" s="73"/>
      <c r="BH1472" s="88"/>
      <c r="BI1472" s="73"/>
      <c r="BJ1472" s="73"/>
      <c r="BK1472" s="73"/>
      <c r="BL1472" s="73"/>
      <c r="BM1472" s="73"/>
      <c r="BN1472" s="73"/>
      <c r="BO1472" s="73"/>
      <c r="BP1472" s="73"/>
      <c r="BQ1472" s="73"/>
      <c r="BR1472" s="73"/>
      <c r="BS1472" s="73"/>
      <c r="BT1472" s="73"/>
      <c r="BU1472" s="73"/>
      <c r="BV1472" s="73"/>
      <c r="BW1472" s="73"/>
      <c r="BX1472" s="73"/>
      <c r="BY1472" s="73"/>
      <c r="BZ1472" s="73"/>
      <c r="CA1472" s="73"/>
      <c r="CB1472" s="73"/>
      <c r="CC1472" s="73"/>
      <c r="CD1472" s="73"/>
      <c r="CE1472" s="73"/>
      <c r="CF1472" s="73"/>
      <c r="CG1472" s="73"/>
      <c r="CH1472" s="73"/>
    </row>
    <row r="1473">
      <c r="A1473" s="73"/>
      <c r="B1473" s="73"/>
      <c r="C1473" s="73"/>
      <c r="D1473" s="73"/>
      <c r="E1473" s="140"/>
      <c r="F1473" s="80"/>
      <c r="G1473" s="80"/>
      <c r="H1473" s="73"/>
      <c r="I1473" s="73"/>
      <c r="J1473" s="73"/>
      <c r="K1473" s="73"/>
      <c r="L1473" s="73"/>
      <c r="M1473" s="73"/>
      <c r="N1473" s="73"/>
      <c r="O1473" s="73"/>
      <c r="P1473" s="73"/>
      <c r="Q1473" s="73"/>
      <c r="R1473" s="73"/>
      <c r="S1473" s="73"/>
      <c r="T1473" s="73"/>
      <c r="U1473" s="73"/>
      <c r="V1473" s="73"/>
      <c r="W1473" s="73"/>
      <c r="X1473" s="73"/>
      <c r="Y1473" s="73"/>
      <c r="Z1473" s="73"/>
      <c r="AA1473" s="73"/>
      <c r="AB1473" s="73"/>
      <c r="AC1473" s="73"/>
      <c r="AD1473" s="73"/>
      <c r="AE1473" s="73"/>
      <c r="AF1473" s="73"/>
      <c r="AG1473" s="73"/>
      <c r="AH1473" s="73"/>
      <c r="AI1473" s="73"/>
      <c r="AJ1473" s="168"/>
      <c r="AK1473" s="73"/>
      <c r="AL1473" s="73"/>
      <c r="AM1473" s="73"/>
      <c r="AN1473" s="73"/>
      <c r="AO1473" s="73"/>
      <c r="AP1473" s="73"/>
      <c r="AQ1473" s="73"/>
      <c r="AR1473" s="73"/>
      <c r="AS1473" s="73"/>
      <c r="AT1473" s="73"/>
      <c r="AU1473" s="73"/>
      <c r="AV1473" s="73"/>
      <c r="AW1473" s="73"/>
      <c r="AX1473" s="73"/>
      <c r="AY1473" s="73"/>
      <c r="AZ1473" s="73"/>
      <c r="BA1473" s="73"/>
      <c r="BB1473" s="73"/>
      <c r="BC1473" s="73"/>
      <c r="BD1473" s="73"/>
      <c r="BE1473" s="73"/>
      <c r="BF1473" s="75"/>
      <c r="BG1473" s="73"/>
      <c r="BH1473" s="88"/>
      <c r="BI1473" s="73"/>
      <c r="BJ1473" s="73"/>
      <c r="BK1473" s="73"/>
      <c r="BL1473" s="73"/>
      <c r="BM1473" s="73"/>
      <c r="BN1473" s="73"/>
      <c r="BO1473" s="73"/>
      <c r="BP1473" s="73"/>
      <c r="BQ1473" s="73"/>
      <c r="BR1473" s="73"/>
      <c r="BS1473" s="73"/>
      <c r="BT1473" s="73"/>
      <c r="BU1473" s="73"/>
      <c r="BV1473" s="73"/>
      <c r="BW1473" s="73"/>
      <c r="BX1473" s="73"/>
      <c r="BY1473" s="73"/>
      <c r="BZ1473" s="73"/>
      <c r="CA1473" s="73"/>
      <c r="CB1473" s="73"/>
      <c r="CC1473" s="73"/>
      <c r="CD1473" s="73"/>
      <c r="CE1473" s="73"/>
      <c r="CF1473" s="73"/>
      <c r="CG1473" s="73"/>
      <c r="CH1473" s="73"/>
    </row>
    <row r="1474">
      <c r="A1474" s="73"/>
      <c r="B1474" s="73"/>
      <c r="C1474" s="73"/>
      <c r="D1474" s="73"/>
      <c r="E1474" s="140"/>
      <c r="F1474" s="80"/>
      <c r="G1474" s="80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  <c r="S1474" s="73"/>
      <c r="T1474" s="73"/>
      <c r="U1474" s="73"/>
      <c r="V1474" s="73"/>
      <c r="W1474" s="73"/>
      <c r="X1474" s="73"/>
      <c r="Y1474" s="73"/>
      <c r="Z1474" s="73"/>
      <c r="AA1474" s="73"/>
      <c r="AB1474" s="73"/>
      <c r="AC1474" s="73"/>
      <c r="AD1474" s="73"/>
      <c r="AE1474" s="73"/>
      <c r="AF1474" s="73"/>
      <c r="AG1474" s="73"/>
      <c r="AH1474" s="73"/>
      <c r="AI1474" s="73"/>
      <c r="AJ1474" s="168"/>
      <c r="AK1474" s="73"/>
      <c r="AL1474" s="73"/>
      <c r="AM1474" s="73"/>
      <c r="AN1474" s="73"/>
      <c r="AO1474" s="73"/>
      <c r="AP1474" s="73"/>
      <c r="AQ1474" s="73"/>
      <c r="AR1474" s="73"/>
      <c r="AS1474" s="73"/>
      <c r="AT1474" s="73"/>
      <c r="AU1474" s="73"/>
      <c r="AV1474" s="73"/>
      <c r="AW1474" s="73"/>
      <c r="AX1474" s="73"/>
      <c r="AY1474" s="73"/>
      <c r="AZ1474" s="73"/>
      <c r="BA1474" s="73"/>
      <c r="BB1474" s="73"/>
      <c r="BC1474" s="73"/>
      <c r="BD1474" s="73"/>
      <c r="BE1474" s="73"/>
      <c r="BF1474" s="75"/>
      <c r="BG1474" s="73"/>
      <c r="BH1474" s="88"/>
      <c r="BI1474" s="73"/>
      <c r="BJ1474" s="73"/>
      <c r="BK1474" s="73"/>
      <c r="BL1474" s="73"/>
      <c r="BM1474" s="73"/>
      <c r="BN1474" s="73"/>
      <c r="BO1474" s="73"/>
      <c r="BP1474" s="73"/>
      <c r="BQ1474" s="73"/>
      <c r="BR1474" s="73"/>
      <c r="BS1474" s="73"/>
      <c r="BT1474" s="73"/>
      <c r="BU1474" s="73"/>
      <c r="BV1474" s="73"/>
      <c r="BW1474" s="73"/>
      <c r="BX1474" s="73"/>
      <c r="BY1474" s="73"/>
      <c r="BZ1474" s="73"/>
      <c r="CA1474" s="73"/>
      <c r="CB1474" s="73"/>
      <c r="CC1474" s="73"/>
      <c r="CD1474" s="73"/>
      <c r="CE1474" s="73"/>
      <c r="CF1474" s="73"/>
      <c r="CG1474" s="73"/>
      <c r="CH1474" s="73"/>
    </row>
    <row r="1475">
      <c r="A1475" s="73"/>
      <c r="B1475" s="73"/>
      <c r="C1475" s="73"/>
      <c r="D1475" s="73"/>
      <c r="E1475" s="140"/>
      <c r="F1475" s="80"/>
      <c r="G1475" s="80"/>
      <c r="H1475" s="73"/>
      <c r="I1475" s="73"/>
      <c r="J1475" s="73"/>
      <c r="K1475" s="73"/>
      <c r="L1475" s="73"/>
      <c r="M1475" s="73"/>
      <c r="N1475" s="73"/>
      <c r="O1475" s="73"/>
      <c r="P1475" s="73"/>
      <c r="Q1475" s="73"/>
      <c r="R1475" s="73"/>
      <c r="S1475" s="73"/>
      <c r="T1475" s="73"/>
      <c r="U1475" s="73"/>
      <c r="V1475" s="73"/>
      <c r="W1475" s="73"/>
      <c r="X1475" s="73"/>
      <c r="Y1475" s="73"/>
      <c r="Z1475" s="73"/>
      <c r="AA1475" s="73"/>
      <c r="AB1475" s="73"/>
      <c r="AC1475" s="73"/>
      <c r="AD1475" s="73"/>
      <c r="AE1475" s="73"/>
      <c r="AF1475" s="73"/>
      <c r="AG1475" s="73"/>
      <c r="AH1475" s="73"/>
      <c r="AI1475" s="73"/>
      <c r="AJ1475" s="168"/>
      <c r="AK1475" s="73"/>
      <c r="AL1475" s="73"/>
      <c r="AM1475" s="73"/>
      <c r="AN1475" s="73"/>
      <c r="AO1475" s="73"/>
      <c r="AP1475" s="73"/>
      <c r="AQ1475" s="73"/>
      <c r="AR1475" s="73"/>
      <c r="AS1475" s="73"/>
      <c r="AT1475" s="73"/>
      <c r="AU1475" s="73"/>
      <c r="AV1475" s="73"/>
      <c r="AW1475" s="73"/>
      <c r="AX1475" s="73"/>
      <c r="AY1475" s="73"/>
      <c r="AZ1475" s="73"/>
      <c r="BA1475" s="73"/>
      <c r="BB1475" s="73"/>
      <c r="BC1475" s="73"/>
      <c r="BD1475" s="73"/>
      <c r="BE1475" s="73"/>
      <c r="BF1475" s="75"/>
      <c r="BG1475" s="73"/>
      <c r="BH1475" s="88"/>
      <c r="BI1475" s="73"/>
      <c r="BJ1475" s="73"/>
      <c r="BK1475" s="73"/>
      <c r="BL1475" s="73"/>
      <c r="BM1475" s="73"/>
      <c r="BN1475" s="73"/>
      <c r="BO1475" s="73"/>
      <c r="BP1475" s="73"/>
      <c r="BQ1475" s="73"/>
      <c r="BR1475" s="73"/>
      <c r="BS1475" s="73"/>
      <c r="BT1475" s="73"/>
      <c r="BU1475" s="73"/>
      <c r="BV1475" s="73"/>
      <c r="BW1475" s="73"/>
      <c r="BX1475" s="73"/>
      <c r="BY1475" s="73"/>
      <c r="BZ1475" s="73"/>
      <c r="CA1475" s="73"/>
      <c r="CB1475" s="73"/>
      <c r="CC1475" s="73"/>
      <c r="CD1475" s="73"/>
      <c r="CE1475" s="73"/>
      <c r="CF1475" s="73"/>
      <c r="CG1475" s="73"/>
      <c r="CH1475" s="73"/>
    </row>
    <row r="1476">
      <c r="A1476" s="73"/>
      <c r="B1476" s="73"/>
      <c r="C1476" s="73"/>
      <c r="D1476" s="73"/>
      <c r="E1476" s="140"/>
      <c r="F1476" s="80"/>
      <c r="G1476" s="80"/>
      <c r="H1476" s="73"/>
      <c r="I1476" s="73"/>
      <c r="J1476" s="73"/>
      <c r="K1476" s="73"/>
      <c r="L1476" s="73"/>
      <c r="M1476" s="73"/>
      <c r="N1476" s="73"/>
      <c r="O1476" s="73"/>
      <c r="P1476" s="73"/>
      <c r="Q1476" s="73"/>
      <c r="R1476" s="73"/>
      <c r="S1476" s="73"/>
      <c r="T1476" s="73"/>
      <c r="U1476" s="73"/>
      <c r="V1476" s="73"/>
      <c r="W1476" s="73"/>
      <c r="X1476" s="73"/>
      <c r="Y1476" s="73"/>
      <c r="Z1476" s="73"/>
      <c r="AA1476" s="73"/>
      <c r="AB1476" s="73"/>
      <c r="AC1476" s="73"/>
      <c r="AD1476" s="73"/>
      <c r="AE1476" s="73"/>
      <c r="AF1476" s="73"/>
      <c r="AG1476" s="73"/>
      <c r="AH1476" s="73"/>
      <c r="AI1476" s="73"/>
      <c r="AJ1476" s="168"/>
      <c r="AK1476" s="73"/>
      <c r="AL1476" s="73"/>
      <c r="AM1476" s="73"/>
      <c r="AN1476" s="73"/>
      <c r="AO1476" s="73"/>
      <c r="AP1476" s="73"/>
      <c r="AQ1476" s="73"/>
      <c r="AR1476" s="73"/>
      <c r="AS1476" s="73"/>
      <c r="AT1476" s="73"/>
      <c r="AU1476" s="73"/>
      <c r="AV1476" s="73"/>
      <c r="AW1476" s="73"/>
      <c r="AX1476" s="73"/>
      <c r="AY1476" s="73"/>
      <c r="AZ1476" s="73"/>
      <c r="BA1476" s="73"/>
      <c r="BB1476" s="73"/>
      <c r="BC1476" s="73"/>
      <c r="BD1476" s="73"/>
      <c r="BE1476" s="73"/>
      <c r="BF1476" s="75"/>
      <c r="BG1476" s="73"/>
      <c r="BH1476" s="88"/>
      <c r="BI1476" s="73"/>
      <c r="BJ1476" s="73"/>
      <c r="BK1476" s="73"/>
      <c r="BL1476" s="73"/>
      <c r="BM1476" s="73"/>
      <c r="BN1476" s="73"/>
      <c r="BO1476" s="73"/>
      <c r="BP1476" s="73"/>
      <c r="BQ1476" s="73"/>
      <c r="BR1476" s="73"/>
      <c r="BS1476" s="73"/>
      <c r="BT1476" s="73"/>
      <c r="BU1476" s="73"/>
      <c r="BV1476" s="73"/>
      <c r="BW1476" s="73"/>
      <c r="BX1476" s="73"/>
      <c r="BY1476" s="73"/>
      <c r="BZ1476" s="73"/>
      <c r="CA1476" s="73"/>
      <c r="CB1476" s="73"/>
      <c r="CC1476" s="73"/>
      <c r="CD1476" s="73"/>
      <c r="CE1476" s="73"/>
      <c r="CF1476" s="73"/>
      <c r="CG1476" s="73"/>
      <c r="CH1476" s="73"/>
    </row>
    <row r="1477">
      <c r="A1477" s="73"/>
      <c r="B1477" s="73"/>
      <c r="C1477" s="73"/>
      <c r="D1477" s="73"/>
      <c r="E1477" s="140"/>
      <c r="F1477" s="80"/>
      <c r="G1477" s="80"/>
      <c r="H1477" s="73"/>
      <c r="I1477" s="73"/>
      <c r="J1477" s="73"/>
      <c r="K1477" s="73"/>
      <c r="L1477" s="73"/>
      <c r="M1477" s="73"/>
      <c r="N1477" s="73"/>
      <c r="O1477" s="73"/>
      <c r="P1477" s="73"/>
      <c r="Q1477" s="73"/>
      <c r="R1477" s="73"/>
      <c r="S1477" s="73"/>
      <c r="T1477" s="73"/>
      <c r="U1477" s="73"/>
      <c r="V1477" s="73"/>
      <c r="W1477" s="73"/>
      <c r="X1477" s="73"/>
      <c r="Y1477" s="73"/>
      <c r="Z1477" s="73"/>
      <c r="AA1477" s="73"/>
      <c r="AB1477" s="73"/>
      <c r="AC1477" s="73"/>
      <c r="AD1477" s="73"/>
      <c r="AE1477" s="73"/>
      <c r="AF1477" s="73"/>
      <c r="AG1477" s="73"/>
      <c r="AH1477" s="73"/>
      <c r="AI1477" s="73"/>
      <c r="AJ1477" s="168"/>
      <c r="AK1477" s="73"/>
      <c r="AL1477" s="73"/>
      <c r="AM1477" s="73"/>
      <c r="AN1477" s="73"/>
      <c r="AO1477" s="73"/>
      <c r="AP1477" s="73"/>
      <c r="AQ1477" s="73"/>
      <c r="AR1477" s="73"/>
      <c r="AS1477" s="73"/>
      <c r="AT1477" s="73"/>
      <c r="AU1477" s="73"/>
      <c r="AV1477" s="73"/>
      <c r="AW1477" s="73"/>
      <c r="AX1477" s="73"/>
      <c r="AY1477" s="73"/>
      <c r="AZ1477" s="73"/>
      <c r="BA1477" s="73"/>
      <c r="BB1477" s="73"/>
      <c r="BC1477" s="73"/>
      <c r="BD1477" s="73"/>
      <c r="BE1477" s="73"/>
      <c r="BF1477" s="75"/>
      <c r="BG1477" s="73"/>
      <c r="BH1477" s="88"/>
      <c r="BI1477" s="73"/>
      <c r="BJ1477" s="73"/>
      <c r="BK1477" s="73"/>
      <c r="BL1477" s="73"/>
      <c r="BM1477" s="73"/>
      <c r="BN1477" s="73"/>
      <c r="BO1477" s="73"/>
      <c r="BP1477" s="73"/>
      <c r="BQ1477" s="73"/>
      <c r="BR1477" s="73"/>
      <c r="BS1477" s="73"/>
      <c r="BT1477" s="73"/>
      <c r="BU1477" s="73"/>
      <c r="BV1477" s="73"/>
      <c r="BW1477" s="73"/>
      <c r="BX1477" s="73"/>
      <c r="BY1477" s="73"/>
      <c r="BZ1477" s="73"/>
      <c r="CA1477" s="73"/>
      <c r="CB1477" s="73"/>
      <c r="CC1477" s="73"/>
      <c r="CD1477" s="73"/>
      <c r="CE1477" s="73"/>
      <c r="CF1477" s="73"/>
      <c r="CG1477" s="73"/>
      <c r="CH1477" s="73"/>
    </row>
    <row r="1478">
      <c r="A1478" s="73"/>
      <c r="B1478" s="73"/>
      <c r="C1478" s="73"/>
      <c r="D1478" s="73"/>
      <c r="E1478" s="140"/>
      <c r="F1478" s="80"/>
      <c r="G1478" s="80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  <c r="S1478" s="73"/>
      <c r="T1478" s="73"/>
      <c r="U1478" s="73"/>
      <c r="V1478" s="73"/>
      <c r="W1478" s="73"/>
      <c r="X1478" s="73"/>
      <c r="Y1478" s="73"/>
      <c r="Z1478" s="73"/>
      <c r="AA1478" s="73"/>
      <c r="AB1478" s="73"/>
      <c r="AC1478" s="73"/>
      <c r="AD1478" s="73"/>
      <c r="AE1478" s="73"/>
      <c r="AF1478" s="73"/>
      <c r="AG1478" s="73"/>
      <c r="AH1478" s="73"/>
      <c r="AI1478" s="73"/>
      <c r="AJ1478" s="168"/>
      <c r="AK1478" s="73"/>
      <c r="AL1478" s="73"/>
      <c r="AM1478" s="73"/>
      <c r="AN1478" s="73"/>
      <c r="AO1478" s="73"/>
      <c r="AP1478" s="73"/>
      <c r="AQ1478" s="73"/>
      <c r="AR1478" s="73"/>
      <c r="AS1478" s="73"/>
      <c r="AT1478" s="73"/>
      <c r="AU1478" s="73"/>
      <c r="AV1478" s="73"/>
      <c r="AW1478" s="73"/>
      <c r="AX1478" s="73"/>
      <c r="AY1478" s="73"/>
      <c r="AZ1478" s="73"/>
      <c r="BA1478" s="73"/>
      <c r="BB1478" s="73"/>
      <c r="BC1478" s="73"/>
      <c r="BD1478" s="73"/>
      <c r="BE1478" s="73"/>
      <c r="BF1478" s="75"/>
      <c r="BG1478" s="73"/>
      <c r="BH1478" s="88"/>
      <c r="BI1478" s="73"/>
      <c r="BJ1478" s="73"/>
      <c r="BK1478" s="73"/>
      <c r="BL1478" s="73"/>
      <c r="BM1478" s="73"/>
      <c r="BN1478" s="73"/>
      <c r="BO1478" s="73"/>
      <c r="BP1478" s="73"/>
      <c r="BQ1478" s="73"/>
      <c r="BR1478" s="73"/>
      <c r="BS1478" s="73"/>
      <c r="BT1478" s="73"/>
      <c r="BU1478" s="73"/>
      <c r="BV1478" s="73"/>
      <c r="BW1478" s="73"/>
      <c r="BX1478" s="73"/>
      <c r="BY1478" s="73"/>
      <c r="BZ1478" s="73"/>
      <c r="CA1478" s="73"/>
      <c r="CB1478" s="73"/>
      <c r="CC1478" s="73"/>
      <c r="CD1478" s="73"/>
      <c r="CE1478" s="73"/>
      <c r="CF1478" s="73"/>
      <c r="CG1478" s="73"/>
      <c r="CH1478" s="73"/>
    </row>
    <row r="1479">
      <c r="A1479" s="73"/>
      <c r="B1479" s="73"/>
      <c r="C1479" s="73"/>
      <c r="D1479" s="73"/>
      <c r="E1479" s="140"/>
      <c r="F1479" s="80"/>
      <c r="G1479" s="80"/>
      <c r="H1479" s="73"/>
      <c r="I1479" s="73"/>
      <c r="J1479" s="73"/>
      <c r="K1479" s="73"/>
      <c r="L1479" s="73"/>
      <c r="M1479" s="73"/>
      <c r="N1479" s="73"/>
      <c r="O1479" s="73"/>
      <c r="P1479" s="73"/>
      <c r="Q1479" s="73"/>
      <c r="R1479" s="73"/>
      <c r="S1479" s="73"/>
      <c r="T1479" s="73"/>
      <c r="U1479" s="73"/>
      <c r="V1479" s="73"/>
      <c r="W1479" s="73"/>
      <c r="X1479" s="73"/>
      <c r="Y1479" s="73"/>
      <c r="Z1479" s="73"/>
      <c r="AA1479" s="73"/>
      <c r="AB1479" s="73"/>
      <c r="AC1479" s="73"/>
      <c r="AD1479" s="73"/>
      <c r="AE1479" s="73"/>
      <c r="AF1479" s="73"/>
      <c r="AG1479" s="73"/>
      <c r="AH1479" s="73"/>
      <c r="AI1479" s="73"/>
      <c r="AJ1479" s="168"/>
      <c r="AK1479" s="73"/>
      <c r="AL1479" s="73"/>
      <c r="AM1479" s="73"/>
      <c r="AN1479" s="73"/>
      <c r="AO1479" s="73"/>
      <c r="AP1479" s="73"/>
      <c r="AQ1479" s="73"/>
      <c r="AR1479" s="73"/>
      <c r="AS1479" s="73"/>
      <c r="AT1479" s="73"/>
      <c r="AU1479" s="73"/>
      <c r="AV1479" s="73"/>
      <c r="AW1479" s="73"/>
      <c r="AX1479" s="73"/>
      <c r="AY1479" s="73"/>
      <c r="AZ1479" s="73"/>
      <c r="BA1479" s="73"/>
      <c r="BB1479" s="73"/>
      <c r="BC1479" s="73"/>
      <c r="BD1479" s="73"/>
      <c r="BE1479" s="73"/>
      <c r="BF1479" s="75"/>
      <c r="BG1479" s="73"/>
      <c r="BH1479" s="88"/>
      <c r="BI1479" s="73"/>
      <c r="BJ1479" s="73"/>
      <c r="BK1479" s="73"/>
      <c r="BL1479" s="73"/>
      <c r="BM1479" s="73"/>
      <c r="BN1479" s="73"/>
      <c r="BO1479" s="73"/>
      <c r="BP1479" s="73"/>
      <c r="BQ1479" s="73"/>
      <c r="BR1479" s="73"/>
      <c r="BS1479" s="73"/>
      <c r="BT1479" s="73"/>
      <c r="BU1479" s="73"/>
      <c r="BV1479" s="73"/>
      <c r="BW1479" s="73"/>
      <c r="BX1479" s="73"/>
      <c r="BY1479" s="73"/>
      <c r="BZ1479" s="73"/>
      <c r="CA1479" s="73"/>
      <c r="CB1479" s="73"/>
      <c r="CC1479" s="73"/>
      <c r="CD1479" s="73"/>
      <c r="CE1479" s="73"/>
      <c r="CF1479" s="73"/>
      <c r="CG1479" s="73"/>
      <c r="CH1479" s="73"/>
    </row>
    <row r="1480">
      <c r="A1480" s="73"/>
      <c r="B1480" s="73"/>
      <c r="C1480" s="73"/>
      <c r="D1480" s="73"/>
      <c r="E1480" s="140"/>
      <c r="F1480" s="80"/>
      <c r="G1480" s="80"/>
      <c r="H1480" s="73"/>
      <c r="I1480" s="73"/>
      <c r="J1480" s="73"/>
      <c r="K1480" s="73"/>
      <c r="L1480" s="73"/>
      <c r="M1480" s="73"/>
      <c r="N1480" s="73"/>
      <c r="O1480" s="73"/>
      <c r="P1480" s="73"/>
      <c r="Q1480" s="73"/>
      <c r="R1480" s="73"/>
      <c r="S1480" s="73"/>
      <c r="T1480" s="73"/>
      <c r="U1480" s="73"/>
      <c r="V1480" s="73"/>
      <c r="W1480" s="73"/>
      <c r="X1480" s="73"/>
      <c r="Y1480" s="73"/>
      <c r="Z1480" s="73"/>
      <c r="AA1480" s="73"/>
      <c r="AB1480" s="73"/>
      <c r="AC1480" s="73"/>
      <c r="AD1480" s="73"/>
      <c r="AE1480" s="73"/>
      <c r="AF1480" s="73"/>
      <c r="AG1480" s="73"/>
      <c r="AH1480" s="73"/>
      <c r="AI1480" s="73"/>
      <c r="AJ1480" s="168"/>
      <c r="AK1480" s="73"/>
      <c r="AL1480" s="73"/>
      <c r="AM1480" s="73"/>
      <c r="AN1480" s="73"/>
      <c r="AO1480" s="73"/>
      <c r="AP1480" s="73"/>
      <c r="AQ1480" s="73"/>
      <c r="AR1480" s="73"/>
      <c r="AS1480" s="73"/>
      <c r="AT1480" s="73"/>
      <c r="AU1480" s="73"/>
      <c r="AV1480" s="73"/>
      <c r="AW1480" s="73"/>
      <c r="AX1480" s="73"/>
      <c r="AY1480" s="73"/>
      <c r="AZ1480" s="73"/>
      <c r="BA1480" s="73"/>
      <c r="BB1480" s="73"/>
      <c r="BC1480" s="73"/>
      <c r="BD1480" s="73"/>
      <c r="BE1480" s="73"/>
      <c r="BF1480" s="75"/>
      <c r="BG1480" s="73"/>
      <c r="BH1480" s="88"/>
      <c r="BI1480" s="73"/>
      <c r="BJ1480" s="73"/>
      <c r="BK1480" s="73"/>
      <c r="BL1480" s="73"/>
      <c r="BM1480" s="73"/>
      <c r="BN1480" s="73"/>
      <c r="BO1480" s="73"/>
      <c r="BP1480" s="73"/>
      <c r="BQ1480" s="73"/>
      <c r="BR1480" s="73"/>
      <c r="BS1480" s="73"/>
      <c r="BT1480" s="73"/>
      <c r="BU1480" s="73"/>
      <c r="BV1480" s="73"/>
      <c r="BW1480" s="73"/>
      <c r="BX1480" s="73"/>
      <c r="BY1480" s="73"/>
      <c r="BZ1480" s="73"/>
      <c r="CA1480" s="73"/>
      <c r="CB1480" s="73"/>
      <c r="CC1480" s="73"/>
      <c r="CD1480" s="73"/>
      <c r="CE1480" s="73"/>
      <c r="CF1480" s="73"/>
      <c r="CG1480" s="73"/>
      <c r="CH1480" s="73"/>
    </row>
    <row r="1481">
      <c r="A1481" s="73"/>
      <c r="B1481" s="73"/>
      <c r="C1481" s="73"/>
      <c r="D1481" s="73"/>
      <c r="E1481" s="140"/>
      <c r="F1481" s="80"/>
      <c r="G1481" s="80"/>
      <c r="H1481" s="73"/>
      <c r="I1481" s="73"/>
      <c r="J1481" s="73"/>
      <c r="K1481" s="73"/>
      <c r="L1481" s="73"/>
      <c r="M1481" s="73"/>
      <c r="N1481" s="73"/>
      <c r="O1481" s="73"/>
      <c r="P1481" s="73"/>
      <c r="Q1481" s="73"/>
      <c r="R1481" s="73"/>
      <c r="S1481" s="73"/>
      <c r="T1481" s="73"/>
      <c r="U1481" s="73"/>
      <c r="V1481" s="73"/>
      <c r="W1481" s="73"/>
      <c r="X1481" s="73"/>
      <c r="Y1481" s="73"/>
      <c r="Z1481" s="73"/>
      <c r="AA1481" s="73"/>
      <c r="AB1481" s="73"/>
      <c r="AC1481" s="73"/>
      <c r="AD1481" s="73"/>
      <c r="AE1481" s="73"/>
      <c r="AF1481" s="73"/>
      <c r="AG1481" s="73"/>
      <c r="AH1481" s="73"/>
      <c r="AI1481" s="73"/>
      <c r="AJ1481" s="168"/>
      <c r="AK1481" s="73"/>
      <c r="AL1481" s="73"/>
      <c r="AM1481" s="73"/>
      <c r="AN1481" s="73"/>
      <c r="AO1481" s="73"/>
      <c r="AP1481" s="73"/>
      <c r="AQ1481" s="73"/>
      <c r="AR1481" s="73"/>
      <c r="AS1481" s="73"/>
      <c r="AT1481" s="73"/>
      <c r="AU1481" s="73"/>
      <c r="AV1481" s="73"/>
      <c r="AW1481" s="73"/>
      <c r="AX1481" s="73"/>
      <c r="AY1481" s="73"/>
      <c r="AZ1481" s="73"/>
      <c r="BA1481" s="73"/>
      <c r="BB1481" s="73"/>
      <c r="BC1481" s="73"/>
      <c r="BD1481" s="73"/>
      <c r="BE1481" s="73"/>
      <c r="BF1481" s="75"/>
      <c r="BG1481" s="73"/>
      <c r="BH1481" s="88"/>
      <c r="BI1481" s="73"/>
      <c r="BJ1481" s="73"/>
      <c r="BK1481" s="73"/>
      <c r="BL1481" s="73"/>
      <c r="BM1481" s="73"/>
      <c r="BN1481" s="73"/>
      <c r="BO1481" s="73"/>
      <c r="BP1481" s="73"/>
      <c r="BQ1481" s="73"/>
      <c r="BR1481" s="73"/>
      <c r="BS1481" s="73"/>
      <c r="BT1481" s="73"/>
      <c r="BU1481" s="73"/>
      <c r="BV1481" s="73"/>
      <c r="BW1481" s="73"/>
      <c r="BX1481" s="73"/>
      <c r="BY1481" s="73"/>
      <c r="BZ1481" s="73"/>
      <c r="CA1481" s="73"/>
      <c r="CB1481" s="73"/>
      <c r="CC1481" s="73"/>
      <c r="CD1481" s="73"/>
      <c r="CE1481" s="73"/>
      <c r="CF1481" s="73"/>
      <c r="CG1481" s="73"/>
      <c r="CH1481" s="73"/>
    </row>
    <row r="1482">
      <c r="A1482" s="73"/>
      <c r="B1482" s="73"/>
      <c r="C1482" s="73"/>
      <c r="D1482" s="73"/>
      <c r="E1482" s="140"/>
      <c r="F1482" s="80"/>
      <c r="G1482" s="80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  <c r="S1482" s="73"/>
      <c r="T1482" s="73"/>
      <c r="U1482" s="73"/>
      <c r="V1482" s="73"/>
      <c r="W1482" s="73"/>
      <c r="X1482" s="73"/>
      <c r="Y1482" s="73"/>
      <c r="Z1482" s="73"/>
      <c r="AA1482" s="73"/>
      <c r="AB1482" s="73"/>
      <c r="AC1482" s="73"/>
      <c r="AD1482" s="73"/>
      <c r="AE1482" s="73"/>
      <c r="AF1482" s="73"/>
      <c r="AG1482" s="73"/>
      <c r="AH1482" s="73"/>
      <c r="AI1482" s="73"/>
      <c r="AJ1482" s="168"/>
      <c r="AK1482" s="73"/>
      <c r="AL1482" s="73"/>
      <c r="AM1482" s="73"/>
      <c r="AN1482" s="73"/>
      <c r="AO1482" s="73"/>
      <c r="AP1482" s="73"/>
      <c r="AQ1482" s="73"/>
      <c r="AR1482" s="73"/>
      <c r="AS1482" s="73"/>
      <c r="AT1482" s="73"/>
      <c r="AU1482" s="73"/>
      <c r="AV1482" s="73"/>
      <c r="AW1482" s="73"/>
      <c r="AX1482" s="73"/>
      <c r="AY1482" s="73"/>
      <c r="AZ1482" s="73"/>
      <c r="BA1482" s="73"/>
      <c r="BB1482" s="73"/>
      <c r="BC1482" s="73"/>
      <c r="BD1482" s="73"/>
      <c r="BE1482" s="73"/>
      <c r="BF1482" s="75"/>
      <c r="BG1482" s="73"/>
      <c r="BH1482" s="88"/>
      <c r="BI1482" s="73"/>
      <c r="BJ1482" s="73"/>
      <c r="BK1482" s="73"/>
      <c r="BL1482" s="73"/>
      <c r="BM1482" s="73"/>
      <c r="BN1482" s="73"/>
      <c r="BO1482" s="73"/>
      <c r="BP1482" s="73"/>
      <c r="BQ1482" s="73"/>
      <c r="BR1482" s="73"/>
      <c r="BS1482" s="73"/>
      <c r="BT1482" s="73"/>
      <c r="BU1482" s="73"/>
      <c r="BV1482" s="73"/>
      <c r="BW1482" s="73"/>
      <c r="BX1482" s="73"/>
      <c r="BY1482" s="73"/>
      <c r="BZ1482" s="73"/>
      <c r="CA1482" s="73"/>
      <c r="CB1482" s="73"/>
      <c r="CC1482" s="73"/>
      <c r="CD1482" s="73"/>
      <c r="CE1482" s="73"/>
      <c r="CF1482" s="73"/>
      <c r="CG1482" s="73"/>
      <c r="CH1482" s="73"/>
    </row>
    <row r="1483">
      <c r="A1483" s="73"/>
      <c r="B1483" s="73"/>
      <c r="C1483" s="73"/>
      <c r="D1483" s="73"/>
      <c r="E1483" s="140"/>
      <c r="F1483" s="80"/>
      <c r="G1483" s="80"/>
      <c r="H1483" s="73"/>
      <c r="I1483" s="73"/>
      <c r="J1483" s="73"/>
      <c r="K1483" s="73"/>
      <c r="L1483" s="73"/>
      <c r="M1483" s="73"/>
      <c r="N1483" s="73"/>
      <c r="O1483" s="73"/>
      <c r="P1483" s="73"/>
      <c r="Q1483" s="73"/>
      <c r="R1483" s="73"/>
      <c r="S1483" s="73"/>
      <c r="T1483" s="73"/>
      <c r="U1483" s="73"/>
      <c r="V1483" s="73"/>
      <c r="W1483" s="73"/>
      <c r="X1483" s="73"/>
      <c r="Y1483" s="73"/>
      <c r="Z1483" s="73"/>
      <c r="AA1483" s="73"/>
      <c r="AB1483" s="73"/>
      <c r="AC1483" s="73"/>
      <c r="AD1483" s="73"/>
      <c r="AE1483" s="73"/>
      <c r="AF1483" s="73"/>
      <c r="AG1483" s="73"/>
      <c r="AH1483" s="73"/>
      <c r="AI1483" s="73"/>
      <c r="AJ1483" s="168"/>
      <c r="AK1483" s="73"/>
      <c r="AL1483" s="73"/>
      <c r="AM1483" s="73"/>
      <c r="AN1483" s="73"/>
      <c r="AO1483" s="73"/>
      <c r="AP1483" s="73"/>
      <c r="AQ1483" s="73"/>
      <c r="AR1483" s="73"/>
      <c r="AS1483" s="73"/>
      <c r="AT1483" s="73"/>
      <c r="AU1483" s="73"/>
      <c r="AV1483" s="73"/>
      <c r="AW1483" s="73"/>
      <c r="AX1483" s="73"/>
      <c r="AY1483" s="73"/>
      <c r="AZ1483" s="73"/>
      <c r="BA1483" s="73"/>
      <c r="BB1483" s="73"/>
      <c r="BC1483" s="73"/>
      <c r="BD1483" s="73"/>
      <c r="BE1483" s="73"/>
      <c r="BF1483" s="75"/>
      <c r="BG1483" s="73"/>
      <c r="BH1483" s="88"/>
      <c r="BI1483" s="73"/>
      <c r="BJ1483" s="73"/>
      <c r="BK1483" s="73"/>
      <c r="BL1483" s="73"/>
      <c r="BM1483" s="73"/>
      <c r="BN1483" s="73"/>
      <c r="BO1483" s="73"/>
      <c r="BP1483" s="73"/>
      <c r="BQ1483" s="73"/>
      <c r="BR1483" s="73"/>
      <c r="BS1483" s="73"/>
      <c r="BT1483" s="73"/>
      <c r="BU1483" s="73"/>
      <c r="BV1483" s="73"/>
      <c r="BW1483" s="73"/>
      <c r="BX1483" s="73"/>
      <c r="BY1483" s="73"/>
      <c r="BZ1483" s="73"/>
      <c r="CA1483" s="73"/>
      <c r="CB1483" s="73"/>
      <c r="CC1483" s="73"/>
      <c r="CD1483" s="73"/>
      <c r="CE1483" s="73"/>
      <c r="CF1483" s="73"/>
      <c r="CG1483" s="73"/>
      <c r="CH1483" s="73"/>
    </row>
    <row r="1484">
      <c r="A1484" s="73"/>
      <c r="B1484" s="73"/>
      <c r="C1484" s="73"/>
      <c r="D1484" s="73"/>
      <c r="E1484" s="140"/>
      <c r="F1484" s="80"/>
      <c r="G1484" s="80"/>
      <c r="H1484" s="73"/>
      <c r="I1484" s="73"/>
      <c r="J1484" s="73"/>
      <c r="K1484" s="73"/>
      <c r="L1484" s="73"/>
      <c r="M1484" s="73"/>
      <c r="N1484" s="73"/>
      <c r="O1484" s="73"/>
      <c r="P1484" s="73"/>
      <c r="Q1484" s="73"/>
      <c r="R1484" s="73"/>
      <c r="S1484" s="73"/>
      <c r="T1484" s="73"/>
      <c r="U1484" s="73"/>
      <c r="V1484" s="73"/>
      <c r="W1484" s="73"/>
      <c r="X1484" s="73"/>
      <c r="Y1484" s="73"/>
      <c r="Z1484" s="73"/>
      <c r="AA1484" s="73"/>
      <c r="AB1484" s="73"/>
      <c r="AC1484" s="73"/>
      <c r="AD1484" s="73"/>
      <c r="AE1484" s="73"/>
      <c r="AF1484" s="73"/>
      <c r="AG1484" s="73"/>
      <c r="AH1484" s="73"/>
      <c r="AI1484" s="73"/>
      <c r="AJ1484" s="168"/>
      <c r="AK1484" s="73"/>
      <c r="AL1484" s="73"/>
      <c r="AM1484" s="73"/>
      <c r="AN1484" s="73"/>
      <c r="AO1484" s="73"/>
      <c r="AP1484" s="73"/>
      <c r="AQ1484" s="73"/>
      <c r="AR1484" s="73"/>
      <c r="AS1484" s="73"/>
      <c r="AT1484" s="73"/>
      <c r="AU1484" s="73"/>
      <c r="AV1484" s="73"/>
      <c r="AW1484" s="73"/>
      <c r="AX1484" s="73"/>
      <c r="AY1484" s="73"/>
      <c r="AZ1484" s="73"/>
      <c r="BA1484" s="73"/>
      <c r="BB1484" s="73"/>
      <c r="BC1484" s="73"/>
      <c r="BD1484" s="73"/>
      <c r="BE1484" s="73"/>
      <c r="BF1484" s="75"/>
      <c r="BG1484" s="73"/>
      <c r="BH1484" s="88"/>
      <c r="BI1484" s="73"/>
      <c r="BJ1484" s="73"/>
      <c r="BK1484" s="73"/>
      <c r="BL1484" s="73"/>
      <c r="BM1484" s="73"/>
      <c r="BN1484" s="73"/>
      <c r="BO1484" s="73"/>
      <c r="BP1484" s="73"/>
      <c r="BQ1484" s="73"/>
      <c r="BR1484" s="73"/>
      <c r="BS1484" s="73"/>
      <c r="BT1484" s="73"/>
      <c r="BU1484" s="73"/>
      <c r="BV1484" s="73"/>
      <c r="BW1484" s="73"/>
      <c r="BX1484" s="73"/>
      <c r="BY1484" s="73"/>
      <c r="BZ1484" s="73"/>
      <c r="CA1484" s="73"/>
      <c r="CB1484" s="73"/>
      <c r="CC1484" s="73"/>
      <c r="CD1484" s="73"/>
      <c r="CE1484" s="73"/>
      <c r="CF1484" s="73"/>
      <c r="CG1484" s="73"/>
      <c r="CH1484" s="73"/>
    </row>
    <row r="1485">
      <c r="A1485" s="73"/>
      <c r="B1485" s="73"/>
      <c r="C1485" s="73"/>
      <c r="D1485" s="73"/>
      <c r="E1485" s="140"/>
      <c r="F1485" s="80"/>
      <c r="G1485" s="80"/>
      <c r="H1485" s="73"/>
      <c r="I1485" s="73"/>
      <c r="J1485" s="73"/>
      <c r="K1485" s="73"/>
      <c r="L1485" s="73"/>
      <c r="M1485" s="73"/>
      <c r="N1485" s="73"/>
      <c r="O1485" s="73"/>
      <c r="P1485" s="73"/>
      <c r="Q1485" s="73"/>
      <c r="R1485" s="73"/>
      <c r="S1485" s="73"/>
      <c r="T1485" s="73"/>
      <c r="U1485" s="73"/>
      <c r="V1485" s="73"/>
      <c r="W1485" s="73"/>
      <c r="X1485" s="73"/>
      <c r="Y1485" s="73"/>
      <c r="Z1485" s="73"/>
      <c r="AA1485" s="73"/>
      <c r="AB1485" s="73"/>
      <c r="AC1485" s="73"/>
      <c r="AD1485" s="73"/>
      <c r="AE1485" s="73"/>
      <c r="AF1485" s="73"/>
      <c r="AG1485" s="73"/>
      <c r="AH1485" s="73"/>
      <c r="AI1485" s="73"/>
      <c r="AJ1485" s="168"/>
      <c r="AK1485" s="73"/>
      <c r="AL1485" s="73"/>
      <c r="AM1485" s="73"/>
      <c r="AN1485" s="73"/>
      <c r="AO1485" s="73"/>
      <c r="AP1485" s="73"/>
      <c r="AQ1485" s="73"/>
      <c r="AR1485" s="73"/>
      <c r="AS1485" s="73"/>
      <c r="AT1485" s="73"/>
      <c r="AU1485" s="73"/>
      <c r="AV1485" s="73"/>
      <c r="AW1485" s="73"/>
      <c r="AX1485" s="73"/>
      <c r="AY1485" s="73"/>
      <c r="AZ1485" s="73"/>
      <c r="BA1485" s="73"/>
      <c r="BB1485" s="73"/>
      <c r="BC1485" s="73"/>
      <c r="BD1485" s="73"/>
      <c r="BE1485" s="73"/>
      <c r="BF1485" s="75"/>
      <c r="BG1485" s="73"/>
      <c r="BH1485" s="88"/>
      <c r="BI1485" s="73"/>
      <c r="BJ1485" s="73"/>
      <c r="BK1485" s="73"/>
      <c r="BL1485" s="73"/>
      <c r="BM1485" s="73"/>
      <c r="BN1485" s="73"/>
      <c r="BO1485" s="73"/>
      <c r="BP1485" s="73"/>
      <c r="BQ1485" s="73"/>
      <c r="BR1485" s="73"/>
      <c r="BS1485" s="73"/>
      <c r="BT1485" s="73"/>
      <c r="BU1485" s="73"/>
      <c r="BV1485" s="73"/>
      <c r="BW1485" s="73"/>
      <c r="BX1485" s="73"/>
      <c r="BY1485" s="73"/>
      <c r="BZ1485" s="73"/>
      <c r="CA1485" s="73"/>
      <c r="CB1485" s="73"/>
      <c r="CC1485" s="73"/>
      <c r="CD1485" s="73"/>
      <c r="CE1485" s="73"/>
      <c r="CF1485" s="73"/>
      <c r="CG1485" s="73"/>
      <c r="CH1485" s="73"/>
    </row>
    <row r="1486">
      <c r="A1486" s="73"/>
      <c r="B1486" s="73"/>
      <c r="C1486" s="73"/>
      <c r="D1486" s="73"/>
      <c r="E1486" s="140"/>
      <c r="F1486" s="80"/>
      <c r="G1486" s="80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  <c r="S1486" s="73"/>
      <c r="T1486" s="73"/>
      <c r="U1486" s="73"/>
      <c r="V1486" s="73"/>
      <c r="W1486" s="73"/>
      <c r="X1486" s="73"/>
      <c r="Y1486" s="73"/>
      <c r="Z1486" s="73"/>
      <c r="AA1486" s="73"/>
      <c r="AB1486" s="73"/>
      <c r="AC1486" s="73"/>
      <c r="AD1486" s="73"/>
      <c r="AE1486" s="73"/>
      <c r="AF1486" s="73"/>
      <c r="AG1486" s="73"/>
      <c r="AH1486" s="73"/>
      <c r="AI1486" s="73"/>
      <c r="AJ1486" s="168"/>
      <c r="AK1486" s="73"/>
      <c r="AL1486" s="73"/>
      <c r="AM1486" s="73"/>
      <c r="AN1486" s="73"/>
      <c r="AO1486" s="73"/>
      <c r="AP1486" s="73"/>
      <c r="AQ1486" s="73"/>
      <c r="AR1486" s="73"/>
      <c r="AS1486" s="73"/>
      <c r="AT1486" s="73"/>
      <c r="AU1486" s="73"/>
      <c r="AV1486" s="73"/>
      <c r="AW1486" s="73"/>
      <c r="AX1486" s="73"/>
      <c r="AY1486" s="73"/>
      <c r="AZ1486" s="73"/>
      <c r="BA1486" s="73"/>
      <c r="BB1486" s="73"/>
      <c r="BC1486" s="73"/>
      <c r="BD1486" s="73"/>
      <c r="BE1486" s="73"/>
      <c r="BF1486" s="75"/>
      <c r="BG1486" s="73"/>
      <c r="BH1486" s="88"/>
      <c r="BI1486" s="73"/>
      <c r="BJ1486" s="73"/>
      <c r="BK1486" s="73"/>
      <c r="BL1486" s="73"/>
      <c r="BM1486" s="73"/>
      <c r="BN1486" s="73"/>
      <c r="BO1486" s="73"/>
      <c r="BP1486" s="73"/>
      <c r="BQ1486" s="73"/>
      <c r="BR1486" s="73"/>
      <c r="BS1486" s="73"/>
      <c r="BT1486" s="73"/>
      <c r="BU1486" s="73"/>
      <c r="BV1486" s="73"/>
      <c r="BW1486" s="73"/>
      <c r="BX1486" s="73"/>
      <c r="BY1486" s="73"/>
      <c r="BZ1486" s="73"/>
      <c r="CA1486" s="73"/>
      <c r="CB1486" s="73"/>
      <c r="CC1486" s="73"/>
      <c r="CD1486" s="73"/>
      <c r="CE1486" s="73"/>
      <c r="CF1486" s="73"/>
      <c r="CG1486" s="73"/>
      <c r="CH1486" s="73"/>
    </row>
    <row r="1487">
      <c r="A1487" s="73"/>
      <c r="B1487" s="73"/>
      <c r="C1487" s="73"/>
      <c r="D1487" s="73"/>
      <c r="E1487" s="140"/>
      <c r="F1487" s="80"/>
      <c r="G1487" s="80"/>
      <c r="H1487" s="73"/>
      <c r="I1487" s="73"/>
      <c r="J1487" s="73"/>
      <c r="K1487" s="73"/>
      <c r="L1487" s="73"/>
      <c r="M1487" s="73"/>
      <c r="N1487" s="73"/>
      <c r="O1487" s="73"/>
      <c r="P1487" s="73"/>
      <c r="Q1487" s="73"/>
      <c r="R1487" s="73"/>
      <c r="S1487" s="73"/>
      <c r="T1487" s="73"/>
      <c r="U1487" s="73"/>
      <c r="V1487" s="73"/>
      <c r="W1487" s="73"/>
      <c r="X1487" s="73"/>
      <c r="Y1487" s="73"/>
      <c r="Z1487" s="73"/>
      <c r="AA1487" s="73"/>
      <c r="AB1487" s="73"/>
      <c r="AC1487" s="73"/>
      <c r="AD1487" s="73"/>
      <c r="AE1487" s="73"/>
      <c r="AF1487" s="73"/>
      <c r="AG1487" s="73"/>
      <c r="AH1487" s="73"/>
      <c r="AI1487" s="73"/>
      <c r="AJ1487" s="168"/>
      <c r="AK1487" s="73"/>
      <c r="AL1487" s="73"/>
      <c r="AM1487" s="73"/>
      <c r="AN1487" s="73"/>
      <c r="AO1487" s="73"/>
      <c r="AP1487" s="73"/>
      <c r="AQ1487" s="73"/>
      <c r="AR1487" s="73"/>
      <c r="AS1487" s="73"/>
      <c r="AT1487" s="73"/>
      <c r="AU1487" s="73"/>
      <c r="AV1487" s="73"/>
      <c r="AW1487" s="73"/>
      <c r="AX1487" s="73"/>
      <c r="AY1487" s="73"/>
      <c r="AZ1487" s="73"/>
      <c r="BA1487" s="73"/>
      <c r="BB1487" s="73"/>
      <c r="BC1487" s="73"/>
      <c r="BD1487" s="73"/>
      <c r="BE1487" s="73"/>
      <c r="BF1487" s="75"/>
      <c r="BG1487" s="73"/>
      <c r="BH1487" s="88"/>
      <c r="BI1487" s="73"/>
      <c r="BJ1487" s="73"/>
      <c r="BK1487" s="73"/>
      <c r="BL1487" s="73"/>
      <c r="BM1487" s="73"/>
      <c r="BN1487" s="73"/>
      <c r="BO1487" s="73"/>
      <c r="BP1487" s="73"/>
      <c r="BQ1487" s="73"/>
      <c r="BR1487" s="73"/>
      <c r="BS1487" s="73"/>
      <c r="BT1487" s="73"/>
      <c r="BU1487" s="73"/>
      <c r="BV1487" s="73"/>
      <c r="BW1487" s="73"/>
      <c r="BX1487" s="73"/>
      <c r="BY1487" s="73"/>
      <c r="BZ1487" s="73"/>
      <c r="CA1487" s="73"/>
      <c r="CB1487" s="73"/>
      <c r="CC1487" s="73"/>
      <c r="CD1487" s="73"/>
      <c r="CE1487" s="73"/>
      <c r="CF1487" s="73"/>
      <c r="CG1487" s="73"/>
      <c r="CH1487" s="73"/>
    </row>
    <row r="1488">
      <c r="A1488" s="73"/>
      <c r="B1488" s="73"/>
      <c r="C1488" s="73"/>
      <c r="D1488" s="73"/>
      <c r="E1488" s="140"/>
      <c r="F1488" s="80"/>
      <c r="G1488" s="80"/>
      <c r="H1488" s="73"/>
      <c r="I1488" s="73"/>
      <c r="J1488" s="73"/>
      <c r="K1488" s="73"/>
      <c r="L1488" s="73"/>
      <c r="M1488" s="73"/>
      <c r="N1488" s="73"/>
      <c r="O1488" s="73"/>
      <c r="P1488" s="73"/>
      <c r="Q1488" s="73"/>
      <c r="R1488" s="73"/>
      <c r="S1488" s="73"/>
      <c r="T1488" s="73"/>
      <c r="U1488" s="73"/>
      <c r="V1488" s="73"/>
      <c r="W1488" s="73"/>
      <c r="X1488" s="73"/>
      <c r="Y1488" s="73"/>
      <c r="Z1488" s="73"/>
      <c r="AA1488" s="73"/>
      <c r="AB1488" s="73"/>
      <c r="AC1488" s="73"/>
      <c r="AD1488" s="73"/>
      <c r="AE1488" s="73"/>
      <c r="AF1488" s="73"/>
      <c r="AG1488" s="73"/>
      <c r="AH1488" s="73"/>
      <c r="AI1488" s="73"/>
      <c r="AJ1488" s="168"/>
      <c r="AK1488" s="73"/>
      <c r="AL1488" s="73"/>
      <c r="AM1488" s="73"/>
      <c r="AN1488" s="73"/>
      <c r="AO1488" s="73"/>
      <c r="AP1488" s="73"/>
      <c r="AQ1488" s="73"/>
      <c r="AR1488" s="73"/>
      <c r="AS1488" s="73"/>
      <c r="AT1488" s="73"/>
      <c r="AU1488" s="73"/>
      <c r="AV1488" s="73"/>
      <c r="AW1488" s="73"/>
      <c r="AX1488" s="73"/>
      <c r="AY1488" s="73"/>
      <c r="AZ1488" s="73"/>
      <c r="BA1488" s="73"/>
      <c r="BB1488" s="73"/>
      <c r="BC1488" s="73"/>
      <c r="BD1488" s="73"/>
      <c r="BE1488" s="73"/>
      <c r="BF1488" s="75"/>
      <c r="BG1488" s="73"/>
      <c r="BH1488" s="88"/>
      <c r="BI1488" s="73"/>
      <c r="BJ1488" s="73"/>
      <c r="BK1488" s="73"/>
      <c r="BL1488" s="73"/>
      <c r="BM1488" s="73"/>
      <c r="BN1488" s="73"/>
      <c r="BO1488" s="73"/>
      <c r="BP1488" s="73"/>
      <c r="BQ1488" s="73"/>
      <c r="BR1488" s="73"/>
      <c r="BS1488" s="73"/>
      <c r="BT1488" s="73"/>
      <c r="BU1488" s="73"/>
      <c r="BV1488" s="73"/>
      <c r="BW1488" s="73"/>
      <c r="BX1488" s="73"/>
      <c r="BY1488" s="73"/>
      <c r="BZ1488" s="73"/>
      <c r="CA1488" s="73"/>
      <c r="CB1488" s="73"/>
      <c r="CC1488" s="73"/>
      <c r="CD1488" s="73"/>
      <c r="CE1488" s="73"/>
      <c r="CF1488" s="73"/>
      <c r="CG1488" s="73"/>
      <c r="CH1488" s="73"/>
    </row>
    <row r="1489">
      <c r="A1489" s="73"/>
      <c r="B1489" s="73"/>
      <c r="C1489" s="73"/>
      <c r="D1489" s="73"/>
      <c r="E1489" s="140"/>
      <c r="F1489" s="80"/>
      <c r="G1489" s="80"/>
      <c r="H1489" s="73"/>
      <c r="I1489" s="73"/>
      <c r="J1489" s="73"/>
      <c r="K1489" s="73"/>
      <c r="L1489" s="73"/>
      <c r="M1489" s="73"/>
      <c r="N1489" s="73"/>
      <c r="O1489" s="73"/>
      <c r="P1489" s="73"/>
      <c r="Q1489" s="73"/>
      <c r="R1489" s="73"/>
      <c r="S1489" s="73"/>
      <c r="T1489" s="73"/>
      <c r="U1489" s="73"/>
      <c r="V1489" s="73"/>
      <c r="W1489" s="73"/>
      <c r="X1489" s="73"/>
      <c r="Y1489" s="73"/>
      <c r="Z1489" s="73"/>
      <c r="AA1489" s="73"/>
      <c r="AB1489" s="73"/>
      <c r="AC1489" s="73"/>
      <c r="AD1489" s="73"/>
      <c r="AE1489" s="73"/>
      <c r="AF1489" s="73"/>
      <c r="AG1489" s="73"/>
      <c r="AH1489" s="73"/>
      <c r="AI1489" s="73"/>
      <c r="AJ1489" s="168"/>
      <c r="AK1489" s="73"/>
      <c r="AL1489" s="73"/>
      <c r="AM1489" s="73"/>
      <c r="AN1489" s="73"/>
      <c r="AO1489" s="73"/>
      <c r="AP1489" s="73"/>
      <c r="AQ1489" s="73"/>
      <c r="AR1489" s="73"/>
      <c r="AS1489" s="73"/>
      <c r="AT1489" s="73"/>
      <c r="AU1489" s="73"/>
      <c r="AV1489" s="73"/>
      <c r="AW1489" s="73"/>
      <c r="AX1489" s="73"/>
      <c r="AY1489" s="73"/>
      <c r="AZ1489" s="73"/>
      <c r="BA1489" s="73"/>
      <c r="BB1489" s="73"/>
      <c r="BC1489" s="73"/>
      <c r="BD1489" s="73"/>
      <c r="BE1489" s="73"/>
      <c r="BF1489" s="75"/>
      <c r="BG1489" s="73"/>
      <c r="BH1489" s="88"/>
      <c r="BI1489" s="73"/>
      <c r="BJ1489" s="73"/>
      <c r="BK1489" s="73"/>
      <c r="BL1489" s="73"/>
      <c r="BM1489" s="73"/>
      <c r="BN1489" s="73"/>
      <c r="BO1489" s="73"/>
      <c r="BP1489" s="73"/>
      <c r="BQ1489" s="73"/>
      <c r="BR1489" s="73"/>
      <c r="BS1489" s="73"/>
      <c r="BT1489" s="73"/>
      <c r="BU1489" s="73"/>
      <c r="BV1489" s="73"/>
      <c r="BW1489" s="73"/>
      <c r="BX1489" s="73"/>
      <c r="BY1489" s="73"/>
      <c r="BZ1489" s="73"/>
      <c r="CA1489" s="73"/>
      <c r="CB1489" s="73"/>
      <c r="CC1489" s="73"/>
      <c r="CD1489" s="73"/>
      <c r="CE1489" s="73"/>
      <c r="CF1489" s="73"/>
      <c r="CG1489" s="73"/>
      <c r="CH1489" s="73"/>
    </row>
    <row r="1490">
      <c r="A1490" s="73"/>
      <c r="B1490" s="73"/>
      <c r="C1490" s="73"/>
      <c r="D1490" s="73"/>
      <c r="E1490" s="140"/>
      <c r="F1490" s="80"/>
      <c r="G1490" s="80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  <c r="S1490" s="73"/>
      <c r="T1490" s="73"/>
      <c r="U1490" s="73"/>
      <c r="V1490" s="73"/>
      <c r="W1490" s="73"/>
      <c r="X1490" s="73"/>
      <c r="Y1490" s="73"/>
      <c r="Z1490" s="73"/>
      <c r="AA1490" s="73"/>
      <c r="AB1490" s="73"/>
      <c r="AC1490" s="73"/>
      <c r="AD1490" s="73"/>
      <c r="AE1490" s="73"/>
      <c r="AF1490" s="73"/>
      <c r="AG1490" s="73"/>
      <c r="AH1490" s="73"/>
      <c r="AI1490" s="73"/>
      <c r="AJ1490" s="168"/>
      <c r="AK1490" s="73"/>
      <c r="AL1490" s="73"/>
      <c r="AM1490" s="73"/>
      <c r="AN1490" s="73"/>
      <c r="AO1490" s="73"/>
      <c r="AP1490" s="73"/>
      <c r="AQ1490" s="73"/>
      <c r="AR1490" s="73"/>
      <c r="AS1490" s="73"/>
      <c r="AT1490" s="73"/>
      <c r="AU1490" s="73"/>
      <c r="AV1490" s="73"/>
      <c r="AW1490" s="73"/>
      <c r="AX1490" s="73"/>
      <c r="AY1490" s="73"/>
      <c r="AZ1490" s="73"/>
      <c r="BA1490" s="73"/>
      <c r="BB1490" s="73"/>
      <c r="BC1490" s="73"/>
      <c r="BD1490" s="73"/>
      <c r="BE1490" s="73"/>
      <c r="BF1490" s="75"/>
      <c r="BG1490" s="73"/>
      <c r="BH1490" s="88"/>
      <c r="BI1490" s="73"/>
      <c r="BJ1490" s="73"/>
      <c r="BK1490" s="73"/>
      <c r="BL1490" s="73"/>
      <c r="BM1490" s="73"/>
      <c r="BN1490" s="73"/>
      <c r="BO1490" s="73"/>
      <c r="BP1490" s="73"/>
      <c r="BQ1490" s="73"/>
      <c r="BR1490" s="73"/>
      <c r="BS1490" s="73"/>
      <c r="BT1490" s="73"/>
      <c r="BU1490" s="73"/>
      <c r="BV1490" s="73"/>
      <c r="BW1490" s="73"/>
      <c r="BX1490" s="73"/>
      <c r="BY1490" s="73"/>
      <c r="BZ1490" s="73"/>
      <c r="CA1490" s="73"/>
      <c r="CB1490" s="73"/>
      <c r="CC1490" s="73"/>
      <c r="CD1490" s="73"/>
      <c r="CE1490" s="73"/>
      <c r="CF1490" s="73"/>
      <c r="CG1490" s="73"/>
      <c r="CH1490" s="73"/>
    </row>
    <row r="1491">
      <c r="A1491" s="73"/>
      <c r="B1491" s="73"/>
      <c r="C1491" s="73"/>
      <c r="D1491" s="73"/>
      <c r="E1491" s="140"/>
      <c r="F1491" s="80"/>
      <c r="G1491" s="80"/>
      <c r="H1491" s="73"/>
      <c r="I1491" s="73"/>
      <c r="J1491" s="73"/>
      <c r="K1491" s="73"/>
      <c r="L1491" s="73"/>
      <c r="M1491" s="73"/>
      <c r="N1491" s="73"/>
      <c r="O1491" s="73"/>
      <c r="P1491" s="73"/>
      <c r="Q1491" s="73"/>
      <c r="R1491" s="73"/>
      <c r="S1491" s="73"/>
      <c r="T1491" s="73"/>
      <c r="U1491" s="73"/>
      <c r="V1491" s="73"/>
      <c r="W1491" s="73"/>
      <c r="X1491" s="73"/>
      <c r="Y1491" s="73"/>
      <c r="Z1491" s="73"/>
      <c r="AA1491" s="73"/>
      <c r="AB1491" s="73"/>
      <c r="AC1491" s="73"/>
      <c r="AD1491" s="73"/>
      <c r="AE1491" s="73"/>
      <c r="AF1491" s="73"/>
      <c r="AG1491" s="73"/>
      <c r="AH1491" s="73"/>
      <c r="AI1491" s="73"/>
      <c r="AJ1491" s="168"/>
      <c r="AK1491" s="73"/>
      <c r="AL1491" s="73"/>
      <c r="AM1491" s="73"/>
      <c r="AN1491" s="73"/>
      <c r="AO1491" s="73"/>
      <c r="AP1491" s="73"/>
      <c r="AQ1491" s="73"/>
      <c r="AR1491" s="73"/>
      <c r="AS1491" s="73"/>
      <c r="AT1491" s="73"/>
      <c r="AU1491" s="73"/>
      <c r="AV1491" s="73"/>
      <c r="AW1491" s="73"/>
      <c r="AX1491" s="73"/>
      <c r="AY1491" s="73"/>
      <c r="AZ1491" s="73"/>
      <c r="BA1491" s="73"/>
      <c r="BB1491" s="73"/>
      <c r="BC1491" s="73"/>
      <c r="BD1491" s="73"/>
      <c r="BE1491" s="73"/>
      <c r="BF1491" s="75"/>
      <c r="BG1491" s="73"/>
      <c r="BH1491" s="88"/>
      <c r="BI1491" s="73"/>
      <c r="BJ1491" s="73"/>
      <c r="BK1491" s="73"/>
      <c r="BL1491" s="73"/>
      <c r="BM1491" s="73"/>
      <c r="BN1491" s="73"/>
      <c r="BO1491" s="73"/>
      <c r="BP1491" s="73"/>
      <c r="BQ1491" s="73"/>
      <c r="BR1491" s="73"/>
      <c r="BS1491" s="73"/>
      <c r="BT1491" s="73"/>
      <c r="BU1491" s="73"/>
      <c r="BV1491" s="73"/>
      <c r="BW1491" s="73"/>
      <c r="BX1491" s="73"/>
      <c r="BY1491" s="73"/>
      <c r="BZ1491" s="73"/>
      <c r="CA1491" s="73"/>
      <c r="CB1491" s="73"/>
      <c r="CC1491" s="73"/>
      <c r="CD1491" s="73"/>
      <c r="CE1491" s="73"/>
      <c r="CF1491" s="73"/>
      <c r="CG1491" s="73"/>
      <c r="CH1491" s="73"/>
    </row>
    <row r="1492">
      <c r="A1492" s="73"/>
      <c r="B1492" s="73"/>
      <c r="C1492" s="73"/>
      <c r="D1492" s="73"/>
      <c r="E1492" s="140"/>
      <c r="F1492" s="80"/>
      <c r="G1492" s="80"/>
      <c r="H1492" s="73"/>
      <c r="I1492" s="73"/>
      <c r="J1492" s="73"/>
      <c r="K1492" s="73"/>
      <c r="L1492" s="73"/>
      <c r="M1492" s="73"/>
      <c r="N1492" s="73"/>
      <c r="O1492" s="73"/>
      <c r="P1492" s="73"/>
      <c r="Q1492" s="73"/>
      <c r="R1492" s="73"/>
      <c r="S1492" s="73"/>
      <c r="T1492" s="73"/>
      <c r="U1492" s="73"/>
      <c r="V1492" s="73"/>
      <c r="W1492" s="73"/>
      <c r="X1492" s="73"/>
      <c r="Y1492" s="73"/>
      <c r="Z1492" s="73"/>
      <c r="AA1492" s="73"/>
      <c r="AB1492" s="73"/>
      <c r="AC1492" s="73"/>
      <c r="AD1492" s="73"/>
      <c r="AE1492" s="73"/>
      <c r="AF1492" s="73"/>
      <c r="AG1492" s="73"/>
      <c r="AH1492" s="73"/>
      <c r="AI1492" s="73"/>
      <c r="AJ1492" s="168"/>
      <c r="AK1492" s="73"/>
      <c r="AL1492" s="73"/>
      <c r="AM1492" s="73"/>
      <c r="AN1492" s="73"/>
      <c r="AO1492" s="73"/>
      <c r="AP1492" s="73"/>
      <c r="AQ1492" s="73"/>
      <c r="AR1492" s="73"/>
      <c r="AS1492" s="73"/>
      <c r="AT1492" s="73"/>
      <c r="AU1492" s="73"/>
      <c r="AV1492" s="73"/>
      <c r="AW1492" s="73"/>
      <c r="AX1492" s="73"/>
      <c r="AY1492" s="73"/>
      <c r="AZ1492" s="73"/>
      <c r="BA1492" s="73"/>
      <c r="BB1492" s="73"/>
      <c r="BC1492" s="73"/>
      <c r="BD1492" s="73"/>
      <c r="BE1492" s="73"/>
      <c r="BF1492" s="75"/>
      <c r="BG1492" s="73"/>
      <c r="BH1492" s="88"/>
      <c r="BI1492" s="73"/>
      <c r="BJ1492" s="73"/>
      <c r="BK1492" s="73"/>
      <c r="BL1492" s="73"/>
      <c r="BM1492" s="73"/>
      <c r="BN1492" s="73"/>
      <c r="BO1492" s="73"/>
      <c r="BP1492" s="73"/>
      <c r="BQ1492" s="73"/>
      <c r="BR1492" s="73"/>
      <c r="BS1492" s="73"/>
      <c r="BT1492" s="73"/>
      <c r="BU1492" s="73"/>
      <c r="BV1492" s="73"/>
      <c r="BW1492" s="73"/>
      <c r="BX1492" s="73"/>
      <c r="BY1492" s="73"/>
      <c r="BZ1492" s="73"/>
      <c r="CA1492" s="73"/>
      <c r="CB1492" s="73"/>
      <c r="CC1492" s="73"/>
      <c r="CD1492" s="73"/>
      <c r="CE1492" s="73"/>
      <c r="CF1492" s="73"/>
      <c r="CG1492" s="73"/>
      <c r="CH1492" s="73"/>
    </row>
    <row r="1493">
      <c r="A1493" s="73"/>
      <c r="B1493" s="73"/>
      <c r="C1493" s="73"/>
      <c r="D1493" s="73"/>
      <c r="E1493" s="140"/>
      <c r="F1493" s="80"/>
      <c r="G1493" s="80"/>
      <c r="H1493" s="73"/>
      <c r="I1493" s="73"/>
      <c r="J1493" s="73"/>
      <c r="K1493" s="73"/>
      <c r="L1493" s="73"/>
      <c r="M1493" s="73"/>
      <c r="N1493" s="73"/>
      <c r="O1493" s="73"/>
      <c r="P1493" s="73"/>
      <c r="Q1493" s="73"/>
      <c r="R1493" s="73"/>
      <c r="S1493" s="73"/>
      <c r="T1493" s="73"/>
      <c r="U1493" s="73"/>
      <c r="V1493" s="73"/>
      <c r="W1493" s="73"/>
      <c r="X1493" s="73"/>
      <c r="Y1493" s="73"/>
      <c r="Z1493" s="73"/>
      <c r="AA1493" s="73"/>
      <c r="AB1493" s="73"/>
      <c r="AC1493" s="73"/>
      <c r="AD1493" s="73"/>
      <c r="AE1493" s="73"/>
      <c r="AF1493" s="73"/>
      <c r="AG1493" s="73"/>
      <c r="AH1493" s="73"/>
      <c r="AI1493" s="73"/>
      <c r="AJ1493" s="168"/>
      <c r="AK1493" s="73"/>
      <c r="AL1493" s="73"/>
      <c r="AM1493" s="73"/>
      <c r="AN1493" s="73"/>
      <c r="AO1493" s="73"/>
      <c r="AP1493" s="73"/>
      <c r="AQ1493" s="73"/>
      <c r="AR1493" s="73"/>
      <c r="AS1493" s="73"/>
      <c r="AT1493" s="73"/>
      <c r="AU1493" s="73"/>
      <c r="AV1493" s="73"/>
      <c r="AW1493" s="73"/>
      <c r="AX1493" s="73"/>
      <c r="AY1493" s="73"/>
      <c r="AZ1493" s="73"/>
      <c r="BA1493" s="73"/>
      <c r="BB1493" s="73"/>
      <c r="BC1493" s="73"/>
      <c r="BD1493" s="73"/>
      <c r="BE1493" s="73"/>
      <c r="BF1493" s="75"/>
      <c r="BG1493" s="73"/>
      <c r="BH1493" s="88"/>
      <c r="BI1493" s="73"/>
      <c r="BJ1493" s="73"/>
      <c r="BK1493" s="73"/>
      <c r="BL1493" s="73"/>
      <c r="BM1493" s="73"/>
      <c r="BN1493" s="73"/>
      <c r="BO1493" s="73"/>
      <c r="BP1493" s="73"/>
      <c r="BQ1493" s="73"/>
      <c r="BR1493" s="73"/>
      <c r="BS1493" s="73"/>
      <c r="BT1493" s="73"/>
      <c r="BU1493" s="73"/>
      <c r="BV1493" s="73"/>
      <c r="BW1493" s="73"/>
      <c r="BX1493" s="73"/>
      <c r="BY1493" s="73"/>
      <c r="BZ1493" s="73"/>
      <c r="CA1493" s="73"/>
      <c r="CB1493" s="73"/>
      <c r="CC1493" s="73"/>
      <c r="CD1493" s="73"/>
      <c r="CE1493" s="73"/>
      <c r="CF1493" s="73"/>
      <c r="CG1493" s="73"/>
      <c r="CH1493" s="73"/>
    </row>
    <row r="1494">
      <c r="A1494" s="73"/>
      <c r="B1494" s="73"/>
      <c r="C1494" s="73"/>
      <c r="D1494" s="73"/>
      <c r="E1494" s="140"/>
      <c r="F1494" s="80"/>
      <c r="G1494" s="80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  <c r="S1494" s="73"/>
      <c r="T1494" s="73"/>
      <c r="U1494" s="73"/>
      <c r="V1494" s="73"/>
      <c r="W1494" s="73"/>
      <c r="X1494" s="73"/>
      <c r="Y1494" s="73"/>
      <c r="Z1494" s="73"/>
      <c r="AA1494" s="73"/>
      <c r="AB1494" s="73"/>
      <c r="AC1494" s="73"/>
      <c r="AD1494" s="73"/>
      <c r="AE1494" s="73"/>
      <c r="AF1494" s="73"/>
      <c r="AG1494" s="73"/>
      <c r="AH1494" s="73"/>
      <c r="AI1494" s="73"/>
      <c r="AJ1494" s="168"/>
      <c r="AK1494" s="73"/>
      <c r="AL1494" s="73"/>
      <c r="AM1494" s="73"/>
      <c r="AN1494" s="73"/>
      <c r="AO1494" s="73"/>
      <c r="AP1494" s="73"/>
      <c r="AQ1494" s="73"/>
      <c r="AR1494" s="73"/>
      <c r="AS1494" s="73"/>
      <c r="AT1494" s="73"/>
      <c r="AU1494" s="73"/>
      <c r="AV1494" s="73"/>
      <c r="AW1494" s="73"/>
      <c r="AX1494" s="73"/>
      <c r="AY1494" s="73"/>
      <c r="AZ1494" s="73"/>
      <c r="BA1494" s="73"/>
      <c r="BB1494" s="73"/>
      <c r="BC1494" s="73"/>
      <c r="BD1494" s="73"/>
      <c r="BE1494" s="73"/>
      <c r="BF1494" s="75"/>
      <c r="BG1494" s="73"/>
      <c r="BH1494" s="88"/>
      <c r="BI1494" s="73"/>
      <c r="BJ1494" s="73"/>
      <c r="BK1494" s="73"/>
      <c r="BL1494" s="73"/>
      <c r="BM1494" s="73"/>
      <c r="BN1494" s="73"/>
      <c r="BO1494" s="73"/>
      <c r="BP1494" s="73"/>
      <c r="BQ1494" s="73"/>
      <c r="BR1494" s="73"/>
      <c r="BS1494" s="73"/>
      <c r="BT1494" s="73"/>
      <c r="BU1494" s="73"/>
      <c r="BV1494" s="73"/>
      <c r="BW1494" s="73"/>
      <c r="BX1494" s="73"/>
      <c r="BY1494" s="73"/>
      <c r="BZ1494" s="73"/>
      <c r="CA1494" s="73"/>
      <c r="CB1494" s="73"/>
      <c r="CC1494" s="73"/>
      <c r="CD1494" s="73"/>
      <c r="CE1494" s="73"/>
      <c r="CF1494" s="73"/>
      <c r="CG1494" s="73"/>
      <c r="CH1494" s="73"/>
    </row>
    <row r="1495">
      <c r="A1495" s="73"/>
      <c r="B1495" s="73"/>
      <c r="C1495" s="73"/>
      <c r="D1495" s="73"/>
      <c r="E1495" s="140"/>
      <c r="F1495" s="80"/>
      <c r="G1495" s="80"/>
      <c r="H1495" s="73"/>
      <c r="I1495" s="73"/>
      <c r="J1495" s="73"/>
      <c r="K1495" s="73"/>
      <c r="L1495" s="73"/>
      <c r="M1495" s="73"/>
      <c r="N1495" s="73"/>
      <c r="O1495" s="73"/>
      <c r="P1495" s="73"/>
      <c r="Q1495" s="73"/>
      <c r="R1495" s="73"/>
      <c r="S1495" s="73"/>
      <c r="T1495" s="73"/>
      <c r="U1495" s="73"/>
      <c r="V1495" s="73"/>
      <c r="W1495" s="73"/>
      <c r="X1495" s="73"/>
      <c r="Y1495" s="73"/>
      <c r="Z1495" s="73"/>
      <c r="AA1495" s="73"/>
      <c r="AB1495" s="73"/>
      <c r="AC1495" s="73"/>
      <c r="AD1495" s="73"/>
      <c r="AE1495" s="73"/>
      <c r="AF1495" s="73"/>
      <c r="AG1495" s="73"/>
      <c r="AH1495" s="73"/>
      <c r="AI1495" s="73"/>
      <c r="AJ1495" s="168"/>
      <c r="AK1495" s="73"/>
      <c r="AL1495" s="73"/>
      <c r="AM1495" s="73"/>
      <c r="AN1495" s="73"/>
      <c r="AO1495" s="73"/>
      <c r="AP1495" s="73"/>
      <c r="AQ1495" s="73"/>
      <c r="AR1495" s="73"/>
      <c r="AS1495" s="73"/>
      <c r="AT1495" s="73"/>
      <c r="AU1495" s="73"/>
      <c r="AV1495" s="73"/>
      <c r="AW1495" s="73"/>
      <c r="AX1495" s="73"/>
      <c r="AY1495" s="73"/>
      <c r="AZ1495" s="73"/>
      <c r="BA1495" s="73"/>
      <c r="BB1495" s="73"/>
      <c r="BC1495" s="73"/>
      <c r="BD1495" s="73"/>
      <c r="BE1495" s="73"/>
      <c r="BF1495" s="75"/>
      <c r="BG1495" s="73"/>
      <c r="BH1495" s="88"/>
      <c r="BI1495" s="73"/>
      <c r="BJ1495" s="73"/>
      <c r="BK1495" s="73"/>
      <c r="BL1495" s="73"/>
      <c r="BM1495" s="73"/>
      <c r="BN1495" s="73"/>
      <c r="BO1495" s="73"/>
      <c r="BP1495" s="73"/>
      <c r="BQ1495" s="73"/>
      <c r="BR1495" s="73"/>
      <c r="BS1495" s="73"/>
      <c r="BT1495" s="73"/>
      <c r="BU1495" s="73"/>
      <c r="BV1495" s="73"/>
      <c r="BW1495" s="73"/>
      <c r="BX1495" s="73"/>
      <c r="BY1495" s="73"/>
      <c r="BZ1495" s="73"/>
      <c r="CA1495" s="73"/>
      <c r="CB1495" s="73"/>
      <c r="CC1495" s="73"/>
      <c r="CD1495" s="73"/>
      <c r="CE1495" s="73"/>
      <c r="CF1495" s="73"/>
      <c r="CG1495" s="73"/>
      <c r="CH1495" s="73"/>
    </row>
    <row r="1496">
      <c r="A1496" s="73"/>
      <c r="B1496" s="73"/>
      <c r="C1496" s="73"/>
      <c r="D1496" s="73"/>
      <c r="E1496" s="140"/>
      <c r="F1496" s="80"/>
      <c r="G1496" s="80"/>
      <c r="H1496" s="73"/>
      <c r="I1496" s="73"/>
      <c r="J1496" s="73"/>
      <c r="K1496" s="73"/>
      <c r="L1496" s="73"/>
      <c r="M1496" s="73"/>
      <c r="N1496" s="73"/>
      <c r="O1496" s="73"/>
      <c r="P1496" s="73"/>
      <c r="Q1496" s="73"/>
      <c r="R1496" s="73"/>
      <c r="S1496" s="73"/>
      <c r="T1496" s="73"/>
      <c r="U1496" s="73"/>
      <c r="V1496" s="73"/>
      <c r="W1496" s="73"/>
      <c r="X1496" s="73"/>
      <c r="Y1496" s="73"/>
      <c r="Z1496" s="73"/>
      <c r="AA1496" s="73"/>
      <c r="AB1496" s="73"/>
      <c r="AC1496" s="73"/>
      <c r="AD1496" s="73"/>
      <c r="AE1496" s="73"/>
      <c r="AF1496" s="73"/>
      <c r="AG1496" s="73"/>
      <c r="AH1496" s="73"/>
      <c r="AI1496" s="73"/>
      <c r="AJ1496" s="168"/>
      <c r="AK1496" s="73"/>
      <c r="AL1496" s="73"/>
      <c r="AM1496" s="73"/>
      <c r="AN1496" s="73"/>
      <c r="AO1496" s="73"/>
      <c r="AP1496" s="73"/>
      <c r="AQ1496" s="73"/>
      <c r="AR1496" s="73"/>
      <c r="AS1496" s="73"/>
      <c r="AT1496" s="73"/>
      <c r="AU1496" s="73"/>
      <c r="AV1496" s="73"/>
      <c r="AW1496" s="73"/>
      <c r="AX1496" s="73"/>
      <c r="AY1496" s="73"/>
      <c r="AZ1496" s="73"/>
      <c r="BA1496" s="73"/>
      <c r="BB1496" s="73"/>
      <c r="BC1496" s="73"/>
      <c r="BD1496" s="73"/>
      <c r="BE1496" s="73"/>
      <c r="BF1496" s="75"/>
      <c r="BG1496" s="73"/>
      <c r="BH1496" s="88"/>
      <c r="BI1496" s="73"/>
      <c r="BJ1496" s="73"/>
      <c r="BK1496" s="73"/>
      <c r="BL1496" s="73"/>
      <c r="BM1496" s="73"/>
      <c r="BN1496" s="73"/>
      <c r="BO1496" s="73"/>
      <c r="BP1496" s="73"/>
      <c r="BQ1496" s="73"/>
      <c r="BR1496" s="73"/>
      <c r="BS1496" s="73"/>
      <c r="BT1496" s="73"/>
      <c r="BU1496" s="73"/>
      <c r="BV1496" s="73"/>
      <c r="BW1496" s="73"/>
      <c r="BX1496" s="73"/>
      <c r="BY1496" s="73"/>
      <c r="BZ1496" s="73"/>
      <c r="CA1496" s="73"/>
      <c r="CB1496" s="73"/>
      <c r="CC1496" s="73"/>
      <c r="CD1496" s="73"/>
      <c r="CE1496" s="73"/>
      <c r="CF1496" s="73"/>
      <c r="CG1496" s="73"/>
      <c r="CH1496" s="73"/>
    </row>
    <row r="1497">
      <c r="A1497" s="73"/>
      <c r="B1497" s="73"/>
      <c r="C1497" s="73"/>
      <c r="D1497" s="73"/>
      <c r="E1497" s="140"/>
      <c r="F1497" s="80"/>
      <c r="G1497" s="80"/>
      <c r="H1497" s="73"/>
      <c r="I1497" s="73"/>
      <c r="J1497" s="73"/>
      <c r="K1497" s="73"/>
      <c r="L1497" s="73"/>
      <c r="M1497" s="73"/>
      <c r="N1497" s="73"/>
      <c r="O1497" s="73"/>
      <c r="P1497" s="73"/>
      <c r="Q1497" s="73"/>
      <c r="R1497" s="73"/>
      <c r="S1497" s="73"/>
      <c r="T1497" s="73"/>
      <c r="U1497" s="73"/>
      <c r="V1497" s="73"/>
      <c r="W1497" s="73"/>
      <c r="X1497" s="73"/>
      <c r="Y1497" s="73"/>
      <c r="Z1497" s="73"/>
      <c r="AA1497" s="73"/>
      <c r="AB1497" s="73"/>
      <c r="AC1497" s="73"/>
      <c r="AD1497" s="73"/>
      <c r="AE1497" s="73"/>
      <c r="AF1497" s="73"/>
      <c r="AG1497" s="73"/>
      <c r="AH1497" s="73"/>
      <c r="AI1497" s="73"/>
      <c r="AJ1497" s="168"/>
      <c r="AK1497" s="73"/>
      <c r="AL1497" s="73"/>
      <c r="AM1497" s="73"/>
      <c r="AN1497" s="73"/>
      <c r="AO1497" s="73"/>
      <c r="AP1497" s="73"/>
      <c r="AQ1497" s="73"/>
      <c r="AR1497" s="73"/>
      <c r="AS1497" s="73"/>
      <c r="AT1497" s="73"/>
      <c r="AU1497" s="73"/>
      <c r="AV1497" s="73"/>
      <c r="AW1497" s="73"/>
      <c r="AX1497" s="73"/>
      <c r="AY1497" s="73"/>
      <c r="AZ1497" s="73"/>
      <c r="BA1497" s="73"/>
      <c r="BB1497" s="73"/>
      <c r="BC1497" s="73"/>
      <c r="BD1497" s="73"/>
      <c r="BE1497" s="73"/>
      <c r="BF1497" s="75"/>
      <c r="BG1497" s="73"/>
      <c r="BH1497" s="88"/>
      <c r="BI1497" s="73"/>
      <c r="BJ1497" s="73"/>
      <c r="BK1497" s="73"/>
      <c r="BL1497" s="73"/>
      <c r="BM1497" s="73"/>
      <c r="BN1497" s="73"/>
      <c r="BO1497" s="73"/>
      <c r="BP1497" s="73"/>
      <c r="BQ1497" s="73"/>
      <c r="BR1497" s="73"/>
      <c r="BS1497" s="73"/>
      <c r="BT1497" s="73"/>
      <c r="BU1497" s="73"/>
      <c r="BV1497" s="73"/>
      <c r="BW1497" s="73"/>
      <c r="BX1497" s="73"/>
      <c r="BY1497" s="73"/>
      <c r="BZ1497" s="73"/>
      <c r="CA1497" s="73"/>
      <c r="CB1497" s="73"/>
      <c r="CC1497" s="73"/>
      <c r="CD1497" s="73"/>
      <c r="CE1497" s="73"/>
      <c r="CF1497" s="73"/>
      <c r="CG1497" s="73"/>
      <c r="CH1497" s="73"/>
    </row>
    <row r="1498">
      <c r="A1498" s="73"/>
      <c r="B1498" s="73"/>
      <c r="C1498" s="73"/>
      <c r="D1498" s="73"/>
      <c r="E1498" s="140"/>
      <c r="F1498" s="80"/>
      <c r="G1498" s="80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  <c r="S1498" s="73"/>
      <c r="T1498" s="73"/>
      <c r="U1498" s="73"/>
      <c r="V1498" s="73"/>
      <c r="W1498" s="73"/>
      <c r="X1498" s="73"/>
      <c r="Y1498" s="73"/>
      <c r="Z1498" s="73"/>
      <c r="AA1498" s="73"/>
      <c r="AB1498" s="73"/>
      <c r="AC1498" s="73"/>
      <c r="AD1498" s="73"/>
      <c r="AE1498" s="73"/>
      <c r="AF1498" s="73"/>
      <c r="AG1498" s="73"/>
      <c r="AH1498" s="73"/>
      <c r="AI1498" s="73"/>
      <c r="AJ1498" s="168"/>
      <c r="AK1498" s="73"/>
      <c r="AL1498" s="73"/>
      <c r="AM1498" s="73"/>
      <c r="AN1498" s="73"/>
      <c r="AO1498" s="73"/>
      <c r="AP1498" s="73"/>
      <c r="AQ1498" s="73"/>
      <c r="AR1498" s="73"/>
      <c r="AS1498" s="73"/>
      <c r="AT1498" s="73"/>
      <c r="AU1498" s="73"/>
      <c r="AV1498" s="73"/>
      <c r="AW1498" s="73"/>
      <c r="AX1498" s="73"/>
      <c r="AY1498" s="73"/>
      <c r="AZ1498" s="73"/>
      <c r="BA1498" s="73"/>
      <c r="BB1498" s="73"/>
      <c r="BC1498" s="73"/>
      <c r="BD1498" s="73"/>
      <c r="BE1498" s="73"/>
      <c r="BF1498" s="75"/>
      <c r="BG1498" s="73"/>
      <c r="BH1498" s="88"/>
      <c r="BI1498" s="73"/>
      <c r="BJ1498" s="73"/>
      <c r="BK1498" s="73"/>
      <c r="BL1498" s="73"/>
      <c r="BM1498" s="73"/>
      <c r="BN1498" s="73"/>
      <c r="BO1498" s="73"/>
      <c r="BP1498" s="73"/>
      <c r="BQ1498" s="73"/>
      <c r="BR1498" s="73"/>
      <c r="BS1498" s="73"/>
      <c r="BT1498" s="73"/>
      <c r="BU1498" s="73"/>
      <c r="BV1498" s="73"/>
      <c r="BW1498" s="73"/>
      <c r="BX1498" s="73"/>
      <c r="BY1498" s="73"/>
      <c r="BZ1498" s="73"/>
      <c r="CA1498" s="73"/>
      <c r="CB1498" s="73"/>
      <c r="CC1498" s="73"/>
      <c r="CD1498" s="73"/>
      <c r="CE1498" s="73"/>
      <c r="CF1498" s="73"/>
      <c r="CG1498" s="73"/>
      <c r="CH1498" s="73"/>
    </row>
    <row r="1499">
      <c r="A1499" s="73"/>
      <c r="B1499" s="73"/>
      <c r="C1499" s="73"/>
      <c r="D1499" s="73"/>
      <c r="E1499" s="140"/>
      <c r="F1499" s="80"/>
      <c r="G1499" s="80"/>
      <c r="H1499" s="73"/>
      <c r="I1499" s="73"/>
      <c r="J1499" s="73"/>
      <c r="K1499" s="73"/>
      <c r="L1499" s="73"/>
      <c r="M1499" s="73"/>
      <c r="N1499" s="73"/>
      <c r="O1499" s="73"/>
      <c r="P1499" s="73"/>
      <c r="Q1499" s="73"/>
      <c r="R1499" s="73"/>
      <c r="S1499" s="73"/>
      <c r="T1499" s="73"/>
      <c r="U1499" s="73"/>
      <c r="V1499" s="73"/>
      <c r="W1499" s="73"/>
      <c r="X1499" s="73"/>
      <c r="Y1499" s="73"/>
      <c r="Z1499" s="73"/>
      <c r="AA1499" s="73"/>
      <c r="AB1499" s="73"/>
      <c r="AC1499" s="73"/>
      <c r="AD1499" s="73"/>
      <c r="AE1499" s="73"/>
      <c r="AF1499" s="73"/>
      <c r="AG1499" s="73"/>
      <c r="AH1499" s="73"/>
      <c r="AI1499" s="73"/>
      <c r="AJ1499" s="168"/>
      <c r="AK1499" s="73"/>
      <c r="AL1499" s="73"/>
      <c r="AM1499" s="73"/>
      <c r="AN1499" s="73"/>
      <c r="AO1499" s="73"/>
      <c r="AP1499" s="73"/>
      <c r="AQ1499" s="73"/>
      <c r="AR1499" s="73"/>
      <c r="AS1499" s="73"/>
      <c r="AT1499" s="73"/>
      <c r="AU1499" s="73"/>
      <c r="AV1499" s="73"/>
      <c r="AW1499" s="73"/>
      <c r="AX1499" s="73"/>
      <c r="AY1499" s="73"/>
      <c r="AZ1499" s="73"/>
      <c r="BA1499" s="73"/>
      <c r="BB1499" s="73"/>
      <c r="BC1499" s="73"/>
      <c r="BD1499" s="73"/>
      <c r="BE1499" s="73"/>
      <c r="BF1499" s="75"/>
      <c r="BG1499" s="73"/>
      <c r="BH1499" s="88"/>
      <c r="BI1499" s="73"/>
      <c r="BJ1499" s="73"/>
      <c r="BK1499" s="73"/>
      <c r="BL1499" s="73"/>
      <c r="BM1499" s="73"/>
      <c r="BN1499" s="73"/>
      <c r="BO1499" s="73"/>
      <c r="BP1499" s="73"/>
      <c r="BQ1499" s="73"/>
      <c r="BR1499" s="73"/>
      <c r="BS1499" s="73"/>
      <c r="BT1499" s="73"/>
      <c r="BU1499" s="73"/>
      <c r="BV1499" s="73"/>
      <c r="BW1499" s="73"/>
      <c r="BX1499" s="73"/>
      <c r="BY1499" s="73"/>
      <c r="BZ1499" s="73"/>
      <c r="CA1499" s="73"/>
      <c r="CB1499" s="73"/>
      <c r="CC1499" s="73"/>
      <c r="CD1499" s="73"/>
      <c r="CE1499" s="73"/>
      <c r="CF1499" s="73"/>
      <c r="CG1499" s="73"/>
      <c r="CH1499" s="73"/>
    </row>
    <row r="1500">
      <c r="A1500" s="73"/>
      <c r="B1500" s="73"/>
      <c r="C1500" s="73"/>
      <c r="D1500" s="73"/>
      <c r="E1500" s="140"/>
      <c r="F1500" s="80"/>
      <c r="G1500" s="80"/>
      <c r="H1500" s="73"/>
      <c r="I1500" s="73"/>
      <c r="J1500" s="73"/>
      <c r="K1500" s="73"/>
      <c r="L1500" s="73"/>
      <c r="M1500" s="73"/>
      <c r="N1500" s="73"/>
      <c r="O1500" s="73"/>
      <c r="P1500" s="73"/>
      <c r="Q1500" s="73"/>
      <c r="R1500" s="73"/>
      <c r="S1500" s="73"/>
      <c r="T1500" s="73"/>
      <c r="U1500" s="73"/>
      <c r="V1500" s="73"/>
      <c r="W1500" s="73"/>
      <c r="X1500" s="73"/>
      <c r="Y1500" s="73"/>
      <c r="Z1500" s="73"/>
      <c r="AA1500" s="73"/>
      <c r="AB1500" s="73"/>
      <c r="AC1500" s="73"/>
      <c r="AD1500" s="73"/>
      <c r="AE1500" s="73"/>
      <c r="AF1500" s="73"/>
      <c r="AG1500" s="73"/>
      <c r="AH1500" s="73"/>
      <c r="AI1500" s="73"/>
      <c r="AJ1500" s="168"/>
      <c r="AK1500" s="73"/>
      <c r="AL1500" s="73"/>
      <c r="AM1500" s="73"/>
      <c r="AN1500" s="73"/>
      <c r="AO1500" s="73"/>
      <c r="AP1500" s="73"/>
      <c r="AQ1500" s="73"/>
      <c r="AR1500" s="73"/>
      <c r="AS1500" s="73"/>
      <c r="AT1500" s="73"/>
      <c r="AU1500" s="73"/>
      <c r="AV1500" s="73"/>
      <c r="AW1500" s="73"/>
      <c r="AX1500" s="73"/>
      <c r="AY1500" s="73"/>
      <c r="AZ1500" s="73"/>
      <c r="BA1500" s="73"/>
      <c r="BB1500" s="73"/>
      <c r="BC1500" s="73"/>
      <c r="BD1500" s="73"/>
      <c r="BE1500" s="73"/>
      <c r="BF1500" s="75"/>
      <c r="BG1500" s="73"/>
      <c r="BH1500" s="88"/>
      <c r="BI1500" s="73"/>
      <c r="BJ1500" s="73"/>
      <c r="BK1500" s="73"/>
      <c r="BL1500" s="73"/>
      <c r="BM1500" s="73"/>
      <c r="BN1500" s="73"/>
      <c r="BO1500" s="73"/>
      <c r="BP1500" s="73"/>
      <c r="BQ1500" s="73"/>
      <c r="BR1500" s="73"/>
      <c r="BS1500" s="73"/>
      <c r="BT1500" s="73"/>
      <c r="BU1500" s="73"/>
      <c r="BV1500" s="73"/>
      <c r="BW1500" s="73"/>
      <c r="BX1500" s="73"/>
      <c r="BY1500" s="73"/>
      <c r="BZ1500" s="73"/>
      <c r="CA1500" s="73"/>
      <c r="CB1500" s="73"/>
      <c r="CC1500" s="73"/>
      <c r="CD1500" s="73"/>
      <c r="CE1500" s="73"/>
      <c r="CF1500" s="73"/>
      <c r="CG1500" s="73"/>
      <c r="CH1500" s="73"/>
    </row>
    <row r="1501">
      <c r="A1501" s="73"/>
      <c r="B1501" s="73"/>
      <c r="C1501" s="73"/>
      <c r="D1501" s="73"/>
      <c r="E1501" s="140"/>
      <c r="F1501" s="80"/>
      <c r="G1501" s="80"/>
      <c r="H1501" s="73"/>
      <c r="I1501" s="73"/>
      <c r="J1501" s="73"/>
      <c r="K1501" s="73"/>
      <c r="L1501" s="73"/>
      <c r="M1501" s="73"/>
      <c r="N1501" s="73"/>
      <c r="O1501" s="73"/>
      <c r="P1501" s="73"/>
      <c r="Q1501" s="73"/>
      <c r="R1501" s="73"/>
      <c r="S1501" s="73"/>
      <c r="T1501" s="73"/>
      <c r="U1501" s="73"/>
      <c r="V1501" s="73"/>
      <c r="W1501" s="73"/>
      <c r="X1501" s="73"/>
      <c r="Y1501" s="73"/>
      <c r="Z1501" s="73"/>
      <c r="AA1501" s="73"/>
      <c r="AB1501" s="73"/>
      <c r="AC1501" s="73"/>
      <c r="AD1501" s="73"/>
      <c r="AE1501" s="73"/>
      <c r="AF1501" s="73"/>
      <c r="AG1501" s="73"/>
      <c r="AH1501" s="73"/>
      <c r="AI1501" s="73"/>
      <c r="AJ1501" s="168"/>
      <c r="AK1501" s="73"/>
      <c r="AL1501" s="73"/>
      <c r="AM1501" s="73"/>
      <c r="AN1501" s="73"/>
      <c r="AO1501" s="73"/>
      <c r="AP1501" s="73"/>
      <c r="AQ1501" s="73"/>
      <c r="AR1501" s="73"/>
      <c r="AS1501" s="73"/>
      <c r="AT1501" s="73"/>
      <c r="AU1501" s="73"/>
      <c r="AV1501" s="73"/>
      <c r="AW1501" s="73"/>
      <c r="AX1501" s="73"/>
      <c r="AY1501" s="73"/>
      <c r="AZ1501" s="73"/>
      <c r="BA1501" s="73"/>
      <c r="BB1501" s="73"/>
      <c r="BC1501" s="73"/>
      <c r="BD1501" s="73"/>
      <c r="BE1501" s="73"/>
      <c r="BF1501" s="75"/>
      <c r="BG1501" s="73"/>
      <c r="BH1501" s="88"/>
      <c r="BI1501" s="73"/>
      <c r="BJ1501" s="73"/>
      <c r="BK1501" s="73"/>
      <c r="BL1501" s="73"/>
      <c r="BM1501" s="73"/>
      <c r="BN1501" s="73"/>
      <c r="BO1501" s="73"/>
      <c r="BP1501" s="73"/>
      <c r="BQ1501" s="73"/>
      <c r="BR1501" s="73"/>
      <c r="BS1501" s="73"/>
      <c r="BT1501" s="73"/>
      <c r="BU1501" s="73"/>
      <c r="BV1501" s="73"/>
      <c r="BW1501" s="73"/>
      <c r="BX1501" s="73"/>
      <c r="BY1501" s="73"/>
      <c r="BZ1501" s="73"/>
      <c r="CA1501" s="73"/>
      <c r="CB1501" s="73"/>
      <c r="CC1501" s="73"/>
      <c r="CD1501" s="73"/>
      <c r="CE1501" s="73"/>
      <c r="CF1501" s="73"/>
      <c r="CG1501" s="73"/>
      <c r="CH1501" s="73"/>
    </row>
    <row r="1502">
      <c r="A1502" s="73"/>
      <c r="B1502" s="73"/>
      <c r="C1502" s="73"/>
      <c r="D1502" s="73"/>
      <c r="E1502" s="140"/>
      <c r="F1502" s="80"/>
      <c r="G1502" s="80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  <c r="S1502" s="73"/>
      <c r="T1502" s="73"/>
      <c r="U1502" s="73"/>
      <c r="V1502" s="73"/>
      <c r="W1502" s="73"/>
      <c r="X1502" s="73"/>
      <c r="Y1502" s="73"/>
      <c r="Z1502" s="73"/>
      <c r="AA1502" s="73"/>
      <c r="AB1502" s="73"/>
      <c r="AC1502" s="73"/>
      <c r="AD1502" s="73"/>
      <c r="AE1502" s="73"/>
      <c r="AF1502" s="73"/>
      <c r="AG1502" s="73"/>
      <c r="AH1502" s="73"/>
      <c r="AI1502" s="73"/>
      <c r="AJ1502" s="168"/>
      <c r="AK1502" s="73"/>
      <c r="AL1502" s="73"/>
      <c r="AM1502" s="73"/>
      <c r="AN1502" s="73"/>
      <c r="AO1502" s="73"/>
      <c r="AP1502" s="73"/>
      <c r="AQ1502" s="73"/>
      <c r="AR1502" s="73"/>
      <c r="AS1502" s="73"/>
      <c r="AT1502" s="73"/>
      <c r="AU1502" s="73"/>
      <c r="AV1502" s="73"/>
      <c r="AW1502" s="73"/>
      <c r="AX1502" s="73"/>
      <c r="AY1502" s="73"/>
      <c r="AZ1502" s="73"/>
      <c r="BA1502" s="73"/>
      <c r="BB1502" s="73"/>
      <c r="BC1502" s="73"/>
      <c r="BD1502" s="73"/>
      <c r="BE1502" s="73"/>
      <c r="BF1502" s="75"/>
      <c r="BG1502" s="73"/>
      <c r="BH1502" s="88"/>
      <c r="BI1502" s="73"/>
      <c r="BJ1502" s="73"/>
      <c r="BK1502" s="73"/>
      <c r="BL1502" s="73"/>
      <c r="BM1502" s="73"/>
      <c r="BN1502" s="73"/>
      <c r="BO1502" s="73"/>
      <c r="BP1502" s="73"/>
      <c r="BQ1502" s="73"/>
      <c r="BR1502" s="73"/>
      <c r="BS1502" s="73"/>
      <c r="BT1502" s="73"/>
      <c r="BU1502" s="73"/>
      <c r="BV1502" s="73"/>
      <c r="BW1502" s="73"/>
      <c r="BX1502" s="73"/>
      <c r="BY1502" s="73"/>
      <c r="BZ1502" s="73"/>
      <c r="CA1502" s="73"/>
      <c r="CB1502" s="73"/>
      <c r="CC1502" s="73"/>
      <c r="CD1502" s="73"/>
      <c r="CE1502" s="73"/>
      <c r="CF1502" s="73"/>
      <c r="CG1502" s="73"/>
      <c r="CH1502" s="73"/>
    </row>
    <row r="1503">
      <c r="A1503" s="73"/>
      <c r="B1503" s="73"/>
      <c r="C1503" s="73"/>
      <c r="D1503" s="73"/>
      <c r="E1503" s="140"/>
      <c r="F1503" s="80"/>
      <c r="G1503" s="80"/>
      <c r="H1503" s="73"/>
      <c r="I1503" s="73"/>
      <c r="J1503" s="73"/>
      <c r="K1503" s="73"/>
      <c r="L1503" s="73"/>
      <c r="M1503" s="73"/>
      <c r="N1503" s="73"/>
      <c r="O1503" s="73"/>
      <c r="P1503" s="73"/>
      <c r="Q1503" s="73"/>
      <c r="R1503" s="73"/>
      <c r="S1503" s="73"/>
      <c r="T1503" s="73"/>
      <c r="U1503" s="73"/>
      <c r="V1503" s="73"/>
      <c r="W1503" s="73"/>
      <c r="X1503" s="73"/>
      <c r="Y1503" s="73"/>
      <c r="Z1503" s="73"/>
      <c r="AA1503" s="73"/>
      <c r="AB1503" s="73"/>
      <c r="AC1503" s="73"/>
      <c r="AD1503" s="73"/>
      <c r="AE1503" s="73"/>
      <c r="AF1503" s="73"/>
      <c r="AG1503" s="73"/>
      <c r="AH1503" s="73"/>
      <c r="AI1503" s="73"/>
      <c r="AJ1503" s="168"/>
      <c r="AK1503" s="73"/>
      <c r="AL1503" s="73"/>
      <c r="AM1503" s="73"/>
      <c r="AN1503" s="73"/>
      <c r="AO1503" s="73"/>
      <c r="AP1503" s="73"/>
      <c r="AQ1503" s="73"/>
      <c r="AR1503" s="73"/>
      <c r="AS1503" s="73"/>
      <c r="AT1503" s="73"/>
      <c r="AU1503" s="73"/>
      <c r="AV1503" s="73"/>
      <c r="AW1503" s="73"/>
      <c r="AX1503" s="73"/>
      <c r="AY1503" s="73"/>
      <c r="AZ1503" s="73"/>
      <c r="BA1503" s="73"/>
      <c r="BB1503" s="73"/>
      <c r="BC1503" s="73"/>
      <c r="BD1503" s="73"/>
      <c r="BE1503" s="73"/>
      <c r="BF1503" s="75"/>
      <c r="BG1503" s="73"/>
      <c r="BH1503" s="88"/>
      <c r="BI1503" s="73"/>
      <c r="BJ1503" s="73"/>
      <c r="BK1503" s="73"/>
      <c r="BL1503" s="73"/>
      <c r="BM1503" s="73"/>
      <c r="BN1503" s="73"/>
      <c r="BO1503" s="73"/>
      <c r="BP1503" s="73"/>
      <c r="BQ1503" s="73"/>
      <c r="BR1503" s="73"/>
      <c r="BS1503" s="73"/>
      <c r="BT1503" s="73"/>
      <c r="BU1503" s="73"/>
      <c r="BV1503" s="73"/>
      <c r="BW1503" s="73"/>
      <c r="BX1503" s="73"/>
      <c r="BY1503" s="73"/>
      <c r="BZ1503" s="73"/>
      <c r="CA1503" s="73"/>
      <c r="CB1503" s="73"/>
      <c r="CC1503" s="73"/>
      <c r="CD1503" s="73"/>
      <c r="CE1503" s="73"/>
      <c r="CF1503" s="73"/>
      <c r="CG1503" s="73"/>
      <c r="CH1503" s="73"/>
    </row>
    <row r="1504">
      <c r="A1504" s="73"/>
      <c r="B1504" s="73"/>
      <c r="C1504" s="73"/>
      <c r="D1504" s="73"/>
      <c r="E1504" s="140"/>
      <c r="F1504" s="80"/>
      <c r="G1504" s="80"/>
      <c r="H1504" s="73"/>
      <c r="I1504" s="73"/>
      <c r="J1504" s="73"/>
      <c r="K1504" s="73"/>
      <c r="L1504" s="73"/>
      <c r="M1504" s="73"/>
      <c r="N1504" s="73"/>
      <c r="O1504" s="73"/>
      <c r="P1504" s="73"/>
      <c r="Q1504" s="73"/>
      <c r="R1504" s="73"/>
      <c r="S1504" s="73"/>
      <c r="T1504" s="73"/>
      <c r="U1504" s="73"/>
      <c r="V1504" s="73"/>
      <c r="W1504" s="73"/>
      <c r="X1504" s="73"/>
      <c r="Y1504" s="73"/>
      <c r="Z1504" s="73"/>
      <c r="AA1504" s="73"/>
      <c r="AB1504" s="73"/>
      <c r="AC1504" s="73"/>
      <c r="AD1504" s="73"/>
      <c r="AE1504" s="73"/>
      <c r="AF1504" s="73"/>
      <c r="AG1504" s="73"/>
      <c r="AH1504" s="73"/>
      <c r="AI1504" s="73"/>
      <c r="AJ1504" s="168"/>
      <c r="AK1504" s="73"/>
      <c r="AL1504" s="73"/>
      <c r="AM1504" s="73"/>
      <c r="AN1504" s="73"/>
      <c r="AO1504" s="73"/>
      <c r="AP1504" s="73"/>
      <c r="AQ1504" s="73"/>
      <c r="AR1504" s="73"/>
      <c r="AS1504" s="73"/>
      <c r="AT1504" s="73"/>
      <c r="AU1504" s="73"/>
      <c r="AV1504" s="73"/>
      <c r="AW1504" s="73"/>
      <c r="AX1504" s="73"/>
      <c r="AY1504" s="73"/>
      <c r="AZ1504" s="73"/>
      <c r="BA1504" s="73"/>
      <c r="BB1504" s="73"/>
      <c r="BC1504" s="73"/>
      <c r="BD1504" s="73"/>
      <c r="BE1504" s="73"/>
      <c r="BF1504" s="75"/>
      <c r="BG1504" s="73"/>
      <c r="BH1504" s="88"/>
      <c r="BI1504" s="73"/>
      <c r="BJ1504" s="73"/>
      <c r="BK1504" s="73"/>
      <c r="BL1504" s="73"/>
      <c r="BM1504" s="73"/>
      <c r="BN1504" s="73"/>
      <c r="BO1504" s="73"/>
      <c r="BP1504" s="73"/>
      <c r="BQ1504" s="73"/>
      <c r="BR1504" s="73"/>
      <c r="BS1504" s="73"/>
      <c r="BT1504" s="73"/>
      <c r="BU1504" s="73"/>
      <c r="BV1504" s="73"/>
      <c r="BW1504" s="73"/>
      <c r="BX1504" s="73"/>
      <c r="BY1504" s="73"/>
      <c r="BZ1504" s="73"/>
      <c r="CA1504" s="73"/>
      <c r="CB1504" s="73"/>
      <c r="CC1504" s="73"/>
      <c r="CD1504" s="73"/>
      <c r="CE1504" s="73"/>
      <c r="CF1504" s="73"/>
      <c r="CG1504" s="73"/>
      <c r="CH1504" s="73"/>
    </row>
    <row r="1505">
      <c r="A1505" s="73"/>
      <c r="B1505" s="73"/>
      <c r="C1505" s="73"/>
      <c r="D1505" s="73"/>
      <c r="E1505" s="140"/>
      <c r="F1505" s="80"/>
      <c r="G1505" s="80"/>
      <c r="H1505" s="73"/>
      <c r="I1505" s="73"/>
      <c r="J1505" s="73"/>
      <c r="K1505" s="73"/>
      <c r="L1505" s="73"/>
      <c r="M1505" s="73"/>
      <c r="N1505" s="73"/>
      <c r="O1505" s="73"/>
      <c r="P1505" s="73"/>
      <c r="Q1505" s="73"/>
      <c r="R1505" s="73"/>
      <c r="S1505" s="73"/>
      <c r="T1505" s="73"/>
      <c r="U1505" s="73"/>
      <c r="V1505" s="73"/>
      <c r="W1505" s="73"/>
      <c r="X1505" s="73"/>
      <c r="Y1505" s="73"/>
      <c r="Z1505" s="73"/>
      <c r="AA1505" s="73"/>
      <c r="AB1505" s="73"/>
      <c r="AC1505" s="73"/>
      <c r="AD1505" s="73"/>
      <c r="AE1505" s="73"/>
      <c r="AF1505" s="73"/>
      <c r="AG1505" s="73"/>
      <c r="AH1505" s="73"/>
      <c r="AI1505" s="73"/>
      <c r="AJ1505" s="168"/>
      <c r="AK1505" s="73"/>
      <c r="AL1505" s="73"/>
      <c r="AM1505" s="73"/>
      <c r="AN1505" s="73"/>
      <c r="AO1505" s="73"/>
      <c r="AP1505" s="73"/>
      <c r="AQ1505" s="73"/>
      <c r="AR1505" s="73"/>
      <c r="AS1505" s="73"/>
      <c r="AT1505" s="73"/>
      <c r="AU1505" s="73"/>
      <c r="AV1505" s="73"/>
      <c r="AW1505" s="73"/>
      <c r="AX1505" s="73"/>
      <c r="AY1505" s="73"/>
      <c r="AZ1505" s="73"/>
      <c r="BA1505" s="73"/>
      <c r="BB1505" s="73"/>
      <c r="BC1505" s="73"/>
      <c r="BD1505" s="73"/>
      <c r="BE1505" s="73"/>
      <c r="BF1505" s="75"/>
      <c r="BG1505" s="73"/>
      <c r="BH1505" s="88"/>
      <c r="BI1505" s="73"/>
      <c r="BJ1505" s="73"/>
      <c r="BK1505" s="73"/>
      <c r="BL1505" s="73"/>
      <c r="BM1505" s="73"/>
      <c r="BN1505" s="73"/>
      <c r="BO1505" s="73"/>
      <c r="BP1505" s="73"/>
      <c r="BQ1505" s="73"/>
      <c r="BR1505" s="73"/>
      <c r="BS1505" s="73"/>
      <c r="BT1505" s="73"/>
      <c r="BU1505" s="73"/>
      <c r="BV1505" s="73"/>
      <c r="BW1505" s="73"/>
      <c r="BX1505" s="73"/>
      <c r="BY1505" s="73"/>
      <c r="BZ1505" s="73"/>
      <c r="CA1505" s="73"/>
      <c r="CB1505" s="73"/>
      <c r="CC1505" s="73"/>
      <c r="CD1505" s="73"/>
      <c r="CE1505" s="73"/>
      <c r="CF1505" s="73"/>
      <c r="CG1505" s="73"/>
      <c r="CH1505" s="73"/>
    </row>
    <row r="1506">
      <c r="A1506" s="73"/>
      <c r="B1506" s="73"/>
      <c r="C1506" s="73"/>
      <c r="D1506" s="73"/>
      <c r="E1506" s="140"/>
      <c r="F1506" s="80"/>
      <c r="G1506" s="80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  <c r="S1506" s="73"/>
      <c r="T1506" s="73"/>
      <c r="U1506" s="73"/>
      <c r="V1506" s="73"/>
      <c r="W1506" s="73"/>
      <c r="X1506" s="73"/>
      <c r="Y1506" s="73"/>
      <c r="Z1506" s="73"/>
      <c r="AA1506" s="73"/>
      <c r="AB1506" s="73"/>
      <c r="AC1506" s="73"/>
      <c r="AD1506" s="73"/>
      <c r="AE1506" s="73"/>
      <c r="AF1506" s="73"/>
      <c r="AG1506" s="73"/>
      <c r="AH1506" s="73"/>
      <c r="AI1506" s="73"/>
      <c r="AJ1506" s="168"/>
      <c r="AK1506" s="73"/>
      <c r="AL1506" s="73"/>
      <c r="AM1506" s="73"/>
      <c r="AN1506" s="73"/>
      <c r="AO1506" s="73"/>
      <c r="AP1506" s="73"/>
      <c r="AQ1506" s="73"/>
      <c r="AR1506" s="73"/>
      <c r="AS1506" s="73"/>
      <c r="AT1506" s="73"/>
      <c r="AU1506" s="73"/>
      <c r="AV1506" s="73"/>
      <c r="AW1506" s="73"/>
      <c r="AX1506" s="73"/>
      <c r="AY1506" s="73"/>
      <c r="AZ1506" s="73"/>
      <c r="BA1506" s="73"/>
      <c r="BB1506" s="73"/>
      <c r="BC1506" s="73"/>
      <c r="BD1506" s="73"/>
      <c r="BE1506" s="73"/>
      <c r="BF1506" s="75"/>
      <c r="BG1506" s="73"/>
      <c r="BH1506" s="88"/>
      <c r="BI1506" s="73"/>
      <c r="BJ1506" s="73"/>
      <c r="BK1506" s="73"/>
      <c r="BL1506" s="73"/>
      <c r="BM1506" s="73"/>
      <c r="BN1506" s="73"/>
      <c r="BO1506" s="73"/>
      <c r="BP1506" s="73"/>
      <c r="BQ1506" s="73"/>
      <c r="BR1506" s="73"/>
      <c r="BS1506" s="73"/>
      <c r="BT1506" s="73"/>
      <c r="BU1506" s="73"/>
      <c r="BV1506" s="73"/>
      <c r="BW1506" s="73"/>
      <c r="BX1506" s="73"/>
      <c r="BY1506" s="73"/>
      <c r="BZ1506" s="73"/>
      <c r="CA1506" s="73"/>
      <c r="CB1506" s="73"/>
      <c r="CC1506" s="73"/>
      <c r="CD1506" s="73"/>
      <c r="CE1506" s="73"/>
      <c r="CF1506" s="73"/>
      <c r="CG1506" s="73"/>
      <c r="CH1506" s="73"/>
    </row>
    <row r="1507">
      <c r="A1507" s="73"/>
      <c r="B1507" s="73"/>
      <c r="C1507" s="73"/>
      <c r="D1507" s="73"/>
      <c r="E1507" s="140"/>
      <c r="F1507" s="80"/>
      <c r="G1507" s="80"/>
      <c r="H1507" s="73"/>
      <c r="I1507" s="73"/>
      <c r="J1507" s="73"/>
      <c r="K1507" s="73"/>
      <c r="L1507" s="73"/>
      <c r="M1507" s="73"/>
      <c r="N1507" s="73"/>
      <c r="O1507" s="73"/>
      <c r="P1507" s="73"/>
      <c r="Q1507" s="73"/>
      <c r="R1507" s="73"/>
      <c r="S1507" s="73"/>
      <c r="T1507" s="73"/>
      <c r="U1507" s="73"/>
      <c r="V1507" s="73"/>
      <c r="W1507" s="73"/>
      <c r="X1507" s="73"/>
      <c r="Y1507" s="73"/>
      <c r="Z1507" s="73"/>
      <c r="AA1507" s="73"/>
      <c r="AB1507" s="73"/>
      <c r="AC1507" s="73"/>
      <c r="AD1507" s="73"/>
      <c r="AE1507" s="73"/>
      <c r="AF1507" s="73"/>
      <c r="AG1507" s="73"/>
      <c r="AH1507" s="73"/>
      <c r="AI1507" s="73"/>
      <c r="AJ1507" s="168"/>
      <c r="AK1507" s="73"/>
      <c r="AL1507" s="73"/>
      <c r="AM1507" s="73"/>
      <c r="AN1507" s="73"/>
      <c r="AO1507" s="73"/>
      <c r="AP1507" s="73"/>
      <c r="AQ1507" s="73"/>
      <c r="AR1507" s="73"/>
      <c r="AS1507" s="73"/>
      <c r="AT1507" s="73"/>
      <c r="AU1507" s="73"/>
      <c r="AV1507" s="73"/>
      <c r="AW1507" s="73"/>
      <c r="AX1507" s="73"/>
      <c r="AY1507" s="73"/>
      <c r="AZ1507" s="73"/>
      <c r="BA1507" s="73"/>
      <c r="BB1507" s="73"/>
      <c r="BC1507" s="73"/>
      <c r="BD1507" s="73"/>
      <c r="BE1507" s="73"/>
      <c r="BF1507" s="75"/>
      <c r="BG1507" s="73"/>
      <c r="BH1507" s="88"/>
      <c r="BI1507" s="73"/>
      <c r="BJ1507" s="73"/>
      <c r="BK1507" s="73"/>
      <c r="BL1507" s="73"/>
      <c r="BM1507" s="73"/>
      <c r="BN1507" s="73"/>
      <c r="BO1507" s="73"/>
      <c r="BP1507" s="73"/>
      <c r="BQ1507" s="73"/>
      <c r="BR1507" s="73"/>
      <c r="BS1507" s="73"/>
      <c r="BT1507" s="73"/>
      <c r="BU1507" s="73"/>
      <c r="BV1507" s="73"/>
      <c r="BW1507" s="73"/>
      <c r="BX1507" s="73"/>
      <c r="BY1507" s="73"/>
      <c r="BZ1507" s="73"/>
      <c r="CA1507" s="73"/>
      <c r="CB1507" s="73"/>
      <c r="CC1507" s="73"/>
      <c r="CD1507" s="73"/>
      <c r="CE1507" s="73"/>
      <c r="CF1507" s="73"/>
      <c r="CG1507" s="73"/>
      <c r="CH1507" s="73"/>
    </row>
    <row r="1508">
      <c r="A1508" s="73"/>
      <c r="B1508" s="73"/>
      <c r="C1508" s="73"/>
      <c r="D1508" s="73"/>
      <c r="E1508" s="140"/>
      <c r="F1508" s="80"/>
      <c r="G1508" s="80"/>
      <c r="H1508" s="73"/>
      <c r="I1508" s="73"/>
      <c r="J1508" s="73"/>
      <c r="K1508" s="73"/>
      <c r="L1508" s="73"/>
      <c r="M1508" s="73"/>
      <c r="N1508" s="73"/>
      <c r="O1508" s="73"/>
      <c r="P1508" s="73"/>
      <c r="Q1508" s="73"/>
      <c r="R1508" s="73"/>
      <c r="S1508" s="73"/>
      <c r="T1508" s="73"/>
      <c r="U1508" s="73"/>
      <c r="V1508" s="73"/>
      <c r="W1508" s="73"/>
      <c r="X1508" s="73"/>
      <c r="Y1508" s="73"/>
      <c r="Z1508" s="73"/>
      <c r="AA1508" s="73"/>
      <c r="AB1508" s="73"/>
      <c r="AC1508" s="73"/>
      <c r="AD1508" s="73"/>
      <c r="AE1508" s="73"/>
      <c r="AF1508" s="73"/>
      <c r="AG1508" s="73"/>
      <c r="AH1508" s="73"/>
      <c r="AI1508" s="73"/>
      <c r="AJ1508" s="168"/>
      <c r="AK1508" s="73"/>
      <c r="AL1508" s="73"/>
      <c r="AM1508" s="73"/>
      <c r="AN1508" s="73"/>
      <c r="AO1508" s="73"/>
      <c r="AP1508" s="73"/>
      <c r="AQ1508" s="73"/>
      <c r="AR1508" s="73"/>
      <c r="AS1508" s="73"/>
      <c r="AT1508" s="73"/>
      <c r="AU1508" s="73"/>
      <c r="AV1508" s="73"/>
      <c r="AW1508" s="73"/>
      <c r="AX1508" s="73"/>
      <c r="AY1508" s="73"/>
      <c r="AZ1508" s="73"/>
      <c r="BA1508" s="73"/>
      <c r="BB1508" s="73"/>
      <c r="BC1508" s="73"/>
      <c r="BD1508" s="73"/>
      <c r="BE1508" s="73"/>
      <c r="BF1508" s="75"/>
      <c r="BG1508" s="73"/>
      <c r="BH1508" s="88"/>
      <c r="BI1508" s="73"/>
      <c r="BJ1508" s="73"/>
      <c r="BK1508" s="73"/>
      <c r="BL1508" s="73"/>
      <c r="BM1508" s="73"/>
      <c r="BN1508" s="73"/>
      <c r="BO1508" s="73"/>
      <c r="BP1508" s="73"/>
      <c r="BQ1508" s="73"/>
      <c r="BR1508" s="73"/>
      <c r="BS1508" s="73"/>
      <c r="BT1508" s="73"/>
      <c r="BU1508" s="73"/>
      <c r="BV1508" s="73"/>
      <c r="BW1508" s="73"/>
      <c r="BX1508" s="73"/>
      <c r="BY1508" s="73"/>
      <c r="BZ1508" s="73"/>
      <c r="CA1508" s="73"/>
      <c r="CB1508" s="73"/>
      <c r="CC1508" s="73"/>
      <c r="CD1508" s="73"/>
      <c r="CE1508" s="73"/>
      <c r="CF1508" s="73"/>
      <c r="CG1508" s="73"/>
      <c r="CH1508" s="73"/>
    </row>
    <row r="1509">
      <c r="A1509" s="73"/>
      <c r="B1509" s="73"/>
      <c r="C1509" s="73"/>
      <c r="D1509" s="73"/>
      <c r="E1509" s="140"/>
      <c r="F1509" s="80"/>
      <c r="G1509" s="80"/>
      <c r="H1509" s="73"/>
      <c r="I1509" s="73"/>
      <c r="J1509" s="73"/>
      <c r="K1509" s="73"/>
      <c r="L1509" s="73"/>
      <c r="M1509" s="73"/>
      <c r="N1509" s="73"/>
      <c r="O1509" s="73"/>
      <c r="P1509" s="73"/>
      <c r="Q1509" s="73"/>
      <c r="R1509" s="73"/>
      <c r="S1509" s="73"/>
      <c r="T1509" s="73"/>
      <c r="U1509" s="73"/>
      <c r="V1509" s="73"/>
      <c r="W1509" s="73"/>
      <c r="X1509" s="73"/>
      <c r="Y1509" s="73"/>
      <c r="Z1509" s="73"/>
      <c r="AA1509" s="73"/>
      <c r="AB1509" s="73"/>
      <c r="AC1509" s="73"/>
      <c r="AD1509" s="73"/>
      <c r="AE1509" s="73"/>
      <c r="AF1509" s="73"/>
      <c r="AG1509" s="73"/>
      <c r="AH1509" s="73"/>
      <c r="AI1509" s="73"/>
      <c r="AJ1509" s="168"/>
      <c r="AK1509" s="73"/>
      <c r="AL1509" s="73"/>
      <c r="AM1509" s="73"/>
      <c r="AN1509" s="73"/>
      <c r="AO1509" s="73"/>
      <c r="AP1509" s="73"/>
      <c r="AQ1509" s="73"/>
      <c r="AR1509" s="73"/>
      <c r="AS1509" s="73"/>
      <c r="AT1509" s="73"/>
      <c r="AU1509" s="73"/>
      <c r="AV1509" s="73"/>
      <c r="AW1509" s="73"/>
      <c r="AX1509" s="73"/>
      <c r="AY1509" s="73"/>
      <c r="AZ1509" s="73"/>
      <c r="BA1509" s="73"/>
      <c r="BB1509" s="73"/>
      <c r="BC1509" s="73"/>
      <c r="BD1509" s="73"/>
      <c r="BE1509" s="73"/>
      <c r="BF1509" s="75"/>
      <c r="BG1509" s="73"/>
      <c r="BH1509" s="88"/>
      <c r="BI1509" s="73"/>
      <c r="BJ1509" s="73"/>
      <c r="BK1509" s="73"/>
      <c r="BL1509" s="73"/>
      <c r="BM1509" s="73"/>
      <c r="BN1509" s="73"/>
      <c r="BO1509" s="73"/>
      <c r="BP1509" s="73"/>
      <c r="BQ1509" s="73"/>
      <c r="BR1509" s="73"/>
      <c r="BS1509" s="73"/>
      <c r="BT1509" s="73"/>
      <c r="BU1509" s="73"/>
      <c r="BV1509" s="73"/>
      <c r="BW1509" s="73"/>
      <c r="BX1509" s="73"/>
      <c r="BY1509" s="73"/>
      <c r="BZ1509" s="73"/>
      <c r="CA1509" s="73"/>
      <c r="CB1509" s="73"/>
      <c r="CC1509" s="73"/>
      <c r="CD1509" s="73"/>
      <c r="CE1509" s="73"/>
      <c r="CF1509" s="73"/>
      <c r="CG1509" s="73"/>
      <c r="CH1509" s="73"/>
    </row>
    <row r="1510">
      <c r="A1510" s="73"/>
      <c r="B1510" s="73"/>
      <c r="C1510" s="73"/>
      <c r="D1510" s="73"/>
      <c r="E1510" s="140"/>
      <c r="F1510" s="80"/>
      <c r="G1510" s="80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  <c r="S1510" s="73"/>
      <c r="T1510" s="73"/>
      <c r="U1510" s="73"/>
      <c r="V1510" s="73"/>
      <c r="W1510" s="73"/>
      <c r="X1510" s="73"/>
      <c r="Y1510" s="73"/>
      <c r="Z1510" s="73"/>
      <c r="AA1510" s="73"/>
      <c r="AB1510" s="73"/>
      <c r="AC1510" s="73"/>
      <c r="AD1510" s="73"/>
      <c r="AE1510" s="73"/>
      <c r="AF1510" s="73"/>
      <c r="AG1510" s="73"/>
      <c r="AH1510" s="73"/>
      <c r="AI1510" s="73"/>
      <c r="AJ1510" s="168"/>
      <c r="AK1510" s="73"/>
      <c r="AL1510" s="73"/>
      <c r="AM1510" s="73"/>
      <c r="AN1510" s="73"/>
      <c r="AO1510" s="73"/>
      <c r="AP1510" s="73"/>
      <c r="AQ1510" s="73"/>
      <c r="AR1510" s="73"/>
      <c r="AS1510" s="73"/>
      <c r="AT1510" s="73"/>
      <c r="AU1510" s="73"/>
      <c r="AV1510" s="73"/>
      <c r="AW1510" s="73"/>
      <c r="AX1510" s="73"/>
      <c r="AY1510" s="73"/>
      <c r="AZ1510" s="73"/>
      <c r="BA1510" s="73"/>
      <c r="BB1510" s="73"/>
      <c r="BC1510" s="73"/>
      <c r="BD1510" s="73"/>
      <c r="BE1510" s="73"/>
      <c r="BF1510" s="75"/>
      <c r="BG1510" s="73"/>
      <c r="BH1510" s="88"/>
      <c r="BI1510" s="73"/>
      <c r="BJ1510" s="73"/>
      <c r="BK1510" s="73"/>
      <c r="BL1510" s="73"/>
      <c r="BM1510" s="73"/>
      <c r="BN1510" s="73"/>
      <c r="BO1510" s="73"/>
      <c r="BP1510" s="73"/>
      <c r="BQ1510" s="73"/>
      <c r="BR1510" s="73"/>
      <c r="BS1510" s="73"/>
      <c r="BT1510" s="73"/>
      <c r="BU1510" s="73"/>
      <c r="BV1510" s="73"/>
      <c r="BW1510" s="73"/>
      <c r="BX1510" s="73"/>
      <c r="BY1510" s="73"/>
      <c r="BZ1510" s="73"/>
      <c r="CA1510" s="73"/>
      <c r="CB1510" s="73"/>
      <c r="CC1510" s="73"/>
      <c r="CD1510" s="73"/>
      <c r="CE1510" s="73"/>
      <c r="CF1510" s="73"/>
      <c r="CG1510" s="73"/>
      <c r="CH1510" s="73"/>
    </row>
    <row r="1511">
      <c r="A1511" s="73"/>
      <c r="B1511" s="73"/>
      <c r="C1511" s="73"/>
      <c r="D1511" s="73"/>
      <c r="E1511" s="140"/>
      <c r="F1511" s="80"/>
      <c r="G1511" s="80"/>
      <c r="H1511" s="73"/>
      <c r="I1511" s="73"/>
      <c r="J1511" s="73"/>
      <c r="K1511" s="73"/>
      <c r="L1511" s="73"/>
      <c r="M1511" s="73"/>
      <c r="N1511" s="73"/>
      <c r="O1511" s="73"/>
      <c r="P1511" s="73"/>
      <c r="Q1511" s="73"/>
      <c r="R1511" s="73"/>
      <c r="S1511" s="73"/>
      <c r="T1511" s="73"/>
      <c r="U1511" s="73"/>
      <c r="V1511" s="73"/>
      <c r="W1511" s="73"/>
      <c r="X1511" s="73"/>
      <c r="Y1511" s="73"/>
      <c r="Z1511" s="73"/>
      <c r="AA1511" s="73"/>
      <c r="AB1511" s="73"/>
      <c r="AC1511" s="73"/>
      <c r="AD1511" s="73"/>
      <c r="AE1511" s="73"/>
      <c r="AF1511" s="73"/>
      <c r="AG1511" s="73"/>
      <c r="AH1511" s="73"/>
      <c r="AI1511" s="73"/>
      <c r="AJ1511" s="168"/>
      <c r="AK1511" s="73"/>
      <c r="AL1511" s="73"/>
      <c r="AM1511" s="73"/>
      <c r="AN1511" s="73"/>
      <c r="AO1511" s="73"/>
      <c r="AP1511" s="73"/>
      <c r="AQ1511" s="73"/>
      <c r="AR1511" s="73"/>
      <c r="AS1511" s="73"/>
      <c r="AT1511" s="73"/>
      <c r="AU1511" s="73"/>
      <c r="AV1511" s="73"/>
      <c r="AW1511" s="73"/>
      <c r="AX1511" s="73"/>
      <c r="AY1511" s="73"/>
      <c r="AZ1511" s="73"/>
      <c r="BA1511" s="73"/>
      <c r="BB1511" s="73"/>
      <c r="BC1511" s="73"/>
      <c r="BD1511" s="73"/>
      <c r="BE1511" s="73"/>
      <c r="BF1511" s="75"/>
      <c r="BG1511" s="73"/>
      <c r="BH1511" s="88"/>
      <c r="BI1511" s="73"/>
      <c r="BJ1511" s="73"/>
      <c r="BK1511" s="73"/>
      <c r="BL1511" s="73"/>
      <c r="BM1511" s="73"/>
      <c r="BN1511" s="73"/>
      <c r="BO1511" s="73"/>
      <c r="BP1511" s="73"/>
      <c r="BQ1511" s="73"/>
      <c r="BR1511" s="73"/>
      <c r="BS1511" s="73"/>
      <c r="BT1511" s="73"/>
      <c r="BU1511" s="73"/>
      <c r="BV1511" s="73"/>
      <c r="BW1511" s="73"/>
      <c r="BX1511" s="73"/>
      <c r="BY1511" s="73"/>
      <c r="BZ1511" s="73"/>
      <c r="CA1511" s="73"/>
      <c r="CB1511" s="73"/>
      <c r="CC1511" s="73"/>
      <c r="CD1511" s="73"/>
      <c r="CE1511" s="73"/>
      <c r="CF1511" s="73"/>
      <c r="CG1511" s="73"/>
      <c r="CH1511" s="73"/>
    </row>
    <row r="1512">
      <c r="A1512" s="73"/>
      <c r="B1512" s="73"/>
      <c r="C1512" s="73"/>
      <c r="D1512" s="73"/>
      <c r="E1512" s="140"/>
      <c r="F1512" s="80"/>
      <c r="G1512" s="80"/>
      <c r="H1512" s="73"/>
      <c r="I1512" s="73"/>
      <c r="J1512" s="73"/>
      <c r="K1512" s="73"/>
      <c r="L1512" s="73"/>
      <c r="M1512" s="73"/>
      <c r="N1512" s="73"/>
      <c r="O1512" s="73"/>
      <c r="P1512" s="73"/>
      <c r="Q1512" s="73"/>
      <c r="R1512" s="73"/>
      <c r="S1512" s="73"/>
      <c r="T1512" s="73"/>
      <c r="U1512" s="73"/>
      <c r="V1512" s="73"/>
      <c r="W1512" s="73"/>
      <c r="X1512" s="73"/>
      <c r="Y1512" s="73"/>
      <c r="Z1512" s="73"/>
      <c r="AA1512" s="73"/>
      <c r="AB1512" s="73"/>
      <c r="AC1512" s="73"/>
      <c r="AD1512" s="73"/>
      <c r="AE1512" s="73"/>
      <c r="AF1512" s="73"/>
      <c r="AG1512" s="73"/>
      <c r="AH1512" s="73"/>
      <c r="AI1512" s="73"/>
      <c r="AJ1512" s="168"/>
      <c r="AK1512" s="73"/>
      <c r="AL1512" s="73"/>
      <c r="AM1512" s="73"/>
      <c r="AN1512" s="73"/>
      <c r="AO1512" s="73"/>
      <c r="AP1512" s="73"/>
      <c r="AQ1512" s="73"/>
      <c r="AR1512" s="73"/>
      <c r="AS1512" s="73"/>
      <c r="AT1512" s="73"/>
      <c r="AU1512" s="73"/>
      <c r="AV1512" s="73"/>
      <c r="AW1512" s="73"/>
      <c r="AX1512" s="73"/>
      <c r="AY1512" s="73"/>
      <c r="AZ1512" s="73"/>
      <c r="BA1512" s="73"/>
      <c r="BB1512" s="73"/>
      <c r="BC1512" s="73"/>
      <c r="BD1512" s="73"/>
      <c r="BE1512" s="73"/>
      <c r="BF1512" s="75"/>
      <c r="BG1512" s="73"/>
      <c r="BH1512" s="88"/>
      <c r="BI1512" s="73"/>
      <c r="BJ1512" s="73"/>
      <c r="BK1512" s="73"/>
      <c r="BL1512" s="73"/>
      <c r="BM1512" s="73"/>
      <c r="BN1512" s="73"/>
      <c r="BO1512" s="73"/>
      <c r="BP1512" s="73"/>
      <c r="BQ1512" s="73"/>
      <c r="BR1512" s="73"/>
      <c r="BS1512" s="73"/>
      <c r="BT1512" s="73"/>
      <c r="BU1512" s="73"/>
      <c r="BV1512" s="73"/>
      <c r="BW1512" s="73"/>
      <c r="BX1512" s="73"/>
      <c r="BY1512" s="73"/>
      <c r="BZ1512" s="73"/>
      <c r="CA1512" s="73"/>
      <c r="CB1512" s="73"/>
      <c r="CC1512" s="73"/>
      <c r="CD1512" s="73"/>
      <c r="CE1512" s="73"/>
      <c r="CF1512" s="73"/>
      <c r="CG1512" s="73"/>
      <c r="CH1512" s="73"/>
    </row>
    <row r="1513">
      <c r="A1513" s="73"/>
      <c r="B1513" s="73"/>
      <c r="C1513" s="73"/>
      <c r="D1513" s="73"/>
      <c r="E1513" s="140"/>
      <c r="F1513" s="80"/>
      <c r="G1513" s="80"/>
      <c r="H1513" s="73"/>
      <c r="I1513" s="73"/>
      <c r="J1513" s="73"/>
      <c r="K1513" s="73"/>
      <c r="L1513" s="73"/>
      <c r="M1513" s="73"/>
      <c r="N1513" s="73"/>
      <c r="O1513" s="73"/>
      <c r="P1513" s="73"/>
      <c r="Q1513" s="73"/>
      <c r="R1513" s="73"/>
      <c r="S1513" s="73"/>
      <c r="T1513" s="73"/>
      <c r="U1513" s="73"/>
      <c r="V1513" s="73"/>
      <c r="W1513" s="73"/>
      <c r="X1513" s="73"/>
      <c r="Y1513" s="73"/>
      <c r="Z1513" s="73"/>
      <c r="AA1513" s="73"/>
      <c r="AB1513" s="73"/>
      <c r="AC1513" s="73"/>
      <c r="AD1513" s="73"/>
      <c r="AE1513" s="73"/>
      <c r="AF1513" s="73"/>
      <c r="AG1513" s="73"/>
      <c r="AH1513" s="73"/>
      <c r="AI1513" s="73"/>
      <c r="AJ1513" s="168"/>
      <c r="AK1513" s="73"/>
      <c r="AL1513" s="73"/>
      <c r="AM1513" s="73"/>
      <c r="AN1513" s="73"/>
      <c r="AO1513" s="73"/>
      <c r="AP1513" s="73"/>
      <c r="AQ1513" s="73"/>
      <c r="AR1513" s="73"/>
      <c r="AS1513" s="73"/>
      <c r="AT1513" s="73"/>
      <c r="AU1513" s="73"/>
      <c r="AV1513" s="73"/>
      <c r="AW1513" s="73"/>
      <c r="AX1513" s="73"/>
      <c r="AY1513" s="73"/>
      <c r="AZ1513" s="73"/>
      <c r="BA1513" s="73"/>
      <c r="BB1513" s="73"/>
      <c r="BC1513" s="73"/>
      <c r="BD1513" s="73"/>
      <c r="BE1513" s="73"/>
      <c r="BF1513" s="75"/>
      <c r="BG1513" s="73"/>
      <c r="BH1513" s="88"/>
      <c r="BI1513" s="73"/>
      <c r="BJ1513" s="73"/>
      <c r="BK1513" s="73"/>
      <c r="BL1513" s="73"/>
      <c r="BM1513" s="73"/>
      <c r="BN1513" s="73"/>
      <c r="BO1513" s="73"/>
      <c r="BP1513" s="73"/>
      <c r="BQ1513" s="73"/>
      <c r="BR1513" s="73"/>
      <c r="BS1513" s="73"/>
      <c r="BT1513" s="73"/>
      <c r="BU1513" s="73"/>
      <c r="BV1513" s="73"/>
      <c r="BW1513" s="73"/>
      <c r="BX1513" s="73"/>
      <c r="BY1513" s="73"/>
      <c r="BZ1513" s="73"/>
      <c r="CA1513" s="73"/>
      <c r="CB1513" s="73"/>
      <c r="CC1513" s="73"/>
      <c r="CD1513" s="73"/>
      <c r="CE1513" s="73"/>
      <c r="CF1513" s="73"/>
      <c r="CG1513" s="73"/>
      <c r="CH1513" s="73"/>
    </row>
    <row r="1514">
      <c r="A1514" s="73"/>
      <c r="B1514" s="73"/>
      <c r="C1514" s="73"/>
      <c r="D1514" s="73"/>
      <c r="E1514" s="140"/>
      <c r="F1514" s="80"/>
      <c r="G1514" s="80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  <c r="S1514" s="73"/>
      <c r="T1514" s="73"/>
      <c r="U1514" s="73"/>
      <c r="V1514" s="73"/>
      <c r="W1514" s="73"/>
      <c r="X1514" s="73"/>
      <c r="Y1514" s="73"/>
      <c r="Z1514" s="73"/>
      <c r="AA1514" s="73"/>
      <c r="AB1514" s="73"/>
      <c r="AC1514" s="73"/>
      <c r="AD1514" s="73"/>
      <c r="AE1514" s="73"/>
      <c r="AF1514" s="73"/>
      <c r="AG1514" s="73"/>
      <c r="AH1514" s="73"/>
      <c r="AI1514" s="73"/>
      <c r="AJ1514" s="168"/>
      <c r="AK1514" s="73"/>
      <c r="AL1514" s="73"/>
      <c r="AM1514" s="73"/>
      <c r="AN1514" s="73"/>
      <c r="AO1514" s="73"/>
      <c r="AP1514" s="73"/>
      <c r="AQ1514" s="73"/>
      <c r="AR1514" s="73"/>
      <c r="AS1514" s="73"/>
      <c r="AT1514" s="73"/>
      <c r="AU1514" s="73"/>
      <c r="AV1514" s="73"/>
      <c r="AW1514" s="73"/>
      <c r="AX1514" s="73"/>
      <c r="AY1514" s="73"/>
      <c r="AZ1514" s="73"/>
      <c r="BA1514" s="73"/>
      <c r="BB1514" s="73"/>
      <c r="BC1514" s="73"/>
      <c r="BD1514" s="73"/>
      <c r="BE1514" s="73"/>
      <c r="BF1514" s="75"/>
      <c r="BG1514" s="73"/>
      <c r="BH1514" s="88"/>
      <c r="BI1514" s="73"/>
      <c r="BJ1514" s="73"/>
      <c r="BK1514" s="73"/>
      <c r="BL1514" s="73"/>
      <c r="BM1514" s="73"/>
      <c r="BN1514" s="73"/>
      <c r="BO1514" s="73"/>
      <c r="BP1514" s="73"/>
      <c r="BQ1514" s="73"/>
      <c r="BR1514" s="73"/>
      <c r="BS1514" s="73"/>
      <c r="BT1514" s="73"/>
      <c r="BU1514" s="73"/>
      <c r="BV1514" s="73"/>
      <c r="BW1514" s="73"/>
      <c r="BX1514" s="73"/>
      <c r="BY1514" s="73"/>
      <c r="BZ1514" s="73"/>
      <c r="CA1514" s="73"/>
      <c r="CB1514" s="73"/>
      <c r="CC1514" s="73"/>
      <c r="CD1514" s="73"/>
      <c r="CE1514" s="73"/>
      <c r="CF1514" s="73"/>
      <c r="CG1514" s="73"/>
      <c r="CH1514" s="73"/>
    </row>
    <row r="1515">
      <c r="A1515" s="73"/>
      <c r="B1515" s="73"/>
      <c r="C1515" s="73"/>
      <c r="D1515" s="73"/>
      <c r="E1515" s="140"/>
      <c r="F1515" s="80"/>
      <c r="G1515" s="80"/>
      <c r="H1515" s="73"/>
      <c r="I1515" s="73"/>
      <c r="J1515" s="73"/>
      <c r="K1515" s="73"/>
      <c r="L1515" s="73"/>
      <c r="M1515" s="73"/>
      <c r="N1515" s="73"/>
      <c r="O1515" s="73"/>
      <c r="P1515" s="73"/>
      <c r="Q1515" s="73"/>
      <c r="R1515" s="73"/>
      <c r="S1515" s="73"/>
      <c r="T1515" s="73"/>
      <c r="U1515" s="73"/>
      <c r="V1515" s="73"/>
      <c r="W1515" s="73"/>
      <c r="X1515" s="73"/>
      <c r="Y1515" s="73"/>
      <c r="Z1515" s="73"/>
      <c r="AA1515" s="73"/>
      <c r="AB1515" s="73"/>
      <c r="AC1515" s="73"/>
      <c r="AD1515" s="73"/>
      <c r="AE1515" s="73"/>
      <c r="AF1515" s="73"/>
      <c r="AG1515" s="73"/>
      <c r="AH1515" s="73"/>
      <c r="AI1515" s="73"/>
      <c r="AJ1515" s="168"/>
      <c r="AK1515" s="73"/>
      <c r="AL1515" s="73"/>
      <c r="AM1515" s="73"/>
      <c r="AN1515" s="73"/>
      <c r="AO1515" s="73"/>
      <c r="AP1515" s="73"/>
      <c r="AQ1515" s="73"/>
      <c r="AR1515" s="73"/>
      <c r="AS1515" s="73"/>
      <c r="AT1515" s="73"/>
      <c r="AU1515" s="73"/>
      <c r="AV1515" s="73"/>
      <c r="AW1515" s="73"/>
      <c r="AX1515" s="73"/>
      <c r="AY1515" s="73"/>
      <c r="AZ1515" s="73"/>
      <c r="BA1515" s="73"/>
      <c r="BB1515" s="73"/>
      <c r="BC1515" s="73"/>
      <c r="BD1515" s="73"/>
      <c r="BE1515" s="73"/>
      <c r="BF1515" s="75"/>
      <c r="BG1515" s="73"/>
      <c r="BH1515" s="88"/>
      <c r="BI1515" s="73"/>
      <c r="BJ1515" s="73"/>
      <c r="BK1515" s="73"/>
      <c r="BL1515" s="73"/>
      <c r="BM1515" s="73"/>
      <c r="BN1515" s="73"/>
      <c r="BO1515" s="73"/>
      <c r="BP1515" s="73"/>
      <c r="BQ1515" s="73"/>
      <c r="BR1515" s="73"/>
      <c r="BS1515" s="73"/>
      <c r="BT1515" s="73"/>
      <c r="BU1515" s="73"/>
      <c r="BV1515" s="73"/>
      <c r="BW1515" s="73"/>
      <c r="BX1515" s="73"/>
      <c r="BY1515" s="73"/>
      <c r="BZ1515" s="73"/>
      <c r="CA1515" s="73"/>
      <c r="CB1515" s="73"/>
      <c r="CC1515" s="73"/>
      <c r="CD1515" s="73"/>
      <c r="CE1515" s="73"/>
      <c r="CF1515" s="73"/>
      <c r="CG1515" s="73"/>
      <c r="CH1515" s="73"/>
    </row>
    <row r="1516">
      <c r="A1516" s="73"/>
      <c r="B1516" s="73"/>
      <c r="C1516" s="73"/>
      <c r="D1516" s="73"/>
      <c r="E1516" s="140"/>
      <c r="F1516" s="80"/>
      <c r="G1516" s="80"/>
      <c r="H1516" s="73"/>
      <c r="I1516" s="73"/>
      <c r="J1516" s="73"/>
      <c r="K1516" s="73"/>
      <c r="L1516" s="73"/>
      <c r="M1516" s="73"/>
      <c r="N1516" s="73"/>
      <c r="O1516" s="73"/>
      <c r="P1516" s="73"/>
      <c r="Q1516" s="73"/>
      <c r="R1516" s="73"/>
      <c r="S1516" s="73"/>
      <c r="T1516" s="73"/>
      <c r="U1516" s="73"/>
      <c r="V1516" s="73"/>
      <c r="W1516" s="73"/>
      <c r="X1516" s="73"/>
      <c r="Y1516" s="73"/>
      <c r="Z1516" s="73"/>
      <c r="AA1516" s="73"/>
      <c r="AB1516" s="73"/>
      <c r="AC1516" s="73"/>
      <c r="AD1516" s="73"/>
      <c r="AE1516" s="73"/>
      <c r="AF1516" s="73"/>
      <c r="AG1516" s="73"/>
      <c r="AH1516" s="73"/>
      <c r="AI1516" s="73"/>
      <c r="AJ1516" s="168"/>
      <c r="AK1516" s="73"/>
      <c r="AL1516" s="73"/>
      <c r="AM1516" s="73"/>
      <c r="AN1516" s="73"/>
      <c r="AO1516" s="73"/>
      <c r="AP1516" s="73"/>
      <c r="AQ1516" s="73"/>
      <c r="AR1516" s="73"/>
      <c r="AS1516" s="73"/>
      <c r="AT1516" s="73"/>
      <c r="AU1516" s="73"/>
      <c r="AV1516" s="73"/>
      <c r="AW1516" s="73"/>
      <c r="AX1516" s="73"/>
      <c r="AY1516" s="73"/>
      <c r="AZ1516" s="73"/>
      <c r="BA1516" s="73"/>
      <c r="BB1516" s="73"/>
      <c r="BC1516" s="73"/>
      <c r="BD1516" s="73"/>
      <c r="BE1516" s="73"/>
      <c r="BF1516" s="75"/>
      <c r="BG1516" s="73"/>
      <c r="BH1516" s="88"/>
      <c r="BI1516" s="73"/>
      <c r="BJ1516" s="73"/>
      <c r="BK1516" s="73"/>
      <c r="BL1516" s="73"/>
      <c r="BM1516" s="73"/>
      <c r="BN1516" s="73"/>
      <c r="BO1516" s="73"/>
      <c r="BP1516" s="73"/>
      <c r="BQ1516" s="73"/>
      <c r="BR1516" s="73"/>
      <c r="BS1516" s="73"/>
      <c r="BT1516" s="73"/>
      <c r="BU1516" s="73"/>
      <c r="BV1516" s="73"/>
      <c r="BW1516" s="73"/>
      <c r="BX1516" s="73"/>
      <c r="BY1516" s="73"/>
      <c r="BZ1516" s="73"/>
      <c r="CA1516" s="73"/>
      <c r="CB1516" s="73"/>
      <c r="CC1516" s="73"/>
      <c r="CD1516" s="73"/>
      <c r="CE1516" s="73"/>
      <c r="CF1516" s="73"/>
      <c r="CG1516" s="73"/>
      <c r="CH1516" s="73"/>
    </row>
    <row r="1517">
      <c r="A1517" s="73"/>
      <c r="B1517" s="73"/>
      <c r="C1517" s="73"/>
      <c r="D1517" s="73"/>
      <c r="E1517" s="140"/>
      <c r="F1517" s="80"/>
      <c r="G1517" s="80"/>
      <c r="H1517" s="73"/>
      <c r="I1517" s="73"/>
      <c r="J1517" s="73"/>
      <c r="K1517" s="73"/>
      <c r="L1517" s="73"/>
      <c r="M1517" s="73"/>
      <c r="N1517" s="73"/>
      <c r="O1517" s="73"/>
      <c r="P1517" s="73"/>
      <c r="Q1517" s="73"/>
      <c r="R1517" s="73"/>
      <c r="S1517" s="73"/>
      <c r="T1517" s="73"/>
      <c r="U1517" s="73"/>
      <c r="V1517" s="73"/>
      <c r="W1517" s="73"/>
      <c r="X1517" s="73"/>
      <c r="Y1517" s="73"/>
      <c r="Z1517" s="73"/>
      <c r="AA1517" s="73"/>
      <c r="AB1517" s="73"/>
      <c r="AC1517" s="73"/>
      <c r="AD1517" s="73"/>
      <c r="AE1517" s="73"/>
      <c r="AF1517" s="73"/>
      <c r="AG1517" s="73"/>
      <c r="AH1517" s="73"/>
      <c r="AI1517" s="73"/>
      <c r="AJ1517" s="168"/>
      <c r="AK1517" s="73"/>
      <c r="AL1517" s="73"/>
      <c r="AM1517" s="73"/>
      <c r="AN1517" s="73"/>
      <c r="AO1517" s="73"/>
      <c r="AP1517" s="73"/>
      <c r="AQ1517" s="73"/>
      <c r="AR1517" s="73"/>
      <c r="AS1517" s="73"/>
      <c r="AT1517" s="73"/>
      <c r="AU1517" s="73"/>
      <c r="AV1517" s="73"/>
      <c r="AW1517" s="73"/>
      <c r="AX1517" s="73"/>
      <c r="AY1517" s="73"/>
      <c r="AZ1517" s="73"/>
      <c r="BA1517" s="73"/>
      <c r="BB1517" s="73"/>
      <c r="BC1517" s="73"/>
      <c r="BD1517" s="73"/>
      <c r="BE1517" s="73"/>
      <c r="BF1517" s="75"/>
      <c r="BG1517" s="73"/>
      <c r="BH1517" s="88"/>
      <c r="BI1517" s="73"/>
      <c r="BJ1517" s="73"/>
      <c r="BK1517" s="73"/>
      <c r="BL1517" s="73"/>
      <c r="BM1517" s="73"/>
      <c r="BN1517" s="73"/>
      <c r="BO1517" s="73"/>
      <c r="BP1517" s="73"/>
      <c r="BQ1517" s="73"/>
      <c r="BR1517" s="73"/>
      <c r="BS1517" s="73"/>
      <c r="BT1517" s="73"/>
      <c r="BU1517" s="73"/>
      <c r="BV1517" s="73"/>
      <c r="BW1517" s="73"/>
      <c r="BX1517" s="73"/>
      <c r="BY1517" s="73"/>
      <c r="BZ1517" s="73"/>
      <c r="CA1517" s="73"/>
      <c r="CB1517" s="73"/>
      <c r="CC1517" s="73"/>
      <c r="CD1517" s="73"/>
      <c r="CE1517" s="73"/>
      <c r="CF1517" s="73"/>
      <c r="CG1517" s="73"/>
      <c r="CH1517" s="73"/>
    </row>
    <row r="1518">
      <c r="A1518" s="73"/>
      <c r="B1518" s="73"/>
      <c r="C1518" s="73"/>
      <c r="D1518" s="73"/>
      <c r="E1518" s="140"/>
      <c r="F1518" s="80"/>
      <c r="G1518" s="80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  <c r="S1518" s="73"/>
      <c r="T1518" s="73"/>
      <c r="U1518" s="73"/>
      <c r="V1518" s="73"/>
      <c r="W1518" s="73"/>
      <c r="X1518" s="73"/>
      <c r="Y1518" s="73"/>
      <c r="Z1518" s="73"/>
      <c r="AA1518" s="73"/>
      <c r="AB1518" s="73"/>
      <c r="AC1518" s="73"/>
      <c r="AD1518" s="73"/>
      <c r="AE1518" s="73"/>
      <c r="AF1518" s="73"/>
      <c r="AG1518" s="73"/>
      <c r="AH1518" s="73"/>
      <c r="AI1518" s="73"/>
      <c r="AJ1518" s="168"/>
      <c r="AK1518" s="73"/>
      <c r="AL1518" s="73"/>
      <c r="AM1518" s="73"/>
      <c r="AN1518" s="73"/>
      <c r="AO1518" s="73"/>
      <c r="AP1518" s="73"/>
      <c r="AQ1518" s="73"/>
      <c r="AR1518" s="73"/>
      <c r="AS1518" s="73"/>
      <c r="AT1518" s="73"/>
      <c r="AU1518" s="73"/>
      <c r="AV1518" s="73"/>
      <c r="AW1518" s="73"/>
      <c r="AX1518" s="73"/>
      <c r="AY1518" s="73"/>
      <c r="AZ1518" s="73"/>
      <c r="BA1518" s="73"/>
      <c r="BB1518" s="73"/>
      <c r="BC1518" s="73"/>
      <c r="BD1518" s="73"/>
      <c r="BE1518" s="73"/>
      <c r="BF1518" s="75"/>
      <c r="BG1518" s="73"/>
      <c r="BH1518" s="88"/>
      <c r="BI1518" s="73"/>
      <c r="BJ1518" s="73"/>
      <c r="BK1518" s="73"/>
      <c r="BL1518" s="73"/>
      <c r="BM1518" s="73"/>
      <c r="BN1518" s="73"/>
      <c r="BO1518" s="73"/>
      <c r="BP1518" s="73"/>
      <c r="BQ1518" s="73"/>
      <c r="BR1518" s="73"/>
      <c r="BS1518" s="73"/>
      <c r="BT1518" s="73"/>
      <c r="BU1518" s="73"/>
      <c r="BV1518" s="73"/>
      <c r="BW1518" s="73"/>
      <c r="BX1518" s="73"/>
      <c r="BY1518" s="73"/>
      <c r="BZ1518" s="73"/>
      <c r="CA1518" s="73"/>
      <c r="CB1518" s="73"/>
      <c r="CC1518" s="73"/>
      <c r="CD1518" s="73"/>
      <c r="CE1518" s="73"/>
      <c r="CF1518" s="73"/>
      <c r="CG1518" s="73"/>
      <c r="CH1518" s="73"/>
    </row>
    <row r="1519">
      <c r="A1519" s="73"/>
      <c r="B1519" s="73"/>
      <c r="C1519" s="73"/>
      <c r="D1519" s="73"/>
      <c r="E1519" s="140"/>
      <c r="F1519" s="80"/>
      <c r="G1519" s="80"/>
      <c r="H1519" s="73"/>
      <c r="I1519" s="73"/>
      <c r="J1519" s="73"/>
      <c r="K1519" s="73"/>
      <c r="L1519" s="73"/>
      <c r="M1519" s="73"/>
      <c r="N1519" s="73"/>
      <c r="O1519" s="73"/>
      <c r="P1519" s="73"/>
      <c r="Q1519" s="73"/>
      <c r="R1519" s="73"/>
      <c r="S1519" s="73"/>
      <c r="T1519" s="73"/>
      <c r="U1519" s="73"/>
      <c r="V1519" s="73"/>
      <c r="W1519" s="73"/>
      <c r="X1519" s="73"/>
      <c r="Y1519" s="73"/>
      <c r="Z1519" s="73"/>
      <c r="AA1519" s="73"/>
      <c r="AB1519" s="73"/>
      <c r="AC1519" s="73"/>
      <c r="AD1519" s="73"/>
      <c r="AE1519" s="73"/>
      <c r="AF1519" s="73"/>
      <c r="AG1519" s="73"/>
      <c r="AH1519" s="73"/>
      <c r="AI1519" s="73"/>
      <c r="AJ1519" s="168"/>
      <c r="AK1519" s="73"/>
      <c r="AL1519" s="73"/>
      <c r="AM1519" s="73"/>
      <c r="AN1519" s="73"/>
      <c r="AO1519" s="73"/>
      <c r="AP1519" s="73"/>
      <c r="AQ1519" s="73"/>
      <c r="AR1519" s="73"/>
      <c r="AS1519" s="73"/>
      <c r="AT1519" s="73"/>
      <c r="AU1519" s="73"/>
      <c r="AV1519" s="73"/>
      <c r="AW1519" s="73"/>
      <c r="AX1519" s="73"/>
      <c r="AY1519" s="73"/>
      <c r="AZ1519" s="73"/>
      <c r="BA1519" s="73"/>
      <c r="BB1519" s="73"/>
      <c r="BC1519" s="73"/>
      <c r="BD1519" s="73"/>
      <c r="BE1519" s="73"/>
      <c r="BF1519" s="75"/>
      <c r="BG1519" s="73"/>
      <c r="BH1519" s="88"/>
      <c r="BI1519" s="73"/>
      <c r="BJ1519" s="73"/>
      <c r="BK1519" s="73"/>
      <c r="BL1519" s="73"/>
      <c r="BM1519" s="73"/>
      <c r="BN1519" s="73"/>
      <c r="BO1519" s="73"/>
      <c r="BP1519" s="73"/>
      <c r="BQ1519" s="73"/>
      <c r="BR1519" s="73"/>
      <c r="BS1519" s="73"/>
      <c r="BT1519" s="73"/>
      <c r="BU1519" s="73"/>
      <c r="BV1519" s="73"/>
      <c r="BW1519" s="73"/>
      <c r="BX1519" s="73"/>
      <c r="BY1519" s="73"/>
      <c r="BZ1519" s="73"/>
      <c r="CA1519" s="73"/>
      <c r="CB1519" s="73"/>
      <c r="CC1519" s="73"/>
      <c r="CD1519" s="73"/>
      <c r="CE1519" s="73"/>
      <c r="CF1519" s="73"/>
      <c r="CG1519" s="73"/>
      <c r="CH1519" s="73"/>
    </row>
    <row r="1520">
      <c r="A1520" s="73"/>
      <c r="B1520" s="73"/>
      <c r="C1520" s="73"/>
      <c r="D1520" s="73"/>
      <c r="E1520" s="140"/>
      <c r="F1520" s="80"/>
      <c r="G1520" s="80"/>
      <c r="H1520" s="73"/>
      <c r="I1520" s="73"/>
      <c r="J1520" s="73"/>
      <c r="K1520" s="73"/>
      <c r="L1520" s="73"/>
      <c r="M1520" s="73"/>
      <c r="N1520" s="73"/>
      <c r="O1520" s="73"/>
      <c r="P1520" s="73"/>
      <c r="Q1520" s="73"/>
      <c r="R1520" s="73"/>
      <c r="S1520" s="73"/>
      <c r="T1520" s="73"/>
      <c r="U1520" s="73"/>
      <c r="V1520" s="73"/>
      <c r="W1520" s="73"/>
      <c r="X1520" s="73"/>
      <c r="Y1520" s="73"/>
      <c r="Z1520" s="73"/>
      <c r="AA1520" s="73"/>
      <c r="AB1520" s="73"/>
      <c r="AC1520" s="73"/>
      <c r="AD1520" s="73"/>
      <c r="AE1520" s="73"/>
      <c r="AF1520" s="73"/>
      <c r="AG1520" s="73"/>
      <c r="AH1520" s="73"/>
      <c r="AI1520" s="73"/>
      <c r="AJ1520" s="168"/>
      <c r="AK1520" s="73"/>
      <c r="AL1520" s="73"/>
      <c r="AM1520" s="73"/>
      <c r="AN1520" s="73"/>
      <c r="AO1520" s="73"/>
      <c r="AP1520" s="73"/>
      <c r="AQ1520" s="73"/>
      <c r="AR1520" s="73"/>
      <c r="AS1520" s="73"/>
      <c r="AT1520" s="73"/>
      <c r="AU1520" s="73"/>
      <c r="AV1520" s="73"/>
      <c r="AW1520" s="73"/>
      <c r="AX1520" s="73"/>
      <c r="AY1520" s="73"/>
      <c r="AZ1520" s="73"/>
      <c r="BA1520" s="73"/>
      <c r="BB1520" s="73"/>
      <c r="BC1520" s="73"/>
      <c r="BD1520" s="73"/>
      <c r="BE1520" s="73"/>
      <c r="BF1520" s="75"/>
      <c r="BG1520" s="73"/>
      <c r="BH1520" s="88"/>
      <c r="BI1520" s="73"/>
      <c r="BJ1520" s="73"/>
      <c r="BK1520" s="73"/>
      <c r="BL1520" s="73"/>
      <c r="BM1520" s="73"/>
      <c r="BN1520" s="73"/>
      <c r="BO1520" s="73"/>
      <c r="BP1520" s="73"/>
      <c r="BQ1520" s="73"/>
      <c r="BR1520" s="73"/>
      <c r="BS1520" s="73"/>
      <c r="BT1520" s="73"/>
      <c r="BU1520" s="73"/>
      <c r="BV1520" s="73"/>
      <c r="BW1520" s="73"/>
      <c r="BX1520" s="73"/>
      <c r="BY1520" s="73"/>
      <c r="BZ1520" s="73"/>
      <c r="CA1520" s="73"/>
      <c r="CB1520" s="73"/>
      <c r="CC1520" s="73"/>
      <c r="CD1520" s="73"/>
      <c r="CE1520" s="73"/>
      <c r="CF1520" s="73"/>
      <c r="CG1520" s="73"/>
      <c r="CH1520" s="73"/>
    </row>
    <row r="1521">
      <c r="A1521" s="73"/>
      <c r="B1521" s="73"/>
      <c r="C1521" s="73"/>
      <c r="D1521" s="73"/>
      <c r="E1521" s="140"/>
      <c r="F1521" s="80"/>
      <c r="G1521" s="80"/>
      <c r="H1521" s="73"/>
      <c r="I1521" s="73"/>
      <c r="J1521" s="73"/>
      <c r="K1521" s="73"/>
      <c r="L1521" s="73"/>
      <c r="M1521" s="73"/>
      <c r="N1521" s="73"/>
      <c r="O1521" s="73"/>
      <c r="P1521" s="73"/>
      <c r="Q1521" s="73"/>
      <c r="R1521" s="73"/>
      <c r="S1521" s="73"/>
      <c r="T1521" s="73"/>
      <c r="U1521" s="73"/>
      <c r="V1521" s="73"/>
      <c r="W1521" s="73"/>
      <c r="X1521" s="73"/>
      <c r="Y1521" s="73"/>
      <c r="Z1521" s="73"/>
      <c r="AA1521" s="73"/>
      <c r="AB1521" s="73"/>
      <c r="AC1521" s="73"/>
      <c r="AD1521" s="73"/>
      <c r="AE1521" s="73"/>
      <c r="AF1521" s="73"/>
      <c r="AG1521" s="73"/>
      <c r="AH1521" s="73"/>
      <c r="AI1521" s="73"/>
      <c r="AJ1521" s="168"/>
      <c r="AK1521" s="73"/>
      <c r="AL1521" s="73"/>
      <c r="AM1521" s="73"/>
      <c r="AN1521" s="73"/>
      <c r="AO1521" s="73"/>
      <c r="AP1521" s="73"/>
      <c r="AQ1521" s="73"/>
      <c r="AR1521" s="73"/>
      <c r="AS1521" s="73"/>
      <c r="AT1521" s="73"/>
      <c r="AU1521" s="73"/>
      <c r="AV1521" s="73"/>
      <c r="AW1521" s="73"/>
      <c r="AX1521" s="73"/>
      <c r="AY1521" s="73"/>
      <c r="AZ1521" s="73"/>
      <c r="BA1521" s="73"/>
      <c r="BB1521" s="73"/>
      <c r="BC1521" s="73"/>
      <c r="BD1521" s="73"/>
      <c r="BE1521" s="73"/>
      <c r="BF1521" s="75"/>
      <c r="BG1521" s="73"/>
      <c r="BH1521" s="88"/>
      <c r="BI1521" s="73"/>
      <c r="BJ1521" s="73"/>
      <c r="BK1521" s="73"/>
      <c r="BL1521" s="73"/>
      <c r="BM1521" s="73"/>
      <c r="BN1521" s="73"/>
      <c r="BO1521" s="73"/>
      <c r="BP1521" s="73"/>
      <c r="BQ1521" s="73"/>
      <c r="BR1521" s="73"/>
      <c r="BS1521" s="73"/>
      <c r="BT1521" s="73"/>
      <c r="BU1521" s="73"/>
      <c r="BV1521" s="73"/>
      <c r="BW1521" s="73"/>
      <c r="BX1521" s="73"/>
      <c r="BY1521" s="73"/>
      <c r="BZ1521" s="73"/>
      <c r="CA1521" s="73"/>
      <c r="CB1521" s="73"/>
      <c r="CC1521" s="73"/>
      <c r="CD1521" s="73"/>
      <c r="CE1521" s="73"/>
      <c r="CF1521" s="73"/>
      <c r="CG1521" s="73"/>
      <c r="CH1521" s="73"/>
    </row>
    <row r="1522">
      <c r="A1522" s="73"/>
      <c r="B1522" s="73"/>
      <c r="C1522" s="73"/>
      <c r="D1522" s="73"/>
      <c r="E1522" s="140"/>
      <c r="F1522" s="80"/>
      <c r="G1522" s="80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  <c r="S1522" s="73"/>
      <c r="T1522" s="73"/>
      <c r="U1522" s="73"/>
      <c r="V1522" s="73"/>
      <c r="W1522" s="73"/>
      <c r="X1522" s="73"/>
      <c r="Y1522" s="73"/>
      <c r="Z1522" s="73"/>
      <c r="AA1522" s="73"/>
      <c r="AB1522" s="73"/>
      <c r="AC1522" s="73"/>
      <c r="AD1522" s="73"/>
      <c r="AE1522" s="73"/>
      <c r="AF1522" s="73"/>
      <c r="AG1522" s="73"/>
      <c r="AH1522" s="73"/>
      <c r="AI1522" s="73"/>
      <c r="AJ1522" s="168"/>
      <c r="AK1522" s="73"/>
      <c r="AL1522" s="73"/>
      <c r="AM1522" s="73"/>
      <c r="AN1522" s="73"/>
      <c r="AO1522" s="73"/>
      <c r="AP1522" s="73"/>
      <c r="AQ1522" s="73"/>
      <c r="AR1522" s="73"/>
      <c r="AS1522" s="73"/>
      <c r="AT1522" s="73"/>
      <c r="AU1522" s="73"/>
      <c r="AV1522" s="73"/>
      <c r="AW1522" s="73"/>
      <c r="AX1522" s="73"/>
      <c r="AY1522" s="73"/>
      <c r="AZ1522" s="73"/>
      <c r="BA1522" s="73"/>
      <c r="BB1522" s="73"/>
      <c r="BC1522" s="73"/>
      <c r="BD1522" s="73"/>
      <c r="BE1522" s="73"/>
      <c r="BF1522" s="75"/>
      <c r="BG1522" s="73"/>
      <c r="BH1522" s="88"/>
      <c r="BI1522" s="73"/>
      <c r="BJ1522" s="73"/>
      <c r="BK1522" s="73"/>
      <c r="BL1522" s="73"/>
      <c r="BM1522" s="73"/>
      <c r="BN1522" s="73"/>
      <c r="BO1522" s="73"/>
      <c r="BP1522" s="73"/>
      <c r="BQ1522" s="73"/>
      <c r="BR1522" s="73"/>
      <c r="BS1522" s="73"/>
      <c r="BT1522" s="73"/>
      <c r="BU1522" s="73"/>
      <c r="BV1522" s="73"/>
      <c r="BW1522" s="73"/>
      <c r="BX1522" s="73"/>
      <c r="BY1522" s="73"/>
      <c r="BZ1522" s="73"/>
      <c r="CA1522" s="73"/>
      <c r="CB1522" s="73"/>
      <c r="CC1522" s="73"/>
      <c r="CD1522" s="73"/>
      <c r="CE1522" s="73"/>
      <c r="CF1522" s="73"/>
      <c r="CG1522" s="73"/>
      <c r="CH1522" s="73"/>
    </row>
    <row r="1523">
      <c r="A1523" s="73"/>
      <c r="B1523" s="73"/>
      <c r="C1523" s="73"/>
      <c r="D1523" s="73"/>
      <c r="E1523" s="140"/>
      <c r="F1523" s="80"/>
      <c r="G1523" s="80"/>
      <c r="H1523" s="73"/>
      <c r="I1523" s="73"/>
      <c r="J1523" s="73"/>
      <c r="K1523" s="73"/>
      <c r="L1523" s="73"/>
      <c r="M1523" s="73"/>
      <c r="N1523" s="73"/>
      <c r="O1523" s="73"/>
      <c r="P1523" s="73"/>
      <c r="Q1523" s="73"/>
      <c r="R1523" s="73"/>
      <c r="S1523" s="73"/>
      <c r="T1523" s="73"/>
      <c r="U1523" s="73"/>
      <c r="V1523" s="73"/>
      <c r="W1523" s="73"/>
      <c r="X1523" s="73"/>
      <c r="Y1523" s="73"/>
      <c r="Z1523" s="73"/>
      <c r="AA1523" s="73"/>
      <c r="AB1523" s="73"/>
      <c r="AC1523" s="73"/>
      <c r="AD1523" s="73"/>
      <c r="AE1523" s="73"/>
      <c r="AF1523" s="73"/>
      <c r="AG1523" s="73"/>
      <c r="AH1523" s="73"/>
      <c r="AI1523" s="73"/>
      <c r="AJ1523" s="168"/>
      <c r="AK1523" s="73"/>
      <c r="AL1523" s="73"/>
      <c r="AM1523" s="73"/>
      <c r="AN1523" s="73"/>
      <c r="AO1523" s="73"/>
      <c r="AP1523" s="73"/>
      <c r="AQ1523" s="73"/>
      <c r="AR1523" s="73"/>
      <c r="AS1523" s="73"/>
      <c r="AT1523" s="73"/>
      <c r="AU1523" s="73"/>
      <c r="AV1523" s="73"/>
      <c r="AW1523" s="73"/>
      <c r="AX1523" s="73"/>
      <c r="AY1523" s="73"/>
      <c r="AZ1523" s="73"/>
      <c r="BA1523" s="73"/>
      <c r="BB1523" s="73"/>
      <c r="BC1523" s="73"/>
      <c r="BD1523" s="73"/>
      <c r="BE1523" s="73"/>
      <c r="BF1523" s="75"/>
      <c r="BG1523" s="73"/>
      <c r="BH1523" s="88"/>
      <c r="BI1523" s="73"/>
      <c r="BJ1523" s="73"/>
      <c r="BK1523" s="73"/>
      <c r="BL1523" s="73"/>
      <c r="BM1523" s="73"/>
      <c r="BN1523" s="73"/>
      <c r="BO1523" s="73"/>
      <c r="BP1523" s="73"/>
      <c r="BQ1523" s="73"/>
      <c r="BR1523" s="73"/>
      <c r="BS1523" s="73"/>
      <c r="BT1523" s="73"/>
      <c r="BU1523" s="73"/>
      <c r="BV1523" s="73"/>
      <c r="BW1523" s="73"/>
      <c r="BX1523" s="73"/>
      <c r="BY1523" s="73"/>
      <c r="BZ1523" s="73"/>
      <c r="CA1523" s="73"/>
      <c r="CB1523" s="73"/>
      <c r="CC1523" s="73"/>
      <c r="CD1523" s="73"/>
      <c r="CE1523" s="73"/>
      <c r="CF1523" s="73"/>
      <c r="CG1523" s="73"/>
      <c r="CH1523" s="73"/>
    </row>
    <row r="1524">
      <c r="A1524" s="73"/>
      <c r="B1524" s="73"/>
      <c r="C1524" s="73"/>
      <c r="D1524" s="73"/>
      <c r="E1524" s="140"/>
      <c r="F1524" s="80"/>
      <c r="G1524" s="80"/>
      <c r="H1524" s="73"/>
      <c r="I1524" s="73"/>
      <c r="J1524" s="73"/>
      <c r="K1524" s="73"/>
      <c r="L1524" s="73"/>
      <c r="M1524" s="73"/>
      <c r="N1524" s="73"/>
      <c r="O1524" s="73"/>
      <c r="P1524" s="73"/>
      <c r="Q1524" s="73"/>
      <c r="R1524" s="73"/>
      <c r="S1524" s="73"/>
      <c r="T1524" s="73"/>
      <c r="U1524" s="73"/>
      <c r="V1524" s="73"/>
      <c r="W1524" s="73"/>
      <c r="X1524" s="73"/>
      <c r="Y1524" s="73"/>
      <c r="Z1524" s="73"/>
      <c r="AA1524" s="73"/>
      <c r="AB1524" s="73"/>
      <c r="AC1524" s="73"/>
      <c r="AD1524" s="73"/>
      <c r="AE1524" s="73"/>
      <c r="AF1524" s="73"/>
      <c r="AG1524" s="73"/>
      <c r="AH1524" s="73"/>
      <c r="AI1524" s="73"/>
      <c r="AJ1524" s="168"/>
      <c r="AK1524" s="73"/>
      <c r="AL1524" s="73"/>
      <c r="AM1524" s="73"/>
      <c r="AN1524" s="73"/>
      <c r="AO1524" s="73"/>
      <c r="AP1524" s="73"/>
      <c r="AQ1524" s="73"/>
      <c r="AR1524" s="73"/>
      <c r="AS1524" s="73"/>
      <c r="AT1524" s="73"/>
      <c r="AU1524" s="73"/>
      <c r="AV1524" s="73"/>
      <c r="AW1524" s="73"/>
      <c r="AX1524" s="73"/>
      <c r="AY1524" s="73"/>
      <c r="AZ1524" s="73"/>
      <c r="BA1524" s="73"/>
      <c r="BB1524" s="73"/>
      <c r="BC1524" s="73"/>
      <c r="BD1524" s="73"/>
      <c r="BE1524" s="73"/>
      <c r="BF1524" s="75"/>
      <c r="BG1524" s="73"/>
      <c r="BH1524" s="88"/>
      <c r="BI1524" s="73"/>
      <c r="BJ1524" s="73"/>
      <c r="BK1524" s="73"/>
      <c r="BL1524" s="73"/>
      <c r="BM1524" s="73"/>
      <c r="BN1524" s="73"/>
      <c r="BO1524" s="73"/>
      <c r="BP1524" s="73"/>
      <c r="BQ1524" s="73"/>
      <c r="BR1524" s="73"/>
      <c r="BS1524" s="73"/>
      <c r="BT1524" s="73"/>
      <c r="BU1524" s="73"/>
      <c r="BV1524" s="73"/>
      <c r="BW1524" s="73"/>
      <c r="BX1524" s="73"/>
      <c r="BY1524" s="73"/>
      <c r="BZ1524" s="73"/>
      <c r="CA1524" s="73"/>
      <c r="CB1524" s="73"/>
      <c r="CC1524" s="73"/>
      <c r="CD1524" s="73"/>
      <c r="CE1524" s="73"/>
      <c r="CF1524" s="73"/>
      <c r="CG1524" s="73"/>
      <c r="CH1524" s="73"/>
    </row>
    <row r="1525">
      <c r="A1525" s="73"/>
      <c r="B1525" s="73"/>
      <c r="C1525" s="73"/>
      <c r="D1525" s="73"/>
      <c r="E1525" s="140"/>
      <c r="F1525" s="80"/>
      <c r="G1525" s="80"/>
      <c r="H1525" s="73"/>
      <c r="I1525" s="73"/>
      <c r="J1525" s="73"/>
      <c r="K1525" s="73"/>
      <c r="L1525" s="73"/>
      <c r="M1525" s="73"/>
      <c r="N1525" s="73"/>
      <c r="O1525" s="73"/>
      <c r="P1525" s="73"/>
      <c r="Q1525" s="73"/>
      <c r="R1525" s="73"/>
      <c r="S1525" s="73"/>
      <c r="T1525" s="73"/>
      <c r="U1525" s="73"/>
      <c r="V1525" s="73"/>
      <c r="W1525" s="73"/>
      <c r="X1525" s="73"/>
      <c r="Y1525" s="73"/>
      <c r="Z1525" s="73"/>
      <c r="AA1525" s="73"/>
      <c r="AB1525" s="73"/>
      <c r="AC1525" s="73"/>
      <c r="AD1525" s="73"/>
      <c r="AE1525" s="73"/>
      <c r="AF1525" s="73"/>
      <c r="AG1525" s="73"/>
      <c r="AH1525" s="73"/>
      <c r="AI1525" s="73"/>
      <c r="AJ1525" s="168"/>
      <c r="AK1525" s="73"/>
      <c r="AL1525" s="73"/>
      <c r="AM1525" s="73"/>
      <c r="AN1525" s="73"/>
      <c r="AO1525" s="73"/>
      <c r="AP1525" s="73"/>
      <c r="AQ1525" s="73"/>
      <c r="AR1525" s="73"/>
      <c r="AS1525" s="73"/>
      <c r="AT1525" s="73"/>
      <c r="AU1525" s="73"/>
      <c r="AV1525" s="73"/>
      <c r="AW1525" s="73"/>
      <c r="AX1525" s="73"/>
      <c r="AY1525" s="73"/>
      <c r="AZ1525" s="73"/>
      <c r="BA1525" s="73"/>
      <c r="BB1525" s="73"/>
      <c r="BC1525" s="73"/>
      <c r="BD1525" s="73"/>
      <c r="BE1525" s="73"/>
      <c r="BF1525" s="75"/>
      <c r="BG1525" s="73"/>
      <c r="BH1525" s="88"/>
      <c r="BI1525" s="73"/>
      <c r="BJ1525" s="73"/>
      <c r="BK1525" s="73"/>
      <c r="BL1525" s="73"/>
      <c r="BM1525" s="73"/>
      <c r="BN1525" s="73"/>
      <c r="BO1525" s="73"/>
      <c r="BP1525" s="73"/>
      <c r="BQ1525" s="73"/>
      <c r="BR1525" s="73"/>
      <c r="BS1525" s="73"/>
      <c r="BT1525" s="73"/>
      <c r="BU1525" s="73"/>
      <c r="BV1525" s="73"/>
      <c r="BW1525" s="73"/>
      <c r="BX1525" s="73"/>
      <c r="BY1525" s="73"/>
      <c r="BZ1525" s="73"/>
      <c r="CA1525" s="73"/>
      <c r="CB1525" s="73"/>
      <c r="CC1525" s="73"/>
      <c r="CD1525" s="73"/>
      <c r="CE1525" s="73"/>
      <c r="CF1525" s="73"/>
      <c r="CG1525" s="73"/>
      <c r="CH1525" s="73"/>
    </row>
    <row r="1526">
      <c r="A1526" s="73"/>
      <c r="B1526" s="73"/>
      <c r="C1526" s="73"/>
      <c r="D1526" s="73"/>
      <c r="E1526" s="140"/>
      <c r="F1526" s="80"/>
      <c r="G1526" s="80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  <c r="S1526" s="73"/>
      <c r="T1526" s="73"/>
      <c r="U1526" s="73"/>
      <c r="V1526" s="73"/>
      <c r="W1526" s="73"/>
      <c r="X1526" s="73"/>
      <c r="Y1526" s="73"/>
      <c r="Z1526" s="73"/>
      <c r="AA1526" s="73"/>
      <c r="AB1526" s="73"/>
      <c r="AC1526" s="73"/>
      <c r="AD1526" s="73"/>
      <c r="AE1526" s="73"/>
      <c r="AF1526" s="73"/>
      <c r="AG1526" s="73"/>
      <c r="AH1526" s="73"/>
      <c r="AI1526" s="73"/>
      <c r="AJ1526" s="168"/>
      <c r="AK1526" s="73"/>
      <c r="AL1526" s="73"/>
      <c r="AM1526" s="73"/>
      <c r="AN1526" s="73"/>
      <c r="AO1526" s="73"/>
      <c r="AP1526" s="73"/>
      <c r="AQ1526" s="73"/>
      <c r="AR1526" s="73"/>
      <c r="AS1526" s="73"/>
      <c r="AT1526" s="73"/>
      <c r="AU1526" s="73"/>
      <c r="AV1526" s="73"/>
      <c r="AW1526" s="73"/>
      <c r="AX1526" s="73"/>
      <c r="AY1526" s="73"/>
      <c r="AZ1526" s="73"/>
      <c r="BA1526" s="73"/>
      <c r="BB1526" s="73"/>
      <c r="BC1526" s="73"/>
      <c r="BD1526" s="73"/>
      <c r="BE1526" s="73"/>
      <c r="BF1526" s="75"/>
      <c r="BG1526" s="73"/>
      <c r="BH1526" s="88"/>
      <c r="BI1526" s="73"/>
      <c r="BJ1526" s="73"/>
      <c r="BK1526" s="73"/>
      <c r="BL1526" s="73"/>
      <c r="BM1526" s="73"/>
      <c r="BN1526" s="73"/>
      <c r="BO1526" s="73"/>
      <c r="BP1526" s="73"/>
      <c r="BQ1526" s="73"/>
      <c r="BR1526" s="73"/>
      <c r="BS1526" s="73"/>
      <c r="BT1526" s="73"/>
      <c r="BU1526" s="73"/>
      <c r="BV1526" s="73"/>
      <c r="BW1526" s="73"/>
      <c r="BX1526" s="73"/>
      <c r="BY1526" s="73"/>
      <c r="BZ1526" s="73"/>
      <c r="CA1526" s="73"/>
      <c r="CB1526" s="73"/>
      <c r="CC1526" s="73"/>
      <c r="CD1526" s="73"/>
      <c r="CE1526" s="73"/>
      <c r="CF1526" s="73"/>
      <c r="CG1526" s="73"/>
      <c r="CH1526" s="73"/>
    </row>
    <row r="1527">
      <c r="A1527" s="73"/>
      <c r="B1527" s="73"/>
      <c r="C1527" s="73"/>
      <c r="D1527" s="73"/>
      <c r="E1527" s="140"/>
      <c r="F1527" s="80"/>
      <c r="G1527" s="80"/>
      <c r="H1527" s="73"/>
      <c r="I1527" s="73"/>
      <c r="J1527" s="73"/>
      <c r="K1527" s="73"/>
      <c r="L1527" s="73"/>
      <c r="M1527" s="73"/>
      <c r="N1527" s="73"/>
      <c r="O1527" s="73"/>
      <c r="P1527" s="73"/>
      <c r="Q1527" s="73"/>
      <c r="R1527" s="73"/>
      <c r="S1527" s="73"/>
      <c r="T1527" s="73"/>
      <c r="U1527" s="73"/>
      <c r="V1527" s="73"/>
      <c r="W1527" s="73"/>
      <c r="X1527" s="73"/>
      <c r="Y1527" s="73"/>
      <c r="Z1527" s="73"/>
      <c r="AA1527" s="73"/>
      <c r="AB1527" s="73"/>
      <c r="AC1527" s="73"/>
      <c r="AD1527" s="73"/>
      <c r="AE1527" s="73"/>
      <c r="AF1527" s="73"/>
      <c r="AG1527" s="73"/>
      <c r="AH1527" s="73"/>
      <c r="AI1527" s="73"/>
      <c r="AJ1527" s="168"/>
      <c r="AK1527" s="73"/>
      <c r="AL1527" s="73"/>
      <c r="AM1527" s="73"/>
      <c r="AN1527" s="73"/>
      <c r="AO1527" s="73"/>
      <c r="AP1527" s="73"/>
      <c r="AQ1527" s="73"/>
      <c r="AR1527" s="73"/>
      <c r="AS1527" s="73"/>
      <c r="AT1527" s="73"/>
      <c r="AU1527" s="73"/>
      <c r="AV1527" s="73"/>
      <c r="AW1527" s="73"/>
      <c r="AX1527" s="73"/>
      <c r="AY1527" s="73"/>
      <c r="AZ1527" s="73"/>
      <c r="BA1527" s="73"/>
      <c r="BB1527" s="73"/>
      <c r="BC1527" s="73"/>
      <c r="BD1527" s="73"/>
      <c r="BE1527" s="73"/>
      <c r="BF1527" s="75"/>
      <c r="BG1527" s="73"/>
      <c r="BH1527" s="88"/>
      <c r="BI1527" s="73"/>
      <c r="BJ1527" s="73"/>
      <c r="BK1527" s="73"/>
      <c r="BL1527" s="73"/>
      <c r="BM1527" s="73"/>
      <c r="BN1527" s="73"/>
      <c r="BO1527" s="73"/>
      <c r="BP1527" s="73"/>
      <c r="BQ1527" s="73"/>
      <c r="BR1527" s="73"/>
      <c r="BS1527" s="73"/>
      <c r="BT1527" s="73"/>
      <c r="BU1527" s="73"/>
      <c r="BV1527" s="73"/>
      <c r="BW1527" s="73"/>
      <c r="BX1527" s="73"/>
      <c r="BY1527" s="73"/>
      <c r="BZ1527" s="73"/>
      <c r="CA1527" s="73"/>
      <c r="CB1527" s="73"/>
      <c r="CC1527" s="73"/>
      <c r="CD1527" s="73"/>
      <c r="CE1527" s="73"/>
      <c r="CF1527" s="73"/>
      <c r="CG1527" s="73"/>
      <c r="CH1527" s="73"/>
    </row>
    <row r="1528">
      <c r="A1528" s="73"/>
      <c r="B1528" s="73"/>
      <c r="C1528" s="73"/>
      <c r="D1528" s="73"/>
      <c r="E1528" s="140"/>
      <c r="F1528" s="80"/>
      <c r="G1528" s="80"/>
      <c r="H1528" s="73"/>
      <c r="I1528" s="73"/>
      <c r="J1528" s="73"/>
      <c r="K1528" s="73"/>
      <c r="L1528" s="73"/>
      <c r="M1528" s="73"/>
      <c r="N1528" s="73"/>
      <c r="O1528" s="73"/>
      <c r="P1528" s="73"/>
      <c r="Q1528" s="73"/>
      <c r="R1528" s="73"/>
      <c r="S1528" s="73"/>
      <c r="T1528" s="73"/>
      <c r="U1528" s="73"/>
      <c r="V1528" s="73"/>
      <c r="W1528" s="73"/>
      <c r="X1528" s="73"/>
      <c r="Y1528" s="73"/>
      <c r="Z1528" s="73"/>
      <c r="AA1528" s="73"/>
      <c r="AB1528" s="73"/>
      <c r="AC1528" s="73"/>
      <c r="AD1528" s="73"/>
      <c r="AE1528" s="73"/>
      <c r="AF1528" s="73"/>
      <c r="AG1528" s="73"/>
      <c r="AH1528" s="73"/>
      <c r="AI1528" s="73"/>
      <c r="AJ1528" s="168"/>
      <c r="AK1528" s="73"/>
      <c r="AL1528" s="73"/>
      <c r="AM1528" s="73"/>
      <c r="AN1528" s="73"/>
      <c r="AO1528" s="73"/>
      <c r="AP1528" s="73"/>
      <c r="AQ1528" s="73"/>
      <c r="AR1528" s="73"/>
      <c r="AS1528" s="73"/>
      <c r="AT1528" s="73"/>
      <c r="AU1528" s="73"/>
      <c r="AV1528" s="73"/>
      <c r="AW1528" s="73"/>
      <c r="AX1528" s="73"/>
      <c r="AY1528" s="73"/>
      <c r="AZ1528" s="73"/>
      <c r="BA1528" s="73"/>
      <c r="BB1528" s="73"/>
      <c r="BC1528" s="73"/>
      <c r="BD1528" s="73"/>
      <c r="BE1528" s="73"/>
      <c r="BF1528" s="75"/>
      <c r="BG1528" s="73"/>
      <c r="BH1528" s="88"/>
      <c r="BI1528" s="73"/>
      <c r="BJ1528" s="73"/>
      <c r="BK1528" s="73"/>
      <c r="BL1528" s="73"/>
      <c r="BM1528" s="73"/>
      <c r="BN1528" s="73"/>
      <c r="BO1528" s="73"/>
      <c r="BP1528" s="73"/>
      <c r="BQ1528" s="73"/>
      <c r="BR1528" s="73"/>
      <c r="BS1528" s="73"/>
      <c r="BT1528" s="73"/>
      <c r="BU1528" s="73"/>
      <c r="BV1528" s="73"/>
      <c r="BW1528" s="73"/>
      <c r="BX1528" s="73"/>
      <c r="BY1528" s="73"/>
      <c r="BZ1528" s="73"/>
      <c r="CA1528" s="73"/>
      <c r="CB1528" s="73"/>
      <c r="CC1528" s="73"/>
      <c r="CD1528" s="73"/>
      <c r="CE1528" s="73"/>
      <c r="CF1528" s="73"/>
      <c r="CG1528" s="73"/>
      <c r="CH1528" s="73"/>
    </row>
    <row r="1529">
      <c r="A1529" s="73"/>
      <c r="B1529" s="73"/>
      <c r="C1529" s="73"/>
      <c r="D1529" s="73"/>
      <c r="E1529" s="140"/>
      <c r="F1529" s="80"/>
      <c r="G1529" s="80"/>
      <c r="H1529" s="73"/>
      <c r="I1529" s="73"/>
      <c r="J1529" s="73"/>
      <c r="K1529" s="73"/>
      <c r="L1529" s="73"/>
      <c r="M1529" s="73"/>
      <c r="N1529" s="73"/>
      <c r="O1529" s="73"/>
      <c r="P1529" s="73"/>
      <c r="Q1529" s="73"/>
      <c r="R1529" s="73"/>
      <c r="S1529" s="73"/>
      <c r="T1529" s="73"/>
      <c r="U1529" s="73"/>
      <c r="V1529" s="73"/>
      <c r="W1529" s="73"/>
      <c r="X1529" s="73"/>
      <c r="Y1529" s="73"/>
      <c r="Z1529" s="73"/>
      <c r="AA1529" s="73"/>
      <c r="AB1529" s="73"/>
      <c r="AC1529" s="73"/>
      <c r="AD1529" s="73"/>
      <c r="AE1529" s="73"/>
      <c r="AF1529" s="73"/>
      <c r="AG1529" s="73"/>
      <c r="AH1529" s="73"/>
      <c r="AI1529" s="73"/>
      <c r="AJ1529" s="168"/>
      <c r="AK1529" s="73"/>
      <c r="AL1529" s="73"/>
      <c r="AM1529" s="73"/>
      <c r="AN1529" s="73"/>
      <c r="AO1529" s="73"/>
      <c r="AP1529" s="73"/>
      <c r="AQ1529" s="73"/>
      <c r="AR1529" s="73"/>
      <c r="AS1529" s="73"/>
      <c r="AT1529" s="73"/>
      <c r="AU1529" s="73"/>
      <c r="AV1529" s="73"/>
      <c r="AW1529" s="73"/>
      <c r="AX1529" s="73"/>
      <c r="AY1529" s="73"/>
      <c r="AZ1529" s="73"/>
      <c r="BA1529" s="73"/>
      <c r="BB1529" s="73"/>
      <c r="BC1529" s="73"/>
      <c r="BD1529" s="73"/>
      <c r="BE1529" s="73"/>
      <c r="BF1529" s="75"/>
      <c r="BG1529" s="73"/>
      <c r="BH1529" s="88"/>
      <c r="BI1529" s="73"/>
      <c r="BJ1529" s="73"/>
      <c r="BK1529" s="73"/>
      <c r="BL1529" s="73"/>
      <c r="BM1529" s="73"/>
      <c r="BN1529" s="73"/>
      <c r="BO1529" s="73"/>
      <c r="BP1529" s="73"/>
      <c r="BQ1529" s="73"/>
      <c r="BR1529" s="73"/>
      <c r="BS1529" s="73"/>
      <c r="BT1529" s="73"/>
      <c r="BU1529" s="73"/>
      <c r="BV1529" s="73"/>
      <c r="BW1529" s="73"/>
      <c r="BX1529" s="73"/>
      <c r="BY1529" s="73"/>
      <c r="BZ1529" s="73"/>
      <c r="CA1529" s="73"/>
      <c r="CB1529" s="73"/>
      <c r="CC1529" s="73"/>
      <c r="CD1529" s="73"/>
      <c r="CE1529" s="73"/>
      <c r="CF1529" s="73"/>
      <c r="CG1529" s="73"/>
      <c r="CH1529" s="73"/>
    </row>
    <row r="1530">
      <c r="A1530" s="73"/>
      <c r="B1530" s="73"/>
      <c r="C1530" s="73"/>
      <c r="D1530" s="73"/>
      <c r="E1530" s="140"/>
      <c r="F1530" s="80"/>
      <c r="G1530" s="80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  <c r="S1530" s="73"/>
      <c r="T1530" s="73"/>
      <c r="U1530" s="73"/>
      <c r="V1530" s="73"/>
      <c r="W1530" s="73"/>
      <c r="X1530" s="73"/>
      <c r="Y1530" s="73"/>
      <c r="Z1530" s="73"/>
      <c r="AA1530" s="73"/>
      <c r="AB1530" s="73"/>
      <c r="AC1530" s="73"/>
      <c r="AD1530" s="73"/>
      <c r="AE1530" s="73"/>
      <c r="AF1530" s="73"/>
      <c r="AG1530" s="73"/>
      <c r="AH1530" s="73"/>
      <c r="AI1530" s="73"/>
      <c r="AJ1530" s="168"/>
      <c r="AK1530" s="73"/>
      <c r="AL1530" s="73"/>
      <c r="AM1530" s="73"/>
      <c r="AN1530" s="73"/>
      <c r="AO1530" s="73"/>
      <c r="AP1530" s="73"/>
      <c r="AQ1530" s="73"/>
      <c r="AR1530" s="73"/>
      <c r="AS1530" s="73"/>
      <c r="AT1530" s="73"/>
      <c r="AU1530" s="73"/>
      <c r="AV1530" s="73"/>
      <c r="AW1530" s="73"/>
      <c r="AX1530" s="73"/>
      <c r="AY1530" s="73"/>
      <c r="AZ1530" s="73"/>
      <c r="BA1530" s="73"/>
      <c r="BB1530" s="73"/>
      <c r="BC1530" s="73"/>
      <c r="BD1530" s="73"/>
      <c r="BE1530" s="73"/>
      <c r="BF1530" s="75"/>
      <c r="BG1530" s="73"/>
      <c r="BH1530" s="88"/>
      <c r="BI1530" s="73"/>
      <c r="BJ1530" s="73"/>
      <c r="BK1530" s="73"/>
      <c r="BL1530" s="73"/>
      <c r="BM1530" s="73"/>
      <c r="BN1530" s="73"/>
      <c r="BO1530" s="73"/>
      <c r="BP1530" s="73"/>
      <c r="BQ1530" s="73"/>
      <c r="BR1530" s="73"/>
      <c r="BS1530" s="73"/>
      <c r="BT1530" s="73"/>
      <c r="BU1530" s="73"/>
      <c r="BV1530" s="73"/>
      <c r="BW1530" s="73"/>
      <c r="BX1530" s="73"/>
      <c r="BY1530" s="73"/>
      <c r="BZ1530" s="73"/>
      <c r="CA1530" s="73"/>
      <c r="CB1530" s="73"/>
      <c r="CC1530" s="73"/>
      <c r="CD1530" s="73"/>
      <c r="CE1530" s="73"/>
      <c r="CF1530" s="73"/>
      <c r="CG1530" s="73"/>
      <c r="CH1530" s="73"/>
    </row>
    <row r="1531">
      <c r="A1531" s="73"/>
      <c r="B1531" s="73"/>
      <c r="C1531" s="73"/>
      <c r="D1531" s="73"/>
      <c r="E1531" s="140"/>
      <c r="F1531" s="80"/>
      <c r="G1531" s="80"/>
      <c r="H1531" s="73"/>
      <c r="I1531" s="73"/>
      <c r="J1531" s="73"/>
      <c r="K1531" s="73"/>
      <c r="L1531" s="73"/>
      <c r="M1531" s="73"/>
      <c r="N1531" s="73"/>
      <c r="O1531" s="73"/>
      <c r="P1531" s="73"/>
      <c r="Q1531" s="73"/>
      <c r="R1531" s="73"/>
      <c r="S1531" s="73"/>
      <c r="T1531" s="73"/>
      <c r="U1531" s="73"/>
      <c r="V1531" s="73"/>
      <c r="W1531" s="73"/>
      <c r="X1531" s="73"/>
      <c r="Y1531" s="73"/>
      <c r="Z1531" s="73"/>
      <c r="AA1531" s="73"/>
      <c r="AB1531" s="73"/>
      <c r="AC1531" s="73"/>
      <c r="AD1531" s="73"/>
      <c r="AE1531" s="73"/>
      <c r="AF1531" s="73"/>
      <c r="AG1531" s="73"/>
      <c r="AH1531" s="73"/>
      <c r="AI1531" s="73"/>
      <c r="AJ1531" s="168"/>
      <c r="AK1531" s="73"/>
      <c r="AL1531" s="73"/>
      <c r="AM1531" s="73"/>
      <c r="AN1531" s="73"/>
      <c r="AO1531" s="73"/>
      <c r="AP1531" s="73"/>
      <c r="AQ1531" s="73"/>
      <c r="AR1531" s="73"/>
      <c r="AS1531" s="73"/>
      <c r="AT1531" s="73"/>
      <c r="AU1531" s="73"/>
      <c r="AV1531" s="73"/>
      <c r="AW1531" s="73"/>
      <c r="AX1531" s="73"/>
      <c r="AY1531" s="73"/>
      <c r="AZ1531" s="73"/>
      <c r="BA1531" s="73"/>
      <c r="BB1531" s="73"/>
      <c r="BC1531" s="73"/>
      <c r="BD1531" s="73"/>
      <c r="BE1531" s="73"/>
      <c r="BF1531" s="75"/>
      <c r="BG1531" s="73"/>
      <c r="BH1531" s="88"/>
      <c r="BI1531" s="73"/>
      <c r="BJ1531" s="73"/>
      <c r="BK1531" s="73"/>
      <c r="BL1531" s="73"/>
      <c r="BM1531" s="73"/>
      <c r="BN1531" s="73"/>
      <c r="BO1531" s="73"/>
      <c r="BP1531" s="73"/>
      <c r="BQ1531" s="73"/>
      <c r="BR1531" s="73"/>
      <c r="BS1531" s="73"/>
      <c r="BT1531" s="73"/>
      <c r="BU1531" s="73"/>
      <c r="BV1531" s="73"/>
      <c r="BW1531" s="73"/>
      <c r="BX1531" s="73"/>
      <c r="BY1531" s="73"/>
      <c r="BZ1531" s="73"/>
      <c r="CA1531" s="73"/>
      <c r="CB1531" s="73"/>
      <c r="CC1531" s="73"/>
      <c r="CD1531" s="73"/>
      <c r="CE1531" s="73"/>
      <c r="CF1531" s="73"/>
      <c r="CG1531" s="73"/>
      <c r="CH1531" s="73"/>
    </row>
    <row r="1532">
      <c r="A1532" s="73"/>
      <c r="B1532" s="73"/>
      <c r="C1532" s="73"/>
      <c r="D1532" s="73"/>
      <c r="E1532" s="140"/>
      <c r="F1532" s="80"/>
      <c r="G1532" s="80"/>
      <c r="H1532" s="73"/>
      <c r="I1532" s="73"/>
      <c r="J1532" s="73"/>
      <c r="K1532" s="73"/>
      <c r="L1532" s="73"/>
      <c r="M1532" s="73"/>
      <c r="N1532" s="73"/>
      <c r="O1532" s="73"/>
      <c r="P1532" s="73"/>
      <c r="Q1532" s="73"/>
      <c r="R1532" s="73"/>
      <c r="S1532" s="73"/>
      <c r="T1532" s="73"/>
      <c r="U1532" s="73"/>
      <c r="V1532" s="73"/>
      <c r="W1532" s="73"/>
      <c r="X1532" s="73"/>
      <c r="Y1532" s="73"/>
      <c r="Z1532" s="73"/>
      <c r="AA1532" s="73"/>
      <c r="AB1532" s="73"/>
      <c r="AC1532" s="73"/>
      <c r="AD1532" s="73"/>
      <c r="AE1532" s="73"/>
      <c r="AF1532" s="73"/>
      <c r="AG1532" s="73"/>
      <c r="AH1532" s="73"/>
      <c r="AI1532" s="73"/>
      <c r="AJ1532" s="168"/>
      <c r="AK1532" s="73"/>
      <c r="AL1532" s="73"/>
      <c r="AM1532" s="73"/>
      <c r="AN1532" s="73"/>
      <c r="AO1532" s="73"/>
      <c r="AP1532" s="73"/>
      <c r="AQ1532" s="73"/>
      <c r="AR1532" s="73"/>
      <c r="AS1532" s="73"/>
      <c r="AT1532" s="73"/>
      <c r="AU1532" s="73"/>
      <c r="AV1532" s="73"/>
      <c r="AW1532" s="73"/>
      <c r="AX1532" s="73"/>
      <c r="AY1532" s="73"/>
      <c r="AZ1532" s="73"/>
      <c r="BA1532" s="73"/>
      <c r="BB1532" s="73"/>
      <c r="BC1532" s="73"/>
      <c r="BD1532" s="73"/>
      <c r="BE1532" s="73"/>
      <c r="BF1532" s="75"/>
      <c r="BG1532" s="73"/>
      <c r="BH1532" s="88"/>
      <c r="BI1532" s="73"/>
      <c r="BJ1532" s="73"/>
      <c r="BK1532" s="73"/>
      <c r="BL1532" s="73"/>
      <c r="BM1532" s="73"/>
      <c r="BN1532" s="73"/>
      <c r="BO1532" s="73"/>
      <c r="BP1532" s="73"/>
      <c r="BQ1532" s="73"/>
      <c r="BR1532" s="73"/>
      <c r="BS1532" s="73"/>
      <c r="BT1532" s="73"/>
      <c r="BU1532" s="73"/>
      <c r="BV1532" s="73"/>
      <c r="BW1532" s="73"/>
      <c r="BX1532" s="73"/>
      <c r="BY1532" s="73"/>
      <c r="BZ1532" s="73"/>
      <c r="CA1532" s="73"/>
      <c r="CB1532" s="73"/>
      <c r="CC1532" s="73"/>
      <c r="CD1532" s="73"/>
      <c r="CE1532" s="73"/>
      <c r="CF1532" s="73"/>
      <c r="CG1532" s="73"/>
      <c r="CH1532" s="73"/>
    </row>
    <row r="1533">
      <c r="A1533" s="73"/>
      <c r="B1533" s="73"/>
      <c r="C1533" s="73"/>
      <c r="D1533" s="73"/>
      <c r="E1533" s="140"/>
      <c r="F1533" s="80"/>
      <c r="G1533" s="80"/>
      <c r="H1533" s="73"/>
      <c r="I1533" s="73"/>
      <c r="J1533" s="73"/>
      <c r="K1533" s="73"/>
      <c r="L1533" s="73"/>
      <c r="M1533" s="73"/>
      <c r="N1533" s="73"/>
      <c r="O1533" s="73"/>
      <c r="P1533" s="73"/>
      <c r="Q1533" s="73"/>
      <c r="R1533" s="73"/>
      <c r="S1533" s="73"/>
      <c r="T1533" s="73"/>
      <c r="U1533" s="73"/>
      <c r="V1533" s="73"/>
      <c r="W1533" s="73"/>
      <c r="X1533" s="73"/>
      <c r="Y1533" s="73"/>
      <c r="Z1533" s="73"/>
      <c r="AA1533" s="73"/>
      <c r="AB1533" s="73"/>
      <c r="AC1533" s="73"/>
      <c r="AD1533" s="73"/>
      <c r="AE1533" s="73"/>
      <c r="AF1533" s="73"/>
      <c r="AG1533" s="73"/>
      <c r="AH1533" s="73"/>
      <c r="AI1533" s="73"/>
      <c r="AJ1533" s="168"/>
      <c r="AK1533" s="73"/>
      <c r="AL1533" s="73"/>
      <c r="AM1533" s="73"/>
      <c r="AN1533" s="73"/>
      <c r="AO1533" s="73"/>
      <c r="AP1533" s="73"/>
      <c r="AQ1533" s="73"/>
      <c r="AR1533" s="73"/>
      <c r="AS1533" s="73"/>
      <c r="AT1533" s="73"/>
      <c r="AU1533" s="73"/>
      <c r="AV1533" s="73"/>
      <c r="AW1533" s="73"/>
      <c r="AX1533" s="73"/>
      <c r="AY1533" s="73"/>
      <c r="AZ1533" s="73"/>
      <c r="BA1533" s="73"/>
      <c r="BB1533" s="73"/>
      <c r="BC1533" s="73"/>
      <c r="BD1533" s="73"/>
      <c r="BE1533" s="73"/>
      <c r="BF1533" s="75"/>
      <c r="BG1533" s="73"/>
      <c r="BH1533" s="88"/>
      <c r="BI1533" s="73"/>
      <c r="BJ1533" s="73"/>
      <c r="BK1533" s="73"/>
      <c r="BL1533" s="73"/>
      <c r="BM1533" s="73"/>
      <c r="BN1533" s="73"/>
      <c r="BO1533" s="73"/>
      <c r="BP1533" s="73"/>
      <c r="BQ1533" s="73"/>
      <c r="BR1533" s="73"/>
      <c r="BS1533" s="73"/>
      <c r="BT1533" s="73"/>
      <c r="BU1533" s="73"/>
      <c r="BV1533" s="73"/>
      <c r="BW1533" s="73"/>
      <c r="BX1533" s="73"/>
      <c r="BY1533" s="73"/>
      <c r="BZ1533" s="73"/>
      <c r="CA1533" s="73"/>
      <c r="CB1533" s="73"/>
      <c r="CC1533" s="73"/>
      <c r="CD1533" s="73"/>
      <c r="CE1533" s="73"/>
      <c r="CF1533" s="73"/>
      <c r="CG1533" s="73"/>
      <c r="CH1533" s="73"/>
    </row>
    <row r="1534">
      <c r="A1534" s="73"/>
      <c r="B1534" s="73"/>
      <c r="C1534" s="73"/>
      <c r="D1534" s="73"/>
      <c r="E1534" s="140"/>
      <c r="F1534" s="80"/>
      <c r="G1534" s="80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  <c r="S1534" s="73"/>
      <c r="T1534" s="73"/>
      <c r="U1534" s="73"/>
      <c r="V1534" s="73"/>
      <c r="W1534" s="73"/>
      <c r="X1534" s="73"/>
      <c r="Y1534" s="73"/>
      <c r="Z1534" s="73"/>
      <c r="AA1534" s="73"/>
      <c r="AB1534" s="73"/>
      <c r="AC1534" s="73"/>
      <c r="AD1534" s="73"/>
      <c r="AE1534" s="73"/>
      <c r="AF1534" s="73"/>
      <c r="AG1534" s="73"/>
      <c r="AH1534" s="73"/>
      <c r="AI1534" s="73"/>
      <c r="AJ1534" s="168"/>
      <c r="AK1534" s="73"/>
      <c r="AL1534" s="73"/>
      <c r="AM1534" s="73"/>
      <c r="AN1534" s="73"/>
      <c r="AO1534" s="73"/>
      <c r="AP1534" s="73"/>
      <c r="AQ1534" s="73"/>
      <c r="AR1534" s="73"/>
      <c r="AS1534" s="73"/>
      <c r="AT1534" s="73"/>
      <c r="AU1534" s="73"/>
      <c r="AV1534" s="73"/>
      <c r="AW1534" s="73"/>
      <c r="AX1534" s="73"/>
      <c r="AY1534" s="73"/>
      <c r="AZ1534" s="73"/>
      <c r="BA1534" s="73"/>
      <c r="BB1534" s="73"/>
      <c r="BC1534" s="73"/>
      <c r="BD1534" s="73"/>
      <c r="BE1534" s="73"/>
      <c r="BF1534" s="75"/>
      <c r="BG1534" s="73"/>
      <c r="BH1534" s="88"/>
      <c r="BI1534" s="73"/>
      <c r="BJ1534" s="73"/>
      <c r="BK1534" s="73"/>
      <c r="BL1534" s="73"/>
      <c r="BM1534" s="73"/>
      <c r="BN1534" s="73"/>
      <c r="BO1534" s="73"/>
      <c r="BP1534" s="73"/>
      <c r="BQ1534" s="73"/>
      <c r="BR1534" s="73"/>
      <c r="BS1534" s="73"/>
      <c r="BT1534" s="73"/>
      <c r="BU1534" s="73"/>
      <c r="BV1534" s="73"/>
      <c r="BW1534" s="73"/>
      <c r="BX1534" s="73"/>
      <c r="BY1534" s="73"/>
      <c r="BZ1534" s="73"/>
      <c r="CA1534" s="73"/>
      <c r="CB1534" s="73"/>
      <c r="CC1534" s="73"/>
      <c r="CD1534" s="73"/>
      <c r="CE1534" s="73"/>
      <c r="CF1534" s="73"/>
      <c r="CG1534" s="73"/>
      <c r="CH1534" s="73"/>
    </row>
    <row r="1535">
      <c r="A1535" s="73"/>
      <c r="B1535" s="73"/>
      <c r="C1535" s="73"/>
      <c r="D1535" s="73"/>
      <c r="E1535" s="140"/>
      <c r="F1535" s="80"/>
      <c r="G1535" s="80"/>
      <c r="H1535" s="73"/>
      <c r="I1535" s="73"/>
      <c r="J1535" s="73"/>
      <c r="K1535" s="73"/>
      <c r="L1535" s="73"/>
      <c r="M1535" s="73"/>
      <c r="N1535" s="73"/>
      <c r="O1535" s="73"/>
      <c r="P1535" s="73"/>
      <c r="Q1535" s="73"/>
      <c r="R1535" s="73"/>
      <c r="S1535" s="73"/>
      <c r="T1535" s="73"/>
      <c r="U1535" s="73"/>
      <c r="V1535" s="73"/>
      <c r="W1535" s="73"/>
      <c r="X1535" s="73"/>
      <c r="Y1535" s="73"/>
      <c r="Z1535" s="73"/>
      <c r="AA1535" s="73"/>
      <c r="AB1535" s="73"/>
      <c r="AC1535" s="73"/>
      <c r="AD1535" s="73"/>
      <c r="AE1535" s="73"/>
      <c r="AF1535" s="73"/>
      <c r="AG1535" s="73"/>
      <c r="AH1535" s="73"/>
      <c r="AI1535" s="73"/>
      <c r="AJ1535" s="168"/>
      <c r="AK1535" s="73"/>
      <c r="AL1535" s="73"/>
      <c r="AM1535" s="73"/>
      <c r="AN1535" s="73"/>
      <c r="AO1535" s="73"/>
      <c r="AP1535" s="73"/>
      <c r="AQ1535" s="73"/>
      <c r="AR1535" s="73"/>
      <c r="AS1535" s="73"/>
      <c r="AT1535" s="73"/>
      <c r="AU1535" s="73"/>
      <c r="AV1535" s="73"/>
      <c r="AW1535" s="73"/>
      <c r="AX1535" s="73"/>
      <c r="AY1535" s="73"/>
      <c r="AZ1535" s="73"/>
      <c r="BA1535" s="73"/>
      <c r="BB1535" s="73"/>
      <c r="BC1535" s="73"/>
      <c r="BD1535" s="73"/>
      <c r="BE1535" s="73"/>
      <c r="BF1535" s="75"/>
      <c r="BG1535" s="73"/>
      <c r="BH1535" s="88"/>
      <c r="BI1535" s="73"/>
      <c r="BJ1535" s="73"/>
      <c r="BK1535" s="73"/>
      <c r="BL1535" s="73"/>
      <c r="BM1535" s="73"/>
      <c r="BN1535" s="73"/>
      <c r="BO1535" s="73"/>
      <c r="BP1535" s="73"/>
      <c r="BQ1535" s="73"/>
      <c r="BR1535" s="73"/>
      <c r="BS1535" s="73"/>
      <c r="BT1535" s="73"/>
      <c r="BU1535" s="73"/>
      <c r="BV1535" s="73"/>
      <c r="BW1535" s="73"/>
      <c r="BX1535" s="73"/>
      <c r="BY1535" s="73"/>
      <c r="BZ1535" s="73"/>
      <c r="CA1535" s="73"/>
      <c r="CB1535" s="73"/>
      <c r="CC1535" s="73"/>
      <c r="CD1535" s="73"/>
      <c r="CE1535" s="73"/>
      <c r="CF1535" s="73"/>
      <c r="CG1535" s="73"/>
      <c r="CH1535" s="73"/>
    </row>
    <row r="1536">
      <c r="A1536" s="73"/>
      <c r="B1536" s="73"/>
      <c r="C1536" s="73"/>
      <c r="D1536" s="73"/>
      <c r="E1536" s="140"/>
      <c r="F1536" s="80"/>
      <c r="G1536" s="80"/>
      <c r="H1536" s="73"/>
      <c r="I1536" s="73"/>
      <c r="J1536" s="73"/>
      <c r="K1536" s="73"/>
      <c r="L1536" s="73"/>
      <c r="M1536" s="73"/>
      <c r="N1536" s="73"/>
      <c r="O1536" s="73"/>
      <c r="P1536" s="73"/>
      <c r="Q1536" s="73"/>
      <c r="R1536" s="73"/>
      <c r="S1536" s="73"/>
      <c r="T1536" s="73"/>
      <c r="U1536" s="73"/>
      <c r="V1536" s="73"/>
      <c r="W1536" s="73"/>
      <c r="X1536" s="73"/>
      <c r="Y1536" s="73"/>
      <c r="Z1536" s="73"/>
      <c r="AA1536" s="73"/>
      <c r="AB1536" s="73"/>
      <c r="AC1536" s="73"/>
      <c r="AD1536" s="73"/>
      <c r="AE1536" s="73"/>
      <c r="AF1536" s="73"/>
      <c r="AG1536" s="73"/>
      <c r="AH1536" s="73"/>
      <c r="AI1536" s="73"/>
      <c r="AJ1536" s="168"/>
      <c r="AK1536" s="73"/>
      <c r="AL1536" s="73"/>
      <c r="AM1536" s="73"/>
      <c r="AN1536" s="73"/>
      <c r="AO1536" s="73"/>
      <c r="AP1536" s="73"/>
      <c r="AQ1536" s="73"/>
      <c r="AR1536" s="73"/>
      <c r="AS1536" s="73"/>
      <c r="AT1536" s="73"/>
      <c r="AU1536" s="73"/>
      <c r="AV1536" s="73"/>
      <c r="AW1536" s="73"/>
      <c r="AX1536" s="73"/>
      <c r="AY1536" s="73"/>
      <c r="AZ1536" s="73"/>
      <c r="BA1536" s="73"/>
      <c r="BB1536" s="73"/>
      <c r="BC1536" s="73"/>
      <c r="BD1536" s="73"/>
      <c r="BE1536" s="73"/>
      <c r="BF1536" s="75"/>
      <c r="BG1536" s="73"/>
      <c r="BH1536" s="88"/>
      <c r="BI1536" s="73"/>
      <c r="BJ1536" s="73"/>
      <c r="BK1536" s="73"/>
      <c r="BL1536" s="73"/>
      <c r="BM1536" s="73"/>
      <c r="BN1536" s="73"/>
      <c r="BO1536" s="73"/>
      <c r="BP1536" s="73"/>
      <c r="BQ1536" s="73"/>
      <c r="BR1536" s="73"/>
      <c r="BS1536" s="73"/>
      <c r="BT1536" s="73"/>
      <c r="BU1536" s="73"/>
      <c r="BV1536" s="73"/>
      <c r="BW1536" s="73"/>
      <c r="BX1536" s="73"/>
      <c r="BY1536" s="73"/>
      <c r="BZ1536" s="73"/>
      <c r="CA1536" s="73"/>
      <c r="CB1536" s="73"/>
      <c r="CC1536" s="73"/>
      <c r="CD1536" s="73"/>
      <c r="CE1536" s="73"/>
      <c r="CF1536" s="73"/>
      <c r="CG1536" s="73"/>
      <c r="CH1536" s="73"/>
    </row>
    <row r="1537">
      <c r="A1537" s="73"/>
      <c r="B1537" s="73"/>
      <c r="C1537" s="73"/>
      <c r="D1537" s="73"/>
      <c r="E1537" s="140"/>
      <c r="F1537" s="80"/>
      <c r="G1537" s="80"/>
      <c r="H1537" s="73"/>
      <c r="I1537" s="73"/>
      <c r="J1537" s="73"/>
      <c r="K1537" s="73"/>
      <c r="L1537" s="73"/>
      <c r="M1537" s="73"/>
      <c r="N1537" s="73"/>
      <c r="O1537" s="73"/>
      <c r="P1537" s="73"/>
      <c r="Q1537" s="73"/>
      <c r="R1537" s="73"/>
      <c r="S1537" s="73"/>
      <c r="T1537" s="73"/>
      <c r="U1537" s="73"/>
      <c r="V1537" s="73"/>
      <c r="W1537" s="73"/>
      <c r="X1537" s="73"/>
      <c r="Y1537" s="73"/>
      <c r="Z1537" s="73"/>
      <c r="AA1537" s="73"/>
      <c r="AB1537" s="73"/>
      <c r="AC1537" s="73"/>
      <c r="AD1537" s="73"/>
      <c r="AE1537" s="73"/>
      <c r="AF1537" s="73"/>
      <c r="AG1537" s="73"/>
      <c r="AH1537" s="73"/>
      <c r="AI1537" s="73"/>
      <c r="AJ1537" s="168"/>
      <c r="AK1537" s="73"/>
      <c r="AL1537" s="73"/>
      <c r="AM1537" s="73"/>
      <c r="AN1537" s="73"/>
      <c r="AO1537" s="73"/>
      <c r="AP1537" s="73"/>
      <c r="AQ1537" s="73"/>
      <c r="AR1537" s="73"/>
      <c r="AS1537" s="73"/>
      <c r="AT1537" s="73"/>
      <c r="AU1537" s="73"/>
      <c r="AV1537" s="73"/>
      <c r="AW1537" s="73"/>
      <c r="AX1537" s="73"/>
      <c r="AY1537" s="73"/>
      <c r="AZ1537" s="73"/>
      <c r="BA1537" s="73"/>
      <c r="BB1537" s="73"/>
      <c r="BC1537" s="73"/>
      <c r="BD1537" s="73"/>
      <c r="BE1537" s="73"/>
      <c r="BF1537" s="75"/>
      <c r="BG1537" s="73"/>
      <c r="BH1537" s="88"/>
      <c r="BI1537" s="73"/>
      <c r="BJ1537" s="73"/>
      <c r="BK1537" s="73"/>
      <c r="BL1537" s="73"/>
      <c r="BM1537" s="73"/>
      <c r="BN1537" s="73"/>
      <c r="BO1537" s="73"/>
      <c r="BP1537" s="73"/>
      <c r="BQ1537" s="73"/>
      <c r="BR1537" s="73"/>
      <c r="BS1537" s="73"/>
      <c r="BT1537" s="73"/>
      <c r="BU1537" s="73"/>
      <c r="BV1537" s="73"/>
      <c r="BW1537" s="73"/>
      <c r="BX1537" s="73"/>
      <c r="BY1537" s="73"/>
      <c r="BZ1537" s="73"/>
      <c r="CA1537" s="73"/>
      <c r="CB1537" s="73"/>
      <c r="CC1537" s="73"/>
      <c r="CD1537" s="73"/>
      <c r="CE1537" s="73"/>
      <c r="CF1537" s="73"/>
      <c r="CG1537" s="73"/>
      <c r="CH1537" s="73"/>
    </row>
    <row r="1538">
      <c r="A1538" s="73"/>
      <c r="B1538" s="73"/>
      <c r="C1538" s="73"/>
      <c r="D1538" s="73"/>
      <c r="E1538" s="140"/>
      <c r="F1538" s="80"/>
      <c r="G1538" s="80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  <c r="S1538" s="73"/>
      <c r="T1538" s="73"/>
      <c r="U1538" s="73"/>
      <c r="V1538" s="73"/>
      <c r="W1538" s="73"/>
      <c r="X1538" s="73"/>
      <c r="Y1538" s="73"/>
      <c r="Z1538" s="73"/>
      <c r="AA1538" s="73"/>
      <c r="AB1538" s="73"/>
      <c r="AC1538" s="73"/>
      <c r="AD1538" s="73"/>
      <c r="AE1538" s="73"/>
      <c r="AF1538" s="73"/>
      <c r="AG1538" s="73"/>
      <c r="AH1538" s="73"/>
      <c r="AI1538" s="73"/>
      <c r="AJ1538" s="168"/>
      <c r="AK1538" s="73"/>
      <c r="AL1538" s="73"/>
      <c r="AM1538" s="73"/>
      <c r="AN1538" s="73"/>
      <c r="AO1538" s="73"/>
      <c r="AP1538" s="73"/>
      <c r="AQ1538" s="73"/>
      <c r="AR1538" s="73"/>
      <c r="AS1538" s="73"/>
      <c r="AT1538" s="73"/>
      <c r="AU1538" s="73"/>
      <c r="AV1538" s="73"/>
      <c r="AW1538" s="73"/>
      <c r="AX1538" s="73"/>
      <c r="AY1538" s="73"/>
      <c r="AZ1538" s="73"/>
      <c r="BA1538" s="73"/>
      <c r="BB1538" s="73"/>
      <c r="BC1538" s="73"/>
      <c r="BD1538" s="73"/>
      <c r="BE1538" s="73"/>
      <c r="BF1538" s="75"/>
      <c r="BG1538" s="73"/>
      <c r="BH1538" s="88"/>
      <c r="BI1538" s="73"/>
      <c r="BJ1538" s="73"/>
      <c r="BK1538" s="73"/>
      <c r="BL1538" s="73"/>
      <c r="BM1538" s="73"/>
      <c r="BN1538" s="73"/>
      <c r="BO1538" s="73"/>
      <c r="BP1538" s="73"/>
      <c r="BQ1538" s="73"/>
      <c r="BR1538" s="73"/>
      <c r="BS1538" s="73"/>
      <c r="BT1538" s="73"/>
      <c r="BU1538" s="73"/>
      <c r="BV1538" s="73"/>
      <c r="BW1538" s="73"/>
      <c r="BX1538" s="73"/>
      <c r="BY1538" s="73"/>
      <c r="BZ1538" s="73"/>
      <c r="CA1538" s="73"/>
      <c r="CB1538" s="73"/>
      <c r="CC1538" s="73"/>
      <c r="CD1538" s="73"/>
      <c r="CE1538" s="73"/>
      <c r="CF1538" s="73"/>
      <c r="CG1538" s="73"/>
      <c r="CH1538" s="73"/>
    </row>
    <row r="1539">
      <c r="A1539" s="73"/>
      <c r="B1539" s="73"/>
      <c r="C1539" s="73"/>
      <c r="D1539" s="73"/>
      <c r="E1539" s="140"/>
      <c r="F1539" s="80"/>
      <c r="G1539" s="80"/>
      <c r="H1539" s="73"/>
      <c r="I1539" s="73"/>
      <c r="J1539" s="73"/>
      <c r="K1539" s="73"/>
      <c r="L1539" s="73"/>
      <c r="M1539" s="73"/>
      <c r="N1539" s="73"/>
      <c r="O1539" s="73"/>
      <c r="P1539" s="73"/>
      <c r="Q1539" s="73"/>
      <c r="R1539" s="73"/>
      <c r="S1539" s="73"/>
      <c r="T1539" s="73"/>
      <c r="U1539" s="73"/>
      <c r="V1539" s="73"/>
      <c r="W1539" s="73"/>
      <c r="X1539" s="73"/>
      <c r="Y1539" s="73"/>
      <c r="Z1539" s="73"/>
      <c r="AA1539" s="73"/>
      <c r="AB1539" s="73"/>
      <c r="AC1539" s="73"/>
      <c r="AD1539" s="73"/>
      <c r="AE1539" s="73"/>
      <c r="AF1539" s="73"/>
      <c r="AG1539" s="73"/>
      <c r="AH1539" s="73"/>
      <c r="AI1539" s="73"/>
      <c r="AJ1539" s="168"/>
      <c r="AK1539" s="73"/>
      <c r="AL1539" s="73"/>
      <c r="AM1539" s="73"/>
      <c r="AN1539" s="73"/>
      <c r="AO1539" s="73"/>
      <c r="AP1539" s="73"/>
      <c r="AQ1539" s="73"/>
      <c r="AR1539" s="73"/>
      <c r="AS1539" s="73"/>
      <c r="AT1539" s="73"/>
      <c r="AU1539" s="73"/>
      <c r="AV1539" s="73"/>
      <c r="AW1539" s="73"/>
      <c r="AX1539" s="73"/>
      <c r="AY1539" s="73"/>
      <c r="AZ1539" s="73"/>
      <c r="BA1539" s="73"/>
      <c r="BB1539" s="73"/>
      <c r="BC1539" s="73"/>
      <c r="BD1539" s="73"/>
      <c r="BE1539" s="73"/>
      <c r="BF1539" s="75"/>
      <c r="BG1539" s="73"/>
      <c r="BH1539" s="88"/>
      <c r="BI1539" s="73"/>
      <c r="BJ1539" s="73"/>
      <c r="BK1539" s="73"/>
      <c r="BL1539" s="73"/>
      <c r="BM1539" s="73"/>
      <c r="BN1539" s="73"/>
      <c r="BO1539" s="73"/>
      <c r="BP1539" s="73"/>
      <c r="BQ1539" s="73"/>
      <c r="BR1539" s="73"/>
      <c r="BS1539" s="73"/>
      <c r="BT1539" s="73"/>
      <c r="BU1539" s="73"/>
      <c r="BV1539" s="73"/>
      <c r="BW1539" s="73"/>
      <c r="BX1539" s="73"/>
      <c r="BY1539" s="73"/>
      <c r="BZ1539" s="73"/>
      <c r="CA1539" s="73"/>
      <c r="CB1539" s="73"/>
      <c r="CC1539" s="73"/>
      <c r="CD1539" s="73"/>
      <c r="CE1539" s="73"/>
      <c r="CF1539" s="73"/>
      <c r="CG1539" s="73"/>
      <c r="CH1539" s="73"/>
    </row>
    <row r="1540">
      <c r="A1540" s="73"/>
      <c r="B1540" s="73"/>
      <c r="C1540" s="73"/>
      <c r="D1540" s="73"/>
      <c r="E1540" s="140"/>
      <c r="F1540" s="80"/>
      <c r="G1540" s="80"/>
      <c r="H1540" s="73"/>
      <c r="I1540" s="73"/>
      <c r="J1540" s="73"/>
      <c r="K1540" s="73"/>
      <c r="L1540" s="73"/>
      <c r="M1540" s="73"/>
      <c r="N1540" s="73"/>
      <c r="O1540" s="73"/>
      <c r="P1540" s="73"/>
      <c r="Q1540" s="73"/>
      <c r="R1540" s="73"/>
      <c r="S1540" s="73"/>
      <c r="T1540" s="73"/>
      <c r="U1540" s="73"/>
      <c r="V1540" s="73"/>
      <c r="W1540" s="73"/>
      <c r="X1540" s="73"/>
      <c r="Y1540" s="73"/>
      <c r="Z1540" s="73"/>
      <c r="AA1540" s="73"/>
      <c r="AB1540" s="73"/>
      <c r="AC1540" s="73"/>
      <c r="AD1540" s="73"/>
      <c r="AE1540" s="73"/>
      <c r="AF1540" s="73"/>
      <c r="AG1540" s="73"/>
      <c r="AH1540" s="73"/>
      <c r="AI1540" s="73"/>
      <c r="AJ1540" s="168"/>
      <c r="AK1540" s="73"/>
      <c r="AL1540" s="73"/>
      <c r="AM1540" s="73"/>
      <c r="AN1540" s="73"/>
      <c r="AO1540" s="73"/>
      <c r="AP1540" s="73"/>
      <c r="AQ1540" s="73"/>
      <c r="AR1540" s="73"/>
      <c r="AS1540" s="73"/>
      <c r="AT1540" s="73"/>
      <c r="AU1540" s="73"/>
      <c r="AV1540" s="73"/>
      <c r="AW1540" s="73"/>
      <c r="AX1540" s="73"/>
      <c r="AY1540" s="73"/>
      <c r="AZ1540" s="73"/>
      <c r="BA1540" s="73"/>
      <c r="BB1540" s="73"/>
      <c r="BC1540" s="73"/>
      <c r="BD1540" s="73"/>
      <c r="BE1540" s="73"/>
      <c r="BF1540" s="75"/>
      <c r="BG1540" s="73"/>
      <c r="BH1540" s="88"/>
      <c r="BI1540" s="73"/>
      <c r="BJ1540" s="73"/>
      <c r="BK1540" s="73"/>
      <c r="BL1540" s="73"/>
      <c r="BM1540" s="73"/>
      <c r="BN1540" s="73"/>
      <c r="BO1540" s="73"/>
      <c r="BP1540" s="73"/>
      <c r="BQ1540" s="73"/>
      <c r="BR1540" s="73"/>
      <c r="BS1540" s="73"/>
      <c r="BT1540" s="73"/>
      <c r="BU1540" s="73"/>
      <c r="BV1540" s="73"/>
      <c r="BW1540" s="73"/>
      <c r="BX1540" s="73"/>
      <c r="BY1540" s="73"/>
      <c r="BZ1540" s="73"/>
      <c r="CA1540" s="73"/>
      <c r="CB1540" s="73"/>
      <c r="CC1540" s="73"/>
      <c r="CD1540" s="73"/>
      <c r="CE1540" s="73"/>
      <c r="CF1540" s="73"/>
      <c r="CG1540" s="73"/>
      <c r="CH1540" s="73"/>
    </row>
    <row r="1541">
      <c r="A1541" s="73"/>
      <c r="B1541" s="73"/>
      <c r="C1541" s="73"/>
      <c r="D1541" s="73"/>
      <c r="E1541" s="140"/>
      <c r="F1541" s="80"/>
      <c r="G1541" s="80"/>
      <c r="H1541" s="73"/>
      <c r="I1541" s="73"/>
      <c r="J1541" s="73"/>
      <c r="K1541" s="73"/>
      <c r="L1541" s="73"/>
      <c r="M1541" s="73"/>
      <c r="N1541" s="73"/>
      <c r="O1541" s="73"/>
      <c r="P1541" s="73"/>
      <c r="Q1541" s="73"/>
      <c r="R1541" s="73"/>
      <c r="S1541" s="73"/>
      <c r="T1541" s="73"/>
      <c r="U1541" s="73"/>
      <c r="V1541" s="73"/>
      <c r="W1541" s="73"/>
      <c r="X1541" s="73"/>
      <c r="Y1541" s="73"/>
      <c r="Z1541" s="73"/>
      <c r="AA1541" s="73"/>
      <c r="AB1541" s="73"/>
      <c r="AC1541" s="73"/>
      <c r="AD1541" s="73"/>
      <c r="AE1541" s="73"/>
      <c r="AF1541" s="73"/>
      <c r="AG1541" s="73"/>
      <c r="AH1541" s="73"/>
      <c r="AI1541" s="73"/>
      <c r="AJ1541" s="168"/>
      <c r="AK1541" s="73"/>
      <c r="AL1541" s="73"/>
      <c r="AM1541" s="73"/>
      <c r="AN1541" s="73"/>
      <c r="AO1541" s="73"/>
      <c r="AP1541" s="73"/>
      <c r="AQ1541" s="73"/>
      <c r="AR1541" s="73"/>
      <c r="AS1541" s="73"/>
      <c r="AT1541" s="73"/>
      <c r="AU1541" s="73"/>
      <c r="AV1541" s="73"/>
      <c r="AW1541" s="73"/>
      <c r="AX1541" s="73"/>
      <c r="AY1541" s="73"/>
      <c r="AZ1541" s="73"/>
      <c r="BA1541" s="73"/>
      <c r="BB1541" s="73"/>
      <c r="BC1541" s="73"/>
      <c r="BD1541" s="73"/>
      <c r="BE1541" s="73"/>
      <c r="BF1541" s="75"/>
      <c r="BG1541" s="73"/>
      <c r="BH1541" s="88"/>
      <c r="BI1541" s="73"/>
      <c r="BJ1541" s="73"/>
      <c r="BK1541" s="73"/>
      <c r="BL1541" s="73"/>
      <c r="BM1541" s="73"/>
      <c r="BN1541" s="73"/>
      <c r="BO1541" s="73"/>
      <c r="BP1541" s="73"/>
      <c r="BQ1541" s="73"/>
      <c r="BR1541" s="73"/>
      <c r="BS1541" s="73"/>
      <c r="BT1541" s="73"/>
      <c r="BU1541" s="73"/>
      <c r="BV1541" s="73"/>
      <c r="BW1541" s="73"/>
      <c r="BX1541" s="73"/>
      <c r="BY1541" s="73"/>
      <c r="BZ1541" s="73"/>
      <c r="CA1541" s="73"/>
      <c r="CB1541" s="73"/>
      <c r="CC1541" s="73"/>
      <c r="CD1541" s="73"/>
      <c r="CE1541" s="73"/>
      <c r="CF1541" s="73"/>
      <c r="CG1541" s="73"/>
      <c r="CH1541" s="73"/>
    </row>
    <row r="1542">
      <c r="A1542" s="73"/>
      <c r="B1542" s="73"/>
      <c r="C1542" s="73"/>
      <c r="D1542" s="73"/>
      <c r="E1542" s="140"/>
      <c r="F1542" s="80"/>
      <c r="G1542" s="80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  <c r="S1542" s="73"/>
      <c r="T1542" s="73"/>
      <c r="U1542" s="73"/>
      <c r="V1542" s="73"/>
      <c r="W1542" s="73"/>
      <c r="X1542" s="73"/>
      <c r="Y1542" s="73"/>
      <c r="Z1542" s="73"/>
      <c r="AA1542" s="73"/>
      <c r="AB1542" s="73"/>
      <c r="AC1542" s="73"/>
      <c r="AD1542" s="73"/>
      <c r="AE1542" s="73"/>
      <c r="AF1542" s="73"/>
      <c r="AG1542" s="73"/>
      <c r="AH1542" s="73"/>
      <c r="AI1542" s="73"/>
      <c r="AJ1542" s="168"/>
      <c r="AK1542" s="73"/>
      <c r="AL1542" s="73"/>
      <c r="AM1542" s="73"/>
      <c r="AN1542" s="73"/>
      <c r="AO1542" s="73"/>
      <c r="AP1542" s="73"/>
      <c r="AQ1542" s="73"/>
      <c r="AR1542" s="73"/>
      <c r="AS1542" s="73"/>
      <c r="AT1542" s="73"/>
      <c r="AU1542" s="73"/>
      <c r="AV1542" s="73"/>
      <c r="AW1542" s="73"/>
      <c r="AX1542" s="73"/>
      <c r="AY1542" s="73"/>
      <c r="AZ1542" s="73"/>
      <c r="BA1542" s="73"/>
      <c r="BB1542" s="73"/>
      <c r="BC1542" s="73"/>
      <c r="BD1542" s="73"/>
      <c r="BE1542" s="73"/>
      <c r="BF1542" s="75"/>
      <c r="BG1542" s="73"/>
      <c r="BH1542" s="88"/>
      <c r="BI1542" s="73"/>
      <c r="BJ1542" s="73"/>
      <c r="BK1542" s="73"/>
      <c r="BL1542" s="73"/>
      <c r="BM1542" s="73"/>
      <c r="BN1542" s="73"/>
      <c r="BO1542" s="73"/>
      <c r="BP1542" s="73"/>
      <c r="BQ1542" s="73"/>
      <c r="BR1542" s="73"/>
      <c r="BS1542" s="73"/>
      <c r="BT1542" s="73"/>
      <c r="BU1542" s="73"/>
      <c r="BV1542" s="73"/>
      <c r="BW1542" s="73"/>
      <c r="BX1542" s="73"/>
      <c r="BY1542" s="73"/>
      <c r="BZ1542" s="73"/>
      <c r="CA1542" s="73"/>
      <c r="CB1542" s="73"/>
      <c r="CC1542" s="73"/>
      <c r="CD1542" s="73"/>
      <c r="CE1542" s="73"/>
      <c r="CF1542" s="73"/>
      <c r="CG1542" s="73"/>
      <c r="CH1542" s="73"/>
    </row>
    <row r="1543">
      <c r="A1543" s="73"/>
      <c r="B1543" s="73"/>
      <c r="C1543" s="73"/>
      <c r="D1543" s="73"/>
      <c r="E1543" s="140"/>
      <c r="F1543" s="80"/>
      <c r="G1543" s="80"/>
      <c r="H1543" s="73"/>
      <c r="I1543" s="73"/>
      <c r="J1543" s="73"/>
      <c r="K1543" s="73"/>
      <c r="L1543" s="73"/>
      <c r="M1543" s="73"/>
      <c r="N1543" s="73"/>
      <c r="O1543" s="73"/>
      <c r="P1543" s="73"/>
      <c r="Q1543" s="73"/>
      <c r="R1543" s="73"/>
      <c r="S1543" s="73"/>
      <c r="T1543" s="73"/>
      <c r="U1543" s="73"/>
      <c r="V1543" s="73"/>
      <c r="W1543" s="73"/>
      <c r="X1543" s="73"/>
      <c r="Y1543" s="73"/>
      <c r="Z1543" s="73"/>
      <c r="AA1543" s="73"/>
      <c r="AB1543" s="73"/>
      <c r="AC1543" s="73"/>
      <c r="AD1543" s="73"/>
      <c r="AE1543" s="73"/>
      <c r="AF1543" s="73"/>
      <c r="AG1543" s="73"/>
      <c r="AH1543" s="73"/>
      <c r="AI1543" s="73"/>
      <c r="AJ1543" s="168"/>
      <c r="AK1543" s="73"/>
      <c r="AL1543" s="73"/>
      <c r="AM1543" s="73"/>
      <c r="AN1543" s="73"/>
      <c r="AO1543" s="73"/>
      <c r="AP1543" s="73"/>
      <c r="AQ1543" s="73"/>
      <c r="AR1543" s="73"/>
      <c r="AS1543" s="73"/>
      <c r="AT1543" s="73"/>
      <c r="AU1543" s="73"/>
      <c r="AV1543" s="73"/>
      <c r="AW1543" s="73"/>
      <c r="AX1543" s="73"/>
      <c r="AY1543" s="73"/>
      <c r="AZ1543" s="73"/>
      <c r="BA1543" s="73"/>
      <c r="BB1543" s="73"/>
      <c r="BC1543" s="73"/>
      <c r="BD1543" s="73"/>
      <c r="BE1543" s="73"/>
      <c r="BF1543" s="75"/>
      <c r="BG1543" s="73"/>
      <c r="BH1543" s="88"/>
      <c r="BI1543" s="73"/>
      <c r="BJ1543" s="73"/>
      <c r="BK1543" s="73"/>
      <c r="BL1543" s="73"/>
      <c r="BM1543" s="73"/>
      <c r="BN1543" s="73"/>
      <c r="BO1543" s="73"/>
      <c r="BP1543" s="73"/>
      <c r="BQ1543" s="73"/>
      <c r="BR1543" s="73"/>
      <c r="BS1543" s="73"/>
      <c r="BT1543" s="73"/>
      <c r="BU1543" s="73"/>
      <c r="BV1543" s="73"/>
      <c r="BW1543" s="73"/>
      <c r="BX1543" s="73"/>
      <c r="BY1543" s="73"/>
      <c r="BZ1543" s="73"/>
      <c r="CA1543" s="73"/>
      <c r="CB1543" s="73"/>
      <c r="CC1543" s="73"/>
      <c r="CD1543" s="73"/>
      <c r="CE1543" s="73"/>
      <c r="CF1543" s="73"/>
      <c r="CG1543" s="73"/>
      <c r="CH1543" s="73"/>
    </row>
    <row r="1544">
      <c r="A1544" s="73"/>
      <c r="B1544" s="73"/>
      <c r="C1544" s="73"/>
      <c r="D1544" s="73"/>
      <c r="E1544" s="140"/>
      <c r="F1544" s="80"/>
      <c r="G1544" s="80"/>
      <c r="H1544" s="73"/>
      <c r="I1544" s="73"/>
      <c r="J1544" s="73"/>
      <c r="K1544" s="73"/>
      <c r="L1544" s="73"/>
      <c r="M1544" s="73"/>
      <c r="N1544" s="73"/>
      <c r="O1544" s="73"/>
      <c r="P1544" s="73"/>
      <c r="Q1544" s="73"/>
      <c r="R1544" s="73"/>
      <c r="S1544" s="73"/>
      <c r="T1544" s="73"/>
      <c r="U1544" s="73"/>
      <c r="V1544" s="73"/>
      <c r="W1544" s="73"/>
      <c r="X1544" s="73"/>
      <c r="Y1544" s="73"/>
      <c r="Z1544" s="73"/>
      <c r="AA1544" s="73"/>
      <c r="AB1544" s="73"/>
      <c r="AC1544" s="73"/>
      <c r="AD1544" s="73"/>
      <c r="AE1544" s="73"/>
      <c r="AF1544" s="73"/>
      <c r="AG1544" s="73"/>
      <c r="AH1544" s="73"/>
      <c r="AI1544" s="73"/>
      <c r="AJ1544" s="168"/>
      <c r="AK1544" s="73"/>
      <c r="AL1544" s="73"/>
      <c r="AM1544" s="73"/>
      <c r="AN1544" s="73"/>
      <c r="AO1544" s="73"/>
      <c r="AP1544" s="73"/>
      <c r="AQ1544" s="73"/>
      <c r="AR1544" s="73"/>
      <c r="AS1544" s="73"/>
      <c r="AT1544" s="73"/>
      <c r="AU1544" s="73"/>
      <c r="AV1544" s="73"/>
      <c r="AW1544" s="73"/>
      <c r="AX1544" s="73"/>
      <c r="AY1544" s="73"/>
      <c r="AZ1544" s="73"/>
      <c r="BA1544" s="73"/>
      <c r="BB1544" s="73"/>
      <c r="BC1544" s="73"/>
      <c r="BD1544" s="73"/>
      <c r="BE1544" s="73"/>
      <c r="BF1544" s="75"/>
      <c r="BG1544" s="73"/>
      <c r="BH1544" s="88"/>
      <c r="BI1544" s="73"/>
      <c r="BJ1544" s="73"/>
      <c r="BK1544" s="73"/>
      <c r="BL1544" s="73"/>
      <c r="BM1544" s="73"/>
      <c r="BN1544" s="73"/>
      <c r="BO1544" s="73"/>
      <c r="BP1544" s="73"/>
      <c r="BQ1544" s="73"/>
      <c r="BR1544" s="73"/>
      <c r="BS1544" s="73"/>
      <c r="BT1544" s="73"/>
      <c r="BU1544" s="73"/>
      <c r="BV1544" s="73"/>
      <c r="BW1544" s="73"/>
      <c r="BX1544" s="73"/>
      <c r="BY1544" s="73"/>
      <c r="BZ1544" s="73"/>
      <c r="CA1544" s="73"/>
      <c r="CB1544" s="73"/>
      <c r="CC1544" s="73"/>
      <c r="CD1544" s="73"/>
      <c r="CE1544" s="73"/>
      <c r="CF1544" s="73"/>
      <c r="CG1544" s="73"/>
      <c r="CH1544" s="73"/>
    </row>
    <row r="1545">
      <c r="A1545" s="73"/>
      <c r="B1545" s="73"/>
      <c r="C1545" s="73"/>
      <c r="D1545" s="73"/>
      <c r="E1545" s="140"/>
      <c r="F1545" s="80"/>
      <c r="G1545" s="80"/>
      <c r="H1545" s="73"/>
      <c r="I1545" s="73"/>
      <c r="J1545" s="73"/>
      <c r="K1545" s="73"/>
      <c r="L1545" s="73"/>
      <c r="M1545" s="73"/>
      <c r="N1545" s="73"/>
      <c r="O1545" s="73"/>
      <c r="P1545" s="73"/>
      <c r="Q1545" s="73"/>
      <c r="R1545" s="73"/>
      <c r="S1545" s="73"/>
      <c r="T1545" s="73"/>
      <c r="U1545" s="73"/>
      <c r="V1545" s="73"/>
      <c r="W1545" s="73"/>
      <c r="X1545" s="73"/>
      <c r="Y1545" s="73"/>
      <c r="Z1545" s="73"/>
      <c r="AA1545" s="73"/>
      <c r="AB1545" s="73"/>
      <c r="AC1545" s="73"/>
      <c r="AD1545" s="73"/>
      <c r="AE1545" s="73"/>
      <c r="AF1545" s="73"/>
      <c r="AG1545" s="73"/>
      <c r="AH1545" s="73"/>
      <c r="AI1545" s="73"/>
      <c r="AJ1545" s="168"/>
      <c r="AK1545" s="73"/>
      <c r="AL1545" s="73"/>
      <c r="AM1545" s="73"/>
      <c r="AN1545" s="73"/>
      <c r="AO1545" s="73"/>
      <c r="AP1545" s="73"/>
      <c r="AQ1545" s="73"/>
      <c r="AR1545" s="73"/>
      <c r="AS1545" s="73"/>
      <c r="AT1545" s="73"/>
      <c r="AU1545" s="73"/>
      <c r="AV1545" s="73"/>
      <c r="AW1545" s="73"/>
      <c r="AX1545" s="73"/>
      <c r="AY1545" s="73"/>
      <c r="AZ1545" s="73"/>
      <c r="BA1545" s="73"/>
      <c r="BB1545" s="73"/>
      <c r="BC1545" s="73"/>
      <c r="BD1545" s="73"/>
      <c r="BE1545" s="73"/>
      <c r="BF1545" s="75"/>
      <c r="BG1545" s="73"/>
      <c r="BH1545" s="88"/>
      <c r="BI1545" s="73"/>
      <c r="BJ1545" s="73"/>
      <c r="BK1545" s="73"/>
      <c r="BL1545" s="73"/>
      <c r="BM1545" s="73"/>
      <c r="BN1545" s="73"/>
      <c r="BO1545" s="73"/>
      <c r="BP1545" s="73"/>
      <c r="BQ1545" s="73"/>
      <c r="BR1545" s="73"/>
      <c r="BS1545" s="73"/>
      <c r="BT1545" s="73"/>
      <c r="BU1545" s="73"/>
      <c r="BV1545" s="73"/>
      <c r="BW1545" s="73"/>
      <c r="BX1545" s="73"/>
      <c r="BY1545" s="73"/>
      <c r="BZ1545" s="73"/>
      <c r="CA1545" s="73"/>
      <c r="CB1545" s="73"/>
      <c r="CC1545" s="73"/>
      <c r="CD1545" s="73"/>
      <c r="CE1545" s="73"/>
      <c r="CF1545" s="73"/>
      <c r="CG1545" s="73"/>
      <c r="CH1545" s="73"/>
    </row>
    <row r="1546">
      <c r="A1546" s="73"/>
      <c r="B1546" s="73"/>
      <c r="C1546" s="73"/>
      <c r="D1546" s="73"/>
      <c r="E1546" s="140"/>
      <c r="F1546" s="80"/>
      <c r="G1546" s="80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  <c r="S1546" s="73"/>
      <c r="T1546" s="73"/>
      <c r="U1546" s="73"/>
      <c r="V1546" s="73"/>
      <c r="W1546" s="73"/>
      <c r="X1546" s="73"/>
      <c r="Y1546" s="73"/>
      <c r="Z1546" s="73"/>
      <c r="AA1546" s="73"/>
      <c r="AB1546" s="73"/>
      <c r="AC1546" s="73"/>
      <c r="AD1546" s="73"/>
      <c r="AE1546" s="73"/>
      <c r="AF1546" s="73"/>
      <c r="AG1546" s="73"/>
      <c r="AH1546" s="73"/>
      <c r="AI1546" s="73"/>
      <c r="AJ1546" s="168"/>
      <c r="AK1546" s="73"/>
      <c r="AL1546" s="73"/>
      <c r="AM1546" s="73"/>
      <c r="AN1546" s="73"/>
      <c r="AO1546" s="73"/>
      <c r="AP1546" s="73"/>
      <c r="AQ1546" s="73"/>
      <c r="AR1546" s="73"/>
      <c r="AS1546" s="73"/>
      <c r="AT1546" s="73"/>
      <c r="AU1546" s="73"/>
      <c r="AV1546" s="73"/>
      <c r="AW1546" s="73"/>
      <c r="AX1546" s="73"/>
      <c r="AY1546" s="73"/>
      <c r="AZ1546" s="73"/>
      <c r="BA1546" s="73"/>
      <c r="BB1546" s="73"/>
      <c r="BC1546" s="73"/>
      <c r="BD1546" s="73"/>
      <c r="BE1546" s="73"/>
      <c r="BF1546" s="75"/>
      <c r="BG1546" s="73"/>
      <c r="BH1546" s="88"/>
      <c r="BI1546" s="73"/>
      <c r="BJ1546" s="73"/>
      <c r="BK1546" s="73"/>
      <c r="BL1546" s="73"/>
      <c r="BM1546" s="73"/>
      <c r="BN1546" s="73"/>
      <c r="BO1546" s="73"/>
      <c r="BP1546" s="73"/>
      <c r="BQ1546" s="73"/>
      <c r="BR1546" s="73"/>
      <c r="BS1546" s="73"/>
      <c r="BT1546" s="73"/>
      <c r="BU1546" s="73"/>
      <c r="BV1546" s="73"/>
      <c r="BW1546" s="73"/>
      <c r="BX1546" s="73"/>
      <c r="BY1546" s="73"/>
      <c r="BZ1546" s="73"/>
      <c r="CA1546" s="73"/>
      <c r="CB1546" s="73"/>
      <c r="CC1546" s="73"/>
      <c r="CD1546" s="73"/>
      <c r="CE1546" s="73"/>
      <c r="CF1546" s="73"/>
      <c r="CG1546" s="73"/>
      <c r="CH1546" s="73"/>
    </row>
    <row r="1547">
      <c r="A1547" s="73"/>
      <c r="B1547" s="73"/>
      <c r="C1547" s="73"/>
      <c r="D1547" s="73"/>
      <c r="E1547" s="140"/>
      <c r="F1547" s="80"/>
      <c r="G1547" s="80"/>
      <c r="H1547" s="73"/>
      <c r="I1547" s="73"/>
      <c r="J1547" s="73"/>
      <c r="K1547" s="73"/>
      <c r="L1547" s="73"/>
      <c r="M1547" s="73"/>
      <c r="N1547" s="73"/>
      <c r="O1547" s="73"/>
      <c r="P1547" s="73"/>
      <c r="Q1547" s="73"/>
      <c r="R1547" s="73"/>
      <c r="S1547" s="73"/>
      <c r="T1547" s="73"/>
      <c r="U1547" s="73"/>
      <c r="V1547" s="73"/>
      <c r="W1547" s="73"/>
      <c r="X1547" s="73"/>
      <c r="Y1547" s="73"/>
      <c r="Z1547" s="73"/>
      <c r="AA1547" s="73"/>
      <c r="AB1547" s="73"/>
      <c r="AC1547" s="73"/>
      <c r="AD1547" s="73"/>
      <c r="AE1547" s="73"/>
      <c r="AF1547" s="73"/>
      <c r="AG1547" s="73"/>
      <c r="AH1547" s="73"/>
      <c r="AI1547" s="73"/>
      <c r="AJ1547" s="168"/>
      <c r="AK1547" s="73"/>
      <c r="AL1547" s="73"/>
      <c r="AM1547" s="73"/>
      <c r="AN1547" s="73"/>
      <c r="AO1547" s="73"/>
      <c r="AP1547" s="73"/>
      <c r="AQ1547" s="73"/>
      <c r="AR1547" s="73"/>
      <c r="AS1547" s="73"/>
      <c r="AT1547" s="73"/>
      <c r="AU1547" s="73"/>
      <c r="AV1547" s="73"/>
      <c r="AW1547" s="73"/>
      <c r="AX1547" s="73"/>
      <c r="AY1547" s="73"/>
      <c r="AZ1547" s="73"/>
      <c r="BA1547" s="73"/>
      <c r="BB1547" s="73"/>
      <c r="BC1547" s="73"/>
      <c r="BD1547" s="73"/>
      <c r="BE1547" s="73"/>
      <c r="BF1547" s="75"/>
      <c r="BG1547" s="73"/>
      <c r="BH1547" s="88"/>
      <c r="BI1547" s="73"/>
      <c r="BJ1547" s="73"/>
      <c r="BK1547" s="73"/>
      <c r="BL1547" s="73"/>
      <c r="BM1547" s="73"/>
      <c r="BN1547" s="73"/>
      <c r="BO1547" s="73"/>
      <c r="BP1547" s="73"/>
      <c r="BQ1547" s="73"/>
      <c r="BR1547" s="73"/>
      <c r="BS1547" s="73"/>
      <c r="BT1547" s="73"/>
      <c r="BU1547" s="73"/>
      <c r="BV1547" s="73"/>
      <c r="BW1547" s="73"/>
      <c r="BX1547" s="73"/>
      <c r="BY1547" s="73"/>
      <c r="BZ1547" s="73"/>
      <c r="CA1547" s="73"/>
      <c r="CB1547" s="73"/>
      <c r="CC1547" s="73"/>
      <c r="CD1547" s="73"/>
      <c r="CE1547" s="73"/>
      <c r="CF1547" s="73"/>
      <c r="CG1547" s="73"/>
      <c r="CH1547" s="73"/>
    </row>
    <row r="1548">
      <c r="A1548" s="73"/>
      <c r="B1548" s="73"/>
      <c r="C1548" s="73"/>
      <c r="D1548" s="73"/>
      <c r="E1548" s="140"/>
      <c r="F1548" s="80"/>
      <c r="G1548" s="80"/>
      <c r="H1548" s="73"/>
      <c r="I1548" s="73"/>
      <c r="J1548" s="73"/>
      <c r="K1548" s="73"/>
      <c r="L1548" s="73"/>
      <c r="M1548" s="73"/>
      <c r="N1548" s="73"/>
      <c r="O1548" s="73"/>
      <c r="P1548" s="73"/>
      <c r="Q1548" s="73"/>
      <c r="R1548" s="73"/>
      <c r="S1548" s="73"/>
      <c r="T1548" s="73"/>
      <c r="U1548" s="73"/>
      <c r="V1548" s="73"/>
      <c r="W1548" s="73"/>
      <c r="X1548" s="73"/>
      <c r="Y1548" s="73"/>
      <c r="Z1548" s="73"/>
      <c r="AA1548" s="73"/>
      <c r="AB1548" s="73"/>
      <c r="AC1548" s="73"/>
      <c r="AD1548" s="73"/>
      <c r="AE1548" s="73"/>
      <c r="AF1548" s="73"/>
      <c r="AG1548" s="73"/>
      <c r="AH1548" s="73"/>
      <c r="AI1548" s="73"/>
      <c r="AJ1548" s="168"/>
      <c r="AK1548" s="73"/>
      <c r="AL1548" s="73"/>
      <c r="AM1548" s="73"/>
      <c r="AN1548" s="73"/>
      <c r="AO1548" s="73"/>
      <c r="AP1548" s="73"/>
      <c r="AQ1548" s="73"/>
      <c r="AR1548" s="73"/>
      <c r="AS1548" s="73"/>
      <c r="AT1548" s="73"/>
      <c r="AU1548" s="73"/>
      <c r="AV1548" s="73"/>
      <c r="AW1548" s="73"/>
      <c r="AX1548" s="73"/>
      <c r="AY1548" s="73"/>
      <c r="AZ1548" s="73"/>
      <c r="BA1548" s="73"/>
      <c r="BB1548" s="73"/>
      <c r="BC1548" s="73"/>
      <c r="BD1548" s="73"/>
      <c r="BE1548" s="73"/>
      <c r="BF1548" s="75"/>
      <c r="BG1548" s="73"/>
      <c r="BH1548" s="88"/>
      <c r="BI1548" s="73"/>
      <c r="BJ1548" s="73"/>
      <c r="BK1548" s="73"/>
      <c r="BL1548" s="73"/>
      <c r="BM1548" s="73"/>
      <c r="BN1548" s="73"/>
      <c r="BO1548" s="73"/>
      <c r="BP1548" s="73"/>
      <c r="BQ1548" s="73"/>
      <c r="BR1548" s="73"/>
      <c r="BS1548" s="73"/>
      <c r="BT1548" s="73"/>
      <c r="BU1548" s="73"/>
      <c r="BV1548" s="73"/>
      <c r="BW1548" s="73"/>
      <c r="BX1548" s="73"/>
      <c r="BY1548" s="73"/>
      <c r="BZ1548" s="73"/>
      <c r="CA1548" s="73"/>
      <c r="CB1548" s="73"/>
      <c r="CC1548" s="73"/>
      <c r="CD1548" s="73"/>
      <c r="CE1548" s="73"/>
      <c r="CF1548" s="73"/>
      <c r="CG1548" s="73"/>
      <c r="CH1548" s="73"/>
    </row>
    <row r="1549">
      <c r="A1549" s="73"/>
      <c r="B1549" s="73"/>
      <c r="C1549" s="73"/>
      <c r="D1549" s="73"/>
      <c r="E1549" s="140"/>
      <c r="F1549" s="80"/>
      <c r="G1549" s="80"/>
      <c r="H1549" s="73"/>
      <c r="I1549" s="73"/>
      <c r="J1549" s="73"/>
      <c r="K1549" s="73"/>
      <c r="L1549" s="73"/>
      <c r="M1549" s="73"/>
      <c r="N1549" s="73"/>
      <c r="O1549" s="73"/>
      <c r="P1549" s="73"/>
      <c r="Q1549" s="73"/>
      <c r="R1549" s="73"/>
      <c r="S1549" s="73"/>
      <c r="T1549" s="73"/>
      <c r="U1549" s="73"/>
      <c r="V1549" s="73"/>
      <c r="W1549" s="73"/>
      <c r="X1549" s="73"/>
      <c r="Y1549" s="73"/>
      <c r="Z1549" s="73"/>
      <c r="AA1549" s="73"/>
      <c r="AB1549" s="73"/>
      <c r="AC1549" s="73"/>
      <c r="AD1549" s="73"/>
      <c r="AE1549" s="73"/>
      <c r="AF1549" s="73"/>
      <c r="AG1549" s="73"/>
      <c r="AH1549" s="73"/>
      <c r="AI1549" s="73"/>
      <c r="AJ1549" s="168"/>
      <c r="AK1549" s="73"/>
      <c r="AL1549" s="73"/>
      <c r="AM1549" s="73"/>
      <c r="AN1549" s="73"/>
      <c r="AO1549" s="73"/>
      <c r="AP1549" s="73"/>
      <c r="AQ1549" s="73"/>
      <c r="AR1549" s="73"/>
      <c r="AS1549" s="73"/>
      <c r="AT1549" s="73"/>
      <c r="AU1549" s="73"/>
      <c r="AV1549" s="73"/>
      <c r="AW1549" s="73"/>
      <c r="AX1549" s="73"/>
      <c r="AY1549" s="73"/>
      <c r="AZ1549" s="73"/>
      <c r="BA1549" s="73"/>
      <c r="BB1549" s="73"/>
      <c r="BC1549" s="73"/>
      <c r="BD1549" s="73"/>
      <c r="BE1549" s="73"/>
      <c r="BF1549" s="75"/>
      <c r="BG1549" s="73"/>
      <c r="BH1549" s="88"/>
      <c r="BI1549" s="73"/>
      <c r="BJ1549" s="73"/>
      <c r="BK1549" s="73"/>
      <c r="BL1549" s="73"/>
      <c r="BM1549" s="73"/>
      <c r="BN1549" s="73"/>
      <c r="BO1549" s="73"/>
      <c r="BP1549" s="73"/>
      <c r="BQ1549" s="73"/>
      <c r="BR1549" s="73"/>
      <c r="BS1549" s="73"/>
      <c r="BT1549" s="73"/>
      <c r="BU1549" s="73"/>
      <c r="BV1549" s="73"/>
      <c r="BW1549" s="73"/>
      <c r="BX1549" s="73"/>
      <c r="BY1549" s="73"/>
      <c r="BZ1549" s="73"/>
      <c r="CA1549" s="73"/>
      <c r="CB1549" s="73"/>
      <c r="CC1549" s="73"/>
      <c r="CD1549" s="73"/>
      <c r="CE1549" s="73"/>
      <c r="CF1549" s="73"/>
      <c r="CG1549" s="73"/>
      <c r="CH1549" s="73"/>
    </row>
    <row r="1550">
      <c r="A1550" s="73"/>
      <c r="B1550" s="73"/>
      <c r="C1550" s="73"/>
      <c r="D1550" s="73"/>
      <c r="E1550" s="140"/>
      <c r="F1550" s="80"/>
      <c r="G1550" s="80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  <c r="S1550" s="73"/>
      <c r="T1550" s="73"/>
      <c r="U1550" s="73"/>
      <c r="V1550" s="73"/>
      <c r="W1550" s="73"/>
      <c r="X1550" s="73"/>
      <c r="Y1550" s="73"/>
      <c r="Z1550" s="73"/>
      <c r="AA1550" s="73"/>
      <c r="AB1550" s="73"/>
      <c r="AC1550" s="73"/>
      <c r="AD1550" s="73"/>
      <c r="AE1550" s="73"/>
      <c r="AF1550" s="73"/>
      <c r="AG1550" s="73"/>
      <c r="AH1550" s="73"/>
      <c r="AI1550" s="73"/>
      <c r="AJ1550" s="168"/>
      <c r="AK1550" s="73"/>
      <c r="AL1550" s="73"/>
      <c r="AM1550" s="73"/>
      <c r="AN1550" s="73"/>
      <c r="AO1550" s="73"/>
      <c r="AP1550" s="73"/>
      <c r="AQ1550" s="73"/>
      <c r="AR1550" s="73"/>
      <c r="AS1550" s="73"/>
      <c r="AT1550" s="73"/>
      <c r="AU1550" s="73"/>
      <c r="AV1550" s="73"/>
      <c r="AW1550" s="73"/>
      <c r="AX1550" s="73"/>
      <c r="AY1550" s="73"/>
      <c r="AZ1550" s="73"/>
      <c r="BA1550" s="73"/>
      <c r="BB1550" s="73"/>
      <c r="BC1550" s="73"/>
      <c r="BD1550" s="73"/>
      <c r="BE1550" s="73"/>
      <c r="BF1550" s="75"/>
      <c r="BG1550" s="73"/>
      <c r="BH1550" s="88"/>
      <c r="BI1550" s="73"/>
      <c r="BJ1550" s="73"/>
      <c r="BK1550" s="73"/>
      <c r="BL1550" s="73"/>
      <c r="BM1550" s="73"/>
      <c r="BN1550" s="73"/>
      <c r="BO1550" s="73"/>
      <c r="BP1550" s="73"/>
      <c r="BQ1550" s="73"/>
      <c r="BR1550" s="73"/>
      <c r="BS1550" s="73"/>
      <c r="BT1550" s="73"/>
      <c r="BU1550" s="73"/>
      <c r="BV1550" s="73"/>
      <c r="BW1550" s="73"/>
      <c r="BX1550" s="73"/>
      <c r="BY1550" s="73"/>
      <c r="BZ1550" s="73"/>
      <c r="CA1550" s="73"/>
      <c r="CB1550" s="73"/>
      <c r="CC1550" s="73"/>
      <c r="CD1550" s="73"/>
      <c r="CE1550" s="73"/>
      <c r="CF1550" s="73"/>
      <c r="CG1550" s="73"/>
      <c r="CH1550" s="73"/>
    </row>
    <row r="1551">
      <c r="A1551" s="73"/>
      <c r="B1551" s="73"/>
      <c r="C1551" s="73"/>
      <c r="D1551" s="73"/>
      <c r="E1551" s="140"/>
      <c r="F1551" s="80"/>
      <c r="G1551" s="80"/>
      <c r="H1551" s="73"/>
      <c r="I1551" s="73"/>
      <c r="J1551" s="73"/>
      <c r="K1551" s="73"/>
      <c r="L1551" s="73"/>
      <c r="M1551" s="73"/>
      <c r="N1551" s="73"/>
      <c r="O1551" s="73"/>
      <c r="P1551" s="73"/>
      <c r="Q1551" s="73"/>
      <c r="R1551" s="73"/>
      <c r="S1551" s="73"/>
      <c r="T1551" s="73"/>
      <c r="U1551" s="73"/>
      <c r="V1551" s="73"/>
      <c r="W1551" s="73"/>
      <c r="X1551" s="73"/>
      <c r="Y1551" s="73"/>
      <c r="Z1551" s="73"/>
      <c r="AA1551" s="73"/>
      <c r="AB1551" s="73"/>
      <c r="AC1551" s="73"/>
      <c r="AD1551" s="73"/>
      <c r="AE1551" s="73"/>
      <c r="AF1551" s="73"/>
      <c r="AG1551" s="73"/>
      <c r="AH1551" s="73"/>
      <c r="AI1551" s="73"/>
      <c r="AJ1551" s="168"/>
      <c r="AK1551" s="73"/>
      <c r="AL1551" s="73"/>
      <c r="AM1551" s="73"/>
      <c r="AN1551" s="73"/>
      <c r="AO1551" s="73"/>
      <c r="AP1551" s="73"/>
      <c r="AQ1551" s="73"/>
      <c r="AR1551" s="73"/>
      <c r="AS1551" s="73"/>
      <c r="AT1551" s="73"/>
      <c r="AU1551" s="73"/>
      <c r="AV1551" s="73"/>
      <c r="AW1551" s="73"/>
      <c r="AX1551" s="73"/>
      <c r="AY1551" s="73"/>
      <c r="AZ1551" s="73"/>
      <c r="BA1551" s="73"/>
      <c r="BB1551" s="73"/>
      <c r="BC1551" s="73"/>
      <c r="BD1551" s="73"/>
      <c r="BE1551" s="73"/>
      <c r="BF1551" s="75"/>
      <c r="BG1551" s="73"/>
      <c r="BH1551" s="88"/>
      <c r="BI1551" s="73"/>
      <c r="BJ1551" s="73"/>
      <c r="BK1551" s="73"/>
      <c r="BL1551" s="73"/>
      <c r="BM1551" s="73"/>
      <c r="BN1551" s="73"/>
      <c r="BO1551" s="73"/>
      <c r="BP1551" s="73"/>
      <c r="BQ1551" s="73"/>
      <c r="BR1551" s="73"/>
      <c r="BS1551" s="73"/>
      <c r="BT1551" s="73"/>
      <c r="BU1551" s="73"/>
      <c r="BV1551" s="73"/>
      <c r="BW1551" s="73"/>
      <c r="BX1551" s="73"/>
      <c r="BY1551" s="73"/>
      <c r="BZ1551" s="73"/>
      <c r="CA1551" s="73"/>
      <c r="CB1551" s="73"/>
      <c r="CC1551" s="73"/>
      <c r="CD1551" s="73"/>
      <c r="CE1551" s="73"/>
      <c r="CF1551" s="73"/>
      <c r="CG1551" s="73"/>
      <c r="CH1551" s="73"/>
    </row>
    <row r="1552">
      <c r="A1552" s="73"/>
      <c r="B1552" s="73"/>
      <c r="C1552" s="73"/>
      <c r="D1552" s="73"/>
      <c r="E1552" s="140"/>
      <c r="F1552" s="80"/>
      <c r="G1552" s="80"/>
      <c r="H1552" s="73"/>
      <c r="I1552" s="73"/>
      <c r="J1552" s="73"/>
      <c r="K1552" s="73"/>
      <c r="L1552" s="73"/>
      <c r="M1552" s="73"/>
      <c r="N1552" s="73"/>
      <c r="O1552" s="73"/>
      <c r="P1552" s="73"/>
      <c r="Q1552" s="73"/>
      <c r="R1552" s="73"/>
      <c r="S1552" s="73"/>
      <c r="T1552" s="73"/>
      <c r="U1552" s="73"/>
      <c r="V1552" s="73"/>
      <c r="W1552" s="73"/>
      <c r="X1552" s="73"/>
      <c r="Y1552" s="73"/>
      <c r="Z1552" s="73"/>
      <c r="AA1552" s="73"/>
      <c r="AB1552" s="73"/>
      <c r="AC1552" s="73"/>
      <c r="AD1552" s="73"/>
      <c r="AE1552" s="73"/>
      <c r="AF1552" s="73"/>
      <c r="AG1552" s="73"/>
      <c r="AH1552" s="73"/>
      <c r="AI1552" s="73"/>
      <c r="AJ1552" s="168"/>
      <c r="AK1552" s="73"/>
      <c r="AL1552" s="73"/>
      <c r="AM1552" s="73"/>
      <c r="AN1552" s="73"/>
      <c r="AO1552" s="73"/>
      <c r="AP1552" s="73"/>
      <c r="AQ1552" s="73"/>
      <c r="AR1552" s="73"/>
      <c r="AS1552" s="73"/>
      <c r="AT1552" s="73"/>
      <c r="AU1552" s="73"/>
      <c r="AV1552" s="73"/>
      <c r="AW1552" s="73"/>
      <c r="AX1552" s="73"/>
      <c r="AY1552" s="73"/>
      <c r="AZ1552" s="73"/>
      <c r="BA1552" s="73"/>
      <c r="BB1552" s="73"/>
      <c r="BC1552" s="73"/>
      <c r="BD1552" s="73"/>
      <c r="BE1552" s="73"/>
      <c r="BF1552" s="75"/>
      <c r="BG1552" s="73"/>
      <c r="BH1552" s="88"/>
      <c r="BI1552" s="73"/>
      <c r="BJ1552" s="73"/>
      <c r="BK1552" s="73"/>
      <c r="BL1552" s="73"/>
      <c r="BM1552" s="73"/>
      <c r="BN1552" s="73"/>
      <c r="BO1552" s="73"/>
      <c r="BP1552" s="73"/>
      <c r="BQ1552" s="73"/>
      <c r="BR1552" s="73"/>
      <c r="BS1552" s="73"/>
      <c r="BT1552" s="73"/>
      <c r="BU1552" s="73"/>
      <c r="BV1552" s="73"/>
      <c r="BW1552" s="73"/>
      <c r="BX1552" s="73"/>
      <c r="BY1552" s="73"/>
      <c r="BZ1552" s="73"/>
      <c r="CA1552" s="73"/>
      <c r="CB1552" s="73"/>
      <c r="CC1552" s="73"/>
      <c r="CD1552" s="73"/>
      <c r="CE1552" s="73"/>
      <c r="CF1552" s="73"/>
      <c r="CG1552" s="73"/>
      <c r="CH1552" s="73"/>
    </row>
    <row r="1553">
      <c r="A1553" s="73"/>
      <c r="B1553" s="73"/>
      <c r="C1553" s="73"/>
      <c r="D1553" s="73"/>
      <c r="E1553" s="140"/>
      <c r="F1553" s="80"/>
      <c r="G1553" s="80"/>
      <c r="H1553" s="73"/>
      <c r="I1553" s="73"/>
      <c r="J1553" s="73"/>
      <c r="K1553" s="73"/>
      <c r="L1553" s="73"/>
      <c r="M1553" s="73"/>
      <c r="N1553" s="73"/>
      <c r="O1553" s="73"/>
      <c r="P1553" s="73"/>
      <c r="Q1553" s="73"/>
      <c r="R1553" s="73"/>
      <c r="S1553" s="73"/>
      <c r="T1553" s="73"/>
      <c r="U1553" s="73"/>
      <c r="V1553" s="73"/>
      <c r="W1553" s="73"/>
      <c r="X1553" s="73"/>
      <c r="Y1553" s="73"/>
      <c r="Z1553" s="73"/>
      <c r="AA1553" s="73"/>
      <c r="AB1553" s="73"/>
      <c r="AC1553" s="73"/>
      <c r="AD1553" s="73"/>
      <c r="AE1553" s="73"/>
      <c r="AF1553" s="73"/>
      <c r="AG1553" s="73"/>
      <c r="AH1553" s="73"/>
      <c r="AI1553" s="73"/>
      <c r="AJ1553" s="168"/>
      <c r="AK1553" s="73"/>
      <c r="AL1553" s="73"/>
      <c r="AM1553" s="73"/>
      <c r="AN1553" s="73"/>
      <c r="AO1553" s="73"/>
      <c r="AP1553" s="73"/>
      <c r="AQ1553" s="73"/>
      <c r="AR1553" s="73"/>
      <c r="AS1553" s="73"/>
      <c r="AT1553" s="73"/>
      <c r="AU1553" s="73"/>
      <c r="AV1553" s="73"/>
      <c r="AW1553" s="73"/>
      <c r="AX1553" s="73"/>
      <c r="AY1553" s="73"/>
      <c r="AZ1553" s="73"/>
      <c r="BA1553" s="73"/>
      <c r="BB1553" s="73"/>
      <c r="BC1553" s="73"/>
      <c r="BD1553" s="73"/>
      <c r="BE1553" s="73"/>
      <c r="BF1553" s="75"/>
      <c r="BG1553" s="73"/>
      <c r="BH1553" s="88"/>
      <c r="BI1553" s="73"/>
      <c r="BJ1553" s="73"/>
      <c r="BK1553" s="73"/>
      <c r="BL1553" s="73"/>
      <c r="BM1553" s="73"/>
      <c r="BN1553" s="73"/>
      <c r="BO1553" s="73"/>
      <c r="BP1553" s="73"/>
      <c r="BQ1553" s="73"/>
      <c r="BR1553" s="73"/>
      <c r="BS1553" s="73"/>
      <c r="BT1553" s="73"/>
      <c r="BU1553" s="73"/>
      <c r="BV1553" s="73"/>
      <c r="BW1553" s="73"/>
      <c r="BX1553" s="73"/>
      <c r="BY1553" s="73"/>
      <c r="BZ1553" s="73"/>
      <c r="CA1553" s="73"/>
      <c r="CB1553" s="73"/>
      <c r="CC1553" s="73"/>
      <c r="CD1553" s="73"/>
      <c r="CE1553" s="73"/>
      <c r="CF1553" s="73"/>
      <c r="CG1553" s="73"/>
      <c r="CH1553" s="73"/>
    </row>
    <row r="1554">
      <c r="A1554" s="73"/>
      <c r="B1554" s="73"/>
      <c r="C1554" s="73"/>
      <c r="D1554" s="73"/>
      <c r="E1554" s="140"/>
      <c r="F1554" s="80"/>
      <c r="G1554" s="80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  <c r="S1554" s="73"/>
      <c r="T1554" s="73"/>
      <c r="U1554" s="73"/>
      <c r="V1554" s="73"/>
      <c r="W1554" s="73"/>
      <c r="X1554" s="73"/>
      <c r="Y1554" s="73"/>
      <c r="Z1554" s="73"/>
      <c r="AA1554" s="73"/>
      <c r="AB1554" s="73"/>
      <c r="AC1554" s="73"/>
      <c r="AD1554" s="73"/>
      <c r="AE1554" s="73"/>
      <c r="AF1554" s="73"/>
      <c r="AG1554" s="73"/>
      <c r="AH1554" s="73"/>
      <c r="AI1554" s="73"/>
      <c r="AJ1554" s="168"/>
      <c r="AK1554" s="73"/>
      <c r="AL1554" s="73"/>
      <c r="AM1554" s="73"/>
      <c r="AN1554" s="73"/>
      <c r="AO1554" s="73"/>
      <c r="AP1554" s="73"/>
      <c r="AQ1554" s="73"/>
      <c r="AR1554" s="73"/>
      <c r="AS1554" s="73"/>
      <c r="AT1554" s="73"/>
      <c r="AU1554" s="73"/>
      <c r="AV1554" s="73"/>
      <c r="AW1554" s="73"/>
      <c r="AX1554" s="73"/>
      <c r="AY1554" s="73"/>
      <c r="AZ1554" s="73"/>
      <c r="BA1554" s="73"/>
      <c r="BB1554" s="73"/>
      <c r="BC1554" s="73"/>
      <c r="BD1554" s="73"/>
      <c r="BE1554" s="73"/>
      <c r="BF1554" s="75"/>
      <c r="BG1554" s="73"/>
      <c r="BH1554" s="88"/>
      <c r="BI1554" s="73"/>
      <c r="BJ1554" s="73"/>
      <c r="BK1554" s="73"/>
      <c r="BL1554" s="73"/>
      <c r="BM1554" s="73"/>
      <c r="BN1554" s="73"/>
      <c r="BO1554" s="73"/>
      <c r="BP1554" s="73"/>
      <c r="BQ1554" s="73"/>
      <c r="BR1554" s="73"/>
      <c r="BS1554" s="73"/>
      <c r="BT1554" s="73"/>
      <c r="BU1554" s="73"/>
      <c r="BV1554" s="73"/>
      <c r="BW1554" s="73"/>
      <c r="BX1554" s="73"/>
      <c r="BY1554" s="73"/>
      <c r="BZ1554" s="73"/>
      <c r="CA1554" s="73"/>
      <c r="CB1554" s="73"/>
      <c r="CC1554" s="73"/>
      <c r="CD1554" s="73"/>
      <c r="CE1554" s="73"/>
      <c r="CF1554" s="73"/>
      <c r="CG1554" s="73"/>
      <c r="CH1554" s="73"/>
    </row>
    <row r="1555">
      <c r="A1555" s="73"/>
      <c r="B1555" s="73"/>
      <c r="C1555" s="73"/>
      <c r="D1555" s="73"/>
      <c r="E1555" s="140"/>
      <c r="F1555" s="80"/>
      <c r="G1555" s="80"/>
      <c r="H1555" s="73"/>
      <c r="I1555" s="73"/>
      <c r="J1555" s="73"/>
      <c r="K1555" s="73"/>
      <c r="L1555" s="73"/>
      <c r="M1555" s="73"/>
      <c r="N1555" s="73"/>
      <c r="O1555" s="73"/>
      <c r="P1555" s="73"/>
      <c r="Q1555" s="73"/>
      <c r="R1555" s="73"/>
      <c r="S1555" s="73"/>
      <c r="T1555" s="73"/>
      <c r="U1555" s="73"/>
      <c r="V1555" s="73"/>
      <c r="W1555" s="73"/>
      <c r="X1555" s="73"/>
      <c r="Y1555" s="73"/>
      <c r="Z1555" s="73"/>
      <c r="AA1555" s="73"/>
      <c r="AB1555" s="73"/>
      <c r="AC1555" s="73"/>
      <c r="AD1555" s="73"/>
      <c r="AE1555" s="73"/>
      <c r="AF1555" s="73"/>
      <c r="AG1555" s="73"/>
      <c r="AH1555" s="73"/>
      <c r="AI1555" s="73"/>
      <c r="AJ1555" s="168"/>
      <c r="AK1555" s="73"/>
      <c r="AL1555" s="73"/>
      <c r="AM1555" s="73"/>
      <c r="AN1555" s="73"/>
      <c r="AO1555" s="73"/>
      <c r="AP1555" s="73"/>
      <c r="AQ1555" s="73"/>
      <c r="AR1555" s="73"/>
      <c r="AS1555" s="73"/>
      <c r="AT1555" s="73"/>
      <c r="AU1555" s="73"/>
      <c r="AV1555" s="73"/>
      <c r="AW1555" s="73"/>
      <c r="AX1555" s="73"/>
      <c r="AY1555" s="73"/>
      <c r="AZ1555" s="73"/>
      <c r="BA1555" s="73"/>
      <c r="BB1555" s="73"/>
      <c r="BC1555" s="73"/>
      <c r="BD1555" s="73"/>
      <c r="BE1555" s="73"/>
      <c r="BF1555" s="75"/>
      <c r="BG1555" s="73"/>
      <c r="BH1555" s="88"/>
      <c r="BI1555" s="73"/>
      <c r="BJ1555" s="73"/>
      <c r="BK1555" s="73"/>
      <c r="BL1555" s="73"/>
      <c r="BM1555" s="73"/>
      <c r="BN1555" s="73"/>
      <c r="BO1555" s="73"/>
      <c r="BP1555" s="73"/>
      <c r="BQ1555" s="73"/>
      <c r="BR1555" s="73"/>
      <c r="BS1555" s="73"/>
      <c r="BT1555" s="73"/>
      <c r="BU1555" s="73"/>
      <c r="BV1555" s="73"/>
      <c r="BW1555" s="73"/>
      <c r="BX1555" s="73"/>
      <c r="BY1555" s="73"/>
      <c r="BZ1555" s="73"/>
      <c r="CA1555" s="73"/>
      <c r="CB1555" s="73"/>
      <c r="CC1555" s="73"/>
      <c r="CD1555" s="73"/>
      <c r="CE1555" s="73"/>
      <c r="CF1555" s="73"/>
      <c r="CG1555" s="73"/>
      <c r="CH1555" s="73"/>
    </row>
    <row r="1556">
      <c r="A1556" s="73"/>
      <c r="B1556" s="73"/>
      <c r="C1556" s="73"/>
      <c r="D1556" s="73"/>
      <c r="E1556" s="140"/>
      <c r="F1556" s="80"/>
      <c r="G1556" s="80"/>
      <c r="H1556" s="73"/>
      <c r="I1556" s="73"/>
      <c r="J1556" s="73"/>
      <c r="K1556" s="73"/>
      <c r="L1556" s="73"/>
      <c r="M1556" s="73"/>
      <c r="N1556" s="73"/>
      <c r="O1556" s="73"/>
      <c r="P1556" s="73"/>
      <c r="Q1556" s="73"/>
      <c r="R1556" s="73"/>
      <c r="S1556" s="73"/>
      <c r="T1556" s="73"/>
      <c r="U1556" s="73"/>
      <c r="V1556" s="73"/>
      <c r="W1556" s="73"/>
      <c r="X1556" s="73"/>
      <c r="Y1556" s="73"/>
      <c r="Z1556" s="73"/>
      <c r="AA1556" s="73"/>
      <c r="AB1556" s="73"/>
      <c r="AC1556" s="73"/>
      <c r="AD1556" s="73"/>
      <c r="AE1556" s="73"/>
      <c r="AF1556" s="73"/>
      <c r="AG1556" s="73"/>
      <c r="AH1556" s="73"/>
      <c r="AI1556" s="73"/>
      <c r="AJ1556" s="168"/>
      <c r="AK1556" s="73"/>
      <c r="AL1556" s="73"/>
      <c r="AM1556" s="73"/>
      <c r="AN1556" s="73"/>
      <c r="AO1556" s="73"/>
      <c r="AP1556" s="73"/>
      <c r="AQ1556" s="73"/>
      <c r="AR1556" s="73"/>
      <c r="AS1556" s="73"/>
      <c r="AT1556" s="73"/>
      <c r="AU1556" s="73"/>
      <c r="AV1556" s="73"/>
      <c r="AW1556" s="73"/>
      <c r="AX1556" s="73"/>
      <c r="AY1556" s="73"/>
      <c r="AZ1556" s="73"/>
      <c r="BA1556" s="73"/>
      <c r="BB1556" s="73"/>
      <c r="BC1556" s="73"/>
      <c r="BD1556" s="73"/>
      <c r="BE1556" s="73"/>
      <c r="BF1556" s="75"/>
      <c r="BG1556" s="73"/>
      <c r="BH1556" s="88"/>
      <c r="BI1556" s="73"/>
      <c r="BJ1556" s="73"/>
      <c r="BK1556" s="73"/>
      <c r="BL1556" s="73"/>
      <c r="BM1556" s="73"/>
      <c r="BN1556" s="73"/>
      <c r="BO1556" s="73"/>
      <c r="BP1556" s="73"/>
      <c r="BQ1556" s="73"/>
      <c r="BR1556" s="73"/>
      <c r="BS1556" s="73"/>
      <c r="BT1556" s="73"/>
      <c r="BU1556" s="73"/>
      <c r="BV1556" s="73"/>
      <c r="BW1556" s="73"/>
      <c r="BX1556" s="73"/>
      <c r="BY1556" s="73"/>
      <c r="BZ1556" s="73"/>
      <c r="CA1556" s="73"/>
      <c r="CB1556" s="73"/>
      <c r="CC1556" s="73"/>
      <c r="CD1556" s="73"/>
      <c r="CE1556" s="73"/>
      <c r="CF1556" s="73"/>
      <c r="CG1556" s="73"/>
      <c r="CH1556" s="73"/>
    </row>
    <row r="1557">
      <c r="A1557" s="73"/>
      <c r="B1557" s="73"/>
      <c r="C1557" s="73"/>
      <c r="D1557" s="73"/>
      <c r="E1557" s="140"/>
      <c r="F1557" s="80"/>
      <c r="G1557" s="80"/>
      <c r="H1557" s="73"/>
      <c r="I1557" s="73"/>
      <c r="J1557" s="73"/>
      <c r="K1557" s="73"/>
      <c r="L1557" s="73"/>
      <c r="M1557" s="73"/>
      <c r="N1557" s="73"/>
      <c r="O1557" s="73"/>
      <c r="P1557" s="73"/>
      <c r="Q1557" s="73"/>
      <c r="R1557" s="73"/>
      <c r="S1557" s="73"/>
      <c r="T1557" s="73"/>
      <c r="U1557" s="73"/>
      <c r="V1557" s="73"/>
      <c r="W1557" s="73"/>
      <c r="X1557" s="73"/>
      <c r="Y1557" s="73"/>
      <c r="Z1557" s="73"/>
      <c r="AA1557" s="73"/>
      <c r="AB1557" s="73"/>
      <c r="AC1557" s="73"/>
      <c r="AD1557" s="73"/>
      <c r="AE1557" s="73"/>
      <c r="AF1557" s="73"/>
      <c r="AG1557" s="73"/>
      <c r="AH1557" s="73"/>
      <c r="AI1557" s="73"/>
      <c r="AJ1557" s="168"/>
      <c r="AK1557" s="73"/>
      <c r="AL1557" s="73"/>
      <c r="AM1557" s="73"/>
      <c r="AN1557" s="73"/>
      <c r="AO1557" s="73"/>
      <c r="AP1557" s="73"/>
      <c r="AQ1557" s="73"/>
      <c r="AR1557" s="73"/>
      <c r="AS1557" s="73"/>
      <c r="AT1557" s="73"/>
      <c r="AU1557" s="73"/>
      <c r="AV1557" s="73"/>
      <c r="AW1557" s="73"/>
      <c r="AX1557" s="73"/>
      <c r="AY1557" s="73"/>
      <c r="AZ1557" s="73"/>
      <c r="BA1557" s="73"/>
      <c r="BB1557" s="73"/>
      <c r="BC1557" s="73"/>
      <c r="BD1557" s="73"/>
      <c r="BE1557" s="73"/>
      <c r="BF1557" s="75"/>
      <c r="BG1557" s="73"/>
      <c r="BH1557" s="88"/>
      <c r="BI1557" s="73"/>
      <c r="BJ1557" s="73"/>
      <c r="BK1557" s="73"/>
      <c r="BL1557" s="73"/>
      <c r="BM1557" s="73"/>
      <c r="BN1557" s="73"/>
      <c r="BO1557" s="73"/>
      <c r="BP1557" s="73"/>
      <c r="BQ1557" s="73"/>
      <c r="BR1557" s="73"/>
      <c r="BS1557" s="73"/>
      <c r="BT1557" s="73"/>
      <c r="BU1557" s="73"/>
      <c r="BV1557" s="73"/>
      <c r="BW1557" s="73"/>
      <c r="BX1557" s="73"/>
      <c r="BY1557" s="73"/>
      <c r="BZ1557" s="73"/>
      <c r="CA1557" s="73"/>
      <c r="CB1557" s="73"/>
      <c r="CC1557" s="73"/>
      <c r="CD1557" s="73"/>
      <c r="CE1557" s="73"/>
      <c r="CF1557" s="73"/>
      <c r="CG1557" s="73"/>
      <c r="CH1557" s="73"/>
    </row>
    <row r="1558">
      <c r="A1558" s="73"/>
      <c r="B1558" s="73"/>
      <c r="C1558" s="73"/>
      <c r="D1558" s="73"/>
      <c r="E1558" s="140"/>
      <c r="F1558" s="80"/>
      <c r="G1558" s="80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  <c r="S1558" s="73"/>
      <c r="T1558" s="73"/>
      <c r="U1558" s="73"/>
      <c r="V1558" s="73"/>
      <c r="W1558" s="73"/>
      <c r="X1558" s="73"/>
      <c r="Y1558" s="73"/>
      <c r="Z1558" s="73"/>
      <c r="AA1558" s="73"/>
      <c r="AB1558" s="73"/>
      <c r="AC1558" s="73"/>
      <c r="AD1558" s="73"/>
      <c r="AE1558" s="73"/>
      <c r="AF1558" s="73"/>
      <c r="AG1558" s="73"/>
      <c r="AH1558" s="73"/>
      <c r="AI1558" s="73"/>
      <c r="AJ1558" s="168"/>
      <c r="AK1558" s="73"/>
      <c r="AL1558" s="73"/>
      <c r="AM1558" s="73"/>
      <c r="AN1558" s="73"/>
      <c r="AO1558" s="73"/>
      <c r="AP1558" s="73"/>
      <c r="AQ1558" s="73"/>
      <c r="AR1558" s="73"/>
      <c r="AS1558" s="73"/>
      <c r="AT1558" s="73"/>
      <c r="AU1558" s="73"/>
      <c r="AV1558" s="73"/>
      <c r="AW1558" s="73"/>
      <c r="AX1558" s="73"/>
      <c r="AY1558" s="73"/>
      <c r="AZ1558" s="73"/>
      <c r="BA1558" s="73"/>
      <c r="BB1558" s="73"/>
      <c r="BC1558" s="73"/>
      <c r="BD1558" s="73"/>
      <c r="BE1558" s="73"/>
      <c r="BF1558" s="75"/>
      <c r="BG1558" s="73"/>
      <c r="BH1558" s="88"/>
      <c r="BI1558" s="73"/>
      <c r="BJ1558" s="73"/>
      <c r="BK1558" s="73"/>
      <c r="BL1558" s="73"/>
      <c r="BM1558" s="73"/>
      <c r="BN1558" s="73"/>
      <c r="BO1558" s="73"/>
      <c r="BP1558" s="73"/>
      <c r="BQ1558" s="73"/>
      <c r="BR1558" s="73"/>
      <c r="BS1558" s="73"/>
      <c r="BT1558" s="73"/>
      <c r="BU1558" s="73"/>
      <c r="BV1558" s="73"/>
      <c r="BW1558" s="73"/>
      <c r="BX1558" s="73"/>
      <c r="BY1558" s="73"/>
      <c r="BZ1558" s="73"/>
      <c r="CA1558" s="73"/>
      <c r="CB1558" s="73"/>
      <c r="CC1558" s="73"/>
      <c r="CD1558" s="73"/>
      <c r="CE1558" s="73"/>
      <c r="CF1558" s="73"/>
      <c r="CG1558" s="73"/>
      <c r="CH1558" s="73"/>
    </row>
    <row r="1559">
      <c r="A1559" s="73"/>
      <c r="B1559" s="73"/>
      <c r="C1559" s="73"/>
      <c r="D1559" s="73"/>
      <c r="E1559" s="140"/>
      <c r="F1559" s="80"/>
      <c r="G1559" s="80"/>
      <c r="H1559" s="73"/>
      <c r="I1559" s="73"/>
      <c r="J1559" s="73"/>
      <c r="K1559" s="73"/>
      <c r="L1559" s="73"/>
      <c r="M1559" s="73"/>
      <c r="N1559" s="73"/>
      <c r="O1559" s="73"/>
      <c r="P1559" s="73"/>
      <c r="Q1559" s="73"/>
      <c r="R1559" s="73"/>
      <c r="S1559" s="73"/>
      <c r="T1559" s="73"/>
      <c r="U1559" s="73"/>
      <c r="V1559" s="73"/>
      <c r="W1559" s="73"/>
      <c r="X1559" s="73"/>
      <c r="Y1559" s="73"/>
      <c r="Z1559" s="73"/>
      <c r="AA1559" s="73"/>
      <c r="AB1559" s="73"/>
      <c r="AC1559" s="73"/>
      <c r="AD1559" s="73"/>
      <c r="AE1559" s="73"/>
      <c r="AF1559" s="73"/>
      <c r="AG1559" s="73"/>
      <c r="AH1559" s="73"/>
      <c r="AI1559" s="73"/>
      <c r="AJ1559" s="168"/>
      <c r="AK1559" s="73"/>
      <c r="AL1559" s="73"/>
      <c r="AM1559" s="73"/>
      <c r="AN1559" s="73"/>
      <c r="AO1559" s="73"/>
      <c r="AP1559" s="73"/>
      <c r="AQ1559" s="73"/>
      <c r="AR1559" s="73"/>
      <c r="AS1559" s="73"/>
      <c r="AT1559" s="73"/>
      <c r="AU1559" s="73"/>
      <c r="AV1559" s="73"/>
      <c r="AW1559" s="73"/>
      <c r="AX1559" s="73"/>
      <c r="AY1559" s="73"/>
      <c r="AZ1559" s="73"/>
      <c r="BA1559" s="73"/>
      <c r="BB1559" s="73"/>
      <c r="BC1559" s="73"/>
      <c r="BD1559" s="73"/>
      <c r="BE1559" s="73"/>
      <c r="BF1559" s="75"/>
      <c r="BG1559" s="73"/>
      <c r="BH1559" s="88"/>
      <c r="BI1559" s="73"/>
      <c r="BJ1559" s="73"/>
      <c r="BK1559" s="73"/>
      <c r="BL1559" s="73"/>
      <c r="BM1559" s="73"/>
      <c r="BN1559" s="73"/>
      <c r="BO1559" s="73"/>
      <c r="BP1559" s="73"/>
      <c r="BQ1559" s="73"/>
      <c r="BR1559" s="73"/>
      <c r="BS1559" s="73"/>
      <c r="BT1559" s="73"/>
      <c r="BU1559" s="73"/>
      <c r="BV1559" s="73"/>
      <c r="BW1559" s="73"/>
      <c r="BX1559" s="73"/>
      <c r="BY1559" s="73"/>
      <c r="BZ1559" s="73"/>
      <c r="CA1559" s="73"/>
      <c r="CB1559" s="73"/>
      <c r="CC1559" s="73"/>
      <c r="CD1559" s="73"/>
      <c r="CE1559" s="73"/>
      <c r="CF1559" s="73"/>
      <c r="CG1559" s="73"/>
      <c r="CH1559" s="73"/>
    </row>
    <row r="1560">
      <c r="A1560" s="73"/>
      <c r="B1560" s="73"/>
      <c r="C1560" s="73"/>
      <c r="D1560" s="73"/>
      <c r="E1560" s="140"/>
      <c r="F1560" s="80"/>
      <c r="G1560" s="80"/>
      <c r="H1560" s="73"/>
      <c r="I1560" s="73"/>
      <c r="J1560" s="73"/>
      <c r="K1560" s="73"/>
      <c r="L1560" s="73"/>
      <c r="M1560" s="73"/>
      <c r="N1560" s="73"/>
      <c r="O1560" s="73"/>
      <c r="P1560" s="73"/>
      <c r="Q1560" s="73"/>
      <c r="R1560" s="73"/>
      <c r="S1560" s="73"/>
      <c r="T1560" s="73"/>
      <c r="U1560" s="73"/>
      <c r="V1560" s="73"/>
      <c r="W1560" s="73"/>
      <c r="X1560" s="73"/>
      <c r="Y1560" s="73"/>
      <c r="Z1560" s="73"/>
      <c r="AA1560" s="73"/>
      <c r="AB1560" s="73"/>
      <c r="AC1560" s="73"/>
      <c r="AD1560" s="73"/>
      <c r="AE1560" s="73"/>
      <c r="AF1560" s="73"/>
      <c r="AG1560" s="73"/>
      <c r="AH1560" s="73"/>
      <c r="AI1560" s="73"/>
      <c r="AJ1560" s="168"/>
      <c r="AK1560" s="73"/>
      <c r="AL1560" s="73"/>
      <c r="AM1560" s="73"/>
      <c r="AN1560" s="73"/>
      <c r="AO1560" s="73"/>
      <c r="AP1560" s="73"/>
      <c r="AQ1560" s="73"/>
      <c r="AR1560" s="73"/>
      <c r="AS1560" s="73"/>
      <c r="AT1560" s="73"/>
      <c r="AU1560" s="73"/>
      <c r="AV1560" s="73"/>
      <c r="AW1560" s="73"/>
      <c r="AX1560" s="73"/>
      <c r="AY1560" s="73"/>
      <c r="AZ1560" s="73"/>
      <c r="BA1560" s="73"/>
      <c r="BB1560" s="73"/>
      <c r="BC1560" s="73"/>
      <c r="BD1560" s="73"/>
      <c r="BE1560" s="73"/>
      <c r="BF1560" s="75"/>
      <c r="BG1560" s="73"/>
      <c r="BH1560" s="88"/>
      <c r="BI1560" s="73"/>
      <c r="BJ1560" s="73"/>
      <c r="BK1560" s="73"/>
      <c r="BL1560" s="73"/>
      <c r="BM1560" s="73"/>
      <c r="BN1560" s="73"/>
      <c r="BO1560" s="73"/>
      <c r="BP1560" s="73"/>
      <c r="BQ1560" s="73"/>
      <c r="BR1560" s="73"/>
      <c r="BS1560" s="73"/>
      <c r="BT1560" s="73"/>
      <c r="BU1560" s="73"/>
      <c r="BV1560" s="73"/>
      <c r="BW1560" s="73"/>
      <c r="BX1560" s="73"/>
      <c r="BY1560" s="73"/>
      <c r="BZ1560" s="73"/>
      <c r="CA1560" s="73"/>
      <c r="CB1560" s="73"/>
      <c r="CC1560" s="73"/>
      <c r="CD1560" s="73"/>
      <c r="CE1560" s="73"/>
      <c r="CF1560" s="73"/>
      <c r="CG1560" s="73"/>
      <c r="CH1560" s="73"/>
    </row>
    <row r="1561">
      <c r="A1561" s="73"/>
      <c r="B1561" s="73"/>
      <c r="C1561" s="73"/>
      <c r="D1561" s="73"/>
      <c r="E1561" s="140"/>
      <c r="F1561" s="80"/>
      <c r="G1561" s="80"/>
      <c r="H1561" s="73"/>
      <c r="I1561" s="73"/>
      <c r="J1561" s="73"/>
      <c r="K1561" s="73"/>
      <c r="L1561" s="73"/>
      <c r="M1561" s="73"/>
      <c r="N1561" s="73"/>
      <c r="O1561" s="73"/>
      <c r="P1561" s="73"/>
      <c r="Q1561" s="73"/>
      <c r="R1561" s="73"/>
      <c r="S1561" s="73"/>
      <c r="T1561" s="73"/>
      <c r="U1561" s="73"/>
      <c r="V1561" s="73"/>
      <c r="W1561" s="73"/>
      <c r="X1561" s="73"/>
      <c r="Y1561" s="73"/>
      <c r="Z1561" s="73"/>
      <c r="AA1561" s="73"/>
      <c r="AB1561" s="73"/>
      <c r="AC1561" s="73"/>
      <c r="AD1561" s="73"/>
      <c r="AE1561" s="73"/>
      <c r="AF1561" s="73"/>
      <c r="AG1561" s="73"/>
      <c r="AH1561" s="73"/>
      <c r="AI1561" s="73"/>
      <c r="AJ1561" s="168"/>
      <c r="AK1561" s="73"/>
      <c r="AL1561" s="73"/>
      <c r="AM1561" s="73"/>
      <c r="AN1561" s="73"/>
      <c r="AO1561" s="73"/>
      <c r="AP1561" s="73"/>
      <c r="AQ1561" s="73"/>
      <c r="AR1561" s="73"/>
      <c r="AS1561" s="73"/>
      <c r="AT1561" s="73"/>
      <c r="AU1561" s="73"/>
      <c r="AV1561" s="73"/>
      <c r="AW1561" s="73"/>
      <c r="AX1561" s="73"/>
      <c r="AY1561" s="73"/>
      <c r="AZ1561" s="73"/>
      <c r="BA1561" s="73"/>
      <c r="BB1561" s="73"/>
      <c r="BC1561" s="73"/>
      <c r="BD1561" s="73"/>
      <c r="BE1561" s="73"/>
      <c r="BF1561" s="75"/>
      <c r="BG1561" s="73"/>
      <c r="BH1561" s="88"/>
      <c r="BI1561" s="73"/>
      <c r="BJ1561" s="73"/>
      <c r="BK1561" s="73"/>
      <c r="BL1561" s="73"/>
      <c r="BM1561" s="73"/>
      <c r="BN1561" s="73"/>
      <c r="BO1561" s="73"/>
      <c r="BP1561" s="73"/>
      <c r="BQ1561" s="73"/>
      <c r="BR1561" s="73"/>
      <c r="BS1561" s="73"/>
      <c r="BT1561" s="73"/>
      <c r="BU1561" s="73"/>
      <c r="BV1561" s="73"/>
      <c r="BW1561" s="73"/>
      <c r="BX1561" s="73"/>
      <c r="BY1561" s="73"/>
      <c r="BZ1561" s="73"/>
      <c r="CA1561" s="73"/>
      <c r="CB1561" s="73"/>
      <c r="CC1561" s="73"/>
      <c r="CD1561" s="73"/>
      <c r="CE1561" s="73"/>
      <c r="CF1561" s="73"/>
      <c r="CG1561" s="73"/>
      <c r="CH1561" s="73"/>
    </row>
    <row r="1562">
      <c r="A1562" s="73"/>
      <c r="B1562" s="73"/>
      <c r="C1562" s="73"/>
      <c r="D1562" s="73"/>
      <c r="E1562" s="140"/>
      <c r="F1562" s="80"/>
      <c r="G1562" s="80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  <c r="S1562" s="73"/>
      <c r="T1562" s="73"/>
      <c r="U1562" s="73"/>
      <c r="V1562" s="73"/>
      <c r="W1562" s="73"/>
      <c r="X1562" s="73"/>
      <c r="Y1562" s="73"/>
      <c r="Z1562" s="73"/>
      <c r="AA1562" s="73"/>
      <c r="AB1562" s="73"/>
      <c r="AC1562" s="73"/>
      <c r="AD1562" s="73"/>
      <c r="AE1562" s="73"/>
      <c r="AF1562" s="73"/>
      <c r="AG1562" s="73"/>
      <c r="AH1562" s="73"/>
      <c r="AI1562" s="73"/>
      <c r="AJ1562" s="168"/>
      <c r="AK1562" s="73"/>
      <c r="AL1562" s="73"/>
      <c r="AM1562" s="73"/>
      <c r="AN1562" s="73"/>
      <c r="AO1562" s="73"/>
      <c r="AP1562" s="73"/>
      <c r="AQ1562" s="73"/>
      <c r="AR1562" s="73"/>
      <c r="AS1562" s="73"/>
      <c r="AT1562" s="73"/>
      <c r="AU1562" s="73"/>
      <c r="AV1562" s="73"/>
      <c r="AW1562" s="73"/>
      <c r="AX1562" s="73"/>
      <c r="AY1562" s="73"/>
      <c r="AZ1562" s="73"/>
      <c r="BA1562" s="73"/>
      <c r="BB1562" s="73"/>
      <c r="BC1562" s="73"/>
      <c r="BD1562" s="73"/>
      <c r="BE1562" s="73"/>
      <c r="BF1562" s="75"/>
      <c r="BG1562" s="73"/>
      <c r="BH1562" s="88"/>
      <c r="BI1562" s="73"/>
      <c r="BJ1562" s="73"/>
      <c r="BK1562" s="73"/>
      <c r="BL1562" s="73"/>
      <c r="BM1562" s="73"/>
      <c r="BN1562" s="73"/>
      <c r="BO1562" s="73"/>
      <c r="BP1562" s="73"/>
      <c r="BQ1562" s="73"/>
      <c r="BR1562" s="73"/>
      <c r="BS1562" s="73"/>
      <c r="BT1562" s="73"/>
      <c r="BU1562" s="73"/>
      <c r="BV1562" s="73"/>
      <c r="BW1562" s="73"/>
      <c r="BX1562" s="73"/>
      <c r="BY1562" s="73"/>
      <c r="BZ1562" s="73"/>
      <c r="CA1562" s="73"/>
      <c r="CB1562" s="73"/>
      <c r="CC1562" s="73"/>
      <c r="CD1562" s="73"/>
      <c r="CE1562" s="73"/>
      <c r="CF1562" s="73"/>
      <c r="CG1562" s="73"/>
      <c r="CH1562" s="73"/>
    </row>
    <row r="1563">
      <c r="A1563" s="73"/>
      <c r="B1563" s="73"/>
      <c r="C1563" s="73"/>
      <c r="D1563" s="73"/>
      <c r="E1563" s="140"/>
      <c r="F1563" s="80"/>
      <c r="G1563" s="80"/>
      <c r="H1563" s="73"/>
      <c r="I1563" s="73"/>
      <c r="J1563" s="73"/>
      <c r="K1563" s="73"/>
      <c r="L1563" s="73"/>
      <c r="M1563" s="73"/>
      <c r="N1563" s="73"/>
      <c r="O1563" s="73"/>
      <c r="P1563" s="73"/>
      <c r="Q1563" s="73"/>
      <c r="R1563" s="73"/>
      <c r="S1563" s="73"/>
      <c r="T1563" s="73"/>
      <c r="U1563" s="73"/>
      <c r="V1563" s="73"/>
      <c r="W1563" s="73"/>
      <c r="X1563" s="73"/>
      <c r="Y1563" s="73"/>
      <c r="Z1563" s="73"/>
      <c r="AA1563" s="73"/>
      <c r="AB1563" s="73"/>
      <c r="AC1563" s="73"/>
      <c r="AD1563" s="73"/>
      <c r="AE1563" s="73"/>
      <c r="AF1563" s="73"/>
      <c r="AG1563" s="73"/>
      <c r="AH1563" s="73"/>
      <c r="AI1563" s="73"/>
      <c r="AJ1563" s="168"/>
      <c r="AK1563" s="73"/>
      <c r="AL1563" s="73"/>
      <c r="AM1563" s="73"/>
      <c r="AN1563" s="73"/>
      <c r="AO1563" s="73"/>
      <c r="AP1563" s="73"/>
      <c r="AQ1563" s="73"/>
      <c r="AR1563" s="73"/>
      <c r="AS1563" s="73"/>
      <c r="AT1563" s="73"/>
      <c r="AU1563" s="73"/>
      <c r="AV1563" s="73"/>
      <c r="AW1563" s="73"/>
      <c r="AX1563" s="73"/>
      <c r="AY1563" s="73"/>
      <c r="AZ1563" s="73"/>
      <c r="BA1563" s="73"/>
      <c r="BB1563" s="73"/>
      <c r="BC1563" s="73"/>
      <c r="BD1563" s="73"/>
      <c r="BE1563" s="73"/>
      <c r="BF1563" s="75"/>
      <c r="BG1563" s="73"/>
      <c r="BH1563" s="88"/>
      <c r="BI1563" s="73"/>
      <c r="BJ1563" s="73"/>
      <c r="BK1563" s="73"/>
      <c r="BL1563" s="73"/>
      <c r="BM1563" s="73"/>
      <c r="BN1563" s="73"/>
      <c r="BO1563" s="73"/>
      <c r="BP1563" s="73"/>
      <c r="BQ1563" s="73"/>
      <c r="BR1563" s="73"/>
      <c r="BS1563" s="73"/>
      <c r="BT1563" s="73"/>
      <c r="BU1563" s="73"/>
      <c r="BV1563" s="73"/>
      <c r="BW1563" s="73"/>
      <c r="BX1563" s="73"/>
      <c r="BY1563" s="73"/>
      <c r="BZ1563" s="73"/>
      <c r="CA1563" s="73"/>
      <c r="CB1563" s="73"/>
      <c r="CC1563" s="73"/>
      <c r="CD1563" s="73"/>
      <c r="CE1563" s="73"/>
      <c r="CF1563" s="73"/>
      <c r="CG1563" s="73"/>
      <c r="CH1563" s="73"/>
    </row>
    <row r="1564">
      <c r="A1564" s="73"/>
      <c r="B1564" s="73"/>
      <c r="C1564" s="73"/>
      <c r="D1564" s="73"/>
      <c r="E1564" s="140"/>
      <c r="F1564" s="80"/>
      <c r="G1564" s="80"/>
      <c r="H1564" s="73"/>
      <c r="I1564" s="73"/>
      <c r="J1564" s="73"/>
      <c r="K1564" s="73"/>
      <c r="L1564" s="73"/>
      <c r="M1564" s="73"/>
      <c r="N1564" s="73"/>
      <c r="O1564" s="73"/>
      <c r="P1564" s="73"/>
      <c r="Q1564" s="73"/>
      <c r="R1564" s="73"/>
      <c r="S1564" s="73"/>
      <c r="T1564" s="73"/>
      <c r="U1564" s="73"/>
      <c r="V1564" s="73"/>
      <c r="W1564" s="73"/>
      <c r="X1564" s="73"/>
      <c r="Y1564" s="73"/>
      <c r="Z1564" s="73"/>
      <c r="AA1564" s="73"/>
      <c r="AB1564" s="73"/>
      <c r="AC1564" s="73"/>
      <c r="AD1564" s="73"/>
      <c r="AE1564" s="73"/>
      <c r="AF1564" s="73"/>
      <c r="AG1564" s="73"/>
      <c r="AH1564" s="73"/>
      <c r="AI1564" s="73"/>
      <c r="AJ1564" s="168"/>
      <c r="AK1564" s="73"/>
      <c r="AL1564" s="73"/>
      <c r="AM1564" s="73"/>
      <c r="AN1564" s="73"/>
      <c r="AO1564" s="73"/>
      <c r="AP1564" s="73"/>
      <c r="AQ1564" s="73"/>
      <c r="AR1564" s="73"/>
      <c r="AS1564" s="73"/>
      <c r="AT1564" s="73"/>
      <c r="AU1564" s="73"/>
      <c r="AV1564" s="73"/>
      <c r="AW1564" s="73"/>
      <c r="AX1564" s="73"/>
      <c r="AY1564" s="73"/>
      <c r="AZ1564" s="73"/>
      <c r="BA1564" s="73"/>
      <c r="BB1564" s="73"/>
      <c r="BC1564" s="73"/>
      <c r="BD1564" s="73"/>
      <c r="BE1564" s="73"/>
      <c r="BF1564" s="75"/>
      <c r="BG1564" s="73"/>
      <c r="BH1564" s="88"/>
      <c r="BI1564" s="73"/>
      <c r="BJ1564" s="73"/>
      <c r="BK1564" s="73"/>
      <c r="BL1564" s="73"/>
      <c r="BM1564" s="73"/>
      <c r="BN1564" s="73"/>
      <c r="BO1564" s="73"/>
      <c r="BP1564" s="73"/>
      <c r="BQ1564" s="73"/>
      <c r="BR1564" s="73"/>
      <c r="BS1564" s="73"/>
      <c r="BT1564" s="73"/>
      <c r="BU1564" s="73"/>
      <c r="BV1564" s="73"/>
      <c r="BW1564" s="73"/>
      <c r="BX1564" s="73"/>
      <c r="BY1564" s="73"/>
      <c r="BZ1564" s="73"/>
      <c r="CA1564" s="73"/>
      <c r="CB1564" s="73"/>
      <c r="CC1564" s="73"/>
      <c r="CD1564" s="73"/>
      <c r="CE1564" s="73"/>
      <c r="CF1564" s="73"/>
      <c r="CG1564" s="73"/>
      <c r="CH1564" s="73"/>
    </row>
    <row r="1565">
      <c r="A1565" s="73"/>
      <c r="B1565" s="73"/>
      <c r="C1565" s="73"/>
      <c r="D1565" s="73"/>
      <c r="E1565" s="140"/>
      <c r="F1565" s="80"/>
      <c r="G1565" s="80"/>
      <c r="H1565" s="73"/>
      <c r="I1565" s="73"/>
      <c r="J1565" s="73"/>
      <c r="K1565" s="73"/>
      <c r="L1565" s="73"/>
      <c r="M1565" s="73"/>
      <c r="N1565" s="73"/>
      <c r="O1565" s="73"/>
      <c r="P1565" s="73"/>
      <c r="Q1565" s="73"/>
      <c r="R1565" s="73"/>
      <c r="S1565" s="73"/>
      <c r="T1565" s="73"/>
      <c r="U1565" s="73"/>
      <c r="V1565" s="73"/>
      <c r="W1565" s="73"/>
      <c r="X1565" s="73"/>
      <c r="Y1565" s="73"/>
      <c r="Z1565" s="73"/>
      <c r="AA1565" s="73"/>
      <c r="AB1565" s="73"/>
      <c r="AC1565" s="73"/>
      <c r="AD1565" s="73"/>
      <c r="AE1565" s="73"/>
      <c r="AF1565" s="73"/>
      <c r="AG1565" s="73"/>
      <c r="AH1565" s="73"/>
      <c r="AI1565" s="73"/>
      <c r="AJ1565" s="168"/>
      <c r="AK1565" s="73"/>
      <c r="AL1565" s="73"/>
      <c r="AM1565" s="73"/>
      <c r="AN1565" s="73"/>
      <c r="AO1565" s="73"/>
      <c r="AP1565" s="73"/>
      <c r="AQ1565" s="73"/>
      <c r="AR1565" s="73"/>
      <c r="AS1565" s="73"/>
      <c r="AT1565" s="73"/>
      <c r="AU1565" s="73"/>
      <c r="AV1565" s="73"/>
      <c r="AW1565" s="73"/>
      <c r="AX1565" s="73"/>
      <c r="AY1565" s="73"/>
      <c r="AZ1565" s="73"/>
      <c r="BA1565" s="73"/>
      <c r="BB1565" s="73"/>
      <c r="BC1565" s="73"/>
      <c r="BD1565" s="73"/>
      <c r="BE1565" s="73"/>
      <c r="BF1565" s="75"/>
      <c r="BG1565" s="73"/>
      <c r="BH1565" s="88"/>
      <c r="BI1565" s="73"/>
      <c r="BJ1565" s="73"/>
      <c r="BK1565" s="73"/>
      <c r="BL1565" s="73"/>
      <c r="BM1565" s="73"/>
      <c r="BN1565" s="73"/>
      <c r="BO1565" s="73"/>
      <c r="BP1565" s="73"/>
      <c r="BQ1565" s="73"/>
      <c r="BR1565" s="73"/>
      <c r="BS1565" s="73"/>
      <c r="BT1565" s="73"/>
      <c r="BU1565" s="73"/>
      <c r="BV1565" s="73"/>
      <c r="BW1565" s="73"/>
      <c r="BX1565" s="73"/>
      <c r="BY1565" s="73"/>
      <c r="BZ1565" s="73"/>
      <c r="CA1565" s="73"/>
      <c r="CB1565" s="73"/>
      <c r="CC1565" s="73"/>
      <c r="CD1565" s="73"/>
      <c r="CE1565" s="73"/>
      <c r="CF1565" s="73"/>
      <c r="CG1565" s="73"/>
      <c r="CH1565" s="73"/>
    </row>
    <row r="1566">
      <c r="A1566" s="73"/>
      <c r="B1566" s="73"/>
      <c r="C1566" s="73"/>
      <c r="D1566" s="73"/>
      <c r="E1566" s="140"/>
      <c r="F1566" s="80"/>
      <c r="G1566" s="80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  <c r="S1566" s="73"/>
      <c r="T1566" s="73"/>
      <c r="U1566" s="73"/>
      <c r="V1566" s="73"/>
      <c r="W1566" s="73"/>
      <c r="X1566" s="73"/>
      <c r="Y1566" s="73"/>
      <c r="Z1566" s="73"/>
      <c r="AA1566" s="73"/>
      <c r="AB1566" s="73"/>
      <c r="AC1566" s="73"/>
      <c r="AD1566" s="73"/>
      <c r="AE1566" s="73"/>
      <c r="AF1566" s="73"/>
      <c r="AG1566" s="73"/>
      <c r="AH1566" s="73"/>
      <c r="AI1566" s="73"/>
      <c r="AJ1566" s="168"/>
      <c r="AK1566" s="73"/>
      <c r="AL1566" s="73"/>
      <c r="AM1566" s="73"/>
      <c r="AN1566" s="73"/>
      <c r="AO1566" s="73"/>
      <c r="AP1566" s="73"/>
      <c r="AQ1566" s="73"/>
      <c r="AR1566" s="73"/>
      <c r="AS1566" s="73"/>
      <c r="AT1566" s="73"/>
      <c r="AU1566" s="73"/>
      <c r="AV1566" s="73"/>
      <c r="AW1566" s="73"/>
      <c r="AX1566" s="73"/>
      <c r="AY1566" s="73"/>
      <c r="AZ1566" s="73"/>
      <c r="BA1566" s="73"/>
      <c r="BB1566" s="73"/>
      <c r="BC1566" s="73"/>
      <c r="BD1566" s="73"/>
      <c r="BE1566" s="73"/>
      <c r="BF1566" s="75"/>
      <c r="BG1566" s="73"/>
      <c r="BH1566" s="88"/>
      <c r="BI1566" s="73"/>
      <c r="BJ1566" s="73"/>
      <c r="BK1566" s="73"/>
      <c r="BL1566" s="73"/>
      <c r="BM1566" s="73"/>
      <c r="BN1566" s="73"/>
      <c r="BO1566" s="73"/>
      <c r="BP1566" s="73"/>
      <c r="BQ1566" s="73"/>
      <c r="BR1566" s="73"/>
      <c r="BS1566" s="73"/>
      <c r="BT1566" s="73"/>
      <c r="BU1566" s="73"/>
      <c r="BV1566" s="73"/>
      <c r="BW1566" s="73"/>
      <c r="BX1566" s="73"/>
      <c r="BY1566" s="73"/>
      <c r="BZ1566" s="73"/>
      <c r="CA1566" s="73"/>
      <c r="CB1566" s="73"/>
      <c r="CC1566" s="73"/>
      <c r="CD1566" s="73"/>
      <c r="CE1566" s="73"/>
      <c r="CF1566" s="73"/>
      <c r="CG1566" s="73"/>
      <c r="CH1566" s="73"/>
    </row>
    <row r="1567">
      <c r="A1567" s="73"/>
      <c r="B1567" s="73"/>
      <c r="C1567" s="73"/>
      <c r="D1567" s="73"/>
      <c r="E1567" s="140"/>
      <c r="F1567" s="80"/>
      <c r="G1567" s="80"/>
      <c r="H1567" s="73"/>
      <c r="I1567" s="73"/>
      <c r="J1567" s="73"/>
      <c r="K1567" s="73"/>
      <c r="L1567" s="73"/>
      <c r="M1567" s="73"/>
      <c r="N1567" s="73"/>
      <c r="O1567" s="73"/>
      <c r="P1567" s="73"/>
      <c r="Q1567" s="73"/>
      <c r="R1567" s="73"/>
      <c r="S1567" s="73"/>
      <c r="T1567" s="73"/>
      <c r="U1567" s="73"/>
      <c r="V1567" s="73"/>
      <c r="W1567" s="73"/>
      <c r="X1567" s="73"/>
      <c r="Y1567" s="73"/>
      <c r="Z1567" s="73"/>
      <c r="AA1567" s="73"/>
      <c r="AB1567" s="73"/>
      <c r="AC1567" s="73"/>
      <c r="AD1567" s="73"/>
      <c r="AE1567" s="73"/>
      <c r="AF1567" s="73"/>
      <c r="AG1567" s="73"/>
      <c r="AH1567" s="73"/>
      <c r="AI1567" s="73"/>
      <c r="AJ1567" s="168"/>
      <c r="AK1567" s="73"/>
      <c r="AL1567" s="73"/>
      <c r="AM1567" s="73"/>
      <c r="AN1567" s="73"/>
      <c r="AO1567" s="73"/>
      <c r="AP1567" s="73"/>
      <c r="AQ1567" s="73"/>
      <c r="AR1567" s="73"/>
      <c r="AS1567" s="73"/>
      <c r="AT1567" s="73"/>
      <c r="AU1567" s="73"/>
      <c r="AV1567" s="73"/>
      <c r="AW1567" s="73"/>
      <c r="AX1567" s="73"/>
      <c r="AY1567" s="73"/>
      <c r="AZ1567" s="73"/>
      <c r="BA1567" s="73"/>
      <c r="BB1567" s="73"/>
      <c r="BC1567" s="73"/>
      <c r="BD1567" s="73"/>
      <c r="BE1567" s="73"/>
      <c r="BF1567" s="75"/>
      <c r="BG1567" s="73"/>
      <c r="BH1567" s="88"/>
      <c r="BI1567" s="73"/>
      <c r="BJ1567" s="73"/>
      <c r="BK1567" s="73"/>
      <c r="BL1567" s="73"/>
      <c r="BM1567" s="73"/>
      <c r="BN1567" s="73"/>
      <c r="BO1567" s="73"/>
      <c r="BP1567" s="73"/>
      <c r="BQ1567" s="73"/>
      <c r="BR1567" s="73"/>
      <c r="BS1567" s="73"/>
      <c r="BT1567" s="73"/>
      <c r="BU1567" s="73"/>
      <c r="BV1567" s="73"/>
      <c r="BW1567" s="73"/>
      <c r="BX1567" s="73"/>
      <c r="BY1567" s="73"/>
      <c r="BZ1567" s="73"/>
      <c r="CA1567" s="73"/>
      <c r="CB1567" s="73"/>
      <c r="CC1567" s="73"/>
      <c r="CD1567" s="73"/>
      <c r="CE1567" s="73"/>
      <c r="CF1567" s="73"/>
      <c r="CG1567" s="73"/>
      <c r="CH1567" s="73"/>
    </row>
    <row r="1568">
      <c r="A1568" s="73"/>
      <c r="B1568" s="73"/>
      <c r="C1568" s="73"/>
      <c r="D1568" s="73"/>
      <c r="E1568" s="140"/>
      <c r="F1568" s="80"/>
      <c r="G1568" s="80"/>
      <c r="H1568" s="73"/>
      <c r="I1568" s="73"/>
      <c r="J1568" s="73"/>
      <c r="K1568" s="73"/>
      <c r="L1568" s="73"/>
      <c r="M1568" s="73"/>
      <c r="N1568" s="73"/>
      <c r="O1568" s="73"/>
      <c r="P1568" s="73"/>
      <c r="Q1568" s="73"/>
      <c r="R1568" s="73"/>
      <c r="S1568" s="73"/>
      <c r="T1568" s="73"/>
      <c r="U1568" s="73"/>
      <c r="V1568" s="73"/>
      <c r="W1568" s="73"/>
      <c r="X1568" s="73"/>
      <c r="Y1568" s="73"/>
      <c r="Z1568" s="73"/>
      <c r="AA1568" s="73"/>
      <c r="AB1568" s="73"/>
      <c r="AC1568" s="73"/>
      <c r="AD1568" s="73"/>
      <c r="AE1568" s="73"/>
      <c r="AF1568" s="73"/>
      <c r="AG1568" s="73"/>
      <c r="AH1568" s="73"/>
      <c r="AI1568" s="73"/>
      <c r="AJ1568" s="168"/>
      <c r="AK1568" s="73"/>
      <c r="AL1568" s="73"/>
      <c r="AM1568" s="73"/>
      <c r="AN1568" s="73"/>
      <c r="AO1568" s="73"/>
      <c r="AP1568" s="73"/>
      <c r="AQ1568" s="73"/>
      <c r="AR1568" s="73"/>
      <c r="AS1568" s="73"/>
      <c r="AT1568" s="73"/>
      <c r="AU1568" s="73"/>
      <c r="AV1568" s="73"/>
      <c r="AW1568" s="73"/>
      <c r="AX1568" s="73"/>
      <c r="AY1568" s="73"/>
      <c r="AZ1568" s="73"/>
      <c r="BA1568" s="73"/>
      <c r="BB1568" s="73"/>
      <c r="BC1568" s="73"/>
      <c r="BD1568" s="73"/>
      <c r="BE1568" s="73"/>
      <c r="BF1568" s="75"/>
      <c r="BG1568" s="73"/>
      <c r="BH1568" s="88"/>
      <c r="BI1568" s="73"/>
      <c r="BJ1568" s="73"/>
      <c r="BK1568" s="73"/>
      <c r="BL1568" s="73"/>
      <c r="BM1568" s="73"/>
      <c r="BN1568" s="73"/>
      <c r="BO1568" s="73"/>
      <c r="BP1568" s="73"/>
      <c r="BQ1568" s="73"/>
      <c r="BR1568" s="73"/>
      <c r="BS1568" s="73"/>
      <c r="BT1568" s="73"/>
      <c r="BU1568" s="73"/>
      <c r="BV1568" s="73"/>
      <c r="BW1568" s="73"/>
      <c r="BX1568" s="73"/>
      <c r="BY1568" s="73"/>
      <c r="BZ1568" s="73"/>
      <c r="CA1568" s="73"/>
      <c r="CB1568" s="73"/>
      <c r="CC1568" s="73"/>
      <c r="CD1568" s="73"/>
      <c r="CE1568" s="73"/>
      <c r="CF1568" s="73"/>
      <c r="CG1568" s="73"/>
      <c r="CH1568" s="73"/>
    </row>
    <row r="1569">
      <c r="A1569" s="73"/>
      <c r="B1569" s="73"/>
      <c r="C1569" s="73"/>
      <c r="D1569" s="73"/>
      <c r="E1569" s="140"/>
      <c r="F1569" s="80"/>
      <c r="G1569" s="80"/>
      <c r="H1569" s="73"/>
      <c r="I1569" s="73"/>
      <c r="J1569" s="73"/>
      <c r="K1569" s="73"/>
      <c r="L1569" s="73"/>
      <c r="M1569" s="73"/>
      <c r="N1569" s="73"/>
      <c r="O1569" s="73"/>
      <c r="P1569" s="73"/>
      <c r="Q1569" s="73"/>
      <c r="R1569" s="73"/>
      <c r="S1569" s="73"/>
      <c r="T1569" s="73"/>
      <c r="U1569" s="73"/>
      <c r="V1569" s="73"/>
      <c r="W1569" s="73"/>
      <c r="X1569" s="73"/>
      <c r="Y1569" s="73"/>
      <c r="Z1569" s="73"/>
      <c r="AA1569" s="73"/>
      <c r="AB1569" s="73"/>
      <c r="AC1569" s="73"/>
      <c r="AD1569" s="73"/>
      <c r="AE1569" s="73"/>
      <c r="AF1569" s="73"/>
      <c r="AG1569" s="73"/>
      <c r="AH1569" s="73"/>
      <c r="AI1569" s="73"/>
      <c r="AJ1569" s="168"/>
      <c r="AK1569" s="73"/>
      <c r="AL1569" s="73"/>
      <c r="AM1569" s="73"/>
      <c r="AN1569" s="73"/>
      <c r="AO1569" s="73"/>
      <c r="AP1569" s="73"/>
      <c r="AQ1569" s="73"/>
      <c r="AR1569" s="73"/>
      <c r="AS1569" s="73"/>
      <c r="AT1569" s="73"/>
      <c r="AU1569" s="73"/>
      <c r="AV1569" s="73"/>
      <c r="AW1569" s="73"/>
      <c r="AX1569" s="73"/>
      <c r="AY1569" s="73"/>
      <c r="AZ1569" s="73"/>
      <c r="BA1569" s="73"/>
      <c r="BB1569" s="73"/>
      <c r="BC1569" s="73"/>
      <c r="BD1569" s="73"/>
      <c r="BE1569" s="73"/>
      <c r="BF1569" s="75"/>
      <c r="BG1569" s="73"/>
      <c r="BH1569" s="88"/>
      <c r="BI1569" s="73"/>
      <c r="BJ1569" s="73"/>
      <c r="BK1569" s="73"/>
      <c r="BL1569" s="73"/>
      <c r="BM1569" s="73"/>
      <c r="BN1569" s="73"/>
      <c r="BO1569" s="73"/>
      <c r="BP1569" s="73"/>
      <c r="BQ1569" s="73"/>
      <c r="BR1569" s="73"/>
      <c r="BS1569" s="73"/>
      <c r="BT1569" s="73"/>
      <c r="BU1569" s="73"/>
      <c r="BV1569" s="73"/>
      <c r="BW1569" s="73"/>
      <c r="BX1569" s="73"/>
      <c r="BY1569" s="73"/>
      <c r="BZ1569" s="73"/>
      <c r="CA1569" s="73"/>
      <c r="CB1569" s="73"/>
      <c r="CC1569" s="73"/>
      <c r="CD1569" s="73"/>
      <c r="CE1569" s="73"/>
      <c r="CF1569" s="73"/>
      <c r="CG1569" s="73"/>
      <c r="CH1569" s="73"/>
    </row>
    <row r="1570">
      <c r="A1570" s="73"/>
      <c r="B1570" s="73"/>
      <c r="C1570" s="73"/>
      <c r="D1570" s="73"/>
      <c r="E1570" s="140"/>
      <c r="F1570" s="80"/>
      <c r="G1570" s="80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  <c r="S1570" s="73"/>
      <c r="T1570" s="73"/>
      <c r="U1570" s="73"/>
      <c r="V1570" s="73"/>
      <c r="W1570" s="73"/>
      <c r="X1570" s="73"/>
      <c r="Y1570" s="73"/>
      <c r="Z1570" s="73"/>
      <c r="AA1570" s="73"/>
      <c r="AB1570" s="73"/>
      <c r="AC1570" s="73"/>
      <c r="AD1570" s="73"/>
      <c r="AE1570" s="73"/>
      <c r="AF1570" s="73"/>
      <c r="AG1570" s="73"/>
      <c r="AH1570" s="73"/>
      <c r="AI1570" s="73"/>
      <c r="AJ1570" s="168"/>
      <c r="AK1570" s="73"/>
      <c r="AL1570" s="73"/>
      <c r="AM1570" s="73"/>
      <c r="AN1570" s="73"/>
      <c r="AO1570" s="73"/>
      <c r="AP1570" s="73"/>
      <c r="AQ1570" s="73"/>
      <c r="AR1570" s="73"/>
      <c r="AS1570" s="73"/>
      <c r="AT1570" s="73"/>
      <c r="AU1570" s="73"/>
      <c r="AV1570" s="73"/>
      <c r="AW1570" s="73"/>
      <c r="AX1570" s="73"/>
      <c r="AY1570" s="73"/>
      <c r="AZ1570" s="73"/>
      <c r="BA1570" s="73"/>
      <c r="BB1570" s="73"/>
      <c r="BC1570" s="73"/>
      <c r="BD1570" s="73"/>
      <c r="BE1570" s="73"/>
      <c r="BF1570" s="75"/>
      <c r="BG1570" s="73"/>
      <c r="BH1570" s="88"/>
      <c r="BI1570" s="73"/>
      <c r="BJ1570" s="73"/>
      <c r="BK1570" s="73"/>
      <c r="BL1570" s="73"/>
      <c r="BM1570" s="73"/>
      <c r="BN1570" s="73"/>
      <c r="BO1570" s="73"/>
      <c r="BP1570" s="73"/>
      <c r="BQ1570" s="73"/>
      <c r="BR1570" s="73"/>
      <c r="BS1570" s="73"/>
      <c r="BT1570" s="73"/>
      <c r="BU1570" s="73"/>
      <c r="BV1570" s="73"/>
      <c r="BW1570" s="73"/>
      <c r="BX1570" s="73"/>
      <c r="BY1570" s="73"/>
      <c r="BZ1570" s="73"/>
      <c r="CA1570" s="73"/>
      <c r="CB1570" s="73"/>
      <c r="CC1570" s="73"/>
      <c r="CD1570" s="73"/>
      <c r="CE1570" s="73"/>
      <c r="CF1570" s="73"/>
      <c r="CG1570" s="73"/>
      <c r="CH1570" s="73"/>
    </row>
    <row r="1571">
      <c r="A1571" s="73"/>
      <c r="B1571" s="73"/>
      <c r="C1571" s="73"/>
      <c r="D1571" s="73"/>
      <c r="E1571" s="140"/>
      <c r="F1571" s="80"/>
      <c r="G1571" s="80"/>
      <c r="H1571" s="73"/>
      <c r="I1571" s="73"/>
      <c r="J1571" s="73"/>
      <c r="K1571" s="73"/>
      <c r="L1571" s="73"/>
      <c r="M1571" s="73"/>
      <c r="N1571" s="73"/>
      <c r="O1571" s="73"/>
      <c r="P1571" s="73"/>
      <c r="Q1571" s="73"/>
      <c r="R1571" s="73"/>
      <c r="S1571" s="73"/>
      <c r="T1571" s="73"/>
      <c r="U1571" s="73"/>
      <c r="V1571" s="73"/>
      <c r="W1571" s="73"/>
      <c r="X1571" s="73"/>
      <c r="Y1571" s="73"/>
      <c r="Z1571" s="73"/>
      <c r="AA1571" s="73"/>
      <c r="AB1571" s="73"/>
      <c r="AC1571" s="73"/>
      <c r="AD1571" s="73"/>
      <c r="AE1571" s="73"/>
      <c r="AF1571" s="73"/>
      <c r="AG1571" s="73"/>
      <c r="AH1571" s="73"/>
      <c r="AI1571" s="73"/>
      <c r="AJ1571" s="168"/>
      <c r="AK1571" s="73"/>
      <c r="AL1571" s="73"/>
      <c r="AM1571" s="73"/>
      <c r="AN1571" s="73"/>
      <c r="AO1571" s="73"/>
      <c r="AP1571" s="73"/>
      <c r="AQ1571" s="73"/>
      <c r="AR1571" s="73"/>
      <c r="AS1571" s="73"/>
      <c r="AT1571" s="73"/>
      <c r="AU1571" s="73"/>
      <c r="AV1571" s="73"/>
      <c r="AW1571" s="73"/>
      <c r="AX1571" s="73"/>
      <c r="AY1571" s="73"/>
      <c r="AZ1571" s="73"/>
      <c r="BA1571" s="73"/>
      <c r="BB1571" s="73"/>
      <c r="BC1571" s="73"/>
      <c r="BD1571" s="73"/>
      <c r="BE1571" s="73"/>
      <c r="BF1571" s="75"/>
      <c r="BG1571" s="73"/>
      <c r="BH1571" s="88"/>
      <c r="BI1571" s="73"/>
      <c r="BJ1571" s="73"/>
      <c r="BK1571" s="73"/>
      <c r="BL1571" s="73"/>
      <c r="BM1571" s="73"/>
      <c r="BN1571" s="73"/>
      <c r="BO1571" s="73"/>
      <c r="BP1571" s="73"/>
      <c r="BQ1571" s="73"/>
      <c r="BR1571" s="73"/>
      <c r="BS1571" s="73"/>
      <c r="BT1571" s="73"/>
      <c r="BU1571" s="73"/>
      <c r="BV1571" s="73"/>
      <c r="BW1571" s="73"/>
      <c r="BX1571" s="73"/>
      <c r="BY1571" s="73"/>
      <c r="BZ1571" s="73"/>
      <c r="CA1571" s="73"/>
      <c r="CB1571" s="73"/>
      <c r="CC1571" s="73"/>
      <c r="CD1571" s="73"/>
      <c r="CE1571" s="73"/>
      <c r="CF1571" s="73"/>
      <c r="CG1571" s="73"/>
      <c r="CH1571" s="73"/>
    </row>
    <row r="1572">
      <c r="A1572" s="73"/>
      <c r="B1572" s="73"/>
      <c r="C1572" s="73"/>
      <c r="D1572" s="73"/>
      <c r="E1572" s="140"/>
      <c r="F1572" s="80"/>
      <c r="G1572" s="80"/>
      <c r="H1572" s="73"/>
      <c r="I1572" s="73"/>
      <c r="J1572" s="73"/>
      <c r="K1572" s="73"/>
      <c r="L1572" s="73"/>
      <c r="M1572" s="73"/>
      <c r="N1572" s="73"/>
      <c r="O1572" s="73"/>
      <c r="P1572" s="73"/>
      <c r="Q1572" s="73"/>
      <c r="R1572" s="73"/>
      <c r="S1572" s="73"/>
      <c r="T1572" s="73"/>
      <c r="U1572" s="73"/>
      <c r="V1572" s="73"/>
      <c r="W1572" s="73"/>
      <c r="X1572" s="73"/>
      <c r="Y1572" s="73"/>
      <c r="Z1572" s="73"/>
      <c r="AA1572" s="73"/>
      <c r="AB1572" s="73"/>
      <c r="AC1572" s="73"/>
      <c r="AD1572" s="73"/>
      <c r="AE1572" s="73"/>
      <c r="AF1572" s="73"/>
      <c r="AG1572" s="73"/>
      <c r="AH1572" s="73"/>
      <c r="AI1572" s="73"/>
      <c r="AJ1572" s="168"/>
      <c r="AK1572" s="73"/>
      <c r="AL1572" s="73"/>
      <c r="AM1572" s="73"/>
      <c r="AN1572" s="73"/>
      <c r="AO1572" s="73"/>
      <c r="AP1572" s="73"/>
      <c r="AQ1572" s="73"/>
      <c r="AR1572" s="73"/>
      <c r="AS1572" s="73"/>
      <c r="AT1572" s="73"/>
      <c r="AU1572" s="73"/>
      <c r="AV1572" s="73"/>
      <c r="AW1572" s="73"/>
      <c r="AX1572" s="73"/>
      <c r="AY1572" s="73"/>
      <c r="AZ1572" s="73"/>
      <c r="BA1572" s="73"/>
      <c r="BB1572" s="73"/>
      <c r="BC1572" s="73"/>
      <c r="BD1572" s="73"/>
      <c r="BE1572" s="73"/>
      <c r="BF1572" s="75"/>
      <c r="BG1572" s="73"/>
      <c r="BH1572" s="88"/>
      <c r="BI1572" s="73"/>
      <c r="BJ1572" s="73"/>
      <c r="BK1572" s="73"/>
      <c r="BL1572" s="73"/>
      <c r="BM1572" s="73"/>
      <c r="BN1572" s="73"/>
      <c r="BO1572" s="73"/>
      <c r="BP1572" s="73"/>
      <c r="BQ1572" s="73"/>
      <c r="BR1572" s="73"/>
      <c r="BS1572" s="73"/>
      <c r="BT1572" s="73"/>
      <c r="BU1572" s="73"/>
      <c r="BV1572" s="73"/>
      <c r="BW1572" s="73"/>
      <c r="BX1572" s="73"/>
      <c r="BY1572" s="73"/>
      <c r="BZ1572" s="73"/>
      <c r="CA1572" s="73"/>
      <c r="CB1572" s="73"/>
      <c r="CC1572" s="73"/>
      <c r="CD1572" s="73"/>
      <c r="CE1572" s="73"/>
      <c r="CF1572" s="73"/>
      <c r="CG1572" s="73"/>
      <c r="CH1572" s="73"/>
    </row>
    <row r="1573">
      <c r="A1573" s="73"/>
      <c r="B1573" s="73"/>
      <c r="C1573" s="73"/>
      <c r="D1573" s="73"/>
      <c r="E1573" s="140"/>
      <c r="F1573" s="80"/>
      <c r="G1573" s="80"/>
      <c r="H1573" s="73"/>
      <c r="I1573" s="73"/>
      <c r="J1573" s="73"/>
      <c r="K1573" s="73"/>
      <c r="L1573" s="73"/>
      <c r="M1573" s="73"/>
      <c r="N1573" s="73"/>
      <c r="O1573" s="73"/>
      <c r="P1573" s="73"/>
      <c r="Q1573" s="73"/>
      <c r="R1573" s="73"/>
      <c r="S1573" s="73"/>
      <c r="T1573" s="73"/>
      <c r="U1573" s="73"/>
      <c r="V1573" s="73"/>
      <c r="W1573" s="73"/>
      <c r="X1573" s="73"/>
      <c r="Y1573" s="73"/>
      <c r="Z1573" s="73"/>
      <c r="AA1573" s="73"/>
      <c r="AB1573" s="73"/>
      <c r="AC1573" s="73"/>
      <c r="AD1573" s="73"/>
      <c r="AE1573" s="73"/>
      <c r="AF1573" s="73"/>
      <c r="AG1573" s="73"/>
      <c r="AH1573" s="73"/>
      <c r="AI1573" s="73"/>
      <c r="AJ1573" s="168"/>
      <c r="AK1573" s="73"/>
      <c r="AL1573" s="73"/>
      <c r="AM1573" s="73"/>
      <c r="AN1573" s="73"/>
      <c r="AO1573" s="73"/>
      <c r="AP1573" s="73"/>
      <c r="AQ1573" s="73"/>
      <c r="AR1573" s="73"/>
      <c r="AS1573" s="73"/>
      <c r="AT1573" s="73"/>
      <c r="AU1573" s="73"/>
      <c r="AV1573" s="73"/>
      <c r="AW1573" s="73"/>
      <c r="AX1573" s="73"/>
      <c r="AY1573" s="73"/>
      <c r="AZ1573" s="73"/>
      <c r="BA1573" s="73"/>
      <c r="BB1573" s="73"/>
      <c r="BC1573" s="73"/>
      <c r="BD1573" s="73"/>
      <c r="BE1573" s="73"/>
      <c r="BF1573" s="75"/>
      <c r="BG1573" s="73"/>
      <c r="BH1573" s="88"/>
      <c r="BI1573" s="73"/>
      <c r="BJ1573" s="73"/>
      <c r="BK1573" s="73"/>
      <c r="BL1573" s="73"/>
      <c r="BM1573" s="73"/>
      <c r="BN1573" s="73"/>
      <c r="BO1573" s="73"/>
      <c r="BP1573" s="73"/>
      <c r="BQ1573" s="73"/>
      <c r="BR1573" s="73"/>
      <c r="BS1573" s="73"/>
      <c r="BT1573" s="73"/>
      <c r="BU1573" s="73"/>
      <c r="BV1573" s="73"/>
      <c r="BW1573" s="73"/>
      <c r="BX1573" s="73"/>
      <c r="BY1573" s="73"/>
      <c r="BZ1573" s="73"/>
      <c r="CA1573" s="73"/>
      <c r="CB1573" s="73"/>
      <c r="CC1573" s="73"/>
      <c r="CD1573" s="73"/>
      <c r="CE1573" s="73"/>
      <c r="CF1573" s="73"/>
      <c r="CG1573" s="73"/>
      <c r="CH1573" s="73"/>
    </row>
    <row r="1574">
      <c r="A1574" s="73"/>
      <c r="B1574" s="73"/>
      <c r="C1574" s="73"/>
      <c r="D1574" s="73"/>
      <c r="E1574" s="140"/>
      <c r="F1574" s="80"/>
      <c r="G1574" s="80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  <c r="S1574" s="73"/>
      <c r="T1574" s="73"/>
      <c r="U1574" s="73"/>
      <c r="V1574" s="73"/>
      <c r="W1574" s="73"/>
      <c r="X1574" s="73"/>
      <c r="Y1574" s="73"/>
      <c r="Z1574" s="73"/>
      <c r="AA1574" s="73"/>
      <c r="AB1574" s="73"/>
      <c r="AC1574" s="73"/>
      <c r="AD1574" s="73"/>
      <c r="AE1574" s="73"/>
      <c r="AF1574" s="73"/>
      <c r="AG1574" s="73"/>
      <c r="AH1574" s="73"/>
      <c r="AI1574" s="73"/>
      <c r="AJ1574" s="168"/>
      <c r="AK1574" s="73"/>
      <c r="AL1574" s="73"/>
      <c r="AM1574" s="73"/>
      <c r="AN1574" s="73"/>
      <c r="AO1574" s="73"/>
      <c r="AP1574" s="73"/>
      <c r="AQ1574" s="73"/>
      <c r="AR1574" s="73"/>
      <c r="AS1574" s="73"/>
      <c r="AT1574" s="73"/>
      <c r="AU1574" s="73"/>
      <c r="AV1574" s="73"/>
      <c r="AW1574" s="73"/>
      <c r="AX1574" s="73"/>
      <c r="AY1574" s="73"/>
      <c r="AZ1574" s="73"/>
      <c r="BA1574" s="73"/>
      <c r="BB1574" s="73"/>
      <c r="BC1574" s="73"/>
      <c r="BD1574" s="73"/>
      <c r="BE1574" s="73"/>
      <c r="BF1574" s="75"/>
      <c r="BG1574" s="73"/>
      <c r="BH1574" s="88"/>
      <c r="BI1574" s="73"/>
      <c r="BJ1574" s="73"/>
      <c r="BK1574" s="73"/>
      <c r="BL1574" s="73"/>
      <c r="BM1574" s="73"/>
      <c r="BN1574" s="73"/>
      <c r="BO1574" s="73"/>
      <c r="BP1574" s="73"/>
      <c r="BQ1574" s="73"/>
      <c r="BR1574" s="73"/>
      <c r="BS1574" s="73"/>
      <c r="BT1574" s="73"/>
      <c r="BU1574" s="73"/>
      <c r="BV1574" s="73"/>
      <c r="BW1574" s="73"/>
      <c r="BX1574" s="73"/>
      <c r="BY1574" s="73"/>
      <c r="BZ1574" s="73"/>
      <c r="CA1574" s="73"/>
      <c r="CB1574" s="73"/>
      <c r="CC1574" s="73"/>
      <c r="CD1574" s="73"/>
      <c r="CE1574" s="73"/>
      <c r="CF1574" s="73"/>
      <c r="CG1574" s="73"/>
      <c r="CH1574" s="73"/>
    </row>
    <row r="1575">
      <c r="A1575" s="73"/>
      <c r="B1575" s="73"/>
      <c r="C1575" s="73"/>
      <c r="D1575" s="73"/>
      <c r="E1575" s="140"/>
      <c r="F1575" s="80"/>
      <c r="G1575" s="80"/>
      <c r="H1575" s="73"/>
      <c r="I1575" s="73"/>
      <c r="J1575" s="73"/>
      <c r="K1575" s="73"/>
      <c r="L1575" s="73"/>
      <c r="M1575" s="73"/>
      <c r="N1575" s="73"/>
      <c r="O1575" s="73"/>
      <c r="P1575" s="73"/>
      <c r="Q1575" s="73"/>
      <c r="R1575" s="73"/>
      <c r="S1575" s="73"/>
      <c r="T1575" s="73"/>
      <c r="U1575" s="73"/>
      <c r="V1575" s="73"/>
      <c r="W1575" s="73"/>
      <c r="X1575" s="73"/>
      <c r="Y1575" s="73"/>
      <c r="Z1575" s="73"/>
      <c r="AA1575" s="73"/>
      <c r="AB1575" s="73"/>
      <c r="AC1575" s="73"/>
      <c r="AD1575" s="73"/>
      <c r="AE1575" s="73"/>
      <c r="AF1575" s="73"/>
      <c r="AG1575" s="73"/>
      <c r="AH1575" s="73"/>
      <c r="AI1575" s="73"/>
      <c r="AJ1575" s="168"/>
      <c r="AK1575" s="73"/>
      <c r="AL1575" s="73"/>
      <c r="AM1575" s="73"/>
      <c r="AN1575" s="73"/>
      <c r="AO1575" s="73"/>
      <c r="AP1575" s="73"/>
      <c r="AQ1575" s="73"/>
      <c r="AR1575" s="73"/>
      <c r="AS1575" s="73"/>
      <c r="AT1575" s="73"/>
      <c r="AU1575" s="73"/>
      <c r="AV1575" s="73"/>
      <c r="AW1575" s="73"/>
      <c r="AX1575" s="73"/>
      <c r="AY1575" s="73"/>
      <c r="AZ1575" s="73"/>
      <c r="BA1575" s="73"/>
      <c r="BB1575" s="73"/>
      <c r="BC1575" s="73"/>
      <c r="BD1575" s="73"/>
      <c r="BE1575" s="73"/>
      <c r="BF1575" s="75"/>
      <c r="BG1575" s="73"/>
      <c r="BH1575" s="88"/>
      <c r="BI1575" s="73"/>
      <c r="BJ1575" s="73"/>
      <c r="BK1575" s="73"/>
      <c r="BL1575" s="73"/>
      <c r="BM1575" s="73"/>
      <c r="BN1575" s="73"/>
      <c r="BO1575" s="73"/>
      <c r="BP1575" s="73"/>
      <c r="BQ1575" s="73"/>
      <c r="BR1575" s="73"/>
      <c r="BS1575" s="73"/>
      <c r="BT1575" s="73"/>
      <c r="BU1575" s="73"/>
      <c r="BV1575" s="73"/>
      <c r="BW1575" s="73"/>
      <c r="BX1575" s="73"/>
      <c r="BY1575" s="73"/>
      <c r="BZ1575" s="73"/>
      <c r="CA1575" s="73"/>
      <c r="CB1575" s="73"/>
      <c r="CC1575" s="73"/>
      <c r="CD1575" s="73"/>
      <c r="CE1575" s="73"/>
      <c r="CF1575" s="73"/>
      <c r="CG1575" s="73"/>
      <c r="CH1575" s="73"/>
    </row>
    <row r="1576">
      <c r="A1576" s="73"/>
      <c r="B1576" s="73"/>
      <c r="C1576" s="73"/>
      <c r="D1576" s="73"/>
      <c r="E1576" s="140"/>
      <c r="F1576" s="80"/>
      <c r="G1576" s="80"/>
      <c r="H1576" s="73"/>
      <c r="I1576" s="73"/>
      <c r="J1576" s="73"/>
      <c r="K1576" s="73"/>
      <c r="L1576" s="73"/>
      <c r="M1576" s="73"/>
      <c r="N1576" s="73"/>
      <c r="O1576" s="73"/>
      <c r="P1576" s="73"/>
      <c r="Q1576" s="73"/>
      <c r="R1576" s="73"/>
      <c r="S1576" s="73"/>
      <c r="T1576" s="73"/>
      <c r="U1576" s="73"/>
      <c r="V1576" s="73"/>
      <c r="W1576" s="73"/>
      <c r="X1576" s="73"/>
      <c r="Y1576" s="73"/>
      <c r="Z1576" s="73"/>
      <c r="AA1576" s="73"/>
      <c r="AB1576" s="73"/>
      <c r="AC1576" s="73"/>
      <c r="AD1576" s="73"/>
      <c r="AE1576" s="73"/>
      <c r="AF1576" s="73"/>
      <c r="AG1576" s="73"/>
      <c r="AH1576" s="73"/>
      <c r="AI1576" s="73"/>
      <c r="AJ1576" s="168"/>
      <c r="AK1576" s="73"/>
      <c r="AL1576" s="73"/>
      <c r="AM1576" s="73"/>
      <c r="AN1576" s="73"/>
      <c r="AO1576" s="73"/>
      <c r="AP1576" s="73"/>
      <c r="AQ1576" s="73"/>
      <c r="AR1576" s="73"/>
      <c r="AS1576" s="73"/>
      <c r="AT1576" s="73"/>
      <c r="AU1576" s="73"/>
      <c r="AV1576" s="73"/>
      <c r="AW1576" s="73"/>
      <c r="AX1576" s="73"/>
      <c r="AY1576" s="73"/>
      <c r="AZ1576" s="73"/>
      <c r="BA1576" s="73"/>
      <c r="BB1576" s="73"/>
      <c r="BC1576" s="73"/>
      <c r="BD1576" s="73"/>
      <c r="BE1576" s="73"/>
      <c r="BF1576" s="75"/>
      <c r="BG1576" s="73"/>
      <c r="BH1576" s="88"/>
      <c r="BI1576" s="73"/>
      <c r="BJ1576" s="73"/>
      <c r="BK1576" s="73"/>
      <c r="BL1576" s="73"/>
      <c r="BM1576" s="73"/>
      <c r="BN1576" s="73"/>
      <c r="BO1576" s="73"/>
      <c r="BP1576" s="73"/>
      <c r="BQ1576" s="73"/>
      <c r="BR1576" s="73"/>
      <c r="BS1576" s="73"/>
      <c r="BT1576" s="73"/>
      <c r="BU1576" s="73"/>
      <c r="BV1576" s="73"/>
      <c r="BW1576" s="73"/>
      <c r="BX1576" s="73"/>
      <c r="BY1576" s="73"/>
      <c r="BZ1576" s="73"/>
      <c r="CA1576" s="73"/>
      <c r="CB1576" s="73"/>
      <c r="CC1576" s="73"/>
      <c r="CD1576" s="73"/>
      <c r="CE1576" s="73"/>
      <c r="CF1576" s="73"/>
      <c r="CG1576" s="73"/>
      <c r="CH1576" s="73"/>
    </row>
    <row r="1577">
      <c r="A1577" s="73"/>
      <c r="B1577" s="73"/>
      <c r="C1577" s="73"/>
      <c r="D1577" s="73"/>
      <c r="E1577" s="140"/>
      <c r="F1577" s="80"/>
      <c r="G1577" s="80"/>
      <c r="H1577" s="73"/>
      <c r="I1577" s="73"/>
      <c r="J1577" s="73"/>
      <c r="K1577" s="73"/>
      <c r="L1577" s="73"/>
      <c r="M1577" s="73"/>
      <c r="N1577" s="73"/>
      <c r="O1577" s="73"/>
      <c r="P1577" s="73"/>
      <c r="Q1577" s="73"/>
      <c r="R1577" s="73"/>
      <c r="S1577" s="73"/>
      <c r="T1577" s="73"/>
      <c r="U1577" s="73"/>
      <c r="V1577" s="73"/>
      <c r="W1577" s="73"/>
      <c r="X1577" s="73"/>
      <c r="Y1577" s="73"/>
      <c r="Z1577" s="73"/>
      <c r="AA1577" s="73"/>
      <c r="AB1577" s="73"/>
      <c r="AC1577" s="73"/>
      <c r="AD1577" s="73"/>
      <c r="AE1577" s="73"/>
      <c r="AF1577" s="73"/>
      <c r="AG1577" s="73"/>
      <c r="AH1577" s="73"/>
      <c r="AI1577" s="73"/>
      <c r="AJ1577" s="168"/>
      <c r="AK1577" s="73"/>
      <c r="AL1577" s="73"/>
      <c r="AM1577" s="73"/>
      <c r="AN1577" s="73"/>
      <c r="AO1577" s="73"/>
      <c r="AP1577" s="73"/>
      <c r="AQ1577" s="73"/>
      <c r="AR1577" s="73"/>
      <c r="AS1577" s="73"/>
      <c r="AT1577" s="73"/>
      <c r="AU1577" s="73"/>
      <c r="AV1577" s="73"/>
      <c r="AW1577" s="73"/>
      <c r="AX1577" s="73"/>
      <c r="AY1577" s="73"/>
      <c r="AZ1577" s="73"/>
      <c r="BA1577" s="73"/>
      <c r="BB1577" s="73"/>
      <c r="BC1577" s="73"/>
      <c r="BD1577" s="73"/>
      <c r="BE1577" s="73"/>
      <c r="BF1577" s="75"/>
      <c r="BG1577" s="73"/>
      <c r="BH1577" s="88"/>
      <c r="BI1577" s="73"/>
      <c r="BJ1577" s="73"/>
      <c r="BK1577" s="73"/>
      <c r="BL1577" s="73"/>
      <c r="BM1577" s="73"/>
      <c r="BN1577" s="73"/>
      <c r="BO1577" s="73"/>
      <c r="BP1577" s="73"/>
      <c r="BQ1577" s="73"/>
      <c r="BR1577" s="73"/>
      <c r="BS1577" s="73"/>
      <c r="BT1577" s="73"/>
      <c r="BU1577" s="73"/>
      <c r="BV1577" s="73"/>
      <c r="BW1577" s="73"/>
      <c r="BX1577" s="73"/>
      <c r="BY1577" s="73"/>
      <c r="BZ1577" s="73"/>
      <c r="CA1577" s="73"/>
      <c r="CB1577" s="73"/>
      <c r="CC1577" s="73"/>
      <c r="CD1577" s="73"/>
      <c r="CE1577" s="73"/>
      <c r="CF1577" s="73"/>
      <c r="CG1577" s="73"/>
      <c r="CH1577" s="73"/>
    </row>
    <row r="1578">
      <c r="A1578" s="73"/>
      <c r="B1578" s="73"/>
      <c r="C1578" s="73"/>
      <c r="D1578" s="73"/>
      <c r="E1578" s="140"/>
      <c r="F1578" s="80"/>
      <c r="G1578" s="80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  <c r="S1578" s="73"/>
      <c r="T1578" s="73"/>
      <c r="U1578" s="73"/>
      <c r="V1578" s="73"/>
      <c r="W1578" s="73"/>
      <c r="X1578" s="73"/>
      <c r="Y1578" s="73"/>
      <c r="Z1578" s="73"/>
      <c r="AA1578" s="73"/>
      <c r="AB1578" s="73"/>
      <c r="AC1578" s="73"/>
      <c r="AD1578" s="73"/>
      <c r="AE1578" s="73"/>
      <c r="AF1578" s="73"/>
      <c r="AG1578" s="73"/>
      <c r="AH1578" s="73"/>
      <c r="AI1578" s="73"/>
      <c r="AJ1578" s="168"/>
      <c r="AK1578" s="73"/>
      <c r="AL1578" s="73"/>
      <c r="AM1578" s="73"/>
      <c r="AN1578" s="73"/>
      <c r="AO1578" s="73"/>
      <c r="AP1578" s="73"/>
      <c r="AQ1578" s="73"/>
      <c r="AR1578" s="73"/>
      <c r="AS1578" s="73"/>
      <c r="AT1578" s="73"/>
      <c r="AU1578" s="73"/>
      <c r="AV1578" s="73"/>
      <c r="AW1578" s="73"/>
      <c r="AX1578" s="73"/>
      <c r="AY1578" s="73"/>
      <c r="AZ1578" s="73"/>
      <c r="BA1578" s="73"/>
      <c r="BB1578" s="73"/>
      <c r="BC1578" s="73"/>
      <c r="BD1578" s="73"/>
      <c r="BE1578" s="73"/>
      <c r="BF1578" s="75"/>
      <c r="BG1578" s="73"/>
      <c r="BH1578" s="88"/>
      <c r="BI1578" s="73"/>
      <c r="BJ1578" s="73"/>
      <c r="BK1578" s="73"/>
      <c r="BL1578" s="73"/>
      <c r="BM1578" s="73"/>
      <c r="BN1578" s="73"/>
      <c r="BO1578" s="73"/>
      <c r="BP1578" s="73"/>
      <c r="BQ1578" s="73"/>
      <c r="BR1578" s="73"/>
      <c r="BS1578" s="73"/>
      <c r="BT1578" s="73"/>
      <c r="BU1578" s="73"/>
      <c r="BV1578" s="73"/>
      <c r="BW1578" s="73"/>
      <c r="BX1578" s="73"/>
      <c r="BY1578" s="73"/>
      <c r="BZ1578" s="73"/>
      <c r="CA1578" s="73"/>
      <c r="CB1578" s="73"/>
      <c r="CC1578" s="73"/>
      <c r="CD1578" s="73"/>
      <c r="CE1578" s="73"/>
      <c r="CF1578" s="73"/>
      <c r="CG1578" s="73"/>
      <c r="CH1578" s="73"/>
    </row>
    <row r="1579">
      <c r="A1579" s="73"/>
      <c r="B1579" s="73"/>
      <c r="C1579" s="73"/>
      <c r="D1579" s="73"/>
      <c r="E1579" s="140"/>
      <c r="F1579" s="80"/>
      <c r="G1579" s="80"/>
      <c r="H1579" s="73"/>
      <c r="I1579" s="73"/>
      <c r="J1579" s="73"/>
      <c r="K1579" s="73"/>
      <c r="L1579" s="73"/>
      <c r="M1579" s="73"/>
      <c r="N1579" s="73"/>
      <c r="O1579" s="73"/>
      <c r="P1579" s="73"/>
      <c r="Q1579" s="73"/>
      <c r="R1579" s="73"/>
      <c r="S1579" s="73"/>
      <c r="T1579" s="73"/>
      <c r="U1579" s="73"/>
      <c r="V1579" s="73"/>
      <c r="W1579" s="73"/>
      <c r="X1579" s="73"/>
      <c r="Y1579" s="73"/>
      <c r="Z1579" s="73"/>
      <c r="AA1579" s="73"/>
      <c r="AB1579" s="73"/>
      <c r="AC1579" s="73"/>
      <c r="AD1579" s="73"/>
      <c r="AE1579" s="73"/>
      <c r="AF1579" s="73"/>
      <c r="AG1579" s="73"/>
      <c r="AH1579" s="73"/>
      <c r="AI1579" s="73"/>
      <c r="AJ1579" s="168"/>
      <c r="AK1579" s="73"/>
      <c r="AL1579" s="73"/>
      <c r="AM1579" s="73"/>
      <c r="AN1579" s="73"/>
      <c r="AO1579" s="73"/>
      <c r="AP1579" s="73"/>
      <c r="AQ1579" s="73"/>
      <c r="AR1579" s="73"/>
      <c r="AS1579" s="73"/>
      <c r="AT1579" s="73"/>
      <c r="AU1579" s="73"/>
      <c r="AV1579" s="73"/>
      <c r="AW1579" s="73"/>
      <c r="AX1579" s="73"/>
      <c r="AY1579" s="73"/>
      <c r="AZ1579" s="73"/>
      <c r="BA1579" s="73"/>
      <c r="BB1579" s="73"/>
      <c r="BC1579" s="73"/>
      <c r="BD1579" s="73"/>
      <c r="BE1579" s="73"/>
      <c r="BF1579" s="75"/>
      <c r="BG1579" s="73"/>
      <c r="BH1579" s="88"/>
      <c r="BI1579" s="73"/>
      <c r="BJ1579" s="73"/>
      <c r="BK1579" s="73"/>
      <c r="BL1579" s="73"/>
      <c r="BM1579" s="73"/>
      <c r="BN1579" s="73"/>
      <c r="BO1579" s="73"/>
      <c r="BP1579" s="73"/>
      <c r="BQ1579" s="73"/>
      <c r="BR1579" s="73"/>
      <c r="BS1579" s="73"/>
      <c r="BT1579" s="73"/>
      <c r="BU1579" s="73"/>
      <c r="BV1579" s="73"/>
      <c r="BW1579" s="73"/>
      <c r="BX1579" s="73"/>
      <c r="BY1579" s="73"/>
      <c r="BZ1579" s="73"/>
      <c r="CA1579" s="73"/>
      <c r="CB1579" s="73"/>
      <c r="CC1579" s="73"/>
      <c r="CD1579" s="73"/>
      <c r="CE1579" s="73"/>
      <c r="CF1579" s="73"/>
      <c r="CG1579" s="73"/>
      <c r="CH1579" s="73"/>
    </row>
    <row r="1580">
      <c r="A1580" s="73"/>
      <c r="B1580" s="73"/>
      <c r="C1580" s="73"/>
      <c r="D1580" s="73"/>
      <c r="E1580" s="140"/>
      <c r="F1580" s="80"/>
      <c r="G1580" s="80"/>
      <c r="H1580" s="73"/>
      <c r="I1580" s="73"/>
      <c r="J1580" s="73"/>
      <c r="K1580" s="73"/>
      <c r="L1580" s="73"/>
      <c r="M1580" s="73"/>
      <c r="N1580" s="73"/>
      <c r="O1580" s="73"/>
      <c r="P1580" s="73"/>
      <c r="Q1580" s="73"/>
      <c r="R1580" s="73"/>
      <c r="S1580" s="73"/>
      <c r="T1580" s="73"/>
      <c r="U1580" s="73"/>
      <c r="V1580" s="73"/>
      <c r="W1580" s="73"/>
      <c r="X1580" s="73"/>
      <c r="Y1580" s="73"/>
      <c r="Z1580" s="73"/>
      <c r="AA1580" s="73"/>
      <c r="AB1580" s="73"/>
      <c r="AC1580" s="73"/>
      <c r="AD1580" s="73"/>
      <c r="AE1580" s="73"/>
      <c r="AF1580" s="73"/>
      <c r="AG1580" s="73"/>
      <c r="AH1580" s="73"/>
      <c r="AI1580" s="73"/>
      <c r="AJ1580" s="168"/>
      <c r="AK1580" s="73"/>
      <c r="AL1580" s="73"/>
      <c r="AM1580" s="73"/>
      <c r="AN1580" s="73"/>
      <c r="AO1580" s="73"/>
      <c r="AP1580" s="73"/>
      <c r="AQ1580" s="73"/>
      <c r="AR1580" s="73"/>
      <c r="AS1580" s="73"/>
      <c r="AT1580" s="73"/>
      <c r="AU1580" s="73"/>
      <c r="AV1580" s="73"/>
      <c r="AW1580" s="73"/>
      <c r="AX1580" s="73"/>
      <c r="AY1580" s="73"/>
      <c r="AZ1580" s="73"/>
      <c r="BA1580" s="73"/>
      <c r="BB1580" s="73"/>
      <c r="BC1580" s="73"/>
      <c r="BD1580" s="73"/>
      <c r="BE1580" s="73"/>
      <c r="BF1580" s="75"/>
      <c r="BG1580" s="73"/>
      <c r="BH1580" s="88"/>
      <c r="BI1580" s="73"/>
      <c r="BJ1580" s="73"/>
      <c r="BK1580" s="73"/>
      <c r="BL1580" s="73"/>
      <c r="BM1580" s="73"/>
      <c r="BN1580" s="73"/>
      <c r="BO1580" s="73"/>
      <c r="BP1580" s="73"/>
      <c r="BQ1580" s="73"/>
      <c r="BR1580" s="73"/>
      <c r="BS1580" s="73"/>
      <c r="BT1580" s="73"/>
      <c r="BU1580" s="73"/>
      <c r="BV1580" s="73"/>
      <c r="BW1580" s="73"/>
      <c r="BX1580" s="73"/>
      <c r="BY1580" s="73"/>
      <c r="BZ1580" s="73"/>
      <c r="CA1580" s="73"/>
      <c r="CB1580" s="73"/>
      <c r="CC1580" s="73"/>
      <c r="CD1580" s="73"/>
      <c r="CE1580" s="73"/>
      <c r="CF1580" s="73"/>
      <c r="CG1580" s="73"/>
      <c r="CH1580" s="73"/>
    </row>
    <row r="1581">
      <c r="A1581" s="73"/>
      <c r="B1581" s="73"/>
      <c r="C1581" s="73"/>
      <c r="D1581" s="73"/>
      <c r="E1581" s="140"/>
      <c r="F1581" s="80"/>
      <c r="G1581" s="80"/>
      <c r="H1581" s="73"/>
      <c r="I1581" s="73"/>
      <c r="J1581" s="73"/>
      <c r="K1581" s="73"/>
      <c r="L1581" s="73"/>
      <c r="M1581" s="73"/>
      <c r="N1581" s="73"/>
      <c r="O1581" s="73"/>
      <c r="P1581" s="73"/>
      <c r="Q1581" s="73"/>
      <c r="R1581" s="73"/>
      <c r="S1581" s="73"/>
      <c r="T1581" s="73"/>
      <c r="U1581" s="73"/>
      <c r="V1581" s="73"/>
      <c r="W1581" s="73"/>
      <c r="X1581" s="73"/>
      <c r="Y1581" s="73"/>
      <c r="Z1581" s="73"/>
      <c r="AA1581" s="73"/>
      <c r="AB1581" s="73"/>
      <c r="AC1581" s="73"/>
      <c r="AD1581" s="73"/>
      <c r="AE1581" s="73"/>
      <c r="AF1581" s="73"/>
      <c r="AG1581" s="73"/>
      <c r="AH1581" s="73"/>
      <c r="AI1581" s="73"/>
      <c r="AJ1581" s="168"/>
      <c r="AK1581" s="73"/>
      <c r="AL1581" s="73"/>
      <c r="AM1581" s="73"/>
      <c r="AN1581" s="73"/>
      <c r="AO1581" s="73"/>
      <c r="AP1581" s="73"/>
      <c r="AQ1581" s="73"/>
      <c r="AR1581" s="73"/>
      <c r="AS1581" s="73"/>
      <c r="AT1581" s="73"/>
      <c r="AU1581" s="73"/>
      <c r="AV1581" s="73"/>
      <c r="AW1581" s="73"/>
      <c r="AX1581" s="73"/>
      <c r="AY1581" s="73"/>
      <c r="AZ1581" s="73"/>
      <c r="BA1581" s="73"/>
      <c r="BB1581" s="73"/>
      <c r="BC1581" s="73"/>
      <c r="BD1581" s="73"/>
      <c r="BE1581" s="73"/>
      <c r="BF1581" s="75"/>
      <c r="BG1581" s="73"/>
      <c r="BH1581" s="88"/>
      <c r="BI1581" s="73"/>
      <c r="BJ1581" s="73"/>
      <c r="BK1581" s="73"/>
      <c r="BL1581" s="73"/>
      <c r="BM1581" s="73"/>
      <c r="BN1581" s="73"/>
      <c r="BO1581" s="73"/>
      <c r="BP1581" s="73"/>
      <c r="BQ1581" s="73"/>
      <c r="BR1581" s="73"/>
      <c r="BS1581" s="73"/>
      <c r="BT1581" s="73"/>
      <c r="BU1581" s="73"/>
      <c r="BV1581" s="73"/>
      <c r="BW1581" s="73"/>
      <c r="BX1581" s="73"/>
      <c r="BY1581" s="73"/>
      <c r="BZ1581" s="73"/>
      <c r="CA1581" s="73"/>
      <c r="CB1581" s="73"/>
      <c r="CC1581" s="73"/>
      <c r="CD1581" s="73"/>
      <c r="CE1581" s="73"/>
      <c r="CF1581" s="73"/>
      <c r="CG1581" s="73"/>
      <c r="CH1581" s="73"/>
    </row>
    <row r="1582">
      <c r="A1582" s="73"/>
      <c r="B1582" s="73"/>
      <c r="C1582" s="73"/>
      <c r="D1582" s="73"/>
      <c r="E1582" s="140"/>
      <c r="F1582" s="80"/>
      <c r="G1582" s="80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  <c r="S1582" s="73"/>
      <c r="T1582" s="73"/>
      <c r="U1582" s="73"/>
      <c r="V1582" s="73"/>
      <c r="W1582" s="73"/>
      <c r="X1582" s="73"/>
      <c r="Y1582" s="73"/>
      <c r="Z1582" s="73"/>
      <c r="AA1582" s="73"/>
      <c r="AB1582" s="73"/>
      <c r="AC1582" s="73"/>
      <c r="AD1582" s="73"/>
      <c r="AE1582" s="73"/>
      <c r="AF1582" s="73"/>
      <c r="AG1582" s="73"/>
      <c r="AH1582" s="73"/>
      <c r="AI1582" s="73"/>
      <c r="AJ1582" s="168"/>
      <c r="AK1582" s="73"/>
      <c r="AL1582" s="73"/>
      <c r="AM1582" s="73"/>
      <c r="AN1582" s="73"/>
      <c r="AO1582" s="73"/>
      <c r="AP1582" s="73"/>
      <c r="AQ1582" s="73"/>
      <c r="AR1582" s="73"/>
      <c r="AS1582" s="73"/>
      <c r="AT1582" s="73"/>
      <c r="AU1582" s="73"/>
      <c r="AV1582" s="73"/>
      <c r="AW1582" s="73"/>
      <c r="AX1582" s="73"/>
      <c r="AY1582" s="73"/>
      <c r="AZ1582" s="73"/>
      <c r="BA1582" s="73"/>
      <c r="BB1582" s="73"/>
      <c r="BC1582" s="73"/>
      <c r="BD1582" s="73"/>
      <c r="BE1582" s="73"/>
      <c r="BF1582" s="75"/>
      <c r="BG1582" s="73"/>
      <c r="BH1582" s="88"/>
      <c r="BI1582" s="73"/>
      <c r="BJ1582" s="73"/>
      <c r="BK1582" s="73"/>
      <c r="BL1582" s="73"/>
      <c r="BM1582" s="73"/>
      <c r="BN1582" s="73"/>
      <c r="BO1582" s="73"/>
      <c r="BP1582" s="73"/>
      <c r="BQ1582" s="73"/>
      <c r="BR1582" s="73"/>
      <c r="BS1582" s="73"/>
      <c r="BT1582" s="73"/>
      <c r="BU1582" s="73"/>
      <c r="BV1582" s="73"/>
      <c r="BW1582" s="73"/>
      <c r="BX1582" s="73"/>
      <c r="BY1582" s="73"/>
      <c r="BZ1582" s="73"/>
      <c r="CA1582" s="73"/>
      <c r="CB1582" s="73"/>
      <c r="CC1582" s="73"/>
      <c r="CD1582" s="73"/>
      <c r="CE1582" s="73"/>
      <c r="CF1582" s="73"/>
      <c r="CG1582" s="73"/>
      <c r="CH1582" s="73"/>
    </row>
    <row r="1583">
      <c r="A1583" s="73"/>
      <c r="B1583" s="73"/>
      <c r="C1583" s="73"/>
      <c r="D1583" s="73"/>
      <c r="E1583" s="140"/>
      <c r="F1583" s="80"/>
      <c r="G1583" s="80"/>
      <c r="H1583" s="73"/>
      <c r="I1583" s="73"/>
      <c r="J1583" s="73"/>
      <c r="K1583" s="73"/>
      <c r="L1583" s="73"/>
      <c r="M1583" s="73"/>
      <c r="N1583" s="73"/>
      <c r="O1583" s="73"/>
      <c r="P1583" s="73"/>
      <c r="Q1583" s="73"/>
      <c r="R1583" s="73"/>
      <c r="S1583" s="73"/>
      <c r="T1583" s="73"/>
      <c r="U1583" s="73"/>
      <c r="V1583" s="73"/>
      <c r="W1583" s="73"/>
      <c r="X1583" s="73"/>
      <c r="Y1583" s="73"/>
      <c r="Z1583" s="73"/>
      <c r="AA1583" s="73"/>
      <c r="AB1583" s="73"/>
      <c r="AC1583" s="73"/>
      <c r="AD1583" s="73"/>
      <c r="AE1583" s="73"/>
      <c r="AF1583" s="73"/>
      <c r="AG1583" s="73"/>
      <c r="AH1583" s="73"/>
      <c r="AI1583" s="73"/>
      <c r="AJ1583" s="168"/>
      <c r="AK1583" s="73"/>
      <c r="AL1583" s="73"/>
      <c r="AM1583" s="73"/>
      <c r="AN1583" s="73"/>
      <c r="AO1583" s="73"/>
      <c r="AP1583" s="73"/>
      <c r="AQ1583" s="73"/>
      <c r="AR1583" s="73"/>
      <c r="AS1583" s="73"/>
      <c r="AT1583" s="73"/>
      <c r="AU1583" s="73"/>
      <c r="AV1583" s="73"/>
      <c r="AW1583" s="73"/>
      <c r="AX1583" s="73"/>
      <c r="AY1583" s="73"/>
      <c r="AZ1583" s="73"/>
      <c r="BA1583" s="73"/>
      <c r="BB1583" s="73"/>
      <c r="BC1583" s="73"/>
      <c r="BD1583" s="73"/>
      <c r="BE1583" s="73"/>
      <c r="BF1583" s="75"/>
      <c r="BG1583" s="73"/>
      <c r="BH1583" s="88"/>
      <c r="BI1583" s="73"/>
      <c r="BJ1583" s="73"/>
      <c r="BK1583" s="73"/>
      <c r="BL1583" s="73"/>
      <c r="BM1583" s="73"/>
      <c r="BN1583" s="73"/>
      <c r="BO1583" s="73"/>
      <c r="BP1583" s="73"/>
      <c r="BQ1583" s="73"/>
      <c r="BR1583" s="73"/>
      <c r="BS1583" s="73"/>
      <c r="BT1583" s="73"/>
      <c r="BU1583" s="73"/>
      <c r="BV1583" s="73"/>
      <c r="BW1583" s="73"/>
      <c r="BX1583" s="73"/>
      <c r="BY1583" s="73"/>
      <c r="BZ1583" s="73"/>
      <c r="CA1583" s="73"/>
      <c r="CB1583" s="73"/>
      <c r="CC1583" s="73"/>
      <c r="CD1583" s="73"/>
      <c r="CE1583" s="73"/>
      <c r="CF1583" s="73"/>
      <c r="CG1583" s="73"/>
      <c r="CH1583" s="73"/>
    </row>
    <row r="1584">
      <c r="A1584" s="73"/>
      <c r="B1584" s="73"/>
      <c r="C1584" s="73"/>
      <c r="D1584" s="73"/>
      <c r="E1584" s="140"/>
      <c r="F1584" s="80"/>
      <c r="G1584" s="80"/>
      <c r="H1584" s="73"/>
      <c r="I1584" s="73"/>
      <c r="J1584" s="73"/>
      <c r="K1584" s="73"/>
      <c r="L1584" s="73"/>
      <c r="M1584" s="73"/>
      <c r="N1584" s="73"/>
      <c r="O1584" s="73"/>
      <c r="P1584" s="73"/>
      <c r="Q1584" s="73"/>
      <c r="R1584" s="73"/>
      <c r="S1584" s="73"/>
      <c r="T1584" s="73"/>
      <c r="U1584" s="73"/>
      <c r="V1584" s="73"/>
      <c r="W1584" s="73"/>
      <c r="X1584" s="73"/>
      <c r="Y1584" s="73"/>
      <c r="Z1584" s="73"/>
      <c r="AA1584" s="73"/>
      <c r="AB1584" s="73"/>
      <c r="AC1584" s="73"/>
      <c r="AD1584" s="73"/>
      <c r="AE1584" s="73"/>
      <c r="AF1584" s="73"/>
      <c r="AG1584" s="73"/>
      <c r="AH1584" s="73"/>
      <c r="AI1584" s="73"/>
      <c r="AJ1584" s="168"/>
      <c r="AK1584" s="73"/>
      <c r="AL1584" s="73"/>
      <c r="AM1584" s="73"/>
      <c r="AN1584" s="73"/>
      <c r="AO1584" s="73"/>
      <c r="AP1584" s="73"/>
      <c r="AQ1584" s="73"/>
      <c r="AR1584" s="73"/>
      <c r="AS1584" s="73"/>
      <c r="AT1584" s="73"/>
      <c r="AU1584" s="73"/>
      <c r="AV1584" s="73"/>
      <c r="AW1584" s="73"/>
      <c r="AX1584" s="73"/>
      <c r="AY1584" s="73"/>
      <c r="AZ1584" s="73"/>
      <c r="BA1584" s="73"/>
      <c r="BB1584" s="73"/>
      <c r="BC1584" s="73"/>
      <c r="BD1584" s="73"/>
      <c r="BE1584" s="73"/>
      <c r="BF1584" s="75"/>
      <c r="BG1584" s="73"/>
      <c r="BH1584" s="88"/>
      <c r="BI1584" s="73"/>
      <c r="BJ1584" s="73"/>
      <c r="BK1584" s="73"/>
      <c r="BL1584" s="73"/>
      <c r="BM1584" s="73"/>
      <c r="BN1584" s="73"/>
      <c r="BO1584" s="73"/>
      <c r="BP1584" s="73"/>
      <c r="BQ1584" s="73"/>
      <c r="BR1584" s="73"/>
      <c r="BS1584" s="73"/>
      <c r="BT1584" s="73"/>
      <c r="BU1584" s="73"/>
      <c r="BV1584" s="73"/>
      <c r="BW1584" s="73"/>
      <c r="BX1584" s="73"/>
      <c r="BY1584" s="73"/>
      <c r="BZ1584" s="73"/>
      <c r="CA1584" s="73"/>
      <c r="CB1584" s="73"/>
      <c r="CC1584" s="73"/>
      <c r="CD1584" s="73"/>
      <c r="CE1584" s="73"/>
      <c r="CF1584" s="73"/>
      <c r="CG1584" s="73"/>
      <c r="CH1584" s="73"/>
    </row>
    <row r="1585">
      <c r="A1585" s="73"/>
      <c r="B1585" s="73"/>
      <c r="C1585" s="73"/>
      <c r="D1585" s="73"/>
      <c r="E1585" s="140"/>
      <c r="F1585" s="80"/>
      <c r="G1585" s="80"/>
      <c r="H1585" s="73"/>
      <c r="I1585" s="73"/>
      <c r="J1585" s="73"/>
      <c r="K1585" s="73"/>
      <c r="L1585" s="73"/>
      <c r="M1585" s="73"/>
      <c r="N1585" s="73"/>
      <c r="O1585" s="73"/>
      <c r="P1585" s="73"/>
      <c r="Q1585" s="73"/>
      <c r="R1585" s="73"/>
      <c r="S1585" s="73"/>
      <c r="T1585" s="73"/>
      <c r="U1585" s="73"/>
      <c r="V1585" s="73"/>
      <c r="W1585" s="73"/>
      <c r="X1585" s="73"/>
      <c r="Y1585" s="73"/>
      <c r="Z1585" s="73"/>
      <c r="AA1585" s="73"/>
      <c r="AB1585" s="73"/>
      <c r="AC1585" s="73"/>
      <c r="AD1585" s="73"/>
      <c r="AE1585" s="73"/>
      <c r="AF1585" s="73"/>
      <c r="AG1585" s="73"/>
      <c r="AH1585" s="73"/>
      <c r="AI1585" s="73"/>
      <c r="AJ1585" s="168"/>
      <c r="AK1585" s="73"/>
      <c r="AL1585" s="73"/>
      <c r="AM1585" s="73"/>
      <c r="AN1585" s="73"/>
      <c r="AO1585" s="73"/>
      <c r="AP1585" s="73"/>
      <c r="AQ1585" s="73"/>
      <c r="AR1585" s="73"/>
      <c r="AS1585" s="73"/>
      <c r="AT1585" s="73"/>
      <c r="AU1585" s="73"/>
      <c r="AV1585" s="73"/>
      <c r="AW1585" s="73"/>
      <c r="AX1585" s="73"/>
      <c r="AY1585" s="73"/>
      <c r="AZ1585" s="73"/>
      <c r="BA1585" s="73"/>
      <c r="BB1585" s="73"/>
      <c r="BC1585" s="73"/>
      <c r="BD1585" s="73"/>
      <c r="BE1585" s="73"/>
      <c r="BF1585" s="75"/>
      <c r="BG1585" s="73"/>
      <c r="BH1585" s="88"/>
      <c r="BI1585" s="73"/>
      <c r="BJ1585" s="73"/>
      <c r="BK1585" s="73"/>
      <c r="BL1585" s="73"/>
      <c r="BM1585" s="73"/>
      <c r="BN1585" s="73"/>
      <c r="BO1585" s="73"/>
      <c r="BP1585" s="73"/>
      <c r="BQ1585" s="73"/>
      <c r="BR1585" s="73"/>
      <c r="BS1585" s="73"/>
      <c r="BT1585" s="73"/>
      <c r="BU1585" s="73"/>
      <c r="BV1585" s="73"/>
      <c r="BW1585" s="73"/>
      <c r="BX1585" s="73"/>
      <c r="BY1585" s="73"/>
      <c r="BZ1585" s="73"/>
      <c r="CA1585" s="73"/>
      <c r="CB1585" s="73"/>
      <c r="CC1585" s="73"/>
      <c r="CD1585" s="73"/>
      <c r="CE1585" s="73"/>
      <c r="CF1585" s="73"/>
      <c r="CG1585" s="73"/>
      <c r="CH1585" s="73"/>
    </row>
    <row r="1586">
      <c r="A1586" s="73"/>
      <c r="B1586" s="73"/>
      <c r="C1586" s="73"/>
      <c r="D1586" s="73"/>
      <c r="E1586" s="140"/>
      <c r="F1586" s="80"/>
      <c r="G1586" s="80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  <c r="S1586" s="73"/>
      <c r="T1586" s="73"/>
      <c r="U1586" s="73"/>
      <c r="V1586" s="73"/>
      <c r="W1586" s="73"/>
      <c r="X1586" s="73"/>
      <c r="Y1586" s="73"/>
      <c r="Z1586" s="73"/>
      <c r="AA1586" s="73"/>
      <c r="AB1586" s="73"/>
      <c r="AC1586" s="73"/>
      <c r="AD1586" s="73"/>
      <c r="AE1586" s="73"/>
      <c r="AF1586" s="73"/>
      <c r="AG1586" s="73"/>
      <c r="AH1586" s="73"/>
      <c r="AI1586" s="73"/>
      <c r="AJ1586" s="168"/>
      <c r="AK1586" s="73"/>
      <c r="AL1586" s="73"/>
      <c r="AM1586" s="73"/>
      <c r="AN1586" s="73"/>
      <c r="AO1586" s="73"/>
      <c r="AP1586" s="73"/>
      <c r="AQ1586" s="73"/>
      <c r="AR1586" s="73"/>
      <c r="AS1586" s="73"/>
      <c r="AT1586" s="73"/>
      <c r="AU1586" s="73"/>
      <c r="AV1586" s="73"/>
      <c r="AW1586" s="73"/>
      <c r="AX1586" s="73"/>
      <c r="AY1586" s="73"/>
      <c r="AZ1586" s="73"/>
      <c r="BA1586" s="73"/>
      <c r="BB1586" s="73"/>
      <c r="BC1586" s="73"/>
      <c r="BD1586" s="73"/>
      <c r="BE1586" s="73"/>
      <c r="BF1586" s="75"/>
      <c r="BG1586" s="73"/>
      <c r="BH1586" s="88"/>
      <c r="BI1586" s="73"/>
      <c r="BJ1586" s="73"/>
      <c r="BK1586" s="73"/>
      <c r="BL1586" s="73"/>
      <c r="BM1586" s="73"/>
      <c r="BN1586" s="73"/>
      <c r="BO1586" s="73"/>
      <c r="BP1586" s="73"/>
      <c r="BQ1586" s="73"/>
      <c r="BR1586" s="73"/>
      <c r="BS1586" s="73"/>
      <c r="BT1586" s="73"/>
      <c r="BU1586" s="73"/>
      <c r="BV1586" s="73"/>
      <c r="BW1586" s="73"/>
      <c r="BX1586" s="73"/>
      <c r="BY1586" s="73"/>
      <c r="BZ1586" s="73"/>
      <c r="CA1586" s="73"/>
      <c r="CB1586" s="73"/>
      <c r="CC1586" s="73"/>
      <c r="CD1586" s="73"/>
      <c r="CE1586" s="73"/>
      <c r="CF1586" s="73"/>
      <c r="CG1586" s="73"/>
      <c r="CH1586" s="73"/>
    </row>
    <row r="1587">
      <c r="A1587" s="73"/>
      <c r="B1587" s="73"/>
      <c r="C1587" s="73"/>
      <c r="D1587" s="73"/>
      <c r="E1587" s="140"/>
      <c r="F1587" s="80"/>
      <c r="G1587" s="80"/>
      <c r="H1587" s="73"/>
      <c r="I1587" s="73"/>
      <c r="J1587" s="73"/>
      <c r="K1587" s="73"/>
      <c r="L1587" s="73"/>
      <c r="M1587" s="73"/>
      <c r="N1587" s="73"/>
      <c r="O1587" s="73"/>
      <c r="P1587" s="73"/>
      <c r="Q1587" s="73"/>
      <c r="R1587" s="73"/>
      <c r="S1587" s="73"/>
      <c r="T1587" s="73"/>
      <c r="U1587" s="73"/>
      <c r="V1587" s="73"/>
      <c r="W1587" s="73"/>
      <c r="X1587" s="73"/>
      <c r="Y1587" s="73"/>
      <c r="Z1587" s="73"/>
      <c r="AA1587" s="73"/>
      <c r="AB1587" s="73"/>
      <c r="AC1587" s="73"/>
      <c r="AD1587" s="73"/>
      <c r="AE1587" s="73"/>
      <c r="AF1587" s="73"/>
      <c r="AG1587" s="73"/>
      <c r="AH1587" s="73"/>
      <c r="AI1587" s="73"/>
      <c r="AJ1587" s="168"/>
      <c r="AK1587" s="73"/>
      <c r="AL1587" s="73"/>
      <c r="AM1587" s="73"/>
      <c r="AN1587" s="73"/>
      <c r="AO1587" s="73"/>
      <c r="AP1587" s="73"/>
      <c r="AQ1587" s="73"/>
      <c r="AR1587" s="73"/>
      <c r="AS1587" s="73"/>
      <c r="AT1587" s="73"/>
      <c r="AU1587" s="73"/>
      <c r="AV1587" s="73"/>
      <c r="AW1587" s="73"/>
      <c r="AX1587" s="73"/>
      <c r="AY1587" s="73"/>
      <c r="AZ1587" s="73"/>
      <c r="BA1587" s="73"/>
      <c r="BB1587" s="73"/>
      <c r="BC1587" s="73"/>
      <c r="BD1587" s="73"/>
      <c r="BE1587" s="73"/>
      <c r="BF1587" s="75"/>
      <c r="BG1587" s="73"/>
      <c r="BH1587" s="88"/>
      <c r="BI1587" s="73"/>
      <c r="BJ1587" s="73"/>
      <c r="BK1587" s="73"/>
      <c r="BL1587" s="73"/>
      <c r="BM1587" s="73"/>
      <c r="BN1587" s="73"/>
      <c r="BO1587" s="73"/>
      <c r="BP1587" s="73"/>
      <c r="BQ1587" s="73"/>
      <c r="BR1587" s="73"/>
      <c r="BS1587" s="73"/>
      <c r="BT1587" s="73"/>
      <c r="BU1587" s="73"/>
      <c r="BV1587" s="73"/>
      <c r="BW1587" s="73"/>
      <c r="BX1587" s="73"/>
      <c r="BY1587" s="73"/>
      <c r="BZ1587" s="73"/>
      <c r="CA1587" s="73"/>
      <c r="CB1587" s="73"/>
      <c r="CC1587" s="73"/>
      <c r="CD1587" s="73"/>
      <c r="CE1587" s="73"/>
      <c r="CF1587" s="73"/>
      <c r="CG1587" s="73"/>
      <c r="CH1587" s="73"/>
    </row>
    <row r="1588">
      <c r="A1588" s="73"/>
      <c r="B1588" s="73"/>
      <c r="C1588" s="73"/>
      <c r="D1588" s="73"/>
      <c r="E1588" s="140"/>
      <c r="F1588" s="80"/>
      <c r="G1588" s="80"/>
      <c r="H1588" s="73"/>
      <c r="I1588" s="73"/>
      <c r="J1588" s="73"/>
      <c r="K1588" s="73"/>
      <c r="L1588" s="73"/>
      <c r="M1588" s="73"/>
      <c r="N1588" s="73"/>
      <c r="O1588" s="73"/>
      <c r="P1588" s="73"/>
      <c r="Q1588" s="73"/>
      <c r="R1588" s="73"/>
      <c r="S1588" s="73"/>
      <c r="T1588" s="73"/>
      <c r="U1588" s="73"/>
      <c r="V1588" s="73"/>
      <c r="W1588" s="73"/>
      <c r="X1588" s="73"/>
      <c r="Y1588" s="73"/>
      <c r="Z1588" s="73"/>
      <c r="AA1588" s="73"/>
      <c r="AB1588" s="73"/>
      <c r="AC1588" s="73"/>
      <c r="AD1588" s="73"/>
      <c r="AE1588" s="73"/>
      <c r="AF1588" s="73"/>
      <c r="AG1588" s="73"/>
      <c r="AH1588" s="73"/>
      <c r="AI1588" s="73"/>
      <c r="AJ1588" s="168"/>
      <c r="AK1588" s="73"/>
      <c r="AL1588" s="73"/>
      <c r="AM1588" s="73"/>
      <c r="AN1588" s="73"/>
      <c r="AO1588" s="73"/>
      <c r="AP1588" s="73"/>
      <c r="AQ1588" s="73"/>
      <c r="AR1588" s="73"/>
      <c r="AS1588" s="73"/>
      <c r="AT1588" s="73"/>
      <c r="AU1588" s="73"/>
      <c r="AV1588" s="73"/>
      <c r="AW1588" s="73"/>
      <c r="AX1588" s="73"/>
      <c r="AY1588" s="73"/>
      <c r="AZ1588" s="73"/>
      <c r="BA1588" s="73"/>
      <c r="BB1588" s="73"/>
      <c r="BC1588" s="73"/>
      <c r="BD1588" s="73"/>
      <c r="BE1588" s="73"/>
      <c r="BF1588" s="75"/>
      <c r="BG1588" s="73"/>
      <c r="BH1588" s="88"/>
      <c r="BI1588" s="73"/>
      <c r="BJ1588" s="73"/>
      <c r="BK1588" s="73"/>
      <c r="BL1588" s="73"/>
      <c r="BM1588" s="73"/>
      <c r="BN1588" s="73"/>
      <c r="BO1588" s="73"/>
      <c r="BP1588" s="73"/>
      <c r="BQ1588" s="73"/>
      <c r="BR1588" s="73"/>
      <c r="BS1588" s="73"/>
      <c r="BT1588" s="73"/>
      <c r="BU1588" s="73"/>
      <c r="BV1588" s="73"/>
      <c r="BW1588" s="73"/>
      <c r="BX1588" s="73"/>
      <c r="BY1588" s="73"/>
      <c r="BZ1588" s="73"/>
      <c r="CA1588" s="73"/>
      <c r="CB1588" s="73"/>
      <c r="CC1588" s="73"/>
      <c r="CD1588" s="73"/>
      <c r="CE1588" s="73"/>
      <c r="CF1588" s="73"/>
      <c r="CG1588" s="73"/>
      <c r="CH1588" s="73"/>
    </row>
    <row r="1589">
      <c r="A1589" s="73"/>
      <c r="B1589" s="73"/>
      <c r="C1589" s="73"/>
      <c r="D1589" s="73"/>
      <c r="E1589" s="140"/>
      <c r="F1589" s="80"/>
      <c r="G1589" s="80"/>
      <c r="H1589" s="73"/>
      <c r="I1589" s="73"/>
      <c r="J1589" s="73"/>
      <c r="K1589" s="73"/>
      <c r="L1589" s="73"/>
      <c r="M1589" s="73"/>
      <c r="N1589" s="73"/>
      <c r="O1589" s="73"/>
      <c r="P1589" s="73"/>
      <c r="Q1589" s="73"/>
      <c r="R1589" s="73"/>
      <c r="S1589" s="73"/>
      <c r="T1589" s="73"/>
      <c r="U1589" s="73"/>
      <c r="V1589" s="73"/>
      <c r="W1589" s="73"/>
      <c r="X1589" s="73"/>
      <c r="Y1589" s="73"/>
      <c r="Z1589" s="73"/>
      <c r="AA1589" s="73"/>
      <c r="AB1589" s="73"/>
      <c r="AC1589" s="73"/>
      <c r="AD1589" s="73"/>
      <c r="AE1589" s="73"/>
      <c r="AF1589" s="73"/>
      <c r="AG1589" s="73"/>
      <c r="AH1589" s="73"/>
      <c r="AI1589" s="73"/>
      <c r="AJ1589" s="168"/>
      <c r="AK1589" s="73"/>
      <c r="AL1589" s="73"/>
      <c r="AM1589" s="73"/>
      <c r="AN1589" s="73"/>
      <c r="AO1589" s="73"/>
      <c r="AP1589" s="73"/>
      <c r="AQ1589" s="73"/>
      <c r="AR1589" s="73"/>
      <c r="AS1589" s="73"/>
      <c r="AT1589" s="73"/>
      <c r="AU1589" s="73"/>
      <c r="AV1589" s="73"/>
      <c r="AW1589" s="73"/>
      <c r="AX1589" s="73"/>
      <c r="AY1589" s="73"/>
      <c r="AZ1589" s="73"/>
      <c r="BA1589" s="73"/>
      <c r="BB1589" s="73"/>
      <c r="BC1589" s="73"/>
      <c r="BD1589" s="73"/>
      <c r="BE1589" s="73"/>
      <c r="BF1589" s="75"/>
      <c r="BG1589" s="73"/>
      <c r="BH1589" s="88"/>
      <c r="BI1589" s="73"/>
      <c r="BJ1589" s="73"/>
      <c r="BK1589" s="73"/>
      <c r="BL1589" s="73"/>
      <c r="BM1589" s="73"/>
      <c r="BN1589" s="73"/>
      <c r="BO1589" s="73"/>
      <c r="BP1589" s="73"/>
      <c r="BQ1589" s="73"/>
      <c r="BR1589" s="73"/>
      <c r="BS1589" s="73"/>
      <c r="BT1589" s="73"/>
      <c r="BU1589" s="73"/>
      <c r="BV1589" s="73"/>
      <c r="BW1589" s="73"/>
      <c r="BX1589" s="73"/>
      <c r="BY1589" s="73"/>
      <c r="BZ1589" s="73"/>
      <c r="CA1589" s="73"/>
      <c r="CB1589" s="73"/>
      <c r="CC1589" s="73"/>
      <c r="CD1589" s="73"/>
      <c r="CE1589" s="73"/>
      <c r="CF1589" s="73"/>
      <c r="CG1589" s="73"/>
      <c r="CH1589" s="73"/>
    </row>
    <row r="1590">
      <c r="A1590" s="73"/>
      <c r="B1590" s="73"/>
      <c r="C1590" s="73"/>
      <c r="D1590" s="73"/>
      <c r="E1590" s="140"/>
      <c r="F1590" s="80"/>
      <c r="G1590" s="80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  <c r="S1590" s="73"/>
      <c r="T1590" s="73"/>
      <c r="U1590" s="73"/>
      <c r="V1590" s="73"/>
      <c r="W1590" s="73"/>
      <c r="X1590" s="73"/>
      <c r="Y1590" s="73"/>
      <c r="Z1590" s="73"/>
      <c r="AA1590" s="73"/>
      <c r="AB1590" s="73"/>
      <c r="AC1590" s="73"/>
      <c r="AD1590" s="73"/>
      <c r="AE1590" s="73"/>
      <c r="AF1590" s="73"/>
      <c r="AG1590" s="73"/>
      <c r="AH1590" s="73"/>
      <c r="AI1590" s="73"/>
      <c r="AJ1590" s="168"/>
      <c r="AK1590" s="73"/>
      <c r="AL1590" s="73"/>
      <c r="AM1590" s="73"/>
      <c r="AN1590" s="73"/>
      <c r="AO1590" s="73"/>
      <c r="AP1590" s="73"/>
      <c r="AQ1590" s="73"/>
      <c r="AR1590" s="73"/>
      <c r="AS1590" s="73"/>
      <c r="AT1590" s="73"/>
      <c r="AU1590" s="73"/>
      <c r="AV1590" s="73"/>
      <c r="AW1590" s="73"/>
      <c r="AX1590" s="73"/>
      <c r="AY1590" s="73"/>
      <c r="AZ1590" s="73"/>
      <c r="BA1590" s="73"/>
      <c r="BB1590" s="73"/>
      <c r="BC1590" s="73"/>
      <c r="BD1590" s="73"/>
      <c r="BE1590" s="73"/>
      <c r="BF1590" s="75"/>
      <c r="BG1590" s="73"/>
      <c r="BH1590" s="88"/>
      <c r="BI1590" s="73"/>
      <c r="BJ1590" s="73"/>
      <c r="BK1590" s="73"/>
      <c r="BL1590" s="73"/>
      <c r="BM1590" s="73"/>
      <c r="BN1590" s="73"/>
      <c r="BO1590" s="73"/>
      <c r="BP1590" s="73"/>
      <c r="BQ1590" s="73"/>
      <c r="BR1590" s="73"/>
      <c r="BS1590" s="73"/>
      <c r="BT1590" s="73"/>
      <c r="BU1590" s="73"/>
      <c r="BV1590" s="73"/>
      <c r="BW1590" s="73"/>
      <c r="BX1590" s="73"/>
      <c r="BY1590" s="73"/>
      <c r="BZ1590" s="73"/>
      <c r="CA1590" s="73"/>
      <c r="CB1590" s="73"/>
      <c r="CC1590" s="73"/>
      <c r="CD1590" s="73"/>
      <c r="CE1590" s="73"/>
      <c r="CF1590" s="73"/>
      <c r="CG1590" s="73"/>
      <c r="CH1590" s="73"/>
    </row>
    <row r="1591">
      <c r="A1591" s="73"/>
      <c r="B1591" s="73"/>
      <c r="C1591" s="73"/>
      <c r="D1591" s="73"/>
      <c r="E1591" s="140"/>
      <c r="F1591" s="80"/>
      <c r="G1591" s="80"/>
      <c r="H1591" s="73"/>
      <c r="I1591" s="73"/>
      <c r="J1591" s="73"/>
      <c r="K1591" s="73"/>
      <c r="L1591" s="73"/>
      <c r="M1591" s="73"/>
      <c r="N1591" s="73"/>
      <c r="O1591" s="73"/>
      <c r="P1591" s="73"/>
      <c r="Q1591" s="73"/>
      <c r="R1591" s="73"/>
      <c r="S1591" s="73"/>
      <c r="T1591" s="73"/>
      <c r="U1591" s="73"/>
      <c r="V1591" s="73"/>
      <c r="W1591" s="73"/>
      <c r="X1591" s="73"/>
      <c r="Y1591" s="73"/>
      <c r="Z1591" s="73"/>
      <c r="AA1591" s="73"/>
      <c r="AB1591" s="73"/>
      <c r="AC1591" s="73"/>
      <c r="AD1591" s="73"/>
      <c r="AE1591" s="73"/>
      <c r="AF1591" s="73"/>
      <c r="AG1591" s="73"/>
      <c r="AH1591" s="73"/>
      <c r="AI1591" s="73"/>
      <c r="AJ1591" s="168"/>
      <c r="AK1591" s="73"/>
      <c r="AL1591" s="73"/>
      <c r="AM1591" s="73"/>
      <c r="AN1591" s="73"/>
      <c r="AO1591" s="73"/>
      <c r="AP1591" s="73"/>
      <c r="AQ1591" s="73"/>
      <c r="AR1591" s="73"/>
      <c r="AS1591" s="73"/>
      <c r="AT1591" s="73"/>
      <c r="AU1591" s="73"/>
      <c r="AV1591" s="73"/>
      <c r="AW1591" s="73"/>
      <c r="AX1591" s="73"/>
      <c r="AY1591" s="73"/>
      <c r="AZ1591" s="73"/>
      <c r="BA1591" s="73"/>
      <c r="BB1591" s="73"/>
      <c r="BC1591" s="73"/>
      <c r="BD1591" s="73"/>
      <c r="BE1591" s="73"/>
      <c r="BF1591" s="75"/>
      <c r="BG1591" s="73"/>
      <c r="BH1591" s="88"/>
      <c r="BI1591" s="73"/>
      <c r="BJ1591" s="73"/>
      <c r="BK1591" s="73"/>
      <c r="BL1591" s="73"/>
      <c r="BM1591" s="73"/>
      <c r="BN1591" s="73"/>
      <c r="BO1591" s="73"/>
      <c r="BP1591" s="73"/>
      <c r="BQ1591" s="73"/>
      <c r="BR1591" s="73"/>
      <c r="BS1591" s="73"/>
      <c r="BT1591" s="73"/>
      <c r="BU1591" s="73"/>
      <c r="BV1591" s="73"/>
      <c r="BW1591" s="73"/>
      <c r="BX1591" s="73"/>
      <c r="BY1591" s="73"/>
      <c r="BZ1591" s="73"/>
      <c r="CA1591" s="73"/>
      <c r="CB1591" s="73"/>
      <c r="CC1591" s="73"/>
      <c r="CD1591" s="73"/>
      <c r="CE1591" s="73"/>
      <c r="CF1591" s="73"/>
      <c r="CG1591" s="73"/>
      <c r="CH1591" s="73"/>
    </row>
    <row r="1592">
      <c r="A1592" s="73"/>
      <c r="B1592" s="73"/>
      <c r="C1592" s="73"/>
      <c r="D1592" s="73"/>
      <c r="E1592" s="140"/>
      <c r="F1592" s="80"/>
      <c r="G1592" s="80"/>
      <c r="H1592" s="73"/>
      <c r="I1592" s="73"/>
      <c r="J1592" s="73"/>
      <c r="K1592" s="73"/>
      <c r="L1592" s="73"/>
      <c r="M1592" s="73"/>
      <c r="N1592" s="73"/>
      <c r="O1592" s="73"/>
      <c r="P1592" s="73"/>
      <c r="Q1592" s="73"/>
      <c r="R1592" s="73"/>
      <c r="S1592" s="73"/>
      <c r="T1592" s="73"/>
      <c r="U1592" s="73"/>
      <c r="V1592" s="73"/>
      <c r="W1592" s="73"/>
      <c r="X1592" s="73"/>
      <c r="Y1592" s="73"/>
      <c r="Z1592" s="73"/>
      <c r="AA1592" s="73"/>
      <c r="AB1592" s="73"/>
      <c r="AC1592" s="73"/>
      <c r="AD1592" s="73"/>
      <c r="AE1592" s="73"/>
      <c r="AF1592" s="73"/>
      <c r="AG1592" s="73"/>
      <c r="AH1592" s="73"/>
      <c r="AI1592" s="73"/>
      <c r="AJ1592" s="168"/>
      <c r="AK1592" s="73"/>
      <c r="AL1592" s="73"/>
      <c r="AM1592" s="73"/>
      <c r="AN1592" s="73"/>
      <c r="AO1592" s="73"/>
      <c r="AP1592" s="73"/>
      <c r="AQ1592" s="73"/>
      <c r="AR1592" s="73"/>
      <c r="AS1592" s="73"/>
      <c r="AT1592" s="73"/>
      <c r="AU1592" s="73"/>
      <c r="AV1592" s="73"/>
      <c r="AW1592" s="73"/>
      <c r="AX1592" s="73"/>
      <c r="AY1592" s="73"/>
      <c r="AZ1592" s="73"/>
      <c r="BA1592" s="73"/>
      <c r="BB1592" s="73"/>
      <c r="BC1592" s="73"/>
      <c r="BD1592" s="73"/>
      <c r="BE1592" s="73"/>
      <c r="BF1592" s="75"/>
      <c r="BG1592" s="73"/>
      <c r="BH1592" s="88"/>
      <c r="BI1592" s="73"/>
      <c r="BJ1592" s="73"/>
      <c r="BK1592" s="73"/>
      <c r="BL1592" s="73"/>
      <c r="BM1592" s="73"/>
      <c r="BN1592" s="73"/>
      <c r="BO1592" s="73"/>
      <c r="BP1592" s="73"/>
      <c r="BQ1592" s="73"/>
      <c r="BR1592" s="73"/>
      <c r="BS1592" s="73"/>
      <c r="BT1592" s="73"/>
      <c r="BU1592" s="73"/>
      <c r="BV1592" s="73"/>
      <c r="BW1592" s="73"/>
      <c r="BX1592" s="73"/>
      <c r="BY1592" s="73"/>
      <c r="BZ1592" s="73"/>
      <c r="CA1592" s="73"/>
      <c r="CB1592" s="73"/>
      <c r="CC1592" s="73"/>
      <c r="CD1592" s="73"/>
      <c r="CE1592" s="73"/>
      <c r="CF1592" s="73"/>
      <c r="CG1592" s="73"/>
      <c r="CH1592" s="73"/>
    </row>
    <row r="1593">
      <c r="A1593" s="73"/>
      <c r="B1593" s="73"/>
      <c r="C1593" s="73"/>
      <c r="D1593" s="73"/>
      <c r="E1593" s="140"/>
      <c r="F1593" s="80"/>
      <c r="G1593" s="80"/>
      <c r="H1593" s="73"/>
      <c r="I1593" s="73"/>
      <c r="J1593" s="73"/>
      <c r="K1593" s="73"/>
      <c r="L1593" s="73"/>
      <c r="M1593" s="73"/>
      <c r="N1593" s="73"/>
      <c r="O1593" s="73"/>
      <c r="P1593" s="73"/>
      <c r="Q1593" s="73"/>
      <c r="R1593" s="73"/>
      <c r="S1593" s="73"/>
      <c r="T1593" s="73"/>
      <c r="U1593" s="73"/>
      <c r="V1593" s="73"/>
      <c r="W1593" s="73"/>
      <c r="X1593" s="73"/>
      <c r="Y1593" s="73"/>
      <c r="Z1593" s="73"/>
      <c r="AA1593" s="73"/>
      <c r="AB1593" s="73"/>
      <c r="AC1593" s="73"/>
      <c r="AD1593" s="73"/>
      <c r="AE1593" s="73"/>
      <c r="AF1593" s="73"/>
      <c r="AG1593" s="73"/>
      <c r="AH1593" s="73"/>
      <c r="AI1593" s="73"/>
      <c r="AJ1593" s="168"/>
      <c r="AK1593" s="73"/>
      <c r="AL1593" s="73"/>
      <c r="AM1593" s="73"/>
      <c r="AN1593" s="73"/>
      <c r="AO1593" s="73"/>
      <c r="AP1593" s="73"/>
      <c r="AQ1593" s="73"/>
      <c r="AR1593" s="73"/>
      <c r="AS1593" s="73"/>
      <c r="AT1593" s="73"/>
      <c r="AU1593" s="73"/>
      <c r="AV1593" s="73"/>
      <c r="AW1593" s="73"/>
      <c r="AX1593" s="73"/>
      <c r="AY1593" s="73"/>
      <c r="AZ1593" s="73"/>
      <c r="BA1593" s="73"/>
      <c r="BB1593" s="73"/>
      <c r="BC1593" s="73"/>
      <c r="BD1593" s="73"/>
      <c r="BE1593" s="73"/>
      <c r="BF1593" s="75"/>
      <c r="BG1593" s="73"/>
      <c r="BH1593" s="88"/>
      <c r="BI1593" s="73"/>
      <c r="BJ1593" s="73"/>
      <c r="BK1593" s="73"/>
      <c r="BL1593" s="73"/>
      <c r="BM1593" s="73"/>
      <c r="BN1593" s="73"/>
      <c r="BO1593" s="73"/>
      <c r="BP1593" s="73"/>
      <c r="BQ1593" s="73"/>
      <c r="BR1593" s="73"/>
      <c r="BS1593" s="73"/>
      <c r="BT1593" s="73"/>
      <c r="BU1593" s="73"/>
      <c r="BV1593" s="73"/>
      <c r="BW1593" s="73"/>
      <c r="BX1593" s="73"/>
      <c r="BY1593" s="73"/>
      <c r="BZ1593" s="73"/>
      <c r="CA1593" s="73"/>
      <c r="CB1593" s="73"/>
      <c r="CC1593" s="73"/>
      <c r="CD1593" s="73"/>
      <c r="CE1593" s="73"/>
      <c r="CF1593" s="73"/>
      <c r="CG1593" s="73"/>
      <c r="CH1593" s="73"/>
    </row>
    <row r="1594">
      <c r="A1594" s="73"/>
      <c r="B1594" s="73"/>
      <c r="C1594" s="73"/>
      <c r="D1594" s="73"/>
      <c r="E1594" s="140"/>
      <c r="F1594" s="80"/>
      <c r="G1594" s="80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  <c r="S1594" s="73"/>
      <c r="T1594" s="73"/>
      <c r="U1594" s="73"/>
      <c r="V1594" s="73"/>
      <c r="W1594" s="73"/>
      <c r="X1594" s="73"/>
      <c r="Y1594" s="73"/>
      <c r="Z1594" s="73"/>
      <c r="AA1594" s="73"/>
      <c r="AB1594" s="73"/>
      <c r="AC1594" s="73"/>
      <c r="AD1594" s="73"/>
      <c r="AE1594" s="73"/>
      <c r="AF1594" s="73"/>
      <c r="AG1594" s="73"/>
      <c r="AH1594" s="73"/>
      <c r="AI1594" s="73"/>
      <c r="AJ1594" s="168"/>
      <c r="AK1594" s="73"/>
      <c r="AL1594" s="73"/>
      <c r="AM1594" s="73"/>
      <c r="AN1594" s="73"/>
      <c r="AO1594" s="73"/>
      <c r="AP1594" s="73"/>
      <c r="AQ1594" s="73"/>
      <c r="AR1594" s="73"/>
      <c r="AS1594" s="73"/>
      <c r="AT1594" s="73"/>
      <c r="AU1594" s="73"/>
      <c r="AV1594" s="73"/>
      <c r="AW1594" s="73"/>
      <c r="AX1594" s="73"/>
      <c r="AY1594" s="73"/>
      <c r="AZ1594" s="73"/>
      <c r="BA1594" s="73"/>
      <c r="BB1594" s="73"/>
      <c r="BC1594" s="73"/>
      <c r="BD1594" s="73"/>
      <c r="BE1594" s="73"/>
      <c r="BF1594" s="75"/>
      <c r="BG1594" s="73"/>
      <c r="BH1594" s="88"/>
      <c r="BI1594" s="73"/>
      <c r="BJ1594" s="73"/>
      <c r="BK1594" s="73"/>
      <c r="BL1594" s="73"/>
      <c r="BM1594" s="73"/>
      <c r="BN1594" s="73"/>
      <c r="BO1594" s="73"/>
      <c r="BP1594" s="73"/>
      <c r="BQ1594" s="73"/>
      <c r="BR1594" s="73"/>
      <c r="BS1594" s="73"/>
      <c r="BT1594" s="73"/>
      <c r="BU1594" s="73"/>
      <c r="BV1594" s="73"/>
      <c r="BW1594" s="73"/>
      <c r="BX1594" s="73"/>
      <c r="BY1594" s="73"/>
      <c r="BZ1594" s="73"/>
      <c r="CA1594" s="73"/>
      <c r="CB1594" s="73"/>
      <c r="CC1594" s="73"/>
      <c r="CD1594" s="73"/>
      <c r="CE1594" s="73"/>
      <c r="CF1594" s="73"/>
      <c r="CG1594" s="73"/>
      <c r="CH1594" s="73"/>
    </row>
    <row r="1595">
      <c r="A1595" s="73"/>
      <c r="B1595" s="73"/>
      <c r="C1595" s="73"/>
      <c r="D1595" s="73"/>
      <c r="E1595" s="140"/>
      <c r="F1595" s="80"/>
      <c r="G1595" s="80"/>
      <c r="H1595" s="73"/>
      <c r="I1595" s="73"/>
      <c r="J1595" s="73"/>
      <c r="K1595" s="73"/>
      <c r="L1595" s="73"/>
      <c r="M1595" s="73"/>
      <c r="N1595" s="73"/>
      <c r="O1595" s="73"/>
      <c r="P1595" s="73"/>
      <c r="Q1595" s="73"/>
      <c r="R1595" s="73"/>
      <c r="S1595" s="73"/>
      <c r="T1595" s="73"/>
      <c r="U1595" s="73"/>
      <c r="V1595" s="73"/>
      <c r="W1595" s="73"/>
      <c r="X1595" s="73"/>
      <c r="Y1595" s="73"/>
      <c r="Z1595" s="73"/>
      <c r="AA1595" s="73"/>
      <c r="AB1595" s="73"/>
      <c r="AC1595" s="73"/>
      <c r="AD1595" s="73"/>
      <c r="AE1595" s="73"/>
      <c r="AF1595" s="73"/>
      <c r="AG1595" s="73"/>
      <c r="AH1595" s="73"/>
      <c r="AI1595" s="73"/>
      <c r="AJ1595" s="168"/>
      <c r="AK1595" s="73"/>
      <c r="AL1595" s="73"/>
      <c r="AM1595" s="73"/>
      <c r="AN1595" s="73"/>
      <c r="AO1595" s="73"/>
      <c r="AP1595" s="73"/>
      <c r="AQ1595" s="73"/>
      <c r="AR1595" s="73"/>
      <c r="AS1595" s="73"/>
      <c r="AT1595" s="73"/>
      <c r="AU1595" s="73"/>
      <c r="AV1595" s="73"/>
      <c r="AW1595" s="73"/>
      <c r="AX1595" s="73"/>
      <c r="AY1595" s="73"/>
      <c r="AZ1595" s="73"/>
      <c r="BA1595" s="73"/>
      <c r="BB1595" s="73"/>
      <c r="BC1595" s="73"/>
      <c r="BD1595" s="73"/>
      <c r="BE1595" s="73"/>
      <c r="BF1595" s="75"/>
      <c r="BG1595" s="73"/>
      <c r="BH1595" s="88"/>
      <c r="BI1595" s="73"/>
      <c r="BJ1595" s="73"/>
      <c r="BK1595" s="73"/>
      <c r="BL1595" s="73"/>
      <c r="BM1595" s="73"/>
      <c r="BN1595" s="73"/>
      <c r="BO1595" s="73"/>
      <c r="BP1595" s="73"/>
      <c r="BQ1595" s="73"/>
      <c r="BR1595" s="73"/>
      <c r="BS1595" s="73"/>
      <c r="BT1595" s="73"/>
      <c r="BU1595" s="73"/>
      <c r="BV1595" s="73"/>
      <c r="BW1595" s="73"/>
      <c r="BX1595" s="73"/>
      <c r="BY1595" s="73"/>
      <c r="BZ1595" s="73"/>
      <c r="CA1595" s="73"/>
      <c r="CB1595" s="73"/>
      <c r="CC1595" s="73"/>
      <c r="CD1595" s="73"/>
      <c r="CE1595" s="73"/>
      <c r="CF1595" s="73"/>
      <c r="CG1595" s="73"/>
      <c r="CH1595" s="73"/>
    </row>
    <row r="1596">
      <c r="A1596" s="73"/>
      <c r="B1596" s="73"/>
      <c r="C1596" s="73"/>
      <c r="D1596" s="73"/>
      <c r="E1596" s="140"/>
      <c r="F1596" s="80"/>
      <c r="G1596" s="80"/>
      <c r="H1596" s="73"/>
      <c r="I1596" s="73"/>
      <c r="J1596" s="73"/>
      <c r="K1596" s="73"/>
      <c r="L1596" s="73"/>
      <c r="M1596" s="73"/>
      <c r="N1596" s="73"/>
      <c r="O1596" s="73"/>
      <c r="P1596" s="73"/>
      <c r="Q1596" s="73"/>
      <c r="R1596" s="73"/>
      <c r="S1596" s="73"/>
      <c r="T1596" s="73"/>
      <c r="U1596" s="73"/>
      <c r="V1596" s="73"/>
      <c r="W1596" s="73"/>
      <c r="X1596" s="73"/>
      <c r="Y1596" s="73"/>
      <c r="Z1596" s="73"/>
      <c r="AA1596" s="73"/>
      <c r="AB1596" s="73"/>
      <c r="AC1596" s="73"/>
      <c r="AD1596" s="73"/>
      <c r="AE1596" s="73"/>
      <c r="AF1596" s="73"/>
      <c r="AG1596" s="73"/>
      <c r="AH1596" s="73"/>
      <c r="AI1596" s="73"/>
      <c r="AJ1596" s="168"/>
      <c r="AK1596" s="73"/>
      <c r="AL1596" s="73"/>
      <c r="AM1596" s="73"/>
      <c r="AN1596" s="73"/>
      <c r="AO1596" s="73"/>
      <c r="AP1596" s="73"/>
      <c r="AQ1596" s="73"/>
      <c r="AR1596" s="73"/>
      <c r="AS1596" s="73"/>
      <c r="AT1596" s="73"/>
      <c r="AU1596" s="73"/>
      <c r="AV1596" s="73"/>
      <c r="AW1596" s="73"/>
      <c r="AX1596" s="73"/>
      <c r="AY1596" s="73"/>
      <c r="AZ1596" s="73"/>
      <c r="BA1596" s="73"/>
      <c r="BB1596" s="73"/>
      <c r="BC1596" s="73"/>
      <c r="BD1596" s="73"/>
      <c r="BE1596" s="73"/>
      <c r="BF1596" s="75"/>
      <c r="BG1596" s="73"/>
      <c r="BH1596" s="88"/>
      <c r="BI1596" s="73"/>
      <c r="BJ1596" s="73"/>
      <c r="BK1596" s="73"/>
      <c r="BL1596" s="73"/>
      <c r="BM1596" s="73"/>
      <c r="BN1596" s="73"/>
      <c r="BO1596" s="73"/>
      <c r="BP1596" s="73"/>
      <c r="BQ1596" s="73"/>
      <c r="BR1596" s="73"/>
      <c r="BS1596" s="73"/>
      <c r="BT1596" s="73"/>
      <c r="BU1596" s="73"/>
      <c r="BV1596" s="73"/>
      <c r="BW1596" s="73"/>
      <c r="BX1596" s="73"/>
      <c r="BY1596" s="73"/>
      <c r="BZ1596" s="73"/>
      <c r="CA1596" s="73"/>
      <c r="CB1596" s="73"/>
      <c r="CC1596" s="73"/>
      <c r="CD1596" s="73"/>
      <c r="CE1596" s="73"/>
      <c r="CF1596" s="73"/>
      <c r="CG1596" s="73"/>
      <c r="CH1596" s="73"/>
    </row>
    <row r="1597">
      <c r="A1597" s="73"/>
      <c r="B1597" s="73"/>
      <c r="C1597" s="73"/>
      <c r="D1597" s="73"/>
      <c r="E1597" s="140"/>
      <c r="F1597" s="80"/>
      <c r="G1597" s="80"/>
      <c r="H1597" s="73"/>
      <c r="I1597" s="73"/>
      <c r="J1597" s="73"/>
      <c r="K1597" s="73"/>
      <c r="L1597" s="73"/>
      <c r="M1597" s="73"/>
      <c r="N1597" s="73"/>
      <c r="O1597" s="73"/>
      <c r="P1597" s="73"/>
      <c r="Q1597" s="73"/>
      <c r="R1597" s="73"/>
      <c r="S1597" s="73"/>
      <c r="T1597" s="73"/>
      <c r="U1597" s="73"/>
      <c r="V1597" s="73"/>
      <c r="W1597" s="73"/>
      <c r="X1597" s="73"/>
      <c r="Y1597" s="73"/>
      <c r="Z1597" s="73"/>
      <c r="AA1597" s="73"/>
      <c r="AB1597" s="73"/>
      <c r="AC1597" s="73"/>
      <c r="AD1597" s="73"/>
      <c r="AE1597" s="73"/>
      <c r="AF1597" s="73"/>
      <c r="AG1597" s="73"/>
      <c r="AH1597" s="73"/>
      <c r="AI1597" s="73"/>
      <c r="AJ1597" s="168"/>
      <c r="AK1597" s="73"/>
      <c r="AL1597" s="73"/>
      <c r="AM1597" s="73"/>
      <c r="AN1597" s="73"/>
      <c r="AO1597" s="73"/>
      <c r="AP1597" s="73"/>
      <c r="AQ1597" s="73"/>
      <c r="AR1597" s="73"/>
      <c r="AS1597" s="73"/>
      <c r="AT1597" s="73"/>
      <c r="AU1597" s="73"/>
      <c r="AV1597" s="73"/>
      <c r="AW1597" s="73"/>
      <c r="AX1597" s="73"/>
      <c r="AY1597" s="73"/>
      <c r="AZ1597" s="73"/>
      <c r="BA1597" s="73"/>
      <c r="BB1597" s="73"/>
      <c r="BC1597" s="73"/>
      <c r="BD1597" s="73"/>
      <c r="BE1597" s="73"/>
      <c r="BF1597" s="75"/>
      <c r="BG1597" s="73"/>
      <c r="BH1597" s="88"/>
      <c r="BI1597" s="73"/>
      <c r="BJ1597" s="73"/>
      <c r="BK1597" s="73"/>
      <c r="BL1597" s="73"/>
      <c r="BM1597" s="73"/>
      <c r="BN1597" s="73"/>
      <c r="BO1597" s="73"/>
      <c r="BP1597" s="73"/>
      <c r="BQ1597" s="73"/>
      <c r="BR1597" s="73"/>
      <c r="BS1597" s="73"/>
      <c r="BT1597" s="73"/>
      <c r="BU1597" s="73"/>
      <c r="BV1597" s="73"/>
      <c r="BW1597" s="73"/>
      <c r="BX1597" s="73"/>
      <c r="BY1597" s="73"/>
      <c r="BZ1597" s="73"/>
      <c r="CA1597" s="73"/>
      <c r="CB1597" s="73"/>
      <c r="CC1597" s="73"/>
      <c r="CD1597" s="73"/>
      <c r="CE1597" s="73"/>
      <c r="CF1597" s="73"/>
      <c r="CG1597" s="73"/>
      <c r="CH1597" s="73"/>
    </row>
    <row r="1598">
      <c r="A1598" s="73"/>
      <c r="B1598" s="73"/>
      <c r="C1598" s="73"/>
      <c r="D1598" s="73"/>
      <c r="E1598" s="140"/>
      <c r="F1598" s="80"/>
      <c r="G1598" s="80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  <c r="S1598" s="73"/>
      <c r="T1598" s="73"/>
      <c r="U1598" s="73"/>
      <c r="V1598" s="73"/>
      <c r="W1598" s="73"/>
      <c r="X1598" s="73"/>
      <c r="Y1598" s="73"/>
      <c r="Z1598" s="73"/>
      <c r="AA1598" s="73"/>
      <c r="AB1598" s="73"/>
      <c r="AC1598" s="73"/>
      <c r="AD1598" s="73"/>
      <c r="AE1598" s="73"/>
      <c r="AF1598" s="73"/>
      <c r="AG1598" s="73"/>
      <c r="AH1598" s="73"/>
      <c r="AI1598" s="73"/>
      <c r="AJ1598" s="168"/>
      <c r="AK1598" s="73"/>
      <c r="AL1598" s="73"/>
      <c r="AM1598" s="73"/>
      <c r="AN1598" s="73"/>
      <c r="AO1598" s="73"/>
      <c r="AP1598" s="73"/>
      <c r="AQ1598" s="73"/>
      <c r="AR1598" s="73"/>
      <c r="AS1598" s="73"/>
      <c r="AT1598" s="73"/>
      <c r="AU1598" s="73"/>
      <c r="AV1598" s="73"/>
      <c r="AW1598" s="73"/>
      <c r="AX1598" s="73"/>
      <c r="AY1598" s="73"/>
      <c r="AZ1598" s="73"/>
      <c r="BA1598" s="73"/>
      <c r="BB1598" s="73"/>
      <c r="BC1598" s="73"/>
      <c r="BD1598" s="73"/>
      <c r="BE1598" s="73"/>
      <c r="BF1598" s="75"/>
      <c r="BG1598" s="73"/>
      <c r="BH1598" s="88"/>
      <c r="BI1598" s="73"/>
      <c r="BJ1598" s="73"/>
      <c r="BK1598" s="73"/>
      <c r="BL1598" s="73"/>
      <c r="BM1598" s="73"/>
      <c r="BN1598" s="73"/>
      <c r="BO1598" s="73"/>
      <c r="BP1598" s="73"/>
      <c r="BQ1598" s="73"/>
      <c r="BR1598" s="73"/>
      <c r="BS1598" s="73"/>
      <c r="BT1598" s="73"/>
      <c r="BU1598" s="73"/>
      <c r="BV1598" s="73"/>
      <c r="BW1598" s="73"/>
      <c r="BX1598" s="73"/>
      <c r="BY1598" s="73"/>
      <c r="BZ1598" s="73"/>
      <c r="CA1598" s="73"/>
      <c r="CB1598" s="73"/>
      <c r="CC1598" s="73"/>
      <c r="CD1598" s="73"/>
      <c r="CE1598" s="73"/>
      <c r="CF1598" s="73"/>
      <c r="CG1598" s="73"/>
      <c r="CH1598" s="73"/>
    </row>
    <row r="1599">
      <c r="A1599" s="73"/>
      <c r="B1599" s="73"/>
      <c r="C1599" s="73"/>
      <c r="D1599" s="73"/>
      <c r="E1599" s="140"/>
      <c r="F1599" s="80"/>
      <c r="G1599" s="80"/>
      <c r="H1599" s="73"/>
      <c r="I1599" s="73"/>
      <c r="J1599" s="73"/>
      <c r="K1599" s="73"/>
      <c r="L1599" s="73"/>
      <c r="M1599" s="73"/>
      <c r="N1599" s="73"/>
      <c r="O1599" s="73"/>
      <c r="P1599" s="73"/>
      <c r="Q1599" s="73"/>
      <c r="R1599" s="73"/>
      <c r="S1599" s="73"/>
      <c r="T1599" s="73"/>
      <c r="U1599" s="73"/>
      <c r="V1599" s="73"/>
      <c r="W1599" s="73"/>
      <c r="X1599" s="73"/>
      <c r="Y1599" s="73"/>
      <c r="Z1599" s="73"/>
      <c r="AA1599" s="73"/>
      <c r="AB1599" s="73"/>
      <c r="AC1599" s="73"/>
      <c r="AD1599" s="73"/>
      <c r="AE1599" s="73"/>
      <c r="AF1599" s="73"/>
      <c r="AG1599" s="73"/>
      <c r="AH1599" s="73"/>
      <c r="AI1599" s="73"/>
      <c r="AJ1599" s="168"/>
      <c r="AK1599" s="73"/>
      <c r="AL1599" s="73"/>
      <c r="AM1599" s="73"/>
      <c r="AN1599" s="73"/>
      <c r="AO1599" s="73"/>
      <c r="AP1599" s="73"/>
      <c r="AQ1599" s="73"/>
      <c r="AR1599" s="73"/>
      <c r="AS1599" s="73"/>
      <c r="AT1599" s="73"/>
      <c r="AU1599" s="73"/>
      <c r="AV1599" s="73"/>
      <c r="AW1599" s="73"/>
      <c r="AX1599" s="73"/>
      <c r="AY1599" s="73"/>
      <c r="AZ1599" s="73"/>
      <c r="BA1599" s="73"/>
      <c r="BB1599" s="73"/>
      <c r="BC1599" s="73"/>
      <c r="BD1599" s="73"/>
      <c r="BE1599" s="73"/>
      <c r="BF1599" s="75"/>
      <c r="BG1599" s="73"/>
      <c r="BH1599" s="88"/>
      <c r="BI1599" s="73"/>
      <c r="BJ1599" s="73"/>
      <c r="BK1599" s="73"/>
      <c r="BL1599" s="73"/>
      <c r="BM1599" s="73"/>
      <c r="BN1599" s="73"/>
      <c r="BO1599" s="73"/>
      <c r="BP1599" s="73"/>
      <c r="BQ1599" s="73"/>
      <c r="BR1599" s="73"/>
      <c r="BS1599" s="73"/>
      <c r="BT1599" s="73"/>
      <c r="BU1599" s="73"/>
      <c r="BV1599" s="73"/>
      <c r="BW1599" s="73"/>
      <c r="BX1599" s="73"/>
      <c r="BY1599" s="73"/>
      <c r="BZ1599" s="73"/>
      <c r="CA1599" s="73"/>
      <c r="CB1599" s="73"/>
      <c r="CC1599" s="73"/>
      <c r="CD1599" s="73"/>
      <c r="CE1599" s="73"/>
      <c r="CF1599" s="73"/>
      <c r="CG1599" s="73"/>
      <c r="CH1599" s="73"/>
    </row>
    <row r="1600">
      <c r="A1600" s="73"/>
      <c r="B1600" s="73"/>
      <c r="C1600" s="73"/>
      <c r="D1600" s="73"/>
      <c r="E1600" s="140"/>
      <c r="F1600" s="80"/>
      <c r="G1600" s="80"/>
      <c r="H1600" s="73"/>
      <c r="I1600" s="73"/>
      <c r="J1600" s="73"/>
      <c r="K1600" s="73"/>
      <c r="L1600" s="73"/>
      <c r="M1600" s="73"/>
      <c r="N1600" s="73"/>
      <c r="O1600" s="73"/>
      <c r="P1600" s="73"/>
      <c r="Q1600" s="73"/>
      <c r="R1600" s="73"/>
      <c r="S1600" s="73"/>
      <c r="T1600" s="73"/>
      <c r="U1600" s="73"/>
      <c r="V1600" s="73"/>
      <c r="W1600" s="73"/>
      <c r="X1600" s="73"/>
      <c r="Y1600" s="73"/>
      <c r="Z1600" s="73"/>
      <c r="AA1600" s="73"/>
      <c r="AB1600" s="73"/>
      <c r="AC1600" s="73"/>
      <c r="AD1600" s="73"/>
      <c r="AE1600" s="73"/>
      <c r="AF1600" s="73"/>
      <c r="AG1600" s="73"/>
      <c r="AH1600" s="73"/>
      <c r="AI1600" s="73"/>
      <c r="AJ1600" s="168"/>
      <c r="AK1600" s="73"/>
      <c r="AL1600" s="73"/>
      <c r="AM1600" s="73"/>
      <c r="AN1600" s="73"/>
      <c r="AO1600" s="73"/>
      <c r="AP1600" s="73"/>
      <c r="AQ1600" s="73"/>
      <c r="AR1600" s="73"/>
      <c r="AS1600" s="73"/>
      <c r="AT1600" s="73"/>
      <c r="AU1600" s="73"/>
      <c r="AV1600" s="73"/>
      <c r="AW1600" s="73"/>
      <c r="AX1600" s="73"/>
      <c r="AY1600" s="73"/>
      <c r="AZ1600" s="73"/>
      <c r="BA1600" s="73"/>
      <c r="BB1600" s="73"/>
      <c r="BC1600" s="73"/>
      <c r="BD1600" s="73"/>
      <c r="BE1600" s="73"/>
      <c r="BF1600" s="75"/>
      <c r="BG1600" s="73"/>
      <c r="BH1600" s="88"/>
      <c r="BI1600" s="73"/>
      <c r="BJ1600" s="73"/>
      <c r="BK1600" s="73"/>
      <c r="BL1600" s="73"/>
      <c r="BM1600" s="73"/>
      <c r="BN1600" s="73"/>
      <c r="BO1600" s="73"/>
      <c r="BP1600" s="73"/>
      <c r="BQ1600" s="73"/>
      <c r="BR1600" s="73"/>
      <c r="BS1600" s="73"/>
      <c r="BT1600" s="73"/>
      <c r="BU1600" s="73"/>
      <c r="BV1600" s="73"/>
      <c r="BW1600" s="73"/>
      <c r="BX1600" s="73"/>
      <c r="BY1600" s="73"/>
      <c r="BZ1600" s="73"/>
      <c r="CA1600" s="73"/>
      <c r="CB1600" s="73"/>
      <c r="CC1600" s="73"/>
      <c r="CD1600" s="73"/>
      <c r="CE1600" s="73"/>
      <c r="CF1600" s="73"/>
      <c r="CG1600" s="73"/>
      <c r="CH1600" s="73"/>
    </row>
    <row r="1601">
      <c r="A1601" s="73"/>
      <c r="B1601" s="73"/>
      <c r="C1601" s="73"/>
      <c r="D1601" s="73"/>
      <c r="E1601" s="140"/>
      <c r="F1601" s="80"/>
      <c r="G1601" s="80"/>
      <c r="H1601" s="73"/>
      <c r="I1601" s="73"/>
      <c r="J1601" s="73"/>
      <c r="K1601" s="73"/>
      <c r="L1601" s="73"/>
      <c r="M1601" s="73"/>
      <c r="N1601" s="73"/>
      <c r="O1601" s="73"/>
      <c r="P1601" s="73"/>
      <c r="Q1601" s="73"/>
      <c r="R1601" s="73"/>
      <c r="S1601" s="73"/>
      <c r="T1601" s="73"/>
      <c r="U1601" s="73"/>
      <c r="V1601" s="73"/>
      <c r="W1601" s="73"/>
      <c r="X1601" s="73"/>
      <c r="Y1601" s="73"/>
      <c r="Z1601" s="73"/>
      <c r="AA1601" s="73"/>
      <c r="AB1601" s="73"/>
      <c r="AC1601" s="73"/>
      <c r="AD1601" s="73"/>
      <c r="AE1601" s="73"/>
      <c r="AF1601" s="73"/>
      <c r="AG1601" s="73"/>
      <c r="AH1601" s="73"/>
      <c r="AI1601" s="73"/>
      <c r="AJ1601" s="168"/>
      <c r="AK1601" s="73"/>
      <c r="AL1601" s="73"/>
      <c r="AM1601" s="73"/>
      <c r="AN1601" s="73"/>
      <c r="AO1601" s="73"/>
      <c r="AP1601" s="73"/>
      <c r="AQ1601" s="73"/>
      <c r="AR1601" s="73"/>
      <c r="AS1601" s="73"/>
      <c r="AT1601" s="73"/>
      <c r="AU1601" s="73"/>
      <c r="AV1601" s="73"/>
      <c r="AW1601" s="73"/>
      <c r="AX1601" s="73"/>
      <c r="AY1601" s="73"/>
      <c r="AZ1601" s="73"/>
      <c r="BA1601" s="73"/>
      <c r="BB1601" s="73"/>
      <c r="BC1601" s="73"/>
      <c r="BD1601" s="73"/>
      <c r="BE1601" s="73"/>
      <c r="BF1601" s="75"/>
      <c r="BG1601" s="73"/>
      <c r="BH1601" s="88"/>
      <c r="BI1601" s="73"/>
      <c r="BJ1601" s="73"/>
      <c r="BK1601" s="73"/>
      <c r="BL1601" s="73"/>
      <c r="BM1601" s="73"/>
      <c r="BN1601" s="73"/>
      <c r="BO1601" s="73"/>
      <c r="BP1601" s="73"/>
      <c r="BQ1601" s="73"/>
      <c r="BR1601" s="73"/>
      <c r="BS1601" s="73"/>
      <c r="BT1601" s="73"/>
      <c r="BU1601" s="73"/>
      <c r="BV1601" s="73"/>
      <c r="BW1601" s="73"/>
      <c r="BX1601" s="73"/>
      <c r="BY1601" s="73"/>
      <c r="BZ1601" s="73"/>
      <c r="CA1601" s="73"/>
      <c r="CB1601" s="73"/>
      <c r="CC1601" s="73"/>
      <c r="CD1601" s="73"/>
      <c r="CE1601" s="73"/>
      <c r="CF1601" s="73"/>
      <c r="CG1601" s="73"/>
      <c r="CH1601" s="73"/>
    </row>
    <row r="1602">
      <c r="A1602" s="73"/>
      <c r="B1602" s="73"/>
      <c r="C1602" s="73"/>
      <c r="D1602" s="73"/>
      <c r="E1602" s="140"/>
      <c r="F1602" s="80"/>
      <c r="G1602" s="80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  <c r="S1602" s="73"/>
      <c r="T1602" s="73"/>
      <c r="U1602" s="73"/>
      <c r="V1602" s="73"/>
      <c r="W1602" s="73"/>
      <c r="X1602" s="73"/>
      <c r="Y1602" s="73"/>
      <c r="Z1602" s="73"/>
      <c r="AA1602" s="73"/>
      <c r="AB1602" s="73"/>
      <c r="AC1602" s="73"/>
      <c r="AD1602" s="73"/>
      <c r="AE1602" s="73"/>
      <c r="AF1602" s="73"/>
      <c r="AG1602" s="73"/>
      <c r="AH1602" s="73"/>
      <c r="AI1602" s="73"/>
      <c r="AJ1602" s="168"/>
      <c r="AK1602" s="73"/>
      <c r="AL1602" s="73"/>
      <c r="AM1602" s="73"/>
      <c r="AN1602" s="73"/>
      <c r="AO1602" s="73"/>
      <c r="AP1602" s="73"/>
      <c r="AQ1602" s="73"/>
      <c r="AR1602" s="73"/>
      <c r="AS1602" s="73"/>
      <c r="AT1602" s="73"/>
      <c r="AU1602" s="73"/>
      <c r="AV1602" s="73"/>
      <c r="AW1602" s="73"/>
      <c r="AX1602" s="73"/>
      <c r="AY1602" s="73"/>
      <c r="AZ1602" s="73"/>
      <c r="BA1602" s="73"/>
      <c r="BB1602" s="73"/>
      <c r="BC1602" s="73"/>
      <c r="BD1602" s="73"/>
      <c r="BE1602" s="73"/>
      <c r="BF1602" s="75"/>
      <c r="BG1602" s="73"/>
      <c r="BH1602" s="88"/>
      <c r="BI1602" s="73"/>
      <c r="BJ1602" s="73"/>
      <c r="BK1602" s="73"/>
      <c r="BL1602" s="73"/>
      <c r="BM1602" s="73"/>
      <c r="BN1602" s="73"/>
      <c r="BO1602" s="73"/>
      <c r="BP1602" s="73"/>
      <c r="BQ1602" s="73"/>
      <c r="BR1602" s="73"/>
      <c r="BS1602" s="73"/>
      <c r="BT1602" s="73"/>
      <c r="BU1602" s="73"/>
      <c r="BV1602" s="73"/>
      <c r="BW1602" s="73"/>
      <c r="BX1602" s="73"/>
      <c r="BY1602" s="73"/>
      <c r="BZ1602" s="73"/>
      <c r="CA1602" s="73"/>
      <c r="CB1602" s="73"/>
      <c r="CC1602" s="73"/>
      <c r="CD1602" s="73"/>
      <c r="CE1602" s="73"/>
      <c r="CF1602" s="73"/>
      <c r="CG1602" s="73"/>
      <c r="CH1602" s="73"/>
    </row>
    <row r="1603">
      <c r="A1603" s="73"/>
      <c r="B1603" s="73"/>
      <c r="C1603" s="73"/>
      <c r="D1603" s="73"/>
      <c r="E1603" s="140"/>
      <c r="F1603" s="80"/>
      <c r="G1603" s="80"/>
      <c r="H1603" s="73"/>
      <c r="I1603" s="73"/>
      <c r="J1603" s="73"/>
      <c r="K1603" s="73"/>
      <c r="L1603" s="73"/>
      <c r="M1603" s="73"/>
      <c r="N1603" s="73"/>
      <c r="O1603" s="73"/>
      <c r="P1603" s="73"/>
      <c r="Q1603" s="73"/>
      <c r="R1603" s="73"/>
      <c r="S1603" s="73"/>
      <c r="T1603" s="73"/>
      <c r="U1603" s="73"/>
      <c r="V1603" s="73"/>
      <c r="W1603" s="73"/>
      <c r="X1603" s="73"/>
      <c r="Y1603" s="73"/>
      <c r="Z1603" s="73"/>
      <c r="AA1603" s="73"/>
      <c r="AB1603" s="73"/>
      <c r="AC1603" s="73"/>
      <c r="AD1603" s="73"/>
      <c r="AE1603" s="73"/>
      <c r="AF1603" s="73"/>
      <c r="AG1603" s="73"/>
      <c r="AH1603" s="73"/>
      <c r="AI1603" s="73"/>
      <c r="AJ1603" s="168"/>
      <c r="AK1603" s="73"/>
      <c r="AL1603" s="73"/>
      <c r="AM1603" s="73"/>
      <c r="AN1603" s="73"/>
      <c r="AO1603" s="73"/>
      <c r="AP1603" s="73"/>
      <c r="AQ1603" s="73"/>
      <c r="AR1603" s="73"/>
      <c r="AS1603" s="73"/>
      <c r="AT1603" s="73"/>
      <c r="AU1603" s="73"/>
      <c r="AV1603" s="73"/>
      <c r="AW1603" s="73"/>
      <c r="AX1603" s="73"/>
      <c r="AY1603" s="73"/>
      <c r="AZ1603" s="73"/>
      <c r="BA1603" s="73"/>
      <c r="BB1603" s="73"/>
      <c r="BC1603" s="73"/>
      <c r="BD1603" s="73"/>
      <c r="BE1603" s="73"/>
      <c r="BF1603" s="75"/>
      <c r="BG1603" s="73"/>
      <c r="BH1603" s="88"/>
      <c r="BI1603" s="73"/>
      <c r="BJ1603" s="73"/>
      <c r="BK1603" s="73"/>
      <c r="BL1603" s="73"/>
      <c r="BM1603" s="73"/>
      <c r="BN1603" s="73"/>
      <c r="BO1603" s="73"/>
      <c r="BP1603" s="73"/>
      <c r="BQ1603" s="73"/>
      <c r="BR1603" s="73"/>
      <c r="BS1603" s="73"/>
      <c r="BT1603" s="73"/>
      <c r="BU1603" s="73"/>
      <c r="BV1603" s="73"/>
      <c r="BW1603" s="73"/>
      <c r="BX1603" s="73"/>
      <c r="BY1603" s="73"/>
      <c r="BZ1603" s="73"/>
      <c r="CA1603" s="73"/>
      <c r="CB1603" s="73"/>
      <c r="CC1603" s="73"/>
      <c r="CD1603" s="73"/>
      <c r="CE1603" s="73"/>
      <c r="CF1603" s="73"/>
      <c r="CG1603" s="73"/>
      <c r="CH1603" s="73"/>
    </row>
    <row r="1604">
      <c r="A1604" s="73"/>
      <c r="B1604" s="73"/>
      <c r="C1604" s="73"/>
      <c r="D1604" s="73"/>
      <c r="E1604" s="140"/>
      <c r="F1604" s="80"/>
      <c r="G1604" s="80"/>
      <c r="H1604" s="73"/>
      <c r="I1604" s="73"/>
      <c r="J1604" s="73"/>
      <c r="K1604" s="73"/>
      <c r="L1604" s="73"/>
      <c r="M1604" s="73"/>
      <c r="N1604" s="73"/>
      <c r="O1604" s="73"/>
      <c r="P1604" s="73"/>
      <c r="Q1604" s="73"/>
      <c r="R1604" s="73"/>
      <c r="S1604" s="73"/>
      <c r="T1604" s="73"/>
      <c r="U1604" s="73"/>
      <c r="V1604" s="73"/>
      <c r="W1604" s="73"/>
      <c r="X1604" s="73"/>
      <c r="Y1604" s="73"/>
      <c r="Z1604" s="73"/>
      <c r="AA1604" s="73"/>
      <c r="AB1604" s="73"/>
      <c r="AC1604" s="73"/>
      <c r="AD1604" s="73"/>
      <c r="AE1604" s="73"/>
      <c r="AF1604" s="73"/>
      <c r="AG1604" s="73"/>
      <c r="AH1604" s="73"/>
      <c r="AI1604" s="73"/>
      <c r="AJ1604" s="168"/>
      <c r="AK1604" s="73"/>
      <c r="AL1604" s="73"/>
      <c r="AM1604" s="73"/>
      <c r="AN1604" s="73"/>
      <c r="AO1604" s="73"/>
      <c r="AP1604" s="73"/>
      <c r="AQ1604" s="73"/>
      <c r="AR1604" s="73"/>
      <c r="AS1604" s="73"/>
      <c r="AT1604" s="73"/>
      <c r="AU1604" s="73"/>
      <c r="AV1604" s="73"/>
      <c r="AW1604" s="73"/>
      <c r="AX1604" s="73"/>
      <c r="AY1604" s="73"/>
      <c r="AZ1604" s="73"/>
      <c r="BA1604" s="73"/>
      <c r="BB1604" s="73"/>
      <c r="BC1604" s="73"/>
      <c r="BD1604" s="73"/>
      <c r="BE1604" s="73"/>
      <c r="BF1604" s="75"/>
      <c r="BG1604" s="73"/>
      <c r="BH1604" s="88"/>
      <c r="BI1604" s="73"/>
      <c r="BJ1604" s="73"/>
      <c r="BK1604" s="73"/>
      <c r="BL1604" s="73"/>
      <c r="BM1604" s="73"/>
      <c r="BN1604" s="73"/>
      <c r="BO1604" s="73"/>
      <c r="BP1604" s="73"/>
      <c r="BQ1604" s="73"/>
      <c r="BR1604" s="73"/>
      <c r="BS1604" s="73"/>
      <c r="BT1604" s="73"/>
      <c r="BU1604" s="73"/>
      <c r="BV1604" s="73"/>
      <c r="BW1604" s="73"/>
      <c r="BX1604" s="73"/>
      <c r="BY1604" s="73"/>
      <c r="BZ1604" s="73"/>
      <c r="CA1604" s="73"/>
      <c r="CB1604" s="73"/>
      <c r="CC1604" s="73"/>
      <c r="CD1604" s="73"/>
      <c r="CE1604" s="73"/>
      <c r="CF1604" s="73"/>
      <c r="CG1604" s="73"/>
      <c r="CH1604" s="73"/>
    </row>
    <row r="1605">
      <c r="A1605" s="73"/>
      <c r="B1605" s="73"/>
      <c r="C1605" s="73"/>
      <c r="D1605" s="73"/>
      <c r="E1605" s="140"/>
      <c r="F1605" s="80"/>
      <c r="G1605" s="80"/>
      <c r="H1605" s="73"/>
      <c r="I1605" s="73"/>
      <c r="J1605" s="73"/>
      <c r="K1605" s="73"/>
      <c r="L1605" s="73"/>
      <c r="M1605" s="73"/>
      <c r="N1605" s="73"/>
      <c r="O1605" s="73"/>
      <c r="P1605" s="73"/>
      <c r="Q1605" s="73"/>
      <c r="R1605" s="73"/>
      <c r="S1605" s="73"/>
      <c r="T1605" s="73"/>
      <c r="U1605" s="73"/>
      <c r="V1605" s="73"/>
      <c r="W1605" s="73"/>
      <c r="X1605" s="73"/>
      <c r="Y1605" s="73"/>
      <c r="Z1605" s="73"/>
      <c r="AA1605" s="73"/>
      <c r="AB1605" s="73"/>
      <c r="AC1605" s="73"/>
      <c r="AD1605" s="73"/>
      <c r="AE1605" s="73"/>
      <c r="AF1605" s="73"/>
      <c r="AG1605" s="73"/>
      <c r="AH1605" s="73"/>
      <c r="AI1605" s="73"/>
      <c r="AJ1605" s="168"/>
      <c r="AK1605" s="73"/>
      <c r="AL1605" s="73"/>
      <c r="AM1605" s="73"/>
      <c r="AN1605" s="73"/>
      <c r="AO1605" s="73"/>
      <c r="AP1605" s="73"/>
      <c r="AQ1605" s="73"/>
      <c r="AR1605" s="73"/>
      <c r="AS1605" s="73"/>
      <c r="AT1605" s="73"/>
      <c r="AU1605" s="73"/>
      <c r="AV1605" s="73"/>
      <c r="AW1605" s="73"/>
      <c r="AX1605" s="73"/>
      <c r="AY1605" s="73"/>
      <c r="AZ1605" s="73"/>
      <c r="BA1605" s="73"/>
      <c r="BB1605" s="73"/>
      <c r="BC1605" s="73"/>
      <c r="BD1605" s="73"/>
      <c r="BE1605" s="73"/>
      <c r="BF1605" s="75"/>
      <c r="BG1605" s="73"/>
      <c r="BH1605" s="88"/>
      <c r="BI1605" s="73"/>
      <c r="BJ1605" s="73"/>
      <c r="BK1605" s="73"/>
      <c r="BL1605" s="73"/>
      <c r="BM1605" s="73"/>
      <c r="BN1605" s="73"/>
      <c r="BO1605" s="73"/>
      <c r="BP1605" s="73"/>
      <c r="BQ1605" s="73"/>
      <c r="BR1605" s="73"/>
      <c r="BS1605" s="73"/>
      <c r="BT1605" s="73"/>
      <c r="BU1605" s="73"/>
      <c r="BV1605" s="73"/>
      <c r="BW1605" s="73"/>
      <c r="BX1605" s="73"/>
      <c r="BY1605" s="73"/>
      <c r="BZ1605" s="73"/>
      <c r="CA1605" s="73"/>
      <c r="CB1605" s="73"/>
      <c r="CC1605" s="73"/>
      <c r="CD1605" s="73"/>
      <c r="CE1605" s="73"/>
      <c r="CF1605" s="73"/>
      <c r="CG1605" s="73"/>
      <c r="CH1605" s="73"/>
    </row>
    <row r="1606">
      <c r="A1606" s="73"/>
      <c r="B1606" s="73"/>
      <c r="C1606" s="73"/>
      <c r="D1606" s="73"/>
      <c r="E1606" s="140"/>
      <c r="F1606" s="80"/>
      <c r="G1606" s="80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  <c r="S1606" s="73"/>
      <c r="T1606" s="73"/>
      <c r="U1606" s="73"/>
      <c r="V1606" s="73"/>
      <c r="W1606" s="73"/>
      <c r="X1606" s="73"/>
      <c r="Y1606" s="73"/>
      <c r="Z1606" s="73"/>
      <c r="AA1606" s="73"/>
      <c r="AB1606" s="73"/>
      <c r="AC1606" s="73"/>
      <c r="AD1606" s="73"/>
      <c r="AE1606" s="73"/>
      <c r="AF1606" s="73"/>
      <c r="AG1606" s="73"/>
      <c r="AH1606" s="73"/>
      <c r="AI1606" s="73"/>
      <c r="AJ1606" s="168"/>
      <c r="AK1606" s="73"/>
      <c r="AL1606" s="73"/>
      <c r="AM1606" s="73"/>
      <c r="AN1606" s="73"/>
      <c r="AO1606" s="73"/>
      <c r="AP1606" s="73"/>
      <c r="AQ1606" s="73"/>
      <c r="AR1606" s="73"/>
      <c r="AS1606" s="73"/>
      <c r="AT1606" s="73"/>
      <c r="AU1606" s="73"/>
      <c r="AV1606" s="73"/>
      <c r="AW1606" s="73"/>
      <c r="AX1606" s="73"/>
      <c r="AY1606" s="73"/>
      <c r="AZ1606" s="73"/>
      <c r="BA1606" s="73"/>
      <c r="BB1606" s="73"/>
      <c r="BC1606" s="73"/>
      <c r="BD1606" s="73"/>
      <c r="BE1606" s="73"/>
      <c r="BF1606" s="75"/>
      <c r="BG1606" s="73"/>
      <c r="BH1606" s="88"/>
      <c r="BI1606" s="73"/>
      <c r="BJ1606" s="73"/>
      <c r="BK1606" s="73"/>
      <c r="BL1606" s="73"/>
      <c r="BM1606" s="73"/>
      <c r="BN1606" s="73"/>
      <c r="BO1606" s="73"/>
      <c r="BP1606" s="73"/>
      <c r="BQ1606" s="73"/>
      <c r="BR1606" s="73"/>
      <c r="BS1606" s="73"/>
      <c r="BT1606" s="73"/>
      <c r="BU1606" s="73"/>
      <c r="BV1606" s="73"/>
      <c r="BW1606" s="73"/>
      <c r="BX1606" s="73"/>
      <c r="BY1606" s="73"/>
      <c r="BZ1606" s="73"/>
      <c r="CA1606" s="73"/>
      <c r="CB1606" s="73"/>
      <c r="CC1606" s="73"/>
      <c r="CD1606" s="73"/>
      <c r="CE1606" s="73"/>
      <c r="CF1606" s="73"/>
      <c r="CG1606" s="73"/>
      <c r="CH1606" s="73"/>
    </row>
    <row r="1607">
      <c r="A1607" s="73"/>
      <c r="B1607" s="73"/>
      <c r="C1607" s="73"/>
      <c r="D1607" s="73"/>
      <c r="E1607" s="140"/>
      <c r="F1607" s="80"/>
      <c r="G1607" s="80"/>
      <c r="H1607" s="73"/>
      <c r="I1607" s="73"/>
      <c r="J1607" s="73"/>
      <c r="K1607" s="73"/>
      <c r="L1607" s="73"/>
      <c r="M1607" s="73"/>
      <c r="N1607" s="73"/>
      <c r="O1607" s="73"/>
      <c r="P1607" s="73"/>
      <c r="Q1607" s="73"/>
      <c r="R1607" s="73"/>
      <c r="S1607" s="73"/>
      <c r="T1607" s="73"/>
      <c r="U1607" s="73"/>
      <c r="V1607" s="73"/>
      <c r="W1607" s="73"/>
      <c r="X1607" s="73"/>
      <c r="Y1607" s="73"/>
      <c r="Z1607" s="73"/>
      <c r="AA1607" s="73"/>
      <c r="AB1607" s="73"/>
      <c r="AC1607" s="73"/>
      <c r="AD1607" s="73"/>
      <c r="AE1607" s="73"/>
      <c r="AF1607" s="73"/>
      <c r="AG1607" s="73"/>
      <c r="AH1607" s="73"/>
      <c r="AI1607" s="73"/>
      <c r="AJ1607" s="168"/>
      <c r="AK1607" s="73"/>
      <c r="AL1607" s="73"/>
      <c r="AM1607" s="73"/>
      <c r="AN1607" s="73"/>
      <c r="AO1607" s="73"/>
      <c r="AP1607" s="73"/>
      <c r="AQ1607" s="73"/>
      <c r="AR1607" s="73"/>
      <c r="AS1607" s="73"/>
      <c r="AT1607" s="73"/>
      <c r="AU1607" s="73"/>
      <c r="AV1607" s="73"/>
      <c r="AW1607" s="73"/>
      <c r="AX1607" s="73"/>
      <c r="AY1607" s="73"/>
      <c r="AZ1607" s="73"/>
      <c r="BA1607" s="73"/>
      <c r="BB1607" s="73"/>
      <c r="BC1607" s="73"/>
      <c r="BD1607" s="73"/>
      <c r="BE1607" s="73"/>
      <c r="BF1607" s="75"/>
      <c r="BG1607" s="73"/>
      <c r="BH1607" s="88"/>
      <c r="BI1607" s="73"/>
      <c r="BJ1607" s="73"/>
      <c r="BK1607" s="73"/>
      <c r="BL1607" s="73"/>
      <c r="BM1607" s="73"/>
      <c r="BN1607" s="73"/>
      <c r="BO1607" s="73"/>
      <c r="BP1607" s="73"/>
      <c r="BQ1607" s="73"/>
      <c r="BR1607" s="73"/>
      <c r="BS1607" s="73"/>
      <c r="BT1607" s="73"/>
      <c r="BU1607" s="73"/>
      <c r="BV1607" s="73"/>
      <c r="BW1607" s="73"/>
      <c r="BX1607" s="73"/>
      <c r="BY1607" s="73"/>
      <c r="BZ1607" s="73"/>
      <c r="CA1607" s="73"/>
      <c r="CB1607" s="73"/>
      <c r="CC1607" s="73"/>
      <c r="CD1607" s="73"/>
      <c r="CE1607" s="73"/>
      <c r="CF1607" s="73"/>
      <c r="CG1607" s="73"/>
      <c r="CH1607" s="73"/>
    </row>
    <row r="1608">
      <c r="A1608" s="73"/>
      <c r="B1608" s="73"/>
      <c r="C1608" s="73"/>
      <c r="D1608" s="73"/>
      <c r="E1608" s="140"/>
      <c r="F1608" s="80"/>
      <c r="G1608" s="80"/>
      <c r="H1608" s="73"/>
      <c r="I1608" s="73"/>
      <c r="J1608" s="73"/>
      <c r="K1608" s="73"/>
      <c r="L1608" s="73"/>
      <c r="M1608" s="73"/>
      <c r="N1608" s="73"/>
      <c r="O1608" s="73"/>
      <c r="P1608" s="73"/>
      <c r="Q1608" s="73"/>
      <c r="R1608" s="73"/>
      <c r="S1608" s="73"/>
      <c r="T1608" s="73"/>
      <c r="U1608" s="73"/>
      <c r="V1608" s="73"/>
      <c r="W1608" s="73"/>
      <c r="X1608" s="73"/>
      <c r="Y1608" s="73"/>
      <c r="Z1608" s="73"/>
      <c r="AA1608" s="73"/>
      <c r="AB1608" s="73"/>
      <c r="AC1608" s="73"/>
      <c r="AD1608" s="73"/>
      <c r="AE1608" s="73"/>
      <c r="AF1608" s="73"/>
      <c r="AG1608" s="73"/>
      <c r="AH1608" s="73"/>
      <c r="AI1608" s="73"/>
      <c r="AJ1608" s="168"/>
      <c r="AK1608" s="73"/>
      <c r="AL1608" s="73"/>
      <c r="AM1608" s="73"/>
      <c r="AN1608" s="73"/>
      <c r="AO1608" s="73"/>
      <c r="AP1608" s="73"/>
      <c r="AQ1608" s="73"/>
      <c r="AR1608" s="73"/>
      <c r="AS1608" s="73"/>
      <c r="AT1608" s="73"/>
      <c r="AU1608" s="73"/>
      <c r="AV1608" s="73"/>
      <c r="AW1608" s="73"/>
      <c r="AX1608" s="73"/>
      <c r="AY1608" s="73"/>
      <c r="AZ1608" s="73"/>
      <c r="BA1608" s="73"/>
      <c r="BB1608" s="73"/>
      <c r="BC1608" s="73"/>
      <c r="BD1608" s="73"/>
      <c r="BE1608" s="73"/>
      <c r="BF1608" s="75"/>
      <c r="BG1608" s="73"/>
      <c r="BH1608" s="88"/>
      <c r="BI1608" s="73"/>
      <c r="BJ1608" s="73"/>
      <c r="BK1608" s="73"/>
      <c r="BL1608" s="73"/>
      <c r="BM1608" s="73"/>
      <c r="BN1608" s="73"/>
      <c r="BO1608" s="73"/>
      <c r="BP1608" s="73"/>
      <c r="BQ1608" s="73"/>
      <c r="BR1608" s="73"/>
      <c r="BS1608" s="73"/>
      <c r="BT1608" s="73"/>
      <c r="BU1608" s="73"/>
      <c r="BV1608" s="73"/>
      <c r="BW1608" s="73"/>
      <c r="BX1608" s="73"/>
      <c r="BY1608" s="73"/>
      <c r="BZ1608" s="73"/>
      <c r="CA1608" s="73"/>
      <c r="CB1608" s="73"/>
      <c r="CC1608" s="73"/>
      <c r="CD1608" s="73"/>
      <c r="CE1608" s="73"/>
      <c r="CF1608" s="73"/>
      <c r="CG1608" s="73"/>
      <c r="CH1608" s="73"/>
    </row>
    <row r="1609">
      <c r="A1609" s="73"/>
      <c r="B1609" s="73"/>
      <c r="C1609" s="73"/>
      <c r="D1609" s="73"/>
      <c r="E1609" s="140"/>
      <c r="F1609" s="80"/>
      <c r="G1609" s="80"/>
      <c r="H1609" s="73"/>
      <c r="I1609" s="73"/>
      <c r="J1609" s="73"/>
      <c r="K1609" s="73"/>
      <c r="L1609" s="73"/>
      <c r="M1609" s="73"/>
      <c r="N1609" s="73"/>
      <c r="O1609" s="73"/>
      <c r="P1609" s="73"/>
      <c r="Q1609" s="73"/>
      <c r="R1609" s="73"/>
      <c r="S1609" s="73"/>
      <c r="T1609" s="73"/>
      <c r="U1609" s="73"/>
      <c r="V1609" s="73"/>
      <c r="W1609" s="73"/>
      <c r="X1609" s="73"/>
      <c r="Y1609" s="73"/>
      <c r="Z1609" s="73"/>
      <c r="AA1609" s="73"/>
      <c r="AB1609" s="73"/>
      <c r="AC1609" s="73"/>
      <c r="AD1609" s="73"/>
      <c r="AE1609" s="73"/>
      <c r="AF1609" s="73"/>
      <c r="AG1609" s="73"/>
      <c r="AH1609" s="73"/>
      <c r="AI1609" s="73"/>
      <c r="AJ1609" s="168"/>
      <c r="AK1609" s="73"/>
      <c r="AL1609" s="73"/>
      <c r="AM1609" s="73"/>
      <c r="AN1609" s="73"/>
      <c r="AO1609" s="73"/>
      <c r="AP1609" s="73"/>
      <c r="AQ1609" s="73"/>
      <c r="AR1609" s="73"/>
      <c r="AS1609" s="73"/>
      <c r="AT1609" s="73"/>
      <c r="AU1609" s="73"/>
      <c r="AV1609" s="73"/>
      <c r="AW1609" s="73"/>
      <c r="AX1609" s="73"/>
      <c r="AY1609" s="73"/>
      <c r="AZ1609" s="73"/>
      <c r="BA1609" s="73"/>
      <c r="BB1609" s="73"/>
      <c r="BC1609" s="73"/>
      <c r="BD1609" s="73"/>
      <c r="BE1609" s="73"/>
      <c r="BF1609" s="75"/>
      <c r="BG1609" s="73"/>
      <c r="BH1609" s="88"/>
      <c r="BI1609" s="73"/>
      <c r="BJ1609" s="73"/>
      <c r="BK1609" s="73"/>
      <c r="BL1609" s="73"/>
      <c r="BM1609" s="73"/>
      <c r="BN1609" s="73"/>
      <c r="BO1609" s="73"/>
      <c r="BP1609" s="73"/>
      <c r="BQ1609" s="73"/>
      <c r="BR1609" s="73"/>
      <c r="BS1609" s="73"/>
      <c r="BT1609" s="73"/>
      <c r="BU1609" s="73"/>
      <c r="BV1609" s="73"/>
      <c r="BW1609" s="73"/>
      <c r="BX1609" s="73"/>
      <c r="BY1609" s="73"/>
      <c r="BZ1609" s="73"/>
      <c r="CA1609" s="73"/>
      <c r="CB1609" s="73"/>
      <c r="CC1609" s="73"/>
      <c r="CD1609" s="73"/>
      <c r="CE1609" s="73"/>
      <c r="CF1609" s="73"/>
      <c r="CG1609" s="73"/>
      <c r="CH1609" s="73"/>
    </row>
    <row r="1610">
      <c r="A1610" s="73"/>
      <c r="B1610" s="73"/>
      <c r="C1610" s="73"/>
      <c r="D1610" s="73"/>
      <c r="E1610" s="140"/>
      <c r="F1610" s="80"/>
      <c r="G1610" s="80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  <c r="S1610" s="73"/>
      <c r="T1610" s="73"/>
      <c r="U1610" s="73"/>
      <c r="V1610" s="73"/>
      <c r="W1610" s="73"/>
      <c r="X1610" s="73"/>
      <c r="Y1610" s="73"/>
      <c r="Z1610" s="73"/>
      <c r="AA1610" s="73"/>
      <c r="AB1610" s="73"/>
      <c r="AC1610" s="73"/>
      <c r="AD1610" s="73"/>
      <c r="AE1610" s="73"/>
      <c r="AF1610" s="73"/>
      <c r="AG1610" s="73"/>
      <c r="AH1610" s="73"/>
      <c r="AI1610" s="73"/>
      <c r="AJ1610" s="168"/>
      <c r="AK1610" s="73"/>
      <c r="AL1610" s="73"/>
      <c r="AM1610" s="73"/>
      <c r="AN1610" s="73"/>
      <c r="AO1610" s="73"/>
      <c r="AP1610" s="73"/>
      <c r="AQ1610" s="73"/>
      <c r="AR1610" s="73"/>
      <c r="AS1610" s="73"/>
      <c r="AT1610" s="73"/>
      <c r="AU1610" s="73"/>
      <c r="AV1610" s="73"/>
      <c r="AW1610" s="73"/>
      <c r="AX1610" s="73"/>
      <c r="AY1610" s="73"/>
      <c r="AZ1610" s="73"/>
      <c r="BA1610" s="73"/>
      <c r="BB1610" s="73"/>
      <c r="BC1610" s="73"/>
      <c r="BD1610" s="73"/>
      <c r="BE1610" s="73"/>
      <c r="BF1610" s="75"/>
      <c r="BG1610" s="73"/>
      <c r="BH1610" s="88"/>
      <c r="BI1610" s="73"/>
      <c r="BJ1610" s="73"/>
      <c r="BK1610" s="73"/>
      <c r="BL1610" s="73"/>
      <c r="BM1610" s="73"/>
      <c r="BN1610" s="73"/>
      <c r="BO1610" s="73"/>
      <c r="BP1610" s="73"/>
      <c r="BQ1610" s="73"/>
      <c r="BR1610" s="73"/>
      <c r="BS1610" s="73"/>
      <c r="BT1610" s="73"/>
      <c r="BU1610" s="73"/>
      <c r="BV1610" s="73"/>
      <c r="BW1610" s="73"/>
      <c r="BX1610" s="73"/>
      <c r="BY1610" s="73"/>
      <c r="BZ1610" s="73"/>
      <c r="CA1610" s="73"/>
      <c r="CB1610" s="73"/>
      <c r="CC1610" s="73"/>
      <c r="CD1610" s="73"/>
      <c r="CE1610" s="73"/>
      <c r="CF1610" s="73"/>
      <c r="CG1610" s="73"/>
      <c r="CH1610" s="73"/>
    </row>
    <row r="1611">
      <c r="A1611" s="73"/>
      <c r="B1611" s="73"/>
      <c r="C1611" s="73"/>
      <c r="D1611" s="73"/>
      <c r="E1611" s="140"/>
      <c r="F1611" s="80"/>
      <c r="G1611" s="80"/>
      <c r="H1611" s="73"/>
      <c r="I1611" s="73"/>
      <c r="J1611" s="73"/>
      <c r="K1611" s="73"/>
      <c r="L1611" s="73"/>
      <c r="M1611" s="73"/>
      <c r="N1611" s="73"/>
      <c r="O1611" s="73"/>
      <c r="P1611" s="73"/>
      <c r="Q1611" s="73"/>
      <c r="R1611" s="73"/>
      <c r="S1611" s="73"/>
      <c r="T1611" s="73"/>
      <c r="U1611" s="73"/>
      <c r="V1611" s="73"/>
      <c r="W1611" s="73"/>
      <c r="X1611" s="73"/>
      <c r="Y1611" s="73"/>
      <c r="Z1611" s="73"/>
      <c r="AA1611" s="73"/>
      <c r="AB1611" s="73"/>
      <c r="AC1611" s="73"/>
      <c r="AD1611" s="73"/>
      <c r="AE1611" s="73"/>
      <c r="AF1611" s="73"/>
      <c r="AG1611" s="73"/>
      <c r="AH1611" s="73"/>
      <c r="AI1611" s="73"/>
      <c r="AJ1611" s="168"/>
      <c r="AK1611" s="73"/>
      <c r="AL1611" s="73"/>
      <c r="AM1611" s="73"/>
      <c r="AN1611" s="73"/>
      <c r="AO1611" s="73"/>
      <c r="AP1611" s="73"/>
      <c r="AQ1611" s="73"/>
      <c r="AR1611" s="73"/>
      <c r="AS1611" s="73"/>
      <c r="AT1611" s="73"/>
      <c r="AU1611" s="73"/>
      <c r="AV1611" s="73"/>
      <c r="AW1611" s="73"/>
      <c r="AX1611" s="73"/>
      <c r="AY1611" s="73"/>
      <c r="AZ1611" s="73"/>
      <c r="BA1611" s="73"/>
      <c r="BB1611" s="73"/>
      <c r="BC1611" s="73"/>
      <c r="BD1611" s="73"/>
      <c r="BE1611" s="73"/>
      <c r="BF1611" s="75"/>
      <c r="BG1611" s="73"/>
      <c r="BH1611" s="88"/>
      <c r="BI1611" s="73"/>
      <c r="BJ1611" s="73"/>
      <c r="BK1611" s="73"/>
      <c r="BL1611" s="73"/>
      <c r="BM1611" s="73"/>
      <c r="BN1611" s="73"/>
      <c r="BO1611" s="73"/>
      <c r="BP1611" s="73"/>
      <c r="BQ1611" s="73"/>
      <c r="BR1611" s="73"/>
      <c r="BS1611" s="73"/>
      <c r="BT1611" s="73"/>
      <c r="BU1611" s="73"/>
      <c r="BV1611" s="73"/>
      <c r="BW1611" s="73"/>
      <c r="BX1611" s="73"/>
      <c r="BY1611" s="73"/>
      <c r="BZ1611" s="73"/>
      <c r="CA1611" s="73"/>
      <c r="CB1611" s="73"/>
      <c r="CC1611" s="73"/>
      <c r="CD1611" s="73"/>
      <c r="CE1611" s="73"/>
      <c r="CF1611" s="73"/>
      <c r="CG1611" s="73"/>
      <c r="CH1611" s="73"/>
    </row>
    <row r="1612">
      <c r="A1612" s="73"/>
      <c r="B1612" s="73"/>
      <c r="C1612" s="73"/>
      <c r="D1612" s="73"/>
      <c r="E1612" s="140"/>
      <c r="F1612" s="80"/>
      <c r="G1612" s="80"/>
      <c r="H1612" s="73"/>
      <c r="I1612" s="73"/>
      <c r="J1612" s="73"/>
      <c r="K1612" s="73"/>
      <c r="L1612" s="73"/>
      <c r="M1612" s="73"/>
      <c r="N1612" s="73"/>
      <c r="O1612" s="73"/>
      <c r="P1612" s="73"/>
      <c r="Q1612" s="73"/>
      <c r="R1612" s="73"/>
      <c r="S1612" s="73"/>
      <c r="T1612" s="73"/>
      <c r="U1612" s="73"/>
      <c r="V1612" s="73"/>
      <c r="W1612" s="73"/>
      <c r="X1612" s="73"/>
      <c r="Y1612" s="73"/>
      <c r="Z1612" s="73"/>
      <c r="AA1612" s="73"/>
      <c r="AB1612" s="73"/>
      <c r="AC1612" s="73"/>
      <c r="AD1612" s="73"/>
      <c r="AE1612" s="73"/>
      <c r="AF1612" s="73"/>
      <c r="AG1612" s="73"/>
      <c r="AH1612" s="73"/>
      <c r="AI1612" s="73"/>
      <c r="AJ1612" s="168"/>
      <c r="AK1612" s="73"/>
      <c r="AL1612" s="73"/>
      <c r="AM1612" s="73"/>
      <c r="AN1612" s="73"/>
      <c r="AO1612" s="73"/>
      <c r="AP1612" s="73"/>
      <c r="AQ1612" s="73"/>
      <c r="AR1612" s="73"/>
      <c r="AS1612" s="73"/>
      <c r="AT1612" s="73"/>
      <c r="AU1612" s="73"/>
      <c r="AV1612" s="73"/>
      <c r="AW1612" s="73"/>
      <c r="AX1612" s="73"/>
      <c r="AY1612" s="73"/>
      <c r="AZ1612" s="73"/>
      <c r="BA1612" s="73"/>
      <c r="BB1612" s="73"/>
      <c r="BC1612" s="73"/>
      <c r="BD1612" s="73"/>
      <c r="BE1612" s="73"/>
      <c r="BF1612" s="75"/>
      <c r="BG1612" s="73"/>
      <c r="BH1612" s="88"/>
      <c r="BI1612" s="73"/>
      <c r="BJ1612" s="73"/>
      <c r="BK1612" s="73"/>
      <c r="BL1612" s="73"/>
      <c r="BM1612" s="73"/>
      <c r="BN1612" s="73"/>
      <c r="BO1612" s="73"/>
      <c r="BP1612" s="73"/>
      <c r="BQ1612" s="73"/>
      <c r="BR1612" s="73"/>
      <c r="BS1612" s="73"/>
      <c r="BT1612" s="73"/>
      <c r="BU1612" s="73"/>
      <c r="BV1612" s="73"/>
      <c r="BW1612" s="73"/>
      <c r="BX1612" s="73"/>
      <c r="BY1612" s="73"/>
      <c r="BZ1612" s="73"/>
      <c r="CA1612" s="73"/>
      <c r="CB1612" s="73"/>
      <c r="CC1612" s="73"/>
      <c r="CD1612" s="73"/>
      <c r="CE1612" s="73"/>
      <c r="CF1612" s="73"/>
      <c r="CG1612" s="73"/>
      <c r="CH1612" s="73"/>
    </row>
    <row r="1613">
      <c r="A1613" s="73"/>
      <c r="B1613" s="73"/>
      <c r="C1613" s="73"/>
      <c r="D1613" s="73"/>
      <c r="E1613" s="140"/>
      <c r="F1613" s="80"/>
      <c r="G1613" s="80"/>
      <c r="H1613" s="73"/>
      <c r="I1613" s="73"/>
      <c r="J1613" s="73"/>
      <c r="K1613" s="73"/>
      <c r="L1613" s="73"/>
      <c r="M1613" s="73"/>
      <c r="N1613" s="73"/>
      <c r="O1613" s="73"/>
      <c r="P1613" s="73"/>
      <c r="Q1613" s="73"/>
      <c r="R1613" s="73"/>
      <c r="S1613" s="73"/>
      <c r="T1613" s="73"/>
      <c r="U1613" s="73"/>
      <c r="V1613" s="73"/>
      <c r="W1613" s="73"/>
      <c r="X1613" s="73"/>
      <c r="Y1613" s="73"/>
      <c r="Z1613" s="73"/>
      <c r="AA1613" s="73"/>
      <c r="AB1613" s="73"/>
      <c r="AC1613" s="73"/>
      <c r="AD1613" s="73"/>
      <c r="AE1613" s="73"/>
      <c r="AF1613" s="73"/>
      <c r="AG1613" s="73"/>
      <c r="AH1613" s="73"/>
      <c r="AI1613" s="73"/>
      <c r="AJ1613" s="168"/>
      <c r="AK1613" s="73"/>
      <c r="AL1613" s="73"/>
      <c r="AM1613" s="73"/>
      <c r="AN1613" s="73"/>
      <c r="AO1613" s="73"/>
      <c r="AP1613" s="73"/>
      <c r="AQ1613" s="73"/>
      <c r="AR1613" s="73"/>
      <c r="AS1613" s="73"/>
      <c r="AT1613" s="73"/>
      <c r="AU1613" s="73"/>
      <c r="AV1613" s="73"/>
      <c r="AW1613" s="73"/>
      <c r="AX1613" s="73"/>
      <c r="AY1613" s="73"/>
      <c r="AZ1613" s="73"/>
      <c r="BA1613" s="73"/>
      <c r="BB1613" s="73"/>
      <c r="BC1613" s="73"/>
      <c r="BD1613" s="73"/>
      <c r="BE1613" s="73"/>
      <c r="BF1613" s="75"/>
      <c r="BG1613" s="73"/>
      <c r="BH1613" s="88"/>
      <c r="BI1613" s="73"/>
      <c r="BJ1613" s="73"/>
      <c r="BK1613" s="73"/>
      <c r="BL1613" s="73"/>
      <c r="BM1613" s="73"/>
      <c r="BN1613" s="73"/>
      <c r="BO1613" s="73"/>
      <c r="BP1613" s="73"/>
      <c r="BQ1613" s="73"/>
      <c r="BR1613" s="73"/>
      <c r="BS1613" s="73"/>
      <c r="BT1613" s="73"/>
      <c r="BU1613" s="73"/>
      <c r="BV1613" s="73"/>
      <c r="BW1613" s="73"/>
      <c r="BX1613" s="73"/>
      <c r="BY1613" s="73"/>
      <c r="BZ1613" s="73"/>
      <c r="CA1613" s="73"/>
      <c r="CB1613" s="73"/>
      <c r="CC1613" s="73"/>
      <c r="CD1613" s="73"/>
      <c r="CE1613" s="73"/>
      <c r="CF1613" s="73"/>
      <c r="CG1613" s="73"/>
      <c r="CH1613" s="73"/>
    </row>
    <row r="1614">
      <c r="A1614" s="73"/>
      <c r="B1614" s="73"/>
      <c r="C1614" s="73"/>
      <c r="D1614" s="73"/>
      <c r="E1614" s="140"/>
      <c r="F1614" s="80"/>
      <c r="G1614" s="80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  <c r="S1614" s="73"/>
      <c r="T1614" s="73"/>
      <c r="U1614" s="73"/>
      <c r="V1614" s="73"/>
      <c r="W1614" s="73"/>
      <c r="X1614" s="73"/>
      <c r="Y1614" s="73"/>
      <c r="Z1614" s="73"/>
      <c r="AA1614" s="73"/>
      <c r="AB1614" s="73"/>
      <c r="AC1614" s="73"/>
      <c r="AD1614" s="73"/>
      <c r="AE1614" s="73"/>
      <c r="AF1614" s="73"/>
      <c r="AG1614" s="73"/>
      <c r="AH1614" s="73"/>
      <c r="AI1614" s="73"/>
      <c r="AJ1614" s="168"/>
      <c r="AK1614" s="73"/>
      <c r="AL1614" s="73"/>
      <c r="AM1614" s="73"/>
      <c r="AN1614" s="73"/>
      <c r="AO1614" s="73"/>
      <c r="AP1614" s="73"/>
      <c r="AQ1614" s="73"/>
      <c r="AR1614" s="73"/>
      <c r="AS1614" s="73"/>
      <c r="AT1614" s="73"/>
      <c r="AU1614" s="73"/>
      <c r="AV1614" s="73"/>
      <c r="AW1614" s="73"/>
      <c r="AX1614" s="73"/>
      <c r="AY1614" s="73"/>
      <c r="AZ1614" s="73"/>
      <c r="BA1614" s="73"/>
      <c r="BB1614" s="73"/>
      <c r="BC1614" s="73"/>
      <c r="BD1614" s="73"/>
      <c r="BE1614" s="73"/>
      <c r="BF1614" s="75"/>
      <c r="BG1614" s="73"/>
      <c r="BH1614" s="88"/>
      <c r="BI1614" s="73"/>
      <c r="BJ1614" s="73"/>
      <c r="BK1614" s="73"/>
      <c r="BL1614" s="73"/>
      <c r="BM1614" s="73"/>
      <c r="BN1614" s="73"/>
      <c r="BO1614" s="73"/>
      <c r="BP1614" s="73"/>
      <c r="BQ1614" s="73"/>
      <c r="BR1614" s="73"/>
      <c r="BS1614" s="73"/>
      <c r="BT1614" s="73"/>
      <c r="BU1614" s="73"/>
      <c r="BV1614" s="73"/>
      <c r="BW1614" s="73"/>
      <c r="BX1614" s="73"/>
      <c r="BY1614" s="73"/>
      <c r="BZ1614" s="73"/>
      <c r="CA1614" s="73"/>
      <c r="CB1614" s="73"/>
      <c r="CC1614" s="73"/>
      <c r="CD1614" s="73"/>
      <c r="CE1614" s="73"/>
      <c r="CF1614" s="73"/>
      <c r="CG1614" s="73"/>
      <c r="CH1614" s="73"/>
    </row>
    <row r="1615">
      <c r="A1615" s="73"/>
      <c r="B1615" s="73"/>
      <c r="C1615" s="73"/>
      <c r="D1615" s="73"/>
      <c r="E1615" s="140"/>
      <c r="F1615" s="80"/>
      <c r="G1615" s="80"/>
      <c r="H1615" s="73"/>
      <c r="I1615" s="73"/>
      <c r="J1615" s="73"/>
      <c r="K1615" s="73"/>
      <c r="L1615" s="73"/>
      <c r="M1615" s="73"/>
      <c r="N1615" s="73"/>
      <c r="O1615" s="73"/>
      <c r="P1615" s="73"/>
      <c r="Q1615" s="73"/>
      <c r="R1615" s="73"/>
      <c r="S1615" s="73"/>
      <c r="T1615" s="73"/>
      <c r="U1615" s="73"/>
      <c r="V1615" s="73"/>
      <c r="W1615" s="73"/>
      <c r="X1615" s="73"/>
      <c r="Y1615" s="73"/>
      <c r="Z1615" s="73"/>
      <c r="AA1615" s="73"/>
      <c r="AB1615" s="73"/>
      <c r="AC1615" s="73"/>
      <c r="AD1615" s="73"/>
      <c r="AE1615" s="73"/>
      <c r="AF1615" s="73"/>
      <c r="AG1615" s="73"/>
      <c r="AH1615" s="73"/>
      <c r="AI1615" s="73"/>
      <c r="AJ1615" s="168"/>
      <c r="AK1615" s="73"/>
      <c r="AL1615" s="73"/>
      <c r="AM1615" s="73"/>
      <c r="AN1615" s="73"/>
      <c r="AO1615" s="73"/>
      <c r="AP1615" s="73"/>
      <c r="AQ1615" s="73"/>
      <c r="AR1615" s="73"/>
      <c r="AS1615" s="73"/>
      <c r="AT1615" s="73"/>
      <c r="AU1615" s="73"/>
      <c r="AV1615" s="73"/>
      <c r="AW1615" s="73"/>
      <c r="AX1615" s="73"/>
      <c r="AY1615" s="73"/>
      <c r="AZ1615" s="73"/>
      <c r="BA1615" s="73"/>
      <c r="BB1615" s="73"/>
      <c r="BC1615" s="73"/>
      <c r="BD1615" s="73"/>
      <c r="BE1615" s="73"/>
      <c r="BF1615" s="75"/>
      <c r="BG1615" s="73"/>
      <c r="BH1615" s="88"/>
      <c r="BI1615" s="73"/>
      <c r="BJ1615" s="73"/>
      <c r="BK1615" s="73"/>
      <c r="BL1615" s="73"/>
      <c r="BM1615" s="73"/>
      <c r="BN1615" s="73"/>
      <c r="BO1615" s="73"/>
      <c r="BP1615" s="73"/>
      <c r="BQ1615" s="73"/>
      <c r="BR1615" s="73"/>
      <c r="BS1615" s="73"/>
      <c r="BT1615" s="73"/>
      <c r="BU1615" s="73"/>
      <c r="BV1615" s="73"/>
      <c r="BW1615" s="73"/>
      <c r="BX1615" s="73"/>
      <c r="BY1615" s="73"/>
      <c r="BZ1615" s="73"/>
      <c r="CA1615" s="73"/>
      <c r="CB1615" s="73"/>
      <c r="CC1615" s="73"/>
      <c r="CD1615" s="73"/>
      <c r="CE1615" s="73"/>
      <c r="CF1615" s="73"/>
      <c r="CG1615" s="73"/>
      <c r="CH1615" s="73"/>
    </row>
    <row r="1616">
      <c r="A1616" s="73"/>
      <c r="B1616" s="73"/>
      <c r="C1616" s="73"/>
      <c r="D1616" s="73"/>
      <c r="E1616" s="140"/>
      <c r="F1616" s="80"/>
      <c r="G1616" s="80"/>
      <c r="H1616" s="73"/>
      <c r="I1616" s="73"/>
      <c r="J1616" s="73"/>
      <c r="K1616" s="73"/>
      <c r="L1616" s="73"/>
      <c r="M1616" s="73"/>
      <c r="N1616" s="73"/>
      <c r="O1616" s="73"/>
      <c r="P1616" s="73"/>
      <c r="Q1616" s="73"/>
      <c r="R1616" s="73"/>
      <c r="S1616" s="73"/>
      <c r="T1616" s="73"/>
      <c r="U1616" s="73"/>
      <c r="V1616" s="73"/>
      <c r="W1616" s="73"/>
      <c r="X1616" s="73"/>
      <c r="Y1616" s="73"/>
      <c r="Z1616" s="73"/>
      <c r="AA1616" s="73"/>
      <c r="AB1616" s="73"/>
      <c r="AC1616" s="73"/>
      <c r="AD1616" s="73"/>
      <c r="AE1616" s="73"/>
      <c r="AF1616" s="73"/>
      <c r="AG1616" s="73"/>
      <c r="AH1616" s="73"/>
      <c r="AI1616" s="73"/>
      <c r="AJ1616" s="168"/>
      <c r="AK1616" s="73"/>
      <c r="AL1616" s="73"/>
      <c r="AM1616" s="73"/>
      <c r="AN1616" s="73"/>
      <c r="AO1616" s="73"/>
      <c r="AP1616" s="73"/>
      <c r="AQ1616" s="73"/>
      <c r="AR1616" s="73"/>
      <c r="AS1616" s="73"/>
      <c r="AT1616" s="73"/>
      <c r="AU1616" s="73"/>
      <c r="AV1616" s="73"/>
      <c r="AW1616" s="73"/>
      <c r="AX1616" s="73"/>
      <c r="AY1616" s="73"/>
      <c r="AZ1616" s="73"/>
      <c r="BA1616" s="73"/>
      <c r="BB1616" s="73"/>
      <c r="BC1616" s="73"/>
      <c r="BD1616" s="73"/>
      <c r="BE1616" s="73"/>
      <c r="BF1616" s="75"/>
      <c r="BG1616" s="73"/>
      <c r="BH1616" s="88"/>
      <c r="BI1616" s="73"/>
      <c r="BJ1616" s="73"/>
      <c r="BK1616" s="73"/>
      <c r="BL1616" s="73"/>
      <c r="BM1616" s="73"/>
      <c r="BN1616" s="73"/>
      <c r="BO1616" s="73"/>
      <c r="BP1616" s="73"/>
      <c r="BQ1616" s="73"/>
      <c r="BR1616" s="73"/>
      <c r="BS1616" s="73"/>
      <c r="BT1616" s="73"/>
      <c r="BU1616" s="73"/>
      <c r="BV1616" s="73"/>
      <c r="BW1616" s="73"/>
      <c r="BX1616" s="73"/>
      <c r="BY1616" s="73"/>
      <c r="BZ1616" s="73"/>
      <c r="CA1616" s="73"/>
      <c r="CB1616" s="73"/>
      <c r="CC1616" s="73"/>
      <c r="CD1616" s="73"/>
      <c r="CE1616" s="73"/>
      <c r="CF1616" s="73"/>
      <c r="CG1616" s="73"/>
      <c r="CH1616" s="73"/>
    </row>
    <row r="1617">
      <c r="A1617" s="73"/>
      <c r="B1617" s="73"/>
      <c r="C1617" s="73"/>
      <c r="D1617" s="73"/>
      <c r="E1617" s="140"/>
      <c r="F1617" s="80"/>
      <c r="G1617" s="80"/>
      <c r="H1617" s="73"/>
      <c r="I1617" s="73"/>
      <c r="J1617" s="73"/>
      <c r="K1617" s="73"/>
      <c r="L1617" s="73"/>
      <c r="M1617" s="73"/>
      <c r="N1617" s="73"/>
      <c r="O1617" s="73"/>
      <c r="P1617" s="73"/>
      <c r="Q1617" s="73"/>
      <c r="R1617" s="73"/>
      <c r="S1617" s="73"/>
      <c r="T1617" s="73"/>
      <c r="U1617" s="73"/>
      <c r="V1617" s="73"/>
      <c r="W1617" s="73"/>
      <c r="X1617" s="73"/>
      <c r="Y1617" s="73"/>
      <c r="Z1617" s="73"/>
      <c r="AA1617" s="73"/>
      <c r="AB1617" s="73"/>
      <c r="AC1617" s="73"/>
      <c r="AD1617" s="73"/>
      <c r="AE1617" s="73"/>
      <c r="AF1617" s="73"/>
      <c r="AG1617" s="73"/>
      <c r="AH1617" s="73"/>
      <c r="AI1617" s="73"/>
      <c r="AJ1617" s="168"/>
      <c r="AK1617" s="73"/>
      <c r="AL1617" s="73"/>
      <c r="AM1617" s="73"/>
      <c r="AN1617" s="73"/>
      <c r="AO1617" s="73"/>
      <c r="AP1617" s="73"/>
      <c r="AQ1617" s="73"/>
      <c r="AR1617" s="73"/>
      <c r="AS1617" s="73"/>
      <c r="AT1617" s="73"/>
      <c r="AU1617" s="73"/>
      <c r="AV1617" s="73"/>
      <c r="AW1617" s="73"/>
      <c r="AX1617" s="73"/>
      <c r="AY1617" s="73"/>
      <c r="AZ1617" s="73"/>
      <c r="BA1617" s="73"/>
      <c r="BB1617" s="73"/>
      <c r="BC1617" s="73"/>
      <c r="BD1617" s="73"/>
      <c r="BE1617" s="73"/>
      <c r="BF1617" s="75"/>
      <c r="BG1617" s="73"/>
      <c r="BH1617" s="88"/>
      <c r="BI1617" s="73"/>
      <c r="BJ1617" s="73"/>
      <c r="BK1617" s="73"/>
      <c r="BL1617" s="73"/>
      <c r="BM1617" s="73"/>
      <c r="BN1617" s="73"/>
      <c r="BO1617" s="73"/>
      <c r="BP1617" s="73"/>
      <c r="BQ1617" s="73"/>
      <c r="BR1617" s="73"/>
      <c r="BS1617" s="73"/>
      <c r="BT1617" s="73"/>
      <c r="BU1617" s="73"/>
      <c r="BV1617" s="73"/>
      <c r="BW1617" s="73"/>
      <c r="BX1617" s="73"/>
      <c r="BY1617" s="73"/>
      <c r="BZ1617" s="73"/>
      <c r="CA1617" s="73"/>
      <c r="CB1617" s="73"/>
      <c r="CC1617" s="73"/>
      <c r="CD1617" s="73"/>
      <c r="CE1617" s="73"/>
      <c r="CF1617" s="73"/>
      <c r="CG1617" s="73"/>
      <c r="CH1617" s="73"/>
    </row>
    <row r="1618">
      <c r="A1618" s="73"/>
      <c r="B1618" s="73"/>
      <c r="C1618" s="73"/>
      <c r="D1618" s="73"/>
      <c r="E1618" s="140"/>
      <c r="F1618" s="80"/>
      <c r="G1618" s="80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  <c r="S1618" s="73"/>
      <c r="T1618" s="73"/>
      <c r="U1618" s="73"/>
      <c r="V1618" s="73"/>
      <c r="W1618" s="73"/>
      <c r="X1618" s="73"/>
      <c r="Y1618" s="73"/>
      <c r="Z1618" s="73"/>
      <c r="AA1618" s="73"/>
      <c r="AB1618" s="73"/>
      <c r="AC1618" s="73"/>
      <c r="AD1618" s="73"/>
      <c r="AE1618" s="73"/>
      <c r="AF1618" s="73"/>
      <c r="AG1618" s="73"/>
      <c r="AH1618" s="73"/>
      <c r="AI1618" s="73"/>
      <c r="AJ1618" s="168"/>
      <c r="AK1618" s="73"/>
      <c r="AL1618" s="73"/>
      <c r="AM1618" s="73"/>
      <c r="AN1618" s="73"/>
      <c r="AO1618" s="73"/>
      <c r="AP1618" s="73"/>
      <c r="AQ1618" s="73"/>
      <c r="AR1618" s="73"/>
      <c r="AS1618" s="73"/>
      <c r="AT1618" s="73"/>
      <c r="AU1618" s="73"/>
      <c r="AV1618" s="73"/>
      <c r="AW1618" s="73"/>
      <c r="AX1618" s="73"/>
      <c r="AY1618" s="73"/>
      <c r="AZ1618" s="73"/>
      <c r="BA1618" s="73"/>
      <c r="BB1618" s="73"/>
      <c r="BC1618" s="73"/>
      <c r="BD1618" s="73"/>
      <c r="BE1618" s="73"/>
      <c r="BF1618" s="75"/>
      <c r="BG1618" s="73"/>
      <c r="BH1618" s="88"/>
      <c r="BI1618" s="73"/>
      <c r="BJ1618" s="73"/>
      <c r="BK1618" s="73"/>
      <c r="BL1618" s="73"/>
      <c r="BM1618" s="73"/>
      <c r="BN1618" s="73"/>
      <c r="BO1618" s="73"/>
      <c r="BP1618" s="73"/>
      <c r="BQ1618" s="73"/>
      <c r="BR1618" s="73"/>
      <c r="BS1618" s="73"/>
      <c r="BT1618" s="73"/>
      <c r="BU1618" s="73"/>
      <c r="BV1618" s="73"/>
      <c r="BW1618" s="73"/>
      <c r="BX1618" s="73"/>
      <c r="BY1618" s="73"/>
      <c r="BZ1618" s="73"/>
      <c r="CA1618" s="73"/>
      <c r="CB1618" s="73"/>
      <c r="CC1618" s="73"/>
      <c r="CD1618" s="73"/>
      <c r="CE1618" s="73"/>
      <c r="CF1618" s="73"/>
      <c r="CG1618" s="73"/>
      <c r="CH1618" s="73"/>
    </row>
    <row r="1619">
      <c r="A1619" s="73"/>
      <c r="B1619" s="73"/>
      <c r="C1619" s="73"/>
      <c r="D1619" s="73"/>
      <c r="E1619" s="140"/>
      <c r="F1619" s="80"/>
      <c r="G1619" s="80"/>
      <c r="H1619" s="73"/>
      <c r="I1619" s="73"/>
      <c r="J1619" s="73"/>
      <c r="K1619" s="73"/>
      <c r="L1619" s="73"/>
      <c r="M1619" s="73"/>
      <c r="N1619" s="73"/>
      <c r="O1619" s="73"/>
      <c r="P1619" s="73"/>
      <c r="Q1619" s="73"/>
      <c r="R1619" s="73"/>
      <c r="S1619" s="73"/>
      <c r="T1619" s="73"/>
      <c r="U1619" s="73"/>
      <c r="V1619" s="73"/>
      <c r="W1619" s="73"/>
      <c r="X1619" s="73"/>
      <c r="Y1619" s="73"/>
      <c r="Z1619" s="73"/>
      <c r="AA1619" s="73"/>
      <c r="AB1619" s="73"/>
      <c r="AC1619" s="73"/>
      <c r="AD1619" s="73"/>
      <c r="AE1619" s="73"/>
      <c r="AF1619" s="73"/>
      <c r="AG1619" s="73"/>
      <c r="AH1619" s="73"/>
      <c r="AI1619" s="73"/>
      <c r="AJ1619" s="168"/>
      <c r="AK1619" s="73"/>
      <c r="AL1619" s="73"/>
      <c r="AM1619" s="73"/>
      <c r="AN1619" s="73"/>
      <c r="AO1619" s="73"/>
      <c r="AP1619" s="73"/>
      <c r="AQ1619" s="73"/>
      <c r="AR1619" s="73"/>
      <c r="AS1619" s="73"/>
      <c r="AT1619" s="73"/>
      <c r="AU1619" s="73"/>
      <c r="AV1619" s="73"/>
      <c r="AW1619" s="73"/>
      <c r="AX1619" s="73"/>
      <c r="AY1619" s="73"/>
      <c r="AZ1619" s="73"/>
      <c r="BA1619" s="73"/>
      <c r="BB1619" s="73"/>
      <c r="BC1619" s="73"/>
      <c r="BD1619" s="73"/>
      <c r="BE1619" s="73"/>
      <c r="BF1619" s="75"/>
      <c r="BG1619" s="73"/>
      <c r="BH1619" s="88"/>
      <c r="BI1619" s="73"/>
      <c r="BJ1619" s="73"/>
      <c r="BK1619" s="73"/>
      <c r="BL1619" s="73"/>
      <c r="BM1619" s="73"/>
      <c r="BN1619" s="73"/>
      <c r="BO1619" s="73"/>
      <c r="BP1619" s="73"/>
      <c r="BQ1619" s="73"/>
      <c r="BR1619" s="73"/>
      <c r="BS1619" s="73"/>
      <c r="BT1619" s="73"/>
      <c r="BU1619" s="73"/>
      <c r="BV1619" s="73"/>
      <c r="BW1619" s="73"/>
      <c r="BX1619" s="73"/>
      <c r="BY1619" s="73"/>
      <c r="BZ1619" s="73"/>
      <c r="CA1619" s="73"/>
      <c r="CB1619" s="73"/>
      <c r="CC1619" s="73"/>
      <c r="CD1619" s="73"/>
      <c r="CE1619" s="73"/>
      <c r="CF1619" s="73"/>
      <c r="CG1619" s="73"/>
      <c r="CH1619" s="73"/>
    </row>
    <row r="1620">
      <c r="A1620" s="73"/>
      <c r="B1620" s="73"/>
      <c r="C1620" s="73"/>
      <c r="D1620" s="73"/>
      <c r="E1620" s="140"/>
      <c r="F1620" s="80"/>
      <c r="G1620" s="80"/>
      <c r="H1620" s="73"/>
      <c r="I1620" s="73"/>
      <c r="J1620" s="73"/>
      <c r="K1620" s="73"/>
      <c r="L1620" s="73"/>
      <c r="M1620" s="73"/>
      <c r="N1620" s="73"/>
      <c r="O1620" s="73"/>
      <c r="P1620" s="73"/>
      <c r="Q1620" s="73"/>
      <c r="R1620" s="73"/>
      <c r="S1620" s="73"/>
      <c r="T1620" s="73"/>
      <c r="U1620" s="73"/>
      <c r="V1620" s="73"/>
      <c r="W1620" s="73"/>
      <c r="X1620" s="73"/>
      <c r="Y1620" s="73"/>
      <c r="Z1620" s="73"/>
      <c r="AA1620" s="73"/>
      <c r="AB1620" s="73"/>
      <c r="AC1620" s="73"/>
      <c r="AD1620" s="73"/>
      <c r="AE1620" s="73"/>
      <c r="AF1620" s="73"/>
      <c r="AG1620" s="73"/>
      <c r="AH1620" s="73"/>
      <c r="AI1620" s="73"/>
      <c r="AJ1620" s="168"/>
      <c r="AK1620" s="73"/>
      <c r="AL1620" s="73"/>
      <c r="AM1620" s="73"/>
      <c r="AN1620" s="73"/>
      <c r="AO1620" s="73"/>
      <c r="AP1620" s="73"/>
      <c r="AQ1620" s="73"/>
      <c r="AR1620" s="73"/>
      <c r="AS1620" s="73"/>
      <c r="AT1620" s="73"/>
      <c r="AU1620" s="73"/>
      <c r="AV1620" s="73"/>
      <c r="AW1620" s="73"/>
      <c r="AX1620" s="73"/>
      <c r="AY1620" s="73"/>
      <c r="AZ1620" s="73"/>
      <c r="BA1620" s="73"/>
      <c r="BB1620" s="73"/>
      <c r="BC1620" s="73"/>
      <c r="BD1620" s="73"/>
      <c r="BE1620" s="73"/>
      <c r="BF1620" s="75"/>
      <c r="BG1620" s="73"/>
      <c r="BH1620" s="88"/>
      <c r="BI1620" s="73"/>
      <c r="BJ1620" s="73"/>
      <c r="BK1620" s="73"/>
      <c r="BL1620" s="73"/>
      <c r="BM1620" s="73"/>
      <c r="BN1620" s="73"/>
      <c r="BO1620" s="73"/>
      <c r="BP1620" s="73"/>
      <c r="BQ1620" s="73"/>
      <c r="BR1620" s="73"/>
      <c r="BS1620" s="73"/>
      <c r="BT1620" s="73"/>
      <c r="BU1620" s="73"/>
      <c r="BV1620" s="73"/>
      <c r="BW1620" s="73"/>
      <c r="BX1620" s="73"/>
      <c r="BY1620" s="73"/>
      <c r="BZ1620" s="73"/>
      <c r="CA1620" s="73"/>
      <c r="CB1620" s="73"/>
      <c r="CC1620" s="73"/>
      <c r="CD1620" s="73"/>
      <c r="CE1620" s="73"/>
      <c r="CF1620" s="73"/>
      <c r="CG1620" s="73"/>
      <c r="CH1620" s="73"/>
    </row>
    <row r="1621">
      <c r="A1621" s="73"/>
      <c r="B1621" s="73"/>
      <c r="C1621" s="73"/>
      <c r="D1621" s="73"/>
      <c r="E1621" s="140"/>
      <c r="F1621" s="80"/>
      <c r="G1621" s="80"/>
      <c r="H1621" s="73"/>
      <c r="I1621" s="73"/>
      <c r="J1621" s="73"/>
      <c r="K1621" s="73"/>
      <c r="L1621" s="73"/>
      <c r="M1621" s="73"/>
      <c r="N1621" s="73"/>
      <c r="O1621" s="73"/>
      <c r="P1621" s="73"/>
      <c r="Q1621" s="73"/>
      <c r="R1621" s="73"/>
      <c r="S1621" s="73"/>
      <c r="T1621" s="73"/>
      <c r="U1621" s="73"/>
      <c r="V1621" s="73"/>
      <c r="W1621" s="73"/>
      <c r="X1621" s="73"/>
      <c r="Y1621" s="73"/>
      <c r="Z1621" s="73"/>
      <c r="AA1621" s="73"/>
      <c r="AB1621" s="73"/>
      <c r="AC1621" s="73"/>
      <c r="AD1621" s="73"/>
      <c r="AE1621" s="73"/>
      <c r="AF1621" s="73"/>
      <c r="AG1621" s="73"/>
      <c r="AH1621" s="73"/>
      <c r="AI1621" s="73"/>
      <c r="AJ1621" s="168"/>
      <c r="AK1621" s="73"/>
      <c r="AL1621" s="73"/>
      <c r="AM1621" s="73"/>
      <c r="AN1621" s="73"/>
      <c r="AO1621" s="73"/>
      <c r="AP1621" s="73"/>
      <c r="AQ1621" s="73"/>
      <c r="AR1621" s="73"/>
      <c r="AS1621" s="73"/>
      <c r="AT1621" s="73"/>
      <c r="AU1621" s="73"/>
      <c r="AV1621" s="73"/>
      <c r="AW1621" s="73"/>
      <c r="AX1621" s="73"/>
      <c r="AY1621" s="73"/>
      <c r="AZ1621" s="73"/>
      <c r="BA1621" s="73"/>
      <c r="BB1621" s="73"/>
      <c r="BC1621" s="73"/>
      <c r="BD1621" s="73"/>
      <c r="BE1621" s="73"/>
      <c r="BF1621" s="75"/>
      <c r="BG1621" s="73"/>
      <c r="BH1621" s="88"/>
      <c r="BI1621" s="73"/>
      <c r="BJ1621" s="73"/>
      <c r="BK1621" s="73"/>
      <c r="BL1621" s="73"/>
      <c r="BM1621" s="73"/>
      <c r="BN1621" s="73"/>
      <c r="BO1621" s="73"/>
      <c r="BP1621" s="73"/>
      <c r="BQ1621" s="73"/>
      <c r="BR1621" s="73"/>
      <c r="BS1621" s="73"/>
      <c r="BT1621" s="73"/>
      <c r="BU1621" s="73"/>
      <c r="BV1621" s="73"/>
      <c r="BW1621" s="73"/>
      <c r="BX1621" s="73"/>
      <c r="BY1621" s="73"/>
      <c r="BZ1621" s="73"/>
      <c r="CA1621" s="73"/>
      <c r="CB1621" s="73"/>
      <c r="CC1621" s="73"/>
      <c r="CD1621" s="73"/>
      <c r="CE1621" s="73"/>
      <c r="CF1621" s="73"/>
      <c r="CG1621" s="73"/>
      <c r="CH1621" s="73"/>
    </row>
    <row r="1622">
      <c r="A1622" s="73"/>
      <c r="B1622" s="73"/>
      <c r="C1622" s="73"/>
      <c r="D1622" s="73"/>
      <c r="E1622" s="140"/>
      <c r="F1622" s="80"/>
      <c r="G1622" s="80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  <c r="S1622" s="73"/>
      <c r="T1622" s="73"/>
      <c r="U1622" s="73"/>
      <c r="V1622" s="73"/>
      <c r="W1622" s="73"/>
      <c r="X1622" s="73"/>
      <c r="Y1622" s="73"/>
      <c r="Z1622" s="73"/>
      <c r="AA1622" s="73"/>
      <c r="AB1622" s="73"/>
      <c r="AC1622" s="73"/>
      <c r="AD1622" s="73"/>
      <c r="AE1622" s="73"/>
      <c r="AF1622" s="73"/>
      <c r="AG1622" s="73"/>
      <c r="AH1622" s="73"/>
      <c r="AI1622" s="73"/>
      <c r="AJ1622" s="168"/>
      <c r="AK1622" s="73"/>
      <c r="AL1622" s="73"/>
      <c r="AM1622" s="73"/>
      <c r="AN1622" s="73"/>
      <c r="AO1622" s="73"/>
      <c r="AP1622" s="73"/>
      <c r="AQ1622" s="73"/>
      <c r="AR1622" s="73"/>
      <c r="AS1622" s="73"/>
      <c r="AT1622" s="73"/>
      <c r="AU1622" s="73"/>
      <c r="AV1622" s="73"/>
      <c r="AW1622" s="73"/>
      <c r="AX1622" s="73"/>
      <c r="AY1622" s="73"/>
      <c r="AZ1622" s="73"/>
      <c r="BA1622" s="73"/>
      <c r="BB1622" s="73"/>
      <c r="BC1622" s="73"/>
      <c r="BD1622" s="73"/>
      <c r="BE1622" s="73"/>
      <c r="BF1622" s="75"/>
      <c r="BG1622" s="73"/>
      <c r="BH1622" s="88"/>
      <c r="BI1622" s="73"/>
      <c r="BJ1622" s="73"/>
      <c r="BK1622" s="73"/>
      <c r="BL1622" s="73"/>
      <c r="BM1622" s="73"/>
      <c r="BN1622" s="73"/>
      <c r="BO1622" s="73"/>
      <c r="BP1622" s="73"/>
      <c r="BQ1622" s="73"/>
      <c r="BR1622" s="73"/>
      <c r="BS1622" s="73"/>
      <c r="BT1622" s="73"/>
      <c r="BU1622" s="73"/>
      <c r="BV1622" s="73"/>
      <c r="BW1622" s="73"/>
      <c r="BX1622" s="73"/>
      <c r="BY1622" s="73"/>
      <c r="BZ1622" s="73"/>
      <c r="CA1622" s="73"/>
      <c r="CB1622" s="73"/>
      <c r="CC1622" s="73"/>
      <c r="CD1622" s="73"/>
      <c r="CE1622" s="73"/>
      <c r="CF1622" s="73"/>
      <c r="CG1622" s="73"/>
      <c r="CH1622" s="73"/>
    </row>
    <row r="1623">
      <c r="A1623" s="73"/>
      <c r="B1623" s="73"/>
      <c r="C1623" s="73"/>
      <c r="D1623" s="73"/>
      <c r="E1623" s="140"/>
      <c r="F1623" s="80"/>
      <c r="G1623" s="80"/>
      <c r="H1623" s="73"/>
      <c r="I1623" s="73"/>
      <c r="J1623" s="73"/>
      <c r="K1623" s="73"/>
      <c r="L1623" s="73"/>
      <c r="M1623" s="73"/>
      <c r="N1623" s="73"/>
      <c r="O1623" s="73"/>
      <c r="P1623" s="73"/>
      <c r="Q1623" s="73"/>
      <c r="R1623" s="73"/>
      <c r="S1623" s="73"/>
      <c r="T1623" s="73"/>
      <c r="U1623" s="73"/>
      <c r="V1623" s="73"/>
      <c r="W1623" s="73"/>
      <c r="X1623" s="73"/>
      <c r="Y1623" s="73"/>
      <c r="Z1623" s="73"/>
      <c r="AA1623" s="73"/>
      <c r="AB1623" s="73"/>
      <c r="AC1623" s="73"/>
      <c r="AD1623" s="73"/>
      <c r="AE1623" s="73"/>
      <c r="AF1623" s="73"/>
      <c r="AG1623" s="73"/>
      <c r="AH1623" s="73"/>
      <c r="AI1623" s="73"/>
      <c r="AJ1623" s="168"/>
      <c r="AK1623" s="73"/>
      <c r="AL1623" s="73"/>
      <c r="AM1623" s="73"/>
      <c r="AN1623" s="73"/>
      <c r="AO1623" s="73"/>
      <c r="AP1623" s="73"/>
      <c r="AQ1623" s="73"/>
      <c r="AR1623" s="73"/>
      <c r="AS1623" s="73"/>
      <c r="AT1623" s="73"/>
      <c r="AU1623" s="73"/>
      <c r="AV1623" s="73"/>
      <c r="AW1623" s="73"/>
      <c r="AX1623" s="73"/>
      <c r="AY1623" s="73"/>
      <c r="AZ1623" s="73"/>
      <c r="BA1623" s="73"/>
      <c r="BB1623" s="73"/>
      <c r="BC1623" s="73"/>
      <c r="BD1623" s="73"/>
      <c r="BE1623" s="73"/>
      <c r="BF1623" s="75"/>
      <c r="BG1623" s="73"/>
      <c r="BH1623" s="88"/>
      <c r="BI1623" s="73"/>
      <c r="BJ1623" s="73"/>
      <c r="BK1623" s="73"/>
      <c r="BL1623" s="73"/>
      <c r="BM1623" s="73"/>
      <c r="BN1623" s="73"/>
      <c r="BO1623" s="73"/>
      <c r="BP1623" s="73"/>
      <c r="BQ1623" s="73"/>
      <c r="BR1623" s="73"/>
      <c r="BS1623" s="73"/>
      <c r="BT1623" s="73"/>
      <c r="BU1623" s="73"/>
      <c r="BV1623" s="73"/>
      <c r="BW1623" s="73"/>
      <c r="BX1623" s="73"/>
      <c r="BY1623" s="73"/>
      <c r="BZ1623" s="73"/>
      <c r="CA1623" s="73"/>
      <c r="CB1623" s="73"/>
      <c r="CC1623" s="73"/>
      <c r="CD1623" s="73"/>
      <c r="CE1623" s="73"/>
      <c r="CF1623" s="73"/>
      <c r="CG1623" s="73"/>
      <c r="CH1623" s="73"/>
    </row>
    <row r="1624">
      <c r="A1624" s="73"/>
      <c r="B1624" s="73"/>
      <c r="C1624" s="73"/>
      <c r="D1624" s="73"/>
      <c r="E1624" s="140"/>
      <c r="F1624" s="80"/>
      <c r="G1624" s="80"/>
      <c r="H1624" s="73"/>
      <c r="I1624" s="73"/>
      <c r="J1624" s="73"/>
      <c r="K1624" s="73"/>
      <c r="L1624" s="73"/>
      <c r="M1624" s="73"/>
      <c r="N1624" s="73"/>
      <c r="O1624" s="73"/>
      <c r="P1624" s="73"/>
      <c r="Q1624" s="73"/>
      <c r="R1624" s="73"/>
      <c r="S1624" s="73"/>
      <c r="T1624" s="73"/>
      <c r="U1624" s="73"/>
      <c r="V1624" s="73"/>
      <c r="W1624" s="73"/>
      <c r="X1624" s="73"/>
      <c r="Y1624" s="73"/>
      <c r="Z1624" s="73"/>
      <c r="AA1624" s="73"/>
      <c r="AB1624" s="73"/>
      <c r="AC1624" s="73"/>
      <c r="AD1624" s="73"/>
      <c r="AE1624" s="73"/>
      <c r="AF1624" s="73"/>
      <c r="AG1624" s="73"/>
      <c r="AH1624" s="73"/>
      <c r="AI1624" s="73"/>
      <c r="AJ1624" s="168"/>
      <c r="AK1624" s="73"/>
      <c r="AL1624" s="73"/>
      <c r="AM1624" s="73"/>
      <c r="AN1624" s="73"/>
      <c r="AO1624" s="73"/>
      <c r="AP1624" s="73"/>
      <c r="AQ1624" s="73"/>
      <c r="AR1624" s="73"/>
      <c r="AS1624" s="73"/>
      <c r="AT1624" s="73"/>
      <c r="AU1624" s="73"/>
      <c r="AV1624" s="73"/>
      <c r="AW1624" s="73"/>
      <c r="AX1624" s="73"/>
      <c r="AY1624" s="73"/>
      <c r="AZ1624" s="73"/>
      <c r="BA1624" s="73"/>
      <c r="BB1624" s="73"/>
      <c r="BC1624" s="73"/>
      <c r="BD1624" s="73"/>
      <c r="BE1624" s="73"/>
      <c r="BF1624" s="75"/>
      <c r="BG1624" s="73"/>
      <c r="BH1624" s="88"/>
      <c r="BI1624" s="73"/>
      <c r="BJ1624" s="73"/>
      <c r="BK1624" s="73"/>
      <c r="BL1624" s="73"/>
      <c r="BM1624" s="73"/>
      <c r="BN1624" s="73"/>
      <c r="BO1624" s="73"/>
      <c r="BP1624" s="73"/>
      <c r="BQ1624" s="73"/>
      <c r="BR1624" s="73"/>
      <c r="BS1624" s="73"/>
      <c r="BT1624" s="73"/>
      <c r="BU1624" s="73"/>
      <c r="BV1624" s="73"/>
      <c r="BW1624" s="73"/>
      <c r="BX1624" s="73"/>
      <c r="BY1624" s="73"/>
      <c r="BZ1624" s="73"/>
      <c r="CA1624" s="73"/>
      <c r="CB1624" s="73"/>
      <c r="CC1624" s="73"/>
      <c r="CD1624" s="73"/>
      <c r="CE1624" s="73"/>
      <c r="CF1624" s="73"/>
      <c r="CG1624" s="73"/>
      <c r="CH1624" s="73"/>
    </row>
    <row r="1625">
      <c r="A1625" s="73"/>
      <c r="B1625" s="73"/>
      <c r="C1625" s="73"/>
      <c r="D1625" s="73"/>
      <c r="E1625" s="140"/>
      <c r="F1625" s="80"/>
      <c r="G1625" s="80"/>
      <c r="H1625" s="73"/>
      <c r="I1625" s="73"/>
      <c r="J1625" s="73"/>
      <c r="K1625" s="73"/>
      <c r="L1625" s="73"/>
      <c r="M1625" s="73"/>
      <c r="N1625" s="73"/>
      <c r="O1625" s="73"/>
      <c r="P1625" s="73"/>
      <c r="Q1625" s="73"/>
      <c r="R1625" s="73"/>
      <c r="S1625" s="73"/>
      <c r="T1625" s="73"/>
      <c r="U1625" s="73"/>
      <c r="V1625" s="73"/>
      <c r="W1625" s="73"/>
      <c r="X1625" s="73"/>
      <c r="Y1625" s="73"/>
      <c r="Z1625" s="73"/>
      <c r="AA1625" s="73"/>
      <c r="AB1625" s="73"/>
      <c r="AC1625" s="73"/>
      <c r="AD1625" s="73"/>
      <c r="AE1625" s="73"/>
      <c r="AF1625" s="73"/>
      <c r="AG1625" s="73"/>
      <c r="AH1625" s="73"/>
      <c r="AI1625" s="73"/>
      <c r="AJ1625" s="168"/>
      <c r="AK1625" s="73"/>
      <c r="AL1625" s="73"/>
      <c r="AM1625" s="73"/>
      <c r="AN1625" s="73"/>
      <c r="AO1625" s="73"/>
      <c r="AP1625" s="73"/>
      <c r="AQ1625" s="73"/>
      <c r="AR1625" s="73"/>
      <c r="AS1625" s="73"/>
      <c r="AT1625" s="73"/>
      <c r="AU1625" s="73"/>
      <c r="AV1625" s="73"/>
      <c r="AW1625" s="73"/>
      <c r="AX1625" s="73"/>
      <c r="AY1625" s="73"/>
      <c r="AZ1625" s="73"/>
      <c r="BA1625" s="73"/>
      <c r="BB1625" s="73"/>
      <c r="BC1625" s="73"/>
      <c r="BD1625" s="73"/>
      <c r="BE1625" s="73"/>
      <c r="BF1625" s="75"/>
      <c r="BG1625" s="73"/>
      <c r="BH1625" s="88"/>
      <c r="BI1625" s="73"/>
      <c r="BJ1625" s="73"/>
      <c r="BK1625" s="73"/>
      <c r="BL1625" s="73"/>
      <c r="BM1625" s="73"/>
      <c r="BN1625" s="73"/>
      <c r="BO1625" s="73"/>
      <c r="BP1625" s="73"/>
      <c r="BQ1625" s="73"/>
      <c r="BR1625" s="73"/>
      <c r="BS1625" s="73"/>
      <c r="BT1625" s="73"/>
      <c r="BU1625" s="73"/>
      <c r="BV1625" s="73"/>
      <c r="BW1625" s="73"/>
      <c r="BX1625" s="73"/>
      <c r="BY1625" s="73"/>
      <c r="BZ1625" s="73"/>
      <c r="CA1625" s="73"/>
      <c r="CB1625" s="73"/>
      <c r="CC1625" s="73"/>
      <c r="CD1625" s="73"/>
      <c r="CE1625" s="73"/>
      <c r="CF1625" s="73"/>
      <c r="CG1625" s="73"/>
      <c r="CH1625" s="73"/>
    </row>
    <row r="1626">
      <c r="A1626" s="73"/>
      <c r="B1626" s="73"/>
      <c r="C1626" s="73"/>
      <c r="D1626" s="73"/>
      <c r="E1626" s="140"/>
      <c r="F1626" s="80"/>
      <c r="G1626" s="80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  <c r="S1626" s="73"/>
      <c r="T1626" s="73"/>
      <c r="U1626" s="73"/>
      <c r="V1626" s="73"/>
      <c r="W1626" s="73"/>
      <c r="X1626" s="73"/>
      <c r="Y1626" s="73"/>
      <c r="Z1626" s="73"/>
      <c r="AA1626" s="73"/>
      <c r="AB1626" s="73"/>
      <c r="AC1626" s="73"/>
      <c r="AD1626" s="73"/>
      <c r="AE1626" s="73"/>
      <c r="AF1626" s="73"/>
      <c r="AG1626" s="73"/>
      <c r="AH1626" s="73"/>
      <c r="AI1626" s="73"/>
      <c r="AJ1626" s="168"/>
      <c r="AK1626" s="73"/>
      <c r="AL1626" s="73"/>
      <c r="AM1626" s="73"/>
      <c r="AN1626" s="73"/>
      <c r="AO1626" s="73"/>
      <c r="AP1626" s="73"/>
      <c r="AQ1626" s="73"/>
      <c r="AR1626" s="73"/>
      <c r="AS1626" s="73"/>
      <c r="AT1626" s="73"/>
      <c r="AU1626" s="73"/>
      <c r="AV1626" s="73"/>
      <c r="AW1626" s="73"/>
      <c r="AX1626" s="73"/>
      <c r="AY1626" s="73"/>
      <c r="AZ1626" s="73"/>
      <c r="BA1626" s="73"/>
      <c r="BB1626" s="73"/>
      <c r="BC1626" s="73"/>
      <c r="BD1626" s="73"/>
      <c r="BE1626" s="73"/>
      <c r="BF1626" s="75"/>
      <c r="BG1626" s="73"/>
      <c r="BH1626" s="88"/>
      <c r="BI1626" s="73"/>
      <c r="BJ1626" s="73"/>
      <c r="BK1626" s="73"/>
      <c r="BL1626" s="73"/>
      <c r="BM1626" s="73"/>
      <c r="BN1626" s="73"/>
      <c r="BO1626" s="73"/>
      <c r="BP1626" s="73"/>
      <c r="BQ1626" s="73"/>
      <c r="BR1626" s="73"/>
      <c r="BS1626" s="73"/>
      <c r="BT1626" s="73"/>
      <c r="BU1626" s="73"/>
      <c r="BV1626" s="73"/>
      <c r="BW1626" s="73"/>
      <c r="BX1626" s="73"/>
      <c r="BY1626" s="73"/>
      <c r="BZ1626" s="73"/>
      <c r="CA1626" s="73"/>
      <c r="CB1626" s="73"/>
      <c r="CC1626" s="73"/>
      <c r="CD1626" s="73"/>
      <c r="CE1626" s="73"/>
      <c r="CF1626" s="73"/>
      <c r="CG1626" s="73"/>
      <c r="CH1626" s="73"/>
    </row>
    <row r="1627">
      <c r="A1627" s="73"/>
      <c r="B1627" s="73"/>
      <c r="C1627" s="73"/>
      <c r="D1627" s="73"/>
      <c r="E1627" s="140"/>
      <c r="F1627" s="80"/>
      <c r="G1627" s="80"/>
      <c r="H1627" s="73"/>
      <c r="I1627" s="73"/>
      <c r="J1627" s="73"/>
      <c r="K1627" s="73"/>
      <c r="L1627" s="73"/>
      <c r="M1627" s="73"/>
      <c r="N1627" s="73"/>
      <c r="O1627" s="73"/>
      <c r="P1627" s="73"/>
      <c r="Q1627" s="73"/>
      <c r="R1627" s="73"/>
      <c r="S1627" s="73"/>
      <c r="T1627" s="73"/>
      <c r="U1627" s="73"/>
      <c r="V1627" s="73"/>
      <c r="W1627" s="73"/>
      <c r="X1627" s="73"/>
      <c r="Y1627" s="73"/>
      <c r="Z1627" s="73"/>
      <c r="AA1627" s="73"/>
      <c r="AB1627" s="73"/>
      <c r="AC1627" s="73"/>
      <c r="AD1627" s="73"/>
      <c r="AE1627" s="73"/>
      <c r="AF1627" s="73"/>
      <c r="AG1627" s="73"/>
      <c r="AH1627" s="73"/>
      <c r="AI1627" s="73"/>
      <c r="AJ1627" s="168"/>
      <c r="AK1627" s="73"/>
      <c r="AL1627" s="73"/>
      <c r="AM1627" s="73"/>
      <c r="AN1627" s="73"/>
      <c r="AO1627" s="73"/>
      <c r="AP1627" s="73"/>
      <c r="AQ1627" s="73"/>
      <c r="AR1627" s="73"/>
      <c r="AS1627" s="73"/>
      <c r="AT1627" s="73"/>
      <c r="AU1627" s="73"/>
      <c r="AV1627" s="73"/>
      <c r="AW1627" s="73"/>
      <c r="AX1627" s="73"/>
      <c r="AY1627" s="73"/>
      <c r="AZ1627" s="73"/>
      <c r="BA1627" s="73"/>
      <c r="BB1627" s="73"/>
      <c r="BC1627" s="73"/>
      <c r="BD1627" s="73"/>
      <c r="BE1627" s="73"/>
      <c r="BF1627" s="75"/>
      <c r="BG1627" s="73"/>
      <c r="BH1627" s="88"/>
      <c r="BI1627" s="73"/>
      <c r="BJ1627" s="73"/>
      <c r="BK1627" s="73"/>
      <c r="BL1627" s="73"/>
      <c r="BM1627" s="73"/>
      <c r="BN1627" s="73"/>
      <c r="BO1627" s="73"/>
      <c r="BP1627" s="73"/>
      <c r="BQ1627" s="73"/>
      <c r="BR1627" s="73"/>
      <c r="BS1627" s="73"/>
      <c r="BT1627" s="73"/>
      <c r="BU1627" s="73"/>
      <c r="BV1627" s="73"/>
      <c r="BW1627" s="73"/>
      <c r="BX1627" s="73"/>
      <c r="BY1627" s="73"/>
      <c r="BZ1627" s="73"/>
      <c r="CA1627" s="73"/>
      <c r="CB1627" s="73"/>
      <c r="CC1627" s="73"/>
      <c r="CD1627" s="73"/>
      <c r="CE1627" s="73"/>
      <c r="CF1627" s="73"/>
      <c r="CG1627" s="73"/>
      <c r="CH1627" s="73"/>
    </row>
    <row r="1628">
      <c r="A1628" s="73"/>
      <c r="B1628" s="73"/>
      <c r="C1628" s="73"/>
      <c r="D1628" s="73"/>
      <c r="E1628" s="140"/>
      <c r="F1628" s="80"/>
      <c r="G1628" s="80"/>
      <c r="H1628" s="73"/>
      <c r="I1628" s="73"/>
      <c r="J1628" s="73"/>
      <c r="K1628" s="73"/>
      <c r="L1628" s="73"/>
      <c r="M1628" s="73"/>
      <c r="N1628" s="73"/>
      <c r="O1628" s="73"/>
      <c r="P1628" s="73"/>
      <c r="Q1628" s="73"/>
      <c r="R1628" s="73"/>
      <c r="S1628" s="73"/>
      <c r="T1628" s="73"/>
      <c r="U1628" s="73"/>
      <c r="V1628" s="73"/>
      <c r="W1628" s="73"/>
      <c r="X1628" s="73"/>
      <c r="Y1628" s="73"/>
      <c r="Z1628" s="73"/>
      <c r="AA1628" s="73"/>
      <c r="AB1628" s="73"/>
      <c r="AC1628" s="73"/>
      <c r="AD1628" s="73"/>
      <c r="AE1628" s="73"/>
      <c r="AF1628" s="73"/>
      <c r="AG1628" s="73"/>
      <c r="AH1628" s="73"/>
      <c r="AI1628" s="73"/>
      <c r="AJ1628" s="168"/>
      <c r="AK1628" s="73"/>
      <c r="AL1628" s="73"/>
      <c r="AM1628" s="73"/>
      <c r="AN1628" s="73"/>
      <c r="AO1628" s="73"/>
      <c r="AP1628" s="73"/>
      <c r="AQ1628" s="73"/>
      <c r="AR1628" s="73"/>
      <c r="AS1628" s="73"/>
      <c r="AT1628" s="73"/>
      <c r="AU1628" s="73"/>
      <c r="AV1628" s="73"/>
      <c r="AW1628" s="73"/>
      <c r="AX1628" s="73"/>
      <c r="AY1628" s="73"/>
      <c r="AZ1628" s="73"/>
      <c r="BA1628" s="73"/>
      <c r="BB1628" s="73"/>
      <c r="BC1628" s="73"/>
      <c r="BD1628" s="73"/>
      <c r="BE1628" s="73"/>
      <c r="BF1628" s="75"/>
      <c r="BG1628" s="73"/>
      <c r="BH1628" s="88"/>
      <c r="BI1628" s="73"/>
      <c r="BJ1628" s="73"/>
      <c r="BK1628" s="73"/>
      <c r="BL1628" s="73"/>
      <c r="BM1628" s="73"/>
      <c r="BN1628" s="73"/>
      <c r="BO1628" s="73"/>
      <c r="BP1628" s="73"/>
      <c r="BQ1628" s="73"/>
      <c r="BR1628" s="73"/>
      <c r="BS1628" s="73"/>
      <c r="BT1628" s="73"/>
      <c r="BU1628" s="73"/>
      <c r="BV1628" s="73"/>
      <c r="BW1628" s="73"/>
      <c r="BX1628" s="73"/>
      <c r="BY1628" s="73"/>
      <c r="BZ1628" s="73"/>
      <c r="CA1628" s="73"/>
      <c r="CB1628" s="73"/>
      <c r="CC1628" s="73"/>
      <c r="CD1628" s="73"/>
      <c r="CE1628" s="73"/>
      <c r="CF1628" s="73"/>
      <c r="CG1628" s="73"/>
      <c r="CH1628" s="73"/>
    </row>
    <row r="1629">
      <c r="A1629" s="73"/>
      <c r="B1629" s="73"/>
      <c r="C1629" s="73"/>
      <c r="D1629" s="73"/>
      <c r="E1629" s="140"/>
      <c r="F1629" s="80"/>
      <c r="G1629" s="80"/>
      <c r="H1629" s="73"/>
      <c r="I1629" s="73"/>
      <c r="J1629" s="73"/>
      <c r="K1629" s="73"/>
      <c r="L1629" s="73"/>
      <c r="M1629" s="73"/>
      <c r="N1629" s="73"/>
      <c r="O1629" s="73"/>
      <c r="P1629" s="73"/>
      <c r="Q1629" s="73"/>
      <c r="R1629" s="73"/>
      <c r="S1629" s="73"/>
      <c r="T1629" s="73"/>
      <c r="U1629" s="73"/>
      <c r="V1629" s="73"/>
      <c r="W1629" s="73"/>
      <c r="X1629" s="73"/>
      <c r="Y1629" s="73"/>
      <c r="Z1629" s="73"/>
      <c r="AA1629" s="73"/>
      <c r="AB1629" s="73"/>
      <c r="AC1629" s="73"/>
      <c r="AD1629" s="73"/>
      <c r="AE1629" s="73"/>
      <c r="AF1629" s="73"/>
      <c r="AG1629" s="73"/>
      <c r="AH1629" s="73"/>
      <c r="AI1629" s="73"/>
      <c r="AJ1629" s="168"/>
      <c r="AK1629" s="73"/>
      <c r="AL1629" s="73"/>
      <c r="AM1629" s="73"/>
      <c r="AN1629" s="73"/>
      <c r="AO1629" s="73"/>
      <c r="AP1629" s="73"/>
      <c r="AQ1629" s="73"/>
      <c r="AR1629" s="73"/>
      <c r="AS1629" s="73"/>
      <c r="AT1629" s="73"/>
      <c r="AU1629" s="73"/>
      <c r="AV1629" s="73"/>
      <c r="AW1629" s="73"/>
      <c r="AX1629" s="73"/>
      <c r="AY1629" s="73"/>
      <c r="AZ1629" s="73"/>
      <c r="BA1629" s="73"/>
      <c r="BB1629" s="73"/>
      <c r="BC1629" s="73"/>
      <c r="BD1629" s="73"/>
      <c r="BE1629" s="73"/>
      <c r="BF1629" s="75"/>
      <c r="BG1629" s="73"/>
      <c r="BH1629" s="88"/>
      <c r="BI1629" s="73"/>
      <c r="BJ1629" s="73"/>
      <c r="BK1629" s="73"/>
      <c r="BL1629" s="73"/>
      <c r="BM1629" s="73"/>
      <c r="BN1629" s="73"/>
      <c r="BO1629" s="73"/>
      <c r="BP1629" s="73"/>
      <c r="BQ1629" s="73"/>
      <c r="BR1629" s="73"/>
      <c r="BS1629" s="73"/>
      <c r="BT1629" s="73"/>
      <c r="BU1629" s="73"/>
      <c r="BV1629" s="73"/>
      <c r="BW1629" s="73"/>
      <c r="BX1629" s="73"/>
      <c r="BY1629" s="73"/>
      <c r="BZ1629" s="73"/>
      <c r="CA1629" s="73"/>
      <c r="CB1629" s="73"/>
      <c r="CC1629" s="73"/>
      <c r="CD1629" s="73"/>
      <c r="CE1629" s="73"/>
      <c r="CF1629" s="73"/>
      <c r="CG1629" s="73"/>
      <c r="CH1629" s="73"/>
    </row>
    <row r="1630">
      <c r="A1630" s="73"/>
      <c r="B1630" s="73"/>
      <c r="C1630" s="73"/>
      <c r="D1630" s="73"/>
      <c r="E1630" s="140"/>
      <c r="F1630" s="80"/>
      <c r="G1630" s="80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  <c r="S1630" s="73"/>
      <c r="T1630" s="73"/>
      <c r="U1630" s="73"/>
      <c r="V1630" s="73"/>
      <c r="W1630" s="73"/>
      <c r="X1630" s="73"/>
      <c r="Y1630" s="73"/>
      <c r="Z1630" s="73"/>
      <c r="AA1630" s="73"/>
      <c r="AB1630" s="73"/>
      <c r="AC1630" s="73"/>
      <c r="AD1630" s="73"/>
      <c r="AE1630" s="73"/>
      <c r="AF1630" s="73"/>
      <c r="AG1630" s="73"/>
      <c r="AH1630" s="73"/>
      <c r="AI1630" s="73"/>
      <c r="AJ1630" s="168"/>
      <c r="AK1630" s="73"/>
      <c r="AL1630" s="73"/>
      <c r="AM1630" s="73"/>
      <c r="AN1630" s="73"/>
      <c r="AO1630" s="73"/>
      <c r="AP1630" s="73"/>
      <c r="AQ1630" s="73"/>
      <c r="AR1630" s="73"/>
      <c r="AS1630" s="73"/>
      <c r="AT1630" s="73"/>
      <c r="AU1630" s="73"/>
      <c r="AV1630" s="73"/>
      <c r="AW1630" s="73"/>
      <c r="AX1630" s="73"/>
      <c r="AY1630" s="73"/>
      <c r="AZ1630" s="73"/>
      <c r="BA1630" s="73"/>
      <c r="BB1630" s="73"/>
      <c r="BC1630" s="73"/>
      <c r="BD1630" s="73"/>
      <c r="BE1630" s="73"/>
      <c r="BF1630" s="75"/>
      <c r="BG1630" s="73"/>
      <c r="BH1630" s="88"/>
      <c r="BI1630" s="73"/>
      <c r="BJ1630" s="73"/>
      <c r="BK1630" s="73"/>
      <c r="BL1630" s="73"/>
      <c r="BM1630" s="73"/>
      <c r="BN1630" s="73"/>
      <c r="BO1630" s="73"/>
      <c r="BP1630" s="73"/>
      <c r="BQ1630" s="73"/>
      <c r="BR1630" s="73"/>
      <c r="BS1630" s="73"/>
      <c r="BT1630" s="73"/>
      <c r="BU1630" s="73"/>
      <c r="BV1630" s="73"/>
      <c r="BW1630" s="73"/>
      <c r="BX1630" s="73"/>
      <c r="BY1630" s="73"/>
      <c r="BZ1630" s="73"/>
      <c r="CA1630" s="73"/>
      <c r="CB1630" s="73"/>
      <c r="CC1630" s="73"/>
      <c r="CD1630" s="73"/>
      <c r="CE1630" s="73"/>
      <c r="CF1630" s="73"/>
      <c r="CG1630" s="73"/>
      <c r="CH1630" s="73"/>
    </row>
    <row r="1631">
      <c r="A1631" s="73"/>
      <c r="B1631" s="73"/>
      <c r="C1631" s="73"/>
      <c r="D1631" s="73"/>
      <c r="E1631" s="140"/>
      <c r="F1631" s="80"/>
      <c r="G1631" s="80"/>
      <c r="H1631" s="73"/>
      <c r="I1631" s="73"/>
      <c r="J1631" s="73"/>
      <c r="K1631" s="73"/>
      <c r="L1631" s="73"/>
      <c r="M1631" s="73"/>
      <c r="N1631" s="73"/>
      <c r="O1631" s="73"/>
      <c r="P1631" s="73"/>
      <c r="Q1631" s="73"/>
      <c r="R1631" s="73"/>
      <c r="S1631" s="73"/>
      <c r="T1631" s="73"/>
      <c r="U1631" s="73"/>
      <c r="V1631" s="73"/>
      <c r="W1631" s="73"/>
      <c r="X1631" s="73"/>
      <c r="Y1631" s="73"/>
      <c r="Z1631" s="73"/>
      <c r="AA1631" s="73"/>
      <c r="AB1631" s="73"/>
      <c r="AC1631" s="73"/>
      <c r="AD1631" s="73"/>
      <c r="AE1631" s="73"/>
      <c r="AF1631" s="73"/>
      <c r="AG1631" s="73"/>
      <c r="AH1631" s="73"/>
      <c r="AI1631" s="73"/>
      <c r="AJ1631" s="168"/>
      <c r="AK1631" s="73"/>
      <c r="AL1631" s="73"/>
      <c r="AM1631" s="73"/>
      <c r="AN1631" s="73"/>
      <c r="AO1631" s="73"/>
      <c r="AP1631" s="73"/>
      <c r="AQ1631" s="73"/>
      <c r="AR1631" s="73"/>
      <c r="AS1631" s="73"/>
      <c r="AT1631" s="73"/>
      <c r="AU1631" s="73"/>
      <c r="AV1631" s="73"/>
      <c r="AW1631" s="73"/>
      <c r="AX1631" s="73"/>
      <c r="AY1631" s="73"/>
      <c r="AZ1631" s="73"/>
      <c r="BA1631" s="73"/>
      <c r="BB1631" s="73"/>
      <c r="BC1631" s="73"/>
      <c r="BD1631" s="73"/>
      <c r="BE1631" s="73"/>
      <c r="BF1631" s="75"/>
      <c r="BG1631" s="73"/>
      <c r="BH1631" s="88"/>
      <c r="BI1631" s="73"/>
      <c r="BJ1631" s="73"/>
      <c r="BK1631" s="73"/>
      <c r="BL1631" s="73"/>
      <c r="BM1631" s="73"/>
      <c r="BN1631" s="73"/>
      <c r="BO1631" s="73"/>
      <c r="BP1631" s="73"/>
      <c r="BQ1631" s="73"/>
      <c r="BR1631" s="73"/>
      <c r="BS1631" s="73"/>
      <c r="BT1631" s="73"/>
      <c r="BU1631" s="73"/>
      <c r="BV1631" s="73"/>
      <c r="BW1631" s="73"/>
      <c r="BX1631" s="73"/>
      <c r="BY1631" s="73"/>
      <c r="BZ1631" s="73"/>
      <c r="CA1631" s="73"/>
      <c r="CB1631" s="73"/>
      <c r="CC1631" s="73"/>
      <c r="CD1631" s="73"/>
      <c r="CE1631" s="73"/>
      <c r="CF1631" s="73"/>
      <c r="CG1631" s="73"/>
      <c r="CH1631" s="73"/>
    </row>
    <row r="1632">
      <c r="A1632" s="73"/>
      <c r="B1632" s="73"/>
      <c r="C1632" s="73"/>
      <c r="D1632" s="73"/>
      <c r="E1632" s="140"/>
      <c r="F1632" s="80"/>
      <c r="G1632" s="80"/>
      <c r="H1632" s="73"/>
      <c r="I1632" s="73"/>
      <c r="J1632" s="73"/>
      <c r="K1632" s="73"/>
      <c r="L1632" s="73"/>
      <c r="M1632" s="73"/>
      <c r="N1632" s="73"/>
      <c r="O1632" s="73"/>
      <c r="P1632" s="73"/>
      <c r="Q1632" s="73"/>
      <c r="R1632" s="73"/>
      <c r="S1632" s="73"/>
      <c r="T1632" s="73"/>
      <c r="U1632" s="73"/>
      <c r="V1632" s="73"/>
      <c r="W1632" s="73"/>
      <c r="X1632" s="73"/>
      <c r="Y1632" s="73"/>
      <c r="Z1632" s="73"/>
      <c r="AA1632" s="73"/>
      <c r="AB1632" s="73"/>
      <c r="AC1632" s="73"/>
      <c r="AD1632" s="73"/>
      <c r="AE1632" s="73"/>
      <c r="AF1632" s="73"/>
      <c r="AG1632" s="73"/>
      <c r="AH1632" s="73"/>
      <c r="AI1632" s="73"/>
      <c r="AJ1632" s="168"/>
      <c r="AK1632" s="73"/>
      <c r="AL1632" s="73"/>
      <c r="AM1632" s="73"/>
      <c r="AN1632" s="73"/>
      <c r="AO1632" s="73"/>
      <c r="AP1632" s="73"/>
      <c r="AQ1632" s="73"/>
      <c r="AR1632" s="73"/>
      <c r="AS1632" s="73"/>
      <c r="AT1632" s="73"/>
      <c r="AU1632" s="73"/>
      <c r="AV1632" s="73"/>
      <c r="AW1632" s="73"/>
      <c r="AX1632" s="73"/>
      <c r="AY1632" s="73"/>
      <c r="AZ1632" s="73"/>
      <c r="BA1632" s="73"/>
      <c r="BB1632" s="73"/>
      <c r="BC1632" s="73"/>
      <c r="BD1632" s="73"/>
      <c r="BE1632" s="73"/>
      <c r="BF1632" s="75"/>
      <c r="BG1632" s="73"/>
      <c r="BH1632" s="88"/>
      <c r="BI1632" s="73"/>
      <c r="BJ1632" s="73"/>
      <c r="BK1632" s="73"/>
      <c r="BL1632" s="73"/>
      <c r="BM1632" s="73"/>
      <c r="BN1632" s="73"/>
      <c r="BO1632" s="73"/>
      <c r="BP1632" s="73"/>
      <c r="BQ1632" s="73"/>
      <c r="BR1632" s="73"/>
      <c r="BS1632" s="73"/>
      <c r="BT1632" s="73"/>
      <c r="BU1632" s="73"/>
      <c r="BV1632" s="73"/>
      <c r="BW1632" s="73"/>
      <c r="BX1632" s="73"/>
      <c r="BY1632" s="73"/>
      <c r="BZ1632" s="73"/>
      <c r="CA1632" s="73"/>
      <c r="CB1632" s="73"/>
      <c r="CC1632" s="73"/>
      <c r="CD1632" s="73"/>
      <c r="CE1632" s="73"/>
      <c r="CF1632" s="73"/>
      <c r="CG1632" s="73"/>
      <c r="CH1632" s="73"/>
    </row>
    <row r="1633">
      <c r="A1633" s="73"/>
      <c r="B1633" s="73"/>
      <c r="C1633" s="73"/>
      <c r="D1633" s="73"/>
      <c r="E1633" s="140"/>
      <c r="F1633" s="80"/>
      <c r="G1633" s="80"/>
      <c r="H1633" s="73"/>
      <c r="I1633" s="73"/>
      <c r="J1633" s="73"/>
      <c r="K1633" s="73"/>
      <c r="L1633" s="73"/>
      <c r="M1633" s="73"/>
      <c r="N1633" s="73"/>
      <c r="O1633" s="73"/>
      <c r="P1633" s="73"/>
      <c r="Q1633" s="73"/>
      <c r="R1633" s="73"/>
      <c r="S1633" s="73"/>
      <c r="T1633" s="73"/>
      <c r="U1633" s="73"/>
      <c r="V1633" s="73"/>
      <c r="W1633" s="73"/>
      <c r="X1633" s="73"/>
      <c r="Y1633" s="73"/>
      <c r="Z1633" s="73"/>
      <c r="AA1633" s="73"/>
      <c r="AB1633" s="73"/>
      <c r="AC1633" s="73"/>
      <c r="AD1633" s="73"/>
      <c r="AE1633" s="73"/>
      <c r="AF1633" s="73"/>
      <c r="AG1633" s="73"/>
      <c r="AH1633" s="73"/>
      <c r="AI1633" s="73"/>
      <c r="AJ1633" s="168"/>
      <c r="AK1633" s="73"/>
      <c r="AL1633" s="73"/>
      <c r="AM1633" s="73"/>
      <c r="AN1633" s="73"/>
      <c r="AO1633" s="73"/>
      <c r="AP1633" s="73"/>
      <c r="AQ1633" s="73"/>
      <c r="AR1633" s="73"/>
      <c r="AS1633" s="73"/>
      <c r="AT1633" s="73"/>
      <c r="AU1633" s="73"/>
      <c r="AV1633" s="73"/>
      <c r="AW1633" s="73"/>
      <c r="AX1633" s="73"/>
      <c r="AY1633" s="73"/>
      <c r="AZ1633" s="73"/>
      <c r="BA1633" s="73"/>
      <c r="BB1633" s="73"/>
      <c r="BC1633" s="73"/>
      <c r="BD1633" s="73"/>
      <c r="BE1633" s="73"/>
      <c r="BF1633" s="75"/>
      <c r="BG1633" s="73"/>
      <c r="BH1633" s="88"/>
      <c r="BI1633" s="73"/>
      <c r="BJ1633" s="73"/>
      <c r="BK1633" s="73"/>
      <c r="BL1633" s="73"/>
      <c r="BM1633" s="73"/>
      <c r="BN1633" s="73"/>
      <c r="BO1633" s="73"/>
      <c r="BP1633" s="73"/>
      <c r="BQ1633" s="73"/>
      <c r="BR1633" s="73"/>
      <c r="BS1633" s="73"/>
      <c r="BT1633" s="73"/>
      <c r="BU1633" s="73"/>
      <c r="BV1633" s="73"/>
      <c r="BW1633" s="73"/>
      <c r="BX1633" s="73"/>
      <c r="BY1633" s="73"/>
      <c r="BZ1633" s="73"/>
      <c r="CA1633" s="73"/>
      <c r="CB1633" s="73"/>
      <c r="CC1633" s="73"/>
      <c r="CD1633" s="73"/>
      <c r="CE1633" s="73"/>
      <c r="CF1633" s="73"/>
      <c r="CG1633" s="73"/>
      <c r="CH1633" s="73"/>
    </row>
    <row r="1634">
      <c r="A1634" s="73"/>
      <c r="B1634" s="73"/>
      <c r="C1634" s="73"/>
      <c r="D1634" s="73"/>
      <c r="E1634" s="140"/>
      <c r="F1634" s="80"/>
      <c r="G1634" s="80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  <c r="S1634" s="73"/>
      <c r="T1634" s="73"/>
      <c r="U1634" s="73"/>
      <c r="V1634" s="73"/>
      <c r="W1634" s="73"/>
      <c r="X1634" s="73"/>
      <c r="Y1634" s="73"/>
      <c r="Z1634" s="73"/>
      <c r="AA1634" s="73"/>
      <c r="AB1634" s="73"/>
      <c r="AC1634" s="73"/>
      <c r="AD1634" s="73"/>
      <c r="AE1634" s="73"/>
      <c r="AF1634" s="73"/>
      <c r="AG1634" s="73"/>
      <c r="AH1634" s="73"/>
      <c r="AI1634" s="73"/>
      <c r="AJ1634" s="168"/>
      <c r="AK1634" s="73"/>
      <c r="AL1634" s="73"/>
      <c r="AM1634" s="73"/>
      <c r="AN1634" s="73"/>
      <c r="AO1634" s="73"/>
      <c r="AP1634" s="73"/>
      <c r="AQ1634" s="73"/>
      <c r="AR1634" s="73"/>
      <c r="AS1634" s="73"/>
      <c r="AT1634" s="73"/>
      <c r="AU1634" s="73"/>
      <c r="AV1634" s="73"/>
      <c r="AW1634" s="73"/>
      <c r="AX1634" s="73"/>
      <c r="AY1634" s="73"/>
      <c r="AZ1634" s="73"/>
      <c r="BA1634" s="73"/>
      <c r="BB1634" s="73"/>
      <c r="BC1634" s="73"/>
      <c r="BD1634" s="73"/>
      <c r="BE1634" s="73"/>
      <c r="BF1634" s="75"/>
      <c r="BG1634" s="73"/>
      <c r="BH1634" s="88"/>
      <c r="BI1634" s="73"/>
      <c r="BJ1634" s="73"/>
      <c r="BK1634" s="73"/>
      <c r="BL1634" s="73"/>
      <c r="BM1634" s="73"/>
      <c r="BN1634" s="73"/>
      <c r="BO1634" s="73"/>
      <c r="BP1634" s="73"/>
      <c r="BQ1634" s="73"/>
      <c r="BR1634" s="73"/>
      <c r="BS1634" s="73"/>
      <c r="BT1634" s="73"/>
      <c r="BU1634" s="73"/>
      <c r="BV1634" s="73"/>
      <c r="BW1634" s="73"/>
      <c r="BX1634" s="73"/>
      <c r="BY1634" s="73"/>
      <c r="BZ1634" s="73"/>
      <c r="CA1634" s="73"/>
      <c r="CB1634" s="73"/>
      <c r="CC1634" s="73"/>
      <c r="CD1634" s="73"/>
      <c r="CE1634" s="73"/>
      <c r="CF1634" s="73"/>
      <c r="CG1634" s="73"/>
      <c r="CH1634" s="73"/>
    </row>
    <row r="1635">
      <c r="A1635" s="73"/>
      <c r="B1635" s="73"/>
      <c r="C1635" s="73"/>
      <c r="D1635" s="73"/>
      <c r="E1635" s="140"/>
      <c r="F1635" s="80"/>
      <c r="G1635" s="80"/>
      <c r="H1635" s="73"/>
      <c r="I1635" s="73"/>
      <c r="J1635" s="73"/>
      <c r="K1635" s="73"/>
      <c r="L1635" s="73"/>
      <c r="M1635" s="73"/>
      <c r="N1635" s="73"/>
      <c r="O1635" s="73"/>
      <c r="P1635" s="73"/>
      <c r="Q1635" s="73"/>
      <c r="R1635" s="73"/>
      <c r="S1635" s="73"/>
      <c r="T1635" s="73"/>
      <c r="U1635" s="73"/>
      <c r="V1635" s="73"/>
      <c r="W1635" s="73"/>
      <c r="X1635" s="73"/>
      <c r="Y1635" s="73"/>
      <c r="Z1635" s="73"/>
      <c r="AA1635" s="73"/>
      <c r="AB1635" s="73"/>
      <c r="AC1635" s="73"/>
      <c r="AD1635" s="73"/>
      <c r="AE1635" s="73"/>
      <c r="AF1635" s="73"/>
      <c r="AG1635" s="73"/>
      <c r="AH1635" s="73"/>
      <c r="AI1635" s="73"/>
      <c r="AJ1635" s="168"/>
      <c r="AK1635" s="73"/>
      <c r="AL1635" s="73"/>
      <c r="AM1635" s="73"/>
      <c r="AN1635" s="73"/>
      <c r="AO1635" s="73"/>
      <c r="AP1635" s="73"/>
      <c r="AQ1635" s="73"/>
      <c r="AR1635" s="73"/>
      <c r="AS1635" s="73"/>
      <c r="AT1635" s="73"/>
      <c r="AU1635" s="73"/>
      <c r="AV1635" s="73"/>
      <c r="AW1635" s="73"/>
      <c r="AX1635" s="73"/>
      <c r="AY1635" s="73"/>
      <c r="AZ1635" s="73"/>
      <c r="BA1635" s="73"/>
      <c r="BB1635" s="73"/>
      <c r="BC1635" s="73"/>
      <c r="BD1635" s="73"/>
      <c r="BE1635" s="73"/>
      <c r="BF1635" s="75"/>
      <c r="BG1635" s="73"/>
      <c r="BH1635" s="88"/>
      <c r="BI1635" s="73"/>
      <c r="BJ1635" s="73"/>
      <c r="BK1635" s="73"/>
      <c r="BL1635" s="73"/>
      <c r="BM1635" s="73"/>
      <c r="BN1635" s="73"/>
      <c r="BO1635" s="73"/>
      <c r="BP1635" s="73"/>
      <c r="BQ1635" s="73"/>
      <c r="BR1635" s="73"/>
      <c r="BS1635" s="73"/>
      <c r="BT1635" s="73"/>
      <c r="BU1635" s="73"/>
      <c r="BV1635" s="73"/>
      <c r="BW1635" s="73"/>
      <c r="BX1635" s="73"/>
      <c r="BY1635" s="73"/>
      <c r="BZ1635" s="73"/>
      <c r="CA1635" s="73"/>
      <c r="CB1635" s="73"/>
      <c r="CC1635" s="73"/>
      <c r="CD1635" s="73"/>
      <c r="CE1635" s="73"/>
      <c r="CF1635" s="73"/>
      <c r="CG1635" s="73"/>
      <c r="CH1635" s="73"/>
    </row>
    <row r="1636">
      <c r="A1636" s="73"/>
      <c r="B1636" s="73"/>
      <c r="C1636" s="73"/>
      <c r="D1636" s="73"/>
      <c r="E1636" s="140"/>
      <c r="F1636" s="80"/>
      <c r="G1636" s="80"/>
      <c r="H1636" s="73"/>
      <c r="I1636" s="73"/>
      <c r="J1636" s="73"/>
      <c r="K1636" s="73"/>
      <c r="L1636" s="73"/>
      <c r="M1636" s="73"/>
      <c r="N1636" s="73"/>
      <c r="O1636" s="73"/>
      <c r="P1636" s="73"/>
      <c r="Q1636" s="73"/>
      <c r="R1636" s="73"/>
      <c r="S1636" s="73"/>
      <c r="T1636" s="73"/>
      <c r="U1636" s="73"/>
      <c r="V1636" s="73"/>
      <c r="W1636" s="73"/>
      <c r="X1636" s="73"/>
      <c r="Y1636" s="73"/>
      <c r="Z1636" s="73"/>
      <c r="AA1636" s="73"/>
      <c r="AB1636" s="73"/>
      <c r="AC1636" s="73"/>
      <c r="AD1636" s="73"/>
      <c r="AE1636" s="73"/>
      <c r="AF1636" s="73"/>
      <c r="AG1636" s="73"/>
      <c r="AH1636" s="73"/>
      <c r="AI1636" s="73"/>
      <c r="AJ1636" s="168"/>
      <c r="AK1636" s="73"/>
      <c r="AL1636" s="73"/>
      <c r="AM1636" s="73"/>
      <c r="AN1636" s="73"/>
      <c r="AO1636" s="73"/>
      <c r="AP1636" s="73"/>
      <c r="AQ1636" s="73"/>
      <c r="AR1636" s="73"/>
      <c r="AS1636" s="73"/>
      <c r="AT1636" s="73"/>
      <c r="AU1636" s="73"/>
      <c r="AV1636" s="73"/>
      <c r="AW1636" s="73"/>
      <c r="AX1636" s="73"/>
      <c r="AY1636" s="73"/>
      <c r="AZ1636" s="73"/>
      <c r="BA1636" s="73"/>
      <c r="BB1636" s="73"/>
      <c r="BC1636" s="73"/>
      <c r="BD1636" s="73"/>
      <c r="BE1636" s="73"/>
      <c r="BF1636" s="75"/>
      <c r="BG1636" s="73"/>
      <c r="BH1636" s="88"/>
      <c r="BI1636" s="73"/>
      <c r="BJ1636" s="73"/>
      <c r="BK1636" s="73"/>
      <c r="BL1636" s="73"/>
      <c r="BM1636" s="73"/>
      <c r="BN1636" s="73"/>
      <c r="BO1636" s="73"/>
      <c r="BP1636" s="73"/>
      <c r="BQ1636" s="73"/>
      <c r="BR1636" s="73"/>
      <c r="BS1636" s="73"/>
      <c r="BT1636" s="73"/>
      <c r="BU1636" s="73"/>
      <c r="BV1636" s="73"/>
      <c r="BW1636" s="73"/>
      <c r="BX1636" s="73"/>
      <c r="BY1636" s="73"/>
      <c r="BZ1636" s="73"/>
      <c r="CA1636" s="73"/>
      <c r="CB1636" s="73"/>
      <c r="CC1636" s="73"/>
      <c r="CD1636" s="73"/>
      <c r="CE1636" s="73"/>
      <c r="CF1636" s="73"/>
      <c r="CG1636" s="73"/>
      <c r="CH1636" s="73"/>
    </row>
    <row r="1637">
      <c r="A1637" s="73"/>
      <c r="B1637" s="73"/>
      <c r="C1637" s="73"/>
      <c r="D1637" s="73"/>
      <c r="E1637" s="140"/>
      <c r="F1637" s="80"/>
      <c r="G1637" s="80"/>
      <c r="H1637" s="73"/>
      <c r="I1637" s="73"/>
      <c r="J1637" s="73"/>
      <c r="K1637" s="73"/>
      <c r="L1637" s="73"/>
      <c r="M1637" s="73"/>
      <c r="N1637" s="73"/>
      <c r="O1637" s="73"/>
      <c r="P1637" s="73"/>
      <c r="Q1637" s="73"/>
      <c r="R1637" s="73"/>
      <c r="S1637" s="73"/>
      <c r="T1637" s="73"/>
      <c r="U1637" s="73"/>
      <c r="V1637" s="73"/>
      <c r="W1637" s="73"/>
      <c r="X1637" s="73"/>
      <c r="Y1637" s="73"/>
      <c r="Z1637" s="73"/>
      <c r="AA1637" s="73"/>
      <c r="AB1637" s="73"/>
      <c r="AC1637" s="73"/>
      <c r="AD1637" s="73"/>
      <c r="AE1637" s="73"/>
      <c r="AF1637" s="73"/>
      <c r="AG1637" s="73"/>
      <c r="AH1637" s="73"/>
      <c r="AI1637" s="73"/>
      <c r="AJ1637" s="168"/>
      <c r="AK1637" s="73"/>
      <c r="AL1637" s="73"/>
      <c r="AM1637" s="73"/>
      <c r="AN1637" s="73"/>
      <c r="AO1637" s="73"/>
      <c r="AP1637" s="73"/>
      <c r="AQ1637" s="73"/>
      <c r="AR1637" s="73"/>
      <c r="AS1637" s="73"/>
      <c r="AT1637" s="73"/>
      <c r="AU1637" s="73"/>
      <c r="AV1637" s="73"/>
      <c r="AW1637" s="73"/>
      <c r="AX1637" s="73"/>
      <c r="AY1637" s="73"/>
      <c r="AZ1637" s="73"/>
      <c r="BA1637" s="73"/>
      <c r="BB1637" s="73"/>
      <c r="BC1637" s="73"/>
      <c r="BD1637" s="73"/>
      <c r="BE1637" s="73"/>
      <c r="BF1637" s="75"/>
      <c r="BG1637" s="73"/>
      <c r="BH1637" s="88"/>
      <c r="BI1637" s="73"/>
      <c r="BJ1637" s="73"/>
      <c r="BK1637" s="73"/>
      <c r="BL1637" s="73"/>
      <c r="BM1637" s="73"/>
      <c r="BN1637" s="73"/>
      <c r="BO1637" s="73"/>
      <c r="BP1637" s="73"/>
      <c r="BQ1637" s="73"/>
      <c r="BR1637" s="73"/>
      <c r="BS1637" s="73"/>
      <c r="BT1637" s="73"/>
      <c r="BU1637" s="73"/>
      <c r="BV1637" s="73"/>
      <c r="BW1637" s="73"/>
      <c r="BX1637" s="73"/>
      <c r="BY1637" s="73"/>
      <c r="BZ1637" s="73"/>
      <c r="CA1637" s="73"/>
      <c r="CB1637" s="73"/>
      <c r="CC1637" s="73"/>
      <c r="CD1637" s="73"/>
      <c r="CE1637" s="73"/>
      <c r="CF1637" s="73"/>
      <c r="CG1637" s="73"/>
      <c r="CH1637" s="73"/>
    </row>
    <row r="1638">
      <c r="A1638" s="73"/>
      <c r="B1638" s="73"/>
      <c r="C1638" s="73"/>
      <c r="D1638" s="73"/>
      <c r="E1638" s="140"/>
      <c r="F1638" s="80"/>
      <c r="G1638" s="80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  <c r="S1638" s="73"/>
      <c r="T1638" s="73"/>
      <c r="U1638" s="73"/>
      <c r="V1638" s="73"/>
      <c r="W1638" s="73"/>
      <c r="X1638" s="73"/>
      <c r="Y1638" s="73"/>
      <c r="Z1638" s="73"/>
      <c r="AA1638" s="73"/>
      <c r="AB1638" s="73"/>
      <c r="AC1638" s="73"/>
      <c r="AD1638" s="73"/>
      <c r="AE1638" s="73"/>
      <c r="AF1638" s="73"/>
      <c r="AG1638" s="73"/>
      <c r="AH1638" s="73"/>
      <c r="AI1638" s="73"/>
      <c r="AJ1638" s="168"/>
      <c r="AK1638" s="73"/>
      <c r="AL1638" s="73"/>
      <c r="AM1638" s="73"/>
      <c r="AN1638" s="73"/>
      <c r="AO1638" s="73"/>
      <c r="AP1638" s="73"/>
      <c r="AQ1638" s="73"/>
      <c r="AR1638" s="73"/>
      <c r="AS1638" s="73"/>
      <c r="AT1638" s="73"/>
      <c r="AU1638" s="73"/>
      <c r="AV1638" s="73"/>
      <c r="AW1638" s="73"/>
      <c r="AX1638" s="73"/>
      <c r="AY1638" s="73"/>
      <c r="AZ1638" s="73"/>
      <c r="BA1638" s="73"/>
      <c r="BB1638" s="73"/>
      <c r="BC1638" s="73"/>
      <c r="BD1638" s="73"/>
      <c r="BE1638" s="73"/>
      <c r="BF1638" s="75"/>
      <c r="BG1638" s="73"/>
      <c r="BH1638" s="88"/>
      <c r="BI1638" s="73"/>
      <c r="BJ1638" s="73"/>
      <c r="BK1638" s="73"/>
      <c r="BL1638" s="73"/>
      <c r="BM1638" s="73"/>
      <c r="BN1638" s="73"/>
      <c r="BO1638" s="73"/>
      <c r="BP1638" s="73"/>
      <c r="BQ1638" s="73"/>
      <c r="BR1638" s="73"/>
      <c r="BS1638" s="73"/>
      <c r="BT1638" s="73"/>
      <c r="BU1638" s="73"/>
      <c r="BV1638" s="73"/>
      <c r="BW1638" s="73"/>
      <c r="BX1638" s="73"/>
      <c r="BY1638" s="73"/>
      <c r="BZ1638" s="73"/>
      <c r="CA1638" s="73"/>
      <c r="CB1638" s="73"/>
      <c r="CC1638" s="73"/>
      <c r="CD1638" s="73"/>
      <c r="CE1638" s="73"/>
      <c r="CF1638" s="73"/>
      <c r="CG1638" s="73"/>
      <c r="CH1638" s="73"/>
    </row>
    <row r="1639">
      <c r="A1639" s="73"/>
      <c r="B1639" s="73"/>
      <c r="C1639" s="73"/>
      <c r="D1639" s="73"/>
      <c r="E1639" s="140"/>
      <c r="F1639" s="80"/>
      <c r="G1639" s="80"/>
      <c r="H1639" s="73"/>
      <c r="I1639" s="73"/>
      <c r="J1639" s="73"/>
      <c r="K1639" s="73"/>
      <c r="L1639" s="73"/>
      <c r="M1639" s="73"/>
      <c r="N1639" s="73"/>
      <c r="O1639" s="73"/>
      <c r="P1639" s="73"/>
      <c r="Q1639" s="73"/>
      <c r="R1639" s="73"/>
      <c r="S1639" s="73"/>
      <c r="T1639" s="73"/>
      <c r="U1639" s="73"/>
      <c r="V1639" s="73"/>
      <c r="W1639" s="73"/>
      <c r="X1639" s="73"/>
      <c r="Y1639" s="73"/>
      <c r="Z1639" s="73"/>
      <c r="AA1639" s="73"/>
      <c r="AB1639" s="73"/>
      <c r="AC1639" s="73"/>
      <c r="AD1639" s="73"/>
      <c r="AE1639" s="73"/>
      <c r="AF1639" s="73"/>
      <c r="AG1639" s="73"/>
      <c r="AH1639" s="73"/>
      <c r="AI1639" s="73"/>
      <c r="AJ1639" s="168"/>
      <c r="AK1639" s="73"/>
      <c r="AL1639" s="73"/>
      <c r="AM1639" s="73"/>
      <c r="AN1639" s="73"/>
      <c r="AO1639" s="73"/>
      <c r="AP1639" s="73"/>
      <c r="AQ1639" s="73"/>
      <c r="AR1639" s="73"/>
      <c r="AS1639" s="73"/>
      <c r="AT1639" s="73"/>
      <c r="AU1639" s="73"/>
      <c r="AV1639" s="73"/>
      <c r="AW1639" s="73"/>
      <c r="AX1639" s="73"/>
      <c r="AY1639" s="73"/>
      <c r="AZ1639" s="73"/>
      <c r="BA1639" s="73"/>
      <c r="BB1639" s="73"/>
      <c r="BC1639" s="73"/>
      <c r="BD1639" s="73"/>
      <c r="BE1639" s="73"/>
      <c r="BF1639" s="75"/>
      <c r="BG1639" s="73"/>
      <c r="BH1639" s="88"/>
      <c r="BI1639" s="73"/>
      <c r="BJ1639" s="73"/>
      <c r="BK1639" s="73"/>
      <c r="BL1639" s="73"/>
      <c r="BM1639" s="73"/>
      <c r="BN1639" s="73"/>
      <c r="BO1639" s="73"/>
      <c r="BP1639" s="73"/>
      <c r="BQ1639" s="73"/>
      <c r="BR1639" s="73"/>
      <c r="BS1639" s="73"/>
      <c r="BT1639" s="73"/>
      <c r="BU1639" s="73"/>
      <c r="BV1639" s="73"/>
      <c r="BW1639" s="73"/>
      <c r="BX1639" s="73"/>
      <c r="BY1639" s="73"/>
      <c r="BZ1639" s="73"/>
      <c r="CA1639" s="73"/>
      <c r="CB1639" s="73"/>
      <c r="CC1639" s="73"/>
      <c r="CD1639" s="73"/>
      <c r="CE1639" s="73"/>
      <c r="CF1639" s="73"/>
      <c r="CG1639" s="73"/>
      <c r="CH1639" s="73"/>
    </row>
    <row r="1640">
      <c r="A1640" s="73"/>
      <c r="B1640" s="73"/>
      <c r="C1640" s="73"/>
      <c r="D1640" s="73"/>
      <c r="E1640" s="140"/>
      <c r="F1640" s="80"/>
      <c r="G1640" s="80"/>
      <c r="H1640" s="73"/>
      <c r="I1640" s="73"/>
      <c r="J1640" s="73"/>
      <c r="K1640" s="73"/>
      <c r="L1640" s="73"/>
      <c r="M1640" s="73"/>
      <c r="N1640" s="73"/>
      <c r="O1640" s="73"/>
      <c r="P1640" s="73"/>
      <c r="Q1640" s="73"/>
      <c r="R1640" s="73"/>
      <c r="S1640" s="73"/>
      <c r="T1640" s="73"/>
      <c r="U1640" s="73"/>
      <c r="V1640" s="73"/>
      <c r="W1640" s="73"/>
      <c r="X1640" s="73"/>
      <c r="Y1640" s="73"/>
      <c r="Z1640" s="73"/>
      <c r="AA1640" s="73"/>
      <c r="AB1640" s="73"/>
      <c r="AC1640" s="73"/>
      <c r="AD1640" s="73"/>
      <c r="AE1640" s="73"/>
      <c r="AF1640" s="73"/>
      <c r="AG1640" s="73"/>
      <c r="AH1640" s="73"/>
      <c r="AI1640" s="73"/>
      <c r="AJ1640" s="168"/>
      <c r="AK1640" s="73"/>
      <c r="AL1640" s="73"/>
      <c r="AM1640" s="73"/>
      <c r="AN1640" s="73"/>
      <c r="AO1640" s="73"/>
      <c r="AP1640" s="73"/>
      <c r="AQ1640" s="73"/>
      <c r="AR1640" s="73"/>
      <c r="AS1640" s="73"/>
      <c r="AT1640" s="73"/>
      <c r="AU1640" s="73"/>
      <c r="AV1640" s="73"/>
      <c r="AW1640" s="73"/>
      <c r="AX1640" s="73"/>
      <c r="AY1640" s="73"/>
      <c r="AZ1640" s="73"/>
      <c r="BA1640" s="73"/>
      <c r="BB1640" s="73"/>
      <c r="BC1640" s="73"/>
      <c r="BD1640" s="73"/>
      <c r="BE1640" s="73"/>
      <c r="BF1640" s="75"/>
      <c r="BG1640" s="73"/>
      <c r="BH1640" s="88"/>
      <c r="BI1640" s="73"/>
      <c r="BJ1640" s="73"/>
      <c r="BK1640" s="73"/>
      <c r="BL1640" s="73"/>
      <c r="BM1640" s="73"/>
      <c r="BN1640" s="73"/>
      <c r="BO1640" s="73"/>
      <c r="BP1640" s="73"/>
      <c r="BQ1640" s="73"/>
      <c r="BR1640" s="73"/>
      <c r="BS1640" s="73"/>
      <c r="BT1640" s="73"/>
      <c r="BU1640" s="73"/>
      <c r="BV1640" s="73"/>
      <c r="BW1640" s="73"/>
      <c r="BX1640" s="73"/>
      <c r="BY1640" s="73"/>
      <c r="BZ1640" s="73"/>
      <c r="CA1640" s="73"/>
      <c r="CB1640" s="73"/>
      <c r="CC1640" s="73"/>
      <c r="CD1640" s="73"/>
      <c r="CE1640" s="73"/>
      <c r="CF1640" s="73"/>
      <c r="CG1640" s="73"/>
      <c r="CH1640" s="73"/>
    </row>
    <row r="1641">
      <c r="A1641" s="73"/>
      <c r="B1641" s="73"/>
      <c r="C1641" s="73"/>
      <c r="D1641" s="73"/>
      <c r="E1641" s="140"/>
      <c r="F1641" s="80"/>
      <c r="G1641" s="80"/>
      <c r="H1641" s="73"/>
      <c r="I1641" s="73"/>
      <c r="J1641" s="73"/>
      <c r="K1641" s="73"/>
      <c r="L1641" s="73"/>
      <c r="M1641" s="73"/>
      <c r="N1641" s="73"/>
      <c r="O1641" s="73"/>
      <c r="P1641" s="73"/>
      <c r="Q1641" s="73"/>
      <c r="R1641" s="73"/>
      <c r="S1641" s="73"/>
      <c r="T1641" s="73"/>
      <c r="U1641" s="73"/>
      <c r="V1641" s="73"/>
      <c r="W1641" s="73"/>
      <c r="X1641" s="73"/>
      <c r="Y1641" s="73"/>
      <c r="Z1641" s="73"/>
      <c r="AA1641" s="73"/>
      <c r="AB1641" s="73"/>
      <c r="AC1641" s="73"/>
      <c r="AD1641" s="73"/>
      <c r="AE1641" s="73"/>
      <c r="AF1641" s="73"/>
      <c r="AG1641" s="73"/>
      <c r="AH1641" s="73"/>
      <c r="AI1641" s="73"/>
      <c r="AJ1641" s="168"/>
      <c r="AK1641" s="73"/>
      <c r="AL1641" s="73"/>
      <c r="AM1641" s="73"/>
      <c r="AN1641" s="73"/>
      <c r="AO1641" s="73"/>
      <c r="AP1641" s="73"/>
      <c r="AQ1641" s="73"/>
      <c r="AR1641" s="73"/>
      <c r="AS1641" s="73"/>
      <c r="AT1641" s="73"/>
      <c r="AU1641" s="73"/>
      <c r="AV1641" s="73"/>
      <c r="AW1641" s="73"/>
      <c r="AX1641" s="73"/>
      <c r="AY1641" s="73"/>
      <c r="AZ1641" s="73"/>
      <c r="BA1641" s="73"/>
      <c r="BB1641" s="73"/>
      <c r="BC1641" s="73"/>
      <c r="BD1641" s="73"/>
      <c r="BE1641" s="73"/>
      <c r="BF1641" s="75"/>
      <c r="BG1641" s="73"/>
      <c r="BH1641" s="88"/>
      <c r="BI1641" s="73"/>
      <c r="BJ1641" s="73"/>
      <c r="BK1641" s="73"/>
      <c r="BL1641" s="73"/>
      <c r="BM1641" s="73"/>
      <c r="BN1641" s="73"/>
      <c r="BO1641" s="73"/>
      <c r="BP1641" s="73"/>
      <c r="BQ1641" s="73"/>
      <c r="BR1641" s="73"/>
      <c r="BS1641" s="73"/>
      <c r="BT1641" s="73"/>
      <c r="BU1641" s="73"/>
      <c r="BV1641" s="73"/>
      <c r="BW1641" s="73"/>
      <c r="BX1641" s="73"/>
      <c r="BY1641" s="73"/>
      <c r="BZ1641" s="73"/>
      <c r="CA1641" s="73"/>
      <c r="CB1641" s="73"/>
      <c r="CC1641" s="73"/>
      <c r="CD1641" s="73"/>
      <c r="CE1641" s="73"/>
      <c r="CF1641" s="73"/>
      <c r="CG1641" s="73"/>
      <c r="CH1641" s="73"/>
    </row>
    <row r="1642">
      <c r="A1642" s="73"/>
      <c r="B1642" s="73"/>
      <c r="C1642" s="73"/>
      <c r="D1642" s="73"/>
      <c r="E1642" s="140"/>
      <c r="F1642" s="80"/>
      <c r="G1642" s="80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  <c r="S1642" s="73"/>
      <c r="T1642" s="73"/>
      <c r="U1642" s="73"/>
      <c r="V1642" s="73"/>
      <c r="W1642" s="73"/>
      <c r="X1642" s="73"/>
      <c r="Y1642" s="73"/>
      <c r="Z1642" s="73"/>
      <c r="AA1642" s="73"/>
      <c r="AB1642" s="73"/>
      <c r="AC1642" s="73"/>
      <c r="AD1642" s="73"/>
      <c r="AE1642" s="73"/>
      <c r="AF1642" s="73"/>
      <c r="AG1642" s="73"/>
      <c r="AH1642" s="73"/>
      <c r="AI1642" s="73"/>
      <c r="AJ1642" s="168"/>
      <c r="AK1642" s="73"/>
      <c r="AL1642" s="73"/>
      <c r="AM1642" s="73"/>
      <c r="AN1642" s="73"/>
      <c r="AO1642" s="73"/>
      <c r="AP1642" s="73"/>
      <c r="AQ1642" s="73"/>
      <c r="AR1642" s="73"/>
      <c r="AS1642" s="73"/>
      <c r="AT1642" s="73"/>
      <c r="AU1642" s="73"/>
      <c r="AV1642" s="73"/>
      <c r="AW1642" s="73"/>
      <c r="AX1642" s="73"/>
      <c r="AY1642" s="73"/>
      <c r="AZ1642" s="73"/>
      <c r="BA1642" s="73"/>
      <c r="BB1642" s="73"/>
      <c r="BC1642" s="73"/>
      <c r="BD1642" s="73"/>
      <c r="BE1642" s="73"/>
      <c r="BF1642" s="75"/>
      <c r="BG1642" s="73"/>
      <c r="BH1642" s="88"/>
      <c r="BI1642" s="73"/>
      <c r="BJ1642" s="73"/>
      <c r="BK1642" s="73"/>
      <c r="BL1642" s="73"/>
      <c r="BM1642" s="73"/>
      <c r="BN1642" s="73"/>
      <c r="BO1642" s="73"/>
      <c r="BP1642" s="73"/>
      <c r="BQ1642" s="73"/>
      <c r="BR1642" s="73"/>
      <c r="BS1642" s="73"/>
      <c r="BT1642" s="73"/>
      <c r="BU1642" s="73"/>
      <c r="BV1642" s="73"/>
      <c r="BW1642" s="73"/>
      <c r="BX1642" s="73"/>
      <c r="BY1642" s="73"/>
      <c r="BZ1642" s="73"/>
      <c r="CA1642" s="73"/>
      <c r="CB1642" s="73"/>
      <c r="CC1642" s="73"/>
      <c r="CD1642" s="73"/>
      <c r="CE1642" s="73"/>
      <c r="CF1642" s="73"/>
      <c r="CG1642" s="73"/>
      <c r="CH1642" s="73"/>
    </row>
    <row r="1643">
      <c r="A1643" s="73"/>
      <c r="B1643" s="73"/>
      <c r="C1643" s="73"/>
      <c r="D1643" s="73"/>
      <c r="E1643" s="140"/>
      <c r="F1643" s="80"/>
      <c r="G1643" s="80"/>
      <c r="H1643" s="73"/>
      <c r="I1643" s="73"/>
      <c r="J1643" s="73"/>
      <c r="K1643" s="73"/>
      <c r="L1643" s="73"/>
      <c r="M1643" s="73"/>
      <c r="N1643" s="73"/>
      <c r="O1643" s="73"/>
      <c r="P1643" s="73"/>
      <c r="Q1643" s="73"/>
      <c r="R1643" s="73"/>
      <c r="S1643" s="73"/>
      <c r="T1643" s="73"/>
      <c r="U1643" s="73"/>
      <c r="V1643" s="73"/>
      <c r="W1643" s="73"/>
      <c r="X1643" s="73"/>
      <c r="Y1643" s="73"/>
      <c r="Z1643" s="73"/>
      <c r="AA1643" s="73"/>
      <c r="AB1643" s="73"/>
      <c r="AC1643" s="73"/>
      <c r="AD1643" s="73"/>
      <c r="AE1643" s="73"/>
      <c r="AF1643" s="73"/>
      <c r="AG1643" s="73"/>
      <c r="AH1643" s="73"/>
      <c r="AI1643" s="73"/>
      <c r="AJ1643" s="168"/>
      <c r="AK1643" s="73"/>
      <c r="AL1643" s="73"/>
      <c r="AM1643" s="73"/>
      <c r="AN1643" s="73"/>
      <c r="AO1643" s="73"/>
      <c r="AP1643" s="73"/>
      <c r="AQ1643" s="73"/>
      <c r="AR1643" s="73"/>
      <c r="AS1643" s="73"/>
      <c r="AT1643" s="73"/>
      <c r="AU1643" s="73"/>
      <c r="AV1643" s="73"/>
      <c r="AW1643" s="73"/>
      <c r="AX1643" s="73"/>
      <c r="AY1643" s="73"/>
      <c r="AZ1643" s="73"/>
      <c r="BA1643" s="73"/>
      <c r="BB1643" s="73"/>
      <c r="BC1643" s="73"/>
      <c r="BD1643" s="73"/>
      <c r="BE1643" s="73"/>
      <c r="BF1643" s="75"/>
      <c r="BG1643" s="73"/>
      <c r="BH1643" s="88"/>
      <c r="BI1643" s="73"/>
      <c r="BJ1643" s="73"/>
      <c r="BK1643" s="73"/>
      <c r="BL1643" s="73"/>
      <c r="BM1643" s="73"/>
      <c r="BN1643" s="73"/>
      <c r="BO1643" s="73"/>
      <c r="BP1643" s="73"/>
      <c r="BQ1643" s="73"/>
      <c r="BR1643" s="73"/>
      <c r="BS1643" s="73"/>
      <c r="BT1643" s="73"/>
      <c r="BU1643" s="73"/>
      <c r="BV1643" s="73"/>
      <c r="BW1643" s="73"/>
      <c r="BX1643" s="73"/>
      <c r="BY1643" s="73"/>
      <c r="BZ1643" s="73"/>
      <c r="CA1643" s="73"/>
      <c r="CB1643" s="73"/>
      <c r="CC1643" s="73"/>
      <c r="CD1643" s="73"/>
      <c r="CE1643" s="73"/>
      <c r="CF1643" s="73"/>
      <c r="CG1643" s="73"/>
      <c r="CH1643" s="73"/>
    </row>
    <row r="1644">
      <c r="A1644" s="73"/>
      <c r="B1644" s="73"/>
      <c r="C1644" s="73"/>
      <c r="D1644" s="73"/>
      <c r="E1644" s="140"/>
      <c r="F1644" s="80"/>
      <c r="G1644" s="80"/>
      <c r="H1644" s="73"/>
      <c r="I1644" s="73"/>
      <c r="J1644" s="73"/>
      <c r="K1644" s="73"/>
      <c r="L1644" s="73"/>
      <c r="M1644" s="73"/>
      <c r="N1644" s="73"/>
      <c r="O1644" s="73"/>
      <c r="P1644" s="73"/>
      <c r="Q1644" s="73"/>
      <c r="R1644" s="73"/>
      <c r="S1644" s="73"/>
      <c r="T1644" s="73"/>
      <c r="U1644" s="73"/>
      <c r="V1644" s="73"/>
      <c r="W1644" s="73"/>
      <c r="X1644" s="73"/>
      <c r="Y1644" s="73"/>
      <c r="Z1644" s="73"/>
      <c r="AA1644" s="73"/>
      <c r="AB1644" s="73"/>
      <c r="AC1644" s="73"/>
      <c r="AD1644" s="73"/>
      <c r="AE1644" s="73"/>
      <c r="AF1644" s="73"/>
      <c r="AG1644" s="73"/>
      <c r="AH1644" s="73"/>
      <c r="AI1644" s="73"/>
      <c r="AJ1644" s="168"/>
      <c r="AK1644" s="73"/>
      <c r="AL1644" s="73"/>
      <c r="AM1644" s="73"/>
      <c r="AN1644" s="73"/>
      <c r="AO1644" s="73"/>
      <c r="AP1644" s="73"/>
      <c r="AQ1644" s="73"/>
      <c r="AR1644" s="73"/>
      <c r="AS1644" s="73"/>
      <c r="AT1644" s="73"/>
      <c r="AU1644" s="73"/>
      <c r="AV1644" s="73"/>
      <c r="AW1644" s="73"/>
      <c r="AX1644" s="73"/>
      <c r="AY1644" s="73"/>
      <c r="AZ1644" s="73"/>
      <c r="BA1644" s="73"/>
      <c r="BB1644" s="73"/>
      <c r="BC1644" s="73"/>
      <c r="BD1644" s="73"/>
      <c r="BE1644" s="73"/>
      <c r="BF1644" s="75"/>
      <c r="BG1644" s="73"/>
      <c r="BH1644" s="88"/>
      <c r="BI1644" s="73"/>
      <c r="BJ1644" s="73"/>
      <c r="BK1644" s="73"/>
      <c r="BL1644" s="73"/>
      <c r="BM1644" s="73"/>
      <c r="BN1644" s="73"/>
      <c r="BO1644" s="73"/>
      <c r="BP1644" s="73"/>
      <c r="BQ1644" s="73"/>
      <c r="BR1644" s="73"/>
      <c r="BS1644" s="73"/>
      <c r="BT1644" s="73"/>
      <c r="BU1644" s="73"/>
      <c r="BV1644" s="73"/>
      <c r="BW1644" s="73"/>
      <c r="BX1644" s="73"/>
      <c r="BY1644" s="73"/>
      <c r="BZ1644" s="73"/>
      <c r="CA1644" s="73"/>
      <c r="CB1644" s="73"/>
      <c r="CC1644" s="73"/>
      <c r="CD1644" s="73"/>
      <c r="CE1644" s="73"/>
      <c r="CF1644" s="73"/>
      <c r="CG1644" s="73"/>
      <c r="CH1644" s="73"/>
    </row>
    <row r="1645">
      <c r="A1645" s="73"/>
      <c r="B1645" s="73"/>
      <c r="C1645" s="73"/>
      <c r="D1645" s="73"/>
      <c r="E1645" s="140"/>
      <c r="F1645" s="80"/>
      <c r="G1645" s="80"/>
      <c r="H1645" s="73"/>
      <c r="I1645" s="73"/>
      <c r="J1645" s="73"/>
      <c r="K1645" s="73"/>
      <c r="L1645" s="73"/>
      <c r="M1645" s="73"/>
      <c r="N1645" s="73"/>
      <c r="O1645" s="73"/>
      <c r="P1645" s="73"/>
      <c r="Q1645" s="73"/>
      <c r="R1645" s="73"/>
      <c r="S1645" s="73"/>
      <c r="T1645" s="73"/>
      <c r="U1645" s="73"/>
      <c r="V1645" s="73"/>
      <c r="W1645" s="73"/>
      <c r="X1645" s="73"/>
      <c r="Y1645" s="73"/>
      <c r="Z1645" s="73"/>
      <c r="AA1645" s="73"/>
      <c r="AB1645" s="73"/>
      <c r="AC1645" s="73"/>
      <c r="AD1645" s="73"/>
      <c r="AE1645" s="73"/>
      <c r="AF1645" s="73"/>
      <c r="AG1645" s="73"/>
      <c r="AH1645" s="73"/>
      <c r="AI1645" s="73"/>
      <c r="AJ1645" s="168"/>
      <c r="AK1645" s="73"/>
      <c r="AL1645" s="73"/>
      <c r="AM1645" s="73"/>
      <c r="AN1645" s="73"/>
      <c r="AO1645" s="73"/>
      <c r="AP1645" s="73"/>
      <c r="AQ1645" s="73"/>
      <c r="AR1645" s="73"/>
      <c r="AS1645" s="73"/>
      <c r="AT1645" s="73"/>
      <c r="AU1645" s="73"/>
      <c r="AV1645" s="73"/>
      <c r="AW1645" s="73"/>
      <c r="AX1645" s="73"/>
      <c r="AY1645" s="73"/>
      <c r="AZ1645" s="73"/>
      <c r="BA1645" s="73"/>
      <c r="BB1645" s="73"/>
      <c r="BC1645" s="73"/>
      <c r="BD1645" s="73"/>
      <c r="BE1645" s="73"/>
      <c r="BF1645" s="75"/>
      <c r="BG1645" s="73"/>
      <c r="BH1645" s="88"/>
      <c r="BI1645" s="73"/>
      <c r="BJ1645" s="73"/>
      <c r="BK1645" s="73"/>
      <c r="BL1645" s="73"/>
      <c r="BM1645" s="73"/>
      <c r="BN1645" s="73"/>
      <c r="BO1645" s="73"/>
      <c r="BP1645" s="73"/>
      <c r="BQ1645" s="73"/>
      <c r="BR1645" s="73"/>
      <c r="BS1645" s="73"/>
      <c r="BT1645" s="73"/>
      <c r="BU1645" s="73"/>
      <c r="BV1645" s="73"/>
      <c r="BW1645" s="73"/>
      <c r="BX1645" s="73"/>
      <c r="BY1645" s="73"/>
      <c r="BZ1645" s="73"/>
      <c r="CA1645" s="73"/>
      <c r="CB1645" s="73"/>
      <c r="CC1645" s="73"/>
      <c r="CD1645" s="73"/>
      <c r="CE1645" s="73"/>
      <c r="CF1645" s="73"/>
      <c r="CG1645" s="73"/>
      <c r="CH1645" s="73"/>
    </row>
    <row r="1646">
      <c r="A1646" s="73"/>
      <c r="B1646" s="73"/>
      <c r="C1646" s="73"/>
      <c r="D1646" s="73"/>
      <c r="E1646" s="140"/>
      <c r="F1646" s="80"/>
      <c r="G1646" s="80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  <c r="S1646" s="73"/>
      <c r="T1646" s="73"/>
      <c r="U1646" s="73"/>
      <c r="V1646" s="73"/>
      <c r="W1646" s="73"/>
      <c r="X1646" s="73"/>
      <c r="Y1646" s="73"/>
      <c r="Z1646" s="73"/>
      <c r="AA1646" s="73"/>
      <c r="AB1646" s="73"/>
      <c r="AC1646" s="73"/>
      <c r="AD1646" s="73"/>
      <c r="AE1646" s="73"/>
      <c r="AF1646" s="73"/>
      <c r="AG1646" s="73"/>
      <c r="AH1646" s="73"/>
      <c r="AI1646" s="73"/>
      <c r="AJ1646" s="168"/>
      <c r="AK1646" s="73"/>
      <c r="AL1646" s="73"/>
      <c r="AM1646" s="73"/>
      <c r="AN1646" s="73"/>
      <c r="AO1646" s="73"/>
      <c r="AP1646" s="73"/>
      <c r="AQ1646" s="73"/>
      <c r="AR1646" s="73"/>
      <c r="AS1646" s="73"/>
      <c r="AT1646" s="73"/>
      <c r="AU1646" s="73"/>
      <c r="AV1646" s="73"/>
      <c r="AW1646" s="73"/>
      <c r="AX1646" s="73"/>
      <c r="AY1646" s="73"/>
      <c r="AZ1646" s="73"/>
      <c r="BA1646" s="73"/>
      <c r="BB1646" s="73"/>
      <c r="BC1646" s="73"/>
      <c r="BD1646" s="73"/>
      <c r="BE1646" s="73"/>
      <c r="BF1646" s="75"/>
      <c r="BG1646" s="73"/>
      <c r="BH1646" s="88"/>
      <c r="BI1646" s="73"/>
      <c r="BJ1646" s="73"/>
      <c r="BK1646" s="73"/>
      <c r="BL1646" s="73"/>
      <c r="BM1646" s="73"/>
      <c r="BN1646" s="73"/>
      <c r="BO1646" s="73"/>
      <c r="BP1646" s="73"/>
      <c r="BQ1646" s="73"/>
      <c r="BR1646" s="73"/>
      <c r="BS1646" s="73"/>
      <c r="BT1646" s="73"/>
      <c r="BU1646" s="73"/>
      <c r="BV1646" s="73"/>
      <c r="BW1646" s="73"/>
      <c r="BX1646" s="73"/>
      <c r="BY1646" s="73"/>
      <c r="BZ1646" s="73"/>
      <c r="CA1646" s="73"/>
      <c r="CB1646" s="73"/>
      <c r="CC1646" s="73"/>
      <c r="CD1646" s="73"/>
      <c r="CE1646" s="73"/>
      <c r="CF1646" s="73"/>
      <c r="CG1646" s="73"/>
      <c r="CH1646" s="73"/>
    </row>
    <row r="1647">
      <c r="A1647" s="73"/>
      <c r="B1647" s="73"/>
      <c r="C1647" s="73"/>
      <c r="D1647" s="73"/>
      <c r="E1647" s="140"/>
      <c r="F1647" s="80"/>
      <c r="G1647" s="80"/>
      <c r="H1647" s="73"/>
      <c r="I1647" s="73"/>
      <c r="J1647" s="73"/>
      <c r="K1647" s="73"/>
      <c r="L1647" s="73"/>
      <c r="M1647" s="73"/>
      <c r="N1647" s="73"/>
      <c r="O1647" s="73"/>
      <c r="P1647" s="73"/>
      <c r="Q1647" s="73"/>
      <c r="R1647" s="73"/>
      <c r="S1647" s="73"/>
      <c r="T1647" s="73"/>
      <c r="U1647" s="73"/>
      <c r="V1647" s="73"/>
      <c r="W1647" s="73"/>
      <c r="X1647" s="73"/>
      <c r="Y1647" s="73"/>
      <c r="Z1647" s="73"/>
      <c r="AA1647" s="73"/>
      <c r="AB1647" s="73"/>
      <c r="AC1647" s="73"/>
      <c r="AD1647" s="73"/>
      <c r="AE1647" s="73"/>
      <c r="AF1647" s="73"/>
      <c r="AG1647" s="73"/>
      <c r="AH1647" s="73"/>
      <c r="AI1647" s="73"/>
      <c r="AJ1647" s="168"/>
      <c r="AK1647" s="73"/>
      <c r="AL1647" s="73"/>
      <c r="AM1647" s="73"/>
      <c r="AN1647" s="73"/>
      <c r="AO1647" s="73"/>
      <c r="AP1647" s="73"/>
      <c r="AQ1647" s="73"/>
      <c r="AR1647" s="73"/>
      <c r="AS1647" s="73"/>
      <c r="AT1647" s="73"/>
      <c r="AU1647" s="73"/>
      <c r="AV1647" s="73"/>
      <c r="AW1647" s="73"/>
      <c r="AX1647" s="73"/>
      <c r="AY1647" s="73"/>
      <c r="AZ1647" s="73"/>
      <c r="BA1647" s="73"/>
      <c r="BB1647" s="73"/>
      <c r="BC1647" s="73"/>
      <c r="BD1647" s="73"/>
      <c r="BE1647" s="73"/>
      <c r="BF1647" s="75"/>
      <c r="BG1647" s="73"/>
      <c r="BH1647" s="88"/>
      <c r="BI1647" s="73"/>
      <c r="BJ1647" s="73"/>
      <c r="BK1647" s="73"/>
      <c r="BL1647" s="73"/>
      <c r="BM1647" s="73"/>
      <c r="BN1647" s="73"/>
      <c r="BO1647" s="73"/>
      <c r="BP1647" s="73"/>
      <c r="BQ1647" s="73"/>
      <c r="BR1647" s="73"/>
      <c r="BS1647" s="73"/>
      <c r="BT1647" s="73"/>
      <c r="BU1647" s="73"/>
      <c r="BV1647" s="73"/>
      <c r="BW1647" s="73"/>
      <c r="BX1647" s="73"/>
      <c r="BY1647" s="73"/>
      <c r="BZ1647" s="73"/>
      <c r="CA1647" s="73"/>
      <c r="CB1647" s="73"/>
      <c r="CC1647" s="73"/>
      <c r="CD1647" s="73"/>
      <c r="CE1647" s="73"/>
      <c r="CF1647" s="73"/>
      <c r="CG1647" s="73"/>
      <c r="CH1647" s="73"/>
    </row>
    <row r="1648">
      <c r="A1648" s="73"/>
      <c r="B1648" s="73"/>
      <c r="C1648" s="73"/>
      <c r="D1648" s="73"/>
      <c r="E1648" s="140"/>
      <c r="F1648" s="80"/>
      <c r="G1648" s="80"/>
      <c r="H1648" s="73"/>
      <c r="I1648" s="73"/>
      <c r="J1648" s="73"/>
      <c r="K1648" s="73"/>
      <c r="L1648" s="73"/>
      <c r="M1648" s="73"/>
      <c r="N1648" s="73"/>
      <c r="O1648" s="73"/>
      <c r="P1648" s="73"/>
      <c r="Q1648" s="73"/>
      <c r="R1648" s="73"/>
      <c r="S1648" s="73"/>
      <c r="T1648" s="73"/>
      <c r="U1648" s="73"/>
      <c r="V1648" s="73"/>
      <c r="W1648" s="73"/>
      <c r="X1648" s="73"/>
      <c r="Y1648" s="73"/>
      <c r="Z1648" s="73"/>
      <c r="AA1648" s="73"/>
      <c r="AB1648" s="73"/>
      <c r="AC1648" s="73"/>
      <c r="AD1648" s="73"/>
      <c r="AE1648" s="73"/>
      <c r="AF1648" s="73"/>
      <c r="AG1648" s="73"/>
      <c r="AH1648" s="73"/>
      <c r="AI1648" s="73"/>
      <c r="AJ1648" s="168"/>
      <c r="AK1648" s="73"/>
      <c r="AL1648" s="73"/>
      <c r="AM1648" s="73"/>
      <c r="AN1648" s="73"/>
      <c r="AO1648" s="73"/>
      <c r="AP1648" s="73"/>
      <c r="AQ1648" s="73"/>
      <c r="AR1648" s="73"/>
      <c r="AS1648" s="73"/>
      <c r="AT1648" s="73"/>
      <c r="AU1648" s="73"/>
      <c r="AV1648" s="73"/>
      <c r="AW1648" s="73"/>
      <c r="AX1648" s="73"/>
      <c r="AY1648" s="73"/>
      <c r="AZ1648" s="73"/>
      <c r="BA1648" s="73"/>
      <c r="BB1648" s="73"/>
      <c r="BC1648" s="73"/>
      <c r="BD1648" s="73"/>
      <c r="BE1648" s="73"/>
      <c r="BF1648" s="75"/>
      <c r="BG1648" s="73"/>
      <c r="BH1648" s="88"/>
      <c r="BI1648" s="73"/>
      <c r="BJ1648" s="73"/>
      <c r="BK1648" s="73"/>
      <c r="BL1648" s="73"/>
      <c r="BM1648" s="73"/>
      <c r="BN1648" s="73"/>
      <c r="BO1648" s="73"/>
      <c r="BP1648" s="73"/>
      <c r="BQ1648" s="73"/>
      <c r="BR1648" s="73"/>
      <c r="BS1648" s="73"/>
      <c r="BT1648" s="73"/>
      <c r="BU1648" s="73"/>
      <c r="BV1648" s="73"/>
      <c r="BW1648" s="73"/>
      <c r="BX1648" s="73"/>
      <c r="BY1648" s="73"/>
      <c r="BZ1648" s="73"/>
      <c r="CA1648" s="73"/>
      <c r="CB1648" s="73"/>
      <c r="CC1648" s="73"/>
      <c r="CD1648" s="73"/>
      <c r="CE1648" s="73"/>
      <c r="CF1648" s="73"/>
      <c r="CG1648" s="73"/>
      <c r="CH1648" s="73"/>
    </row>
    <row r="1649">
      <c r="A1649" s="73"/>
      <c r="B1649" s="73"/>
      <c r="C1649" s="73"/>
      <c r="D1649" s="73"/>
      <c r="E1649" s="140"/>
      <c r="F1649" s="80"/>
      <c r="G1649" s="80"/>
      <c r="H1649" s="73"/>
      <c r="I1649" s="73"/>
      <c r="J1649" s="73"/>
      <c r="K1649" s="73"/>
      <c r="L1649" s="73"/>
      <c r="M1649" s="73"/>
      <c r="N1649" s="73"/>
      <c r="O1649" s="73"/>
      <c r="P1649" s="73"/>
      <c r="Q1649" s="73"/>
      <c r="R1649" s="73"/>
      <c r="S1649" s="73"/>
      <c r="T1649" s="73"/>
      <c r="U1649" s="73"/>
      <c r="V1649" s="73"/>
      <c r="W1649" s="73"/>
      <c r="X1649" s="73"/>
      <c r="Y1649" s="73"/>
      <c r="Z1649" s="73"/>
      <c r="AA1649" s="73"/>
      <c r="AB1649" s="73"/>
      <c r="AC1649" s="73"/>
      <c r="AD1649" s="73"/>
      <c r="AE1649" s="73"/>
      <c r="AF1649" s="73"/>
      <c r="AG1649" s="73"/>
      <c r="AH1649" s="73"/>
      <c r="AI1649" s="73"/>
      <c r="AJ1649" s="168"/>
      <c r="AK1649" s="73"/>
      <c r="AL1649" s="73"/>
      <c r="AM1649" s="73"/>
      <c r="AN1649" s="73"/>
      <c r="AO1649" s="73"/>
      <c r="AP1649" s="73"/>
      <c r="AQ1649" s="73"/>
      <c r="AR1649" s="73"/>
      <c r="AS1649" s="73"/>
      <c r="AT1649" s="73"/>
      <c r="AU1649" s="73"/>
      <c r="AV1649" s="73"/>
      <c r="AW1649" s="73"/>
      <c r="AX1649" s="73"/>
      <c r="AY1649" s="73"/>
      <c r="AZ1649" s="73"/>
      <c r="BA1649" s="73"/>
      <c r="BB1649" s="73"/>
      <c r="BC1649" s="73"/>
      <c r="BD1649" s="73"/>
      <c r="BE1649" s="73"/>
      <c r="BF1649" s="75"/>
      <c r="BG1649" s="73"/>
      <c r="BH1649" s="88"/>
      <c r="BI1649" s="73"/>
      <c r="BJ1649" s="73"/>
      <c r="BK1649" s="73"/>
      <c r="BL1649" s="73"/>
      <c r="BM1649" s="73"/>
      <c r="BN1649" s="73"/>
      <c r="BO1649" s="73"/>
      <c r="BP1649" s="73"/>
      <c r="BQ1649" s="73"/>
      <c r="BR1649" s="73"/>
      <c r="BS1649" s="73"/>
      <c r="BT1649" s="73"/>
      <c r="BU1649" s="73"/>
      <c r="BV1649" s="73"/>
      <c r="BW1649" s="73"/>
      <c r="BX1649" s="73"/>
      <c r="BY1649" s="73"/>
      <c r="BZ1649" s="73"/>
      <c r="CA1649" s="73"/>
      <c r="CB1649" s="73"/>
      <c r="CC1649" s="73"/>
      <c r="CD1649" s="73"/>
      <c r="CE1649" s="73"/>
      <c r="CF1649" s="73"/>
      <c r="CG1649" s="73"/>
      <c r="CH1649" s="73"/>
    </row>
    <row r="1650">
      <c r="A1650" s="73"/>
      <c r="B1650" s="73"/>
      <c r="C1650" s="73"/>
      <c r="D1650" s="73"/>
      <c r="E1650" s="140"/>
      <c r="F1650" s="80"/>
      <c r="G1650" s="80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  <c r="S1650" s="73"/>
      <c r="T1650" s="73"/>
      <c r="U1650" s="73"/>
      <c r="V1650" s="73"/>
      <c r="W1650" s="73"/>
      <c r="X1650" s="73"/>
      <c r="Y1650" s="73"/>
      <c r="Z1650" s="73"/>
      <c r="AA1650" s="73"/>
      <c r="AB1650" s="73"/>
      <c r="AC1650" s="73"/>
      <c r="AD1650" s="73"/>
      <c r="AE1650" s="73"/>
      <c r="AF1650" s="73"/>
      <c r="AG1650" s="73"/>
      <c r="AH1650" s="73"/>
      <c r="AI1650" s="73"/>
      <c r="AJ1650" s="168"/>
      <c r="AK1650" s="73"/>
      <c r="AL1650" s="73"/>
      <c r="AM1650" s="73"/>
      <c r="AN1650" s="73"/>
      <c r="AO1650" s="73"/>
      <c r="AP1650" s="73"/>
      <c r="AQ1650" s="73"/>
      <c r="AR1650" s="73"/>
      <c r="AS1650" s="73"/>
      <c r="AT1650" s="73"/>
      <c r="AU1650" s="73"/>
      <c r="AV1650" s="73"/>
      <c r="AW1650" s="73"/>
      <c r="AX1650" s="73"/>
      <c r="AY1650" s="73"/>
      <c r="AZ1650" s="73"/>
      <c r="BA1650" s="73"/>
      <c r="BB1650" s="73"/>
      <c r="BC1650" s="73"/>
      <c r="BD1650" s="73"/>
      <c r="BE1650" s="73"/>
      <c r="BF1650" s="75"/>
      <c r="BG1650" s="73"/>
      <c r="BH1650" s="88"/>
      <c r="BI1650" s="73"/>
      <c r="BJ1650" s="73"/>
      <c r="BK1650" s="73"/>
      <c r="BL1650" s="73"/>
      <c r="BM1650" s="73"/>
      <c r="BN1650" s="73"/>
      <c r="BO1650" s="73"/>
      <c r="BP1650" s="73"/>
      <c r="BQ1650" s="73"/>
      <c r="BR1650" s="73"/>
      <c r="BS1650" s="73"/>
      <c r="BT1650" s="73"/>
      <c r="BU1650" s="73"/>
      <c r="BV1650" s="73"/>
      <c r="BW1650" s="73"/>
      <c r="BX1650" s="73"/>
      <c r="BY1650" s="73"/>
      <c r="BZ1650" s="73"/>
      <c r="CA1650" s="73"/>
      <c r="CB1650" s="73"/>
      <c r="CC1650" s="73"/>
      <c r="CD1650" s="73"/>
      <c r="CE1650" s="73"/>
      <c r="CF1650" s="73"/>
      <c r="CG1650" s="73"/>
      <c r="CH1650" s="73"/>
    </row>
    <row r="1651">
      <c r="A1651" s="73"/>
      <c r="B1651" s="73"/>
      <c r="C1651" s="73"/>
      <c r="D1651" s="73"/>
      <c r="E1651" s="140"/>
      <c r="F1651" s="80"/>
      <c r="G1651" s="80"/>
      <c r="H1651" s="73"/>
      <c r="I1651" s="73"/>
      <c r="J1651" s="73"/>
      <c r="K1651" s="73"/>
      <c r="L1651" s="73"/>
      <c r="M1651" s="73"/>
      <c r="N1651" s="73"/>
      <c r="O1651" s="73"/>
      <c r="P1651" s="73"/>
      <c r="Q1651" s="73"/>
      <c r="R1651" s="73"/>
      <c r="S1651" s="73"/>
      <c r="T1651" s="73"/>
      <c r="U1651" s="73"/>
      <c r="V1651" s="73"/>
      <c r="W1651" s="73"/>
      <c r="X1651" s="73"/>
      <c r="Y1651" s="73"/>
      <c r="Z1651" s="73"/>
      <c r="AA1651" s="73"/>
      <c r="AB1651" s="73"/>
      <c r="AC1651" s="73"/>
      <c r="AD1651" s="73"/>
      <c r="AE1651" s="73"/>
      <c r="AF1651" s="73"/>
      <c r="AG1651" s="73"/>
      <c r="AH1651" s="73"/>
      <c r="AI1651" s="73"/>
      <c r="AJ1651" s="168"/>
      <c r="AK1651" s="73"/>
      <c r="AL1651" s="73"/>
      <c r="AM1651" s="73"/>
      <c r="AN1651" s="73"/>
      <c r="AO1651" s="73"/>
      <c r="AP1651" s="73"/>
      <c r="AQ1651" s="73"/>
      <c r="AR1651" s="73"/>
      <c r="AS1651" s="73"/>
      <c r="AT1651" s="73"/>
      <c r="AU1651" s="73"/>
      <c r="AV1651" s="73"/>
      <c r="AW1651" s="73"/>
      <c r="AX1651" s="73"/>
      <c r="AY1651" s="73"/>
      <c r="AZ1651" s="73"/>
      <c r="BA1651" s="73"/>
      <c r="BB1651" s="73"/>
      <c r="BC1651" s="73"/>
      <c r="BD1651" s="73"/>
      <c r="BE1651" s="73"/>
      <c r="BF1651" s="75"/>
      <c r="BG1651" s="73"/>
      <c r="BH1651" s="88"/>
      <c r="BI1651" s="73"/>
      <c r="BJ1651" s="73"/>
      <c r="BK1651" s="73"/>
      <c r="BL1651" s="73"/>
      <c r="BM1651" s="73"/>
      <c r="BN1651" s="73"/>
      <c r="BO1651" s="73"/>
      <c r="BP1651" s="73"/>
      <c r="BQ1651" s="73"/>
      <c r="BR1651" s="73"/>
      <c r="BS1651" s="73"/>
      <c r="BT1651" s="73"/>
      <c r="BU1651" s="73"/>
      <c r="BV1651" s="73"/>
      <c r="BW1651" s="73"/>
      <c r="BX1651" s="73"/>
      <c r="BY1651" s="73"/>
      <c r="BZ1651" s="73"/>
      <c r="CA1651" s="73"/>
      <c r="CB1651" s="73"/>
      <c r="CC1651" s="73"/>
      <c r="CD1651" s="73"/>
      <c r="CE1651" s="73"/>
      <c r="CF1651" s="73"/>
      <c r="CG1651" s="73"/>
      <c r="CH1651" s="73"/>
    </row>
    <row r="1652">
      <c r="A1652" s="73"/>
      <c r="B1652" s="73"/>
      <c r="C1652" s="73"/>
      <c r="D1652" s="73"/>
      <c r="E1652" s="140"/>
      <c r="F1652" s="80"/>
      <c r="G1652" s="80"/>
      <c r="H1652" s="73"/>
      <c r="I1652" s="73"/>
      <c r="J1652" s="73"/>
      <c r="K1652" s="73"/>
      <c r="L1652" s="73"/>
      <c r="M1652" s="73"/>
      <c r="N1652" s="73"/>
      <c r="O1652" s="73"/>
      <c r="P1652" s="73"/>
      <c r="Q1652" s="73"/>
      <c r="R1652" s="73"/>
      <c r="S1652" s="73"/>
      <c r="T1652" s="73"/>
      <c r="U1652" s="73"/>
      <c r="V1652" s="73"/>
      <c r="W1652" s="73"/>
      <c r="X1652" s="73"/>
      <c r="Y1652" s="73"/>
      <c r="Z1652" s="73"/>
      <c r="AA1652" s="73"/>
      <c r="AB1652" s="73"/>
      <c r="AC1652" s="73"/>
      <c r="AD1652" s="73"/>
      <c r="AE1652" s="73"/>
      <c r="AF1652" s="73"/>
      <c r="AG1652" s="73"/>
      <c r="AH1652" s="73"/>
      <c r="AI1652" s="73"/>
      <c r="AJ1652" s="168"/>
      <c r="AK1652" s="73"/>
      <c r="AL1652" s="73"/>
      <c r="AM1652" s="73"/>
      <c r="AN1652" s="73"/>
      <c r="AO1652" s="73"/>
      <c r="AP1652" s="73"/>
      <c r="AQ1652" s="73"/>
      <c r="AR1652" s="73"/>
      <c r="AS1652" s="73"/>
      <c r="AT1652" s="73"/>
      <c r="AU1652" s="73"/>
      <c r="AV1652" s="73"/>
      <c r="AW1652" s="73"/>
      <c r="AX1652" s="73"/>
      <c r="AY1652" s="73"/>
      <c r="AZ1652" s="73"/>
      <c r="BA1652" s="73"/>
      <c r="BB1652" s="73"/>
      <c r="BC1652" s="73"/>
      <c r="BD1652" s="73"/>
      <c r="BE1652" s="73"/>
      <c r="BF1652" s="75"/>
      <c r="BG1652" s="73"/>
      <c r="BH1652" s="88"/>
      <c r="BI1652" s="73"/>
      <c r="BJ1652" s="73"/>
      <c r="BK1652" s="73"/>
      <c r="BL1652" s="73"/>
      <c r="BM1652" s="73"/>
      <c r="BN1652" s="73"/>
      <c r="BO1652" s="73"/>
      <c r="BP1652" s="73"/>
      <c r="BQ1652" s="73"/>
      <c r="BR1652" s="73"/>
      <c r="BS1652" s="73"/>
      <c r="BT1652" s="73"/>
      <c r="BU1652" s="73"/>
      <c r="BV1652" s="73"/>
      <c r="BW1652" s="73"/>
      <c r="BX1652" s="73"/>
      <c r="BY1652" s="73"/>
      <c r="BZ1652" s="73"/>
      <c r="CA1652" s="73"/>
      <c r="CB1652" s="73"/>
      <c r="CC1652" s="73"/>
      <c r="CD1652" s="73"/>
      <c r="CE1652" s="73"/>
      <c r="CF1652" s="73"/>
      <c r="CG1652" s="73"/>
      <c r="CH1652" s="73"/>
    </row>
    <row r="1653">
      <c r="A1653" s="73"/>
      <c r="B1653" s="73"/>
      <c r="C1653" s="73"/>
      <c r="D1653" s="73"/>
      <c r="E1653" s="140"/>
      <c r="F1653" s="80"/>
      <c r="G1653" s="80"/>
      <c r="H1653" s="73"/>
      <c r="I1653" s="73"/>
      <c r="J1653" s="73"/>
      <c r="K1653" s="73"/>
      <c r="L1653" s="73"/>
      <c r="M1653" s="73"/>
      <c r="N1653" s="73"/>
      <c r="O1653" s="73"/>
      <c r="P1653" s="73"/>
      <c r="Q1653" s="73"/>
      <c r="R1653" s="73"/>
      <c r="S1653" s="73"/>
      <c r="T1653" s="73"/>
      <c r="U1653" s="73"/>
      <c r="V1653" s="73"/>
      <c r="W1653" s="73"/>
      <c r="X1653" s="73"/>
      <c r="Y1653" s="73"/>
      <c r="Z1653" s="73"/>
      <c r="AA1653" s="73"/>
      <c r="AB1653" s="73"/>
      <c r="AC1653" s="73"/>
      <c r="AD1653" s="73"/>
      <c r="AE1653" s="73"/>
      <c r="AF1653" s="73"/>
      <c r="AG1653" s="73"/>
      <c r="AH1653" s="73"/>
      <c r="AI1653" s="73"/>
      <c r="AJ1653" s="168"/>
      <c r="AK1653" s="73"/>
      <c r="AL1653" s="73"/>
      <c r="AM1653" s="73"/>
      <c r="AN1653" s="73"/>
      <c r="AO1653" s="73"/>
      <c r="AP1653" s="73"/>
      <c r="AQ1653" s="73"/>
      <c r="AR1653" s="73"/>
      <c r="AS1653" s="73"/>
      <c r="AT1653" s="73"/>
      <c r="AU1653" s="73"/>
      <c r="AV1653" s="73"/>
      <c r="AW1653" s="73"/>
      <c r="AX1653" s="73"/>
      <c r="AY1653" s="73"/>
      <c r="AZ1653" s="73"/>
      <c r="BA1653" s="73"/>
      <c r="BB1653" s="73"/>
      <c r="BC1653" s="73"/>
      <c r="BD1653" s="73"/>
      <c r="BE1653" s="73"/>
      <c r="BF1653" s="75"/>
      <c r="BG1653" s="73"/>
      <c r="BH1653" s="88"/>
      <c r="BI1653" s="73"/>
      <c r="BJ1653" s="73"/>
      <c r="BK1653" s="73"/>
      <c r="BL1653" s="73"/>
      <c r="BM1653" s="73"/>
      <c r="BN1653" s="73"/>
      <c r="BO1653" s="73"/>
      <c r="BP1653" s="73"/>
      <c r="BQ1653" s="73"/>
      <c r="BR1653" s="73"/>
      <c r="BS1653" s="73"/>
      <c r="BT1653" s="73"/>
      <c r="BU1653" s="73"/>
      <c r="BV1653" s="73"/>
      <c r="BW1653" s="73"/>
      <c r="BX1653" s="73"/>
      <c r="BY1653" s="73"/>
      <c r="BZ1653" s="73"/>
      <c r="CA1653" s="73"/>
      <c r="CB1653" s="73"/>
      <c r="CC1653" s="73"/>
      <c r="CD1653" s="73"/>
      <c r="CE1653" s="73"/>
      <c r="CF1653" s="73"/>
      <c r="CG1653" s="73"/>
      <c r="CH1653" s="73"/>
    </row>
    <row r="1654">
      <c r="A1654" s="73"/>
      <c r="B1654" s="73"/>
      <c r="C1654" s="73"/>
      <c r="D1654" s="73"/>
      <c r="E1654" s="140"/>
      <c r="F1654" s="80"/>
      <c r="G1654" s="80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  <c r="S1654" s="73"/>
      <c r="T1654" s="73"/>
      <c r="U1654" s="73"/>
      <c r="V1654" s="73"/>
      <c r="W1654" s="73"/>
      <c r="X1654" s="73"/>
      <c r="Y1654" s="73"/>
      <c r="Z1654" s="73"/>
      <c r="AA1654" s="73"/>
      <c r="AB1654" s="73"/>
      <c r="AC1654" s="73"/>
      <c r="AD1654" s="73"/>
      <c r="AE1654" s="73"/>
      <c r="AF1654" s="73"/>
      <c r="AG1654" s="73"/>
      <c r="AH1654" s="73"/>
      <c r="AI1654" s="73"/>
      <c r="AJ1654" s="168"/>
      <c r="AK1654" s="73"/>
      <c r="AL1654" s="73"/>
      <c r="AM1654" s="73"/>
      <c r="AN1654" s="73"/>
      <c r="AO1654" s="73"/>
      <c r="AP1654" s="73"/>
      <c r="AQ1654" s="73"/>
      <c r="AR1654" s="73"/>
      <c r="AS1654" s="73"/>
      <c r="AT1654" s="73"/>
      <c r="AU1654" s="73"/>
      <c r="AV1654" s="73"/>
      <c r="AW1654" s="73"/>
      <c r="AX1654" s="73"/>
      <c r="AY1654" s="73"/>
      <c r="AZ1654" s="73"/>
      <c r="BA1654" s="73"/>
      <c r="BB1654" s="73"/>
      <c r="BC1654" s="73"/>
      <c r="BD1654" s="73"/>
      <c r="BE1654" s="73"/>
      <c r="BF1654" s="75"/>
      <c r="BG1654" s="73"/>
      <c r="BH1654" s="88"/>
      <c r="BI1654" s="73"/>
      <c r="BJ1654" s="73"/>
      <c r="BK1654" s="73"/>
      <c r="BL1654" s="73"/>
      <c r="BM1654" s="73"/>
      <c r="BN1654" s="73"/>
      <c r="BO1654" s="73"/>
      <c r="BP1654" s="73"/>
      <c r="BQ1654" s="73"/>
      <c r="BR1654" s="73"/>
      <c r="BS1654" s="73"/>
      <c r="BT1654" s="73"/>
      <c r="BU1654" s="73"/>
      <c r="BV1654" s="73"/>
      <c r="BW1654" s="73"/>
      <c r="BX1654" s="73"/>
      <c r="BY1654" s="73"/>
      <c r="BZ1654" s="73"/>
      <c r="CA1654" s="73"/>
      <c r="CB1654" s="73"/>
      <c r="CC1654" s="73"/>
      <c r="CD1654" s="73"/>
      <c r="CE1654" s="73"/>
      <c r="CF1654" s="73"/>
      <c r="CG1654" s="73"/>
      <c r="CH1654" s="73"/>
    </row>
    <row r="1655">
      <c r="A1655" s="73"/>
      <c r="B1655" s="73"/>
      <c r="C1655" s="73"/>
      <c r="D1655" s="73"/>
      <c r="E1655" s="140"/>
      <c r="F1655" s="80"/>
      <c r="G1655" s="80"/>
      <c r="H1655" s="73"/>
      <c r="I1655" s="73"/>
      <c r="J1655" s="73"/>
      <c r="K1655" s="73"/>
      <c r="L1655" s="73"/>
      <c r="M1655" s="73"/>
      <c r="N1655" s="73"/>
      <c r="O1655" s="73"/>
      <c r="P1655" s="73"/>
      <c r="Q1655" s="73"/>
      <c r="R1655" s="73"/>
      <c r="S1655" s="73"/>
      <c r="T1655" s="73"/>
      <c r="U1655" s="73"/>
      <c r="V1655" s="73"/>
      <c r="W1655" s="73"/>
      <c r="X1655" s="73"/>
      <c r="Y1655" s="73"/>
      <c r="Z1655" s="73"/>
      <c r="AA1655" s="73"/>
      <c r="AB1655" s="73"/>
      <c r="AC1655" s="73"/>
      <c r="AD1655" s="73"/>
      <c r="AE1655" s="73"/>
      <c r="AF1655" s="73"/>
      <c r="AG1655" s="73"/>
      <c r="AH1655" s="73"/>
      <c r="AI1655" s="73"/>
      <c r="AJ1655" s="168"/>
      <c r="AK1655" s="73"/>
      <c r="AL1655" s="73"/>
      <c r="AM1655" s="73"/>
      <c r="AN1655" s="73"/>
      <c r="AO1655" s="73"/>
      <c r="AP1655" s="73"/>
      <c r="AQ1655" s="73"/>
      <c r="AR1655" s="73"/>
      <c r="AS1655" s="73"/>
      <c r="AT1655" s="73"/>
      <c r="AU1655" s="73"/>
      <c r="AV1655" s="73"/>
      <c r="AW1655" s="73"/>
      <c r="AX1655" s="73"/>
      <c r="AY1655" s="73"/>
      <c r="AZ1655" s="73"/>
      <c r="BA1655" s="73"/>
      <c r="BB1655" s="73"/>
      <c r="BC1655" s="73"/>
      <c r="BD1655" s="73"/>
      <c r="BE1655" s="73"/>
      <c r="BF1655" s="75"/>
      <c r="BG1655" s="73"/>
      <c r="BH1655" s="88"/>
      <c r="BI1655" s="73"/>
      <c r="BJ1655" s="73"/>
      <c r="BK1655" s="73"/>
      <c r="BL1655" s="73"/>
      <c r="BM1655" s="73"/>
      <c r="BN1655" s="73"/>
      <c r="BO1655" s="73"/>
      <c r="BP1655" s="73"/>
      <c r="BQ1655" s="73"/>
      <c r="BR1655" s="73"/>
      <c r="BS1655" s="73"/>
      <c r="BT1655" s="73"/>
      <c r="BU1655" s="73"/>
      <c r="BV1655" s="73"/>
      <c r="BW1655" s="73"/>
      <c r="BX1655" s="73"/>
      <c r="BY1655" s="73"/>
      <c r="BZ1655" s="73"/>
      <c r="CA1655" s="73"/>
      <c r="CB1655" s="73"/>
      <c r="CC1655" s="73"/>
      <c r="CD1655" s="73"/>
      <c r="CE1655" s="73"/>
      <c r="CF1655" s="73"/>
      <c r="CG1655" s="73"/>
      <c r="CH1655" s="73"/>
    </row>
    <row r="1656">
      <c r="A1656" s="73"/>
      <c r="B1656" s="73"/>
      <c r="C1656" s="73"/>
      <c r="D1656" s="73"/>
      <c r="E1656" s="140"/>
      <c r="F1656" s="80"/>
      <c r="G1656" s="80"/>
      <c r="H1656" s="73"/>
      <c r="I1656" s="73"/>
      <c r="J1656" s="73"/>
      <c r="K1656" s="73"/>
      <c r="L1656" s="73"/>
      <c r="M1656" s="73"/>
      <c r="N1656" s="73"/>
      <c r="O1656" s="73"/>
      <c r="P1656" s="73"/>
      <c r="Q1656" s="73"/>
      <c r="R1656" s="73"/>
      <c r="S1656" s="73"/>
      <c r="T1656" s="73"/>
      <c r="U1656" s="73"/>
      <c r="V1656" s="73"/>
      <c r="W1656" s="73"/>
      <c r="X1656" s="73"/>
      <c r="Y1656" s="73"/>
      <c r="Z1656" s="73"/>
      <c r="AA1656" s="73"/>
      <c r="AB1656" s="73"/>
      <c r="AC1656" s="73"/>
      <c r="AD1656" s="73"/>
      <c r="AE1656" s="73"/>
      <c r="AF1656" s="73"/>
      <c r="AG1656" s="73"/>
      <c r="AH1656" s="73"/>
      <c r="AI1656" s="73"/>
      <c r="AJ1656" s="168"/>
      <c r="AK1656" s="73"/>
      <c r="AL1656" s="73"/>
      <c r="AM1656" s="73"/>
      <c r="AN1656" s="73"/>
      <c r="AO1656" s="73"/>
      <c r="AP1656" s="73"/>
      <c r="AQ1656" s="73"/>
      <c r="AR1656" s="73"/>
      <c r="AS1656" s="73"/>
      <c r="AT1656" s="73"/>
      <c r="AU1656" s="73"/>
      <c r="AV1656" s="73"/>
      <c r="AW1656" s="73"/>
      <c r="AX1656" s="73"/>
      <c r="AY1656" s="73"/>
      <c r="AZ1656" s="73"/>
      <c r="BA1656" s="73"/>
      <c r="BB1656" s="73"/>
      <c r="BC1656" s="73"/>
      <c r="BD1656" s="73"/>
      <c r="BE1656" s="73"/>
      <c r="BF1656" s="75"/>
      <c r="BG1656" s="73"/>
      <c r="BH1656" s="88"/>
      <c r="BI1656" s="73"/>
      <c r="BJ1656" s="73"/>
      <c r="BK1656" s="73"/>
      <c r="BL1656" s="73"/>
      <c r="BM1656" s="73"/>
      <c r="BN1656" s="73"/>
      <c r="BO1656" s="73"/>
      <c r="BP1656" s="73"/>
      <c r="BQ1656" s="73"/>
      <c r="BR1656" s="73"/>
      <c r="BS1656" s="73"/>
      <c r="BT1656" s="73"/>
      <c r="BU1656" s="73"/>
      <c r="BV1656" s="73"/>
      <c r="BW1656" s="73"/>
      <c r="BX1656" s="73"/>
      <c r="BY1656" s="73"/>
      <c r="BZ1656" s="73"/>
      <c r="CA1656" s="73"/>
      <c r="CB1656" s="73"/>
      <c r="CC1656" s="73"/>
      <c r="CD1656" s="73"/>
      <c r="CE1656" s="73"/>
      <c r="CF1656" s="73"/>
      <c r="CG1656" s="73"/>
      <c r="CH1656" s="73"/>
    </row>
    <row r="1657">
      <c r="A1657" s="73"/>
      <c r="B1657" s="73"/>
      <c r="C1657" s="73"/>
      <c r="D1657" s="73"/>
      <c r="E1657" s="140"/>
      <c r="F1657" s="80"/>
      <c r="G1657" s="80"/>
      <c r="H1657" s="73"/>
      <c r="I1657" s="73"/>
      <c r="J1657" s="73"/>
      <c r="K1657" s="73"/>
      <c r="L1657" s="73"/>
      <c r="M1657" s="73"/>
      <c r="N1657" s="73"/>
      <c r="O1657" s="73"/>
      <c r="P1657" s="73"/>
      <c r="Q1657" s="73"/>
      <c r="R1657" s="73"/>
      <c r="S1657" s="73"/>
      <c r="T1657" s="73"/>
      <c r="U1657" s="73"/>
      <c r="V1657" s="73"/>
      <c r="W1657" s="73"/>
      <c r="X1657" s="73"/>
      <c r="Y1657" s="73"/>
      <c r="Z1657" s="73"/>
      <c r="AA1657" s="73"/>
      <c r="AB1657" s="73"/>
      <c r="AC1657" s="73"/>
      <c r="AD1657" s="73"/>
      <c r="AE1657" s="73"/>
      <c r="AF1657" s="73"/>
      <c r="AG1657" s="73"/>
      <c r="AH1657" s="73"/>
      <c r="AI1657" s="73"/>
      <c r="AJ1657" s="168"/>
      <c r="AK1657" s="73"/>
      <c r="AL1657" s="73"/>
      <c r="AM1657" s="73"/>
      <c r="AN1657" s="73"/>
      <c r="AO1657" s="73"/>
      <c r="AP1657" s="73"/>
      <c r="AQ1657" s="73"/>
      <c r="AR1657" s="73"/>
      <c r="AS1657" s="73"/>
      <c r="AT1657" s="73"/>
      <c r="AU1657" s="73"/>
      <c r="AV1657" s="73"/>
      <c r="AW1657" s="73"/>
      <c r="AX1657" s="73"/>
      <c r="AY1657" s="73"/>
      <c r="AZ1657" s="73"/>
      <c r="BA1657" s="73"/>
      <c r="BB1657" s="73"/>
      <c r="BC1657" s="73"/>
      <c r="BD1657" s="73"/>
      <c r="BE1657" s="73"/>
      <c r="BF1657" s="75"/>
      <c r="BG1657" s="73"/>
      <c r="BH1657" s="88"/>
      <c r="BI1657" s="73"/>
      <c r="BJ1657" s="73"/>
      <c r="BK1657" s="73"/>
      <c r="BL1657" s="73"/>
      <c r="BM1657" s="73"/>
      <c r="BN1657" s="73"/>
      <c r="BO1657" s="73"/>
      <c r="BP1657" s="73"/>
      <c r="BQ1657" s="73"/>
      <c r="BR1657" s="73"/>
      <c r="BS1657" s="73"/>
      <c r="BT1657" s="73"/>
      <c r="BU1657" s="73"/>
      <c r="BV1657" s="73"/>
      <c r="BW1657" s="73"/>
      <c r="BX1657" s="73"/>
      <c r="BY1657" s="73"/>
      <c r="BZ1657" s="73"/>
      <c r="CA1657" s="73"/>
      <c r="CB1657" s="73"/>
      <c r="CC1657" s="73"/>
      <c r="CD1657" s="73"/>
      <c r="CE1657" s="73"/>
      <c r="CF1657" s="73"/>
      <c r="CG1657" s="73"/>
      <c r="CH1657" s="73"/>
    </row>
    <row r="1658">
      <c r="A1658" s="73"/>
      <c r="B1658" s="73"/>
      <c r="C1658" s="73"/>
      <c r="D1658" s="73"/>
      <c r="E1658" s="140"/>
      <c r="F1658" s="80"/>
      <c r="G1658" s="80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  <c r="S1658" s="73"/>
      <c r="T1658" s="73"/>
      <c r="U1658" s="73"/>
      <c r="V1658" s="73"/>
      <c r="W1658" s="73"/>
      <c r="X1658" s="73"/>
      <c r="Y1658" s="73"/>
      <c r="Z1658" s="73"/>
      <c r="AA1658" s="73"/>
      <c r="AB1658" s="73"/>
      <c r="AC1658" s="73"/>
      <c r="AD1658" s="73"/>
      <c r="AE1658" s="73"/>
      <c r="AF1658" s="73"/>
      <c r="AG1658" s="73"/>
      <c r="AH1658" s="73"/>
      <c r="AI1658" s="73"/>
      <c r="AJ1658" s="168"/>
      <c r="AK1658" s="73"/>
      <c r="AL1658" s="73"/>
      <c r="AM1658" s="73"/>
      <c r="AN1658" s="73"/>
      <c r="AO1658" s="73"/>
      <c r="AP1658" s="73"/>
      <c r="AQ1658" s="73"/>
      <c r="AR1658" s="73"/>
      <c r="AS1658" s="73"/>
      <c r="AT1658" s="73"/>
      <c r="AU1658" s="73"/>
      <c r="AV1658" s="73"/>
      <c r="AW1658" s="73"/>
      <c r="AX1658" s="73"/>
      <c r="AY1658" s="73"/>
      <c r="AZ1658" s="73"/>
      <c r="BA1658" s="73"/>
      <c r="BB1658" s="73"/>
      <c r="BC1658" s="73"/>
      <c r="BD1658" s="73"/>
      <c r="BE1658" s="73"/>
      <c r="BF1658" s="75"/>
      <c r="BG1658" s="73"/>
      <c r="BH1658" s="88"/>
      <c r="BI1658" s="73"/>
      <c r="BJ1658" s="73"/>
      <c r="BK1658" s="73"/>
      <c r="BL1658" s="73"/>
      <c r="BM1658" s="73"/>
      <c r="BN1658" s="73"/>
      <c r="BO1658" s="73"/>
      <c r="BP1658" s="73"/>
      <c r="BQ1658" s="73"/>
      <c r="BR1658" s="73"/>
      <c r="BS1658" s="73"/>
      <c r="BT1658" s="73"/>
      <c r="BU1658" s="73"/>
      <c r="BV1658" s="73"/>
      <c r="BW1658" s="73"/>
      <c r="BX1658" s="73"/>
      <c r="BY1658" s="73"/>
      <c r="BZ1658" s="73"/>
      <c r="CA1658" s="73"/>
      <c r="CB1658" s="73"/>
      <c r="CC1658" s="73"/>
      <c r="CD1658" s="73"/>
      <c r="CE1658" s="73"/>
      <c r="CF1658" s="73"/>
      <c r="CG1658" s="73"/>
      <c r="CH1658" s="73"/>
    </row>
    <row r="1659">
      <c r="A1659" s="73"/>
      <c r="B1659" s="73"/>
      <c r="C1659" s="73"/>
      <c r="D1659" s="73"/>
      <c r="E1659" s="140"/>
      <c r="F1659" s="80"/>
      <c r="G1659" s="80"/>
      <c r="H1659" s="73"/>
      <c r="I1659" s="73"/>
      <c r="J1659" s="73"/>
      <c r="K1659" s="73"/>
      <c r="L1659" s="73"/>
      <c r="M1659" s="73"/>
      <c r="N1659" s="73"/>
      <c r="O1659" s="73"/>
      <c r="P1659" s="73"/>
      <c r="Q1659" s="73"/>
      <c r="R1659" s="73"/>
      <c r="S1659" s="73"/>
      <c r="T1659" s="73"/>
      <c r="U1659" s="73"/>
      <c r="V1659" s="73"/>
      <c r="W1659" s="73"/>
      <c r="X1659" s="73"/>
      <c r="Y1659" s="73"/>
      <c r="Z1659" s="73"/>
      <c r="AA1659" s="73"/>
      <c r="AB1659" s="73"/>
      <c r="AC1659" s="73"/>
      <c r="AD1659" s="73"/>
      <c r="AE1659" s="73"/>
      <c r="AF1659" s="73"/>
      <c r="AG1659" s="73"/>
      <c r="AH1659" s="73"/>
      <c r="AI1659" s="73"/>
      <c r="AJ1659" s="168"/>
      <c r="AK1659" s="73"/>
      <c r="AL1659" s="73"/>
      <c r="AM1659" s="73"/>
      <c r="AN1659" s="73"/>
      <c r="AO1659" s="73"/>
      <c r="AP1659" s="73"/>
      <c r="AQ1659" s="73"/>
      <c r="AR1659" s="73"/>
      <c r="AS1659" s="73"/>
      <c r="AT1659" s="73"/>
      <c r="AU1659" s="73"/>
      <c r="AV1659" s="73"/>
      <c r="AW1659" s="73"/>
      <c r="AX1659" s="73"/>
      <c r="AY1659" s="73"/>
      <c r="AZ1659" s="73"/>
      <c r="BA1659" s="73"/>
      <c r="BB1659" s="73"/>
      <c r="BC1659" s="73"/>
      <c r="BD1659" s="73"/>
      <c r="BE1659" s="73"/>
      <c r="BF1659" s="75"/>
      <c r="BG1659" s="73"/>
      <c r="BH1659" s="88"/>
      <c r="BI1659" s="73"/>
      <c r="BJ1659" s="73"/>
      <c r="BK1659" s="73"/>
      <c r="BL1659" s="73"/>
      <c r="BM1659" s="73"/>
      <c r="BN1659" s="73"/>
      <c r="BO1659" s="73"/>
      <c r="BP1659" s="73"/>
      <c r="BQ1659" s="73"/>
      <c r="BR1659" s="73"/>
      <c r="BS1659" s="73"/>
      <c r="BT1659" s="73"/>
      <c r="BU1659" s="73"/>
      <c r="BV1659" s="73"/>
      <c r="BW1659" s="73"/>
      <c r="BX1659" s="73"/>
      <c r="BY1659" s="73"/>
      <c r="BZ1659" s="73"/>
      <c r="CA1659" s="73"/>
      <c r="CB1659" s="73"/>
      <c r="CC1659" s="73"/>
      <c r="CD1659" s="73"/>
      <c r="CE1659" s="73"/>
      <c r="CF1659" s="73"/>
      <c r="CG1659" s="73"/>
      <c r="CH1659" s="73"/>
    </row>
    <row r="1660">
      <c r="A1660" s="73"/>
      <c r="B1660" s="73"/>
      <c r="C1660" s="73"/>
      <c r="D1660" s="73"/>
      <c r="E1660" s="140"/>
      <c r="F1660" s="80"/>
      <c r="G1660" s="80"/>
      <c r="H1660" s="73"/>
      <c r="I1660" s="73"/>
      <c r="J1660" s="73"/>
      <c r="K1660" s="73"/>
      <c r="L1660" s="73"/>
      <c r="M1660" s="73"/>
      <c r="N1660" s="73"/>
      <c r="O1660" s="73"/>
      <c r="P1660" s="73"/>
      <c r="Q1660" s="73"/>
      <c r="R1660" s="73"/>
      <c r="S1660" s="73"/>
      <c r="T1660" s="73"/>
      <c r="U1660" s="73"/>
      <c r="V1660" s="73"/>
      <c r="W1660" s="73"/>
      <c r="X1660" s="73"/>
      <c r="Y1660" s="73"/>
      <c r="Z1660" s="73"/>
      <c r="AA1660" s="73"/>
      <c r="AB1660" s="73"/>
      <c r="AC1660" s="73"/>
      <c r="AD1660" s="73"/>
      <c r="AE1660" s="73"/>
      <c r="AF1660" s="73"/>
      <c r="AG1660" s="73"/>
      <c r="AH1660" s="73"/>
      <c r="AI1660" s="73"/>
      <c r="AJ1660" s="168"/>
      <c r="AK1660" s="73"/>
      <c r="AL1660" s="73"/>
      <c r="AM1660" s="73"/>
      <c r="AN1660" s="73"/>
      <c r="AO1660" s="73"/>
      <c r="AP1660" s="73"/>
      <c r="AQ1660" s="73"/>
      <c r="AR1660" s="73"/>
      <c r="AS1660" s="73"/>
      <c r="AT1660" s="73"/>
      <c r="AU1660" s="73"/>
      <c r="AV1660" s="73"/>
      <c r="AW1660" s="73"/>
      <c r="AX1660" s="73"/>
      <c r="AY1660" s="73"/>
      <c r="AZ1660" s="73"/>
      <c r="BA1660" s="73"/>
      <c r="BB1660" s="73"/>
      <c r="BC1660" s="73"/>
      <c r="BD1660" s="73"/>
      <c r="BE1660" s="73"/>
      <c r="BF1660" s="75"/>
      <c r="BG1660" s="73"/>
      <c r="BH1660" s="88"/>
      <c r="BI1660" s="73"/>
      <c r="BJ1660" s="73"/>
      <c r="BK1660" s="73"/>
      <c r="BL1660" s="73"/>
      <c r="BM1660" s="73"/>
      <c r="BN1660" s="73"/>
      <c r="BO1660" s="73"/>
      <c r="BP1660" s="73"/>
      <c r="BQ1660" s="73"/>
      <c r="BR1660" s="73"/>
      <c r="BS1660" s="73"/>
      <c r="BT1660" s="73"/>
      <c r="BU1660" s="73"/>
      <c r="BV1660" s="73"/>
      <c r="BW1660" s="73"/>
      <c r="BX1660" s="73"/>
      <c r="BY1660" s="73"/>
      <c r="BZ1660" s="73"/>
      <c r="CA1660" s="73"/>
      <c r="CB1660" s="73"/>
      <c r="CC1660" s="73"/>
      <c r="CD1660" s="73"/>
      <c r="CE1660" s="73"/>
      <c r="CF1660" s="73"/>
      <c r="CG1660" s="73"/>
      <c r="CH1660" s="73"/>
    </row>
    <row r="1661">
      <c r="A1661" s="73"/>
      <c r="B1661" s="73"/>
      <c r="C1661" s="73"/>
      <c r="D1661" s="73"/>
      <c r="E1661" s="140"/>
      <c r="F1661" s="80"/>
      <c r="G1661" s="80"/>
      <c r="H1661" s="73"/>
      <c r="I1661" s="73"/>
      <c r="J1661" s="73"/>
      <c r="K1661" s="73"/>
      <c r="L1661" s="73"/>
      <c r="M1661" s="73"/>
      <c r="N1661" s="73"/>
      <c r="O1661" s="73"/>
      <c r="P1661" s="73"/>
      <c r="Q1661" s="73"/>
      <c r="R1661" s="73"/>
      <c r="S1661" s="73"/>
      <c r="T1661" s="73"/>
      <c r="U1661" s="73"/>
      <c r="V1661" s="73"/>
      <c r="W1661" s="73"/>
      <c r="X1661" s="73"/>
      <c r="Y1661" s="73"/>
      <c r="Z1661" s="73"/>
      <c r="AA1661" s="73"/>
      <c r="AB1661" s="73"/>
      <c r="AC1661" s="73"/>
      <c r="AD1661" s="73"/>
      <c r="AE1661" s="73"/>
      <c r="AF1661" s="73"/>
      <c r="AG1661" s="73"/>
      <c r="AH1661" s="73"/>
      <c r="AI1661" s="73"/>
      <c r="AJ1661" s="168"/>
      <c r="AK1661" s="73"/>
      <c r="AL1661" s="73"/>
      <c r="AM1661" s="73"/>
      <c r="AN1661" s="73"/>
      <c r="AO1661" s="73"/>
      <c r="AP1661" s="73"/>
      <c r="AQ1661" s="73"/>
      <c r="AR1661" s="73"/>
      <c r="AS1661" s="73"/>
      <c r="AT1661" s="73"/>
      <c r="AU1661" s="73"/>
      <c r="AV1661" s="73"/>
      <c r="AW1661" s="73"/>
      <c r="AX1661" s="73"/>
      <c r="AY1661" s="73"/>
      <c r="AZ1661" s="73"/>
      <c r="BA1661" s="73"/>
      <c r="BB1661" s="73"/>
      <c r="BC1661" s="73"/>
      <c r="BD1661" s="73"/>
      <c r="BE1661" s="73"/>
      <c r="BF1661" s="75"/>
      <c r="BG1661" s="73"/>
      <c r="BH1661" s="88"/>
      <c r="BI1661" s="73"/>
      <c r="BJ1661" s="73"/>
      <c r="BK1661" s="73"/>
      <c r="BL1661" s="73"/>
      <c r="BM1661" s="73"/>
      <c r="BN1661" s="73"/>
      <c r="BO1661" s="73"/>
      <c r="BP1661" s="73"/>
      <c r="BQ1661" s="73"/>
      <c r="BR1661" s="73"/>
      <c r="BS1661" s="73"/>
      <c r="BT1661" s="73"/>
      <c r="BU1661" s="73"/>
      <c r="BV1661" s="73"/>
      <c r="BW1661" s="73"/>
      <c r="BX1661" s="73"/>
      <c r="BY1661" s="73"/>
      <c r="BZ1661" s="73"/>
      <c r="CA1661" s="73"/>
      <c r="CB1661" s="73"/>
      <c r="CC1661" s="73"/>
      <c r="CD1661" s="73"/>
      <c r="CE1661" s="73"/>
      <c r="CF1661" s="73"/>
      <c r="CG1661" s="73"/>
      <c r="CH1661" s="73"/>
    </row>
    <row r="1662">
      <c r="A1662" s="73"/>
      <c r="B1662" s="73"/>
      <c r="C1662" s="73"/>
      <c r="D1662" s="73"/>
      <c r="E1662" s="140"/>
      <c r="F1662" s="80"/>
      <c r="G1662" s="80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  <c r="S1662" s="73"/>
      <c r="T1662" s="73"/>
      <c r="U1662" s="73"/>
      <c r="V1662" s="73"/>
      <c r="W1662" s="73"/>
      <c r="X1662" s="73"/>
      <c r="Y1662" s="73"/>
      <c r="Z1662" s="73"/>
      <c r="AA1662" s="73"/>
      <c r="AB1662" s="73"/>
      <c r="AC1662" s="73"/>
      <c r="AD1662" s="73"/>
      <c r="AE1662" s="73"/>
      <c r="AF1662" s="73"/>
      <c r="AG1662" s="73"/>
      <c r="AH1662" s="73"/>
      <c r="AI1662" s="73"/>
      <c r="AJ1662" s="168"/>
      <c r="AK1662" s="73"/>
      <c r="AL1662" s="73"/>
      <c r="AM1662" s="73"/>
      <c r="AN1662" s="73"/>
      <c r="AO1662" s="73"/>
      <c r="AP1662" s="73"/>
      <c r="AQ1662" s="73"/>
      <c r="AR1662" s="73"/>
      <c r="AS1662" s="73"/>
      <c r="AT1662" s="73"/>
      <c r="AU1662" s="73"/>
      <c r="AV1662" s="73"/>
      <c r="AW1662" s="73"/>
      <c r="AX1662" s="73"/>
      <c r="AY1662" s="73"/>
      <c r="AZ1662" s="73"/>
      <c r="BA1662" s="73"/>
      <c r="BB1662" s="73"/>
      <c r="BC1662" s="73"/>
      <c r="BD1662" s="73"/>
      <c r="BE1662" s="73"/>
      <c r="BF1662" s="75"/>
      <c r="BG1662" s="73"/>
      <c r="BH1662" s="88"/>
      <c r="BI1662" s="73"/>
      <c r="BJ1662" s="73"/>
      <c r="BK1662" s="73"/>
      <c r="BL1662" s="73"/>
      <c r="BM1662" s="73"/>
      <c r="BN1662" s="73"/>
      <c r="BO1662" s="73"/>
      <c r="BP1662" s="73"/>
      <c r="BQ1662" s="73"/>
      <c r="BR1662" s="73"/>
      <c r="BS1662" s="73"/>
      <c r="BT1662" s="73"/>
      <c r="BU1662" s="73"/>
      <c r="BV1662" s="73"/>
      <c r="BW1662" s="73"/>
      <c r="BX1662" s="73"/>
      <c r="BY1662" s="73"/>
      <c r="BZ1662" s="73"/>
      <c r="CA1662" s="73"/>
      <c r="CB1662" s="73"/>
      <c r="CC1662" s="73"/>
      <c r="CD1662" s="73"/>
      <c r="CE1662" s="73"/>
      <c r="CF1662" s="73"/>
      <c r="CG1662" s="73"/>
      <c r="CH1662" s="73"/>
    </row>
    <row r="1663">
      <c r="A1663" s="73"/>
      <c r="B1663" s="73"/>
      <c r="C1663" s="73"/>
      <c r="D1663" s="73"/>
      <c r="E1663" s="140"/>
      <c r="F1663" s="80"/>
      <c r="G1663" s="80"/>
      <c r="H1663" s="73"/>
      <c r="I1663" s="73"/>
      <c r="J1663" s="73"/>
      <c r="K1663" s="73"/>
      <c r="L1663" s="73"/>
      <c r="M1663" s="73"/>
      <c r="N1663" s="73"/>
      <c r="O1663" s="73"/>
      <c r="P1663" s="73"/>
      <c r="Q1663" s="73"/>
      <c r="R1663" s="73"/>
      <c r="S1663" s="73"/>
      <c r="T1663" s="73"/>
      <c r="U1663" s="73"/>
      <c r="V1663" s="73"/>
      <c r="W1663" s="73"/>
      <c r="X1663" s="73"/>
      <c r="Y1663" s="73"/>
      <c r="Z1663" s="73"/>
      <c r="AA1663" s="73"/>
      <c r="AB1663" s="73"/>
      <c r="AC1663" s="73"/>
      <c r="AD1663" s="73"/>
      <c r="AE1663" s="73"/>
      <c r="AF1663" s="73"/>
      <c r="AG1663" s="73"/>
      <c r="AH1663" s="73"/>
      <c r="AI1663" s="73"/>
      <c r="AJ1663" s="168"/>
      <c r="AK1663" s="73"/>
      <c r="AL1663" s="73"/>
      <c r="AM1663" s="73"/>
      <c r="AN1663" s="73"/>
      <c r="AO1663" s="73"/>
      <c r="AP1663" s="73"/>
      <c r="AQ1663" s="73"/>
      <c r="AR1663" s="73"/>
      <c r="AS1663" s="73"/>
      <c r="AT1663" s="73"/>
      <c r="AU1663" s="73"/>
      <c r="AV1663" s="73"/>
      <c r="AW1663" s="73"/>
      <c r="AX1663" s="73"/>
      <c r="AY1663" s="73"/>
      <c r="AZ1663" s="73"/>
      <c r="BA1663" s="73"/>
      <c r="BB1663" s="73"/>
      <c r="BC1663" s="73"/>
      <c r="BD1663" s="73"/>
      <c r="BE1663" s="73"/>
      <c r="BF1663" s="75"/>
      <c r="BG1663" s="73"/>
      <c r="BH1663" s="88"/>
      <c r="BI1663" s="73"/>
      <c r="BJ1663" s="73"/>
      <c r="BK1663" s="73"/>
      <c r="BL1663" s="73"/>
      <c r="BM1663" s="73"/>
      <c r="BN1663" s="73"/>
      <c r="BO1663" s="73"/>
      <c r="BP1663" s="73"/>
      <c r="BQ1663" s="73"/>
      <c r="BR1663" s="73"/>
      <c r="BS1663" s="73"/>
      <c r="BT1663" s="73"/>
      <c r="BU1663" s="73"/>
      <c r="BV1663" s="73"/>
      <c r="BW1663" s="73"/>
      <c r="BX1663" s="73"/>
      <c r="BY1663" s="73"/>
      <c r="BZ1663" s="73"/>
      <c r="CA1663" s="73"/>
      <c r="CB1663" s="73"/>
      <c r="CC1663" s="73"/>
      <c r="CD1663" s="73"/>
      <c r="CE1663" s="73"/>
      <c r="CF1663" s="73"/>
      <c r="CG1663" s="73"/>
      <c r="CH1663" s="73"/>
    </row>
    <row r="1664">
      <c r="A1664" s="73"/>
      <c r="B1664" s="73"/>
      <c r="C1664" s="73"/>
      <c r="D1664" s="73"/>
      <c r="E1664" s="140"/>
      <c r="F1664" s="80"/>
      <c r="G1664" s="80"/>
      <c r="H1664" s="73"/>
      <c r="I1664" s="73"/>
      <c r="J1664" s="73"/>
      <c r="K1664" s="73"/>
      <c r="L1664" s="73"/>
      <c r="M1664" s="73"/>
      <c r="N1664" s="73"/>
      <c r="O1664" s="73"/>
      <c r="P1664" s="73"/>
      <c r="Q1664" s="73"/>
      <c r="R1664" s="73"/>
      <c r="S1664" s="73"/>
      <c r="T1664" s="73"/>
      <c r="U1664" s="73"/>
      <c r="V1664" s="73"/>
      <c r="W1664" s="73"/>
      <c r="X1664" s="73"/>
      <c r="Y1664" s="73"/>
      <c r="Z1664" s="73"/>
      <c r="AA1664" s="73"/>
      <c r="AB1664" s="73"/>
      <c r="AC1664" s="73"/>
      <c r="AD1664" s="73"/>
      <c r="AE1664" s="73"/>
      <c r="AF1664" s="73"/>
      <c r="AG1664" s="73"/>
      <c r="AH1664" s="73"/>
      <c r="AI1664" s="73"/>
      <c r="AJ1664" s="168"/>
      <c r="AK1664" s="73"/>
      <c r="AL1664" s="73"/>
      <c r="AM1664" s="73"/>
      <c r="AN1664" s="73"/>
      <c r="AO1664" s="73"/>
      <c r="AP1664" s="73"/>
      <c r="AQ1664" s="73"/>
      <c r="AR1664" s="73"/>
      <c r="AS1664" s="73"/>
      <c r="AT1664" s="73"/>
      <c r="AU1664" s="73"/>
      <c r="AV1664" s="73"/>
      <c r="AW1664" s="73"/>
      <c r="AX1664" s="73"/>
      <c r="AY1664" s="73"/>
      <c r="AZ1664" s="73"/>
      <c r="BA1664" s="73"/>
      <c r="BB1664" s="73"/>
      <c r="BC1664" s="73"/>
      <c r="BD1664" s="73"/>
      <c r="BE1664" s="73"/>
      <c r="BF1664" s="75"/>
      <c r="BG1664" s="73"/>
      <c r="BH1664" s="88"/>
      <c r="BI1664" s="73"/>
      <c r="BJ1664" s="73"/>
      <c r="BK1664" s="73"/>
      <c r="BL1664" s="73"/>
      <c r="BM1664" s="73"/>
      <c r="BN1664" s="73"/>
      <c r="BO1664" s="73"/>
      <c r="BP1664" s="73"/>
      <c r="BQ1664" s="73"/>
      <c r="BR1664" s="73"/>
      <c r="BS1664" s="73"/>
      <c r="BT1664" s="73"/>
      <c r="BU1664" s="73"/>
      <c r="BV1664" s="73"/>
      <c r="BW1664" s="73"/>
      <c r="BX1664" s="73"/>
      <c r="BY1664" s="73"/>
      <c r="BZ1664" s="73"/>
      <c r="CA1664" s="73"/>
      <c r="CB1664" s="73"/>
      <c r="CC1664" s="73"/>
      <c r="CD1664" s="73"/>
      <c r="CE1664" s="73"/>
      <c r="CF1664" s="73"/>
      <c r="CG1664" s="73"/>
      <c r="CH1664" s="73"/>
    </row>
    <row r="1665">
      <c r="A1665" s="73"/>
      <c r="B1665" s="73"/>
      <c r="C1665" s="73"/>
      <c r="D1665" s="73"/>
      <c r="E1665" s="140"/>
      <c r="F1665" s="80"/>
      <c r="G1665" s="80"/>
      <c r="H1665" s="73"/>
      <c r="I1665" s="73"/>
      <c r="J1665" s="73"/>
      <c r="K1665" s="73"/>
      <c r="L1665" s="73"/>
      <c r="M1665" s="73"/>
      <c r="N1665" s="73"/>
      <c r="O1665" s="73"/>
      <c r="P1665" s="73"/>
      <c r="Q1665" s="73"/>
      <c r="R1665" s="73"/>
      <c r="S1665" s="73"/>
      <c r="T1665" s="73"/>
      <c r="U1665" s="73"/>
      <c r="V1665" s="73"/>
      <c r="W1665" s="73"/>
      <c r="X1665" s="73"/>
      <c r="Y1665" s="73"/>
      <c r="Z1665" s="73"/>
      <c r="AA1665" s="73"/>
      <c r="AB1665" s="73"/>
      <c r="AC1665" s="73"/>
      <c r="AD1665" s="73"/>
      <c r="AE1665" s="73"/>
      <c r="AF1665" s="73"/>
      <c r="AG1665" s="73"/>
      <c r="AH1665" s="73"/>
      <c r="AI1665" s="73"/>
      <c r="AJ1665" s="168"/>
      <c r="AK1665" s="73"/>
      <c r="AL1665" s="73"/>
      <c r="AM1665" s="73"/>
      <c r="AN1665" s="73"/>
      <c r="AO1665" s="73"/>
      <c r="AP1665" s="73"/>
      <c r="AQ1665" s="73"/>
      <c r="AR1665" s="73"/>
      <c r="AS1665" s="73"/>
      <c r="AT1665" s="73"/>
      <c r="AU1665" s="73"/>
      <c r="AV1665" s="73"/>
      <c r="AW1665" s="73"/>
      <c r="AX1665" s="73"/>
      <c r="AY1665" s="73"/>
      <c r="AZ1665" s="73"/>
      <c r="BA1665" s="73"/>
      <c r="BB1665" s="73"/>
      <c r="BC1665" s="73"/>
      <c r="BD1665" s="73"/>
      <c r="BE1665" s="73"/>
      <c r="BF1665" s="75"/>
      <c r="BG1665" s="73"/>
      <c r="BH1665" s="88"/>
      <c r="BI1665" s="73"/>
      <c r="BJ1665" s="73"/>
      <c r="BK1665" s="73"/>
      <c r="BL1665" s="73"/>
      <c r="BM1665" s="73"/>
      <c r="BN1665" s="73"/>
      <c r="BO1665" s="73"/>
      <c r="BP1665" s="73"/>
      <c r="BQ1665" s="73"/>
      <c r="BR1665" s="73"/>
      <c r="BS1665" s="73"/>
      <c r="BT1665" s="73"/>
      <c r="BU1665" s="73"/>
      <c r="BV1665" s="73"/>
      <c r="BW1665" s="73"/>
      <c r="BX1665" s="73"/>
      <c r="BY1665" s="73"/>
      <c r="BZ1665" s="73"/>
      <c r="CA1665" s="73"/>
      <c r="CB1665" s="73"/>
      <c r="CC1665" s="73"/>
      <c r="CD1665" s="73"/>
      <c r="CE1665" s="73"/>
      <c r="CF1665" s="73"/>
      <c r="CG1665" s="73"/>
      <c r="CH1665" s="73"/>
    </row>
    <row r="1666">
      <c r="A1666" s="73"/>
      <c r="B1666" s="73"/>
      <c r="C1666" s="73"/>
      <c r="D1666" s="73"/>
      <c r="E1666" s="140"/>
      <c r="F1666" s="80"/>
      <c r="G1666" s="80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  <c r="S1666" s="73"/>
      <c r="T1666" s="73"/>
      <c r="U1666" s="73"/>
      <c r="V1666" s="73"/>
      <c r="W1666" s="73"/>
      <c r="X1666" s="73"/>
      <c r="Y1666" s="73"/>
      <c r="Z1666" s="73"/>
      <c r="AA1666" s="73"/>
      <c r="AB1666" s="73"/>
      <c r="AC1666" s="73"/>
      <c r="AD1666" s="73"/>
      <c r="AE1666" s="73"/>
      <c r="AF1666" s="73"/>
      <c r="AG1666" s="73"/>
      <c r="AH1666" s="73"/>
      <c r="AI1666" s="73"/>
      <c r="AJ1666" s="168"/>
      <c r="AK1666" s="73"/>
      <c r="AL1666" s="73"/>
      <c r="AM1666" s="73"/>
      <c r="AN1666" s="73"/>
      <c r="AO1666" s="73"/>
      <c r="AP1666" s="73"/>
      <c r="AQ1666" s="73"/>
      <c r="AR1666" s="73"/>
      <c r="AS1666" s="73"/>
      <c r="AT1666" s="73"/>
      <c r="AU1666" s="73"/>
      <c r="AV1666" s="73"/>
      <c r="AW1666" s="73"/>
      <c r="AX1666" s="73"/>
      <c r="AY1666" s="73"/>
      <c r="AZ1666" s="73"/>
      <c r="BA1666" s="73"/>
      <c r="BB1666" s="73"/>
      <c r="BC1666" s="73"/>
      <c r="BD1666" s="73"/>
      <c r="BE1666" s="73"/>
      <c r="BF1666" s="75"/>
      <c r="BG1666" s="73"/>
      <c r="BH1666" s="88"/>
      <c r="BI1666" s="73"/>
      <c r="BJ1666" s="73"/>
      <c r="BK1666" s="73"/>
      <c r="BL1666" s="73"/>
      <c r="BM1666" s="73"/>
      <c r="BN1666" s="73"/>
      <c r="BO1666" s="73"/>
      <c r="BP1666" s="73"/>
      <c r="BQ1666" s="73"/>
      <c r="BR1666" s="73"/>
      <c r="BS1666" s="73"/>
      <c r="BT1666" s="73"/>
      <c r="BU1666" s="73"/>
      <c r="BV1666" s="73"/>
      <c r="BW1666" s="73"/>
      <c r="BX1666" s="73"/>
      <c r="BY1666" s="73"/>
      <c r="BZ1666" s="73"/>
      <c r="CA1666" s="73"/>
      <c r="CB1666" s="73"/>
      <c r="CC1666" s="73"/>
      <c r="CD1666" s="73"/>
      <c r="CE1666" s="73"/>
      <c r="CF1666" s="73"/>
      <c r="CG1666" s="73"/>
      <c r="CH1666" s="73"/>
    </row>
    <row r="1667">
      <c r="A1667" s="73"/>
      <c r="B1667" s="73"/>
      <c r="C1667" s="73"/>
      <c r="D1667" s="73"/>
      <c r="E1667" s="140"/>
      <c r="F1667" s="80"/>
      <c r="G1667" s="80"/>
      <c r="H1667" s="73"/>
      <c r="I1667" s="73"/>
      <c r="J1667" s="73"/>
      <c r="K1667" s="73"/>
      <c r="L1667" s="73"/>
      <c r="M1667" s="73"/>
      <c r="N1667" s="73"/>
      <c r="O1667" s="73"/>
      <c r="P1667" s="73"/>
      <c r="Q1667" s="73"/>
      <c r="R1667" s="73"/>
      <c r="S1667" s="73"/>
      <c r="T1667" s="73"/>
      <c r="U1667" s="73"/>
      <c r="V1667" s="73"/>
      <c r="W1667" s="73"/>
      <c r="X1667" s="73"/>
      <c r="Y1667" s="73"/>
      <c r="Z1667" s="73"/>
      <c r="AA1667" s="73"/>
      <c r="AB1667" s="73"/>
      <c r="AC1667" s="73"/>
      <c r="AD1667" s="73"/>
      <c r="AE1667" s="73"/>
      <c r="AF1667" s="73"/>
      <c r="AG1667" s="73"/>
      <c r="AH1667" s="73"/>
      <c r="AI1667" s="73"/>
      <c r="AJ1667" s="168"/>
      <c r="AK1667" s="73"/>
      <c r="AL1667" s="73"/>
      <c r="AM1667" s="73"/>
      <c r="AN1667" s="73"/>
      <c r="AO1667" s="73"/>
      <c r="AP1667" s="73"/>
      <c r="AQ1667" s="73"/>
      <c r="AR1667" s="73"/>
      <c r="AS1667" s="73"/>
      <c r="AT1667" s="73"/>
      <c r="AU1667" s="73"/>
      <c r="AV1667" s="73"/>
      <c r="AW1667" s="73"/>
      <c r="AX1667" s="73"/>
      <c r="AY1667" s="73"/>
      <c r="AZ1667" s="73"/>
      <c r="BA1667" s="73"/>
      <c r="BB1667" s="73"/>
      <c r="BC1667" s="73"/>
      <c r="BD1667" s="73"/>
      <c r="BE1667" s="73"/>
      <c r="BF1667" s="75"/>
      <c r="BG1667" s="73"/>
      <c r="BH1667" s="88"/>
      <c r="BI1667" s="73"/>
      <c r="BJ1667" s="73"/>
      <c r="BK1667" s="73"/>
      <c r="BL1667" s="73"/>
      <c r="BM1667" s="73"/>
      <c r="BN1667" s="73"/>
      <c r="BO1667" s="73"/>
      <c r="BP1667" s="73"/>
      <c r="BQ1667" s="73"/>
      <c r="BR1667" s="73"/>
      <c r="BS1667" s="73"/>
      <c r="BT1667" s="73"/>
      <c r="BU1667" s="73"/>
      <c r="BV1667" s="73"/>
      <c r="BW1667" s="73"/>
      <c r="BX1667" s="73"/>
      <c r="BY1667" s="73"/>
      <c r="BZ1667" s="73"/>
      <c r="CA1667" s="73"/>
      <c r="CB1667" s="73"/>
      <c r="CC1667" s="73"/>
      <c r="CD1667" s="73"/>
      <c r="CE1667" s="73"/>
      <c r="CF1667" s="73"/>
      <c r="CG1667" s="73"/>
      <c r="CH1667" s="73"/>
    </row>
    <row r="1668">
      <c r="A1668" s="73"/>
      <c r="B1668" s="73"/>
      <c r="C1668" s="73"/>
      <c r="D1668" s="73"/>
      <c r="E1668" s="140"/>
      <c r="F1668" s="80"/>
      <c r="G1668" s="80"/>
      <c r="H1668" s="73"/>
      <c r="I1668" s="73"/>
      <c r="J1668" s="73"/>
      <c r="K1668" s="73"/>
      <c r="L1668" s="73"/>
      <c r="M1668" s="73"/>
      <c r="N1668" s="73"/>
      <c r="O1668" s="73"/>
      <c r="P1668" s="73"/>
      <c r="Q1668" s="73"/>
      <c r="R1668" s="73"/>
      <c r="S1668" s="73"/>
      <c r="T1668" s="73"/>
      <c r="U1668" s="73"/>
      <c r="V1668" s="73"/>
      <c r="W1668" s="73"/>
      <c r="X1668" s="73"/>
      <c r="Y1668" s="73"/>
      <c r="Z1668" s="73"/>
      <c r="AA1668" s="73"/>
      <c r="AB1668" s="73"/>
      <c r="AC1668" s="73"/>
      <c r="AD1668" s="73"/>
      <c r="AE1668" s="73"/>
      <c r="AF1668" s="73"/>
      <c r="AG1668" s="73"/>
      <c r="AH1668" s="73"/>
      <c r="AI1668" s="73"/>
      <c r="AJ1668" s="168"/>
      <c r="AK1668" s="73"/>
      <c r="AL1668" s="73"/>
      <c r="AM1668" s="73"/>
      <c r="AN1668" s="73"/>
      <c r="AO1668" s="73"/>
      <c r="AP1668" s="73"/>
      <c r="AQ1668" s="73"/>
      <c r="AR1668" s="73"/>
      <c r="AS1668" s="73"/>
      <c r="AT1668" s="73"/>
      <c r="AU1668" s="73"/>
      <c r="AV1668" s="73"/>
      <c r="AW1668" s="73"/>
      <c r="AX1668" s="73"/>
      <c r="AY1668" s="73"/>
      <c r="AZ1668" s="73"/>
      <c r="BA1668" s="73"/>
      <c r="BB1668" s="73"/>
      <c r="BC1668" s="73"/>
      <c r="BD1668" s="73"/>
      <c r="BE1668" s="73"/>
      <c r="BF1668" s="75"/>
      <c r="BG1668" s="73"/>
      <c r="BH1668" s="88"/>
      <c r="BI1668" s="73"/>
      <c r="BJ1668" s="73"/>
      <c r="BK1668" s="73"/>
      <c r="BL1668" s="73"/>
      <c r="BM1668" s="73"/>
      <c r="BN1668" s="73"/>
      <c r="BO1668" s="73"/>
      <c r="BP1668" s="73"/>
      <c r="BQ1668" s="73"/>
      <c r="BR1668" s="73"/>
      <c r="BS1668" s="73"/>
      <c r="BT1668" s="73"/>
      <c r="BU1668" s="73"/>
      <c r="BV1668" s="73"/>
      <c r="BW1668" s="73"/>
      <c r="BX1668" s="73"/>
      <c r="BY1668" s="73"/>
      <c r="BZ1668" s="73"/>
      <c r="CA1668" s="73"/>
      <c r="CB1668" s="73"/>
      <c r="CC1668" s="73"/>
      <c r="CD1668" s="73"/>
      <c r="CE1668" s="73"/>
      <c r="CF1668" s="73"/>
      <c r="CG1668" s="73"/>
      <c r="CH1668" s="73"/>
    </row>
    <row r="1669">
      <c r="A1669" s="73"/>
      <c r="B1669" s="73"/>
      <c r="C1669" s="73"/>
      <c r="D1669" s="73"/>
      <c r="E1669" s="140"/>
      <c r="F1669" s="80"/>
      <c r="G1669" s="80"/>
      <c r="H1669" s="73"/>
      <c r="I1669" s="73"/>
      <c r="J1669" s="73"/>
      <c r="K1669" s="73"/>
      <c r="L1669" s="73"/>
      <c r="M1669" s="73"/>
      <c r="N1669" s="73"/>
      <c r="O1669" s="73"/>
      <c r="P1669" s="73"/>
      <c r="Q1669" s="73"/>
      <c r="R1669" s="73"/>
      <c r="S1669" s="73"/>
      <c r="T1669" s="73"/>
      <c r="U1669" s="73"/>
      <c r="V1669" s="73"/>
      <c r="W1669" s="73"/>
      <c r="X1669" s="73"/>
      <c r="Y1669" s="73"/>
      <c r="Z1669" s="73"/>
      <c r="AA1669" s="73"/>
      <c r="AB1669" s="73"/>
      <c r="AC1669" s="73"/>
      <c r="AD1669" s="73"/>
      <c r="AE1669" s="73"/>
      <c r="AF1669" s="73"/>
      <c r="AG1669" s="73"/>
      <c r="AH1669" s="73"/>
      <c r="AI1669" s="73"/>
      <c r="AJ1669" s="168"/>
      <c r="AK1669" s="73"/>
      <c r="AL1669" s="73"/>
      <c r="AM1669" s="73"/>
      <c r="AN1669" s="73"/>
      <c r="AO1669" s="73"/>
      <c r="AP1669" s="73"/>
      <c r="AQ1669" s="73"/>
      <c r="AR1669" s="73"/>
      <c r="AS1669" s="73"/>
      <c r="AT1669" s="73"/>
      <c r="AU1669" s="73"/>
      <c r="AV1669" s="73"/>
      <c r="AW1669" s="73"/>
      <c r="AX1669" s="73"/>
      <c r="AY1669" s="73"/>
      <c r="AZ1669" s="73"/>
      <c r="BA1669" s="73"/>
      <c r="BB1669" s="73"/>
      <c r="BC1669" s="73"/>
      <c r="BD1669" s="73"/>
      <c r="BE1669" s="73"/>
      <c r="BF1669" s="75"/>
      <c r="BG1669" s="73"/>
      <c r="BH1669" s="88"/>
      <c r="BI1669" s="73"/>
      <c r="BJ1669" s="73"/>
      <c r="BK1669" s="73"/>
      <c r="BL1669" s="73"/>
      <c r="BM1669" s="73"/>
      <c r="BN1669" s="73"/>
      <c r="BO1669" s="73"/>
      <c r="BP1669" s="73"/>
      <c r="BQ1669" s="73"/>
      <c r="BR1669" s="73"/>
      <c r="BS1669" s="73"/>
      <c r="BT1669" s="73"/>
      <c r="BU1669" s="73"/>
      <c r="BV1669" s="73"/>
      <c r="BW1669" s="73"/>
      <c r="BX1669" s="73"/>
      <c r="BY1669" s="73"/>
      <c r="BZ1669" s="73"/>
      <c r="CA1669" s="73"/>
      <c r="CB1669" s="73"/>
      <c r="CC1669" s="73"/>
      <c r="CD1669" s="73"/>
      <c r="CE1669" s="73"/>
      <c r="CF1669" s="73"/>
      <c r="CG1669" s="73"/>
      <c r="CH1669" s="73"/>
    </row>
    <row r="1670">
      <c r="A1670" s="73"/>
      <c r="B1670" s="73"/>
      <c r="C1670" s="73"/>
      <c r="D1670" s="73"/>
      <c r="E1670" s="140"/>
      <c r="F1670" s="80"/>
      <c r="G1670" s="80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  <c r="S1670" s="73"/>
      <c r="T1670" s="73"/>
      <c r="U1670" s="73"/>
      <c r="V1670" s="73"/>
      <c r="W1670" s="73"/>
      <c r="X1670" s="73"/>
      <c r="Y1670" s="73"/>
      <c r="Z1670" s="73"/>
      <c r="AA1670" s="73"/>
      <c r="AB1670" s="73"/>
      <c r="AC1670" s="73"/>
      <c r="AD1670" s="73"/>
      <c r="AE1670" s="73"/>
      <c r="AF1670" s="73"/>
      <c r="AG1670" s="73"/>
      <c r="AH1670" s="73"/>
      <c r="AI1670" s="73"/>
      <c r="AJ1670" s="168"/>
      <c r="AK1670" s="73"/>
      <c r="AL1670" s="73"/>
      <c r="AM1670" s="73"/>
      <c r="AN1670" s="73"/>
      <c r="AO1670" s="73"/>
      <c r="AP1670" s="73"/>
      <c r="AQ1670" s="73"/>
      <c r="AR1670" s="73"/>
      <c r="AS1670" s="73"/>
      <c r="AT1670" s="73"/>
      <c r="AU1670" s="73"/>
      <c r="AV1670" s="73"/>
      <c r="AW1670" s="73"/>
      <c r="AX1670" s="73"/>
      <c r="AY1670" s="73"/>
      <c r="AZ1670" s="73"/>
      <c r="BA1670" s="73"/>
      <c r="BB1670" s="73"/>
      <c r="BC1670" s="73"/>
      <c r="BD1670" s="73"/>
      <c r="BE1670" s="73"/>
      <c r="BF1670" s="75"/>
      <c r="BG1670" s="73"/>
      <c r="BH1670" s="88"/>
      <c r="BI1670" s="73"/>
      <c r="BJ1670" s="73"/>
      <c r="BK1670" s="73"/>
      <c r="BL1670" s="73"/>
      <c r="BM1670" s="73"/>
      <c r="BN1670" s="73"/>
      <c r="BO1670" s="73"/>
      <c r="BP1670" s="73"/>
      <c r="BQ1670" s="73"/>
      <c r="BR1670" s="73"/>
      <c r="BS1670" s="73"/>
      <c r="BT1670" s="73"/>
      <c r="BU1670" s="73"/>
      <c r="BV1670" s="73"/>
      <c r="BW1670" s="73"/>
      <c r="BX1670" s="73"/>
      <c r="BY1670" s="73"/>
      <c r="BZ1670" s="73"/>
      <c r="CA1670" s="73"/>
      <c r="CB1670" s="73"/>
      <c r="CC1670" s="73"/>
      <c r="CD1670" s="73"/>
      <c r="CE1670" s="73"/>
      <c r="CF1670" s="73"/>
      <c r="CG1670" s="73"/>
      <c r="CH1670" s="73"/>
    </row>
    <row r="1671">
      <c r="A1671" s="73"/>
      <c r="B1671" s="73"/>
      <c r="C1671" s="73"/>
      <c r="D1671" s="73"/>
      <c r="E1671" s="140"/>
      <c r="F1671" s="80"/>
      <c r="G1671" s="80"/>
      <c r="H1671" s="73"/>
      <c r="I1671" s="73"/>
      <c r="J1671" s="73"/>
      <c r="K1671" s="73"/>
      <c r="L1671" s="73"/>
      <c r="M1671" s="73"/>
      <c r="N1671" s="73"/>
      <c r="O1671" s="73"/>
      <c r="P1671" s="73"/>
      <c r="Q1671" s="73"/>
      <c r="R1671" s="73"/>
      <c r="S1671" s="73"/>
      <c r="T1671" s="73"/>
      <c r="U1671" s="73"/>
      <c r="V1671" s="73"/>
      <c r="W1671" s="73"/>
      <c r="X1671" s="73"/>
      <c r="Y1671" s="73"/>
      <c r="Z1671" s="73"/>
      <c r="AA1671" s="73"/>
      <c r="AB1671" s="73"/>
      <c r="AC1671" s="73"/>
      <c r="AD1671" s="73"/>
      <c r="AE1671" s="73"/>
      <c r="AF1671" s="73"/>
      <c r="AG1671" s="73"/>
      <c r="AH1671" s="73"/>
      <c r="AI1671" s="73"/>
      <c r="AJ1671" s="168"/>
      <c r="AK1671" s="73"/>
      <c r="AL1671" s="73"/>
      <c r="AM1671" s="73"/>
      <c r="AN1671" s="73"/>
      <c r="AO1671" s="73"/>
      <c r="AP1671" s="73"/>
      <c r="AQ1671" s="73"/>
      <c r="AR1671" s="73"/>
      <c r="AS1671" s="73"/>
      <c r="AT1671" s="73"/>
      <c r="AU1671" s="73"/>
      <c r="AV1671" s="73"/>
      <c r="AW1671" s="73"/>
      <c r="AX1671" s="73"/>
      <c r="AY1671" s="73"/>
      <c r="AZ1671" s="73"/>
      <c r="BA1671" s="73"/>
      <c r="BB1671" s="73"/>
      <c r="BC1671" s="73"/>
      <c r="BD1671" s="73"/>
      <c r="BE1671" s="73"/>
      <c r="BF1671" s="75"/>
      <c r="BG1671" s="73"/>
      <c r="BH1671" s="88"/>
      <c r="BI1671" s="73"/>
      <c r="BJ1671" s="73"/>
      <c r="BK1671" s="73"/>
      <c r="BL1671" s="73"/>
      <c r="BM1671" s="73"/>
      <c r="BN1671" s="73"/>
      <c r="BO1671" s="73"/>
      <c r="BP1671" s="73"/>
      <c r="BQ1671" s="73"/>
      <c r="BR1671" s="73"/>
      <c r="BS1671" s="73"/>
      <c r="BT1671" s="73"/>
      <c r="BU1671" s="73"/>
      <c r="BV1671" s="73"/>
      <c r="BW1671" s="73"/>
      <c r="BX1671" s="73"/>
      <c r="BY1671" s="73"/>
      <c r="BZ1671" s="73"/>
      <c r="CA1671" s="73"/>
      <c r="CB1671" s="73"/>
      <c r="CC1671" s="73"/>
      <c r="CD1671" s="73"/>
      <c r="CE1671" s="73"/>
      <c r="CF1671" s="73"/>
      <c r="CG1671" s="73"/>
      <c r="CH1671" s="73"/>
    </row>
    <row r="1672">
      <c r="A1672" s="73"/>
      <c r="B1672" s="73"/>
      <c r="C1672" s="73"/>
      <c r="D1672" s="73"/>
      <c r="E1672" s="140"/>
      <c r="F1672" s="80"/>
      <c r="G1672" s="80"/>
      <c r="H1672" s="73"/>
      <c r="I1672" s="73"/>
      <c r="J1672" s="73"/>
      <c r="K1672" s="73"/>
      <c r="L1672" s="73"/>
      <c r="M1672" s="73"/>
      <c r="N1672" s="73"/>
      <c r="O1672" s="73"/>
      <c r="P1672" s="73"/>
      <c r="Q1672" s="73"/>
      <c r="R1672" s="73"/>
      <c r="S1672" s="73"/>
      <c r="T1672" s="73"/>
      <c r="U1672" s="73"/>
      <c r="V1672" s="73"/>
      <c r="W1672" s="73"/>
      <c r="X1672" s="73"/>
      <c r="Y1672" s="73"/>
      <c r="Z1672" s="73"/>
      <c r="AA1672" s="73"/>
      <c r="AB1672" s="73"/>
      <c r="AC1672" s="73"/>
      <c r="AD1672" s="73"/>
      <c r="AE1672" s="73"/>
      <c r="AF1672" s="73"/>
      <c r="AG1672" s="73"/>
      <c r="AH1672" s="73"/>
      <c r="AI1672" s="73"/>
      <c r="AJ1672" s="168"/>
      <c r="AK1672" s="73"/>
      <c r="AL1672" s="73"/>
      <c r="AM1672" s="73"/>
      <c r="AN1672" s="73"/>
      <c r="AO1672" s="73"/>
      <c r="AP1672" s="73"/>
      <c r="AQ1672" s="73"/>
      <c r="AR1672" s="73"/>
      <c r="AS1672" s="73"/>
      <c r="AT1672" s="73"/>
      <c r="AU1672" s="73"/>
      <c r="AV1672" s="73"/>
      <c r="AW1672" s="73"/>
      <c r="AX1672" s="73"/>
      <c r="AY1672" s="73"/>
      <c r="AZ1672" s="73"/>
      <c r="BA1672" s="73"/>
      <c r="BB1672" s="73"/>
      <c r="BC1672" s="73"/>
      <c r="BD1672" s="73"/>
      <c r="BE1672" s="73"/>
      <c r="BF1672" s="75"/>
      <c r="BG1672" s="73"/>
      <c r="BH1672" s="88"/>
      <c r="BI1672" s="73"/>
      <c r="BJ1672" s="73"/>
      <c r="BK1672" s="73"/>
      <c r="BL1672" s="73"/>
      <c r="BM1672" s="73"/>
      <c r="BN1672" s="73"/>
      <c r="BO1672" s="73"/>
      <c r="BP1672" s="73"/>
      <c r="BQ1672" s="73"/>
      <c r="BR1672" s="73"/>
      <c r="BS1672" s="73"/>
      <c r="BT1672" s="73"/>
      <c r="BU1672" s="73"/>
      <c r="BV1672" s="73"/>
      <c r="BW1672" s="73"/>
      <c r="BX1672" s="73"/>
      <c r="BY1672" s="73"/>
      <c r="BZ1672" s="73"/>
      <c r="CA1672" s="73"/>
      <c r="CB1672" s="73"/>
      <c r="CC1672" s="73"/>
      <c r="CD1672" s="73"/>
      <c r="CE1672" s="73"/>
      <c r="CF1672" s="73"/>
      <c r="CG1672" s="73"/>
      <c r="CH1672" s="73"/>
    </row>
    <row r="1673">
      <c r="A1673" s="73"/>
      <c r="B1673" s="73"/>
      <c r="C1673" s="73"/>
      <c r="D1673" s="73"/>
      <c r="E1673" s="140"/>
      <c r="F1673" s="80"/>
      <c r="G1673" s="80"/>
      <c r="H1673" s="73"/>
      <c r="I1673" s="73"/>
      <c r="J1673" s="73"/>
      <c r="K1673" s="73"/>
      <c r="L1673" s="73"/>
      <c r="M1673" s="73"/>
      <c r="N1673" s="73"/>
      <c r="O1673" s="73"/>
      <c r="P1673" s="73"/>
      <c r="Q1673" s="73"/>
      <c r="R1673" s="73"/>
      <c r="S1673" s="73"/>
      <c r="T1673" s="73"/>
      <c r="U1673" s="73"/>
      <c r="V1673" s="73"/>
      <c r="W1673" s="73"/>
      <c r="X1673" s="73"/>
      <c r="Y1673" s="73"/>
      <c r="Z1673" s="73"/>
      <c r="AA1673" s="73"/>
      <c r="AB1673" s="73"/>
      <c r="AC1673" s="73"/>
      <c r="AD1673" s="73"/>
      <c r="AE1673" s="73"/>
      <c r="AF1673" s="73"/>
      <c r="AG1673" s="73"/>
      <c r="AH1673" s="73"/>
      <c r="AI1673" s="73"/>
      <c r="AJ1673" s="168"/>
      <c r="AK1673" s="73"/>
      <c r="AL1673" s="73"/>
      <c r="AM1673" s="73"/>
      <c r="AN1673" s="73"/>
      <c r="AO1673" s="73"/>
      <c r="AP1673" s="73"/>
      <c r="AQ1673" s="73"/>
      <c r="AR1673" s="73"/>
      <c r="AS1673" s="73"/>
      <c r="AT1673" s="73"/>
      <c r="AU1673" s="73"/>
      <c r="AV1673" s="73"/>
      <c r="AW1673" s="73"/>
      <c r="AX1673" s="73"/>
      <c r="AY1673" s="73"/>
      <c r="AZ1673" s="73"/>
      <c r="BA1673" s="73"/>
      <c r="BB1673" s="73"/>
      <c r="BC1673" s="73"/>
      <c r="BD1673" s="73"/>
      <c r="BE1673" s="73"/>
      <c r="BF1673" s="75"/>
      <c r="BG1673" s="73"/>
      <c r="BH1673" s="88"/>
      <c r="BI1673" s="73"/>
      <c r="BJ1673" s="73"/>
      <c r="BK1673" s="73"/>
      <c r="BL1673" s="73"/>
      <c r="BM1673" s="73"/>
      <c r="BN1673" s="73"/>
      <c r="BO1673" s="73"/>
      <c r="BP1673" s="73"/>
      <c r="BQ1673" s="73"/>
      <c r="BR1673" s="73"/>
      <c r="BS1673" s="73"/>
      <c r="BT1673" s="73"/>
      <c r="BU1673" s="73"/>
      <c r="BV1673" s="73"/>
      <c r="BW1673" s="73"/>
      <c r="BX1673" s="73"/>
      <c r="BY1673" s="73"/>
      <c r="BZ1673" s="73"/>
      <c r="CA1673" s="73"/>
      <c r="CB1673" s="73"/>
      <c r="CC1673" s="73"/>
      <c r="CD1673" s="73"/>
      <c r="CE1673" s="73"/>
      <c r="CF1673" s="73"/>
      <c r="CG1673" s="73"/>
      <c r="CH1673" s="73"/>
    </row>
    <row r="1674">
      <c r="A1674" s="73"/>
      <c r="B1674" s="73"/>
      <c r="C1674" s="73"/>
      <c r="D1674" s="73"/>
      <c r="E1674" s="140"/>
      <c r="F1674" s="80"/>
      <c r="G1674" s="80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  <c r="S1674" s="73"/>
      <c r="T1674" s="73"/>
      <c r="U1674" s="73"/>
      <c r="V1674" s="73"/>
      <c r="W1674" s="73"/>
      <c r="X1674" s="73"/>
      <c r="Y1674" s="73"/>
      <c r="Z1674" s="73"/>
      <c r="AA1674" s="73"/>
      <c r="AB1674" s="73"/>
      <c r="AC1674" s="73"/>
      <c r="AD1674" s="73"/>
      <c r="AE1674" s="73"/>
      <c r="AF1674" s="73"/>
      <c r="AG1674" s="73"/>
      <c r="AH1674" s="73"/>
      <c r="AI1674" s="73"/>
      <c r="AJ1674" s="168"/>
      <c r="AK1674" s="73"/>
      <c r="AL1674" s="73"/>
      <c r="AM1674" s="73"/>
      <c r="AN1674" s="73"/>
      <c r="AO1674" s="73"/>
      <c r="AP1674" s="73"/>
      <c r="AQ1674" s="73"/>
      <c r="AR1674" s="73"/>
      <c r="AS1674" s="73"/>
      <c r="AT1674" s="73"/>
      <c r="AU1674" s="73"/>
      <c r="AV1674" s="73"/>
      <c r="AW1674" s="73"/>
      <c r="AX1674" s="73"/>
      <c r="AY1674" s="73"/>
      <c r="AZ1674" s="73"/>
      <c r="BA1674" s="73"/>
      <c r="BB1674" s="73"/>
      <c r="BC1674" s="73"/>
      <c r="BD1674" s="73"/>
      <c r="BE1674" s="73"/>
      <c r="BF1674" s="75"/>
      <c r="BG1674" s="73"/>
      <c r="BH1674" s="88"/>
      <c r="BI1674" s="73"/>
      <c r="BJ1674" s="73"/>
      <c r="BK1674" s="73"/>
      <c r="BL1674" s="73"/>
      <c r="BM1674" s="73"/>
      <c r="BN1674" s="73"/>
      <c r="BO1674" s="73"/>
      <c r="BP1674" s="73"/>
      <c r="BQ1674" s="73"/>
      <c r="BR1674" s="73"/>
      <c r="BS1674" s="73"/>
      <c r="BT1674" s="73"/>
      <c r="BU1674" s="73"/>
      <c r="BV1674" s="73"/>
      <c r="BW1674" s="73"/>
      <c r="BX1674" s="73"/>
      <c r="BY1674" s="73"/>
      <c r="BZ1674" s="73"/>
      <c r="CA1674" s="73"/>
      <c r="CB1674" s="73"/>
      <c r="CC1674" s="73"/>
      <c r="CD1674" s="73"/>
      <c r="CE1674" s="73"/>
      <c r="CF1674" s="73"/>
      <c r="CG1674" s="73"/>
      <c r="CH1674" s="73"/>
    </row>
    <row r="1675">
      <c r="A1675" s="73"/>
      <c r="B1675" s="73"/>
      <c r="C1675" s="73"/>
      <c r="D1675" s="73"/>
      <c r="E1675" s="140"/>
      <c r="F1675" s="80"/>
      <c r="G1675" s="80"/>
      <c r="H1675" s="73"/>
      <c r="I1675" s="73"/>
      <c r="J1675" s="73"/>
      <c r="K1675" s="73"/>
      <c r="L1675" s="73"/>
      <c r="M1675" s="73"/>
      <c r="N1675" s="73"/>
      <c r="O1675" s="73"/>
      <c r="P1675" s="73"/>
      <c r="Q1675" s="73"/>
      <c r="R1675" s="73"/>
      <c r="S1675" s="73"/>
      <c r="T1675" s="73"/>
      <c r="U1675" s="73"/>
      <c r="V1675" s="73"/>
      <c r="W1675" s="73"/>
      <c r="X1675" s="73"/>
      <c r="Y1675" s="73"/>
      <c r="Z1675" s="73"/>
      <c r="AA1675" s="73"/>
      <c r="AB1675" s="73"/>
      <c r="AC1675" s="73"/>
      <c r="AD1675" s="73"/>
      <c r="AE1675" s="73"/>
      <c r="AF1675" s="73"/>
      <c r="AG1675" s="73"/>
      <c r="AH1675" s="73"/>
      <c r="AI1675" s="73"/>
      <c r="AJ1675" s="168"/>
      <c r="AK1675" s="73"/>
      <c r="AL1675" s="73"/>
      <c r="AM1675" s="73"/>
      <c r="AN1675" s="73"/>
      <c r="AO1675" s="73"/>
      <c r="AP1675" s="73"/>
      <c r="AQ1675" s="73"/>
      <c r="AR1675" s="73"/>
      <c r="AS1675" s="73"/>
      <c r="AT1675" s="73"/>
      <c r="AU1675" s="73"/>
      <c r="AV1675" s="73"/>
      <c r="AW1675" s="73"/>
      <c r="AX1675" s="73"/>
      <c r="AY1675" s="73"/>
      <c r="AZ1675" s="73"/>
      <c r="BA1675" s="73"/>
      <c r="BB1675" s="73"/>
      <c r="BC1675" s="73"/>
      <c r="BD1675" s="73"/>
      <c r="BE1675" s="73"/>
      <c r="BF1675" s="75"/>
      <c r="BG1675" s="73"/>
      <c r="BH1675" s="88"/>
      <c r="BI1675" s="73"/>
      <c r="BJ1675" s="73"/>
      <c r="BK1675" s="73"/>
      <c r="BL1675" s="73"/>
      <c r="BM1675" s="73"/>
      <c r="BN1675" s="73"/>
      <c r="BO1675" s="73"/>
      <c r="BP1675" s="73"/>
      <c r="BQ1675" s="73"/>
      <c r="BR1675" s="73"/>
      <c r="BS1675" s="73"/>
      <c r="BT1675" s="73"/>
      <c r="BU1675" s="73"/>
      <c r="BV1675" s="73"/>
      <c r="BW1675" s="73"/>
      <c r="BX1675" s="73"/>
      <c r="BY1675" s="73"/>
      <c r="BZ1675" s="73"/>
      <c r="CA1675" s="73"/>
      <c r="CB1675" s="73"/>
      <c r="CC1675" s="73"/>
      <c r="CD1675" s="73"/>
      <c r="CE1675" s="73"/>
      <c r="CF1675" s="73"/>
      <c r="CG1675" s="73"/>
      <c r="CH1675" s="73"/>
    </row>
    <row r="1676">
      <c r="A1676" s="73"/>
      <c r="B1676" s="73"/>
      <c r="C1676" s="73"/>
      <c r="D1676" s="73"/>
      <c r="E1676" s="140"/>
      <c r="F1676" s="80"/>
      <c r="G1676" s="80"/>
      <c r="H1676" s="73"/>
      <c r="I1676" s="73"/>
      <c r="J1676" s="73"/>
      <c r="K1676" s="73"/>
      <c r="L1676" s="73"/>
      <c r="M1676" s="73"/>
      <c r="N1676" s="73"/>
      <c r="O1676" s="73"/>
      <c r="P1676" s="73"/>
      <c r="Q1676" s="73"/>
      <c r="R1676" s="73"/>
      <c r="S1676" s="73"/>
      <c r="T1676" s="73"/>
      <c r="U1676" s="73"/>
      <c r="V1676" s="73"/>
      <c r="W1676" s="73"/>
      <c r="X1676" s="73"/>
      <c r="Y1676" s="73"/>
      <c r="Z1676" s="73"/>
      <c r="AA1676" s="73"/>
      <c r="AB1676" s="73"/>
      <c r="AC1676" s="73"/>
      <c r="AD1676" s="73"/>
      <c r="AE1676" s="73"/>
      <c r="AF1676" s="73"/>
      <c r="AG1676" s="73"/>
      <c r="AH1676" s="73"/>
      <c r="AI1676" s="73"/>
      <c r="AJ1676" s="168"/>
      <c r="AK1676" s="73"/>
      <c r="AL1676" s="73"/>
      <c r="AM1676" s="73"/>
      <c r="AN1676" s="73"/>
      <c r="AO1676" s="73"/>
      <c r="AP1676" s="73"/>
      <c r="AQ1676" s="73"/>
      <c r="AR1676" s="73"/>
      <c r="AS1676" s="73"/>
      <c r="AT1676" s="73"/>
      <c r="AU1676" s="73"/>
      <c r="AV1676" s="73"/>
      <c r="AW1676" s="73"/>
      <c r="AX1676" s="73"/>
      <c r="AY1676" s="73"/>
      <c r="AZ1676" s="73"/>
      <c r="BA1676" s="73"/>
      <c r="BB1676" s="73"/>
      <c r="BC1676" s="73"/>
      <c r="BD1676" s="73"/>
      <c r="BE1676" s="73"/>
      <c r="BF1676" s="75"/>
      <c r="BG1676" s="73"/>
      <c r="BH1676" s="88"/>
      <c r="BI1676" s="73"/>
      <c r="BJ1676" s="73"/>
      <c r="BK1676" s="73"/>
      <c r="BL1676" s="73"/>
      <c r="BM1676" s="73"/>
      <c r="BN1676" s="73"/>
      <c r="BO1676" s="73"/>
      <c r="BP1676" s="73"/>
      <c r="BQ1676" s="73"/>
      <c r="BR1676" s="73"/>
      <c r="BS1676" s="73"/>
      <c r="BT1676" s="73"/>
      <c r="BU1676" s="73"/>
      <c r="BV1676" s="73"/>
      <c r="BW1676" s="73"/>
      <c r="BX1676" s="73"/>
      <c r="BY1676" s="73"/>
      <c r="BZ1676" s="73"/>
      <c r="CA1676" s="73"/>
      <c r="CB1676" s="73"/>
      <c r="CC1676" s="73"/>
      <c r="CD1676" s="73"/>
      <c r="CE1676" s="73"/>
      <c r="CF1676" s="73"/>
      <c r="CG1676" s="73"/>
      <c r="CH1676" s="73"/>
    </row>
    <row r="1677">
      <c r="A1677" s="73"/>
      <c r="B1677" s="73"/>
      <c r="C1677" s="73"/>
      <c r="D1677" s="73"/>
      <c r="E1677" s="140"/>
      <c r="F1677" s="80"/>
      <c r="G1677" s="80"/>
      <c r="H1677" s="73"/>
      <c r="I1677" s="73"/>
      <c r="J1677" s="73"/>
      <c r="K1677" s="73"/>
      <c r="L1677" s="73"/>
      <c r="M1677" s="73"/>
      <c r="N1677" s="73"/>
      <c r="O1677" s="73"/>
      <c r="P1677" s="73"/>
      <c r="Q1677" s="73"/>
      <c r="R1677" s="73"/>
      <c r="S1677" s="73"/>
      <c r="T1677" s="73"/>
      <c r="U1677" s="73"/>
      <c r="V1677" s="73"/>
      <c r="W1677" s="73"/>
      <c r="X1677" s="73"/>
      <c r="Y1677" s="73"/>
      <c r="Z1677" s="73"/>
      <c r="AA1677" s="73"/>
      <c r="AB1677" s="73"/>
      <c r="AC1677" s="73"/>
      <c r="AD1677" s="73"/>
      <c r="AE1677" s="73"/>
      <c r="AF1677" s="73"/>
      <c r="AG1677" s="73"/>
      <c r="AH1677" s="73"/>
      <c r="AI1677" s="73"/>
      <c r="AJ1677" s="168"/>
      <c r="AK1677" s="73"/>
      <c r="AL1677" s="73"/>
      <c r="AM1677" s="73"/>
      <c r="AN1677" s="73"/>
      <c r="AO1677" s="73"/>
      <c r="AP1677" s="73"/>
      <c r="AQ1677" s="73"/>
      <c r="AR1677" s="73"/>
      <c r="AS1677" s="73"/>
      <c r="AT1677" s="73"/>
      <c r="AU1677" s="73"/>
      <c r="AV1677" s="73"/>
      <c r="AW1677" s="73"/>
      <c r="AX1677" s="73"/>
      <c r="AY1677" s="73"/>
      <c r="AZ1677" s="73"/>
      <c r="BA1677" s="73"/>
      <c r="BB1677" s="73"/>
      <c r="BC1677" s="73"/>
      <c r="BD1677" s="73"/>
      <c r="BE1677" s="73"/>
      <c r="BF1677" s="75"/>
      <c r="BG1677" s="73"/>
      <c r="BH1677" s="88"/>
      <c r="BI1677" s="73"/>
      <c r="BJ1677" s="73"/>
      <c r="BK1677" s="73"/>
      <c r="BL1677" s="73"/>
      <c r="BM1677" s="73"/>
      <c r="BN1677" s="73"/>
      <c r="BO1677" s="73"/>
      <c r="BP1677" s="73"/>
      <c r="BQ1677" s="73"/>
      <c r="BR1677" s="73"/>
      <c r="BS1677" s="73"/>
      <c r="BT1677" s="73"/>
      <c r="BU1677" s="73"/>
      <c r="BV1677" s="73"/>
      <c r="BW1677" s="73"/>
      <c r="BX1677" s="73"/>
      <c r="BY1677" s="73"/>
      <c r="BZ1677" s="73"/>
      <c r="CA1677" s="73"/>
      <c r="CB1677" s="73"/>
      <c r="CC1677" s="73"/>
      <c r="CD1677" s="73"/>
      <c r="CE1677" s="73"/>
      <c r="CF1677" s="73"/>
      <c r="CG1677" s="73"/>
      <c r="CH1677" s="73"/>
    </row>
    <row r="1678">
      <c r="A1678" s="73"/>
      <c r="B1678" s="73"/>
      <c r="C1678" s="73"/>
      <c r="D1678" s="73"/>
      <c r="E1678" s="140"/>
      <c r="F1678" s="80"/>
      <c r="G1678" s="80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  <c r="S1678" s="73"/>
      <c r="T1678" s="73"/>
      <c r="U1678" s="73"/>
      <c r="V1678" s="73"/>
      <c r="W1678" s="73"/>
      <c r="X1678" s="73"/>
      <c r="Y1678" s="73"/>
      <c r="Z1678" s="73"/>
      <c r="AA1678" s="73"/>
      <c r="AB1678" s="73"/>
      <c r="AC1678" s="73"/>
      <c r="AD1678" s="73"/>
      <c r="AE1678" s="73"/>
      <c r="AF1678" s="73"/>
      <c r="AG1678" s="73"/>
      <c r="AH1678" s="73"/>
      <c r="AI1678" s="73"/>
      <c r="AJ1678" s="168"/>
      <c r="AK1678" s="73"/>
      <c r="AL1678" s="73"/>
      <c r="AM1678" s="73"/>
      <c r="AN1678" s="73"/>
      <c r="AO1678" s="73"/>
      <c r="AP1678" s="73"/>
      <c r="AQ1678" s="73"/>
      <c r="AR1678" s="73"/>
      <c r="AS1678" s="73"/>
      <c r="AT1678" s="73"/>
      <c r="AU1678" s="73"/>
      <c r="AV1678" s="73"/>
      <c r="AW1678" s="73"/>
      <c r="AX1678" s="73"/>
      <c r="AY1678" s="73"/>
      <c r="AZ1678" s="73"/>
      <c r="BA1678" s="73"/>
      <c r="BB1678" s="73"/>
      <c r="BC1678" s="73"/>
      <c r="BD1678" s="73"/>
      <c r="BE1678" s="73"/>
      <c r="BF1678" s="75"/>
      <c r="BG1678" s="73"/>
      <c r="BH1678" s="88"/>
      <c r="BI1678" s="73"/>
      <c r="BJ1678" s="73"/>
      <c r="BK1678" s="73"/>
      <c r="BL1678" s="73"/>
      <c r="BM1678" s="73"/>
      <c r="BN1678" s="73"/>
      <c r="BO1678" s="73"/>
      <c r="BP1678" s="73"/>
      <c r="BQ1678" s="73"/>
      <c r="BR1678" s="73"/>
      <c r="BS1678" s="73"/>
      <c r="BT1678" s="73"/>
      <c r="BU1678" s="73"/>
      <c r="BV1678" s="73"/>
      <c r="BW1678" s="73"/>
      <c r="BX1678" s="73"/>
      <c r="BY1678" s="73"/>
      <c r="BZ1678" s="73"/>
      <c r="CA1678" s="73"/>
      <c r="CB1678" s="73"/>
      <c r="CC1678" s="73"/>
      <c r="CD1678" s="73"/>
      <c r="CE1678" s="73"/>
      <c r="CF1678" s="73"/>
      <c r="CG1678" s="73"/>
      <c r="CH1678" s="73"/>
    </row>
    <row r="1679">
      <c r="A1679" s="73"/>
      <c r="B1679" s="73"/>
      <c r="C1679" s="73"/>
      <c r="D1679" s="73"/>
      <c r="E1679" s="140"/>
      <c r="F1679" s="80"/>
      <c r="G1679" s="80"/>
      <c r="H1679" s="73"/>
      <c r="I1679" s="73"/>
      <c r="J1679" s="73"/>
      <c r="K1679" s="73"/>
      <c r="L1679" s="73"/>
      <c r="M1679" s="73"/>
      <c r="N1679" s="73"/>
      <c r="O1679" s="73"/>
      <c r="P1679" s="73"/>
      <c r="Q1679" s="73"/>
      <c r="R1679" s="73"/>
      <c r="S1679" s="73"/>
      <c r="T1679" s="73"/>
      <c r="U1679" s="73"/>
      <c r="V1679" s="73"/>
      <c r="W1679" s="73"/>
      <c r="X1679" s="73"/>
      <c r="Y1679" s="73"/>
      <c r="Z1679" s="73"/>
      <c r="AA1679" s="73"/>
      <c r="AB1679" s="73"/>
      <c r="AC1679" s="73"/>
      <c r="AD1679" s="73"/>
      <c r="AE1679" s="73"/>
      <c r="AF1679" s="73"/>
      <c r="AG1679" s="73"/>
      <c r="AH1679" s="73"/>
      <c r="AI1679" s="73"/>
      <c r="AJ1679" s="168"/>
      <c r="AK1679" s="73"/>
      <c r="AL1679" s="73"/>
      <c r="AM1679" s="73"/>
      <c r="AN1679" s="73"/>
      <c r="AO1679" s="73"/>
      <c r="AP1679" s="73"/>
      <c r="AQ1679" s="73"/>
      <c r="AR1679" s="73"/>
      <c r="AS1679" s="73"/>
      <c r="AT1679" s="73"/>
      <c r="AU1679" s="73"/>
      <c r="AV1679" s="73"/>
      <c r="AW1679" s="73"/>
      <c r="AX1679" s="73"/>
      <c r="AY1679" s="73"/>
      <c r="AZ1679" s="73"/>
      <c r="BA1679" s="73"/>
      <c r="BB1679" s="73"/>
      <c r="BC1679" s="73"/>
      <c r="BD1679" s="73"/>
      <c r="BE1679" s="73"/>
      <c r="BF1679" s="75"/>
      <c r="BG1679" s="73"/>
      <c r="BH1679" s="88"/>
      <c r="BI1679" s="73"/>
      <c r="BJ1679" s="73"/>
      <c r="BK1679" s="73"/>
      <c r="BL1679" s="73"/>
      <c r="BM1679" s="73"/>
      <c r="BN1679" s="73"/>
      <c r="BO1679" s="73"/>
      <c r="BP1679" s="73"/>
      <c r="BQ1679" s="73"/>
      <c r="BR1679" s="73"/>
      <c r="BS1679" s="73"/>
      <c r="BT1679" s="73"/>
      <c r="BU1679" s="73"/>
      <c r="BV1679" s="73"/>
      <c r="BW1679" s="73"/>
      <c r="BX1679" s="73"/>
      <c r="BY1679" s="73"/>
      <c r="BZ1679" s="73"/>
      <c r="CA1679" s="73"/>
      <c r="CB1679" s="73"/>
      <c r="CC1679" s="73"/>
      <c r="CD1679" s="73"/>
      <c r="CE1679" s="73"/>
      <c r="CF1679" s="73"/>
      <c r="CG1679" s="73"/>
      <c r="CH1679" s="73"/>
    </row>
    <row r="1680">
      <c r="A1680" s="73"/>
      <c r="B1680" s="73"/>
      <c r="C1680" s="73"/>
      <c r="D1680" s="73"/>
      <c r="E1680" s="140"/>
      <c r="F1680" s="80"/>
      <c r="G1680" s="80"/>
      <c r="H1680" s="73"/>
      <c r="I1680" s="73"/>
      <c r="J1680" s="73"/>
      <c r="K1680" s="73"/>
      <c r="L1680" s="73"/>
      <c r="M1680" s="73"/>
      <c r="N1680" s="73"/>
      <c r="O1680" s="73"/>
      <c r="P1680" s="73"/>
      <c r="Q1680" s="73"/>
      <c r="R1680" s="73"/>
      <c r="S1680" s="73"/>
      <c r="T1680" s="73"/>
      <c r="U1680" s="73"/>
      <c r="V1680" s="73"/>
      <c r="W1680" s="73"/>
      <c r="X1680" s="73"/>
      <c r="Y1680" s="73"/>
      <c r="Z1680" s="73"/>
      <c r="AA1680" s="73"/>
      <c r="AB1680" s="73"/>
      <c r="AC1680" s="73"/>
      <c r="AD1680" s="73"/>
      <c r="AE1680" s="73"/>
      <c r="AF1680" s="73"/>
      <c r="AG1680" s="73"/>
      <c r="AH1680" s="73"/>
      <c r="AI1680" s="73"/>
      <c r="AJ1680" s="168"/>
      <c r="AK1680" s="73"/>
      <c r="AL1680" s="73"/>
      <c r="AM1680" s="73"/>
      <c r="AN1680" s="73"/>
      <c r="AO1680" s="73"/>
      <c r="AP1680" s="73"/>
      <c r="AQ1680" s="73"/>
      <c r="AR1680" s="73"/>
      <c r="AS1680" s="73"/>
      <c r="AT1680" s="73"/>
      <c r="AU1680" s="73"/>
      <c r="AV1680" s="73"/>
      <c r="AW1680" s="73"/>
      <c r="AX1680" s="73"/>
      <c r="AY1680" s="73"/>
      <c r="AZ1680" s="73"/>
      <c r="BA1680" s="73"/>
      <c r="BB1680" s="73"/>
      <c r="BC1680" s="73"/>
      <c r="BD1680" s="73"/>
      <c r="BE1680" s="73"/>
      <c r="BF1680" s="75"/>
      <c r="BG1680" s="73"/>
      <c r="BH1680" s="88"/>
      <c r="BI1680" s="73"/>
      <c r="BJ1680" s="73"/>
      <c r="BK1680" s="73"/>
      <c r="BL1680" s="73"/>
      <c r="BM1680" s="73"/>
      <c r="BN1680" s="73"/>
      <c r="BO1680" s="73"/>
      <c r="BP1680" s="73"/>
      <c r="BQ1680" s="73"/>
      <c r="BR1680" s="73"/>
      <c r="BS1680" s="73"/>
      <c r="BT1680" s="73"/>
      <c r="BU1680" s="73"/>
      <c r="BV1680" s="73"/>
      <c r="BW1680" s="73"/>
      <c r="BX1680" s="73"/>
      <c r="BY1680" s="73"/>
      <c r="BZ1680" s="73"/>
      <c r="CA1680" s="73"/>
      <c r="CB1680" s="73"/>
      <c r="CC1680" s="73"/>
      <c r="CD1680" s="73"/>
      <c r="CE1680" s="73"/>
      <c r="CF1680" s="73"/>
      <c r="CG1680" s="73"/>
      <c r="CH1680" s="73"/>
    </row>
    <row r="1681">
      <c r="A1681" s="73"/>
      <c r="B1681" s="73"/>
      <c r="C1681" s="73"/>
      <c r="D1681" s="73"/>
      <c r="E1681" s="140"/>
      <c r="F1681" s="80"/>
      <c r="G1681" s="80"/>
      <c r="H1681" s="73"/>
      <c r="I1681" s="73"/>
      <c r="J1681" s="73"/>
      <c r="K1681" s="73"/>
      <c r="L1681" s="73"/>
      <c r="M1681" s="73"/>
      <c r="N1681" s="73"/>
      <c r="O1681" s="73"/>
      <c r="P1681" s="73"/>
      <c r="Q1681" s="73"/>
      <c r="R1681" s="73"/>
      <c r="S1681" s="73"/>
      <c r="T1681" s="73"/>
      <c r="U1681" s="73"/>
      <c r="V1681" s="73"/>
      <c r="W1681" s="73"/>
      <c r="X1681" s="73"/>
      <c r="Y1681" s="73"/>
      <c r="Z1681" s="73"/>
      <c r="AA1681" s="73"/>
      <c r="AB1681" s="73"/>
      <c r="AC1681" s="73"/>
      <c r="AD1681" s="73"/>
      <c r="AE1681" s="73"/>
      <c r="AF1681" s="73"/>
      <c r="AG1681" s="73"/>
      <c r="AH1681" s="73"/>
      <c r="AI1681" s="73"/>
      <c r="AJ1681" s="168"/>
      <c r="AK1681" s="73"/>
      <c r="AL1681" s="73"/>
      <c r="AM1681" s="73"/>
      <c r="AN1681" s="73"/>
      <c r="AO1681" s="73"/>
      <c r="AP1681" s="73"/>
      <c r="AQ1681" s="73"/>
      <c r="AR1681" s="73"/>
      <c r="AS1681" s="73"/>
      <c r="AT1681" s="73"/>
      <c r="AU1681" s="73"/>
      <c r="AV1681" s="73"/>
      <c r="AW1681" s="73"/>
      <c r="AX1681" s="73"/>
      <c r="AY1681" s="73"/>
      <c r="AZ1681" s="73"/>
      <c r="BA1681" s="73"/>
      <c r="BB1681" s="73"/>
      <c r="BC1681" s="73"/>
      <c r="BD1681" s="73"/>
      <c r="BE1681" s="73"/>
      <c r="BF1681" s="75"/>
      <c r="BG1681" s="73"/>
      <c r="BH1681" s="88"/>
      <c r="BI1681" s="73"/>
      <c r="BJ1681" s="73"/>
      <c r="BK1681" s="73"/>
      <c r="BL1681" s="73"/>
      <c r="BM1681" s="73"/>
      <c r="BN1681" s="73"/>
      <c r="BO1681" s="73"/>
      <c r="BP1681" s="73"/>
      <c r="BQ1681" s="73"/>
      <c r="BR1681" s="73"/>
      <c r="BS1681" s="73"/>
      <c r="BT1681" s="73"/>
      <c r="BU1681" s="73"/>
      <c r="BV1681" s="73"/>
      <c r="BW1681" s="73"/>
      <c r="BX1681" s="73"/>
      <c r="BY1681" s="73"/>
      <c r="BZ1681" s="73"/>
      <c r="CA1681" s="73"/>
      <c r="CB1681" s="73"/>
      <c r="CC1681" s="73"/>
      <c r="CD1681" s="73"/>
      <c r="CE1681" s="73"/>
      <c r="CF1681" s="73"/>
      <c r="CG1681" s="73"/>
      <c r="CH1681" s="73"/>
    </row>
    <row r="1682">
      <c r="A1682" s="73"/>
      <c r="B1682" s="73"/>
      <c r="C1682" s="73"/>
      <c r="D1682" s="73"/>
      <c r="E1682" s="140"/>
      <c r="F1682" s="80"/>
      <c r="G1682" s="80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  <c r="S1682" s="73"/>
      <c r="T1682" s="73"/>
      <c r="U1682" s="73"/>
      <c r="V1682" s="73"/>
      <c r="W1682" s="73"/>
      <c r="X1682" s="73"/>
      <c r="Y1682" s="73"/>
      <c r="Z1682" s="73"/>
      <c r="AA1682" s="73"/>
      <c r="AB1682" s="73"/>
      <c r="AC1682" s="73"/>
      <c r="AD1682" s="73"/>
      <c r="AE1682" s="73"/>
      <c r="AF1682" s="73"/>
      <c r="AG1682" s="73"/>
      <c r="AH1682" s="73"/>
      <c r="AI1682" s="73"/>
      <c r="AJ1682" s="168"/>
      <c r="AK1682" s="73"/>
      <c r="AL1682" s="73"/>
      <c r="AM1682" s="73"/>
      <c r="AN1682" s="73"/>
      <c r="AO1682" s="73"/>
      <c r="AP1682" s="73"/>
      <c r="AQ1682" s="73"/>
      <c r="AR1682" s="73"/>
      <c r="AS1682" s="73"/>
      <c r="AT1682" s="73"/>
      <c r="AU1682" s="73"/>
      <c r="AV1682" s="73"/>
      <c r="AW1682" s="73"/>
      <c r="AX1682" s="73"/>
      <c r="AY1682" s="73"/>
      <c r="AZ1682" s="73"/>
      <c r="BA1682" s="73"/>
      <c r="BB1682" s="73"/>
      <c r="BC1682" s="73"/>
      <c r="BD1682" s="73"/>
      <c r="BE1682" s="73"/>
      <c r="BF1682" s="75"/>
      <c r="BG1682" s="73"/>
      <c r="BH1682" s="88"/>
      <c r="BI1682" s="73"/>
      <c r="BJ1682" s="73"/>
      <c r="BK1682" s="73"/>
      <c r="BL1682" s="73"/>
      <c r="BM1682" s="73"/>
      <c r="BN1682" s="73"/>
      <c r="BO1682" s="73"/>
      <c r="BP1682" s="73"/>
      <c r="BQ1682" s="73"/>
      <c r="BR1682" s="73"/>
      <c r="BS1682" s="73"/>
      <c r="BT1682" s="73"/>
      <c r="BU1682" s="73"/>
      <c r="BV1682" s="73"/>
      <c r="BW1682" s="73"/>
      <c r="BX1682" s="73"/>
      <c r="BY1682" s="73"/>
      <c r="BZ1682" s="73"/>
      <c r="CA1682" s="73"/>
      <c r="CB1682" s="73"/>
      <c r="CC1682" s="73"/>
      <c r="CD1682" s="73"/>
      <c r="CE1682" s="73"/>
      <c r="CF1682" s="73"/>
      <c r="CG1682" s="73"/>
      <c r="CH1682" s="73"/>
    </row>
    <row r="1683">
      <c r="A1683" s="73"/>
      <c r="B1683" s="73"/>
      <c r="C1683" s="73"/>
      <c r="D1683" s="73"/>
      <c r="E1683" s="140"/>
      <c r="F1683" s="80"/>
      <c r="G1683" s="80"/>
      <c r="H1683" s="73"/>
      <c r="I1683" s="73"/>
      <c r="J1683" s="73"/>
      <c r="K1683" s="73"/>
      <c r="L1683" s="73"/>
      <c r="M1683" s="73"/>
      <c r="N1683" s="73"/>
      <c r="O1683" s="73"/>
      <c r="P1683" s="73"/>
      <c r="Q1683" s="73"/>
      <c r="R1683" s="73"/>
      <c r="S1683" s="73"/>
      <c r="T1683" s="73"/>
      <c r="U1683" s="73"/>
      <c r="V1683" s="73"/>
      <c r="W1683" s="73"/>
      <c r="X1683" s="73"/>
      <c r="Y1683" s="73"/>
      <c r="Z1683" s="73"/>
      <c r="AA1683" s="73"/>
      <c r="AB1683" s="73"/>
      <c r="AC1683" s="73"/>
      <c r="AD1683" s="73"/>
      <c r="AE1683" s="73"/>
      <c r="AF1683" s="73"/>
      <c r="AG1683" s="73"/>
      <c r="AH1683" s="73"/>
      <c r="AI1683" s="73"/>
      <c r="AJ1683" s="168"/>
      <c r="AK1683" s="73"/>
      <c r="AL1683" s="73"/>
      <c r="AM1683" s="73"/>
      <c r="AN1683" s="73"/>
      <c r="AO1683" s="73"/>
      <c r="AP1683" s="73"/>
      <c r="AQ1683" s="73"/>
      <c r="AR1683" s="73"/>
      <c r="AS1683" s="73"/>
      <c r="AT1683" s="73"/>
      <c r="AU1683" s="73"/>
      <c r="AV1683" s="73"/>
      <c r="AW1683" s="73"/>
      <c r="AX1683" s="73"/>
      <c r="AY1683" s="73"/>
      <c r="AZ1683" s="73"/>
      <c r="BA1683" s="73"/>
      <c r="BB1683" s="73"/>
      <c r="BC1683" s="73"/>
      <c r="BD1683" s="73"/>
      <c r="BE1683" s="73"/>
      <c r="BF1683" s="75"/>
      <c r="BG1683" s="73"/>
      <c r="BH1683" s="88"/>
      <c r="BI1683" s="73"/>
      <c r="BJ1683" s="73"/>
      <c r="BK1683" s="73"/>
      <c r="BL1683" s="73"/>
      <c r="BM1683" s="73"/>
      <c r="BN1683" s="73"/>
      <c r="BO1683" s="73"/>
      <c r="BP1683" s="73"/>
      <c r="BQ1683" s="73"/>
      <c r="BR1683" s="73"/>
      <c r="BS1683" s="73"/>
      <c r="BT1683" s="73"/>
      <c r="BU1683" s="73"/>
      <c r="BV1683" s="73"/>
      <c r="BW1683" s="73"/>
      <c r="BX1683" s="73"/>
      <c r="BY1683" s="73"/>
      <c r="BZ1683" s="73"/>
      <c r="CA1683" s="73"/>
      <c r="CB1683" s="73"/>
      <c r="CC1683" s="73"/>
      <c r="CD1683" s="73"/>
      <c r="CE1683" s="73"/>
      <c r="CF1683" s="73"/>
      <c r="CG1683" s="73"/>
      <c r="CH1683" s="73"/>
    </row>
    <row r="1684">
      <c r="A1684" s="73"/>
      <c r="B1684" s="73"/>
      <c r="C1684" s="73"/>
      <c r="D1684" s="73"/>
      <c r="E1684" s="140"/>
      <c r="F1684" s="80"/>
      <c r="G1684" s="80"/>
      <c r="H1684" s="73"/>
      <c r="I1684" s="73"/>
      <c r="J1684" s="73"/>
      <c r="K1684" s="73"/>
      <c r="L1684" s="73"/>
      <c r="M1684" s="73"/>
      <c r="N1684" s="73"/>
      <c r="O1684" s="73"/>
      <c r="P1684" s="73"/>
      <c r="Q1684" s="73"/>
      <c r="R1684" s="73"/>
      <c r="S1684" s="73"/>
      <c r="T1684" s="73"/>
      <c r="U1684" s="73"/>
      <c r="V1684" s="73"/>
      <c r="W1684" s="73"/>
      <c r="X1684" s="73"/>
      <c r="Y1684" s="73"/>
      <c r="Z1684" s="73"/>
      <c r="AA1684" s="73"/>
      <c r="AB1684" s="73"/>
      <c r="AC1684" s="73"/>
      <c r="AD1684" s="73"/>
      <c r="AE1684" s="73"/>
      <c r="AF1684" s="73"/>
      <c r="AG1684" s="73"/>
      <c r="AH1684" s="73"/>
      <c r="AI1684" s="73"/>
      <c r="AJ1684" s="168"/>
      <c r="AK1684" s="73"/>
      <c r="AL1684" s="73"/>
      <c r="AM1684" s="73"/>
      <c r="AN1684" s="73"/>
      <c r="AO1684" s="73"/>
      <c r="AP1684" s="73"/>
      <c r="AQ1684" s="73"/>
      <c r="AR1684" s="73"/>
      <c r="AS1684" s="73"/>
      <c r="AT1684" s="73"/>
      <c r="AU1684" s="73"/>
      <c r="AV1684" s="73"/>
      <c r="AW1684" s="73"/>
      <c r="AX1684" s="73"/>
      <c r="AY1684" s="73"/>
      <c r="AZ1684" s="73"/>
      <c r="BA1684" s="73"/>
      <c r="BB1684" s="73"/>
      <c r="BC1684" s="73"/>
      <c r="BD1684" s="73"/>
      <c r="BE1684" s="73"/>
      <c r="BF1684" s="75"/>
      <c r="BG1684" s="73"/>
      <c r="BH1684" s="88"/>
      <c r="BI1684" s="73"/>
      <c r="BJ1684" s="73"/>
      <c r="BK1684" s="73"/>
      <c r="BL1684" s="73"/>
      <c r="BM1684" s="73"/>
      <c r="BN1684" s="73"/>
      <c r="BO1684" s="73"/>
      <c r="BP1684" s="73"/>
      <c r="BQ1684" s="73"/>
      <c r="BR1684" s="73"/>
      <c r="BS1684" s="73"/>
      <c r="BT1684" s="73"/>
      <c r="BU1684" s="73"/>
      <c r="BV1684" s="73"/>
      <c r="BW1684" s="73"/>
      <c r="BX1684" s="73"/>
      <c r="BY1684" s="73"/>
      <c r="BZ1684" s="73"/>
      <c r="CA1684" s="73"/>
      <c r="CB1684" s="73"/>
      <c r="CC1684" s="73"/>
      <c r="CD1684" s="73"/>
      <c r="CE1684" s="73"/>
      <c r="CF1684" s="73"/>
      <c r="CG1684" s="73"/>
      <c r="CH1684" s="73"/>
    </row>
    <row r="1685">
      <c r="A1685" s="73"/>
      <c r="B1685" s="73"/>
      <c r="C1685" s="73"/>
      <c r="D1685" s="73"/>
      <c r="E1685" s="140"/>
      <c r="F1685" s="80"/>
      <c r="G1685" s="80"/>
      <c r="H1685" s="73"/>
      <c r="I1685" s="73"/>
      <c r="J1685" s="73"/>
      <c r="K1685" s="73"/>
      <c r="L1685" s="73"/>
      <c r="M1685" s="73"/>
      <c r="N1685" s="73"/>
      <c r="O1685" s="73"/>
      <c r="P1685" s="73"/>
      <c r="Q1685" s="73"/>
      <c r="R1685" s="73"/>
      <c r="S1685" s="73"/>
      <c r="T1685" s="73"/>
      <c r="U1685" s="73"/>
      <c r="V1685" s="73"/>
      <c r="W1685" s="73"/>
      <c r="X1685" s="73"/>
      <c r="Y1685" s="73"/>
      <c r="Z1685" s="73"/>
      <c r="AA1685" s="73"/>
      <c r="AB1685" s="73"/>
      <c r="AC1685" s="73"/>
      <c r="AD1685" s="73"/>
      <c r="AE1685" s="73"/>
      <c r="AF1685" s="73"/>
      <c r="AG1685" s="73"/>
      <c r="AH1685" s="73"/>
      <c r="AI1685" s="73"/>
      <c r="AJ1685" s="168"/>
      <c r="AK1685" s="73"/>
      <c r="AL1685" s="73"/>
      <c r="AM1685" s="73"/>
      <c r="AN1685" s="73"/>
      <c r="AO1685" s="73"/>
      <c r="AP1685" s="73"/>
      <c r="AQ1685" s="73"/>
      <c r="AR1685" s="73"/>
      <c r="AS1685" s="73"/>
      <c r="AT1685" s="73"/>
      <c r="AU1685" s="73"/>
      <c r="AV1685" s="73"/>
      <c r="AW1685" s="73"/>
      <c r="AX1685" s="73"/>
      <c r="AY1685" s="73"/>
      <c r="AZ1685" s="73"/>
      <c r="BA1685" s="73"/>
      <c r="BB1685" s="73"/>
      <c r="BC1685" s="73"/>
      <c r="BD1685" s="73"/>
      <c r="BE1685" s="73"/>
      <c r="BF1685" s="75"/>
      <c r="BG1685" s="73"/>
      <c r="BH1685" s="88"/>
      <c r="BI1685" s="73"/>
      <c r="BJ1685" s="73"/>
      <c r="BK1685" s="73"/>
      <c r="BL1685" s="73"/>
      <c r="BM1685" s="73"/>
      <c r="BN1685" s="73"/>
      <c r="BO1685" s="73"/>
      <c r="BP1685" s="73"/>
      <c r="BQ1685" s="73"/>
      <c r="BR1685" s="73"/>
      <c r="BS1685" s="73"/>
      <c r="BT1685" s="73"/>
      <c r="BU1685" s="73"/>
      <c r="BV1685" s="73"/>
      <c r="BW1685" s="73"/>
      <c r="BX1685" s="73"/>
      <c r="BY1685" s="73"/>
      <c r="BZ1685" s="73"/>
      <c r="CA1685" s="73"/>
      <c r="CB1685" s="73"/>
      <c r="CC1685" s="73"/>
      <c r="CD1685" s="73"/>
      <c r="CE1685" s="73"/>
      <c r="CF1685" s="73"/>
      <c r="CG1685" s="73"/>
      <c r="CH1685" s="73"/>
    </row>
    <row r="1686">
      <c r="A1686" s="73"/>
      <c r="B1686" s="73"/>
      <c r="C1686" s="73"/>
      <c r="D1686" s="73"/>
      <c r="E1686" s="140"/>
      <c r="F1686" s="80"/>
      <c r="G1686" s="80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  <c r="S1686" s="73"/>
      <c r="T1686" s="73"/>
      <c r="U1686" s="73"/>
      <c r="V1686" s="73"/>
      <c r="W1686" s="73"/>
      <c r="X1686" s="73"/>
      <c r="Y1686" s="73"/>
      <c r="Z1686" s="73"/>
      <c r="AA1686" s="73"/>
      <c r="AB1686" s="73"/>
      <c r="AC1686" s="73"/>
      <c r="AD1686" s="73"/>
      <c r="AE1686" s="73"/>
      <c r="AF1686" s="73"/>
      <c r="AG1686" s="73"/>
      <c r="AH1686" s="73"/>
      <c r="AI1686" s="73"/>
      <c r="AJ1686" s="168"/>
      <c r="AK1686" s="73"/>
      <c r="AL1686" s="73"/>
      <c r="AM1686" s="73"/>
      <c r="AN1686" s="73"/>
      <c r="AO1686" s="73"/>
      <c r="AP1686" s="73"/>
      <c r="AQ1686" s="73"/>
      <c r="AR1686" s="73"/>
      <c r="AS1686" s="73"/>
      <c r="AT1686" s="73"/>
      <c r="AU1686" s="73"/>
      <c r="AV1686" s="73"/>
      <c r="AW1686" s="73"/>
      <c r="AX1686" s="73"/>
      <c r="AY1686" s="73"/>
      <c r="AZ1686" s="73"/>
      <c r="BA1686" s="73"/>
      <c r="BB1686" s="73"/>
      <c r="BC1686" s="73"/>
      <c r="BD1686" s="73"/>
      <c r="BE1686" s="73"/>
      <c r="BF1686" s="75"/>
      <c r="BG1686" s="73"/>
      <c r="BH1686" s="88"/>
      <c r="BI1686" s="73"/>
      <c r="BJ1686" s="73"/>
      <c r="BK1686" s="73"/>
      <c r="BL1686" s="73"/>
      <c r="BM1686" s="73"/>
      <c r="BN1686" s="73"/>
      <c r="BO1686" s="73"/>
      <c r="BP1686" s="73"/>
      <c r="BQ1686" s="73"/>
      <c r="BR1686" s="73"/>
      <c r="BS1686" s="73"/>
      <c r="BT1686" s="73"/>
      <c r="BU1686" s="73"/>
      <c r="BV1686" s="73"/>
      <c r="BW1686" s="73"/>
      <c r="BX1686" s="73"/>
      <c r="BY1686" s="73"/>
      <c r="BZ1686" s="73"/>
      <c r="CA1686" s="73"/>
      <c r="CB1686" s="73"/>
      <c r="CC1686" s="73"/>
      <c r="CD1686" s="73"/>
      <c r="CE1686" s="73"/>
      <c r="CF1686" s="73"/>
      <c r="CG1686" s="73"/>
      <c r="CH1686" s="73"/>
    </row>
    <row r="1687">
      <c r="A1687" s="73"/>
      <c r="B1687" s="73"/>
      <c r="C1687" s="73"/>
      <c r="D1687" s="73"/>
      <c r="E1687" s="140"/>
      <c r="F1687" s="80"/>
      <c r="G1687" s="80"/>
      <c r="H1687" s="73"/>
      <c r="I1687" s="73"/>
      <c r="J1687" s="73"/>
      <c r="K1687" s="73"/>
      <c r="L1687" s="73"/>
      <c r="M1687" s="73"/>
      <c r="N1687" s="73"/>
      <c r="O1687" s="73"/>
      <c r="P1687" s="73"/>
      <c r="Q1687" s="73"/>
      <c r="R1687" s="73"/>
      <c r="S1687" s="73"/>
      <c r="T1687" s="73"/>
      <c r="U1687" s="73"/>
      <c r="V1687" s="73"/>
      <c r="W1687" s="73"/>
      <c r="X1687" s="73"/>
      <c r="Y1687" s="73"/>
      <c r="Z1687" s="73"/>
      <c r="AA1687" s="73"/>
      <c r="AB1687" s="73"/>
      <c r="AC1687" s="73"/>
      <c r="AD1687" s="73"/>
      <c r="AE1687" s="73"/>
      <c r="AF1687" s="73"/>
      <c r="AG1687" s="73"/>
      <c r="AH1687" s="73"/>
      <c r="AI1687" s="73"/>
      <c r="AJ1687" s="168"/>
      <c r="AK1687" s="73"/>
      <c r="AL1687" s="73"/>
      <c r="AM1687" s="73"/>
      <c r="AN1687" s="73"/>
      <c r="AO1687" s="73"/>
      <c r="AP1687" s="73"/>
      <c r="AQ1687" s="73"/>
      <c r="AR1687" s="73"/>
      <c r="AS1687" s="73"/>
      <c r="AT1687" s="73"/>
      <c r="AU1687" s="73"/>
      <c r="AV1687" s="73"/>
      <c r="AW1687" s="73"/>
      <c r="AX1687" s="73"/>
      <c r="AY1687" s="73"/>
      <c r="AZ1687" s="73"/>
      <c r="BA1687" s="73"/>
      <c r="BB1687" s="73"/>
      <c r="BC1687" s="73"/>
      <c r="BD1687" s="73"/>
      <c r="BE1687" s="73"/>
      <c r="BF1687" s="75"/>
      <c r="BG1687" s="73"/>
      <c r="BH1687" s="88"/>
      <c r="BI1687" s="73"/>
      <c r="BJ1687" s="73"/>
      <c r="BK1687" s="73"/>
      <c r="BL1687" s="73"/>
      <c r="BM1687" s="73"/>
      <c r="BN1687" s="73"/>
      <c r="BO1687" s="73"/>
      <c r="BP1687" s="73"/>
      <c r="BQ1687" s="73"/>
      <c r="BR1687" s="73"/>
      <c r="BS1687" s="73"/>
      <c r="BT1687" s="73"/>
      <c r="BU1687" s="73"/>
      <c r="BV1687" s="73"/>
      <c r="BW1687" s="73"/>
      <c r="BX1687" s="73"/>
      <c r="BY1687" s="73"/>
      <c r="BZ1687" s="73"/>
      <c r="CA1687" s="73"/>
      <c r="CB1687" s="73"/>
      <c r="CC1687" s="73"/>
      <c r="CD1687" s="73"/>
      <c r="CE1687" s="73"/>
      <c r="CF1687" s="73"/>
      <c r="CG1687" s="73"/>
      <c r="CH1687" s="73"/>
    </row>
    <row r="1688">
      <c r="A1688" s="73"/>
      <c r="B1688" s="73"/>
      <c r="C1688" s="73"/>
      <c r="D1688" s="73"/>
      <c r="E1688" s="140"/>
      <c r="F1688" s="80"/>
      <c r="G1688" s="80"/>
      <c r="H1688" s="73"/>
      <c r="I1688" s="73"/>
      <c r="J1688" s="73"/>
      <c r="K1688" s="73"/>
      <c r="L1688" s="73"/>
      <c r="M1688" s="73"/>
      <c r="N1688" s="73"/>
      <c r="O1688" s="73"/>
      <c r="P1688" s="73"/>
      <c r="Q1688" s="73"/>
      <c r="R1688" s="73"/>
      <c r="S1688" s="73"/>
      <c r="T1688" s="73"/>
      <c r="U1688" s="73"/>
      <c r="V1688" s="73"/>
      <c r="W1688" s="73"/>
      <c r="X1688" s="73"/>
      <c r="Y1688" s="73"/>
      <c r="Z1688" s="73"/>
      <c r="AA1688" s="73"/>
      <c r="AB1688" s="73"/>
      <c r="AC1688" s="73"/>
      <c r="AD1688" s="73"/>
      <c r="AE1688" s="73"/>
      <c r="AF1688" s="73"/>
      <c r="AG1688" s="73"/>
      <c r="AH1688" s="73"/>
      <c r="AI1688" s="73"/>
      <c r="AJ1688" s="168"/>
      <c r="AK1688" s="73"/>
      <c r="AL1688" s="73"/>
      <c r="AM1688" s="73"/>
      <c r="AN1688" s="73"/>
      <c r="AO1688" s="73"/>
      <c r="AP1688" s="73"/>
      <c r="AQ1688" s="73"/>
      <c r="AR1688" s="73"/>
      <c r="AS1688" s="73"/>
      <c r="AT1688" s="73"/>
      <c r="AU1688" s="73"/>
      <c r="AV1688" s="73"/>
      <c r="AW1688" s="73"/>
      <c r="AX1688" s="73"/>
      <c r="AY1688" s="73"/>
      <c r="AZ1688" s="73"/>
      <c r="BA1688" s="73"/>
      <c r="BB1688" s="73"/>
      <c r="BC1688" s="73"/>
      <c r="BD1688" s="73"/>
      <c r="BE1688" s="73"/>
      <c r="BF1688" s="75"/>
      <c r="BG1688" s="73"/>
      <c r="BH1688" s="88"/>
      <c r="BI1688" s="73"/>
      <c r="BJ1688" s="73"/>
      <c r="BK1688" s="73"/>
      <c r="BL1688" s="73"/>
      <c r="BM1688" s="73"/>
      <c r="BN1688" s="73"/>
      <c r="BO1688" s="73"/>
      <c r="BP1688" s="73"/>
      <c r="BQ1688" s="73"/>
      <c r="BR1688" s="73"/>
      <c r="BS1688" s="73"/>
      <c r="BT1688" s="73"/>
      <c r="BU1688" s="73"/>
      <c r="BV1688" s="73"/>
      <c r="BW1688" s="73"/>
      <c r="BX1688" s="73"/>
      <c r="BY1688" s="73"/>
      <c r="BZ1688" s="73"/>
      <c r="CA1688" s="73"/>
      <c r="CB1688" s="73"/>
      <c r="CC1688" s="73"/>
      <c r="CD1688" s="73"/>
      <c r="CE1688" s="73"/>
      <c r="CF1688" s="73"/>
      <c r="CG1688" s="73"/>
      <c r="CH1688" s="73"/>
    </row>
    <row r="1689">
      <c r="A1689" s="73"/>
      <c r="B1689" s="73"/>
      <c r="C1689" s="73"/>
      <c r="D1689" s="73"/>
      <c r="E1689" s="140"/>
      <c r="F1689" s="80"/>
      <c r="G1689" s="80"/>
      <c r="H1689" s="73"/>
      <c r="I1689" s="73"/>
      <c r="J1689" s="73"/>
      <c r="K1689" s="73"/>
      <c r="L1689" s="73"/>
      <c r="M1689" s="73"/>
      <c r="N1689" s="73"/>
      <c r="O1689" s="73"/>
      <c r="P1689" s="73"/>
      <c r="Q1689" s="73"/>
      <c r="R1689" s="73"/>
      <c r="S1689" s="73"/>
      <c r="T1689" s="73"/>
      <c r="U1689" s="73"/>
      <c r="V1689" s="73"/>
      <c r="W1689" s="73"/>
      <c r="X1689" s="73"/>
      <c r="Y1689" s="73"/>
      <c r="Z1689" s="73"/>
      <c r="AA1689" s="73"/>
      <c r="AB1689" s="73"/>
      <c r="AC1689" s="73"/>
      <c r="AD1689" s="73"/>
      <c r="AE1689" s="73"/>
      <c r="AF1689" s="73"/>
      <c r="AG1689" s="73"/>
      <c r="AH1689" s="73"/>
      <c r="AI1689" s="73"/>
      <c r="AJ1689" s="168"/>
      <c r="AK1689" s="73"/>
      <c r="AL1689" s="73"/>
      <c r="AM1689" s="73"/>
      <c r="AN1689" s="73"/>
      <c r="AO1689" s="73"/>
      <c r="AP1689" s="73"/>
      <c r="AQ1689" s="73"/>
      <c r="AR1689" s="73"/>
      <c r="AS1689" s="73"/>
      <c r="AT1689" s="73"/>
      <c r="AU1689" s="73"/>
      <c r="AV1689" s="73"/>
      <c r="AW1689" s="73"/>
      <c r="AX1689" s="73"/>
      <c r="AY1689" s="73"/>
      <c r="AZ1689" s="73"/>
      <c r="BA1689" s="73"/>
      <c r="BB1689" s="73"/>
      <c r="BC1689" s="73"/>
      <c r="BD1689" s="73"/>
      <c r="BE1689" s="73"/>
      <c r="BF1689" s="75"/>
      <c r="BG1689" s="73"/>
      <c r="BH1689" s="88"/>
      <c r="BI1689" s="73"/>
      <c r="BJ1689" s="73"/>
      <c r="BK1689" s="73"/>
      <c r="BL1689" s="73"/>
      <c r="BM1689" s="73"/>
      <c r="BN1689" s="73"/>
      <c r="BO1689" s="73"/>
      <c r="BP1689" s="73"/>
      <c r="BQ1689" s="73"/>
      <c r="BR1689" s="73"/>
      <c r="BS1689" s="73"/>
      <c r="BT1689" s="73"/>
      <c r="BU1689" s="73"/>
      <c r="BV1689" s="73"/>
      <c r="BW1689" s="73"/>
      <c r="BX1689" s="73"/>
      <c r="BY1689" s="73"/>
      <c r="BZ1689" s="73"/>
      <c r="CA1689" s="73"/>
      <c r="CB1689" s="73"/>
      <c r="CC1689" s="73"/>
      <c r="CD1689" s="73"/>
      <c r="CE1689" s="73"/>
      <c r="CF1689" s="73"/>
      <c r="CG1689" s="73"/>
      <c r="CH1689" s="73"/>
    </row>
    <row r="1690">
      <c r="A1690" s="73"/>
      <c r="B1690" s="73"/>
      <c r="C1690" s="73"/>
      <c r="D1690" s="73"/>
      <c r="E1690" s="140"/>
      <c r="F1690" s="80"/>
      <c r="G1690" s="80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  <c r="S1690" s="73"/>
      <c r="T1690" s="73"/>
      <c r="U1690" s="73"/>
      <c r="V1690" s="73"/>
      <c r="W1690" s="73"/>
      <c r="X1690" s="73"/>
      <c r="Y1690" s="73"/>
      <c r="Z1690" s="73"/>
      <c r="AA1690" s="73"/>
      <c r="AB1690" s="73"/>
      <c r="AC1690" s="73"/>
      <c r="AD1690" s="73"/>
      <c r="AE1690" s="73"/>
      <c r="AF1690" s="73"/>
      <c r="AG1690" s="73"/>
      <c r="AH1690" s="73"/>
      <c r="AI1690" s="73"/>
      <c r="AJ1690" s="168"/>
      <c r="AK1690" s="73"/>
      <c r="AL1690" s="73"/>
      <c r="AM1690" s="73"/>
      <c r="AN1690" s="73"/>
      <c r="AO1690" s="73"/>
      <c r="AP1690" s="73"/>
      <c r="AQ1690" s="73"/>
      <c r="AR1690" s="73"/>
      <c r="AS1690" s="73"/>
      <c r="AT1690" s="73"/>
      <c r="AU1690" s="73"/>
      <c r="AV1690" s="73"/>
      <c r="AW1690" s="73"/>
      <c r="AX1690" s="73"/>
      <c r="AY1690" s="73"/>
      <c r="AZ1690" s="73"/>
      <c r="BA1690" s="73"/>
      <c r="BB1690" s="73"/>
      <c r="BC1690" s="73"/>
      <c r="BD1690" s="73"/>
      <c r="BE1690" s="73"/>
      <c r="BF1690" s="75"/>
      <c r="BG1690" s="73"/>
      <c r="BH1690" s="88"/>
      <c r="BI1690" s="73"/>
      <c r="BJ1690" s="73"/>
      <c r="BK1690" s="73"/>
      <c r="BL1690" s="73"/>
      <c r="BM1690" s="73"/>
      <c r="BN1690" s="73"/>
      <c r="BO1690" s="73"/>
      <c r="BP1690" s="73"/>
      <c r="BQ1690" s="73"/>
      <c r="BR1690" s="73"/>
      <c r="BS1690" s="73"/>
      <c r="BT1690" s="73"/>
      <c r="BU1690" s="73"/>
      <c r="BV1690" s="73"/>
      <c r="BW1690" s="73"/>
      <c r="BX1690" s="73"/>
      <c r="BY1690" s="73"/>
      <c r="BZ1690" s="73"/>
      <c r="CA1690" s="73"/>
      <c r="CB1690" s="73"/>
      <c r="CC1690" s="73"/>
      <c r="CD1690" s="73"/>
      <c r="CE1690" s="73"/>
      <c r="CF1690" s="73"/>
      <c r="CG1690" s="73"/>
      <c r="CH1690" s="73"/>
    </row>
    <row r="1691">
      <c r="A1691" s="73"/>
      <c r="B1691" s="73"/>
      <c r="C1691" s="73"/>
      <c r="D1691" s="73"/>
      <c r="E1691" s="140"/>
      <c r="F1691" s="80"/>
      <c r="G1691" s="80"/>
      <c r="H1691" s="73"/>
      <c r="I1691" s="73"/>
      <c r="J1691" s="73"/>
      <c r="K1691" s="73"/>
      <c r="L1691" s="73"/>
      <c r="M1691" s="73"/>
      <c r="N1691" s="73"/>
      <c r="O1691" s="73"/>
      <c r="P1691" s="73"/>
      <c r="Q1691" s="73"/>
      <c r="R1691" s="73"/>
      <c r="S1691" s="73"/>
      <c r="T1691" s="73"/>
      <c r="U1691" s="73"/>
      <c r="V1691" s="73"/>
      <c r="W1691" s="73"/>
      <c r="X1691" s="73"/>
      <c r="Y1691" s="73"/>
      <c r="Z1691" s="73"/>
      <c r="AA1691" s="73"/>
      <c r="AB1691" s="73"/>
      <c r="AC1691" s="73"/>
      <c r="AD1691" s="73"/>
      <c r="AE1691" s="73"/>
      <c r="AF1691" s="73"/>
      <c r="AG1691" s="73"/>
      <c r="AH1691" s="73"/>
      <c r="AI1691" s="73"/>
      <c r="AJ1691" s="168"/>
      <c r="AK1691" s="73"/>
      <c r="AL1691" s="73"/>
      <c r="AM1691" s="73"/>
      <c r="AN1691" s="73"/>
      <c r="AO1691" s="73"/>
      <c r="AP1691" s="73"/>
      <c r="AQ1691" s="73"/>
      <c r="AR1691" s="73"/>
      <c r="AS1691" s="73"/>
      <c r="AT1691" s="73"/>
      <c r="AU1691" s="73"/>
      <c r="AV1691" s="73"/>
      <c r="AW1691" s="73"/>
      <c r="AX1691" s="73"/>
      <c r="AY1691" s="73"/>
      <c r="AZ1691" s="73"/>
      <c r="BA1691" s="73"/>
      <c r="BB1691" s="73"/>
      <c r="BC1691" s="73"/>
      <c r="BD1691" s="73"/>
      <c r="BE1691" s="73"/>
      <c r="BF1691" s="75"/>
      <c r="BG1691" s="73"/>
      <c r="BH1691" s="88"/>
      <c r="BI1691" s="73"/>
      <c r="BJ1691" s="73"/>
      <c r="BK1691" s="73"/>
      <c r="BL1691" s="73"/>
      <c r="BM1691" s="73"/>
      <c r="BN1691" s="73"/>
      <c r="BO1691" s="73"/>
      <c r="BP1691" s="73"/>
      <c r="BQ1691" s="73"/>
      <c r="BR1691" s="73"/>
      <c r="BS1691" s="73"/>
      <c r="BT1691" s="73"/>
      <c r="BU1691" s="73"/>
      <c r="BV1691" s="73"/>
      <c r="BW1691" s="73"/>
      <c r="BX1691" s="73"/>
      <c r="BY1691" s="73"/>
      <c r="BZ1691" s="73"/>
      <c r="CA1691" s="73"/>
      <c r="CB1691" s="73"/>
      <c r="CC1691" s="73"/>
      <c r="CD1691" s="73"/>
      <c r="CE1691" s="73"/>
      <c r="CF1691" s="73"/>
      <c r="CG1691" s="73"/>
      <c r="CH1691" s="73"/>
    </row>
    <row r="1692">
      <c r="A1692" s="73"/>
      <c r="B1692" s="73"/>
      <c r="C1692" s="73"/>
      <c r="D1692" s="73"/>
      <c r="E1692" s="140"/>
      <c r="F1692" s="80"/>
      <c r="G1692" s="80"/>
      <c r="H1692" s="73"/>
      <c r="I1692" s="73"/>
      <c r="J1692" s="73"/>
      <c r="K1692" s="73"/>
      <c r="L1692" s="73"/>
      <c r="M1692" s="73"/>
      <c r="N1692" s="73"/>
      <c r="O1692" s="73"/>
      <c r="P1692" s="73"/>
      <c r="Q1692" s="73"/>
      <c r="R1692" s="73"/>
      <c r="S1692" s="73"/>
      <c r="T1692" s="73"/>
      <c r="U1692" s="73"/>
      <c r="V1692" s="73"/>
      <c r="W1692" s="73"/>
      <c r="X1692" s="73"/>
      <c r="Y1692" s="73"/>
      <c r="Z1692" s="73"/>
      <c r="AA1692" s="73"/>
      <c r="AB1692" s="73"/>
      <c r="AC1692" s="73"/>
      <c r="AD1692" s="73"/>
      <c r="AE1692" s="73"/>
      <c r="AF1692" s="73"/>
      <c r="AG1692" s="73"/>
      <c r="AH1692" s="73"/>
      <c r="AI1692" s="73"/>
      <c r="AJ1692" s="168"/>
      <c r="AK1692" s="73"/>
      <c r="AL1692" s="73"/>
      <c r="AM1692" s="73"/>
      <c r="AN1692" s="73"/>
      <c r="AO1692" s="73"/>
      <c r="AP1692" s="73"/>
      <c r="AQ1692" s="73"/>
      <c r="AR1692" s="73"/>
      <c r="AS1692" s="73"/>
      <c r="AT1692" s="73"/>
      <c r="AU1692" s="73"/>
      <c r="AV1692" s="73"/>
      <c r="AW1692" s="73"/>
      <c r="AX1692" s="73"/>
      <c r="AY1692" s="73"/>
      <c r="AZ1692" s="73"/>
      <c r="BA1692" s="73"/>
      <c r="BB1692" s="73"/>
      <c r="BC1692" s="73"/>
      <c r="BD1692" s="73"/>
      <c r="BE1692" s="73"/>
      <c r="BF1692" s="75"/>
      <c r="BG1692" s="73"/>
      <c r="BH1692" s="88"/>
      <c r="BI1692" s="73"/>
      <c r="BJ1692" s="73"/>
      <c r="BK1692" s="73"/>
      <c r="BL1692" s="73"/>
      <c r="BM1692" s="73"/>
      <c r="BN1692" s="73"/>
      <c r="BO1692" s="73"/>
      <c r="BP1692" s="73"/>
      <c r="BQ1692" s="73"/>
      <c r="BR1692" s="73"/>
      <c r="BS1692" s="73"/>
      <c r="BT1692" s="73"/>
      <c r="BU1692" s="73"/>
      <c r="BV1692" s="73"/>
      <c r="BW1692" s="73"/>
      <c r="BX1692" s="73"/>
      <c r="BY1692" s="73"/>
      <c r="BZ1692" s="73"/>
      <c r="CA1692" s="73"/>
      <c r="CB1692" s="73"/>
      <c r="CC1692" s="73"/>
      <c r="CD1692" s="73"/>
      <c r="CE1692" s="73"/>
      <c r="CF1692" s="73"/>
      <c r="CG1692" s="73"/>
      <c r="CH1692" s="73"/>
    </row>
    <row r="1693">
      <c r="A1693" s="73"/>
      <c r="B1693" s="73"/>
      <c r="C1693" s="73"/>
      <c r="D1693" s="73"/>
      <c r="E1693" s="140"/>
      <c r="F1693" s="80"/>
      <c r="G1693" s="80"/>
      <c r="H1693" s="73"/>
      <c r="I1693" s="73"/>
      <c r="J1693" s="73"/>
      <c r="K1693" s="73"/>
      <c r="L1693" s="73"/>
      <c r="M1693" s="73"/>
      <c r="N1693" s="73"/>
      <c r="O1693" s="73"/>
      <c r="P1693" s="73"/>
      <c r="Q1693" s="73"/>
      <c r="R1693" s="73"/>
      <c r="S1693" s="73"/>
      <c r="T1693" s="73"/>
      <c r="U1693" s="73"/>
      <c r="V1693" s="73"/>
      <c r="W1693" s="73"/>
      <c r="X1693" s="73"/>
      <c r="Y1693" s="73"/>
      <c r="Z1693" s="73"/>
      <c r="AA1693" s="73"/>
      <c r="AB1693" s="73"/>
      <c r="AC1693" s="73"/>
      <c r="AD1693" s="73"/>
      <c r="AE1693" s="73"/>
      <c r="AF1693" s="73"/>
      <c r="AG1693" s="73"/>
      <c r="AH1693" s="73"/>
      <c r="AI1693" s="73"/>
      <c r="AJ1693" s="168"/>
      <c r="AK1693" s="73"/>
      <c r="AL1693" s="73"/>
      <c r="AM1693" s="73"/>
      <c r="AN1693" s="73"/>
      <c r="AO1693" s="73"/>
      <c r="AP1693" s="73"/>
      <c r="AQ1693" s="73"/>
      <c r="AR1693" s="73"/>
      <c r="AS1693" s="73"/>
      <c r="AT1693" s="73"/>
      <c r="AU1693" s="73"/>
      <c r="AV1693" s="73"/>
      <c r="AW1693" s="73"/>
      <c r="AX1693" s="73"/>
      <c r="AY1693" s="73"/>
      <c r="AZ1693" s="73"/>
      <c r="BA1693" s="73"/>
      <c r="BB1693" s="73"/>
      <c r="BC1693" s="73"/>
      <c r="BD1693" s="73"/>
      <c r="BE1693" s="73"/>
      <c r="BF1693" s="75"/>
      <c r="BG1693" s="73"/>
      <c r="BH1693" s="88"/>
      <c r="BI1693" s="73"/>
      <c r="BJ1693" s="73"/>
      <c r="BK1693" s="73"/>
      <c r="BL1693" s="73"/>
      <c r="BM1693" s="73"/>
      <c r="BN1693" s="73"/>
      <c r="BO1693" s="73"/>
      <c r="BP1693" s="73"/>
      <c r="BQ1693" s="73"/>
      <c r="BR1693" s="73"/>
      <c r="BS1693" s="73"/>
      <c r="BT1693" s="73"/>
      <c r="BU1693" s="73"/>
      <c r="BV1693" s="73"/>
      <c r="BW1693" s="73"/>
      <c r="BX1693" s="73"/>
      <c r="BY1693" s="73"/>
      <c r="BZ1693" s="73"/>
      <c r="CA1693" s="73"/>
      <c r="CB1693" s="73"/>
      <c r="CC1693" s="73"/>
      <c r="CD1693" s="73"/>
      <c r="CE1693" s="73"/>
      <c r="CF1693" s="73"/>
      <c r="CG1693" s="73"/>
      <c r="CH1693" s="73"/>
    </row>
    <row r="1694">
      <c r="A1694" s="73"/>
      <c r="B1694" s="73"/>
      <c r="C1694" s="73"/>
      <c r="D1694" s="73"/>
      <c r="E1694" s="140"/>
      <c r="F1694" s="80"/>
      <c r="G1694" s="80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  <c r="S1694" s="73"/>
      <c r="T1694" s="73"/>
      <c r="U1694" s="73"/>
      <c r="V1694" s="73"/>
      <c r="W1694" s="73"/>
      <c r="X1694" s="73"/>
      <c r="Y1694" s="73"/>
      <c r="Z1694" s="73"/>
      <c r="AA1694" s="73"/>
      <c r="AB1694" s="73"/>
      <c r="AC1694" s="73"/>
      <c r="AD1694" s="73"/>
      <c r="AE1694" s="73"/>
      <c r="AF1694" s="73"/>
      <c r="AG1694" s="73"/>
      <c r="AH1694" s="73"/>
      <c r="AI1694" s="73"/>
      <c r="AJ1694" s="168"/>
      <c r="AK1694" s="73"/>
      <c r="AL1694" s="73"/>
      <c r="AM1694" s="73"/>
      <c r="AN1694" s="73"/>
      <c r="AO1694" s="73"/>
      <c r="AP1694" s="73"/>
      <c r="AQ1694" s="73"/>
      <c r="AR1694" s="73"/>
      <c r="AS1694" s="73"/>
      <c r="AT1694" s="73"/>
      <c r="AU1694" s="73"/>
      <c r="AV1694" s="73"/>
      <c r="AW1694" s="73"/>
      <c r="AX1694" s="73"/>
      <c r="AY1694" s="73"/>
      <c r="AZ1694" s="73"/>
      <c r="BA1694" s="73"/>
      <c r="BB1694" s="73"/>
      <c r="BC1694" s="73"/>
      <c r="BD1694" s="73"/>
      <c r="BE1694" s="73"/>
      <c r="BF1694" s="75"/>
      <c r="BG1694" s="73"/>
      <c r="BH1694" s="88"/>
      <c r="BI1694" s="73"/>
      <c r="BJ1694" s="73"/>
      <c r="BK1694" s="73"/>
      <c r="BL1694" s="73"/>
      <c r="BM1694" s="73"/>
      <c r="BN1694" s="73"/>
      <c r="BO1694" s="73"/>
      <c r="BP1694" s="73"/>
      <c r="BQ1694" s="73"/>
      <c r="BR1694" s="73"/>
      <c r="BS1694" s="73"/>
      <c r="BT1694" s="73"/>
      <c r="BU1694" s="73"/>
      <c r="BV1694" s="73"/>
      <c r="BW1694" s="73"/>
      <c r="BX1694" s="73"/>
      <c r="BY1694" s="73"/>
      <c r="BZ1694" s="73"/>
      <c r="CA1694" s="73"/>
      <c r="CB1694" s="73"/>
      <c r="CC1694" s="73"/>
      <c r="CD1694" s="73"/>
      <c r="CE1694" s="73"/>
      <c r="CF1694" s="73"/>
      <c r="CG1694" s="73"/>
      <c r="CH1694" s="73"/>
    </row>
    <row r="1695">
      <c r="A1695" s="73"/>
      <c r="B1695" s="73"/>
      <c r="C1695" s="73"/>
      <c r="D1695" s="73"/>
      <c r="E1695" s="140"/>
      <c r="F1695" s="80"/>
      <c r="G1695" s="80"/>
      <c r="H1695" s="73"/>
      <c r="I1695" s="73"/>
      <c r="J1695" s="73"/>
      <c r="K1695" s="73"/>
      <c r="L1695" s="73"/>
      <c r="M1695" s="73"/>
      <c r="N1695" s="73"/>
      <c r="O1695" s="73"/>
      <c r="P1695" s="73"/>
      <c r="Q1695" s="73"/>
      <c r="R1695" s="73"/>
      <c r="S1695" s="73"/>
      <c r="T1695" s="73"/>
      <c r="U1695" s="73"/>
      <c r="V1695" s="73"/>
      <c r="W1695" s="73"/>
      <c r="X1695" s="73"/>
      <c r="Y1695" s="73"/>
      <c r="Z1695" s="73"/>
      <c r="AA1695" s="73"/>
      <c r="AB1695" s="73"/>
      <c r="AC1695" s="73"/>
      <c r="AD1695" s="73"/>
      <c r="AE1695" s="73"/>
      <c r="AF1695" s="73"/>
      <c r="AG1695" s="73"/>
      <c r="AH1695" s="73"/>
      <c r="AI1695" s="73"/>
      <c r="AJ1695" s="168"/>
      <c r="AK1695" s="73"/>
      <c r="AL1695" s="73"/>
      <c r="AM1695" s="73"/>
      <c r="AN1695" s="73"/>
      <c r="AO1695" s="73"/>
      <c r="AP1695" s="73"/>
      <c r="AQ1695" s="73"/>
      <c r="AR1695" s="73"/>
      <c r="AS1695" s="73"/>
      <c r="AT1695" s="73"/>
      <c r="AU1695" s="73"/>
      <c r="AV1695" s="73"/>
      <c r="AW1695" s="73"/>
      <c r="AX1695" s="73"/>
      <c r="AY1695" s="73"/>
      <c r="AZ1695" s="73"/>
      <c r="BA1695" s="73"/>
      <c r="BB1695" s="73"/>
      <c r="BC1695" s="73"/>
      <c r="BD1695" s="73"/>
      <c r="BE1695" s="73"/>
      <c r="BF1695" s="75"/>
      <c r="BG1695" s="73"/>
      <c r="BH1695" s="88"/>
      <c r="BI1695" s="73"/>
      <c r="BJ1695" s="73"/>
      <c r="BK1695" s="73"/>
      <c r="BL1695" s="73"/>
      <c r="BM1695" s="73"/>
      <c r="BN1695" s="73"/>
      <c r="BO1695" s="73"/>
      <c r="BP1695" s="73"/>
      <c r="BQ1695" s="73"/>
      <c r="BR1695" s="73"/>
      <c r="BS1695" s="73"/>
      <c r="BT1695" s="73"/>
      <c r="BU1695" s="73"/>
      <c r="BV1695" s="73"/>
      <c r="BW1695" s="73"/>
      <c r="BX1695" s="73"/>
      <c r="BY1695" s="73"/>
      <c r="BZ1695" s="73"/>
      <c r="CA1695" s="73"/>
      <c r="CB1695" s="73"/>
      <c r="CC1695" s="73"/>
      <c r="CD1695" s="73"/>
      <c r="CE1695" s="73"/>
      <c r="CF1695" s="73"/>
      <c r="CG1695" s="73"/>
      <c r="CH1695" s="73"/>
    </row>
    <row r="1696">
      <c r="A1696" s="73"/>
      <c r="B1696" s="73"/>
      <c r="C1696" s="73"/>
      <c r="D1696" s="73"/>
      <c r="E1696" s="140"/>
      <c r="F1696" s="80"/>
      <c r="G1696" s="80"/>
      <c r="H1696" s="73"/>
      <c r="I1696" s="73"/>
      <c r="J1696" s="73"/>
      <c r="K1696" s="73"/>
      <c r="L1696" s="73"/>
      <c r="M1696" s="73"/>
      <c r="N1696" s="73"/>
      <c r="O1696" s="73"/>
      <c r="P1696" s="73"/>
      <c r="Q1696" s="73"/>
      <c r="R1696" s="73"/>
      <c r="S1696" s="73"/>
      <c r="T1696" s="73"/>
      <c r="U1696" s="73"/>
      <c r="V1696" s="73"/>
      <c r="W1696" s="73"/>
      <c r="X1696" s="73"/>
      <c r="Y1696" s="73"/>
      <c r="Z1696" s="73"/>
      <c r="AA1696" s="73"/>
      <c r="AB1696" s="73"/>
      <c r="AC1696" s="73"/>
      <c r="AD1696" s="73"/>
      <c r="AE1696" s="73"/>
      <c r="AF1696" s="73"/>
      <c r="AG1696" s="73"/>
      <c r="AH1696" s="73"/>
      <c r="AI1696" s="73"/>
      <c r="AJ1696" s="168"/>
      <c r="AK1696" s="73"/>
      <c r="AL1696" s="73"/>
      <c r="AM1696" s="73"/>
      <c r="AN1696" s="73"/>
      <c r="AO1696" s="73"/>
      <c r="AP1696" s="73"/>
      <c r="AQ1696" s="73"/>
      <c r="AR1696" s="73"/>
      <c r="AS1696" s="73"/>
      <c r="AT1696" s="73"/>
      <c r="AU1696" s="73"/>
      <c r="AV1696" s="73"/>
      <c r="AW1696" s="73"/>
      <c r="AX1696" s="73"/>
      <c r="AY1696" s="73"/>
      <c r="AZ1696" s="73"/>
      <c r="BA1696" s="73"/>
      <c r="BB1696" s="73"/>
      <c r="BC1696" s="73"/>
      <c r="BD1696" s="73"/>
      <c r="BE1696" s="73"/>
      <c r="BF1696" s="75"/>
      <c r="BG1696" s="73"/>
      <c r="BH1696" s="88"/>
      <c r="BI1696" s="73"/>
      <c r="BJ1696" s="73"/>
      <c r="BK1696" s="73"/>
      <c r="BL1696" s="73"/>
      <c r="BM1696" s="73"/>
      <c r="BN1696" s="73"/>
      <c r="BO1696" s="73"/>
      <c r="BP1696" s="73"/>
      <c r="BQ1696" s="73"/>
      <c r="BR1696" s="73"/>
      <c r="BS1696" s="73"/>
      <c r="BT1696" s="73"/>
      <c r="BU1696" s="73"/>
      <c r="BV1696" s="73"/>
      <c r="BW1696" s="73"/>
      <c r="BX1696" s="73"/>
      <c r="BY1696" s="73"/>
      <c r="BZ1696" s="73"/>
      <c r="CA1696" s="73"/>
      <c r="CB1696" s="73"/>
      <c r="CC1696" s="73"/>
      <c r="CD1696" s="73"/>
      <c r="CE1696" s="73"/>
      <c r="CF1696" s="73"/>
      <c r="CG1696" s="73"/>
      <c r="CH1696" s="73"/>
    </row>
    <row r="1697">
      <c r="A1697" s="73"/>
      <c r="B1697" s="73"/>
      <c r="C1697" s="73"/>
      <c r="D1697" s="73"/>
      <c r="E1697" s="140"/>
      <c r="F1697" s="80"/>
      <c r="G1697" s="80"/>
      <c r="H1697" s="73"/>
      <c r="I1697" s="73"/>
      <c r="J1697" s="73"/>
      <c r="K1697" s="73"/>
      <c r="L1697" s="73"/>
      <c r="M1697" s="73"/>
      <c r="N1697" s="73"/>
      <c r="O1697" s="73"/>
      <c r="P1697" s="73"/>
      <c r="Q1697" s="73"/>
      <c r="R1697" s="73"/>
      <c r="S1697" s="73"/>
      <c r="T1697" s="73"/>
      <c r="U1697" s="73"/>
      <c r="V1697" s="73"/>
      <c r="W1697" s="73"/>
      <c r="X1697" s="73"/>
      <c r="Y1697" s="73"/>
      <c r="Z1697" s="73"/>
      <c r="AA1697" s="73"/>
      <c r="AB1697" s="73"/>
      <c r="AC1697" s="73"/>
      <c r="AD1697" s="73"/>
      <c r="AE1697" s="73"/>
      <c r="AF1697" s="73"/>
      <c r="AG1697" s="73"/>
      <c r="AH1697" s="73"/>
      <c r="AI1697" s="73"/>
      <c r="AJ1697" s="168"/>
      <c r="AK1697" s="73"/>
      <c r="AL1697" s="73"/>
      <c r="AM1697" s="73"/>
      <c r="AN1697" s="73"/>
      <c r="AO1697" s="73"/>
      <c r="AP1697" s="73"/>
      <c r="AQ1697" s="73"/>
      <c r="AR1697" s="73"/>
      <c r="AS1697" s="73"/>
      <c r="AT1697" s="73"/>
      <c r="AU1697" s="73"/>
      <c r="AV1697" s="73"/>
      <c r="AW1697" s="73"/>
      <c r="AX1697" s="73"/>
      <c r="AY1697" s="73"/>
      <c r="AZ1697" s="73"/>
      <c r="BA1697" s="73"/>
      <c r="BB1697" s="73"/>
      <c r="BC1697" s="73"/>
      <c r="BD1697" s="73"/>
      <c r="BE1697" s="73"/>
      <c r="BF1697" s="75"/>
      <c r="BG1697" s="73"/>
      <c r="BH1697" s="88"/>
      <c r="BI1697" s="73"/>
      <c r="BJ1697" s="73"/>
      <c r="BK1697" s="73"/>
      <c r="BL1697" s="73"/>
      <c r="BM1697" s="73"/>
      <c r="BN1697" s="73"/>
      <c r="BO1697" s="73"/>
      <c r="BP1697" s="73"/>
      <c r="BQ1697" s="73"/>
      <c r="BR1697" s="73"/>
      <c r="BS1697" s="73"/>
      <c r="BT1697" s="73"/>
      <c r="BU1697" s="73"/>
      <c r="BV1697" s="73"/>
      <c r="BW1697" s="73"/>
      <c r="BX1697" s="73"/>
      <c r="BY1697" s="73"/>
      <c r="BZ1697" s="73"/>
      <c r="CA1697" s="73"/>
      <c r="CB1697" s="73"/>
      <c r="CC1697" s="73"/>
      <c r="CD1697" s="73"/>
      <c r="CE1697" s="73"/>
      <c r="CF1697" s="73"/>
      <c r="CG1697" s="73"/>
      <c r="CH1697" s="73"/>
    </row>
    <row r="1698">
      <c r="A1698" s="73"/>
      <c r="B1698" s="73"/>
      <c r="C1698" s="73"/>
      <c r="D1698" s="73"/>
      <c r="E1698" s="140"/>
      <c r="F1698" s="80"/>
      <c r="G1698" s="80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  <c r="S1698" s="73"/>
      <c r="T1698" s="73"/>
      <c r="U1698" s="73"/>
      <c r="V1698" s="73"/>
      <c r="W1698" s="73"/>
      <c r="X1698" s="73"/>
      <c r="Y1698" s="73"/>
      <c r="Z1698" s="73"/>
      <c r="AA1698" s="73"/>
      <c r="AB1698" s="73"/>
      <c r="AC1698" s="73"/>
      <c r="AD1698" s="73"/>
      <c r="AE1698" s="73"/>
      <c r="AF1698" s="73"/>
      <c r="AG1698" s="73"/>
      <c r="AH1698" s="73"/>
      <c r="AI1698" s="73"/>
      <c r="AJ1698" s="168"/>
      <c r="AK1698" s="73"/>
      <c r="AL1698" s="73"/>
      <c r="AM1698" s="73"/>
      <c r="AN1698" s="73"/>
      <c r="AO1698" s="73"/>
      <c r="AP1698" s="73"/>
      <c r="AQ1698" s="73"/>
      <c r="AR1698" s="73"/>
      <c r="AS1698" s="73"/>
      <c r="AT1698" s="73"/>
      <c r="AU1698" s="73"/>
      <c r="AV1698" s="73"/>
      <c r="AW1698" s="73"/>
      <c r="AX1698" s="73"/>
      <c r="AY1698" s="73"/>
      <c r="AZ1698" s="73"/>
      <c r="BA1698" s="73"/>
      <c r="BB1698" s="73"/>
      <c r="BC1698" s="73"/>
      <c r="BD1698" s="73"/>
      <c r="BE1698" s="73"/>
      <c r="BF1698" s="75"/>
      <c r="BG1698" s="73"/>
      <c r="BH1698" s="88"/>
      <c r="BI1698" s="73"/>
      <c r="BJ1698" s="73"/>
      <c r="BK1698" s="73"/>
      <c r="BL1698" s="73"/>
      <c r="BM1698" s="73"/>
      <c r="BN1698" s="73"/>
      <c r="BO1698" s="73"/>
      <c r="BP1698" s="73"/>
      <c r="BQ1698" s="73"/>
      <c r="BR1698" s="73"/>
      <c r="BS1698" s="73"/>
      <c r="BT1698" s="73"/>
      <c r="BU1698" s="73"/>
      <c r="BV1698" s="73"/>
      <c r="BW1698" s="73"/>
      <c r="BX1698" s="73"/>
      <c r="BY1698" s="73"/>
      <c r="BZ1698" s="73"/>
      <c r="CA1698" s="73"/>
      <c r="CB1698" s="73"/>
      <c r="CC1698" s="73"/>
      <c r="CD1698" s="73"/>
      <c r="CE1698" s="73"/>
      <c r="CF1698" s="73"/>
      <c r="CG1698" s="73"/>
      <c r="CH1698" s="73"/>
    </row>
    <row r="1699">
      <c r="A1699" s="73"/>
      <c r="B1699" s="73"/>
      <c r="C1699" s="73"/>
      <c r="D1699" s="73"/>
      <c r="E1699" s="140"/>
      <c r="F1699" s="80"/>
      <c r="G1699" s="80"/>
      <c r="H1699" s="73"/>
      <c r="I1699" s="73"/>
      <c r="J1699" s="73"/>
      <c r="K1699" s="73"/>
      <c r="L1699" s="73"/>
      <c r="M1699" s="73"/>
      <c r="N1699" s="73"/>
      <c r="O1699" s="73"/>
      <c r="P1699" s="73"/>
      <c r="Q1699" s="73"/>
      <c r="R1699" s="73"/>
      <c r="S1699" s="73"/>
      <c r="T1699" s="73"/>
      <c r="U1699" s="73"/>
      <c r="V1699" s="73"/>
      <c r="W1699" s="73"/>
      <c r="X1699" s="73"/>
      <c r="Y1699" s="73"/>
      <c r="Z1699" s="73"/>
      <c r="AA1699" s="73"/>
      <c r="AB1699" s="73"/>
      <c r="AC1699" s="73"/>
      <c r="AD1699" s="73"/>
      <c r="AE1699" s="73"/>
      <c r="AF1699" s="73"/>
      <c r="AG1699" s="73"/>
      <c r="AH1699" s="73"/>
      <c r="AI1699" s="73"/>
      <c r="AJ1699" s="168"/>
      <c r="AK1699" s="73"/>
      <c r="AL1699" s="73"/>
      <c r="AM1699" s="73"/>
      <c r="AN1699" s="73"/>
      <c r="AO1699" s="73"/>
      <c r="AP1699" s="73"/>
      <c r="AQ1699" s="73"/>
      <c r="AR1699" s="73"/>
      <c r="AS1699" s="73"/>
      <c r="AT1699" s="73"/>
      <c r="AU1699" s="73"/>
      <c r="AV1699" s="73"/>
      <c r="AW1699" s="73"/>
      <c r="AX1699" s="73"/>
      <c r="AY1699" s="73"/>
      <c r="AZ1699" s="73"/>
      <c r="BA1699" s="73"/>
      <c r="BB1699" s="73"/>
      <c r="BC1699" s="73"/>
      <c r="BD1699" s="73"/>
      <c r="BE1699" s="73"/>
      <c r="BF1699" s="75"/>
      <c r="BG1699" s="73"/>
      <c r="BH1699" s="88"/>
      <c r="BI1699" s="73"/>
      <c r="BJ1699" s="73"/>
      <c r="BK1699" s="73"/>
      <c r="BL1699" s="73"/>
      <c r="BM1699" s="73"/>
      <c r="BN1699" s="73"/>
      <c r="BO1699" s="73"/>
      <c r="BP1699" s="73"/>
      <c r="BQ1699" s="73"/>
      <c r="BR1699" s="73"/>
      <c r="BS1699" s="73"/>
      <c r="BT1699" s="73"/>
      <c r="BU1699" s="73"/>
      <c r="BV1699" s="73"/>
      <c r="BW1699" s="73"/>
      <c r="BX1699" s="73"/>
      <c r="BY1699" s="73"/>
      <c r="BZ1699" s="73"/>
      <c r="CA1699" s="73"/>
      <c r="CB1699" s="73"/>
      <c r="CC1699" s="73"/>
      <c r="CD1699" s="73"/>
      <c r="CE1699" s="73"/>
      <c r="CF1699" s="73"/>
      <c r="CG1699" s="73"/>
      <c r="CH1699" s="73"/>
    </row>
    <row r="1700">
      <c r="A1700" s="73"/>
      <c r="B1700" s="73"/>
      <c r="C1700" s="73"/>
      <c r="D1700" s="73"/>
      <c r="E1700" s="140"/>
      <c r="F1700" s="80"/>
      <c r="G1700" s="80"/>
      <c r="H1700" s="73"/>
      <c r="I1700" s="73"/>
      <c r="J1700" s="73"/>
      <c r="K1700" s="73"/>
      <c r="L1700" s="73"/>
      <c r="M1700" s="73"/>
      <c r="N1700" s="73"/>
      <c r="O1700" s="73"/>
      <c r="P1700" s="73"/>
      <c r="Q1700" s="73"/>
      <c r="R1700" s="73"/>
      <c r="S1700" s="73"/>
      <c r="T1700" s="73"/>
      <c r="U1700" s="73"/>
      <c r="V1700" s="73"/>
      <c r="W1700" s="73"/>
      <c r="X1700" s="73"/>
      <c r="Y1700" s="73"/>
      <c r="Z1700" s="73"/>
      <c r="AA1700" s="73"/>
      <c r="AB1700" s="73"/>
      <c r="AC1700" s="73"/>
      <c r="AD1700" s="73"/>
      <c r="AE1700" s="73"/>
      <c r="AF1700" s="73"/>
      <c r="AG1700" s="73"/>
      <c r="AH1700" s="73"/>
      <c r="AI1700" s="73"/>
      <c r="AJ1700" s="168"/>
      <c r="AK1700" s="73"/>
      <c r="AL1700" s="73"/>
      <c r="AM1700" s="73"/>
      <c r="AN1700" s="73"/>
      <c r="AO1700" s="73"/>
      <c r="AP1700" s="73"/>
      <c r="AQ1700" s="73"/>
      <c r="AR1700" s="73"/>
      <c r="AS1700" s="73"/>
      <c r="AT1700" s="73"/>
      <c r="AU1700" s="73"/>
      <c r="AV1700" s="73"/>
      <c r="AW1700" s="73"/>
      <c r="AX1700" s="73"/>
      <c r="AY1700" s="73"/>
      <c r="AZ1700" s="73"/>
      <c r="BA1700" s="73"/>
      <c r="BB1700" s="73"/>
      <c r="BC1700" s="73"/>
      <c r="BD1700" s="73"/>
      <c r="BE1700" s="73"/>
      <c r="BF1700" s="75"/>
      <c r="BG1700" s="73"/>
      <c r="BH1700" s="88"/>
      <c r="BI1700" s="73"/>
      <c r="BJ1700" s="73"/>
      <c r="BK1700" s="73"/>
      <c r="BL1700" s="73"/>
      <c r="BM1700" s="73"/>
      <c r="BN1700" s="73"/>
      <c r="BO1700" s="73"/>
      <c r="BP1700" s="73"/>
      <c r="BQ1700" s="73"/>
      <c r="BR1700" s="73"/>
      <c r="BS1700" s="73"/>
      <c r="BT1700" s="73"/>
      <c r="BU1700" s="73"/>
      <c r="BV1700" s="73"/>
      <c r="BW1700" s="73"/>
      <c r="BX1700" s="73"/>
      <c r="BY1700" s="73"/>
      <c r="BZ1700" s="73"/>
      <c r="CA1700" s="73"/>
      <c r="CB1700" s="73"/>
      <c r="CC1700" s="73"/>
      <c r="CD1700" s="73"/>
      <c r="CE1700" s="73"/>
      <c r="CF1700" s="73"/>
      <c r="CG1700" s="73"/>
      <c r="CH1700" s="73"/>
    </row>
    <row r="1701">
      <c r="A1701" s="73"/>
      <c r="B1701" s="73"/>
      <c r="C1701" s="73"/>
      <c r="D1701" s="73"/>
      <c r="E1701" s="140"/>
      <c r="F1701" s="80"/>
      <c r="G1701" s="80"/>
      <c r="H1701" s="73"/>
      <c r="I1701" s="73"/>
      <c r="J1701" s="73"/>
      <c r="K1701" s="73"/>
      <c r="L1701" s="73"/>
      <c r="M1701" s="73"/>
      <c r="N1701" s="73"/>
      <c r="O1701" s="73"/>
      <c r="P1701" s="73"/>
      <c r="Q1701" s="73"/>
      <c r="R1701" s="73"/>
      <c r="S1701" s="73"/>
      <c r="T1701" s="73"/>
      <c r="U1701" s="73"/>
      <c r="V1701" s="73"/>
      <c r="W1701" s="73"/>
      <c r="X1701" s="73"/>
      <c r="Y1701" s="73"/>
      <c r="Z1701" s="73"/>
      <c r="AA1701" s="73"/>
      <c r="AB1701" s="73"/>
      <c r="AC1701" s="73"/>
      <c r="AD1701" s="73"/>
      <c r="AE1701" s="73"/>
      <c r="AF1701" s="73"/>
      <c r="AG1701" s="73"/>
      <c r="AH1701" s="73"/>
      <c r="AI1701" s="73"/>
      <c r="AJ1701" s="168"/>
      <c r="AK1701" s="73"/>
      <c r="AL1701" s="73"/>
      <c r="AM1701" s="73"/>
      <c r="AN1701" s="73"/>
      <c r="AO1701" s="73"/>
      <c r="AP1701" s="73"/>
      <c r="AQ1701" s="73"/>
      <c r="AR1701" s="73"/>
      <c r="AS1701" s="73"/>
      <c r="AT1701" s="73"/>
      <c r="AU1701" s="73"/>
      <c r="AV1701" s="73"/>
      <c r="AW1701" s="73"/>
      <c r="AX1701" s="73"/>
      <c r="AY1701" s="73"/>
      <c r="AZ1701" s="73"/>
      <c r="BA1701" s="73"/>
      <c r="BB1701" s="73"/>
      <c r="BC1701" s="73"/>
      <c r="BD1701" s="73"/>
      <c r="BE1701" s="73"/>
      <c r="BF1701" s="75"/>
      <c r="BG1701" s="73"/>
      <c r="BH1701" s="88"/>
      <c r="BI1701" s="73"/>
      <c r="BJ1701" s="73"/>
      <c r="BK1701" s="73"/>
      <c r="BL1701" s="73"/>
      <c r="BM1701" s="73"/>
      <c r="BN1701" s="73"/>
      <c r="BO1701" s="73"/>
      <c r="BP1701" s="73"/>
      <c r="BQ1701" s="73"/>
      <c r="BR1701" s="73"/>
      <c r="BS1701" s="73"/>
      <c r="BT1701" s="73"/>
      <c r="BU1701" s="73"/>
      <c r="BV1701" s="73"/>
      <c r="BW1701" s="73"/>
      <c r="BX1701" s="73"/>
      <c r="BY1701" s="73"/>
      <c r="BZ1701" s="73"/>
      <c r="CA1701" s="73"/>
      <c r="CB1701" s="73"/>
      <c r="CC1701" s="73"/>
      <c r="CD1701" s="73"/>
      <c r="CE1701" s="73"/>
      <c r="CF1701" s="73"/>
      <c r="CG1701" s="73"/>
      <c r="CH1701" s="73"/>
    </row>
    <row r="1702">
      <c r="A1702" s="73"/>
      <c r="B1702" s="73"/>
      <c r="C1702" s="73"/>
      <c r="D1702" s="73"/>
      <c r="E1702" s="140"/>
      <c r="F1702" s="80"/>
      <c r="G1702" s="80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  <c r="S1702" s="73"/>
      <c r="T1702" s="73"/>
      <c r="U1702" s="73"/>
      <c r="V1702" s="73"/>
      <c r="W1702" s="73"/>
      <c r="X1702" s="73"/>
      <c r="Y1702" s="73"/>
      <c r="Z1702" s="73"/>
      <c r="AA1702" s="73"/>
      <c r="AB1702" s="73"/>
      <c r="AC1702" s="73"/>
      <c r="AD1702" s="73"/>
      <c r="AE1702" s="73"/>
      <c r="AF1702" s="73"/>
      <c r="AG1702" s="73"/>
      <c r="AH1702" s="73"/>
      <c r="AI1702" s="73"/>
      <c r="AJ1702" s="168"/>
      <c r="AK1702" s="73"/>
      <c r="AL1702" s="73"/>
      <c r="AM1702" s="73"/>
      <c r="AN1702" s="73"/>
      <c r="AO1702" s="73"/>
      <c r="AP1702" s="73"/>
      <c r="AQ1702" s="73"/>
      <c r="AR1702" s="73"/>
      <c r="AS1702" s="73"/>
      <c r="AT1702" s="73"/>
      <c r="AU1702" s="73"/>
      <c r="AV1702" s="73"/>
      <c r="AW1702" s="73"/>
      <c r="AX1702" s="73"/>
      <c r="AY1702" s="73"/>
      <c r="AZ1702" s="73"/>
      <c r="BA1702" s="73"/>
      <c r="BB1702" s="73"/>
      <c r="BC1702" s="73"/>
      <c r="BD1702" s="73"/>
      <c r="BE1702" s="73"/>
      <c r="BF1702" s="75"/>
      <c r="BG1702" s="73"/>
      <c r="BH1702" s="88"/>
      <c r="BI1702" s="73"/>
      <c r="BJ1702" s="73"/>
      <c r="BK1702" s="73"/>
      <c r="BL1702" s="73"/>
      <c r="BM1702" s="73"/>
      <c r="BN1702" s="73"/>
      <c r="BO1702" s="73"/>
      <c r="BP1702" s="73"/>
      <c r="BQ1702" s="73"/>
      <c r="BR1702" s="73"/>
      <c r="BS1702" s="73"/>
      <c r="BT1702" s="73"/>
      <c r="BU1702" s="73"/>
      <c r="BV1702" s="73"/>
      <c r="BW1702" s="73"/>
      <c r="BX1702" s="73"/>
      <c r="BY1702" s="73"/>
      <c r="BZ1702" s="73"/>
      <c r="CA1702" s="73"/>
      <c r="CB1702" s="73"/>
      <c r="CC1702" s="73"/>
      <c r="CD1702" s="73"/>
      <c r="CE1702" s="73"/>
      <c r="CF1702" s="73"/>
      <c r="CG1702" s="73"/>
      <c r="CH1702" s="73"/>
    </row>
    <row r="1703">
      <c r="A1703" s="73"/>
      <c r="B1703" s="73"/>
      <c r="C1703" s="73"/>
      <c r="D1703" s="73"/>
      <c r="E1703" s="140"/>
      <c r="F1703" s="80"/>
      <c r="G1703" s="80"/>
      <c r="H1703" s="73"/>
      <c r="I1703" s="73"/>
      <c r="J1703" s="73"/>
      <c r="K1703" s="73"/>
      <c r="L1703" s="73"/>
      <c r="M1703" s="73"/>
      <c r="N1703" s="73"/>
      <c r="O1703" s="73"/>
      <c r="P1703" s="73"/>
      <c r="Q1703" s="73"/>
      <c r="R1703" s="73"/>
      <c r="S1703" s="73"/>
      <c r="T1703" s="73"/>
      <c r="U1703" s="73"/>
      <c r="V1703" s="73"/>
      <c r="W1703" s="73"/>
      <c r="X1703" s="73"/>
      <c r="Y1703" s="73"/>
      <c r="Z1703" s="73"/>
      <c r="AA1703" s="73"/>
      <c r="AB1703" s="73"/>
      <c r="AC1703" s="73"/>
      <c r="AD1703" s="73"/>
      <c r="AE1703" s="73"/>
      <c r="AF1703" s="73"/>
      <c r="AG1703" s="73"/>
      <c r="AH1703" s="73"/>
      <c r="AI1703" s="73"/>
      <c r="AJ1703" s="168"/>
      <c r="AK1703" s="73"/>
      <c r="AL1703" s="73"/>
      <c r="AM1703" s="73"/>
      <c r="AN1703" s="73"/>
      <c r="AO1703" s="73"/>
      <c r="AP1703" s="73"/>
      <c r="AQ1703" s="73"/>
      <c r="AR1703" s="73"/>
      <c r="AS1703" s="73"/>
      <c r="AT1703" s="73"/>
      <c r="AU1703" s="73"/>
      <c r="AV1703" s="73"/>
      <c r="AW1703" s="73"/>
      <c r="AX1703" s="73"/>
      <c r="AY1703" s="73"/>
      <c r="AZ1703" s="73"/>
      <c r="BA1703" s="73"/>
      <c r="BB1703" s="73"/>
      <c r="BC1703" s="73"/>
      <c r="BD1703" s="73"/>
      <c r="BE1703" s="73"/>
      <c r="BF1703" s="75"/>
      <c r="BG1703" s="73"/>
      <c r="BH1703" s="88"/>
      <c r="BI1703" s="73"/>
      <c r="BJ1703" s="73"/>
      <c r="BK1703" s="73"/>
      <c r="BL1703" s="73"/>
      <c r="BM1703" s="73"/>
      <c r="BN1703" s="73"/>
      <c r="BO1703" s="73"/>
      <c r="BP1703" s="73"/>
      <c r="BQ1703" s="73"/>
      <c r="BR1703" s="73"/>
      <c r="BS1703" s="73"/>
      <c r="BT1703" s="73"/>
      <c r="BU1703" s="73"/>
      <c r="BV1703" s="73"/>
      <c r="BW1703" s="73"/>
      <c r="BX1703" s="73"/>
      <c r="BY1703" s="73"/>
      <c r="BZ1703" s="73"/>
      <c r="CA1703" s="73"/>
      <c r="CB1703" s="73"/>
      <c r="CC1703" s="73"/>
      <c r="CD1703" s="73"/>
      <c r="CE1703" s="73"/>
      <c r="CF1703" s="73"/>
      <c r="CG1703" s="73"/>
      <c r="CH1703" s="73"/>
    </row>
    <row r="1704">
      <c r="A1704" s="73"/>
      <c r="B1704" s="73"/>
      <c r="C1704" s="73"/>
      <c r="D1704" s="73"/>
      <c r="E1704" s="140"/>
      <c r="F1704" s="80"/>
      <c r="G1704" s="80"/>
      <c r="H1704" s="73"/>
      <c r="I1704" s="73"/>
      <c r="J1704" s="73"/>
      <c r="K1704" s="73"/>
      <c r="L1704" s="73"/>
      <c r="M1704" s="73"/>
      <c r="N1704" s="73"/>
      <c r="O1704" s="73"/>
      <c r="P1704" s="73"/>
      <c r="Q1704" s="73"/>
      <c r="R1704" s="73"/>
      <c r="S1704" s="73"/>
      <c r="T1704" s="73"/>
      <c r="U1704" s="73"/>
      <c r="V1704" s="73"/>
      <c r="W1704" s="73"/>
      <c r="X1704" s="73"/>
      <c r="Y1704" s="73"/>
      <c r="Z1704" s="73"/>
      <c r="AA1704" s="73"/>
      <c r="AB1704" s="73"/>
      <c r="AC1704" s="73"/>
      <c r="AD1704" s="73"/>
      <c r="AE1704" s="73"/>
      <c r="AF1704" s="73"/>
      <c r="AG1704" s="73"/>
      <c r="AH1704" s="73"/>
      <c r="AI1704" s="73"/>
      <c r="AJ1704" s="168"/>
      <c r="AK1704" s="73"/>
      <c r="AL1704" s="73"/>
      <c r="AM1704" s="73"/>
      <c r="AN1704" s="73"/>
      <c r="AO1704" s="73"/>
      <c r="AP1704" s="73"/>
      <c r="AQ1704" s="73"/>
      <c r="AR1704" s="73"/>
      <c r="AS1704" s="73"/>
      <c r="AT1704" s="73"/>
      <c r="AU1704" s="73"/>
      <c r="AV1704" s="73"/>
      <c r="AW1704" s="73"/>
      <c r="AX1704" s="73"/>
      <c r="AY1704" s="73"/>
      <c r="AZ1704" s="73"/>
      <c r="BA1704" s="73"/>
      <c r="BB1704" s="73"/>
      <c r="BC1704" s="73"/>
      <c r="BD1704" s="73"/>
      <c r="BE1704" s="73"/>
      <c r="BF1704" s="75"/>
      <c r="BG1704" s="73"/>
      <c r="BH1704" s="88"/>
      <c r="BI1704" s="73"/>
      <c r="BJ1704" s="73"/>
      <c r="BK1704" s="73"/>
      <c r="BL1704" s="73"/>
      <c r="BM1704" s="73"/>
      <c r="BN1704" s="73"/>
      <c r="BO1704" s="73"/>
      <c r="BP1704" s="73"/>
      <c r="BQ1704" s="73"/>
      <c r="BR1704" s="73"/>
      <c r="BS1704" s="73"/>
      <c r="BT1704" s="73"/>
      <c r="BU1704" s="73"/>
      <c r="BV1704" s="73"/>
      <c r="BW1704" s="73"/>
      <c r="BX1704" s="73"/>
      <c r="BY1704" s="73"/>
      <c r="BZ1704" s="73"/>
      <c r="CA1704" s="73"/>
      <c r="CB1704" s="73"/>
      <c r="CC1704" s="73"/>
      <c r="CD1704" s="73"/>
      <c r="CE1704" s="73"/>
      <c r="CF1704" s="73"/>
      <c r="CG1704" s="73"/>
      <c r="CH1704" s="73"/>
    </row>
    <row r="1705">
      <c r="A1705" s="73"/>
      <c r="B1705" s="73"/>
      <c r="C1705" s="73"/>
      <c r="D1705" s="73"/>
      <c r="E1705" s="140"/>
      <c r="F1705" s="80"/>
      <c r="G1705" s="80"/>
      <c r="H1705" s="73"/>
      <c r="I1705" s="73"/>
      <c r="J1705" s="73"/>
      <c r="K1705" s="73"/>
      <c r="L1705" s="73"/>
      <c r="M1705" s="73"/>
      <c r="N1705" s="73"/>
      <c r="O1705" s="73"/>
      <c r="P1705" s="73"/>
      <c r="Q1705" s="73"/>
      <c r="R1705" s="73"/>
      <c r="S1705" s="73"/>
      <c r="T1705" s="73"/>
      <c r="U1705" s="73"/>
      <c r="V1705" s="73"/>
      <c r="W1705" s="73"/>
      <c r="X1705" s="73"/>
      <c r="Y1705" s="73"/>
      <c r="Z1705" s="73"/>
      <c r="AA1705" s="73"/>
      <c r="AB1705" s="73"/>
      <c r="AC1705" s="73"/>
      <c r="AD1705" s="73"/>
      <c r="AE1705" s="73"/>
      <c r="AF1705" s="73"/>
      <c r="AG1705" s="73"/>
      <c r="AH1705" s="73"/>
      <c r="AI1705" s="73"/>
      <c r="AJ1705" s="168"/>
      <c r="AK1705" s="73"/>
      <c r="AL1705" s="73"/>
      <c r="AM1705" s="73"/>
      <c r="AN1705" s="73"/>
      <c r="AO1705" s="73"/>
      <c r="AP1705" s="73"/>
      <c r="AQ1705" s="73"/>
      <c r="AR1705" s="73"/>
      <c r="AS1705" s="73"/>
      <c r="AT1705" s="73"/>
      <c r="AU1705" s="73"/>
      <c r="AV1705" s="73"/>
      <c r="AW1705" s="73"/>
      <c r="AX1705" s="73"/>
      <c r="AY1705" s="73"/>
      <c r="AZ1705" s="73"/>
      <c r="BA1705" s="73"/>
      <c r="BB1705" s="73"/>
      <c r="BC1705" s="73"/>
      <c r="BD1705" s="73"/>
      <c r="BE1705" s="73"/>
      <c r="BF1705" s="75"/>
      <c r="BG1705" s="73"/>
      <c r="BH1705" s="88"/>
      <c r="BI1705" s="73"/>
      <c r="BJ1705" s="73"/>
      <c r="BK1705" s="73"/>
      <c r="BL1705" s="73"/>
      <c r="BM1705" s="73"/>
      <c r="BN1705" s="73"/>
      <c r="BO1705" s="73"/>
      <c r="BP1705" s="73"/>
      <c r="BQ1705" s="73"/>
      <c r="BR1705" s="73"/>
      <c r="BS1705" s="73"/>
      <c r="BT1705" s="73"/>
      <c r="BU1705" s="73"/>
      <c r="BV1705" s="73"/>
      <c r="BW1705" s="73"/>
      <c r="BX1705" s="73"/>
      <c r="BY1705" s="73"/>
      <c r="BZ1705" s="73"/>
      <c r="CA1705" s="73"/>
      <c r="CB1705" s="73"/>
      <c r="CC1705" s="73"/>
      <c r="CD1705" s="73"/>
      <c r="CE1705" s="73"/>
      <c r="CF1705" s="73"/>
      <c r="CG1705" s="73"/>
      <c r="CH1705" s="73"/>
    </row>
    <row r="1706">
      <c r="A1706" s="73"/>
      <c r="B1706" s="73"/>
      <c r="C1706" s="73"/>
      <c r="D1706" s="73"/>
      <c r="E1706" s="140"/>
      <c r="F1706" s="80"/>
      <c r="G1706" s="80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  <c r="S1706" s="73"/>
      <c r="T1706" s="73"/>
      <c r="U1706" s="73"/>
      <c r="V1706" s="73"/>
      <c r="W1706" s="73"/>
      <c r="X1706" s="73"/>
      <c r="Y1706" s="73"/>
      <c r="Z1706" s="73"/>
      <c r="AA1706" s="73"/>
      <c r="AB1706" s="73"/>
      <c r="AC1706" s="73"/>
      <c r="AD1706" s="73"/>
      <c r="AE1706" s="73"/>
      <c r="AF1706" s="73"/>
      <c r="AG1706" s="73"/>
      <c r="AH1706" s="73"/>
      <c r="AI1706" s="73"/>
      <c r="AJ1706" s="168"/>
      <c r="AK1706" s="73"/>
      <c r="AL1706" s="73"/>
      <c r="AM1706" s="73"/>
      <c r="AN1706" s="73"/>
      <c r="AO1706" s="73"/>
      <c r="AP1706" s="73"/>
      <c r="AQ1706" s="73"/>
      <c r="AR1706" s="73"/>
      <c r="AS1706" s="73"/>
      <c r="AT1706" s="73"/>
      <c r="AU1706" s="73"/>
      <c r="AV1706" s="73"/>
      <c r="AW1706" s="73"/>
      <c r="AX1706" s="73"/>
      <c r="AY1706" s="73"/>
      <c r="AZ1706" s="73"/>
      <c r="BA1706" s="73"/>
      <c r="BB1706" s="73"/>
      <c r="BC1706" s="73"/>
      <c r="BD1706" s="73"/>
      <c r="BE1706" s="73"/>
      <c r="BF1706" s="75"/>
      <c r="BG1706" s="73"/>
      <c r="BH1706" s="88"/>
      <c r="BI1706" s="73"/>
      <c r="BJ1706" s="73"/>
      <c r="BK1706" s="73"/>
      <c r="BL1706" s="73"/>
      <c r="BM1706" s="73"/>
      <c r="BN1706" s="73"/>
      <c r="BO1706" s="73"/>
      <c r="BP1706" s="73"/>
      <c r="BQ1706" s="73"/>
      <c r="BR1706" s="73"/>
      <c r="BS1706" s="73"/>
      <c r="BT1706" s="73"/>
      <c r="BU1706" s="73"/>
      <c r="BV1706" s="73"/>
      <c r="BW1706" s="73"/>
      <c r="BX1706" s="73"/>
      <c r="BY1706" s="73"/>
      <c r="BZ1706" s="73"/>
      <c r="CA1706" s="73"/>
      <c r="CB1706" s="73"/>
      <c r="CC1706" s="73"/>
      <c r="CD1706" s="73"/>
      <c r="CE1706" s="73"/>
      <c r="CF1706" s="73"/>
      <c r="CG1706" s="73"/>
      <c r="CH1706" s="73"/>
    </row>
    <row r="1707">
      <c r="A1707" s="73"/>
      <c r="B1707" s="73"/>
      <c r="C1707" s="73"/>
      <c r="D1707" s="73"/>
      <c r="E1707" s="140"/>
      <c r="F1707" s="80"/>
      <c r="G1707" s="80"/>
      <c r="H1707" s="73"/>
      <c r="I1707" s="73"/>
      <c r="J1707" s="73"/>
      <c r="K1707" s="73"/>
      <c r="L1707" s="73"/>
      <c r="M1707" s="73"/>
      <c r="N1707" s="73"/>
      <c r="O1707" s="73"/>
      <c r="P1707" s="73"/>
      <c r="Q1707" s="73"/>
      <c r="R1707" s="73"/>
      <c r="S1707" s="73"/>
      <c r="T1707" s="73"/>
      <c r="U1707" s="73"/>
      <c r="V1707" s="73"/>
      <c r="W1707" s="73"/>
      <c r="X1707" s="73"/>
      <c r="Y1707" s="73"/>
      <c r="Z1707" s="73"/>
      <c r="AA1707" s="73"/>
      <c r="AB1707" s="73"/>
      <c r="AC1707" s="73"/>
      <c r="AD1707" s="73"/>
      <c r="AE1707" s="73"/>
      <c r="AF1707" s="73"/>
      <c r="AG1707" s="73"/>
      <c r="AH1707" s="73"/>
      <c r="AI1707" s="73"/>
      <c r="AJ1707" s="168"/>
      <c r="AK1707" s="73"/>
      <c r="AL1707" s="73"/>
      <c r="AM1707" s="73"/>
      <c r="AN1707" s="73"/>
      <c r="AO1707" s="73"/>
      <c r="AP1707" s="73"/>
      <c r="AQ1707" s="73"/>
      <c r="AR1707" s="73"/>
      <c r="AS1707" s="73"/>
      <c r="AT1707" s="73"/>
      <c r="AU1707" s="73"/>
      <c r="AV1707" s="73"/>
      <c r="AW1707" s="73"/>
      <c r="AX1707" s="73"/>
      <c r="AY1707" s="73"/>
      <c r="AZ1707" s="73"/>
      <c r="BA1707" s="73"/>
      <c r="BB1707" s="73"/>
      <c r="BC1707" s="73"/>
      <c r="BD1707" s="73"/>
      <c r="BE1707" s="73"/>
      <c r="BF1707" s="75"/>
      <c r="BG1707" s="73"/>
      <c r="BH1707" s="88"/>
      <c r="BI1707" s="73"/>
      <c r="BJ1707" s="73"/>
      <c r="BK1707" s="73"/>
      <c r="BL1707" s="73"/>
      <c r="BM1707" s="73"/>
      <c r="BN1707" s="73"/>
      <c r="BO1707" s="73"/>
      <c r="BP1707" s="73"/>
      <c r="BQ1707" s="73"/>
      <c r="BR1707" s="73"/>
      <c r="BS1707" s="73"/>
      <c r="BT1707" s="73"/>
      <c r="BU1707" s="73"/>
      <c r="BV1707" s="73"/>
      <c r="BW1707" s="73"/>
      <c r="BX1707" s="73"/>
      <c r="BY1707" s="73"/>
      <c r="BZ1707" s="73"/>
      <c r="CA1707" s="73"/>
      <c r="CB1707" s="73"/>
      <c r="CC1707" s="73"/>
      <c r="CD1707" s="73"/>
      <c r="CE1707" s="73"/>
      <c r="CF1707" s="73"/>
      <c r="CG1707" s="73"/>
      <c r="CH1707" s="73"/>
    </row>
    <row r="1708">
      <c r="A1708" s="73"/>
      <c r="B1708" s="73"/>
      <c r="C1708" s="73"/>
      <c r="D1708" s="73"/>
      <c r="E1708" s="140"/>
      <c r="F1708" s="80"/>
      <c r="G1708" s="80"/>
      <c r="H1708" s="73"/>
      <c r="I1708" s="73"/>
      <c r="J1708" s="73"/>
      <c r="K1708" s="73"/>
      <c r="L1708" s="73"/>
      <c r="M1708" s="73"/>
      <c r="N1708" s="73"/>
      <c r="O1708" s="73"/>
      <c r="P1708" s="73"/>
      <c r="Q1708" s="73"/>
      <c r="R1708" s="73"/>
      <c r="S1708" s="73"/>
      <c r="T1708" s="73"/>
      <c r="U1708" s="73"/>
      <c r="V1708" s="73"/>
      <c r="W1708" s="73"/>
      <c r="X1708" s="73"/>
      <c r="Y1708" s="73"/>
      <c r="Z1708" s="73"/>
      <c r="AA1708" s="73"/>
      <c r="AB1708" s="73"/>
      <c r="AC1708" s="73"/>
      <c r="AD1708" s="73"/>
      <c r="AE1708" s="73"/>
      <c r="AF1708" s="73"/>
      <c r="AG1708" s="73"/>
      <c r="AH1708" s="73"/>
      <c r="AI1708" s="73"/>
      <c r="AJ1708" s="168"/>
      <c r="AK1708" s="73"/>
      <c r="AL1708" s="73"/>
      <c r="AM1708" s="73"/>
      <c r="AN1708" s="73"/>
      <c r="AO1708" s="73"/>
      <c r="AP1708" s="73"/>
      <c r="AQ1708" s="73"/>
      <c r="AR1708" s="73"/>
      <c r="AS1708" s="73"/>
      <c r="AT1708" s="73"/>
      <c r="AU1708" s="73"/>
      <c r="AV1708" s="73"/>
      <c r="AW1708" s="73"/>
      <c r="AX1708" s="73"/>
      <c r="AY1708" s="73"/>
      <c r="AZ1708" s="73"/>
      <c r="BA1708" s="73"/>
      <c r="BB1708" s="73"/>
      <c r="BC1708" s="73"/>
      <c r="BD1708" s="73"/>
      <c r="BE1708" s="73"/>
      <c r="BF1708" s="75"/>
      <c r="BG1708" s="73"/>
      <c r="BH1708" s="88"/>
      <c r="BI1708" s="73"/>
      <c r="BJ1708" s="73"/>
      <c r="BK1708" s="73"/>
      <c r="BL1708" s="73"/>
      <c r="BM1708" s="73"/>
      <c r="BN1708" s="73"/>
      <c r="BO1708" s="73"/>
      <c r="BP1708" s="73"/>
      <c r="BQ1708" s="73"/>
      <c r="BR1708" s="73"/>
      <c r="BS1708" s="73"/>
      <c r="BT1708" s="73"/>
      <c r="BU1708" s="73"/>
      <c r="BV1708" s="73"/>
      <c r="BW1708" s="73"/>
      <c r="BX1708" s="73"/>
      <c r="BY1708" s="73"/>
      <c r="BZ1708" s="73"/>
      <c r="CA1708" s="73"/>
      <c r="CB1708" s="73"/>
      <c r="CC1708" s="73"/>
      <c r="CD1708" s="73"/>
      <c r="CE1708" s="73"/>
      <c r="CF1708" s="73"/>
      <c r="CG1708" s="73"/>
      <c r="CH1708" s="73"/>
    </row>
    <row r="1709">
      <c r="A1709" s="73"/>
      <c r="B1709" s="73"/>
      <c r="C1709" s="73"/>
      <c r="D1709" s="73"/>
      <c r="E1709" s="140"/>
      <c r="F1709" s="80"/>
      <c r="G1709" s="80"/>
      <c r="H1709" s="73"/>
      <c r="I1709" s="73"/>
      <c r="J1709" s="73"/>
      <c r="K1709" s="73"/>
      <c r="L1709" s="73"/>
      <c r="M1709" s="73"/>
      <c r="N1709" s="73"/>
      <c r="O1709" s="73"/>
      <c r="P1709" s="73"/>
      <c r="Q1709" s="73"/>
      <c r="R1709" s="73"/>
      <c r="S1709" s="73"/>
      <c r="T1709" s="73"/>
      <c r="U1709" s="73"/>
      <c r="V1709" s="73"/>
      <c r="W1709" s="73"/>
      <c r="X1709" s="73"/>
      <c r="Y1709" s="73"/>
      <c r="Z1709" s="73"/>
      <c r="AA1709" s="73"/>
      <c r="AB1709" s="73"/>
      <c r="AC1709" s="73"/>
      <c r="AD1709" s="73"/>
      <c r="AE1709" s="73"/>
      <c r="AF1709" s="73"/>
      <c r="AG1709" s="73"/>
      <c r="AH1709" s="73"/>
      <c r="AI1709" s="73"/>
      <c r="AJ1709" s="168"/>
      <c r="AK1709" s="73"/>
      <c r="AL1709" s="73"/>
      <c r="AM1709" s="73"/>
      <c r="AN1709" s="73"/>
      <c r="AO1709" s="73"/>
      <c r="AP1709" s="73"/>
      <c r="AQ1709" s="73"/>
      <c r="AR1709" s="73"/>
      <c r="AS1709" s="73"/>
      <c r="AT1709" s="73"/>
      <c r="AU1709" s="73"/>
      <c r="AV1709" s="73"/>
      <c r="AW1709" s="73"/>
      <c r="AX1709" s="73"/>
      <c r="AY1709" s="73"/>
      <c r="AZ1709" s="73"/>
      <c r="BA1709" s="73"/>
      <c r="BB1709" s="73"/>
      <c r="BC1709" s="73"/>
      <c r="BD1709" s="73"/>
      <c r="BE1709" s="73"/>
      <c r="BF1709" s="75"/>
      <c r="BG1709" s="73"/>
      <c r="BH1709" s="88"/>
      <c r="BI1709" s="73"/>
      <c r="BJ1709" s="73"/>
      <c r="BK1709" s="73"/>
      <c r="BL1709" s="73"/>
      <c r="BM1709" s="73"/>
      <c r="BN1709" s="73"/>
      <c r="BO1709" s="73"/>
      <c r="BP1709" s="73"/>
      <c r="BQ1709" s="73"/>
      <c r="BR1709" s="73"/>
      <c r="BS1709" s="73"/>
      <c r="BT1709" s="73"/>
      <c r="BU1709" s="73"/>
      <c r="BV1709" s="73"/>
      <c r="BW1709" s="73"/>
      <c r="BX1709" s="73"/>
      <c r="BY1709" s="73"/>
      <c r="BZ1709" s="73"/>
      <c r="CA1709" s="73"/>
      <c r="CB1709" s="73"/>
      <c r="CC1709" s="73"/>
      <c r="CD1709" s="73"/>
      <c r="CE1709" s="73"/>
      <c r="CF1709" s="73"/>
      <c r="CG1709" s="73"/>
      <c r="CH1709" s="73"/>
    </row>
    <row r="1710">
      <c r="A1710" s="73"/>
      <c r="B1710" s="73"/>
      <c r="C1710" s="73"/>
      <c r="D1710" s="73"/>
      <c r="E1710" s="140"/>
      <c r="F1710" s="80"/>
      <c r="G1710" s="80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  <c r="S1710" s="73"/>
      <c r="T1710" s="73"/>
      <c r="U1710" s="73"/>
      <c r="V1710" s="73"/>
      <c r="W1710" s="73"/>
      <c r="X1710" s="73"/>
      <c r="Y1710" s="73"/>
      <c r="Z1710" s="73"/>
      <c r="AA1710" s="73"/>
      <c r="AB1710" s="73"/>
      <c r="AC1710" s="73"/>
      <c r="AD1710" s="73"/>
      <c r="AE1710" s="73"/>
      <c r="AF1710" s="73"/>
      <c r="AG1710" s="73"/>
      <c r="AH1710" s="73"/>
      <c r="AI1710" s="73"/>
      <c r="AJ1710" s="168"/>
      <c r="AK1710" s="73"/>
      <c r="AL1710" s="73"/>
      <c r="AM1710" s="73"/>
      <c r="AN1710" s="73"/>
      <c r="AO1710" s="73"/>
      <c r="AP1710" s="73"/>
      <c r="AQ1710" s="73"/>
      <c r="AR1710" s="73"/>
      <c r="AS1710" s="73"/>
      <c r="AT1710" s="73"/>
      <c r="AU1710" s="73"/>
      <c r="AV1710" s="73"/>
      <c r="AW1710" s="73"/>
      <c r="AX1710" s="73"/>
      <c r="AY1710" s="73"/>
      <c r="AZ1710" s="73"/>
      <c r="BA1710" s="73"/>
      <c r="BB1710" s="73"/>
      <c r="BC1710" s="73"/>
      <c r="BD1710" s="73"/>
      <c r="BE1710" s="73"/>
      <c r="BF1710" s="75"/>
      <c r="BG1710" s="73"/>
      <c r="BH1710" s="88"/>
      <c r="BI1710" s="73"/>
      <c r="BJ1710" s="73"/>
      <c r="BK1710" s="73"/>
      <c r="BL1710" s="73"/>
      <c r="BM1710" s="73"/>
      <c r="BN1710" s="73"/>
      <c r="BO1710" s="73"/>
      <c r="BP1710" s="73"/>
      <c r="BQ1710" s="73"/>
      <c r="BR1710" s="73"/>
      <c r="BS1710" s="73"/>
      <c r="BT1710" s="73"/>
      <c r="BU1710" s="73"/>
      <c r="BV1710" s="73"/>
      <c r="BW1710" s="73"/>
      <c r="BX1710" s="73"/>
      <c r="BY1710" s="73"/>
      <c r="BZ1710" s="73"/>
      <c r="CA1710" s="73"/>
      <c r="CB1710" s="73"/>
      <c r="CC1710" s="73"/>
      <c r="CD1710" s="73"/>
      <c r="CE1710" s="73"/>
      <c r="CF1710" s="73"/>
      <c r="CG1710" s="73"/>
      <c r="CH1710" s="73"/>
    </row>
    <row r="1711">
      <c r="A1711" s="73"/>
      <c r="B1711" s="73"/>
      <c r="C1711" s="73"/>
      <c r="D1711" s="73"/>
      <c r="E1711" s="140"/>
      <c r="F1711" s="80"/>
      <c r="G1711" s="80"/>
      <c r="H1711" s="73"/>
      <c r="I1711" s="73"/>
      <c r="J1711" s="73"/>
      <c r="K1711" s="73"/>
      <c r="L1711" s="73"/>
      <c r="M1711" s="73"/>
      <c r="N1711" s="73"/>
      <c r="O1711" s="73"/>
      <c r="P1711" s="73"/>
      <c r="Q1711" s="73"/>
      <c r="R1711" s="73"/>
      <c r="S1711" s="73"/>
      <c r="T1711" s="73"/>
      <c r="U1711" s="73"/>
      <c r="V1711" s="73"/>
      <c r="W1711" s="73"/>
      <c r="X1711" s="73"/>
      <c r="Y1711" s="73"/>
      <c r="Z1711" s="73"/>
      <c r="AA1711" s="73"/>
      <c r="AB1711" s="73"/>
      <c r="AC1711" s="73"/>
      <c r="AD1711" s="73"/>
      <c r="AE1711" s="73"/>
      <c r="AF1711" s="73"/>
      <c r="AG1711" s="73"/>
      <c r="AH1711" s="73"/>
      <c r="AI1711" s="73"/>
      <c r="AJ1711" s="168"/>
      <c r="AK1711" s="73"/>
      <c r="AL1711" s="73"/>
      <c r="AM1711" s="73"/>
      <c r="AN1711" s="73"/>
      <c r="AO1711" s="73"/>
      <c r="AP1711" s="73"/>
      <c r="AQ1711" s="73"/>
      <c r="AR1711" s="73"/>
      <c r="AS1711" s="73"/>
      <c r="AT1711" s="73"/>
      <c r="AU1711" s="73"/>
      <c r="AV1711" s="73"/>
      <c r="AW1711" s="73"/>
      <c r="AX1711" s="73"/>
      <c r="AY1711" s="73"/>
      <c r="AZ1711" s="73"/>
      <c r="BA1711" s="73"/>
      <c r="BB1711" s="73"/>
      <c r="BC1711" s="73"/>
      <c r="BD1711" s="73"/>
      <c r="BE1711" s="73"/>
      <c r="BF1711" s="75"/>
      <c r="BG1711" s="73"/>
      <c r="BH1711" s="88"/>
      <c r="BI1711" s="73"/>
      <c r="BJ1711" s="73"/>
      <c r="BK1711" s="73"/>
      <c r="BL1711" s="73"/>
      <c r="BM1711" s="73"/>
      <c r="BN1711" s="73"/>
      <c r="BO1711" s="73"/>
      <c r="BP1711" s="73"/>
      <c r="BQ1711" s="73"/>
      <c r="BR1711" s="73"/>
      <c r="BS1711" s="73"/>
      <c r="BT1711" s="73"/>
      <c r="BU1711" s="73"/>
      <c r="BV1711" s="73"/>
      <c r="BW1711" s="73"/>
      <c r="BX1711" s="73"/>
      <c r="BY1711" s="73"/>
      <c r="BZ1711" s="73"/>
      <c r="CA1711" s="73"/>
      <c r="CB1711" s="73"/>
      <c r="CC1711" s="73"/>
      <c r="CD1711" s="73"/>
      <c r="CE1711" s="73"/>
      <c r="CF1711" s="73"/>
      <c r="CG1711" s="73"/>
      <c r="CH1711" s="73"/>
    </row>
    <row r="1712">
      <c r="A1712" s="73"/>
      <c r="B1712" s="73"/>
      <c r="C1712" s="73"/>
      <c r="D1712" s="73"/>
      <c r="E1712" s="140"/>
      <c r="F1712" s="80"/>
      <c r="G1712" s="80"/>
      <c r="H1712" s="73"/>
      <c r="I1712" s="73"/>
      <c r="J1712" s="73"/>
      <c r="K1712" s="73"/>
      <c r="L1712" s="73"/>
      <c r="M1712" s="73"/>
      <c r="N1712" s="73"/>
      <c r="O1712" s="73"/>
      <c r="P1712" s="73"/>
      <c r="Q1712" s="73"/>
      <c r="R1712" s="73"/>
      <c r="S1712" s="73"/>
      <c r="T1712" s="73"/>
      <c r="U1712" s="73"/>
      <c r="V1712" s="73"/>
      <c r="W1712" s="73"/>
      <c r="X1712" s="73"/>
      <c r="Y1712" s="73"/>
      <c r="Z1712" s="73"/>
      <c r="AA1712" s="73"/>
      <c r="AB1712" s="73"/>
      <c r="AC1712" s="73"/>
      <c r="AD1712" s="73"/>
      <c r="AE1712" s="73"/>
      <c r="AF1712" s="73"/>
      <c r="AG1712" s="73"/>
      <c r="AH1712" s="73"/>
      <c r="AI1712" s="73"/>
      <c r="AJ1712" s="168"/>
      <c r="AK1712" s="73"/>
      <c r="AL1712" s="73"/>
      <c r="AM1712" s="73"/>
      <c r="AN1712" s="73"/>
      <c r="AO1712" s="73"/>
      <c r="AP1712" s="73"/>
      <c r="AQ1712" s="73"/>
      <c r="AR1712" s="73"/>
      <c r="AS1712" s="73"/>
      <c r="AT1712" s="73"/>
      <c r="AU1712" s="73"/>
      <c r="AV1712" s="73"/>
      <c r="AW1712" s="73"/>
      <c r="AX1712" s="73"/>
      <c r="AY1712" s="73"/>
      <c r="AZ1712" s="73"/>
      <c r="BA1712" s="73"/>
      <c r="BB1712" s="73"/>
      <c r="BC1712" s="73"/>
      <c r="BD1712" s="73"/>
      <c r="BE1712" s="73"/>
      <c r="BF1712" s="75"/>
      <c r="BG1712" s="73"/>
      <c r="BH1712" s="88"/>
      <c r="BI1712" s="73"/>
      <c r="BJ1712" s="73"/>
      <c r="BK1712" s="73"/>
      <c r="BL1712" s="73"/>
      <c r="BM1712" s="73"/>
      <c r="BN1712" s="73"/>
      <c r="BO1712" s="73"/>
      <c r="BP1712" s="73"/>
      <c r="BQ1712" s="73"/>
      <c r="BR1712" s="73"/>
      <c r="BS1712" s="73"/>
      <c r="BT1712" s="73"/>
      <c r="BU1712" s="73"/>
      <c r="BV1712" s="73"/>
      <c r="BW1712" s="73"/>
      <c r="BX1712" s="73"/>
      <c r="BY1712" s="73"/>
      <c r="BZ1712" s="73"/>
      <c r="CA1712" s="73"/>
      <c r="CB1712" s="73"/>
      <c r="CC1712" s="73"/>
      <c r="CD1712" s="73"/>
      <c r="CE1712" s="73"/>
      <c r="CF1712" s="73"/>
      <c r="CG1712" s="73"/>
      <c r="CH1712" s="73"/>
    </row>
    <row r="1713">
      <c r="A1713" s="73"/>
      <c r="B1713" s="73"/>
      <c r="C1713" s="73"/>
      <c r="D1713" s="73"/>
      <c r="E1713" s="140"/>
      <c r="F1713" s="80"/>
      <c r="G1713" s="80"/>
      <c r="H1713" s="73"/>
      <c r="I1713" s="73"/>
      <c r="J1713" s="73"/>
      <c r="K1713" s="73"/>
      <c r="L1713" s="73"/>
      <c r="M1713" s="73"/>
      <c r="N1713" s="73"/>
      <c r="O1713" s="73"/>
      <c r="P1713" s="73"/>
      <c r="Q1713" s="73"/>
      <c r="R1713" s="73"/>
      <c r="S1713" s="73"/>
      <c r="T1713" s="73"/>
      <c r="U1713" s="73"/>
      <c r="V1713" s="73"/>
      <c r="W1713" s="73"/>
      <c r="X1713" s="73"/>
      <c r="Y1713" s="73"/>
      <c r="Z1713" s="73"/>
      <c r="AA1713" s="73"/>
      <c r="AB1713" s="73"/>
      <c r="AC1713" s="73"/>
      <c r="AD1713" s="73"/>
      <c r="AE1713" s="73"/>
      <c r="AF1713" s="73"/>
      <c r="AG1713" s="73"/>
      <c r="AH1713" s="73"/>
      <c r="AI1713" s="73"/>
      <c r="AJ1713" s="168"/>
      <c r="AK1713" s="73"/>
      <c r="AL1713" s="73"/>
      <c r="AM1713" s="73"/>
      <c r="AN1713" s="73"/>
      <c r="AO1713" s="73"/>
      <c r="AP1713" s="73"/>
      <c r="AQ1713" s="73"/>
      <c r="AR1713" s="73"/>
      <c r="AS1713" s="73"/>
      <c r="AT1713" s="73"/>
      <c r="AU1713" s="73"/>
      <c r="AV1713" s="73"/>
      <c r="AW1713" s="73"/>
      <c r="AX1713" s="73"/>
      <c r="AY1713" s="73"/>
      <c r="AZ1713" s="73"/>
      <c r="BA1713" s="73"/>
      <c r="BB1713" s="73"/>
      <c r="BC1713" s="73"/>
      <c r="BD1713" s="73"/>
      <c r="BE1713" s="73"/>
      <c r="BF1713" s="75"/>
      <c r="BG1713" s="73"/>
      <c r="BH1713" s="88"/>
      <c r="BI1713" s="73"/>
      <c r="BJ1713" s="73"/>
      <c r="BK1713" s="73"/>
      <c r="BL1713" s="73"/>
      <c r="BM1713" s="73"/>
      <c r="BN1713" s="73"/>
      <c r="BO1713" s="73"/>
      <c r="BP1713" s="73"/>
      <c r="BQ1713" s="73"/>
      <c r="BR1713" s="73"/>
      <c r="BS1713" s="73"/>
      <c r="BT1713" s="73"/>
      <c r="BU1713" s="73"/>
      <c r="BV1713" s="73"/>
      <c r="BW1713" s="73"/>
      <c r="BX1713" s="73"/>
      <c r="BY1713" s="73"/>
      <c r="BZ1713" s="73"/>
      <c r="CA1713" s="73"/>
      <c r="CB1713" s="73"/>
      <c r="CC1713" s="73"/>
      <c r="CD1713" s="73"/>
      <c r="CE1713" s="73"/>
      <c r="CF1713" s="73"/>
      <c r="CG1713" s="73"/>
      <c r="CH1713" s="73"/>
    </row>
    <row r="1714">
      <c r="A1714" s="73"/>
      <c r="B1714" s="73"/>
      <c r="C1714" s="73"/>
      <c r="D1714" s="73"/>
      <c r="E1714" s="140"/>
      <c r="F1714" s="80"/>
      <c r="G1714" s="80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  <c r="S1714" s="73"/>
      <c r="T1714" s="73"/>
      <c r="U1714" s="73"/>
      <c r="V1714" s="73"/>
      <c r="W1714" s="73"/>
      <c r="X1714" s="73"/>
      <c r="Y1714" s="73"/>
      <c r="Z1714" s="73"/>
      <c r="AA1714" s="73"/>
      <c r="AB1714" s="73"/>
      <c r="AC1714" s="73"/>
      <c r="AD1714" s="73"/>
      <c r="AE1714" s="73"/>
      <c r="AF1714" s="73"/>
      <c r="AG1714" s="73"/>
      <c r="AH1714" s="73"/>
      <c r="AI1714" s="73"/>
      <c r="AJ1714" s="168"/>
      <c r="AK1714" s="73"/>
      <c r="AL1714" s="73"/>
      <c r="AM1714" s="73"/>
      <c r="AN1714" s="73"/>
      <c r="AO1714" s="73"/>
      <c r="AP1714" s="73"/>
      <c r="AQ1714" s="73"/>
      <c r="AR1714" s="73"/>
      <c r="AS1714" s="73"/>
      <c r="AT1714" s="73"/>
      <c r="AU1714" s="73"/>
      <c r="AV1714" s="73"/>
      <c r="AW1714" s="73"/>
      <c r="AX1714" s="73"/>
      <c r="AY1714" s="73"/>
      <c r="AZ1714" s="73"/>
      <c r="BA1714" s="73"/>
      <c r="BB1714" s="73"/>
      <c r="BC1714" s="73"/>
      <c r="BD1714" s="73"/>
      <c r="BE1714" s="73"/>
      <c r="BF1714" s="75"/>
      <c r="BG1714" s="73"/>
      <c r="BH1714" s="88"/>
      <c r="BI1714" s="73"/>
      <c r="BJ1714" s="73"/>
      <c r="BK1714" s="73"/>
      <c r="BL1714" s="73"/>
      <c r="BM1714" s="73"/>
      <c r="BN1714" s="73"/>
      <c r="BO1714" s="73"/>
      <c r="BP1714" s="73"/>
      <c r="BQ1714" s="73"/>
      <c r="BR1714" s="73"/>
      <c r="BS1714" s="73"/>
      <c r="BT1714" s="73"/>
      <c r="BU1714" s="73"/>
      <c r="BV1714" s="73"/>
      <c r="BW1714" s="73"/>
      <c r="BX1714" s="73"/>
      <c r="BY1714" s="73"/>
      <c r="BZ1714" s="73"/>
      <c r="CA1714" s="73"/>
      <c r="CB1714" s="73"/>
      <c r="CC1714" s="73"/>
      <c r="CD1714" s="73"/>
      <c r="CE1714" s="73"/>
      <c r="CF1714" s="73"/>
      <c r="CG1714" s="73"/>
      <c r="CH1714" s="73"/>
    </row>
    <row r="1715">
      <c r="A1715" s="73"/>
      <c r="B1715" s="73"/>
      <c r="C1715" s="73"/>
      <c r="D1715" s="73"/>
      <c r="E1715" s="140"/>
      <c r="F1715" s="80"/>
      <c r="G1715" s="80"/>
      <c r="H1715" s="73"/>
      <c r="I1715" s="73"/>
      <c r="J1715" s="73"/>
      <c r="K1715" s="73"/>
      <c r="L1715" s="73"/>
      <c r="M1715" s="73"/>
      <c r="N1715" s="73"/>
      <c r="O1715" s="73"/>
      <c r="P1715" s="73"/>
      <c r="Q1715" s="73"/>
      <c r="R1715" s="73"/>
      <c r="S1715" s="73"/>
      <c r="T1715" s="73"/>
      <c r="U1715" s="73"/>
      <c r="V1715" s="73"/>
      <c r="W1715" s="73"/>
      <c r="X1715" s="73"/>
      <c r="Y1715" s="73"/>
      <c r="Z1715" s="73"/>
      <c r="AA1715" s="73"/>
      <c r="AB1715" s="73"/>
      <c r="AC1715" s="73"/>
      <c r="AD1715" s="73"/>
      <c r="AE1715" s="73"/>
      <c r="AF1715" s="73"/>
      <c r="AG1715" s="73"/>
      <c r="AH1715" s="73"/>
      <c r="AI1715" s="73"/>
      <c r="AJ1715" s="168"/>
      <c r="AK1715" s="73"/>
      <c r="AL1715" s="73"/>
      <c r="AM1715" s="73"/>
      <c r="AN1715" s="73"/>
      <c r="AO1715" s="73"/>
      <c r="AP1715" s="73"/>
      <c r="AQ1715" s="73"/>
      <c r="AR1715" s="73"/>
      <c r="AS1715" s="73"/>
      <c r="AT1715" s="73"/>
      <c r="AU1715" s="73"/>
      <c r="AV1715" s="73"/>
      <c r="AW1715" s="73"/>
      <c r="AX1715" s="73"/>
      <c r="AY1715" s="73"/>
      <c r="AZ1715" s="73"/>
      <c r="BA1715" s="73"/>
      <c r="BB1715" s="73"/>
      <c r="BC1715" s="73"/>
      <c r="BD1715" s="73"/>
      <c r="BE1715" s="73"/>
      <c r="BF1715" s="75"/>
      <c r="BG1715" s="73"/>
      <c r="BH1715" s="88"/>
      <c r="BI1715" s="73"/>
      <c r="BJ1715" s="73"/>
      <c r="BK1715" s="73"/>
      <c r="BL1715" s="73"/>
      <c r="BM1715" s="73"/>
      <c r="BN1715" s="73"/>
      <c r="BO1715" s="73"/>
      <c r="BP1715" s="73"/>
      <c r="BQ1715" s="73"/>
      <c r="BR1715" s="73"/>
      <c r="BS1715" s="73"/>
      <c r="BT1715" s="73"/>
      <c r="BU1715" s="73"/>
      <c r="BV1715" s="73"/>
      <c r="BW1715" s="73"/>
      <c r="BX1715" s="73"/>
      <c r="BY1715" s="73"/>
      <c r="BZ1715" s="73"/>
      <c r="CA1715" s="73"/>
      <c r="CB1715" s="73"/>
      <c r="CC1715" s="73"/>
      <c r="CD1715" s="73"/>
      <c r="CE1715" s="73"/>
      <c r="CF1715" s="73"/>
      <c r="CG1715" s="73"/>
      <c r="CH1715" s="73"/>
    </row>
    <row r="1716">
      <c r="A1716" s="73"/>
      <c r="B1716" s="73"/>
      <c r="C1716" s="73"/>
      <c r="D1716" s="73"/>
      <c r="E1716" s="140"/>
      <c r="F1716" s="80"/>
      <c r="G1716" s="80"/>
      <c r="H1716" s="73"/>
      <c r="I1716" s="73"/>
      <c r="J1716" s="73"/>
      <c r="K1716" s="73"/>
      <c r="L1716" s="73"/>
      <c r="M1716" s="73"/>
      <c r="N1716" s="73"/>
      <c r="O1716" s="73"/>
      <c r="P1716" s="73"/>
      <c r="Q1716" s="73"/>
      <c r="R1716" s="73"/>
      <c r="S1716" s="73"/>
      <c r="T1716" s="73"/>
      <c r="U1716" s="73"/>
      <c r="V1716" s="73"/>
      <c r="W1716" s="73"/>
      <c r="X1716" s="73"/>
      <c r="Y1716" s="73"/>
      <c r="Z1716" s="73"/>
      <c r="AA1716" s="73"/>
      <c r="AB1716" s="73"/>
      <c r="AC1716" s="73"/>
      <c r="AD1716" s="73"/>
      <c r="AE1716" s="73"/>
      <c r="AF1716" s="73"/>
      <c r="AG1716" s="73"/>
      <c r="AH1716" s="73"/>
      <c r="AI1716" s="73"/>
      <c r="AJ1716" s="168"/>
      <c r="AK1716" s="73"/>
      <c r="AL1716" s="73"/>
      <c r="AM1716" s="73"/>
      <c r="AN1716" s="73"/>
      <c r="AO1716" s="73"/>
      <c r="AP1716" s="73"/>
      <c r="AQ1716" s="73"/>
      <c r="AR1716" s="73"/>
      <c r="AS1716" s="73"/>
      <c r="AT1716" s="73"/>
      <c r="AU1716" s="73"/>
      <c r="AV1716" s="73"/>
      <c r="AW1716" s="73"/>
      <c r="AX1716" s="73"/>
      <c r="AY1716" s="73"/>
      <c r="AZ1716" s="73"/>
      <c r="BA1716" s="73"/>
      <c r="BB1716" s="73"/>
      <c r="BC1716" s="73"/>
      <c r="BD1716" s="73"/>
      <c r="BE1716" s="73"/>
      <c r="BF1716" s="75"/>
      <c r="BG1716" s="73"/>
      <c r="BH1716" s="88"/>
      <c r="BI1716" s="73"/>
      <c r="BJ1716" s="73"/>
      <c r="BK1716" s="73"/>
      <c r="BL1716" s="73"/>
      <c r="BM1716" s="73"/>
      <c r="BN1716" s="73"/>
      <c r="BO1716" s="73"/>
      <c r="BP1716" s="73"/>
      <c r="BQ1716" s="73"/>
      <c r="BR1716" s="73"/>
      <c r="BS1716" s="73"/>
      <c r="BT1716" s="73"/>
      <c r="BU1716" s="73"/>
      <c r="BV1716" s="73"/>
      <c r="BW1716" s="73"/>
      <c r="BX1716" s="73"/>
      <c r="BY1716" s="73"/>
      <c r="BZ1716" s="73"/>
      <c r="CA1716" s="73"/>
      <c r="CB1716" s="73"/>
      <c r="CC1716" s="73"/>
      <c r="CD1716" s="73"/>
      <c r="CE1716" s="73"/>
      <c r="CF1716" s="73"/>
      <c r="CG1716" s="73"/>
      <c r="CH1716" s="73"/>
    </row>
    <row r="1717">
      <c r="A1717" s="73"/>
      <c r="B1717" s="73"/>
      <c r="C1717" s="73"/>
      <c r="D1717" s="73"/>
      <c r="E1717" s="140"/>
      <c r="F1717" s="80"/>
      <c r="G1717" s="80"/>
      <c r="H1717" s="73"/>
      <c r="I1717" s="73"/>
      <c r="J1717" s="73"/>
      <c r="K1717" s="73"/>
      <c r="L1717" s="73"/>
      <c r="M1717" s="73"/>
      <c r="N1717" s="73"/>
      <c r="O1717" s="73"/>
      <c r="P1717" s="73"/>
      <c r="Q1717" s="73"/>
      <c r="R1717" s="73"/>
      <c r="S1717" s="73"/>
      <c r="T1717" s="73"/>
      <c r="U1717" s="73"/>
      <c r="V1717" s="73"/>
      <c r="W1717" s="73"/>
      <c r="X1717" s="73"/>
      <c r="Y1717" s="73"/>
      <c r="Z1717" s="73"/>
      <c r="AA1717" s="73"/>
      <c r="AB1717" s="73"/>
      <c r="AC1717" s="73"/>
      <c r="AD1717" s="73"/>
      <c r="AE1717" s="73"/>
      <c r="AF1717" s="73"/>
      <c r="AG1717" s="73"/>
      <c r="AH1717" s="73"/>
      <c r="AI1717" s="73"/>
      <c r="AJ1717" s="168"/>
      <c r="AK1717" s="73"/>
      <c r="AL1717" s="73"/>
      <c r="AM1717" s="73"/>
      <c r="AN1717" s="73"/>
      <c r="AO1717" s="73"/>
      <c r="AP1717" s="73"/>
      <c r="AQ1717" s="73"/>
      <c r="AR1717" s="73"/>
      <c r="AS1717" s="73"/>
      <c r="AT1717" s="73"/>
      <c r="AU1717" s="73"/>
      <c r="AV1717" s="73"/>
      <c r="AW1717" s="73"/>
      <c r="AX1717" s="73"/>
      <c r="AY1717" s="73"/>
      <c r="AZ1717" s="73"/>
      <c r="BA1717" s="73"/>
      <c r="BB1717" s="73"/>
      <c r="BC1717" s="73"/>
      <c r="BD1717" s="73"/>
      <c r="BE1717" s="73"/>
      <c r="BF1717" s="75"/>
      <c r="BG1717" s="73"/>
      <c r="BH1717" s="88"/>
      <c r="BI1717" s="73"/>
      <c r="BJ1717" s="73"/>
      <c r="BK1717" s="73"/>
      <c r="BL1717" s="73"/>
      <c r="BM1717" s="73"/>
      <c r="BN1717" s="73"/>
      <c r="BO1717" s="73"/>
      <c r="BP1717" s="73"/>
      <c r="BQ1717" s="73"/>
      <c r="BR1717" s="73"/>
      <c r="BS1717" s="73"/>
      <c r="BT1717" s="73"/>
      <c r="BU1717" s="73"/>
      <c r="BV1717" s="73"/>
      <c r="BW1717" s="73"/>
      <c r="BX1717" s="73"/>
      <c r="BY1717" s="73"/>
      <c r="BZ1717" s="73"/>
      <c r="CA1717" s="73"/>
      <c r="CB1717" s="73"/>
      <c r="CC1717" s="73"/>
      <c r="CD1717" s="73"/>
      <c r="CE1717" s="73"/>
      <c r="CF1717" s="73"/>
      <c r="CG1717" s="73"/>
      <c r="CH1717" s="73"/>
    </row>
    <row r="1718">
      <c r="A1718" s="73"/>
      <c r="B1718" s="73"/>
      <c r="C1718" s="73"/>
      <c r="D1718" s="73"/>
      <c r="E1718" s="140"/>
      <c r="F1718" s="80"/>
      <c r="G1718" s="80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  <c r="S1718" s="73"/>
      <c r="T1718" s="73"/>
      <c r="U1718" s="73"/>
      <c r="V1718" s="73"/>
      <c r="W1718" s="73"/>
      <c r="X1718" s="73"/>
      <c r="Y1718" s="73"/>
      <c r="Z1718" s="73"/>
      <c r="AA1718" s="73"/>
      <c r="AB1718" s="73"/>
      <c r="AC1718" s="73"/>
      <c r="AD1718" s="73"/>
      <c r="AE1718" s="73"/>
      <c r="AF1718" s="73"/>
      <c r="AG1718" s="73"/>
      <c r="AH1718" s="73"/>
      <c r="AI1718" s="73"/>
      <c r="AJ1718" s="168"/>
      <c r="AK1718" s="73"/>
      <c r="AL1718" s="73"/>
      <c r="AM1718" s="73"/>
      <c r="AN1718" s="73"/>
      <c r="AO1718" s="73"/>
      <c r="AP1718" s="73"/>
      <c r="AQ1718" s="73"/>
      <c r="AR1718" s="73"/>
      <c r="AS1718" s="73"/>
      <c r="AT1718" s="73"/>
      <c r="AU1718" s="73"/>
      <c r="AV1718" s="73"/>
      <c r="AW1718" s="73"/>
      <c r="AX1718" s="73"/>
      <c r="AY1718" s="73"/>
      <c r="AZ1718" s="73"/>
      <c r="BA1718" s="73"/>
      <c r="BB1718" s="73"/>
      <c r="BC1718" s="73"/>
      <c r="BD1718" s="73"/>
      <c r="BE1718" s="73"/>
      <c r="BF1718" s="75"/>
      <c r="BG1718" s="73"/>
      <c r="BH1718" s="88"/>
      <c r="BI1718" s="73"/>
      <c r="BJ1718" s="73"/>
      <c r="BK1718" s="73"/>
      <c r="BL1718" s="73"/>
      <c r="BM1718" s="73"/>
      <c r="BN1718" s="73"/>
      <c r="BO1718" s="73"/>
      <c r="BP1718" s="73"/>
      <c r="BQ1718" s="73"/>
      <c r="BR1718" s="73"/>
      <c r="BS1718" s="73"/>
      <c r="BT1718" s="73"/>
      <c r="BU1718" s="73"/>
      <c r="BV1718" s="73"/>
      <c r="BW1718" s="73"/>
      <c r="BX1718" s="73"/>
      <c r="BY1718" s="73"/>
      <c r="BZ1718" s="73"/>
      <c r="CA1718" s="73"/>
      <c r="CB1718" s="73"/>
      <c r="CC1718" s="73"/>
      <c r="CD1718" s="73"/>
      <c r="CE1718" s="73"/>
      <c r="CF1718" s="73"/>
      <c r="CG1718" s="73"/>
      <c r="CH1718" s="73"/>
    </row>
    <row r="1719">
      <c r="A1719" s="73"/>
      <c r="B1719" s="73"/>
      <c r="C1719" s="73"/>
      <c r="D1719" s="73"/>
      <c r="E1719" s="140"/>
      <c r="F1719" s="80"/>
      <c r="G1719" s="80"/>
      <c r="H1719" s="73"/>
      <c r="I1719" s="73"/>
      <c r="J1719" s="73"/>
      <c r="K1719" s="73"/>
      <c r="L1719" s="73"/>
      <c r="M1719" s="73"/>
      <c r="N1719" s="73"/>
      <c r="O1719" s="73"/>
      <c r="P1719" s="73"/>
      <c r="Q1719" s="73"/>
      <c r="R1719" s="73"/>
      <c r="S1719" s="73"/>
      <c r="T1719" s="73"/>
      <c r="U1719" s="73"/>
      <c r="V1719" s="73"/>
      <c r="W1719" s="73"/>
      <c r="X1719" s="73"/>
      <c r="Y1719" s="73"/>
      <c r="Z1719" s="73"/>
      <c r="AA1719" s="73"/>
      <c r="AB1719" s="73"/>
      <c r="AC1719" s="73"/>
      <c r="AD1719" s="73"/>
      <c r="AE1719" s="73"/>
      <c r="AF1719" s="73"/>
      <c r="AG1719" s="73"/>
      <c r="AH1719" s="73"/>
      <c r="AI1719" s="73"/>
      <c r="AJ1719" s="168"/>
      <c r="AK1719" s="73"/>
      <c r="AL1719" s="73"/>
      <c r="AM1719" s="73"/>
      <c r="AN1719" s="73"/>
      <c r="AO1719" s="73"/>
      <c r="AP1719" s="73"/>
      <c r="AQ1719" s="73"/>
      <c r="AR1719" s="73"/>
      <c r="AS1719" s="73"/>
      <c r="AT1719" s="73"/>
      <c r="AU1719" s="73"/>
      <c r="AV1719" s="73"/>
      <c r="AW1719" s="73"/>
      <c r="AX1719" s="73"/>
      <c r="AY1719" s="73"/>
      <c r="AZ1719" s="73"/>
      <c r="BA1719" s="73"/>
      <c r="BB1719" s="73"/>
      <c r="BC1719" s="73"/>
      <c r="BD1719" s="73"/>
      <c r="BE1719" s="73"/>
      <c r="BF1719" s="75"/>
      <c r="BG1719" s="73"/>
      <c r="BH1719" s="88"/>
      <c r="BI1719" s="73"/>
      <c r="BJ1719" s="73"/>
      <c r="BK1719" s="73"/>
      <c r="BL1719" s="73"/>
      <c r="BM1719" s="73"/>
      <c r="BN1719" s="73"/>
      <c r="BO1719" s="73"/>
      <c r="BP1719" s="73"/>
      <c r="BQ1719" s="73"/>
      <c r="BR1719" s="73"/>
      <c r="BS1719" s="73"/>
      <c r="BT1719" s="73"/>
      <c r="BU1719" s="73"/>
      <c r="BV1719" s="73"/>
      <c r="BW1719" s="73"/>
      <c r="BX1719" s="73"/>
      <c r="BY1719" s="73"/>
      <c r="BZ1719" s="73"/>
      <c r="CA1719" s="73"/>
      <c r="CB1719" s="73"/>
      <c r="CC1719" s="73"/>
      <c r="CD1719" s="73"/>
      <c r="CE1719" s="73"/>
      <c r="CF1719" s="73"/>
      <c r="CG1719" s="73"/>
      <c r="CH1719" s="73"/>
    </row>
    <row r="1720">
      <c r="A1720" s="73"/>
      <c r="B1720" s="73"/>
      <c r="C1720" s="73"/>
      <c r="D1720" s="73"/>
      <c r="E1720" s="140"/>
      <c r="F1720" s="80"/>
      <c r="G1720" s="80"/>
      <c r="H1720" s="73"/>
      <c r="I1720" s="73"/>
      <c r="J1720" s="73"/>
      <c r="K1720" s="73"/>
      <c r="L1720" s="73"/>
      <c r="M1720" s="73"/>
      <c r="N1720" s="73"/>
      <c r="O1720" s="73"/>
      <c r="P1720" s="73"/>
      <c r="Q1720" s="73"/>
      <c r="R1720" s="73"/>
      <c r="S1720" s="73"/>
      <c r="T1720" s="73"/>
      <c r="U1720" s="73"/>
      <c r="V1720" s="73"/>
      <c r="W1720" s="73"/>
      <c r="X1720" s="73"/>
      <c r="Y1720" s="73"/>
      <c r="Z1720" s="73"/>
      <c r="AA1720" s="73"/>
      <c r="AB1720" s="73"/>
      <c r="AC1720" s="73"/>
      <c r="AD1720" s="73"/>
      <c r="AE1720" s="73"/>
      <c r="AF1720" s="73"/>
      <c r="AG1720" s="73"/>
      <c r="AH1720" s="73"/>
      <c r="AI1720" s="73"/>
      <c r="AJ1720" s="168"/>
      <c r="AK1720" s="73"/>
      <c r="AL1720" s="73"/>
      <c r="AM1720" s="73"/>
      <c r="AN1720" s="73"/>
      <c r="AO1720" s="73"/>
      <c r="AP1720" s="73"/>
      <c r="AQ1720" s="73"/>
      <c r="AR1720" s="73"/>
      <c r="AS1720" s="73"/>
      <c r="AT1720" s="73"/>
      <c r="AU1720" s="73"/>
      <c r="AV1720" s="73"/>
      <c r="AW1720" s="73"/>
      <c r="AX1720" s="73"/>
      <c r="AY1720" s="73"/>
      <c r="AZ1720" s="73"/>
      <c r="BA1720" s="73"/>
      <c r="BB1720" s="73"/>
      <c r="BC1720" s="73"/>
      <c r="BD1720" s="73"/>
      <c r="BE1720" s="73"/>
      <c r="BF1720" s="75"/>
      <c r="BG1720" s="73"/>
      <c r="BH1720" s="88"/>
      <c r="BI1720" s="73"/>
      <c r="BJ1720" s="73"/>
      <c r="BK1720" s="73"/>
      <c r="BL1720" s="73"/>
      <c r="BM1720" s="73"/>
      <c r="BN1720" s="73"/>
      <c r="BO1720" s="73"/>
      <c r="BP1720" s="73"/>
      <c r="BQ1720" s="73"/>
      <c r="BR1720" s="73"/>
      <c r="BS1720" s="73"/>
      <c r="BT1720" s="73"/>
      <c r="BU1720" s="73"/>
      <c r="BV1720" s="73"/>
      <c r="BW1720" s="73"/>
      <c r="BX1720" s="73"/>
      <c r="BY1720" s="73"/>
      <c r="BZ1720" s="73"/>
      <c r="CA1720" s="73"/>
      <c r="CB1720" s="73"/>
      <c r="CC1720" s="73"/>
      <c r="CD1720" s="73"/>
      <c r="CE1720" s="73"/>
      <c r="CF1720" s="73"/>
      <c r="CG1720" s="73"/>
      <c r="CH1720" s="73"/>
    </row>
    <row r="1721">
      <c r="A1721" s="73"/>
      <c r="B1721" s="73"/>
      <c r="C1721" s="73"/>
      <c r="D1721" s="73"/>
      <c r="E1721" s="140"/>
      <c r="F1721" s="80"/>
      <c r="G1721" s="80"/>
      <c r="H1721" s="73"/>
      <c r="I1721" s="73"/>
      <c r="J1721" s="73"/>
      <c r="K1721" s="73"/>
      <c r="L1721" s="73"/>
      <c r="M1721" s="73"/>
      <c r="N1721" s="73"/>
      <c r="O1721" s="73"/>
      <c r="P1721" s="73"/>
      <c r="Q1721" s="73"/>
      <c r="R1721" s="73"/>
      <c r="S1721" s="73"/>
      <c r="T1721" s="73"/>
      <c r="U1721" s="73"/>
      <c r="V1721" s="73"/>
      <c r="W1721" s="73"/>
      <c r="X1721" s="73"/>
      <c r="Y1721" s="73"/>
      <c r="Z1721" s="73"/>
      <c r="AA1721" s="73"/>
      <c r="AB1721" s="73"/>
      <c r="AC1721" s="73"/>
      <c r="AD1721" s="73"/>
      <c r="AE1721" s="73"/>
      <c r="AF1721" s="73"/>
      <c r="AG1721" s="73"/>
      <c r="AH1721" s="73"/>
      <c r="AI1721" s="73"/>
      <c r="AJ1721" s="168"/>
      <c r="AK1721" s="73"/>
      <c r="AL1721" s="73"/>
      <c r="AM1721" s="73"/>
      <c r="AN1721" s="73"/>
      <c r="AO1721" s="73"/>
      <c r="AP1721" s="73"/>
      <c r="AQ1721" s="73"/>
      <c r="AR1721" s="73"/>
      <c r="AS1721" s="73"/>
      <c r="AT1721" s="73"/>
      <c r="AU1721" s="73"/>
      <c r="AV1721" s="73"/>
      <c r="AW1721" s="73"/>
      <c r="AX1721" s="73"/>
      <c r="AY1721" s="73"/>
      <c r="AZ1721" s="73"/>
      <c r="BA1721" s="73"/>
      <c r="BB1721" s="73"/>
      <c r="BC1721" s="73"/>
      <c r="BD1721" s="73"/>
      <c r="BE1721" s="73"/>
      <c r="BF1721" s="75"/>
      <c r="BG1721" s="73"/>
      <c r="BH1721" s="88"/>
      <c r="BI1721" s="73"/>
      <c r="BJ1721" s="73"/>
      <c r="BK1721" s="73"/>
      <c r="BL1721" s="73"/>
      <c r="BM1721" s="73"/>
      <c r="BN1721" s="73"/>
      <c r="BO1721" s="73"/>
      <c r="BP1721" s="73"/>
      <c r="BQ1721" s="73"/>
      <c r="BR1721" s="73"/>
      <c r="BS1721" s="73"/>
      <c r="BT1721" s="73"/>
      <c r="BU1721" s="73"/>
      <c r="BV1721" s="73"/>
      <c r="BW1721" s="73"/>
      <c r="BX1721" s="73"/>
      <c r="BY1721" s="73"/>
      <c r="BZ1721" s="73"/>
      <c r="CA1721" s="73"/>
      <c r="CB1721" s="73"/>
      <c r="CC1721" s="73"/>
      <c r="CD1721" s="73"/>
      <c r="CE1721" s="73"/>
      <c r="CF1721" s="73"/>
      <c r="CG1721" s="73"/>
      <c r="CH1721" s="73"/>
    </row>
    <row r="1722">
      <c r="A1722" s="73"/>
      <c r="B1722" s="73"/>
      <c r="C1722" s="73"/>
      <c r="D1722" s="73"/>
      <c r="E1722" s="140"/>
      <c r="F1722" s="80"/>
      <c r="G1722" s="80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  <c r="S1722" s="73"/>
      <c r="T1722" s="73"/>
      <c r="U1722" s="73"/>
      <c r="V1722" s="73"/>
      <c r="W1722" s="73"/>
      <c r="X1722" s="73"/>
      <c r="Y1722" s="73"/>
      <c r="Z1722" s="73"/>
      <c r="AA1722" s="73"/>
      <c r="AB1722" s="73"/>
      <c r="AC1722" s="73"/>
      <c r="AD1722" s="73"/>
      <c r="AE1722" s="73"/>
      <c r="AF1722" s="73"/>
      <c r="AG1722" s="73"/>
      <c r="AH1722" s="73"/>
      <c r="AI1722" s="73"/>
      <c r="AJ1722" s="168"/>
      <c r="AK1722" s="73"/>
      <c r="AL1722" s="73"/>
      <c r="AM1722" s="73"/>
      <c r="AN1722" s="73"/>
      <c r="AO1722" s="73"/>
      <c r="AP1722" s="73"/>
      <c r="AQ1722" s="73"/>
      <c r="AR1722" s="73"/>
      <c r="AS1722" s="73"/>
      <c r="AT1722" s="73"/>
      <c r="AU1722" s="73"/>
      <c r="AV1722" s="73"/>
      <c r="AW1722" s="73"/>
      <c r="AX1722" s="73"/>
      <c r="AY1722" s="73"/>
      <c r="AZ1722" s="73"/>
      <c r="BA1722" s="73"/>
      <c r="BB1722" s="73"/>
      <c r="BC1722" s="73"/>
      <c r="BD1722" s="73"/>
      <c r="BE1722" s="73"/>
      <c r="BF1722" s="75"/>
      <c r="BG1722" s="73"/>
      <c r="BH1722" s="88"/>
      <c r="BI1722" s="73"/>
      <c r="BJ1722" s="73"/>
      <c r="BK1722" s="73"/>
      <c r="BL1722" s="73"/>
      <c r="BM1722" s="73"/>
      <c r="BN1722" s="73"/>
      <c r="BO1722" s="73"/>
      <c r="BP1722" s="73"/>
      <c r="BQ1722" s="73"/>
      <c r="BR1722" s="73"/>
      <c r="BS1722" s="73"/>
      <c r="BT1722" s="73"/>
      <c r="BU1722" s="73"/>
      <c r="BV1722" s="73"/>
      <c r="BW1722" s="73"/>
      <c r="BX1722" s="73"/>
      <c r="BY1722" s="73"/>
      <c r="BZ1722" s="73"/>
      <c r="CA1722" s="73"/>
      <c r="CB1722" s="73"/>
      <c r="CC1722" s="73"/>
      <c r="CD1722" s="73"/>
      <c r="CE1722" s="73"/>
      <c r="CF1722" s="73"/>
      <c r="CG1722" s="73"/>
      <c r="CH1722" s="73"/>
    </row>
    <row r="1723">
      <c r="A1723" s="73"/>
      <c r="B1723" s="73"/>
      <c r="C1723" s="73"/>
      <c r="D1723" s="73"/>
      <c r="E1723" s="140"/>
      <c r="F1723" s="80"/>
      <c r="G1723" s="80"/>
      <c r="H1723" s="73"/>
      <c r="I1723" s="73"/>
      <c r="J1723" s="73"/>
      <c r="K1723" s="73"/>
      <c r="L1723" s="73"/>
      <c r="M1723" s="73"/>
      <c r="N1723" s="73"/>
      <c r="O1723" s="73"/>
      <c r="P1723" s="73"/>
      <c r="Q1723" s="73"/>
      <c r="R1723" s="73"/>
      <c r="S1723" s="73"/>
      <c r="T1723" s="73"/>
      <c r="U1723" s="73"/>
      <c r="V1723" s="73"/>
      <c r="W1723" s="73"/>
      <c r="X1723" s="73"/>
      <c r="Y1723" s="73"/>
      <c r="Z1723" s="73"/>
      <c r="AA1723" s="73"/>
      <c r="AB1723" s="73"/>
      <c r="AC1723" s="73"/>
      <c r="AD1723" s="73"/>
      <c r="AE1723" s="73"/>
      <c r="AF1723" s="73"/>
      <c r="AG1723" s="73"/>
      <c r="AH1723" s="73"/>
      <c r="AI1723" s="73"/>
      <c r="AJ1723" s="168"/>
      <c r="AK1723" s="73"/>
      <c r="AL1723" s="73"/>
      <c r="AM1723" s="73"/>
      <c r="AN1723" s="73"/>
      <c r="AO1723" s="73"/>
      <c r="AP1723" s="73"/>
      <c r="AQ1723" s="73"/>
      <c r="AR1723" s="73"/>
      <c r="AS1723" s="73"/>
      <c r="AT1723" s="73"/>
      <c r="AU1723" s="73"/>
      <c r="AV1723" s="73"/>
      <c r="AW1723" s="73"/>
      <c r="AX1723" s="73"/>
      <c r="AY1723" s="73"/>
      <c r="AZ1723" s="73"/>
      <c r="BA1723" s="73"/>
      <c r="BB1723" s="73"/>
      <c r="BC1723" s="73"/>
      <c r="BD1723" s="73"/>
      <c r="BE1723" s="73"/>
      <c r="BF1723" s="75"/>
      <c r="BG1723" s="73"/>
      <c r="BH1723" s="88"/>
      <c r="BI1723" s="73"/>
      <c r="BJ1723" s="73"/>
      <c r="BK1723" s="73"/>
      <c r="BL1723" s="73"/>
      <c r="BM1723" s="73"/>
      <c r="BN1723" s="73"/>
      <c r="BO1723" s="73"/>
      <c r="BP1723" s="73"/>
      <c r="BQ1723" s="73"/>
      <c r="BR1723" s="73"/>
      <c r="BS1723" s="73"/>
      <c r="BT1723" s="73"/>
      <c r="BU1723" s="73"/>
      <c r="BV1723" s="73"/>
      <c r="BW1723" s="73"/>
      <c r="BX1723" s="73"/>
      <c r="BY1723" s="73"/>
      <c r="BZ1723" s="73"/>
      <c r="CA1723" s="73"/>
      <c r="CB1723" s="73"/>
      <c r="CC1723" s="73"/>
      <c r="CD1723" s="73"/>
      <c r="CE1723" s="73"/>
      <c r="CF1723" s="73"/>
      <c r="CG1723" s="73"/>
      <c r="CH1723" s="73"/>
    </row>
    <row r="1724">
      <c r="A1724" s="73"/>
      <c r="B1724" s="73"/>
      <c r="C1724" s="73"/>
      <c r="D1724" s="73"/>
      <c r="E1724" s="140"/>
      <c r="F1724" s="80"/>
      <c r="G1724" s="80"/>
      <c r="H1724" s="73"/>
      <c r="I1724" s="73"/>
      <c r="J1724" s="73"/>
      <c r="K1724" s="73"/>
      <c r="L1724" s="73"/>
      <c r="M1724" s="73"/>
      <c r="N1724" s="73"/>
      <c r="O1724" s="73"/>
      <c r="P1724" s="73"/>
      <c r="Q1724" s="73"/>
      <c r="R1724" s="73"/>
      <c r="S1724" s="73"/>
      <c r="T1724" s="73"/>
      <c r="U1724" s="73"/>
      <c r="V1724" s="73"/>
      <c r="W1724" s="73"/>
      <c r="X1724" s="73"/>
      <c r="Y1724" s="73"/>
      <c r="Z1724" s="73"/>
      <c r="AA1724" s="73"/>
      <c r="AB1724" s="73"/>
      <c r="AC1724" s="73"/>
      <c r="AD1724" s="73"/>
      <c r="AE1724" s="73"/>
      <c r="AF1724" s="73"/>
      <c r="AG1724" s="73"/>
      <c r="AH1724" s="73"/>
      <c r="AI1724" s="73"/>
      <c r="AJ1724" s="168"/>
      <c r="AK1724" s="73"/>
      <c r="AL1724" s="73"/>
      <c r="AM1724" s="73"/>
      <c r="AN1724" s="73"/>
      <c r="AO1724" s="73"/>
      <c r="AP1724" s="73"/>
      <c r="AQ1724" s="73"/>
      <c r="AR1724" s="73"/>
      <c r="AS1724" s="73"/>
      <c r="AT1724" s="73"/>
      <c r="AU1724" s="73"/>
      <c r="AV1724" s="73"/>
      <c r="AW1724" s="73"/>
      <c r="AX1724" s="73"/>
      <c r="AY1724" s="73"/>
      <c r="AZ1724" s="73"/>
      <c r="BA1724" s="73"/>
      <c r="BB1724" s="73"/>
      <c r="BC1724" s="73"/>
      <c r="BD1724" s="73"/>
      <c r="BE1724" s="73"/>
      <c r="BF1724" s="75"/>
      <c r="BG1724" s="73"/>
      <c r="BH1724" s="88"/>
      <c r="BI1724" s="73"/>
      <c r="BJ1724" s="73"/>
      <c r="BK1724" s="73"/>
      <c r="BL1724" s="73"/>
      <c r="BM1724" s="73"/>
      <c r="BN1724" s="73"/>
      <c r="BO1724" s="73"/>
      <c r="BP1724" s="73"/>
      <c r="BQ1724" s="73"/>
      <c r="BR1724" s="73"/>
      <c r="BS1724" s="73"/>
      <c r="BT1724" s="73"/>
      <c r="BU1724" s="73"/>
      <c r="BV1724" s="73"/>
      <c r="BW1724" s="73"/>
      <c r="BX1724" s="73"/>
      <c r="BY1724" s="73"/>
      <c r="BZ1724" s="73"/>
      <c r="CA1724" s="73"/>
      <c r="CB1724" s="73"/>
      <c r="CC1724" s="73"/>
      <c r="CD1724" s="73"/>
      <c r="CE1724" s="73"/>
      <c r="CF1724" s="73"/>
      <c r="CG1724" s="73"/>
      <c r="CH1724" s="73"/>
    </row>
    <row r="1725">
      <c r="A1725" s="73"/>
      <c r="B1725" s="73"/>
      <c r="C1725" s="73"/>
      <c r="D1725" s="73"/>
      <c r="E1725" s="140"/>
      <c r="F1725" s="80"/>
      <c r="G1725" s="80"/>
      <c r="H1725" s="73"/>
      <c r="I1725" s="73"/>
      <c r="J1725" s="73"/>
      <c r="K1725" s="73"/>
      <c r="L1725" s="73"/>
      <c r="M1725" s="73"/>
      <c r="N1725" s="73"/>
      <c r="O1725" s="73"/>
      <c r="P1725" s="73"/>
      <c r="Q1725" s="73"/>
      <c r="R1725" s="73"/>
      <c r="S1725" s="73"/>
      <c r="T1725" s="73"/>
      <c r="U1725" s="73"/>
      <c r="V1725" s="73"/>
      <c r="W1725" s="73"/>
      <c r="X1725" s="73"/>
      <c r="Y1725" s="73"/>
      <c r="Z1725" s="73"/>
      <c r="AA1725" s="73"/>
      <c r="AB1725" s="73"/>
      <c r="AC1725" s="73"/>
      <c r="AD1725" s="73"/>
      <c r="AE1725" s="73"/>
      <c r="AF1725" s="73"/>
      <c r="AG1725" s="73"/>
      <c r="AH1725" s="73"/>
      <c r="AI1725" s="73"/>
      <c r="AJ1725" s="168"/>
      <c r="AK1725" s="73"/>
      <c r="AL1725" s="73"/>
      <c r="AM1725" s="73"/>
      <c r="AN1725" s="73"/>
      <c r="AO1725" s="73"/>
      <c r="AP1725" s="73"/>
      <c r="AQ1725" s="73"/>
      <c r="AR1725" s="73"/>
      <c r="AS1725" s="73"/>
      <c r="AT1725" s="73"/>
      <c r="AU1725" s="73"/>
      <c r="AV1725" s="73"/>
      <c r="AW1725" s="73"/>
      <c r="AX1725" s="73"/>
      <c r="AY1725" s="73"/>
      <c r="AZ1725" s="73"/>
      <c r="BA1725" s="73"/>
      <c r="BB1725" s="73"/>
      <c r="BC1725" s="73"/>
      <c r="BD1725" s="73"/>
      <c r="BE1725" s="73"/>
      <c r="BF1725" s="75"/>
      <c r="BG1725" s="73"/>
      <c r="BH1725" s="88"/>
      <c r="BI1725" s="73"/>
      <c r="BJ1725" s="73"/>
      <c r="BK1725" s="73"/>
      <c r="BL1725" s="73"/>
      <c r="BM1725" s="73"/>
      <c r="BN1725" s="73"/>
      <c r="BO1725" s="73"/>
      <c r="BP1725" s="73"/>
      <c r="BQ1725" s="73"/>
      <c r="BR1725" s="73"/>
      <c r="BS1725" s="73"/>
      <c r="BT1725" s="73"/>
      <c r="BU1725" s="73"/>
      <c r="BV1725" s="73"/>
      <c r="BW1725" s="73"/>
      <c r="BX1725" s="73"/>
      <c r="BY1725" s="73"/>
      <c r="BZ1725" s="73"/>
      <c r="CA1725" s="73"/>
      <c r="CB1725" s="73"/>
      <c r="CC1725" s="73"/>
      <c r="CD1725" s="73"/>
      <c r="CE1725" s="73"/>
      <c r="CF1725" s="73"/>
      <c r="CG1725" s="73"/>
      <c r="CH1725" s="73"/>
    </row>
    <row r="1726">
      <c r="A1726" s="73"/>
      <c r="B1726" s="73"/>
      <c r="C1726" s="73"/>
      <c r="D1726" s="73"/>
      <c r="E1726" s="140"/>
      <c r="F1726" s="80"/>
      <c r="G1726" s="80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  <c r="S1726" s="73"/>
      <c r="T1726" s="73"/>
      <c r="U1726" s="73"/>
      <c r="V1726" s="73"/>
      <c r="W1726" s="73"/>
      <c r="X1726" s="73"/>
      <c r="Y1726" s="73"/>
      <c r="Z1726" s="73"/>
      <c r="AA1726" s="73"/>
      <c r="AB1726" s="73"/>
      <c r="AC1726" s="73"/>
      <c r="AD1726" s="73"/>
      <c r="AE1726" s="73"/>
      <c r="AF1726" s="73"/>
      <c r="AG1726" s="73"/>
      <c r="AH1726" s="73"/>
      <c r="AI1726" s="73"/>
      <c r="AJ1726" s="168"/>
      <c r="AK1726" s="73"/>
      <c r="AL1726" s="73"/>
      <c r="AM1726" s="73"/>
      <c r="AN1726" s="73"/>
      <c r="AO1726" s="73"/>
      <c r="AP1726" s="73"/>
      <c r="AQ1726" s="73"/>
      <c r="AR1726" s="73"/>
      <c r="AS1726" s="73"/>
      <c r="AT1726" s="73"/>
      <c r="AU1726" s="73"/>
      <c r="AV1726" s="73"/>
      <c r="AW1726" s="73"/>
      <c r="AX1726" s="73"/>
      <c r="AY1726" s="73"/>
      <c r="AZ1726" s="73"/>
      <c r="BA1726" s="73"/>
      <c r="BB1726" s="73"/>
      <c r="BC1726" s="73"/>
      <c r="BD1726" s="73"/>
      <c r="BE1726" s="73"/>
      <c r="BF1726" s="75"/>
      <c r="BG1726" s="73"/>
      <c r="BH1726" s="88"/>
      <c r="BI1726" s="73"/>
      <c r="BJ1726" s="73"/>
      <c r="BK1726" s="73"/>
      <c r="BL1726" s="73"/>
      <c r="BM1726" s="73"/>
      <c r="BN1726" s="73"/>
      <c r="BO1726" s="73"/>
      <c r="BP1726" s="73"/>
      <c r="BQ1726" s="73"/>
      <c r="BR1726" s="73"/>
      <c r="BS1726" s="73"/>
      <c r="BT1726" s="73"/>
      <c r="BU1726" s="73"/>
      <c r="BV1726" s="73"/>
      <c r="BW1726" s="73"/>
      <c r="BX1726" s="73"/>
      <c r="BY1726" s="73"/>
      <c r="BZ1726" s="73"/>
      <c r="CA1726" s="73"/>
      <c r="CB1726" s="73"/>
      <c r="CC1726" s="73"/>
      <c r="CD1726" s="73"/>
      <c r="CE1726" s="73"/>
      <c r="CF1726" s="73"/>
      <c r="CG1726" s="73"/>
      <c r="CH1726" s="73"/>
    </row>
    <row r="1727">
      <c r="A1727" s="73"/>
      <c r="B1727" s="73"/>
      <c r="C1727" s="73"/>
      <c r="D1727" s="73"/>
      <c r="E1727" s="140"/>
      <c r="F1727" s="80"/>
      <c r="G1727" s="80"/>
      <c r="H1727" s="73"/>
      <c r="I1727" s="73"/>
      <c r="J1727" s="73"/>
      <c r="K1727" s="73"/>
      <c r="L1727" s="73"/>
      <c r="M1727" s="73"/>
      <c r="N1727" s="73"/>
      <c r="O1727" s="73"/>
      <c r="P1727" s="73"/>
      <c r="Q1727" s="73"/>
      <c r="R1727" s="73"/>
      <c r="S1727" s="73"/>
      <c r="T1727" s="73"/>
      <c r="U1727" s="73"/>
      <c r="V1727" s="73"/>
      <c r="W1727" s="73"/>
      <c r="X1727" s="73"/>
      <c r="Y1727" s="73"/>
      <c r="Z1727" s="73"/>
      <c r="AA1727" s="73"/>
      <c r="AB1727" s="73"/>
      <c r="AC1727" s="73"/>
      <c r="AD1727" s="73"/>
      <c r="AE1727" s="73"/>
      <c r="AF1727" s="73"/>
      <c r="AG1727" s="73"/>
      <c r="AH1727" s="73"/>
      <c r="AI1727" s="73"/>
      <c r="AJ1727" s="168"/>
      <c r="AK1727" s="73"/>
      <c r="AL1727" s="73"/>
      <c r="AM1727" s="73"/>
      <c r="AN1727" s="73"/>
      <c r="AO1727" s="73"/>
      <c r="AP1727" s="73"/>
      <c r="AQ1727" s="73"/>
      <c r="AR1727" s="73"/>
      <c r="AS1727" s="73"/>
      <c r="AT1727" s="73"/>
      <c r="AU1727" s="73"/>
      <c r="AV1727" s="73"/>
      <c r="AW1727" s="73"/>
      <c r="AX1727" s="73"/>
      <c r="AY1727" s="73"/>
      <c r="AZ1727" s="73"/>
      <c r="BA1727" s="73"/>
      <c r="BB1727" s="73"/>
      <c r="BC1727" s="73"/>
      <c r="BD1727" s="73"/>
      <c r="BE1727" s="73"/>
      <c r="BF1727" s="75"/>
      <c r="BG1727" s="73"/>
      <c r="BH1727" s="88"/>
      <c r="BI1727" s="73"/>
      <c r="BJ1727" s="73"/>
      <c r="BK1727" s="73"/>
      <c r="BL1727" s="73"/>
      <c r="BM1727" s="73"/>
      <c r="BN1727" s="73"/>
      <c r="BO1727" s="73"/>
      <c r="BP1727" s="73"/>
      <c r="BQ1727" s="73"/>
      <c r="BR1727" s="73"/>
      <c r="BS1727" s="73"/>
      <c r="BT1727" s="73"/>
      <c r="BU1727" s="73"/>
      <c r="BV1727" s="73"/>
      <c r="BW1727" s="73"/>
      <c r="BX1727" s="73"/>
      <c r="BY1727" s="73"/>
      <c r="BZ1727" s="73"/>
      <c r="CA1727" s="73"/>
      <c r="CB1727" s="73"/>
      <c r="CC1727" s="73"/>
      <c r="CD1727" s="73"/>
      <c r="CE1727" s="73"/>
      <c r="CF1727" s="73"/>
      <c r="CG1727" s="73"/>
      <c r="CH1727" s="73"/>
    </row>
    <row r="1728">
      <c r="A1728" s="73"/>
      <c r="B1728" s="73"/>
      <c r="C1728" s="73"/>
      <c r="D1728" s="73"/>
      <c r="E1728" s="140"/>
      <c r="F1728" s="80"/>
      <c r="G1728" s="80"/>
      <c r="H1728" s="73"/>
      <c r="I1728" s="73"/>
      <c r="J1728" s="73"/>
      <c r="K1728" s="73"/>
      <c r="L1728" s="73"/>
      <c r="M1728" s="73"/>
      <c r="N1728" s="73"/>
      <c r="O1728" s="73"/>
      <c r="P1728" s="73"/>
      <c r="Q1728" s="73"/>
      <c r="R1728" s="73"/>
      <c r="S1728" s="73"/>
      <c r="T1728" s="73"/>
      <c r="U1728" s="73"/>
      <c r="V1728" s="73"/>
      <c r="W1728" s="73"/>
      <c r="X1728" s="73"/>
      <c r="Y1728" s="73"/>
      <c r="Z1728" s="73"/>
      <c r="AA1728" s="73"/>
      <c r="AB1728" s="73"/>
      <c r="AC1728" s="73"/>
      <c r="AD1728" s="73"/>
      <c r="AE1728" s="73"/>
      <c r="AF1728" s="73"/>
      <c r="AG1728" s="73"/>
      <c r="AH1728" s="73"/>
      <c r="AI1728" s="73"/>
      <c r="AJ1728" s="168"/>
      <c r="AK1728" s="73"/>
      <c r="AL1728" s="73"/>
      <c r="AM1728" s="73"/>
      <c r="AN1728" s="73"/>
      <c r="AO1728" s="73"/>
      <c r="AP1728" s="73"/>
      <c r="AQ1728" s="73"/>
      <c r="AR1728" s="73"/>
      <c r="AS1728" s="73"/>
      <c r="AT1728" s="73"/>
      <c r="AU1728" s="73"/>
      <c r="AV1728" s="73"/>
      <c r="AW1728" s="73"/>
      <c r="AX1728" s="73"/>
      <c r="AY1728" s="73"/>
      <c r="AZ1728" s="73"/>
      <c r="BA1728" s="73"/>
      <c r="BB1728" s="73"/>
      <c r="BC1728" s="73"/>
      <c r="BD1728" s="73"/>
      <c r="BE1728" s="73"/>
      <c r="BF1728" s="75"/>
      <c r="BG1728" s="73"/>
      <c r="BH1728" s="88"/>
      <c r="BI1728" s="73"/>
      <c r="BJ1728" s="73"/>
      <c r="BK1728" s="73"/>
      <c r="BL1728" s="73"/>
      <c r="BM1728" s="73"/>
      <c r="BN1728" s="73"/>
      <c r="BO1728" s="73"/>
      <c r="BP1728" s="73"/>
      <c r="BQ1728" s="73"/>
      <c r="BR1728" s="73"/>
      <c r="BS1728" s="73"/>
      <c r="BT1728" s="73"/>
      <c r="BU1728" s="73"/>
      <c r="BV1728" s="73"/>
      <c r="BW1728" s="73"/>
      <c r="BX1728" s="73"/>
      <c r="BY1728" s="73"/>
      <c r="BZ1728" s="73"/>
      <c r="CA1728" s="73"/>
      <c r="CB1728" s="73"/>
      <c r="CC1728" s="73"/>
      <c r="CD1728" s="73"/>
      <c r="CE1728" s="73"/>
      <c r="CF1728" s="73"/>
      <c r="CG1728" s="73"/>
      <c r="CH1728" s="73"/>
    </row>
    <row r="1729">
      <c r="A1729" s="73"/>
      <c r="B1729" s="73"/>
      <c r="C1729" s="73"/>
      <c r="D1729" s="73"/>
      <c r="E1729" s="140"/>
      <c r="F1729" s="80"/>
      <c r="G1729" s="80"/>
      <c r="H1729" s="73"/>
      <c r="I1729" s="73"/>
      <c r="J1729" s="73"/>
      <c r="K1729" s="73"/>
      <c r="L1729" s="73"/>
      <c r="M1729" s="73"/>
      <c r="N1729" s="73"/>
      <c r="O1729" s="73"/>
      <c r="P1729" s="73"/>
      <c r="Q1729" s="73"/>
      <c r="R1729" s="73"/>
      <c r="S1729" s="73"/>
      <c r="T1729" s="73"/>
      <c r="U1729" s="73"/>
      <c r="V1729" s="73"/>
      <c r="W1729" s="73"/>
      <c r="X1729" s="73"/>
      <c r="Y1729" s="73"/>
      <c r="Z1729" s="73"/>
      <c r="AA1729" s="73"/>
      <c r="AB1729" s="73"/>
      <c r="AC1729" s="73"/>
      <c r="AD1729" s="73"/>
      <c r="AE1729" s="73"/>
      <c r="AF1729" s="73"/>
      <c r="AG1729" s="73"/>
      <c r="AH1729" s="73"/>
      <c r="AI1729" s="73"/>
      <c r="AJ1729" s="168"/>
      <c r="AK1729" s="73"/>
      <c r="AL1729" s="73"/>
      <c r="AM1729" s="73"/>
      <c r="AN1729" s="73"/>
      <c r="AO1729" s="73"/>
      <c r="AP1729" s="73"/>
      <c r="AQ1729" s="73"/>
      <c r="AR1729" s="73"/>
      <c r="AS1729" s="73"/>
      <c r="AT1729" s="73"/>
      <c r="AU1729" s="73"/>
      <c r="AV1729" s="73"/>
      <c r="AW1729" s="73"/>
      <c r="AX1729" s="73"/>
      <c r="AY1729" s="73"/>
      <c r="AZ1729" s="73"/>
      <c r="BA1729" s="73"/>
      <c r="BB1729" s="73"/>
      <c r="BC1729" s="73"/>
      <c r="BD1729" s="73"/>
      <c r="BE1729" s="73"/>
      <c r="BF1729" s="75"/>
      <c r="BG1729" s="73"/>
      <c r="BH1729" s="88"/>
      <c r="BI1729" s="73"/>
      <c r="BJ1729" s="73"/>
      <c r="BK1729" s="73"/>
      <c r="BL1729" s="73"/>
      <c r="BM1729" s="73"/>
      <c r="BN1729" s="73"/>
      <c r="BO1729" s="73"/>
      <c r="BP1729" s="73"/>
      <c r="BQ1729" s="73"/>
      <c r="BR1729" s="73"/>
      <c r="BS1729" s="73"/>
      <c r="BT1729" s="73"/>
      <c r="BU1729" s="73"/>
      <c r="BV1729" s="73"/>
      <c r="BW1729" s="73"/>
      <c r="BX1729" s="73"/>
      <c r="BY1729" s="73"/>
      <c r="BZ1729" s="73"/>
      <c r="CA1729" s="73"/>
      <c r="CB1729" s="73"/>
      <c r="CC1729" s="73"/>
      <c r="CD1729" s="73"/>
      <c r="CE1729" s="73"/>
      <c r="CF1729" s="73"/>
      <c r="CG1729" s="73"/>
      <c r="CH1729" s="73"/>
    </row>
    <row r="1730">
      <c r="A1730" s="73"/>
      <c r="B1730" s="73"/>
      <c r="C1730" s="73"/>
      <c r="D1730" s="73"/>
      <c r="E1730" s="140"/>
      <c r="F1730" s="80"/>
      <c r="G1730" s="80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  <c r="S1730" s="73"/>
      <c r="T1730" s="73"/>
      <c r="U1730" s="73"/>
      <c r="V1730" s="73"/>
      <c r="W1730" s="73"/>
      <c r="X1730" s="73"/>
      <c r="Y1730" s="73"/>
      <c r="Z1730" s="73"/>
      <c r="AA1730" s="73"/>
      <c r="AB1730" s="73"/>
      <c r="AC1730" s="73"/>
      <c r="AD1730" s="73"/>
      <c r="AE1730" s="73"/>
      <c r="AF1730" s="73"/>
      <c r="AG1730" s="73"/>
      <c r="AH1730" s="73"/>
      <c r="AI1730" s="73"/>
      <c r="AJ1730" s="168"/>
      <c r="AK1730" s="73"/>
      <c r="AL1730" s="73"/>
      <c r="AM1730" s="73"/>
      <c r="AN1730" s="73"/>
      <c r="AO1730" s="73"/>
      <c r="AP1730" s="73"/>
      <c r="AQ1730" s="73"/>
      <c r="AR1730" s="73"/>
      <c r="AS1730" s="73"/>
      <c r="AT1730" s="73"/>
      <c r="AU1730" s="73"/>
      <c r="AV1730" s="73"/>
      <c r="AW1730" s="73"/>
      <c r="AX1730" s="73"/>
      <c r="AY1730" s="73"/>
      <c r="AZ1730" s="73"/>
      <c r="BA1730" s="73"/>
      <c r="BB1730" s="73"/>
      <c r="BC1730" s="73"/>
      <c r="BD1730" s="73"/>
      <c r="BE1730" s="73"/>
      <c r="BF1730" s="75"/>
      <c r="BG1730" s="73"/>
      <c r="BH1730" s="88"/>
      <c r="BI1730" s="73"/>
      <c r="BJ1730" s="73"/>
      <c r="BK1730" s="73"/>
      <c r="BL1730" s="73"/>
      <c r="BM1730" s="73"/>
      <c r="BN1730" s="73"/>
      <c r="BO1730" s="73"/>
      <c r="BP1730" s="73"/>
      <c r="BQ1730" s="73"/>
      <c r="BR1730" s="73"/>
      <c r="BS1730" s="73"/>
      <c r="BT1730" s="73"/>
      <c r="BU1730" s="73"/>
      <c r="BV1730" s="73"/>
      <c r="BW1730" s="73"/>
      <c r="BX1730" s="73"/>
      <c r="BY1730" s="73"/>
      <c r="BZ1730" s="73"/>
      <c r="CA1730" s="73"/>
      <c r="CB1730" s="73"/>
      <c r="CC1730" s="73"/>
      <c r="CD1730" s="73"/>
      <c r="CE1730" s="73"/>
      <c r="CF1730" s="73"/>
      <c r="CG1730" s="73"/>
      <c r="CH1730" s="73"/>
    </row>
    <row r="1731">
      <c r="A1731" s="73"/>
      <c r="B1731" s="73"/>
      <c r="C1731" s="73"/>
      <c r="D1731" s="73"/>
      <c r="E1731" s="140"/>
      <c r="F1731" s="80"/>
      <c r="G1731" s="80"/>
      <c r="H1731" s="73"/>
      <c r="I1731" s="73"/>
      <c r="J1731" s="73"/>
      <c r="K1731" s="73"/>
      <c r="L1731" s="73"/>
      <c r="M1731" s="73"/>
      <c r="N1731" s="73"/>
      <c r="O1731" s="73"/>
      <c r="P1731" s="73"/>
      <c r="Q1731" s="73"/>
      <c r="R1731" s="73"/>
      <c r="S1731" s="73"/>
      <c r="T1731" s="73"/>
      <c r="U1731" s="73"/>
      <c r="V1731" s="73"/>
      <c r="W1731" s="73"/>
      <c r="X1731" s="73"/>
      <c r="Y1731" s="73"/>
      <c r="Z1731" s="73"/>
      <c r="AA1731" s="73"/>
      <c r="AB1731" s="73"/>
      <c r="AC1731" s="73"/>
      <c r="AD1731" s="73"/>
      <c r="AE1731" s="73"/>
      <c r="AF1731" s="73"/>
      <c r="AG1731" s="73"/>
      <c r="AH1731" s="73"/>
      <c r="AI1731" s="73"/>
      <c r="AJ1731" s="168"/>
      <c r="AK1731" s="73"/>
      <c r="AL1731" s="73"/>
      <c r="AM1731" s="73"/>
      <c r="AN1731" s="73"/>
      <c r="AO1731" s="73"/>
      <c r="AP1731" s="73"/>
      <c r="AQ1731" s="73"/>
      <c r="AR1731" s="73"/>
      <c r="AS1731" s="73"/>
      <c r="AT1731" s="73"/>
      <c r="AU1731" s="73"/>
      <c r="AV1731" s="73"/>
      <c r="AW1731" s="73"/>
      <c r="AX1731" s="73"/>
      <c r="AY1731" s="73"/>
      <c r="AZ1731" s="73"/>
      <c r="BA1731" s="73"/>
      <c r="BB1731" s="73"/>
      <c r="BC1731" s="73"/>
      <c r="BD1731" s="73"/>
      <c r="BE1731" s="73"/>
      <c r="BF1731" s="75"/>
      <c r="BG1731" s="73"/>
      <c r="BH1731" s="88"/>
      <c r="BI1731" s="73"/>
      <c r="BJ1731" s="73"/>
      <c r="BK1731" s="73"/>
      <c r="BL1731" s="73"/>
      <c r="BM1731" s="73"/>
      <c r="BN1731" s="73"/>
      <c r="BO1731" s="73"/>
      <c r="BP1731" s="73"/>
      <c r="BQ1731" s="73"/>
      <c r="BR1731" s="73"/>
      <c r="BS1731" s="73"/>
      <c r="BT1731" s="73"/>
      <c r="BU1731" s="73"/>
      <c r="BV1731" s="73"/>
      <c r="BW1731" s="73"/>
      <c r="BX1731" s="73"/>
      <c r="BY1731" s="73"/>
      <c r="BZ1731" s="73"/>
      <c r="CA1731" s="73"/>
      <c r="CB1731" s="73"/>
      <c r="CC1731" s="73"/>
      <c r="CD1731" s="73"/>
      <c r="CE1731" s="73"/>
      <c r="CF1731" s="73"/>
      <c r="CG1731" s="73"/>
      <c r="CH1731" s="73"/>
    </row>
    <row r="1732">
      <c r="A1732" s="73"/>
      <c r="B1732" s="73"/>
      <c r="C1732" s="73"/>
      <c r="D1732" s="73"/>
      <c r="E1732" s="140"/>
      <c r="F1732" s="80"/>
      <c r="G1732" s="80"/>
      <c r="H1732" s="73"/>
      <c r="I1732" s="73"/>
      <c r="J1732" s="73"/>
      <c r="K1732" s="73"/>
      <c r="L1732" s="73"/>
      <c r="M1732" s="73"/>
      <c r="N1732" s="73"/>
      <c r="O1732" s="73"/>
      <c r="P1732" s="73"/>
      <c r="Q1732" s="73"/>
      <c r="R1732" s="73"/>
      <c r="S1732" s="73"/>
      <c r="T1732" s="73"/>
      <c r="U1732" s="73"/>
      <c r="V1732" s="73"/>
      <c r="W1732" s="73"/>
      <c r="X1732" s="73"/>
      <c r="Y1732" s="73"/>
      <c r="Z1732" s="73"/>
      <c r="AA1732" s="73"/>
      <c r="AB1732" s="73"/>
      <c r="AC1732" s="73"/>
      <c r="AD1732" s="73"/>
      <c r="AE1732" s="73"/>
      <c r="AF1732" s="73"/>
      <c r="AG1732" s="73"/>
      <c r="AH1732" s="73"/>
      <c r="AI1732" s="73"/>
      <c r="AJ1732" s="168"/>
      <c r="AK1732" s="73"/>
      <c r="AL1732" s="73"/>
      <c r="AM1732" s="73"/>
      <c r="AN1732" s="73"/>
      <c r="AO1732" s="73"/>
      <c r="AP1732" s="73"/>
      <c r="AQ1732" s="73"/>
      <c r="AR1732" s="73"/>
      <c r="AS1732" s="73"/>
      <c r="AT1732" s="73"/>
      <c r="AU1732" s="73"/>
      <c r="AV1732" s="73"/>
      <c r="AW1732" s="73"/>
      <c r="AX1732" s="73"/>
      <c r="AY1732" s="73"/>
      <c r="AZ1732" s="73"/>
      <c r="BA1732" s="73"/>
      <c r="BB1732" s="73"/>
      <c r="BC1732" s="73"/>
      <c r="BD1732" s="73"/>
      <c r="BE1732" s="73"/>
      <c r="BF1732" s="75"/>
      <c r="BG1732" s="73"/>
      <c r="BH1732" s="88"/>
      <c r="BI1732" s="73"/>
      <c r="BJ1732" s="73"/>
      <c r="BK1732" s="73"/>
      <c r="BL1732" s="73"/>
      <c r="BM1732" s="73"/>
      <c r="BN1732" s="73"/>
      <c r="BO1732" s="73"/>
      <c r="BP1732" s="73"/>
      <c r="BQ1732" s="73"/>
      <c r="BR1732" s="73"/>
      <c r="BS1732" s="73"/>
      <c r="BT1732" s="73"/>
      <c r="BU1732" s="73"/>
      <c r="BV1732" s="73"/>
      <c r="BW1732" s="73"/>
      <c r="BX1732" s="73"/>
      <c r="BY1732" s="73"/>
      <c r="BZ1732" s="73"/>
      <c r="CA1732" s="73"/>
      <c r="CB1732" s="73"/>
      <c r="CC1732" s="73"/>
      <c r="CD1732" s="73"/>
      <c r="CE1732" s="73"/>
      <c r="CF1732" s="73"/>
      <c r="CG1732" s="73"/>
      <c r="CH1732" s="73"/>
    </row>
    <row r="1733">
      <c r="A1733" s="73"/>
      <c r="B1733" s="73"/>
      <c r="C1733" s="73"/>
      <c r="D1733" s="73"/>
      <c r="E1733" s="140"/>
      <c r="F1733" s="80"/>
      <c r="G1733" s="80"/>
      <c r="H1733" s="73"/>
      <c r="I1733" s="73"/>
      <c r="J1733" s="73"/>
      <c r="K1733" s="73"/>
      <c r="L1733" s="73"/>
      <c r="M1733" s="73"/>
      <c r="N1733" s="73"/>
      <c r="O1733" s="73"/>
      <c r="P1733" s="73"/>
      <c r="Q1733" s="73"/>
      <c r="R1733" s="73"/>
      <c r="S1733" s="73"/>
      <c r="T1733" s="73"/>
      <c r="U1733" s="73"/>
      <c r="V1733" s="73"/>
      <c r="W1733" s="73"/>
      <c r="X1733" s="73"/>
      <c r="Y1733" s="73"/>
      <c r="Z1733" s="73"/>
      <c r="AA1733" s="73"/>
      <c r="AB1733" s="73"/>
      <c r="AC1733" s="73"/>
      <c r="AD1733" s="73"/>
      <c r="AE1733" s="73"/>
      <c r="AF1733" s="73"/>
      <c r="AG1733" s="73"/>
      <c r="AH1733" s="73"/>
      <c r="AI1733" s="73"/>
      <c r="AJ1733" s="168"/>
      <c r="AK1733" s="73"/>
      <c r="AL1733" s="73"/>
      <c r="AM1733" s="73"/>
      <c r="AN1733" s="73"/>
      <c r="AO1733" s="73"/>
      <c r="AP1733" s="73"/>
      <c r="AQ1733" s="73"/>
      <c r="AR1733" s="73"/>
      <c r="AS1733" s="73"/>
      <c r="AT1733" s="73"/>
      <c r="AU1733" s="73"/>
      <c r="AV1733" s="73"/>
      <c r="AW1733" s="73"/>
      <c r="AX1733" s="73"/>
      <c r="AY1733" s="73"/>
      <c r="AZ1733" s="73"/>
      <c r="BA1733" s="73"/>
      <c r="BB1733" s="73"/>
      <c r="BC1733" s="73"/>
      <c r="BD1733" s="73"/>
      <c r="BE1733" s="73"/>
      <c r="BF1733" s="75"/>
      <c r="BG1733" s="73"/>
      <c r="BH1733" s="88"/>
      <c r="BI1733" s="73"/>
      <c r="BJ1733" s="73"/>
      <c r="BK1733" s="73"/>
      <c r="BL1733" s="73"/>
      <c r="BM1733" s="73"/>
      <c r="BN1733" s="73"/>
      <c r="BO1733" s="73"/>
      <c r="BP1733" s="73"/>
      <c r="BQ1733" s="73"/>
      <c r="BR1733" s="73"/>
      <c r="BS1733" s="73"/>
      <c r="BT1733" s="73"/>
      <c r="BU1733" s="73"/>
      <c r="BV1733" s="73"/>
      <c r="BW1733" s="73"/>
      <c r="BX1733" s="73"/>
      <c r="BY1733" s="73"/>
      <c r="BZ1733" s="73"/>
      <c r="CA1733" s="73"/>
      <c r="CB1733" s="73"/>
      <c r="CC1733" s="73"/>
      <c r="CD1733" s="73"/>
      <c r="CE1733" s="73"/>
      <c r="CF1733" s="73"/>
      <c r="CG1733" s="73"/>
      <c r="CH1733" s="73"/>
    </row>
    <row r="1734">
      <c r="A1734" s="73"/>
      <c r="B1734" s="73"/>
      <c r="C1734" s="73"/>
      <c r="D1734" s="73"/>
      <c r="E1734" s="140"/>
      <c r="F1734" s="80"/>
      <c r="G1734" s="80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  <c r="S1734" s="73"/>
      <c r="T1734" s="73"/>
      <c r="U1734" s="73"/>
      <c r="V1734" s="73"/>
      <c r="W1734" s="73"/>
      <c r="X1734" s="73"/>
      <c r="Y1734" s="73"/>
      <c r="Z1734" s="73"/>
      <c r="AA1734" s="73"/>
      <c r="AB1734" s="73"/>
      <c r="AC1734" s="73"/>
      <c r="AD1734" s="73"/>
      <c r="AE1734" s="73"/>
      <c r="AF1734" s="73"/>
      <c r="AG1734" s="73"/>
      <c r="AH1734" s="73"/>
      <c r="AI1734" s="73"/>
      <c r="AJ1734" s="168"/>
      <c r="AK1734" s="73"/>
      <c r="AL1734" s="73"/>
      <c r="AM1734" s="73"/>
      <c r="AN1734" s="73"/>
      <c r="AO1734" s="73"/>
      <c r="AP1734" s="73"/>
      <c r="AQ1734" s="73"/>
      <c r="AR1734" s="73"/>
      <c r="AS1734" s="73"/>
      <c r="AT1734" s="73"/>
      <c r="AU1734" s="73"/>
      <c r="AV1734" s="73"/>
      <c r="AW1734" s="73"/>
      <c r="AX1734" s="73"/>
      <c r="AY1734" s="73"/>
      <c r="AZ1734" s="73"/>
      <c r="BA1734" s="73"/>
      <c r="BB1734" s="73"/>
      <c r="BC1734" s="73"/>
      <c r="BD1734" s="73"/>
      <c r="BE1734" s="73"/>
      <c r="BF1734" s="75"/>
      <c r="BG1734" s="73"/>
      <c r="BH1734" s="88"/>
      <c r="BI1734" s="73"/>
      <c r="BJ1734" s="73"/>
      <c r="BK1734" s="73"/>
      <c r="BL1734" s="73"/>
      <c r="BM1734" s="73"/>
      <c r="BN1734" s="73"/>
      <c r="BO1734" s="73"/>
      <c r="BP1734" s="73"/>
      <c r="BQ1734" s="73"/>
      <c r="BR1734" s="73"/>
      <c r="BS1734" s="73"/>
      <c r="BT1734" s="73"/>
      <c r="BU1734" s="73"/>
      <c r="BV1734" s="73"/>
      <c r="BW1734" s="73"/>
      <c r="BX1734" s="73"/>
      <c r="BY1734" s="73"/>
      <c r="BZ1734" s="73"/>
      <c r="CA1734" s="73"/>
      <c r="CB1734" s="73"/>
      <c r="CC1734" s="73"/>
      <c r="CD1734" s="73"/>
      <c r="CE1734" s="73"/>
      <c r="CF1734" s="73"/>
      <c r="CG1734" s="73"/>
      <c r="CH1734" s="73"/>
    </row>
    <row r="1735">
      <c r="A1735" s="73"/>
      <c r="B1735" s="73"/>
      <c r="C1735" s="73"/>
      <c r="D1735" s="73"/>
      <c r="E1735" s="140"/>
      <c r="F1735" s="80"/>
      <c r="G1735" s="80"/>
      <c r="H1735" s="73"/>
      <c r="I1735" s="73"/>
      <c r="J1735" s="73"/>
      <c r="K1735" s="73"/>
      <c r="L1735" s="73"/>
      <c r="M1735" s="73"/>
      <c r="N1735" s="73"/>
      <c r="O1735" s="73"/>
      <c r="P1735" s="73"/>
      <c r="Q1735" s="73"/>
      <c r="R1735" s="73"/>
      <c r="S1735" s="73"/>
      <c r="T1735" s="73"/>
      <c r="U1735" s="73"/>
      <c r="V1735" s="73"/>
      <c r="W1735" s="73"/>
      <c r="X1735" s="73"/>
      <c r="Y1735" s="73"/>
      <c r="Z1735" s="73"/>
      <c r="AA1735" s="73"/>
      <c r="AB1735" s="73"/>
      <c r="AC1735" s="73"/>
      <c r="AD1735" s="73"/>
      <c r="AE1735" s="73"/>
      <c r="AF1735" s="73"/>
      <c r="AG1735" s="73"/>
      <c r="AH1735" s="73"/>
      <c r="AI1735" s="73"/>
      <c r="AJ1735" s="168"/>
      <c r="AK1735" s="73"/>
      <c r="AL1735" s="73"/>
      <c r="AM1735" s="73"/>
      <c r="AN1735" s="73"/>
      <c r="AO1735" s="73"/>
      <c r="AP1735" s="73"/>
      <c r="AQ1735" s="73"/>
      <c r="AR1735" s="73"/>
      <c r="AS1735" s="73"/>
      <c r="AT1735" s="73"/>
      <c r="AU1735" s="73"/>
      <c r="AV1735" s="73"/>
      <c r="AW1735" s="73"/>
      <c r="AX1735" s="73"/>
      <c r="AY1735" s="73"/>
      <c r="AZ1735" s="73"/>
      <c r="BA1735" s="73"/>
      <c r="BB1735" s="73"/>
      <c r="BC1735" s="73"/>
      <c r="BD1735" s="73"/>
      <c r="BE1735" s="73"/>
      <c r="BF1735" s="75"/>
      <c r="BG1735" s="73"/>
      <c r="BH1735" s="88"/>
      <c r="BI1735" s="73"/>
      <c r="BJ1735" s="73"/>
      <c r="BK1735" s="73"/>
      <c r="BL1735" s="73"/>
      <c r="BM1735" s="73"/>
      <c r="BN1735" s="73"/>
      <c r="BO1735" s="73"/>
      <c r="BP1735" s="73"/>
      <c r="BQ1735" s="73"/>
      <c r="BR1735" s="73"/>
      <c r="BS1735" s="73"/>
      <c r="BT1735" s="73"/>
      <c r="BU1735" s="73"/>
      <c r="BV1735" s="73"/>
      <c r="BW1735" s="73"/>
      <c r="BX1735" s="73"/>
      <c r="BY1735" s="73"/>
      <c r="BZ1735" s="73"/>
      <c r="CA1735" s="73"/>
      <c r="CB1735" s="73"/>
      <c r="CC1735" s="73"/>
      <c r="CD1735" s="73"/>
      <c r="CE1735" s="73"/>
      <c r="CF1735" s="73"/>
      <c r="CG1735" s="73"/>
      <c r="CH1735" s="73"/>
    </row>
    <row r="1736">
      <c r="A1736" s="73"/>
      <c r="B1736" s="73"/>
      <c r="C1736" s="73"/>
      <c r="D1736" s="73"/>
      <c r="E1736" s="140"/>
      <c r="F1736" s="80"/>
      <c r="G1736" s="80"/>
      <c r="H1736" s="73"/>
      <c r="I1736" s="73"/>
      <c r="J1736" s="73"/>
      <c r="K1736" s="73"/>
      <c r="L1736" s="73"/>
      <c r="M1736" s="73"/>
      <c r="N1736" s="73"/>
      <c r="O1736" s="73"/>
      <c r="P1736" s="73"/>
      <c r="Q1736" s="73"/>
      <c r="R1736" s="73"/>
      <c r="S1736" s="73"/>
      <c r="T1736" s="73"/>
      <c r="U1736" s="73"/>
      <c r="V1736" s="73"/>
      <c r="W1736" s="73"/>
      <c r="X1736" s="73"/>
      <c r="Y1736" s="73"/>
      <c r="Z1736" s="73"/>
      <c r="AA1736" s="73"/>
      <c r="AB1736" s="73"/>
      <c r="AC1736" s="73"/>
      <c r="AD1736" s="73"/>
      <c r="AE1736" s="73"/>
      <c r="AF1736" s="73"/>
      <c r="AG1736" s="73"/>
      <c r="AH1736" s="73"/>
      <c r="AI1736" s="73"/>
      <c r="AJ1736" s="168"/>
      <c r="AK1736" s="73"/>
      <c r="AL1736" s="73"/>
      <c r="AM1736" s="73"/>
      <c r="AN1736" s="73"/>
      <c r="AO1736" s="73"/>
      <c r="AP1736" s="73"/>
      <c r="AQ1736" s="73"/>
      <c r="AR1736" s="73"/>
      <c r="AS1736" s="73"/>
      <c r="AT1736" s="73"/>
      <c r="AU1736" s="73"/>
      <c r="AV1736" s="73"/>
      <c r="AW1736" s="73"/>
      <c r="AX1736" s="73"/>
      <c r="AY1736" s="73"/>
      <c r="AZ1736" s="73"/>
      <c r="BA1736" s="73"/>
      <c r="BB1736" s="73"/>
      <c r="BC1736" s="73"/>
      <c r="BD1736" s="73"/>
      <c r="BE1736" s="73"/>
      <c r="BF1736" s="75"/>
      <c r="BG1736" s="73"/>
      <c r="BH1736" s="88"/>
      <c r="BI1736" s="73"/>
      <c r="BJ1736" s="73"/>
      <c r="BK1736" s="73"/>
      <c r="BL1736" s="73"/>
      <c r="BM1736" s="73"/>
      <c r="BN1736" s="73"/>
      <c r="BO1736" s="73"/>
      <c r="BP1736" s="73"/>
      <c r="BQ1736" s="73"/>
      <c r="BR1736" s="73"/>
      <c r="BS1736" s="73"/>
      <c r="BT1736" s="73"/>
      <c r="BU1736" s="73"/>
      <c r="BV1736" s="73"/>
      <c r="BW1736" s="73"/>
      <c r="BX1736" s="73"/>
      <c r="BY1736" s="73"/>
      <c r="BZ1736" s="73"/>
      <c r="CA1736" s="73"/>
      <c r="CB1736" s="73"/>
      <c r="CC1736" s="73"/>
      <c r="CD1736" s="73"/>
      <c r="CE1736" s="73"/>
      <c r="CF1736" s="73"/>
      <c r="CG1736" s="73"/>
      <c r="CH1736" s="73"/>
    </row>
    <row r="1737">
      <c r="A1737" s="73"/>
      <c r="B1737" s="73"/>
      <c r="C1737" s="73"/>
      <c r="D1737" s="73"/>
      <c r="E1737" s="140"/>
      <c r="F1737" s="80"/>
      <c r="G1737" s="80"/>
      <c r="H1737" s="73"/>
      <c r="I1737" s="73"/>
      <c r="J1737" s="73"/>
      <c r="K1737" s="73"/>
      <c r="L1737" s="73"/>
      <c r="M1737" s="73"/>
      <c r="N1737" s="73"/>
      <c r="O1737" s="73"/>
      <c r="P1737" s="73"/>
      <c r="Q1737" s="73"/>
      <c r="R1737" s="73"/>
      <c r="S1737" s="73"/>
      <c r="T1737" s="73"/>
      <c r="U1737" s="73"/>
      <c r="V1737" s="73"/>
      <c r="W1737" s="73"/>
      <c r="X1737" s="73"/>
      <c r="Y1737" s="73"/>
      <c r="Z1737" s="73"/>
      <c r="AA1737" s="73"/>
      <c r="AB1737" s="73"/>
      <c r="AC1737" s="73"/>
      <c r="AD1737" s="73"/>
      <c r="AE1737" s="73"/>
      <c r="AF1737" s="73"/>
      <c r="AG1737" s="73"/>
      <c r="AH1737" s="73"/>
      <c r="AI1737" s="73"/>
      <c r="AJ1737" s="168"/>
      <c r="AK1737" s="73"/>
      <c r="AL1737" s="73"/>
      <c r="AM1737" s="73"/>
      <c r="AN1737" s="73"/>
      <c r="AO1737" s="73"/>
      <c r="AP1737" s="73"/>
      <c r="AQ1737" s="73"/>
      <c r="AR1737" s="73"/>
      <c r="AS1737" s="73"/>
      <c r="AT1737" s="73"/>
      <c r="AU1737" s="73"/>
      <c r="AV1737" s="73"/>
      <c r="AW1737" s="73"/>
      <c r="AX1737" s="73"/>
      <c r="AY1737" s="73"/>
      <c r="AZ1737" s="73"/>
      <c r="BA1737" s="73"/>
      <c r="BB1737" s="73"/>
      <c r="BC1737" s="73"/>
      <c r="BD1737" s="73"/>
      <c r="BE1737" s="73"/>
      <c r="BF1737" s="75"/>
      <c r="BG1737" s="73"/>
      <c r="BH1737" s="88"/>
      <c r="BI1737" s="73"/>
      <c r="BJ1737" s="73"/>
      <c r="BK1737" s="73"/>
      <c r="BL1737" s="73"/>
      <c r="BM1737" s="73"/>
      <c r="BN1737" s="73"/>
      <c r="BO1737" s="73"/>
      <c r="BP1737" s="73"/>
      <c r="BQ1737" s="73"/>
      <c r="BR1737" s="73"/>
      <c r="BS1737" s="73"/>
      <c r="BT1737" s="73"/>
      <c r="BU1737" s="73"/>
      <c r="BV1737" s="73"/>
      <c r="BW1737" s="73"/>
      <c r="BX1737" s="73"/>
      <c r="BY1737" s="73"/>
      <c r="BZ1737" s="73"/>
      <c r="CA1737" s="73"/>
      <c r="CB1737" s="73"/>
      <c r="CC1737" s="73"/>
      <c r="CD1737" s="73"/>
      <c r="CE1737" s="73"/>
      <c r="CF1737" s="73"/>
      <c r="CG1737" s="73"/>
      <c r="CH1737" s="73"/>
    </row>
    <row r="1738">
      <c r="A1738" s="73"/>
      <c r="B1738" s="73"/>
      <c r="C1738" s="73"/>
      <c r="D1738" s="73"/>
      <c r="E1738" s="140"/>
      <c r="F1738" s="80"/>
      <c r="G1738" s="80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  <c r="S1738" s="73"/>
      <c r="T1738" s="73"/>
      <c r="U1738" s="73"/>
      <c r="V1738" s="73"/>
      <c r="W1738" s="73"/>
      <c r="X1738" s="73"/>
      <c r="Y1738" s="73"/>
      <c r="Z1738" s="73"/>
      <c r="AA1738" s="73"/>
      <c r="AB1738" s="73"/>
      <c r="AC1738" s="73"/>
      <c r="AD1738" s="73"/>
      <c r="AE1738" s="73"/>
      <c r="AF1738" s="73"/>
      <c r="AG1738" s="73"/>
      <c r="AH1738" s="73"/>
      <c r="AI1738" s="73"/>
      <c r="AJ1738" s="168"/>
      <c r="AK1738" s="73"/>
      <c r="AL1738" s="73"/>
      <c r="AM1738" s="73"/>
      <c r="AN1738" s="73"/>
      <c r="AO1738" s="73"/>
      <c r="AP1738" s="73"/>
      <c r="AQ1738" s="73"/>
      <c r="AR1738" s="73"/>
      <c r="AS1738" s="73"/>
      <c r="AT1738" s="73"/>
      <c r="AU1738" s="73"/>
      <c r="AV1738" s="73"/>
      <c r="AW1738" s="73"/>
      <c r="AX1738" s="73"/>
      <c r="AY1738" s="73"/>
      <c r="AZ1738" s="73"/>
      <c r="BA1738" s="73"/>
      <c r="BB1738" s="73"/>
      <c r="BC1738" s="73"/>
      <c r="BD1738" s="73"/>
      <c r="BE1738" s="73"/>
      <c r="BF1738" s="75"/>
      <c r="BG1738" s="73"/>
      <c r="BH1738" s="88"/>
      <c r="BI1738" s="73"/>
      <c r="BJ1738" s="73"/>
      <c r="BK1738" s="73"/>
      <c r="BL1738" s="73"/>
      <c r="BM1738" s="73"/>
      <c r="BN1738" s="73"/>
      <c r="BO1738" s="73"/>
      <c r="BP1738" s="73"/>
      <c r="BQ1738" s="73"/>
      <c r="BR1738" s="73"/>
      <c r="BS1738" s="73"/>
      <c r="BT1738" s="73"/>
      <c r="BU1738" s="73"/>
      <c r="BV1738" s="73"/>
      <c r="BW1738" s="73"/>
      <c r="BX1738" s="73"/>
      <c r="BY1738" s="73"/>
      <c r="BZ1738" s="73"/>
      <c r="CA1738" s="73"/>
      <c r="CB1738" s="73"/>
      <c r="CC1738" s="73"/>
      <c r="CD1738" s="73"/>
      <c r="CE1738" s="73"/>
      <c r="CF1738" s="73"/>
      <c r="CG1738" s="73"/>
      <c r="CH1738" s="73"/>
    </row>
    <row r="1739">
      <c r="A1739" s="73"/>
      <c r="B1739" s="73"/>
      <c r="C1739" s="73"/>
      <c r="D1739" s="73"/>
      <c r="E1739" s="140"/>
      <c r="F1739" s="80"/>
      <c r="G1739" s="80"/>
      <c r="H1739" s="73"/>
      <c r="I1739" s="73"/>
      <c r="J1739" s="73"/>
      <c r="K1739" s="73"/>
      <c r="L1739" s="73"/>
      <c r="M1739" s="73"/>
      <c r="N1739" s="73"/>
      <c r="O1739" s="73"/>
      <c r="P1739" s="73"/>
      <c r="Q1739" s="73"/>
      <c r="R1739" s="73"/>
      <c r="S1739" s="73"/>
      <c r="T1739" s="73"/>
      <c r="U1739" s="73"/>
      <c r="V1739" s="73"/>
      <c r="W1739" s="73"/>
      <c r="X1739" s="73"/>
      <c r="Y1739" s="73"/>
      <c r="Z1739" s="73"/>
      <c r="AA1739" s="73"/>
      <c r="AB1739" s="73"/>
      <c r="AC1739" s="73"/>
      <c r="AD1739" s="73"/>
      <c r="AE1739" s="73"/>
      <c r="AF1739" s="73"/>
      <c r="AG1739" s="73"/>
      <c r="AH1739" s="73"/>
      <c r="AI1739" s="73"/>
      <c r="AJ1739" s="168"/>
      <c r="AK1739" s="73"/>
      <c r="AL1739" s="73"/>
      <c r="AM1739" s="73"/>
      <c r="AN1739" s="73"/>
      <c r="AO1739" s="73"/>
      <c r="AP1739" s="73"/>
      <c r="AQ1739" s="73"/>
      <c r="AR1739" s="73"/>
      <c r="AS1739" s="73"/>
      <c r="AT1739" s="73"/>
      <c r="AU1739" s="73"/>
      <c r="AV1739" s="73"/>
      <c r="AW1739" s="73"/>
      <c r="AX1739" s="73"/>
      <c r="AY1739" s="73"/>
      <c r="AZ1739" s="73"/>
      <c r="BA1739" s="73"/>
      <c r="BB1739" s="73"/>
      <c r="BC1739" s="73"/>
      <c r="BD1739" s="73"/>
      <c r="BE1739" s="73"/>
      <c r="BF1739" s="75"/>
      <c r="BG1739" s="73"/>
      <c r="BH1739" s="88"/>
      <c r="BI1739" s="73"/>
      <c r="BJ1739" s="73"/>
      <c r="BK1739" s="73"/>
      <c r="BL1739" s="73"/>
      <c r="BM1739" s="73"/>
      <c r="BN1739" s="73"/>
      <c r="BO1739" s="73"/>
      <c r="BP1739" s="73"/>
      <c r="BQ1739" s="73"/>
      <c r="BR1739" s="73"/>
      <c r="BS1739" s="73"/>
      <c r="BT1739" s="73"/>
      <c r="BU1739" s="73"/>
      <c r="BV1739" s="73"/>
      <c r="BW1739" s="73"/>
      <c r="BX1739" s="73"/>
      <c r="BY1739" s="73"/>
      <c r="BZ1739" s="73"/>
      <c r="CA1739" s="73"/>
      <c r="CB1739" s="73"/>
      <c r="CC1739" s="73"/>
      <c r="CD1739" s="73"/>
      <c r="CE1739" s="73"/>
      <c r="CF1739" s="73"/>
      <c r="CG1739" s="73"/>
      <c r="CH1739" s="73"/>
    </row>
    <row r="1740">
      <c r="A1740" s="73"/>
      <c r="B1740" s="73"/>
      <c r="C1740" s="73"/>
      <c r="D1740" s="73"/>
      <c r="E1740" s="140"/>
      <c r="F1740" s="80"/>
      <c r="G1740" s="80"/>
      <c r="H1740" s="73"/>
      <c r="I1740" s="73"/>
      <c r="J1740" s="73"/>
      <c r="K1740" s="73"/>
      <c r="L1740" s="73"/>
      <c r="M1740" s="73"/>
      <c r="N1740" s="73"/>
      <c r="O1740" s="73"/>
      <c r="P1740" s="73"/>
      <c r="Q1740" s="73"/>
      <c r="R1740" s="73"/>
      <c r="S1740" s="73"/>
      <c r="T1740" s="73"/>
      <c r="U1740" s="73"/>
      <c r="V1740" s="73"/>
      <c r="W1740" s="73"/>
      <c r="X1740" s="73"/>
      <c r="Y1740" s="73"/>
      <c r="Z1740" s="73"/>
      <c r="AA1740" s="73"/>
      <c r="AB1740" s="73"/>
      <c r="AC1740" s="73"/>
      <c r="AD1740" s="73"/>
      <c r="AE1740" s="73"/>
      <c r="AF1740" s="73"/>
      <c r="AG1740" s="73"/>
      <c r="AH1740" s="73"/>
      <c r="AI1740" s="73"/>
      <c r="AJ1740" s="168"/>
      <c r="AK1740" s="73"/>
      <c r="AL1740" s="73"/>
      <c r="AM1740" s="73"/>
      <c r="AN1740" s="73"/>
      <c r="AO1740" s="73"/>
      <c r="AP1740" s="73"/>
      <c r="AQ1740" s="73"/>
      <c r="AR1740" s="73"/>
      <c r="AS1740" s="73"/>
      <c r="AT1740" s="73"/>
      <c r="AU1740" s="73"/>
      <c r="AV1740" s="73"/>
      <c r="AW1740" s="73"/>
      <c r="AX1740" s="73"/>
      <c r="AY1740" s="73"/>
      <c r="AZ1740" s="73"/>
      <c r="BA1740" s="73"/>
      <c r="BB1740" s="73"/>
      <c r="BC1740" s="73"/>
      <c r="BD1740" s="73"/>
      <c r="BE1740" s="73"/>
      <c r="BF1740" s="75"/>
      <c r="BG1740" s="73"/>
      <c r="BH1740" s="88"/>
      <c r="BI1740" s="73"/>
      <c r="BJ1740" s="73"/>
      <c r="BK1740" s="73"/>
      <c r="BL1740" s="73"/>
      <c r="BM1740" s="73"/>
      <c r="BN1740" s="73"/>
      <c r="BO1740" s="73"/>
      <c r="BP1740" s="73"/>
      <c r="BQ1740" s="73"/>
      <c r="BR1740" s="73"/>
      <c r="BS1740" s="73"/>
      <c r="BT1740" s="73"/>
      <c r="BU1740" s="73"/>
      <c r="BV1740" s="73"/>
      <c r="BW1740" s="73"/>
      <c r="BX1740" s="73"/>
      <c r="BY1740" s="73"/>
      <c r="BZ1740" s="73"/>
      <c r="CA1740" s="73"/>
      <c r="CB1740" s="73"/>
      <c r="CC1740" s="73"/>
      <c r="CD1740" s="73"/>
      <c r="CE1740" s="73"/>
      <c r="CF1740" s="73"/>
      <c r="CG1740" s="73"/>
      <c r="CH1740" s="73"/>
    </row>
    <row r="1741">
      <c r="A1741" s="73"/>
      <c r="B1741" s="73"/>
      <c r="C1741" s="73"/>
      <c r="D1741" s="73"/>
      <c r="E1741" s="140"/>
      <c r="F1741" s="80"/>
      <c r="G1741" s="80"/>
      <c r="H1741" s="73"/>
      <c r="I1741" s="73"/>
      <c r="J1741" s="73"/>
      <c r="K1741" s="73"/>
      <c r="L1741" s="73"/>
      <c r="M1741" s="73"/>
      <c r="N1741" s="73"/>
      <c r="O1741" s="73"/>
      <c r="P1741" s="73"/>
      <c r="Q1741" s="73"/>
      <c r="R1741" s="73"/>
      <c r="S1741" s="73"/>
      <c r="T1741" s="73"/>
      <c r="U1741" s="73"/>
      <c r="V1741" s="73"/>
      <c r="W1741" s="73"/>
      <c r="X1741" s="73"/>
      <c r="Y1741" s="73"/>
      <c r="Z1741" s="73"/>
      <c r="AA1741" s="73"/>
      <c r="AB1741" s="73"/>
      <c r="AC1741" s="73"/>
      <c r="AD1741" s="73"/>
      <c r="AE1741" s="73"/>
      <c r="AF1741" s="73"/>
      <c r="AG1741" s="73"/>
      <c r="AH1741" s="73"/>
      <c r="AI1741" s="73"/>
      <c r="AJ1741" s="168"/>
      <c r="AK1741" s="73"/>
      <c r="AL1741" s="73"/>
      <c r="AM1741" s="73"/>
      <c r="AN1741" s="73"/>
      <c r="AO1741" s="73"/>
      <c r="AP1741" s="73"/>
      <c r="AQ1741" s="73"/>
      <c r="AR1741" s="73"/>
      <c r="AS1741" s="73"/>
      <c r="AT1741" s="73"/>
      <c r="AU1741" s="73"/>
      <c r="AV1741" s="73"/>
      <c r="AW1741" s="73"/>
      <c r="AX1741" s="73"/>
      <c r="AY1741" s="73"/>
      <c r="AZ1741" s="73"/>
      <c r="BA1741" s="73"/>
      <c r="BB1741" s="73"/>
      <c r="BC1741" s="73"/>
      <c r="BD1741" s="73"/>
      <c r="BE1741" s="73"/>
      <c r="BF1741" s="75"/>
      <c r="BG1741" s="73"/>
      <c r="BH1741" s="88"/>
      <c r="BI1741" s="73"/>
      <c r="BJ1741" s="73"/>
      <c r="BK1741" s="73"/>
      <c r="BL1741" s="73"/>
      <c r="BM1741" s="73"/>
      <c r="BN1741" s="73"/>
      <c r="BO1741" s="73"/>
      <c r="BP1741" s="73"/>
      <c r="BQ1741" s="73"/>
      <c r="BR1741" s="73"/>
      <c r="BS1741" s="73"/>
      <c r="BT1741" s="73"/>
      <c r="BU1741" s="73"/>
      <c r="BV1741" s="73"/>
      <c r="BW1741" s="73"/>
      <c r="BX1741" s="73"/>
      <c r="BY1741" s="73"/>
      <c r="BZ1741" s="73"/>
      <c r="CA1741" s="73"/>
      <c r="CB1741" s="73"/>
      <c r="CC1741" s="73"/>
      <c r="CD1741" s="73"/>
      <c r="CE1741" s="73"/>
      <c r="CF1741" s="73"/>
      <c r="CG1741" s="73"/>
      <c r="CH1741" s="73"/>
    </row>
    <row r="1742">
      <c r="A1742" s="73"/>
      <c r="B1742" s="73"/>
      <c r="C1742" s="73"/>
      <c r="D1742" s="73"/>
      <c r="E1742" s="140"/>
      <c r="F1742" s="80"/>
      <c r="G1742" s="80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  <c r="S1742" s="73"/>
      <c r="T1742" s="73"/>
      <c r="U1742" s="73"/>
      <c r="V1742" s="73"/>
      <c r="W1742" s="73"/>
      <c r="X1742" s="73"/>
      <c r="Y1742" s="73"/>
      <c r="Z1742" s="73"/>
      <c r="AA1742" s="73"/>
      <c r="AB1742" s="73"/>
      <c r="AC1742" s="73"/>
      <c r="AD1742" s="73"/>
      <c r="AE1742" s="73"/>
      <c r="AF1742" s="73"/>
      <c r="AG1742" s="73"/>
      <c r="AH1742" s="73"/>
      <c r="AI1742" s="73"/>
      <c r="AJ1742" s="168"/>
      <c r="AK1742" s="73"/>
      <c r="AL1742" s="73"/>
      <c r="AM1742" s="73"/>
      <c r="AN1742" s="73"/>
      <c r="AO1742" s="73"/>
      <c r="AP1742" s="73"/>
      <c r="AQ1742" s="73"/>
      <c r="AR1742" s="73"/>
      <c r="AS1742" s="73"/>
      <c r="AT1742" s="73"/>
      <c r="AU1742" s="73"/>
      <c r="AV1742" s="73"/>
      <c r="AW1742" s="73"/>
      <c r="AX1742" s="73"/>
      <c r="AY1742" s="73"/>
      <c r="AZ1742" s="73"/>
      <c r="BA1742" s="73"/>
      <c r="BB1742" s="73"/>
      <c r="BC1742" s="73"/>
      <c r="BD1742" s="73"/>
      <c r="BE1742" s="73"/>
      <c r="BF1742" s="75"/>
      <c r="BG1742" s="73"/>
      <c r="BH1742" s="88"/>
      <c r="BI1742" s="73"/>
      <c r="BJ1742" s="73"/>
      <c r="BK1742" s="73"/>
      <c r="BL1742" s="73"/>
      <c r="BM1742" s="73"/>
      <c r="BN1742" s="73"/>
      <c r="BO1742" s="73"/>
      <c r="BP1742" s="73"/>
      <c r="BQ1742" s="73"/>
      <c r="BR1742" s="73"/>
      <c r="BS1742" s="73"/>
      <c r="BT1742" s="73"/>
      <c r="BU1742" s="73"/>
      <c r="BV1742" s="73"/>
      <c r="BW1742" s="73"/>
      <c r="BX1742" s="73"/>
      <c r="BY1742" s="73"/>
      <c r="BZ1742" s="73"/>
      <c r="CA1742" s="73"/>
      <c r="CB1742" s="73"/>
      <c r="CC1742" s="73"/>
      <c r="CD1742" s="73"/>
      <c r="CE1742" s="73"/>
      <c r="CF1742" s="73"/>
      <c r="CG1742" s="73"/>
      <c r="CH1742" s="73"/>
    </row>
    <row r="1743">
      <c r="A1743" s="73"/>
      <c r="B1743" s="73"/>
      <c r="C1743" s="73"/>
      <c r="D1743" s="73"/>
      <c r="E1743" s="140"/>
      <c r="F1743" s="80"/>
      <c r="G1743" s="80"/>
      <c r="H1743" s="73"/>
      <c r="I1743" s="73"/>
      <c r="J1743" s="73"/>
      <c r="K1743" s="73"/>
      <c r="L1743" s="73"/>
      <c r="M1743" s="73"/>
      <c r="N1743" s="73"/>
      <c r="O1743" s="73"/>
      <c r="P1743" s="73"/>
      <c r="Q1743" s="73"/>
      <c r="R1743" s="73"/>
      <c r="S1743" s="73"/>
      <c r="T1743" s="73"/>
      <c r="U1743" s="73"/>
      <c r="V1743" s="73"/>
      <c r="W1743" s="73"/>
      <c r="X1743" s="73"/>
      <c r="Y1743" s="73"/>
      <c r="Z1743" s="73"/>
      <c r="AA1743" s="73"/>
      <c r="AB1743" s="73"/>
      <c r="AC1743" s="73"/>
      <c r="AD1743" s="73"/>
      <c r="AE1743" s="73"/>
      <c r="AF1743" s="73"/>
      <c r="AG1743" s="73"/>
      <c r="AH1743" s="73"/>
      <c r="AI1743" s="73"/>
      <c r="AJ1743" s="168"/>
      <c r="AK1743" s="73"/>
      <c r="AL1743" s="73"/>
      <c r="AM1743" s="73"/>
      <c r="AN1743" s="73"/>
      <c r="AO1743" s="73"/>
      <c r="AP1743" s="73"/>
      <c r="AQ1743" s="73"/>
      <c r="AR1743" s="73"/>
      <c r="AS1743" s="73"/>
      <c r="AT1743" s="73"/>
      <c r="AU1743" s="73"/>
      <c r="AV1743" s="73"/>
      <c r="AW1743" s="73"/>
      <c r="AX1743" s="73"/>
      <c r="AY1743" s="73"/>
      <c r="AZ1743" s="73"/>
      <c r="BA1743" s="73"/>
      <c r="BB1743" s="73"/>
      <c r="BC1743" s="73"/>
      <c r="BD1743" s="73"/>
      <c r="BE1743" s="73"/>
      <c r="BF1743" s="75"/>
      <c r="BG1743" s="73"/>
      <c r="BH1743" s="88"/>
      <c r="BI1743" s="73"/>
      <c r="BJ1743" s="73"/>
      <c r="BK1743" s="73"/>
      <c r="BL1743" s="73"/>
      <c r="BM1743" s="73"/>
      <c r="BN1743" s="73"/>
      <c r="BO1743" s="73"/>
      <c r="BP1743" s="73"/>
      <c r="BQ1743" s="73"/>
      <c r="BR1743" s="73"/>
      <c r="BS1743" s="73"/>
      <c r="BT1743" s="73"/>
      <c r="BU1743" s="73"/>
      <c r="BV1743" s="73"/>
      <c r="BW1743" s="73"/>
      <c r="BX1743" s="73"/>
      <c r="BY1743" s="73"/>
      <c r="BZ1743" s="73"/>
      <c r="CA1743" s="73"/>
      <c r="CB1743" s="73"/>
      <c r="CC1743" s="73"/>
      <c r="CD1743" s="73"/>
      <c r="CE1743" s="73"/>
      <c r="CF1743" s="73"/>
      <c r="CG1743" s="73"/>
      <c r="CH1743" s="73"/>
    </row>
    <row r="1744">
      <c r="A1744" s="73"/>
      <c r="B1744" s="73"/>
      <c r="C1744" s="73"/>
      <c r="D1744" s="73"/>
      <c r="E1744" s="140"/>
      <c r="F1744" s="80"/>
      <c r="G1744" s="80"/>
      <c r="H1744" s="73"/>
      <c r="I1744" s="73"/>
      <c r="J1744" s="73"/>
      <c r="K1744" s="73"/>
      <c r="L1744" s="73"/>
      <c r="M1744" s="73"/>
      <c r="N1744" s="73"/>
      <c r="O1744" s="73"/>
      <c r="P1744" s="73"/>
      <c r="Q1744" s="73"/>
      <c r="R1744" s="73"/>
      <c r="S1744" s="73"/>
      <c r="T1744" s="73"/>
      <c r="U1744" s="73"/>
      <c r="V1744" s="73"/>
      <c r="W1744" s="73"/>
      <c r="X1744" s="73"/>
      <c r="Y1744" s="73"/>
      <c r="Z1744" s="73"/>
      <c r="AA1744" s="73"/>
      <c r="AB1744" s="73"/>
      <c r="AC1744" s="73"/>
      <c r="AD1744" s="73"/>
      <c r="AE1744" s="73"/>
      <c r="AF1744" s="73"/>
      <c r="AG1744" s="73"/>
      <c r="AH1744" s="73"/>
      <c r="AI1744" s="73"/>
      <c r="AJ1744" s="168"/>
      <c r="AK1744" s="73"/>
      <c r="AL1744" s="73"/>
      <c r="AM1744" s="73"/>
      <c r="AN1744" s="73"/>
      <c r="AO1744" s="73"/>
      <c r="AP1744" s="73"/>
      <c r="AQ1744" s="73"/>
      <c r="AR1744" s="73"/>
      <c r="AS1744" s="73"/>
      <c r="AT1744" s="73"/>
      <c r="AU1744" s="73"/>
      <c r="AV1744" s="73"/>
      <c r="AW1744" s="73"/>
      <c r="AX1744" s="73"/>
      <c r="AY1744" s="73"/>
      <c r="AZ1744" s="73"/>
      <c r="BA1744" s="73"/>
      <c r="BB1744" s="73"/>
      <c r="BC1744" s="73"/>
      <c r="BD1744" s="73"/>
      <c r="BE1744" s="73"/>
      <c r="BF1744" s="75"/>
      <c r="BG1744" s="73"/>
      <c r="BH1744" s="88"/>
      <c r="BI1744" s="73"/>
      <c r="BJ1744" s="73"/>
      <c r="BK1744" s="73"/>
      <c r="BL1744" s="73"/>
      <c r="BM1744" s="73"/>
      <c r="BN1744" s="73"/>
      <c r="BO1744" s="73"/>
      <c r="BP1744" s="73"/>
      <c r="BQ1744" s="73"/>
      <c r="BR1744" s="73"/>
      <c r="BS1744" s="73"/>
      <c r="BT1744" s="73"/>
      <c r="BU1744" s="73"/>
      <c r="BV1744" s="73"/>
      <c r="BW1744" s="73"/>
      <c r="BX1744" s="73"/>
      <c r="BY1744" s="73"/>
      <c r="BZ1744" s="73"/>
      <c r="CA1744" s="73"/>
      <c r="CB1744" s="73"/>
      <c r="CC1744" s="73"/>
      <c r="CD1744" s="73"/>
      <c r="CE1744" s="73"/>
      <c r="CF1744" s="73"/>
      <c r="CG1744" s="73"/>
      <c r="CH1744" s="73"/>
    </row>
    <row r="1745">
      <c r="A1745" s="73"/>
      <c r="B1745" s="73"/>
      <c r="C1745" s="73"/>
      <c r="D1745" s="73"/>
      <c r="E1745" s="140"/>
      <c r="F1745" s="80"/>
      <c r="G1745" s="80"/>
      <c r="H1745" s="73"/>
      <c r="I1745" s="73"/>
      <c r="J1745" s="73"/>
      <c r="K1745" s="73"/>
      <c r="L1745" s="73"/>
      <c r="M1745" s="73"/>
      <c r="N1745" s="73"/>
      <c r="O1745" s="73"/>
      <c r="P1745" s="73"/>
      <c r="Q1745" s="73"/>
      <c r="R1745" s="73"/>
      <c r="S1745" s="73"/>
      <c r="T1745" s="73"/>
      <c r="U1745" s="73"/>
      <c r="V1745" s="73"/>
      <c r="W1745" s="73"/>
      <c r="X1745" s="73"/>
      <c r="Y1745" s="73"/>
      <c r="Z1745" s="73"/>
      <c r="AA1745" s="73"/>
      <c r="AB1745" s="73"/>
      <c r="AC1745" s="73"/>
      <c r="AD1745" s="73"/>
      <c r="AE1745" s="73"/>
      <c r="AF1745" s="73"/>
      <c r="AG1745" s="73"/>
      <c r="AH1745" s="73"/>
      <c r="AI1745" s="73"/>
      <c r="AJ1745" s="168"/>
      <c r="AK1745" s="73"/>
      <c r="AL1745" s="73"/>
      <c r="AM1745" s="73"/>
      <c r="AN1745" s="73"/>
      <c r="AO1745" s="73"/>
      <c r="AP1745" s="73"/>
      <c r="AQ1745" s="73"/>
      <c r="AR1745" s="73"/>
      <c r="AS1745" s="73"/>
      <c r="AT1745" s="73"/>
      <c r="AU1745" s="73"/>
      <c r="AV1745" s="73"/>
      <c r="AW1745" s="73"/>
      <c r="AX1745" s="73"/>
      <c r="AY1745" s="73"/>
      <c r="AZ1745" s="73"/>
      <c r="BA1745" s="73"/>
      <c r="BB1745" s="73"/>
      <c r="BC1745" s="73"/>
      <c r="BD1745" s="73"/>
      <c r="BE1745" s="73"/>
      <c r="BF1745" s="75"/>
      <c r="BG1745" s="73"/>
      <c r="BH1745" s="88"/>
      <c r="BI1745" s="73"/>
      <c r="BJ1745" s="73"/>
      <c r="BK1745" s="73"/>
      <c r="BL1745" s="73"/>
      <c r="BM1745" s="73"/>
      <c r="BN1745" s="73"/>
      <c r="BO1745" s="73"/>
      <c r="BP1745" s="73"/>
      <c r="BQ1745" s="73"/>
      <c r="BR1745" s="73"/>
      <c r="BS1745" s="73"/>
      <c r="BT1745" s="73"/>
      <c r="BU1745" s="73"/>
      <c r="BV1745" s="73"/>
      <c r="BW1745" s="73"/>
      <c r="BX1745" s="73"/>
      <c r="BY1745" s="73"/>
      <c r="BZ1745" s="73"/>
      <c r="CA1745" s="73"/>
      <c r="CB1745" s="73"/>
      <c r="CC1745" s="73"/>
      <c r="CD1745" s="73"/>
      <c r="CE1745" s="73"/>
      <c r="CF1745" s="73"/>
      <c r="CG1745" s="73"/>
      <c r="CH1745" s="73"/>
    </row>
    <row r="1746">
      <c r="A1746" s="73"/>
      <c r="B1746" s="73"/>
      <c r="C1746" s="73"/>
      <c r="D1746" s="73"/>
      <c r="E1746" s="140"/>
      <c r="F1746" s="80"/>
      <c r="G1746" s="80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  <c r="S1746" s="73"/>
      <c r="T1746" s="73"/>
      <c r="U1746" s="73"/>
      <c r="V1746" s="73"/>
      <c r="W1746" s="73"/>
      <c r="X1746" s="73"/>
      <c r="Y1746" s="73"/>
      <c r="Z1746" s="73"/>
      <c r="AA1746" s="73"/>
      <c r="AB1746" s="73"/>
      <c r="AC1746" s="73"/>
      <c r="AD1746" s="73"/>
      <c r="AE1746" s="73"/>
      <c r="AF1746" s="73"/>
      <c r="AG1746" s="73"/>
      <c r="AH1746" s="73"/>
      <c r="AI1746" s="73"/>
      <c r="AJ1746" s="168"/>
      <c r="AK1746" s="73"/>
      <c r="AL1746" s="73"/>
      <c r="AM1746" s="73"/>
      <c r="AN1746" s="73"/>
      <c r="AO1746" s="73"/>
      <c r="AP1746" s="73"/>
      <c r="AQ1746" s="73"/>
      <c r="AR1746" s="73"/>
      <c r="AS1746" s="73"/>
      <c r="AT1746" s="73"/>
      <c r="AU1746" s="73"/>
      <c r="AV1746" s="73"/>
      <c r="AW1746" s="73"/>
      <c r="AX1746" s="73"/>
      <c r="AY1746" s="73"/>
      <c r="AZ1746" s="73"/>
      <c r="BA1746" s="73"/>
      <c r="BB1746" s="73"/>
      <c r="BC1746" s="73"/>
      <c r="BD1746" s="73"/>
      <c r="BE1746" s="73"/>
      <c r="BF1746" s="75"/>
      <c r="BG1746" s="73"/>
      <c r="BH1746" s="88"/>
      <c r="BI1746" s="73"/>
      <c r="BJ1746" s="73"/>
      <c r="BK1746" s="73"/>
      <c r="BL1746" s="73"/>
      <c r="BM1746" s="73"/>
      <c r="BN1746" s="73"/>
      <c r="BO1746" s="73"/>
      <c r="BP1746" s="73"/>
      <c r="BQ1746" s="73"/>
      <c r="BR1746" s="73"/>
      <c r="BS1746" s="73"/>
      <c r="BT1746" s="73"/>
      <c r="BU1746" s="73"/>
      <c r="BV1746" s="73"/>
      <c r="BW1746" s="73"/>
      <c r="BX1746" s="73"/>
      <c r="BY1746" s="73"/>
      <c r="BZ1746" s="73"/>
      <c r="CA1746" s="73"/>
      <c r="CB1746" s="73"/>
      <c r="CC1746" s="73"/>
      <c r="CD1746" s="73"/>
      <c r="CE1746" s="73"/>
      <c r="CF1746" s="73"/>
      <c r="CG1746" s="73"/>
      <c r="CH1746" s="73"/>
    </row>
    <row r="1747">
      <c r="A1747" s="73"/>
      <c r="B1747" s="73"/>
      <c r="C1747" s="73"/>
      <c r="D1747" s="73"/>
      <c r="E1747" s="140"/>
      <c r="F1747" s="80"/>
      <c r="G1747" s="80"/>
      <c r="H1747" s="73"/>
      <c r="I1747" s="73"/>
      <c r="J1747" s="73"/>
      <c r="K1747" s="73"/>
      <c r="L1747" s="73"/>
      <c r="M1747" s="73"/>
      <c r="N1747" s="73"/>
      <c r="O1747" s="73"/>
      <c r="P1747" s="73"/>
      <c r="Q1747" s="73"/>
      <c r="R1747" s="73"/>
      <c r="S1747" s="73"/>
      <c r="T1747" s="73"/>
      <c r="U1747" s="73"/>
      <c r="V1747" s="73"/>
      <c r="W1747" s="73"/>
      <c r="X1747" s="73"/>
      <c r="Y1747" s="73"/>
      <c r="Z1747" s="73"/>
      <c r="AA1747" s="73"/>
      <c r="AB1747" s="73"/>
      <c r="AC1747" s="73"/>
      <c r="AD1747" s="73"/>
      <c r="AE1747" s="73"/>
      <c r="AF1747" s="73"/>
      <c r="AG1747" s="73"/>
      <c r="AH1747" s="73"/>
      <c r="AI1747" s="73"/>
      <c r="AJ1747" s="168"/>
      <c r="AK1747" s="73"/>
      <c r="AL1747" s="73"/>
      <c r="AM1747" s="73"/>
      <c r="AN1747" s="73"/>
      <c r="AO1747" s="73"/>
      <c r="AP1747" s="73"/>
      <c r="AQ1747" s="73"/>
      <c r="AR1747" s="73"/>
      <c r="AS1747" s="73"/>
      <c r="AT1747" s="73"/>
      <c r="AU1747" s="73"/>
      <c r="AV1747" s="73"/>
      <c r="AW1747" s="73"/>
      <c r="AX1747" s="73"/>
      <c r="AY1747" s="73"/>
      <c r="AZ1747" s="73"/>
      <c r="BA1747" s="73"/>
      <c r="BB1747" s="73"/>
      <c r="BC1747" s="73"/>
      <c r="BD1747" s="73"/>
      <c r="BE1747" s="73"/>
      <c r="BF1747" s="75"/>
      <c r="BG1747" s="73"/>
      <c r="BH1747" s="88"/>
      <c r="BI1747" s="73"/>
      <c r="BJ1747" s="73"/>
      <c r="BK1747" s="73"/>
      <c r="BL1747" s="73"/>
      <c r="BM1747" s="73"/>
      <c r="BN1747" s="73"/>
      <c r="BO1747" s="73"/>
      <c r="BP1747" s="73"/>
      <c r="BQ1747" s="73"/>
      <c r="BR1747" s="73"/>
      <c r="BS1747" s="73"/>
      <c r="BT1747" s="73"/>
      <c r="BU1747" s="73"/>
      <c r="BV1747" s="73"/>
      <c r="BW1747" s="73"/>
      <c r="BX1747" s="73"/>
      <c r="BY1747" s="73"/>
      <c r="BZ1747" s="73"/>
      <c r="CA1747" s="73"/>
      <c r="CB1747" s="73"/>
      <c r="CC1747" s="73"/>
      <c r="CD1747" s="73"/>
      <c r="CE1747" s="73"/>
      <c r="CF1747" s="73"/>
      <c r="CG1747" s="73"/>
      <c r="CH1747" s="73"/>
    </row>
    <row r="1748">
      <c r="A1748" s="73"/>
      <c r="B1748" s="73"/>
      <c r="C1748" s="73"/>
      <c r="D1748" s="73"/>
      <c r="E1748" s="140"/>
      <c r="F1748" s="80"/>
      <c r="G1748" s="80"/>
      <c r="H1748" s="73"/>
      <c r="I1748" s="73"/>
      <c r="J1748" s="73"/>
      <c r="K1748" s="73"/>
      <c r="L1748" s="73"/>
      <c r="M1748" s="73"/>
      <c r="N1748" s="73"/>
      <c r="O1748" s="73"/>
      <c r="P1748" s="73"/>
      <c r="Q1748" s="73"/>
      <c r="R1748" s="73"/>
      <c r="S1748" s="73"/>
      <c r="T1748" s="73"/>
      <c r="U1748" s="73"/>
      <c r="V1748" s="73"/>
      <c r="W1748" s="73"/>
      <c r="X1748" s="73"/>
      <c r="Y1748" s="73"/>
      <c r="Z1748" s="73"/>
      <c r="AA1748" s="73"/>
      <c r="AB1748" s="73"/>
      <c r="AC1748" s="73"/>
      <c r="AD1748" s="73"/>
      <c r="AE1748" s="73"/>
      <c r="AF1748" s="73"/>
      <c r="AG1748" s="73"/>
      <c r="AH1748" s="73"/>
      <c r="AI1748" s="73"/>
      <c r="AJ1748" s="168"/>
      <c r="AK1748" s="73"/>
      <c r="AL1748" s="73"/>
      <c r="AM1748" s="73"/>
      <c r="AN1748" s="73"/>
      <c r="AO1748" s="73"/>
      <c r="AP1748" s="73"/>
      <c r="AQ1748" s="73"/>
      <c r="AR1748" s="73"/>
      <c r="AS1748" s="73"/>
      <c r="AT1748" s="73"/>
      <c r="AU1748" s="73"/>
      <c r="AV1748" s="73"/>
      <c r="AW1748" s="73"/>
      <c r="AX1748" s="73"/>
      <c r="AY1748" s="73"/>
      <c r="AZ1748" s="73"/>
      <c r="BA1748" s="73"/>
      <c r="BB1748" s="73"/>
      <c r="BC1748" s="73"/>
      <c r="BD1748" s="73"/>
      <c r="BE1748" s="73"/>
      <c r="BF1748" s="75"/>
      <c r="BG1748" s="73"/>
      <c r="BH1748" s="88"/>
      <c r="BI1748" s="73"/>
      <c r="BJ1748" s="73"/>
      <c r="BK1748" s="73"/>
      <c r="BL1748" s="73"/>
      <c r="BM1748" s="73"/>
      <c r="BN1748" s="73"/>
      <c r="BO1748" s="73"/>
      <c r="BP1748" s="73"/>
      <c r="BQ1748" s="73"/>
      <c r="BR1748" s="73"/>
      <c r="BS1748" s="73"/>
      <c r="BT1748" s="73"/>
      <c r="BU1748" s="73"/>
      <c r="BV1748" s="73"/>
      <c r="BW1748" s="73"/>
      <c r="BX1748" s="73"/>
      <c r="BY1748" s="73"/>
      <c r="BZ1748" s="73"/>
      <c r="CA1748" s="73"/>
      <c r="CB1748" s="73"/>
      <c r="CC1748" s="73"/>
      <c r="CD1748" s="73"/>
      <c r="CE1748" s="73"/>
      <c r="CF1748" s="73"/>
      <c r="CG1748" s="73"/>
      <c r="CH1748" s="73"/>
    </row>
    <row r="1749">
      <c r="A1749" s="73"/>
      <c r="B1749" s="73"/>
      <c r="C1749" s="73"/>
      <c r="D1749" s="73"/>
      <c r="E1749" s="140"/>
      <c r="F1749" s="80"/>
      <c r="G1749" s="80"/>
      <c r="H1749" s="73"/>
      <c r="I1749" s="73"/>
      <c r="J1749" s="73"/>
      <c r="K1749" s="73"/>
      <c r="L1749" s="73"/>
      <c r="M1749" s="73"/>
      <c r="N1749" s="73"/>
      <c r="O1749" s="73"/>
      <c r="P1749" s="73"/>
      <c r="Q1749" s="73"/>
      <c r="R1749" s="73"/>
      <c r="S1749" s="73"/>
      <c r="T1749" s="73"/>
      <c r="U1749" s="73"/>
      <c r="V1749" s="73"/>
      <c r="W1749" s="73"/>
      <c r="X1749" s="73"/>
      <c r="Y1749" s="73"/>
      <c r="Z1749" s="73"/>
      <c r="AA1749" s="73"/>
      <c r="AB1749" s="73"/>
      <c r="AC1749" s="73"/>
      <c r="AD1749" s="73"/>
      <c r="AE1749" s="73"/>
      <c r="AF1749" s="73"/>
      <c r="AG1749" s="73"/>
      <c r="AH1749" s="73"/>
      <c r="AI1749" s="73"/>
      <c r="AJ1749" s="168"/>
      <c r="AK1749" s="73"/>
      <c r="AL1749" s="73"/>
      <c r="AM1749" s="73"/>
      <c r="AN1749" s="73"/>
      <c r="AO1749" s="73"/>
      <c r="AP1749" s="73"/>
      <c r="AQ1749" s="73"/>
      <c r="AR1749" s="73"/>
      <c r="AS1749" s="73"/>
      <c r="AT1749" s="73"/>
      <c r="AU1749" s="73"/>
      <c r="AV1749" s="73"/>
      <c r="AW1749" s="73"/>
      <c r="AX1749" s="73"/>
      <c r="AY1749" s="73"/>
      <c r="AZ1749" s="73"/>
      <c r="BA1749" s="73"/>
      <c r="BB1749" s="73"/>
      <c r="BC1749" s="73"/>
      <c r="BD1749" s="73"/>
      <c r="BE1749" s="73"/>
      <c r="BF1749" s="75"/>
      <c r="BG1749" s="73"/>
      <c r="BH1749" s="88"/>
      <c r="BI1749" s="73"/>
      <c r="BJ1749" s="73"/>
      <c r="BK1749" s="73"/>
      <c r="BL1749" s="73"/>
      <c r="BM1749" s="73"/>
      <c r="BN1749" s="73"/>
      <c r="BO1749" s="73"/>
      <c r="BP1749" s="73"/>
      <c r="BQ1749" s="73"/>
      <c r="BR1749" s="73"/>
      <c r="BS1749" s="73"/>
      <c r="BT1749" s="73"/>
      <c r="BU1749" s="73"/>
      <c r="BV1749" s="73"/>
      <c r="BW1749" s="73"/>
      <c r="BX1749" s="73"/>
      <c r="BY1749" s="73"/>
      <c r="BZ1749" s="73"/>
      <c r="CA1749" s="73"/>
      <c r="CB1749" s="73"/>
      <c r="CC1749" s="73"/>
      <c r="CD1749" s="73"/>
      <c r="CE1749" s="73"/>
      <c r="CF1749" s="73"/>
      <c r="CG1749" s="73"/>
      <c r="CH1749" s="73"/>
    </row>
    <row r="1750">
      <c r="A1750" s="73"/>
      <c r="B1750" s="73"/>
      <c r="C1750" s="73"/>
      <c r="D1750" s="73"/>
      <c r="E1750" s="140"/>
      <c r="F1750" s="80"/>
      <c r="G1750" s="80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  <c r="S1750" s="73"/>
      <c r="T1750" s="73"/>
      <c r="U1750" s="73"/>
      <c r="V1750" s="73"/>
      <c r="W1750" s="73"/>
      <c r="X1750" s="73"/>
      <c r="Y1750" s="73"/>
      <c r="Z1750" s="73"/>
      <c r="AA1750" s="73"/>
      <c r="AB1750" s="73"/>
      <c r="AC1750" s="73"/>
      <c r="AD1750" s="73"/>
      <c r="AE1750" s="73"/>
      <c r="AF1750" s="73"/>
      <c r="AG1750" s="73"/>
      <c r="AH1750" s="73"/>
      <c r="AI1750" s="73"/>
      <c r="AJ1750" s="168"/>
      <c r="AK1750" s="73"/>
      <c r="AL1750" s="73"/>
      <c r="AM1750" s="73"/>
      <c r="AN1750" s="73"/>
      <c r="AO1750" s="73"/>
      <c r="AP1750" s="73"/>
      <c r="AQ1750" s="73"/>
      <c r="AR1750" s="73"/>
      <c r="AS1750" s="73"/>
      <c r="AT1750" s="73"/>
      <c r="AU1750" s="73"/>
      <c r="AV1750" s="73"/>
      <c r="AW1750" s="73"/>
      <c r="AX1750" s="73"/>
      <c r="AY1750" s="73"/>
      <c r="AZ1750" s="73"/>
      <c r="BA1750" s="73"/>
      <c r="BB1750" s="73"/>
      <c r="BC1750" s="73"/>
      <c r="BD1750" s="73"/>
      <c r="BE1750" s="73"/>
      <c r="BF1750" s="75"/>
      <c r="BG1750" s="73"/>
      <c r="BH1750" s="88"/>
      <c r="BI1750" s="73"/>
      <c r="BJ1750" s="73"/>
      <c r="BK1750" s="73"/>
      <c r="BL1750" s="73"/>
      <c r="BM1750" s="73"/>
      <c r="BN1750" s="73"/>
      <c r="BO1750" s="73"/>
      <c r="BP1750" s="73"/>
      <c r="BQ1750" s="73"/>
      <c r="BR1750" s="73"/>
      <c r="BS1750" s="73"/>
      <c r="BT1750" s="73"/>
      <c r="BU1750" s="73"/>
      <c r="BV1750" s="73"/>
      <c r="BW1750" s="73"/>
      <c r="BX1750" s="73"/>
      <c r="BY1750" s="73"/>
      <c r="BZ1750" s="73"/>
      <c r="CA1750" s="73"/>
      <c r="CB1750" s="73"/>
      <c r="CC1750" s="73"/>
      <c r="CD1750" s="73"/>
      <c r="CE1750" s="73"/>
      <c r="CF1750" s="73"/>
      <c r="CG1750" s="73"/>
      <c r="CH1750" s="73"/>
    </row>
    <row r="1751">
      <c r="A1751" s="73"/>
      <c r="B1751" s="73"/>
      <c r="C1751" s="73"/>
      <c r="D1751" s="73"/>
      <c r="E1751" s="140"/>
      <c r="F1751" s="80"/>
      <c r="G1751" s="80"/>
      <c r="H1751" s="73"/>
      <c r="I1751" s="73"/>
      <c r="J1751" s="73"/>
      <c r="K1751" s="73"/>
      <c r="L1751" s="73"/>
      <c r="M1751" s="73"/>
      <c r="N1751" s="73"/>
      <c r="O1751" s="73"/>
      <c r="P1751" s="73"/>
      <c r="Q1751" s="73"/>
      <c r="R1751" s="73"/>
      <c r="S1751" s="73"/>
      <c r="T1751" s="73"/>
      <c r="U1751" s="73"/>
      <c r="V1751" s="73"/>
      <c r="W1751" s="73"/>
      <c r="X1751" s="73"/>
      <c r="Y1751" s="73"/>
      <c r="Z1751" s="73"/>
      <c r="AA1751" s="73"/>
      <c r="AB1751" s="73"/>
      <c r="AC1751" s="73"/>
      <c r="AD1751" s="73"/>
      <c r="AE1751" s="73"/>
      <c r="AF1751" s="73"/>
      <c r="AG1751" s="73"/>
      <c r="AH1751" s="73"/>
      <c r="AI1751" s="73"/>
      <c r="AJ1751" s="168"/>
      <c r="AK1751" s="73"/>
      <c r="AL1751" s="73"/>
      <c r="AM1751" s="73"/>
      <c r="AN1751" s="73"/>
      <c r="AO1751" s="73"/>
      <c r="AP1751" s="73"/>
      <c r="AQ1751" s="73"/>
      <c r="AR1751" s="73"/>
      <c r="AS1751" s="73"/>
      <c r="AT1751" s="73"/>
      <c r="AU1751" s="73"/>
      <c r="AV1751" s="73"/>
      <c r="AW1751" s="73"/>
      <c r="AX1751" s="73"/>
      <c r="AY1751" s="73"/>
      <c r="AZ1751" s="73"/>
      <c r="BA1751" s="73"/>
      <c r="BB1751" s="73"/>
      <c r="BC1751" s="73"/>
      <c r="BD1751" s="73"/>
      <c r="BE1751" s="73"/>
      <c r="BF1751" s="75"/>
      <c r="BG1751" s="73"/>
      <c r="BH1751" s="88"/>
      <c r="BI1751" s="73"/>
      <c r="BJ1751" s="73"/>
      <c r="BK1751" s="73"/>
      <c r="BL1751" s="73"/>
      <c r="BM1751" s="73"/>
      <c r="BN1751" s="73"/>
      <c r="BO1751" s="73"/>
      <c r="BP1751" s="73"/>
      <c r="BQ1751" s="73"/>
      <c r="BR1751" s="73"/>
      <c r="BS1751" s="73"/>
      <c r="BT1751" s="73"/>
      <c r="BU1751" s="73"/>
      <c r="BV1751" s="73"/>
      <c r="BW1751" s="73"/>
      <c r="BX1751" s="73"/>
      <c r="BY1751" s="73"/>
      <c r="BZ1751" s="73"/>
      <c r="CA1751" s="73"/>
      <c r="CB1751" s="73"/>
      <c r="CC1751" s="73"/>
      <c r="CD1751" s="73"/>
      <c r="CE1751" s="73"/>
      <c r="CF1751" s="73"/>
      <c r="CG1751" s="73"/>
      <c r="CH1751" s="73"/>
    </row>
    <row r="1752">
      <c r="A1752" s="73"/>
      <c r="B1752" s="73"/>
      <c r="C1752" s="73"/>
      <c r="D1752" s="73"/>
      <c r="E1752" s="140"/>
      <c r="F1752" s="80"/>
      <c r="G1752" s="80"/>
      <c r="H1752" s="73"/>
      <c r="I1752" s="73"/>
      <c r="J1752" s="73"/>
      <c r="K1752" s="73"/>
      <c r="L1752" s="73"/>
      <c r="M1752" s="73"/>
      <c r="N1752" s="73"/>
      <c r="O1752" s="73"/>
      <c r="P1752" s="73"/>
      <c r="Q1752" s="73"/>
      <c r="R1752" s="73"/>
      <c r="S1752" s="73"/>
      <c r="T1752" s="73"/>
      <c r="U1752" s="73"/>
      <c r="V1752" s="73"/>
      <c r="W1752" s="73"/>
      <c r="X1752" s="73"/>
      <c r="Y1752" s="73"/>
      <c r="Z1752" s="73"/>
      <c r="AA1752" s="73"/>
      <c r="AB1752" s="73"/>
      <c r="AC1752" s="73"/>
      <c r="AD1752" s="73"/>
      <c r="AE1752" s="73"/>
      <c r="AF1752" s="73"/>
      <c r="AG1752" s="73"/>
      <c r="AH1752" s="73"/>
      <c r="AI1752" s="73"/>
      <c r="AJ1752" s="168"/>
      <c r="AK1752" s="73"/>
      <c r="AL1752" s="73"/>
      <c r="AM1752" s="73"/>
      <c r="AN1752" s="73"/>
      <c r="AO1752" s="73"/>
      <c r="AP1752" s="73"/>
      <c r="AQ1752" s="73"/>
      <c r="AR1752" s="73"/>
      <c r="AS1752" s="73"/>
      <c r="AT1752" s="73"/>
      <c r="AU1752" s="73"/>
      <c r="AV1752" s="73"/>
      <c r="AW1752" s="73"/>
      <c r="AX1752" s="73"/>
      <c r="AY1752" s="73"/>
      <c r="AZ1752" s="73"/>
      <c r="BA1752" s="73"/>
      <c r="BB1752" s="73"/>
      <c r="BC1752" s="73"/>
      <c r="BD1752" s="73"/>
      <c r="BE1752" s="73"/>
      <c r="BF1752" s="75"/>
      <c r="BG1752" s="73"/>
      <c r="BH1752" s="88"/>
      <c r="BI1752" s="73"/>
      <c r="BJ1752" s="73"/>
      <c r="BK1752" s="73"/>
      <c r="BL1752" s="73"/>
      <c r="BM1752" s="73"/>
      <c r="BN1752" s="73"/>
      <c r="BO1752" s="73"/>
      <c r="BP1752" s="73"/>
      <c r="BQ1752" s="73"/>
      <c r="BR1752" s="73"/>
      <c r="BS1752" s="73"/>
      <c r="BT1752" s="73"/>
      <c r="BU1752" s="73"/>
      <c r="BV1752" s="73"/>
      <c r="BW1752" s="73"/>
      <c r="BX1752" s="73"/>
      <c r="BY1752" s="73"/>
      <c r="BZ1752" s="73"/>
      <c r="CA1752" s="73"/>
      <c r="CB1752" s="73"/>
      <c r="CC1752" s="73"/>
      <c r="CD1752" s="73"/>
      <c r="CE1752" s="73"/>
      <c r="CF1752" s="73"/>
      <c r="CG1752" s="73"/>
      <c r="CH1752" s="73"/>
    </row>
    <row r="1753">
      <c r="A1753" s="73"/>
      <c r="B1753" s="73"/>
      <c r="C1753" s="73"/>
      <c r="D1753" s="73"/>
      <c r="E1753" s="140"/>
      <c r="F1753" s="80"/>
      <c r="G1753" s="80"/>
      <c r="H1753" s="73"/>
      <c r="I1753" s="73"/>
      <c r="J1753" s="73"/>
      <c r="K1753" s="73"/>
      <c r="L1753" s="73"/>
      <c r="M1753" s="73"/>
      <c r="N1753" s="73"/>
      <c r="O1753" s="73"/>
      <c r="P1753" s="73"/>
      <c r="Q1753" s="73"/>
      <c r="R1753" s="73"/>
      <c r="S1753" s="73"/>
      <c r="T1753" s="73"/>
      <c r="U1753" s="73"/>
      <c r="V1753" s="73"/>
      <c r="W1753" s="73"/>
      <c r="X1753" s="73"/>
      <c r="Y1753" s="73"/>
      <c r="Z1753" s="73"/>
      <c r="AA1753" s="73"/>
      <c r="AB1753" s="73"/>
      <c r="AC1753" s="73"/>
      <c r="AD1753" s="73"/>
      <c r="AE1753" s="73"/>
      <c r="AF1753" s="73"/>
      <c r="AG1753" s="73"/>
      <c r="AH1753" s="73"/>
      <c r="AI1753" s="73"/>
      <c r="AJ1753" s="168"/>
      <c r="AK1753" s="73"/>
      <c r="AL1753" s="73"/>
      <c r="AM1753" s="73"/>
      <c r="AN1753" s="73"/>
      <c r="AO1753" s="73"/>
      <c r="AP1753" s="73"/>
      <c r="AQ1753" s="73"/>
      <c r="AR1753" s="73"/>
      <c r="AS1753" s="73"/>
      <c r="AT1753" s="73"/>
      <c r="AU1753" s="73"/>
      <c r="AV1753" s="73"/>
      <c r="AW1753" s="73"/>
      <c r="AX1753" s="73"/>
      <c r="AY1753" s="73"/>
      <c r="AZ1753" s="73"/>
      <c r="BA1753" s="73"/>
      <c r="BB1753" s="73"/>
      <c r="BC1753" s="73"/>
      <c r="BD1753" s="73"/>
      <c r="BE1753" s="73"/>
      <c r="BF1753" s="75"/>
      <c r="BG1753" s="73"/>
      <c r="BH1753" s="88"/>
      <c r="BI1753" s="73"/>
      <c r="BJ1753" s="73"/>
      <c r="BK1753" s="73"/>
      <c r="BL1753" s="73"/>
      <c r="BM1753" s="73"/>
      <c r="BN1753" s="73"/>
      <c r="BO1753" s="73"/>
      <c r="BP1753" s="73"/>
      <c r="BQ1753" s="73"/>
      <c r="BR1753" s="73"/>
      <c r="BS1753" s="73"/>
      <c r="BT1753" s="73"/>
      <c r="BU1753" s="73"/>
      <c r="BV1753" s="73"/>
      <c r="BW1753" s="73"/>
      <c r="BX1753" s="73"/>
      <c r="BY1753" s="73"/>
      <c r="BZ1753" s="73"/>
      <c r="CA1753" s="73"/>
      <c r="CB1753" s="73"/>
      <c r="CC1753" s="73"/>
      <c r="CD1753" s="73"/>
      <c r="CE1753" s="73"/>
      <c r="CF1753" s="73"/>
      <c r="CG1753" s="73"/>
      <c r="CH1753" s="73"/>
    </row>
    <row r="1754">
      <c r="A1754" s="73"/>
      <c r="B1754" s="73"/>
      <c r="C1754" s="73"/>
      <c r="D1754" s="73"/>
      <c r="E1754" s="140"/>
      <c r="F1754" s="80"/>
      <c r="G1754" s="80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  <c r="S1754" s="73"/>
      <c r="T1754" s="73"/>
      <c r="U1754" s="73"/>
      <c r="V1754" s="73"/>
      <c r="W1754" s="73"/>
      <c r="X1754" s="73"/>
      <c r="Y1754" s="73"/>
      <c r="Z1754" s="73"/>
      <c r="AA1754" s="73"/>
      <c r="AB1754" s="73"/>
      <c r="AC1754" s="73"/>
      <c r="AD1754" s="73"/>
      <c r="AE1754" s="73"/>
      <c r="AF1754" s="73"/>
      <c r="AG1754" s="73"/>
      <c r="AH1754" s="73"/>
      <c r="AI1754" s="73"/>
      <c r="AJ1754" s="168"/>
      <c r="AK1754" s="73"/>
      <c r="AL1754" s="73"/>
      <c r="AM1754" s="73"/>
      <c r="AN1754" s="73"/>
      <c r="AO1754" s="73"/>
      <c r="AP1754" s="73"/>
      <c r="AQ1754" s="73"/>
      <c r="AR1754" s="73"/>
      <c r="AS1754" s="73"/>
      <c r="AT1754" s="73"/>
      <c r="AU1754" s="73"/>
      <c r="AV1754" s="73"/>
      <c r="AW1754" s="73"/>
      <c r="AX1754" s="73"/>
      <c r="AY1754" s="73"/>
      <c r="AZ1754" s="73"/>
      <c r="BA1754" s="73"/>
      <c r="BB1754" s="73"/>
      <c r="BC1754" s="73"/>
      <c r="BD1754" s="73"/>
      <c r="BE1754" s="73"/>
      <c r="BF1754" s="75"/>
      <c r="BG1754" s="73"/>
      <c r="BH1754" s="88"/>
      <c r="BI1754" s="73"/>
      <c r="BJ1754" s="73"/>
      <c r="BK1754" s="73"/>
      <c r="BL1754" s="73"/>
      <c r="BM1754" s="73"/>
      <c r="BN1754" s="73"/>
      <c r="BO1754" s="73"/>
      <c r="BP1754" s="73"/>
      <c r="BQ1754" s="73"/>
      <c r="BR1754" s="73"/>
      <c r="BS1754" s="73"/>
      <c r="BT1754" s="73"/>
      <c r="BU1754" s="73"/>
      <c r="BV1754" s="73"/>
      <c r="BW1754" s="73"/>
      <c r="BX1754" s="73"/>
      <c r="BY1754" s="73"/>
      <c r="BZ1754" s="73"/>
      <c r="CA1754" s="73"/>
      <c r="CB1754" s="73"/>
      <c r="CC1754" s="73"/>
      <c r="CD1754" s="73"/>
      <c r="CE1754" s="73"/>
      <c r="CF1754" s="73"/>
      <c r="CG1754" s="73"/>
      <c r="CH1754" s="73"/>
    </row>
    <row r="1755">
      <c r="A1755" s="73"/>
      <c r="B1755" s="73"/>
      <c r="C1755" s="73"/>
      <c r="D1755" s="73"/>
      <c r="E1755" s="140"/>
      <c r="F1755" s="80"/>
      <c r="G1755" s="80"/>
      <c r="H1755" s="73"/>
      <c r="I1755" s="73"/>
      <c r="J1755" s="73"/>
      <c r="K1755" s="73"/>
      <c r="L1755" s="73"/>
      <c r="M1755" s="73"/>
      <c r="N1755" s="73"/>
      <c r="O1755" s="73"/>
      <c r="P1755" s="73"/>
      <c r="Q1755" s="73"/>
      <c r="R1755" s="73"/>
      <c r="S1755" s="73"/>
      <c r="T1755" s="73"/>
      <c r="U1755" s="73"/>
      <c r="V1755" s="73"/>
      <c r="W1755" s="73"/>
      <c r="X1755" s="73"/>
      <c r="Y1755" s="73"/>
      <c r="Z1755" s="73"/>
      <c r="AA1755" s="73"/>
      <c r="AB1755" s="73"/>
      <c r="AC1755" s="73"/>
      <c r="AD1755" s="73"/>
      <c r="AE1755" s="73"/>
      <c r="AF1755" s="73"/>
      <c r="AG1755" s="73"/>
      <c r="AH1755" s="73"/>
      <c r="AI1755" s="73"/>
      <c r="AJ1755" s="168"/>
      <c r="AK1755" s="73"/>
      <c r="AL1755" s="73"/>
      <c r="AM1755" s="73"/>
      <c r="AN1755" s="73"/>
      <c r="AO1755" s="73"/>
      <c r="AP1755" s="73"/>
      <c r="AQ1755" s="73"/>
      <c r="AR1755" s="73"/>
      <c r="AS1755" s="73"/>
      <c r="AT1755" s="73"/>
      <c r="AU1755" s="73"/>
      <c r="AV1755" s="73"/>
      <c r="AW1755" s="73"/>
      <c r="AX1755" s="73"/>
      <c r="AY1755" s="73"/>
      <c r="AZ1755" s="73"/>
      <c r="BA1755" s="73"/>
      <c r="BB1755" s="73"/>
      <c r="BC1755" s="73"/>
      <c r="BD1755" s="73"/>
      <c r="BE1755" s="73"/>
      <c r="BF1755" s="75"/>
      <c r="BG1755" s="73"/>
      <c r="BH1755" s="88"/>
      <c r="BI1755" s="73"/>
      <c r="BJ1755" s="73"/>
      <c r="BK1755" s="73"/>
      <c r="BL1755" s="73"/>
      <c r="BM1755" s="73"/>
      <c r="BN1755" s="73"/>
      <c r="BO1755" s="73"/>
      <c r="BP1755" s="73"/>
      <c r="BQ1755" s="73"/>
      <c r="BR1755" s="73"/>
      <c r="BS1755" s="73"/>
      <c r="BT1755" s="73"/>
      <c r="BU1755" s="73"/>
      <c r="BV1755" s="73"/>
      <c r="BW1755" s="73"/>
      <c r="BX1755" s="73"/>
      <c r="BY1755" s="73"/>
      <c r="BZ1755" s="73"/>
      <c r="CA1755" s="73"/>
      <c r="CB1755" s="73"/>
      <c r="CC1755" s="73"/>
      <c r="CD1755" s="73"/>
      <c r="CE1755" s="73"/>
      <c r="CF1755" s="73"/>
      <c r="CG1755" s="73"/>
      <c r="CH1755" s="73"/>
    </row>
    <row r="1756">
      <c r="A1756" s="73"/>
      <c r="B1756" s="73"/>
      <c r="C1756" s="73"/>
      <c r="D1756" s="73"/>
      <c r="E1756" s="140"/>
      <c r="F1756" s="80"/>
      <c r="G1756" s="80"/>
      <c r="H1756" s="73"/>
      <c r="I1756" s="73"/>
      <c r="J1756" s="73"/>
      <c r="K1756" s="73"/>
      <c r="L1756" s="73"/>
      <c r="M1756" s="73"/>
      <c r="N1756" s="73"/>
      <c r="O1756" s="73"/>
      <c r="P1756" s="73"/>
      <c r="Q1756" s="73"/>
      <c r="R1756" s="73"/>
      <c r="S1756" s="73"/>
      <c r="T1756" s="73"/>
      <c r="U1756" s="73"/>
      <c r="V1756" s="73"/>
      <c r="W1756" s="73"/>
      <c r="X1756" s="73"/>
      <c r="Y1756" s="73"/>
      <c r="Z1756" s="73"/>
      <c r="AA1756" s="73"/>
      <c r="AB1756" s="73"/>
      <c r="AC1756" s="73"/>
      <c r="AD1756" s="73"/>
      <c r="AE1756" s="73"/>
      <c r="AF1756" s="73"/>
      <c r="AG1756" s="73"/>
      <c r="AH1756" s="73"/>
      <c r="AI1756" s="73"/>
      <c r="AJ1756" s="168"/>
      <c r="AK1756" s="73"/>
      <c r="AL1756" s="73"/>
      <c r="AM1756" s="73"/>
      <c r="AN1756" s="73"/>
      <c r="AO1756" s="73"/>
      <c r="AP1756" s="73"/>
      <c r="AQ1756" s="73"/>
      <c r="AR1756" s="73"/>
      <c r="AS1756" s="73"/>
      <c r="AT1756" s="73"/>
      <c r="AU1756" s="73"/>
      <c r="AV1756" s="73"/>
      <c r="AW1756" s="73"/>
      <c r="AX1756" s="73"/>
      <c r="AY1756" s="73"/>
      <c r="AZ1756" s="73"/>
      <c r="BA1756" s="73"/>
      <c r="BB1756" s="73"/>
      <c r="BC1756" s="73"/>
      <c r="BD1756" s="73"/>
      <c r="BE1756" s="73"/>
      <c r="BF1756" s="75"/>
      <c r="BG1756" s="73"/>
      <c r="BH1756" s="88"/>
      <c r="BI1756" s="73"/>
      <c r="BJ1756" s="73"/>
      <c r="BK1756" s="73"/>
      <c r="BL1756" s="73"/>
      <c r="BM1756" s="73"/>
      <c r="BN1756" s="73"/>
      <c r="BO1756" s="73"/>
      <c r="BP1756" s="73"/>
      <c r="BQ1756" s="73"/>
      <c r="BR1756" s="73"/>
      <c r="BS1756" s="73"/>
      <c r="BT1756" s="73"/>
      <c r="BU1756" s="73"/>
      <c r="BV1756" s="73"/>
      <c r="BW1756" s="73"/>
      <c r="BX1756" s="73"/>
      <c r="BY1756" s="73"/>
      <c r="BZ1756" s="73"/>
      <c r="CA1756" s="73"/>
      <c r="CB1756" s="73"/>
      <c r="CC1756" s="73"/>
      <c r="CD1756" s="73"/>
      <c r="CE1756" s="73"/>
      <c r="CF1756" s="73"/>
      <c r="CG1756" s="73"/>
      <c r="CH1756" s="73"/>
    </row>
    <row r="1757">
      <c r="A1757" s="73"/>
      <c r="B1757" s="73"/>
      <c r="C1757" s="73"/>
      <c r="D1757" s="73"/>
      <c r="E1757" s="140"/>
      <c r="F1757" s="80"/>
      <c r="G1757" s="80"/>
      <c r="H1757" s="73"/>
      <c r="I1757" s="73"/>
      <c r="J1757" s="73"/>
      <c r="K1757" s="73"/>
      <c r="L1757" s="73"/>
      <c r="M1757" s="73"/>
      <c r="N1757" s="73"/>
      <c r="O1757" s="73"/>
      <c r="P1757" s="73"/>
      <c r="Q1757" s="73"/>
      <c r="R1757" s="73"/>
      <c r="S1757" s="73"/>
      <c r="T1757" s="73"/>
      <c r="U1757" s="73"/>
      <c r="V1757" s="73"/>
      <c r="W1757" s="73"/>
      <c r="X1757" s="73"/>
      <c r="Y1757" s="73"/>
      <c r="Z1757" s="73"/>
      <c r="AA1757" s="73"/>
      <c r="AB1757" s="73"/>
      <c r="AC1757" s="73"/>
      <c r="AD1757" s="73"/>
      <c r="AE1757" s="73"/>
      <c r="AF1757" s="73"/>
      <c r="AG1757" s="73"/>
      <c r="AH1757" s="73"/>
      <c r="AI1757" s="73"/>
      <c r="AJ1757" s="168"/>
      <c r="AK1757" s="73"/>
      <c r="AL1757" s="73"/>
      <c r="AM1757" s="73"/>
      <c r="AN1757" s="73"/>
      <c r="AO1757" s="73"/>
      <c r="AP1757" s="73"/>
      <c r="AQ1757" s="73"/>
      <c r="AR1757" s="73"/>
      <c r="AS1757" s="73"/>
      <c r="AT1757" s="73"/>
      <c r="AU1757" s="73"/>
      <c r="AV1757" s="73"/>
      <c r="AW1757" s="73"/>
      <c r="AX1757" s="73"/>
      <c r="AY1757" s="73"/>
      <c r="AZ1757" s="73"/>
      <c r="BA1757" s="73"/>
      <c r="BB1757" s="73"/>
      <c r="BC1757" s="73"/>
      <c r="BD1757" s="73"/>
      <c r="BE1757" s="73"/>
      <c r="BF1757" s="75"/>
      <c r="BG1757" s="73"/>
      <c r="BH1757" s="88"/>
      <c r="BI1757" s="73"/>
      <c r="BJ1757" s="73"/>
      <c r="BK1757" s="73"/>
      <c r="BL1757" s="73"/>
      <c r="BM1757" s="73"/>
      <c r="BN1757" s="73"/>
      <c r="BO1757" s="73"/>
      <c r="BP1757" s="73"/>
      <c r="BQ1757" s="73"/>
      <c r="BR1757" s="73"/>
      <c r="BS1757" s="73"/>
      <c r="BT1757" s="73"/>
      <c r="BU1757" s="73"/>
      <c r="BV1757" s="73"/>
      <c r="BW1757" s="73"/>
      <c r="BX1757" s="73"/>
      <c r="BY1757" s="73"/>
      <c r="BZ1757" s="73"/>
      <c r="CA1757" s="73"/>
      <c r="CB1757" s="73"/>
      <c r="CC1757" s="73"/>
      <c r="CD1757" s="73"/>
      <c r="CE1757" s="73"/>
      <c r="CF1757" s="73"/>
      <c r="CG1757" s="73"/>
      <c r="CH1757" s="73"/>
    </row>
    <row r="1758">
      <c r="A1758" s="73"/>
      <c r="B1758" s="73"/>
      <c r="C1758" s="73"/>
      <c r="D1758" s="73"/>
      <c r="E1758" s="140"/>
      <c r="F1758" s="80"/>
      <c r="G1758" s="80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  <c r="S1758" s="73"/>
      <c r="T1758" s="73"/>
      <c r="U1758" s="73"/>
      <c r="V1758" s="73"/>
      <c r="W1758" s="73"/>
      <c r="X1758" s="73"/>
      <c r="Y1758" s="73"/>
      <c r="Z1758" s="73"/>
      <c r="AA1758" s="73"/>
      <c r="AB1758" s="73"/>
      <c r="AC1758" s="73"/>
      <c r="AD1758" s="73"/>
      <c r="AE1758" s="73"/>
      <c r="AF1758" s="73"/>
      <c r="AG1758" s="73"/>
      <c r="AH1758" s="73"/>
      <c r="AI1758" s="73"/>
      <c r="AJ1758" s="168"/>
      <c r="AK1758" s="73"/>
      <c r="AL1758" s="73"/>
      <c r="AM1758" s="73"/>
      <c r="AN1758" s="73"/>
      <c r="AO1758" s="73"/>
      <c r="AP1758" s="73"/>
      <c r="AQ1758" s="73"/>
      <c r="AR1758" s="73"/>
      <c r="AS1758" s="73"/>
      <c r="AT1758" s="73"/>
      <c r="AU1758" s="73"/>
      <c r="AV1758" s="73"/>
      <c r="AW1758" s="73"/>
      <c r="AX1758" s="73"/>
      <c r="AY1758" s="73"/>
      <c r="AZ1758" s="73"/>
      <c r="BA1758" s="73"/>
      <c r="BB1758" s="73"/>
      <c r="BC1758" s="73"/>
      <c r="BD1758" s="73"/>
      <c r="BE1758" s="73"/>
      <c r="BF1758" s="75"/>
      <c r="BG1758" s="73"/>
      <c r="BH1758" s="88"/>
      <c r="BI1758" s="73"/>
      <c r="BJ1758" s="73"/>
      <c r="BK1758" s="73"/>
      <c r="BL1758" s="73"/>
      <c r="BM1758" s="73"/>
      <c r="BN1758" s="73"/>
      <c r="BO1758" s="73"/>
      <c r="BP1758" s="73"/>
      <c r="BQ1758" s="73"/>
      <c r="BR1758" s="73"/>
      <c r="BS1758" s="73"/>
      <c r="BT1758" s="73"/>
      <c r="BU1758" s="73"/>
      <c r="BV1758" s="73"/>
      <c r="BW1758" s="73"/>
      <c r="BX1758" s="73"/>
      <c r="BY1758" s="73"/>
      <c r="BZ1758" s="73"/>
      <c r="CA1758" s="73"/>
      <c r="CB1758" s="73"/>
      <c r="CC1758" s="73"/>
      <c r="CD1758" s="73"/>
      <c r="CE1758" s="73"/>
      <c r="CF1758" s="73"/>
      <c r="CG1758" s="73"/>
      <c r="CH1758" s="73"/>
    </row>
    <row r="1759">
      <c r="A1759" s="73"/>
      <c r="B1759" s="73"/>
      <c r="C1759" s="73"/>
      <c r="D1759" s="73"/>
      <c r="E1759" s="140"/>
      <c r="F1759" s="80"/>
      <c r="G1759" s="80"/>
      <c r="H1759" s="73"/>
      <c r="I1759" s="73"/>
      <c r="J1759" s="73"/>
      <c r="K1759" s="73"/>
      <c r="L1759" s="73"/>
      <c r="M1759" s="73"/>
      <c r="N1759" s="73"/>
      <c r="O1759" s="73"/>
      <c r="P1759" s="73"/>
      <c r="Q1759" s="73"/>
      <c r="R1759" s="73"/>
      <c r="S1759" s="73"/>
      <c r="T1759" s="73"/>
      <c r="U1759" s="73"/>
      <c r="V1759" s="73"/>
      <c r="W1759" s="73"/>
      <c r="X1759" s="73"/>
      <c r="Y1759" s="73"/>
      <c r="Z1759" s="73"/>
      <c r="AA1759" s="73"/>
      <c r="AB1759" s="73"/>
      <c r="AC1759" s="73"/>
      <c r="AD1759" s="73"/>
      <c r="AE1759" s="73"/>
      <c r="AF1759" s="73"/>
      <c r="AG1759" s="73"/>
      <c r="AH1759" s="73"/>
      <c r="AI1759" s="73"/>
      <c r="AJ1759" s="168"/>
      <c r="AK1759" s="73"/>
      <c r="AL1759" s="73"/>
      <c r="AM1759" s="73"/>
      <c r="AN1759" s="73"/>
      <c r="AO1759" s="73"/>
      <c r="AP1759" s="73"/>
      <c r="AQ1759" s="73"/>
      <c r="AR1759" s="73"/>
      <c r="AS1759" s="73"/>
      <c r="AT1759" s="73"/>
      <c r="AU1759" s="73"/>
      <c r="AV1759" s="73"/>
      <c r="AW1759" s="73"/>
      <c r="AX1759" s="73"/>
      <c r="AY1759" s="73"/>
      <c r="AZ1759" s="73"/>
      <c r="BA1759" s="73"/>
      <c r="BB1759" s="73"/>
      <c r="BC1759" s="73"/>
      <c r="BD1759" s="73"/>
      <c r="BE1759" s="73"/>
      <c r="BF1759" s="75"/>
      <c r="BG1759" s="73"/>
      <c r="BH1759" s="88"/>
      <c r="BI1759" s="73"/>
      <c r="BJ1759" s="73"/>
      <c r="BK1759" s="73"/>
      <c r="BL1759" s="73"/>
      <c r="BM1759" s="73"/>
      <c r="BN1759" s="73"/>
      <c r="BO1759" s="73"/>
      <c r="BP1759" s="73"/>
      <c r="BQ1759" s="73"/>
      <c r="BR1759" s="73"/>
      <c r="BS1759" s="73"/>
      <c r="BT1759" s="73"/>
      <c r="BU1759" s="73"/>
      <c r="BV1759" s="73"/>
      <c r="BW1759" s="73"/>
      <c r="BX1759" s="73"/>
      <c r="BY1759" s="73"/>
      <c r="BZ1759" s="73"/>
      <c r="CA1759" s="73"/>
      <c r="CB1759" s="73"/>
      <c r="CC1759" s="73"/>
      <c r="CD1759" s="73"/>
      <c r="CE1759" s="73"/>
      <c r="CF1759" s="73"/>
      <c r="CG1759" s="73"/>
      <c r="CH1759" s="73"/>
    </row>
    <row r="1760">
      <c r="A1760" s="73"/>
      <c r="B1760" s="73"/>
      <c r="C1760" s="73"/>
      <c r="D1760" s="73"/>
      <c r="E1760" s="140"/>
      <c r="F1760" s="80"/>
      <c r="G1760" s="80"/>
      <c r="H1760" s="73"/>
      <c r="I1760" s="73"/>
      <c r="J1760" s="73"/>
      <c r="K1760" s="73"/>
      <c r="L1760" s="73"/>
      <c r="M1760" s="73"/>
      <c r="N1760" s="73"/>
      <c r="O1760" s="73"/>
      <c r="P1760" s="73"/>
      <c r="Q1760" s="73"/>
      <c r="R1760" s="73"/>
      <c r="S1760" s="73"/>
      <c r="T1760" s="73"/>
      <c r="U1760" s="73"/>
      <c r="V1760" s="73"/>
      <c r="W1760" s="73"/>
      <c r="X1760" s="73"/>
      <c r="Y1760" s="73"/>
      <c r="Z1760" s="73"/>
      <c r="AA1760" s="73"/>
      <c r="AB1760" s="73"/>
      <c r="AC1760" s="73"/>
      <c r="AD1760" s="73"/>
      <c r="AE1760" s="73"/>
      <c r="AF1760" s="73"/>
      <c r="AG1760" s="73"/>
      <c r="AH1760" s="73"/>
      <c r="AI1760" s="73"/>
      <c r="AJ1760" s="168"/>
      <c r="AK1760" s="73"/>
      <c r="AL1760" s="73"/>
      <c r="AM1760" s="73"/>
      <c r="AN1760" s="73"/>
      <c r="AO1760" s="73"/>
      <c r="AP1760" s="73"/>
      <c r="AQ1760" s="73"/>
      <c r="AR1760" s="73"/>
      <c r="AS1760" s="73"/>
      <c r="AT1760" s="73"/>
      <c r="AU1760" s="73"/>
      <c r="AV1760" s="73"/>
      <c r="AW1760" s="73"/>
      <c r="AX1760" s="73"/>
      <c r="AY1760" s="73"/>
      <c r="AZ1760" s="73"/>
      <c r="BA1760" s="73"/>
      <c r="BB1760" s="73"/>
      <c r="BC1760" s="73"/>
      <c r="BD1760" s="73"/>
      <c r="BE1760" s="73"/>
      <c r="BF1760" s="75"/>
      <c r="BG1760" s="73"/>
      <c r="BH1760" s="88"/>
      <c r="BI1760" s="73"/>
      <c r="BJ1760" s="73"/>
      <c r="BK1760" s="73"/>
      <c r="BL1760" s="73"/>
      <c r="BM1760" s="73"/>
      <c r="BN1760" s="73"/>
      <c r="BO1760" s="73"/>
      <c r="BP1760" s="73"/>
      <c r="BQ1760" s="73"/>
      <c r="BR1760" s="73"/>
      <c r="BS1760" s="73"/>
      <c r="BT1760" s="73"/>
      <c r="BU1760" s="73"/>
      <c r="BV1760" s="73"/>
      <c r="BW1760" s="73"/>
      <c r="BX1760" s="73"/>
      <c r="BY1760" s="73"/>
      <c r="BZ1760" s="73"/>
      <c r="CA1760" s="73"/>
      <c r="CB1760" s="73"/>
      <c r="CC1760" s="73"/>
      <c r="CD1760" s="73"/>
      <c r="CE1760" s="73"/>
      <c r="CF1760" s="73"/>
      <c r="CG1760" s="73"/>
      <c r="CH1760" s="73"/>
    </row>
    <row r="1761">
      <c r="A1761" s="73"/>
      <c r="B1761" s="73"/>
      <c r="C1761" s="73"/>
      <c r="D1761" s="73"/>
      <c r="E1761" s="140"/>
      <c r="F1761" s="80"/>
      <c r="G1761" s="80"/>
      <c r="H1761" s="73"/>
      <c r="I1761" s="73"/>
      <c r="J1761" s="73"/>
      <c r="K1761" s="73"/>
      <c r="L1761" s="73"/>
      <c r="M1761" s="73"/>
      <c r="N1761" s="73"/>
      <c r="O1761" s="73"/>
      <c r="P1761" s="73"/>
      <c r="Q1761" s="73"/>
      <c r="R1761" s="73"/>
      <c r="S1761" s="73"/>
      <c r="T1761" s="73"/>
      <c r="U1761" s="73"/>
      <c r="V1761" s="73"/>
      <c r="W1761" s="73"/>
      <c r="X1761" s="73"/>
      <c r="Y1761" s="73"/>
      <c r="Z1761" s="73"/>
      <c r="AA1761" s="73"/>
      <c r="AB1761" s="73"/>
      <c r="AC1761" s="73"/>
      <c r="AD1761" s="73"/>
      <c r="AE1761" s="73"/>
      <c r="AF1761" s="73"/>
      <c r="AG1761" s="73"/>
      <c r="AH1761" s="73"/>
      <c r="AI1761" s="73"/>
      <c r="AJ1761" s="168"/>
      <c r="AK1761" s="73"/>
      <c r="AL1761" s="73"/>
      <c r="AM1761" s="73"/>
      <c r="AN1761" s="73"/>
      <c r="AO1761" s="73"/>
      <c r="AP1761" s="73"/>
      <c r="AQ1761" s="73"/>
      <c r="AR1761" s="73"/>
      <c r="AS1761" s="73"/>
      <c r="AT1761" s="73"/>
      <c r="AU1761" s="73"/>
      <c r="AV1761" s="73"/>
      <c r="AW1761" s="73"/>
      <c r="AX1761" s="73"/>
      <c r="AY1761" s="73"/>
      <c r="AZ1761" s="73"/>
      <c r="BA1761" s="73"/>
      <c r="BB1761" s="73"/>
      <c r="BC1761" s="73"/>
      <c r="BD1761" s="73"/>
      <c r="BE1761" s="73"/>
      <c r="BF1761" s="75"/>
      <c r="BG1761" s="73"/>
      <c r="BH1761" s="88"/>
      <c r="BI1761" s="73"/>
      <c r="BJ1761" s="73"/>
      <c r="BK1761" s="73"/>
      <c r="BL1761" s="73"/>
      <c r="BM1761" s="73"/>
      <c r="BN1761" s="73"/>
      <c r="BO1761" s="73"/>
      <c r="BP1761" s="73"/>
      <c r="BQ1761" s="73"/>
      <c r="BR1761" s="73"/>
      <c r="BS1761" s="73"/>
      <c r="BT1761" s="73"/>
      <c r="BU1761" s="73"/>
      <c r="BV1761" s="73"/>
      <c r="BW1761" s="73"/>
      <c r="BX1761" s="73"/>
      <c r="BY1761" s="73"/>
      <c r="BZ1761" s="73"/>
      <c r="CA1761" s="73"/>
      <c r="CB1761" s="73"/>
      <c r="CC1761" s="73"/>
      <c r="CD1761" s="73"/>
      <c r="CE1761" s="73"/>
      <c r="CF1761" s="73"/>
      <c r="CG1761" s="73"/>
      <c r="CH1761" s="73"/>
    </row>
    <row r="1762">
      <c r="A1762" s="73"/>
      <c r="B1762" s="73"/>
      <c r="C1762" s="73"/>
      <c r="D1762" s="73"/>
      <c r="E1762" s="140"/>
      <c r="F1762" s="80"/>
      <c r="G1762" s="80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  <c r="S1762" s="73"/>
      <c r="T1762" s="73"/>
      <c r="U1762" s="73"/>
      <c r="V1762" s="73"/>
      <c r="W1762" s="73"/>
      <c r="X1762" s="73"/>
      <c r="Y1762" s="73"/>
      <c r="Z1762" s="73"/>
      <c r="AA1762" s="73"/>
      <c r="AB1762" s="73"/>
      <c r="AC1762" s="73"/>
      <c r="AD1762" s="73"/>
      <c r="AE1762" s="73"/>
      <c r="AF1762" s="73"/>
      <c r="AG1762" s="73"/>
      <c r="AH1762" s="73"/>
      <c r="AI1762" s="73"/>
      <c r="AJ1762" s="168"/>
      <c r="AK1762" s="73"/>
      <c r="AL1762" s="73"/>
      <c r="AM1762" s="73"/>
      <c r="AN1762" s="73"/>
      <c r="AO1762" s="73"/>
      <c r="AP1762" s="73"/>
      <c r="AQ1762" s="73"/>
      <c r="AR1762" s="73"/>
      <c r="AS1762" s="73"/>
      <c r="AT1762" s="73"/>
      <c r="AU1762" s="73"/>
      <c r="AV1762" s="73"/>
      <c r="AW1762" s="73"/>
      <c r="AX1762" s="73"/>
      <c r="AY1762" s="73"/>
      <c r="AZ1762" s="73"/>
      <c r="BA1762" s="73"/>
      <c r="BB1762" s="73"/>
      <c r="BC1762" s="73"/>
      <c r="BD1762" s="73"/>
      <c r="BE1762" s="73"/>
      <c r="BF1762" s="75"/>
      <c r="BG1762" s="73"/>
      <c r="BH1762" s="88"/>
      <c r="BI1762" s="73"/>
      <c r="BJ1762" s="73"/>
      <c r="BK1762" s="73"/>
      <c r="BL1762" s="73"/>
      <c r="BM1762" s="73"/>
      <c r="BN1762" s="73"/>
      <c r="BO1762" s="73"/>
      <c r="BP1762" s="73"/>
      <c r="BQ1762" s="73"/>
      <c r="BR1762" s="73"/>
      <c r="BS1762" s="73"/>
      <c r="BT1762" s="73"/>
      <c r="BU1762" s="73"/>
      <c r="BV1762" s="73"/>
      <c r="BW1762" s="73"/>
      <c r="BX1762" s="73"/>
      <c r="BY1762" s="73"/>
      <c r="BZ1762" s="73"/>
      <c r="CA1762" s="73"/>
      <c r="CB1762" s="73"/>
      <c r="CC1762" s="73"/>
      <c r="CD1762" s="73"/>
      <c r="CE1762" s="73"/>
      <c r="CF1762" s="73"/>
      <c r="CG1762" s="73"/>
      <c r="CH1762" s="73"/>
    </row>
    <row r="1763">
      <c r="A1763" s="73"/>
      <c r="B1763" s="73"/>
      <c r="C1763" s="73"/>
      <c r="D1763" s="73"/>
      <c r="E1763" s="140"/>
      <c r="F1763" s="80"/>
      <c r="G1763" s="80"/>
      <c r="H1763" s="73"/>
      <c r="I1763" s="73"/>
      <c r="J1763" s="73"/>
      <c r="K1763" s="73"/>
      <c r="L1763" s="73"/>
      <c r="M1763" s="73"/>
      <c r="N1763" s="73"/>
      <c r="O1763" s="73"/>
      <c r="P1763" s="73"/>
      <c r="Q1763" s="73"/>
      <c r="R1763" s="73"/>
      <c r="S1763" s="73"/>
      <c r="T1763" s="73"/>
      <c r="U1763" s="73"/>
      <c r="V1763" s="73"/>
      <c r="W1763" s="73"/>
      <c r="X1763" s="73"/>
      <c r="Y1763" s="73"/>
      <c r="Z1763" s="73"/>
      <c r="AA1763" s="73"/>
      <c r="AB1763" s="73"/>
      <c r="AC1763" s="73"/>
      <c r="AD1763" s="73"/>
      <c r="AE1763" s="73"/>
      <c r="AF1763" s="73"/>
      <c r="AG1763" s="73"/>
      <c r="AH1763" s="73"/>
      <c r="AI1763" s="73"/>
      <c r="AJ1763" s="168"/>
      <c r="AK1763" s="73"/>
      <c r="AL1763" s="73"/>
      <c r="AM1763" s="73"/>
      <c r="AN1763" s="73"/>
      <c r="AO1763" s="73"/>
      <c r="AP1763" s="73"/>
      <c r="AQ1763" s="73"/>
      <c r="AR1763" s="73"/>
      <c r="AS1763" s="73"/>
      <c r="AT1763" s="73"/>
      <c r="AU1763" s="73"/>
      <c r="AV1763" s="73"/>
      <c r="AW1763" s="73"/>
      <c r="AX1763" s="73"/>
      <c r="AY1763" s="73"/>
      <c r="AZ1763" s="73"/>
      <c r="BA1763" s="73"/>
      <c r="BB1763" s="73"/>
      <c r="BC1763" s="73"/>
      <c r="BD1763" s="73"/>
      <c r="BE1763" s="73"/>
      <c r="BF1763" s="75"/>
      <c r="BG1763" s="73"/>
      <c r="BH1763" s="88"/>
      <c r="BI1763" s="73"/>
      <c r="BJ1763" s="73"/>
      <c r="BK1763" s="73"/>
      <c r="BL1763" s="73"/>
      <c r="BM1763" s="73"/>
      <c r="BN1763" s="73"/>
      <c r="BO1763" s="73"/>
      <c r="BP1763" s="73"/>
      <c r="BQ1763" s="73"/>
      <c r="BR1763" s="73"/>
      <c r="BS1763" s="73"/>
      <c r="BT1763" s="73"/>
      <c r="BU1763" s="73"/>
      <c r="BV1763" s="73"/>
      <c r="BW1763" s="73"/>
      <c r="BX1763" s="73"/>
      <c r="BY1763" s="73"/>
      <c r="BZ1763" s="73"/>
      <c r="CA1763" s="73"/>
      <c r="CB1763" s="73"/>
      <c r="CC1763" s="73"/>
      <c r="CD1763" s="73"/>
      <c r="CE1763" s="73"/>
      <c r="CF1763" s="73"/>
      <c r="CG1763" s="73"/>
      <c r="CH1763" s="73"/>
    </row>
    <row r="1764">
      <c r="A1764" s="73"/>
      <c r="B1764" s="73"/>
      <c r="C1764" s="73"/>
      <c r="D1764" s="73"/>
      <c r="E1764" s="140"/>
      <c r="F1764" s="80"/>
      <c r="G1764" s="80"/>
      <c r="H1764" s="73"/>
      <c r="I1764" s="73"/>
      <c r="J1764" s="73"/>
      <c r="K1764" s="73"/>
      <c r="L1764" s="73"/>
      <c r="M1764" s="73"/>
      <c r="N1764" s="73"/>
      <c r="O1764" s="73"/>
      <c r="P1764" s="73"/>
      <c r="Q1764" s="73"/>
      <c r="R1764" s="73"/>
      <c r="S1764" s="73"/>
      <c r="T1764" s="73"/>
      <c r="U1764" s="73"/>
      <c r="V1764" s="73"/>
      <c r="W1764" s="73"/>
      <c r="X1764" s="73"/>
      <c r="Y1764" s="73"/>
      <c r="Z1764" s="73"/>
      <c r="AA1764" s="73"/>
      <c r="AB1764" s="73"/>
      <c r="AC1764" s="73"/>
      <c r="AD1764" s="73"/>
      <c r="AE1764" s="73"/>
      <c r="AF1764" s="73"/>
      <c r="AG1764" s="73"/>
      <c r="AH1764" s="73"/>
      <c r="AI1764" s="73"/>
      <c r="AJ1764" s="168"/>
      <c r="AK1764" s="73"/>
      <c r="AL1764" s="73"/>
      <c r="AM1764" s="73"/>
      <c r="AN1764" s="73"/>
      <c r="AO1764" s="73"/>
      <c r="AP1764" s="73"/>
      <c r="AQ1764" s="73"/>
      <c r="AR1764" s="73"/>
      <c r="AS1764" s="73"/>
      <c r="AT1764" s="73"/>
      <c r="AU1764" s="73"/>
      <c r="AV1764" s="73"/>
      <c r="AW1764" s="73"/>
      <c r="AX1764" s="73"/>
      <c r="AY1764" s="73"/>
      <c r="AZ1764" s="73"/>
      <c r="BA1764" s="73"/>
      <c r="BB1764" s="73"/>
      <c r="BC1764" s="73"/>
      <c r="BD1764" s="73"/>
      <c r="BE1764" s="73"/>
      <c r="BF1764" s="75"/>
      <c r="BG1764" s="73"/>
      <c r="BH1764" s="88"/>
      <c r="BI1764" s="73"/>
      <c r="BJ1764" s="73"/>
      <c r="BK1764" s="73"/>
      <c r="BL1764" s="73"/>
      <c r="BM1764" s="73"/>
      <c r="BN1764" s="73"/>
      <c r="BO1764" s="73"/>
      <c r="BP1764" s="73"/>
      <c r="BQ1764" s="73"/>
      <c r="BR1764" s="73"/>
      <c r="BS1764" s="73"/>
      <c r="BT1764" s="73"/>
      <c r="BU1764" s="73"/>
      <c r="BV1764" s="73"/>
      <c r="BW1764" s="73"/>
      <c r="BX1764" s="73"/>
      <c r="BY1764" s="73"/>
      <c r="BZ1764" s="73"/>
      <c r="CA1764" s="73"/>
      <c r="CB1764" s="73"/>
      <c r="CC1764" s="73"/>
      <c r="CD1764" s="73"/>
      <c r="CE1764" s="73"/>
      <c r="CF1764" s="73"/>
      <c r="CG1764" s="73"/>
      <c r="CH1764" s="73"/>
    </row>
    <row r="1765">
      <c r="A1765" s="73"/>
      <c r="B1765" s="73"/>
      <c r="C1765" s="73"/>
      <c r="D1765" s="73"/>
      <c r="E1765" s="140"/>
      <c r="F1765" s="80"/>
      <c r="G1765" s="80"/>
      <c r="H1765" s="73"/>
      <c r="I1765" s="73"/>
      <c r="J1765" s="73"/>
      <c r="K1765" s="73"/>
      <c r="L1765" s="73"/>
      <c r="M1765" s="73"/>
      <c r="N1765" s="73"/>
      <c r="O1765" s="73"/>
      <c r="P1765" s="73"/>
      <c r="Q1765" s="73"/>
      <c r="R1765" s="73"/>
      <c r="S1765" s="73"/>
      <c r="T1765" s="73"/>
      <c r="U1765" s="73"/>
      <c r="V1765" s="73"/>
      <c r="W1765" s="73"/>
      <c r="X1765" s="73"/>
      <c r="Y1765" s="73"/>
      <c r="Z1765" s="73"/>
      <c r="AA1765" s="73"/>
      <c r="AB1765" s="73"/>
      <c r="AC1765" s="73"/>
      <c r="AD1765" s="73"/>
      <c r="AE1765" s="73"/>
      <c r="AF1765" s="73"/>
      <c r="AG1765" s="73"/>
      <c r="AH1765" s="73"/>
      <c r="AI1765" s="73"/>
      <c r="AJ1765" s="168"/>
      <c r="AK1765" s="73"/>
      <c r="AL1765" s="73"/>
      <c r="AM1765" s="73"/>
      <c r="AN1765" s="73"/>
      <c r="AO1765" s="73"/>
      <c r="AP1765" s="73"/>
      <c r="AQ1765" s="73"/>
      <c r="AR1765" s="73"/>
      <c r="AS1765" s="73"/>
      <c r="AT1765" s="73"/>
      <c r="AU1765" s="73"/>
      <c r="AV1765" s="73"/>
      <c r="AW1765" s="73"/>
      <c r="AX1765" s="73"/>
      <c r="AY1765" s="73"/>
      <c r="AZ1765" s="73"/>
      <c r="BA1765" s="73"/>
      <c r="BB1765" s="73"/>
      <c r="BC1765" s="73"/>
      <c r="BD1765" s="73"/>
      <c r="BE1765" s="73"/>
      <c r="BF1765" s="75"/>
      <c r="BG1765" s="73"/>
      <c r="BH1765" s="88"/>
      <c r="BI1765" s="73"/>
      <c r="BJ1765" s="73"/>
      <c r="BK1765" s="73"/>
      <c r="BL1765" s="73"/>
      <c r="BM1765" s="73"/>
      <c r="BN1765" s="73"/>
      <c r="BO1765" s="73"/>
      <c r="BP1765" s="73"/>
      <c r="BQ1765" s="73"/>
      <c r="BR1765" s="73"/>
      <c r="BS1765" s="73"/>
      <c r="BT1765" s="73"/>
      <c r="BU1765" s="73"/>
      <c r="BV1765" s="73"/>
      <c r="BW1765" s="73"/>
      <c r="BX1765" s="73"/>
      <c r="BY1765" s="73"/>
      <c r="BZ1765" s="73"/>
      <c r="CA1765" s="73"/>
      <c r="CB1765" s="73"/>
      <c r="CC1765" s="73"/>
      <c r="CD1765" s="73"/>
      <c r="CE1765" s="73"/>
      <c r="CF1765" s="73"/>
      <c r="CG1765" s="73"/>
      <c r="CH1765" s="73"/>
    </row>
    <row r="1766">
      <c r="A1766" s="73"/>
      <c r="B1766" s="73"/>
      <c r="C1766" s="73"/>
      <c r="D1766" s="73"/>
      <c r="E1766" s="140"/>
      <c r="F1766" s="80"/>
      <c r="G1766" s="80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  <c r="S1766" s="73"/>
      <c r="T1766" s="73"/>
      <c r="U1766" s="73"/>
      <c r="V1766" s="73"/>
      <c r="W1766" s="73"/>
      <c r="X1766" s="73"/>
      <c r="Y1766" s="73"/>
      <c r="Z1766" s="73"/>
      <c r="AA1766" s="73"/>
      <c r="AB1766" s="73"/>
      <c r="AC1766" s="73"/>
      <c r="AD1766" s="73"/>
      <c r="AE1766" s="73"/>
      <c r="AF1766" s="73"/>
      <c r="AG1766" s="73"/>
      <c r="AH1766" s="73"/>
      <c r="AI1766" s="73"/>
      <c r="AJ1766" s="168"/>
      <c r="AK1766" s="73"/>
      <c r="AL1766" s="73"/>
      <c r="AM1766" s="73"/>
      <c r="AN1766" s="73"/>
      <c r="AO1766" s="73"/>
      <c r="AP1766" s="73"/>
      <c r="AQ1766" s="73"/>
      <c r="AR1766" s="73"/>
      <c r="AS1766" s="73"/>
      <c r="AT1766" s="73"/>
      <c r="AU1766" s="73"/>
      <c r="AV1766" s="73"/>
      <c r="AW1766" s="73"/>
      <c r="AX1766" s="73"/>
      <c r="AY1766" s="73"/>
      <c r="AZ1766" s="73"/>
      <c r="BA1766" s="73"/>
      <c r="BB1766" s="73"/>
      <c r="BC1766" s="73"/>
      <c r="BD1766" s="73"/>
      <c r="BE1766" s="73"/>
      <c r="BF1766" s="75"/>
      <c r="BG1766" s="73"/>
      <c r="BH1766" s="88"/>
      <c r="BI1766" s="73"/>
      <c r="BJ1766" s="73"/>
      <c r="BK1766" s="73"/>
      <c r="BL1766" s="73"/>
      <c r="BM1766" s="73"/>
      <c r="BN1766" s="73"/>
      <c r="BO1766" s="73"/>
      <c r="BP1766" s="73"/>
      <c r="BQ1766" s="73"/>
      <c r="BR1766" s="73"/>
      <c r="BS1766" s="73"/>
      <c r="BT1766" s="73"/>
      <c r="BU1766" s="73"/>
      <c r="BV1766" s="73"/>
      <c r="BW1766" s="73"/>
      <c r="BX1766" s="73"/>
      <c r="BY1766" s="73"/>
      <c r="BZ1766" s="73"/>
      <c r="CA1766" s="73"/>
      <c r="CB1766" s="73"/>
      <c r="CC1766" s="73"/>
      <c r="CD1766" s="73"/>
      <c r="CE1766" s="73"/>
      <c r="CF1766" s="73"/>
      <c r="CG1766" s="73"/>
      <c r="CH1766" s="73"/>
    </row>
    <row r="1767">
      <c r="A1767" s="73"/>
      <c r="B1767" s="73"/>
      <c r="C1767" s="73"/>
      <c r="D1767" s="73"/>
      <c r="E1767" s="140"/>
      <c r="F1767" s="80"/>
      <c r="G1767" s="80"/>
      <c r="H1767" s="73"/>
      <c r="I1767" s="73"/>
      <c r="J1767" s="73"/>
      <c r="K1767" s="73"/>
      <c r="L1767" s="73"/>
      <c r="M1767" s="73"/>
      <c r="N1767" s="73"/>
      <c r="O1767" s="73"/>
      <c r="P1767" s="73"/>
      <c r="Q1767" s="73"/>
      <c r="R1767" s="73"/>
      <c r="S1767" s="73"/>
      <c r="T1767" s="73"/>
      <c r="U1767" s="73"/>
      <c r="V1767" s="73"/>
      <c r="W1767" s="73"/>
      <c r="X1767" s="73"/>
      <c r="Y1767" s="73"/>
      <c r="Z1767" s="73"/>
      <c r="AA1767" s="73"/>
      <c r="AB1767" s="73"/>
      <c r="AC1767" s="73"/>
      <c r="AD1767" s="73"/>
      <c r="AE1767" s="73"/>
      <c r="AF1767" s="73"/>
      <c r="AG1767" s="73"/>
      <c r="AH1767" s="73"/>
      <c r="AI1767" s="73"/>
      <c r="AJ1767" s="168"/>
      <c r="AK1767" s="73"/>
      <c r="AL1767" s="73"/>
      <c r="AM1767" s="73"/>
      <c r="AN1767" s="73"/>
      <c r="AO1767" s="73"/>
      <c r="AP1767" s="73"/>
      <c r="AQ1767" s="73"/>
      <c r="AR1767" s="73"/>
      <c r="AS1767" s="73"/>
      <c r="AT1767" s="73"/>
      <c r="AU1767" s="73"/>
      <c r="AV1767" s="73"/>
      <c r="AW1767" s="73"/>
      <c r="AX1767" s="73"/>
      <c r="AY1767" s="73"/>
      <c r="AZ1767" s="73"/>
      <c r="BA1767" s="73"/>
      <c r="BB1767" s="73"/>
      <c r="BC1767" s="73"/>
      <c r="BD1767" s="73"/>
      <c r="BE1767" s="73"/>
      <c r="BF1767" s="75"/>
      <c r="BG1767" s="73"/>
      <c r="BH1767" s="88"/>
      <c r="BI1767" s="73"/>
      <c r="BJ1767" s="73"/>
      <c r="BK1767" s="73"/>
      <c r="BL1767" s="73"/>
      <c r="BM1767" s="73"/>
      <c r="BN1767" s="73"/>
      <c r="BO1767" s="73"/>
      <c r="BP1767" s="73"/>
      <c r="BQ1767" s="73"/>
      <c r="BR1767" s="73"/>
      <c r="BS1767" s="73"/>
      <c r="BT1767" s="73"/>
      <c r="BU1767" s="73"/>
      <c r="BV1767" s="73"/>
      <c r="BW1767" s="73"/>
      <c r="BX1767" s="73"/>
      <c r="BY1767" s="73"/>
      <c r="BZ1767" s="73"/>
      <c r="CA1767" s="73"/>
      <c r="CB1767" s="73"/>
      <c r="CC1767" s="73"/>
      <c r="CD1767" s="73"/>
      <c r="CE1767" s="73"/>
      <c r="CF1767" s="73"/>
      <c r="CG1767" s="73"/>
      <c r="CH1767" s="73"/>
    </row>
    <row r="1768">
      <c r="A1768" s="73"/>
      <c r="B1768" s="73"/>
      <c r="C1768" s="73"/>
      <c r="D1768" s="73"/>
      <c r="E1768" s="140"/>
      <c r="F1768" s="80"/>
      <c r="G1768" s="80"/>
      <c r="H1768" s="73"/>
      <c r="I1768" s="73"/>
      <c r="J1768" s="73"/>
      <c r="K1768" s="73"/>
      <c r="L1768" s="73"/>
      <c r="M1768" s="73"/>
      <c r="N1768" s="73"/>
      <c r="O1768" s="73"/>
      <c r="P1768" s="73"/>
      <c r="Q1768" s="73"/>
      <c r="R1768" s="73"/>
      <c r="S1768" s="73"/>
      <c r="T1768" s="73"/>
      <c r="U1768" s="73"/>
      <c r="V1768" s="73"/>
      <c r="W1768" s="73"/>
      <c r="X1768" s="73"/>
      <c r="Y1768" s="73"/>
      <c r="Z1768" s="73"/>
      <c r="AA1768" s="73"/>
      <c r="AB1768" s="73"/>
      <c r="AC1768" s="73"/>
      <c r="AD1768" s="73"/>
      <c r="AE1768" s="73"/>
      <c r="AF1768" s="73"/>
      <c r="AG1768" s="73"/>
      <c r="AH1768" s="73"/>
      <c r="AI1768" s="73"/>
      <c r="AJ1768" s="168"/>
      <c r="AK1768" s="73"/>
      <c r="AL1768" s="73"/>
      <c r="AM1768" s="73"/>
      <c r="AN1768" s="73"/>
      <c r="AO1768" s="73"/>
      <c r="AP1768" s="73"/>
      <c r="AQ1768" s="73"/>
      <c r="AR1768" s="73"/>
      <c r="AS1768" s="73"/>
      <c r="AT1768" s="73"/>
      <c r="AU1768" s="73"/>
      <c r="AV1768" s="73"/>
      <c r="AW1768" s="73"/>
      <c r="AX1768" s="73"/>
      <c r="AY1768" s="73"/>
      <c r="AZ1768" s="73"/>
      <c r="BA1768" s="73"/>
      <c r="BB1768" s="73"/>
      <c r="BC1768" s="73"/>
      <c r="BD1768" s="73"/>
      <c r="BE1768" s="73"/>
      <c r="BF1768" s="75"/>
      <c r="BG1768" s="73"/>
      <c r="BH1768" s="88"/>
      <c r="BI1768" s="73"/>
      <c r="BJ1768" s="73"/>
      <c r="BK1768" s="73"/>
      <c r="BL1768" s="73"/>
      <c r="BM1768" s="73"/>
      <c r="BN1768" s="73"/>
      <c r="BO1768" s="73"/>
      <c r="BP1768" s="73"/>
      <c r="BQ1768" s="73"/>
      <c r="BR1768" s="73"/>
      <c r="BS1768" s="73"/>
      <c r="BT1768" s="73"/>
      <c r="BU1768" s="73"/>
      <c r="BV1768" s="73"/>
      <c r="BW1768" s="73"/>
      <c r="BX1768" s="73"/>
      <c r="BY1768" s="73"/>
      <c r="BZ1768" s="73"/>
      <c r="CA1768" s="73"/>
      <c r="CB1768" s="73"/>
      <c r="CC1768" s="73"/>
      <c r="CD1768" s="73"/>
      <c r="CE1768" s="73"/>
      <c r="CF1768" s="73"/>
      <c r="CG1768" s="73"/>
      <c r="CH1768" s="73"/>
    </row>
    <row r="1769">
      <c r="A1769" s="73"/>
      <c r="B1769" s="73"/>
      <c r="C1769" s="73"/>
      <c r="D1769" s="73"/>
      <c r="E1769" s="140"/>
      <c r="F1769" s="80"/>
      <c r="G1769" s="80"/>
      <c r="H1769" s="73"/>
      <c r="I1769" s="73"/>
      <c r="J1769" s="73"/>
      <c r="K1769" s="73"/>
      <c r="L1769" s="73"/>
      <c r="M1769" s="73"/>
      <c r="N1769" s="73"/>
      <c r="O1769" s="73"/>
      <c r="P1769" s="73"/>
      <c r="Q1769" s="73"/>
      <c r="R1769" s="73"/>
      <c r="S1769" s="73"/>
      <c r="T1769" s="73"/>
      <c r="U1769" s="73"/>
      <c r="V1769" s="73"/>
      <c r="W1769" s="73"/>
      <c r="X1769" s="73"/>
      <c r="Y1769" s="73"/>
      <c r="Z1769" s="73"/>
      <c r="AA1769" s="73"/>
      <c r="AB1769" s="73"/>
      <c r="AC1769" s="73"/>
      <c r="AD1769" s="73"/>
      <c r="AE1769" s="73"/>
      <c r="AF1769" s="73"/>
      <c r="AG1769" s="73"/>
      <c r="AH1769" s="73"/>
      <c r="AI1769" s="73"/>
      <c r="AJ1769" s="168"/>
      <c r="AK1769" s="73"/>
      <c r="AL1769" s="73"/>
      <c r="AM1769" s="73"/>
      <c r="AN1769" s="73"/>
      <c r="AO1769" s="73"/>
      <c r="AP1769" s="73"/>
      <c r="AQ1769" s="73"/>
      <c r="AR1769" s="73"/>
      <c r="AS1769" s="73"/>
      <c r="AT1769" s="73"/>
      <c r="AU1769" s="73"/>
      <c r="AV1769" s="73"/>
      <c r="AW1769" s="73"/>
      <c r="AX1769" s="73"/>
      <c r="AY1769" s="73"/>
      <c r="AZ1769" s="73"/>
      <c r="BA1769" s="73"/>
      <c r="BB1769" s="73"/>
      <c r="BC1769" s="73"/>
      <c r="BD1769" s="73"/>
      <c r="BE1769" s="73"/>
      <c r="BF1769" s="75"/>
      <c r="BG1769" s="73"/>
      <c r="BH1769" s="88"/>
      <c r="BI1769" s="73"/>
      <c r="BJ1769" s="73"/>
      <c r="BK1769" s="73"/>
      <c r="BL1769" s="73"/>
      <c r="BM1769" s="73"/>
      <c r="BN1769" s="73"/>
      <c r="BO1769" s="73"/>
      <c r="BP1769" s="73"/>
      <c r="BQ1769" s="73"/>
      <c r="BR1769" s="73"/>
      <c r="BS1769" s="73"/>
      <c r="BT1769" s="73"/>
      <c r="BU1769" s="73"/>
      <c r="BV1769" s="73"/>
      <c r="BW1769" s="73"/>
      <c r="BX1769" s="73"/>
      <c r="BY1769" s="73"/>
      <c r="BZ1769" s="73"/>
      <c r="CA1769" s="73"/>
      <c r="CB1769" s="73"/>
      <c r="CC1769" s="73"/>
      <c r="CD1769" s="73"/>
      <c r="CE1769" s="73"/>
      <c r="CF1769" s="73"/>
      <c r="CG1769" s="73"/>
      <c r="CH1769" s="73"/>
    </row>
    <row r="1770">
      <c r="A1770" s="73"/>
      <c r="B1770" s="73"/>
      <c r="C1770" s="73"/>
      <c r="D1770" s="73"/>
      <c r="E1770" s="140"/>
      <c r="F1770" s="80"/>
      <c r="G1770" s="80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  <c r="S1770" s="73"/>
      <c r="T1770" s="73"/>
      <c r="U1770" s="73"/>
      <c r="V1770" s="73"/>
      <c r="W1770" s="73"/>
      <c r="X1770" s="73"/>
      <c r="Y1770" s="73"/>
      <c r="Z1770" s="73"/>
      <c r="AA1770" s="73"/>
      <c r="AB1770" s="73"/>
      <c r="AC1770" s="73"/>
      <c r="AD1770" s="73"/>
      <c r="AE1770" s="73"/>
      <c r="AF1770" s="73"/>
      <c r="AG1770" s="73"/>
      <c r="AH1770" s="73"/>
      <c r="AI1770" s="73"/>
      <c r="AJ1770" s="168"/>
      <c r="AK1770" s="73"/>
      <c r="AL1770" s="73"/>
      <c r="AM1770" s="73"/>
      <c r="AN1770" s="73"/>
      <c r="AO1770" s="73"/>
      <c r="AP1770" s="73"/>
      <c r="AQ1770" s="73"/>
      <c r="AR1770" s="73"/>
      <c r="AS1770" s="73"/>
      <c r="AT1770" s="73"/>
      <c r="AU1770" s="73"/>
      <c r="AV1770" s="73"/>
      <c r="AW1770" s="73"/>
      <c r="AX1770" s="73"/>
      <c r="AY1770" s="73"/>
      <c r="AZ1770" s="73"/>
      <c r="BA1770" s="73"/>
      <c r="BB1770" s="73"/>
      <c r="BC1770" s="73"/>
      <c r="BD1770" s="73"/>
      <c r="BE1770" s="73"/>
      <c r="BF1770" s="75"/>
      <c r="BG1770" s="73"/>
      <c r="BH1770" s="88"/>
      <c r="BI1770" s="73"/>
      <c r="BJ1770" s="73"/>
      <c r="BK1770" s="73"/>
      <c r="BL1770" s="73"/>
      <c r="BM1770" s="73"/>
      <c r="BN1770" s="73"/>
      <c r="BO1770" s="73"/>
      <c r="BP1770" s="73"/>
      <c r="BQ1770" s="73"/>
      <c r="BR1770" s="73"/>
      <c r="BS1770" s="73"/>
      <c r="BT1770" s="73"/>
      <c r="BU1770" s="73"/>
      <c r="BV1770" s="73"/>
      <c r="BW1770" s="73"/>
      <c r="BX1770" s="73"/>
      <c r="BY1770" s="73"/>
      <c r="BZ1770" s="73"/>
      <c r="CA1770" s="73"/>
      <c r="CB1770" s="73"/>
      <c r="CC1770" s="73"/>
      <c r="CD1770" s="73"/>
      <c r="CE1770" s="73"/>
      <c r="CF1770" s="73"/>
      <c r="CG1770" s="73"/>
      <c r="CH1770" s="73"/>
    </row>
    <row r="1771">
      <c r="A1771" s="73"/>
      <c r="B1771" s="73"/>
      <c r="C1771" s="73"/>
      <c r="D1771" s="73"/>
      <c r="E1771" s="140"/>
      <c r="F1771" s="80"/>
      <c r="G1771" s="80"/>
      <c r="H1771" s="73"/>
      <c r="I1771" s="73"/>
      <c r="J1771" s="73"/>
      <c r="K1771" s="73"/>
      <c r="L1771" s="73"/>
      <c r="M1771" s="73"/>
      <c r="N1771" s="73"/>
      <c r="O1771" s="73"/>
      <c r="P1771" s="73"/>
      <c r="Q1771" s="73"/>
      <c r="R1771" s="73"/>
      <c r="S1771" s="73"/>
      <c r="T1771" s="73"/>
      <c r="U1771" s="73"/>
      <c r="V1771" s="73"/>
      <c r="W1771" s="73"/>
      <c r="X1771" s="73"/>
      <c r="Y1771" s="73"/>
      <c r="Z1771" s="73"/>
      <c r="AA1771" s="73"/>
      <c r="AB1771" s="73"/>
      <c r="AC1771" s="73"/>
      <c r="AD1771" s="73"/>
      <c r="AE1771" s="73"/>
      <c r="AF1771" s="73"/>
      <c r="AG1771" s="73"/>
      <c r="AH1771" s="73"/>
      <c r="AI1771" s="73"/>
      <c r="AJ1771" s="168"/>
      <c r="AK1771" s="73"/>
      <c r="AL1771" s="73"/>
      <c r="AM1771" s="73"/>
      <c r="AN1771" s="73"/>
      <c r="AO1771" s="73"/>
      <c r="AP1771" s="73"/>
      <c r="AQ1771" s="73"/>
      <c r="AR1771" s="73"/>
      <c r="AS1771" s="73"/>
      <c r="AT1771" s="73"/>
      <c r="AU1771" s="73"/>
      <c r="AV1771" s="73"/>
      <c r="AW1771" s="73"/>
      <c r="AX1771" s="73"/>
      <c r="AY1771" s="73"/>
      <c r="AZ1771" s="73"/>
      <c r="BA1771" s="73"/>
      <c r="BB1771" s="73"/>
      <c r="BC1771" s="73"/>
      <c r="BD1771" s="73"/>
      <c r="BE1771" s="73"/>
      <c r="BF1771" s="75"/>
      <c r="BG1771" s="73"/>
      <c r="BH1771" s="88"/>
      <c r="BI1771" s="73"/>
      <c r="BJ1771" s="73"/>
      <c r="BK1771" s="73"/>
      <c r="BL1771" s="73"/>
      <c r="BM1771" s="73"/>
      <c r="BN1771" s="73"/>
      <c r="BO1771" s="73"/>
      <c r="BP1771" s="73"/>
      <c r="BQ1771" s="73"/>
      <c r="BR1771" s="73"/>
      <c r="BS1771" s="73"/>
      <c r="BT1771" s="73"/>
      <c r="BU1771" s="73"/>
      <c r="BV1771" s="73"/>
      <c r="BW1771" s="73"/>
      <c r="BX1771" s="73"/>
      <c r="BY1771" s="73"/>
      <c r="BZ1771" s="73"/>
      <c r="CA1771" s="73"/>
      <c r="CB1771" s="73"/>
      <c r="CC1771" s="73"/>
      <c r="CD1771" s="73"/>
      <c r="CE1771" s="73"/>
      <c r="CF1771" s="73"/>
      <c r="CG1771" s="73"/>
      <c r="CH1771" s="73"/>
    </row>
    <row r="1772">
      <c r="A1772" s="73"/>
      <c r="B1772" s="73"/>
      <c r="C1772" s="73"/>
      <c r="D1772" s="73"/>
      <c r="E1772" s="140"/>
      <c r="F1772" s="80"/>
      <c r="G1772" s="80"/>
      <c r="H1772" s="73"/>
      <c r="I1772" s="73"/>
      <c r="J1772" s="73"/>
      <c r="K1772" s="73"/>
      <c r="L1772" s="73"/>
      <c r="M1772" s="73"/>
      <c r="N1772" s="73"/>
      <c r="O1772" s="73"/>
      <c r="P1772" s="73"/>
      <c r="Q1772" s="73"/>
      <c r="R1772" s="73"/>
      <c r="S1772" s="73"/>
      <c r="T1772" s="73"/>
      <c r="U1772" s="73"/>
      <c r="V1772" s="73"/>
      <c r="W1772" s="73"/>
      <c r="X1772" s="73"/>
      <c r="Y1772" s="73"/>
      <c r="Z1772" s="73"/>
      <c r="AA1772" s="73"/>
      <c r="AB1772" s="73"/>
      <c r="AC1772" s="73"/>
      <c r="AD1772" s="73"/>
      <c r="AE1772" s="73"/>
      <c r="AF1772" s="73"/>
      <c r="AG1772" s="73"/>
      <c r="AH1772" s="73"/>
      <c r="AI1772" s="73"/>
      <c r="AJ1772" s="168"/>
      <c r="AK1772" s="73"/>
      <c r="AL1772" s="73"/>
      <c r="AM1772" s="73"/>
      <c r="AN1772" s="73"/>
      <c r="AO1772" s="73"/>
      <c r="AP1772" s="73"/>
      <c r="AQ1772" s="73"/>
      <c r="AR1772" s="73"/>
      <c r="AS1772" s="73"/>
      <c r="AT1772" s="73"/>
      <c r="AU1772" s="73"/>
      <c r="AV1772" s="73"/>
      <c r="AW1772" s="73"/>
      <c r="AX1772" s="73"/>
      <c r="AY1772" s="73"/>
      <c r="AZ1772" s="73"/>
      <c r="BA1772" s="73"/>
      <c r="BB1772" s="73"/>
      <c r="BC1772" s="73"/>
      <c r="BD1772" s="73"/>
      <c r="BE1772" s="73"/>
      <c r="BF1772" s="75"/>
      <c r="BG1772" s="73"/>
      <c r="BH1772" s="88"/>
      <c r="BI1772" s="73"/>
      <c r="BJ1772" s="73"/>
      <c r="BK1772" s="73"/>
      <c r="BL1772" s="73"/>
      <c r="BM1772" s="73"/>
      <c r="BN1772" s="73"/>
      <c r="BO1772" s="73"/>
      <c r="BP1772" s="73"/>
      <c r="BQ1772" s="73"/>
      <c r="BR1772" s="73"/>
      <c r="BS1772" s="73"/>
      <c r="BT1772" s="73"/>
      <c r="BU1772" s="73"/>
      <c r="BV1772" s="73"/>
      <c r="BW1772" s="73"/>
      <c r="BX1772" s="73"/>
      <c r="BY1772" s="73"/>
      <c r="BZ1772" s="73"/>
      <c r="CA1772" s="73"/>
      <c r="CB1772" s="73"/>
      <c r="CC1772" s="73"/>
      <c r="CD1772" s="73"/>
      <c r="CE1772" s="73"/>
      <c r="CF1772" s="73"/>
      <c r="CG1772" s="73"/>
      <c r="CH1772" s="73"/>
    </row>
    <row r="1773">
      <c r="A1773" s="73"/>
      <c r="B1773" s="73"/>
      <c r="C1773" s="73"/>
      <c r="D1773" s="73"/>
      <c r="E1773" s="140"/>
      <c r="F1773" s="80"/>
      <c r="G1773" s="80"/>
      <c r="H1773" s="73"/>
      <c r="I1773" s="73"/>
      <c r="J1773" s="73"/>
      <c r="K1773" s="73"/>
      <c r="L1773" s="73"/>
      <c r="M1773" s="73"/>
      <c r="N1773" s="73"/>
      <c r="O1773" s="73"/>
      <c r="P1773" s="73"/>
      <c r="Q1773" s="73"/>
      <c r="R1773" s="73"/>
      <c r="S1773" s="73"/>
      <c r="T1773" s="73"/>
      <c r="U1773" s="73"/>
      <c r="V1773" s="73"/>
      <c r="W1773" s="73"/>
      <c r="X1773" s="73"/>
      <c r="Y1773" s="73"/>
      <c r="Z1773" s="73"/>
      <c r="AA1773" s="73"/>
      <c r="AB1773" s="73"/>
      <c r="AC1773" s="73"/>
      <c r="AD1773" s="73"/>
      <c r="AE1773" s="73"/>
      <c r="AF1773" s="73"/>
      <c r="AG1773" s="73"/>
      <c r="AH1773" s="73"/>
      <c r="AI1773" s="73"/>
      <c r="AJ1773" s="168"/>
      <c r="AK1773" s="73"/>
      <c r="AL1773" s="73"/>
      <c r="AM1773" s="73"/>
      <c r="AN1773" s="73"/>
      <c r="AO1773" s="73"/>
      <c r="AP1773" s="73"/>
      <c r="AQ1773" s="73"/>
      <c r="AR1773" s="73"/>
      <c r="AS1773" s="73"/>
      <c r="AT1773" s="73"/>
      <c r="AU1773" s="73"/>
      <c r="AV1773" s="73"/>
      <c r="AW1773" s="73"/>
      <c r="AX1773" s="73"/>
      <c r="AY1773" s="73"/>
      <c r="AZ1773" s="73"/>
      <c r="BA1773" s="73"/>
      <c r="BB1773" s="73"/>
      <c r="BC1773" s="73"/>
      <c r="BD1773" s="73"/>
      <c r="BE1773" s="73"/>
      <c r="BF1773" s="75"/>
      <c r="BG1773" s="73"/>
      <c r="BH1773" s="88"/>
      <c r="BI1773" s="73"/>
      <c r="BJ1773" s="73"/>
      <c r="BK1773" s="73"/>
      <c r="BL1773" s="73"/>
      <c r="BM1773" s="73"/>
      <c r="BN1773" s="73"/>
      <c r="BO1773" s="73"/>
      <c r="BP1773" s="73"/>
      <c r="BQ1773" s="73"/>
      <c r="BR1773" s="73"/>
      <c r="BS1773" s="73"/>
      <c r="BT1773" s="73"/>
      <c r="BU1773" s="73"/>
      <c r="BV1773" s="73"/>
      <c r="BW1773" s="73"/>
      <c r="BX1773" s="73"/>
      <c r="BY1773" s="73"/>
      <c r="BZ1773" s="73"/>
      <c r="CA1773" s="73"/>
      <c r="CB1773" s="73"/>
      <c r="CC1773" s="73"/>
      <c r="CD1773" s="73"/>
      <c r="CE1773" s="73"/>
      <c r="CF1773" s="73"/>
      <c r="CG1773" s="73"/>
      <c r="CH1773" s="73"/>
    </row>
    <row r="1774">
      <c r="A1774" s="73"/>
      <c r="B1774" s="73"/>
      <c r="C1774" s="73"/>
      <c r="D1774" s="73"/>
      <c r="E1774" s="140"/>
      <c r="F1774" s="80"/>
      <c r="G1774" s="80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  <c r="S1774" s="73"/>
      <c r="T1774" s="73"/>
      <c r="U1774" s="73"/>
      <c r="V1774" s="73"/>
      <c r="W1774" s="73"/>
      <c r="X1774" s="73"/>
      <c r="Y1774" s="73"/>
      <c r="Z1774" s="73"/>
      <c r="AA1774" s="73"/>
      <c r="AB1774" s="73"/>
      <c r="AC1774" s="73"/>
      <c r="AD1774" s="73"/>
      <c r="AE1774" s="73"/>
      <c r="AF1774" s="73"/>
      <c r="AG1774" s="73"/>
      <c r="AH1774" s="73"/>
      <c r="AI1774" s="73"/>
      <c r="AJ1774" s="168"/>
      <c r="AK1774" s="73"/>
      <c r="AL1774" s="73"/>
      <c r="AM1774" s="73"/>
      <c r="AN1774" s="73"/>
      <c r="AO1774" s="73"/>
      <c r="AP1774" s="73"/>
      <c r="AQ1774" s="73"/>
      <c r="AR1774" s="73"/>
      <c r="AS1774" s="73"/>
      <c r="AT1774" s="73"/>
      <c r="AU1774" s="73"/>
      <c r="AV1774" s="73"/>
      <c r="AW1774" s="73"/>
      <c r="AX1774" s="73"/>
      <c r="AY1774" s="73"/>
      <c r="AZ1774" s="73"/>
      <c r="BA1774" s="73"/>
      <c r="BB1774" s="73"/>
      <c r="BC1774" s="73"/>
      <c r="BD1774" s="73"/>
      <c r="BE1774" s="73"/>
      <c r="BF1774" s="75"/>
      <c r="BG1774" s="73"/>
      <c r="BH1774" s="88"/>
      <c r="BI1774" s="73"/>
      <c r="BJ1774" s="73"/>
      <c r="BK1774" s="73"/>
      <c r="BL1774" s="73"/>
      <c r="BM1774" s="73"/>
      <c r="BN1774" s="73"/>
      <c r="BO1774" s="73"/>
      <c r="BP1774" s="73"/>
      <c r="BQ1774" s="73"/>
      <c r="BR1774" s="73"/>
      <c r="BS1774" s="73"/>
      <c r="BT1774" s="73"/>
      <c r="BU1774" s="73"/>
      <c r="BV1774" s="73"/>
      <c r="BW1774" s="73"/>
      <c r="BX1774" s="73"/>
      <c r="BY1774" s="73"/>
      <c r="BZ1774" s="73"/>
      <c r="CA1774" s="73"/>
      <c r="CB1774" s="73"/>
      <c r="CC1774" s="73"/>
      <c r="CD1774" s="73"/>
      <c r="CE1774" s="73"/>
      <c r="CF1774" s="73"/>
      <c r="CG1774" s="73"/>
      <c r="CH1774" s="73"/>
    </row>
    <row r="1775">
      <c r="A1775" s="73"/>
      <c r="B1775" s="73"/>
      <c r="C1775" s="73"/>
      <c r="D1775" s="73"/>
      <c r="E1775" s="140"/>
      <c r="F1775" s="80"/>
      <c r="G1775" s="80"/>
      <c r="H1775" s="73"/>
      <c r="I1775" s="73"/>
      <c r="J1775" s="73"/>
      <c r="K1775" s="73"/>
      <c r="L1775" s="73"/>
      <c r="M1775" s="73"/>
      <c r="N1775" s="73"/>
      <c r="O1775" s="73"/>
      <c r="P1775" s="73"/>
      <c r="Q1775" s="73"/>
      <c r="R1775" s="73"/>
      <c r="S1775" s="73"/>
      <c r="T1775" s="73"/>
      <c r="U1775" s="73"/>
      <c r="V1775" s="73"/>
      <c r="W1775" s="73"/>
      <c r="X1775" s="73"/>
      <c r="Y1775" s="73"/>
      <c r="Z1775" s="73"/>
      <c r="AA1775" s="73"/>
      <c r="AB1775" s="73"/>
      <c r="AC1775" s="73"/>
      <c r="AD1775" s="73"/>
      <c r="AE1775" s="73"/>
      <c r="AF1775" s="73"/>
      <c r="AG1775" s="73"/>
      <c r="AH1775" s="73"/>
      <c r="AI1775" s="73"/>
      <c r="AJ1775" s="168"/>
      <c r="AK1775" s="73"/>
      <c r="AL1775" s="73"/>
      <c r="AM1775" s="73"/>
      <c r="AN1775" s="73"/>
      <c r="AO1775" s="73"/>
      <c r="AP1775" s="73"/>
      <c r="AQ1775" s="73"/>
      <c r="AR1775" s="73"/>
      <c r="AS1775" s="73"/>
      <c r="AT1775" s="73"/>
      <c r="AU1775" s="73"/>
      <c r="AV1775" s="73"/>
      <c r="AW1775" s="73"/>
      <c r="AX1775" s="73"/>
      <c r="AY1775" s="73"/>
      <c r="AZ1775" s="73"/>
      <c r="BA1775" s="73"/>
      <c r="BB1775" s="73"/>
      <c r="BC1775" s="73"/>
      <c r="BD1775" s="73"/>
      <c r="BE1775" s="73"/>
      <c r="BF1775" s="75"/>
      <c r="BG1775" s="73"/>
      <c r="BH1775" s="88"/>
      <c r="BI1775" s="73"/>
      <c r="BJ1775" s="73"/>
      <c r="BK1775" s="73"/>
      <c r="BL1775" s="73"/>
      <c r="BM1775" s="73"/>
      <c r="BN1775" s="73"/>
      <c r="BO1775" s="73"/>
      <c r="BP1775" s="73"/>
      <c r="BQ1775" s="73"/>
      <c r="BR1775" s="73"/>
      <c r="BS1775" s="73"/>
      <c r="BT1775" s="73"/>
      <c r="BU1775" s="73"/>
      <c r="BV1775" s="73"/>
      <c r="BW1775" s="73"/>
      <c r="BX1775" s="73"/>
      <c r="BY1775" s="73"/>
      <c r="BZ1775" s="73"/>
      <c r="CA1775" s="73"/>
      <c r="CB1775" s="73"/>
      <c r="CC1775" s="73"/>
      <c r="CD1775" s="73"/>
      <c r="CE1775" s="73"/>
      <c r="CF1775" s="73"/>
      <c r="CG1775" s="73"/>
      <c r="CH1775" s="73"/>
    </row>
    <row r="1776">
      <c r="A1776" s="73"/>
      <c r="B1776" s="73"/>
      <c r="C1776" s="73"/>
      <c r="D1776" s="73"/>
      <c r="E1776" s="140"/>
      <c r="F1776" s="80"/>
      <c r="G1776" s="80"/>
      <c r="H1776" s="73"/>
      <c r="I1776" s="73"/>
      <c r="J1776" s="73"/>
      <c r="K1776" s="73"/>
      <c r="L1776" s="73"/>
      <c r="M1776" s="73"/>
      <c r="N1776" s="73"/>
      <c r="O1776" s="73"/>
      <c r="P1776" s="73"/>
      <c r="Q1776" s="73"/>
      <c r="R1776" s="73"/>
      <c r="S1776" s="73"/>
      <c r="T1776" s="73"/>
      <c r="U1776" s="73"/>
      <c r="V1776" s="73"/>
      <c r="W1776" s="73"/>
      <c r="X1776" s="73"/>
      <c r="Y1776" s="73"/>
      <c r="Z1776" s="73"/>
      <c r="AA1776" s="73"/>
      <c r="AB1776" s="73"/>
      <c r="AC1776" s="73"/>
      <c r="AD1776" s="73"/>
      <c r="AE1776" s="73"/>
      <c r="AF1776" s="73"/>
      <c r="AG1776" s="73"/>
      <c r="AH1776" s="73"/>
      <c r="AI1776" s="73"/>
      <c r="AJ1776" s="168"/>
      <c r="AK1776" s="73"/>
      <c r="AL1776" s="73"/>
      <c r="AM1776" s="73"/>
      <c r="AN1776" s="73"/>
      <c r="AO1776" s="73"/>
      <c r="AP1776" s="73"/>
      <c r="AQ1776" s="73"/>
      <c r="AR1776" s="73"/>
      <c r="AS1776" s="73"/>
      <c r="AT1776" s="73"/>
      <c r="AU1776" s="73"/>
      <c r="AV1776" s="73"/>
      <c r="AW1776" s="73"/>
      <c r="AX1776" s="73"/>
      <c r="AY1776" s="73"/>
      <c r="AZ1776" s="73"/>
      <c r="BA1776" s="73"/>
      <c r="BB1776" s="73"/>
      <c r="BC1776" s="73"/>
      <c r="BD1776" s="73"/>
      <c r="BE1776" s="73"/>
      <c r="BF1776" s="75"/>
      <c r="BG1776" s="73"/>
      <c r="BH1776" s="88"/>
      <c r="BI1776" s="73"/>
      <c r="BJ1776" s="73"/>
      <c r="BK1776" s="73"/>
      <c r="BL1776" s="73"/>
      <c r="BM1776" s="73"/>
      <c r="BN1776" s="73"/>
      <c r="BO1776" s="73"/>
      <c r="BP1776" s="73"/>
      <c r="BQ1776" s="73"/>
      <c r="BR1776" s="73"/>
      <c r="BS1776" s="73"/>
      <c r="BT1776" s="73"/>
      <c r="BU1776" s="73"/>
      <c r="BV1776" s="73"/>
      <c r="BW1776" s="73"/>
      <c r="BX1776" s="73"/>
      <c r="BY1776" s="73"/>
      <c r="BZ1776" s="73"/>
      <c r="CA1776" s="73"/>
      <c r="CB1776" s="73"/>
      <c r="CC1776" s="73"/>
      <c r="CD1776" s="73"/>
      <c r="CE1776" s="73"/>
      <c r="CF1776" s="73"/>
      <c r="CG1776" s="73"/>
      <c r="CH1776" s="73"/>
    </row>
    <row r="1777">
      <c r="A1777" s="73"/>
      <c r="B1777" s="73"/>
      <c r="C1777" s="73"/>
      <c r="D1777" s="73"/>
      <c r="E1777" s="140"/>
      <c r="F1777" s="80"/>
      <c r="G1777" s="80"/>
      <c r="H1777" s="73"/>
      <c r="I1777" s="73"/>
      <c r="J1777" s="73"/>
      <c r="K1777" s="73"/>
      <c r="L1777" s="73"/>
      <c r="M1777" s="73"/>
      <c r="N1777" s="73"/>
      <c r="O1777" s="73"/>
      <c r="P1777" s="73"/>
      <c r="Q1777" s="73"/>
      <c r="R1777" s="73"/>
      <c r="S1777" s="73"/>
      <c r="T1777" s="73"/>
      <c r="U1777" s="73"/>
      <c r="V1777" s="73"/>
      <c r="W1777" s="73"/>
      <c r="X1777" s="73"/>
      <c r="Y1777" s="73"/>
      <c r="Z1777" s="73"/>
      <c r="AA1777" s="73"/>
      <c r="AB1777" s="73"/>
      <c r="AC1777" s="73"/>
      <c r="AD1777" s="73"/>
      <c r="AE1777" s="73"/>
      <c r="AF1777" s="73"/>
      <c r="AG1777" s="73"/>
      <c r="AH1777" s="73"/>
      <c r="AI1777" s="73"/>
      <c r="AJ1777" s="168"/>
      <c r="AK1777" s="73"/>
      <c r="AL1777" s="73"/>
      <c r="AM1777" s="73"/>
      <c r="AN1777" s="73"/>
      <c r="AO1777" s="73"/>
      <c r="AP1777" s="73"/>
      <c r="AQ1777" s="73"/>
      <c r="AR1777" s="73"/>
      <c r="AS1777" s="73"/>
      <c r="AT1777" s="73"/>
      <c r="AU1777" s="73"/>
      <c r="AV1777" s="73"/>
      <c r="AW1777" s="73"/>
      <c r="AX1777" s="73"/>
      <c r="AY1777" s="73"/>
      <c r="AZ1777" s="73"/>
      <c r="BA1777" s="73"/>
      <c r="BB1777" s="73"/>
      <c r="BC1777" s="73"/>
      <c r="BD1777" s="73"/>
      <c r="BE1777" s="73"/>
      <c r="BF1777" s="75"/>
      <c r="BG1777" s="73"/>
      <c r="BH1777" s="88"/>
      <c r="BI1777" s="73"/>
      <c r="BJ1777" s="73"/>
      <c r="BK1777" s="73"/>
      <c r="BL1777" s="73"/>
      <c r="BM1777" s="73"/>
      <c r="BN1777" s="73"/>
      <c r="BO1777" s="73"/>
      <c r="BP1777" s="73"/>
      <c r="BQ1777" s="73"/>
      <c r="BR1777" s="73"/>
      <c r="BS1777" s="73"/>
      <c r="BT1777" s="73"/>
      <c r="BU1777" s="73"/>
      <c r="BV1777" s="73"/>
      <c r="BW1777" s="73"/>
      <c r="BX1777" s="73"/>
      <c r="BY1777" s="73"/>
      <c r="BZ1777" s="73"/>
      <c r="CA1777" s="73"/>
      <c r="CB1777" s="73"/>
      <c r="CC1777" s="73"/>
      <c r="CD1777" s="73"/>
      <c r="CE1777" s="73"/>
      <c r="CF1777" s="73"/>
      <c r="CG1777" s="73"/>
      <c r="CH1777" s="73"/>
    </row>
    <row r="1778">
      <c r="A1778" s="73"/>
      <c r="B1778" s="73"/>
      <c r="C1778" s="73"/>
      <c r="D1778" s="73"/>
      <c r="E1778" s="140"/>
      <c r="F1778" s="80"/>
      <c r="G1778" s="80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  <c r="S1778" s="73"/>
      <c r="T1778" s="73"/>
      <c r="U1778" s="73"/>
      <c r="V1778" s="73"/>
      <c r="W1778" s="73"/>
      <c r="X1778" s="73"/>
      <c r="Y1778" s="73"/>
      <c r="Z1778" s="73"/>
      <c r="AA1778" s="73"/>
      <c r="AB1778" s="73"/>
      <c r="AC1778" s="73"/>
      <c r="AD1778" s="73"/>
      <c r="AE1778" s="73"/>
      <c r="AF1778" s="73"/>
      <c r="AG1778" s="73"/>
      <c r="AH1778" s="73"/>
      <c r="AI1778" s="73"/>
      <c r="AJ1778" s="168"/>
      <c r="AK1778" s="73"/>
      <c r="AL1778" s="73"/>
      <c r="AM1778" s="73"/>
      <c r="AN1778" s="73"/>
      <c r="AO1778" s="73"/>
      <c r="AP1778" s="73"/>
      <c r="AQ1778" s="73"/>
      <c r="AR1778" s="73"/>
      <c r="AS1778" s="73"/>
      <c r="AT1778" s="73"/>
      <c r="AU1778" s="73"/>
      <c r="AV1778" s="73"/>
      <c r="AW1778" s="73"/>
      <c r="AX1778" s="73"/>
      <c r="AY1778" s="73"/>
      <c r="AZ1778" s="73"/>
      <c r="BA1778" s="73"/>
      <c r="BB1778" s="73"/>
      <c r="BC1778" s="73"/>
      <c r="BD1778" s="73"/>
      <c r="BE1778" s="73"/>
      <c r="BF1778" s="75"/>
      <c r="BG1778" s="73"/>
      <c r="BH1778" s="88"/>
      <c r="BI1778" s="73"/>
      <c r="BJ1778" s="73"/>
      <c r="BK1778" s="73"/>
      <c r="BL1778" s="73"/>
      <c r="BM1778" s="73"/>
      <c r="BN1778" s="73"/>
      <c r="BO1778" s="73"/>
      <c r="BP1778" s="73"/>
      <c r="BQ1778" s="73"/>
      <c r="BR1778" s="73"/>
      <c r="BS1778" s="73"/>
      <c r="BT1778" s="73"/>
      <c r="BU1778" s="73"/>
      <c r="BV1778" s="73"/>
      <c r="BW1778" s="73"/>
      <c r="BX1778" s="73"/>
      <c r="BY1778" s="73"/>
      <c r="BZ1778" s="73"/>
      <c r="CA1778" s="73"/>
      <c r="CB1778" s="73"/>
      <c r="CC1778" s="73"/>
      <c r="CD1778" s="73"/>
      <c r="CE1778" s="73"/>
      <c r="CF1778" s="73"/>
      <c r="CG1778" s="73"/>
      <c r="CH1778" s="73"/>
    </row>
    <row r="1779">
      <c r="A1779" s="73"/>
      <c r="B1779" s="73"/>
      <c r="C1779" s="73"/>
      <c r="D1779" s="73"/>
      <c r="E1779" s="140"/>
      <c r="F1779" s="80"/>
      <c r="G1779" s="80"/>
      <c r="H1779" s="73"/>
      <c r="I1779" s="73"/>
      <c r="J1779" s="73"/>
      <c r="K1779" s="73"/>
      <c r="L1779" s="73"/>
      <c r="M1779" s="73"/>
      <c r="N1779" s="73"/>
      <c r="O1779" s="73"/>
      <c r="P1779" s="73"/>
      <c r="Q1779" s="73"/>
      <c r="R1779" s="73"/>
      <c r="S1779" s="73"/>
      <c r="T1779" s="73"/>
      <c r="U1779" s="73"/>
      <c r="V1779" s="73"/>
      <c r="W1779" s="73"/>
      <c r="X1779" s="73"/>
      <c r="Y1779" s="73"/>
      <c r="Z1779" s="73"/>
      <c r="AA1779" s="73"/>
      <c r="AB1779" s="73"/>
      <c r="AC1779" s="73"/>
      <c r="AD1779" s="73"/>
      <c r="AE1779" s="73"/>
      <c r="AF1779" s="73"/>
      <c r="AG1779" s="73"/>
      <c r="AH1779" s="73"/>
      <c r="AI1779" s="73"/>
      <c r="AJ1779" s="168"/>
      <c r="AK1779" s="73"/>
      <c r="AL1779" s="73"/>
      <c r="AM1779" s="73"/>
      <c r="AN1779" s="73"/>
      <c r="AO1779" s="73"/>
      <c r="AP1779" s="73"/>
      <c r="AQ1779" s="73"/>
      <c r="AR1779" s="73"/>
      <c r="AS1779" s="73"/>
      <c r="AT1779" s="73"/>
      <c r="AU1779" s="73"/>
      <c r="AV1779" s="73"/>
      <c r="AW1779" s="73"/>
      <c r="AX1779" s="73"/>
      <c r="AY1779" s="73"/>
      <c r="AZ1779" s="73"/>
      <c r="BA1779" s="73"/>
      <c r="BB1779" s="73"/>
      <c r="BC1779" s="73"/>
      <c r="BD1779" s="73"/>
      <c r="BE1779" s="73"/>
      <c r="BF1779" s="75"/>
      <c r="BG1779" s="73"/>
      <c r="BH1779" s="88"/>
      <c r="BI1779" s="73"/>
      <c r="BJ1779" s="73"/>
      <c r="BK1779" s="73"/>
      <c r="BL1779" s="73"/>
      <c r="BM1779" s="73"/>
      <c r="BN1779" s="73"/>
      <c r="BO1779" s="73"/>
      <c r="BP1779" s="73"/>
      <c r="BQ1779" s="73"/>
      <c r="BR1779" s="73"/>
      <c r="BS1779" s="73"/>
      <c r="BT1779" s="73"/>
      <c r="BU1779" s="73"/>
      <c r="BV1779" s="73"/>
      <c r="BW1779" s="73"/>
      <c r="BX1779" s="73"/>
      <c r="BY1779" s="73"/>
      <c r="BZ1779" s="73"/>
      <c r="CA1779" s="73"/>
      <c r="CB1779" s="73"/>
      <c r="CC1779" s="73"/>
      <c r="CD1779" s="73"/>
      <c r="CE1779" s="73"/>
      <c r="CF1779" s="73"/>
      <c r="CG1779" s="73"/>
      <c r="CH1779" s="73"/>
    </row>
    <row r="1780">
      <c r="A1780" s="73"/>
      <c r="B1780" s="73"/>
      <c r="C1780" s="73"/>
      <c r="D1780" s="73"/>
      <c r="E1780" s="140"/>
      <c r="F1780" s="80"/>
      <c r="G1780" s="80"/>
      <c r="H1780" s="73"/>
      <c r="I1780" s="73"/>
      <c r="J1780" s="73"/>
      <c r="K1780" s="73"/>
      <c r="L1780" s="73"/>
      <c r="M1780" s="73"/>
      <c r="N1780" s="73"/>
      <c r="O1780" s="73"/>
      <c r="P1780" s="73"/>
      <c r="Q1780" s="73"/>
      <c r="R1780" s="73"/>
      <c r="S1780" s="73"/>
      <c r="T1780" s="73"/>
      <c r="U1780" s="73"/>
      <c r="V1780" s="73"/>
      <c r="W1780" s="73"/>
      <c r="X1780" s="73"/>
      <c r="Y1780" s="73"/>
      <c r="Z1780" s="73"/>
      <c r="AA1780" s="73"/>
      <c r="AB1780" s="73"/>
      <c r="AC1780" s="73"/>
      <c r="AD1780" s="73"/>
      <c r="AE1780" s="73"/>
      <c r="AF1780" s="73"/>
      <c r="AG1780" s="73"/>
      <c r="AH1780" s="73"/>
      <c r="AI1780" s="73"/>
      <c r="AJ1780" s="168"/>
      <c r="AK1780" s="73"/>
      <c r="AL1780" s="73"/>
      <c r="AM1780" s="73"/>
      <c r="AN1780" s="73"/>
      <c r="AO1780" s="73"/>
      <c r="AP1780" s="73"/>
      <c r="AQ1780" s="73"/>
      <c r="AR1780" s="73"/>
      <c r="AS1780" s="73"/>
      <c r="AT1780" s="73"/>
      <c r="AU1780" s="73"/>
      <c r="AV1780" s="73"/>
      <c r="AW1780" s="73"/>
      <c r="AX1780" s="73"/>
      <c r="AY1780" s="73"/>
      <c r="AZ1780" s="73"/>
      <c r="BA1780" s="73"/>
      <c r="BB1780" s="73"/>
      <c r="BC1780" s="73"/>
      <c r="BD1780" s="73"/>
      <c r="BE1780" s="73"/>
      <c r="BF1780" s="75"/>
      <c r="BG1780" s="73"/>
      <c r="BH1780" s="88"/>
      <c r="BI1780" s="73"/>
      <c r="BJ1780" s="73"/>
      <c r="BK1780" s="73"/>
      <c r="BL1780" s="73"/>
      <c r="BM1780" s="73"/>
      <c r="BN1780" s="73"/>
      <c r="BO1780" s="73"/>
      <c r="BP1780" s="73"/>
      <c r="BQ1780" s="73"/>
      <c r="BR1780" s="73"/>
      <c r="BS1780" s="73"/>
      <c r="BT1780" s="73"/>
      <c r="BU1780" s="73"/>
      <c r="BV1780" s="73"/>
      <c r="BW1780" s="73"/>
      <c r="BX1780" s="73"/>
      <c r="BY1780" s="73"/>
      <c r="BZ1780" s="73"/>
      <c r="CA1780" s="73"/>
      <c r="CB1780" s="73"/>
      <c r="CC1780" s="73"/>
      <c r="CD1780" s="73"/>
      <c r="CE1780" s="73"/>
      <c r="CF1780" s="73"/>
      <c r="CG1780" s="73"/>
      <c r="CH1780" s="73"/>
    </row>
    <row r="1781">
      <c r="A1781" s="73"/>
      <c r="B1781" s="73"/>
      <c r="C1781" s="73"/>
      <c r="D1781" s="73"/>
      <c r="E1781" s="140"/>
      <c r="F1781" s="80"/>
      <c r="G1781" s="80"/>
      <c r="H1781" s="73"/>
      <c r="I1781" s="73"/>
      <c r="J1781" s="73"/>
      <c r="K1781" s="73"/>
      <c r="L1781" s="73"/>
      <c r="M1781" s="73"/>
      <c r="N1781" s="73"/>
      <c r="O1781" s="73"/>
      <c r="P1781" s="73"/>
      <c r="Q1781" s="73"/>
      <c r="R1781" s="73"/>
      <c r="S1781" s="73"/>
      <c r="T1781" s="73"/>
      <c r="U1781" s="73"/>
      <c r="V1781" s="73"/>
      <c r="W1781" s="73"/>
      <c r="X1781" s="73"/>
      <c r="Y1781" s="73"/>
      <c r="Z1781" s="73"/>
      <c r="AA1781" s="73"/>
      <c r="AB1781" s="73"/>
      <c r="AC1781" s="73"/>
      <c r="AD1781" s="73"/>
      <c r="AE1781" s="73"/>
      <c r="AF1781" s="73"/>
      <c r="AG1781" s="73"/>
      <c r="AH1781" s="73"/>
      <c r="AI1781" s="73"/>
      <c r="AJ1781" s="168"/>
      <c r="AK1781" s="73"/>
      <c r="AL1781" s="73"/>
      <c r="AM1781" s="73"/>
      <c r="AN1781" s="73"/>
      <c r="AO1781" s="73"/>
      <c r="AP1781" s="73"/>
      <c r="AQ1781" s="73"/>
      <c r="AR1781" s="73"/>
      <c r="AS1781" s="73"/>
      <c r="AT1781" s="73"/>
      <c r="AU1781" s="73"/>
      <c r="AV1781" s="73"/>
      <c r="AW1781" s="73"/>
      <c r="AX1781" s="73"/>
      <c r="AY1781" s="73"/>
      <c r="AZ1781" s="73"/>
      <c r="BA1781" s="73"/>
      <c r="BB1781" s="73"/>
      <c r="BC1781" s="73"/>
      <c r="BD1781" s="73"/>
      <c r="BE1781" s="73"/>
      <c r="BF1781" s="75"/>
      <c r="BG1781" s="73"/>
      <c r="BH1781" s="88"/>
      <c r="BI1781" s="73"/>
      <c r="BJ1781" s="73"/>
      <c r="BK1781" s="73"/>
      <c r="BL1781" s="73"/>
      <c r="BM1781" s="73"/>
      <c r="BN1781" s="73"/>
      <c r="BO1781" s="73"/>
      <c r="BP1781" s="73"/>
      <c r="BQ1781" s="73"/>
      <c r="BR1781" s="73"/>
      <c r="BS1781" s="73"/>
      <c r="BT1781" s="73"/>
      <c r="BU1781" s="73"/>
      <c r="BV1781" s="73"/>
      <c r="BW1781" s="73"/>
      <c r="BX1781" s="73"/>
      <c r="BY1781" s="73"/>
      <c r="BZ1781" s="73"/>
      <c r="CA1781" s="73"/>
      <c r="CB1781" s="73"/>
      <c r="CC1781" s="73"/>
      <c r="CD1781" s="73"/>
      <c r="CE1781" s="73"/>
      <c r="CF1781" s="73"/>
      <c r="CG1781" s="73"/>
      <c r="CH1781" s="73"/>
    </row>
    <row r="1782">
      <c r="A1782" s="73"/>
      <c r="B1782" s="73"/>
      <c r="C1782" s="73"/>
      <c r="D1782" s="73"/>
      <c r="E1782" s="140"/>
      <c r="F1782" s="80"/>
      <c r="G1782" s="80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  <c r="S1782" s="73"/>
      <c r="T1782" s="73"/>
      <c r="U1782" s="73"/>
      <c r="V1782" s="73"/>
      <c r="W1782" s="73"/>
      <c r="X1782" s="73"/>
      <c r="Y1782" s="73"/>
      <c r="Z1782" s="73"/>
      <c r="AA1782" s="73"/>
      <c r="AB1782" s="73"/>
      <c r="AC1782" s="73"/>
      <c r="AD1782" s="73"/>
      <c r="AE1782" s="73"/>
      <c r="AF1782" s="73"/>
      <c r="AG1782" s="73"/>
      <c r="AH1782" s="73"/>
      <c r="AI1782" s="73"/>
      <c r="AJ1782" s="168"/>
      <c r="AK1782" s="73"/>
      <c r="AL1782" s="73"/>
      <c r="AM1782" s="73"/>
      <c r="AN1782" s="73"/>
      <c r="AO1782" s="73"/>
      <c r="AP1782" s="73"/>
      <c r="AQ1782" s="73"/>
      <c r="AR1782" s="73"/>
      <c r="AS1782" s="73"/>
      <c r="AT1782" s="73"/>
      <c r="AU1782" s="73"/>
      <c r="AV1782" s="73"/>
      <c r="AW1782" s="73"/>
      <c r="AX1782" s="73"/>
      <c r="AY1782" s="73"/>
      <c r="AZ1782" s="73"/>
      <c r="BA1782" s="73"/>
      <c r="BB1782" s="73"/>
      <c r="BC1782" s="73"/>
      <c r="BD1782" s="73"/>
      <c r="BE1782" s="73"/>
      <c r="BF1782" s="75"/>
      <c r="BG1782" s="73"/>
      <c r="BH1782" s="88"/>
      <c r="BI1782" s="73"/>
      <c r="BJ1782" s="73"/>
      <c r="BK1782" s="73"/>
      <c r="BL1782" s="73"/>
      <c r="BM1782" s="73"/>
      <c r="BN1782" s="73"/>
      <c r="BO1782" s="73"/>
      <c r="BP1782" s="73"/>
      <c r="BQ1782" s="73"/>
      <c r="BR1782" s="73"/>
      <c r="BS1782" s="73"/>
      <c r="BT1782" s="73"/>
      <c r="BU1782" s="73"/>
      <c r="BV1782" s="73"/>
      <c r="BW1782" s="73"/>
      <c r="BX1782" s="73"/>
      <c r="BY1782" s="73"/>
      <c r="BZ1782" s="73"/>
      <c r="CA1782" s="73"/>
      <c r="CB1782" s="73"/>
      <c r="CC1782" s="73"/>
      <c r="CD1782" s="73"/>
      <c r="CE1782" s="73"/>
      <c r="CF1782" s="73"/>
      <c r="CG1782" s="73"/>
      <c r="CH1782" s="73"/>
    </row>
    <row r="1783">
      <c r="A1783" s="73"/>
      <c r="B1783" s="73"/>
      <c r="C1783" s="73"/>
      <c r="D1783" s="73"/>
      <c r="E1783" s="140"/>
      <c r="F1783" s="80"/>
      <c r="G1783" s="80"/>
      <c r="H1783" s="73"/>
      <c r="I1783" s="73"/>
      <c r="J1783" s="73"/>
      <c r="K1783" s="73"/>
      <c r="L1783" s="73"/>
      <c r="M1783" s="73"/>
      <c r="N1783" s="73"/>
      <c r="O1783" s="73"/>
      <c r="P1783" s="73"/>
      <c r="Q1783" s="73"/>
      <c r="R1783" s="73"/>
      <c r="S1783" s="73"/>
      <c r="T1783" s="73"/>
      <c r="U1783" s="73"/>
      <c r="V1783" s="73"/>
      <c r="W1783" s="73"/>
      <c r="X1783" s="73"/>
      <c r="Y1783" s="73"/>
      <c r="Z1783" s="73"/>
      <c r="AA1783" s="73"/>
      <c r="AB1783" s="73"/>
      <c r="AC1783" s="73"/>
      <c r="AD1783" s="73"/>
      <c r="AE1783" s="73"/>
      <c r="AF1783" s="73"/>
      <c r="AG1783" s="73"/>
      <c r="AH1783" s="73"/>
      <c r="AI1783" s="73"/>
      <c r="AJ1783" s="168"/>
      <c r="AK1783" s="73"/>
      <c r="AL1783" s="73"/>
      <c r="AM1783" s="73"/>
      <c r="AN1783" s="73"/>
      <c r="AO1783" s="73"/>
      <c r="AP1783" s="73"/>
      <c r="AQ1783" s="73"/>
      <c r="AR1783" s="73"/>
      <c r="AS1783" s="73"/>
      <c r="AT1783" s="73"/>
      <c r="AU1783" s="73"/>
      <c r="AV1783" s="73"/>
      <c r="AW1783" s="73"/>
      <c r="AX1783" s="73"/>
      <c r="AY1783" s="73"/>
      <c r="AZ1783" s="73"/>
      <c r="BA1783" s="73"/>
      <c r="BB1783" s="73"/>
      <c r="BC1783" s="73"/>
      <c r="BD1783" s="73"/>
      <c r="BE1783" s="73"/>
      <c r="BF1783" s="75"/>
      <c r="BG1783" s="73"/>
      <c r="BH1783" s="88"/>
      <c r="BI1783" s="73"/>
      <c r="BJ1783" s="73"/>
      <c r="BK1783" s="73"/>
      <c r="BL1783" s="73"/>
      <c r="BM1783" s="73"/>
      <c r="BN1783" s="73"/>
      <c r="BO1783" s="73"/>
      <c r="BP1783" s="73"/>
      <c r="BQ1783" s="73"/>
      <c r="BR1783" s="73"/>
      <c r="BS1783" s="73"/>
      <c r="BT1783" s="73"/>
      <c r="BU1783" s="73"/>
      <c r="BV1783" s="73"/>
      <c r="BW1783" s="73"/>
      <c r="BX1783" s="73"/>
      <c r="BY1783" s="73"/>
      <c r="BZ1783" s="73"/>
      <c r="CA1783" s="73"/>
      <c r="CB1783" s="73"/>
      <c r="CC1783" s="73"/>
      <c r="CD1783" s="73"/>
      <c r="CE1783" s="73"/>
      <c r="CF1783" s="73"/>
      <c r="CG1783" s="73"/>
      <c r="CH1783" s="73"/>
    </row>
    <row r="1784">
      <c r="A1784" s="73"/>
      <c r="B1784" s="73"/>
      <c r="C1784" s="73"/>
      <c r="D1784" s="73"/>
      <c r="E1784" s="140"/>
      <c r="F1784" s="80"/>
      <c r="G1784" s="80"/>
      <c r="H1784" s="73"/>
      <c r="I1784" s="73"/>
      <c r="J1784" s="73"/>
      <c r="K1784" s="73"/>
      <c r="L1784" s="73"/>
      <c r="M1784" s="73"/>
      <c r="N1784" s="73"/>
      <c r="O1784" s="73"/>
      <c r="P1784" s="73"/>
      <c r="Q1784" s="73"/>
      <c r="R1784" s="73"/>
      <c r="S1784" s="73"/>
      <c r="T1784" s="73"/>
      <c r="U1784" s="73"/>
      <c r="V1784" s="73"/>
      <c r="W1784" s="73"/>
      <c r="X1784" s="73"/>
      <c r="Y1784" s="73"/>
      <c r="Z1784" s="73"/>
      <c r="AA1784" s="73"/>
      <c r="AB1784" s="73"/>
      <c r="AC1784" s="73"/>
      <c r="AD1784" s="73"/>
      <c r="AE1784" s="73"/>
      <c r="AF1784" s="73"/>
      <c r="AG1784" s="73"/>
      <c r="AH1784" s="73"/>
      <c r="AI1784" s="73"/>
      <c r="AJ1784" s="168"/>
      <c r="AK1784" s="73"/>
      <c r="AL1784" s="73"/>
      <c r="AM1784" s="73"/>
      <c r="AN1784" s="73"/>
      <c r="AO1784" s="73"/>
      <c r="AP1784" s="73"/>
      <c r="AQ1784" s="73"/>
      <c r="AR1784" s="73"/>
      <c r="AS1784" s="73"/>
      <c r="AT1784" s="73"/>
      <c r="AU1784" s="73"/>
      <c r="AV1784" s="73"/>
      <c r="AW1784" s="73"/>
      <c r="AX1784" s="73"/>
      <c r="AY1784" s="73"/>
      <c r="AZ1784" s="73"/>
      <c r="BA1784" s="73"/>
      <c r="BB1784" s="73"/>
      <c r="BC1784" s="73"/>
      <c r="BD1784" s="73"/>
      <c r="BE1784" s="73"/>
      <c r="BF1784" s="75"/>
      <c r="BG1784" s="73"/>
      <c r="BH1784" s="88"/>
      <c r="BI1784" s="73"/>
      <c r="BJ1784" s="73"/>
      <c r="BK1784" s="73"/>
      <c r="BL1784" s="73"/>
      <c r="BM1784" s="73"/>
      <c r="BN1784" s="73"/>
      <c r="BO1784" s="73"/>
      <c r="BP1784" s="73"/>
      <c r="BQ1784" s="73"/>
      <c r="BR1784" s="73"/>
      <c r="BS1784" s="73"/>
      <c r="BT1784" s="73"/>
      <c r="BU1784" s="73"/>
      <c r="BV1784" s="73"/>
      <c r="BW1784" s="73"/>
      <c r="BX1784" s="73"/>
      <c r="BY1784" s="73"/>
      <c r="BZ1784" s="73"/>
      <c r="CA1784" s="73"/>
      <c r="CB1784" s="73"/>
      <c r="CC1784" s="73"/>
      <c r="CD1784" s="73"/>
      <c r="CE1784" s="73"/>
      <c r="CF1784" s="73"/>
      <c r="CG1784" s="73"/>
      <c r="CH1784" s="73"/>
    </row>
    <row r="1785">
      <c r="A1785" s="73"/>
      <c r="B1785" s="73"/>
      <c r="C1785" s="73"/>
      <c r="D1785" s="73"/>
      <c r="E1785" s="140"/>
      <c r="F1785" s="80"/>
      <c r="G1785" s="80"/>
      <c r="H1785" s="73"/>
      <c r="I1785" s="73"/>
      <c r="J1785" s="73"/>
      <c r="K1785" s="73"/>
      <c r="L1785" s="73"/>
      <c r="M1785" s="73"/>
      <c r="N1785" s="73"/>
      <c r="O1785" s="73"/>
      <c r="P1785" s="73"/>
      <c r="Q1785" s="73"/>
      <c r="R1785" s="73"/>
      <c r="S1785" s="73"/>
      <c r="T1785" s="73"/>
      <c r="U1785" s="73"/>
      <c r="V1785" s="73"/>
      <c r="W1785" s="73"/>
      <c r="X1785" s="73"/>
      <c r="Y1785" s="73"/>
      <c r="Z1785" s="73"/>
      <c r="AA1785" s="73"/>
      <c r="AB1785" s="73"/>
      <c r="AC1785" s="73"/>
      <c r="AD1785" s="73"/>
      <c r="AE1785" s="73"/>
      <c r="AF1785" s="73"/>
      <c r="AG1785" s="73"/>
      <c r="AH1785" s="73"/>
      <c r="AI1785" s="73"/>
      <c r="AJ1785" s="168"/>
      <c r="AK1785" s="73"/>
      <c r="AL1785" s="73"/>
      <c r="AM1785" s="73"/>
      <c r="AN1785" s="73"/>
      <c r="AO1785" s="73"/>
      <c r="AP1785" s="73"/>
      <c r="AQ1785" s="73"/>
      <c r="AR1785" s="73"/>
      <c r="AS1785" s="73"/>
      <c r="AT1785" s="73"/>
      <c r="AU1785" s="73"/>
      <c r="AV1785" s="73"/>
      <c r="AW1785" s="73"/>
      <c r="AX1785" s="73"/>
      <c r="AY1785" s="73"/>
      <c r="AZ1785" s="73"/>
      <c r="BA1785" s="73"/>
      <c r="BB1785" s="73"/>
      <c r="BC1785" s="73"/>
      <c r="BD1785" s="73"/>
      <c r="BE1785" s="73"/>
      <c r="BF1785" s="75"/>
      <c r="BG1785" s="73"/>
      <c r="BH1785" s="88"/>
      <c r="BI1785" s="73"/>
      <c r="BJ1785" s="73"/>
      <c r="BK1785" s="73"/>
      <c r="BL1785" s="73"/>
      <c r="BM1785" s="73"/>
      <c r="BN1785" s="73"/>
      <c r="BO1785" s="73"/>
      <c r="BP1785" s="73"/>
      <c r="BQ1785" s="73"/>
      <c r="BR1785" s="73"/>
      <c r="BS1785" s="73"/>
      <c r="BT1785" s="73"/>
      <c r="BU1785" s="73"/>
      <c r="BV1785" s="73"/>
      <c r="BW1785" s="73"/>
      <c r="BX1785" s="73"/>
      <c r="BY1785" s="73"/>
      <c r="BZ1785" s="73"/>
      <c r="CA1785" s="73"/>
      <c r="CB1785" s="73"/>
      <c r="CC1785" s="73"/>
      <c r="CD1785" s="73"/>
      <c r="CE1785" s="73"/>
      <c r="CF1785" s="73"/>
      <c r="CG1785" s="73"/>
      <c r="CH1785" s="73"/>
    </row>
    <row r="1786">
      <c r="A1786" s="73"/>
      <c r="B1786" s="73"/>
      <c r="C1786" s="73"/>
      <c r="D1786" s="73"/>
      <c r="E1786" s="140"/>
      <c r="F1786" s="80"/>
      <c r="G1786" s="80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  <c r="S1786" s="73"/>
      <c r="T1786" s="73"/>
      <c r="U1786" s="73"/>
      <c r="V1786" s="73"/>
      <c r="W1786" s="73"/>
      <c r="X1786" s="73"/>
      <c r="Y1786" s="73"/>
      <c r="Z1786" s="73"/>
      <c r="AA1786" s="73"/>
      <c r="AB1786" s="73"/>
      <c r="AC1786" s="73"/>
      <c r="AD1786" s="73"/>
      <c r="AE1786" s="73"/>
      <c r="AF1786" s="73"/>
      <c r="AG1786" s="73"/>
      <c r="AH1786" s="73"/>
      <c r="AI1786" s="73"/>
      <c r="AJ1786" s="168"/>
      <c r="AK1786" s="73"/>
      <c r="AL1786" s="73"/>
      <c r="AM1786" s="73"/>
      <c r="AN1786" s="73"/>
      <c r="AO1786" s="73"/>
      <c r="AP1786" s="73"/>
      <c r="AQ1786" s="73"/>
      <c r="AR1786" s="73"/>
      <c r="AS1786" s="73"/>
      <c r="AT1786" s="73"/>
      <c r="AU1786" s="73"/>
      <c r="AV1786" s="73"/>
      <c r="AW1786" s="73"/>
      <c r="AX1786" s="73"/>
      <c r="AY1786" s="73"/>
      <c r="AZ1786" s="73"/>
      <c r="BA1786" s="73"/>
      <c r="BB1786" s="73"/>
      <c r="BC1786" s="73"/>
      <c r="BD1786" s="73"/>
      <c r="BE1786" s="73"/>
      <c r="BF1786" s="75"/>
      <c r="BG1786" s="73"/>
      <c r="BH1786" s="88"/>
      <c r="BI1786" s="73"/>
      <c r="BJ1786" s="73"/>
      <c r="BK1786" s="73"/>
      <c r="BL1786" s="73"/>
      <c r="BM1786" s="73"/>
      <c r="BN1786" s="73"/>
      <c r="BO1786" s="73"/>
      <c r="BP1786" s="73"/>
      <c r="BQ1786" s="73"/>
      <c r="BR1786" s="73"/>
      <c r="BS1786" s="73"/>
      <c r="BT1786" s="73"/>
      <c r="BU1786" s="73"/>
      <c r="BV1786" s="73"/>
      <c r="BW1786" s="73"/>
      <c r="BX1786" s="73"/>
      <c r="BY1786" s="73"/>
      <c r="BZ1786" s="73"/>
      <c r="CA1786" s="73"/>
      <c r="CB1786" s="73"/>
      <c r="CC1786" s="73"/>
      <c r="CD1786" s="73"/>
      <c r="CE1786" s="73"/>
      <c r="CF1786" s="73"/>
      <c r="CG1786" s="73"/>
      <c r="CH1786" s="73"/>
    </row>
    <row r="1787">
      <c r="A1787" s="73"/>
      <c r="B1787" s="73"/>
      <c r="C1787" s="73"/>
      <c r="D1787" s="73"/>
      <c r="E1787" s="140"/>
      <c r="F1787" s="80"/>
      <c r="G1787" s="80"/>
      <c r="H1787" s="73"/>
      <c r="I1787" s="73"/>
      <c r="J1787" s="73"/>
      <c r="K1787" s="73"/>
      <c r="L1787" s="73"/>
      <c r="M1787" s="73"/>
      <c r="N1787" s="73"/>
      <c r="O1787" s="73"/>
      <c r="P1787" s="73"/>
      <c r="Q1787" s="73"/>
      <c r="R1787" s="73"/>
      <c r="S1787" s="73"/>
      <c r="T1787" s="73"/>
      <c r="U1787" s="73"/>
      <c r="V1787" s="73"/>
      <c r="W1787" s="73"/>
      <c r="X1787" s="73"/>
      <c r="Y1787" s="73"/>
      <c r="Z1787" s="73"/>
      <c r="AA1787" s="73"/>
      <c r="AB1787" s="73"/>
      <c r="AC1787" s="73"/>
      <c r="AD1787" s="73"/>
      <c r="AE1787" s="73"/>
      <c r="AF1787" s="73"/>
      <c r="AG1787" s="73"/>
      <c r="AH1787" s="73"/>
      <c r="AI1787" s="73"/>
      <c r="AJ1787" s="168"/>
      <c r="AK1787" s="73"/>
      <c r="AL1787" s="73"/>
      <c r="AM1787" s="73"/>
      <c r="AN1787" s="73"/>
      <c r="AO1787" s="73"/>
      <c r="AP1787" s="73"/>
      <c r="AQ1787" s="73"/>
      <c r="AR1787" s="73"/>
      <c r="AS1787" s="73"/>
      <c r="AT1787" s="73"/>
      <c r="AU1787" s="73"/>
      <c r="AV1787" s="73"/>
      <c r="AW1787" s="73"/>
      <c r="AX1787" s="73"/>
      <c r="AY1787" s="73"/>
      <c r="AZ1787" s="73"/>
      <c r="BA1787" s="73"/>
      <c r="BB1787" s="73"/>
      <c r="BC1787" s="73"/>
      <c r="BD1787" s="73"/>
      <c r="BE1787" s="73"/>
      <c r="BF1787" s="75"/>
      <c r="BG1787" s="73"/>
      <c r="BH1787" s="88"/>
      <c r="BI1787" s="73"/>
      <c r="BJ1787" s="73"/>
      <c r="BK1787" s="73"/>
      <c r="BL1787" s="73"/>
      <c r="BM1787" s="73"/>
      <c r="BN1787" s="73"/>
      <c r="BO1787" s="73"/>
      <c r="BP1787" s="73"/>
      <c r="BQ1787" s="73"/>
      <c r="BR1787" s="73"/>
      <c r="BS1787" s="73"/>
      <c r="BT1787" s="73"/>
      <c r="BU1787" s="73"/>
      <c r="BV1787" s="73"/>
      <c r="BW1787" s="73"/>
      <c r="BX1787" s="73"/>
      <c r="BY1787" s="73"/>
      <c r="BZ1787" s="73"/>
      <c r="CA1787" s="73"/>
      <c r="CB1787" s="73"/>
      <c r="CC1787" s="73"/>
      <c r="CD1787" s="73"/>
      <c r="CE1787" s="73"/>
      <c r="CF1787" s="73"/>
      <c r="CG1787" s="73"/>
      <c r="CH1787" s="73"/>
    </row>
    <row r="1788">
      <c r="A1788" s="73"/>
      <c r="B1788" s="73"/>
      <c r="C1788" s="73"/>
      <c r="D1788" s="73"/>
      <c r="E1788" s="140"/>
      <c r="F1788" s="80"/>
      <c r="G1788" s="80"/>
      <c r="H1788" s="73"/>
      <c r="I1788" s="73"/>
      <c r="J1788" s="73"/>
      <c r="K1788" s="73"/>
      <c r="L1788" s="73"/>
      <c r="M1788" s="73"/>
      <c r="N1788" s="73"/>
      <c r="O1788" s="73"/>
      <c r="P1788" s="73"/>
      <c r="Q1788" s="73"/>
      <c r="R1788" s="73"/>
      <c r="S1788" s="73"/>
      <c r="T1788" s="73"/>
      <c r="U1788" s="73"/>
      <c r="V1788" s="73"/>
      <c r="W1788" s="73"/>
      <c r="X1788" s="73"/>
      <c r="Y1788" s="73"/>
      <c r="Z1788" s="73"/>
      <c r="AA1788" s="73"/>
      <c r="AB1788" s="73"/>
      <c r="AC1788" s="73"/>
      <c r="AD1788" s="73"/>
      <c r="AE1788" s="73"/>
      <c r="AF1788" s="73"/>
      <c r="AG1788" s="73"/>
      <c r="AH1788" s="73"/>
      <c r="AI1788" s="73"/>
      <c r="AJ1788" s="168"/>
      <c r="AK1788" s="73"/>
      <c r="AL1788" s="73"/>
      <c r="AM1788" s="73"/>
      <c r="AN1788" s="73"/>
      <c r="AO1788" s="73"/>
      <c r="AP1788" s="73"/>
      <c r="AQ1788" s="73"/>
      <c r="AR1788" s="73"/>
      <c r="AS1788" s="73"/>
      <c r="AT1788" s="73"/>
      <c r="AU1788" s="73"/>
      <c r="AV1788" s="73"/>
      <c r="AW1788" s="73"/>
      <c r="AX1788" s="73"/>
      <c r="AY1788" s="73"/>
      <c r="AZ1788" s="73"/>
      <c r="BA1788" s="73"/>
      <c r="BB1788" s="73"/>
      <c r="BC1788" s="73"/>
      <c r="BD1788" s="73"/>
      <c r="BE1788" s="73"/>
      <c r="BF1788" s="75"/>
      <c r="BG1788" s="73"/>
      <c r="BH1788" s="88"/>
      <c r="BI1788" s="73"/>
      <c r="BJ1788" s="73"/>
      <c r="BK1788" s="73"/>
      <c r="BL1788" s="73"/>
      <c r="BM1788" s="73"/>
      <c r="BN1788" s="73"/>
      <c r="BO1788" s="73"/>
      <c r="BP1788" s="73"/>
      <c r="BQ1788" s="73"/>
      <c r="BR1788" s="73"/>
      <c r="BS1788" s="73"/>
      <c r="BT1788" s="73"/>
      <c r="BU1788" s="73"/>
      <c r="BV1788" s="73"/>
      <c r="BW1788" s="73"/>
      <c r="BX1788" s="73"/>
      <c r="BY1788" s="73"/>
      <c r="BZ1788" s="73"/>
      <c r="CA1788" s="73"/>
      <c r="CB1788" s="73"/>
      <c r="CC1788" s="73"/>
      <c r="CD1788" s="73"/>
      <c r="CE1788" s="73"/>
      <c r="CF1788" s="73"/>
      <c r="CG1788" s="73"/>
      <c r="CH1788" s="73"/>
    </row>
    <row r="1789">
      <c r="A1789" s="73"/>
      <c r="B1789" s="73"/>
      <c r="C1789" s="73"/>
      <c r="D1789" s="73"/>
      <c r="E1789" s="140"/>
      <c r="F1789" s="80"/>
      <c r="G1789" s="80"/>
      <c r="H1789" s="73"/>
      <c r="I1789" s="73"/>
      <c r="J1789" s="73"/>
      <c r="K1789" s="73"/>
      <c r="L1789" s="73"/>
      <c r="M1789" s="73"/>
      <c r="N1789" s="73"/>
      <c r="O1789" s="73"/>
      <c r="P1789" s="73"/>
      <c r="Q1789" s="73"/>
      <c r="R1789" s="73"/>
      <c r="S1789" s="73"/>
      <c r="T1789" s="73"/>
      <c r="U1789" s="73"/>
      <c r="V1789" s="73"/>
      <c r="W1789" s="73"/>
      <c r="X1789" s="73"/>
      <c r="Y1789" s="73"/>
      <c r="Z1789" s="73"/>
      <c r="AA1789" s="73"/>
      <c r="AB1789" s="73"/>
      <c r="AC1789" s="73"/>
      <c r="AD1789" s="73"/>
      <c r="AE1789" s="73"/>
      <c r="AF1789" s="73"/>
      <c r="AG1789" s="73"/>
      <c r="AH1789" s="73"/>
      <c r="AI1789" s="73"/>
      <c r="AJ1789" s="168"/>
      <c r="AK1789" s="73"/>
      <c r="AL1789" s="73"/>
      <c r="AM1789" s="73"/>
      <c r="AN1789" s="73"/>
      <c r="AO1789" s="73"/>
      <c r="AP1789" s="73"/>
      <c r="AQ1789" s="73"/>
      <c r="AR1789" s="73"/>
      <c r="AS1789" s="73"/>
      <c r="AT1789" s="73"/>
      <c r="AU1789" s="73"/>
      <c r="AV1789" s="73"/>
      <c r="AW1789" s="73"/>
      <c r="AX1789" s="73"/>
      <c r="AY1789" s="73"/>
      <c r="AZ1789" s="73"/>
      <c r="BA1789" s="73"/>
      <c r="BB1789" s="73"/>
      <c r="BC1789" s="73"/>
      <c r="BD1789" s="73"/>
      <c r="BE1789" s="73"/>
      <c r="BF1789" s="75"/>
      <c r="BG1789" s="73"/>
      <c r="BH1789" s="88"/>
      <c r="BI1789" s="73"/>
      <c r="BJ1789" s="73"/>
      <c r="BK1789" s="73"/>
      <c r="BL1789" s="73"/>
      <c r="BM1789" s="73"/>
      <c r="BN1789" s="73"/>
      <c r="BO1789" s="73"/>
      <c r="BP1789" s="73"/>
      <c r="BQ1789" s="73"/>
      <c r="BR1789" s="73"/>
      <c r="BS1789" s="73"/>
      <c r="BT1789" s="73"/>
      <c r="BU1789" s="73"/>
      <c r="BV1789" s="73"/>
      <c r="BW1789" s="73"/>
      <c r="BX1789" s="73"/>
      <c r="BY1789" s="73"/>
      <c r="BZ1789" s="73"/>
      <c r="CA1789" s="73"/>
      <c r="CB1789" s="73"/>
      <c r="CC1789" s="73"/>
      <c r="CD1789" s="73"/>
      <c r="CE1789" s="73"/>
      <c r="CF1789" s="73"/>
      <c r="CG1789" s="73"/>
      <c r="CH1789" s="73"/>
    </row>
    <row r="1790">
      <c r="A1790" s="73"/>
      <c r="B1790" s="73"/>
      <c r="C1790" s="73"/>
      <c r="D1790" s="73"/>
      <c r="E1790" s="140"/>
      <c r="F1790" s="80"/>
      <c r="G1790" s="80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  <c r="S1790" s="73"/>
      <c r="T1790" s="73"/>
      <c r="U1790" s="73"/>
      <c r="V1790" s="73"/>
      <c r="W1790" s="73"/>
      <c r="X1790" s="73"/>
      <c r="Y1790" s="73"/>
      <c r="Z1790" s="73"/>
      <c r="AA1790" s="73"/>
      <c r="AB1790" s="73"/>
      <c r="AC1790" s="73"/>
      <c r="AD1790" s="73"/>
      <c r="AE1790" s="73"/>
      <c r="AF1790" s="73"/>
      <c r="AG1790" s="73"/>
      <c r="AH1790" s="73"/>
      <c r="AI1790" s="73"/>
      <c r="AJ1790" s="168"/>
      <c r="AK1790" s="73"/>
      <c r="AL1790" s="73"/>
      <c r="AM1790" s="73"/>
      <c r="AN1790" s="73"/>
      <c r="AO1790" s="73"/>
      <c r="AP1790" s="73"/>
      <c r="AQ1790" s="73"/>
      <c r="AR1790" s="73"/>
      <c r="AS1790" s="73"/>
      <c r="AT1790" s="73"/>
      <c r="AU1790" s="73"/>
      <c r="AV1790" s="73"/>
      <c r="AW1790" s="73"/>
      <c r="AX1790" s="73"/>
      <c r="AY1790" s="73"/>
      <c r="AZ1790" s="73"/>
      <c r="BA1790" s="73"/>
      <c r="BB1790" s="73"/>
      <c r="BC1790" s="73"/>
      <c r="BD1790" s="73"/>
      <c r="BE1790" s="73"/>
      <c r="BF1790" s="75"/>
      <c r="BG1790" s="73"/>
      <c r="BH1790" s="88"/>
      <c r="BI1790" s="73"/>
      <c r="BJ1790" s="73"/>
      <c r="BK1790" s="73"/>
      <c r="BL1790" s="73"/>
      <c r="BM1790" s="73"/>
      <c r="BN1790" s="73"/>
      <c r="BO1790" s="73"/>
      <c r="BP1790" s="73"/>
      <c r="BQ1790" s="73"/>
      <c r="BR1790" s="73"/>
      <c r="BS1790" s="73"/>
      <c r="BT1790" s="73"/>
      <c r="BU1790" s="73"/>
      <c r="BV1790" s="73"/>
      <c r="BW1790" s="73"/>
      <c r="BX1790" s="73"/>
      <c r="BY1790" s="73"/>
      <c r="BZ1790" s="73"/>
      <c r="CA1790" s="73"/>
      <c r="CB1790" s="73"/>
      <c r="CC1790" s="73"/>
      <c r="CD1790" s="73"/>
      <c r="CE1790" s="73"/>
      <c r="CF1790" s="73"/>
      <c r="CG1790" s="73"/>
      <c r="CH1790" s="73"/>
    </row>
    <row r="1791">
      <c r="A1791" s="73"/>
      <c r="B1791" s="73"/>
      <c r="C1791" s="73"/>
      <c r="D1791" s="73"/>
      <c r="E1791" s="140"/>
      <c r="F1791" s="80"/>
      <c r="G1791" s="80"/>
      <c r="H1791" s="73"/>
      <c r="I1791" s="73"/>
      <c r="J1791" s="73"/>
      <c r="K1791" s="73"/>
      <c r="L1791" s="73"/>
      <c r="M1791" s="73"/>
      <c r="N1791" s="73"/>
      <c r="O1791" s="73"/>
      <c r="P1791" s="73"/>
      <c r="Q1791" s="73"/>
      <c r="R1791" s="73"/>
      <c r="S1791" s="73"/>
      <c r="T1791" s="73"/>
      <c r="U1791" s="73"/>
      <c r="V1791" s="73"/>
      <c r="W1791" s="73"/>
      <c r="X1791" s="73"/>
      <c r="Y1791" s="73"/>
      <c r="Z1791" s="73"/>
      <c r="AA1791" s="73"/>
      <c r="AB1791" s="73"/>
      <c r="AC1791" s="73"/>
      <c r="AD1791" s="73"/>
      <c r="AE1791" s="73"/>
      <c r="AF1791" s="73"/>
      <c r="AG1791" s="73"/>
      <c r="AH1791" s="73"/>
      <c r="AI1791" s="73"/>
      <c r="AJ1791" s="168"/>
      <c r="AK1791" s="73"/>
      <c r="AL1791" s="73"/>
      <c r="AM1791" s="73"/>
      <c r="AN1791" s="73"/>
      <c r="AO1791" s="73"/>
      <c r="AP1791" s="73"/>
      <c r="AQ1791" s="73"/>
      <c r="AR1791" s="73"/>
      <c r="AS1791" s="73"/>
      <c r="AT1791" s="73"/>
      <c r="AU1791" s="73"/>
      <c r="AV1791" s="73"/>
      <c r="AW1791" s="73"/>
      <c r="AX1791" s="73"/>
      <c r="AY1791" s="73"/>
      <c r="AZ1791" s="73"/>
      <c r="BA1791" s="73"/>
      <c r="BB1791" s="73"/>
      <c r="BC1791" s="73"/>
      <c r="BD1791" s="73"/>
      <c r="BE1791" s="73"/>
      <c r="BF1791" s="75"/>
      <c r="BG1791" s="73"/>
      <c r="BH1791" s="88"/>
      <c r="BI1791" s="73"/>
      <c r="BJ1791" s="73"/>
      <c r="BK1791" s="73"/>
      <c r="BL1791" s="73"/>
      <c r="BM1791" s="73"/>
      <c r="BN1791" s="73"/>
      <c r="BO1791" s="73"/>
      <c r="BP1791" s="73"/>
      <c r="BQ1791" s="73"/>
      <c r="BR1791" s="73"/>
      <c r="BS1791" s="73"/>
      <c r="BT1791" s="73"/>
      <c r="BU1791" s="73"/>
      <c r="BV1791" s="73"/>
      <c r="BW1791" s="73"/>
      <c r="BX1791" s="73"/>
      <c r="BY1791" s="73"/>
      <c r="BZ1791" s="73"/>
      <c r="CA1791" s="73"/>
      <c r="CB1791" s="73"/>
      <c r="CC1791" s="73"/>
      <c r="CD1791" s="73"/>
      <c r="CE1791" s="73"/>
      <c r="CF1791" s="73"/>
      <c r="CG1791" s="73"/>
      <c r="CH1791" s="73"/>
    </row>
    <row r="1792">
      <c r="A1792" s="73"/>
      <c r="B1792" s="73"/>
      <c r="C1792" s="73"/>
      <c r="D1792" s="73"/>
      <c r="E1792" s="140"/>
      <c r="F1792" s="80"/>
      <c r="G1792" s="80"/>
      <c r="H1792" s="73"/>
      <c r="I1792" s="73"/>
      <c r="J1792" s="73"/>
      <c r="K1792" s="73"/>
      <c r="L1792" s="73"/>
      <c r="M1792" s="73"/>
      <c r="N1792" s="73"/>
      <c r="O1792" s="73"/>
      <c r="P1792" s="73"/>
      <c r="Q1792" s="73"/>
      <c r="R1792" s="73"/>
      <c r="S1792" s="73"/>
      <c r="T1792" s="73"/>
      <c r="U1792" s="73"/>
      <c r="V1792" s="73"/>
      <c r="W1792" s="73"/>
      <c r="X1792" s="73"/>
      <c r="Y1792" s="73"/>
      <c r="Z1792" s="73"/>
      <c r="AA1792" s="73"/>
      <c r="AB1792" s="73"/>
      <c r="AC1792" s="73"/>
      <c r="AD1792" s="73"/>
      <c r="AE1792" s="73"/>
      <c r="AF1792" s="73"/>
      <c r="AG1792" s="73"/>
      <c r="AH1792" s="73"/>
      <c r="AI1792" s="73"/>
      <c r="AJ1792" s="168"/>
      <c r="AK1792" s="73"/>
      <c r="AL1792" s="73"/>
      <c r="AM1792" s="73"/>
      <c r="AN1792" s="73"/>
      <c r="AO1792" s="73"/>
      <c r="AP1792" s="73"/>
      <c r="AQ1792" s="73"/>
      <c r="AR1792" s="73"/>
      <c r="AS1792" s="73"/>
      <c r="AT1792" s="73"/>
      <c r="AU1792" s="73"/>
      <c r="AV1792" s="73"/>
      <c r="AW1792" s="73"/>
      <c r="AX1792" s="73"/>
      <c r="AY1792" s="73"/>
      <c r="AZ1792" s="73"/>
      <c r="BA1792" s="73"/>
      <c r="BB1792" s="73"/>
      <c r="BC1792" s="73"/>
      <c r="BD1792" s="73"/>
      <c r="BE1792" s="73"/>
      <c r="BF1792" s="75"/>
      <c r="BG1792" s="73"/>
      <c r="BH1792" s="88"/>
      <c r="BI1792" s="73"/>
      <c r="BJ1792" s="73"/>
      <c r="BK1792" s="73"/>
      <c r="BL1792" s="73"/>
      <c r="BM1792" s="73"/>
      <c r="BN1792" s="73"/>
      <c r="BO1792" s="73"/>
      <c r="BP1792" s="73"/>
      <c r="BQ1792" s="73"/>
      <c r="BR1792" s="73"/>
      <c r="BS1792" s="73"/>
      <c r="BT1792" s="73"/>
      <c r="BU1792" s="73"/>
      <c r="BV1792" s="73"/>
      <c r="BW1792" s="73"/>
      <c r="BX1792" s="73"/>
      <c r="BY1792" s="73"/>
      <c r="BZ1792" s="73"/>
      <c r="CA1792" s="73"/>
      <c r="CB1792" s="73"/>
      <c r="CC1792" s="73"/>
      <c r="CD1792" s="73"/>
      <c r="CE1792" s="73"/>
      <c r="CF1792" s="73"/>
      <c r="CG1792" s="73"/>
      <c r="CH1792" s="73"/>
    </row>
    <row r="1793">
      <c r="A1793" s="73"/>
      <c r="B1793" s="73"/>
      <c r="C1793" s="73"/>
      <c r="D1793" s="73"/>
      <c r="E1793" s="140"/>
      <c r="F1793" s="80"/>
      <c r="G1793" s="80"/>
      <c r="H1793" s="73"/>
      <c r="I1793" s="73"/>
      <c r="J1793" s="73"/>
      <c r="K1793" s="73"/>
      <c r="L1793" s="73"/>
      <c r="M1793" s="73"/>
      <c r="N1793" s="73"/>
      <c r="O1793" s="73"/>
      <c r="P1793" s="73"/>
      <c r="Q1793" s="73"/>
      <c r="R1793" s="73"/>
      <c r="S1793" s="73"/>
      <c r="T1793" s="73"/>
      <c r="U1793" s="73"/>
      <c r="V1793" s="73"/>
      <c r="W1793" s="73"/>
      <c r="X1793" s="73"/>
      <c r="Y1793" s="73"/>
      <c r="Z1793" s="73"/>
      <c r="AA1793" s="73"/>
      <c r="AB1793" s="73"/>
      <c r="AC1793" s="73"/>
      <c r="AD1793" s="73"/>
      <c r="AE1793" s="73"/>
      <c r="AF1793" s="73"/>
      <c r="AG1793" s="73"/>
      <c r="AH1793" s="73"/>
      <c r="AI1793" s="73"/>
      <c r="AJ1793" s="168"/>
      <c r="AK1793" s="73"/>
      <c r="AL1793" s="73"/>
      <c r="AM1793" s="73"/>
      <c r="AN1793" s="73"/>
      <c r="AO1793" s="73"/>
      <c r="AP1793" s="73"/>
      <c r="AQ1793" s="73"/>
      <c r="AR1793" s="73"/>
      <c r="AS1793" s="73"/>
      <c r="AT1793" s="73"/>
      <c r="AU1793" s="73"/>
      <c r="AV1793" s="73"/>
      <c r="AW1793" s="73"/>
      <c r="AX1793" s="73"/>
      <c r="AY1793" s="73"/>
      <c r="AZ1793" s="73"/>
      <c r="BA1793" s="73"/>
      <c r="BB1793" s="73"/>
      <c r="BC1793" s="73"/>
      <c r="BD1793" s="73"/>
      <c r="BE1793" s="73"/>
      <c r="BF1793" s="75"/>
      <c r="BG1793" s="73"/>
      <c r="BH1793" s="88"/>
      <c r="BI1793" s="73"/>
      <c r="BJ1793" s="73"/>
      <c r="BK1793" s="73"/>
      <c r="BL1793" s="73"/>
      <c r="BM1793" s="73"/>
      <c r="BN1793" s="73"/>
      <c r="BO1793" s="73"/>
      <c r="BP1793" s="73"/>
      <c r="BQ1793" s="73"/>
      <c r="BR1793" s="73"/>
      <c r="BS1793" s="73"/>
      <c r="BT1793" s="73"/>
      <c r="BU1793" s="73"/>
      <c r="BV1793" s="73"/>
      <c r="BW1793" s="73"/>
      <c r="BX1793" s="73"/>
      <c r="BY1793" s="73"/>
      <c r="BZ1793" s="73"/>
      <c r="CA1793" s="73"/>
      <c r="CB1793" s="73"/>
      <c r="CC1793" s="73"/>
      <c r="CD1793" s="73"/>
      <c r="CE1793" s="73"/>
      <c r="CF1793" s="73"/>
      <c r="CG1793" s="73"/>
      <c r="CH1793" s="73"/>
    </row>
    <row r="1794">
      <c r="A1794" s="73"/>
      <c r="B1794" s="73"/>
      <c r="C1794" s="73"/>
      <c r="D1794" s="73"/>
      <c r="E1794" s="140"/>
      <c r="F1794" s="80"/>
      <c r="G1794" s="80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  <c r="S1794" s="73"/>
      <c r="T1794" s="73"/>
      <c r="U1794" s="73"/>
      <c r="V1794" s="73"/>
      <c r="W1794" s="73"/>
      <c r="X1794" s="73"/>
      <c r="Y1794" s="73"/>
      <c r="Z1794" s="73"/>
      <c r="AA1794" s="73"/>
      <c r="AB1794" s="73"/>
      <c r="AC1794" s="73"/>
      <c r="AD1794" s="73"/>
      <c r="AE1794" s="73"/>
      <c r="AF1794" s="73"/>
      <c r="AG1794" s="73"/>
      <c r="AH1794" s="73"/>
      <c r="AI1794" s="73"/>
      <c r="AJ1794" s="168"/>
      <c r="AK1794" s="73"/>
      <c r="AL1794" s="73"/>
      <c r="AM1794" s="73"/>
      <c r="AN1794" s="73"/>
      <c r="AO1794" s="73"/>
      <c r="AP1794" s="73"/>
      <c r="AQ1794" s="73"/>
      <c r="AR1794" s="73"/>
      <c r="AS1794" s="73"/>
      <c r="AT1794" s="73"/>
      <c r="AU1794" s="73"/>
      <c r="AV1794" s="73"/>
      <c r="AW1794" s="73"/>
      <c r="AX1794" s="73"/>
      <c r="AY1794" s="73"/>
      <c r="AZ1794" s="73"/>
      <c r="BA1794" s="73"/>
      <c r="BB1794" s="73"/>
      <c r="BC1794" s="73"/>
      <c r="BD1794" s="73"/>
      <c r="BE1794" s="73"/>
      <c r="BF1794" s="75"/>
      <c r="BG1794" s="73"/>
      <c r="BH1794" s="88"/>
      <c r="BI1794" s="73"/>
      <c r="BJ1794" s="73"/>
      <c r="BK1794" s="73"/>
      <c r="BL1794" s="73"/>
      <c r="BM1794" s="73"/>
      <c r="BN1794" s="73"/>
      <c r="BO1794" s="73"/>
      <c r="BP1794" s="73"/>
      <c r="BQ1794" s="73"/>
      <c r="BR1794" s="73"/>
      <c r="BS1794" s="73"/>
      <c r="BT1794" s="73"/>
      <c r="BU1794" s="73"/>
      <c r="BV1794" s="73"/>
      <c r="BW1794" s="73"/>
      <c r="BX1794" s="73"/>
      <c r="BY1794" s="73"/>
      <c r="BZ1794" s="73"/>
      <c r="CA1794" s="73"/>
      <c r="CB1794" s="73"/>
      <c r="CC1794" s="73"/>
      <c r="CD1794" s="73"/>
      <c r="CE1794" s="73"/>
      <c r="CF1794" s="73"/>
      <c r="CG1794" s="73"/>
      <c r="CH1794" s="73"/>
    </row>
    <row r="1795">
      <c r="A1795" s="73"/>
      <c r="B1795" s="73"/>
      <c r="C1795" s="73"/>
      <c r="D1795" s="73"/>
      <c r="E1795" s="140"/>
      <c r="F1795" s="80"/>
      <c r="G1795" s="80"/>
      <c r="H1795" s="73"/>
      <c r="I1795" s="73"/>
      <c r="J1795" s="73"/>
      <c r="K1795" s="73"/>
      <c r="L1795" s="73"/>
      <c r="M1795" s="73"/>
      <c r="N1795" s="73"/>
      <c r="O1795" s="73"/>
      <c r="P1795" s="73"/>
      <c r="Q1795" s="73"/>
      <c r="R1795" s="73"/>
      <c r="S1795" s="73"/>
      <c r="T1795" s="73"/>
      <c r="U1795" s="73"/>
      <c r="V1795" s="73"/>
      <c r="W1795" s="73"/>
      <c r="X1795" s="73"/>
      <c r="Y1795" s="73"/>
      <c r="Z1795" s="73"/>
      <c r="AA1795" s="73"/>
      <c r="AB1795" s="73"/>
      <c r="AC1795" s="73"/>
      <c r="AD1795" s="73"/>
      <c r="AE1795" s="73"/>
      <c r="AF1795" s="73"/>
      <c r="AG1795" s="73"/>
      <c r="AH1795" s="73"/>
      <c r="AI1795" s="73"/>
      <c r="AJ1795" s="168"/>
      <c r="AK1795" s="73"/>
      <c r="AL1795" s="73"/>
      <c r="AM1795" s="73"/>
      <c r="AN1795" s="73"/>
      <c r="AO1795" s="73"/>
      <c r="AP1795" s="73"/>
      <c r="AQ1795" s="73"/>
      <c r="AR1795" s="73"/>
      <c r="AS1795" s="73"/>
      <c r="AT1795" s="73"/>
      <c r="AU1795" s="73"/>
      <c r="AV1795" s="73"/>
      <c r="AW1795" s="73"/>
      <c r="AX1795" s="73"/>
      <c r="AY1795" s="73"/>
      <c r="AZ1795" s="73"/>
      <c r="BA1795" s="73"/>
      <c r="BB1795" s="73"/>
      <c r="BC1795" s="73"/>
      <c r="BD1795" s="73"/>
      <c r="BE1795" s="73"/>
      <c r="BF1795" s="75"/>
      <c r="BG1795" s="73"/>
      <c r="BH1795" s="88"/>
      <c r="BI1795" s="73"/>
      <c r="BJ1795" s="73"/>
      <c r="BK1795" s="73"/>
      <c r="BL1795" s="73"/>
      <c r="BM1795" s="73"/>
      <c r="BN1795" s="73"/>
      <c r="BO1795" s="73"/>
      <c r="BP1795" s="73"/>
      <c r="BQ1795" s="73"/>
      <c r="BR1795" s="73"/>
      <c r="BS1795" s="73"/>
      <c r="BT1795" s="73"/>
      <c r="BU1795" s="73"/>
      <c r="BV1795" s="73"/>
      <c r="BW1795" s="73"/>
      <c r="BX1795" s="73"/>
      <c r="BY1795" s="73"/>
      <c r="BZ1795" s="73"/>
      <c r="CA1795" s="73"/>
      <c r="CB1795" s="73"/>
      <c r="CC1795" s="73"/>
      <c r="CD1795" s="73"/>
      <c r="CE1795" s="73"/>
      <c r="CF1795" s="73"/>
      <c r="CG1795" s="73"/>
      <c r="CH1795" s="73"/>
    </row>
    <row r="1796">
      <c r="A1796" s="73"/>
      <c r="B1796" s="73"/>
      <c r="C1796" s="73"/>
      <c r="D1796" s="73"/>
      <c r="E1796" s="140"/>
      <c r="F1796" s="80"/>
      <c r="G1796" s="80"/>
      <c r="H1796" s="73"/>
      <c r="I1796" s="73"/>
      <c r="J1796" s="73"/>
      <c r="K1796" s="73"/>
      <c r="L1796" s="73"/>
      <c r="M1796" s="73"/>
      <c r="N1796" s="73"/>
      <c r="O1796" s="73"/>
      <c r="P1796" s="73"/>
      <c r="Q1796" s="73"/>
      <c r="R1796" s="73"/>
      <c r="S1796" s="73"/>
      <c r="T1796" s="73"/>
      <c r="U1796" s="73"/>
      <c r="V1796" s="73"/>
      <c r="W1796" s="73"/>
      <c r="X1796" s="73"/>
      <c r="Y1796" s="73"/>
      <c r="Z1796" s="73"/>
      <c r="AA1796" s="73"/>
      <c r="AB1796" s="73"/>
      <c r="AC1796" s="73"/>
      <c r="AD1796" s="73"/>
      <c r="AE1796" s="73"/>
      <c r="AF1796" s="73"/>
      <c r="AG1796" s="73"/>
      <c r="AH1796" s="73"/>
      <c r="AI1796" s="73"/>
      <c r="AJ1796" s="168"/>
      <c r="AK1796" s="73"/>
      <c r="AL1796" s="73"/>
      <c r="AM1796" s="73"/>
      <c r="AN1796" s="73"/>
      <c r="AO1796" s="73"/>
      <c r="AP1796" s="73"/>
      <c r="AQ1796" s="73"/>
      <c r="AR1796" s="73"/>
      <c r="AS1796" s="73"/>
      <c r="AT1796" s="73"/>
      <c r="AU1796" s="73"/>
      <c r="AV1796" s="73"/>
      <c r="AW1796" s="73"/>
      <c r="AX1796" s="73"/>
      <c r="AY1796" s="73"/>
      <c r="AZ1796" s="73"/>
      <c r="BA1796" s="73"/>
      <c r="BB1796" s="73"/>
      <c r="BC1796" s="73"/>
      <c r="BD1796" s="73"/>
      <c r="BE1796" s="73"/>
      <c r="BF1796" s="75"/>
      <c r="BG1796" s="73"/>
      <c r="BH1796" s="88"/>
      <c r="BI1796" s="73"/>
      <c r="BJ1796" s="73"/>
      <c r="BK1796" s="73"/>
      <c r="BL1796" s="73"/>
      <c r="BM1796" s="73"/>
      <c r="BN1796" s="73"/>
      <c r="BO1796" s="73"/>
      <c r="BP1796" s="73"/>
      <c r="BQ1796" s="73"/>
      <c r="BR1796" s="73"/>
      <c r="BS1796" s="73"/>
      <c r="BT1796" s="73"/>
      <c r="BU1796" s="73"/>
      <c r="BV1796" s="73"/>
      <c r="BW1796" s="73"/>
      <c r="BX1796" s="73"/>
      <c r="BY1796" s="73"/>
      <c r="BZ1796" s="73"/>
      <c r="CA1796" s="73"/>
      <c r="CB1796" s="73"/>
      <c r="CC1796" s="73"/>
      <c r="CD1796" s="73"/>
      <c r="CE1796" s="73"/>
      <c r="CF1796" s="73"/>
      <c r="CG1796" s="73"/>
      <c r="CH1796" s="73"/>
    </row>
    <row r="1797">
      <c r="A1797" s="73"/>
      <c r="B1797" s="73"/>
      <c r="C1797" s="73"/>
      <c r="D1797" s="73"/>
      <c r="E1797" s="140"/>
      <c r="F1797" s="80"/>
      <c r="G1797" s="80"/>
      <c r="H1797" s="73"/>
      <c r="I1797" s="73"/>
      <c r="J1797" s="73"/>
      <c r="K1797" s="73"/>
      <c r="L1797" s="73"/>
      <c r="M1797" s="73"/>
      <c r="N1797" s="73"/>
      <c r="O1797" s="73"/>
      <c r="P1797" s="73"/>
      <c r="Q1797" s="73"/>
      <c r="R1797" s="73"/>
      <c r="S1797" s="73"/>
      <c r="T1797" s="73"/>
      <c r="U1797" s="73"/>
      <c r="V1797" s="73"/>
      <c r="W1797" s="73"/>
      <c r="X1797" s="73"/>
      <c r="Y1797" s="73"/>
      <c r="Z1797" s="73"/>
      <c r="AA1797" s="73"/>
      <c r="AB1797" s="73"/>
      <c r="AC1797" s="73"/>
      <c r="AD1797" s="73"/>
      <c r="AE1797" s="73"/>
      <c r="AF1797" s="73"/>
      <c r="AG1797" s="73"/>
      <c r="AH1797" s="73"/>
      <c r="AI1797" s="73"/>
      <c r="AJ1797" s="168"/>
      <c r="AK1797" s="73"/>
      <c r="AL1797" s="73"/>
      <c r="AM1797" s="73"/>
      <c r="AN1797" s="73"/>
      <c r="AO1797" s="73"/>
      <c r="AP1797" s="73"/>
      <c r="AQ1797" s="73"/>
      <c r="AR1797" s="73"/>
      <c r="AS1797" s="73"/>
      <c r="AT1797" s="73"/>
      <c r="AU1797" s="73"/>
      <c r="AV1797" s="73"/>
      <c r="AW1797" s="73"/>
      <c r="AX1797" s="73"/>
      <c r="AY1797" s="73"/>
      <c r="AZ1797" s="73"/>
      <c r="BA1797" s="73"/>
      <c r="BB1797" s="73"/>
      <c r="BC1797" s="73"/>
      <c r="BD1797" s="73"/>
      <c r="BE1797" s="73"/>
      <c r="BF1797" s="75"/>
      <c r="BG1797" s="73"/>
      <c r="BH1797" s="88"/>
      <c r="BI1797" s="73"/>
      <c r="BJ1797" s="73"/>
      <c r="BK1797" s="73"/>
      <c r="BL1797" s="73"/>
      <c r="BM1797" s="73"/>
      <c r="BN1797" s="73"/>
      <c r="BO1797" s="73"/>
      <c r="BP1797" s="73"/>
      <c r="BQ1797" s="73"/>
      <c r="BR1797" s="73"/>
      <c r="BS1797" s="73"/>
      <c r="BT1797" s="73"/>
      <c r="BU1797" s="73"/>
      <c r="BV1797" s="73"/>
      <c r="BW1797" s="73"/>
      <c r="BX1797" s="73"/>
      <c r="BY1797" s="73"/>
      <c r="BZ1797" s="73"/>
      <c r="CA1797" s="73"/>
      <c r="CB1797" s="73"/>
      <c r="CC1797" s="73"/>
      <c r="CD1797" s="73"/>
      <c r="CE1797" s="73"/>
      <c r="CF1797" s="73"/>
      <c r="CG1797" s="73"/>
      <c r="CH1797" s="73"/>
    </row>
    <row r="1798">
      <c r="A1798" s="73"/>
      <c r="B1798" s="73"/>
      <c r="C1798" s="73"/>
      <c r="D1798" s="73"/>
      <c r="E1798" s="140"/>
      <c r="F1798" s="80"/>
      <c r="G1798" s="80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  <c r="S1798" s="73"/>
      <c r="T1798" s="73"/>
      <c r="U1798" s="73"/>
      <c r="V1798" s="73"/>
      <c r="W1798" s="73"/>
      <c r="X1798" s="73"/>
      <c r="Y1798" s="73"/>
      <c r="Z1798" s="73"/>
      <c r="AA1798" s="73"/>
      <c r="AB1798" s="73"/>
      <c r="AC1798" s="73"/>
      <c r="AD1798" s="73"/>
      <c r="AE1798" s="73"/>
      <c r="AF1798" s="73"/>
      <c r="AG1798" s="73"/>
      <c r="AH1798" s="73"/>
      <c r="AI1798" s="73"/>
      <c r="AJ1798" s="168"/>
      <c r="AK1798" s="73"/>
      <c r="AL1798" s="73"/>
      <c r="AM1798" s="73"/>
      <c r="AN1798" s="73"/>
      <c r="AO1798" s="73"/>
      <c r="AP1798" s="73"/>
      <c r="AQ1798" s="73"/>
      <c r="AR1798" s="73"/>
      <c r="AS1798" s="73"/>
      <c r="AT1798" s="73"/>
      <c r="AU1798" s="73"/>
      <c r="AV1798" s="73"/>
      <c r="AW1798" s="73"/>
      <c r="AX1798" s="73"/>
      <c r="AY1798" s="73"/>
      <c r="AZ1798" s="73"/>
      <c r="BA1798" s="73"/>
      <c r="BB1798" s="73"/>
      <c r="BC1798" s="73"/>
      <c r="BD1798" s="73"/>
      <c r="BE1798" s="73"/>
      <c r="BF1798" s="75"/>
      <c r="BG1798" s="73"/>
      <c r="BH1798" s="88"/>
      <c r="BI1798" s="73"/>
      <c r="BJ1798" s="73"/>
      <c r="BK1798" s="73"/>
      <c r="BL1798" s="73"/>
      <c r="BM1798" s="73"/>
      <c r="BN1798" s="73"/>
      <c r="BO1798" s="73"/>
      <c r="BP1798" s="73"/>
      <c r="BQ1798" s="73"/>
      <c r="BR1798" s="73"/>
      <c r="BS1798" s="73"/>
      <c r="BT1798" s="73"/>
      <c r="BU1798" s="73"/>
      <c r="BV1798" s="73"/>
      <c r="BW1798" s="73"/>
      <c r="BX1798" s="73"/>
      <c r="BY1798" s="73"/>
      <c r="BZ1798" s="73"/>
      <c r="CA1798" s="73"/>
      <c r="CB1798" s="73"/>
      <c r="CC1798" s="73"/>
      <c r="CD1798" s="73"/>
      <c r="CE1798" s="73"/>
      <c r="CF1798" s="73"/>
      <c r="CG1798" s="73"/>
      <c r="CH1798" s="73"/>
    </row>
    <row r="1799">
      <c r="A1799" s="73"/>
      <c r="B1799" s="73"/>
      <c r="C1799" s="73"/>
      <c r="D1799" s="73"/>
      <c r="E1799" s="140"/>
      <c r="F1799" s="80"/>
      <c r="G1799" s="80"/>
      <c r="H1799" s="73"/>
      <c r="I1799" s="73"/>
      <c r="J1799" s="73"/>
      <c r="K1799" s="73"/>
      <c r="L1799" s="73"/>
      <c r="M1799" s="73"/>
      <c r="N1799" s="73"/>
      <c r="O1799" s="73"/>
      <c r="P1799" s="73"/>
      <c r="Q1799" s="73"/>
      <c r="R1799" s="73"/>
      <c r="S1799" s="73"/>
      <c r="T1799" s="73"/>
      <c r="U1799" s="73"/>
      <c r="V1799" s="73"/>
      <c r="W1799" s="73"/>
      <c r="X1799" s="73"/>
      <c r="Y1799" s="73"/>
      <c r="Z1799" s="73"/>
      <c r="AA1799" s="73"/>
      <c r="AB1799" s="73"/>
      <c r="AC1799" s="73"/>
      <c r="AD1799" s="73"/>
      <c r="AE1799" s="73"/>
      <c r="AF1799" s="73"/>
      <c r="AG1799" s="73"/>
      <c r="AH1799" s="73"/>
      <c r="AI1799" s="73"/>
      <c r="AJ1799" s="168"/>
      <c r="AK1799" s="73"/>
      <c r="AL1799" s="73"/>
      <c r="AM1799" s="73"/>
      <c r="AN1799" s="73"/>
      <c r="AO1799" s="73"/>
      <c r="AP1799" s="73"/>
      <c r="AQ1799" s="73"/>
      <c r="AR1799" s="73"/>
      <c r="AS1799" s="73"/>
      <c r="AT1799" s="73"/>
      <c r="AU1799" s="73"/>
      <c r="AV1799" s="73"/>
      <c r="AW1799" s="73"/>
      <c r="AX1799" s="73"/>
      <c r="AY1799" s="73"/>
      <c r="AZ1799" s="73"/>
      <c r="BA1799" s="73"/>
      <c r="BB1799" s="73"/>
      <c r="BC1799" s="73"/>
      <c r="BD1799" s="73"/>
      <c r="BE1799" s="73"/>
      <c r="BF1799" s="75"/>
      <c r="BG1799" s="73"/>
      <c r="BH1799" s="88"/>
      <c r="BI1799" s="73"/>
      <c r="BJ1799" s="73"/>
      <c r="BK1799" s="73"/>
      <c r="BL1799" s="73"/>
      <c r="BM1799" s="73"/>
      <c r="BN1799" s="73"/>
      <c r="BO1799" s="73"/>
      <c r="BP1799" s="73"/>
      <c r="BQ1799" s="73"/>
      <c r="BR1799" s="73"/>
      <c r="BS1799" s="73"/>
      <c r="BT1799" s="73"/>
      <c r="BU1799" s="73"/>
      <c r="BV1799" s="73"/>
      <c r="BW1799" s="73"/>
      <c r="BX1799" s="73"/>
      <c r="BY1799" s="73"/>
      <c r="BZ1799" s="73"/>
      <c r="CA1799" s="73"/>
      <c r="CB1799" s="73"/>
      <c r="CC1799" s="73"/>
      <c r="CD1799" s="73"/>
      <c r="CE1799" s="73"/>
      <c r="CF1799" s="73"/>
      <c r="CG1799" s="73"/>
      <c r="CH1799" s="73"/>
    </row>
    <row r="1800">
      <c r="A1800" s="73"/>
      <c r="B1800" s="73"/>
      <c r="C1800" s="73"/>
      <c r="D1800" s="73"/>
      <c r="E1800" s="140"/>
      <c r="F1800" s="80"/>
      <c r="G1800" s="80"/>
      <c r="H1800" s="73"/>
      <c r="I1800" s="73"/>
      <c r="J1800" s="73"/>
      <c r="K1800" s="73"/>
      <c r="L1800" s="73"/>
      <c r="M1800" s="73"/>
      <c r="N1800" s="73"/>
      <c r="O1800" s="73"/>
      <c r="P1800" s="73"/>
      <c r="Q1800" s="73"/>
      <c r="R1800" s="73"/>
      <c r="S1800" s="73"/>
      <c r="T1800" s="73"/>
      <c r="U1800" s="73"/>
      <c r="V1800" s="73"/>
      <c r="W1800" s="73"/>
      <c r="X1800" s="73"/>
      <c r="Y1800" s="73"/>
      <c r="Z1800" s="73"/>
      <c r="AA1800" s="73"/>
      <c r="AB1800" s="73"/>
      <c r="AC1800" s="73"/>
      <c r="AD1800" s="73"/>
      <c r="AE1800" s="73"/>
      <c r="AF1800" s="73"/>
      <c r="AG1800" s="73"/>
      <c r="AH1800" s="73"/>
      <c r="AI1800" s="73"/>
      <c r="AJ1800" s="168"/>
      <c r="AK1800" s="73"/>
      <c r="AL1800" s="73"/>
      <c r="AM1800" s="73"/>
      <c r="AN1800" s="73"/>
      <c r="AO1800" s="73"/>
      <c r="AP1800" s="73"/>
      <c r="AQ1800" s="73"/>
      <c r="AR1800" s="73"/>
      <c r="AS1800" s="73"/>
      <c r="AT1800" s="73"/>
      <c r="AU1800" s="73"/>
      <c r="AV1800" s="73"/>
      <c r="AW1800" s="73"/>
      <c r="AX1800" s="73"/>
      <c r="AY1800" s="73"/>
      <c r="AZ1800" s="73"/>
      <c r="BA1800" s="73"/>
      <c r="BB1800" s="73"/>
      <c r="BC1800" s="73"/>
      <c r="BD1800" s="73"/>
      <c r="BE1800" s="73"/>
      <c r="BF1800" s="75"/>
      <c r="BG1800" s="73"/>
      <c r="BH1800" s="88"/>
      <c r="BI1800" s="73"/>
      <c r="BJ1800" s="73"/>
      <c r="BK1800" s="73"/>
      <c r="BL1800" s="73"/>
      <c r="BM1800" s="73"/>
      <c r="BN1800" s="73"/>
      <c r="BO1800" s="73"/>
      <c r="BP1800" s="73"/>
      <c r="BQ1800" s="73"/>
      <c r="BR1800" s="73"/>
      <c r="BS1800" s="73"/>
      <c r="BT1800" s="73"/>
      <c r="BU1800" s="73"/>
      <c r="BV1800" s="73"/>
      <c r="BW1800" s="73"/>
      <c r="BX1800" s="73"/>
      <c r="BY1800" s="73"/>
      <c r="BZ1800" s="73"/>
      <c r="CA1800" s="73"/>
      <c r="CB1800" s="73"/>
      <c r="CC1800" s="73"/>
      <c r="CD1800" s="73"/>
      <c r="CE1800" s="73"/>
      <c r="CF1800" s="73"/>
      <c r="CG1800" s="73"/>
      <c r="CH1800" s="73"/>
    </row>
    <row r="1801">
      <c r="A1801" s="73"/>
      <c r="B1801" s="73"/>
      <c r="C1801" s="73"/>
      <c r="D1801" s="73"/>
      <c r="E1801" s="140"/>
      <c r="F1801" s="80"/>
      <c r="G1801" s="80"/>
      <c r="H1801" s="73"/>
      <c r="I1801" s="73"/>
      <c r="J1801" s="73"/>
      <c r="K1801" s="73"/>
      <c r="L1801" s="73"/>
      <c r="M1801" s="73"/>
      <c r="N1801" s="73"/>
      <c r="O1801" s="73"/>
      <c r="P1801" s="73"/>
      <c r="Q1801" s="73"/>
      <c r="R1801" s="73"/>
      <c r="S1801" s="73"/>
      <c r="T1801" s="73"/>
      <c r="U1801" s="73"/>
      <c r="V1801" s="73"/>
      <c r="W1801" s="73"/>
      <c r="X1801" s="73"/>
      <c r="Y1801" s="73"/>
      <c r="Z1801" s="73"/>
      <c r="AA1801" s="73"/>
      <c r="AB1801" s="73"/>
      <c r="AC1801" s="73"/>
      <c r="AD1801" s="73"/>
      <c r="AE1801" s="73"/>
      <c r="AF1801" s="73"/>
      <c r="AG1801" s="73"/>
      <c r="AH1801" s="73"/>
      <c r="AI1801" s="73"/>
      <c r="AJ1801" s="168"/>
      <c r="AK1801" s="73"/>
      <c r="AL1801" s="73"/>
      <c r="AM1801" s="73"/>
      <c r="AN1801" s="73"/>
      <c r="AO1801" s="73"/>
      <c r="AP1801" s="73"/>
      <c r="AQ1801" s="73"/>
      <c r="AR1801" s="73"/>
      <c r="AS1801" s="73"/>
      <c r="AT1801" s="73"/>
      <c r="AU1801" s="73"/>
      <c r="AV1801" s="73"/>
      <c r="AW1801" s="73"/>
      <c r="AX1801" s="73"/>
      <c r="AY1801" s="73"/>
      <c r="AZ1801" s="73"/>
      <c r="BA1801" s="73"/>
      <c r="BB1801" s="73"/>
      <c r="BC1801" s="73"/>
      <c r="BD1801" s="73"/>
      <c r="BE1801" s="73"/>
      <c r="BF1801" s="75"/>
      <c r="BG1801" s="73"/>
      <c r="BH1801" s="88"/>
      <c r="BI1801" s="73"/>
      <c r="BJ1801" s="73"/>
      <c r="BK1801" s="73"/>
      <c r="BL1801" s="73"/>
      <c r="BM1801" s="73"/>
      <c r="BN1801" s="73"/>
      <c r="BO1801" s="73"/>
      <c r="BP1801" s="73"/>
      <c r="BQ1801" s="73"/>
      <c r="BR1801" s="73"/>
      <c r="BS1801" s="73"/>
      <c r="BT1801" s="73"/>
      <c r="BU1801" s="73"/>
      <c r="BV1801" s="73"/>
      <c r="BW1801" s="73"/>
      <c r="BX1801" s="73"/>
      <c r="BY1801" s="73"/>
      <c r="BZ1801" s="73"/>
      <c r="CA1801" s="73"/>
      <c r="CB1801" s="73"/>
      <c r="CC1801" s="73"/>
      <c r="CD1801" s="73"/>
      <c r="CE1801" s="73"/>
      <c r="CF1801" s="73"/>
      <c r="CG1801" s="73"/>
      <c r="CH1801" s="73"/>
    </row>
    <row r="1802">
      <c r="A1802" s="73"/>
      <c r="B1802" s="73"/>
      <c r="C1802" s="73"/>
      <c r="D1802" s="73"/>
      <c r="E1802" s="140"/>
      <c r="F1802" s="80"/>
      <c r="G1802" s="80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  <c r="S1802" s="73"/>
      <c r="T1802" s="73"/>
      <c r="U1802" s="73"/>
      <c r="V1802" s="73"/>
      <c r="W1802" s="73"/>
      <c r="X1802" s="73"/>
      <c r="Y1802" s="73"/>
      <c r="Z1802" s="73"/>
      <c r="AA1802" s="73"/>
      <c r="AB1802" s="73"/>
      <c r="AC1802" s="73"/>
      <c r="AD1802" s="73"/>
      <c r="AE1802" s="73"/>
      <c r="AF1802" s="73"/>
      <c r="AG1802" s="73"/>
      <c r="AH1802" s="73"/>
      <c r="AI1802" s="73"/>
      <c r="AJ1802" s="168"/>
      <c r="AK1802" s="73"/>
      <c r="AL1802" s="73"/>
      <c r="AM1802" s="73"/>
      <c r="AN1802" s="73"/>
      <c r="AO1802" s="73"/>
      <c r="AP1802" s="73"/>
      <c r="AQ1802" s="73"/>
      <c r="AR1802" s="73"/>
      <c r="AS1802" s="73"/>
      <c r="AT1802" s="73"/>
      <c r="AU1802" s="73"/>
      <c r="AV1802" s="73"/>
      <c r="AW1802" s="73"/>
      <c r="AX1802" s="73"/>
      <c r="AY1802" s="73"/>
      <c r="AZ1802" s="73"/>
      <c r="BA1802" s="73"/>
      <c r="BB1802" s="73"/>
      <c r="BC1802" s="73"/>
      <c r="BD1802" s="73"/>
      <c r="BE1802" s="73"/>
      <c r="BF1802" s="75"/>
      <c r="BG1802" s="73"/>
      <c r="BH1802" s="88"/>
      <c r="BI1802" s="73"/>
      <c r="BJ1802" s="73"/>
      <c r="BK1802" s="73"/>
      <c r="BL1802" s="73"/>
      <c r="BM1802" s="73"/>
      <c r="BN1802" s="73"/>
      <c r="BO1802" s="73"/>
      <c r="BP1802" s="73"/>
      <c r="BQ1802" s="73"/>
      <c r="BR1802" s="73"/>
      <c r="BS1802" s="73"/>
      <c r="BT1802" s="73"/>
      <c r="BU1802" s="73"/>
      <c r="BV1802" s="73"/>
      <c r="BW1802" s="73"/>
      <c r="BX1802" s="73"/>
      <c r="BY1802" s="73"/>
      <c r="BZ1802" s="73"/>
      <c r="CA1802" s="73"/>
      <c r="CB1802" s="73"/>
      <c r="CC1802" s="73"/>
      <c r="CD1802" s="73"/>
      <c r="CE1802" s="73"/>
      <c r="CF1802" s="73"/>
      <c r="CG1802" s="73"/>
      <c r="CH1802" s="73"/>
    </row>
    <row r="1803">
      <c r="A1803" s="73"/>
      <c r="B1803" s="73"/>
      <c r="C1803" s="73"/>
      <c r="D1803" s="73"/>
      <c r="E1803" s="140"/>
      <c r="F1803" s="80"/>
      <c r="G1803" s="80"/>
      <c r="H1803" s="73"/>
      <c r="I1803" s="73"/>
      <c r="J1803" s="73"/>
      <c r="K1803" s="73"/>
      <c r="L1803" s="73"/>
      <c r="M1803" s="73"/>
      <c r="N1803" s="73"/>
      <c r="O1803" s="73"/>
      <c r="P1803" s="73"/>
      <c r="Q1803" s="73"/>
      <c r="R1803" s="73"/>
      <c r="S1803" s="73"/>
      <c r="T1803" s="73"/>
      <c r="U1803" s="73"/>
      <c r="V1803" s="73"/>
      <c r="W1803" s="73"/>
      <c r="X1803" s="73"/>
      <c r="Y1803" s="73"/>
      <c r="Z1803" s="73"/>
      <c r="AA1803" s="73"/>
      <c r="AB1803" s="73"/>
      <c r="AC1803" s="73"/>
      <c r="AD1803" s="73"/>
      <c r="AE1803" s="73"/>
      <c r="AF1803" s="73"/>
      <c r="AG1803" s="73"/>
      <c r="AH1803" s="73"/>
      <c r="AI1803" s="73"/>
      <c r="AJ1803" s="168"/>
      <c r="AK1803" s="73"/>
      <c r="AL1803" s="73"/>
      <c r="AM1803" s="73"/>
      <c r="AN1803" s="73"/>
      <c r="AO1803" s="73"/>
      <c r="AP1803" s="73"/>
      <c r="AQ1803" s="73"/>
      <c r="AR1803" s="73"/>
      <c r="AS1803" s="73"/>
      <c r="AT1803" s="73"/>
      <c r="AU1803" s="73"/>
      <c r="AV1803" s="73"/>
      <c r="AW1803" s="73"/>
      <c r="AX1803" s="73"/>
      <c r="AY1803" s="73"/>
      <c r="AZ1803" s="73"/>
      <c r="BA1803" s="73"/>
      <c r="BB1803" s="73"/>
      <c r="BC1803" s="73"/>
      <c r="BD1803" s="73"/>
      <c r="BE1803" s="73"/>
      <c r="BF1803" s="75"/>
      <c r="BG1803" s="73"/>
      <c r="BH1803" s="88"/>
      <c r="BI1803" s="73"/>
      <c r="BJ1803" s="73"/>
      <c r="BK1803" s="73"/>
      <c r="BL1803" s="73"/>
      <c r="BM1803" s="73"/>
      <c r="BN1803" s="73"/>
      <c r="BO1803" s="73"/>
      <c r="BP1803" s="73"/>
      <c r="BQ1803" s="73"/>
      <c r="BR1803" s="73"/>
      <c r="BS1803" s="73"/>
      <c r="BT1803" s="73"/>
      <c r="BU1803" s="73"/>
      <c r="BV1803" s="73"/>
      <c r="BW1803" s="73"/>
      <c r="BX1803" s="73"/>
      <c r="BY1803" s="73"/>
      <c r="BZ1803" s="73"/>
      <c r="CA1803" s="73"/>
      <c r="CB1803" s="73"/>
      <c r="CC1803" s="73"/>
      <c r="CD1803" s="73"/>
      <c r="CE1803" s="73"/>
      <c r="CF1803" s="73"/>
      <c r="CG1803" s="73"/>
      <c r="CH1803" s="73"/>
    </row>
    <row r="1804">
      <c r="A1804" s="73"/>
      <c r="B1804" s="73"/>
      <c r="C1804" s="73"/>
      <c r="D1804" s="73"/>
      <c r="E1804" s="140"/>
      <c r="F1804" s="80"/>
      <c r="G1804" s="80"/>
      <c r="H1804" s="73"/>
      <c r="I1804" s="73"/>
      <c r="J1804" s="73"/>
      <c r="K1804" s="73"/>
      <c r="L1804" s="73"/>
      <c r="M1804" s="73"/>
      <c r="N1804" s="73"/>
      <c r="O1804" s="73"/>
      <c r="P1804" s="73"/>
      <c r="Q1804" s="73"/>
      <c r="R1804" s="73"/>
      <c r="S1804" s="73"/>
      <c r="T1804" s="73"/>
      <c r="U1804" s="73"/>
      <c r="V1804" s="73"/>
      <c r="W1804" s="73"/>
      <c r="X1804" s="73"/>
      <c r="Y1804" s="73"/>
      <c r="Z1804" s="73"/>
      <c r="AA1804" s="73"/>
      <c r="AB1804" s="73"/>
      <c r="AC1804" s="73"/>
      <c r="AD1804" s="73"/>
      <c r="AE1804" s="73"/>
      <c r="AF1804" s="73"/>
      <c r="AG1804" s="73"/>
      <c r="AH1804" s="73"/>
      <c r="AI1804" s="73"/>
      <c r="AJ1804" s="168"/>
      <c r="AK1804" s="73"/>
      <c r="AL1804" s="73"/>
      <c r="AM1804" s="73"/>
      <c r="AN1804" s="73"/>
      <c r="AO1804" s="73"/>
      <c r="AP1804" s="73"/>
      <c r="AQ1804" s="73"/>
      <c r="AR1804" s="73"/>
      <c r="AS1804" s="73"/>
      <c r="AT1804" s="73"/>
      <c r="AU1804" s="73"/>
      <c r="AV1804" s="73"/>
      <c r="AW1804" s="73"/>
      <c r="AX1804" s="73"/>
      <c r="AY1804" s="73"/>
      <c r="AZ1804" s="73"/>
      <c r="BA1804" s="73"/>
      <c r="BB1804" s="73"/>
      <c r="BC1804" s="73"/>
      <c r="BD1804" s="73"/>
      <c r="BE1804" s="73"/>
      <c r="BF1804" s="75"/>
      <c r="BG1804" s="73"/>
      <c r="BH1804" s="88"/>
      <c r="BI1804" s="73"/>
      <c r="BJ1804" s="73"/>
      <c r="BK1804" s="73"/>
      <c r="BL1804" s="73"/>
      <c r="BM1804" s="73"/>
      <c r="BN1804" s="73"/>
      <c r="BO1804" s="73"/>
      <c r="BP1804" s="73"/>
      <c r="BQ1804" s="73"/>
      <c r="BR1804" s="73"/>
      <c r="BS1804" s="73"/>
      <c r="BT1804" s="73"/>
      <c r="BU1804" s="73"/>
      <c r="BV1804" s="73"/>
      <c r="BW1804" s="73"/>
      <c r="BX1804" s="73"/>
      <c r="BY1804" s="73"/>
      <c r="BZ1804" s="73"/>
      <c r="CA1804" s="73"/>
      <c r="CB1804" s="73"/>
      <c r="CC1804" s="73"/>
      <c r="CD1804" s="73"/>
      <c r="CE1804" s="73"/>
      <c r="CF1804" s="73"/>
      <c r="CG1804" s="73"/>
      <c r="CH1804" s="73"/>
    </row>
    <row r="1805">
      <c r="A1805" s="73"/>
      <c r="B1805" s="73"/>
      <c r="C1805" s="73"/>
      <c r="D1805" s="73"/>
      <c r="E1805" s="140"/>
      <c r="F1805" s="80"/>
      <c r="G1805" s="80"/>
      <c r="H1805" s="73"/>
      <c r="I1805" s="73"/>
      <c r="J1805" s="73"/>
      <c r="K1805" s="73"/>
      <c r="L1805" s="73"/>
      <c r="M1805" s="73"/>
      <c r="N1805" s="73"/>
      <c r="O1805" s="73"/>
      <c r="P1805" s="73"/>
      <c r="Q1805" s="73"/>
      <c r="R1805" s="73"/>
      <c r="S1805" s="73"/>
      <c r="T1805" s="73"/>
      <c r="U1805" s="73"/>
      <c r="V1805" s="73"/>
      <c r="W1805" s="73"/>
      <c r="X1805" s="73"/>
      <c r="Y1805" s="73"/>
      <c r="Z1805" s="73"/>
      <c r="AA1805" s="73"/>
      <c r="AB1805" s="73"/>
      <c r="AC1805" s="73"/>
      <c r="AD1805" s="73"/>
      <c r="AE1805" s="73"/>
      <c r="AF1805" s="73"/>
      <c r="AG1805" s="73"/>
      <c r="AH1805" s="73"/>
      <c r="AI1805" s="73"/>
      <c r="AJ1805" s="168"/>
      <c r="AK1805" s="73"/>
      <c r="AL1805" s="73"/>
      <c r="AM1805" s="73"/>
      <c r="AN1805" s="73"/>
      <c r="AO1805" s="73"/>
      <c r="AP1805" s="73"/>
      <c r="AQ1805" s="73"/>
      <c r="AR1805" s="73"/>
      <c r="AS1805" s="73"/>
      <c r="AT1805" s="73"/>
      <c r="AU1805" s="73"/>
      <c r="AV1805" s="73"/>
      <c r="AW1805" s="73"/>
      <c r="AX1805" s="73"/>
      <c r="AY1805" s="73"/>
      <c r="AZ1805" s="73"/>
      <c r="BA1805" s="73"/>
      <c r="BB1805" s="73"/>
      <c r="BC1805" s="73"/>
      <c r="BD1805" s="73"/>
      <c r="BE1805" s="73"/>
      <c r="BF1805" s="75"/>
      <c r="BG1805" s="73"/>
      <c r="BH1805" s="88"/>
      <c r="BI1805" s="73"/>
      <c r="BJ1805" s="73"/>
      <c r="BK1805" s="73"/>
      <c r="BL1805" s="73"/>
      <c r="BM1805" s="73"/>
      <c r="BN1805" s="73"/>
      <c r="BO1805" s="73"/>
      <c r="BP1805" s="73"/>
      <c r="BQ1805" s="73"/>
      <c r="BR1805" s="73"/>
      <c r="BS1805" s="73"/>
      <c r="BT1805" s="73"/>
      <c r="BU1805" s="73"/>
      <c r="BV1805" s="73"/>
      <c r="BW1805" s="73"/>
      <c r="BX1805" s="73"/>
      <c r="BY1805" s="73"/>
      <c r="BZ1805" s="73"/>
      <c r="CA1805" s="73"/>
      <c r="CB1805" s="73"/>
      <c r="CC1805" s="73"/>
      <c r="CD1805" s="73"/>
      <c r="CE1805" s="73"/>
      <c r="CF1805" s="73"/>
      <c r="CG1805" s="73"/>
      <c r="CH1805" s="73"/>
    </row>
    <row r="1806">
      <c r="A1806" s="73"/>
      <c r="B1806" s="73"/>
      <c r="C1806" s="73"/>
      <c r="D1806" s="73"/>
      <c r="E1806" s="140"/>
      <c r="F1806" s="80"/>
      <c r="G1806" s="80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  <c r="S1806" s="73"/>
      <c r="T1806" s="73"/>
      <c r="U1806" s="73"/>
      <c r="V1806" s="73"/>
      <c r="W1806" s="73"/>
      <c r="X1806" s="73"/>
      <c r="Y1806" s="73"/>
      <c r="Z1806" s="73"/>
      <c r="AA1806" s="73"/>
      <c r="AB1806" s="73"/>
      <c r="AC1806" s="73"/>
      <c r="AD1806" s="73"/>
      <c r="AE1806" s="73"/>
      <c r="AF1806" s="73"/>
      <c r="AG1806" s="73"/>
      <c r="AH1806" s="73"/>
      <c r="AI1806" s="73"/>
      <c r="AJ1806" s="168"/>
      <c r="AK1806" s="73"/>
      <c r="AL1806" s="73"/>
      <c r="AM1806" s="73"/>
      <c r="AN1806" s="73"/>
      <c r="AO1806" s="73"/>
      <c r="AP1806" s="73"/>
      <c r="AQ1806" s="73"/>
      <c r="AR1806" s="73"/>
      <c r="AS1806" s="73"/>
      <c r="AT1806" s="73"/>
      <c r="AU1806" s="73"/>
      <c r="AV1806" s="73"/>
      <c r="AW1806" s="73"/>
      <c r="AX1806" s="73"/>
      <c r="AY1806" s="73"/>
      <c r="AZ1806" s="73"/>
      <c r="BA1806" s="73"/>
      <c r="BB1806" s="73"/>
      <c r="BC1806" s="73"/>
      <c r="BD1806" s="73"/>
      <c r="BE1806" s="73"/>
      <c r="BF1806" s="75"/>
      <c r="BG1806" s="73"/>
      <c r="BH1806" s="88"/>
      <c r="BI1806" s="73"/>
      <c r="BJ1806" s="73"/>
      <c r="BK1806" s="73"/>
      <c r="BL1806" s="73"/>
      <c r="BM1806" s="73"/>
      <c r="BN1806" s="73"/>
      <c r="BO1806" s="73"/>
      <c r="BP1806" s="73"/>
      <c r="BQ1806" s="73"/>
      <c r="BR1806" s="73"/>
      <c r="BS1806" s="73"/>
      <c r="BT1806" s="73"/>
      <c r="BU1806" s="73"/>
      <c r="BV1806" s="73"/>
      <c r="BW1806" s="73"/>
      <c r="BX1806" s="73"/>
      <c r="BY1806" s="73"/>
      <c r="BZ1806" s="73"/>
      <c r="CA1806" s="73"/>
      <c r="CB1806" s="73"/>
      <c r="CC1806" s="73"/>
      <c r="CD1806" s="73"/>
      <c r="CE1806" s="73"/>
      <c r="CF1806" s="73"/>
      <c r="CG1806" s="73"/>
      <c r="CH1806" s="73"/>
    </row>
    <row r="1807">
      <c r="A1807" s="73"/>
      <c r="B1807" s="73"/>
      <c r="C1807" s="73"/>
      <c r="D1807" s="73"/>
      <c r="E1807" s="140"/>
      <c r="F1807" s="80"/>
      <c r="G1807" s="80"/>
      <c r="H1807" s="73"/>
      <c r="I1807" s="73"/>
      <c r="J1807" s="73"/>
      <c r="K1807" s="73"/>
      <c r="L1807" s="73"/>
      <c r="M1807" s="73"/>
      <c r="N1807" s="73"/>
      <c r="O1807" s="73"/>
      <c r="P1807" s="73"/>
      <c r="Q1807" s="73"/>
      <c r="R1807" s="73"/>
      <c r="S1807" s="73"/>
      <c r="T1807" s="73"/>
      <c r="U1807" s="73"/>
      <c r="V1807" s="73"/>
      <c r="W1807" s="73"/>
      <c r="X1807" s="73"/>
      <c r="Y1807" s="73"/>
      <c r="Z1807" s="73"/>
      <c r="AA1807" s="73"/>
      <c r="AB1807" s="73"/>
      <c r="AC1807" s="73"/>
      <c r="AD1807" s="73"/>
      <c r="AE1807" s="73"/>
      <c r="AF1807" s="73"/>
      <c r="AG1807" s="73"/>
      <c r="AH1807" s="73"/>
      <c r="AI1807" s="73"/>
      <c r="AJ1807" s="168"/>
      <c r="AK1807" s="73"/>
      <c r="AL1807" s="73"/>
      <c r="AM1807" s="73"/>
      <c r="AN1807" s="73"/>
      <c r="AO1807" s="73"/>
      <c r="AP1807" s="73"/>
      <c r="AQ1807" s="73"/>
      <c r="AR1807" s="73"/>
      <c r="AS1807" s="73"/>
      <c r="AT1807" s="73"/>
      <c r="AU1807" s="73"/>
      <c r="AV1807" s="73"/>
      <c r="AW1807" s="73"/>
      <c r="AX1807" s="73"/>
      <c r="AY1807" s="73"/>
      <c r="AZ1807" s="73"/>
      <c r="BA1807" s="73"/>
      <c r="BB1807" s="73"/>
      <c r="BC1807" s="73"/>
      <c r="BD1807" s="73"/>
      <c r="BE1807" s="73"/>
      <c r="BF1807" s="75"/>
      <c r="BG1807" s="73"/>
      <c r="BH1807" s="88"/>
      <c r="BI1807" s="73"/>
      <c r="BJ1807" s="73"/>
      <c r="BK1807" s="73"/>
      <c r="BL1807" s="73"/>
      <c r="BM1807" s="73"/>
      <c r="BN1807" s="73"/>
      <c r="BO1807" s="73"/>
      <c r="BP1807" s="73"/>
      <c r="BQ1807" s="73"/>
      <c r="BR1807" s="73"/>
      <c r="BS1807" s="73"/>
      <c r="BT1807" s="73"/>
      <c r="BU1807" s="73"/>
      <c r="BV1807" s="73"/>
      <c r="BW1807" s="73"/>
      <c r="BX1807" s="73"/>
      <c r="BY1807" s="73"/>
      <c r="BZ1807" s="73"/>
      <c r="CA1807" s="73"/>
      <c r="CB1807" s="73"/>
      <c r="CC1807" s="73"/>
      <c r="CD1807" s="73"/>
      <c r="CE1807" s="73"/>
      <c r="CF1807" s="73"/>
      <c r="CG1807" s="73"/>
      <c r="CH1807" s="73"/>
    </row>
    <row r="1808">
      <c r="A1808" s="73"/>
      <c r="B1808" s="73"/>
      <c r="C1808" s="73"/>
      <c r="D1808" s="73"/>
      <c r="E1808" s="140"/>
      <c r="F1808" s="80"/>
      <c r="G1808" s="80"/>
      <c r="H1808" s="73"/>
      <c r="I1808" s="73"/>
      <c r="J1808" s="73"/>
      <c r="K1808" s="73"/>
      <c r="L1808" s="73"/>
      <c r="M1808" s="73"/>
      <c r="N1808" s="73"/>
      <c r="O1808" s="73"/>
      <c r="P1808" s="73"/>
      <c r="Q1808" s="73"/>
      <c r="R1808" s="73"/>
      <c r="S1808" s="73"/>
      <c r="T1808" s="73"/>
      <c r="U1808" s="73"/>
      <c r="V1808" s="73"/>
      <c r="W1808" s="73"/>
      <c r="X1808" s="73"/>
      <c r="Y1808" s="73"/>
      <c r="Z1808" s="73"/>
      <c r="AA1808" s="73"/>
      <c r="AB1808" s="73"/>
      <c r="AC1808" s="73"/>
      <c r="AD1808" s="73"/>
      <c r="AE1808" s="73"/>
      <c r="AF1808" s="73"/>
      <c r="AG1808" s="73"/>
      <c r="AH1808" s="73"/>
      <c r="AI1808" s="73"/>
      <c r="AJ1808" s="168"/>
      <c r="AK1808" s="73"/>
      <c r="AL1808" s="73"/>
      <c r="AM1808" s="73"/>
      <c r="AN1808" s="73"/>
      <c r="AO1808" s="73"/>
      <c r="AP1808" s="73"/>
      <c r="AQ1808" s="73"/>
      <c r="AR1808" s="73"/>
      <c r="AS1808" s="73"/>
      <c r="AT1808" s="73"/>
      <c r="AU1808" s="73"/>
      <c r="AV1808" s="73"/>
      <c r="AW1808" s="73"/>
      <c r="AX1808" s="73"/>
      <c r="AY1808" s="73"/>
      <c r="AZ1808" s="73"/>
      <c r="BA1808" s="73"/>
      <c r="BB1808" s="73"/>
      <c r="BC1808" s="73"/>
      <c r="BD1808" s="73"/>
      <c r="BE1808" s="73"/>
      <c r="BF1808" s="75"/>
      <c r="BG1808" s="73"/>
      <c r="BH1808" s="88"/>
      <c r="BI1808" s="73"/>
      <c r="BJ1808" s="73"/>
      <c r="BK1808" s="73"/>
      <c r="BL1808" s="73"/>
      <c r="BM1808" s="73"/>
      <c r="BN1808" s="73"/>
      <c r="BO1808" s="73"/>
      <c r="BP1808" s="73"/>
      <c r="BQ1808" s="73"/>
      <c r="BR1808" s="73"/>
      <c r="BS1808" s="73"/>
      <c r="BT1808" s="73"/>
      <c r="BU1808" s="73"/>
      <c r="BV1808" s="73"/>
      <c r="BW1808" s="73"/>
      <c r="BX1808" s="73"/>
      <c r="BY1808" s="73"/>
      <c r="BZ1808" s="73"/>
      <c r="CA1808" s="73"/>
      <c r="CB1808" s="73"/>
      <c r="CC1808" s="73"/>
      <c r="CD1808" s="73"/>
      <c r="CE1808" s="73"/>
      <c r="CF1808" s="73"/>
      <c r="CG1808" s="73"/>
      <c r="CH1808" s="73"/>
    </row>
    <row r="1809">
      <c r="A1809" s="73"/>
      <c r="B1809" s="73"/>
      <c r="C1809" s="73"/>
      <c r="D1809" s="73"/>
      <c r="E1809" s="140"/>
      <c r="F1809" s="80"/>
      <c r="G1809" s="80"/>
      <c r="H1809" s="73"/>
      <c r="I1809" s="73"/>
      <c r="J1809" s="73"/>
      <c r="K1809" s="73"/>
      <c r="L1809" s="73"/>
      <c r="M1809" s="73"/>
      <c r="N1809" s="73"/>
      <c r="O1809" s="73"/>
      <c r="P1809" s="73"/>
      <c r="Q1809" s="73"/>
      <c r="R1809" s="73"/>
      <c r="S1809" s="73"/>
      <c r="T1809" s="73"/>
      <c r="U1809" s="73"/>
      <c r="V1809" s="73"/>
      <c r="W1809" s="73"/>
      <c r="X1809" s="73"/>
      <c r="Y1809" s="73"/>
      <c r="Z1809" s="73"/>
      <c r="AA1809" s="73"/>
      <c r="AB1809" s="73"/>
      <c r="AC1809" s="73"/>
      <c r="AD1809" s="73"/>
      <c r="AE1809" s="73"/>
      <c r="AF1809" s="73"/>
      <c r="AG1809" s="73"/>
      <c r="AH1809" s="73"/>
      <c r="AI1809" s="73"/>
      <c r="AJ1809" s="168"/>
      <c r="AK1809" s="73"/>
      <c r="AL1809" s="73"/>
      <c r="AM1809" s="73"/>
      <c r="AN1809" s="73"/>
      <c r="AO1809" s="73"/>
      <c r="AP1809" s="73"/>
      <c r="AQ1809" s="73"/>
      <c r="AR1809" s="73"/>
      <c r="AS1809" s="73"/>
      <c r="AT1809" s="73"/>
      <c r="AU1809" s="73"/>
      <c r="AV1809" s="73"/>
      <c r="AW1809" s="73"/>
      <c r="AX1809" s="73"/>
      <c r="AY1809" s="73"/>
      <c r="AZ1809" s="73"/>
      <c r="BA1809" s="73"/>
      <c r="BB1809" s="73"/>
      <c r="BC1809" s="73"/>
      <c r="BD1809" s="73"/>
      <c r="BE1809" s="73"/>
      <c r="BF1809" s="75"/>
      <c r="BG1809" s="73"/>
      <c r="BH1809" s="88"/>
      <c r="BI1809" s="73"/>
      <c r="BJ1809" s="73"/>
      <c r="BK1809" s="73"/>
      <c r="BL1809" s="73"/>
      <c r="BM1809" s="73"/>
      <c r="BN1809" s="73"/>
      <c r="BO1809" s="73"/>
      <c r="BP1809" s="73"/>
      <c r="BQ1809" s="73"/>
      <c r="BR1809" s="73"/>
      <c r="BS1809" s="73"/>
      <c r="BT1809" s="73"/>
      <c r="BU1809" s="73"/>
      <c r="BV1809" s="73"/>
      <c r="BW1809" s="73"/>
      <c r="BX1809" s="73"/>
      <c r="BY1809" s="73"/>
      <c r="BZ1809" s="73"/>
      <c r="CA1809" s="73"/>
      <c r="CB1809" s="73"/>
      <c r="CC1809" s="73"/>
      <c r="CD1809" s="73"/>
      <c r="CE1809" s="73"/>
      <c r="CF1809" s="73"/>
      <c r="CG1809" s="73"/>
      <c r="CH1809" s="73"/>
    </row>
    <row r="1810">
      <c r="A1810" s="73"/>
      <c r="B1810" s="73"/>
      <c r="C1810" s="73"/>
      <c r="D1810" s="73"/>
      <c r="E1810" s="140"/>
      <c r="F1810" s="80"/>
      <c r="G1810" s="80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  <c r="S1810" s="73"/>
      <c r="T1810" s="73"/>
      <c r="U1810" s="73"/>
      <c r="V1810" s="73"/>
      <c r="W1810" s="73"/>
      <c r="X1810" s="73"/>
      <c r="Y1810" s="73"/>
      <c r="Z1810" s="73"/>
      <c r="AA1810" s="73"/>
      <c r="AB1810" s="73"/>
      <c r="AC1810" s="73"/>
      <c r="AD1810" s="73"/>
      <c r="AE1810" s="73"/>
      <c r="AF1810" s="73"/>
      <c r="AG1810" s="73"/>
      <c r="AH1810" s="73"/>
      <c r="AI1810" s="73"/>
      <c r="AJ1810" s="168"/>
      <c r="AK1810" s="73"/>
      <c r="AL1810" s="73"/>
      <c r="AM1810" s="73"/>
      <c r="AN1810" s="73"/>
      <c r="AO1810" s="73"/>
      <c r="AP1810" s="73"/>
      <c r="AQ1810" s="73"/>
      <c r="AR1810" s="73"/>
      <c r="AS1810" s="73"/>
      <c r="AT1810" s="73"/>
      <c r="AU1810" s="73"/>
      <c r="AV1810" s="73"/>
      <c r="AW1810" s="73"/>
      <c r="AX1810" s="73"/>
      <c r="AY1810" s="73"/>
      <c r="AZ1810" s="73"/>
      <c r="BA1810" s="73"/>
      <c r="BB1810" s="73"/>
      <c r="BC1810" s="73"/>
      <c r="BD1810" s="73"/>
      <c r="BE1810" s="73"/>
      <c r="BF1810" s="75"/>
      <c r="BG1810" s="73"/>
      <c r="BH1810" s="88"/>
      <c r="BI1810" s="73"/>
      <c r="BJ1810" s="73"/>
      <c r="BK1810" s="73"/>
      <c r="BL1810" s="73"/>
      <c r="BM1810" s="73"/>
      <c r="BN1810" s="73"/>
      <c r="BO1810" s="73"/>
      <c r="BP1810" s="73"/>
      <c r="BQ1810" s="73"/>
      <c r="BR1810" s="73"/>
      <c r="BS1810" s="73"/>
      <c r="BT1810" s="73"/>
      <c r="BU1810" s="73"/>
      <c r="BV1810" s="73"/>
      <c r="BW1810" s="73"/>
      <c r="BX1810" s="73"/>
      <c r="BY1810" s="73"/>
      <c r="BZ1810" s="73"/>
      <c r="CA1810" s="73"/>
      <c r="CB1810" s="73"/>
      <c r="CC1810" s="73"/>
      <c r="CD1810" s="73"/>
      <c r="CE1810" s="73"/>
      <c r="CF1810" s="73"/>
      <c r="CG1810" s="73"/>
      <c r="CH1810" s="73"/>
    </row>
    <row r="1811">
      <c r="A1811" s="73"/>
      <c r="B1811" s="73"/>
      <c r="C1811" s="73"/>
      <c r="D1811" s="73"/>
      <c r="E1811" s="140"/>
      <c r="F1811" s="80"/>
      <c r="G1811" s="80"/>
      <c r="H1811" s="73"/>
      <c r="I1811" s="73"/>
      <c r="J1811" s="73"/>
      <c r="K1811" s="73"/>
      <c r="L1811" s="73"/>
      <c r="M1811" s="73"/>
      <c r="N1811" s="73"/>
      <c r="O1811" s="73"/>
      <c r="P1811" s="73"/>
      <c r="Q1811" s="73"/>
      <c r="R1811" s="73"/>
      <c r="S1811" s="73"/>
      <c r="T1811" s="73"/>
      <c r="U1811" s="73"/>
      <c r="V1811" s="73"/>
      <c r="W1811" s="73"/>
      <c r="X1811" s="73"/>
      <c r="Y1811" s="73"/>
      <c r="Z1811" s="73"/>
      <c r="AA1811" s="73"/>
      <c r="AB1811" s="73"/>
      <c r="AC1811" s="73"/>
      <c r="AD1811" s="73"/>
      <c r="AE1811" s="73"/>
      <c r="AF1811" s="73"/>
      <c r="AG1811" s="73"/>
      <c r="AH1811" s="73"/>
      <c r="AI1811" s="73"/>
      <c r="AJ1811" s="168"/>
      <c r="AK1811" s="73"/>
      <c r="AL1811" s="73"/>
      <c r="AM1811" s="73"/>
      <c r="AN1811" s="73"/>
      <c r="AO1811" s="73"/>
      <c r="AP1811" s="73"/>
      <c r="AQ1811" s="73"/>
      <c r="AR1811" s="73"/>
      <c r="AS1811" s="73"/>
      <c r="AT1811" s="73"/>
      <c r="AU1811" s="73"/>
      <c r="AV1811" s="73"/>
      <c r="AW1811" s="73"/>
      <c r="AX1811" s="73"/>
      <c r="AY1811" s="73"/>
      <c r="AZ1811" s="73"/>
      <c r="BA1811" s="73"/>
      <c r="BB1811" s="73"/>
      <c r="BC1811" s="73"/>
      <c r="BD1811" s="73"/>
      <c r="BE1811" s="73"/>
      <c r="BF1811" s="75"/>
      <c r="BG1811" s="73"/>
      <c r="BH1811" s="88"/>
      <c r="BI1811" s="73"/>
      <c r="BJ1811" s="73"/>
      <c r="BK1811" s="73"/>
      <c r="BL1811" s="73"/>
      <c r="BM1811" s="73"/>
      <c r="BN1811" s="73"/>
      <c r="BO1811" s="73"/>
      <c r="BP1811" s="73"/>
      <c r="BQ1811" s="73"/>
      <c r="BR1811" s="73"/>
      <c r="BS1811" s="73"/>
      <c r="BT1811" s="73"/>
      <c r="BU1811" s="73"/>
      <c r="BV1811" s="73"/>
      <c r="BW1811" s="73"/>
      <c r="BX1811" s="73"/>
      <c r="BY1811" s="73"/>
      <c r="BZ1811" s="73"/>
      <c r="CA1811" s="73"/>
      <c r="CB1811" s="73"/>
      <c r="CC1811" s="73"/>
      <c r="CD1811" s="73"/>
      <c r="CE1811" s="73"/>
      <c r="CF1811" s="73"/>
      <c r="CG1811" s="73"/>
      <c r="CH1811" s="73"/>
    </row>
    <row r="1812">
      <c r="A1812" s="73"/>
      <c r="B1812" s="73"/>
      <c r="C1812" s="73"/>
      <c r="D1812" s="73"/>
      <c r="E1812" s="140"/>
      <c r="F1812" s="80"/>
      <c r="G1812" s="80"/>
      <c r="H1812" s="73"/>
      <c r="I1812" s="73"/>
      <c r="J1812" s="73"/>
      <c r="K1812" s="73"/>
      <c r="L1812" s="73"/>
      <c r="M1812" s="73"/>
      <c r="N1812" s="73"/>
      <c r="O1812" s="73"/>
      <c r="P1812" s="73"/>
      <c r="Q1812" s="73"/>
      <c r="R1812" s="73"/>
      <c r="S1812" s="73"/>
      <c r="T1812" s="73"/>
      <c r="U1812" s="73"/>
      <c r="V1812" s="73"/>
      <c r="W1812" s="73"/>
      <c r="X1812" s="73"/>
      <c r="Y1812" s="73"/>
      <c r="Z1812" s="73"/>
      <c r="AA1812" s="73"/>
      <c r="AB1812" s="73"/>
      <c r="AC1812" s="73"/>
      <c r="AD1812" s="73"/>
      <c r="AE1812" s="73"/>
      <c r="AF1812" s="73"/>
      <c r="AG1812" s="73"/>
      <c r="AH1812" s="73"/>
      <c r="AI1812" s="73"/>
      <c r="AJ1812" s="168"/>
      <c r="AK1812" s="73"/>
      <c r="AL1812" s="73"/>
      <c r="AM1812" s="73"/>
      <c r="AN1812" s="73"/>
      <c r="AO1812" s="73"/>
      <c r="AP1812" s="73"/>
      <c r="AQ1812" s="73"/>
      <c r="AR1812" s="73"/>
      <c r="AS1812" s="73"/>
      <c r="AT1812" s="73"/>
      <c r="AU1812" s="73"/>
      <c r="AV1812" s="73"/>
      <c r="AW1812" s="73"/>
      <c r="AX1812" s="73"/>
      <c r="AY1812" s="73"/>
      <c r="AZ1812" s="73"/>
      <c r="BA1812" s="73"/>
      <c r="BB1812" s="73"/>
      <c r="BC1812" s="73"/>
      <c r="BD1812" s="73"/>
      <c r="BE1812" s="73"/>
      <c r="BF1812" s="75"/>
      <c r="BG1812" s="73"/>
      <c r="BH1812" s="88"/>
      <c r="BI1812" s="73"/>
      <c r="BJ1812" s="73"/>
      <c r="BK1812" s="73"/>
      <c r="BL1812" s="73"/>
      <c r="BM1812" s="73"/>
      <c r="BN1812" s="73"/>
      <c r="BO1812" s="73"/>
      <c r="BP1812" s="73"/>
      <c r="BQ1812" s="73"/>
      <c r="BR1812" s="73"/>
      <c r="BS1812" s="73"/>
      <c r="BT1812" s="73"/>
      <c r="BU1812" s="73"/>
      <c r="BV1812" s="73"/>
      <c r="BW1812" s="73"/>
      <c r="BX1812" s="73"/>
      <c r="BY1812" s="73"/>
      <c r="BZ1812" s="73"/>
      <c r="CA1812" s="73"/>
      <c r="CB1812" s="73"/>
      <c r="CC1812" s="73"/>
      <c r="CD1812" s="73"/>
      <c r="CE1812" s="73"/>
      <c r="CF1812" s="73"/>
      <c r="CG1812" s="73"/>
      <c r="CH1812" s="73"/>
    </row>
    <row r="1813">
      <c r="A1813" s="73"/>
      <c r="B1813" s="73"/>
      <c r="C1813" s="73"/>
      <c r="D1813" s="73"/>
      <c r="E1813" s="140"/>
      <c r="F1813" s="80"/>
      <c r="G1813" s="80"/>
      <c r="H1813" s="73"/>
      <c r="I1813" s="73"/>
      <c r="J1813" s="73"/>
      <c r="K1813" s="73"/>
      <c r="L1813" s="73"/>
      <c r="M1813" s="73"/>
      <c r="N1813" s="73"/>
      <c r="O1813" s="73"/>
      <c r="P1813" s="73"/>
      <c r="Q1813" s="73"/>
      <c r="R1813" s="73"/>
      <c r="S1813" s="73"/>
      <c r="T1813" s="73"/>
      <c r="U1813" s="73"/>
      <c r="V1813" s="73"/>
      <c r="W1813" s="73"/>
      <c r="X1813" s="73"/>
      <c r="Y1813" s="73"/>
      <c r="Z1813" s="73"/>
      <c r="AA1813" s="73"/>
      <c r="AB1813" s="73"/>
      <c r="AC1813" s="73"/>
      <c r="AD1813" s="73"/>
      <c r="AE1813" s="73"/>
      <c r="AF1813" s="73"/>
      <c r="AG1813" s="73"/>
      <c r="AH1813" s="73"/>
      <c r="AI1813" s="73"/>
      <c r="AJ1813" s="168"/>
      <c r="AK1813" s="73"/>
      <c r="AL1813" s="73"/>
      <c r="AM1813" s="73"/>
      <c r="AN1813" s="73"/>
      <c r="AO1813" s="73"/>
      <c r="AP1813" s="73"/>
      <c r="AQ1813" s="73"/>
      <c r="AR1813" s="73"/>
      <c r="AS1813" s="73"/>
      <c r="AT1813" s="73"/>
      <c r="AU1813" s="73"/>
      <c r="AV1813" s="73"/>
      <c r="AW1813" s="73"/>
      <c r="AX1813" s="73"/>
      <c r="AY1813" s="73"/>
      <c r="AZ1813" s="73"/>
      <c r="BA1813" s="73"/>
      <c r="BB1813" s="73"/>
      <c r="BC1813" s="73"/>
      <c r="BD1813" s="73"/>
      <c r="BE1813" s="73"/>
      <c r="BF1813" s="75"/>
      <c r="BG1813" s="73"/>
      <c r="BH1813" s="88"/>
      <c r="BI1813" s="73"/>
      <c r="BJ1813" s="73"/>
      <c r="BK1813" s="73"/>
      <c r="BL1813" s="73"/>
      <c r="BM1813" s="73"/>
      <c r="BN1813" s="73"/>
      <c r="BO1813" s="73"/>
      <c r="BP1813" s="73"/>
      <c r="BQ1813" s="73"/>
      <c r="BR1813" s="73"/>
      <c r="BS1813" s="73"/>
      <c r="BT1813" s="73"/>
      <c r="BU1813" s="73"/>
      <c r="BV1813" s="73"/>
      <c r="BW1813" s="73"/>
      <c r="BX1813" s="73"/>
      <c r="BY1813" s="73"/>
      <c r="BZ1813" s="73"/>
      <c r="CA1813" s="73"/>
      <c r="CB1813" s="73"/>
      <c r="CC1813" s="73"/>
      <c r="CD1813" s="73"/>
      <c r="CE1813" s="73"/>
      <c r="CF1813" s="73"/>
      <c r="CG1813" s="73"/>
      <c r="CH1813" s="73"/>
    </row>
    <row r="1814">
      <c r="A1814" s="73"/>
      <c r="B1814" s="73"/>
      <c r="C1814" s="73"/>
      <c r="D1814" s="73"/>
      <c r="E1814" s="140"/>
      <c r="F1814" s="80"/>
      <c r="G1814" s="80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  <c r="S1814" s="73"/>
      <c r="T1814" s="73"/>
      <c r="U1814" s="73"/>
      <c r="V1814" s="73"/>
      <c r="W1814" s="73"/>
      <c r="X1814" s="73"/>
      <c r="Y1814" s="73"/>
      <c r="Z1814" s="73"/>
      <c r="AA1814" s="73"/>
      <c r="AB1814" s="73"/>
      <c r="AC1814" s="73"/>
      <c r="AD1814" s="73"/>
      <c r="AE1814" s="73"/>
      <c r="AF1814" s="73"/>
      <c r="AG1814" s="73"/>
      <c r="AH1814" s="73"/>
      <c r="AI1814" s="73"/>
      <c r="AJ1814" s="168"/>
      <c r="AK1814" s="73"/>
      <c r="AL1814" s="73"/>
      <c r="AM1814" s="73"/>
      <c r="AN1814" s="73"/>
      <c r="AO1814" s="73"/>
      <c r="AP1814" s="73"/>
      <c r="AQ1814" s="73"/>
      <c r="AR1814" s="73"/>
      <c r="AS1814" s="73"/>
      <c r="AT1814" s="73"/>
      <c r="AU1814" s="73"/>
      <c r="AV1814" s="73"/>
      <c r="AW1814" s="73"/>
      <c r="AX1814" s="73"/>
      <c r="AY1814" s="73"/>
      <c r="AZ1814" s="73"/>
      <c r="BA1814" s="73"/>
      <c r="BB1814" s="73"/>
      <c r="BC1814" s="73"/>
      <c r="BD1814" s="73"/>
      <c r="BE1814" s="73"/>
      <c r="BF1814" s="75"/>
      <c r="BG1814" s="73"/>
      <c r="BH1814" s="88"/>
      <c r="BI1814" s="73"/>
      <c r="BJ1814" s="73"/>
      <c r="BK1814" s="73"/>
      <c r="BL1814" s="73"/>
      <c r="BM1814" s="73"/>
      <c r="BN1814" s="73"/>
      <c r="BO1814" s="73"/>
      <c r="BP1814" s="73"/>
      <c r="BQ1814" s="73"/>
      <c r="BR1814" s="73"/>
      <c r="BS1814" s="73"/>
      <c r="BT1814" s="73"/>
      <c r="BU1814" s="73"/>
      <c r="BV1814" s="73"/>
      <c r="BW1814" s="73"/>
      <c r="BX1814" s="73"/>
      <c r="BY1814" s="73"/>
      <c r="BZ1814" s="73"/>
      <c r="CA1814" s="73"/>
      <c r="CB1814" s="73"/>
      <c r="CC1814" s="73"/>
      <c r="CD1814" s="73"/>
      <c r="CE1814" s="73"/>
      <c r="CF1814" s="73"/>
      <c r="CG1814" s="73"/>
      <c r="CH1814" s="73"/>
    </row>
    <row r="1815">
      <c r="A1815" s="73"/>
      <c r="B1815" s="73"/>
      <c r="C1815" s="73"/>
      <c r="D1815" s="73"/>
      <c r="E1815" s="140"/>
      <c r="F1815" s="80"/>
      <c r="G1815" s="80"/>
      <c r="H1815" s="73"/>
      <c r="I1815" s="73"/>
      <c r="J1815" s="73"/>
      <c r="K1815" s="73"/>
      <c r="L1815" s="73"/>
      <c r="M1815" s="73"/>
      <c r="N1815" s="73"/>
      <c r="O1815" s="73"/>
      <c r="P1815" s="73"/>
      <c r="Q1815" s="73"/>
      <c r="R1815" s="73"/>
      <c r="S1815" s="73"/>
      <c r="T1815" s="73"/>
      <c r="U1815" s="73"/>
      <c r="V1815" s="73"/>
      <c r="W1815" s="73"/>
      <c r="X1815" s="73"/>
      <c r="Y1815" s="73"/>
      <c r="Z1815" s="73"/>
      <c r="AA1815" s="73"/>
      <c r="AB1815" s="73"/>
      <c r="AC1815" s="73"/>
      <c r="AD1815" s="73"/>
      <c r="AE1815" s="73"/>
      <c r="AF1815" s="73"/>
      <c r="AG1815" s="73"/>
      <c r="AH1815" s="73"/>
      <c r="AI1815" s="73"/>
      <c r="AJ1815" s="168"/>
      <c r="AK1815" s="73"/>
      <c r="AL1815" s="73"/>
      <c r="AM1815" s="73"/>
      <c r="AN1815" s="73"/>
      <c r="AO1815" s="73"/>
      <c r="AP1815" s="73"/>
      <c r="AQ1815" s="73"/>
      <c r="AR1815" s="73"/>
      <c r="AS1815" s="73"/>
      <c r="AT1815" s="73"/>
      <c r="AU1815" s="73"/>
      <c r="AV1815" s="73"/>
      <c r="AW1815" s="73"/>
      <c r="AX1815" s="73"/>
      <c r="AY1815" s="73"/>
      <c r="AZ1815" s="73"/>
      <c r="BA1815" s="73"/>
      <c r="BB1815" s="73"/>
      <c r="BC1815" s="73"/>
      <c r="BD1815" s="73"/>
      <c r="BE1815" s="73"/>
      <c r="BF1815" s="75"/>
      <c r="BG1815" s="73"/>
      <c r="BH1815" s="88"/>
      <c r="BI1815" s="73"/>
      <c r="BJ1815" s="73"/>
      <c r="BK1815" s="73"/>
      <c r="BL1815" s="73"/>
      <c r="BM1815" s="73"/>
      <c r="BN1815" s="73"/>
      <c r="BO1815" s="73"/>
      <c r="BP1815" s="73"/>
      <c r="BQ1815" s="73"/>
      <c r="BR1815" s="73"/>
      <c r="BS1815" s="73"/>
      <c r="BT1815" s="73"/>
      <c r="BU1815" s="73"/>
      <c r="BV1815" s="73"/>
      <c r="BW1815" s="73"/>
      <c r="BX1815" s="73"/>
      <c r="BY1815" s="73"/>
      <c r="BZ1815" s="73"/>
      <c r="CA1815" s="73"/>
      <c r="CB1815" s="73"/>
      <c r="CC1815" s="73"/>
      <c r="CD1815" s="73"/>
      <c r="CE1815" s="73"/>
      <c r="CF1815" s="73"/>
      <c r="CG1815" s="73"/>
      <c r="CH1815" s="73"/>
    </row>
    <row r="1816">
      <c r="A1816" s="73"/>
      <c r="B1816" s="73"/>
      <c r="C1816" s="73"/>
      <c r="D1816" s="73"/>
      <c r="E1816" s="140"/>
      <c r="F1816" s="80"/>
      <c r="G1816" s="80"/>
      <c r="H1816" s="73"/>
      <c r="I1816" s="73"/>
      <c r="J1816" s="73"/>
      <c r="K1816" s="73"/>
      <c r="L1816" s="73"/>
      <c r="M1816" s="73"/>
      <c r="N1816" s="73"/>
      <c r="O1816" s="73"/>
      <c r="P1816" s="73"/>
      <c r="Q1816" s="73"/>
      <c r="R1816" s="73"/>
      <c r="S1816" s="73"/>
      <c r="T1816" s="73"/>
      <c r="U1816" s="73"/>
      <c r="V1816" s="73"/>
      <c r="W1816" s="73"/>
      <c r="X1816" s="73"/>
      <c r="Y1816" s="73"/>
      <c r="Z1816" s="73"/>
      <c r="AA1816" s="73"/>
      <c r="AB1816" s="73"/>
      <c r="AC1816" s="73"/>
      <c r="AD1816" s="73"/>
      <c r="AE1816" s="73"/>
      <c r="AF1816" s="73"/>
      <c r="AG1816" s="73"/>
      <c r="AH1816" s="73"/>
      <c r="AI1816" s="73"/>
      <c r="AJ1816" s="168"/>
      <c r="AK1816" s="73"/>
      <c r="AL1816" s="73"/>
      <c r="AM1816" s="73"/>
      <c r="AN1816" s="73"/>
      <c r="AO1816" s="73"/>
      <c r="AP1816" s="73"/>
      <c r="AQ1816" s="73"/>
      <c r="AR1816" s="73"/>
      <c r="AS1816" s="73"/>
      <c r="AT1816" s="73"/>
      <c r="AU1816" s="73"/>
      <c r="AV1816" s="73"/>
      <c r="AW1816" s="73"/>
      <c r="AX1816" s="73"/>
      <c r="AY1816" s="73"/>
      <c r="AZ1816" s="73"/>
      <c r="BA1816" s="73"/>
      <c r="BB1816" s="73"/>
      <c r="BC1816" s="73"/>
      <c r="BD1816" s="73"/>
      <c r="BE1816" s="73"/>
      <c r="BF1816" s="75"/>
      <c r="BG1816" s="73"/>
      <c r="BH1816" s="88"/>
      <c r="BI1816" s="73"/>
      <c r="BJ1816" s="73"/>
      <c r="BK1816" s="73"/>
      <c r="BL1816" s="73"/>
      <c r="BM1816" s="73"/>
      <c r="BN1816" s="73"/>
      <c r="BO1816" s="73"/>
      <c r="BP1816" s="73"/>
      <c r="BQ1816" s="73"/>
      <c r="BR1816" s="73"/>
      <c r="BS1816" s="73"/>
      <c r="BT1816" s="73"/>
      <c r="BU1816" s="73"/>
      <c r="BV1816" s="73"/>
      <c r="BW1816" s="73"/>
      <c r="BX1816" s="73"/>
      <c r="BY1816" s="73"/>
      <c r="BZ1816" s="73"/>
      <c r="CA1816" s="73"/>
      <c r="CB1816" s="73"/>
      <c r="CC1816" s="73"/>
      <c r="CD1816" s="73"/>
      <c r="CE1816" s="73"/>
      <c r="CF1816" s="73"/>
      <c r="CG1816" s="73"/>
      <c r="CH1816" s="73"/>
    </row>
    <row r="1817">
      <c r="A1817" s="73"/>
      <c r="B1817" s="73"/>
      <c r="C1817" s="73"/>
      <c r="D1817" s="73"/>
      <c r="E1817" s="140"/>
      <c r="F1817" s="80"/>
      <c r="G1817" s="80"/>
      <c r="H1817" s="73"/>
      <c r="I1817" s="73"/>
      <c r="J1817" s="73"/>
      <c r="K1817" s="73"/>
      <c r="L1817" s="73"/>
      <c r="M1817" s="73"/>
      <c r="N1817" s="73"/>
      <c r="O1817" s="73"/>
      <c r="P1817" s="73"/>
      <c r="Q1817" s="73"/>
      <c r="R1817" s="73"/>
      <c r="S1817" s="73"/>
      <c r="T1817" s="73"/>
      <c r="U1817" s="73"/>
      <c r="V1817" s="73"/>
      <c r="W1817" s="73"/>
      <c r="X1817" s="73"/>
      <c r="Y1817" s="73"/>
      <c r="Z1817" s="73"/>
      <c r="AA1817" s="73"/>
      <c r="AB1817" s="73"/>
      <c r="AC1817" s="73"/>
      <c r="AD1817" s="73"/>
      <c r="AE1817" s="73"/>
      <c r="AF1817" s="73"/>
      <c r="AG1817" s="73"/>
      <c r="AH1817" s="73"/>
      <c r="AI1817" s="73"/>
      <c r="AJ1817" s="168"/>
      <c r="AK1817" s="73"/>
      <c r="AL1817" s="73"/>
      <c r="AM1817" s="73"/>
      <c r="AN1817" s="73"/>
      <c r="AO1817" s="73"/>
      <c r="AP1817" s="73"/>
      <c r="AQ1817" s="73"/>
      <c r="AR1817" s="73"/>
      <c r="AS1817" s="73"/>
      <c r="AT1817" s="73"/>
      <c r="AU1817" s="73"/>
      <c r="AV1817" s="73"/>
      <c r="AW1817" s="73"/>
      <c r="AX1817" s="73"/>
      <c r="AY1817" s="73"/>
      <c r="AZ1817" s="73"/>
      <c r="BA1817" s="73"/>
      <c r="BB1817" s="73"/>
      <c r="BC1817" s="73"/>
      <c r="BD1817" s="73"/>
      <c r="BE1817" s="73"/>
      <c r="BF1817" s="75"/>
      <c r="BG1817" s="73"/>
      <c r="BH1817" s="88"/>
      <c r="BI1817" s="73"/>
      <c r="BJ1817" s="73"/>
      <c r="BK1817" s="73"/>
      <c r="BL1817" s="73"/>
      <c r="BM1817" s="73"/>
      <c r="BN1817" s="73"/>
      <c r="BO1817" s="73"/>
      <c r="BP1817" s="73"/>
      <c r="BQ1817" s="73"/>
      <c r="BR1817" s="73"/>
      <c r="BS1817" s="73"/>
      <c r="BT1817" s="73"/>
      <c r="BU1817" s="73"/>
      <c r="BV1817" s="73"/>
      <c r="BW1817" s="73"/>
      <c r="BX1817" s="73"/>
      <c r="BY1817" s="73"/>
      <c r="BZ1817" s="73"/>
      <c r="CA1817" s="73"/>
      <c r="CB1817" s="73"/>
      <c r="CC1817" s="73"/>
      <c r="CD1817" s="73"/>
      <c r="CE1817" s="73"/>
      <c r="CF1817" s="73"/>
      <c r="CG1817" s="73"/>
      <c r="CH1817" s="73"/>
    </row>
    <row r="1818">
      <c r="A1818" s="73"/>
      <c r="B1818" s="73"/>
      <c r="C1818" s="73"/>
      <c r="D1818" s="73"/>
      <c r="E1818" s="140"/>
      <c r="F1818" s="80"/>
      <c r="G1818" s="80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  <c r="S1818" s="73"/>
      <c r="T1818" s="73"/>
      <c r="U1818" s="73"/>
      <c r="V1818" s="73"/>
      <c r="W1818" s="73"/>
      <c r="X1818" s="73"/>
      <c r="Y1818" s="73"/>
      <c r="Z1818" s="73"/>
      <c r="AA1818" s="73"/>
      <c r="AB1818" s="73"/>
      <c r="AC1818" s="73"/>
      <c r="AD1818" s="73"/>
      <c r="AE1818" s="73"/>
      <c r="AF1818" s="73"/>
      <c r="AG1818" s="73"/>
      <c r="AH1818" s="73"/>
      <c r="AI1818" s="73"/>
      <c r="AJ1818" s="168"/>
      <c r="AK1818" s="73"/>
      <c r="AL1818" s="73"/>
      <c r="AM1818" s="73"/>
      <c r="AN1818" s="73"/>
      <c r="AO1818" s="73"/>
      <c r="AP1818" s="73"/>
      <c r="AQ1818" s="73"/>
      <c r="AR1818" s="73"/>
      <c r="AS1818" s="73"/>
      <c r="AT1818" s="73"/>
      <c r="AU1818" s="73"/>
      <c r="AV1818" s="73"/>
      <c r="AW1818" s="73"/>
      <c r="AX1818" s="73"/>
      <c r="AY1818" s="73"/>
      <c r="AZ1818" s="73"/>
      <c r="BA1818" s="73"/>
      <c r="BB1818" s="73"/>
      <c r="BC1818" s="73"/>
      <c r="BD1818" s="73"/>
      <c r="BE1818" s="73"/>
      <c r="BF1818" s="75"/>
      <c r="BG1818" s="73"/>
      <c r="BH1818" s="88"/>
      <c r="BI1818" s="73"/>
      <c r="BJ1818" s="73"/>
      <c r="BK1818" s="73"/>
      <c r="BL1818" s="73"/>
      <c r="BM1818" s="73"/>
      <c r="BN1818" s="73"/>
      <c r="BO1818" s="73"/>
      <c r="BP1818" s="73"/>
      <c r="BQ1818" s="73"/>
      <c r="BR1818" s="73"/>
      <c r="BS1818" s="73"/>
      <c r="BT1818" s="73"/>
      <c r="BU1818" s="73"/>
      <c r="BV1818" s="73"/>
      <c r="BW1818" s="73"/>
      <c r="BX1818" s="73"/>
      <c r="BY1818" s="73"/>
      <c r="BZ1818" s="73"/>
      <c r="CA1818" s="73"/>
      <c r="CB1818" s="73"/>
      <c r="CC1818" s="73"/>
      <c r="CD1818" s="73"/>
      <c r="CE1818" s="73"/>
      <c r="CF1818" s="73"/>
      <c r="CG1818" s="73"/>
      <c r="CH1818" s="73"/>
    </row>
    <row r="1819">
      <c r="A1819" s="73"/>
      <c r="B1819" s="73"/>
      <c r="C1819" s="73"/>
      <c r="D1819" s="73"/>
      <c r="E1819" s="140"/>
      <c r="F1819" s="80"/>
      <c r="G1819" s="80"/>
      <c r="H1819" s="73"/>
      <c r="I1819" s="73"/>
      <c r="J1819" s="73"/>
      <c r="K1819" s="73"/>
      <c r="L1819" s="73"/>
      <c r="M1819" s="73"/>
      <c r="N1819" s="73"/>
      <c r="O1819" s="73"/>
      <c r="P1819" s="73"/>
      <c r="Q1819" s="73"/>
      <c r="R1819" s="73"/>
      <c r="S1819" s="73"/>
      <c r="T1819" s="73"/>
      <c r="U1819" s="73"/>
      <c r="V1819" s="73"/>
      <c r="W1819" s="73"/>
      <c r="X1819" s="73"/>
      <c r="Y1819" s="73"/>
      <c r="Z1819" s="73"/>
      <c r="AA1819" s="73"/>
      <c r="AB1819" s="73"/>
      <c r="AC1819" s="73"/>
      <c r="AD1819" s="73"/>
      <c r="AE1819" s="73"/>
      <c r="AF1819" s="73"/>
      <c r="AG1819" s="73"/>
      <c r="AH1819" s="73"/>
      <c r="AI1819" s="73"/>
      <c r="AJ1819" s="168"/>
      <c r="AK1819" s="73"/>
      <c r="AL1819" s="73"/>
      <c r="AM1819" s="73"/>
      <c r="AN1819" s="73"/>
      <c r="AO1819" s="73"/>
      <c r="AP1819" s="73"/>
      <c r="AQ1819" s="73"/>
      <c r="AR1819" s="73"/>
      <c r="AS1819" s="73"/>
      <c r="AT1819" s="73"/>
      <c r="AU1819" s="73"/>
      <c r="AV1819" s="73"/>
      <c r="AW1819" s="73"/>
      <c r="AX1819" s="73"/>
      <c r="AY1819" s="73"/>
      <c r="AZ1819" s="73"/>
      <c r="BA1819" s="73"/>
      <c r="BB1819" s="73"/>
      <c r="BC1819" s="73"/>
      <c r="BD1819" s="73"/>
      <c r="BE1819" s="73"/>
      <c r="BF1819" s="75"/>
      <c r="BG1819" s="73"/>
      <c r="BH1819" s="88"/>
      <c r="BI1819" s="73"/>
      <c r="BJ1819" s="73"/>
      <c r="BK1819" s="73"/>
      <c r="BL1819" s="73"/>
      <c r="BM1819" s="73"/>
      <c r="BN1819" s="73"/>
      <c r="BO1819" s="73"/>
      <c r="BP1819" s="73"/>
      <c r="BQ1819" s="73"/>
      <c r="BR1819" s="73"/>
      <c r="BS1819" s="73"/>
      <c r="BT1819" s="73"/>
      <c r="BU1819" s="73"/>
      <c r="BV1819" s="73"/>
      <c r="BW1819" s="73"/>
      <c r="BX1819" s="73"/>
      <c r="BY1819" s="73"/>
      <c r="BZ1819" s="73"/>
      <c r="CA1819" s="73"/>
      <c r="CB1819" s="73"/>
      <c r="CC1819" s="73"/>
      <c r="CD1819" s="73"/>
      <c r="CE1819" s="73"/>
      <c r="CF1819" s="73"/>
      <c r="CG1819" s="73"/>
      <c r="CH1819" s="73"/>
    </row>
    <row r="1820">
      <c r="A1820" s="73"/>
      <c r="B1820" s="73"/>
      <c r="C1820" s="73"/>
      <c r="D1820" s="73"/>
      <c r="E1820" s="140"/>
      <c r="F1820" s="80"/>
      <c r="G1820" s="80"/>
      <c r="H1820" s="73"/>
      <c r="I1820" s="73"/>
      <c r="J1820" s="73"/>
      <c r="K1820" s="73"/>
      <c r="L1820" s="73"/>
      <c r="M1820" s="73"/>
      <c r="N1820" s="73"/>
      <c r="O1820" s="73"/>
      <c r="P1820" s="73"/>
      <c r="Q1820" s="73"/>
      <c r="R1820" s="73"/>
      <c r="S1820" s="73"/>
      <c r="T1820" s="73"/>
      <c r="U1820" s="73"/>
      <c r="V1820" s="73"/>
      <c r="W1820" s="73"/>
      <c r="X1820" s="73"/>
      <c r="Y1820" s="73"/>
      <c r="Z1820" s="73"/>
      <c r="AA1820" s="73"/>
      <c r="AB1820" s="73"/>
      <c r="AC1820" s="73"/>
      <c r="AD1820" s="73"/>
      <c r="AE1820" s="73"/>
      <c r="AF1820" s="73"/>
      <c r="AG1820" s="73"/>
      <c r="AH1820" s="73"/>
      <c r="AI1820" s="73"/>
      <c r="AJ1820" s="168"/>
      <c r="AK1820" s="73"/>
      <c r="AL1820" s="73"/>
      <c r="AM1820" s="73"/>
      <c r="AN1820" s="73"/>
      <c r="AO1820" s="73"/>
      <c r="AP1820" s="73"/>
      <c r="AQ1820" s="73"/>
      <c r="AR1820" s="73"/>
      <c r="AS1820" s="73"/>
      <c r="AT1820" s="73"/>
      <c r="AU1820" s="73"/>
      <c r="AV1820" s="73"/>
      <c r="AW1820" s="73"/>
      <c r="AX1820" s="73"/>
      <c r="AY1820" s="73"/>
      <c r="AZ1820" s="73"/>
      <c r="BA1820" s="73"/>
      <c r="BB1820" s="73"/>
      <c r="BC1820" s="73"/>
      <c r="BD1820" s="73"/>
      <c r="BE1820" s="73"/>
      <c r="BF1820" s="75"/>
      <c r="BG1820" s="73"/>
      <c r="BH1820" s="88"/>
      <c r="BI1820" s="73"/>
      <c r="BJ1820" s="73"/>
      <c r="BK1820" s="73"/>
      <c r="BL1820" s="73"/>
      <c r="BM1820" s="73"/>
      <c r="BN1820" s="73"/>
      <c r="BO1820" s="73"/>
      <c r="BP1820" s="73"/>
      <c r="BQ1820" s="73"/>
      <c r="BR1820" s="73"/>
      <c r="BS1820" s="73"/>
      <c r="BT1820" s="73"/>
      <c r="BU1820" s="73"/>
      <c r="BV1820" s="73"/>
      <c r="BW1820" s="73"/>
      <c r="BX1820" s="73"/>
      <c r="BY1820" s="73"/>
      <c r="BZ1820" s="73"/>
      <c r="CA1820" s="73"/>
      <c r="CB1820" s="73"/>
      <c r="CC1820" s="73"/>
      <c r="CD1820" s="73"/>
      <c r="CE1820" s="73"/>
      <c r="CF1820" s="73"/>
      <c r="CG1820" s="73"/>
      <c r="CH1820" s="73"/>
    </row>
    <row r="1821">
      <c r="A1821" s="73"/>
      <c r="B1821" s="73"/>
      <c r="C1821" s="73"/>
      <c r="D1821" s="73"/>
      <c r="E1821" s="140"/>
      <c r="F1821" s="80"/>
      <c r="G1821" s="80"/>
      <c r="H1821" s="73"/>
      <c r="I1821" s="73"/>
      <c r="J1821" s="73"/>
      <c r="K1821" s="73"/>
      <c r="L1821" s="73"/>
      <c r="M1821" s="73"/>
      <c r="N1821" s="73"/>
      <c r="O1821" s="73"/>
      <c r="P1821" s="73"/>
      <c r="Q1821" s="73"/>
      <c r="R1821" s="73"/>
      <c r="S1821" s="73"/>
      <c r="T1821" s="73"/>
      <c r="U1821" s="73"/>
      <c r="V1821" s="73"/>
      <c r="W1821" s="73"/>
      <c r="X1821" s="73"/>
      <c r="Y1821" s="73"/>
      <c r="Z1821" s="73"/>
      <c r="AA1821" s="73"/>
      <c r="AB1821" s="73"/>
      <c r="AC1821" s="73"/>
      <c r="AD1821" s="73"/>
      <c r="AE1821" s="73"/>
      <c r="AF1821" s="73"/>
      <c r="AG1821" s="73"/>
      <c r="AH1821" s="73"/>
      <c r="AI1821" s="73"/>
      <c r="AJ1821" s="168"/>
      <c r="AK1821" s="73"/>
      <c r="AL1821" s="73"/>
      <c r="AM1821" s="73"/>
      <c r="AN1821" s="73"/>
      <c r="AO1821" s="73"/>
      <c r="AP1821" s="73"/>
      <c r="AQ1821" s="73"/>
      <c r="AR1821" s="73"/>
      <c r="AS1821" s="73"/>
      <c r="AT1821" s="73"/>
      <c r="AU1821" s="73"/>
      <c r="AV1821" s="73"/>
      <c r="AW1821" s="73"/>
      <c r="AX1821" s="73"/>
      <c r="AY1821" s="73"/>
      <c r="AZ1821" s="73"/>
      <c r="BA1821" s="73"/>
      <c r="BB1821" s="73"/>
      <c r="BC1821" s="73"/>
      <c r="BD1821" s="73"/>
      <c r="BE1821" s="73"/>
      <c r="BF1821" s="75"/>
      <c r="BG1821" s="73"/>
      <c r="BH1821" s="88"/>
      <c r="BI1821" s="73"/>
      <c r="BJ1821" s="73"/>
      <c r="BK1821" s="73"/>
      <c r="BL1821" s="73"/>
      <c r="BM1821" s="73"/>
      <c r="BN1821" s="73"/>
      <c r="BO1821" s="73"/>
      <c r="BP1821" s="73"/>
      <c r="BQ1821" s="73"/>
      <c r="BR1821" s="73"/>
      <c r="BS1821" s="73"/>
      <c r="BT1821" s="73"/>
      <c r="BU1821" s="73"/>
      <c r="BV1821" s="73"/>
      <c r="BW1821" s="73"/>
      <c r="BX1821" s="73"/>
      <c r="BY1821" s="73"/>
      <c r="BZ1821" s="73"/>
      <c r="CA1821" s="73"/>
      <c r="CB1821" s="73"/>
      <c r="CC1821" s="73"/>
      <c r="CD1821" s="73"/>
      <c r="CE1821" s="73"/>
      <c r="CF1821" s="73"/>
      <c r="CG1821" s="73"/>
      <c r="CH1821" s="73"/>
    </row>
    <row r="1822">
      <c r="A1822" s="73"/>
      <c r="B1822" s="73"/>
      <c r="C1822" s="73"/>
      <c r="D1822" s="73"/>
      <c r="E1822" s="140"/>
      <c r="F1822" s="80"/>
      <c r="G1822" s="80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  <c r="S1822" s="73"/>
      <c r="T1822" s="73"/>
      <c r="U1822" s="73"/>
      <c r="V1822" s="73"/>
      <c r="W1822" s="73"/>
      <c r="X1822" s="73"/>
      <c r="Y1822" s="73"/>
      <c r="Z1822" s="73"/>
      <c r="AA1822" s="73"/>
      <c r="AB1822" s="73"/>
      <c r="AC1822" s="73"/>
      <c r="AD1822" s="73"/>
      <c r="AE1822" s="73"/>
      <c r="AF1822" s="73"/>
      <c r="AG1822" s="73"/>
      <c r="AH1822" s="73"/>
      <c r="AI1822" s="73"/>
      <c r="AJ1822" s="168"/>
      <c r="AK1822" s="73"/>
      <c r="AL1822" s="73"/>
      <c r="AM1822" s="73"/>
      <c r="AN1822" s="73"/>
      <c r="AO1822" s="73"/>
      <c r="AP1822" s="73"/>
      <c r="AQ1822" s="73"/>
      <c r="AR1822" s="73"/>
      <c r="AS1822" s="73"/>
      <c r="AT1822" s="73"/>
      <c r="AU1822" s="73"/>
      <c r="AV1822" s="73"/>
      <c r="AW1822" s="73"/>
      <c r="AX1822" s="73"/>
      <c r="AY1822" s="73"/>
      <c r="AZ1822" s="73"/>
      <c r="BA1822" s="73"/>
      <c r="BB1822" s="73"/>
      <c r="BC1822" s="73"/>
      <c r="BD1822" s="73"/>
      <c r="BE1822" s="73"/>
      <c r="BF1822" s="75"/>
      <c r="BG1822" s="73"/>
      <c r="BH1822" s="88"/>
      <c r="BI1822" s="73"/>
      <c r="BJ1822" s="73"/>
      <c r="BK1822" s="73"/>
      <c r="BL1822" s="73"/>
      <c r="BM1822" s="73"/>
      <c r="BN1822" s="73"/>
      <c r="BO1822" s="73"/>
      <c r="BP1822" s="73"/>
      <c r="BQ1822" s="73"/>
      <c r="BR1822" s="73"/>
      <c r="BS1822" s="73"/>
      <c r="BT1822" s="73"/>
      <c r="BU1822" s="73"/>
      <c r="BV1822" s="73"/>
      <c r="BW1822" s="73"/>
      <c r="BX1822" s="73"/>
      <c r="BY1822" s="73"/>
      <c r="BZ1822" s="73"/>
      <c r="CA1822" s="73"/>
      <c r="CB1822" s="73"/>
      <c r="CC1822" s="73"/>
      <c r="CD1822" s="73"/>
      <c r="CE1822" s="73"/>
      <c r="CF1822" s="73"/>
      <c r="CG1822" s="73"/>
      <c r="CH1822" s="73"/>
    </row>
    <row r="1823">
      <c r="A1823" s="73"/>
      <c r="B1823" s="73"/>
      <c r="C1823" s="73"/>
      <c r="D1823" s="73"/>
      <c r="E1823" s="140"/>
      <c r="F1823" s="80"/>
      <c r="G1823" s="80"/>
      <c r="H1823" s="73"/>
      <c r="I1823" s="73"/>
      <c r="J1823" s="73"/>
      <c r="K1823" s="73"/>
      <c r="L1823" s="73"/>
      <c r="M1823" s="73"/>
      <c r="N1823" s="73"/>
      <c r="O1823" s="73"/>
      <c r="P1823" s="73"/>
      <c r="Q1823" s="73"/>
      <c r="R1823" s="73"/>
      <c r="S1823" s="73"/>
      <c r="T1823" s="73"/>
      <c r="U1823" s="73"/>
      <c r="V1823" s="73"/>
      <c r="W1823" s="73"/>
      <c r="X1823" s="73"/>
      <c r="Y1823" s="73"/>
      <c r="Z1823" s="73"/>
      <c r="AA1823" s="73"/>
      <c r="AB1823" s="73"/>
      <c r="AC1823" s="73"/>
      <c r="AD1823" s="73"/>
      <c r="AE1823" s="73"/>
      <c r="AF1823" s="73"/>
      <c r="AG1823" s="73"/>
      <c r="AH1823" s="73"/>
      <c r="AI1823" s="73"/>
      <c r="AJ1823" s="168"/>
      <c r="AK1823" s="73"/>
      <c r="AL1823" s="73"/>
      <c r="AM1823" s="73"/>
      <c r="AN1823" s="73"/>
      <c r="AO1823" s="73"/>
      <c r="AP1823" s="73"/>
      <c r="AQ1823" s="73"/>
      <c r="AR1823" s="73"/>
      <c r="AS1823" s="73"/>
      <c r="AT1823" s="73"/>
      <c r="AU1823" s="73"/>
      <c r="AV1823" s="73"/>
      <c r="AW1823" s="73"/>
      <c r="AX1823" s="73"/>
      <c r="AY1823" s="73"/>
      <c r="AZ1823" s="73"/>
      <c r="BA1823" s="73"/>
      <c r="BB1823" s="73"/>
      <c r="BC1823" s="73"/>
      <c r="BD1823" s="73"/>
      <c r="BE1823" s="73"/>
      <c r="BF1823" s="75"/>
      <c r="BG1823" s="73"/>
      <c r="BH1823" s="88"/>
      <c r="BI1823" s="73"/>
      <c r="BJ1823" s="73"/>
      <c r="BK1823" s="73"/>
      <c r="BL1823" s="73"/>
      <c r="BM1823" s="73"/>
      <c r="BN1823" s="73"/>
      <c r="BO1823" s="73"/>
      <c r="BP1823" s="73"/>
      <c r="BQ1823" s="73"/>
      <c r="BR1823" s="73"/>
      <c r="BS1823" s="73"/>
      <c r="BT1823" s="73"/>
      <c r="BU1823" s="73"/>
      <c r="BV1823" s="73"/>
      <c r="BW1823" s="73"/>
      <c r="BX1823" s="73"/>
      <c r="BY1823" s="73"/>
      <c r="BZ1823" s="73"/>
      <c r="CA1823" s="73"/>
      <c r="CB1823" s="73"/>
      <c r="CC1823" s="73"/>
      <c r="CD1823" s="73"/>
      <c r="CE1823" s="73"/>
      <c r="CF1823" s="73"/>
      <c r="CG1823" s="73"/>
      <c r="CH1823" s="73"/>
    </row>
    <row r="1824">
      <c r="A1824" s="73"/>
      <c r="B1824" s="73"/>
      <c r="C1824" s="73"/>
      <c r="D1824" s="73"/>
      <c r="E1824" s="140"/>
      <c r="F1824" s="80"/>
      <c r="G1824" s="80"/>
      <c r="H1824" s="73"/>
      <c r="I1824" s="73"/>
      <c r="J1824" s="73"/>
      <c r="K1824" s="73"/>
      <c r="L1824" s="73"/>
      <c r="M1824" s="73"/>
      <c r="N1824" s="73"/>
      <c r="O1824" s="73"/>
      <c r="P1824" s="73"/>
      <c r="Q1824" s="73"/>
      <c r="R1824" s="73"/>
      <c r="S1824" s="73"/>
      <c r="T1824" s="73"/>
      <c r="U1824" s="73"/>
      <c r="V1824" s="73"/>
      <c r="W1824" s="73"/>
      <c r="X1824" s="73"/>
      <c r="Y1824" s="73"/>
      <c r="Z1824" s="73"/>
      <c r="AA1824" s="73"/>
      <c r="AB1824" s="73"/>
      <c r="AC1824" s="73"/>
      <c r="AD1824" s="73"/>
      <c r="AE1824" s="73"/>
      <c r="AF1824" s="73"/>
      <c r="AG1824" s="73"/>
      <c r="AH1824" s="73"/>
      <c r="AI1824" s="73"/>
      <c r="AJ1824" s="168"/>
      <c r="AK1824" s="73"/>
      <c r="AL1824" s="73"/>
      <c r="AM1824" s="73"/>
      <c r="AN1824" s="73"/>
      <c r="AO1824" s="73"/>
      <c r="AP1824" s="73"/>
      <c r="AQ1824" s="73"/>
      <c r="AR1824" s="73"/>
      <c r="AS1824" s="73"/>
      <c r="AT1824" s="73"/>
      <c r="AU1824" s="73"/>
      <c r="AV1824" s="73"/>
      <c r="AW1824" s="73"/>
      <c r="AX1824" s="73"/>
      <c r="AY1824" s="73"/>
      <c r="AZ1824" s="73"/>
      <c r="BA1824" s="73"/>
      <c r="BB1824" s="73"/>
      <c r="BC1824" s="73"/>
      <c r="BD1824" s="73"/>
      <c r="BE1824" s="73"/>
      <c r="BF1824" s="75"/>
      <c r="BG1824" s="73"/>
      <c r="BH1824" s="88"/>
      <c r="BI1824" s="73"/>
      <c r="BJ1824" s="73"/>
      <c r="BK1824" s="73"/>
      <c r="BL1824" s="73"/>
      <c r="BM1824" s="73"/>
      <c r="BN1824" s="73"/>
      <c r="BO1824" s="73"/>
      <c r="BP1824" s="73"/>
      <c r="BQ1824" s="73"/>
      <c r="BR1824" s="73"/>
      <c r="BS1824" s="73"/>
      <c r="BT1824" s="73"/>
      <c r="BU1824" s="73"/>
      <c r="BV1824" s="73"/>
      <c r="BW1824" s="73"/>
      <c r="BX1824" s="73"/>
      <c r="BY1824" s="73"/>
      <c r="BZ1824" s="73"/>
      <c r="CA1824" s="73"/>
      <c r="CB1824" s="73"/>
      <c r="CC1824" s="73"/>
      <c r="CD1824" s="73"/>
      <c r="CE1824" s="73"/>
      <c r="CF1824" s="73"/>
      <c r="CG1824" s="73"/>
      <c r="CH1824" s="73"/>
    </row>
    <row r="1825">
      <c r="A1825" s="73"/>
      <c r="B1825" s="73"/>
      <c r="C1825" s="73"/>
      <c r="D1825" s="73"/>
      <c r="E1825" s="140"/>
      <c r="F1825" s="80"/>
      <c r="G1825" s="80"/>
      <c r="H1825" s="73"/>
      <c r="I1825" s="73"/>
      <c r="J1825" s="73"/>
      <c r="K1825" s="73"/>
      <c r="L1825" s="73"/>
      <c r="M1825" s="73"/>
      <c r="N1825" s="73"/>
      <c r="O1825" s="73"/>
      <c r="P1825" s="73"/>
      <c r="Q1825" s="73"/>
      <c r="R1825" s="73"/>
      <c r="S1825" s="73"/>
      <c r="T1825" s="73"/>
      <c r="U1825" s="73"/>
      <c r="V1825" s="73"/>
      <c r="W1825" s="73"/>
      <c r="X1825" s="73"/>
      <c r="Y1825" s="73"/>
      <c r="Z1825" s="73"/>
      <c r="AA1825" s="73"/>
      <c r="AB1825" s="73"/>
      <c r="AC1825" s="73"/>
      <c r="AD1825" s="73"/>
      <c r="AE1825" s="73"/>
      <c r="AF1825" s="73"/>
      <c r="AG1825" s="73"/>
      <c r="AH1825" s="73"/>
      <c r="AI1825" s="73"/>
      <c r="AJ1825" s="168"/>
      <c r="AK1825" s="73"/>
      <c r="AL1825" s="73"/>
      <c r="AM1825" s="73"/>
      <c r="AN1825" s="73"/>
      <c r="AO1825" s="73"/>
      <c r="AP1825" s="73"/>
      <c r="AQ1825" s="73"/>
      <c r="AR1825" s="73"/>
      <c r="AS1825" s="73"/>
      <c r="AT1825" s="73"/>
      <c r="AU1825" s="73"/>
      <c r="AV1825" s="73"/>
      <c r="AW1825" s="73"/>
      <c r="AX1825" s="73"/>
      <c r="AY1825" s="73"/>
      <c r="AZ1825" s="73"/>
      <c r="BA1825" s="73"/>
      <c r="BB1825" s="73"/>
      <c r="BC1825" s="73"/>
      <c r="BD1825" s="73"/>
      <c r="BE1825" s="73"/>
      <c r="BF1825" s="75"/>
      <c r="BG1825" s="73"/>
      <c r="BH1825" s="88"/>
      <c r="BI1825" s="73"/>
      <c r="BJ1825" s="73"/>
      <c r="BK1825" s="73"/>
      <c r="BL1825" s="73"/>
      <c r="BM1825" s="73"/>
      <c r="BN1825" s="73"/>
      <c r="BO1825" s="73"/>
      <c r="BP1825" s="73"/>
      <c r="BQ1825" s="73"/>
      <c r="BR1825" s="73"/>
      <c r="BS1825" s="73"/>
      <c r="BT1825" s="73"/>
      <c r="BU1825" s="73"/>
      <c r="BV1825" s="73"/>
      <c r="BW1825" s="73"/>
      <c r="BX1825" s="73"/>
      <c r="BY1825" s="73"/>
      <c r="BZ1825" s="73"/>
      <c r="CA1825" s="73"/>
      <c r="CB1825" s="73"/>
      <c r="CC1825" s="73"/>
      <c r="CD1825" s="73"/>
      <c r="CE1825" s="73"/>
      <c r="CF1825" s="73"/>
      <c r="CG1825" s="73"/>
      <c r="CH1825" s="73"/>
    </row>
    <row r="1826">
      <c r="A1826" s="73"/>
      <c r="B1826" s="73"/>
      <c r="C1826" s="73"/>
      <c r="D1826" s="73"/>
      <c r="E1826" s="140"/>
      <c r="F1826" s="80"/>
      <c r="G1826" s="80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  <c r="S1826" s="73"/>
      <c r="T1826" s="73"/>
      <c r="U1826" s="73"/>
      <c r="V1826" s="73"/>
      <c r="W1826" s="73"/>
      <c r="X1826" s="73"/>
      <c r="Y1826" s="73"/>
      <c r="Z1826" s="73"/>
      <c r="AA1826" s="73"/>
      <c r="AB1826" s="73"/>
      <c r="AC1826" s="73"/>
      <c r="AD1826" s="73"/>
      <c r="AE1826" s="73"/>
      <c r="AF1826" s="73"/>
      <c r="AG1826" s="73"/>
      <c r="AH1826" s="73"/>
      <c r="AI1826" s="73"/>
      <c r="AJ1826" s="168"/>
      <c r="AK1826" s="73"/>
      <c r="AL1826" s="73"/>
      <c r="AM1826" s="73"/>
      <c r="AN1826" s="73"/>
      <c r="AO1826" s="73"/>
      <c r="AP1826" s="73"/>
      <c r="AQ1826" s="73"/>
      <c r="AR1826" s="73"/>
      <c r="AS1826" s="73"/>
      <c r="AT1826" s="73"/>
      <c r="AU1826" s="73"/>
      <c r="AV1826" s="73"/>
      <c r="AW1826" s="73"/>
      <c r="AX1826" s="73"/>
      <c r="AY1826" s="73"/>
      <c r="AZ1826" s="73"/>
      <c r="BA1826" s="73"/>
      <c r="BB1826" s="73"/>
      <c r="BC1826" s="73"/>
      <c r="BD1826" s="73"/>
      <c r="BE1826" s="73"/>
      <c r="BF1826" s="75"/>
      <c r="BG1826" s="73"/>
      <c r="BH1826" s="88"/>
      <c r="BI1826" s="73"/>
      <c r="BJ1826" s="73"/>
      <c r="BK1826" s="73"/>
      <c r="BL1826" s="73"/>
      <c r="BM1826" s="73"/>
      <c r="BN1826" s="73"/>
      <c r="BO1826" s="73"/>
      <c r="BP1826" s="73"/>
      <c r="BQ1826" s="73"/>
      <c r="BR1826" s="73"/>
      <c r="BS1826" s="73"/>
      <c r="BT1826" s="73"/>
      <c r="BU1826" s="73"/>
      <c r="BV1826" s="73"/>
      <c r="BW1826" s="73"/>
      <c r="BX1826" s="73"/>
      <c r="BY1826" s="73"/>
      <c r="BZ1826" s="73"/>
      <c r="CA1826" s="73"/>
      <c r="CB1826" s="73"/>
      <c r="CC1826" s="73"/>
      <c r="CD1826" s="73"/>
      <c r="CE1826" s="73"/>
      <c r="CF1826" s="73"/>
      <c r="CG1826" s="73"/>
      <c r="CH1826" s="73"/>
    </row>
    <row r="1827">
      <c r="A1827" s="73"/>
      <c r="B1827" s="73"/>
      <c r="C1827" s="73"/>
      <c r="D1827" s="73"/>
      <c r="E1827" s="140"/>
      <c r="F1827" s="80"/>
      <c r="G1827" s="80"/>
      <c r="H1827" s="73"/>
      <c r="I1827" s="73"/>
      <c r="J1827" s="73"/>
      <c r="K1827" s="73"/>
      <c r="L1827" s="73"/>
      <c r="M1827" s="73"/>
      <c r="N1827" s="73"/>
      <c r="O1827" s="73"/>
      <c r="P1827" s="73"/>
      <c r="Q1827" s="73"/>
      <c r="R1827" s="73"/>
      <c r="S1827" s="73"/>
      <c r="T1827" s="73"/>
      <c r="U1827" s="73"/>
      <c r="V1827" s="73"/>
      <c r="W1827" s="73"/>
      <c r="X1827" s="73"/>
      <c r="Y1827" s="73"/>
      <c r="Z1827" s="73"/>
      <c r="AA1827" s="73"/>
      <c r="AB1827" s="73"/>
      <c r="AC1827" s="73"/>
      <c r="AD1827" s="73"/>
      <c r="AE1827" s="73"/>
      <c r="AF1827" s="73"/>
      <c r="AG1827" s="73"/>
      <c r="AH1827" s="73"/>
      <c r="AI1827" s="73"/>
      <c r="AJ1827" s="168"/>
      <c r="AK1827" s="73"/>
      <c r="AL1827" s="73"/>
      <c r="AM1827" s="73"/>
      <c r="AN1827" s="73"/>
      <c r="AO1827" s="73"/>
      <c r="AP1827" s="73"/>
      <c r="AQ1827" s="73"/>
      <c r="AR1827" s="73"/>
      <c r="AS1827" s="73"/>
      <c r="AT1827" s="73"/>
      <c r="AU1827" s="73"/>
      <c r="AV1827" s="73"/>
      <c r="AW1827" s="73"/>
      <c r="AX1827" s="73"/>
      <c r="AY1827" s="73"/>
      <c r="AZ1827" s="73"/>
      <c r="BA1827" s="73"/>
      <c r="BB1827" s="73"/>
      <c r="BC1827" s="73"/>
      <c r="BD1827" s="73"/>
      <c r="BE1827" s="73"/>
      <c r="BF1827" s="75"/>
      <c r="BG1827" s="73"/>
      <c r="BH1827" s="88"/>
      <c r="BI1827" s="73"/>
      <c r="BJ1827" s="73"/>
      <c r="BK1827" s="73"/>
      <c r="BL1827" s="73"/>
      <c r="BM1827" s="73"/>
      <c r="BN1827" s="73"/>
      <c r="BO1827" s="73"/>
      <c r="BP1827" s="73"/>
      <c r="BQ1827" s="73"/>
      <c r="BR1827" s="73"/>
      <c r="BS1827" s="73"/>
      <c r="BT1827" s="73"/>
      <c r="BU1827" s="73"/>
      <c r="BV1827" s="73"/>
      <c r="BW1827" s="73"/>
      <c r="BX1827" s="73"/>
      <c r="BY1827" s="73"/>
      <c r="BZ1827" s="73"/>
      <c r="CA1827" s="73"/>
      <c r="CB1827" s="73"/>
      <c r="CC1827" s="73"/>
      <c r="CD1827" s="73"/>
      <c r="CE1827" s="73"/>
      <c r="CF1827" s="73"/>
      <c r="CG1827" s="73"/>
      <c r="CH1827" s="73"/>
    </row>
    <row r="1828">
      <c r="A1828" s="73"/>
      <c r="B1828" s="73"/>
      <c r="C1828" s="73"/>
      <c r="D1828" s="73"/>
      <c r="E1828" s="140"/>
      <c r="F1828" s="80"/>
      <c r="G1828" s="80"/>
      <c r="H1828" s="73"/>
      <c r="I1828" s="73"/>
      <c r="J1828" s="73"/>
      <c r="K1828" s="73"/>
      <c r="L1828" s="73"/>
      <c r="M1828" s="73"/>
      <c r="N1828" s="73"/>
      <c r="O1828" s="73"/>
      <c r="P1828" s="73"/>
      <c r="Q1828" s="73"/>
      <c r="R1828" s="73"/>
      <c r="S1828" s="73"/>
      <c r="T1828" s="73"/>
      <c r="U1828" s="73"/>
      <c r="V1828" s="73"/>
      <c r="W1828" s="73"/>
      <c r="X1828" s="73"/>
      <c r="Y1828" s="73"/>
      <c r="Z1828" s="73"/>
      <c r="AA1828" s="73"/>
      <c r="AB1828" s="73"/>
      <c r="AC1828" s="73"/>
      <c r="AD1828" s="73"/>
      <c r="AE1828" s="73"/>
      <c r="AF1828" s="73"/>
      <c r="AG1828" s="73"/>
      <c r="AH1828" s="73"/>
      <c r="AI1828" s="73"/>
      <c r="AJ1828" s="168"/>
      <c r="AK1828" s="73"/>
      <c r="AL1828" s="73"/>
      <c r="AM1828" s="73"/>
      <c r="AN1828" s="73"/>
      <c r="AO1828" s="73"/>
      <c r="AP1828" s="73"/>
      <c r="AQ1828" s="73"/>
      <c r="AR1828" s="73"/>
      <c r="AS1828" s="73"/>
      <c r="AT1828" s="73"/>
      <c r="AU1828" s="73"/>
      <c r="AV1828" s="73"/>
      <c r="AW1828" s="73"/>
      <c r="AX1828" s="73"/>
      <c r="AY1828" s="73"/>
      <c r="AZ1828" s="73"/>
      <c r="BA1828" s="73"/>
      <c r="BB1828" s="73"/>
      <c r="BC1828" s="73"/>
      <c r="BD1828" s="73"/>
      <c r="BE1828" s="73"/>
      <c r="BF1828" s="75"/>
      <c r="BG1828" s="73"/>
      <c r="BH1828" s="88"/>
      <c r="BI1828" s="73"/>
      <c r="BJ1828" s="73"/>
      <c r="BK1828" s="73"/>
      <c r="BL1828" s="73"/>
      <c r="BM1828" s="73"/>
      <c r="BN1828" s="73"/>
      <c r="BO1828" s="73"/>
      <c r="BP1828" s="73"/>
      <c r="BQ1828" s="73"/>
      <c r="BR1828" s="73"/>
      <c r="BS1828" s="73"/>
      <c r="BT1828" s="73"/>
      <c r="BU1828" s="73"/>
      <c r="BV1828" s="73"/>
      <c r="BW1828" s="73"/>
      <c r="BX1828" s="73"/>
      <c r="BY1828" s="73"/>
      <c r="BZ1828" s="73"/>
      <c r="CA1828" s="73"/>
      <c r="CB1828" s="73"/>
      <c r="CC1828" s="73"/>
      <c r="CD1828" s="73"/>
      <c r="CE1828" s="73"/>
      <c r="CF1828" s="73"/>
      <c r="CG1828" s="73"/>
      <c r="CH1828" s="73"/>
    </row>
    <row r="1829">
      <c r="A1829" s="73"/>
      <c r="B1829" s="73"/>
      <c r="C1829" s="73"/>
      <c r="D1829" s="73"/>
      <c r="E1829" s="140"/>
      <c r="F1829" s="80"/>
      <c r="G1829" s="80"/>
      <c r="H1829" s="73"/>
      <c r="I1829" s="73"/>
      <c r="J1829" s="73"/>
      <c r="K1829" s="73"/>
      <c r="L1829" s="73"/>
      <c r="M1829" s="73"/>
      <c r="N1829" s="73"/>
      <c r="O1829" s="73"/>
      <c r="P1829" s="73"/>
      <c r="Q1829" s="73"/>
      <c r="R1829" s="73"/>
      <c r="S1829" s="73"/>
      <c r="T1829" s="73"/>
      <c r="U1829" s="73"/>
      <c r="V1829" s="73"/>
      <c r="W1829" s="73"/>
      <c r="X1829" s="73"/>
      <c r="Y1829" s="73"/>
      <c r="Z1829" s="73"/>
      <c r="AA1829" s="73"/>
      <c r="AB1829" s="73"/>
      <c r="AC1829" s="73"/>
      <c r="AD1829" s="73"/>
      <c r="AE1829" s="73"/>
      <c r="AF1829" s="73"/>
      <c r="AG1829" s="73"/>
      <c r="AH1829" s="73"/>
      <c r="AI1829" s="73"/>
      <c r="AJ1829" s="168"/>
      <c r="AK1829" s="73"/>
      <c r="AL1829" s="73"/>
      <c r="AM1829" s="73"/>
      <c r="AN1829" s="73"/>
      <c r="AO1829" s="73"/>
      <c r="AP1829" s="73"/>
      <c r="AQ1829" s="73"/>
      <c r="AR1829" s="73"/>
      <c r="AS1829" s="73"/>
      <c r="AT1829" s="73"/>
      <c r="AU1829" s="73"/>
      <c r="AV1829" s="73"/>
      <c r="AW1829" s="73"/>
      <c r="AX1829" s="73"/>
      <c r="AY1829" s="73"/>
      <c r="AZ1829" s="73"/>
      <c r="BA1829" s="73"/>
      <c r="BB1829" s="73"/>
      <c r="BC1829" s="73"/>
      <c r="BD1829" s="73"/>
      <c r="BE1829" s="73"/>
      <c r="BF1829" s="75"/>
      <c r="BG1829" s="73"/>
      <c r="BH1829" s="88"/>
      <c r="BI1829" s="73"/>
      <c r="BJ1829" s="73"/>
      <c r="BK1829" s="73"/>
      <c r="BL1829" s="73"/>
      <c r="BM1829" s="73"/>
      <c r="BN1829" s="73"/>
      <c r="BO1829" s="73"/>
      <c r="BP1829" s="73"/>
      <c r="BQ1829" s="73"/>
      <c r="BR1829" s="73"/>
      <c r="BS1829" s="73"/>
      <c r="BT1829" s="73"/>
      <c r="BU1829" s="73"/>
      <c r="BV1829" s="73"/>
      <c r="BW1829" s="73"/>
      <c r="BX1829" s="73"/>
      <c r="BY1829" s="73"/>
      <c r="BZ1829" s="73"/>
      <c r="CA1829" s="73"/>
      <c r="CB1829" s="73"/>
      <c r="CC1829" s="73"/>
      <c r="CD1829" s="73"/>
      <c r="CE1829" s="73"/>
      <c r="CF1829" s="73"/>
      <c r="CG1829" s="73"/>
      <c r="CH1829" s="73"/>
    </row>
    <row r="1830">
      <c r="A1830" s="73"/>
      <c r="B1830" s="73"/>
      <c r="C1830" s="73"/>
      <c r="D1830" s="73"/>
      <c r="E1830" s="140"/>
      <c r="F1830" s="80"/>
      <c r="G1830" s="80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  <c r="S1830" s="73"/>
      <c r="T1830" s="73"/>
      <c r="U1830" s="73"/>
      <c r="V1830" s="73"/>
      <c r="W1830" s="73"/>
      <c r="X1830" s="73"/>
      <c r="Y1830" s="73"/>
      <c r="Z1830" s="73"/>
      <c r="AA1830" s="73"/>
      <c r="AB1830" s="73"/>
      <c r="AC1830" s="73"/>
      <c r="AD1830" s="73"/>
      <c r="AE1830" s="73"/>
      <c r="AF1830" s="73"/>
      <c r="AG1830" s="73"/>
      <c r="AH1830" s="73"/>
      <c r="AI1830" s="73"/>
      <c r="AJ1830" s="168"/>
      <c r="AK1830" s="73"/>
      <c r="AL1830" s="73"/>
      <c r="AM1830" s="73"/>
      <c r="AN1830" s="73"/>
      <c r="AO1830" s="73"/>
      <c r="AP1830" s="73"/>
      <c r="AQ1830" s="73"/>
      <c r="AR1830" s="73"/>
      <c r="AS1830" s="73"/>
      <c r="AT1830" s="73"/>
      <c r="AU1830" s="73"/>
      <c r="AV1830" s="73"/>
      <c r="AW1830" s="73"/>
      <c r="AX1830" s="73"/>
      <c r="AY1830" s="73"/>
      <c r="AZ1830" s="73"/>
      <c r="BA1830" s="73"/>
      <c r="BB1830" s="73"/>
      <c r="BC1830" s="73"/>
      <c r="BD1830" s="73"/>
      <c r="BE1830" s="73"/>
      <c r="BF1830" s="75"/>
      <c r="BG1830" s="73"/>
      <c r="BH1830" s="88"/>
      <c r="BI1830" s="73"/>
      <c r="BJ1830" s="73"/>
      <c r="BK1830" s="73"/>
      <c r="BL1830" s="73"/>
      <c r="BM1830" s="73"/>
      <c r="BN1830" s="73"/>
      <c r="BO1830" s="73"/>
      <c r="BP1830" s="73"/>
      <c r="BQ1830" s="73"/>
      <c r="BR1830" s="73"/>
      <c r="BS1830" s="73"/>
      <c r="BT1830" s="73"/>
      <c r="BU1830" s="73"/>
      <c r="BV1830" s="73"/>
      <c r="BW1830" s="73"/>
      <c r="BX1830" s="73"/>
      <c r="BY1830" s="73"/>
      <c r="BZ1830" s="73"/>
      <c r="CA1830" s="73"/>
      <c r="CB1830" s="73"/>
      <c r="CC1830" s="73"/>
      <c r="CD1830" s="73"/>
      <c r="CE1830" s="73"/>
      <c r="CF1830" s="73"/>
      <c r="CG1830" s="73"/>
      <c r="CH1830" s="73"/>
    </row>
    <row r="1831">
      <c r="A1831" s="73"/>
      <c r="B1831" s="73"/>
      <c r="C1831" s="73"/>
      <c r="D1831" s="73"/>
      <c r="E1831" s="140"/>
      <c r="F1831" s="80"/>
      <c r="G1831" s="80"/>
      <c r="H1831" s="73"/>
      <c r="I1831" s="73"/>
      <c r="J1831" s="73"/>
      <c r="K1831" s="73"/>
      <c r="L1831" s="73"/>
      <c r="M1831" s="73"/>
      <c r="N1831" s="73"/>
      <c r="O1831" s="73"/>
      <c r="P1831" s="73"/>
      <c r="Q1831" s="73"/>
      <c r="R1831" s="73"/>
      <c r="S1831" s="73"/>
      <c r="T1831" s="73"/>
      <c r="U1831" s="73"/>
      <c r="V1831" s="73"/>
      <c r="W1831" s="73"/>
      <c r="X1831" s="73"/>
      <c r="Y1831" s="73"/>
      <c r="Z1831" s="73"/>
      <c r="AA1831" s="73"/>
      <c r="AB1831" s="73"/>
      <c r="AC1831" s="73"/>
      <c r="AD1831" s="73"/>
      <c r="AE1831" s="73"/>
      <c r="AF1831" s="73"/>
      <c r="AG1831" s="73"/>
      <c r="AH1831" s="73"/>
      <c r="AI1831" s="73"/>
      <c r="AJ1831" s="168"/>
      <c r="AK1831" s="73"/>
      <c r="AL1831" s="73"/>
      <c r="AM1831" s="73"/>
      <c r="AN1831" s="73"/>
      <c r="AO1831" s="73"/>
      <c r="AP1831" s="73"/>
      <c r="AQ1831" s="73"/>
      <c r="AR1831" s="73"/>
      <c r="AS1831" s="73"/>
      <c r="AT1831" s="73"/>
      <c r="AU1831" s="73"/>
      <c r="AV1831" s="73"/>
      <c r="AW1831" s="73"/>
      <c r="AX1831" s="73"/>
      <c r="AY1831" s="73"/>
      <c r="AZ1831" s="73"/>
      <c r="BA1831" s="73"/>
      <c r="BB1831" s="73"/>
      <c r="BC1831" s="73"/>
      <c r="BD1831" s="73"/>
      <c r="BE1831" s="73"/>
      <c r="BF1831" s="75"/>
      <c r="BG1831" s="73"/>
      <c r="BH1831" s="88"/>
      <c r="BI1831" s="73"/>
      <c r="BJ1831" s="73"/>
      <c r="BK1831" s="73"/>
      <c r="BL1831" s="73"/>
      <c r="BM1831" s="73"/>
      <c r="BN1831" s="73"/>
      <c r="BO1831" s="73"/>
      <c r="BP1831" s="73"/>
      <c r="BQ1831" s="73"/>
      <c r="BR1831" s="73"/>
      <c r="BS1831" s="73"/>
      <c r="BT1831" s="73"/>
      <c r="BU1831" s="73"/>
      <c r="BV1831" s="73"/>
      <c r="BW1831" s="73"/>
      <c r="BX1831" s="73"/>
      <c r="BY1831" s="73"/>
      <c r="BZ1831" s="73"/>
      <c r="CA1831" s="73"/>
      <c r="CB1831" s="73"/>
      <c r="CC1831" s="73"/>
      <c r="CD1831" s="73"/>
      <c r="CE1831" s="73"/>
      <c r="CF1831" s="73"/>
      <c r="CG1831" s="73"/>
      <c r="CH1831" s="73"/>
    </row>
    <row r="1832">
      <c r="A1832" s="73"/>
      <c r="B1832" s="73"/>
      <c r="C1832" s="73"/>
      <c r="D1832" s="73"/>
      <c r="E1832" s="140"/>
      <c r="F1832" s="80"/>
      <c r="G1832" s="80"/>
      <c r="H1832" s="73"/>
      <c r="I1832" s="73"/>
      <c r="J1832" s="73"/>
      <c r="K1832" s="73"/>
      <c r="L1832" s="73"/>
      <c r="M1832" s="73"/>
      <c r="N1832" s="73"/>
      <c r="O1832" s="73"/>
      <c r="P1832" s="73"/>
      <c r="Q1832" s="73"/>
      <c r="R1832" s="73"/>
      <c r="S1832" s="73"/>
      <c r="T1832" s="73"/>
      <c r="U1832" s="73"/>
      <c r="V1832" s="73"/>
      <c r="W1832" s="73"/>
      <c r="X1832" s="73"/>
      <c r="Y1832" s="73"/>
      <c r="Z1832" s="73"/>
      <c r="AA1832" s="73"/>
      <c r="AB1832" s="73"/>
      <c r="AC1832" s="73"/>
      <c r="AD1832" s="73"/>
      <c r="AE1832" s="73"/>
      <c r="AF1832" s="73"/>
      <c r="AG1832" s="73"/>
      <c r="AH1832" s="73"/>
      <c r="AI1832" s="73"/>
      <c r="AJ1832" s="168"/>
      <c r="AK1832" s="73"/>
      <c r="AL1832" s="73"/>
      <c r="AM1832" s="73"/>
      <c r="AN1832" s="73"/>
      <c r="AO1832" s="73"/>
      <c r="AP1832" s="73"/>
      <c r="AQ1832" s="73"/>
      <c r="AR1832" s="73"/>
      <c r="AS1832" s="73"/>
      <c r="AT1832" s="73"/>
      <c r="AU1832" s="73"/>
      <c r="AV1832" s="73"/>
      <c r="AW1832" s="73"/>
      <c r="AX1832" s="73"/>
      <c r="AY1832" s="73"/>
      <c r="AZ1832" s="73"/>
      <c r="BA1832" s="73"/>
      <c r="BB1832" s="73"/>
      <c r="BC1832" s="73"/>
      <c r="BD1832" s="73"/>
      <c r="BE1832" s="73"/>
      <c r="BF1832" s="75"/>
      <c r="BG1832" s="73"/>
      <c r="BH1832" s="88"/>
      <c r="BI1832" s="73"/>
      <c r="BJ1832" s="73"/>
      <c r="BK1832" s="73"/>
      <c r="BL1832" s="73"/>
      <c r="BM1832" s="73"/>
      <c r="BN1832" s="73"/>
      <c r="BO1832" s="73"/>
      <c r="BP1832" s="73"/>
      <c r="BQ1832" s="73"/>
      <c r="BR1832" s="73"/>
      <c r="BS1832" s="73"/>
      <c r="BT1832" s="73"/>
      <c r="BU1832" s="73"/>
      <c r="BV1832" s="73"/>
      <c r="BW1832" s="73"/>
      <c r="BX1832" s="73"/>
      <c r="BY1832" s="73"/>
      <c r="BZ1832" s="73"/>
      <c r="CA1832" s="73"/>
      <c r="CB1832" s="73"/>
      <c r="CC1832" s="73"/>
      <c r="CD1832" s="73"/>
      <c r="CE1832" s="73"/>
      <c r="CF1832" s="73"/>
      <c r="CG1832" s="73"/>
      <c r="CH1832" s="73"/>
    </row>
    <row r="1833">
      <c r="A1833" s="73"/>
      <c r="B1833" s="73"/>
      <c r="C1833" s="73"/>
      <c r="D1833" s="73"/>
      <c r="E1833" s="140"/>
      <c r="F1833" s="80"/>
      <c r="G1833" s="80"/>
      <c r="H1833" s="73"/>
      <c r="I1833" s="73"/>
      <c r="J1833" s="73"/>
      <c r="K1833" s="73"/>
      <c r="L1833" s="73"/>
      <c r="M1833" s="73"/>
      <c r="N1833" s="73"/>
      <c r="O1833" s="73"/>
      <c r="P1833" s="73"/>
      <c r="Q1833" s="73"/>
      <c r="R1833" s="73"/>
      <c r="S1833" s="73"/>
      <c r="T1833" s="73"/>
      <c r="U1833" s="73"/>
      <c r="V1833" s="73"/>
      <c r="W1833" s="73"/>
      <c r="X1833" s="73"/>
      <c r="Y1833" s="73"/>
      <c r="Z1833" s="73"/>
      <c r="AA1833" s="73"/>
      <c r="AB1833" s="73"/>
      <c r="AC1833" s="73"/>
      <c r="AD1833" s="73"/>
      <c r="AE1833" s="73"/>
      <c r="AF1833" s="73"/>
      <c r="AG1833" s="73"/>
      <c r="AH1833" s="73"/>
      <c r="AI1833" s="73"/>
      <c r="AJ1833" s="168"/>
      <c r="AK1833" s="73"/>
      <c r="AL1833" s="73"/>
      <c r="AM1833" s="73"/>
      <c r="AN1833" s="73"/>
      <c r="AO1833" s="73"/>
      <c r="AP1833" s="73"/>
      <c r="AQ1833" s="73"/>
      <c r="AR1833" s="73"/>
      <c r="AS1833" s="73"/>
      <c r="AT1833" s="73"/>
      <c r="AU1833" s="73"/>
      <c r="AV1833" s="73"/>
      <c r="AW1833" s="73"/>
      <c r="AX1833" s="73"/>
      <c r="AY1833" s="73"/>
      <c r="AZ1833" s="73"/>
      <c r="BA1833" s="73"/>
      <c r="BB1833" s="73"/>
      <c r="BC1833" s="73"/>
      <c r="BD1833" s="73"/>
      <c r="BE1833" s="73"/>
      <c r="BF1833" s="75"/>
      <c r="BG1833" s="73"/>
      <c r="BH1833" s="88"/>
      <c r="BI1833" s="73"/>
      <c r="BJ1833" s="73"/>
      <c r="BK1833" s="73"/>
      <c r="BL1833" s="73"/>
      <c r="BM1833" s="73"/>
      <c r="BN1833" s="73"/>
      <c r="BO1833" s="73"/>
      <c r="BP1833" s="73"/>
      <c r="BQ1833" s="73"/>
      <c r="BR1833" s="73"/>
      <c r="BS1833" s="73"/>
      <c r="BT1833" s="73"/>
      <c r="BU1833" s="73"/>
      <c r="BV1833" s="73"/>
      <c r="BW1833" s="73"/>
      <c r="BX1833" s="73"/>
      <c r="BY1833" s="73"/>
      <c r="BZ1833" s="73"/>
      <c r="CA1833" s="73"/>
      <c r="CB1833" s="73"/>
      <c r="CC1833" s="73"/>
      <c r="CD1833" s="73"/>
      <c r="CE1833" s="73"/>
      <c r="CF1833" s="73"/>
      <c r="CG1833" s="73"/>
      <c r="CH1833" s="73"/>
    </row>
    <row r="1834">
      <c r="A1834" s="73"/>
      <c r="B1834" s="73"/>
      <c r="C1834" s="73"/>
      <c r="D1834" s="73"/>
      <c r="E1834" s="140"/>
      <c r="F1834" s="80"/>
      <c r="G1834" s="80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  <c r="S1834" s="73"/>
      <c r="T1834" s="73"/>
      <c r="U1834" s="73"/>
      <c r="V1834" s="73"/>
      <c r="W1834" s="73"/>
      <c r="X1834" s="73"/>
      <c r="Y1834" s="73"/>
      <c r="Z1834" s="73"/>
      <c r="AA1834" s="73"/>
      <c r="AB1834" s="73"/>
      <c r="AC1834" s="73"/>
      <c r="AD1834" s="73"/>
      <c r="AE1834" s="73"/>
      <c r="AF1834" s="73"/>
      <c r="AG1834" s="73"/>
      <c r="AH1834" s="73"/>
      <c r="AI1834" s="73"/>
      <c r="AJ1834" s="168"/>
      <c r="AK1834" s="73"/>
      <c r="AL1834" s="73"/>
      <c r="AM1834" s="73"/>
      <c r="AN1834" s="73"/>
      <c r="AO1834" s="73"/>
      <c r="AP1834" s="73"/>
      <c r="AQ1834" s="73"/>
      <c r="AR1834" s="73"/>
      <c r="AS1834" s="73"/>
      <c r="AT1834" s="73"/>
      <c r="AU1834" s="73"/>
      <c r="AV1834" s="73"/>
      <c r="AW1834" s="73"/>
      <c r="AX1834" s="73"/>
      <c r="AY1834" s="73"/>
      <c r="AZ1834" s="73"/>
      <c r="BA1834" s="73"/>
      <c r="BB1834" s="73"/>
      <c r="BC1834" s="73"/>
      <c r="BD1834" s="73"/>
      <c r="BE1834" s="73"/>
      <c r="BF1834" s="75"/>
      <c r="BG1834" s="73"/>
      <c r="BH1834" s="88"/>
      <c r="BI1834" s="73"/>
      <c r="BJ1834" s="73"/>
      <c r="BK1834" s="73"/>
      <c r="BL1834" s="73"/>
      <c r="BM1834" s="73"/>
      <c r="BN1834" s="73"/>
      <c r="BO1834" s="73"/>
      <c r="BP1834" s="73"/>
      <c r="BQ1834" s="73"/>
      <c r="BR1834" s="73"/>
      <c r="BS1834" s="73"/>
      <c r="BT1834" s="73"/>
      <c r="BU1834" s="73"/>
      <c r="BV1834" s="73"/>
      <c r="BW1834" s="73"/>
      <c r="BX1834" s="73"/>
      <c r="BY1834" s="73"/>
      <c r="BZ1834" s="73"/>
      <c r="CA1834" s="73"/>
      <c r="CB1834" s="73"/>
      <c r="CC1834" s="73"/>
      <c r="CD1834" s="73"/>
      <c r="CE1834" s="73"/>
      <c r="CF1834" s="73"/>
      <c r="CG1834" s="73"/>
      <c r="CH1834" s="73"/>
    </row>
    <row r="1835">
      <c r="A1835" s="73"/>
      <c r="B1835" s="73"/>
      <c r="C1835" s="73"/>
      <c r="D1835" s="73"/>
      <c r="E1835" s="140"/>
      <c r="F1835" s="80"/>
      <c r="G1835" s="80"/>
      <c r="H1835" s="73"/>
      <c r="I1835" s="73"/>
      <c r="J1835" s="73"/>
      <c r="K1835" s="73"/>
      <c r="L1835" s="73"/>
      <c r="M1835" s="73"/>
      <c r="N1835" s="73"/>
      <c r="O1835" s="73"/>
      <c r="P1835" s="73"/>
      <c r="Q1835" s="73"/>
      <c r="R1835" s="73"/>
      <c r="S1835" s="73"/>
      <c r="T1835" s="73"/>
      <c r="U1835" s="73"/>
      <c r="V1835" s="73"/>
      <c r="W1835" s="73"/>
      <c r="X1835" s="73"/>
      <c r="Y1835" s="73"/>
      <c r="Z1835" s="73"/>
      <c r="AA1835" s="73"/>
      <c r="AB1835" s="73"/>
      <c r="AC1835" s="73"/>
      <c r="AD1835" s="73"/>
      <c r="AE1835" s="73"/>
      <c r="AF1835" s="73"/>
      <c r="AG1835" s="73"/>
      <c r="AH1835" s="73"/>
      <c r="AI1835" s="73"/>
      <c r="AJ1835" s="168"/>
      <c r="AK1835" s="73"/>
      <c r="AL1835" s="73"/>
      <c r="AM1835" s="73"/>
      <c r="AN1835" s="73"/>
      <c r="AO1835" s="73"/>
      <c r="AP1835" s="73"/>
      <c r="AQ1835" s="73"/>
      <c r="AR1835" s="73"/>
      <c r="AS1835" s="73"/>
      <c r="AT1835" s="73"/>
      <c r="AU1835" s="73"/>
      <c r="AV1835" s="73"/>
      <c r="AW1835" s="73"/>
      <c r="AX1835" s="73"/>
      <c r="AY1835" s="73"/>
      <c r="AZ1835" s="73"/>
      <c r="BA1835" s="73"/>
      <c r="BB1835" s="73"/>
      <c r="BC1835" s="73"/>
      <c r="BD1835" s="73"/>
      <c r="BE1835" s="73"/>
      <c r="BF1835" s="75"/>
      <c r="BG1835" s="73"/>
      <c r="BH1835" s="88"/>
      <c r="BI1835" s="73"/>
      <c r="BJ1835" s="73"/>
      <c r="BK1835" s="73"/>
      <c r="BL1835" s="73"/>
      <c r="BM1835" s="73"/>
      <c r="BN1835" s="73"/>
      <c r="BO1835" s="73"/>
      <c r="BP1835" s="73"/>
      <c r="BQ1835" s="73"/>
      <c r="BR1835" s="73"/>
      <c r="BS1835" s="73"/>
      <c r="BT1835" s="73"/>
      <c r="BU1835" s="73"/>
      <c r="BV1835" s="73"/>
      <c r="BW1835" s="73"/>
      <c r="BX1835" s="73"/>
      <c r="BY1835" s="73"/>
      <c r="BZ1835" s="73"/>
      <c r="CA1835" s="73"/>
      <c r="CB1835" s="73"/>
      <c r="CC1835" s="73"/>
      <c r="CD1835" s="73"/>
      <c r="CE1835" s="73"/>
      <c r="CF1835" s="73"/>
      <c r="CG1835" s="73"/>
      <c r="CH1835" s="73"/>
    </row>
    <row r="1836">
      <c r="A1836" s="73"/>
      <c r="B1836" s="73"/>
      <c r="C1836" s="73"/>
      <c r="D1836" s="73"/>
      <c r="E1836" s="140"/>
      <c r="F1836" s="80"/>
      <c r="G1836" s="80"/>
      <c r="H1836" s="73"/>
      <c r="I1836" s="73"/>
      <c r="J1836" s="73"/>
      <c r="K1836" s="73"/>
      <c r="L1836" s="73"/>
      <c r="M1836" s="73"/>
      <c r="N1836" s="73"/>
      <c r="O1836" s="73"/>
      <c r="P1836" s="73"/>
      <c r="Q1836" s="73"/>
      <c r="R1836" s="73"/>
      <c r="S1836" s="73"/>
      <c r="T1836" s="73"/>
      <c r="U1836" s="73"/>
      <c r="V1836" s="73"/>
      <c r="W1836" s="73"/>
      <c r="X1836" s="73"/>
      <c r="Y1836" s="73"/>
      <c r="Z1836" s="73"/>
      <c r="AA1836" s="73"/>
      <c r="AB1836" s="73"/>
      <c r="AC1836" s="73"/>
      <c r="AD1836" s="73"/>
      <c r="AE1836" s="73"/>
      <c r="AF1836" s="73"/>
      <c r="AG1836" s="73"/>
      <c r="AH1836" s="73"/>
      <c r="AI1836" s="73"/>
      <c r="AJ1836" s="168"/>
      <c r="AK1836" s="73"/>
      <c r="AL1836" s="73"/>
      <c r="AM1836" s="73"/>
      <c r="AN1836" s="73"/>
      <c r="AO1836" s="73"/>
      <c r="AP1836" s="73"/>
      <c r="AQ1836" s="73"/>
      <c r="AR1836" s="73"/>
      <c r="AS1836" s="73"/>
      <c r="AT1836" s="73"/>
      <c r="AU1836" s="73"/>
      <c r="AV1836" s="73"/>
      <c r="AW1836" s="73"/>
      <c r="AX1836" s="73"/>
      <c r="AY1836" s="73"/>
      <c r="AZ1836" s="73"/>
      <c r="BA1836" s="73"/>
      <c r="BB1836" s="73"/>
      <c r="BC1836" s="73"/>
      <c r="BD1836" s="73"/>
      <c r="BE1836" s="73"/>
      <c r="BF1836" s="75"/>
      <c r="BG1836" s="73"/>
      <c r="BH1836" s="88"/>
      <c r="BI1836" s="73"/>
      <c r="BJ1836" s="73"/>
      <c r="BK1836" s="73"/>
      <c r="BL1836" s="73"/>
      <c r="BM1836" s="73"/>
      <c r="BN1836" s="73"/>
      <c r="BO1836" s="73"/>
      <c r="BP1836" s="73"/>
      <c r="BQ1836" s="73"/>
      <c r="BR1836" s="73"/>
      <c r="BS1836" s="73"/>
      <c r="BT1836" s="73"/>
      <c r="BU1836" s="73"/>
      <c r="BV1836" s="73"/>
      <c r="BW1836" s="73"/>
      <c r="BX1836" s="73"/>
      <c r="BY1836" s="73"/>
      <c r="BZ1836" s="73"/>
      <c r="CA1836" s="73"/>
      <c r="CB1836" s="73"/>
      <c r="CC1836" s="73"/>
      <c r="CD1836" s="73"/>
      <c r="CE1836" s="73"/>
      <c r="CF1836" s="73"/>
      <c r="CG1836" s="73"/>
      <c r="CH1836" s="73"/>
    </row>
    <row r="1837">
      <c r="A1837" s="73"/>
      <c r="B1837" s="73"/>
      <c r="C1837" s="73"/>
      <c r="D1837" s="73"/>
      <c r="E1837" s="140"/>
      <c r="F1837" s="80"/>
      <c r="G1837" s="80"/>
      <c r="H1837" s="73"/>
      <c r="I1837" s="73"/>
      <c r="J1837" s="73"/>
      <c r="K1837" s="73"/>
      <c r="L1837" s="73"/>
      <c r="M1837" s="73"/>
      <c r="N1837" s="73"/>
      <c r="O1837" s="73"/>
      <c r="P1837" s="73"/>
      <c r="Q1837" s="73"/>
      <c r="R1837" s="73"/>
      <c r="S1837" s="73"/>
      <c r="T1837" s="73"/>
      <c r="U1837" s="73"/>
      <c r="V1837" s="73"/>
      <c r="W1837" s="73"/>
      <c r="X1837" s="73"/>
      <c r="Y1837" s="73"/>
      <c r="Z1837" s="73"/>
      <c r="AA1837" s="73"/>
      <c r="AB1837" s="73"/>
      <c r="AC1837" s="73"/>
      <c r="AD1837" s="73"/>
      <c r="AE1837" s="73"/>
      <c r="AF1837" s="73"/>
      <c r="AG1837" s="73"/>
      <c r="AH1837" s="73"/>
      <c r="AI1837" s="73"/>
      <c r="AJ1837" s="168"/>
      <c r="AK1837" s="73"/>
      <c r="AL1837" s="73"/>
      <c r="AM1837" s="73"/>
      <c r="AN1837" s="73"/>
      <c r="AO1837" s="73"/>
      <c r="AP1837" s="73"/>
      <c r="AQ1837" s="73"/>
      <c r="AR1837" s="73"/>
      <c r="AS1837" s="73"/>
      <c r="AT1837" s="73"/>
      <c r="AU1837" s="73"/>
      <c r="AV1837" s="73"/>
      <c r="AW1837" s="73"/>
      <c r="AX1837" s="73"/>
      <c r="AY1837" s="73"/>
      <c r="AZ1837" s="73"/>
      <c r="BA1837" s="73"/>
      <c r="BB1837" s="73"/>
      <c r="BC1837" s="73"/>
      <c r="BD1837" s="73"/>
      <c r="BE1837" s="73"/>
      <c r="BF1837" s="75"/>
      <c r="BG1837" s="73"/>
      <c r="BH1837" s="88"/>
      <c r="BI1837" s="73"/>
      <c r="BJ1837" s="73"/>
      <c r="BK1837" s="73"/>
      <c r="BL1837" s="73"/>
      <c r="BM1837" s="73"/>
      <c r="BN1837" s="73"/>
      <c r="BO1837" s="73"/>
      <c r="BP1837" s="73"/>
      <c r="BQ1837" s="73"/>
      <c r="BR1837" s="73"/>
      <c r="BS1837" s="73"/>
      <c r="BT1837" s="73"/>
      <c r="BU1837" s="73"/>
      <c r="BV1837" s="73"/>
      <c r="BW1837" s="73"/>
      <c r="BX1837" s="73"/>
      <c r="BY1837" s="73"/>
      <c r="BZ1837" s="73"/>
      <c r="CA1837" s="73"/>
      <c r="CB1837" s="73"/>
      <c r="CC1837" s="73"/>
      <c r="CD1837" s="73"/>
      <c r="CE1837" s="73"/>
      <c r="CF1837" s="73"/>
      <c r="CG1837" s="73"/>
      <c r="CH1837" s="73"/>
    </row>
    <row r="1838">
      <c r="A1838" s="73"/>
      <c r="B1838" s="73"/>
      <c r="C1838" s="73"/>
      <c r="D1838" s="73"/>
      <c r="E1838" s="140"/>
      <c r="F1838" s="80"/>
      <c r="G1838" s="80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  <c r="S1838" s="73"/>
      <c r="T1838" s="73"/>
      <c r="U1838" s="73"/>
      <c r="V1838" s="73"/>
      <c r="W1838" s="73"/>
      <c r="X1838" s="73"/>
      <c r="Y1838" s="73"/>
      <c r="Z1838" s="73"/>
      <c r="AA1838" s="73"/>
      <c r="AB1838" s="73"/>
      <c r="AC1838" s="73"/>
      <c r="AD1838" s="73"/>
      <c r="AE1838" s="73"/>
      <c r="AF1838" s="73"/>
      <c r="AG1838" s="73"/>
      <c r="AH1838" s="73"/>
      <c r="AI1838" s="73"/>
      <c r="AJ1838" s="168"/>
      <c r="AK1838" s="73"/>
      <c r="AL1838" s="73"/>
      <c r="AM1838" s="73"/>
      <c r="AN1838" s="73"/>
      <c r="AO1838" s="73"/>
      <c r="AP1838" s="73"/>
      <c r="AQ1838" s="73"/>
      <c r="AR1838" s="73"/>
      <c r="AS1838" s="73"/>
      <c r="AT1838" s="73"/>
      <c r="AU1838" s="73"/>
      <c r="AV1838" s="73"/>
      <c r="AW1838" s="73"/>
      <c r="AX1838" s="73"/>
      <c r="AY1838" s="73"/>
      <c r="AZ1838" s="73"/>
      <c r="BA1838" s="73"/>
      <c r="BB1838" s="73"/>
      <c r="BC1838" s="73"/>
      <c r="BD1838" s="73"/>
      <c r="BE1838" s="73"/>
      <c r="BF1838" s="75"/>
      <c r="BG1838" s="73"/>
      <c r="BH1838" s="88"/>
      <c r="BI1838" s="73"/>
      <c r="BJ1838" s="73"/>
      <c r="BK1838" s="73"/>
      <c r="BL1838" s="73"/>
      <c r="BM1838" s="73"/>
      <c r="BN1838" s="73"/>
      <c r="BO1838" s="73"/>
      <c r="BP1838" s="73"/>
      <c r="BQ1838" s="73"/>
      <c r="BR1838" s="73"/>
      <c r="BS1838" s="73"/>
      <c r="BT1838" s="73"/>
      <c r="BU1838" s="73"/>
      <c r="BV1838" s="73"/>
      <c r="BW1838" s="73"/>
      <c r="BX1838" s="73"/>
      <c r="BY1838" s="73"/>
      <c r="BZ1838" s="73"/>
      <c r="CA1838" s="73"/>
      <c r="CB1838" s="73"/>
      <c r="CC1838" s="73"/>
      <c r="CD1838" s="73"/>
      <c r="CE1838" s="73"/>
      <c r="CF1838" s="73"/>
      <c r="CG1838" s="73"/>
      <c r="CH1838" s="73"/>
    </row>
    <row r="1839">
      <c r="A1839" s="73"/>
      <c r="B1839" s="73"/>
      <c r="C1839" s="73"/>
      <c r="D1839" s="73"/>
      <c r="E1839" s="140"/>
      <c r="F1839" s="80"/>
      <c r="G1839" s="80"/>
      <c r="H1839" s="73"/>
      <c r="I1839" s="73"/>
      <c r="J1839" s="73"/>
      <c r="K1839" s="73"/>
      <c r="L1839" s="73"/>
      <c r="M1839" s="73"/>
      <c r="N1839" s="73"/>
      <c r="O1839" s="73"/>
      <c r="P1839" s="73"/>
      <c r="Q1839" s="73"/>
      <c r="R1839" s="73"/>
      <c r="S1839" s="73"/>
      <c r="T1839" s="73"/>
      <c r="U1839" s="73"/>
      <c r="V1839" s="73"/>
      <c r="W1839" s="73"/>
      <c r="X1839" s="73"/>
      <c r="Y1839" s="73"/>
      <c r="Z1839" s="73"/>
      <c r="AA1839" s="73"/>
      <c r="AB1839" s="73"/>
      <c r="AC1839" s="73"/>
      <c r="AD1839" s="73"/>
      <c r="AE1839" s="73"/>
      <c r="AF1839" s="73"/>
      <c r="AG1839" s="73"/>
      <c r="AH1839" s="73"/>
      <c r="AI1839" s="73"/>
      <c r="AJ1839" s="168"/>
      <c r="AK1839" s="73"/>
      <c r="AL1839" s="73"/>
      <c r="AM1839" s="73"/>
      <c r="AN1839" s="73"/>
      <c r="AO1839" s="73"/>
      <c r="AP1839" s="73"/>
      <c r="AQ1839" s="73"/>
      <c r="AR1839" s="73"/>
      <c r="AS1839" s="73"/>
      <c r="AT1839" s="73"/>
      <c r="AU1839" s="73"/>
      <c r="AV1839" s="73"/>
      <c r="AW1839" s="73"/>
      <c r="AX1839" s="73"/>
      <c r="AY1839" s="73"/>
      <c r="AZ1839" s="73"/>
      <c r="BA1839" s="73"/>
      <c r="BB1839" s="73"/>
      <c r="BC1839" s="73"/>
      <c r="BD1839" s="73"/>
      <c r="BE1839" s="73"/>
      <c r="BF1839" s="75"/>
      <c r="BG1839" s="73"/>
      <c r="BH1839" s="88"/>
      <c r="BI1839" s="73"/>
      <c r="BJ1839" s="73"/>
      <c r="BK1839" s="73"/>
      <c r="BL1839" s="73"/>
      <c r="BM1839" s="73"/>
      <c r="BN1839" s="73"/>
      <c r="BO1839" s="73"/>
      <c r="BP1839" s="73"/>
      <c r="BQ1839" s="73"/>
      <c r="BR1839" s="73"/>
      <c r="BS1839" s="73"/>
      <c r="BT1839" s="73"/>
      <c r="BU1839" s="73"/>
      <c r="BV1839" s="73"/>
      <c r="BW1839" s="73"/>
      <c r="BX1839" s="73"/>
      <c r="BY1839" s="73"/>
      <c r="BZ1839" s="73"/>
      <c r="CA1839" s="73"/>
      <c r="CB1839" s="73"/>
      <c r="CC1839" s="73"/>
      <c r="CD1839" s="73"/>
      <c r="CE1839" s="73"/>
      <c r="CF1839" s="73"/>
      <c r="CG1839" s="73"/>
      <c r="CH1839" s="73"/>
    </row>
    <row r="1840">
      <c r="A1840" s="73"/>
      <c r="B1840" s="73"/>
      <c r="C1840" s="73"/>
      <c r="D1840" s="73"/>
      <c r="E1840" s="140"/>
      <c r="F1840" s="80"/>
      <c r="G1840" s="80"/>
      <c r="H1840" s="73"/>
      <c r="I1840" s="73"/>
      <c r="J1840" s="73"/>
      <c r="K1840" s="73"/>
      <c r="L1840" s="73"/>
      <c r="M1840" s="73"/>
      <c r="N1840" s="73"/>
      <c r="O1840" s="73"/>
      <c r="P1840" s="73"/>
      <c r="Q1840" s="73"/>
      <c r="R1840" s="73"/>
      <c r="S1840" s="73"/>
      <c r="T1840" s="73"/>
      <c r="U1840" s="73"/>
      <c r="V1840" s="73"/>
      <c r="W1840" s="73"/>
      <c r="X1840" s="73"/>
      <c r="Y1840" s="73"/>
      <c r="Z1840" s="73"/>
      <c r="AA1840" s="73"/>
      <c r="AB1840" s="73"/>
      <c r="AC1840" s="73"/>
      <c r="AD1840" s="73"/>
      <c r="AE1840" s="73"/>
      <c r="AF1840" s="73"/>
      <c r="AG1840" s="73"/>
      <c r="AH1840" s="73"/>
      <c r="AI1840" s="73"/>
      <c r="AJ1840" s="168"/>
      <c r="AK1840" s="73"/>
      <c r="AL1840" s="73"/>
      <c r="AM1840" s="73"/>
      <c r="AN1840" s="73"/>
      <c r="AO1840" s="73"/>
      <c r="AP1840" s="73"/>
      <c r="AQ1840" s="73"/>
      <c r="AR1840" s="73"/>
      <c r="AS1840" s="73"/>
      <c r="AT1840" s="73"/>
      <c r="AU1840" s="73"/>
      <c r="AV1840" s="73"/>
      <c r="AW1840" s="73"/>
      <c r="AX1840" s="73"/>
      <c r="AY1840" s="73"/>
      <c r="AZ1840" s="73"/>
      <c r="BA1840" s="73"/>
      <c r="BB1840" s="73"/>
      <c r="BC1840" s="73"/>
      <c r="BD1840" s="73"/>
      <c r="BE1840" s="73"/>
      <c r="BF1840" s="75"/>
      <c r="BG1840" s="73"/>
      <c r="BH1840" s="88"/>
      <c r="BI1840" s="73"/>
      <c r="BJ1840" s="73"/>
      <c r="BK1840" s="73"/>
      <c r="BL1840" s="73"/>
      <c r="BM1840" s="73"/>
      <c r="BN1840" s="73"/>
      <c r="BO1840" s="73"/>
      <c r="BP1840" s="73"/>
      <c r="BQ1840" s="73"/>
      <c r="BR1840" s="73"/>
      <c r="BS1840" s="73"/>
      <c r="BT1840" s="73"/>
      <c r="BU1840" s="73"/>
      <c r="BV1840" s="73"/>
      <c r="BW1840" s="73"/>
      <c r="BX1840" s="73"/>
      <c r="BY1840" s="73"/>
      <c r="BZ1840" s="73"/>
      <c r="CA1840" s="73"/>
      <c r="CB1840" s="73"/>
      <c r="CC1840" s="73"/>
      <c r="CD1840" s="73"/>
      <c r="CE1840" s="73"/>
      <c r="CF1840" s="73"/>
      <c r="CG1840" s="73"/>
      <c r="CH1840" s="73"/>
    </row>
    <row r="1841">
      <c r="A1841" s="73"/>
      <c r="B1841" s="73"/>
      <c r="C1841" s="73"/>
      <c r="D1841" s="73"/>
      <c r="E1841" s="140"/>
      <c r="F1841" s="80"/>
      <c r="G1841" s="80"/>
      <c r="H1841" s="73"/>
      <c r="I1841" s="73"/>
      <c r="J1841" s="73"/>
      <c r="K1841" s="73"/>
      <c r="L1841" s="73"/>
      <c r="M1841" s="73"/>
      <c r="N1841" s="73"/>
      <c r="O1841" s="73"/>
      <c r="P1841" s="73"/>
      <c r="Q1841" s="73"/>
      <c r="R1841" s="73"/>
      <c r="S1841" s="73"/>
      <c r="T1841" s="73"/>
      <c r="U1841" s="73"/>
      <c r="V1841" s="73"/>
      <c r="W1841" s="73"/>
      <c r="X1841" s="73"/>
      <c r="Y1841" s="73"/>
      <c r="Z1841" s="73"/>
      <c r="AA1841" s="73"/>
      <c r="AB1841" s="73"/>
      <c r="AC1841" s="73"/>
      <c r="AD1841" s="73"/>
      <c r="AE1841" s="73"/>
      <c r="AF1841" s="73"/>
      <c r="AG1841" s="73"/>
      <c r="AH1841" s="73"/>
      <c r="AI1841" s="73"/>
      <c r="AJ1841" s="168"/>
      <c r="AK1841" s="73"/>
      <c r="AL1841" s="73"/>
      <c r="AM1841" s="73"/>
      <c r="AN1841" s="73"/>
      <c r="AO1841" s="73"/>
      <c r="AP1841" s="73"/>
      <c r="AQ1841" s="73"/>
      <c r="AR1841" s="73"/>
      <c r="AS1841" s="73"/>
      <c r="AT1841" s="73"/>
      <c r="AU1841" s="73"/>
      <c r="AV1841" s="73"/>
      <c r="AW1841" s="73"/>
      <c r="AX1841" s="73"/>
      <c r="AY1841" s="73"/>
      <c r="AZ1841" s="73"/>
      <c r="BA1841" s="73"/>
      <c r="BB1841" s="73"/>
      <c r="BC1841" s="73"/>
      <c r="BD1841" s="73"/>
      <c r="BE1841" s="73"/>
      <c r="BF1841" s="75"/>
      <c r="BG1841" s="73"/>
      <c r="BH1841" s="88"/>
      <c r="BI1841" s="73"/>
      <c r="BJ1841" s="73"/>
      <c r="BK1841" s="73"/>
      <c r="BL1841" s="73"/>
      <c r="BM1841" s="73"/>
      <c r="BN1841" s="73"/>
      <c r="BO1841" s="73"/>
      <c r="BP1841" s="73"/>
      <c r="BQ1841" s="73"/>
      <c r="BR1841" s="73"/>
      <c r="BS1841" s="73"/>
      <c r="BT1841" s="73"/>
      <c r="BU1841" s="73"/>
      <c r="BV1841" s="73"/>
      <c r="BW1841" s="73"/>
      <c r="BX1841" s="73"/>
      <c r="BY1841" s="73"/>
      <c r="BZ1841" s="73"/>
      <c r="CA1841" s="73"/>
      <c r="CB1841" s="73"/>
      <c r="CC1841" s="73"/>
      <c r="CD1841" s="73"/>
      <c r="CE1841" s="73"/>
      <c r="CF1841" s="73"/>
      <c r="CG1841" s="73"/>
      <c r="CH1841" s="73"/>
    </row>
    <row r="1842">
      <c r="A1842" s="73"/>
      <c r="B1842" s="73"/>
      <c r="C1842" s="73"/>
      <c r="D1842" s="73"/>
      <c r="E1842" s="140"/>
      <c r="F1842" s="80"/>
      <c r="G1842" s="80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  <c r="S1842" s="73"/>
      <c r="T1842" s="73"/>
      <c r="U1842" s="73"/>
      <c r="V1842" s="73"/>
      <c r="W1842" s="73"/>
      <c r="X1842" s="73"/>
      <c r="Y1842" s="73"/>
      <c r="Z1842" s="73"/>
      <c r="AA1842" s="73"/>
      <c r="AB1842" s="73"/>
      <c r="AC1842" s="73"/>
      <c r="AD1842" s="73"/>
      <c r="AE1842" s="73"/>
      <c r="AF1842" s="73"/>
      <c r="AG1842" s="73"/>
      <c r="AH1842" s="73"/>
      <c r="AI1842" s="73"/>
      <c r="AJ1842" s="168"/>
      <c r="AK1842" s="73"/>
      <c r="AL1842" s="73"/>
      <c r="AM1842" s="73"/>
      <c r="AN1842" s="73"/>
      <c r="AO1842" s="73"/>
      <c r="AP1842" s="73"/>
      <c r="AQ1842" s="73"/>
      <c r="AR1842" s="73"/>
      <c r="AS1842" s="73"/>
      <c r="AT1842" s="73"/>
      <c r="AU1842" s="73"/>
      <c r="AV1842" s="73"/>
      <c r="AW1842" s="73"/>
      <c r="AX1842" s="73"/>
      <c r="AY1842" s="73"/>
      <c r="AZ1842" s="73"/>
      <c r="BA1842" s="73"/>
      <c r="BB1842" s="73"/>
      <c r="BC1842" s="73"/>
      <c r="BD1842" s="73"/>
      <c r="BE1842" s="73"/>
      <c r="BF1842" s="75"/>
      <c r="BG1842" s="73"/>
      <c r="BH1842" s="88"/>
      <c r="BI1842" s="73"/>
      <c r="BJ1842" s="73"/>
      <c r="BK1842" s="73"/>
      <c r="BL1842" s="73"/>
      <c r="BM1842" s="73"/>
      <c r="BN1842" s="73"/>
      <c r="BO1842" s="73"/>
      <c r="BP1842" s="73"/>
      <c r="BQ1842" s="73"/>
      <c r="BR1842" s="73"/>
      <c r="BS1842" s="73"/>
      <c r="BT1842" s="73"/>
      <c r="BU1842" s="73"/>
      <c r="BV1842" s="73"/>
      <c r="BW1842" s="73"/>
      <c r="BX1842" s="73"/>
      <c r="BY1842" s="73"/>
      <c r="BZ1842" s="73"/>
      <c r="CA1842" s="73"/>
      <c r="CB1842" s="73"/>
      <c r="CC1842" s="73"/>
      <c r="CD1842" s="73"/>
      <c r="CE1842" s="73"/>
      <c r="CF1842" s="73"/>
      <c r="CG1842" s="73"/>
      <c r="CH1842" s="73"/>
    </row>
    <row r="1843">
      <c r="A1843" s="73"/>
      <c r="B1843" s="73"/>
      <c r="C1843" s="73"/>
      <c r="D1843" s="73"/>
      <c r="E1843" s="140"/>
      <c r="F1843" s="80"/>
      <c r="G1843" s="80"/>
      <c r="H1843" s="73"/>
      <c r="I1843" s="73"/>
      <c r="J1843" s="73"/>
      <c r="K1843" s="73"/>
      <c r="L1843" s="73"/>
      <c r="M1843" s="73"/>
      <c r="N1843" s="73"/>
      <c r="O1843" s="73"/>
      <c r="P1843" s="73"/>
      <c r="Q1843" s="73"/>
      <c r="R1843" s="73"/>
      <c r="S1843" s="73"/>
      <c r="T1843" s="73"/>
      <c r="U1843" s="73"/>
      <c r="V1843" s="73"/>
      <c r="W1843" s="73"/>
      <c r="X1843" s="73"/>
      <c r="Y1843" s="73"/>
      <c r="Z1843" s="73"/>
      <c r="AA1843" s="73"/>
      <c r="AB1843" s="73"/>
      <c r="AC1843" s="73"/>
      <c r="AD1843" s="73"/>
      <c r="AE1843" s="73"/>
      <c r="AF1843" s="73"/>
      <c r="AG1843" s="73"/>
      <c r="AH1843" s="73"/>
      <c r="AI1843" s="73"/>
      <c r="AJ1843" s="168"/>
      <c r="AK1843" s="73"/>
      <c r="AL1843" s="73"/>
      <c r="AM1843" s="73"/>
      <c r="AN1843" s="73"/>
      <c r="AO1843" s="73"/>
      <c r="AP1843" s="73"/>
      <c r="AQ1843" s="73"/>
      <c r="AR1843" s="73"/>
      <c r="AS1843" s="73"/>
      <c r="AT1843" s="73"/>
      <c r="AU1843" s="73"/>
      <c r="AV1843" s="73"/>
      <c r="AW1843" s="73"/>
      <c r="AX1843" s="73"/>
      <c r="AY1843" s="73"/>
      <c r="AZ1843" s="73"/>
      <c r="BA1843" s="73"/>
      <c r="BB1843" s="73"/>
      <c r="BC1843" s="73"/>
      <c r="BD1843" s="73"/>
      <c r="BE1843" s="73"/>
      <c r="BF1843" s="75"/>
      <c r="BG1843" s="73"/>
      <c r="BH1843" s="88"/>
      <c r="BI1843" s="73"/>
      <c r="BJ1843" s="73"/>
      <c r="BK1843" s="73"/>
      <c r="BL1843" s="73"/>
      <c r="BM1843" s="73"/>
      <c r="BN1843" s="73"/>
      <c r="BO1843" s="73"/>
      <c r="BP1843" s="73"/>
      <c r="BQ1843" s="73"/>
      <c r="BR1843" s="73"/>
      <c r="BS1843" s="73"/>
      <c r="BT1843" s="73"/>
      <c r="BU1843" s="73"/>
      <c r="BV1843" s="73"/>
      <c r="BW1843" s="73"/>
      <c r="BX1843" s="73"/>
      <c r="BY1843" s="73"/>
      <c r="BZ1843" s="73"/>
      <c r="CA1843" s="73"/>
      <c r="CB1843" s="73"/>
      <c r="CC1843" s="73"/>
      <c r="CD1843" s="73"/>
      <c r="CE1843" s="73"/>
      <c r="CF1843" s="73"/>
      <c r="CG1843" s="73"/>
      <c r="CH1843" s="73"/>
    </row>
    <row r="1844">
      <c r="A1844" s="73"/>
      <c r="B1844" s="73"/>
      <c r="C1844" s="73"/>
      <c r="D1844" s="73"/>
      <c r="E1844" s="140"/>
      <c r="F1844" s="80"/>
      <c r="G1844" s="80"/>
      <c r="H1844" s="73"/>
      <c r="I1844" s="73"/>
      <c r="J1844" s="73"/>
      <c r="K1844" s="73"/>
      <c r="L1844" s="73"/>
      <c r="M1844" s="73"/>
      <c r="N1844" s="73"/>
      <c r="O1844" s="73"/>
      <c r="P1844" s="73"/>
      <c r="Q1844" s="73"/>
      <c r="R1844" s="73"/>
      <c r="S1844" s="73"/>
      <c r="T1844" s="73"/>
      <c r="U1844" s="73"/>
      <c r="V1844" s="73"/>
      <c r="W1844" s="73"/>
      <c r="X1844" s="73"/>
      <c r="Y1844" s="73"/>
      <c r="Z1844" s="73"/>
      <c r="AA1844" s="73"/>
      <c r="AB1844" s="73"/>
      <c r="AC1844" s="73"/>
      <c r="AD1844" s="73"/>
      <c r="AE1844" s="73"/>
      <c r="AF1844" s="73"/>
      <c r="AG1844" s="73"/>
      <c r="AH1844" s="73"/>
      <c r="AI1844" s="73"/>
      <c r="AJ1844" s="168"/>
      <c r="AK1844" s="73"/>
      <c r="AL1844" s="73"/>
      <c r="AM1844" s="73"/>
      <c r="AN1844" s="73"/>
      <c r="AO1844" s="73"/>
      <c r="AP1844" s="73"/>
      <c r="AQ1844" s="73"/>
      <c r="AR1844" s="73"/>
      <c r="AS1844" s="73"/>
      <c r="AT1844" s="73"/>
      <c r="AU1844" s="73"/>
      <c r="AV1844" s="73"/>
      <c r="AW1844" s="73"/>
      <c r="AX1844" s="73"/>
      <c r="AY1844" s="73"/>
      <c r="AZ1844" s="73"/>
      <c r="BA1844" s="73"/>
      <c r="BB1844" s="73"/>
      <c r="BC1844" s="73"/>
      <c r="BD1844" s="73"/>
      <c r="BE1844" s="73"/>
      <c r="BF1844" s="75"/>
      <c r="BG1844" s="73"/>
      <c r="BH1844" s="88"/>
      <c r="BI1844" s="73"/>
      <c r="BJ1844" s="73"/>
      <c r="BK1844" s="73"/>
      <c r="BL1844" s="73"/>
      <c r="BM1844" s="73"/>
      <c r="BN1844" s="73"/>
      <c r="BO1844" s="73"/>
      <c r="BP1844" s="73"/>
      <c r="BQ1844" s="73"/>
      <c r="BR1844" s="73"/>
      <c r="BS1844" s="73"/>
      <c r="BT1844" s="73"/>
      <c r="BU1844" s="73"/>
      <c r="BV1844" s="73"/>
      <c r="BW1844" s="73"/>
      <c r="BX1844" s="73"/>
      <c r="BY1844" s="73"/>
      <c r="BZ1844" s="73"/>
      <c r="CA1844" s="73"/>
      <c r="CB1844" s="73"/>
      <c r="CC1844" s="73"/>
      <c r="CD1844" s="73"/>
      <c r="CE1844" s="73"/>
      <c r="CF1844" s="73"/>
      <c r="CG1844" s="73"/>
      <c r="CH1844" s="73"/>
    </row>
    <row r="1845">
      <c r="A1845" s="73"/>
      <c r="B1845" s="73"/>
      <c r="C1845" s="73"/>
      <c r="D1845" s="73"/>
      <c r="E1845" s="140"/>
      <c r="F1845" s="80"/>
      <c r="G1845" s="80"/>
      <c r="H1845" s="73"/>
      <c r="I1845" s="73"/>
      <c r="J1845" s="73"/>
      <c r="K1845" s="73"/>
      <c r="L1845" s="73"/>
      <c r="M1845" s="73"/>
      <c r="N1845" s="73"/>
      <c r="O1845" s="73"/>
      <c r="P1845" s="73"/>
      <c r="Q1845" s="73"/>
      <c r="R1845" s="73"/>
      <c r="S1845" s="73"/>
      <c r="T1845" s="73"/>
      <c r="U1845" s="73"/>
      <c r="V1845" s="73"/>
      <c r="W1845" s="73"/>
      <c r="X1845" s="73"/>
      <c r="Y1845" s="73"/>
      <c r="Z1845" s="73"/>
      <c r="AA1845" s="73"/>
      <c r="AB1845" s="73"/>
      <c r="AC1845" s="73"/>
      <c r="AD1845" s="73"/>
      <c r="AE1845" s="73"/>
      <c r="AF1845" s="73"/>
      <c r="AG1845" s="73"/>
      <c r="AH1845" s="73"/>
      <c r="AI1845" s="73"/>
      <c r="AJ1845" s="168"/>
      <c r="AK1845" s="73"/>
      <c r="AL1845" s="73"/>
      <c r="AM1845" s="73"/>
      <c r="AN1845" s="73"/>
      <c r="AO1845" s="73"/>
      <c r="AP1845" s="73"/>
      <c r="AQ1845" s="73"/>
      <c r="AR1845" s="73"/>
      <c r="AS1845" s="73"/>
      <c r="AT1845" s="73"/>
      <c r="AU1845" s="73"/>
      <c r="AV1845" s="73"/>
      <c r="AW1845" s="73"/>
      <c r="AX1845" s="73"/>
      <c r="AY1845" s="73"/>
      <c r="AZ1845" s="73"/>
      <c r="BA1845" s="73"/>
      <c r="BB1845" s="73"/>
      <c r="BC1845" s="73"/>
      <c r="BD1845" s="73"/>
      <c r="BE1845" s="73"/>
      <c r="BF1845" s="75"/>
      <c r="BG1845" s="73"/>
      <c r="BH1845" s="88"/>
      <c r="BI1845" s="73"/>
      <c r="BJ1845" s="73"/>
      <c r="BK1845" s="73"/>
      <c r="BL1845" s="73"/>
      <c r="BM1845" s="73"/>
      <c r="BN1845" s="73"/>
      <c r="BO1845" s="73"/>
      <c r="BP1845" s="73"/>
      <c r="BQ1845" s="73"/>
      <c r="BR1845" s="73"/>
      <c r="BS1845" s="73"/>
      <c r="BT1845" s="73"/>
      <c r="BU1845" s="73"/>
      <c r="BV1845" s="73"/>
      <c r="BW1845" s="73"/>
      <c r="BX1845" s="73"/>
      <c r="BY1845" s="73"/>
      <c r="BZ1845" s="73"/>
      <c r="CA1845" s="73"/>
      <c r="CB1845" s="73"/>
      <c r="CC1845" s="73"/>
      <c r="CD1845" s="73"/>
      <c r="CE1845" s="73"/>
      <c r="CF1845" s="73"/>
      <c r="CG1845" s="73"/>
      <c r="CH1845" s="73"/>
    </row>
    <row r="1846">
      <c r="A1846" s="73"/>
      <c r="B1846" s="73"/>
      <c r="C1846" s="73"/>
      <c r="D1846" s="73"/>
      <c r="E1846" s="140"/>
      <c r="F1846" s="80"/>
      <c r="G1846" s="80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  <c r="S1846" s="73"/>
      <c r="T1846" s="73"/>
      <c r="U1846" s="73"/>
      <c r="V1846" s="73"/>
      <c r="W1846" s="73"/>
      <c r="X1846" s="73"/>
      <c r="Y1846" s="73"/>
      <c r="Z1846" s="73"/>
      <c r="AA1846" s="73"/>
      <c r="AB1846" s="73"/>
      <c r="AC1846" s="73"/>
      <c r="AD1846" s="73"/>
      <c r="AE1846" s="73"/>
      <c r="AF1846" s="73"/>
      <c r="AG1846" s="73"/>
      <c r="AH1846" s="73"/>
      <c r="AI1846" s="73"/>
      <c r="AJ1846" s="168"/>
      <c r="AK1846" s="73"/>
      <c r="AL1846" s="73"/>
      <c r="AM1846" s="73"/>
      <c r="AN1846" s="73"/>
      <c r="AO1846" s="73"/>
      <c r="AP1846" s="73"/>
      <c r="AQ1846" s="73"/>
      <c r="AR1846" s="73"/>
      <c r="AS1846" s="73"/>
      <c r="AT1846" s="73"/>
      <c r="AU1846" s="73"/>
      <c r="AV1846" s="73"/>
      <c r="AW1846" s="73"/>
      <c r="AX1846" s="73"/>
      <c r="AY1846" s="73"/>
      <c r="AZ1846" s="73"/>
      <c r="BA1846" s="73"/>
      <c r="BB1846" s="73"/>
      <c r="BC1846" s="73"/>
      <c r="BD1846" s="73"/>
      <c r="BE1846" s="73"/>
      <c r="BF1846" s="75"/>
      <c r="BG1846" s="73"/>
      <c r="BH1846" s="88"/>
      <c r="BI1846" s="73"/>
      <c r="BJ1846" s="73"/>
      <c r="BK1846" s="73"/>
      <c r="BL1846" s="73"/>
      <c r="BM1846" s="73"/>
      <c r="BN1846" s="73"/>
      <c r="BO1846" s="73"/>
      <c r="BP1846" s="73"/>
      <c r="BQ1846" s="73"/>
      <c r="BR1846" s="73"/>
      <c r="BS1846" s="73"/>
      <c r="BT1846" s="73"/>
      <c r="BU1846" s="73"/>
      <c r="BV1846" s="73"/>
      <c r="BW1846" s="73"/>
      <c r="BX1846" s="73"/>
      <c r="BY1846" s="73"/>
      <c r="BZ1846" s="73"/>
      <c r="CA1846" s="73"/>
      <c r="CB1846" s="73"/>
      <c r="CC1846" s="73"/>
      <c r="CD1846" s="73"/>
      <c r="CE1846" s="73"/>
      <c r="CF1846" s="73"/>
      <c r="CG1846" s="73"/>
      <c r="CH1846" s="73"/>
    </row>
    <row r="1847">
      <c r="A1847" s="73"/>
      <c r="B1847" s="73"/>
      <c r="C1847" s="73"/>
      <c r="D1847" s="73"/>
      <c r="E1847" s="140"/>
      <c r="F1847" s="80"/>
      <c r="G1847" s="80"/>
      <c r="H1847" s="73"/>
      <c r="I1847" s="73"/>
      <c r="J1847" s="73"/>
      <c r="K1847" s="73"/>
      <c r="L1847" s="73"/>
      <c r="M1847" s="73"/>
      <c r="N1847" s="73"/>
      <c r="O1847" s="73"/>
      <c r="P1847" s="73"/>
      <c r="Q1847" s="73"/>
      <c r="R1847" s="73"/>
      <c r="S1847" s="73"/>
      <c r="T1847" s="73"/>
      <c r="U1847" s="73"/>
      <c r="V1847" s="73"/>
      <c r="W1847" s="73"/>
      <c r="X1847" s="73"/>
      <c r="Y1847" s="73"/>
      <c r="Z1847" s="73"/>
      <c r="AA1847" s="73"/>
      <c r="AB1847" s="73"/>
      <c r="AC1847" s="73"/>
      <c r="AD1847" s="73"/>
      <c r="AE1847" s="73"/>
      <c r="AF1847" s="73"/>
      <c r="AG1847" s="73"/>
      <c r="AH1847" s="73"/>
      <c r="AI1847" s="73"/>
      <c r="AJ1847" s="168"/>
      <c r="AK1847" s="73"/>
      <c r="AL1847" s="73"/>
      <c r="AM1847" s="73"/>
      <c r="AN1847" s="73"/>
      <c r="AO1847" s="73"/>
      <c r="AP1847" s="73"/>
      <c r="AQ1847" s="73"/>
      <c r="AR1847" s="73"/>
      <c r="AS1847" s="73"/>
      <c r="AT1847" s="73"/>
      <c r="AU1847" s="73"/>
      <c r="AV1847" s="73"/>
      <c r="AW1847" s="73"/>
      <c r="AX1847" s="73"/>
      <c r="AY1847" s="73"/>
      <c r="AZ1847" s="73"/>
      <c r="BA1847" s="73"/>
      <c r="BB1847" s="73"/>
      <c r="BC1847" s="73"/>
      <c r="BD1847" s="73"/>
      <c r="BE1847" s="73"/>
      <c r="BF1847" s="75"/>
      <c r="BG1847" s="73"/>
      <c r="BH1847" s="88"/>
      <c r="BI1847" s="73"/>
      <c r="BJ1847" s="73"/>
      <c r="BK1847" s="73"/>
      <c r="BL1847" s="73"/>
      <c r="BM1847" s="73"/>
      <c r="BN1847" s="73"/>
      <c r="BO1847" s="73"/>
      <c r="BP1847" s="73"/>
      <c r="BQ1847" s="73"/>
      <c r="BR1847" s="73"/>
      <c r="BS1847" s="73"/>
      <c r="BT1847" s="73"/>
      <c r="BU1847" s="73"/>
      <c r="BV1847" s="73"/>
      <c r="BW1847" s="73"/>
      <c r="BX1847" s="73"/>
      <c r="BY1847" s="73"/>
      <c r="BZ1847" s="73"/>
      <c r="CA1847" s="73"/>
      <c r="CB1847" s="73"/>
      <c r="CC1847" s="73"/>
      <c r="CD1847" s="73"/>
      <c r="CE1847" s="73"/>
      <c r="CF1847" s="73"/>
      <c r="CG1847" s="73"/>
      <c r="CH1847" s="73"/>
    </row>
    <row r="1848">
      <c r="A1848" s="73"/>
      <c r="B1848" s="73"/>
      <c r="C1848" s="73"/>
      <c r="D1848" s="73"/>
      <c r="E1848" s="140"/>
      <c r="F1848" s="80"/>
      <c r="G1848" s="80"/>
      <c r="H1848" s="73"/>
      <c r="I1848" s="73"/>
      <c r="J1848" s="73"/>
      <c r="K1848" s="73"/>
      <c r="L1848" s="73"/>
      <c r="M1848" s="73"/>
      <c r="N1848" s="73"/>
      <c r="O1848" s="73"/>
      <c r="P1848" s="73"/>
      <c r="Q1848" s="73"/>
      <c r="R1848" s="73"/>
      <c r="S1848" s="73"/>
      <c r="T1848" s="73"/>
      <c r="U1848" s="73"/>
      <c r="V1848" s="73"/>
      <c r="W1848" s="73"/>
      <c r="X1848" s="73"/>
      <c r="Y1848" s="73"/>
      <c r="Z1848" s="73"/>
      <c r="AA1848" s="73"/>
      <c r="AB1848" s="73"/>
      <c r="AC1848" s="73"/>
      <c r="AD1848" s="73"/>
      <c r="AE1848" s="73"/>
      <c r="AF1848" s="73"/>
      <c r="AG1848" s="73"/>
      <c r="AH1848" s="73"/>
      <c r="AI1848" s="73"/>
      <c r="AJ1848" s="168"/>
      <c r="AK1848" s="73"/>
      <c r="AL1848" s="73"/>
      <c r="AM1848" s="73"/>
      <c r="AN1848" s="73"/>
      <c r="AO1848" s="73"/>
      <c r="AP1848" s="73"/>
      <c r="AQ1848" s="73"/>
      <c r="AR1848" s="73"/>
      <c r="AS1848" s="73"/>
      <c r="AT1848" s="73"/>
      <c r="AU1848" s="73"/>
      <c r="AV1848" s="73"/>
      <c r="AW1848" s="73"/>
      <c r="AX1848" s="73"/>
      <c r="AY1848" s="73"/>
      <c r="AZ1848" s="73"/>
      <c r="BA1848" s="73"/>
      <c r="BB1848" s="73"/>
      <c r="BC1848" s="73"/>
      <c r="BD1848" s="73"/>
      <c r="BE1848" s="73"/>
      <c r="BF1848" s="75"/>
      <c r="BG1848" s="73"/>
      <c r="BH1848" s="88"/>
      <c r="BI1848" s="73"/>
      <c r="BJ1848" s="73"/>
      <c r="BK1848" s="73"/>
      <c r="BL1848" s="73"/>
      <c r="BM1848" s="73"/>
      <c r="BN1848" s="73"/>
      <c r="BO1848" s="73"/>
      <c r="BP1848" s="73"/>
      <c r="BQ1848" s="73"/>
      <c r="BR1848" s="73"/>
      <c r="BS1848" s="73"/>
      <c r="BT1848" s="73"/>
      <c r="BU1848" s="73"/>
      <c r="BV1848" s="73"/>
      <c r="BW1848" s="73"/>
      <c r="BX1848" s="73"/>
      <c r="BY1848" s="73"/>
      <c r="BZ1848" s="73"/>
      <c r="CA1848" s="73"/>
      <c r="CB1848" s="73"/>
      <c r="CC1848" s="73"/>
      <c r="CD1848" s="73"/>
      <c r="CE1848" s="73"/>
      <c r="CF1848" s="73"/>
      <c r="CG1848" s="73"/>
      <c r="CH1848" s="73"/>
    </row>
    <row r="1849">
      <c r="A1849" s="73"/>
      <c r="B1849" s="73"/>
      <c r="C1849" s="73"/>
      <c r="D1849" s="73"/>
      <c r="E1849" s="140"/>
      <c r="F1849" s="80"/>
      <c r="G1849" s="80"/>
      <c r="H1849" s="73"/>
      <c r="I1849" s="73"/>
      <c r="J1849" s="73"/>
      <c r="K1849" s="73"/>
      <c r="L1849" s="73"/>
      <c r="M1849" s="73"/>
      <c r="N1849" s="73"/>
      <c r="O1849" s="73"/>
      <c r="P1849" s="73"/>
      <c r="Q1849" s="73"/>
      <c r="R1849" s="73"/>
      <c r="S1849" s="73"/>
      <c r="T1849" s="73"/>
      <c r="U1849" s="73"/>
      <c r="V1849" s="73"/>
      <c r="W1849" s="73"/>
      <c r="X1849" s="73"/>
      <c r="Y1849" s="73"/>
      <c r="Z1849" s="73"/>
      <c r="AA1849" s="73"/>
      <c r="AB1849" s="73"/>
      <c r="AC1849" s="73"/>
      <c r="AD1849" s="73"/>
      <c r="AE1849" s="73"/>
      <c r="AF1849" s="73"/>
      <c r="AG1849" s="73"/>
      <c r="AH1849" s="73"/>
      <c r="AI1849" s="73"/>
      <c r="AJ1849" s="168"/>
      <c r="AK1849" s="73"/>
      <c r="AL1849" s="73"/>
      <c r="AM1849" s="73"/>
      <c r="AN1849" s="73"/>
      <c r="AO1849" s="73"/>
      <c r="AP1849" s="73"/>
      <c r="AQ1849" s="73"/>
      <c r="AR1849" s="73"/>
      <c r="AS1849" s="73"/>
      <c r="AT1849" s="73"/>
      <c r="AU1849" s="73"/>
      <c r="AV1849" s="73"/>
      <c r="AW1849" s="73"/>
      <c r="AX1849" s="73"/>
      <c r="AY1849" s="73"/>
      <c r="AZ1849" s="73"/>
      <c r="BA1849" s="73"/>
      <c r="BB1849" s="73"/>
      <c r="BC1849" s="73"/>
      <c r="BD1849" s="73"/>
      <c r="BE1849" s="73"/>
      <c r="BF1849" s="75"/>
      <c r="BG1849" s="73"/>
      <c r="BH1849" s="88"/>
      <c r="BI1849" s="73"/>
      <c r="BJ1849" s="73"/>
      <c r="BK1849" s="73"/>
      <c r="BL1849" s="73"/>
      <c r="BM1849" s="73"/>
      <c r="BN1849" s="73"/>
      <c r="BO1849" s="73"/>
      <c r="BP1849" s="73"/>
      <c r="BQ1849" s="73"/>
      <c r="BR1849" s="73"/>
      <c r="BS1849" s="73"/>
      <c r="BT1849" s="73"/>
      <c r="BU1849" s="73"/>
      <c r="BV1849" s="73"/>
      <c r="BW1849" s="73"/>
      <c r="BX1849" s="73"/>
      <c r="BY1849" s="73"/>
      <c r="BZ1849" s="73"/>
      <c r="CA1849" s="73"/>
      <c r="CB1849" s="73"/>
      <c r="CC1849" s="73"/>
      <c r="CD1849" s="73"/>
      <c r="CE1849" s="73"/>
      <c r="CF1849" s="73"/>
      <c r="CG1849" s="73"/>
      <c r="CH1849" s="73"/>
    </row>
    <row r="1850">
      <c r="A1850" s="73"/>
      <c r="B1850" s="73"/>
      <c r="C1850" s="73"/>
      <c r="D1850" s="73"/>
      <c r="E1850" s="140"/>
      <c r="F1850" s="80"/>
      <c r="G1850" s="80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  <c r="S1850" s="73"/>
      <c r="T1850" s="73"/>
      <c r="U1850" s="73"/>
      <c r="V1850" s="73"/>
      <c r="W1850" s="73"/>
      <c r="X1850" s="73"/>
      <c r="Y1850" s="73"/>
      <c r="Z1850" s="73"/>
      <c r="AA1850" s="73"/>
      <c r="AB1850" s="73"/>
      <c r="AC1850" s="73"/>
      <c r="AD1850" s="73"/>
      <c r="AE1850" s="73"/>
      <c r="AF1850" s="73"/>
      <c r="AG1850" s="73"/>
      <c r="AH1850" s="73"/>
      <c r="AI1850" s="73"/>
      <c r="AJ1850" s="168"/>
      <c r="AK1850" s="73"/>
      <c r="AL1850" s="73"/>
      <c r="AM1850" s="73"/>
      <c r="AN1850" s="73"/>
      <c r="AO1850" s="73"/>
      <c r="AP1850" s="73"/>
      <c r="AQ1850" s="73"/>
      <c r="AR1850" s="73"/>
      <c r="AS1850" s="73"/>
      <c r="AT1850" s="73"/>
      <c r="AU1850" s="73"/>
      <c r="AV1850" s="73"/>
      <c r="AW1850" s="73"/>
      <c r="AX1850" s="73"/>
      <c r="AY1850" s="73"/>
      <c r="AZ1850" s="73"/>
      <c r="BA1850" s="73"/>
      <c r="BB1850" s="73"/>
      <c r="BC1850" s="73"/>
      <c r="BD1850" s="73"/>
      <c r="BE1850" s="73"/>
      <c r="BF1850" s="75"/>
      <c r="BG1850" s="73"/>
      <c r="BH1850" s="88"/>
      <c r="BI1850" s="73"/>
      <c r="BJ1850" s="73"/>
      <c r="BK1850" s="73"/>
      <c r="BL1850" s="73"/>
      <c r="BM1850" s="73"/>
      <c r="BN1850" s="73"/>
      <c r="BO1850" s="73"/>
      <c r="BP1850" s="73"/>
      <c r="BQ1850" s="73"/>
      <c r="BR1850" s="73"/>
      <c r="BS1850" s="73"/>
      <c r="BT1850" s="73"/>
      <c r="BU1850" s="73"/>
      <c r="BV1850" s="73"/>
      <c r="BW1850" s="73"/>
      <c r="BX1850" s="73"/>
      <c r="BY1850" s="73"/>
      <c r="BZ1850" s="73"/>
      <c r="CA1850" s="73"/>
      <c r="CB1850" s="73"/>
      <c r="CC1850" s="73"/>
      <c r="CD1850" s="73"/>
      <c r="CE1850" s="73"/>
      <c r="CF1850" s="73"/>
      <c r="CG1850" s="73"/>
      <c r="CH1850" s="73"/>
    </row>
    <row r="1851">
      <c r="A1851" s="73"/>
      <c r="B1851" s="73"/>
      <c r="C1851" s="73"/>
      <c r="D1851" s="73"/>
      <c r="E1851" s="140"/>
      <c r="F1851" s="80"/>
      <c r="G1851" s="80"/>
      <c r="H1851" s="73"/>
      <c r="I1851" s="73"/>
      <c r="J1851" s="73"/>
      <c r="K1851" s="73"/>
      <c r="L1851" s="73"/>
      <c r="M1851" s="73"/>
      <c r="N1851" s="73"/>
      <c r="O1851" s="73"/>
      <c r="P1851" s="73"/>
      <c r="Q1851" s="73"/>
      <c r="R1851" s="73"/>
      <c r="S1851" s="73"/>
      <c r="T1851" s="73"/>
      <c r="U1851" s="73"/>
      <c r="V1851" s="73"/>
      <c r="W1851" s="73"/>
      <c r="X1851" s="73"/>
      <c r="Y1851" s="73"/>
      <c r="Z1851" s="73"/>
      <c r="AA1851" s="73"/>
      <c r="AB1851" s="73"/>
      <c r="AC1851" s="73"/>
      <c r="AD1851" s="73"/>
      <c r="AE1851" s="73"/>
      <c r="AF1851" s="73"/>
      <c r="AG1851" s="73"/>
      <c r="AH1851" s="73"/>
      <c r="AI1851" s="73"/>
      <c r="AJ1851" s="168"/>
      <c r="AK1851" s="73"/>
      <c r="AL1851" s="73"/>
      <c r="AM1851" s="73"/>
      <c r="AN1851" s="73"/>
      <c r="AO1851" s="73"/>
      <c r="AP1851" s="73"/>
      <c r="AQ1851" s="73"/>
      <c r="AR1851" s="73"/>
      <c r="AS1851" s="73"/>
      <c r="AT1851" s="73"/>
      <c r="AU1851" s="73"/>
      <c r="AV1851" s="73"/>
      <c r="AW1851" s="73"/>
      <c r="AX1851" s="73"/>
      <c r="AY1851" s="73"/>
      <c r="AZ1851" s="73"/>
      <c r="BA1851" s="73"/>
      <c r="BB1851" s="73"/>
      <c r="BC1851" s="73"/>
      <c r="BD1851" s="73"/>
      <c r="BE1851" s="73"/>
      <c r="BF1851" s="75"/>
      <c r="BG1851" s="73"/>
      <c r="BH1851" s="88"/>
      <c r="BI1851" s="73"/>
      <c r="BJ1851" s="73"/>
      <c r="BK1851" s="73"/>
      <c r="BL1851" s="73"/>
      <c r="BM1851" s="73"/>
      <c r="BN1851" s="73"/>
      <c r="BO1851" s="73"/>
      <c r="BP1851" s="73"/>
      <c r="BQ1851" s="73"/>
      <c r="BR1851" s="73"/>
      <c r="BS1851" s="73"/>
      <c r="BT1851" s="73"/>
      <c r="BU1851" s="73"/>
      <c r="BV1851" s="73"/>
      <c r="BW1851" s="73"/>
      <c r="BX1851" s="73"/>
      <c r="BY1851" s="73"/>
      <c r="BZ1851" s="73"/>
      <c r="CA1851" s="73"/>
      <c r="CB1851" s="73"/>
      <c r="CC1851" s="73"/>
      <c r="CD1851" s="73"/>
      <c r="CE1851" s="73"/>
      <c r="CF1851" s="73"/>
      <c r="CG1851" s="73"/>
      <c r="CH1851" s="73"/>
    </row>
    <row r="1852">
      <c r="A1852" s="73"/>
      <c r="B1852" s="73"/>
      <c r="C1852" s="73"/>
      <c r="D1852" s="73"/>
      <c r="E1852" s="140"/>
      <c r="F1852" s="80"/>
      <c r="G1852" s="80"/>
      <c r="H1852" s="73"/>
      <c r="I1852" s="73"/>
      <c r="J1852" s="73"/>
      <c r="K1852" s="73"/>
      <c r="L1852" s="73"/>
      <c r="M1852" s="73"/>
      <c r="N1852" s="73"/>
      <c r="O1852" s="73"/>
      <c r="P1852" s="73"/>
      <c r="Q1852" s="73"/>
      <c r="R1852" s="73"/>
      <c r="S1852" s="73"/>
      <c r="T1852" s="73"/>
      <c r="U1852" s="73"/>
      <c r="V1852" s="73"/>
      <c r="W1852" s="73"/>
      <c r="X1852" s="73"/>
      <c r="Y1852" s="73"/>
      <c r="Z1852" s="73"/>
      <c r="AA1852" s="73"/>
      <c r="AB1852" s="73"/>
      <c r="AC1852" s="73"/>
      <c r="AD1852" s="73"/>
      <c r="AE1852" s="73"/>
      <c r="AF1852" s="73"/>
      <c r="AG1852" s="73"/>
      <c r="AH1852" s="73"/>
      <c r="AI1852" s="73"/>
      <c r="AJ1852" s="168"/>
      <c r="AK1852" s="73"/>
      <c r="AL1852" s="73"/>
      <c r="AM1852" s="73"/>
      <c r="AN1852" s="73"/>
      <c r="AO1852" s="73"/>
      <c r="AP1852" s="73"/>
      <c r="AQ1852" s="73"/>
      <c r="AR1852" s="73"/>
      <c r="AS1852" s="73"/>
      <c r="AT1852" s="73"/>
      <c r="AU1852" s="73"/>
      <c r="AV1852" s="73"/>
      <c r="AW1852" s="73"/>
      <c r="AX1852" s="73"/>
      <c r="AY1852" s="73"/>
      <c r="AZ1852" s="73"/>
      <c r="BA1852" s="73"/>
      <c r="BB1852" s="73"/>
      <c r="BC1852" s="73"/>
      <c r="BD1852" s="73"/>
      <c r="BE1852" s="73"/>
      <c r="BF1852" s="75"/>
      <c r="BG1852" s="73"/>
      <c r="BH1852" s="88"/>
      <c r="BI1852" s="73"/>
      <c r="BJ1852" s="73"/>
      <c r="BK1852" s="73"/>
      <c r="BL1852" s="73"/>
      <c r="BM1852" s="73"/>
      <c r="BN1852" s="73"/>
      <c r="BO1852" s="73"/>
      <c r="BP1852" s="73"/>
      <c r="BQ1852" s="73"/>
      <c r="BR1852" s="73"/>
      <c r="BS1852" s="73"/>
      <c r="BT1852" s="73"/>
      <c r="BU1852" s="73"/>
      <c r="BV1852" s="73"/>
      <c r="BW1852" s="73"/>
      <c r="BX1852" s="73"/>
      <c r="BY1852" s="73"/>
      <c r="BZ1852" s="73"/>
      <c r="CA1852" s="73"/>
      <c r="CB1852" s="73"/>
      <c r="CC1852" s="73"/>
      <c r="CD1852" s="73"/>
      <c r="CE1852" s="73"/>
      <c r="CF1852" s="73"/>
      <c r="CG1852" s="73"/>
      <c r="CH1852" s="73"/>
    </row>
    <row r="1853">
      <c r="A1853" s="73"/>
      <c r="B1853" s="73"/>
      <c r="C1853" s="73"/>
      <c r="D1853" s="73"/>
      <c r="E1853" s="140"/>
      <c r="F1853" s="80"/>
      <c r="G1853" s="80"/>
      <c r="H1853" s="73"/>
      <c r="I1853" s="73"/>
      <c r="J1853" s="73"/>
      <c r="K1853" s="73"/>
      <c r="L1853" s="73"/>
      <c r="M1853" s="73"/>
      <c r="N1853" s="73"/>
      <c r="O1853" s="73"/>
      <c r="P1853" s="73"/>
      <c r="Q1853" s="73"/>
      <c r="R1853" s="73"/>
      <c r="S1853" s="73"/>
      <c r="T1853" s="73"/>
      <c r="U1853" s="73"/>
      <c r="V1853" s="73"/>
      <c r="W1853" s="73"/>
      <c r="X1853" s="73"/>
      <c r="Y1853" s="73"/>
      <c r="Z1853" s="73"/>
      <c r="AA1853" s="73"/>
      <c r="AB1853" s="73"/>
      <c r="AC1853" s="73"/>
      <c r="AD1853" s="73"/>
      <c r="AE1853" s="73"/>
      <c r="AF1853" s="73"/>
      <c r="AG1853" s="73"/>
      <c r="AH1853" s="73"/>
      <c r="AI1853" s="73"/>
      <c r="AJ1853" s="168"/>
      <c r="AK1853" s="73"/>
      <c r="AL1853" s="73"/>
      <c r="AM1853" s="73"/>
      <c r="AN1853" s="73"/>
      <c r="AO1853" s="73"/>
      <c r="AP1853" s="73"/>
      <c r="AQ1853" s="73"/>
      <c r="AR1853" s="73"/>
      <c r="AS1853" s="73"/>
      <c r="AT1853" s="73"/>
      <c r="AU1853" s="73"/>
      <c r="AV1853" s="73"/>
      <c r="AW1853" s="73"/>
      <c r="AX1853" s="73"/>
      <c r="AY1853" s="73"/>
      <c r="AZ1853" s="73"/>
      <c r="BA1853" s="73"/>
      <c r="BB1853" s="73"/>
      <c r="BC1853" s="73"/>
      <c r="BD1853" s="73"/>
      <c r="BE1853" s="73"/>
      <c r="BF1853" s="75"/>
      <c r="BG1853" s="73"/>
      <c r="BH1853" s="88"/>
      <c r="BI1853" s="73"/>
      <c r="BJ1853" s="73"/>
      <c r="BK1853" s="73"/>
      <c r="BL1853" s="73"/>
      <c r="BM1853" s="73"/>
      <c r="BN1853" s="73"/>
      <c r="BO1853" s="73"/>
      <c r="BP1853" s="73"/>
      <c r="BQ1853" s="73"/>
      <c r="BR1853" s="73"/>
      <c r="BS1853" s="73"/>
      <c r="BT1853" s="73"/>
      <c r="BU1853" s="73"/>
      <c r="BV1853" s="73"/>
      <c r="BW1853" s="73"/>
      <c r="BX1853" s="73"/>
      <c r="BY1853" s="73"/>
      <c r="BZ1853" s="73"/>
      <c r="CA1853" s="73"/>
      <c r="CB1853" s="73"/>
      <c r="CC1853" s="73"/>
      <c r="CD1853" s="73"/>
      <c r="CE1853" s="73"/>
      <c r="CF1853" s="73"/>
      <c r="CG1853" s="73"/>
      <c r="CH1853" s="73"/>
    </row>
    <row r="1854">
      <c r="A1854" s="73"/>
      <c r="B1854" s="73"/>
      <c r="C1854" s="73"/>
      <c r="D1854" s="73"/>
      <c r="E1854" s="140"/>
      <c r="F1854" s="80"/>
      <c r="G1854" s="80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  <c r="S1854" s="73"/>
      <c r="T1854" s="73"/>
      <c r="U1854" s="73"/>
      <c r="V1854" s="73"/>
      <c r="W1854" s="73"/>
      <c r="X1854" s="73"/>
      <c r="Y1854" s="73"/>
      <c r="Z1854" s="73"/>
      <c r="AA1854" s="73"/>
      <c r="AB1854" s="73"/>
      <c r="AC1854" s="73"/>
      <c r="AD1854" s="73"/>
      <c r="AE1854" s="73"/>
      <c r="AF1854" s="73"/>
      <c r="AG1854" s="73"/>
      <c r="AH1854" s="73"/>
      <c r="AI1854" s="73"/>
      <c r="AJ1854" s="168"/>
      <c r="AK1854" s="73"/>
      <c r="AL1854" s="73"/>
      <c r="AM1854" s="73"/>
      <c r="AN1854" s="73"/>
      <c r="AO1854" s="73"/>
      <c r="AP1854" s="73"/>
      <c r="AQ1854" s="73"/>
      <c r="AR1854" s="73"/>
      <c r="AS1854" s="73"/>
      <c r="AT1854" s="73"/>
      <c r="AU1854" s="73"/>
      <c r="AV1854" s="73"/>
      <c r="AW1854" s="73"/>
      <c r="AX1854" s="73"/>
      <c r="AY1854" s="73"/>
      <c r="AZ1854" s="73"/>
      <c r="BA1854" s="73"/>
      <c r="BB1854" s="73"/>
      <c r="BC1854" s="73"/>
      <c r="BD1854" s="73"/>
      <c r="BE1854" s="73"/>
      <c r="BF1854" s="75"/>
      <c r="BG1854" s="73"/>
      <c r="BH1854" s="88"/>
      <c r="BI1854" s="73"/>
      <c r="BJ1854" s="73"/>
      <c r="BK1854" s="73"/>
      <c r="BL1854" s="73"/>
      <c r="BM1854" s="73"/>
      <c r="BN1854" s="73"/>
      <c r="BO1854" s="73"/>
      <c r="BP1854" s="73"/>
      <c r="BQ1854" s="73"/>
      <c r="BR1854" s="73"/>
      <c r="BS1854" s="73"/>
      <c r="BT1854" s="73"/>
      <c r="BU1854" s="73"/>
      <c r="BV1854" s="73"/>
      <c r="BW1854" s="73"/>
      <c r="BX1854" s="73"/>
      <c r="BY1854" s="73"/>
      <c r="BZ1854" s="73"/>
      <c r="CA1854" s="73"/>
      <c r="CB1854" s="73"/>
      <c r="CC1854" s="73"/>
      <c r="CD1854" s="73"/>
      <c r="CE1854" s="73"/>
      <c r="CF1854" s="73"/>
      <c r="CG1854" s="73"/>
      <c r="CH1854" s="73"/>
    </row>
    <row r="1855">
      <c r="A1855" s="73"/>
      <c r="B1855" s="73"/>
      <c r="C1855" s="73"/>
      <c r="D1855" s="73"/>
      <c r="E1855" s="140"/>
      <c r="F1855" s="80"/>
      <c r="G1855" s="80"/>
      <c r="H1855" s="73"/>
      <c r="I1855" s="73"/>
      <c r="J1855" s="73"/>
      <c r="K1855" s="73"/>
      <c r="L1855" s="73"/>
      <c r="M1855" s="73"/>
      <c r="N1855" s="73"/>
      <c r="O1855" s="73"/>
      <c r="P1855" s="73"/>
      <c r="Q1855" s="73"/>
      <c r="R1855" s="73"/>
      <c r="S1855" s="73"/>
      <c r="T1855" s="73"/>
      <c r="U1855" s="73"/>
      <c r="V1855" s="73"/>
      <c r="W1855" s="73"/>
      <c r="X1855" s="73"/>
      <c r="Y1855" s="73"/>
      <c r="Z1855" s="73"/>
      <c r="AA1855" s="73"/>
      <c r="AB1855" s="73"/>
      <c r="AC1855" s="73"/>
      <c r="AD1855" s="73"/>
      <c r="AE1855" s="73"/>
      <c r="AF1855" s="73"/>
      <c r="AG1855" s="73"/>
      <c r="AH1855" s="73"/>
      <c r="AI1855" s="73"/>
      <c r="AJ1855" s="168"/>
      <c r="AK1855" s="73"/>
      <c r="AL1855" s="73"/>
      <c r="AM1855" s="73"/>
      <c r="AN1855" s="73"/>
      <c r="AO1855" s="73"/>
      <c r="AP1855" s="73"/>
      <c r="AQ1855" s="73"/>
      <c r="AR1855" s="73"/>
      <c r="AS1855" s="73"/>
      <c r="AT1855" s="73"/>
      <c r="AU1855" s="73"/>
      <c r="AV1855" s="73"/>
      <c r="AW1855" s="73"/>
      <c r="AX1855" s="73"/>
      <c r="AY1855" s="73"/>
      <c r="AZ1855" s="73"/>
      <c r="BA1855" s="73"/>
      <c r="BB1855" s="73"/>
      <c r="BC1855" s="73"/>
      <c r="BD1855" s="73"/>
      <c r="BE1855" s="73"/>
      <c r="BF1855" s="75"/>
      <c r="BG1855" s="73"/>
      <c r="BH1855" s="88"/>
      <c r="BI1855" s="73"/>
      <c r="BJ1855" s="73"/>
      <c r="BK1855" s="73"/>
      <c r="BL1855" s="73"/>
      <c r="BM1855" s="73"/>
      <c r="BN1855" s="73"/>
      <c r="BO1855" s="73"/>
      <c r="BP1855" s="73"/>
      <c r="BQ1855" s="73"/>
      <c r="BR1855" s="73"/>
      <c r="BS1855" s="73"/>
      <c r="BT1855" s="73"/>
      <c r="BU1855" s="73"/>
      <c r="BV1855" s="73"/>
      <c r="BW1855" s="73"/>
      <c r="BX1855" s="73"/>
      <c r="BY1855" s="73"/>
      <c r="BZ1855" s="73"/>
      <c r="CA1855" s="73"/>
      <c r="CB1855" s="73"/>
      <c r="CC1855" s="73"/>
      <c r="CD1855" s="73"/>
      <c r="CE1855" s="73"/>
      <c r="CF1855" s="73"/>
      <c r="CG1855" s="73"/>
      <c r="CH1855" s="73"/>
    </row>
    <row r="1856">
      <c r="A1856" s="73"/>
      <c r="B1856" s="73"/>
      <c r="C1856" s="73"/>
      <c r="D1856" s="73"/>
      <c r="E1856" s="140"/>
      <c r="F1856" s="80"/>
      <c r="G1856" s="80"/>
      <c r="H1856" s="73"/>
      <c r="I1856" s="73"/>
      <c r="J1856" s="73"/>
      <c r="K1856" s="73"/>
      <c r="L1856" s="73"/>
      <c r="M1856" s="73"/>
      <c r="N1856" s="73"/>
      <c r="O1856" s="73"/>
      <c r="P1856" s="73"/>
      <c r="Q1856" s="73"/>
      <c r="R1856" s="73"/>
      <c r="S1856" s="73"/>
      <c r="T1856" s="73"/>
      <c r="U1856" s="73"/>
      <c r="V1856" s="73"/>
      <c r="W1856" s="73"/>
      <c r="X1856" s="73"/>
      <c r="Y1856" s="73"/>
      <c r="Z1856" s="73"/>
      <c r="AA1856" s="73"/>
      <c r="AB1856" s="73"/>
      <c r="AC1856" s="73"/>
      <c r="AD1856" s="73"/>
      <c r="AE1856" s="73"/>
      <c r="AF1856" s="73"/>
      <c r="AG1856" s="73"/>
      <c r="AH1856" s="73"/>
      <c r="AI1856" s="73"/>
      <c r="AJ1856" s="168"/>
      <c r="AK1856" s="73"/>
      <c r="AL1856" s="73"/>
      <c r="AM1856" s="73"/>
      <c r="AN1856" s="73"/>
      <c r="AO1856" s="73"/>
      <c r="AP1856" s="73"/>
      <c r="AQ1856" s="73"/>
      <c r="AR1856" s="73"/>
      <c r="AS1856" s="73"/>
      <c r="AT1856" s="73"/>
      <c r="AU1856" s="73"/>
      <c r="AV1856" s="73"/>
      <c r="AW1856" s="73"/>
      <c r="AX1856" s="73"/>
      <c r="AY1856" s="73"/>
      <c r="AZ1856" s="73"/>
      <c r="BA1856" s="73"/>
      <c r="BB1856" s="73"/>
      <c r="BC1856" s="73"/>
      <c r="BD1856" s="73"/>
      <c r="BE1856" s="73"/>
      <c r="BF1856" s="75"/>
      <c r="BG1856" s="73"/>
      <c r="BH1856" s="88"/>
      <c r="BI1856" s="73"/>
      <c r="BJ1856" s="73"/>
      <c r="BK1856" s="73"/>
      <c r="BL1856" s="73"/>
      <c r="BM1856" s="73"/>
      <c r="BN1856" s="73"/>
      <c r="BO1856" s="73"/>
      <c r="BP1856" s="73"/>
      <c r="BQ1856" s="73"/>
      <c r="BR1856" s="73"/>
      <c r="BS1856" s="73"/>
      <c r="BT1856" s="73"/>
      <c r="BU1856" s="73"/>
      <c r="BV1856" s="73"/>
      <c r="BW1856" s="73"/>
      <c r="BX1856" s="73"/>
      <c r="BY1856" s="73"/>
      <c r="BZ1856" s="73"/>
      <c r="CA1856" s="73"/>
      <c r="CB1856" s="73"/>
      <c r="CC1856" s="73"/>
      <c r="CD1856" s="73"/>
      <c r="CE1856" s="73"/>
      <c r="CF1856" s="73"/>
      <c r="CG1856" s="73"/>
      <c r="CH1856" s="73"/>
    </row>
    <row r="1857">
      <c r="A1857" s="73"/>
      <c r="B1857" s="73"/>
      <c r="C1857" s="73"/>
      <c r="D1857" s="73"/>
      <c r="E1857" s="140"/>
      <c r="F1857" s="80"/>
      <c r="G1857" s="80"/>
      <c r="H1857" s="73"/>
      <c r="I1857" s="73"/>
      <c r="J1857" s="73"/>
      <c r="K1857" s="73"/>
      <c r="L1857" s="73"/>
      <c r="M1857" s="73"/>
      <c r="N1857" s="73"/>
      <c r="O1857" s="73"/>
      <c r="P1857" s="73"/>
      <c r="Q1857" s="73"/>
      <c r="R1857" s="73"/>
      <c r="S1857" s="73"/>
      <c r="T1857" s="73"/>
      <c r="U1857" s="73"/>
      <c r="V1857" s="73"/>
      <c r="W1857" s="73"/>
      <c r="X1857" s="73"/>
      <c r="Y1857" s="73"/>
      <c r="Z1857" s="73"/>
      <c r="AA1857" s="73"/>
      <c r="AB1857" s="73"/>
      <c r="AC1857" s="73"/>
      <c r="AD1857" s="73"/>
      <c r="AE1857" s="73"/>
      <c r="AF1857" s="73"/>
      <c r="AG1857" s="73"/>
      <c r="AH1857" s="73"/>
      <c r="AI1857" s="73"/>
      <c r="AJ1857" s="168"/>
      <c r="AK1857" s="73"/>
      <c r="AL1857" s="73"/>
      <c r="AM1857" s="73"/>
      <c r="AN1857" s="73"/>
      <c r="AO1857" s="73"/>
      <c r="AP1857" s="73"/>
      <c r="AQ1857" s="73"/>
      <c r="AR1857" s="73"/>
      <c r="AS1857" s="73"/>
      <c r="AT1857" s="73"/>
      <c r="AU1857" s="73"/>
      <c r="AV1857" s="73"/>
      <c r="AW1857" s="73"/>
      <c r="AX1857" s="73"/>
      <c r="AY1857" s="73"/>
      <c r="AZ1857" s="73"/>
      <c r="BA1857" s="73"/>
      <c r="BB1857" s="73"/>
      <c r="BC1857" s="73"/>
      <c r="BD1857" s="73"/>
      <c r="BE1857" s="73"/>
      <c r="BF1857" s="75"/>
      <c r="BG1857" s="73"/>
      <c r="BH1857" s="88"/>
      <c r="BI1857" s="73"/>
      <c r="BJ1857" s="73"/>
      <c r="BK1857" s="73"/>
      <c r="BL1857" s="73"/>
      <c r="BM1857" s="73"/>
      <c r="BN1857" s="73"/>
      <c r="BO1857" s="73"/>
      <c r="BP1857" s="73"/>
      <c r="BQ1857" s="73"/>
      <c r="BR1857" s="73"/>
      <c r="BS1857" s="73"/>
      <c r="BT1857" s="73"/>
      <c r="BU1857" s="73"/>
      <c r="BV1857" s="73"/>
      <c r="BW1857" s="73"/>
      <c r="BX1857" s="73"/>
      <c r="BY1857" s="73"/>
      <c r="BZ1857" s="73"/>
      <c r="CA1857" s="73"/>
      <c r="CB1857" s="73"/>
      <c r="CC1857" s="73"/>
      <c r="CD1857" s="73"/>
      <c r="CE1857" s="73"/>
      <c r="CF1857" s="73"/>
      <c r="CG1857" s="73"/>
      <c r="CH1857" s="73"/>
    </row>
    <row r="1858">
      <c r="A1858" s="73"/>
      <c r="B1858" s="73"/>
      <c r="C1858" s="73"/>
      <c r="D1858" s="73"/>
      <c r="E1858" s="140"/>
      <c r="F1858" s="80"/>
      <c r="G1858" s="80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  <c r="S1858" s="73"/>
      <c r="T1858" s="73"/>
      <c r="U1858" s="73"/>
      <c r="V1858" s="73"/>
      <c r="W1858" s="73"/>
      <c r="X1858" s="73"/>
      <c r="Y1858" s="73"/>
      <c r="Z1858" s="73"/>
      <c r="AA1858" s="73"/>
      <c r="AB1858" s="73"/>
      <c r="AC1858" s="73"/>
      <c r="AD1858" s="73"/>
      <c r="AE1858" s="73"/>
      <c r="AF1858" s="73"/>
      <c r="AG1858" s="73"/>
      <c r="AH1858" s="73"/>
      <c r="AI1858" s="73"/>
      <c r="AJ1858" s="168"/>
      <c r="AK1858" s="73"/>
      <c r="AL1858" s="73"/>
      <c r="AM1858" s="73"/>
      <c r="AN1858" s="73"/>
      <c r="AO1858" s="73"/>
      <c r="AP1858" s="73"/>
      <c r="AQ1858" s="73"/>
      <c r="AR1858" s="73"/>
      <c r="AS1858" s="73"/>
      <c r="AT1858" s="73"/>
      <c r="AU1858" s="73"/>
      <c r="AV1858" s="73"/>
      <c r="AW1858" s="73"/>
      <c r="AX1858" s="73"/>
      <c r="AY1858" s="73"/>
      <c r="AZ1858" s="73"/>
      <c r="BA1858" s="73"/>
      <c r="BB1858" s="73"/>
      <c r="BC1858" s="73"/>
      <c r="BD1858" s="73"/>
      <c r="BE1858" s="73"/>
      <c r="BF1858" s="75"/>
      <c r="BG1858" s="73"/>
      <c r="BH1858" s="88"/>
      <c r="BI1858" s="73"/>
      <c r="BJ1858" s="73"/>
      <c r="BK1858" s="73"/>
      <c r="BL1858" s="73"/>
      <c r="BM1858" s="73"/>
      <c r="BN1858" s="73"/>
      <c r="BO1858" s="73"/>
      <c r="BP1858" s="73"/>
      <c r="BQ1858" s="73"/>
      <c r="BR1858" s="73"/>
      <c r="BS1858" s="73"/>
      <c r="BT1858" s="73"/>
      <c r="BU1858" s="73"/>
      <c r="BV1858" s="73"/>
      <c r="BW1858" s="73"/>
      <c r="BX1858" s="73"/>
      <c r="BY1858" s="73"/>
      <c r="BZ1858" s="73"/>
      <c r="CA1858" s="73"/>
      <c r="CB1858" s="73"/>
      <c r="CC1858" s="73"/>
      <c r="CD1858" s="73"/>
      <c r="CE1858" s="73"/>
      <c r="CF1858" s="73"/>
      <c r="CG1858" s="73"/>
      <c r="CH1858" s="73"/>
    </row>
    <row r="1859">
      <c r="A1859" s="73"/>
      <c r="B1859" s="73"/>
      <c r="C1859" s="73"/>
      <c r="D1859" s="73"/>
      <c r="E1859" s="140"/>
      <c r="F1859" s="80"/>
      <c r="G1859" s="80"/>
      <c r="H1859" s="73"/>
      <c r="I1859" s="73"/>
      <c r="J1859" s="73"/>
      <c r="K1859" s="73"/>
      <c r="L1859" s="73"/>
      <c r="M1859" s="73"/>
      <c r="N1859" s="73"/>
      <c r="O1859" s="73"/>
      <c r="P1859" s="73"/>
      <c r="Q1859" s="73"/>
      <c r="R1859" s="73"/>
      <c r="S1859" s="73"/>
      <c r="T1859" s="73"/>
      <c r="U1859" s="73"/>
      <c r="V1859" s="73"/>
      <c r="W1859" s="73"/>
      <c r="X1859" s="73"/>
      <c r="Y1859" s="73"/>
      <c r="Z1859" s="73"/>
      <c r="AA1859" s="73"/>
      <c r="AB1859" s="73"/>
      <c r="AC1859" s="73"/>
      <c r="AD1859" s="73"/>
      <c r="AE1859" s="73"/>
      <c r="AF1859" s="73"/>
      <c r="AG1859" s="73"/>
      <c r="AH1859" s="73"/>
      <c r="AI1859" s="73"/>
      <c r="AJ1859" s="168"/>
      <c r="AK1859" s="73"/>
      <c r="AL1859" s="73"/>
      <c r="AM1859" s="73"/>
      <c r="AN1859" s="73"/>
      <c r="AO1859" s="73"/>
      <c r="AP1859" s="73"/>
      <c r="AQ1859" s="73"/>
      <c r="AR1859" s="73"/>
      <c r="AS1859" s="73"/>
      <c r="AT1859" s="73"/>
      <c r="AU1859" s="73"/>
      <c r="AV1859" s="73"/>
      <c r="AW1859" s="73"/>
      <c r="AX1859" s="73"/>
      <c r="AY1859" s="73"/>
      <c r="AZ1859" s="73"/>
      <c r="BA1859" s="73"/>
      <c r="BB1859" s="73"/>
      <c r="BC1859" s="73"/>
      <c r="BD1859" s="73"/>
      <c r="BE1859" s="73"/>
      <c r="BF1859" s="75"/>
      <c r="BG1859" s="73"/>
      <c r="BH1859" s="88"/>
      <c r="BI1859" s="73"/>
      <c r="BJ1859" s="73"/>
      <c r="BK1859" s="73"/>
      <c r="BL1859" s="73"/>
      <c r="BM1859" s="73"/>
      <c r="BN1859" s="73"/>
      <c r="BO1859" s="73"/>
      <c r="BP1859" s="73"/>
      <c r="BQ1859" s="73"/>
      <c r="BR1859" s="73"/>
      <c r="BS1859" s="73"/>
      <c r="BT1859" s="73"/>
      <c r="BU1859" s="73"/>
      <c r="BV1859" s="73"/>
      <c r="BW1859" s="73"/>
      <c r="BX1859" s="73"/>
      <c r="BY1859" s="73"/>
      <c r="BZ1859" s="73"/>
      <c r="CA1859" s="73"/>
      <c r="CB1859" s="73"/>
      <c r="CC1859" s="73"/>
      <c r="CD1859" s="73"/>
      <c r="CE1859" s="73"/>
      <c r="CF1859" s="73"/>
      <c r="CG1859" s="73"/>
      <c r="CH1859" s="73"/>
    </row>
    <row r="1860">
      <c r="A1860" s="73"/>
      <c r="B1860" s="73"/>
      <c r="C1860" s="73"/>
      <c r="D1860" s="73"/>
      <c r="E1860" s="140"/>
      <c r="F1860" s="80"/>
      <c r="G1860" s="80"/>
      <c r="H1860" s="73"/>
      <c r="I1860" s="73"/>
      <c r="J1860" s="73"/>
      <c r="K1860" s="73"/>
      <c r="L1860" s="73"/>
      <c r="M1860" s="73"/>
      <c r="N1860" s="73"/>
      <c r="O1860" s="73"/>
      <c r="P1860" s="73"/>
      <c r="Q1860" s="73"/>
      <c r="R1860" s="73"/>
      <c r="S1860" s="73"/>
      <c r="T1860" s="73"/>
      <c r="U1860" s="73"/>
      <c r="V1860" s="73"/>
      <c r="W1860" s="73"/>
      <c r="X1860" s="73"/>
      <c r="Y1860" s="73"/>
      <c r="Z1860" s="73"/>
      <c r="AA1860" s="73"/>
      <c r="AB1860" s="73"/>
      <c r="AC1860" s="73"/>
      <c r="AD1860" s="73"/>
      <c r="AE1860" s="73"/>
      <c r="AF1860" s="73"/>
      <c r="AG1860" s="73"/>
      <c r="AH1860" s="73"/>
      <c r="AI1860" s="73"/>
      <c r="AJ1860" s="168"/>
      <c r="AK1860" s="73"/>
      <c r="AL1860" s="73"/>
      <c r="AM1860" s="73"/>
      <c r="AN1860" s="73"/>
      <c r="AO1860" s="73"/>
      <c r="AP1860" s="73"/>
      <c r="AQ1860" s="73"/>
      <c r="AR1860" s="73"/>
      <c r="AS1860" s="73"/>
      <c r="AT1860" s="73"/>
      <c r="AU1860" s="73"/>
      <c r="AV1860" s="73"/>
      <c r="AW1860" s="73"/>
      <c r="AX1860" s="73"/>
      <c r="AY1860" s="73"/>
      <c r="AZ1860" s="73"/>
      <c r="BA1860" s="73"/>
      <c r="BB1860" s="73"/>
      <c r="BC1860" s="73"/>
      <c r="BD1860" s="73"/>
      <c r="BE1860" s="73"/>
      <c r="BF1860" s="75"/>
      <c r="BG1860" s="73"/>
      <c r="BH1860" s="88"/>
      <c r="BI1860" s="73"/>
      <c r="BJ1860" s="73"/>
      <c r="BK1860" s="73"/>
      <c r="BL1860" s="73"/>
      <c r="BM1860" s="73"/>
      <c r="BN1860" s="73"/>
      <c r="BO1860" s="73"/>
      <c r="BP1860" s="73"/>
      <c r="BQ1860" s="73"/>
      <c r="BR1860" s="73"/>
      <c r="BS1860" s="73"/>
      <c r="BT1860" s="73"/>
      <c r="BU1860" s="73"/>
      <c r="BV1860" s="73"/>
      <c r="BW1860" s="73"/>
      <c r="BX1860" s="73"/>
      <c r="BY1860" s="73"/>
      <c r="BZ1860" s="73"/>
      <c r="CA1860" s="73"/>
      <c r="CB1860" s="73"/>
      <c r="CC1860" s="73"/>
      <c r="CD1860" s="73"/>
      <c r="CE1860" s="73"/>
      <c r="CF1860" s="73"/>
      <c r="CG1860" s="73"/>
      <c r="CH1860" s="73"/>
    </row>
    <row r="1861">
      <c r="A1861" s="73"/>
      <c r="B1861" s="73"/>
      <c r="C1861" s="73"/>
      <c r="D1861" s="73"/>
      <c r="E1861" s="140"/>
      <c r="F1861" s="80"/>
      <c r="G1861" s="80"/>
      <c r="H1861" s="73"/>
      <c r="I1861" s="73"/>
      <c r="J1861" s="73"/>
      <c r="K1861" s="73"/>
      <c r="L1861" s="73"/>
      <c r="M1861" s="73"/>
      <c r="N1861" s="73"/>
      <c r="O1861" s="73"/>
      <c r="P1861" s="73"/>
      <c r="Q1861" s="73"/>
      <c r="R1861" s="73"/>
      <c r="S1861" s="73"/>
      <c r="T1861" s="73"/>
      <c r="U1861" s="73"/>
      <c r="V1861" s="73"/>
      <c r="W1861" s="73"/>
      <c r="X1861" s="73"/>
      <c r="Y1861" s="73"/>
      <c r="Z1861" s="73"/>
      <c r="AA1861" s="73"/>
      <c r="AB1861" s="73"/>
      <c r="AC1861" s="73"/>
      <c r="AD1861" s="73"/>
      <c r="AE1861" s="73"/>
      <c r="AF1861" s="73"/>
      <c r="AG1861" s="73"/>
      <c r="AH1861" s="73"/>
      <c r="AI1861" s="73"/>
      <c r="AJ1861" s="168"/>
      <c r="AK1861" s="73"/>
      <c r="AL1861" s="73"/>
      <c r="AM1861" s="73"/>
      <c r="AN1861" s="73"/>
      <c r="AO1861" s="73"/>
      <c r="AP1861" s="73"/>
      <c r="AQ1861" s="73"/>
      <c r="AR1861" s="73"/>
      <c r="AS1861" s="73"/>
      <c r="AT1861" s="73"/>
      <c r="AU1861" s="73"/>
      <c r="AV1861" s="73"/>
      <c r="AW1861" s="73"/>
      <c r="AX1861" s="73"/>
      <c r="AY1861" s="73"/>
      <c r="AZ1861" s="73"/>
      <c r="BA1861" s="73"/>
      <c r="BB1861" s="73"/>
      <c r="BC1861" s="73"/>
      <c r="BD1861" s="73"/>
      <c r="BE1861" s="73"/>
      <c r="BF1861" s="75"/>
      <c r="BG1861" s="73"/>
      <c r="BH1861" s="88"/>
      <c r="BI1861" s="73"/>
      <c r="BJ1861" s="73"/>
      <c r="BK1861" s="73"/>
      <c r="BL1861" s="73"/>
      <c r="BM1861" s="73"/>
      <c r="BN1861" s="73"/>
      <c r="BO1861" s="73"/>
      <c r="BP1861" s="73"/>
      <c r="BQ1861" s="73"/>
      <c r="BR1861" s="73"/>
      <c r="BS1861" s="73"/>
      <c r="BT1861" s="73"/>
      <c r="BU1861" s="73"/>
      <c r="BV1861" s="73"/>
      <c r="BW1861" s="73"/>
      <c r="BX1861" s="73"/>
      <c r="BY1861" s="73"/>
      <c r="BZ1861" s="73"/>
      <c r="CA1861" s="73"/>
      <c r="CB1861" s="73"/>
      <c r="CC1861" s="73"/>
      <c r="CD1861" s="73"/>
      <c r="CE1861" s="73"/>
      <c r="CF1861" s="73"/>
      <c r="CG1861" s="73"/>
      <c r="CH1861" s="73"/>
    </row>
    <row r="1862">
      <c r="A1862" s="73"/>
      <c r="B1862" s="73"/>
      <c r="C1862" s="73"/>
      <c r="D1862" s="73"/>
      <c r="E1862" s="140"/>
      <c r="F1862" s="80"/>
      <c r="G1862" s="80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  <c r="S1862" s="73"/>
      <c r="T1862" s="73"/>
      <c r="U1862" s="73"/>
      <c r="V1862" s="73"/>
      <c r="W1862" s="73"/>
      <c r="X1862" s="73"/>
      <c r="Y1862" s="73"/>
      <c r="Z1862" s="73"/>
      <c r="AA1862" s="73"/>
      <c r="AB1862" s="73"/>
      <c r="AC1862" s="73"/>
      <c r="AD1862" s="73"/>
      <c r="AE1862" s="73"/>
      <c r="AF1862" s="73"/>
      <c r="AG1862" s="73"/>
      <c r="AH1862" s="73"/>
      <c r="AI1862" s="73"/>
      <c r="AJ1862" s="168"/>
      <c r="AK1862" s="73"/>
      <c r="AL1862" s="73"/>
      <c r="AM1862" s="73"/>
      <c r="AN1862" s="73"/>
      <c r="AO1862" s="73"/>
      <c r="AP1862" s="73"/>
      <c r="AQ1862" s="73"/>
      <c r="AR1862" s="73"/>
      <c r="AS1862" s="73"/>
      <c r="AT1862" s="73"/>
      <c r="AU1862" s="73"/>
      <c r="AV1862" s="73"/>
      <c r="AW1862" s="73"/>
      <c r="AX1862" s="73"/>
      <c r="AY1862" s="73"/>
      <c r="AZ1862" s="73"/>
      <c r="BA1862" s="73"/>
      <c r="BB1862" s="73"/>
      <c r="BC1862" s="73"/>
      <c r="BD1862" s="73"/>
      <c r="BE1862" s="73"/>
      <c r="BF1862" s="75"/>
      <c r="BG1862" s="73"/>
      <c r="BH1862" s="88"/>
      <c r="BI1862" s="73"/>
      <c r="BJ1862" s="73"/>
      <c r="BK1862" s="73"/>
      <c r="BL1862" s="73"/>
      <c r="BM1862" s="73"/>
      <c r="BN1862" s="73"/>
      <c r="BO1862" s="73"/>
      <c r="BP1862" s="73"/>
      <c r="BQ1862" s="73"/>
      <c r="BR1862" s="73"/>
      <c r="BS1862" s="73"/>
      <c r="BT1862" s="73"/>
      <c r="BU1862" s="73"/>
      <c r="BV1862" s="73"/>
      <c r="BW1862" s="73"/>
      <c r="BX1862" s="73"/>
      <c r="BY1862" s="73"/>
      <c r="BZ1862" s="73"/>
      <c r="CA1862" s="73"/>
      <c r="CB1862" s="73"/>
      <c r="CC1862" s="73"/>
      <c r="CD1862" s="73"/>
      <c r="CE1862" s="73"/>
      <c r="CF1862" s="73"/>
      <c r="CG1862" s="73"/>
      <c r="CH1862" s="73"/>
    </row>
    <row r="1863">
      <c r="A1863" s="73"/>
      <c r="B1863" s="73"/>
      <c r="C1863" s="73"/>
      <c r="D1863" s="73"/>
      <c r="E1863" s="140"/>
      <c r="F1863" s="80"/>
      <c r="G1863" s="80"/>
      <c r="H1863" s="73"/>
      <c r="I1863" s="73"/>
      <c r="J1863" s="73"/>
      <c r="K1863" s="73"/>
      <c r="L1863" s="73"/>
      <c r="M1863" s="73"/>
      <c r="N1863" s="73"/>
      <c r="O1863" s="73"/>
      <c r="P1863" s="73"/>
      <c r="Q1863" s="73"/>
      <c r="R1863" s="73"/>
      <c r="S1863" s="73"/>
      <c r="T1863" s="73"/>
      <c r="U1863" s="73"/>
      <c r="V1863" s="73"/>
      <c r="W1863" s="73"/>
      <c r="X1863" s="73"/>
      <c r="Y1863" s="73"/>
      <c r="Z1863" s="73"/>
      <c r="AA1863" s="73"/>
      <c r="AB1863" s="73"/>
      <c r="AC1863" s="73"/>
      <c r="AD1863" s="73"/>
      <c r="AE1863" s="73"/>
      <c r="AF1863" s="73"/>
      <c r="AG1863" s="73"/>
      <c r="AH1863" s="73"/>
      <c r="AI1863" s="73"/>
      <c r="AJ1863" s="168"/>
      <c r="AK1863" s="73"/>
      <c r="AL1863" s="73"/>
      <c r="AM1863" s="73"/>
      <c r="AN1863" s="73"/>
      <c r="AO1863" s="73"/>
      <c r="AP1863" s="73"/>
      <c r="AQ1863" s="73"/>
      <c r="AR1863" s="73"/>
      <c r="AS1863" s="73"/>
      <c r="AT1863" s="73"/>
      <c r="AU1863" s="73"/>
      <c r="AV1863" s="73"/>
      <c r="AW1863" s="73"/>
      <c r="AX1863" s="73"/>
      <c r="AY1863" s="73"/>
      <c r="AZ1863" s="73"/>
      <c r="BA1863" s="73"/>
      <c r="BB1863" s="73"/>
      <c r="BC1863" s="73"/>
      <c r="BD1863" s="73"/>
      <c r="BE1863" s="73"/>
      <c r="BF1863" s="75"/>
      <c r="BG1863" s="73"/>
      <c r="BH1863" s="88"/>
      <c r="BI1863" s="73"/>
      <c r="BJ1863" s="73"/>
      <c r="BK1863" s="73"/>
      <c r="BL1863" s="73"/>
      <c r="BM1863" s="73"/>
      <c r="BN1863" s="73"/>
      <c r="BO1863" s="73"/>
      <c r="BP1863" s="73"/>
      <c r="BQ1863" s="73"/>
      <c r="BR1863" s="73"/>
      <c r="BS1863" s="73"/>
      <c r="BT1863" s="73"/>
      <c r="BU1863" s="73"/>
      <c r="BV1863" s="73"/>
      <c r="BW1863" s="73"/>
      <c r="BX1863" s="73"/>
      <c r="BY1863" s="73"/>
      <c r="BZ1863" s="73"/>
      <c r="CA1863" s="73"/>
      <c r="CB1863" s="73"/>
      <c r="CC1863" s="73"/>
      <c r="CD1863" s="73"/>
      <c r="CE1863" s="73"/>
      <c r="CF1863" s="73"/>
      <c r="CG1863" s="73"/>
      <c r="CH1863" s="73"/>
    </row>
    <row r="1864">
      <c r="A1864" s="73"/>
      <c r="B1864" s="73"/>
      <c r="C1864" s="73"/>
      <c r="D1864" s="73"/>
      <c r="E1864" s="140"/>
      <c r="F1864" s="80"/>
      <c r="G1864" s="80"/>
      <c r="H1864" s="73"/>
      <c r="I1864" s="73"/>
      <c r="J1864" s="73"/>
      <c r="K1864" s="73"/>
      <c r="L1864" s="73"/>
      <c r="M1864" s="73"/>
      <c r="N1864" s="73"/>
      <c r="O1864" s="73"/>
      <c r="P1864" s="73"/>
      <c r="Q1864" s="73"/>
      <c r="R1864" s="73"/>
      <c r="S1864" s="73"/>
      <c r="T1864" s="73"/>
      <c r="U1864" s="73"/>
      <c r="V1864" s="73"/>
      <c r="W1864" s="73"/>
      <c r="X1864" s="73"/>
      <c r="Y1864" s="73"/>
      <c r="Z1864" s="73"/>
      <c r="AA1864" s="73"/>
      <c r="AB1864" s="73"/>
      <c r="AC1864" s="73"/>
      <c r="AD1864" s="73"/>
      <c r="AE1864" s="73"/>
      <c r="AF1864" s="73"/>
      <c r="AG1864" s="73"/>
      <c r="AH1864" s="73"/>
      <c r="AI1864" s="73"/>
      <c r="AJ1864" s="168"/>
      <c r="AK1864" s="73"/>
      <c r="AL1864" s="73"/>
      <c r="AM1864" s="73"/>
      <c r="AN1864" s="73"/>
      <c r="AO1864" s="73"/>
      <c r="AP1864" s="73"/>
      <c r="AQ1864" s="73"/>
      <c r="AR1864" s="73"/>
      <c r="AS1864" s="73"/>
      <c r="AT1864" s="73"/>
      <c r="AU1864" s="73"/>
      <c r="AV1864" s="73"/>
      <c r="AW1864" s="73"/>
      <c r="AX1864" s="73"/>
      <c r="AY1864" s="73"/>
      <c r="AZ1864" s="73"/>
      <c r="BA1864" s="73"/>
      <c r="BB1864" s="73"/>
      <c r="BC1864" s="73"/>
      <c r="BD1864" s="73"/>
      <c r="BE1864" s="73"/>
      <c r="BF1864" s="75"/>
      <c r="BG1864" s="73"/>
      <c r="BH1864" s="88"/>
      <c r="BI1864" s="73"/>
      <c r="BJ1864" s="73"/>
      <c r="BK1864" s="73"/>
      <c r="BL1864" s="73"/>
      <c r="BM1864" s="73"/>
      <c r="BN1864" s="73"/>
      <c r="BO1864" s="73"/>
      <c r="BP1864" s="73"/>
      <c r="BQ1864" s="73"/>
      <c r="BR1864" s="73"/>
      <c r="BS1864" s="73"/>
      <c r="BT1864" s="73"/>
      <c r="BU1864" s="73"/>
      <c r="BV1864" s="73"/>
      <c r="BW1864" s="73"/>
      <c r="BX1864" s="73"/>
      <c r="BY1864" s="73"/>
      <c r="BZ1864" s="73"/>
      <c r="CA1864" s="73"/>
      <c r="CB1864" s="73"/>
      <c r="CC1864" s="73"/>
      <c r="CD1864" s="73"/>
      <c r="CE1864" s="73"/>
      <c r="CF1864" s="73"/>
      <c r="CG1864" s="73"/>
      <c r="CH1864" s="73"/>
    </row>
    <row r="1865">
      <c r="A1865" s="73"/>
      <c r="B1865" s="73"/>
      <c r="C1865" s="73"/>
      <c r="D1865" s="73"/>
      <c r="E1865" s="140"/>
      <c r="F1865" s="80"/>
      <c r="G1865" s="80"/>
      <c r="H1865" s="73"/>
      <c r="I1865" s="73"/>
      <c r="J1865" s="73"/>
      <c r="K1865" s="73"/>
      <c r="L1865" s="73"/>
      <c r="M1865" s="73"/>
      <c r="N1865" s="73"/>
      <c r="O1865" s="73"/>
      <c r="P1865" s="73"/>
      <c r="Q1865" s="73"/>
      <c r="R1865" s="73"/>
      <c r="S1865" s="73"/>
      <c r="T1865" s="73"/>
      <c r="U1865" s="73"/>
      <c r="V1865" s="73"/>
      <c r="W1865" s="73"/>
      <c r="X1865" s="73"/>
      <c r="Y1865" s="73"/>
      <c r="Z1865" s="73"/>
      <c r="AA1865" s="73"/>
      <c r="AB1865" s="73"/>
      <c r="AC1865" s="73"/>
      <c r="AD1865" s="73"/>
      <c r="AE1865" s="73"/>
      <c r="AF1865" s="73"/>
      <c r="AG1865" s="73"/>
      <c r="AH1865" s="73"/>
      <c r="AI1865" s="73"/>
      <c r="AJ1865" s="168"/>
      <c r="AK1865" s="73"/>
      <c r="AL1865" s="73"/>
      <c r="AM1865" s="73"/>
      <c r="AN1865" s="73"/>
      <c r="AO1865" s="73"/>
      <c r="AP1865" s="73"/>
      <c r="AQ1865" s="73"/>
      <c r="AR1865" s="73"/>
      <c r="AS1865" s="73"/>
      <c r="AT1865" s="73"/>
      <c r="AU1865" s="73"/>
      <c r="AV1865" s="73"/>
      <c r="AW1865" s="73"/>
      <c r="AX1865" s="73"/>
      <c r="AY1865" s="73"/>
      <c r="AZ1865" s="73"/>
      <c r="BA1865" s="73"/>
      <c r="BB1865" s="73"/>
      <c r="BC1865" s="73"/>
      <c r="BD1865" s="73"/>
      <c r="BE1865" s="73"/>
      <c r="BF1865" s="75"/>
      <c r="BG1865" s="73"/>
      <c r="BH1865" s="88"/>
      <c r="BI1865" s="73"/>
      <c r="BJ1865" s="73"/>
      <c r="BK1865" s="73"/>
      <c r="BL1865" s="73"/>
      <c r="BM1865" s="73"/>
      <c r="BN1865" s="73"/>
      <c r="BO1865" s="73"/>
      <c r="BP1865" s="73"/>
      <c r="BQ1865" s="73"/>
      <c r="BR1865" s="73"/>
      <c r="BS1865" s="73"/>
      <c r="BT1865" s="73"/>
      <c r="BU1865" s="73"/>
      <c r="BV1865" s="73"/>
      <c r="BW1865" s="73"/>
      <c r="BX1865" s="73"/>
      <c r="BY1865" s="73"/>
      <c r="BZ1865" s="73"/>
      <c r="CA1865" s="73"/>
      <c r="CB1865" s="73"/>
      <c r="CC1865" s="73"/>
      <c r="CD1865" s="73"/>
      <c r="CE1865" s="73"/>
      <c r="CF1865" s="73"/>
      <c r="CG1865" s="73"/>
      <c r="CH1865" s="73"/>
    </row>
    <row r="1866">
      <c r="A1866" s="73"/>
      <c r="B1866" s="73"/>
      <c r="C1866" s="73"/>
      <c r="D1866" s="73"/>
      <c r="E1866" s="140"/>
      <c r="F1866" s="80"/>
      <c r="G1866" s="80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  <c r="S1866" s="73"/>
      <c r="T1866" s="73"/>
      <c r="U1866" s="73"/>
      <c r="V1866" s="73"/>
      <c r="W1866" s="73"/>
      <c r="X1866" s="73"/>
      <c r="Y1866" s="73"/>
      <c r="Z1866" s="73"/>
      <c r="AA1866" s="73"/>
      <c r="AB1866" s="73"/>
      <c r="AC1866" s="73"/>
      <c r="AD1866" s="73"/>
      <c r="AE1866" s="73"/>
      <c r="AF1866" s="73"/>
      <c r="AG1866" s="73"/>
      <c r="AH1866" s="73"/>
      <c r="AI1866" s="73"/>
      <c r="AJ1866" s="168"/>
      <c r="AK1866" s="73"/>
      <c r="AL1866" s="73"/>
      <c r="AM1866" s="73"/>
      <c r="AN1866" s="73"/>
      <c r="AO1866" s="73"/>
      <c r="AP1866" s="73"/>
      <c r="AQ1866" s="73"/>
      <c r="AR1866" s="73"/>
      <c r="AS1866" s="73"/>
      <c r="AT1866" s="73"/>
      <c r="AU1866" s="73"/>
      <c r="AV1866" s="73"/>
      <c r="AW1866" s="73"/>
      <c r="AX1866" s="73"/>
      <c r="AY1866" s="73"/>
      <c r="AZ1866" s="73"/>
      <c r="BA1866" s="73"/>
      <c r="BB1866" s="73"/>
      <c r="BC1866" s="73"/>
      <c r="BD1866" s="73"/>
      <c r="BE1866" s="73"/>
      <c r="BF1866" s="75"/>
      <c r="BG1866" s="73"/>
      <c r="BH1866" s="88"/>
      <c r="BI1866" s="73"/>
      <c r="BJ1866" s="73"/>
      <c r="BK1866" s="73"/>
      <c r="BL1866" s="73"/>
      <c r="BM1866" s="73"/>
      <c r="BN1866" s="73"/>
      <c r="BO1866" s="73"/>
      <c r="BP1866" s="73"/>
      <c r="BQ1866" s="73"/>
      <c r="BR1866" s="73"/>
      <c r="BS1866" s="73"/>
      <c r="BT1866" s="73"/>
      <c r="BU1866" s="73"/>
      <c r="BV1866" s="73"/>
      <c r="BW1866" s="73"/>
      <c r="BX1866" s="73"/>
      <c r="BY1866" s="73"/>
      <c r="BZ1866" s="73"/>
      <c r="CA1866" s="73"/>
      <c r="CB1866" s="73"/>
      <c r="CC1866" s="73"/>
      <c r="CD1866" s="73"/>
      <c r="CE1866" s="73"/>
      <c r="CF1866" s="73"/>
      <c r="CG1866" s="73"/>
      <c r="CH1866" s="73"/>
    </row>
    <row r="1867">
      <c r="A1867" s="73"/>
      <c r="B1867" s="73"/>
      <c r="C1867" s="73"/>
      <c r="D1867" s="73"/>
      <c r="E1867" s="140"/>
      <c r="F1867" s="80"/>
      <c r="G1867" s="80"/>
      <c r="H1867" s="73"/>
      <c r="I1867" s="73"/>
      <c r="J1867" s="73"/>
      <c r="K1867" s="73"/>
      <c r="L1867" s="73"/>
      <c r="M1867" s="73"/>
      <c r="N1867" s="73"/>
      <c r="O1867" s="73"/>
      <c r="P1867" s="73"/>
      <c r="Q1867" s="73"/>
      <c r="R1867" s="73"/>
      <c r="S1867" s="73"/>
      <c r="T1867" s="73"/>
      <c r="U1867" s="73"/>
      <c r="V1867" s="73"/>
      <c r="W1867" s="73"/>
      <c r="X1867" s="73"/>
      <c r="Y1867" s="73"/>
      <c r="Z1867" s="73"/>
      <c r="AA1867" s="73"/>
      <c r="AB1867" s="73"/>
      <c r="AC1867" s="73"/>
      <c r="AD1867" s="73"/>
      <c r="AE1867" s="73"/>
      <c r="AF1867" s="73"/>
      <c r="AG1867" s="73"/>
      <c r="AH1867" s="73"/>
      <c r="AI1867" s="73"/>
      <c r="AJ1867" s="168"/>
      <c r="AK1867" s="73"/>
      <c r="AL1867" s="73"/>
      <c r="AM1867" s="73"/>
      <c r="AN1867" s="73"/>
      <c r="AO1867" s="73"/>
      <c r="AP1867" s="73"/>
      <c r="AQ1867" s="73"/>
      <c r="AR1867" s="73"/>
      <c r="AS1867" s="73"/>
      <c r="AT1867" s="73"/>
      <c r="AU1867" s="73"/>
      <c r="AV1867" s="73"/>
      <c r="AW1867" s="73"/>
      <c r="AX1867" s="73"/>
      <c r="AY1867" s="73"/>
      <c r="AZ1867" s="73"/>
      <c r="BA1867" s="73"/>
      <c r="BB1867" s="73"/>
      <c r="BC1867" s="73"/>
      <c r="BD1867" s="73"/>
      <c r="BE1867" s="73"/>
      <c r="BF1867" s="75"/>
      <c r="BG1867" s="73"/>
      <c r="BH1867" s="88"/>
      <c r="BI1867" s="73"/>
      <c r="BJ1867" s="73"/>
      <c r="BK1867" s="73"/>
      <c r="BL1867" s="73"/>
      <c r="BM1867" s="73"/>
      <c r="BN1867" s="73"/>
      <c r="BO1867" s="73"/>
      <c r="BP1867" s="73"/>
      <c r="BQ1867" s="73"/>
      <c r="BR1867" s="73"/>
      <c r="BS1867" s="73"/>
      <c r="BT1867" s="73"/>
      <c r="BU1867" s="73"/>
      <c r="BV1867" s="73"/>
      <c r="BW1867" s="73"/>
      <c r="BX1867" s="73"/>
      <c r="BY1867" s="73"/>
      <c r="BZ1867" s="73"/>
      <c r="CA1867" s="73"/>
      <c r="CB1867" s="73"/>
      <c r="CC1867" s="73"/>
      <c r="CD1867" s="73"/>
      <c r="CE1867" s="73"/>
      <c r="CF1867" s="73"/>
      <c r="CG1867" s="73"/>
      <c r="CH1867" s="73"/>
    </row>
    <row r="1868">
      <c r="A1868" s="73"/>
      <c r="B1868" s="73"/>
      <c r="C1868" s="73"/>
      <c r="D1868" s="73"/>
      <c r="E1868" s="140"/>
      <c r="F1868" s="80"/>
      <c r="G1868" s="80"/>
      <c r="H1868" s="73"/>
      <c r="I1868" s="73"/>
      <c r="J1868" s="73"/>
      <c r="K1868" s="73"/>
      <c r="L1868" s="73"/>
      <c r="M1868" s="73"/>
      <c r="N1868" s="73"/>
      <c r="O1868" s="73"/>
      <c r="P1868" s="73"/>
      <c r="Q1868" s="73"/>
      <c r="R1868" s="73"/>
      <c r="S1868" s="73"/>
      <c r="T1868" s="73"/>
      <c r="U1868" s="73"/>
      <c r="V1868" s="73"/>
      <c r="W1868" s="73"/>
      <c r="X1868" s="73"/>
      <c r="Y1868" s="73"/>
      <c r="Z1868" s="73"/>
      <c r="AA1868" s="73"/>
      <c r="AB1868" s="73"/>
      <c r="AC1868" s="73"/>
      <c r="AD1868" s="73"/>
      <c r="AE1868" s="73"/>
      <c r="AF1868" s="73"/>
      <c r="AG1868" s="73"/>
      <c r="AH1868" s="73"/>
      <c r="AI1868" s="73"/>
      <c r="AJ1868" s="168"/>
      <c r="AK1868" s="73"/>
      <c r="AL1868" s="73"/>
      <c r="AM1868" s="73"/>
      <c r="AN1868" s="73"/>
      <c r="AO1868" s="73"/>
      <c r="AP1868" s="73"/>
      <c r="AQ1868" s="73"/>
      <c r="AR1868" s="73"/>
      <c r="AS1868" s="73"/>
      <c r="AT1868" s="73"/>
      <c r="AU1868" s="73"/>
      <c r="AV1868" s="73"/>
      <c r="AW1868" s="73"/>
      <c r="AX1868" s="73"/>
      <c r="AY1868" s="73"/>
      <c r="AZ1868" s="73"/>
      <c r="BA1868" s="73"/>
      <c r="BB1868" s="73"/>
      <c r="BC1868" s="73"/>
      <c r="BD1868" s="73"/>
      <c r="BE1868" s="73"/>
      <c r="BF1868" s="75"/>
      <c r="BG1868" s="73"/>
      <c r="BH1868" s="88"/>
      <c r="BI1868" s="73"/>
      <c r="BJ1868" s="73"/>
      <c r="BK1868" s="73"/>
      <c r="BL1868" s="73"/>
      <c r="BM1868" s="73"/>
      <c r="BN1868" s="73"/>
      <c r="BO1868" s="73"/>
      <c r="BP1868" s="73"/>
      <c r="BQ1868" s="73"/>
      <c r="BR1868" s="73"/>
      <c r="BS1868" s="73"/>
      <c r="BT1868" s="73"/>
      <c r="BU1868" s="73"/>
      <c r="BV1868" s="73"/>
      <c r="BW1868" s="73"/>
      <c r="BX1868" s="73"/>
      <c r="BY1868" s="73"/>
      <c r="BZ1868" s="73"/>
      <c r="CA1868" s="73"/>
      <c r="CB1868" s="73"/>
      <c r="CC1868" s="73"/>
      <c r="CD1868" s="73"/>
      <c r="CE1868" s="73"/>
      <c r="CF1868" s="73"/>
      <c r="CG1868" s="73"/>
      <c r="CH1868" s="73"/>
    </row>
    <row r="1869">
      <c r="A1869" s="73"/>
      <c r="B1869" s="73"/>
      <c r="C1869" s="73"/>
      <c r="D1869" s="73"/>
      <c r="E1869" s="140"/>
      <c r="F1869" s="80"/>
      <c r="G1869" s="80"/>
      <c r="H1869" s="73"/>
      <c r="I1869" s="73"/>
      <c r="J1869" s="73"/>
      <c r="K1869" s="73"/>
      <c r="L1869" s="73"/>
      <c r="M1869" s="73"/>
      <c r="N1869" s="73"/>
      <c r="O1869" s="73"/>
      <c r="P1869" s="73"/>
      <c r="Q1869" s="73"/>
      <c r="R1869" s="73"/>
      <c r="S1869" s="73"/>
      <c r="T1869" s="73"/>
      <c r="U1869" s="73"/>
      <c r="V1869" s="73"/>
      <c r="W1869" s="73"/>
      <c r="X1869" s="73"/>
      <c r="Y1869" s="73"/>
      <c r="Z1869" s="73"/>
      <c r="AA1869" s="73"/>
      <c r="AB1869" s="73"/>
      <c r="AC1869" s="73"/>
      <c r="AD1869" s="73"/>
      <c r="AE1869" s="73"/>
      <c r="AF1869" s="73"/>
      <c r="AG1869" s="73"/>
      <c r="AH1869" s="73"/>
      <c r="AI1869" s="73"/>
      <c r="AJ1869" s="168"/>
      <c r="AK1869" s="73"/>
      <c r="AL1869" s="73"/>
      <c r="AM1869" s="73"/>
      <c r="AN1869" s="73"/>
      <c r="AO1869" s="73"/>
      <c r="AP1869" s="73"/>
      <c r="AQ1869" s="73"/>
      <c r="AR1869" s="73"/>
      <c r="AS1869" s="73"/>
      <c r="AT1869" s="73"/>
      <c r="AU1869" s="73"/>
      <c r="AV1869" s="73"/>
      <c r="AW1869" s="73"/>
      <c r="AX1869" s="73"/>
      <c r="AY1869" s="73"/>
      <c r="AZ1869" s="73"/>
      <c r="BA1869" s="73"/>
      <c r="BB1869" s="73"/>
      <c r="BC1869" s="73"/>
      <c r="BD1869" s="73"/>
      <c r="BE1869" s="73"/>
      <c r="BF1869" s="75"/>
      <c r="BG1869" s="73"/>
      <c r="BH1869" s="88"/>
      <c r="BI1869" s="73"/>
      <c r="BJ1869" s="73"/>
      <c r="BK1869" s="73"/>
      <c r="BL1869" s="73"/>
      <c r="BM1869" s="73"/>
      <c r="BN1869" s="73"/>
      <c r="BO1869" s="73"/>
      <c r="BP1869" s="73"/>
      <c r="BQ1869" s="73"/>
      <c r="BR1869" s="73"/>
      <c r="BS1869" s="73"/>
      <c r="BT1869" s="73"/>
      <c r="BU1869" s="73"/>
      <c r="BV1869" s="73"/>
      <c r="BW1869" s="73"/>
      <c r="BX1869" s="73"/>
      <c r="BY1869" s="73"/>
      <c r="BZ1869" s="73"/>
      <c r="CA1869" s="73"/>
      <c r="CB1869" s="73"/>
      <c r="CC1869" s="73"/>
      <c r="CD1869" s="73"/>
      <c r="CE1869" s="73"/>
      <c r="CF1869" s="73"/>
      <c r="CG1869" s="73"/>
      <c r="CH1869" s="73"/>
    </row>
    <row r="1870">
      <c r="A1870" s="73"/>
      <c r="B1870" s="73"/>
      <c r="C1870" s="73"/>
      <c r="D1870" s="73"/>
      <c r="E1870" s="140"/>
      <c r="F1870" s="80"/>
      <c r="G1870" s="80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  <c r="S1870" s="73"/>
      <c r="T1870" s="73"/>
      <c r="U1870" s="73"/>
      <c r="V1870" s="73"/>
      <c r="W1870" s="73"/>
      <c r="X1870" s="73"/>
      <c r="Y1870" s="73"/>
      <c r="Z1870" s="73"/>
      <c r="AA1870" s="73"/>
      <c r="AB1870" s="73"/>
      <c r="AC1870" s="73"/>
      <c r="AD1870" s="73"/>
      <c r="AE1870" s="73"/>
      <c r="AF1870" s="73"/>
      <c r="AG1870" s="73"/>
      <c r="AH1870" s="73"/>
      <c r="AI1870" s="73"/>
      <c r="AJ1870" s="168"/>
      <c r="AK1870" s="73"/>
      <c r="AL1870" s="73"/>
      <c r="AM1870" s="73"/>
      <c r="AN1870" s="73"/>
      <c r="AO1870" s="73"/>
      <c r="AP1870" s="73"/>
      <c r="AQ1870" s="73"/>
      <c r="AR1870" s="73"/>
      <c r="AS1870" s="73"/>
      <c r="AT1870" s="73"/>
      <c r="AU1870" s="73"/>
      <c r="AV1870" s="73"/>
      <c r="AW1870" s="73"/>
      <c r="AX1870" s="73"/>
      <c r="AY1870" s="73"/>
      <c r="AZ1870" s="73"/>
      <c r="BA1870" s="73"/>
      <c r="BB1870" s="73"/>
      <c r="BC1870" s="73"/>
      <c r="BD1870" s="73"/>
      <c r="BE1870" s="73"/>
      <c r="BF1870" s="75"/>
      <c r="BG1870" s="73"/>
      <c r="BH1870" s="88"/>
      <c r="BI1870" s="73"/>
      <c r="BJ1870" s="73"/>
      <c r="BK1870" s="73"/>
      <c r="BL1870" s="73"/>
      <c r="BM1870" s="73"/>
      <c r="BN1870" s="73"/>
      <c r="BO1870" s="73"/>
      <c r="BP1870" s="73"/>
      <c r="BQ1870" s="73"/>
      <c r="BR1870" s="73"/>
      <c r="BS1870" s="73"/>
      <c r="BT1870" s="73"/>
      <c r="BU1870" s="73"/>
      <c r="BV1870" s="73"/>
      <c r="BW1870" s="73"/>
      <c r="BX1870" s="73"/>
      <c r="BY1870" s="73"/>
      <c r="BZ1870" s="73"/>
      <c r="CA1870" s="73"/>
      <c r="CB1870" s="73"/>
      <c r="CC1870" s="73"/>
      <c r="CD1870" s="73"/>
      <c r="CE1870" s="73"/>
      <c r="CF1870" s="73"/>
      <c r="CG1870" s="73"/>
      <c r="CH1870" s="73"/>
    </row>
    <row r="1871">
      <c r="A1871" s="73"/>
      <c r="B1871" s="73"/>
      <c r="C1871" s="73"/>
      <c r="D1871" s="73"/>
      <c r="E1871" s="140"/>
      <c r="F1871" s="80"/>
      <c r="G1871" s="80"/>
      <c r="H1871" s="73"/>
      <c r="I1871" s="73"/>
      <c r="J1871" s="73"/>
      <c r="K1871" s="73"/>
      <c r="L1871" s="73"/>
      <c r="M1871" s="73"/>
      <c r="N1871" s="73"/>
      <c r="O1871" s="73"/>
      <c r="P1871" s="73"/>
      <c r="Q1871" s="73"/>
      <c r="R1871" s="73"/>
      <c r="S1871" s="73"/>
      <c r="T1871" s="73"/>
      <c r="U1871" s="73"/>
      <c r="V1871" s="73"/>
      <c r="W1871" s="73"/>
      <c r="X1871" s="73"/>
      <c r="Y1871" s="73"/>
      <c r="Z1871" s="73"/>
      <c r="AA1871" s="73"/>
      <c r="AB1871" s="73"/>
      <c r="AC1871" s="73"/>
      <c r="AD1871" s="73"/>
      <c r="AE1871" s="73"/>
      <c r="AF1871" s="73"/>
      <c r="AG1871" s="73"/>
      <c r="AH1871" s="73"/>
      <c r="AI1871" s="73"/>
      <c r="AJ1871" s="168"/>
      <c r="AK1871" s="73"/>
      <c r="AL1871" s="73"/>
      <c r="AM1871" s="73"/>
      <c r="AN1871" s="73"/>
      <c r="AO1871" s="73"/>
      <c r="AP1871" s="73"/>
      <c r="AQ1871" s="73"/>
      <c r="AR1871" s="73"/>
      <c r="AS1871" s="73"/>
      <c r="AT1871" s="73"/>
      <c r="AU1871" s="73"/>
      <c r="AV1871" s="73"/>
      <c r="AW1871" s="73"/>
      <c r="AX1871" s="73"/>
      <c r="AY1871" s="73"/>
      <c r="AZ1871" s="73"/>
      <c r="BA1871" s="73"/>
      <c r="BB1871" s="73"/>
      <c r="BC1871" s="73"/>
      <c r="BD1871" s="73"/>
      <c r="BE1871" s="73"/>
      <c r="BF1871" s="75"/>
      <c r="BG1871" s="73"/>
      <c r="BH1871" s="88"/>
      <c r="BI1871" s="73"/>
      <c r="BJ1871" s="73"/>
      <c r="BK1871" s="73"/>
      <c r="BL1871" s="73"/>
      <c r="BM1871" s="73"/>
      <c r="BN1871" s="73"/>
      <c r="BO1871" s="73"/>
      <c r="BP1871" s="73"/>
      <c r="BQ1871" s="73"/>
      <c r="BR1871" s="73"/>
      <c r="BS1871" s="73"/>
      <c r="BT1871" s="73"/>
      <c r="BU1871" s="73"/>
      <c r="BV1871" s="73"/>
      <c r="BW1871" s="73"/>
      <c r="BX1871" s="73"/>
      <c r="BY1871" s="73"/>
      <c r="BZ1871" s="73"/>
      <c r="CA1871" s="73"/>
      <c r="CB1871" s="73"/>
      <c r="CC1871" s="73"/>
      <c r="CD1871" s="73"/>
      <c r="CE1871" s="73"/>
      <c r="CF1871" s="73"/>
      <c r="CG1871" s="73"/>
      <c r="CH1871" s="73"/>
    </row>
    <row r="1872">
      <c r="A1872" s="73"/>
      <c r="B1872" s="73"/>
      <c r="C1872" s="73"/>
      <c r="D1872" s="73"/>
      <c r="E1872" s="140"/>
      <c r="F1872" s="80"/>
      <c r="G1872" s="80"/>
      <c r="H1872" s="73"/>
      <c r="I1872" s="73"/>
      <c r="J1872" s="73"/>
      <c r="K1872" s="73"/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3"/>
      <c r="AD1872" s="73"/>
      <c r="AE1872" s="73"/>
      <c r="AF1872" s="73"/>
      <c r="AG1872" s="73"/>
      <c r="AH1872" s="73"/>
      <c r="AI1872" s="73"/>
      <c r="AJ1872" s="168"/>
      <c r="AK1872" s="73"/>
      <c r="AL1872" s="73"/>
      <c r="AM1872" s="73"/>
      <c r="AN1872" s="73"/>
      <c r="AO1872" s="73"/>
      <c r="AP1872" s="73"/>
      <c r="AQ1872" s="73"/>
      <c r="AR1872" s="73"/>
      <c r="AS1872" s="73"/>
      <c r="AT1872" s="73"/>
      <c r="AU1872" s="73"/>
      <c r="AV1872" s="73"/>
      <c r="AW1872" s="73"/>
      <c r="AX1872" s="73"/>
      <c r="AY1872" s="73"/>
      <c r="AZ1872" s="73"/>
      <c r="BA1872" s="73"/>
      <c r="BB1872" s="73"/>
      <c r="BC1872" s="73"/>
      <c r="BD1872" s="73"/>
      <c r="BE1872" s="73"/>
      <c r="BF1872" s="75"/>
      <c r="BG1872" s="73"/>
      <c r="BH1872" s="88"/>
      <c r="BI1872" s="73"/>
      <c r="BJ1872" s="73"/>
      <c r="BK1872" s="73"/>
      <c r="BL1872" s="73"/>
      <c r="BM1872" s="73"/>
      <c r="BN1872" s="73"/>
      <c r="BO1872" s="73"/>
      <c r="BP1872" s="73"/>
      <c r="BQ1872" s="73"/>
      <c r="BR1872" s="73"/>
      <c r="BS1872" s="73"/>
      <c r="BT1872" s="73"/>
      <c r="BU1872" s="73"/>
      <c r="BV1872" s="73"/>
      <c r="BW1872" s="73"/>
      <c r="BX1872" s="73"/>
      <c r="BY1872" s="73"/>
      <c r="BZ1872" s="73"/>
      <c r="CA1872" s="73"/>
      <c r="CB1872" s="73"/>
      <c r="CC1872" s="73"/>
      <c r="CD1872" s="73"/>
      <c r="CE1872" s="73"/>
      <c r="CF1872" s="73"/>
      <c r="CG1872" s="73"/>
      <c r="CH1872" s="73"/>
    </row>
    <row r="1873">
      <c r="A1873" s="73"/>
      <c r="B1873" s="73"/>
      <c r="C1873" s="73"/>
      <c r="D1873" s="73"/>
      <c r="E1873" s="140"/>
      <c r="F1873" s="80"/>
      <c r="G1873" s="80"/>
      <c r="H1873" s="73"/>
      <c r="I1873" s="73"/>
      <c r="J1873" s="73"/>
      <c r="K1873" s="73"/>
      <c r="L1873" s="73"/>
      <c r="M1873" s="73"/>
      <c r="N1873" s="73"/>
      <c r="O1873" s="73"/>
      <c r="P1873" s="73"/>
      <c r="Q1873" s="73"/>
      <c r="R1873" s="73"/>
      <c r="S1873" s="73"/>
      <c r="T1873" s="73"/>
      <c r="U1873" s="73"/>
      <c r="V1873" s="73"/>
      <c r="W1873" s="73"/>
      <c r="X1873" s="73"/>
      <c r="Y1873" s="73"/>
      <c r="Z1873" s="73"/>
      <c r="AA1873" s="73"/>
      <c r="AB1873" s="73"/>
      <c r="AC1873" s="73"/>
      <c r="AD1873" s="73"/>
      <c r="AE1873" s="73"/>
      <c r="AF1873" s="73"/>
      <c r="AG1873" s="73"/>
      <c r="AH1873" s="73"/>
      <c r="AI1873" s="73"/>
      <c r="AJ1873" s="168"/>
      <c r="AK1873" s="73"/>
      <c r="AL1873" s="73"/>
      <c r="AM1873" s="73"/>
      <c r="AN1873" s="73"/>
      <c r="AO1873" s="73"/>
      <c r="AP1873" s="73"/>
      <c r="AQ1873" s="73"/>
      <c r="AR1873" s="73"/>
      <c r="AS1873" s="73"/>
      <c r="AT1873" s="73"/>
      <c r="AU1873" s="73"/>
      <c r="AV1873" s="73"/>
      <c r="AW1873" s="73"/>
      <c r="AX1873" s="73"/>
      <c r="AY1873" s="73"/>
      <c r="AZ1873" s="73"/>
      <c r="BA1873" s="73"/>
      <c r="BB1873" s="73"/>
      <c r="BC1873" s="73"/>
      <c r="BD1873" s="73"/>
      <c r="BE1873" s="73"/>
      <c r="BF1873" s="75"/>
      <c r="BG1873" s="73"/>
      <c r="BH1873" s="88"/>
      <c r="BI1873" s="73"/>
      <c r="BJ1873" s="73"/>
      <c r="BK1873" s="73"/>
      <c r="BL1873" s="73"/>
      <c r="BM1873" s="73"/>
      <c r="BN1873" s="73"/>
      <c r="BO1873" s="73"/>
      <c r="BP1873" s="73"/>
      <c r="BQ1873" s="73"/>
      <c r="BR1873" s="73"/>
      <c r="BS1873" s="73"/>
      <c r="BT1873" s="73"/>
      <c r="BU1873" s="73"/>
      <c r="BV1873" s="73"/>
      <c r="BW1873" s="73"/>
      <c r="BX1873" s="73"/>
      <c r="BY1873" s="73"/>
      <c r="BZ1873" s="73"/>
      <c r="CA1873" s="73"/>
      <c r="CB1873" s="73"/>
      <c r="CC1873" s="73"/>
      <c r="CD1873" s="73"/>
      <c r="CE1873" s="73"/>
      <c r="CF1873" s="73"/>
      <c r="CG1873" s="73"/>
      <c r="CH1873" s="73"/>
    </row>
    <row r="1874">
      <c r="A1874" s="73"/>
      <c r="B1874" s="73"/>
      <c r="C1874" s="73"/>
      <c r="D1874" s="73"/>
      <c r="E1874" s="140"/>
      <c r="F1874" s="80"/>
      <c r="G1874" s="80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  <c r="S1874" s="73"/>
      <c r="T1874" s="73"/>
      <c r="U1874" s="73"/>
      <c r="V1874" s="73"/>
      <c r="W1874" s="73"/>
      <c r="X1874" s="73"/>
      <c r="Y1874" s="73"/>
      <c r="Z1874" s="73"/>
      <c r="AA1874" s="73"/>
      <c r="AB1874" s="73"/>
      <c r="AC1874" s="73"/>
      <c r="AD1874" s="73"/>
      <c r="AE1874" s="73"/>
      <c r="AF1874" s="73"/>
      <c r="AG1874" s="73"/>
      <c r="AH1874" s="73"/>
      <c r="AI1874" s="73"/>
      <c r="AJ1874" s="168"/>
      <c r="AK1874" s="73"/>
      <c r="AL1874" s="73"/>
      <c r="AM1874" s="73"/>
      <c r="AN1874" s="73"/>
      <c r="AO1874" s="73"/>
      <c r="AP1874" s="73"/>
      <c r="AQ1874" s="73"/>
      <c r="AR1874" s="73"/>
      <c r="AS1874" s="73"/>
      <c r="AT1874" s="73"/>
      <c r="AU1874" s="73"/>
      <c r="AV1874" s="73"/>
      <c r="AW1874" s="73"/>
      <c r="AX1874" s="73"/>
      <c r="AY1874" s="73"/>
      <c r="AZ1874" s="73"/>
      <c r="BA1874" s="73"/>
      <c r="BB1874" s="73"/>
      <c r="BC1874" s="73"/>
      <c r="BD1874" s="73"/>
      <c r="BE1874" s="73"/>
      <c r="BF1874" s="75"/>
      <c r="BG1874" s="73"/>
      <c r="BH1874" s="88"/>
      <c r="BI1874" s="73"/>
      <c r="BJ1874" s="73"/>
      <c r="BK1874" s="73"/>
      <c r="BL1874" s="73"/>
      <c r="BM1874" s="73"/>
      <c r="BN1874" s="73"/>
      <c r="BO1874" s="73"/>
      <c r="BP1874" s="73"/>
      <c r="BQ1874" s="73"/>
      <c r="BR1874" s="73"/>
      <c r="BS1874" s="73"/>
      <c r="BT1874" s="73"/>
      <c r="BU1874" s="73"/>
      <c r="BV1874" s="73"/>
      <c r="BW1874" s="73"/>
      <c r="BX1874" s="73"/>
      <c r="BY1874" s="73"/>
      <c r="BZ1874" s="73"/>
      <c r="CA1874" s="73"/>
      <c r="CB1874" s="73"/>
      <c r="CC1874" s="73"/>
      <c r="CD1874" s="73"/>
      <c r="CE1874" s="73"/>
      <c r="CF1874" s="73"/>
      <c r="CG1874" s="73"/>
      <c r="CH1874" s="73"/>
    </row>
    <row r="1875">
      <c r="A1875" s="73"/>
      <c r="B1875" s="73"/>
      <c r="C1875" s="73"/>
      <c r="D1875" s="73"/>
      <c r="E1875" s="140"/>
      <c r="F1875" s="80"/>
      <c r="G1875" s="80"/>
      <c r="H1875" s="73"/>
      <c r="I1875" s="73"/>
      <c r="J1875" s="73"/>
      <c r="K1875" s="73"/>
      <c r="L1875" s="73"/>
      <c r="M1875" s="73"/>
      <c r="N1875" s="73"/>
      <c r="O1875" s="73"/>
      <c r="P1875" s="73"/>
      <c r="Q1875" s="73"/>
      <c r="R1875" s="73"/>
      <c r="S1875" s="73"/>
      <c r="T1875" s="73"/>
      <c r="U1875" s="73"/>
      <c r="V1875" s="73"/>
      <c r="W1875" s="73"/>
      <c r="X1875" s="73"/>
      <c r="Y1875" s="73"/>
      <c r="Z1875" s="73"/>
      <c r="AA1875" s="73"/>
      <c r="AB1875" s="73"/>
      <c r="AC1875" s="73"/>
      <c r="AD1875" s="73"/>
      <c r="AE1875" s="73"/>
      <c r="AF1875" s="73"/>
      <c r="AG1875" s="73"/>
      <c r="AH1875" s="73"/>
      <c r="AI1875" s="73"/>
      <c r="AJ1875" s="168"/>
      <c r="AK1875" s="73"/>
      <c r="AL1875" s="73"/>
      <c r="AM1875" s="73"/>
      <c r="AN1875" s="73"/>
      <c r="AO1875" s="73"/>
      <c r="AP1875" s="73"/>
      <c r="AQ1875" s="73"/>
      <c r="AR1875" s="73"/>
      <c r="AS1875" s="73"/>
      <c r="AT1875" s="73"/>
      <c r="AU1875" s="73"/>
      <c r="AV1875" s="73"/>
      <c r="AW1875" s="73"/>
      <c r="AX1875" s="73"/>
      <c r="AY1875" s="73"/>
      <c r="AZ1875" s="73"/>
      <c r="BA1875" s="73"/>
      <c r="BB1875" s="73"/>
      <c r="BC1875" s="73"/>
      <c r="BD1875" s="73"/>
      <c r="BE1875" s="73"/>
      <c r="BF1875" s="75"/>
      <c r="BG1875" s="73"/>
      <c r="BH1875" s="88"/>
      <c r="BI1875" s="73"/>
      <c r="BJ1875" s="73"/>
      <c r="BK1875" s="73"/>
      <c r="BL1875" s="73"/>
      <c r="BM1875" s="73"/>
      <c r="BN1875" s="73"/>
      <c r="BO1875" s="73"/>
      <c r="BP1875" s="73"/>
      <c r="BQ1875" s="73"/>
      <c r="BR1875" s="73"/>
      <c r="BS1875" s="73"/>
      <c r="BT1875" s="73"/>
      <c r="BU1875" s="73"/>
      <c r="BV1875" s="73"/>
      <c r="BW1875" s="73"/>
      <c r="BX1875" s="73"/>
      <c r="BY1875" s="73"/>
      <c r="BZ1875" s="73"/>
      <c r="CA1875" s="73"/>
      <c r="CB1875" s="73"/>
      <c r="CC1875" s="73"/>
      <c r="CD1875" s="73"/>
      <c r="CE1875" s="73"/>
      <c r="CF1875" s="73"/>
      <c r="CG1875" s="73"/>
      <c r="CH1875" s="73"/>
    </row>
    <row r="1876">
      <c r="A1876" s="73"/>
      <c r="B1876" s="73"/>
      <c r="C1876" s="73"/>
      <c r="D1876" s="73"/>
      <c r="E1876" s="140"/>
      <c r="F1876" s="80"/>
      <c r="G1876" s="80"/>
      <c r="H1876" s="73"/>
      <c r="I1876" s="73"/>
      <c r="J1876" s="73"/>
      <c r="K1876" s="73"/>
      <c r="L1876" s="73"/>
      <c r="M1876" s="73"/>
      <c r="N1876" s="73"/>
      <c r="O1876" s="73"/>
      <c r="P1876" s="73"/>
      <c r="Q1876" s="73"/>
      <c r="R1876" s="73"/>
      <c r="S1876" s="73"/>
      <c r="T1876" s="73"/>
      <c r="U1876" s="73"/>
      <c r="V1876" s="73"/>
      <c r="W1876" s="73"/>
      <c r="X1876" s="73"/>
      <c r="Y1876" s="73"/>
      <c r="Z1876" s="73"/>
      <c r="AA1876" s="73"/>
      <c r="AB1876" s="73"/>
      <c r="AC1876" s="73"/>
      <c r="AD1876" s="73"/>
      <c r="AE1876" s="73"/>
      <c r="AF1876" s="73"/>
      <c r="AG1876" s="73"/>
      <c r="AH1876" s="73"/>
      <c r="AI1876" s="73"/>
      <c r="AJ1876" s="168"/>
      <c r="AK1876" s="73"/>
      <c r="AL1876" s="73"/>
      <c r="AM1876" s="73"/>
      <c r="AN1876" s="73"/>
      <c r="AO1876" s="73"/>
      <c r="AP1876" s="73"/>
      <c r="AQ1876" s="73"/>
      <c r="AR1876" s="73"/>
      <c r="AS1876" s="73"/>
      <c r="AT1876" s="73"/>
      <c r="AU1876" s="73"/>
      <c r="AV1876" s="73"/>
      <c r="AW1876" s="73"/>
      <c r="AX1876" s="73"/>
      <c r="AY1876" s="73"/>
      <c r="AZ1876" s="73"/>
      <c r="BA1876" s="73"/>
      <c r="BB1876" s="73"/>
      <c r="BC1876" s="73"/>
      <c r="BD1876" s="73"/>
      <c r="BE1876" s="73"/>
      <c r="BF1876" s="75"/>
      <c r="BG1876" s="73"/>
      <c r="BH1876" s="88"/>
      <c r="BI1876" s="73"/>
      <c r="BJ1876" s="73"/>
      <c r="BK1876" s="73"/>
      <c r="BL1876" s="73"/>
      <c r="BM1876" s="73"/>
      <c r="BN1876" s="73"/>
      <c r="BO1876" s="73"/>
      <c r="BP1876" s="73"/>
      <c r="BQ1876" s="73"/>
      <c r="BR1876" s="73"/>
      <c r="BS1876" s="73"/>
      <c r="BT1876" s="73"/>
      <c r="BU1876" s="73"/>
      <c r="BV1876" s="73"/>
      <c r="BW1876" s="73"/>
      <c r="BX1876" s="73"/>
      <c r="BY1876" s="73"/>
      <c r="BZ1876" s="73"/>
      <c r="CA1876" s="73"/>
      <c r="CB1876" s="73"/>
      <c r="CC1876" s="73"/>
      <c r="CD1876" s="73"/>
      <c r="CE1876" s="73"/>
      <c r="CF1876" s="73"/>
      <c r="CG1876" s="73"/>
      <c r="CH1876" s="73"/>
    </row>
    <row r="1877">
      <c r="A1877" s="73"/>
      <c r="B1877" s="73"/>
      <c r="C1877" s="73"/>
      <c r="D1877" s="73"/>
      <c r="E1877" s="140"/>
      <c r="F1877" s="80"/>
      <c r="G1877" s="80"/>
      <c r="H1877" s="73"/>
      <c r="I1877" s="73"/>
      <c r="J1877" s="73"/>
      <c r="K1877" s="73"/>
      <c r="L1877" s="73"/>
      <c r="M1877" s="73"/>
      <c r="N1877" s="73"/>
      <c r="O1877" s="73"/>
      <c r="P1877" s="73"/>
      <c r="Q1877" s="73"/>
      <c r="R1877" s="73"/>
      <c r="S1877" s="73"/>
      <c r="T1877" s="73"/>
      <c r="U1877" s="73"/>
      <c r="V1877" s="73"/>
      <c r="W1877" s="73"/>
      <c r="X1877" s="73"/>
      <c r="Y1877" s="73"/>
      <c r="Z1877" s="73"/>
      <c r="AA1877" s="73"/>
      <c r="AB1877" s="73"/>
      <c r="AC1877" s="73"/>
      <c r="AD1877" s="73"/>
      <c r="AE1877" s="73"/>
      <c r="AF1877" s="73"/>
      <c r="AG1877" s="73"/>
      <c r="AH1877" s="73"/>
      <c r="AI1877" s="73"/>
      <c r="AJ1877" s="168"/>
      <c r="AK1877" s="73"/>
      <c r="AL1877" s="73"/>
      <c r="AM1877" s="73"/>
      <c r="AN1877" s="73"/>
      <c r="AO1877" s="73"/>
      <c r="AP1877" s="73"/>
      <c r="AQ1877" s="73"/>
      <c r="AR1877" s="73"/>
      <c r="AS1877" s="73"/>
      <c r="AT1877" s="73"/>
      <c r="AU1877" s="73"/>
      <c r="AV1877" s="73"/>
      <c r="AW1877" s="73"/>
      <c r="AX1877" s="73"/>
      <c r="AY1877" s="73"/>
      <c r="AZ1877" s="73"/>
      <c r="BA1877" s="73"/>
      <c r="BB1877" s="73"/>
      <c r="BC1877" s="73"/>
      <c r="BD1877" s="73"/>
      <c r="BE1877" s="73"/>
      <c r="BF1877" s="75"/>
      <c r="BG1877" s="73"/>
      <c r="BH1877" s="88"/>
      <c r="BI1877" s="73"/>
      <c r="BJ1877" s="73"/>
      <c r="BK1877" s="73"/>
      <c r="BL1877" s="73"/>
      <c r="BM1877" s="73"/>
      <c r="BN1877" s="73"/>
      <c r="BO1877" s="73"/>
      <c r="BP1877" s="73"/>
      <c r="BQ1877" s="73"/>
      <c r="BR1877" s="73"/>
      <c r="BS1877" s="73"/>
      <c r="BT1877" s="73"/>
      <c r="BU1877" s="73"/>
      <c r="BV1877" s="73"/>
      <c r="BW1877" s="73"/>
      <c r="BX1877" s="73"/>
      <c r="BY1877" s="73"/>
      <c r="BZ1877" s="73"/>
      <c r="CA1877" s="73"/>
      <c r="CB1877" s="73"/>
      <c r="CC1877" s="73"/>
      <c r="CD1877" s="73"/>
      <c r="CE1877" s="73"/>
      <c r="CF1877" s="73"/>
      <c r="CG1877" s="73"/>
      <c r="CH1877" s="73"/>
    </row>
    <row r="1878">
      <c r="A1878" s="73"/>
      <c r="B1878" s="73"/>
      <c r="C1878" s="73"/>
      <c r="D1878" s="73"/>
      <c r="E1878" s="140"/>
      <c r="F1878" s="80"/>
      <c r="G1878" s="80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  <c r="S1878" s="73"/>
      <c r="T1878" s="73"/>
      <c r="U1878" s="73"/>
      <c r="V1878" s="73"/>
      <c r="W1878" s="73"/>
      <c r="X1878" s="73"/>
      <c r="Y1878" s="73"/>
      <c r="Z1878" s="73"/>
      <c r="AA1878" s="73"/>
      <c r="AB1878" s="73"/>
      <c r="AC1878" s="73"/>
      <c r="AD1878" s="73"/>
      <c r="AE1878" s="73"/>
      <c r="AF1878" s="73"/>
      <c r="AG1878" s="73"/>
      <c r="AH1878" s="73"/>
      <c r="AI1878" s="73"/>
      <c r="AJ1878" s="168"/>
      <c r="AK1878" s="73"/>
      <c r="AL1878" s="73"/>
      <c r="AM1878" s="73"/>
      <c r="AN1878" s="73"/>
      <c r="AO1878" s="73"/>
      <c r="AP1878" s="73"/>
      <c r="AQ1878" s="73"/>
      <c r="AR1878" s="73"/>
      <c r="AS1878" s="73"/>
      <c r="AT1878" s="73"/>
      <c r="AU1878" s="73"/>
      <c r="AV1878" s="73"/>
      <c r="AW1878" s="73"/>
      <c r="AX1878" s="73"/>
      <c r="AY1878" s="73"/>
      <c r="AZ1878" s="73"/>
      <c r="BA1878" s="73"/>
      <c r="BB1878" s="73"/>
      <c r="BC1878" s="73"/>
      <c r="BD1878" s="73"/>
      <c r="BE1878" s="73"/>
      <c r="BF1878" s="75"/>
      <c r="BG1878" s="73"/>
      <c r="BH1878" s="88"/>
      <c r="BI1878" s="73"/>
      <c r="BJ1878" s="73"/>
      <c r="BK1878" s="73"/>
      <c r="BL1878" s="73"/>
      <c r="BM1878" s="73"/>
      <c r="BN1878" s="73"/>
      <c r="BO1878" s="73"/>
      <c r="BP1878" s="73"/>
      <c r="BQ1878" s="73"/>
      <c r="BR1878" s="73"/>
      <c r="BS1878" s="73"/>
      <c r="BT1878" s="73"/>
      <c r="BU1878" s="73"/>
      <c r="BV1878" s="73"/>
      <c r="BW1878" s="73"/>
      <c r="BX1878" s="73"/>
      <c r="BY1878" s="73"/>
      <c r="BZ1878" s="73"/>
      <c r="CA1878" s="73"/>
      <c r="CB1878" s="73"/>
      <c r="CC1878" s="73"/>
      <c r="CD1878" s="73"/>
      <c r="CE1878" s="73"/>
      <c r="CF1878" s="73"/>
      <c r="CG1878" s="73"/>
      <c r="CH1878" s="73"/>
    </row>
    <row r="1879">
      <c r="A1879" s="73"/>
      <c r="B1879" s="73"/>
      <c r="C1879" s="73"/>
      <c r="D1879" s="73"/>
      <c r="E1879" s="140"/>
      <c r="F1879" s="80"/>
      <c r="G1879" s="80"/>
      <c r="H1879" s="73"/>
      <c r="I1879" s="73"/>
      <c r="J1879" s="73"/>
      <c r="K1879" s="73"/>
      <c r="L1879" s="73"/>
      <c r="M1879" s="73"/>
      <c r="N1879" s="73"/>
      <c r="O1879" s="73"/>
      <c r="P1879" s="73"/>
      <c r="Q1879" s="73"/>
      <c r="R1879" s="73"/>
      <c r="S1879" s="73"/>
      <c r="T1879" s="73"/>
      <c r="U1879" s="73"/>
      <c r="V1879" s="73"/>
      <c r="W1879" s="73"/>
      <c r="X1879" s="73"/>
      <c r="Y1879" s="73"/>
      <c r="Z1879" s="73"/>
      <c r="AA1879" s="73"/>
      <c r="AB1879" s="73"/>
      <c r="AC1879" s="73"/>
      <c r="AD1879" s="73"/>
      <c r="AE1879" s="73"/>
      <c r="AF1879" s="73"/>
      <c r="AG1879" s="73"/>
      <c r="AH1879" s="73"/>
      <c r="AI1879" s="73"/>
      <c r="AJ1879" s="168"/>
      <c r="AK1879" s="73"/>
      <c r="AL1879" s="73"/>
      <c r="AM1879" s="73"/>
      <c r="AN1879" s="73"/>
      <c r="AO1879" s="73"/>
      <c r="AP1879" s="73"/>
      <c r="AQ1879" s="73"/>
      <c r="AR1879" s="73"/>
      <c r="AS1879" s="73"/>
      <c r="AT1879" s="73"/>
      <c r="AU1879" s="73"/>
      <c r="AV1879" s="73"/>
      <c r="AW1879" s="73"/>
      <c r="AX1879" s="73"/>
      <c r="AY1879" s="73"/>
      <c r="AZ1879" s="73"/>
      <c r="BA1879" s="73"/>
      <c r="BB1879" s="73"/>
      <c r="BC1879" s="73"/>
      <c r="BD1879" s="73"/>
      <c r="BE1879" s="73"/>
      <c r="BF1879" s="75"/>
      <c r="BG1879" s="73"/>
      <c r="BH1879" s="88"/>
      <c r="BI1879" s="73"/>
      <c r="BJ1879" s="73"/>
      <c r="BK1879" s="73"/>
      <c r="BL1879" s="73"/>
      <c r="BM1879" s="73"/>
      <c r="BN1879" s="73"/>
      <c r="BO1879" s="73"/>
      <c r="BP1879" s="73"/>
      <c r="BQ1879" s="73"/>
      <c r="BR1879" s="73"/>
      <c r="BS1879" s="73"/>
      <c r="BT1879" s="73"/>
      <c r="BU1879" s="73"/>
      <c r="BV1879" s="73"/>
      <c r="BW1879" s="73"/>
      <c r="BX1879" s="73"/>
      <c r="BY1879" s="73"/>
      <c r="BZ1879" s="73"/>
      <c r="CA1879" s="73"/>
      <c r="CB1879" s="73"/>
      <c r="CC1879" s="73"/>
      <c r="CD1879" s="73"/>
      <c r="CE1879" s="73"/>
      <c r="CF1879" s="73"/>
      <c r="CG1879" s="73"/>
      <c r="CH1879" s="73"/>
    </row>
    <row r="1880">
      <c r="A1880" s="73"/>
      <c r="B1880" s="73"/>
      <c r="C1880" s="73"/>
      <c r="D1880" s="73"/>
      <c r="E1880" s="140"/>
      <c r="F1880" s="80"/>
      <c r="G1880" s="80"/>
      <c r="H1880" s="73"/>
      <c r="I1880" s="73"/>
      <c r="J1880" s="73"/>
      <c r="K1880" s="73"/>
      <c r="L1880" s="73"/>
      <c r="M1880" s="73"/>
      <c r="N1880" s="73"/>
      <c r="O1880" s="73"/>
      <c r="P1880" s="73"/>
      <c r="Q1880" s="73"/>
      <c r="R1880" s="73"/>
      <c r="S1880" s="73"/>
      <c r="T1880" s="73"/>
      <c r="U1880" s="73"/>
      <c r="V1880" s="73"/>
      <c r="W1880" s="73"/>
      <c r="X1880" s="73"/>
      <c r="Y1880" s="73"/>
      <c r="Z1880" s="73"/>
      <c r="AA1880" s="73"/>
      <c r="AB1880" s="73"/>
      <c r="AC1880" s="73"/>
      <c r="AD1880" s="73"/>
      <c r="AE1880" s="73"/>
      <c r="AF1880" s="73"/>
      <c r="AG1880" s="73"/>
      <c r="AH1880" s="73"/>
      <c r="AI1880" s="73"/>
      <c r="AJ1880" s="168"/>
      <c r="AK1880" s="73"/>
      <c r="AL1880" s="73"/>
      <c r="AM1880" s="73"/>
      <c r="AN1880" s="73"/>
      <c r="AO1880" s="73"/>
      <c r="AP1880" s="73"/>
      <c r="AQ1880" s="73"/>
      <c r="AR1880" s="73"/>
      <c r="AS1880" s="73"/>
      <c r="AT1880" s="73"/>
      <c r="AU1880" s="73"/>
      <c r="AV1880" s="73"/>
      <c r="AW1880" s="73"/>
      <c r="AX1880" s="73"/>
      <c r="AY1880" s="73"/>
      <c r="AZ1880" s="73"/>
      <c r="BA1880" s="73"/>
      <c r="BB1880" s="73"/>
      <c r="BC1880" s="73"/>
      <c r="BD1880" s="73"/>
      <c r="BE1880" s="73"/>
      <c r="BF1880" s="75"/>
      <c r="BG1880" s="73"/>
      <c r="BH1880" s="88"/>
      <c r="BI1880" s="73"/>
      <c r="BJ1880" s="73"/>
      <c r="BK1880" s="73"/>
      <c r="BL1880" s="73"/>
      <c r="BM1880" s="73"/>
      <c r="BN1880" s="73"/>
      <c r="BO1880" s="73"/>
      <c r="BP1880" s="73"/>
      <c r="BQ1880" s="73"/>
      <c r="BR1880" s="73"/>
      <c r="BS1880" s="73"/>
      <c r="BT1880" s="73"/>
      <c r="BU1880" s="73"/>
      <c r="BV1880" s="73"/>
      <c r="BW1880" s="73"/>
      <c r="BX1880" s="73"/>
      <c r="BY1880" s="73"/>
      <c r="BZ1880" s="73"/>
      <c r="CA1880" s="73"/>
      <c r="CB1880" s="73"/>
      <c r="CC1880" s="73"/>
      <c r="CD1880" s="73"/>
      <c r="CE1880" s="73"/>
      <c r="CF1880" s="73"/>
      <c r="CG1880" s="73"/>
      <c r="CH1880" s="73"/>
    </row>
    <row r="1881">
      <c r="A1881" s="73"/>
      <c r="B1881" s="73"/>
      <c r="C1881" s="73"/>
      <c r="D1881" s="73"/>
      <c r="E1881" s="140"/>
      <c r="F1881" s="80"/>
      <c r="G1881" s="80"/>
      <c r="H1881" s="73"/>
      <c r="I1881" s="73"/>
      <c r="J1881" s="73"/>
      <c r="K1881" s="73"/>
      <c r="L1881" s="73"/>
      <c r="M1881" s="73"/>
      <c r="N1881" s="73"/>
      <c r="O1881" s="73"/>
      <c r="P1881" s="73"/>
      <c r="Q1881" s="73"/>
      <c r="R1881" s="73"/>
      <c r="S1881" s="73"/>
      <c r="T1881" s="73"/>
      <c r="U1881" s="73"/>
      <c r="V1881" s="73"/>
      <c r="W1881" s="73"/>
      <c r="X1881" s="73"/>
      <c r="Y1881" s="73"/>
      <c r="Z1881" s="73"/>
      <c r="AA1881" s="73"/>
      <c r="AB1881" s="73"/>
      <c r="AC1881" s="73"/>
      <c r="AD1881" s="73"/>
      <c r="AE1881" s="73"/>
      <c r="AF1881" s="73"/>
      <c r="AG1881" s="73"/>
      <c r="AH1881" s="73"/>
      <c r="AI1881" s="73"/>
      <c r="AJ1881" s="168"/>
      <c r="AK1881" s="73"/>
      <c r="AL1881" s="73"/>
      <c r="AM1881" s="73"/>
      <c r="AN1881" s="73"/>
      <c r="AO1881" s="73"/>
      <c r="AP1881" s="73"/>
      <c r="AQ1881" s="73"/>
      <c r="AR1881" s="73"/>
      <c r="AS1881" s="73"/>
      <c r="AT1881" s="73"/>
      <c r="AU1881" s="73"/>
      <c r="AV1881" s="73"/>
      <c r="AW1881" s="73"/>
      <c r="AX1881" s="73"/>
      <c r="AY1881" s="73"/>
      <c r="AZ1881" s="73"/>
      <c r="BA1881" s="73"/>
      <c r="BB1881" s="73"/>
      <c r="BC1881" s="73"/>
      <c r="BD1881" s="73"/>
      <c r="BE1881" s="73"/>
      <c r="BF1881" s="75"/>
      <c r="BG1881" s="73"/>
      <c r="BH1881" s="88"/>
      <c r="BI1881" s="73"/>
      <c r="BJ1881" s="73"/>
      <c r="BK1881" s="73"/>
      <c r="BL1881" s="73"/>
      <c r="BM1881" s="73"/>
      <c r="BN1881" s="73"/>
      <c r="BO1881" s="73"/>
      <c r="BP1881" s="73"/>
      <c r="BQ1881" s="73"/>
      <c r="BR1881" s="73"/>
      <c r="BS1881" s="73"/>
      <c r="BT1881" s="73"/>
      <c r="BU1881" s="73"/>
      <c r="BV1881" s="73"/>
      <c r="BW1881" s="73"/>
      <c r="BX1881" s="73"/>
      <c r="BY1881" s="73"/>
      <c r="BZ1881" s="73"/>
      <c r="CA1881" s="73"/>
      <c r="CB1881" s="73"/>
      <c r="CC1881" s="73"/>
      <c r="CD1881" s="73"/>
      <c r="CE1881" s="73"/>
      <c r="CF1881" s="73"/>
      <c r="CG1881" s="73"/>
      <c r="CH1881" s="73"/>
    </row>
    <row r="1882">
      <c r="A1882" s="73"/>
      <c r="B1882" s="73"/>
      <c r="C1882" s="73"/>
      <c r="D1882" s="73"/>
      <c r="E1882" s="140"/>
      <c r="F1882" s="80"/>
      <c r="G1882" s="80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  <c r="S1882" s="73"/>
      <c r="T1882" s="73"/>
      <c r="U1882" s="73"/>
      <c r="V1882" s="73"/>
      <c r="W1882" s="73"/>
      <c r="X1882" s="73"/>
      <c r="Y1882" s="73"/>
      <c r="Z1882" s="73"/>
      <c r="AA1882" s="73"/>
      <c r="AB1882" s="73"/>
      <c r="AC1882" s="73"/>
      <c r="AD1882" s="73"/>
      <c r="AE1882" s="73"/>
      <c r="AF1882" s="73"/>
      <c r="AG1882" s="73"/>
      <c r="AH1882" s="73"/>
      <c r="AI1882" s="73"/>
      <c r="AJ1882" s="168"/>
      <c r="AK1882" s="73"/>
      <c r="AL1882" s="73"/>
      <c r="AM1882" s="73"/>
      <c r="AN1882" s="73"/>
      <c r="AO1882" s="73"/>
      <c r="AP1882" s="73"/>
      <c r="AQ1882" s="73"/>
      <c r="AR1882" s="73"/>
      <c r="AS1882" s="73"/>
      <c r="AT1882" s="73"/>
      <c r="AU1882" s="73"/>
      <c r="AV1882" s="73"/>
      <c r="AW1882" s="73"/>
      <c r="AX1882" s="73"/>
      <c r="AY1882" s="73"/>
      <c r="AZ1882" s="73"/>
      <c r="BA1882" s="73"/>
      <c r="BB1882" s="73"/>
      <c r="BC1882" s="73"/>
      <c r="BD1882" s="73"/>
      <c r="BE1882" s="73"/>
      <c r="BF1882" s="75"/>
      <c r="BG1882" s="73"/>
      <c r="BH1882" s="88"/>
      <c r="BI1882" s="73"/>
      <c r="BJ1882" s="73"/>
      <c r="BK1882" s="73"/>
      <c r="BL1882" s="73"/>
      <c r="BM1882" s="73"/>
      <c r="BN1882" s="73"/>
      <c r="BO1882" s="73"/>
      <c r="BP1882" s="73"/>
      <c r="BQ1882" s="73"/>
      <c r="BR1882" s="73"/>
      <c r="BS1882" s="73"/>
      <c r="BT1882" s="73"/>
      <c r="BU1882" s="73"/>
      <c r="BV1882" s="73"/>
      <c r="BW1882" s="73"/>
      <c r="BX1882" s="73"/>
      <c r="BY1882" s="73"/>
      <c r="BZ1882" s="73"/>
      <c r="CA1882" s="73"/>
      <c r="CB1882" s="73"/>
      <c r="CC1882" s="73"/>
      <c r="CD1882" s="73"/>
      <c r="CE1882" s="73"/>
      <c r="CF1882" s="73"/>
      <c r="CG1882" s="73"/>
      <c r="CH1882" s="73"/>
    </row>
    <row r="1883">
      <c r="A1883" s="73"/>
      <c r="B1883" s="73"/>
      <c r="C1883" s="73"/>
      <c r="D1883" s="73"/>
      <c r="E1883" s="140"/>
      <c r="F1883" s="80"/>
      <c r="G1883" s="80"/>
      <c r="H1883" s="73"/>
      <c r="I1883" s="73"/>
      <c r="J1883" s="73"/>
      <c r="K1883" s="73"/>
      <c r="L1883" s="73"/>
      <c r="M1883" s="73"/>
      <c r="N1883" s="73"/>
      <c r="O1883" s="73"/>
      <c r="P1883" s="73"/>
      <c r="Q1883" s="73"/>
      <c r="R1883" s="73"/>
      <c r="S1883" s="73"/>
      <c r="T1883" s="73"/>
      <c r="U1883" s="73"/>
      <c r="V1883" s="73"/>
      <c r="W1883" s="73"/>
      <c r="X1883" s="73"/>
      <c r="Y1883" s="73"/>
      <c r="Z1883" s="73"/>
      <c r="AA1883" s="73"/>
      <c r="AB1883" s="73"/>
      <c r="AC1883" s="73"/>
      <c r="AD1883" s="73"/>
      <c r="AE1883" s="73"/>
      <c r="AF1883" s="73"/>
      <c r="AG1883" s="73"/>
      <c r="AH1883" s="73"/>
      <c r="AI1883" s="73"/>
      <c r="AJ1883" s="168"/>
      <c r="AK1883" s="73"/>
      <c r="AL1883" s="73"/>
      <c r="AM1883" s="73"/>
      <c r="AN1883" s="73"/>
      <c r="AO1883" s="73"/>
      <c r="AP1883" s="73"/>
      <c r="AQ1883" s="73"/>
      <c r="AR1883" s="73"/>
      <c r="AS1883" s="73"/>
      <c r="AT1883" s="73"/>
      <c r="AU1883" s="73"/>
      <c r="AV1883" s="73"/>
      <c r="AW1883" s="73"/>
      <c r="AX1883" s="73"/>
      <c r="AY1883" s="73"/>
      <c r="AZ1883" s="73"/>
      <c r="BA1883" s="73"/>
      <c r="BB1883" s="73"/>
      <c r="BC1883" s="73"/>
      <c r="BD1883" s="73"/>
      <c r="BE1883" s="73"/>
      <c r="BF1883" s="75"/>
      <c r="BG1883" s="73"/>
      <c r="BH1883" s="88"/>
      <c r="BI1883" s="73"/>
      <c r="BJ1883" s="73"/>
      <c r="BK1883" s="73"/>
      <c r="BL1883" s="73"/>
      <c r="BM1883" s="73"/>
      <c r="BN1883" s="73"/>
      <c r="BO1883" s="73"/>
      <c r="BP1883" s="73"/>
      <c r="BQ1883" s="73"/>
      <c r="BR1883" s="73"/>
      <c r="BS1883" s="73"/>
      <c r="BT1883" s="73"/>
      <c r="BU1883" s="73"/>
      <c r="BV1883" s="73"/>
      <c r="BW1883" s="73"/>
      <c r="BX1883" s="73"/>
      <c r="BY1883" s="73"/>
      <c r="BZ1883" s="73"/>
      <c r="CA1883" s="73"/>
      <c r="CB1883" s="73"/>
      <c r="CC1883" s="73"/>
      <c r="CD1883" s="73"/>
      <c r="CE1883" s="73"/>
      <c r="CF1883" s="73"/>
      <c r="CG1883" s="73"/>
      <c r="CH1883" s="73"/>
    </row>
    <row r="1884">
      <c r="A1884" s="73"/>
      <c r="B1884" s="73"/>
      <c r="C1884" s="73"/>
      <c r="D1884" s="73"/>
      <c r="E1884" s="140"/>
      <c r="F1884" s="80"/>
      <c r="G1884" s="80"/>
      <c r="H1884" s="73"/>
      <c r="I1884" s="73"/>
      <c r="J1884" s="73"/>
      <c r="K1884" s="73"/>
      <c r="L1884" s="73"/>
      <c r="M1884" s="73"/>
      <c r="N1884" s="73"/>
      <c r="O1884" s="73"/>
      <c r="P1884" s="73"/>
      <c r="Q1884" s="73"/>
      <c r="R1884" s="73"/>
      <c r="S1884" s="73"/>
      <c r="T1884" s="73"/>
      <c r="U1884" s="73"/>
      <c r="V1884" s="73"/>
      <c r="W1884" s="73"/>
      <c r="X1884" s="73"/>
      <c r="Y1884" s="73"/>
      <c r="Z1884" s="73"/>
      <c r="AA1884" s="73"/>
      <c r="AB1884" s="73"/>
      <c r="AC1884" s="73"/>
      <c r="AD1884" s="73"/>
      <c r="AE1884" s="73"/>
      <c r="AF1884" s="73"/>
      <c r="AG1884" s="73"/>
      <c r="AH1884" s="73"/>
      <c r="AI1884" s="73"/>
      <c r="AJ1884" s="168"/>
      <c r="AK1884" s="73"/>
      <c r="AL1884" s="73"/>
      <c r="AM1884" s="73"/>
      <c r="AN1884" s="73"/>
      <c r="AO1884" s="73"/>
      <c r="AP1884" s="73"/>
      <c r="AQ1884" s="73"/>
      <c r="AR1884" s="73"/>
      <c r="AS1884" s="73"/>
      <c r="AT1884" s="73"/>
      <c r="AU1884" s="73"/>
      <c r="AV1884" s="73"/>
      <c r="AW1884" s="73"/>
      <c r="AX1884" s="73"/>
      <c r="AY1884" s="73"/>
      <c r="AZ1884" s="73"/>
      <c r="BA1884" s="73"/>
      <c r="BB1884" s="73"/>
      <c r="BC1884" s="73"/>
      <c r="BD1884" s="73"/>
      <c r="BE1884" s="73"/>
      <c r="BF1884" s="75"/>
      <c r="BG1884" s="73"/>
      <c r="BH1884" s="88"/>
      <c r="BI1884" s="73"/>
      <c r="BJ1884" s="73"/>
      <c r="BK1884" s="73"/>
      <c r="BL1884" s="73"/>
      <c r="BM1884" s="73"/>
      <c r="BN1884" s="73"/>
      <c r="BO1884" s="73"/>
      <c r="BP1884" s="73"/>
      <c r="BQ1884" s="73"/>
      <c r="BR1884" s="73"/>
      <c r="BS1884" s="73"/>
      <c r="BT1884" s="73"/>
      <c r="BU1884" s="73"/>
      <c r="BV1884" s="73"/>
      <c r="BW1884" s="73"/>
      <c r="BX1884" s="73"/>
      <c r="BY1884" s="73"/>
      <c r="BZ1884" s="73"/>
      <c r="CA1884" s="73"/>
      <c r="CB1884" s="73"/>
      <c r="CC1884" s="73"/>
      <c r="CD1884" s="73"/>
      <c r="CE1884" s="73"/>
      <c r="CF1884" s="73"/>
      <c r="CG1884" s="73"/>
      <c r="CH1884" s="73"/>
    </row>
    <row r="1885">
      <c r="A1885" s="73"/>
      <c r="B1885" s="73"/>
      <c r="C1885" s="73"/>
      <c r="D1885" s="73"/>
      <c r="E1885" s="140"/>
      <c r="F1885" s="80"/>
      <c r="G1885" s="80"/>
      <c r="H1885" s="73"/>
      <c r="I1885" s="73"/>
      <c r="J1885" s="73"/>
      <c r="K1885" s="73"/>
      <c r="L1885" s="73"/>
      <c r="M1885" s="73"/>
      <c r="N1885" s="73"/>
      <c r="O1885" s="73"/>
      <c r="P1885" s="73"/>
      <c r="Q1885" s="73"/>
      <c r="R1885" s="73"/>
      <c r="S1885" s="73"/>
      <c r="T1885" s="73"/>
      <c r="U1885" s="73"/>
      <c r="V1885" s="73"/>
      <c r="W1885" s="73"/>
      <c r="X1885" s="73"/>
      <c r="Y1885" s="73"/>
      <c r="Z1885" s="73"/>
      <c r="AA1885" s="73"/>
      <c r="AB1885" s="73"/>
      <c r="AC1885" s="73"/>
      <c r="AD1885" s="73"/>
      <c r="AE1885" s="73"/>
      <c r="AF1885" s="73"/>
      <c r="AG1885" s="73"/>
      <c r="AH1885" s="73"/>
      <c r="AI1885" s="73"/>
      <c r="AJ1885" s="168"/>
      <c r="AK1885" s="73"/>
      <c r="AL1885" s="73"/>
      <c r="AM1885" s="73"/>
      <c r="AN1885" s="73"/>
      <c r="AO1885" s="73"/>
      <c r="AP1885" s="73"/>
      <c r="AQ1885" s="73"/>
      <c r="AR1885" s="73"/>
      <c r="AS1885" s="73"/>
      <c r="AT1885" s="73"/>
      <c r="AU1885" s="73"/>
      <c r="AV1885" s="73"/>
      <c r="AW1885" s="73"/>
      <c r="AX1885" s="73"/>
      <c r="AY1885" s="73"/>
      <c r="AZ1885" s="73"/>
      <c r="BA1885" s="73"/>
      <c r="BB1885" s="73"/>
      <c r="BC1885" s="73"/>
      <c r="BD1885" s="73"/>
      <c r="BE1885" s="73"/>
      <c r="BF1885" s="75"/>
      <c r="BG1885" s="73"/>
      <c r="BH1885" s="88"/>
      <c r="BI1885" s="73"/>
      <c r="BJ1885" s="73"/>
      <c r="BK1885" s="73"/>
      <c r="BL1885" s="73"/>
      <c r="BM1885" s="73"/>
      <c r="BN1885" s="73"/>
      <c r="BO1885" s="73"/>
      <c r="BP1885" s="73"/>
      <c r="BQ1885" s="73"/>
      <c r="BR1885" s="73"/>
      <c r="BS1885" s="73"/>
      <c r="BT1885" s="73"/>
      <c r="BU1885" s="73"/>
      <c r="BV1885" s="73"/>
      <c r="BW1885" s="73"/>
      <c r="BX1885" s="73"/>
      <c r="BY1885" s="73"/>
      <c r="BZ1885" s="73"/>
      <c r="CA1885" s="73"/>
      <c r="CB1885" s="73"/>
      <c r="CC1885" s="73"/>
      <c r="CD1885" s="73"/>
      <c r="CE1885" s="73"/>
      <c r="CF1885" s="73"/>
      <c r="CG1885" s="73"/>
      <c r="CH1885" s="73"/>
    </row>
    <row r="1886">
      <c r="A1886" s="73"/>
      <c r="B1886" s="73"/>
      <c r="C1886" s="73"/>
      <c r="D1886" s="73"/>
      <c r="E1886" s="140"/>
      <c r="F1886" s="80"/>
      <c r="G1886" s="80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  <c r="S1886" s="73"/>
      <c r="T1886" s="73"/>
      <c r="U1886" s="73"/>
      <c r="V1886" s="73"/>
      <c r="W1886" s="73"/>
      <c r="X1886" s="73"/>
      <c r="Y1886" s="73"/>
      <c r="Z1886" s="73"/>
      <c r="AA1886" s="73"/>
      <c r="AB1886" s="73"/>
      <c r="AC1886" s="73"/>
      <c r="AD1886" s="73"/>
      <c r="AE1886" s="73"/>
      <c r="AF1886" s="73"/>
      <c r="AG1886" s="73"/>
      <c r="AH1886" s="73"/>
      <c r="AI1886" s="73"/>
      <c r="AJ1886" s="168"/>
      <c r="AK1886" s="73"/>
      <c r="AL1886" s="73"/>
      <c r="AM1886" s="73"/>
      <c r="AN1886" s="73"/>
      <c r="AO1886" s="73"/>
      <c r="AP1886" s="73"/>
      <c r="AQ1886" s="73"/>
      <c r="AR1886" s="73"/>
      <c r="AS1886" s="73"/>
      <c r="AT1886" s="73"/>
      <c r="AU1886" s="73"/>
      <c r="AV1886" s="73"/>
      <c r="AW1886" s="73"/>
      <c r="AX1886" s="73"/>
      <c r="AY1886" s="73"/>
      <c r="AZ1886" s="73"/>
      <c r="BA1886" s="73"/>
      <c r="BB1886" s="73"/>
      <c r="BC1886" s="73"/>
      <c r="BD1886" s="73"/>
      <c r="BE1886" s="73"/>
      <c r="BF1886" s="75"/>
      <c r="BG1886" s="73"/>
      <c r="BH1886" s="88"/>
      <c r="BI1886" s="73"/>
      <c r="BJ1886" s="73"/>
      <c r="BK1886" s="73"/>
      <c r="BL1886" s="73"/>
      <c r="BM1886" s="73"/>
      <c r="BN1886" s="73"/>
      <c r="BO1886" s="73"/>
      <c r="BP1886" s="73"/>
      <c r="BQ1886" s="73"/>
      <c r="BR1886" s="73"/>
      <c r="BS1886" s="73"/>
      <c r="BT1886" s="73"/>
      <c r="BU1886" s="73"/>
      <c r="BV1886" s="73"/>
      <c r="BW1886" s="73"/>
      <c r="BX1886" s="73"/>
      <c r="BY1886" s="73"/>
      <c r="BZ1886" s="73"/>
      <c r="CA1886" s="73"/>
      <c r="CB1886" s="73"/>
      <c r="CC1886" s="73"/>
      <c r="CD1886" s="73"/>
      <c r="CE1886" s="73"/>
      <c r="CF1886" s="73"/>
      <c r="CG1886" s="73"/>
      <c r="CH1886" s="73"/>
    </row>
    <row r="1887">
      <c r="A1887" s="73"/>
      <c r="B1887" s="73"/>
      <c r="C1887" s="73"/>
      <c r="D1887" s="73"/>
      <c r="E1887" s="140"/>
      <c r="F1887" s="80"/>
      <c r="G1887" s="80"/>
      <c r="H1887" s="73"/>
      <c r="I1887" s="73"/>
      <c r="J1887" s="73"/>
      <c r="K1887" s="73"/>
      <c r="L1887" s="73"/>
      <c r="M1887" s="73"/>
      <c r="N1887" s="73"/>
      <c r="O1887" s="73"/>
      <c r="P1887" s="73"/>
      <c r="Q1887" s="73"/>
      <c r="R1887" s="73"/>
      <c r="S1887" s="73"/>
      <c r="T1887" s="73"/>
      <c r="U1887" s="73"/>
      <c r="V1887" s="73"/>
      <c r="W1887" s="73"/>
      <c r="X1887" s="73"/>
      <c r="Y1887" s="73"/>
      <c r="Z1887" s="73"/>
      <c r="AA1887" s="73"/>
      <c r="AB1887" s="73"/>
      <c r="AC1887" s="73"/>
      <c r="AD1887" s="73"/>
      <c r="AE1887" s="73"/>
      <c r="AF1887" s="73"/>
      <c r="AG1887" s="73"/>
      <c r="AH1887" s="73"/>
      <c r="AI1887" s="73"/>
      <c r="AJ1887" s="168"/>
      <c r="AK1887" s="73"/>
      <c r="AL1887" s="73"/>
      <c r="AM1887" s="73"/>
      <c r="AN1887" s="73"/>
      <c r="AO1887" s="73"/>
      <c r="AP1887" s="73"/>
      <c r="AQ1887" s="73"/>
      <c r="AR1887" s="73"/>
      <c r="AS1887" s="73"/>
      <c r="AT1887" s="73"/>
      <c r="AU1887" s="73"/>
      <c r="AV1887" s="73"/>
      <c r="AW1887" s="73"/>
      <c r="AX1887" s="73"/>
      <c r="AY1887" s="73"/>
      <c r="AZ1887" s="73"/>
      <c r="BA1887" s="73"/>
      <c r="BB1887" s="73"/>
      <c r="BC1887" s="73"/>
      <c r="BD1887" s="73"/>
      <c r="BE1887" s="73"/>
      <c r="BF1887" s="75"/>
      <c r="BG1887" s="73"/>
      <c r="BH1887" s="88"/>
      <c r="BI1887" s="73"/>
      <c r="BJ1887" s="73"/>
      <c r="BK1887" s="73"/>
      <c r="BL1887" s="73"/>
      <c r="BM1887" s="73"/>
      <c r="BN1887" s="73"/>
      <c r="BO1887" s="73"/>
      <c r="BP1887" s="73"/>
      <c r="BQ1887" s="73"/>
      <c r="BR1887" s="73"/>
      <c r="BS1887" s="73"/>
      <c r="BT1887" s="73"/>
      <c r="BU1887" s="73"/>
      <c r="BV1887" s="73"/>
      <c r="BW1887" s="73"/>
      <c r="BX1887" s="73"/>
      <c r="BY1887" s="73"/>
      <c r="BZ1887" s="73"/>
      <c r="CA1887" s="73"/>
      <c r="CB1887" s="73"/>
      <c r="CC1887" s="73"/>
      <c r="CD1887" s="73"/>
      <c r="CE1887" s="73"/>
      <c r="CF1887" s="73"/>
      <c r="CG1887" s="73"/>
      <c r="CH1887" s="73"/>
    </row>
    <row r="1888">
      <c r="A1888" s="73"/>
      <c r="B1888" s="73"/>
      <c r="C1888" s="73"/>
      <c r="D1888" s="73"/>
      <c r="E1888" s="140"/>
      <c r="F1888" s="80"/>
      <c r="G1888" s="80"/>
      <c r="H1888" s="73"/>
      <c r="I1888" s="73"/>
      <c r="J1888" s="73"/>
      <c r="K1888" s="73"/>
      <c r="L1888" s="73"/>
      <c r="M1888" s="73"/>
      <c r="N1888" s="73"/>
      <c r="O1888" s="73"/>
      <c r="P1888" s="73"/>
      <c r="Q1888" s="73"/>
      <c r="R1888" s="73"/>
      <c r="S1888" s="73"/>
      <c r="T1888" s="73"/>
      <c r="U1888" s="73"/>
      <c r="V1888" s="73"/>
      <c r="W1888" s="73"/>
      <c r="X1888" s="73"/>
      <c r="Y1888" s="73"/>
      <c r="Z1888" s="73"/>
      <c r="AA1888" s="73"/>
      <c r="AB1888" s="73"/>
      <c r="AC1888" s="73"/>
      <c r="AD1888" s="73"/>
      <c r="AE1888" s="73"/>
      <c r="AF1888" s="73"/>
      <c r="AG1888" s="73"/>
      <c r="AH1888" s="73"/>
      <c r="AI1888" s="73"/>
      <c r="AJ1888" s="168"/>
      <c r="AK1888" s="73"/>
      <c r="AL1888" s="73"/>
      <c r="AM1888" s="73"/>
      <c r="AN1888" s="73"/>
      <c r="AO1888" s="73"/>
      <c r="AP1888" s="73"/>
      <c r="AQ1888" s="73"/>
      <c r="AR1888" s="73"/>
      <c r="AS1888" s="73"/>
      <c r="AT1888" s="73"/>
      <c r="AU1888" s="73"/>
      <c r="AV1888" s="73"/>
      <c r="AW1888" s="73"/>
      <c r="AX1888" s="73"/>
      <c r="AY1888" s="73"/>
      <c r="AZ1888" s="73"/>
      <c r="BA1888" s="73"/>
      <c r="BB1888" s="73"/>
      <c r="BC1888" s="73"/>
      <c r="BD1888" s="73"/>
      <c r="BE1888" s="73"/>
      <c r="BF1888" s="75"/>
      <c r="BG1888" s="73"/>
      <c r="BH1888" s="88"/>
      <c r="BI1888" s="73"/>
      <c r="BJ1888" s="73"/>
      <c r="BK1888" s="73"/>
      <c r="BL1888" s="73"/>
      <c r="BM1888" s="73"/>
      <c r="BN1888" s="73"/>
      <c r="BO1888" s="73"/>
      <c r="BP1888" s="73"/>
      <c r="BQ1888" s="73"/>
      <c r="BR1888" s="73"/>
      <c r="BS1888" s="73"/>
      <c r="BT1888" s="73"/>
      <c r="BU1888" s="73"/>
      <c r="BV1888" s="73"/>
      <c r="BW1888" s="73"/>
      <c r="BX1888" s="73"/>
      <c r="BY1888" s="73"/>
      <c r="BZ1888" s="73"/>
      <c r="CA1888" s="73"/>
      <c r="CB1888" s="73"/>
      <c r="CC1888" s="73"/>
      <c r="CD1888" s="73"/>
      <c r="CE1888" s="73"/>
      <c r="CF1888" s="73"/>
      <c r="CG1888" s="73"/>
      <c r="CH1888" s="73"/>
    </row>
    <row r="1889">
      <c r="A1889" s="73"/>
      <c r="B1889" s="73"/>
      <c r="C1889" s="73"/>
      <c r="D1889" s="73"/>
      <c r="E1889" s="140"/>
      <c r="F1889" s="80"/>
      <c r="G1889" s="80"/>
      <c r="H1889" s="73"/>
      <c r="I1889" s="73"/>
      <c r="J1889" s="73"/>
      <c r="K1889" s="73"/>
      <c r="L1889" s="73"/>
      <c r="M1889" s="73"/>
      <c r="N1889" s="73"/>
      <c r="O1889" s="73"/>
      <c r="P1889" s="73"/>
      <c r="Q1889" s="73"/>
      <c r="R1889" s="73"/>
      <c r="S1889" s="73"/>
      <c r="T1889" s="73"/>
      <c r="U1889" s="73"/>
      <c r="V1889" s="73"/>
      <c r="W1889" s="73"/>
      <c r="X1889" s="73"/>
      <c r="Y1889" s="73"/>
      <c r="Z1889" s="73"/>
      <c r="AA1889" s="73"/>
      <c r="AB1889" s="73"/>
      <c r="AC1889" s="73"/>
      <c r="AD1889" s="73"/>
      <c r="AE1889" s="73"/>
      <c r="AF1889" s="73"/>
      <c r="AG1889" s="73"/>
      <c r="AH1889" s="73"/>
      <c r="AI1889" s="73"/>
      <c r="AJ1889" s="168"/>
      <c r="AK1889" s="73"/>
      <c r="AL1889" s="73"/>
      <c r="AM1889" s="73"/>
      <c r="AN1889" s="73"/>
      <c r="AO1889" s="73"/>
      <c r="AP1889" s="73"/>
      <c r="AQ1889" s="73"/>
      <c r="AR1889" s="73"/>
      <c r="AS1889" s="73"/>
      <c r="AT1889" s="73"/>
      <c r="AU1889" s="73"/>
      <c r="AV1889" s="73"/>
      <c r="AW1889" s="73"/>
      <c r="AX1889" s="73"/>
      <c r="AY1889" s="73"/>
      <c r="AZ1889" s="73"/>
      <c r="BA1889" s="73"/>
      <c r="BB1889" s="73"/>
      <c r="BC1889" s="73"/>
      <c r="BD1889" s="73"/>
      <c r="BE1889" s="73"/>
      <c r="BF1889" s="75"/>
      <c r="BG1889" s="73"/>
      <c r="BH1889" s="88"/>
      <c r="BI1889" s="73"/>
      <c r="BJ1889" s="73"/>
      <c r="BK1889" s="73"/>
      <c r="BL1889" s="73"/>
      <c r="BM1889" s="73"/>
      <c r="BN1889" s="73"/>
      <c r="BO1889" s="73"/>
      <c r="BP1889" s="73"/>
      <c r="BQ1889" s="73"/>
      <c r="BR1889" s="73"/>
      <c r="BS1889" s="73"/>
      <c r="BT1889" s="73"/>
      <c r="BU1889" s="73"/>
      <c r="BV1889" s="73"/>
      <c r="BW1889" s="73"/>
      <c r="BX1889" s="73"/>
      <c r="BY1889" s="73"/>
      <c r="BZ1889" s="73"/>
      <c r="CA1889" s="73"/>
      <c r="CB1889" s="73"/>
      <c r="CC1889" s="73"/>
      <c r="CD1889" s="73"/>
      <c r="CE1889" s="73"/>
      <c r="CF1889" s="73"/>
      <c r="CG1889" s="73"/>
      <c r="CH1889" s="73"/>
    </row>
    <row r="1890">
      <c r="A1890" s="73"/>
      <c r="B1890" s="73"/>
      <c r="C1890" s="73"/>
      <c r="D1890" s="73"/>
      <c r="E1890" s="140"/>
      <c r="F1890" s="80"/>
      <c r="G1890" s="80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  <c r="S1890" s="73"/>
      <c r="T1890" s="73"/>
      <c r="U1890" s="73"/>
      <c r="V1890" s="73"/>
      <c r="W1890" s="73"/>
      <c r="X1890" s="73"/>
      <c r="Y1890" s="73"/>
      <c r="Z1890" s="73"/>
      <c r="AA1890" s="73"/>
      <c r="AB1890" s="73"/>
      <c r="AC1890" s="73"/>
      <c r="AD1890" s="73"/>
      <c r="AE1890" s="73"/>
      <c r="AF1890" s="73"/>
      <c r="AG1890" s="73"/>
      <c r="AH1890" s="73"/>
      <c r="AI1890" s="73"/>
      <c r="AJ1890" s="168"/>
      <c r="AK1890" s="73"/>
      <c r="AL1890" s="73"/>
      <c r="AM1890" s="73"/>
      <c r="AN1890" s="73"/>
      <c r="AO1890" s="73"/>
      <c r="AP1890" s="73"/>
      <c r="AQ1890" s="73"/>
      <c r="AR1890" s="73"/>
      <c r="AS1890" s="73"/>
      <c r="AT1890" s="73"/>
      <c r="AU1890" s="73"/>
      <c r="AV1890" s="73"/>
      <c r="AW1890" s="73"/>
      <c r="AX1890" s="73"/>
      <c r="AY1890" s="73"/>
      <c r="AZ1890" s="73"/>
      <c r="BA1890" s="73"/>
      <c r="BB1890" s="73"/>
      <c r="BC1890" s="73"/>
      <c r="BD1890" s="73"/>
      <c r="BE1890" s="73"/>
      <c r="BF1890" s="75"/>
      <c r="BG1890" s="73"/>
      <c r="BH1890" s="88"/>
      <c r="BI1890" s="73"/>
      <c r="BJ1890" s="73"/>
      <c r="BK1890" s="73"/>
      <c r="BL1890" s="73"/>
      <c r="BM1890" s="73"/>
      <c r="BN1890" s="73"/>
      <c r="BO1890" s="73"/>
      <c r="BP1890" s="73"/>
      <c r="BQ1890" s="73"/>
      <c r="BR1890" s="73"/>
      <c r="BS1890" s="73"/>
      <c r="BT1890" s="73"/>
      <c r="BU1890" s="73"/>
      <c r="BV1890" s="73"/>
      <c r="BW1890" s="73"/>
      <c r="BX1890" s="73"/>
      <c r="BY1890" s="73"/>
      <c r="BZ1890" s="73"/>
      <c r="CA1890" s="73"/>
      <c r="CB1890" s="73"/>
      <c r="CC1890" s="73"/>
      <c r="CD1890" s="73"/>
      <c r="CE1890" s="73"/>
      <c r="CF1890" s="73"/>
      <c r="CG1890" s="73"/>
      <c r="CH1890" s="73"/>
    </row>
    <row r="1891">
      <c r="A1891" s="73"/>
      <c r="B1891" s="73"/>
      <c r="C1891" s="73"/>
      <c r="D1891" s="73"/>
      <c r="E1891" s="140"/>
      <c r="F1891" s="80"/>
      <c r="G1891" s="80"/>
      <c r="H1891" s="73"/>
      <c r="I1891" s="73"/>
      <c r="J1891" s="73"/>
      <c r="K1891" s="73"/>
      <c r="L1891" s="73"/>
      <c r="M1891" s="73"/>
      <c r="N1891" s="73"/>
      <c r="O1891" s="73"/>
      <c r="P1891" s="73"/>
      <c r="Q1891" s="73"/>
      <c r="R1891" s="73"/>
      <c r="S1891" s="73"/>
      <c r="T1891" s="73"/>
      <c r="U1891" s="73"/>
      <c r="V1891" s="73"/>
      <c r="W1891" s="73"/>
      <c r="X1891" s="73"/>
      <c r="Y1891" s="73"/>
      <c r="Z1891" s="73"/>
      <c r="AA1891" s="73"/>
      <c r="AB1891" s="73"/>
      <c r="AC1891" s="73"/>
      <c r="AD1891" s="73"/>
      <c r="AE1891" s="73"/>
      <c r="AF1891" s="73"/>
      <c r="AG1891" s="73"/>
      <c r="AH1891" s="73"/>
      <c r="AI1891" s="73"/>
      <c r="AJ1891" s="168"/>
      <c r="AK1891" s="73"/>
      <c r="AL1891" s="73"/>
      <c r="AM1891" s="73"/>
      <c r="AN1891" s="73"/>
      <c r="AO1891" s="73"/>
      <c r="AP1891" s="73"/>
      <c r="AQ1891" s="73"/>
      <c r="AR1891" s="73"/>
      <c r="AS1891" s="73"/>
      <c r="AT1891" s="73"/>
      <c r="AU1891" s="73"/>
      <c r="AV1891" s="73"/>
      <c r="AW1891" s="73"/>
      <c r="AX1891" s="73"/>
      <c r="AY1891" s="73"/>
      <c r="AZ1891" s="73"/>
      <c r="BA1891" s="73"/>
      <c r="BB1891" s="73"/>
      <c r="BC1891" s="73"/>
      <c r="BD1891" s="73"/>
      <c r="BE1891" s="73"/>
      <c r="BF1891" s="75"/>
      <c r="BG1891" s="73"/>
      <c r="BH1891" s="88"/>
      <c r="BI1891" s="73"/>
      <c r="BJ1891" s="73"/>
      <c r="BK1891" s="73"/>
      <c r="BL1891" s="73"/>
      <c r="BM1891" s="73"/>
      <c r="BN1891" s="73"/>
      <c r="BO1891" s="73"/>
      <c r="BP1891" s="73"/>
      <c r="BQ1891" s="73"/>
      <c r="BR1891" s="73"/>
      <c r="BS1891" s="73"/>
      <c r="BT1891" s="73"/>
      <c r="BU1891" s="73"/>
      <c r="BV1891" s="73"/>
      <c r="BW1891" s="73"/>
      <c r="BX1891" s="73"/>
      <c r="BY1891" s="73"/>
      <c r="BZ1891" s="73"/>
      <c r="CA1891" s="73"/>
      <c r="CB1891" s="73"/>
      <c r="CC1891" s="73"/>
      <c r="CD1891" s="73"/>
      <c r="CE1891" s="73"/>
      <c r="CF1891" s="73"/>
      <c r="CG1891" s="73"/>
      <c r="CH1891" s="73"/>
    </row>
    <row r="1892">
      <c r="A1892" s="73"/>
      <c r="B1892" s="73"/>
      <c r="C1892" s="73"/>
      <c r="D1892" s="73"/>
      <c r="E1892" s="140"/>
      <c r="F1892" s="80"/>
      <c r="G1892" s="80"/>
      <c r="H1892" s="73"/>
      <c r="I1892" s="73"/>
      <c r="J1892" s="73"/>
      <c r="K1892" s="73"/>
      <c r="L1892" s="73"/>
      <c r="M1892" s="73"/>
      <c r="N1892" s="73"/>
      <c r="O1892" s="73"/>
      <c r="P1892" s="73"/>
      <c r="Q1892" s="73"/>
      <c r="R1892" s="73"/>
      <c r="S1892" s="73"/>
      <c r="T1892" s="73"/>
      <c r="U1892" s="73"/>
      <c r="V1892" s="73"/>
      <c r="W1892" s="73"/>
      <c r="X1892" s="73"/>
      <c r="Y1892" s="73"/>
      <c r="Z1892" s="73"/>
      <c r="AA1892" s="73"/>
      <c r="AB1892" s="73"/>
      <c r="AC1892" s="73"/>
      <c r="AD1892" s="73"/>
      <c r="AE1892" s="73"/>
      <c r="AF1892" s="73"/>
      <c r="AG1892" s="73"/>
      <c r="AH1892" s="73"/>
      <c r="AI1892" s="73"/>
      <c r="AJ1892" s="168"/>
      <c r="AK1892" s="73"/>
      <c r="AL1892" s="73"/>
      <c r="AM1892" s="73"/>
      <c r="AN1892" s="73"/>
      <c r="AO1892" s="73"/>
      <c r="AP1892" s="73"/>
      <c r="AQ1892" s="73"/>
      <c r="AR1892" s="73"/>
      <c r="AS1892" s="73"/>
      <c r="AT1892" s="73"/>
      <c r="AU1892" s="73"/>
      <c r="AV1892" s="73"/>
      <c r="AW1892" s="73"/>
      <c r="AX1892" s="73"/>
      <c r="AY1892" s="73"/>
      <c r="AZ1892" s="73"/>
      <c r="BA1892" s="73"/>
      <c r="BB1892" s="73"/>
      <c r="BC1892" s="73"/>
      <c r="BD1892" s="73"/>
      <c r="BE1892" s="73"/>
      <c r="BF1892" s="75"/>
      <c r="BG1892" s="73"/>
      <c r="BH1892" s="88"/>
      <c r="BI1892" s="73"/>
      <c r="BJ1892" s="73"/>
      <c r="BK1892" s="73"/>
      <c r="BL1892" s="73"/>
      <c r="BM1892" s="73"/>
      <c r="BN1892" s="73"/>
      <c r="BO1892" s="73"/>
      <c r="BP1892" s="73"/>
      <c r="BQ1892" s="73"/>
      <c r="BR1892" s="73"/>
      <c r="BS1892" s="73"/>
      <c r="BT1892" s="73"/>
      <c r="BU1892" s="73"/>
      <c r="BV1892" s="73"/>
      <c r="BW1892" s="73"/>
      <c r="BX1892" s="73"/>
      <c r="BY1892" s="73"/>
      <c r="BZ1892" s="73"/>
      <c r="CA1892" s="73"/>
      <c r="CB1892" s="73"/>
      <c r="CC1892" s="73"/>
      <c r="CD1892" s="73"/>
      <c r="CE1892" s="73"/>
      <c r="CF1892" s="73"/>
      <c r="CG1892" s="73"/>
      <c r="CH1892" s="73"/>
    </row>
    <row r="1893">
      <c r="A1893" s="73"/>
      <c r="B1893" s="73"/>
      <c r="C1893" s="73"/>
      <c r="D1893" s="73"/>
      <c r="E1893" s="140"/>
      <c r="F1893" s="80"/>
      <c r="G1893" s="80"/>
      <c r="H1893" s="73"/>
      <c r="I1893" s="73"/>
      <c r="J1893" s="73"/>
      <c r="K1893" s="73"/>
      <c r="L1893" s="73"/>
      <c r="M1893" s="73"/>
      <c r="N1893" s="73"/>
      <c r="O1893" s="73"/>
      <c r="P1893" s="73"/>
      <c r="Q1893" s="73"/>
      <c r="R1893" s="73"/>
      <c r="S1893" s="73"/>
      <c r="T1893" s="73"/>
      <c r="U1893" s="73"/>
      <c r="V1893" s="73"/>
      <c r="W1893" s="73"/>
      <c r="X1893" s="73"/>
      <c r="Y1893" s="73"/>
      <c r="Z1893" s="73"/>
      <c r="AA1893" s="73"/>
      <c r="AB1893" s="73"/>
      <c r="AC1893" s="73"/>
      <c r="AD1893" s="73"/>
      <c r="AE1893" s="73"/>
      <c r="AF1893" s="73"/>
      <c r="AG1893" s="73"/>
      <c r="AH1893" s="73"/>
      <c r="AI1893" s="73"/>
      <c r="AJ1893" s="168"/>
      <c r="AK1893" s="73"/>
      <c r="AL1893" s="73"/>
      <c r="AM1893" s="73"/>
      <c r="AN1893" s="73"/>
      <c r="AO1893" s="73"/>
      <c r="AP1893" s="73"/>
      <c r="AQ1893" s="73"/>
      <c r="AR1893" s="73"/>
      <c r="AS1893" s="73"/>
      <c r="AT1893" s="73"/>
      <c r="AU1893" s="73"/>
      <c r="AV1893" s="73"/>
      <c r="AW1893" s="73"/>
      <c r="AX1893" s="73"/>
      <c r="AY1893" s="73"/>
      <c r="AZ1893" s="73"/>
      <c r="BA1893" s="73"/>
      <c r="BB1893" s="73"/>
      <c r="BC1893" s="73"/>
      <c r="BD1893" s="73"/>
      <c r="BE1893" s="73"/>
      <c r="BF1893" s="75"/>
      <c r="BG1893" s="73"/>
      <c r="BH1893" s="88"/>
      <c r="BI1893" s="73"/>
      <c r="BJ1893" s="73"/>
      <c r="BK1893" s="73"/>
      <c r="BL1893" s="73"/>
      <c r="BM1893" s="73"/>
      <c r="BN1893" s="73"/>
      <c r="BO1893" s="73"/>
      <c r="BP1893" s="73"/>
      <c r="BQ1893" s="73"/>
      <c r="BR1893" s="73"/>
      <c r="BS1893" s="73"/>
      <c r="BT1893" s="73"/>
      <c r="BU1893" s="73"/>
      <c r="BV1893" s="73"/>
      <c r="BW1893" s="73"/>
      <c r="BX1893" s="73"/>
      <c r="BY1893" s="73"/>
      <c r="BZ1893" s="73"/>
      <c r="CA1893" s="73"/>
      <c r="CB1893" s="73"/>
      <c r="CC1893" s="73"/>
      <c r="CD1893" s="73"/>
      <c r="CE1893" s="73"/>
      <c r="CF1893" s="73"/>
      <c r="CG1893" s="73"/>
      <c r="CH1893" s="73"/>
    </row>
    <row r="1894">
      <c r="A1894" s="73"/>
      <c r="B1894" s="73"/>
      <c r="C1894" s="73"/>
      <c r="D1894" s="73"/>
      <c r="E1894" s="140"/>
      <c r="F1894" s="80"/>
      <c r="G1894" s="80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  <c r="S1894" s="73"/>
      <c r="T1894" s="73"/>
      <c r="U1894" s="73"/>
      <c r="V1894" s="73"/>
      <c r="W1894" s="73"/>
      <c r="X1894" s="73"/>
      <c r="Y1894" s="73"/>
      <c r="Z1894" s="73"/>
      <c r="AA1894" s="73"/>
      <c r="AB1894" s="73"/>
      <c r="AC1894" s="73"/>
      <c r="AD1894" s="73"/>
      <c r="AE1894" s="73"/>
      <c r="AF1894" s="73"/>
      <c r="AG1894" s="73"/>
      <c r="AH1894" s="73"/>
      <c r="AI1894" s="73"/>
      <c r="AJ1894" s="168"/>
      <c r="AK1894" s="73"/>
      <c r="AL1894" s="73"/>
      <c r="AM1894" s="73"/>
      <c r="AN1894" s="73"/>
      <c r="AO1894" s="73"/>
      <c r="AP1894" s="73"/>
      <c r="AQ1894" s="73"/>
      <c r="AR1894" s="73"/>
      <c r="AS1894" s="73"/>
      <c r="AT1894" s="73"/>
      <c r="AU1894" s="73"/>
      <c r="AV1894" s="73"/>
      <c r="AW1894" s="73"/>
      <c r="AX1894" s="73"/>
      <c r="AY1894" s="73"/>
      <c r="AZ1894" s="73"/>
      <c r="BA1894" s="73"/>
      <c r="BB1894" s="73"/>
      <c r="BC1894" s="73"/>
      <c r="BD1894" s="73"/>
      <c r="BE1894" s="73"/>
      <c r="BF1894" s="75"/>
      <c r="BG1894" s="73"/>
      <c r="BH1894" s="88"/>
      <c r="BI1894" s="73"/>
      <c r="BJ1894" s="73"/>
      <c r="BK1894" s="73"/>
      <c r="BL1894" s="73"/>
      <c r="BM1894" s="73"/>
      <c r="BN1894" s="73"/>
      <c r="BO1894" s="73"/>
      <c r="BP1894" s="73"/>
      <c r="BQ1894" s="73"/>
      <c r="BR1894" s="73"/>
      <c r="BS1894" s="73"/>
      <c r="BT1894" s="73"/>
      <c r="BU1894" s="73"/>
      <c r="BV1894" s="73"/>
      <c r="BW1894" s="73"/>
      <c r="BX1894" s="73"/>
      <c r="BY1894" s="73"/>
      <c r="BZ1894" s="73"/>
      <c r="CA1894" s="73"/>
      <c r="CB1894" s="73"/>
      <c r="CC1894" s="73"/>
      <c r="CD1894" s="73"/>
      <c r="CE1894" s="73"/>
      <c r="CF1894" s="73"/>
      <c r="CG1894" s="73"/>
      <c r="CH1894" s="73"/>
    </row>
    <row r="1895">
      <c r="A1895" s="73"/>
      <c r="B1895" s="73"/>
      <c r="C1895" s="73"/>
      <c r="D1895" s="73"/>
      <c r="E1895" s="140"/>
      <c r="F1895" s="80"/>
      <c r="G1895" s="80"/>
      <c r="H1895" s="73"/>
      <c r="I1895" s="73"/>
      <c r="J1895" s="73"/>
      <c r="K1895" s="73"/>
      <c r="L1895" s="73"/>
      <c r="M1895" s="73"/>
      <c r="N1895" s="73"/>
      <c r="O1895" s="73"/>
      <c r="P1895" s="73"/>
      <c r="Q1895" s="73"/>
      <c r="R1895" s="73"/>
      <c r="S1895" s="73"/>
      <c r="T1895" s="73"/>
      <c r="U1895" s="73"/>
      <c r="V1895" s="73"/>
      <c r="W1895" s="73"/>
      <c r="X1895" s="73"/>
      <c r="Y1895" s="73"/>
      <c r="Z1895" s="73"/>
      <c r="AA1895" s="73"/>
      <c r="AB1895" s="73"/>
      <c r="AC1895" s="73"/>
      <c r="AD1895" s="73"/>
      <c r="AE1895" s="73"/>
      <c r="AF1895" s="73"/>
      <c r="AG1895" s="73"/>
      <c r="AH1895" s="73"/>
      <c r="AI1895" s="73"/>
      <c r="AJ1895" s="168"/>
      <c r="AK1895" s="73"/>
      <c r="AL1895" s="73"/>
      <c r="AM1895" s="73"/>
      <c r="AN1895" s="73"/>
      <c r="AO1895" s="73"/>
      <c r="AP1895" s="73"/>
      <c r="AQ1895" s="73"/>
      <c r="AR1895" s="73"/>
      <c r="AS1895" s="73"/>
      <c r="AT1895" s="73"/>
      <c r="AU1895" s="73"/>
      <c r="AV1895" s="73"/>
      <c r="AW1895" s="73"/>
      <c r="AX1895" s="73"/>
      <c r="AY1895" s="73"/>
      <c r="AZ1895" s="73"/>
      <c r="BA1895" s="73"/>
      <c r="BB1895" s="73"/>
      <c r="BC1895" s="73"/>
      <c r="BD1895" s="73"/>
      <c r="BE1895" s="73"/>
      <c r="BF1895" s="75"/>
      <c r="BG1895" s="73"/>
      <c r="BH1895" s="88"/>
      <c r="BI1895" s="73"/>
      <c r="BJ1895" s="73"/>
      <c r="BK1895" s="73"/>
      <c r="BL1895" s="73"/>
      <c r="BM1895" s="73"/>
      <c r="BN1895" s="73"/>
      <c r="BO1895" s="73"/>
      <c r="BP1895" s="73"/>
      <c r="BQ1895" s="73"/>
      <c r="BR1895" s="73"/>
      <c r="BS1895" s="73"/>
      <c r="BT1895" s="73"/>
      <c r="BU1895" s="73"/>
      <c r="BV1895" s="73"/>
      <c r="BW1895" s="73"/>
      <c r="BX1895" s="73"/>
      <c r="BY1895" s="73"/>
      <c r="BZ1895" s="73"/>
      <c r="CA1895" s="73"/>
      <c r="CB1895" s="73"/>
      <c r="CC1895" s="73"/>
      <c r="CD1895" s="73"/>
      <c r="CE1895" s="73"/>
      <c r="CF1895" s="73"/>
      <c r="CG1895" s="73"/>
      <c r="CH1895" s="73"/>
    </row>
    <row r="1896">
      <c r="A1896" s="73"/>
      <c r="B1896" s="73"/>
      <c r="C1896" s="73"/>
      <c r="D1896" s="73"/>
      <c r="E1896" s="140"/>
      <c r="F1896" s="80"/>
      <c r="G1896" s="80"/>
      <c r="H1896" s="73"/>
      <c r="I1896" s="73"/>
      <c r="J1896" s="73"/>
      <c r="K1896" s="73"/>
      <c r="L1896" s="73"/>
      <c r="M1896" s="73"/>
      <c r="N1896" s="73"/>
      <c r="O1896" s="73"/>
      <c r="P1896" s="73"/>
      <c r="Q1896" s="73"/>
      <c r="R1896" s="73"/>
      <c r="S1896" s="73"/>
      <c r="T1896" s="73"/>
      <c r="U1896" s="73"/>
      <c r="V1896" s="73"/>
      <c r="W1896" s="73"/>
      <c r="X1896" s="73"/>
      <c r="Y1896" s="73"/>
      <c r="Z1896" s="73"/>
      <c r="AA1896" s="73"/>
      <c r="AB1896" s="73"/>
      <c r="AC1896" s="73"/>
      <c r="AD1896" s="73"/>
      <c r="AE1896" s="73"/>
      <c r="AF1896" s="73"/>
      <c r="AG1896" s="73"/>
      <c r="AH1896" s="73"/>
      <c r="AI1896" s="73"/>
      <c r="AJ1896" s="168"/>
      <c r="AK1896" s="73"/>
      <c r="AL1896" s="73"/>
      <c r="AM1896" s="73"/>
      <c r="AN1896" s="73"/>
      <c r="AO1896" s="73"/>
      <c r="AP1896" s="73"/>
      <c r="AQ1896" s="73"/>
      <c r="AR1896" s="73"/>
      <c r="AS1896" s="73"/>
      <c r="AT1896" s="73"/>
      <c r="AU1896" s="73"/>
      <c r="AV1896" s="73"/>
      <c r="AW1896" s="73"/>
      <c r="AX1896" s="73"/>
      <c r="AY1896" s="73"/>
      <c r="AZ1896" s="73"/>
      <c r="BA1896" s="73"/>
      <c r="BB1896" s="73"/>
      <c r="BC1896" s="73"/>
      <c r="BD1896" s="73"/>
      <c r="BE1896" s="73"/>
      <c r="BF1896" s="75"/>
      <c r="BG1896" s="73"/>
      <c r="BH1896" s="88"/>
      <c r="BI1896" s="73"/>
      <c r="BJ1896" s="73"/>
      <c r="BK1896" s="73"/>
      <c r="BL1896" s="73"/>
      <c r="BM1896" s="73"/>
      <c r="BN1896" s="73"/>
      <c r="BO1896" s="73"/>
      <c r="BP1896" s="73"/>
      <c r="BQ1896" s="73"/>
      <c r="BR1896" s="73"/>
      <c r="BS1896" s="73"/>
      <c r="BT1896" s="73"/>
      <c r="BU1896" s="73"/>
      <c r="BV1896" s="73"/>
      <c r="BW1896" s="73"/>
      <c r="BX1896" s="73"/>
      <c r="BY1896" s="73"/>
      <c r="BZ1896" s="73"/>
      <c r="CA1896" s="73"/>
      <c r="CB1896" s="73"/>
      <c r="CC1896" s="73"/>
      <c r="CD1896" s="73"/>
      <c r="CE1896" s="73"/>
      <c r="CF1896" s="73"/>
      <c r="CG1896" s="73"/>
      <c r="CH1896" s="73"/>
    </row>
    <row r="1897">
      <c r="A1897" s="73"/>
      <c r="B1897" s="73"/>
      <c r="C1897" s="73"/>
      <c r="D1897" s="73"/>
      <c r="E1897" s="140"/>
      <c r="F1897" s="80"/>
      <c r="G1897" s="80"/>
      <c r="H1897" s="73"/>
      <c r="I1897" s="73"/>
      <c r="J1897" s="73"/>
      <c r="K1897" s="73"/>
      <c r="L1897" s="73"/>
      <c r="M1897" s="73"/>
      <c r="N1897" s="73"/>
      <c r="O1897" s="73"/>
      <c r="P1897" s="73"/>
      <c r="Q1897" s="73"/>
      <c r="R1897" s="73"/>
      <c r="S1897" s="73"/>
      <c r="T1897" s="73"/>
      <c r="U1897" s="73"/>
      <c r="V1897" s="73"/>
      <c r="W1897" s="73"/>
      <c r="X1897" s="73"/>
      <c r="Y1897" s="73"/>
      <c r="Z1897" s="73"/>
      <c r="AA1897" s="73"/>
      <c r="AB1897" s="73"/>
      <c r="AC1897" s="73"/>
      <c r="AD1897" s="73"/>
      <c r="AE1897" s="73"/>
      <c r="AF1897" s="73"/>
      <c r="AG1897" s="73"/>
      <c r="AH1897" s="73"/>
      <c r="AI1897" s="73"/>
      <c r="AJ1897" s="168"/>
      <c r="AK1897" s="73"/>
      <c r="AL1897" s="73"/>
      <c r="AM1897" s="73"/>
      <c r="AN1897" s="73"/>
      <c r="AO1897" s="73"/>
      <c r="AP1897" s="73"/>
      <c r="AQ1897" s="73"/>
      <c r="AR1897" s="73"/>
      <c r="AS1897" s="73"/>
      <c r="AT1897" s="73"/>
      <c r="AU1897" s="73"/>
      <c r="AV1897" s="73"/>
      <c r="AW1897" s="73"/>
      <c r="AX1897" s="73"/>
      <c r="AY1897" s="73"/>
      <c r="AZ1897" s="73"/>
      <c r="BA1897" s="73"/>
      <c r="BB1897" s="73"/>
      <c r="BC1897" s="73"/>
      <c r="BD1897" s="73"/>
      <c r="BE1897" s="73"/>
      <c r="BF1897" s="75"/>
      <c r="BG1897" s="73"/>
      <c r="BH1897" s="88"/>
      <c r="BI1897" s="73"/>
      <c r="BJ1897" s="73"/>
      <c r="BK1897" s="73"/>
      <c r="BL1897" s="73"/>
      <c r="BM1897" s="73"/>
      <c r="BN1897" s="73"/>
      <c r="BO1897" s="73"/>
      <c r="BP1897" s="73"/>
      <c r="BQ1897" s="73"/>
      <c r="BR1897" s="73"/>
      <c r="BS1897" s="73"/>
      <c r="BT1897" s="73"/>
      <c r="BU1897" s="73"/>
      <c r="BV1897" s="73"/>
      <c r="BW1897" s="73"/>
      <c r="BX1897" s="73"/>
      <c r="BY1897" s="73"/>
      <c r="BZ1897" s="73"/>
      <c r="CA1897" s="73"/>
      <c r="CB1897" s="73"/>
      <c r="CC1897" s="73"/>
      <c r="CD1897" s="73"/>
      <c r="CE1897" s="73"/>
      <c r="CF1897" s="73"/>
      <c r="CG1897" s="73"/>
      <c r="CH1897" s="73"/>
    </row>
    <row r="1898">
      <c r="A1898" s="73"/>
      <c r="B1898" s="73"/>
      <c r="C1898" s="73"/>
      <c r="D1898" s="73"/>
      <c r="E1898" s="140"/>
      <c r="F1898" s="80"/>
      <c r="G1898" s="80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  <c r="S1898" s="73"/>
      <c r="T1898" s="73"/>
      <c r="U1898" s="73"/>
      <c r="V1898" s="73"/>
      <c r="W1898" s="73"/>
      <c r="X1898" s="73"/>
      <c r="Y1898" s="73"/>
      <c r="Z1898" s="73"/>
      <c r="AA1898" s="73"/>
      <c r="AB1898" s="73"/>
      <c r="AC1898" s="73"/>
      <c r="AD1898" s="73"/>
      <c r="AE1898" s="73"/>
      <c r="AF1898" s="73"/>
      <c r="AG1898" s="73"/>
      <c r="AH1898" s="73"/>
      <c r="AI1898" s="73"/>
      <c r="AJ1898" s="168"/>
      <c r="AK1898" s="73"/>
      <c r="AL1898" s="73"/>
      <c r="AM1898" s="73"/>
      <c r="AN1898" s="73"/>
      <c r="AO1898" s="73"/>
      <c r="AP1898" s="73"/>
      <c r="AQ1898" s="73"/>
      <c r="AR1898" s="73"/>
      <c r="AS1898" s="73"/>
      <c r="AT1898" s="73"/>
      <c r="AU1898" s="73"/>
      <c r="AV1898" s="73"/>
      <c r="AW1898" s="73"/>
      <c r="AX1898" s="73"/>
      <c r="AY1898" s="73"/>
      <c r="AZ1898" s="73"/>
      <c r="BA1898" s="73"/>
      <c r="BB1898" s="73"/>
      <c r="BC1898" s="73"/>
      <c r="BD1898" s="73"/>
      <c r="BE1898" s="73"/>
      <c r="BF1898" s="75"/>
      <c r="BG1898" s="73"/>
      <c r="BH1898" s="88"/>
      <c r="BI1898" s="73"/>
      <c r="BJ1898" s="73"/>
      <c r="BK1898" s="73"/>
      <c r="BL1898" s="73"/>
      <c r="BM1898" s="73"/>
      <c r="BN1898" s="73"/>
      <c r="BO1898" s="73"/>
      <c r="BP1898" s="73"/>
      <c r="BQ1898" s="73"/>
      <c r="BR1898" s="73"/>
      <c r="BS1898" s="73"/>
      <c r="BT1898" s="73"/>
      <c r="BU1898" s="73"/>
      <c r="BV1898" s="73"/>
      <c r="BW1898" s="73"/>
      <c r="BX1898" s="73"/>
      <c r="BY1898" s="73"/>
      <c r="BZ1898" s="73"/>
      <c r="CA1898" s="73"/>
      <c r="CB1898" s="73"/>
      <c r="CC1898" s="73"/>
      <c r="CD1898" s="73"/>
      <c r="CE1898" s="73"/>
      <c r="CF1898" s="73"/>
      <c r="CG1898" s="73"/>
      <c r="CH1898" s="73"/>
    </row>
    <row r="1899">
      <c r="A1899" s="73"/>
      <c r="B1899" s="73"/>
      <c r="C1899" s="73"/>
      <c r="D1899" s="73"/>
      <c r="E1899" s="140"/>
      <c r="F1899" s="80"/>
      <c r="G1899" s="80"/>
      <c r="H1899" s="73"/>
      <c r="I1899" s="73"/>
      <c r="J1899" s="73"/>
      <c r="K1899" s="73"/>
      <c r="L1899" s="73"/>
      <c r="M1899" s="73"/>
      <c r="N1899" s="73"/>
      <c r="O1899" s="73"/>
      <c r="P1899" s="73"/>
      <c r="Q1899" s="73"/>
      <c r="R1899" s="73"/>
      <c r="S1899" s="73"/>
      <c r="T1899" s="73"/>
      <c r="U1899" s="73"/>
      <c r="V1899" s="73"/>
      <c r="W1899" s="73"/>
      <c r="X1899" s="73"/>
      <c r="Y1899" s="73"/>
      <c r="Z1899" s="73"/>
      <c r="AA1899" s="73"/>
      <c r="AB1899" s="73"/>
      <c r="AC1899" s="73"/>
      <c r="AD1899" s="73"/>
      <c r="AE1899" s="73"/>
      <c r="AF1899" s="73"/>
      <c r="AG1899" s="73"/>
      <c r="AH1899" s="73"/>
      <c r="AI1899" s="73"/>
      <c r="AJ1899" s="168"/>
      <c r="AK1899" s="73"/>
      <c r="AL1899" s="73"/>
      <c r="AM1899" s="73"/>
      <c r="AN1899" s="73"/>
      <c r="AO1899" s="73"/>
      <c r="AP1899" s="73"/>
      <c r="AQ1899" s="73"/>
      <c r="AR1899" s="73"/>
      <c r="AS1899" s="73"/>
      <c r="AT1899" s="73"/>
      <c r="AU1899" s="73"/>
      <c r="AV1899" s="73"/>
      <c r="AW1899" s="73"/>
      <c r="AX1899" s="73"/>
      <c r="AY1899" s="73"/>
      <c r="AZ1899" s="73"/>
      <c r="BA1899" s="73"/>
      <c r="BB1899" s="73"/>
      <c r="BC1899" s="73"/>
      <c r="BD1899" s="73"/>
      <c r="BE1899" s="73"/>
      <c r="BF1899" s="75"/>
      <c r="BG1899" s="73"/>
      <c r="BH1899" s="88"/>
      <c r="BI1899" s="73"/>
      <c r="BJ1899" s="73"/>
      <c r="BK1899" s="73"/>
      <c r="BL1899" s="73"/>
      <c r="BM1899" s="73"/>
      <c r="BN1899" s="73"/>
      <c r="BO1899" s="73"/>
      <c r="BP1899" s="73"/>
      <c r="BQ1899" s="73"/>
      <c r="BR1899" s="73"/>
      <c r="BS1899" s="73"/>
      <c r="BT1899" s="73"/>
      <c r="BU1899" s="73"/>
      <c r="BV1899" s="73"/>
      <c r="BW1899" s="73"/>
      <c r="BX1899" s="73"/>
      <c r="BY1899" s="73"/>
      <c r="BZ1899" s="73"/>
      <c r="CA1899" s="73"/>
      <c r="CB1899" s="73"/>
      <c r="CC1899" s="73"/>
      <c r="CD1899" s="73"/>
      <c r="CE1899" s="73"/>
      <c r="CF1899" s="73"/>
      <c r="CG1899" s="73"/>
      <c r="CH1899" s="73"/>
    </row>
    <row r="1900">
      <c r="A1900" s="73"/>
      <c r="B1900" s="73"/>
      <c r="C1900" s="73"/>
      <c r="D1900" s="73"/>
      <c r="E1900" s="140"/>
      <c r="F1900" s="80"/>
      <c r="G1900" s="80"/>
      <c r="H1900" s="73"/>
      <c r="I1900" s="73"/>
      <c r="J1900" s="73"/>
      <c r="K1900" s="73"/>
      <c r="L1900" s="73"/>
      <c r="M1900" s="73"/>
      <c r="N1900" s="73"/>
      <c r="O1900" s="73"/>
      <c r="P1900" s="73"/>
      <c r="Q1900" s="73"/>
      <c r="R1900" s="73"/>
      <c r="S1900" s="73"/>
      <c r="T1900" s="73"/>
      <c r="U1900" s="73"/>
      <c r="V1900" s="73"/>
      <c r="W1900" s="73"/>
      <c r="X1900" s="73"/>
      <c r="Y1900" s="73"/>
      <c r="Z1900" s="73"/>
      <c r="AA1900" s="73"/>
      <c r="AB1900" s="73"/>
      <c r="AC1900" s="73"/>
      <c r="AD1900" s="73"/>
      <c r="AE1900" s="73"/>
      <c r="AF1900" s="73"/>
      <c r="AG1900" s="73"/>
      <c r="AH1900" s="73"/>
      <c r="AI1900" s="73"/>
      <c r="AJ1900" s="168"/>
      <c r="AK1900" s="73"/>
      <c r="AL1900" s="73"/>
      <c r="AM1900" s="73"/>
      <c r="AN1900" s="73"/>
      <c r="AO1900" s="73"/>
      <c r="AP1900" s="73"/>
      <c r="AQ1900" s="73"/>
      <c r="AR1900" s="73"/>
      <c r="AS1900" s="73"/>
      <c r="AT1900" s="73"/>
      <c r="AU1900" s="73"/>
      <c r="AV1900" s="73"/>
      <c r="AW1900" s="73"/>
      <c r="AX1900" s="73"/>
      <c r="AY1900" s="73"/>
      <c r="AZ1900" s="73"/>
      <c r="BA1900" s="73"/>
      <c r="BB1900" s="73"/>
      <c r="BC1900" s="73"/>
      <c r="BD1900" s="73"/>
      <c r="BE1900" s="73"/>
      <c r="BF1900" s="75"/>
      <c r="BG1900" s="73"/>
      <c r="BH1900" s="88"/>
      <c r="BI1900" s="73"/>
      <c r="BJ1900" s="73"/>
      <c r="BK1900" s="73"/>
      <c r="BL1900" s="73"/>
      <c r="BM1900" s="73"/>
      <c r="BN1900" s="73"/>
      <c r="BO1900" s="73"/>
      <c r="BP1900" s="73"/>
      <c r="BQ1900" s="73"/>
      <c r="BR1900" s="73"/>
      <c r="BS1900" s="73"/>
      <c r="BT1900" s="73"/>
      <c r="BU1900" s="73"/>
      <c r="BV1900" s="73"/>
      <c r="BW1900" s="73"/>
      <c r="BX1900" s="73"/>
      <c r="BY1900" s="73"/>
      <c r="BZ1900" s="73"/>
      <c r="CA1900" s="73"/>
      <c r="CB1900" s="73"/>
      <c r="CC1900" s="73"/>
      <c r="CD1900" s="73"/>
      <c r="CE1900" s="73"/>
      <c r="CF1900" s="73"/>
      <c r="CG1900" s="73"/>
      <c r="CH1900" s="73"/>
    </row>
    <row r="1901">
      <c r="A1901" s="73"/>
      <c r="B1901" s="73"/>
      <c r="C1901" s="73"/>
      <c r="D1901" s="73"/>
      <c r="E1901" s="140"/>
      <c r="F1901" s="80"/>
      <c r="G1901" s="80"/>
      <c r="H1901" s="73"/>
      <c r="I1901" s="73"/>
      <c r="J1901" s="73"/>
      <c r="K1901" s="73"/>
      <c r="L1901" s="73"/>
      <c r="M1901" s="73"/>
      <c r="N1901" s="73"/>
      <c r="O1901" s="73"/>
      <c r="P1901" s="73"/>
      <c r="Q1901" s="73"/>
      <c r="R1901" s="73"/>
      <c r="S1901" s="73"/>
      <c r="T1901" s="73"/>
      <c r="U1901" s="73"/>
      <c r="V1901" s="73"/>
      <c r="W1901" s="73"/>
      <c r="X1901" s="73"/>
      <c r="Y1901" s="73"/>
      <c r="Z1901" s="73"/>
      <c r="AA1901" s="73"/>
      <c r="AB1901" s="73"/>
      <c r="AC1901" s="73"/>
      <c r="AD1901" s="73"/>
      <c r="AE1901" s="73"/>
      <c r="AF1901" s="73"/>
      <c r="AG1901" s="73"/>
      <c r="AH1901" s="73"/>
      <c r="AI1901" s="73"/>
      <c r="AJ1901" s="168"/>
      <c r="AK1901" s="73"/>
      <c r="AL1901" s="73"/>
      <c r="AM1901" s="73"/>
      <c r="AN1901" s="73"/>
      <c r="AO1901" s="73"/>
      <c r="AP1901" s="73"/>
      <c r="AQ1901" s="73"/>
      <c r="AR1901" s="73"/>
      <c r="AS1901" s="73"/>
      <c r="AT1901" s="73"/>
      <c r="AU1901" s="73"/>
      <c r="AV1901" s="73"/>
      <c r="AW1901" s="73"/>
      <c r="AX1901" s="73"/>
      <c r="AY1901" s="73"/>
      <c r="AZ1901" s="73"/>
      <c r="BA1901" s="73"/>
      <c r="BB1901" s="73"/>
      <c r="BC1901" s="73"/>
      <c r="BD1901" s="73"/>
      <c r="BE1901" s="73"/>
      <c r="BF1901" s="75"/>
      <c r="BG1901" s="73"/>
      <c r="BH1901" s="88"/>
      <c r="BI1901" s="73"/>
      <c r="BJ1901" s="73"/>
      <c r="BK1901" s="73"/>
      <c r="BL1901" s="73"/>
      <c r="BM1901" s="73"/>
      <c r="BN1901" s="73"/>
      <c r="BO1901" s="73"/>
      <c r="BP1901" s="73"/>
      <c r="BQ1901" s="73"/>
      <c r="BR1901" s="73"/>
      <c r="BS1901" s="73"/>
      <c r="BT1901" s="73"/>
      <c r="BU1901" s="73"/>
      <c r="BV1901" s="73"/>
      <c r="BW1901" s="73"/>
      <c r="BX1901" s="73"/>
      <c r="BY1901" s="73"/>
      <c r="BZ1901" s="73"/>
      <c r="CA1901" s="73"/>
      <c r="CB1901" s="73"/>
      <c r="CC1901" s="73"/>
      <c r="CD1901" s="73"/>
      <c r="CE1901" s="73"/>
      <c r="CF1901" s="73"/>
      <c r="CG1901" s="73"/>
      <c r="CH1901" s="73"/>
    </row>
    <row r="1902">
      <c r="A1902" s="73"/>
      <c r="B1902" s="73"/>
      <c r="C1902" s="73"/>
      <c r="D1902" s="73"/>
      <c r="E1902" s="140"/>
      <c r="F1902" s="80"/>
      <c r="G1902" s="80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  <c r="S1902" s="73"/>
      <c r="T1902" s="73"/>
      <c r="U1902" s="73"/>
      <c r="V1902" s="73"/>
      <c r="W1902" s="73"/>
      <c r="X1902" s="73"/>
      <c r="Y1902" s="73"/>
      <c r="Z1902" s="73"/>
      <c r="AA1902" s="73"/>
      <c r="AB1902" s="73"/>
      <c r="AC1902" s="73"/>
      <c r="AD1902" s="73"/>
      <c r="AE1902" s="73"/>
      <c r="AF1902" s="73"/>
      <c r="AG1902" s="73"/>
      <c r="AH1902" s="73"/>
      <c r="AI1902" s="73"/>
      <c r="AJ1902" s="168"/>
      <c r="AK1902" s="73"/>
      <c r="AL1902" s="73"/>
      <c r="AM1902" s="73"/>
      <c r="AN1902" s="73"/>
      <c r="AO1902" s="73"/>
      <c r="AP1902" s="73"/>
      <c r="AQ1902" s="73"/>
      <c r="AR1902" s="73"/>
      <c r="AS1902" s="73"/>
      <c r="AT1902" s="73"/>
      <c r="AU1902" s="73"/>
      <c r="AV1902" s="73"/>
      <c r="AW1902" s="73"/>
      <c r="AX1902" s="73"/>
      <c r="AY1902" s="73"/>
      <c r="AZ1902" s="73"/>
      <c r="BA1902" s="73"/>
      <c r="BB1902" s="73"/>
      <c r="BC1902" s="73"/>
      <c r="BD1902" s="73"/>
      <c r="BE1902" s="73"/>
      <c r="BF1902" s="75"/>
      <c r="BG1902" s="73"/>
      <c r="BH1902" s="88"/>
      <c r="BI1902" s="73"/>
      <c r="BJ1902" s="73"/>
      <c r="BK1902" s="73"/>
      <c r="BL1902" s="73"/>
      <c r="BM1902" s="73"/>
      <c r="BN1902" s="73"/>
      <c r="BO1902" s="73"/>
      <c r="BP1902" s="73"/>
      <c r="BQ1902" s="73"/>
      <c r="BR1902" s="73"/>
      <c r="BS1902" s="73"/>
      <c r="BT1902" s="73"/>
      <c r="BU1902" s="73"/>
      <c r="BV1902" s="73"/>
      <c r="BW1902" s="73"/>
      <c r="BX1902" s="73"/>
      <c r="BY1902" s="73"/>
      <c r="BZ1902" s="73"/>
      <c r="CA1902" s="73"/>
      <c r="CB1902" s="73"/>
      <c r="CC1902" s="73"/>
      <c r="CD1902" s="73"/>
      <c r="CE1902" s="73"/>
      <c r="CF1902" s="73"/>
      <c r="CG1902" s="73"/>
      <c r="CH1902" s="73"/>
    </row>
    <row r="1903">
      <c r="A1903" s="73"/>
      <c r="B1903" s="73"/>
      <c r="C1903" s="73"/>
      <c r="D1903" s="73"/>
      <c r="E1903" s="140"/>
      <c r="F1903" s="80"/>
      <c r="G1903" s="80"/>
      <c r="H1903" s="73"/>
      <c r="I1903" s="73"/>
      <c r="J1903" s="73"/>
      <c r="K1903" s="73"/>
      <c r="L1903" s="73"/>
      <c r="M1903" s="73"/>
      <c r="N1903" s="73"/>
      <c r="O1903" s="73"/>
      <c r="P1903" s="73"/>
      <c r="Q1903" s="73"/>
      <c r="R1903" s="73"/>
      <c r="S1903" s="73"/>
      <c r="T1903" s="73"/>
      <c r="U1903" s="73"/>
      <c r="V1903" s="73"/>
      <c r="W1903" s="73"/>
      <c r="X1903" s="73"/>
      <c r="Y1903" s="73"/>
      <c r="Z1903" s="73"/>
      <c r="AA1903" s="73"/>
      <c r="AB1903" s="73"/>
      <c r="AC1903" s="73"/>
      <c r="AD1903" s="73"/>
      <c r="AE1903" s="73"/>
      <c r="AF1903" s="73"/>
      <c r="AG1903" s="73"/>
      <c r="AH1903" s="73"/>
      <c r="AI1903" s="73"/>
      <c r="AJ1903" s="168"/>
      <c r="AK1903" s="73"/>
      <c r="AL1903" s="73"/>
      <c r="AM1903" s="73"/>
      <c r="AN1903" s="73"/>
      <c r="AO1903" s="73"/>
      <c r="AP1903" s="73"/>
      <c r="AQ1903" s="73"/>
      <c r="AR1903" s="73"/>
      <c r="AS1903" s="73"/>
      <c r="AT1903" s="73"/>
      <c r="AU1903" s="73"/>
      <c r="AV1903" s="73"/>
      <c r="AW1903" s="73"/>
      <c r="AX1903" s="73"/>
      <c r="AY1903" s="73"/>
      <c r="AZ1903" s="73"/>
      <c r="BA1903" s="73"/>
      <c r="BB1903" s="73"/>
      <c r="BC1903" s="73"/>
      <c r="BD1903" s="73"/>
      <c r="BE1903" s="73"/>
      <c r="BF1903" s="75"/>
      <c r="BG1903" s="73"/>
      <c r="BH1903" s="88"/>
      <c r="BI1903" s="73"/>
      <c r="BJ1903" s="73"/>
      <c r="BK1903" s="73"/>
      <c r="BL1903" s="73"/>
      <c r="BM1903" s="73"/>
      <c r="BN1903" s="73"/>
      <c r="BO1903" s="73"/>
      <c r="BP1903" s="73"/>
      <c r="BQ1903" s="73"/>
      <c r="BR1903" s="73"/>
      <c r="BS1903" s="73"/>
      <c r="BT1903" s="73"/>
      <c r="BU1903" s="73"/>
      <c r="BV1903" s="73"/>
      <c r="BW1903" s="73"/>
      <c r="BX1903" s="73"/>
      <c r="BY1903" s="73"/>
      <c r="BZ1903" s="73"/>
      <c r="CA1903" s="73"/>
      <c r="CB1903" s="73"/>
      <c r="CC1903" s="73"/>
      <c r="CD1903" s="73"/>
      <c r="CE1903" s="73"/>
      <c r="CF1903" s="73"/>
      <c r="CG1903" s="73"/>
      <c r="CH1903" s="73"/>
    </row>
    <row r="1904">
      <c r="A1904" s="73"/>
      <c r="B1904" s="73"/>
      <c r="C1904" s="73"/>
      <c r="D1904" s="73"/>
      <c r="E1904" s="140"/>
      <c r="F1904" s="80"/>
      <c r="G1904" s="80"/>
      <c r="H1904" s="73"/>
      <c r="I1904" s="73"/>
      <c r="J1904" s="73"/>
      <c r="K1904" s="73"/>
      <c r="L1904" s="73"/>
      <c r="M1904" s="73"/>
      <c r="N1904" s="73"/>
      <c r="O1904" s="73"/>
      <c r="P1904" s="73"/>
      <c r="Q1904" s="73"/>
      <c r="R1904" s="73"/>
      <c r="S1904" s="73"/>
      <c r="T1904" s="73"/>
      <c r="U1904" s="73"/>
      <c r="V1904" s="73"/>
      <c r="W1904" s="73"/>
      <c r="X1904" s="73"/>
      <c r="Y1904" s="73"/>
      <c r="Z1904" s="73"/>
      <c r="AA1904" s="73"/>
      <c r="AB1904" s="73"/>
      <c r="AC1904" s="73"/>
      <c r="AD1904" s="73"/>
      <c r="AE1904" s="73"/>
      <c r="AF1904" s="73"/>
      <c r="AG1904" s="73"/>
      <c r="AH1904" s="73"/>
      <c r="AI1904" s="73"/>
      <c r="AJ1904" s="168"/>
      <c r="AK1904" s="73"/>
      <c r="AL1904" s="73"/>
      <c r="AM1904" s="73"/>
      <c r="AN1904" s="73"/>
      <c r="AO1904" s="73"/>
      <c r="AP1904" s="73"/>
      <c r="AQ1904" s="73"/>
      <c r="AR1904" s="73"/>
      <c r="AS1904" s="73"/>
      <c r="AT1904" s="73"/>
      <c r="AU1904" s="73"/>
      <c r="AV1904" s="73"/>
      <c r="AW1904" s="73"/>
      <c r="AX1904" s="73"/>
      <c r="AY1904" s="73"/>
      <c r="AZ1904" s="73"/>
      <c r="BA1904" s="73"/>
      <c r="BB1904" s="73"/>
      <c r="BC1904" s="73"/>
      <c r="BD1904" s="73"/>
      <c r="BE1904" s="73"/>
      <c r="BF1904" s="75"/>
      <c r="BG1904" s="73"/>
      <c r="BH1904" s="88"/>
      <c r="BI1904" s="73"/>
      <c r="BJ1904" s="73"/>
      <c r="BK1904" s="73"/>
      <c r="BL1904" s="73"/>
      <c r="BM1904" s="73"/>
      <c r="BN1904" s="73"/>
      <c r="BO1904" s="73"/>
      <c r="BP1904" s="73"/>
      <c r="BQ1904" s="73"/>
      <c r="BR1904" s="73"/>
      <c r="BS1904" s="73"/>
      <c r="BT1904" s="73"/>
      <c r="BU1904" s="73"/>
      <c r="BV1904" s="73"/>
      <c r="BW1904" s="73"/>
      <c r="BX1904" s="73"/>
      <c r="BY1904" s="73"/>
      <c r="BZ1904" s="73"/>
      <c r="CA1904" s="73"/>
      <c r="CB1904" s="73"/>
      <c r="CC1904" s="73"/>
      <c r="CD1904" s="73"/>
      <c r="CE1904" s="73"/>
      <c r="CF1904" s="73"/>
      <c r="CG1904" s="73"/>
      <c r="CH1904" s="73"/>
    </row>
    <row r="1905">
      <c r="A1905" s="73"/>
      <c r="B1905" s="73"/>
      <c r="C1905" s="73"/>
      <c r="D1905" s="73"/>
      <c r="E1905" s="140"/>
      <c r="F1905" s="80"/>
      <c r="G1905" s="80"/>
      <c r="H1905" s="73"/>
      <c r="I1905" s="73"/>
      <c r="J1905" s="73"/>
      <c r="K1905" s="73"/>
      <c r="L1905" s="73"/>
      <c r="M1905" s="73"/>
      <c r="N1905" s="73"/>
      <c r="O1905" s="73"/>
      <c r="P1905" s="73"/>
      <c r="Q1905" s="73"/>
      <c r="R1905" s="73"/>
      <c r="S1905" s="73"/>
      <c r="T1905" s="73"/>
      <c r="U1905" s="73"/>
      <c r="V1905" s="73"/>
      <c r="W1905" s="73"/>
      <c r="X1905" s="73"/>
      <c r="Y1905" s="73"/>
      <c r="Z1905" s="73"/>
      <c r="AA1905" s="73"/>
      <c r="AB1905" s="73"/>
      <c r="AC1905" s="73"/>
      <c r="AD1905" s="73"/>
      <c r="AE1905" s="73"/>
      <c r="AF1905" s="73"/>
      <c r="AG1905" s="73"/>
      <c r="AH1905" s="73"/>
      <c r="AI1905" s="73"/>
      <c r="AJ1905" s="168"/>
      <c r="AK1905" s="73"/>
      <c r="AL1905" s="73"/>
      <c r="AM1905" s="73"/>
      <c r="AN1905" s="73"/>
      <c r="AO1905" s="73"/>
      <c r="AP1905" s="73"/>
      <c r="AQ1905" s="73"/>
      <c r="AR1905" s="73"/>
      <c r="AS1905" s="73"/>
      <c r="AT1905" s="73"/>
      <c r="AU1905" s="73"/>
      <c r="AV1905" s="73"/>
      <c r="AW1905" s="73"/>
      <c r="AX1905" s="73"/>
      <c r="AY1905" s="73"/>
      <c r="AZ1905" s="73"/>
      <c r="BA1905" s="73"/>
      <c r="BB1905" s="73"/>
      <c r="BC1905" s="73"/>
      <c r="BD1905" s="73"/>
      <c r="BE1905" s="73"/>
      <c r="BF1905" s="75"/>
      <c r="BG1905" s="73"/>
      <c r="BH1905" s="88"/>
      <c r="BI1905" s="73"/>
      <c r="BJ1905" s="73"/>
      <c r="BK1905" s="73"/>
      <c r="BL1905" s="73"/>
      <c r="BM1905" s="73"/>
      <c r="BN1905" s="73"/>
      <c r="BO1905" s="73"/>
      <c r="BP1905" s="73"/>
      <c r="BQ1905" s="73"/>
      <c r="BR1905" s="73"/>
      <c r="BS1905" s="73"/>
      <c r="BT1905" s="73"/>
      <c r="BU1905" s="73"/>
      <c r="BV1905" s="73"/>
      <c r="BW1905" s="73"/>
      <c r="BX1905" s="73"/>
      <c r="BY1905" s="73"/>
      <c r="BZ1905" s="73"/>
      <c r="CA1905" s="73"/>
      <c r="CB1905" s="73"/>
      <c r="CC1905" s="73"/>
      <c r="CD1905" s="73"/>
      <c r="CE1905" s="73"/>
      <c r="CF1905" s="73"/>
      <c r="CG1905" s="73"/>
      <c r="CH1905" s="73"/>
    </row>
    <row r="1906">
      <c r="A1906" s="73"/>
      <c r="B1906" s="73"/>
      <c r="C1906" s="73"/>
      <c r="D1906" s="73"/>
      <c r="E1906" s="140"/>
      <c r="F1906" s="80"/>
      <c r="G1906" s="80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  <c r="S1906" s="73"/>
      <c r="T1906" s="73"/>
      <c r="U1906" s="73"/>
      <c r="V1906" s="73"/>
      <c r="W1906" s="73"/>
      <c r="X1906" s="73"/>
      <c r="Y1906" s="73"/>
      <c r="Z1906" s="73"/>
      <c r="AA1906" s="73"/>
      <c r="AB1906" s="73"/>
      <c r="AC1906" s="73"/>
      <c r="AD1906" s="73"/>
      <c r="AE1906" s="73"/>
      <c r="AF1906" s="73"/>
      <c r="AG1906" s="73"/>
      <c r="AH1906" s="73"/>
      <c r="AI1906" s="73"/>
      <c r="AJ1906" s="168"/>
      <c r="AK1906" s="73"/>
      <c r="AL1906" s="73"/>
      <c r="AM1906" s="73"/>
      <c r="AN1906" s="73"/>
      <c r="AO1906" s="73"/>
      <c r="AP1906" s="73"/>
      <c r="AQ1906" s="73"/>
      <c r="AR1906" s="73"/>
      <c r="AS1906" s="73"/>
      <c r="AT1906" s="73"/>
      <c r="AU1906" s="73"/>
      <c r="AV1906" s="73"/>
      <c r="AW1906" s="73"/>
      <c r="AX1906" s="73"/>
      <c r="AY1906" s="73"/>
      <c r="AZ1906" s="73"/>
      <c r="BA1906" s="73"/>
      <c r="BB1906" s="73"/>
      <c r="BC1906" s="73"/>
      <c r="BD1906" s="73"/>
      <c r="BE1906" s="73"/>
      <c r="BF1906" s="75"/>
      <c r="BG1906" s="73"/>
      <c r="BH1906" s="88"/>
      <c r="BI1906" s="73"/>
      <c r="BJ1906" s="73"/>
      <c r="BK1906" s="73"/>
      <c r="BL1906" s="73"/>
      <c r="BM1906" s="73"/>
      <c r="BN1906" s="73"/>
      <c r="BO1906" s="73"/>
      <c r="BP1906" s="73"/>
      <c r="BQ1906" s="73"/>
      <c r="BR1906" s="73"/>
      <c r="BS1906" s="73"/>
      <c r="BT1906" s="73"/>
      <c r="BU1906" s="73"/>
      <c r="BV1906" s="73"/>
      <c r="BW1906" s="73"/>
      <c r="BX1906" s="73"/>
      <c r="BY1906" s="73"/>
      <c r="BZ1906" s="73"/>
      <c r="CA1906" s="73"/>
      <c r="CB1906" s="73"/>
      <c r="CC1906" s="73"/>
      <c r="CD1906" s="73"/>
      <c r="CE1906" s="73"/>
      <c r="CF1906" s="73"/>
      <c r="CG1906" s="73"/>
      <c r="CH1906" s="73"/>
    </row>
    <row r="1907">
      <c r="A1907" s="73"/>
      <c r="B1907" s="73"/>
      <c r="C1907" s="73"/>
      <c r="D1907" s="73"/>
      <c r="E1907" s="140"/>
      <c r="F1907" s="80"/>
      <c r="G1907" s="80"/>
      <c r="H1907" s="73"/>
      <c r="I1907" s="73"/>
      <c r="J1907" s="73"/>
      <c r="K1907" s="73"/>
      <c r="L1907" s="73"/>
      <c r="M1907" s="73"/>
      <c r="N1907" s="73"/>
      <c r="O1907" s="73"/>
      <c r="P1907" s="73"/>
      <c r="Q1907" s="73"/>
      <c r="R1907" s="73"/>
      <c r="S1907" s="73"/>
      <c r="T1907" s="73"/>
      <c r="U1907" s="73"/>
      <c r="V1907" s="73"/>
      <c r="W1907" s="73"/>
      <c r="X1907" s="73"/>
      <c r="Y1907" s="73"/>
      <c r="Z1907" s="73"/>
      <c r="AA1907" s="73"/>
      <c r="AB1907" s="73"/>
      <c r="AC1907" s="73"/>
      <c r="AD1907" s="73"/>
      <c r="AE1907" s="73"/>
      <c r="AF1907" s="73"/>
      <c r="AG1907" s="73"/>
      <c r="AH1907" s="73"/>
      <c r="AI1907" s="73"/>
      <c r="AJ1907" s="168"/>
      <c r="AK1907" s="73"/>
      <c r="AL1907" s="73"/>
      <c r="AM1907" s="73"/>
      <c r="AN1907" s="73"/>
      <c r="AO1907" s="73"/>
      <c r="AP1907" s="73"/>
      <c r="AQ1907" s="73"/>
      <c r="AR1907" s="73"/>
      <c r="AS1907" s="73"/>
      <c r="AT1907" s="73"/>
      <c r="AU1907" s="73"/>
      <c r="AV1907" s="73"/>
      <c r="AW1907" s="73"/>
      <c r="AX1907" s="73"/>
      <c r="AY1907" s="73"/>
      <c r="AZ1907" s="73"/>
      <c r="BA1907" s="73"/>
      <c r="BB1907" s="73"/>
      <c r="BC1907" s="73"/>
      <c r="BD1907" s="73"/>
      <c r="BE1907" s="73"/>
      <c r="BF1907" s="75"/>
      <c r="BG1907" s="73"/>
      <c r="BH1907" s="88"/>
      <c r="BI1907" s="73"/>
      <c r="BJ1907" s="73"/>
      <c r="BK1907" s="73"/>
      <c r="BL1907" s="73"/>
      <c r="BM1907" s="73"/>
      <c r="BN1907" s="73"/>
      <c r="BO1907" s="73"/>
      <c r="BP1907" s="73"/>
      <c r="BQ1907" s="73"/>
      <c r="BR1907" s="73"/>
      <c r="BS1907" s="73"/>
      <c r="BT1907" s="73"/>
      <c r="BU1907" s="73"/>
      <c r="BV1907" s="73"/>
      <c r="BW1907" s="73"/>
      <c r="BX1907" s="73"/>
      <c r="BY1907" s="73"/>
      <c r="BZ1907" s="73"/>
      <c r="CA1907" s="73"/>
      <c r="CB1907" s="73"/>
      <c r="CC1907" s="73"/>
      <c r="CD1907" s="73"/>
      <c r="CE1907" s="73"/>
      <c r="CF1907" s="73"/>
      <c r="CG1907" s="73"/>
      <c r="CH1907" s="73"/>
    </row>
    <row r="1908">
      <c r="A1908" s="73"/>
      <c r="B1908" s="73"/>
      <c r="C1908" s="73"/>
      <c r="D1908" s="73"/>
      <c r="E1908" s="140"/>
      <c r="F1908" s="80"/>
      <c r="G1908" s="80"/>
      <c r="H1908" s="73"/>
      <c r="I1908" s="73"/>
      <c r="J1908" s="73"/>
      <c r="K1908" s="73"/>
      <c r="L1908" s="73"/>
      <c r="M1908" s="73"/>
      <c r="N1908" s="73"/>
      <c r="O1908" s="73"/>
      <c r="P1908" s="73"/>
      <c r="Q1908" s="73"/>
      <c r="R1908" s="73"/>
      <c r="S1908" s="73"/>
      <c r="T1908" s="73"/>
      <c r="U1908" s="73"/>
      <c r="V1908" s="73"/>
      <c r="W1908" s="73"/>
      <c r="X1908" s="73"/>
      <c r="Y1908" s="73"/>
      <c r="Z1908" s="73"/>
      <c r="AA1908" s="73"/>
      <c r="AB1908" s="73"/>
      <c r="AC1908" s="73"/>
      <c r="AD1908" s="73"/>
      <c r="AE1908" s="73"/>
      <c r="AF1908" s="73"/>
      <c r="AG1908" s="73"/>
      <c r="AH1908" s="73"/>
      <c r="AI1908" s="73"/>
      <c r="AJ1908" s="168"/>
      <c r="AK1908" s="73"/>
      <c r="AL1908" s="73"/>
      <c r="AM1908" s="73"/>
      <c r="AN1908" s="73"/>
      <c r="AO1908" s="73"/>
      <c r="AP1908" s="73"/>
      <c r="AQ1908" s="73"/>
      <c r="AR1908" s="73"/>
      <c r="AS1908" s="73"/>
      <c r="AT1908" s="73"/>
      <c r="AU1908" s="73"/>
      <c r="AV1908" s="73"/>
      <c r="AW1908" s="73"/>
      <c r="AX1908" s="73"/>
      <c r="AY1908" s="73"/>
      <c r="AZ1908" s="73"/>
      <c r="BA1908" s="73"/>
      <c r="BB1908" s="73"/>
      <c r="BC1908" s="73"/>
      <c r="BD1908" s="73"/>
      <c r="BE1908" s="73"/>
      <c r="BF1908" s="75"/>
      <c r="BG1908" s="73"/>
      <c r="BH1908" s="88"/>
      <c r="BI1908" s="73"/>
      <c r="BJ1908" s="73"/>
      <c r="BK1908" s="73"/>
      <c r="BL1908" s="73"/>
      <c r="BM1908" s="73"/>
      <c r="BN1908" s="73"/>
      <c r="BO1908" s="73"/>
      <c r="BP1908" s="73"/>
      <c r="BQ1908" s="73"/>
      <c r="BR1908" s="73"/>
      <c r="BS1908" s="73"/>
      <c r="BT1908" s="73"/>
      <c r="BU1908" s="73"/>
      <c r="BV1908" s="73"/>
      <c r="BW1908" s="73"/>
      <c r="BX1908" s="73"/>
      <c r="BY1908" s="73"/>
      <c r="BZ1908" s="73"/>
      <c r="CA1908" s="73"/>
      <c r="CB1908" s="73"/>
      <c r="CC1908" s="73"/>
      <c r="CD1908" s="73"/>
      <c r="CE1908" s="73"/>
      <c r="CF1908" s="73"/>
      <c r="CG1908" s="73"/>
      <c r="CH1908" s="73"/>
    </row>
    <row r="1909">
      <c r="A1909" s="73"/>
      <c r="B1909" s="73"/>
      <c r="C1909" s="73"/>
      <c r="D1909" s="73"/>
      <c r="E1909" s="140"/>
      <c r="F1909" s="80"/>
      <c r="G1909" s="80"/>
      <c r="H1909" s="73"/>
      <c r="I1909" s="73"/>
      <c r="J1909" s="73"/>
      <c r="K1909" s="73"/>
      <c r="L1909" s="73"/>
      <c r="M1909" s="73"/>
      <c r="N1909" s="73"/>
      <c r="O1909" s="73"/>
      <c r="P1909" s="73"/>
      <c r="Q1909" s="73"/>
      <c r="R1909" s="73"/>
      <c r="S1909" s="73"/>
      <c r="T1909" s="73"/>
      <c r="U1909" s="73"/>
      <c r="V1909" s="73"/>
      <c r="W1909" s="73"/>
      <c r="X1909" s="73"/>
      <c r="Y1909" s="73"/>
      <c r="Z1909" s="73"/>
      <c r="AA1909" s="73"/>
      <c r="AB1909" s="73"/>
      <c r="AC1909" s="73"/>
      <c r="AD1909" s="73"/>
      <c r="AE1909" s="73"/>
      <c r="AF1909" s="73"/>
      <c r="AG1909" s="73"/>
      <c r="AH1909" s="73"/>
      <c r="AI1909" s="73"/>
      <c r="AJ1909" s="168"/>
      <c r="AK1909" s="73"/>
      <c r="AL1909" s="73"/>
      <c r="AM1909" s="73"/>
      <c r="AN1909" s="73"/>
      <c r="AO1909" s="73"/>
      <c r="AP1909" s="73"/>
      <c r="AQ1909" s="73"/>
      <c r="AR1909" s="73"/>
      <c r="AS1909" s="73"/>
      <c r="AT1909" s="73"/>
      <c r="AU1909" s="73"/>
      <c r="AV1909" s="73"/>
      <c r="AW1909" s="73"/>
      <c r="AX1909" s="73"/>
      <c r="AY1909" s="73"/>
      <c r="AZ1909" s="73"/>
      <c r="BA1909" s="73"/>
      <c r="BB1909" s="73"/>
      <c r="BC1909" s="73"/>
      <c r="BD1909" s="73"/>
      <c r="BE1909" s="73"/>
      <c r="BF1909" s="75"/>
      <c r="BG1909" s="73"/>
      <c r="BH1909" s="88"/>
      <c r="BI1909" s="73"/>
      <c r="BJ1909" s="73"/>
      <c r="BK1909" s="73"/>
      <c r="BL1909" s="73"/>
      <c r="BM1909" s="73"/>
      <c r="BN1909" s="73"/>
      <c r="BO1909" s="73"/>
      <c r="BP1909" s="73"/>
      <c r="BQ1909" s="73"/>
      <c r="BR1909" s="73"/>
      <c r="BS1909" s="73"/>
      <c r="BT1909" s="73"/>
      <c r="BU1909" s="73"/>
      <c r="BV1909" s="73"/>
      <c r="BW1909" s="73"/>
      <c r="BX1909" s="73"/>
      <c r="BY1909" s="73"/>
      <c r="BZ1909" s="73"/>
      <c r="CA1909" s="73"/>
      <c r="CB1909" s="73"/>
      <c r="CC1909" s="73"/>
      <c r="CD1909" s="73"/>
      <c r="CE1909" s="73"/>
      <c r="CF1909" s="73"/>
      <c r="CG1909" s="73"/>
      <c r="CH1909" s="73"/>
    </row>
    <row r="1910">
      <c r="A1910" s="73"/>
      <c r="B1910" s="73"/>
      <c r="C1910" s="73"/>
      <c r="D1910" s="73"/>
      <c r="E1910" s="140"/>
      <c r="F1910" s="80"/>
      <c r="G1910" s="80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  <c r="S1910" s="73"/>
      <c r="T1910" s="73"/>
      <c r="U1910" s="73"/>
      <c r="V1910" s="73"/>
      <c r="W1910" s="73"/>
      <c r="X1910" s="73"/>
      <c r="Y1910" s="73"/>
      <c r="Z1910" s="73"/>
      <c r="AA1910" s="73"/>
      <c r="AB1910" s="73"/>
      <c r="AC1910" s="73"/>
      <c r="AD1910" s="73"/>
      <c r="AE1910" s="73"/>
      <c r="AF1910" s="73"/>
      <c r="AG1910" s="73"/>
      <c r="AH1910" s="73"/>
      <c r="AI1910" s="73"/>
      <c r="AJ1910" s="168"/>
      <c r="AK1910" s="73"/>
      <c r="AL1910" s="73"/>
      <c r="AM1910" s="73"/>
      <c r="AN1910" s="73"/>
      <c r="AO1910" s="73"/>
      <c r="AP1910" s="73"/>
      <c r="AQ1910" s="73"/>
      <c r="AR1910" s="73"/>
      <c r="AS1910" s="73"/>
      <c r="AT1910" s="73"/>
      <c r="AU1910" s="73"/>
      <c r="AV1910" s="73"/>
      <c r="AW1910" s="73"/>
      <c r="AX1910" s="73"/>
      <c r="AY1910" s="73"/>
      <c r="AZ1910" s="73"/>
      <c r="BA1910" s="73"/>
      <c r="BB1910" s="73"/>
      <c r="BC1910" s="73"/>
      <c r="BD1910" s="73"/>
      <c r="BE1910" s="73"/>
      <c r="BF1910" s="75"/>
      <c r="BG1910" s="73"/>
      <c r="BH1910" s="88"/>
      <c r="BI1910" s="73"/>
      <c r="BJ1910" s="73"/>
      <c r="BK1910" s="73"/>
      <c r="BL1910" s="73"/>
      <c r="BM1910" s="73"/>
      <c r="BN1910" s="73"/>
      <c r="BO1910" s="73"/>
      <c r="BP1910" s="73"/>
      <c r="BQ1910" s="73"/>
      <c r="BR1910" s="73"/>
      <c r="BS1910" s="73"/>
      <c r="BT1910" s="73"/>
      <c r="BU1910" s="73"/>
      <c r="BV1910" s="73"/>
      <c r="BW1910" s="73"/>
      <c r="BX1910" s="73"/>
      <c r="BY1910" s="73"/>
      <c r="BZ1910" s="73"/>
      <c r="CA1910" s="73"/>
      <c r="CB1910" s="73"/>
      <c r="CC1910" s="73"/>
      <c r="CD1910" s="73"/>
      <c r="CE1910" s="73"/>
      <c r="CF1910" s="73"/>
      <c r="CG1910" s="73"/>
      <c r="CH1910" s="73"/>
    </row>
    <row r="1911">
      <c r="A1911" s="73"/>
      <c r="B1911" s="73"/>
      <c r="C1911" s="73"/>
      <c r="D1911" s="73"/>
      <c r="E1911" s="140"/>
      <c r="F1911" s="80"/>
      <c r="G1911" s="80"/>
      <c r="H1911" s="73"/>
      <c r="I1911" s="73"/>
      <c r="J1911" s="73"/>
      <c r="K1911" s="73"/>
      <c r="L1911" s="73"/>
      <c r="M1911" s="73"/>
      <c r="N1911" s="73"/>
      <c r="O1911" s="73"/>
      <c r="P1911" s="73"/>
      <c r="Q1911" s="73"/>
      <c r="R1911" s="73"/>
      <c r="S1911" s="73"/>
      <c r="T1911" s="73"/>
      <c r="U1911" s="73"/>
      <c r="V1911" s="73"/>
      <c r="W1911" s="73"/>
      <c r="X1911" s="73"/>
      <c r="Y1911" s="73"/>
      <c r="Z1911" s="73"/>
      <c r="AA1911" s="73"/>
      <c r="AB1911" s="73"/>
      <c r="AC1911" s="73"/>
      <c r="AD1911" s="73"/>
      <c r="AE1911" s="73"/>
      <c r="AF1911" s="73"/>
      <c r="AG1911" s="73"/>
      <c r="AH1911" s="73"/>
      <c r="AI1911" s="73"/>
      <c r="AJ1911" s="168"/>
      <c r="AK1911" s="73"/>
      <c r="AL1911" s="73"/>
      <c r="AM1911" s="73"/>
      <c r="AN1911" s="73"/>
      <c r="AO1911" s="73"/>
      <c r="AP1911" s="73"/>
      <c r="AQ1911" s="73"/>
      <c r="AR1911" s="73"/>
      <c r="AS1911" s="73"/>
      <c r="AT1911" s="73"/>
      <c r="AU1911" s="73"/>
      <c r="AV1911" s="73"/>
      <c r="AW1911" s="73"/>
      <c r="AX1911" s="73"/>
      <c r="AY1911" s="73"/>
      <c r="AZ1911" s="73"/>
      <c r="BA1911" s="73"/>
      <c r="BB1911" s="73"/>
      <c r="BC1911" s="73"/>
      <c r="BD1911" s="73"/>
      <c r="BE1911" s="73"/>
      <c r="BF1911" s="75"/>
      <c r="BG1911" s="73"/>
      <c r="BH1911" s="88"/>
      <c r="BI1911" s="73"/>
      <c r="BJ1911" s="73"/>
      <c r="BK1911" s="73"/>
      <c r="BL1911" s="73"/>
      <c r="BM1911" s="73"/>
      <c r="BN1911" s="73"/>
      <c r="BO1911" s="73"/>
      <c r="BP1911" s="73"/>
      <c r="BQ1911" s="73"/>
      <c r="BR1911" s="73"/>
      <c r="BS1911" s="73"/>
      <c r="BT1911" s="73"/>
      <c r="BU1911" s="73"/>
      <c r="BV1911" s="73"/>
      <c r="BW1911" s="73"/>
      <c r="BX1911" s="73"/>
      <c r="BY1911" s="73"/>
      <c r="BZ1911" s="73"/>
      <c r="CA1911" s="73"/>
      <c r="CB1911" s="73"/>
      <c r="CC1911" s="73"/>
      <c r="CD1911" s="73"/>
      <c r="CE1911" s="73"/>
      <c r="CF1911" s="73"/>
      <c r="CG1911" s="73"/>
      <c r="CH1911" s="73"/>
    </row>
    <row r="1912">
      <c r="A1912" s="73"/>
      <c r="B1912" s="73"/>
      <c r="C1912" s="73"/>
      <c r="D1912" s="73"/>
      <c r="E1912" s="140"/>
      <c r="F1912" s="80"/>
      <c r="G1912" s="80"/>
      <c r="H1912" s="73"/>
      <c r="I1912" s="73"/>
      <c r="J1912" s="73"/>
      <c r="K1912" s="73"/>
      <c r="L1912" s="73"/>
      <c r="M1912" s="73"/>
      <c r="N1912" s="73"/>
      <c r="O1912" s="73"/>
      <c r="P1912" s="73"/>
      <c r="Q1912" s="73"/>
      <c r="R1912" s="73"/>
      <c r="S1912" s="73"/>
      <c r="T1912" s="73"/>
      <c r="U1912" s="73"/>
      <c r="V1912" s="73"/>
      <c r="W1912" s="73"/>
      <c r="X1912" s="73"/>
      <c r="Y1912" s="73"/>
      <c r="Z1912" s="73"/>
      <c r="AA1912" s="73"/>
      <c r="AB1912" s="73"/>
      <c r="AC1912" s="73"/>
      <c r="AD1912" s="73"/>
      <c r="AE1912" s="73"/>
      <c r="AF1912" s="73"/>
      <c r="AG1912" s="73"/>
      <c r="AH1912" s="73"/>
      <c r="AI1912" s="73"/>
      <c r="AJ1912" s="168"/>
      <c r="AK1912" s="73"/>
      <c r="AL1912" s="73"/>
      <c r="AM1912" s="73"/>
      <c r="AN1912" s="73"/>
      <c r="AO1912" s="73"/>
      <c r="AP1912" s="73"/>
      <c r="AQ1912" s="73"/>
      <c r="AR1912" s="73"/>
      <c r="AS1912" s="73"/>
      <c r="AT1912" s="73"/>
      <c r="AU1912" s="73"/>
      <c r="AV1912" s="73"/>
      <c r="AW1912" s="73"/>
      <c r="AX1912" s="73"/>
      <c r="AY1912" s="73"/>
      <c r="AZ1912" s="73"/>
      <c r="BA1912" s="73"/>
      <c r="BB1912" s="73"/>
      <c r="BC1912" s="73"/>
      <c r="BD1912" s="73"/>
      <c r="BE1912" s="73"/>
      <c r="BF1912" s="75"/>
      <c r="BG1912" s="73"/>
      <c r="BH1912" s="88"/>
      <c r="BI1912" s="73"/>
      <c r="BJ1912" s="73"/>
      <c r="BK1912" s="73"/>
      <c r="BL1912" s="73"/>
      <c r="BM1912" s="73"/>
      <c r="BN1912" s="73"/>
      <c r="BO1912" s="73"/>
      <c r="BP1912" s="73"/>
      <c r="BQ1912" s="73"/>
      <c r="BR1912" s="73"/>
      <c r="BS1912" s="73"/>
      <c r="BT1912" s="73"/>
      <c r="BU1912" s="73"/>
      <c r="BV1912" s="73"/>
      <c r="BW1912" s="73"/>
      <c r="BX1912" s="73"/>
      <c r="BY1912" s="73"/>
      <c r="BZ1912" s="73"/>
      <c r="CA1912" s="73"/>
      <c r="CB1912" s="73"/>
      <c r="CC1912" s="73"/>
      <c r="CD1912" s="73"/>
      <c r="CE1912" s="73"/>
      <c r="CF1912" s="73"/>
      <c r="CG1912" s="73"/>
      <c r="CH1912" s="73"/>
    </row>
    <row r="1913">
      <c r="A1913" s="73"/>
      <c r="B1913" s="73"/>
      <c r="C1913" s="73"/>
      <c r="D1913" s="73"/>
      <c r="E1913" s="140"/>
      <c r="F1913" s="80"/>
      <c r="G1913" s="80"/>
      <c r="H1913" s="73"/>
      <c r="I1913" s="73"/>
      <c r="J1913" s="73"/>
      <c r="K1913" s="73"/>
      <c r="L1913" s="73"/>
      <c r="M1913" s="73"/>
      <c r="N1913" s="73"/>
      <c r="O1913" s="73"/>
      <c r="P1913" s="73"/>
      <c r="Q1913" s="73"/>
      <c r="R1913" s="73"/>
      <c r="S1913" s="73"/>
      <c r="T1913" s="73"/>
      <c r="U1913" s="73"/>
      <c r="V1913" s="73"/>
      <c r="W1913" s="73"/>
      <c r="X1913" s="73"/>
      <c r="Y1913" s="73"/>
      <c r="Z1913" s="73"/>
      <c r="AA1913" s="73"/>
      <c r="AB1913" s="73"/>
      <c r="AC1913" s="73"/>
      <c r="AD1913" s="73"/>
      <c r="AE1913" s="73"/>
      <c r="AF1913" s="73"/>
      <c r="AG1913" s="73"/>
      <c r="AH1913" s="73"/>
      <c r="AI1913" s="73"/>
      <c r="AJ1913" s="168"/>
      <c r="AK1913" s="73"/>
      <c r="AL1913" s="73"/>
      <c r="AM1913" s="73"/>
      <c r="AN1913" s="73"/>
      <c r="AO1913" s="73"/>
      <c r="AP1913" s="73"/>
      <c r="AQ1913" s="73"/>
      <c r="AR1913" s="73"/>
      <c r="AS1913" s="73"/>
      <c r="AT1913" s="73"/>
      <c r="AU1913" s="73"/>
      <c r="AV1913" s="73"/>
      <c r="AW1913" s="73"/>
      <c r="AX1913" s="73"/>
      <c r="AY1913" s="73"/>
      <c r="AZ1913" s="73"/>
      <c r="BA1913" s="73"/>
      <c r="BB1913" s="73"/>
      <c r="BC1913" s="73"/>
      <c r="BD1913" s="73"/>
      <c r="BE1913" s="73"/>
      <c r="BF1913" s="75"/>
      <c r="BG1913" s="73"/>
      <c r="BH1913" s="88"/>
      <c r="BI1913" s="73"/>
      <c r="BJ1913" s="73"/>
      <c r="BK1913" s="73"/>
      <c r="BL1913" s="73"/>
      <c r="BM1913" s="73"/>
      <c r="BN1913" s="73"/>
      <c r="BO1913" s="73"/>
      <c r="BP1913" s="73"/>
      <c r="BQ1913" s="73"/>
      <c r="BR1913" s="73"/>
      <c r="BS1913" s="73"/>
      <c r="BT1913" s="73"/>
      <c r="BU1913" s="73"/>
      <c r="BV1913" s="73"/>
      <c r="BW1913" s="73"/>
      <c r="BX1913" s="73"/>
      <c r="BY1913" s="73"/>
      <c r="BZ1913" s="73"/>
      <c r="CA1913" s="73"/>
      <c r="CB1913" s="73"/>
      <c r="CC1913" s="73"/>
      <c r="CD1913" s="73"/>
      <c r="CE1913" s="73"/>
      <c r="CF1913" s="73"/>
      <c r="CG1913" s="73"/>
      <c r="CH1913" s="73"/>
    </row>
    <row r="1914">
      <c r="A1914" s="73"/>
      <c r="B1914" s="73"/>
      <c r="C1914" s="73"/>
      <c r="D1914" s="73"/>
      <c r="E1914" s="140"/>
      <c r="F1914" s="80"/>
      <c r="G1914" s="80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  <c r="S1914" s="73"/>
      <c r="T1914" s="73"/>
      <c r="U1914" s="73"/>
      <c r="V1914" s="73"/>
      <c r="W1914" s="73"/>
      <c r="X1914" s="73"/>
      <c r="Y1914" s="73"/>
      <c r="Z1914" s="73"/>
      <c r="AA1914" s="73"/>
      <c r="AB1914" s="73"/>
      <c r="AC1914" s="73"/>
      <c r="AD1914" s="73"/>
      <c r="AE1914" s="73"/>
      <c r="AF1914" s="73"/>
      <c r="AG1914" s="73"/>
      <c r="AH1914" s="73"/>
      <c r="AI1914" s="73"/>
      <c r="AJ1914" s="168"/>
      <c r="AK1914" s="73"/>
      <c r="AL1914" s="73"/>
      <c r="AM1914" s="73"/>
      <c r="AN1914" s="73"/>
      <c r="AO1914" s="73"/>
      <c r="AP1914" s="73"/>
      <c r="AQ1914" s="73"/>
      <c r="AR1914" s="73"/>
      <c r="AS1914" s="73"/>
      <c r="AT1914" s="73"/>
      <c r="AU1914" s="73"/>
      <c r="AV1914" s="73"/>
      <c r="AW1914" s="73"/>
      <c r="AX1914" s="73"/>
      <c r="AY1914" s="73"/>
      <c r="AZ1914" s="73"/>
      <c r="BA1914" s="73"/>
      <c r="BB1914" s="73"/>
      <c r="BC1914" s="73"/>
      <c r="BD1914" s="73"/>
      <c r="BE1914" s="73"/>
      <c r="BF1914" s="75"/>
      <c r="BG1914" s="73"/>
      <c r="BH1914" s="88"/>
      <c r="BI1914" s="73"/>
      <c r="BJ1914" s="73"/>
      <c r="BK1914" s="73"/>
      <c r="BL1914" s="73"/>
      <c r="BM1914" s="73"/>
      <c r="BN1914" s="73"/>
      <c r="BO1914" s="73"/>
      <c r="BP1914" s="73"/>
      <c r="BQ1914" s="73"/>
      <c r="BR1914" s="73"/>
      <c r="BS1914" s="73"/>
      <c r="BT1914" s="73"/>
      <c r="BU1914" s="73"/>
      <c r="BV1914" s="73"/>
      <c r="BW1914" s="73"/>
      <c r="BX1914" s="73"/>
      <c r="BY1914" s="73"/>
      <c r="BZ1914" s="73"/>
      <c r="CA1914" s="73"/>
      <c r="CB1914" s="73"/>
      <c r="CC1914" s="73"/>
      <c r="CD1914" s="73"/>
      <c r="CE1914" s="73"/>
      <c r="CF1914" s="73"/>
      <c r="CG1914" s="73"/>
      <c r="CH1914" s="73"/>
    </row>
    <row r="1915">
      <c r="A1915" s="73"/>
      <c r="B1915" s="73"/>
      <c r="C1915" s="73"/>
      <c r="D1915" s="73"/>
      <c r="E1915" s="140"/>
      <c r="F1915" s="80"/>
      <c r="G1915" s="80"/>
      <c r="H1915" s="73"/>
      <c r="I1915" s="73"/>
      <c r="J1915" s="73"/>
      <c r="K1915" s="73"/>
      <c r="L1915" s="73"/>
      <c r="M1915" s="73"/>
      <c r="N1915" s="73"/>
      <c r="O1915" s="73"/>
      <c r="P1915" s="73"/>
      <c r="Q1915" s="73"/>
      <c r="R1915" s="73"/>
      <c r="S1915" s="73"/>
      <c r="T1915" s="73"/>
      <c r="U1915" s="73"/>
      <c r="V1915" s="73"/>
      <c r="W1915" s="73"/>
      <c r="X1915" s="73"/>
      <c r="Y1915" s="73"/>
      <c r="Z1915" s="73"/>
      <c r="AA1915" s="73"/>
      <c r="AB1915" s="73"/>
      <c r="AC1915" s="73"/>
      <c r="AD1915" s="73"/>
      <c r="AE1915" s="73"/>
      <c r="AF1915" s="73"/>
      <c r="AG1915" s="73"/>
      <c r="AH1915" s="73"/>
      <c r="AI1915" s="73"/>
      <c r="AJ1915" s="168"/>
      <c r="AK1915" s="73"/>
      <c r="AL1915" s="73"/>
      <c r="AM1915" s="73"/>
      <c r="AN1915" s="73"/>
      <c r="AO1915" s="73"/>
      <c r="AP1915" s="73"/>
      <c r="AQ1915" s="73"/>
      <c r="AR1915" s="73"/>
      <c r="AS1915" s="73"/>
      <c r="AT1915" s="73"/>
      <c r="AU1915" s="73"/>
      <c r="AV1915" s="73"/>
      <c r="AW1915" s="73"/>
      <c r="AX1915" s="73"/>
      <c r="AY1915" s="73"/>
      <c r="AZ1915" s="73"/>
      <c r="BA1915" s="73"/>
      <c r="BB1915" s="73"/>
      <c r="BC1915" s="73"/>
      <c r="BD1915" s="73"/>
      <c r="BE1915" s="73"/>
      <c r="BF1915" s="75"/>
      <c r="BG1915" s="73"/>
      <c r="BH1915" s="88"/>
      <c r="BI1915" s="73"/>
      <c r="BJ1915" s="73"/>
      <c r="BK1915" s="73"/>
      <c r="BL1915" s="73"/>
      <c r="BM1915" s="73"/>
      <c r="BN1915" s="73"/>
      <c r="BO1915" s="73"/>
      <c r="BP1915" s="73"/>
      <c r="BQ1915" s="73"/>
      <c r="BR1915" s="73"/>
      <c r="BS1915" s="73"/>
      <c r="BT1915" s="73"/>
      <c r="BU1915" s="73"/>
      <c r="BV1915" s="73"/>
      <c r="BW1915" s="73"/>
      <c r="BX1915" s="73"/>
      <c r="BY1915" s="73"/>
      <c r="BZ1915" s="73"/>
      <c r="CA1915" s="73"/>
      <c r="CB1915" s="73"/>
      <c r="CC1915" s="73"/>
      <c r="CD1915" s="73"/>
      <c r="CE1915" s="73"/>
      <c r="CF1915" s="73"/>
      <c r="CG1915" s="73"/>
      <c r="CH1915" s="73"/>
    </row>
    <row r="1916">
      <c r="A1916" s="73"/>
      <c r="B1916" s="73"/>
      <c r="C1916" s="73"/>
      <c r="D1916" s="73"/>
      <c r="E1916" s="140"/>
      <c r="F1916" s="80"/>
      <c r="G1916" s="80"/>
      <c r="H1916" s="73"/>
      <c r="I1916" s="73"/>
      <c r="J1916" s="73"/>
      <c r="K1916" s="73"/>
      <c r="L1916" s="73"/>
      <c r="M1916" s="73"/>
      <c r="N1916" s="73"/>
      <c r="O1916" s="73"/>
      <c r="P1916" s="73"/>
      <c r="Q1916" s="73"/>
      <c r="R1916" s="73"/>
      <c r="S1916" s="73"/>
      <c r="T1916" s="73"/>
      <c r="U1916" s="73"/>
      <c r="V1916" s="73"/>
      <c r="W1916" s="73"/>
      <c r="X1916" s="73"/>
      <c r="Y1916" s="73"/>
      <c r="Z1916" s="73"/>
      <c r="AA1916" s="73"/>
      <c r="AB1916" s="73"/>
      <c r="AC1916" s="73"/>
      <c r="AD1916" s="73"/>
      <c r="AE1916" s="73"/>
      <c r="AF1916" s="73"/>
      <c r="AG1916" s="73"/>
      <c r="AH1916" s="73"/>
      <c r="AI1916" s="73"/>
      <c r="AJ1916" s="168"/>
      <c r="AK1916" s="73"/>
      <c r="AL1916" s="73"/>
      <c r="AM1916" s="73"/>
      <c r="AN1916" s="73"/>
      <c r="AO1916" s="73"/>
      <c r="AP1916" s="73"/>
      <c r="AQ1916" s="73"/>
      <c r="AR1916" s="73"/>
      <c r="AS1916" s="73"/>
      <c r="AT1916" s="73"/>
      <c r="AU1916" s="73"/>
      <c r="AV1916" s="73"/>
      <c r="AW1916" s="73"/>
      <c r="AX1916" s="73"/>
      <c r="AY1916" s="73"/>
      <c r="AZ1916" s="73"/>
      <c r="BA1916" s="73"/>
      <c r="BB1916" s="73"/>
      <c r="BC1916" s="73"/>
      <c r="BD1916" s="73"/>
      <c r="BE1916" s="73"/>
      <c r="BF1916" s="75"/>
      <c r="BG1916" s="73"/>
      <c r="BH1916" s="88"/>
      <c r="BI1916" s="73"/>
      <c r="BJ1916" s="73"/>
      <c r="BK1916" s="73"/>
      <c r="BL1916" s="73"/>
      <c r="BM1916" s="73"/>
      <c r="BN1916" s="73"/>
      <c r="BO1916" s="73"/>
      <c r="BP1916" s="73"/>
      <c r="BQ1916" s="73"/>
      <c r="BR1916" s="73"/>
      <c r="BS1916" s="73"/>
      <c r="BT1916" s="73"/>
      <c r="BU1916" s="73"/>
      <c r="BV1916" s="73"/>
      <c r="BW1916" s="73"/>
      <c r="BX1916" s="73"/>
      <c r="BY1916" s="73"/>
      <c r="BZ1916" s="73"/>
      <c r="CA1916" s="73"/>
      <c r="CB1916" s="73"/>
      <c r="CC1916" s="73"/>
      <c r="CD1916" s="73"/>
      <c r="CE1916" s="73"/>
      <c r="CF1916" s="73"/>
      <c r="CG1916" s="73"/>
      <c r="CH1916" s="73"/>
    </row>
    <row r="1917">
      <c r="A1917" s="73"/>
      <c r="B1917" s="73"/>
      <c r="C1917" s="73"/>
      <c r="D1917" s="73"/>
      <c r="E1917" s="140"/>
      <c r="F1917" s="80"/>
      <c r="G1917" s="80"/>
      <c r="H1917" s="73"/>
      <c r="I1917" s="73"/>
      <c r="J1917" s="73"/>
      <c r="K1917" s="73"/>
      <c r="L1917" s="73"/>
      <c r="M1917" s="73"/>
      <c r="N1917" s="73"/>
      <c r="O1917" s="73"/>
      <c r="P1917" s="73"/>
      <c r="Q1917" s="73"/>
      <c r="R1917" s="73"/>
      <c r="S1917" s="73"/>
      <c r="T1917" s="73"/>
      <c r="U1917" s="73"/>
      <c r="V1917" s="73"/>
      <c r="W1917" s="73"/>
      <c r="X1917" s="73"/>
      <c r="Y1917" s="73"/>
      <c r="Z1917" s="73"/>
      <c r="AA1917" s="73"/>
      <c r="AB1917" s="73"/>
      <c r="AC1917" s="73"/>
      <c r="AD1917" s="73"/>
      <c r="AE1917" s="73"/>
      <c r="AF1917" s="73"/>
      <c r="AG1917" s="73"/>
      <c r="AH1917" s="73"/>
      <c r="AI1917" s="73"/>
      <c r="AJ1917" s="168"/>
      <c r="AK1917" s="73"/>
      <c r="AL1917" s="73"/>
      <c r="AM1917" s="73"/>
      <c r="AN1917" s="73"/>
      <c r="AO1917" s="73"/>
      <c r="AP1917" s="73"/>
      <c r="AQ1917" s="73"/>
      <c r="AR1917" s="73"/>
      <c r="AS1917" s="73"/>
      <c r="AT1917" s="73"/>
      <c r="AU1917" s="73"/>
      <c r="AV1917" s="73"/>
      <c r="AW1917" s="73"/>
      <c r="AX1917" s="73"/>
      <c r="AY1917" s="73"/>
      <c r="AZ1917" s="73"/>
      <c r="BA1917" s="73"/>
      <c r="BB1917" s="73"/>
      <c r="BC1917" s="73"/>
      <c r="BD1917" s="73"/>
      <c r="BE1917" s="73"/>
      <c r="BF1917" s="75"/>
      <c r="BG1917" s="73"/>
      <c r="BH1917" s="88"/>
      <c r="BI1917" s="73"/>
      <c r="BJ1917" s="73"/>
      <c r="BK1917" s="73"/>
      <c r="BL1917" s="73"/>
      <c r="BM1917" s="73"/>
      <c r="BN1917" s="73"/>
      <c r="BO1917" s="73"/>
      <c r="BP1917" s="73"/>
      <c r="BQ1917" s="73"/>
      <c r="BR1917" s="73"/>
      <c r="BS1917" s="73"/>
      <c r="BT1917" s="73"/>
      <c r="BU1917" s="73"/>
      <c r="BV1917" s="73"/>
      <c r="BW1917" s="73"/>
      <c r="BX1917" s="73"/>
      <c r="BY1917" s="73"/>
      <c r="BZ1917" s="73"/>
      <c r="CA1917" s="73"/>
      <c r="CB1917" s="73"/>
      <c r="CC1917" s="73"/>
      <c r="CD1917" s="73"/>
      <c r="CE1917" s="73"/>
      <c r="CF1917" s="73"/>
      <c r="CG1917" s="73"/>
      <c r="CH1917" s="73"/>
    </row>
    <row r="1918">
      <c r="A1918" s="73"/>
      <c r="B1918" s="73"/>
      <c r="C1918" s="73"/>
      <c r="D1918" s="73"/>
      <c r="E1918" s="140"/>
      <c r="F1918" s="80"/>
      <c r="G1918" s="80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  <c r="S1918" s="73"/>
      <c r="T1918" s="73"/>
      <c r="U1918" s="73"/>
      <c r="V1918" s="73"/>
      <c r="W1918" s="73"/>
      <c r="X1918" s="73"/>
      <c r="Y1918" s="73"/>
      <c r="Z1918" s="73"/>
      <c r="AA1918" s="73"/>
      <c r="AB1918" s="73"/>
      <c r="AC1918" s="73"/>
      <c r="AD1918" s="73"/>
      <c r="AE1918" s="73"/>
      <c r="AF1918" s="73"/>
      <c r="AG1918" s="73"/>
      <c r="AH1918" s="73"/>
      <c r="AI1918" s="73"/>
      <c r="AJ1918" s="168"/>
      <c r="AK1918" s="73"/>
      <c r="AL1918" s="73"/>
      <c r="AM1918" s="73"/>
      <c r="AN1918" s="73"/>
      <c r="AO1918" s="73"/>
      <c r="AP1918" s="73"/>
      <c r="AQ1918" s="73"/>
      <c r="AR1918" s="73"/>
      <c r="AS1918" s="73"/>
      <c r="AT1918" s="73"/>
      <c r="AU1918" s="73"/>
      <c r="AV1918" s="73"/>
      <c r="AW1918" s="73"/>
      <c r="AX1918" s="73"/>
      <c r="AY1918" s="73"/>
      <c r="AZ1918" s="73"/>
      <c r="BA1918" s="73"/>
      <c r="BB1918" s="73"/>
      <c r="BC1918" s="73"/>
      <c r="BD1918" s="73"/>
      <c r="BE1918" s="73"/>
      <c r="BF1918" s="75"/>
      <c r="BG1918" s="73"/>
      <c r="BH1918" s="88"/>
      <c r="BI1918" s="73"/>
      <c r="BJ1918" s="73"/>
      <c r="BK1918" s="73"/>
      <c r="BL1918" s="73"/>
      <c r="BM1918" s="73"/>
      <c r="BN1918" s="73"/>
      <c r="BO1918" s="73"/>
      <c r="BP1918" s="73"/>
      <c r="BQ1918" s="73"/>
      <c r="BR1918" s="73"/>
      <c r="BS1918" s="73"/>
      <c r="BT1918" s="73"/>
      <c r="BU1918" s="73"/>
      <c r="BV1918" s="73"/>
      <c r="BW1918" s="73"/>
      <c r="BX1918" s="73"/>
      <c r="BY1918" s="73"/>
      <c r="BZ1918" s="73"/>
      <c r="CA1918" s="73"/>
      <c r="CB1918" s="73"/>
      <c r="CC1918" s="73"/>
      <c r="CD1918" s="73"/>
      <c r="CE1918" s="73"/>
      <c r="CF1918" s="73"/>
      <c r="CG1918" s="73"/>
      <c r="CH1918" s="73"/>
    </row>
    <row r="1919">
      <c r="A1919" s="73"/>
      <c r="B1919" s="73"/>
      <c r="C1919" s="73"/>
      <c r="D1919" s="73"/>
      <c r="E1919" s="140"/>
      <c r="F1919" s="80"/>
      <c r="G1919" s="80"/>
      <c r="H1919" s="73"/>
      <c r="I1919" s="73"/>
      <c r="J1919" s="73"/>
      <c r="K1919" s="73"/>
      <c r="L1919" s="73"/>
      <c r="M1919" s="73"/>
      <c r="N1919" s="73"/>
      <c r="O1919" s="73"/>
      <c r="P1919" s="73"/>
      <c r="Q1919" s="73"/>
      <c r="R1919" s="73"/>
      <c r="S1919" s="73"/>
      <c r="T1919" s="73"/>
      <c r="U1919" s="73"/>
      <c r="V1919" s="73"/>
      <c r="W1919" s="73"/>
      <c r="X1919" s="73"/>
      <c r="Y1919" s="73"/>
      <c r="Z1919" s="73"/>
      <c r="AA1919" s="73"/>
      <c r="AB1919" s="73"/>
      <c r="AC1919" s="73"/>
      <c r="AD1919" s="73"/>
      <c r="AE1919" s="73"/>
      <c r="AF1919" s="73"/>
      <c r="AG1919" s="73"/>
      <c r="AH1919" s="73"/>
      <c r="AI1919" s="73"/>
      <c r="AJ1919" s="168"/>
      <c r="AK1919" s="73"/>
      <c r="AL1919" s="73"/>
      <c r="AM1919" s="73"/>
      <c r="AN1919" s="73"/>
      <c r="AO1919" s="73"/>
      <c r="AP1919" s="73"/>
      <c r="AQ1919" s="73"/>
      <c r="AR1919" s="73"/>
      <c r="AS1919" s="73"/>
      <c r="AT1919" s="73"/>
      <c r="AU1919" s="73"/>
      <c r="AV1919" s="73"/>
      <c r="AW1919" s="73"/>
      <c r="AX1919" s="73"/>
      <c r="AY1919" s="73"/>
      <c r="AZ1919" s="73"/>
      <c r="BA1919" s="73"/>
      <c r="BB1919" s="73"/>
      <c r="BC1919" s="73"/>
      <c r="BD1919" s="73"/>
      <c r="BE1919" s="73"/>
      <c r="BF1919" s="75"/>
      <c r="BG1919" s="73"/>
      <c r="BH1919" s="88"/>
      <c r="BI1919" s="73"/>
      <c r="BJ1919" s="73"/>
      <c r="BK1919" s="73"/>
      <c r="BL1919" s="73"/>
      <c r="BM1919" s="73"/>
      <c r="BN1919" s="73"/>
      <c r="BO1919" s="73"/>
      <c r="BP1919" s="73"/>
      <c r="BQ1919" s="73"/>
      <c r="BR1919" s="73"/>
      <c r="BS1919" s="73"/>
      <c r="BT1919" s="73"/>
      <c r="BU1919" s="73"/>
      <c r="BV1919" s="73"/>
      <c r="BW1919" s="73"/>
      <c r="BX1919" s="73"/>
      <c r="BY1919" s="73"/>
      <c r="BZ1919" s="73"/>
      <c r="CA1919" s="73"/>
      <c r="CB1919" s="73"/>
      <c r="CC1919" s="73"/>
      <c r="CD1919" s="73"/>
      <c r="CE1919" s="73"/>
      <c r="CF1919" s="73"/>
      <c r="CG1919" s="73"/>
      <c r="CH1919" s="73"/>
    </row>
    <row r="1920">
      <c r="A1920" s="73"/>
      <c r="B1920" s="73"/>
      <c r="C1920" s="73"/>
      <c r="D1920" s="73"/>
      <c r="E1920" s="140"/>
      <c r="F1920" s="80"/>
      <c r="G1920" s="80"/>
      <c r="H1920" s="73"/>
      <c r="I1920" s="73"/>
      <c r="J1920" s="73"/>
      <c r="K1920" s="73"/>
      <c r="L1920" s="73"/>
      <c r="M1920" s="73"/>
      <c r="N1920" s="73"/>
      <c r="O1920" s="73"/>
      <c r="P1920" s="73"/>
      <c r="Q1920" s="73"/>
      <c r="R1920" s="73"/>
      <c r="S1920" s="73"/>
      <c r="T1920" s="73"/>
      <c r="U1920" s="73"/>
      <c r="V1920" s="73"/>
      <c r="W1920" s="73"/>
      <c r="X1920" s="73"/>
      <c r="Y1920" s="73"/>
      <c r="Z1920" s="73"/>
      <c r="AA1920" s="73"/>
      <c r="AB1920" s="73"/>
      <c r="AC1920" s="73"/>
      <c r="AD1920" s="73"/>
      <c r="AE1920" s="73"/>
      <c r="AF1920" s="73"/>
      <c r="AG1920" s="73"/>
      <c r="AH1920" s="73"/>
      <c r="AI1920" s="73"/>
      <c r="AJ1920" s="168"/>
      <c r="AK1920" s="73"/>
      <c r="AL1920" s="73"/>
      <c r="AM1920" s="73"/>
      <c r="AN1920" s="73"/>
      <c r="AO1920" s="73"/>
      <c r="AP1920" s="73"/>
      <c r="AQ1920" s="73"/>
      <c r="AR1920" s="73"/>
      <c r="AS1920" s="73"/>
      <c r="AT1920" s="73"/>
      <c r="AU1920" s="73"/>
      <c r="AV1920" s="73"/>
      <c r="AW1920" s="73"/>
      <c r="AX1920" s="73"/>
      <c r="AY1920" s="73"/>
      <c r="AZ1920" s="73"/>
      <c r="BA1920" s="73"/>
      <c r="BB1920" s="73"/>
      <c r="BC1920" s="73"/>
      <c r="BD1920" s="73"/>
      <c r="BE1920" s="73"/>
      <c r="BF1920" s="75"/>
      <c r="BG1920" s="73"/>
      <c r="BH1920" s="88"/>
      <c r="BI1920" s="73"/>
      <c r="BJ1920" s="73"/>
      <c r="BK1920" s="73"/>
      <c r="BL1920" s="73"/>
      <c r="BM1920" s="73"/>
      <c r="BN1920" s="73"/>
      <c r="BO1920" s="73"/>
      <c r="BP1920" s="73"/>
      <c r="BQ1920" s="73"/>
      <c r="BR1920" s="73"/>
      <c r="BS1920" s="73"/>
      <c r="BT1920" s="73"/>
      <c r="BU1920" s="73"/>
      <c r="BV1920" s="73"/>
      <c r="BW1920" s="73"/>
      <c r="BX1920" s="73"/>
      <c r="BY1920" s="73"/>
      <c r="BZ1920" s="73"/>
      <c r="CA1920" s="73"/>
      <c r="CB1920" s="73"/>
      <c r="CC1920" s="73"/>
      <c r="CD1920" s="73"/>
      <c r="CE1920" s="73"/>
      <c r="CF1920" s="73"/>
      <c r="CG1920" s="73"/>
      <c r="CH1920" s="73"/>
    </row>
    <row r="1921">
      <c r="A1921" s="73"/>
      <c r="B1921" s="73"/>
      <c r="C1921" s="73"/>
      <c r="D1921" s="73"/>
      <c r="E1921" s="140"/>
      <c r="F1921" s="80"/>
      <c r="G1921" s="80"/>
      <c r="H1921" s="73"/>
      <c r="I1921" s="73"/>
      <c r="J1921" s="73"/>
      <c r="K1921" s="73"/>
      <c r="L1921" s="73"/>
      <c r="M1921" s="73"/>
      <c r="N1921" s="73"/>
      <c r="O1921" s="73"/>
      <c r="P1921" s="73"/>
      <c r="Q1921" s="73"/>
      <c r="R1921" s="73"/>
      <c r="S1921" s="73"/>
      <c r="T1921" s="73"/>
      <c r="U1921" s="73"/>
      <c r="V1921" s="73"/>
      <c r="W1921" s="73"/>
      <c r="X1921" s="73"/>
      <c r="Y1921" s="73"/>
      <c r="Z1921" s="73"/>
      <c r="AA1921" s="73"/>
      <c r="AB1921" s="73"/>
      <c r="AC1921" s="73"/>
      <c r="AD1921" s="73"/>
      <c r="AE1921" s="73"/>
      <c r="AF1921" s="73"/>
      <c r="AG1921" s="73"/>
      <c r="AH1921" s="73"/>
      <c r="AI1921" s="73"/>
      <c r="AJ1921" s="168"/>
      <c r="AK1921" s="73"/>
      <c r="AL1921" s="73"/>
      <c r="AM1921" s="73"/>
      <c r="AN1921" s="73"/>
      <c r="AO1921" s="73"/>
      <c r="AP1921" s="73"/>
      <c r="AQ1921" s="73"/>
      <c r="AR1921" s="73"/>
      <c r="AS1921" s="73"/>
      <c r="AT1921" s="73"/>
      <c r="AU1921" s="73"/>
      <c r="AV1921" s="73"/>
      <c r="AW1921" s="73"/>
      <c r="AX1921" s="73"/>
      <c r="AY1921" s="73"/>
      <c r="AZ1921" s="73"/>
      <c r="BA1921" s="73"/>
      <c r="BB1921" s="73"/>
      <c r="BC1921" s="73"/>
      <c r="BD1921" s="73"/>
      <c r="BE1921" s="73"/>
      <c r="BF1921" s="75"/>
      <c r="BG1921" s="73"/>
      <c r="BH1921" s="88"/>
      <c r="BI1921" s="73"/>
      <c r="BJ1921" s="73"/>
      <c r="BK1921" s="73"/>
      <c r="BL1921" s="73"/>
      <c r="BM1921" s="73"/>
      <c r="BN1921" s="73"/>
      <c r="BO1921" s="73"/>
      <c r="BP1921" s="73"/>
      <c r="BQ1921" s="73"/>
      <c r="BR1921" s="73"/>
      <c r="BS1921" s="73"/>
      <c r="BT1921" s="73"/>
      <c r="BU1921" s="73"/>
      <c r="BV1921" s="73"/>
      <c r="BW1921" s="73"/>
      <c r="BX1921" s="73"/>
      <c r="BY1921" s="73"/>
      <c r="BZ1921" s="73"/>
      <c r="CA1921" s="73"/>
      <c r="CB1921" s="73"/>
      <c r="CC1921" s="73"/>
      <c r="CD1921" s="73"/>
      <c r="CE1921" s="73"/>
      <c r="CF1921" s="73"/>
      <c r="CG1921" s="73"/>
      <c r="CH1921" s="73"/>
    </row>
    <row r="1922">
      <c r="A1922" s="73"/>
      <c r="B1922" s="73"/>
      <c r="C1922" s="73"/>
      <c r="D1922" s="73"/>
      <c r="E1922" s="140"/>
      <c r="F1922" s="80"/>
      <c r="G1922" s="80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  <c r="S1922" s="73"/>
      <c r="T1922" s="73"/>
      <c r="U1922" s="73"/>
      <c r="V1922" s="73"/>
      <c r="W1922" s="73"/>
      <c r="X1922" s="73"/>
      <c r="Y1922" s="73"/>
      <c r="Z1922" s="73"/>
      <c r="AA1922" s="73"/>
      <c r="AB1922" s="73"/>
      <c r="AC1922" s="73"/>
      <c r="AD1922" s="73"/>
      <c r="AE1922" s="73"/>
      <c r="AF1922" s="73"/>
      <c r="AG1922" s="73"/>
      <c r="AH1922" s="73"/>
      <c r="AI1922" s="73"/>
      <c r="AJ1922" s="168"/>
      <c r="AK1922" s="73"/>
      <c r="AL1922" s="73"/>
      <c r="AM1922" s="73"/>
      <c r="AN1922" s="73"/>
      <c r="AO1922" s="73"/>
      <c r="AP1922" s="73"/>
      <c r="AQ1922" s="73"/>
      <c r="AR1922" s="73"/>
      <c r="AS1922" s="73"/>
      <c r="AT1922" s="73"/>
      <c r="AU1922" s="73"/>
      <c r="AV1922" s="73"/>
      <c r="AW1922" s="73"/>
      <c r="AX1922" s="73"/>
      <c r="AY1922" s="73"/>
      <c r="AZ1922" s="73"/>
      <c r="BA1922" s="73"/>
      <c r="BB1922" s="73"/>
      <c r="BC1922" s="73"/>
      <c r="BD1922" s="73"/>
      <c r="BE1922" s="73"/>
      <c r="BF1922" s="75"/>
      <c r="BG1922" s="73"/>
      <c r="BH1922" s="88"/>
      <c r="BI1922" s="73"/>
      <c r="BJ1922" s="73"/>
      <c r="BK1922" s="73"/>
      <c r="BL1922" s="73"/>
      <c r="BM1922" s="73"/>
      <c r="BN1922" s="73"/>
      <c r="BO1922" s="73"/>
      <c r="BP1922" s="73"/>
      <c r="BQ1922" s="73"/>
      <c r="BR1922" s="73"/>
      <c r="BS1922" s="73"/>
      <c r="BT1922" s="73"/>
      <c r="BU1922" s="73"/>
      <c r="BV1922" s="73"/>
      <c r="BW1922" s="73"/>
      <c r="BX1922" s="73"/>
      <c r="BY1922" s="73"/>
      <c r="BZ1922" s="73"/>
      <c r="CA1922" s="73"/>
      <c r="CB1922" s="73"/>
      <c r="CC1922" s="73"/>
      <c r="CD1922" s="73"/>
      <c r="CE1922" s="73"/>
      <c r="CF1922" s="73"/>
      <c r="CG1922" s="73"/>
      <c r="CH1922" s="73"/>
    </row>
    <row r="1923">
      <c r="A1923" s="73"/>
      <c r="B1923" s="73"/>
      <c r="C1923" s="73"/>
      <c r="D1923" s="73"/>
      <c r="E1923" s="140"/>
      <c r="F1923" s="80"/>
      <c r="G1923" s="80"/>
      <c r="H1923" s="73"/>
      <c r="I1923" s="73"/>
      <c r="J1923" s="73"/>
      <c r="K1923" s="73"/>
      <c r="L1923" s="73"/>
      <c r="M1923" s="73"/>
      <c r="N1923" s="73"/>
      <c r="O1923" s="73"/>
      <c r="P1923" s="73"/>
      <c r="Q1923" s="73"/>
      <c r="R1923" s="73"/>
      <c r="S1923" s="73"/>
      <c r="T1923" s="73"/>
      <c r="U1923" s="73"/>
      <c r="V1923" s="73"/>
      <c r="W1923" s="73"/>
      <c r="X1923" s="73"/>
      <c r="Y1923" s="73"/>
      <c r="Z1923" s="73"/>
      <c r="AA1923" s="73"/>
      <c r="AB1923" s="73"/>
      <c r="AC1923" s="73"/>
      <c r="AD1923" s="73"/>
      <c r="AE1923" s="73"/>
      <c r="AF1923" s="73"/>
      <c r="AG1923" s="73"/>
      <c r="AH1923" s="73"/>
      <c r="AI1923" s="73"/>
      <c r="AJ1923" s="168"/>
      <c r="AK1923" s="73"/>
      <c r="AL1923" s="73"/>
      <c r="AM1923" s="73"/>
      <c r="AN1923" s="73"/>
      <c r="AO1923" s="73"/>
      <c r="AP1923" s="73"/>
      <c r="AQ1923" s="73"/>
      <c r="AR1923" s="73"/>
      <c r="AS1923" s="73"/>
      <c r="AT1923" s="73"/>
      <c r="AU1923" s="73"/>
      <c r="AV1923" s="73"/>
      <c r="AW1923" s="73"/>
      <c r="AX1923" s="73"/>
      <c r="AY1923" s="73"/>
      <c r="AZ1923" s="73"/>
      <c r="BA1923" s="73"/>
      <c r="BB1923" s="73"/>
      <c r="BC1923" s="73"/>
      <c r="BD1923" s="73"/>
      <c r="BE1923" s="73"/>
      <c r="BF1923" s="75"/>
      <c r="BG1923" s="73"/>
      <c r="BH1923" s="88"/>
      <c r="BI1923" s="73"/>
      <c r="BJ1923" s="73"/>
      <c r="BK1923" s="73"/>
      <c r="BL1923" s="73"/>
      <c r="BM1923" s="73"/>
      <c r="BN1923" s="73"/>
      <c r="BO1923" s="73"/>
      <c r="BP1923" s="73"/>
      <c r="BQ1923" s="73"/>
      <c r="BR1923" s="73"/>
      <c r="BS1923" s="73"/>
      <c r="BT1923" s="73"/>
      <c r="BU1923" s="73"/>
      <c r="BV1923" s="73"/>
      <c r="BW1923" s="73"/>
      <c r="BX1923" s="73"/>
      <c r="BY1923" s="73"/>
      <c r="BZ1923" s="73"/>
      <c r="CA1923" s="73"/>
      <c r="CB1923" s="73"/>
      <c r="CC1923" s="73"/>
      <c r="CD1923" s="73"/>
      <c r="CE1923" s="73"/>
      <c r="CF1923" s="73"/>
      <c r="CG1923" s="73"/>
      <c r="CH1923" s="73"/>
    </row>
    <row r="1924">
      <c r="A1924" s="73"/>
      <c r="B1924" s="73"/>
      <c r="C1924" s="73"/>
      <c r="D1924" s="73"/>
      <c r="E1924" s="140"/>
      <c r="F1924" s="80"/>
      <c r="G1924" s="80"/>
      <c r="H1924" s="73"/>
      <c r="I1924" s="73"/>
      <c r="J1924" s="73"/>
      <c r="K1924" s="73"/>
      <c r="L1924" s="73"/>
      <c r="M1924" s="73"/>
      <c r="N1924" s="73"/>
      <c r="O1924" s="73"/>
      <c r="P1924" s="73"/>
      <c r="Q1924" s="73"/>
      <c r="R1924" s="73"/>
      <c r="S1924" s="73"/>
      <c r="T1924" s="73"/>
      <c r="U1924" s="73"/>
      <c r="V1924" s="73"/>
      <c r="W1924" s="73"/>
      <c r="X1924" s="73"/>
      <c r="Y1924" s="73"/>
      <c r="Z1924" s="73"/>
      <c r="AA1924" s="73"/>
      <c r="AB1924" s="73"/>
      <c r="AC1924" s="73"/>
      <c r="AD1924" s="73"/>
      <c r="AE1924" s="73"/>
      <c r="AF1924" s="73"/>
      <c r="AG1924" s="73"/>
      <c r="AH1924" s="73"/>
      <c r="AI1924" s="73"/>
      <c r="AJ1924" s="168"/>
      <c r="AK1924" s="73"/>
      <c r="AL1924" s="73"/>
      <c r="AM1924" s="73"/>
      <c r="AN1924" s="73"/>
      <c r="AO1924" s="73"/>
      <c r="AP1924" s="73"/>
      <c r="AQ1924" s="73"/>
      <c r="AR1924" s="73"/>
      <c r="AS1924" s="73"/>
      <c r="AT1924" s="73"/>
      <c r="AU1924" s="73"/>
      <c r="AV1924" s="73"/>
      <c r="AW1924" s="73"/>
      <c r="AX1924" s="73"/>
      <c r="AY1924" s="73"/>
      <c r="AZ1924" s="73"/>
      <c r="BA1924" s="73"/>
      <c r="BB1924" s="73"/>
      <c r="BC1924" s="73"/>
      <c r="BD1924" s="73"/>
      <c r="BE1924" s="73"/>
      <c r="BF1924" s="75"/>
      <c r="BG1924" s="73"/>
      <c r="BH1924" s="88"/>
      <c r="BI1924" s="73"/>
      <c r="BJ1924" s="73"/>
      <c r="BK1924" s="73"/>
      <c r="BL1924" s="73"/>
      <c r="BM1924" s="73"/>
      <c r="BN1924" s="73"/>
      <c r="BO1924" s="73"/>
      <c r="BP1924" s="73"/>
      <c r="BQ1924" s="73"/>
      <c r="BR1924" s="73"/>
      <c r="BS1924" s="73"/>
      <c r="BT1924" s="73"/>
      <c r="BU1924" s="73"/>
      <c r="BV1924" s="73"/>
      <c r="BW1924" s="73"/>
      <c r="BX1924" s="73"/>
      <c r="BY1924" s="73"/>
      <c r="BZ1924" s="73"/>
      <c r="CA1924" s="73"/>
      <c r="CB1924" s="73"/>
      <c r="CC1924" s="73"/>
      <c r="CD1924" s="73"/>
      <c r="CE1924" s="73"/>
      <c r="CF1924" s="73"/>
      <c r="CG1924" s="73"/>
      <c r="CH1924" s="73"/>
    </row>
    <row r="1925">
      <c r="A1925" s="73"/>
      <c r="B1925" s="73"/>
      <c r="C1925" s="73"/>
      <c r="D1925" s="73"/>
      <c r="E1925" s="140"/>
      <c r="F1925" s="80"/>
      <c r="G1925" s="80"/>
      <c r="H1925" s="73"/>
      <c r="I1925" s="73"/>
      <c r="J1925" s="73"/>
      <c r="K1925" s="73"/>
      <c r="L1925" s="73"/>
      <c r="M1925" s="73"/>
      <c r="N1925" s="73"/>
      <c r="O1925" s="73"/>
      <c r="P1925" s="73"/>
      <c r="Q1925" s="73"/>
      <c r="R1925" s="73"/>
      <c r="S1925" s="73"/>
      <c r="T1925" s="73"/>
      <c r="U1925" s="73"/>
      <c r="V1925" s="73"/>
      <c r="W1925" s="73"/>
      <c r="X1925" s="73"/>
      <c r="Y1925" s="73"/>
      <c r="Z1925" s="73"/>
      <c r="AA1925" s="73"/>
      <c r="AB1925" s="73"/>
      <c r="AC1925" s="73"/>
      <c r="AD1925" s="73"/>
      <c r="AE1925" s="73"/>
      <c r="AF1925" s="73"/>
      <c r="AG1925" s="73"/>
      <c r="AH1925" s="73"/>
      <c r="AI1925" s="73"/>
      <c r="AJ1925" s="168"/>
      <c r="AK1925" s="73"/>
      <c r="AL1925" s="73"/>
      <c r="AM1925" s="73"/>
      <c r="AN1925" s="73"/>
      <c r="AO1925" s="73"/>
      <c r="AP1925" s="73"/>
      <c r="AQ1925" s="73"/>
      <c r="AR1925" s="73"/>
      <c r="AS1925" s="73"/>
      <c r="AT1925" s="73"/>
      <c r="AU1925" s="73"/>
      <c r="AV1925" s="73"/>
      <c r="AW1925" s="73"/>
      <c r="AX1925" s="73"/>
      <c r="AY1925" s="73"/>
      <c r="AZ1925" s="73"/>
      <c r="BA1925" s="73"/>
      <c r="BB1925" s="73"/>
      <c r="BC1925" s="73"/>
      <c r="BD1925" s="73"/>
      <c r="BE1925" s="73"/>
      <c r="BF1925" s="75"/>
      <c r="BG1925" s="73"/>
      <c r="BH1925" s="88"/>
      <c r="BI1925" s="73"/>
      <c r="BJ1925" s="73"/>
      <c r="BK1925" s="73"/>
      <c r="BL1925" s="73"/>
      <c r="BM1925" s="73"/>
      <c r="BN1925" s="73"/>
      <c r="BO1925" s="73"/>
      <c r="BP1925" s="73"/>
      <c r="BQ1925" s="73"/>
      <c r="BR1925" s="73"/>
      <c r="BS1925" s="73"/>
      <c r="BT1925" s="73"/>
      <c r="BU1925" s="73"/>
      <c r="BV1925" s="73"/>
      <c r="BW1925" s="73"/>
      <c r="BX1925" s="73"/>
      <c r="BY1925" s="73"/>
      <c r="BZ1925" s="73"/>
      <c r="CA1925" s="73"/>
      <c r="CB1925" s="73"/>
      <c r="CC1925" s="73"/>
      <c r="CD1925" s="73"/>
      <c r="CE1925" s="73"/>
      <c r="CF1925" s="73"/>
      <c r="CG1925" s="73"/>
      <c r="CH1925" s="73"/>
    </row>
    <row r="1926">
      <c r="A1926" s="73"/>
      <c r="B1926" s="73"/>
      <c r="C1926" s="73"/>
      <c r="D1926" s="73"/>
      <c r="E1926" s="140"/>
      <c r="F1926" s="80"/>
      <c r="G1926" s="80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  <c r="S1926" s="73"/>
      <c r="T1926" s="73"/>
      <c r="U1926" s="73"/>
      <c r="V1926" s="73"/>
      <c r="W1926" s="73"/>
      <c r="X1926" s="73"/>
      <c r="Y1926" s="73"/>
      <c r="Z1926" s="73"/>
      <c r="AA1926" s="73"/>
      <c r="AB1926" s="73"/>
      <c r="AC1926" s="73"/>
      <c r="AD1926" s="73"/>
      <c r="AE1926" s="73"/>
      <c r="AF1926" s="73"/>
      <c r="AG1926" s="73"/>
      <c r="AH1926" s="73"/>
      <c r="AI1926" s="73"/>
      <c r="AJ1926" s="168"/>
      <c r="AK1926" s="73"/>
      <c r="AL1926" s="73"/>
      <c r="AM1926" s="73"/>
      <c r="AN1926" s="73"/>
      <c r="AO1926" s="73"/>
      <c r="AP1926" s="73"/>
      <c r="AQ1926" s="73"/>
      <c r="AR1926" s="73"/>
      <c r="AS1926" s="73"/>
      <c r="AT1926" s="73"/>
      <c r="AU1926" s="73"/>
      <c r="AV1926" s="73"/>
      <c r="AW1926" s="73"/>
      <c r="AX1926" s="73"/>
      <c r="AY1926" s="73"/>
      <c r="AZ1926" s="73"/>
      <c r="BA1926" s="73"/>
      <c r="BB1926" s="73"/>
      <c r="BC1926" s="73"/>
      <c r="BD1926" s="73"/>
      <c r="BE1926" s="73"/>
      <c r="BF1926" s="75"/>
      <c r="BG1926" s="73"/>
      <c r="BH1926" s="88"/>
      <c r="BI1926" s="73"/>
      <c r="BJ1926" s="73"/>
      <c r="BK1926" s="73"/>
      <c r="BL1926" s="73"/>
      <c r="BM1926" s="73"/>
      <c r="BN1926" s="73"/>
      <c r="BO1926" s="73"/>
      <c r="BP1926" s="73"/>
      <c r="BQ1926" s="73"/>
      <c r="BR1926" s="73"/>
      <c r="BS1926" s="73"/>
      <c r="BT1926" s="73"/>
      <c r="BU1926" s="73"/>
      <c r="BV1926" s="73"/>
      <c r="BW1926" s="73"/>
      <c r="BX1926" s="73"/>
      <c r="BY1926" s="73"/>
      <c r="BZ1926" s="73"/>
      <c r="CA1926" s="73"/>
      <c r="CB1926" s="73"/>
      <c r="CC1926" s="73"/>
      <c r="CD1926" s="73"/>
      <c r="CE1926" s="73"/>
      <c r="CF1926" s="73"/>
      <c r="CG1926" s="73"/>
      <c r="CH1926" s="73"/>
    </row>
    <row r="1927">
      <c r="A1927" s="73"/>
      <c r="B1927" s="73"/>
      <c r="C1927" s="73"/>
      <c r="D1927" s="73"/>
      <c r="E1927" s="140"/>
      <c r="F1927" s="80"/>
      <c r="G1927" s="80"/>
      <c r="H1927" s="73"/>
      <c r="I1927" s="73"/>
      <c r="J1927" s="73"/>
      <c r="K1927" s="73"/>
      <c r="L1927" s="73"/>
      <c r="M1927" s="73"/>
      <c r="N1927" s="73"/>
      <c r="O1927" s="73"/>
      <c r="P1927" s="73"/>
      <c r="Q1927" s="73"/>
      <c r="R1927" s="73"/>
      <c r="S1927" s="73"/>
      <c r="T1927" s="73"/>
      <c r="U1927" s="73"/>
      <c r="V1927" s="73"/>
      <c r="W1927" s="73"/>
      <c r="X1927" s="73"/>
      <c r="Y1927" s="73"/>
      <c r="Z1927" s="73"/>
      <c r="AA1927" s="73"/>
      <c r="AB1927" s="73"/>
      <c r="AC1927" s="73"/>
      <c r="AD1927" s="73"/>
      <c r="AE1927" s="73"/>
      <c r="AF1927" s="73"/>
      <c r="AG1927" s="73"/>
      <c r="AH1927" s="73"/>
      <c r="AI1927" s="73"/>
      <c r="AJ1927" s="168"/>
      <c r="AK1927" s="73"/>
      <c r="AL1927" s="73"/>
      <c r="AM1927" s="73"/>
      <c r="AN1927" s="73"/>
      <c r="AO1927" s="73"/>
      <c r="AP1927" s="73"/>
      <c r="AQ1927" s="73"/>
      <c r="AR1927" s="73"/>
      <c r="AS1927" s="73"/>
      <c r="AT1927" s="73"/>
      <c r="AU1927" s="73"/>
      <c r="AV1927" s="73"/>
      <c r="AW1927" s="73"/>
      <c r="AX1927" s="73"/>
      <c r="AY1927" s="73"/>
      <c r="AZ1927" s="73"/>
      <c r="BA1927" s="73"/>
      <c r="BB1927" s="73"/>
      <c r="BC1927" s="73"/>
      <c r="BD1927" s="73"/>
      <c r="BE1927" s="73"/>
      <c r="BF1927" s="75"/>
      <c r="BG1927" s="73"/>
      <c r="BH1927" s="88"/>
      <c r="BI1927" s="73"/>
      <c r="BJ1927" s="73"/>
      <c r="BK1927" s="73"/>
      <c r="BL1927" s="73"/>
      <c r="BM1927" s="73"/>
      <c r="BN1927" s="73"/>
      <c r="BO1927" s="73"/>
      <c r="BP1927" s="73"/>
      <c r="BQ1927" s="73"/>
      <c r="BR1927" s="73"/>
      <c r="BS1927" s="73"/>
      <c r="BT1927" s="73"/>
      <c r="BU1927" s="73"/>
      <c r="BV1927" s="73"/>
      <c r="BW1927" s="73"/>
      <c r="BX1927" s="73"/>
      <c r="BY1927" s="73"/>
      <c r="BZ1927" s="73"/>
      <c r="CA1927" s="73"/>
      <c r="CB1927" s="73"/>
      <c r="CC1927" s="73"/>
      <c r="CD1927" s="73"/>
      <c r="CE1927" s="73"/>
      <c r="CF1927" s="73"/>
      <c r="CG1927" s="73"/>
      <c r="CH1927" s="73"/>
    </row>
    <row r="1928">
      <c r="A1928" s="73"/>
      <c r="B1928" s="73"/>
      <c r="C1928" s="73"/>
      <c r="D1928" s="73"/>
      <c r="E1928" s="140"/>
      <c r="F1928" s="80"/>
      <c r="G1928" s="80"/>
      <c r="H1928" s="73"/>
      <c r="I1928" s="73"/>
      <c r="J1928" s="73"/>
      <c r="K1928" s="73"/>
      <c r="L1928" s="73"/>
      <c r="M1928" s="73"/>
      <c r="N1928" s="73"/>
      <c r="O1928" s="73"/>
      <c r="P1928" s="73"/>
      <c r="Q1928" s="73"/>
      <c r="R1928" s="73"/>
      <c r="S1928" s="73"/>
      <c r="T1928" s="73"/>
      <c r="U1928" s="73"/>
      <c r="V1928" s="73"/>
      <c r="W1928" s="73"/>
      <c r="X1928" s="73"/>
      <c r="Y1928" s="73"/>
      <c r="Z1928" s="73"/>
      <c r="AA1928" s="73"/>
      <c r="AB1928" s="73"/>
      <c r="AC1928" s="73"/>
      <c r="AD1928" s="73"/>
      <c r="AE1928" s="73"/>
      <c r="AF1928" s="73"/>
      <c r="AG1928" s="73"/>
      <c r="AH1928" s="73"/>
      <c r="AI1928" s="73"/>
      <c r="AJ1928" s="168"/>
      <c r="AK1928" s="73"/>
      <c r="AL1928" s="73"/>
      <c r="AM1928" s="73"/>
      <c r="AN1928" s="73"/>
      <c r="AO1928" s="73"/>
      <c r="AP1928" s="73"/>
      <c r="AQ1928" s="73"/>
      <c r="AR1928" s="73"/>
      <c r="AS1928" s="73"/>
      <c r="AT1928" s="73"/>
      <c r="AU1928" s="73"/>
      <c r="AV1928" s="73"/>
      <c r="AW1928" s="73"/>
      <c r="AX1928" s="73"/>
      <c r="AY1928" s="73"/>
      <c r="AZ1928" s="73"/>
      <c r="BA1928" s="73"/>
      <c r="BB1928" s="73"/>
      <c r="BC1928" s="73"/>
      <c r="BD1928" s="73"/>
      <c r="BE1928" s="73"/>
      <c r="BF1928" s="75"/>
      <c r="BG1928" s="73"/>
      <c r="BH1928" s="88"/>
      <c r="BI1928" s="73"/>
      <c r="BJ1928" s="73"/>
      <c r="BK1928" s="73"/>
      <c r="BL1928" s="73"/>
      <c r="BM1928" s="73"/>
      <c r="BN1928" s="73"/>
      <c r="BO1928" s="73"/>
      <c r="BP1928" s="73"/>
      <c r="BQ1928" s="73"/>
      <c r="BR1928" s="73"/>
      <c r="BS1928" s="73"/>
      <c r="BT1928" s="73"/>
      <c r="BU1928" s="73"/>
      <c r="BV1928" s="73"/>
      <c r="BW1928" s="73"/>
      <c r="BX1928" s="73"/>
      <c r="BY1928" s="73"/>
      <c r="BZ1928" s="73"/>
      <c r="CA1928" s="73"/>
      <c r="CB1928" s="73"/>
      <c r="CC1928" s="73"/>
      <c r="CD1928" s="73"/>
      <c r="CE1928" s="73"/>
      <c r="CF1928" s="73"/>
      <c r="CG1928" s="73"/>
      <c r="CH1928" s="73"/>
    </row>
    <row r="1929">
      <c r="A1929" s="73"/>
      <c r="B1929" s="73"/>
      <c r="C1929" s="73"/>
      <c r="D1929" s="73"/>
      <c r="E1929" s="140"/>
      <c r="F1929" s="80"/>
      <c r="G1929" s="80"/>
      <c r="H1929" s="73"/>
      <c r="I1929" s="73"/>
      <c r="J1929" s="73"/>
      <c r="K1929" s="73"/>
      <c r="L1929" s="73"/>
      <c r="M1929" s="73"/>
      <c r="N1929" s="73"/>
      <c r="O1929" s="73"/>
      <c r="P1929" s="73"/>
      <c r="Q1929" s="73"/>
      <c r="R1929" s="73"/>
      <c r="S1929" s="73"/>
      <c r="T1929" s="73"/>
      <c r="U1929" s="73"/>
      <c r="V1929" s="73"/>
      <c r="W1929" s="73"/>
      <c r="X1929" s="73"/>
      <c r="Y1929" s="73"/>
      <c r="Z1929" s="73"/>
      <c r="AA1929" s="73"/>
      <c r="AB1929" s="73"/>
      <c r="AC1929" s="73"/>
      <c r="AD1929" s="73"/>
      <c r="AE1929" s="73"/>
      <c r="AF1929" s="73"/>
      <c r="AG1929" s="73"/>
      <c r="AH1929" s="73"/>
      <c r="AI1929" s="73"/>
      <c r="AJ1929" s="168"/>
      <c r="AK1929" s="73"/>
      <c r="AL1929" s="73"/>
      <c r="AM1929" s="73"/>
      <c r="AN1929" s="73"/>
      <c r="AO1929" s="73"/>
      <c r="AP1929" s="73"/>
      <c r="AQ1929" s="73"/>
      <c r="AR1929" s="73"/>
      <c r="AS1929" s="73"/>
      <c r="AT1929" s="73"/>
      <c r="AU1929" s="73"/>
      <c r="AV1929" s="73"/>
      <c r="AW1929" s="73"/>
      <c r="AX1929" s="73"/>
      <c r="AY1929" s="73"/>
      <c r="AZ1929" s="73"/>
      <c r="BA1929" s="73"/>
      <c r="BB1929" s="73"/>
      <c r="BC1929" s="73"/>
      <c r="BD1929" s="73"/>
      <c r="BE1929" s="73"/>
      <c r="BF1929" s="75"/>
      <c r="BG1929" s="73"/>
      <c r="BH1929" s="88"/>
      <c r="BI1929" s="73"/>
      <c r="BJ1929" s="73"/>
      <c r="BK1929" s="73"/>
      <c r="BL1929" s="73"/>
      <c r="BM1929" s="73"/>
      <c r="BN1929" s="73"/>
      <c r="BO1929" s="73"/>
      <c r="BP1929" s="73"/>
      <c r="BQ1929" s="73"/>
      <c r="BR1929" s="73"/>
      <c r="BS1929" s="73"/>
      <c r="BT1929" s="73"/>
      <c r="BU1929" s="73"/>
      <c r="BV1929" s="73"/>
      <c r="BW1929" s="73"/>
      <c r="BX1929" s="73"/>
      <c r="BY1929" s="73"/>
      <c r="BZ1929" s="73"/>
      <c r="CA1929" s="73"/>
      <c r="CB1929" s="73"/>
      <c r="CC1929" s="73"/>
      <c r="CD1929" s="73"/>
      <c r="CE1929" s="73"/>
      <c r="CF1929" s="73"/>
      <c r="CG1929" s="73"/>
      <c r="CH1929" s="73"/>
    </row>
    <row r="1930">
      <c r="A1930" s="73"/>
      <c r="B1930" s="73"/>
      <c r="C1930" s="73"/>
      <c r="D1930" s="73"/>
      <c r="E1930" s="140"/>
      <c r="F1930" s="80"/>
      <c r="G1930" s="80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  <c r="S1930" s="73"/>
      <c r="T1930" s="73"/>
      <c r="U1930" s="73"/>
      <c r="V1930" s="73"/>
      <c r="W1930" s="73"/>
      <c r="X1930" s="73"/>
      <c r="Y1930" s="73"/>
      <c r="Z1930" s="73"/>
      <c r="AA1930" s="73"/>
      <c r="AB1930" s="73"/>
      <c r="AC1930" s="73"/>
      <c r="AD1930" s="73"/>
      <c r="AE1930" s="73"/>
      <c r="AF1930" s="73"/>
      <c r="AG1930" s="73"/>
      <c r="AH1930" s="73"/>
      <c r="AI1930" s="73"/>
      <c r="AJ1930" s="168"/>
      <c r="AK1930" s="73"/>
      <c r="AL1930" s="73"/>
      <c r="AM1930" s="73"/>
      <c r="AN1930" s="73"/>
      <c r="AO1930" s="73"/>
      <c r="AP1930" s="73"/>
      <c r="AQ1930" s="73"/>
      <c r="AR1930" s="73"/>
      <c r="AS1930" s="73"/>
      <c r="AT1930" s="73"/>
      <c r="AU1930" s="73"/>
      <c r="AV1930" s="73"/>
      <c r="AW1930" s="73"/>
      <c r="AX1930" s="73"/>
      <c r="AY1930" s="73"/>
      <c r="AZ1930" s="73"/>
      <c r="BA1930" s="73"/>
      <c r="BB1930" s="73"/>
      <c r="BC1930" s="73"/>
      <c r="BD1930" s="73"/>
      <c r="BE1930" s="73"/>
      <c r="BF1930" s="75"/>
      <c r="BG1930" s="73"/>
      <c r="BH1930" s="88"/>
      <c r="BI1930" s="73"/>
      <c r="BJ1930" s="73"/>
      <c r="BK1930" s="73"/>
      <c r="BL1930" s="73"/>
      <c r="BM1930" s="73"/>
      <c r="BN1930" s="73"/>
      <c r="BO1930" s="73"/>
      <c r="BP1930" s="73"/>
      <c r="BQ1930" s="73"/>
      <c r="BR1930" s="73"/>
      <c r="BS1930" s="73"/>
      <c r="BT1930" s="73"/>
      <c r="BU1930" s="73"/>
      <c r="BV1930" s="73"/>
      <c r="BW1930" s="73"/>
      <c r="BX1930" s="73"/>
      <c r="BY1930" s="73"/>
      <c r="BZ1930" s="73"/>
      <c r="CA1930" s="73"/>
      <c r="CB1930" s="73"/>
      <c r="CC1930" s="73"/>
      <c r="CD1930" s="73"/>
      <c r="CE1930" s="73"/>
      <c r="CF1930" s="73"/>
      <c r="CG1930" s="73"/>
      <c r="CH1930" s="73"/>
    </row>
    <row r="1931">
      <c r="A1931" s="73"/>
      <c r="B1931" s="73"/>
      <c r="C1931" s="73"/>
      <c r="D1931" s="73"/>
      <c r="E1931" s="140"/>
      <c r="F1931" s="80"/>
      <c r="G1931" s="80"/>
      <c r="H1931" s="73"/>
      <c r="I1931" s="73"/>
      <c r="J1931" s="73"/>
      <c r="K1931" s="73"/>
      <c r="L1931" s="73"/>
      <c r="M1931" s="73"/>
      <c r="N1931" s="73"/>
      <c r="O1931" s="73"/>
      <c r="P1931" s="73"/>
      <c r="Q1931" s="73"/>
      <c r="R1931" s="73"/>
      <c r="S1931" s="73"/>
      <c r="T1931" s="73"/>
      <c r="U1931" s="73"/>
      <c r="V1931" s="73"/>
      <c r="W1931" s="73"/>
      <c r="X1931" s="73"/>
      <c r="Y1931" s="73"/>
      <c r="Z1931" s="73"/>
      <c r="AA1931" s="73"/>
      <c r="AB1931" s="73"/>
      <c r="AC1931" s="73"/>
      <c r="AD1931" s="73"/>
      <c r="AE1931" s="73"/>
      <c r="AF1931" s="73"/>
      <c r="AG1931" s="73"/>
      <c r="AH1931" s="73"/>
      <c r="AI1931" s="73"/>
      <c r="AJ1931" s="168"/>
      <c r="AK1931" s="73"/>
      <c r="AL1931" s="73"/>
      <c r="AM1931" s="73"/>
      <c r="AN1931" s="73"/>
      <c r="AO1931" s="73"/>
      <c r="AP1931" s="73"/>
      <c r="AQ1931" s="73"/>
      <c r="AR1931" s="73"/>
      <c r="AS1931" s="73"/>
      <c r="AT1931" s="73"/>
      <c r="AU1931" s="73"/>
      <c r="AV1931" s="73"/>
      <c r="AW1931" s="73"/>
      <c r="AX1931" s="73"/>
      <c r="AY1931" s="73"/>
      <c r="AZ1931" s="73"/>
      <c r="BA1931" s="73"/>
      <c r="BB1931" s="73"/>
      <c r="BC1931" s="73"/>
      <c r="BD1931" s="73"/>
      <c r="BE1931" s="73"/>
      <c r="BF1931" s="75"/>
      <c r="BG1931" s="73"/>
      <c r="BH1931" s="88"/>
      <c r="BI1931" s="73"/>
      <c r="BJ1931" s="73"/>
      <c r="BK1931" s="73"/>
      <c r="BL1931" s="73"/>
      <c r="BM1931" s="73"/>
      <c r="BN1931" s="73"/>
      <c r="BO1931" s="73"/>
      <c r="BP1931" s="73"/>
      <c r="BQ1931" s="73"/>
      <c r="BR1931" s="73"/>
      <c r="BS1931" s="73"/>
      <c r="BT1931" s="73"/>
      <c r="BU1931" s="73"/>
      <c r="BV1931" s="73"/>
      <c r="BW1931" s="73"/>
      <c r="BX1931" s="73"/>
      <c r="BY1931" s="73"/>
      <c r="BZ1931" s="73"/>
      <c r="CA1931" s="73"/>
      <c r="CB1931" s="73"/>
      <c r="CC1931" s="73"/>
      <c r="CD1931" s="73"/>
      <c r="CE1931" s="73"/>
      <c r="CF1931" s="73"/>
      <c r="CG1931" s="73"/>
      <c r="CH1931" s="73"/>
    </row>
    <row r="1932">
      <c r="A1932" s="73"/>
      <c r="B1932" s="73"/>
      <c r="C1932" s="73"/>
      <c r="D1932" s="73"/>
      <c r="E1932" s="140"/>
      <c r="F1932" s="80"/>
      <c r="G1932" s="80"/>
      <c r="H1932" s="73"/>
      <c r="I1932" s="73"/>
      <c r="J1932" s="73"/>
      <c r="K1932" s="73"/>
      <c r="L1932" s="73"/>
      <c r="M1932" s="73"/>
      <c r="N1932" s="73"/>
      <c r="O1932" s="73"/>
      <c r="P1932" s="73"/>
      <c r="Q1932" s="73"/>
      <c r="R1932" s="73"/>
      <c r="S1932" s="73"/>
      <c r="T1932" s="73"/>
      <c r="U1932" s="73"/>
      <c r="V1932" s="73"/>
      <c r="W1932" s="73"/>
      <c r="X1932" s="73"/>
      <c r="Y1932" s="73"/>
      <c r="Z1932" s="73"/>
      <c r="AA1932" s="73"/>
      <c r="AB1932" s="73"/>
      <c r="AC1932" s="73"/>
      <c r="AD1932" s="73"/>
      <c r="AE1932" s="73"/>
      <c r="AF1932" s="73"/>
      <c r="AG1932" s="73"/>
      <c r="AH1932" s="73"/>
      <c r="AI1932" s="73"/>
      <c r="AJ1932" s="168"/>
      <c r="AK1932" s="73"/>
      <c r="AL1932" s="73"/>
      <c r="AM1932" s="73"/>
      <c r="AN1932" s="73"/>
      <c r="AO1932" s="73"/>
      <c r="AP1932" s="73"/>
      <c r="AQ1932" s="73"/>
      <c r="AR1932" s="73"/>
      <c r="AS1932" s="73"/>
      <c r="AT1932" s="73"/>
      <c r="AU1932" s="73"/>
      <c r="AV1932" s="73"/>
      <c r="AW1932" s="73"/>
      <c r="AX1932" s="73"/>
      <c r="AY1932" s="73"/>
      <c r="AZ1932" s="73"/>
      <c r="BA1932" s="73"/>
      <c r="BB1932" s="73"/>
      <c r="BC1932" s="73"/>
      <c r="BD1932" s="73"/>
      <c r="BE1932" s="73"/>
      <c r="BF1932" s="75"/>
      <c r="BG1932" s="73"/>
      <c r="BH1932" s="88"/>
      <c r="BI1932" s="73"/>
      <c r="BJ1932" s="73"/>
      <c r="BK1932" s="73"/>
      <c r="BL1932" s="73"/>
      <c r="BM1932" s="73"/>
      <c r="BN1932" s="73"/>
      <c r="BO1932" s="73"/>
      <c r="BP1932" s="73"/>
      <c r="BQ1932" s="73"/>
      <c r="BR1932" s="73"/>
      <c r="BS1932" s="73"/>
      <c r="BT1932" s="73"/>
      <c r="BU1932" s="73"/>
      <c r="BV1932" s="73"/>
      <c r="BW1932" s="73"/>
      <c r="BX1932" s="73"/>
      <c r="BY1932" s="73"/>
      <c r="BZ1932" s="73"/>
      <c r="CA1932" s="73"/>
      <c r="CB1932" s="73"/>
      <c r="CC1932" s="73"/>
      <c r="CD1932" s="73"/>
      <c r="CE1932" s="73"/>
      <c r="CF1932" s="73"/>
      <c r="CG1932" s="73"/>
      <c r="CH1932" s="73"/>
    </row>
    <row r="1933">
      <c r="A1933" s="73"/>
      <c r="B1933" s="73"/>
      <c r="C1933" s="73"/>
      <c r="D1933" s="73"/>
      <c r="E1933" s="140"/>
      <c r="F1933" s="80"/>
      <c r="G1933" s="80"/>
      <c r="H1933" s="73"/>
      <c r="I1933" s="73"/>
      <c r="J1933" s="73"/>
      <c r="K1933" s="73"/>
      <c r="L1933" s="73"/>
      <c r="M1933" s="73"/>
      <c r="N1933" s="73"/>
      <c r="O1933" s="73"/>
      <c r="P1933" s="73"/>
      <c r="Q1933" s="73"/>
      <c r="R1933" s="73"/>
      <c r="S1933" s="73"/>
      <c r="T1933" s="73"/>
      <c r="U1933" s="73"/>
      <c r="V1933" s="73"/>
      <c r="W1933" s="73"/>
      <c r="X1933" s="73"/>
      <c r="Y1933" s="73"/>
      <c r="Z1933" s="73"/>
      <c r="AA1933" s="73"/>
      <c r="AB1933" s="73"/>
      <c r="AC1933" s="73"/>
      <c r="AD1933" s="73"/>
      <c r="AE1933" s="73"/>
      <c r="AF1933" s="73"/>
      <c r="AG1933" s="73"/>
      <c r="AH1933" s="73"/>
      <c r="AI1933" s="73"/>
      <c r="AJ1933" s="168"/>
      <c r="AK1933" s="73"/>
      <c r="AL1933" s="73"/>
      <c r="AM1933" s="73"/>
      <c r="AN1933" s="73"/>
      <c r="AO1933" s="73"/>
      <c r="AP1933" s="73"/>
      <c r="AQ1933" s="73"/>
      <c r="AR1933" s="73"/>
      <c r="AS1933" s="73"/>
      <c r="AT1933" s="73"/>
      <c r="AU1933" s="73"/>
      <c r="AV1933" s="73"/>
      <c r="AW1933" s="73"/>
      <c r="AX1933" s="73"/>
      <c r="AY1933" s="73"/>
      <c r="AZ1933" s="73"/>
      <c r="BA1933" s="73"/>
      <c r="BB1933" s="73"/>
      <c r="BC1933" s="73"/>
      <c r="BD1933" s="73"/>
      <c r="BE1933" s="73"/>
      <c r="BF1933" s="75"/>
      <c r="BG1933" s="73"/>
      <c r="BH1933" s="88"/>
      <c r="BI1933" s="73"/>
      <c r="BJ1933" s="73"/>
      <c r="BK1933" s="73"/>
      <c r="BL1933" s="73"/>
      <c r="BM1933" s="73"/>
      <c r="BN1933" s="73"/>
      <c r="BO1933" s="73"/>
      <c r="BP1933" s="73"/>
      <c r="BQ1933" s="73"/>
      <c r="BR1933" s="73"/>
      <c r="BS1933" s="73"/>
      <c r="BT1933" s="73"/>
      <c r="BU1933" s="73"/>
      <c r="BV1933" s="73"/>
      <c r="BW1933" s="73"/>
      <c r="BX1933" s="73"/>
      <c r="BY1933" s="73"/>
      <c r="BZ1933" s="73"/>
      <c r="CA1933" s="73"/>
      <c r="CB1933" s="73"/>
      <c r="CC1933" s="73"/>
      <c r="CD1933" s="73"/>
      <c r="CE1933" s="73"/>
      <c r="CF1933" s="73"/>
      <c r="CG1933" s="73"/>
      <c r="CH1933" s="73"/>
    </row>
    <row r="1934">
      <c r="A1934" s="73"/>
      <c r="B1934" s="73"/>
      <c r="C1934" s="73"/>
      <c r="D1934" s="73"/>
      <c r="E1934" s="140"/>
      <c r="F1934" s="80"/>
      <c r="G1934" s="80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  <c r="S1934" s="73"/>
      <c r="T1934" s="73"/>
      <c r="U1934" s="73"/>
      <c r="V1934" s="73"/>
      <c r="W1934" s="73"/>
      <c r="X1934" s="73"/>
      <c r="Y1934" s="73"/>
      <c r="Z1934" s="73"/>
      <c r="AA1934" s="73"/>
      <c r="AB1934" s="73"/>
      <c r="AC1934" s="73"/>
      <c r="AD1934" s="73"/>
      <c r="AE1934" s="73"/>
      <c r="AF1934" s="73"/>
      <c r="AG1934" s="73"/>
      <c r="AH1934" s="73"/>
      <c r="AI1934" s="73"/>
      <c r="AJ1934" s="168"/>
      <c r="AK1934" s="73"/>
      <c r="AL1934" s="73"/>
      <c r="AM1934" s="73"/>
      <c r="AN1934" s="73"/>
      <c r="AO1934" s="73"/>
      <c r="AP1934" s="73"/>
      <c r="AQ1934" s="73"/>
      <c r="AR1934" s="73"/>
      <c r="AS1934" s="73"/>
      <c r="AT1934" s="73"/>
      <c r="AU1934" s="73"/>
      <c r="AV1934" s="73"/>
      <c r="AW1934" s="73"/>
      <c r="AX1934" s="73"/>
      <c r="AY1934" s="73"/>
      <c r="AZ1934" s="73"/>
      <c r="BA1934" s="73"/>
      <c r="BB1934" s="73"/>
      <c r="BC1934" s="73"/>
      <c r="BD1934" s="73"/>
      <c r="BE1934" s="73"/>
      <c r="BF1934" s="75"/>
      <c r="BG1934" s="73"/>
      <c r="BH1934" s="88"/>
      <c r="BI1934" s="73"/>
      <c r="BJ1934" s="73"/>
      <c r="BK1934" s="73"/>
      <c r="BL1934" s="73"/>
      <c r="BM1934" s="73"/>
      <c r="BN1934" s="73"/>
      <c r="BO1934" s="73"/>
      <c r="BP1934" s="73"/>
      <c r="BQ1934" s="73"/>
      <c r="BR1934" s="73"/>
      <c r="BS1934" s="73"/>
      <c r="BT1934" s="73"/>
      <c r="BU1934" s="73"/>
      <c r="BV1934" s="73"/>
      <c r="BW1934" s="73"/>
      <c r="BX1934" s="73"/>
      <c r="BY1934" s="73"/>
      <c r="BZ1934" s="73"/>
      <c r="CA1934" s="73"/>
      <c r="CB1934" s="73"/>
      <c r="CC1934" s="73"/>
      <c r="CD1934" s="73"/>
      <c r="CE1934" s="73"/>
      <c r="CF1934" s="73"/>
      <c r="CG1934" s="73"/>
      <c r="CH1934" s="73"/>
    </row>
    <row r="1935">
      <c r="A1935" s="73"/>
      <c r="B1935" s="73"/>
      <c r="C1935" s="73"/>
      <c r="D1935" s="73"/>
      <c r="E1935" s="140"/>
      <c r="F1935" s="80"/>
      <c r="G1935" s="80"/>
      <c r="H1935" s="73"/>
      <c r="I1935" s="73"/>
      <c r="J1935" s="73"/>
      <c r="K1935" s="73"/>
      <c r="L1935" s="73"/>
      <c r="M1935" s="73"/>
      <c r="N1935" s="73"/>
      <c r="O1935" s="73"/>
      <c r="P1935" s="73"/>
      <c r="Q1935" s="73"/>
      <c r="R1935" s="73"/>
      <c r="S1935" s="73"/>
      <c r="T1935" s="73"/>
      <c r="U1935" s="73"/>
      <c r="V1935" s="73"/>
      <c r="W1935" s="73"/>
      <c r="X1935" s="73"/>
      <c r="Y1935" s="73"/>
      <c r="Z1935" s="73"/>
      <c r="AA1935" s="73"/>
      <c r="AB1935" s="73"/>
      <c r="AC1935" s="73"/>
      <c r="AD1935" s="73"/>
      <c r="AE1935" s="73"/>
      <c r="AF1935" s="73"/>
      <c r="AG1935" s="73"/>
      <c r="AH1935" s="73"/>
      <c r="AI1935" s="73"/>
      <c r="AJ1935" s="168"/>
      <c r="AK1935" s="73"/>
      <c r="AL1935" s="73"/>
      <c r="AM1935" s="73"/>
      <c r="AN1935" s="73"/>
      <c r="AO1935" s="73"/>
      <c r="AP1935" s="73"/>
      <c r="AQ1935" s="73"/>
      <c r="AR1935" s="73"/>
      <c r="AS1935" s="73"/>
      <c r="AT1935" s="73"/>
      <c r="AU1935" s="73"/>
      <c r="AV1935" s="73"/>
      <c r="AW1935" s="73"/>
      <c r="AX1935" s="73"/>
      <c r="AY1935" s="73"/>
      <c r="AZ1935" s="73"/>
      <c r="BA1935" s="73"/>
      <c r="BB1935" s="73"/>
      <c r="BC1935" s="73"/>
      <c r="BD1935" s="73"/>
      <c r="BE1935" s="73"/>
      <c r="BF1935" s="75"/>
      <c r="BG1935" s="73"/>
      <c r="BH1935" s="88"/>
      <c r="BI1935" s="73"/>
      <c r="BJ1935" s="73"/>
      <c r="BK1935" s="73"/>
      <c r="BL1935" s="73"/>
      <c r="BM1935" s="73"/>
      <c r="BN1935" s="73"/>
      <c r="BO1935" s="73"/>
      <c r="BP1935" s="73"/>
      <c r="BQ1935" s="73"/>
      <c r="BR1935" s="73"/>
      <c r="BS1935" s="73"/>
      <c r="BT1935" s="73"/>
      <c r="BU1935" s="73"/>
      <c r="BV1935" s="73"/>
      <c r="BW1935" s="73"/>
      <c r="BX1935" s="73"/>
      <c r="BY1935" s="73"/>
      <c r="BZ1935" s="73"/>
      <c r="CA1935" s="73"/>
      <c r="CB1935" s="73"/>
      <c r="CC1935" s="73"/>
      <c r="CD1935" s="73"/>
      <c r="CE1935" s="73"/>
      <c r="CF1935" s="73"/>
      <c r="CG1935" s="73"/>
      <c r="CH1935" s="73"/>
    </row>
    <row r="1936">
      <c r="A1936" s="73"/>
      <c r="B1936" s="73"/>
      <c r="C1936" s="73"/>
      <c r="D1936" s="73"/>
      <c r="E1936" s="140"/>
      <c r="F1936" s="80"/>
      <c r="G1936" s="80"/>
      <c r="H1936" s="73"/>
      <c r="I1936" s="73"/>
      <c r="J1936" s="73"/>
      <c r="K1936" s="73"/>
      <c r="L1936" s="73"/>
      <c r="M1936" s="73"/>
      <c r="N1936" s="73"/>
      <c r="O1936" s="73"/>
      <c r="P1936" s="73"/>
      <c r="Q1936" s="73"/>
      <c r="R1936" s="73"/>
      <c r="S1936" s="73"/>
      <c r="T1936" s="73"/>
      <c r="U1936" s="73"/>
      <c r="V1936" s="73"/>
      <c r="W1936" s="73"/>
      <c r="X1936" s="73"/>
      <c r="Y1936" s="73"/>
      <c r="Z1936" s="73"/>
      <c r="AA1936" s="73"/>
      <c r="AB1936" s="73"/>
      <c r="AC1936" s="73"/>
      <c r="AD1936" s="73"/>
      <c r="AE1936" s="73"/>
      <c r="AF1936" s="73"/>
      <c r="AG1936" s="73"/>
      <c r="AH1936" s="73"/>
      <c r="AI1936" s="73"/>
      <c r="AJ1936" s="168"/>
      <c r="AK1936" s="73"/>
      <c r="AL1936" s="73"/>
      <c r="AM1936" s="73"/>
      <c r="AN1936" s="73"/>
      <c r="AO1936" s="73"/>
      <c r="AP1936" s="73"/>
      <c r="AQ1936" s="73"/>
      <c r="AR1936" s="73"/>
      <c r="AS1936" s="73"/>
      <c r="AT1936" s="73"/>
      <c r="AU1936" s="73"/>
      <c r="AV1936" s="73"/>
      <c r="AW1936" s="73"/>
      <c r="AX1936" s="73"/>
      <c r="AY1936" s="73"/>
      <c r="AZ1936" s="73"/>
      <c r="BA1936" s="73"/>
      <c r="BB1936" s="73"/>
      <c r="BC1936" s="73"/>
      <c r="BD1936" s="73"/>
      <c r="BE1936" s="73"/>
      <c r="BF1936" s="75"/>
      <c r="BG1936" s="73"/>
      <c r="BH1936" s="88"/>
      <c r="BI1936" s="73"/>
      <c r="BJ1936" s="73"/>
      <c r="BK1936" s="73"/>
      <c r="BL1936" s="73"/>
      <c r="BM1936" s="73"/>
      <c r="BN1936" s="73"/>
      <c r="BO1936" s="73"/>
      <c r="BP1936" s="73"/>
      <c r="BQ1936" s="73"/>
      <c r="BR1936" s="73"/>
      <c r="BS1936" s="73"/>
      <c r="BT1936" s="73"/>
      <c r="BU1936" s="73"/>
      <c r="BV1936" s="73"/>
      <c r="BW1936" s="73"/>
      <c r="BX1936" s="73"/>
      <c r="BY1936" s="73"/>
      <c r="BZ1936" s="73"/>
      <c r="CA1936" s="73"/>
      <c r="CB1936" s="73"/>
      <c r="CC1936" s="73"/>
      <c r="CD1936" s="73"/>
      <c r="CE1936" s="73"/>
      <c r="CF1936" s="73"/>
      <c r="CG1936" s="73"/>
      <c r="CH1936" s="73"/>
    </row>
    <row r="1937">
      <c r="A1937" s="73"/>
      <c r="B1937" s="73"/>
      <c r="C1937" s="73"/>
      <c r="D1937" s="73"/>
      <c r="E1937" s="140"/>
      <c r="F1937" s="80"/>
      <c r="G1937" s="80"/>
      <c r="H1937" s="73"/>
      <c r="I1937" s="73"/>
      <c r="J1937" s="73"/>
      <c r="K1937" s="73"/>
      <c r="L1937" s="73"/>
      <c r="M1937" s="73"/>
      <c r="N1937" s="73"/>
      <c r="O1937" s="73"/>
      <c r="P1937" s="73"/>
      <c r="Q1937" s="73"/>
      <c r="R1937" s="73"/>
      <c r="S1937" s="73"/>
      <c r="T1937" s="73"/>
      <c r="U1937" s="73"/>
      <c r="V1937" s="73"/>
      <c r="W1937" s="73"/>
      <c r="X1937" s="73"/>
      <c r="Y1937" s="73"/>
      <c r="Z1937" s="73"/>
      <c r="AA1937" s="73"/>
      <c r="AB1937" s="73"/>
      <c r="AC1937" s="73"/>
      <c r="AD1937" s="73"/>
      <c r="AE1937" s="73"/>
      <c r="AF1937" s="73"/>
      <c r="AG1937" s="73"/>
      <c r="AH1937" s="73"/>
      <c r="AI1937" s="73"/>
      <c r="AJ1937" s="168"/>
      <c r="AK1937" s="73"/>
      <c r="AL1937" s="73"/>
      <c r="AM1937" s="73"/>
      <c r="AN1937" s="73"/>
      <c r="AO1937" s="73"/>
      <c r="AP1937" s="73"/>
      <c r="AQ1937" s="73"/>
      <c r="AR1937" s="73"/>
      <c r="AS1937" s="73"/>
      <c r="AT1937" s="73"/>
      <c r="AU1937" s="73"/>
      <c r="AV1937" s="73"/>
      <c r="AW1937" s="73"/>
      <c r="AX1937" s="73"/>
      <c r="AY1937" s="73"/>
      <c r="AZ1937" s="73"/>
      <c r="BA1937" s="73"/>
      <c r="BB1937" s="73"/>
      <c r="BC1937" s="73"/>
      <c r="BD1937" s="73"/>
      <c r="BE1937" s="73"/>
      <c r="BF1937" s="75"/>
      <c r="BG1937" s="73"/>
      <c r="BH1937" s="88"/>
      <c r="BI1937" s="73"/>
      <c r="BJ1937" s="73"/>
      <c r="BK1937" s="73"/>
      <c r="BL1937" s="73"/>
      <c r="BM1937" s="73"/>
      <c r="BN1937" s="73"/>
      <c r="BO1937" s="73"/>
      <c r="BP1937" s="73"/>
      <c r="BQ1937" s="73"/>
      <c r="BR1937" s="73"/>
      <c r="BS1937" s="73"/>
      <c r="BT1937" s="73"/>
      <c r="BU1937" s="73"/>
      <c r="BV1937" s="73"/>
      <c r="BW1937" s="73"/>
      <c r="BX1937" s="73"/>
      <c r="BY1937" s="73"/>
      <c r="BZ1937" s="73"/>
      <c r="CA1937" s="73"/>
      <c r="CB1937" s="73"/>
      <c r="CC1937" s="73"/>
      <c r="CD1937" s="73"/>
      <c r="CE1937" s="73"/>
      <c r="CF1937" s="73"/>
      <c r="CG1937" s="73"/>
      <c r="CH1937" s="73"/>
    </row>
    <row r="1938">
      <c r="A1938" s="73"/>
      <c r="B1938" s="73"/>
      <c r="C1938" s="73"/>
      <c r="D1938" s="73"/>
      <c r="E1938" s="140"/>
      <c r="F1938" s="80"/>
      <c r="G1938" s="80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  <c r="S1938" s="73"/>
      <c r="T1938" s="73"/>
      <c r="U1938" s="73"/>
      <c r="V1938" s="73"/>
      <c r="W1938" s="73"/>
      <c r="X1938" s="73"/>
      <c r="Y1938" s="73"/>
      <c r="Z1938" s="73"/>
      <c r="AA1938" s="73"/>
      <c r="AB1938" s="73"/>
      <c r="AC1938" s="73"/>
      <c r="AD1938" s="73"/>
      <c r="AE1938" s="73"/>
      <c r="AF1938" s="73"/>
      <c r="AG1938" s="73"/>
      <c r="AH1938" s="73"/>
      <c r="AI1938" s="73"/>
      <c r="AJ1938" s="168"/>
      <c r="AK1938" s="73"/>
      <c r="AL1938" s="73"/>
      <c r="AM1938" s="73"/>
      <c r="AN1938" s="73"/>
      <c r="AO1938" s="73"/>
      <c r="AP1938" s="73"/>
      <c r="AQ1938" s="73"/>
      <c r="AR1938" s="73"/>
      <c r="AS1938" s="73"/>
      <c r="AT1938" s="73"/>
      <c r="AU1938" s="73"/>
      <c r="AV1938" s="73"/>
      <c r="AW1938" s="73"/>
      <c r="AX1938" s="73"/>
      <c r="AY1938" s="73"/>
      <c r="AZ1938" s="73"/>
      <c r="BA1938" s="73"/>
      <c r="BB1938" s="73"/>
      <c r="BC1938" s="73"/>
      <c r="BD1938" s="73"/>
      <c r="BE1938" s="73"/>
      <c r="BF1938" s="75"/>
      <c r="BG1938" s="73"/>
      <c r="BH1938" s="88"/>
      <c r="BI1938" s="73"/>
      <c r="BJ1938" s="73"/>
      <c r="BK1938" s="73"/>
      <c r="BL1938" s="73"/>
      <c r="BM1938" s="73"/>
      <c r="BN1938" s="73"/>
      <c r="BO1938" s="73"/>
      <c r="BP1938" s="73"/>
      <c r="BQ1938" s="73"/>
      <c r="BR1938" s="73"/>
      <c r="BS1938" s="73"/>
      <c r="BT1938" s="73"/>
      <c r="BU1938" s="73"/>
      <c r="BV1938" s="73"/>
      <c r="BW1938" s="73"/>
      <c r="BX1938" s="73"/>
      <c r="BY1938" s="73"/>
      <c r="BZ1938" s="73"/>
      <c r="CA1938" s="73"/>
      <c r="CB1938" s="73"/>
      <c r="CC1938" s="73"/>
      <c r="CD1938" s="73"/>
      <c r="CE1938" s="73"/>
      <c r="CF1938" s="73"/>
      <c r="CG1938" s="73"/>
      <c r="CH1938" s="73"/>
    </row>
    <row r="1939">
      <c r="A1939" s="73"/>
      <c r="B1939" s="73"/>
      <c r="C1939" s="73"/>
      <c r="D1939" s="73"/>
      <c r="E1939" s="140"/>
      <c r="F1939" s="80"/>
      <c r="G1939" s="80"/>
      <c r="H1939" s="73"/>
      <c r="I1939" s="73"/>
      <c r="J1939" s="73"/>
      <c r="K1939" s="73"/>
      <c r="L1939" s="73"/>
      <c r="M1939" s="73"/>
      <c r="N1939" s="73"/>
      <c r="O1939" s="73"/>
      <c r="P1939" s="73"/>
      <c r="Q1939" s="73"/>
      <c r="R1939" s="73"/>
      <c r="S1939" s="73"/>
      <c r="T1939" s="73"/>
      <c r="U1939" s="73"/>
      <c r="V1939" s="73"/>
      <c r="W1939" s="73"/>
      <c r="X1939" s="73"/>
      <c r="Y1939" s="73"/>
      <c r="Z1939" s="73"/>
      <c r="AA1939" s="73"/>
      <c r="AB1939" s="73"/>
      <c r="AC1939" s="73"/>
      <c r="AD1939" s="73"/>
      <c r="AE1939" s="73"/>
      <c r="AF1939" s="73"/>
      <c r="AG1939" s="73"/>
      <c r="AH1939" s="73"/>
      <c r="AI1939" s="73"/>
      <c r="AJ1939" s="168"/>
      <c r="AK1939" s="73"/>
      <c r="AL1939" s="73"/>
      <c r="AM1939" s="73"/>
      <c r="AN1939" s="73"/>
      <c r="AO1939" s="73"/>
      <c r="AP1939" s="73"/>
      <c r="AQ1939" s="73"/>
      <c r="AR1939" s="73"/>
      <c r="AS1939" s="73"/>
      <c r="AT1939" s="73"/>
      <c r="AU1939" s="73"/>
      <c r="AV1939" s="73"/>
      <c r="AW1939" s="73"/>
      <c r="AX1939" s="73"/>
      <c r="AY1939" s="73"/>
      <c r="AZ1939" s="73"/>
      <c r="BA1939" s="73"/>
      <c r="BB1939" s="73"/>
      <c r="BC1939" s="73"/>
      <c r="BD1939" s="73"/>
      <c r="BE1939" s="73"/>
      <c r="BF1939" s="75"/>
      <c r="BG1939" s="73"/>
      <c r="BH1939" s="88"/>
      <c r="BI1939" s="73"/>
      <c r="BJ1939" s="73"/>
      <c r="BK1939" s="73"/>
      <c r="BL1939" s="73"/>
      <c r="BM1939" s="73"/>
      <c r="BN1939" s="73"/>
      <c r="BO1939" s="73"/>
      <c r="BP1939" s="73"/>
      <c r="BQ1939" s="73"/>
      <c r="BR1939" s="73"/>
      <c r="BS1939" s="73"/>
      <c r="BT1939" s="73"/>
      <c r="BU1939" s="73"/>
      <c r="BV1939" s="73"/>
      <c r="BW1939" s="73"/>
      <c r="BX1939" s="73"/>
      <c r="BY1939" s="73"/>
      <c r="BZ1939" s="73"/>
      <c r="CA1939" s="73"/>
      <c r="CB1939" s="73"/>
      <c r="CC1939" s="73"/>
      <c r="CD1939" s="73"/>
      <c r="CE1939" s="73"/>
      <c r="CF1939" s="73"/>
      <c r="CG1939" s="73"/>
      <c r="CH1939" s="73"/>
    </row>
    <row r="1940">
      <c r="A1940" s="73"/>
      <c r="B1940" s="73"/>
      <c r="C1940" s="73"/>
      <c r="D1940" s="73"/>
      <c r="E1940" s="140"/>
      <c r="F1940" s="80"/>
      <c r="G1940" s="80"/>
      <c r="H1940" s="73"/>
      <c r="I1940" s="73"/>
      <c r="J1940" s="73"/>
      <c r="K1940" s="73"/>
      <c r="L1940" s="73"/>
      <c r="M1940" s="73"/>
      <c r="N1940" s="73"/>
      <c r="O1940" s="73"/>
      <c r="P1940" s="73"/>
      <c r="Q1940" s="73"/>
      <c r="R1940" s="73"/>
      <c r="S1940" s="73"/>
      <c r="T1940" s="73"/>
      <c r="U1940" s="73"/>
      <c r="V1940" s="73"/>
      <c r="W1940" s="73"/>
      <c r="X1940" s="73"/>
      <c r="Y1940" s="73"/>
      <c r="Z1940" s="73"/>
      <c r="AA1940" s="73"/>
      <c r="AB1940" s="73"/>
      <c r="AC1940" s="73"/>
      <c r="AD1940" s="73"/>
      <c r="AE1940" s="73"/>
      <c r="AF1940" s="73"/>
      <c r="AG1940" s="73"/>
      <c r="AH1940" s="73"/>
      <c r="AI1940" s="73"/>
      <c r="AJ1940" s="168"/>
      <c r="AK1940" s="73"/>
      <c r="AL1940" s="73"/>
      <c r="AM1940" s="73"/>
      <c r="AN1940" s="73"/>
      <c r="AO1940" s="73"/>
      <c r="AP1940" s="73"/>
      <c r="AQ1940" s="73"/>
      <c r="AR1940" s="73"/>
      <c r="AS1940" s="73"/>
      <c r="AT1940" s="73"/>
      <c r="AU1940" s="73"/>
      <c r="AV1940" s="73"/>
      <c r="AW1940" s="73"/>
      <c r="AX1940" s="73"/>
      <c r="AY1940" s="73"/>
      <c r="AZ1940" s="73"/>
      <c r="BA1940" s="73"/>
      <c r="BB1940" s="73"/>
      <c r="BC1940" s="73"/>
      <c r="BD1940" s="73"/>
      <c r="BE1940" s="73"/>
      <c r="BF1940" s="75"/>
      <c r="BG1940" s="73"/>
      <c r="BH1940" s="88"/>
      <c r="BI1940" s="73"/>
      <c r="BJ1940" s="73"/>
      <c r="BK1940" s="73"/>
      <c r="BL1940" s="73"/>
      <c r="BM1940" s="73"/>
      <c r="BN1940" s="73"/>
      <c r="BO1940" s="73"/>
      <c r="BP1940" s="73"/>
      <c r="BQ1940" s="73"/>
      <c r="BR1940" s="73"/>
      <c r="BS1940" s="73"/>
      <c r="BT1940" s="73"/>
      <c r="BU1940" s="73"/>
      <c r="BV1940" s="73"/>
      <c r="BW1940" s="73"/>
      <c r="BX1940" s="73"/>
      <c r="BY1940" s="73"/>
      <c r="BZ1940" s="73"/>
      <c r="CA1940" s="73"/>
      <c r="CB1940" s="73"/>
      <c r="CC1940" s="73"/>
      <c r="CD1940" s="73"/>
      <c r="CE1940" s="73"/>
      <c r="CF1940" s="73"/>
      <c r="CG1940" s="73"/>
      <c r="CH1940" s="73"/>
    </row>
    <row r="1941">
      <c r="A1941" s="73"/>
      <c r="B1941" s="73"/>
      <c r="C1941" s="73"/>
      <c r="D1941" s="73"/>
      <c r="E1941" s="140"/>
      <c r="F1941" s="80"/>
      <c r="G1941" s="80"/>
      <c r="H1941" s="73"/>
      <c r="I1941" s="73"/>
      <c r="J1941" s="73"/>
      <c r="K1941" s="73"/>
      <c r="L1941" s="73"/>
      <c r="M1941" s="73"/>
      <c r="N1941" s="73"/>
      <c r="O1941" s="73"/>
      <c r="P1941" s="73"/>
      <c r="Q1941" s="73"/>
      <c r="R1941" s="73"/>
      <c r="S1941" s="73"/>
      <c r="T1941" s="73"/>
      <c r="U1941" s="73"/>
      <c r="V1941" s="73"/>
      <c r="W1941" s="73"/>
      <c r="X1941" s="73"/>
      <c r="Y1941" s="73"/>
      <c r="Z1941" s="73"/>
      <c r="AA1941" s="73"/>
      <c r="AB1941" s="73"/>
      <c r="AC1941" s="73"/>
      <c r="AD1941" s="73"/>
      <c r="AE1941" s="73"/>
      <c r="AF1941" s="73"/>
      <c r="AG1941" s="73"/>
      <c r="AH1941" s="73"/>
      <c r="AI1941" s="73"/>
      <c r="AJ1941" s="168"/>
      <c r="AK1941" s="73"/>
      <c r="AL1941" s="73"/>
      <c r="AM1941" s="73"/>
      <c r="AN1941" s="73"/>
      <c r="AO1941" s="73"/>
      <c r="AP1941" s="73"/>
      <c r="AQ1941" s="73"/>
      <c r="AR1941" s="73"/>
      <c r="AS1941" s="73"/>
      <c r="AT1941" s="73"/>
      <c r="AU1941" s="73"/>
      <c r="AV1941" s="73"/>
      <c r="AW1941" s="73"/>
      <c r="AX1941" s="73"/>
      <c r="AY1941" s="73"/>
      <c r="AZ1941" s="73"/>
      <c r="BA1941" s="73"/>
      <c r="BB1941" s="73"/>
      <c r="BC1941" s="73"/>
      <c r="BD1941" s="73"/>
      <c r="BE1941" s="73"/>
      <c r="BF1941" s="75"/>
      <c r="BG1941" s="73"/>
      <c r="BH1941" s="88"/>
      <c r="BI1941" s="73"/>
      <c r="BJ1941" s="73"/>
      <c r="BK1941" s="73"/>
      <c r="BL1941" s="73"/>
      <c r="BM1941" s="73"/>
      <c r="BN1941" s="73"/>
      <c r="BO1941" s="73"/>
      <c r="BP1941" s="73"/>
      <c r="BQ1941" s="73"/>
      <c r="BR1941" s="73"/>
      <c r="BS1941" s="73"/>
      <c r="BT1941" s="73"/>
      <c r="BU1941" s="73"/>
      <c r="BV1941" s="73"/>
      <c r="BW1941" s="73"/>
      <c r="BX1941" s="73"/>
      <c r="BY1941" s="73"/>
      <c r="BZ1941" s="73"/>
      <c r="CA1941" s="73"/>
      <c r="CB1941" s="73"/>
      <c r="CC1941" s="73"/>
      <c r="CD1941" s="73"/>
      <c r="CE1941" s="73"/>
      <c r="CF1941" s="73"/>
      <c r="CG1941" s="73"/>
      <c r="CH1941" s="73"/>
    </row>
    <row r="1942">
      <c r="A1942" s="73"/>
      <c r="B1942" s="73"/>
      <c r="C1942" s="73"/>
      <c r="D1942" s="73"/>
      <c r="E1942" s="140"/>
      <c r="F1942" s="80"/>
      <c r="G1942" s="80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  <c r="S1942" s="73"/>
      <c r="T1942" s="73"/>
      <c r="U1942" s="73"/>
      <c r="V1942" s="73"/>
      <c r="W1942" s="73"/>
      <c r="X1942" s="73"/>
      <c r="Y1942" s="73"/>
      <c r="Z1942" s="73"/>
      <c r="AA1942" s="73"/>
      <c r="AB1942" s="73"/>
      <c r="AC1942" s="73"/>
      <c r="AD1942" s="73"/>
      <c r="AE1942" s="73"/>
      <c r="AF1942" s="73"/>
      <c r="AG1942" s="73"/>
      <c r="AH1942" s="73"/>
      <c r="AI1942" s="73"/>
      <c r="AJ1942" s="168"/>
      <c r="AK1942" s="73"/>
      <c r="AL1942" s="73"/>
      <c r="AM1942" s="73"/>
      <c r="AN1942" s="73"/>
      <c r="AO1942" s="73"/>
      <c r="AP1942" s="73"/>
      <c r="AQ1942" s="73"/>
      <c r="AR1942" s="73"/>
      <c r="AS1942" s="73"/>
      <c r="AT1942" s="73"/>
      <c r="AU1942" s="73"/>
      <c r="AV1942" s="73"/>
      <c r="AW1942" s="73"/>
      <c r="AX1942" s="73"/>
      <c r="AY1942" s="73"/>
      <c r="AZ1942" s="73"/>
      <c r="BA1942" s="73"/>
      <c r="BB1942" s="73"/>
      <c r="BC1942" s="73"/>
      <c r="BD1942" s="73"/>
      <c r="BE1942" s="73"/>
      <c r="BF1942" s="75"/>
      <c r="BG1942" s="73"/>
      <c r="BH1942" s="88"/>
      <c r="BI1942" s="73"/>
      <c r="BJ1942" s="73"/>
      <c r="BK1942" s="73"/>
      <c r="BL1942" s="73"/>
      <c r="BM1942" s="73"/>
      <c r="BN1942" s="73"/>
      <c r="BO1942" s="73"/>
      <c r="BP1942" s="73"/>
      <c r="BQ1942" s="73"/>
      <c r="BR1942" s="73"/>
      <c r="BS1942" s="73"/>
      <c r="BT1942" s="73"/>
      <c r="BU1942" s="73"/>
      <c r="BV1942" s="73"/>
      <c r="BW1942" s="73"/>
      <c r="BX1942" s="73"/>
      <c r="BY1942" s="73"/>
      <c r="BZ1942" s="73"/>
      <c r="CA1942" s="73"/>
      <c r="CB1942" s="73"/>
      <c r="CC1942" s="73"/>
      <c r="CD1942" s="73"/>
      <c r="CE1942" s="73"/>
      <c r="CF1942" s="73"/>
      <c r="CG1942" s="73"/>
      <c r="CH1942" s="73"/>
    </row>
    <row r="1943">
      <c r="A1943" s="73"/>
      <c r="B1943" s="73"/>
      <c r="C1943" s="73"/>
      <c r="D1943" s="73"/>
      <c r="E1943" s="140"/>
      <c r="F1943" s="80"/>
      <c r="G1943" s="80"/>
      <c r="H1943" s="73"/>
      <c r="I1943" s="73"/>
      <c r="J1943" s="73"/>
      <c r="K1943" s="73"/>
      <c r="L1943" s="73"/>
      <c r="M1943" s="73"/>
      <c r="N1943" s="73"/>
      <c r="O1943" s="73"/>
      <c r="P1943" s="73"/>
      <c r="Q1943" s="73"/>
      <c r="R1943" s="73"/>
      <c r="S1943" s="73"/>
      <c r="T1943" s="73"/>
      <c r="U1943" s="73"/>
      <c r="V1943" s="73"/>
      <c r="W1943" s="73"/>
      <c r="X1943" s="73"/>
      <c r="Y1943" s="73"/>
      <c r="Z1943" s="73"/>
      <c r="AA1943" s="73"/>
      <c r="AB1943" s="73"/>
      <c r="AC1943" s="73"/>
      <c r="AD1943" s="73"/>
      <c r="AE1943" s="73"/>
      <c r="AF1943" s="73"/>
      <c r="AG1943" s="73"/>
      <c r="AH1943" s="73"/>
      <c r="AI1943" s="73"/>
      <c r="AJ1943" s="168"/>
      <c r="AK1943" s="73"/>
      <c r="AL1943" s="73"/>
      <c r="AM1943" s="73"/>
      <c r="AN1943" s="73"/>
      <c r="AO1943" s="73"/>
      <c r="AP1943" s="73"/>
      <c r="AQ1943" s="73"/>
      <c r="AR1943" s="73"/>
      <c r="AS1943" s="73"/>
      <c r="AT1943" s="73"/>
      <c r="AU1943" s="73"/>
      <c r="AV1943" s="73"/>
      <c r="AW1943" s="73"/>
      <c r="AX1943" s="73"/>
      <c r="AY1943" s="73"/>
      <c r="AZ1943" s="73"/>
      <c r="BA1943" s="73"/>
      <c r="BB1943" s="73"/>
      <c r="BC1943" s="73"/>
      <c r="BD1943" s="73"/>
      <c r="BE1943" s="73"/>
      <c r="BF1943" s="75"/>
      <c r="BG1943" s="73"/>
      <c r="BH1943" s="88"/>
      <c r="BI1943" s="73"/>
      <c r="BJ1943" s="73"/>
      <c r="BK1943" s="73"/>
      <c r="BL1943" s="73"/>
      <c r="BM1943" s="73"/>
      <c r="BN1943" s="73"/>
      <c r="BO1943" s="73"/>
      <c r="BP1943" s="73"/>
      <c r="BQ1943" s="73"/>
      <c r="BR1943" s="73"/>
      <c r="BS1943" s="73"/>
      <c r="BT1943" s="73"/>
      <c r="BU1943" s="73"/>
      <c r="BV1943" s="73"/>
      <c r="BW1943" s="73"/>
      <c r="BX1943" s="73"/>
      <c r="BY1943" s="73"/>
      <c r="BZ1943" s="73"/>
      <c r="CA1943" s="73"/>
      <c r="CB1943" s="73"/>
      <c r="CC1943" s="73"/>
      <c r="CD1943" s="73"/>
      <c r="CE1943" s="73"/>
      <c r="CF1943" s="73"/>
      <c r="CG1943" s="73"/>
      <c r="CH1943" s="73"/>
    </row>
    <row r="1944">
      <c r="A1944" s="73"/>
      <c r="B1944" s="73"/>
      <c r="C1944" s="73"/>
      <c r="D1944" s="73"/>
      <c r="E1944" s="140"/>
      <c r="F1944" s="80"/>
      <c r="G1944" s="80"/>
      <c r="H1944" s="73"/>
      <c r="I1944" s="73"/>
      <c r="J1944" s="73"/>
      <c r="K1944" s="73"/>
      <c r="L1944" s="73"/>
      <c r="M1944" s="73"/>
      <c r="N1944" s="73"/>
      <c r="O1944" s="73"/>
      <c r="P1944" s="73"/>
      <c r="Q1944" s="73"/>
      <c r="R1944" s="73"/>
      <c r="S1944" s="73"/>
      <c r="T1944" s="73"/>
      <c r="U1944" s="73"/>
      <c r="V1944" s="73"/>
      <c r="W1944" s="73"/>
      <c r="X1944" s="73"/>
      <c r="Y1944" s="73"/>
      <c r="Z1944" s="73"/>
      <c r="AA1944" s="73"/>
      <c r="AB1944" s="73"/>
      <c r="AC1944" s="73"/>
      <c r="AD1944" s="73"/>
      <c r="AE1944" s="73"/>
      <c r="AF1944" s="73"/>
      <c r="AG1944" s="73"/>
      <c r="AH1944" s="73"/>
      <c r="AI1944" s="73"/>
      <c r="AJ1944" s="168"/>
      <c r="AK1944" s="73"/>
      <c r="AL1944" s="73"/>
      <c r="AM1944" s="73"/>
      <c r="AN1944" s="73"/>
      <c r="AO1944" s="73"/>
      <c r="AP1944" s="73"/>
      <c r="AQ1944" s="73"/>
      <c r="AR1944" s="73"/>
      <c r="AS1944" s="73"/>
      <c r="AT1944" s="73"/>
      <c r="AU1944" s="73"/>
      <c r="AV1944" s="73"/>
      <c r="AW1944" s="73"/>
      <c r="AX1944" s="73"/>
      <c r="AY1944" s="73"/>
      <c r="AZ1944" s="73"/>
      <c r="BA1944" s="73"/>
      <c r="BB1944" s="73"/>
      <c r="BC1944" s="73"/>
      <c r="BD1944" s="73"/>
      <c r="BE1944" s="73"/>
      <c r="BF1944" s="75"/>
      <c r="BG1944" s="73"/>
      <c r="BH1944" s="88"/>
      <c r="BI1944" s="73"/>
      <c r="BJ1944" s="73"/>
      <c r="BK1944" s="73"/>
      <c r="BL1944" s="73"/>
      <c r="BM1944" s="73"/>
      <c r="BN1944" s="73"/>
      <c r="BO1944" s="73"/>
      <c r="BP1944" s="73"/>
      <c r="BQ1944" s="73"/>
      <c r="BR1944" s="73"/>
      <c r="BS1944" s="73"/>
      <c r="BT1944" s="73"/>
      <c r="BU1944" s="73"/>
      <c r="BV1944" s="73"/>
      <c r="BW1944" s="73"/>
      <c r="BX1944" s="73"/>
      <c r="BY1944" s="73"/>
      <c r="BZ1944" s="73"/>
      <c r="CA1944" s="73"/>
      <c r="CB1944" s="73"/>
      <c r="CC1944" s="73"/>
      <c r="CD1944" s="73"/>
      <c r="CE1944" s="73"/>
      <c r="CF1944" s="73"/>
      <c r="CG1944" s="73"/>
      <c r="CH1944" s="73"/>
    </row>
    <row r="1945">
      <c r="A1945" s="73"/>
      <c r="B1945" s="73"/>
      <c r="C1945" s="73"/>
      <c r="D1945" s="73"/>
      <c r="E1945" s="140"/>
      <c r="F1945" s="80"/>
      <c r="G1945" s="80"/>
      <c r="H1945" s="73"/>
      <c r="I1945" s="73"/>
      <c r="J1945" s="73"/>
      <c r="K1945" s="73"/>
      <c r="L1945" s="73"/>
      <c r="M1945" s="73"/>
      <c r="N1945" s="73"/>
      <c r="O1945" s="73"/>
      <c r="P1945" s="73"/>
      <c r="Q1945" s="73"/>
      <c r="R1945" s="73"/>
      <c r="S1945" s="73"/>
      <c r="T1945" s="73"/>
      <c r="U1945" s="73"/>
      <c r="V1945" s="73"/>
      <c r="W1945" s="73"/>
      <c r="X1945" s="73"/>
      <c r="Y1945" s="73"/>
      <c r="Z1945" s="73"/>
      <c r="AA1945" s="73"/>
      <c r="AB1945" s="73"/>
      <c r="AC1945" s="73"/>
      <c r="AD1945" s="73"/>
      <c r="AE1945" s="73"/>
      <c r="AF1945" s="73"/>
      <c r="AG1945" s="73"/>
      <c r="AH1945" s="73"/>
      <c r="AI1945" s="73"/>
      <c r="AJ1945" s="168"/>
      <c r="AK1945" s="73"/>
      <c r="AL1945" s="73"/>
      <c r="AM1945" s="73"/>
      <c r="AN1945" s="73"/>
      <c r="AO1945" s="73"/>
      <c r="AP1945" s="73"/>
      <c r="AQ1945" s="73"/>
      <c r="AR1945" s="73"/>
      <c r="AS1945" s="73"/>
      <c r="AT1945" s="73"/>
      <c r="AU1945" s="73"/>
      <c r="AV1945" s="73"/>
      <c r="AW1945" s="73"/>
      <c r="AX1945" s="73"/>
      <c r="AY1945" s="73"/>
      <c r="AZ1945" s="73"/>
      <c r="BA1945" s="73"/>
      <c r="BB1945" s="73"/>
      <c r="BC1945" s="73"/>
      <c r="BD1945" s="73"/>
      <c r="BE1945" s="73"/>
      <c r="BF1945" s="75"/>
      <c r="BG1945" s="73"/>
      <c r="BH1945" s="88"/>
      <c r="BI1945" s="73"/>
      <c r="BJ1945" s="73"/>
      <c r="BK1945" s="73"/>
      <c r="BL1945" s="73"/>
      <c r="BM1945" s="73"/>
      <c r="BN1945" s="73"/>
      <c r="BO1945" s="73"/>
      <c r="BP1945" s="73"/>
      <c r="BQ1945" s="73"/>
      <c r="BR1945" s="73"/>
      <c r="BS1945" s="73"/>
      <c r="BT1945" s="73"/>
      <c r="BU1945" s="73"/>
      <c r="BV1945" s="73"/>
      <c r="BW1945" s="73"/>
      <c r="BX1945" s="73"/>
      <c r="BY1945" s="73"/>
      <c r="BZ1945" s="73"/>
      <c r="CA1945" s="73"/>
      <c r="CB1945" s="73"/>
      <c r="CC1945" s="73"/>
      <c r="CD1945" s="73"/>
      <c r="CE1945" s="73"/>
      <c r="CF1945" s="73"/>
      <c r="CG1945" s="73"/>
      <c r="CH1945" s="73"/>
    </row>
    <row r="1946">
      <c r="A1946" s="73"/>
      <c r="B1946" s="73"/>
      <c r="C1946" s="73"/>
      <c r="D1946" s="73"/>
      <c r="E1946" s="140"/>
      <c r="F1946" s="80"/>
      <c r="G1946" s="80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  <c r="S1946" s="73"/>
      <c r="T1946" s="73"/>
      <c r="U1946" s="73"/>
      <c r="V1946" s="73"/>
      <c r="W1946" s="73"/>
      <c r="X1946" s="73"/>
      <c r="Y1946" s="73"/>
      <c r="Z1946" s="73"/>
      <c r="AA1946" s="73"/>
      <c r="AB1946" s="73"/>
      <c r="AC1946" s="73"/>
      <c r="AD1946" s="73"/>
      <c r="AE1946" s="73"/>
      <c r="AF1946" s="73"/>
      <c r="AG1946" s="73"/>
      <c r="AH1946" s="73"/>
      <c r="AI1946" s="73"/>
      <c r="AJ1946" s="168"/>
      <c r="AK1946" s="73"/>
      <c r="AL1946" s="73"/>
      <c r="AM1946" s="73"/>
      <c r="AN1946" s="73"/>
      <c r="AO1946" s="73"/>
      <c r="AP1946" s="73"/>
      <c r="AQ1946" s="73"/>
      <c r="AR1946" s="73"/>
      <c r="AS1946" s="73"/>
      <c r="AT1946" s="73"/>
      <c r="AU1946" s="73"/>
      <c r="AV1946" s="73"/>
      <c r="AW1946" s="73"/>
      <c r="AX1946" s="73"/>
      <c r="AY1946" s="73"/>
      <c r="AZ1946" s="73"/>
      <c r="BA1946" s="73"/>
      <c r="BB1946" s="73"/>
      <c r="BC1946" s="73"/>
      <c r="BD1946" s="73"/>
      <c r="BE1946" s="73"/>
      <c r="BF1946" s="75"/>
      <c r="BG1946" s="73"/>
      <c r="BH1946" s="88"/>
      <c r="BI1946" s="73"/>
      <c r="BJ1946" s="73"/>
      <c r="BK1946" s="73"/>
      <c r="BL1946" s="73"/>
      <c r="BM1946" s="73"/>
      <c r="BN1946" s="73"/>
      <c r="BO1946" s="73"/>
      <c r="BP1946" s="73"/>
      <c r="BQ1946" s="73"/>
      <c r="BR1946" s="73"/>
      <c r="BS1946" s="73"/>
      <c r="BT1946" s="73"/>
      <c r="BU1946" s="73"/>
      <c r="BV1946" s="73"/>
      <c r="BW1946" s="73"/>
      <c r="BX1946" s="73"/>
      <c r="BY1946" s="73"/>
      <c r="BZ1946" s="73"/>
      <c r="CA1946" s="73"/>
      <c r="CB1946" s="73"/>
      <c r="CC1946" s="73"/>
      <c r="CD1946" s="73"/>
      <c r="CE1946" s="73"/>
      <c r="CF1946" s="73"/>
      <c r="CG1946" s="73"/>
      <c r="CH1946" s="73"/>
    </row>
    <row r="1947">
      <c r="A1947" s="73"/>
      <c r="B1947" s="73"/>
      <c r="C1947" s="73"/>
      <c r="D1947" s="73"/>
      <c r="E1947" s="140"/>
      <c r="F1947" s="80"/>
      <c r="G1947" s="80"/>
      <c r="H1947" s="73"/>
      <c r="I1947" s="73"/>
      <c r="J1947" s="73"/>
      <c r="K1947" s="73"/>
      <c r="L1947" s="73"/>
      <c r="M1947" s="73"/>
      <c r="N1947" s="73"/>
      <c r="O1947" s="73"/>
      <c r="P1947" s="73"/>
      <c r="Q1947" s="73"/>
      <c r="R1947" s="73"/>
      <c r="S1947" s="73"/>
      <c r="T1947" s="73"/>
      <c r="U1947" s="73"/>
      <c r="V1947" s="73"/>
      <c r="W1947" s="73"/>
      <c r="X1947" s="73"/>
      <c r="Y1947" s="73"/>
      <c r="Z1947" s="73"/>
      <c r="AA1947" s="73"/>
      <c r="AB1947" s="73"/>
      <c r="AC1947" s="73"/>
      <c r="AD1947" s="73"/>
      <c r="AE1947" s="73"/>
      <c r="AF1947" s="73"/>
      <c r="AG1947" s="73"/>
      <c r="AH1947" s="73"/>
      <c r="AI1947" s="73"/>
      <c r="AJ1947" s="168"/>
      <c r="AK1947" s="73"/>
      <c r="AL1947" s="73"/>
      <c r="AM1947" s="73"/>
      <c r="AN1947" s="73"/>
      <c r="AO1947" s="73"/>
      <c r="AP1947" s="73"/>
      <c r="AQ1947" s="73"/>
      <c r="AR1947" s="73"/>
      <c r="AS1947" s="73"/>
      <c r="AT1947" s="73"/>
      <c r="AU1947" s="73"/>
      <c r="AV1947" s="73"/>
      <c r="AW1947" s="73"/>
      <c r="AX1947" s="73"/>
      <c r="AY1947" s="73"/>
      <c r="AZ1947" s="73"/>
      <c r="BA1947" s="73"/>
      <c r="BB1947" s="73"/>
      <c r="BC1947" s="73"/>
      <c r="BD1947" s="73"/>
      <c r="BE1947" s="73"/>
      <c r="BF1947" s="75"/>
      <c r="BG1947" s="73"/>
      <c r="BH1947" s="88"/>
      <c r="BI1947" s="73"/>
      <c r="BJ1947" s="73"/>
      <c r="BK1947" s="73"/>
      <c r="BL1947" s="73"/>
      <c r="BM1947" s="73"/>
      <c r="BN1947" s="73"/>
      <c r="BO1947" s="73"/>
      <c r="BP1947" s="73"/>
      <c r="BQ1947" s="73"/>
      <c r="BR1947" s="73"/>
      <c r="BS1947" s="73"/>
      <c r="BT1947" s="73"/>
      <c r="BU1947" s="73"/>
      <c r="BV1947" s="73"/>
      <c r="BW1947" s="73"/>
      <c r="BX1947" s="73"/>
      <c r="BY1947" s="73"/>
      <c r="BZ1947" s="73"/>
      <c r="CA1947" s="73"/>
      <c r="CB1947" s="73"/>
      <c r="CC1947" s="73"/>
      <c r="CD1947" s="73"/>
      <c r="CE1947" s="73"/>
      <c r="CF1947" s="73"/>
      <c r="CG1947" s="73"/>
      <c r="CH1947" s="73"/>
    </row>
    <row r="1948">
      <c r="A1948" s="73"/>
      <c r="B1948" s="73"/>
      <c r="C1948" s="73"/>
      <c r="D1948" s="73"/>
      <c r="E1948" s="140"/>
      <c r="F1948" s="80"/>
      <c r="G1948" s="80"/>
      <c r="H1948" s="73"/>
      <c r="I1948" s="73"/>
      <c r="J1948" s="73"/>
      <c r="K1948" s="73"/>
      <c r="L1948" s="73"/>
      <c r="M1948" s="73"/>
      <c r="N1948" s="73"/>
      <c r="O1948" s="73"/>
      <c r="P1948" s="73"/>
      <c r="Q1948" s="73"/>
      <c r="R1948" s="73"/>
      <c r="S1948" s="73"/>
      <c r="T1948" s="73"/>
      <c r="U1948" s="73"/>
      <c r="V1948" s="73"/>
      <c r="W1948" s="73"/>
      <c r="X1948" s="73"/>
      <c r="Y1948" s="73"/>
      <c r="Z1948" s="73"/>
      <c r="AA1948" s="73"/>
      <c r="AB1948" s="73"/>
      <c r="AC1948" s="73"/>
      <c r="AD1948" s="73"/>
      <c r="AE1948" s="73"/>
      <c r="AF1948" s="73"/>
      <c r="AG1948" s="73"/>
      <c r="AH1948" s="73"/>
      <c r="AI1948" s="73"/>
      <c r="AJ1948" s="168"/>
      <c r="AK1948" s="73"/>
      <c r="AL1948" s="73"/>
      <c r="AM1948" s="73"/>
      <c r="AN1948" s="73"/>
      <c r="AO1948" s="73"/>
      <c r="AP1948" s="73"/>
      <c r="AQ1948" s="73"/>
      <c r="AR1948" s="73"/>
      <c r="AS1948" s="73"/>
      <c r="AT1948" s="73"/>
      <c r="AU1948" s="73"/>
      <c r="AV1948" s="73"/>
      <c r="AW1948" s="73"/>
      <c r="AX1948" s="73"/>
      <c r="AY1948" s="73"/>
      <c r="AZ1948" s="73"/>
      <c r="BA1948" s="73"/>
      <c r="BB1948" s="73"/>
      <c r="BC1948" s="73"/>
      <c r="BD1948" s="73"/>
      <c r="BE1948" s="73"/>
      <c r="BF1948" s="75"/>
      <c r="BG1948" s="73"/>
      <c r="BH1948" s="88"/>
      <c r="BI1948" s="73"/>
      <c r="BJ1948" s="73"/>
      <c r="BK1948" s="73"/>
      <c r="BL1948" s="73"/>
      <c r="BM1948" s="73"/>
      <c r="BN1948" s="73"/>
      <c r="BO1948" s="73"/>
      <c r="BP1948" s="73"/>
      <c r="BQ1948" s="73"/>
      <c r="BR1948" s="73"/>
      <c r="BS1948" s="73"/>
      <c r="BT1948" s="73"/>
      <c r="BU1948" s="73"/>
      <c r="BV1948" s="73"/>
      <c r="BW1948" s="73"/>
      <c r="BX1948" s="73"/>
      <c r="BY1948" s="73"/>
      <c r="BZ1948" s="73"/>
      <c r="CA1948" s="73"/>
      <c r="CB1948" s="73"/>
      <c r="CC1948" s="73"/>
      <c r="CD1948" s="73"/>
      <c r="CE1948" s="73"/>
      <c r="CF1948" s="73"/>
      <c r="CG1948" s="73"/>
      <c r="CH1948" s="73"/>
    </row>
    <row r="1949">
      <c r="A1949" s="73"/>
      <c r="B1949" s="73"/>
      <c r="C1949" s="73"/>
      <c r="D1949" s="73"/>
      <c r="E1949" s="140"/>
      <c r="F1949" s="80"/>
      <c r="G1949" s="80"/>
      <c r="H1949" s="73"/>
      <c r="I1949" s="73"/>
      <c r="J1949" s="73"/>
      <c r="K1949" s="73"/>
      <c r="L1949" s="73"/>
      <c r="M1949" s="73"/>
      <c r="N1949" s="73"/>
      <c r="O1949" s="73"/>
      <c r="P1949" s="73"/>
      <c r="Q1949" s="73"/>
      <c r="R1949" s="73"/>
      <c r="S1949" s="73"/>
      <c r="T1949" s="73"/>
      <c r="U1949" s="73"/>
      <c r="V1949" s="73"/>
      <c r="W1949" s="73"/>
      <c r="X1949" s="73"/>
      <c r="Y1949" s="73"/>
      <c r="Z1949" s="73"/>
      <c r="AA1949" s="73"/>
      <c r="AB1949" s="73"/>
      <c r="AC1949" s="73"/>
      <c r="AD1949" s="73"/>
      <c r="AE1949" s="73"/>
      <c r="AF1949" s="73"/>
      <c r="AG1949" s="73"/>
      <c r="AH1949" s="73"/>
      <c r="AI1949" s="73"/>
      <c r="AJ1949" s="168"/>
      <c r="AK1949" s="73"/>
      <c r="AL1949" s="73"/>
      <c r="AM1949" s="73"/>
      <c r="AN1949" s="73"/>
      <c r="AO1949" s="73"/>
      <c r="AP1949" s="73"/>
      <c r="AQ1949" s="73"/>
      <c r="AR1949" s="73"/>
      <c r="AS1949" s="73"/>
      <c r="AT1949" s="73"/>
      <c r="AU1949" s="73"/>
      <c r="AV1949" s="73"/>
      <c r="AW1949" s="73"/>
      <c r="AX1949" s="73"/>
      <c r="AY1949" s="73"/>
      <c r="AZ1949" s="73"/>
      <c r="BA1949" s="73"/>
      <c r="BB1949" s="73"/>
      <c r="BC1949" s="73"/>
      <c r="BD1949" s="73"/>
      <c r="BE1949" s="73"/>
      <c r="BF1949" s="75"/>
      <c r="BG1949" s="73"/>
      <c r="BH1949" s="88"/>
      <c r="BI1949" s="73"/>
      <c r="BJ1949" s="73"/>
      <c r="BK1949" s="73"/>
      <c r="BL1949" s="73"/>
      <c r="BM1949" s="73"/>
      <c r="BN1949" s="73"/>
      <c r="BO1949" s="73"/>
      <c r="BP1949" s="73"/>
      <c r="BQ1949" s="73"/>
      <c r="BR1949" s="73"/>
      <c r="BS1949" s="73"/>
      <c r="BT1949" s="73"/>
      <c r="BU1949" s="73"/>
      <c r="BV1949" s="73"/>
      <c r="BW1949" s="73"/>
      <c r="BX1949" s="73"/>
      <c r="BY1949" s="73"/>
      <c r="BZ1949" s="73"/>
      <c r="CA1949" s="73"/>
      <c r="CB1949" s="73"/>
      <c r="CC1949" s="73"/>
      <c r="CD1949" s="73"/>
      <c r="CE1949" s="73"/>
      <c r="CF1949" s="73"/>
      <c r="CG1949" s="73"/>
      <c r="CH1949" s="73"/>
    </row>
    <row r="1950">
      <c r="A1950" s="73"/>
      <c r="B1950" s="73"/>
      <c r="C1950" s="73"/>
      <c r="D1950" s="73"/>
      <c r="E1950" s="140"/>
      <c r="F1950" s="80"/>
      <c r="G1950" s="80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  <c r="S1950" s="73"/>
      <c r="T1950" s="73"/>
      <c r="U1950" s="73"/>
      <c r="V1950" s="73"/>
      <c r="W1950" s="73"/>
      <c r="X1950" s="73"/>
      <c r="Y1950" s="73"/>
      <c r="Z1950" s="73"/>
      <c r="AA1950" s="73"/>
      <c r="AB1950" s="73"/>
      <c r="AC1950" s="73"/>
      <c r="AD1950" s="73"/>
      <c r="AE1950" s="73"/>
      <c r="AF1950" s="73"/>
      <c r="AG1950" s="73"/>
      <c r="AH1950" s="73"/>
      <c r="AI1950" s="73"/>
      <c r="AJ1950" s="168"/>
      <c r="AK1950" s="73"/>
      <c r="AL1950" s="73"/>
      <c r="AM1950" s="73"/>
      <c r="AN1950" s="73"/>
      <c r="AO1950" s="73"/>
      <c r="AP1950" s="73"/>
      <c r="AQ1950" s="73"/>
      <c r="AR1950" s="73"/>
      <c r="AS1950" s="73"/>
      <c r="AT1950" s="73"/>
      <c r="AU1950" s="73"/>
      <c r="AV1950" s="73"/>
      <c r="AW1950" s="73"/>
      <c r="AX1950" s="73"/>
      <c r="AY1950" s="73"/>
      <c r="AZ1950" s="73"/>
      <c r="BA1950" s="73"/>
      <c r="BB1950" s="73"/>
      <c r="BC1950" s="73"/>
      <c r="BD1950" s="73"/>
      <c r="BE1950" s="73"/>
      <c r="BF1950" s="75"/>
      <c r="BG1950" s="73"/>
      <c r="BH1950" s="88"/>
      <c r="BI1950" s="73"/>
      <c r="BJ1950" s="73"/>
      <c r="BK1950" s="73"/>
      <c r="BL1950" s="73"/>
      <c r="BM1950" s="73"/>
      <c r="BN1950" s="73"/>
      <c r="BO1950" s="73"/>
      <c r="BP1950" s="73"/>
      <c r="BQ1950" s="73"/>
      <c r="BR1950" s="73"/>
      <c r="BS1950" s="73"/>
      <c r="BT1950" s="73"/>
      <c r="BU1950" s="73"/>
      <c r="BV1950" s="73"/>
      <c r="BW1950" s="73"/>
      <c r="BX1950" s="73"/>
      <c r="BY1950" s="73"/>
      <c r="BZ1950" s="73"/>
      <c r="CA1950" s="73"/>
      <c r="CB1950" s="73"/>
      <c r="CC1950" s="73"/>
      <c r="CD1950" s="73"/>
      <c r="CE1950" s="73"/>
      <c r="CF1950" s="73"/>
      <c r="CG1950" s="73"/>
      <c r="CH1950" s="73"/>
    </row>
    <row r="1951">
      <c r="A1951" s="73"/>
      <c r="B1951" s="73"/>
      <c r="C1951" s="73"/>
      <c r="D1951" s="73"/>
      <c r="E1951" s="140"/>
      <c r="F1951" s="80"/>
      <c r="G1951" s="80"/>
      <c r="H1951" s="73"/>
      <c r="I1951" s="73"/>
      <c r="J1951" s="73"/>
      <c r="K1951" s="73"/>
      <c r="L1951" s="73"/>
      <c r="M1951" s="73"/>
      <c r="N1951" s="73"/>
      <c r="O1951" s="73"/>
      <c r="P1951" s="73"/>
      <c r="Q1951" s="73"/>
      <c r="R1951" s="73"/>
      <c r="S1951" s="73"/>
      <c r="T1951" s="73"/>
      <c r="U1951" s="73"/>
      <c r="V1951" s="73"/>
      <c r="W1951" s="73"/>
      <c r="X1951" s="73"/>
      <c r="Y1951" s="73"/>
      <c r="Z1951" s="73"/>
      <c r="AA1951" s="73"/>
      <c r="AB1951" s="73"/>
      <c r="AC1951" s="73"/>
      <c r="AD1951" s="73"/>
      <c r="AE1951" s="73"/>
      <c r="AF1951" s="73"/>
      <c r="AG1951" s="73"/>
      <c r="AH1951" s="73"/>
      <c r="AI1951" s="73"/>
      <c r="AJ1951" s="168"/>
      <c r="AK1951" s="73"/>
      <c r="AL1951" s="73"/>
      <c r="AM1951" s="73"/>
      <c r="AN1951" s="73"/>
      <c r="AO1951" s="73"/>
      <c r="AP1951" s="73"/>
      <c r="AQ1951" s="73"/>
      <c r="AR1951" s="73"/>
      <c r="AS1951" s="73"/>
      <c r="AT1951" s="73"/>
      <c r="AU1951" s="73"/>
      <c r="AV1951" s="73"/>
      <c r="AW1951" s="73"/>
      <c r="AX1951" s="73"/>
      <c r="AY1951" s="73"/>
      <c r="AZ1951" s="73"/>
      <c r="BA1951" s="73"/>
      <c r="BB1951" s="73"/>
      <c r="BC1951" s="73"/>
      <c r="BD1951" s="73"/>
      <c r="BE1951" s="73"/>
      <c r="BF1951" s="75"/>
      <c r="BG1951" s="73"/>
      <c r="BH1951" s="88"/>
      <c r="BI1951" s="73"/>
      <c r="BJ1951" s="73"/>
      <c r="BK1951" s="73"/>
      <c r="BL1951" s="73"/>
      <c r="BM1951" s="73"/>
      <c r="BN1951" s="73"/>
      <c r="BO1951" s="73"/>
      <c r="BP1951" s="73"/>
      <c r="BQ1951" s="73"/>
      <c r="BR1951" s="73"/>
      <c r="BS1951" s="73"/>
      <c r="BT1951" s="73"/>
      <c r="BU1951" s="73"/>
      <c r="BV1951" s="73"/>
      <c r="BW1951" s="73"/>
      <c r="BX1951" s="73"/>
      <c r="BY1951" s="73"/>
      <c r="BZ1951" s="73"/>
      <c r="CA1951" s="73"/>
      <c r="CB1951" s="73"/>
      <c r="CC1951" s="73"/>
      <c r="CD1951" s="73"/>
      <c r="CE1951" s="73"/>
      <c r="CF1951" s="73"/>
      <c r="CG1951" s="73"/>
      <c r="CH1951" s="73"/>
    </row>
    <row r="1952">
      <c r="A1952" s="73"/>
      <c r="B1952" s="73"/>
      <c r="C1952" s="73"/>
      <c r="D1952" s="73"/>
      <c r="E1952" s="140"/>
      <c r="F1952" s="80"/>
      <c r="G1952" s="80"/>
      <c r="H1952" s="73"/>
      <c r="I1952" s="73"/>
      <c r="J1952" s="73"/>
      <c r="K1952" s="73"/>
      <c r="L1952" s="73"/>
      <c r="M1952" s="73"/>
      <c r="N1952" s="73"/>
      <c r="O1952" s="73"/>
      <c r="P1952" s="73"/>
      <c r="Q1952" s="73"/>
      <c r="R1952" s="73"/>
      <c r="S1952" s="73"/>
      <c r="T1952" s="73"/>
      <c r="U1952" s="73"/>
      <c r="V1952" s="73"/>
      <c r="W1952" s="73"/>
      <c r="X1952" s="73"/>
      <c r="Y1952" s="73"/>
      <c r="Z1952" s="73"/>
      <c r="AA1952" s="73"/>
      <c r="AB1952" s="73"/>
      <c r="AC1952" s="73"/>
      <c r="AD1952" s="73"/>
      <c r="AE1952" s="73"/>
      <c r="AF1952" s="73"/>
      <c r="AG1952" s="73"/>
      <c r="AH1952" s="73"/>
      <c r="AI1952" s="73"/>
      <c r="AJ1952" s="168"/>
      <c r="AK1952" s="73"/>
      <c r="AL1952" s="73"/>
      <c r="AM1952" s="73"/>
      <c r="AN1952" s="73"/>
      <c r="AO1952" s="73"/>
      <c r="AP1952" s="73"/>
      <c r="AQ1952" s="73"/>
      <c r="AR1952" s="73"/>
      <c r="AS1952" s="73"/>
      <c r="AT1952" s="73"/>
      <c r="AU1952" s="73"/>
      <c r="AV1952" s="73"/>
      <c r="AW1952" s="73"/>
      <c r="AX1952" s="73"/>
      <c r="AY1952" s="73"/>
      <c r="AZ1952" s="73"/>
      <c r="BA1952" s="73"/>
      <c r="BB1952" s="73"/>
      <c r="BC1952" s="73"/>
      <c r="BD1952" s="73"/>
      <c r="BE1952" s="73"/>
      <c r="BF1952" s="75"/>
      <c r="BG1952" s="73"/>
      <c r="BH1952" s="88"/>
      <c r="BI1952" s="73"/>
      <c r="BJ1952" s="73"/>
      <c r="BK1952" s="73"/>
      <c r="BL1952" s="73"/>
      <c r="BM1952" s="73"/>
      <c r="BN1952" s="73"/>
      <c r="BO1952" s="73"/>
      <c r="BP1952" s="73"/>
      <c r="BQ1952" s="73"/>
      <c r="BR1952" s="73"/>
      <c r="BS1952" s="73"/>
      <c r="BT1952" s="73"/>
      <c r="BU1952" s="73"/>
      <c r="BV1952" s="73"/>
      <c r="BW1952" s="73"/>
      <c r="BX1952" s="73"/>
      <c r="BY1952" s="73"/>
      <c r="BZ1952" s="73"/>
      <c r="CA1952" s="73"/>
      <c r="CB1952" s="73"/>
      <c r="CC1952" s="73"/>
      <c r="CD1952" s="73"/>
      <c r="CE1952" s="73"/>
      <c r="CF1952" s="73"/>
      <c r="CG1952" s="73"/>
      <c r="CH1952" s="73"/>
    </row>
    <row r="1953">
      <c r="A1953" s="73"/>
      <c r="B1953" s="73"/>
      <c r="C1953" s="73"/>
      <c r="D1953" s="73"/>
      <c r="E1953" s="140"/>
      <c r="F1953" s="80"/>
      <c r="G1953" s="80"/>
      <c r="H1953" s="73"/>
      <c r="I1953" s="73"/>
      <c r="J1953" s="73"/>
      <c r="K1953" s="73"/>
      <c r="L1953" s="73"/>
      <c r="M1953" s="73"/>
      <c r="N1953" s="73"/>
      <c r="O1953" s="73"/>
      <c r="P1953" s="73"/>
      <c r="Q1953" s="73"/>
      <c r="R1953" s="73"/>
      <c r="S1953" s="73"/>
      <c r="T1953" s="73"/>
      <c r="U1953" s="73"/>
      <c r="V1953" s="73"/>
      <c r="W1953" s="73"/>
      <c r="X1953" s="73"/>
      <c r="Y1953" s="73"/>
      <c r="Z1953" s="73"/>
      <c r="AA1953" s="73"/>
      <c r="AB1953" s="73"/>
      <c r="AC1953" s="73"/>
      <c r="AD1953" s="73"/>
      <c r="AE1953" s="73"/>
      <c r="AF1953" s="73"/>
      <c r="AG1953" s="73"/>
      <c r="AH1953" s="73"/>
      <c r="AI1953" s="73"/>
      <c r="AJ1953" s="168"/>
      <c r="AK1953" s="73"/>
      <c r="AL1953" s="73"/>
      <c r="AM1953" s="73"/>
      <c r="AN1953" s="73"/>
      <c r="AO1953" s="73"/>
      <c r="AP1953" s="73"/>
      <c r="AQ1953" s="73"/>
      <c r="AR1953" s="73"/>
      <c r="AS1953" s="73"/>
      <c r="AT1953" s="73"/>
      <c r="AU1953" s="73"/>
      <c r="AV1953" s="73"/>
      <c r="AW1953" s="73"/>
      <c r="AX1953" s="73"/>
      <c r="AY1953" s="73"/>
      <c r="AZ1953" s="73"/>
      <c r="BA1953" s="73"/>
      <c r="BB1953" s="73"/>
      <c r="BC1953" s="73"/>
      <c r="BD1953" s="73"/>
      <c r="BE1953" s="73"/>
      <c r="BF1953" s="75"/>
      <c r="BG1953" s="73"/>
      <c r="BH1953" s="88"/>
      <c r="BI1953" s="73"/>
      <c r="BJ1953" s="73"/>
      <c r="BK1953" s="73"/>
      <c r="BL1953" s="73"/>
      <c r="BM1953" s="73"/>
      <c r="BN1953" s="73"/>
      <c r="BO1953" s="73"/>
      <c r="BP1953" s="73"/>
      <c r="BQ1953" s="73"/>
      <c r="BR1953" s="73"/>
      <c r="BS1953" s="73"/>
      <c r="BT1953" s="73"/>
      <c r="BU1953" s="73"/>
      <c r="BV1953" s="73"/>
      <c r="BW1953" s="73"/>
      <c r="BX1953" s="73"/>
      <c r="BY1953" s="73"/>
      <c r="BZ1953" s="73"/>
      <c r="CA1953" s="73"/>
      <c r="CB1953" s="73"/>
      <c r="CC1953" s="73"/>
      <c r="CD1953" s="73"/>
      <c r="CE1953" s="73"/>
      <c r="CF1953" s="73"/>
      <c r="CG1953" s="73"/>
      <c r="CH1953" s="73"/>
    </row>
    <row r="1954">
      <c r="A1954" s="73"/>
      <c r="B1954" s="73"/>
      <c r="C1954" s="73"/>
      <c r="D1954" s="73"/>
      <c r="E1954" s="140"/>
      <c r="F1954" s="80"/>
      <c r="G1954" s="80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  <c r="S1954" s="73"/>
      <c r="T1954" s="73"/>
      <c r="U1954" s="73"/>
      <c r="V1954" s="73"/>
      <c r="W1954" s="73"/>
      <c r="X1954" s="73"/>
      <c r="Y1954" s="73"/>
      <c r="Z1954" s="73"/>
      <c r="AA1954" s="73"/>
      <c r="AB1954" s="73"/>
      <c r="AC1954" s="73"/>
      <c r="AD1954" s="73"/>
      <c r="AE1954" s="73"/>
      <c r="AF1954" s="73"/>
      <c r="AG1954" s="73"/>
      <c r="AH1954" s="73"/>
      <c r="AI1954" s="73"/>
      <c r="AJ1954" s="168"/>
      <c r="AK1954" s="73"/>
      <c r="AL1954" s="73"/>
      <c r="AM1954" s="73"/>
      <c r="AN1954" s="73"/>
      <c r="AO1954" s="73"/>
      <c r="AP1954" s="73"/>
      <c r="AQ1954" s="73"/>
      <c r="AR1954" s="73"/>
      <c r="AS1954" s="73"/>
      <c r="AT1954" s="73"/>
      <c r="AU1954" s="73"/>
      <c r="AV1954" s="73"/>
      <c r="AW1954" s="73"/>
      <c r="AX1954" s="73"/>
      <c r="AY1954" s="73"/>
      <c r="AZ1954" s="73"/>
      <c r="BA1954" s="73"/>
      <c r="BB1954" s="73"/>
      <c r="BC1954" s="73"/>
      <c r="BD1954" s="73"/>
      <c r="BE1954" s="73"/>
      <c r="BF1954" s="75"/>
      <c r="BG1954" s="73"/>
      <c r="BH1954" s="88"/>
      <c r="BI1954" s="73"/>
      <c r="BJ1954" s="73"/>
      <c r="BK1954" s="73"/>
      <c r="BL1954" s="73"/>
      <c r="BM1954" s="73"/>
      <c r="BN1954" s="73"/>
      <c r="BO1954" s="73"/>
      <c r="BP1954" s="73"/>
      <c r="BQ1954" s="73"/>
      <c r="BR1954" s="73"/>
      <c r="BS1954" s="73"/>
      <c r="BT1954" s="73"/>
      <c r="BU1954" s="73"/>
      <c r="BV1954" s="73"/>
      <c r="BW1954" s="73"/>
      <c r="BX1954" s="73"/>
      <c r="BY1954" s="73"/>
      <c r="BZ1954" s="73"/>
      <c r="CA1954" s="73"/>
      <c r="CB1954" s="73"/>
      <c r="CC1954" s="73"/>
      <c r="CD1954" s="73"/>
      <c r="CE1954" s="73"/>
      <c r="CF1954" s="73"/>
      <c r="CG1954" s="73"/>
      <c r="CH1954" s="73"/>
    </row>
    <row r="1955">
      <c r="A1955" s="73"/>
      <c r="B1955" s="73"/>
      <c r="C1955" s="73"/>
      <c r="D1955" s="73"/>
      <c r="E1955" s="140"/>
      <c r="F1955" s="80"/>
      <c r="G1955" s="80"/>
      <c r="H1955" s="73"/>
      <c r="I1955" s="73"/>
      <c r="J1955" s="73"/>
      <c r="K1955" s="73"/>
      <c r="L1955" s="73"/>
      <c r="M1955" s="73"/>
      <c r="N1955" s="73"/>
      <c r="O1955" s="73"/>
      <c r="P1955" s="73"/>
      <c r="Q1955" s="73"/>
      <c r="R1955" s="73"/>
      <c r="S1955" s="73"/>
      <c r="T1955" s="73"/>
      <c r="U1955" s="73"/>
      <c r="V1955" s="73"/>
      <c r="W1955" s="73"/>
      <c r="X1955" s="73"/>
      <c r="Y1955" s="73"/>
      <c r="Z1955" s="73"/>
      <c r="AA1955" s="73"/>
      <c r="AB1955" s="73"/>
      <c r="AC1955" s="73"/>
      <c r="AD1955" s="73"/>
      <c r="AE1955" s="73"/>
      <c r="AF1955" s="73"/>
      <c r="AG1955" s="73"/>
      <c r="AH1955" s="73"/>
      <c r="AI1955" s="73"/>
      <c r="AJ1955" s="168"/>
      <c r="AK1955" s="73"/>
      <c r="AL1955" s="73"/>
      <c r="AM1955" s="73"/>
      <c r="AN1955" s="73"/>
      <c r="AO1955" s="73"/>
      <c r="AP1955" s="73"/>
      <c r="AQ1955" s="73"/>
      <c r="AR1955" s="73"/>
      <c r="AS1955" s="73"/>
      <c r="AT1955" s="73"/>
      <c r="AU1955" s="73"/>
      <c r="AV1955" s="73"/>
      <c r="AW1955" s="73"/>
      <c r="AX1955" s="73"/>
      <c r="AY1955" s="73"/>
      <c r="AZ1955" s="73"/>
      <c r="BA1955" s="73"/>
      <c r="BB1955" s="73"/>
      <c r="BC1955" s="73"/>
      <c r="BD1955" s="73"/>
      <c r="BE1955" s="73"/>
      <c r="BF1955" s="75"/>
      <c r="BG1955" s="73"/>
      <c r="BH1955" s="88"/>
      <c r="BI1955" s="73"/>
      <c r="BJ1955" s="73"/>
      <c r="BK1955" s="73"/>
      <c r="BL1955" s="73"/>
      <c r="BM1955" s="73"/>
      <c r="BN1955" s="73"/>
      <c r="BO1955" s="73"/>
      <c r="BP1955" s="73"/>
      <c r="BQ1955" s="73"/>
      <c r="BR1955" s="73"/>
      <c r="BS1955" s="73"/>
      <c r="BT1955" s="73"/>
      <c r="BU1955" s="73"/>
      <c r="BV1955" s="73"/>
      <c r="BW1955" s="73"/>
      <c r="BX1955" s="73"/>
      <c r="BY1955" s="73"/>
      <c r="BZ1955" s="73"/>
      <c r="CA1955" s="73"/>
      <c r="CB1955" s="73"/>
      <c r="CC1955" s="73"/>
      <c r="CD1955" s="73"/>
      <c r="CE1955" s="73"/>
      <c r="CF1955" s="73"/>
      <c r="CG1955" s="73"/>
      <c r="CH1955" s="73"/>
    </row>
    <row r="1956">
      <c r="A1956" s="73"/>
      <c r="B1956" s="73"/>
      <c r="C1956" s="73"/>
      <c r="D1956" s="73"/>
      <c r="E1956" s="140"/>
      <c r="F1956" s="80"/>
      <c r="G1956" s="80"/>
      <c r="H1956" s="73"/>
      <c r="I1956" s="73"/>
      <c r="J1956" s="73"/>
      <c r="K1956" s="73"/>
      <c r="L1956" s="73"/>
      <c r="M1956" s="73"/>
      <c r="N1956" s="73"/>
      <c r="O1956" s="73"/>
      <c r="P1956" s="73"/>
      <c r="Q1956" s="73"/>
      <c r="R1956" s="73"/>
      <c r="S1956" s="73"/>
      <c r="T1956" s="73"/>
      <c r="U1956" s="73"/>
      <c r="V1956" s="73"/>
      <c r="W1956" s="73"/>
      <c r="X1956" s="73"/>
      <c r="Y1956" s="73"/>
      <c r="Z1956" s="73"/>
      <c r="AA1956" s="73"/>
      <c r="AB1956" s="73"/>
      <c r="AC1956" s="73"/>
      <c r="AD1956" s="73"/>
      <c r="AE1956" s="73"/>
      <c r="AF1956" s="73"/>
      <c r="AG1956" s="73"/>
      <c r="AH1956" s="73"/>
      <c r="AI1956" s="73"/>
      <c r="AJ1956" s="168"/>
      <c r="AK1956" s="73"/>
      <c r="AL1956" s="73"/>
      <c r="AM1956" s="73"/>
      <c r="AN1956" s="73"/>
      <c r="AO1956" s="73"/>
      <c r="AP1956" s="73"/>
      <c r="AQ1956" s="73"/>
      <c r="AR1956" s="73"/>
      <c r="AS1956" s="73"/>
      <c r="AT1956" s="73"/>
      <c r="AU1956" s="73"/>
      <c r="AV1956" s="73"/>
      <c r="AW1956" s="73"/>
      <c r="AX1956" s="73"/>
      <c r="AY1956" s="73"/>
      <c r="AZ1956" s="73"/>
      <c r="BA1956" s="73"/>
      <c r="BB1956" s="73"/>
      <c r="BC1956" s="73"/>
      <c r="BD1956" s="73"/>
      <c r="BE1956" s="73"/>
      <c r="BF1956" s="75"/>
      <c r="BG1956" s="73"/>
      <c r="BH1956" s="88"/>
      <c r="BI1956" s="73"/>
      <c r="BJ1956" s="73"/>
      <c r="BK1956" s="73"/>
      <c r="BL1956" s="73"/>
      <c r="BM1956" s="73"/>
      <c r="BN1956" s="73"/>
      <c r="BO1956" s="73"/>
      <c r="BP1956" s="73"/>
      <c r="BQ1956" s="73"/>
      <c r="BR1956" s="73"/>
      <c r="BS1956" s="73"/>
      <c r="BT1956" s="73"/>
      <c r="BU1956" s="73"/>
      <c r="BV1956" s="73"/>
      <c r="BW1956" s="73"/>
      <c r="BX1956" s="73"/>
      <c r="BY1956" s="73"/>
      <c r="BZ1956" s="73"/>
      <c r="CA1956" s="73"/>
      <c r="CB1956" s="73"/>
      <c r="CC1956" s="73"/>
      <c r="CD1956" s="73"/>
      <c r="CE1956" s="73"/>
      <c r="CF1956" s="73"/>
      <c r="CG1956" s="73"/>
      <c r="CH1956" s="73"/>
    </row>
    <row r="1957">
      <c r="A1957" s="73"/>
      <c r="B1957" s="73"/>
      <c r="C1957" s="73"/>
      <c r="D1957" s="73"/>
      <c r="E1957" s="140"/>
      <c r="F1957" s="80"/>
      <c r="G1957" s="80"/>
      <c r="H1957" s="73"/>
      <c r="I1957" s="73"/>
      <c r="J1957" s="73"/>
      <c r="K1957" s="73"/>
      <c r="L1957" s="73"/>
      <c r="M1957" s="73"/>
      <c r="N1957" s="73"/>
      <c r="O1957" s="73"/>
      <c r="P1957" s="73"/>
      <c r="Q1957" s="73"/>
      <c r="R1957" s="73"/>
      <c r="S1957" s="73"/>
      <c r="T1957" s="73"/>
      <c r="U1957" s="73"/>
      <c r="V1957" s="73"/>
      <c r="W1957" s="73"/>
      <c r="X1957" s="73"/>
      <c r="Y1957" s="73"/>
      <c r="Z1957" s="73"/>
      <c r="AA1957" s="73"/>
      <c r="AB1957" s="73"/>
      <c r="AC1957" s="73"/>
      <c r="AD1957" s="73"/>
      <c r="AE1957" s="73"/>
      <c r="AF1957" s="73"/>
      <c r="AG1957" s="73"/>
      <c r="AH1957" s="73"/>
      <c r="AI1957" s="73"/>
      <c r="AJ1957" s="168"/>
      <c r="AK1957" s="73"/>
      <c r="AL1957" s="73"/>
      <c r="AM1957" s="73"/>
      <c r="AN1957" s="73"/>
      <c r="AO1957" s="73"/>
      <c r="AP1957" s="73"/>
      <c r="AQ1957" s="73"/>
      <c r="AR1957" s="73"/>
      <c r="AS1957" s="73"/>
      <c r="AT1957" s="73"/>
      <c r="AU1957" s="73"/>
      <c r="AV1957" s="73"/>
      <c r="AW1957" s="73"/>
      <c r="AX1957" s="73"/>
      <c r="AY1957" s="73"/>
      <c r="AZ1957" s="73"/>
      <c r="BA1957" s="73"/>
      <c r="BB1957" s="73"/>
      <c r="BC1957" s="73"/>
      <c r="BD1957" s="73"/>
      <c r="BE1957" s="73"/>
      <c r="BF1957" s="75"/>
      <c r="BG1957" s="73"/>
      <c r="BH1957" s="88"/>
      <c r="BI1957" s="73"/>
      <c r="BJ1957" s="73"/>
      <c r="BK1957" s="73"/>
      <c r="BL1957" s="73"/>
      <c r="BM1957" s="73"/>
      <c r="BN1957" s="73"/>
      <c r="BO1957" s="73"/>
      <c r="BP1957" s="73"/>
      <c r="BQ1957" s="73"/>
      <c r="BR1957" s="73"/>
      <c r="BS1957" s="73"/>
      <c r="BT1957" s="73"/>
      <c r="BU1957" s="73"/>
      <c r="BV1957" s="73"/>
      <c r="BW1957" s="73"/>
      <c r="BX1957" s="73"/>
      <c r="BY1957" s="73"/>
      <c r="BZ1957" s="73"/>
      <c r="CA1957" s="73"/>
      <c r="CB1957" s="73"/>
      <c r="CC1957" s="73"/>
      <c r="CD1957" s="73"/>
      <c r="CE1957" s="73"/>
      <c r="CF1957" s="73"/>
      <c r="CG1957" s="73"/>
      <c r="CH1957" s="73"/>
    </row>
    <row r="1958">
      <c r="A1958" s="73"/>
      <c r="B1958" s="73"/>
      <c r="C1958" s="73"/>
      <c r="D1958" s="73"/>
      <c r="E1958" s="140"/>
      <c r="F1958" s="80"/>
      <c r="G1958" s="80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  <c r="S1958" s="73"/>
      <c r="T1958" s="73"/>
      <c r="U1958" s="73"/>
      <c r="V1958" s="73"/>
      <c r="W1958" s="73"/>
      <c r="X1958" s="73"/>
      <c r="Y1958" s="73"/>
      <c r="Z1958" s="73"/>
      <c r="AA1958" s="73"/>
      <c r="AB1958" s="73"/>
      <c r="AC1958" s="73"/>
      <c r="AD1958" s="73"/>
      <c r="AE1958" s="73"/>
      <c r="AF1958" s="73"/>
      <c r="AG1958" s="73"/>
      <c r="AH1958" s="73"/>
      <c r="AI1958" s="73"/>
      <c r="AJ1958" s="168"/>
      <c r="AK1958" s="73"/>
      <c r="AL1958" s="73"/>
      <c r="AM1958" s="73"/>
      <c r="AN1958" s="73"/>
      <c r="AO1958" s="73"/>
      <c r="AP1958" s="73"/>
      <c r="AQ1958" s="73"/>
      <c r="AR1958" s="73"/>
      <c r="AS1958" s="73"/>
      <c r="AT1958" s="73"/>
      <c r="AU1958" s="73"/>
      <c r="AV1958" s="73"/>
      <c r="AW1958" s="73"/>
      <c r="AX1958" s="73"/>
      <c r="AY1958" s="73"/>
      <c r="AZ1958" s="73"/>
      <c r="BA1958" s="73"/>
      <c r="BB1958" s="73"/>
      <c r="BC1958" s="73"/>
      <c r="BD1958" s="73"/>
      <c r="BE1958" s="73"/>
      <c r="BF1958" s="75"/>
      <c r="BG1958" s="73"/>
      <c r="BH1958" s="88"/>
      <c r="BI1958" s="73"/>
      <c r="BJ1958" s="73"/>
      <c r="BK1958" s="73"/>
      <c r="BL1958" s="73"/>
      <c r="BM1958" s="73"/>
      <c r="BN1958" s="73"/>
      <c r="BO1958" s="73"/>
      <c r="BP1958" s="73"/>
      <c r="BQ1958" s="73"/>
      <c r="BR1958" s="73"/>
      <c r="BS1958" s="73"/>
      <c r="BT1958" s="73"/>
      <c r="BU1958" s="73"/>
      <c r="BV1958" s="73"/>
      <c r="BW1958" s="73"/>
      <c r="BX1958" s="73"/>
      <c r="BY1958" s="73"/>
      <c r="BZ1958" s="73"/>
      <c r="CA1958" s="73"/>
      <c r="CB1958" s="73"/>
      <c r="CC1958" s="73"/>
      <c r="CD1958" s="73"/>
      <c r="CE1958" s="73"/>
      <c r="CF1958" s="73"/>
      <c r="CG1958" s="73"/>
      <c r="CH1958" s="73"/>
    </row>
    <row r="1959">
      <c r="A1959" s="73"/>
      <c r="B1959" s="73"/>
      <c r="C1959" s="73"/>
      <c r="D1959" s="73"/>
      <c r="E1959" s="140"/>
      <c r="F1959" s="80"/>
      <c r="G1959" s="80"/>
      <c r="H1959" s="73"/>
      <c r="I1959" s="73"/>
      <c r="J1959" s="73"/>
      <c r="K1959" s="73"/>
      <c r="L1959" s="73"/>
      <c r="M1959" s="73"/>
      <c r="N1959" s="73"/>
      <c r="O1959" s="73"/>
      <c r="P1959" s="73"/>
      <c r="Q1959" s="73"/>
      <c r="R1959" s="73"/>
      <c r="S1959" s="73"/>
      <c r="T1959" s="73"/>
      <c r="U1959" s="73"/>
      <c r="V1959" s="73"/>
      <c r="W1959" s="73"/>
      <c r="X1959" s="73"/>
      <c r="Y1959" s="73"/>
      <c r="Z1959" s="73"/>
      <c r="AA1959" s="73"/>
      <c r="AB1959" s="73"/>
      <c r="AC1959" s="73"/>
      <c r="AD1959" s="73"/>
      <c r="AE1959" s="73"/>
      <c r="AF1959" s="73"/>
      <c r="AG1959" s="73"/>
      <c r="AH1959" s="73"/>
      <c r="AI1959" s="73"/>
      <c r="AJ1959" s="168"/>
      <c r="AK1959" s="73"/>
      <c r="AL1959" s="73"/>
      <c r="AM1959" s="73"/>
      <c r="AN1959" s="73"/>
      <c r="AO1959" s="73"/>
      <c r="AP1959" s="73"/>
      <c r="AQ1959" s="73"/>
      <c r="AR1959" s="73"/>
      <c r="AS1959" s="73"/>
      <c r="AT1959" s="73"/>
      <c r="AU1959" s="73"/>
      <c r="AV1959" s="73"/>
      <c r="AW1959" s="73"/>
      <c r="AX1959" s="73"/>
      <c r="AY1959" s="73"/>
      <c r="AZ1959" s="73"/>
      <c r="BA1959" s="73"/>
      <c r="BB1959" s="73"/>
      <c r="BC1959" s="73"/>
      <c r="BD1959" s="73"/>
      <c r="BE1959" s="73"/>
      <c r="BF1959" s="75"/>
      <c r="BG1959" s="73"/>
      <c r="BH1959" s="88"/>
      <c r="BI1959" s="73"/>
      <c r="BJ1959" s="73"/>
      <c r="BK1959" s="73"/>
      <c r="BL1959" s="73"/>
      <c r="BM1959" s="73"/>
      <c r="BN1959" s="73"/>
      <c r="BO1959" s="73"/>
      <c r="BP1959" s="73"/>
      <c r="BQ1959" s="73"/>
      <c r="BR1959" s="73"/>
      <c r="BS1959" s="73"/>
      <c r="BT1959" s="73"/>
      <c r="BU1959" s="73"/>
      <c r="BV1959" s="73"/>
      <c r="BW1959" s="73"/>
      <c r="BX1959" s="73"/>
      <c r="BY1959" s="73"/>
      <c r="BZ1959" s="73"/>
      <c r="CA1959" s="73"/>
      <c r="CB1959" s="73"/>
      <c r="CC1959" s="73"/>
      <c r="CD1959" s="73"/>
      <c r="CE1959" s="73"/>
      <c r="CF1959" s="73"/>
      <c r="CG1959" s="73"/>
      <c r="CH1959" s="73"/>
    </row>
    <row r="1960">
      <c r="A1960" s="73"/>
      <c r="B1960" s="73"/>
      <c r="C1960" s="73"/>
      <c r="D1960" s="73"/>
      <c r="E1960" s="140"/>
      <c r="F1960" s="80"/>
      <c r="G1960" s="80"/>
      <c r="H1960" s="73"/>
      <c r="I1960" s="73"/>
      <c r="J1960" s="73"/>
      <c r="K1960" s="73"/>
      <c r="L1960" s="73"/>
      <c r="M1960" s="73"/>
      <c r="N1960" s="73"/>
      <c r="O1960" s="73"/>
      <c r="P1960" s="73"/>
      <c r="Q1960" s="73"/>
      <c r="R1960" s="73"/>
      <c r="S1960" s="73"/>
      <c r="T1960" s="73"/>
      <c r="U1960" s="73"/>
      <c r="V1960" s="73"/>
      <c r="W1960" s="73"/>
      <c r="X1960" s="73"/>
      <c r="Y1960" s="73"/>
      <c r="Z1960" s="73"/>
      <c r="AA1960" s="73"/>
      <c r="AB1960" s="73"/>
      <c r="AC1960" s="73"/>
      <c r="AD1960" s="73"/>
      <c r="AE1960" s="73"/>
      <c r="AF1960" s="73"/>
      <c r="AG1960" s="73"/>
      <c r="AH1960" s="73"/>
      <c r="AI1960" s="73"/>
      <c r="AJ1960" s="168"/>
      <c r="AK1960" s="73"/>
      <c r="AL1960" s="73"/>
      <c r="AM1960" s="73"/>
      <c r="AN1960" s="73"/>
      <c r="AO1960" s="73"/>
      <c r="AP1960" s="73"/>
      <c r="AQ1960" s="73"/>
      <c r="AR1960" s="73"/>
      <c r="AS1960" s="73"/>
      <c r="AT1960" s="73"/>
      <c r="AU1960" s="73"/>
      <c r="AV1960" s="73"/>
      <c r="AW1960" s="73"/>
      <c r="AX1960" s="73"/>
      <c r="AY1960" s="73"/>
      <c r="AZ1960" s="73"/>
      <c r="BA1960" s="73"/>
      <c r="BB1960" s="73"/>
      <c r="BC1960" s="73"/>
      <c r="BD1960" s="73"/>
      <c r="BE1960" s="73"/>
      <c r="BF1960" s="75"/>
      <c r="BG1960" s="73"/>
      <c r="BH1960" s="88"/>
      <c r="BI1960" s="73"/>
      <c r="BJ1960" s="73"/>
      <c r="BK1960" s="73"/>
      <c r="BL1960" s="73"/>
      <c r="BM1960" s="73"/>
      <c r="BN1960" s="73"/>
      <c r="BO1960" s="73"/>
      <c r="BP1960" s="73"/>
      <c r="BQ1960" s="73"/>
      <c r="BR1960" s="73"/>
      <c r="BS1960" s="73"/>
      <c r="BT1960" s="73"/>
      <c r="BU1960" s="73"/>
      <c r="BV1960" s="73"/>
      <c r="BW1960" s="73"/>
      <c r="BX1960" s="73"/>
      <c r="BY1960" s="73"/>
      <c r="BZ1960" s="73"/>
      <c r="CA1960" s="73"/>
      <c r="CB1960" s="73"/>
      <c r="CC1960" s="73"/>
      <c r="CD1960" s="73"/>
      <c r="CE1960" s="73"/>
      <c r="CF1960" s="73"/>
      <c r="CG1960" s="73"/>
      <c r="CH1960" s="73"/>
    </row>
    <row r="1961">
      <c r="A1961" s="73"/>
      <c r="B1961" s="73"/>
      <c r="C1961" s="73"/>
      <c r="D1961" s="73"/>
      <c r="E1961" s="140"/>
      <c r="F1961" s="80"/>
      <c r="G1961" s="80"/>
      <c r="H1961" s="73"/>
      <c r="I1961" s="73"/>
      <c r="J1961" s="73"/>
      <c r="K1961" s="73"/>
      <c r="L1961" s="73"/>
      <c r="M1961" s="73"/>
      <c r="N1961" s="73"/>
      <c r="O1961" s="73"/>
      <c r="P1961" s="73"/>
      <c r="Q1961" s="73"/>
      <c r="R1961" s="73"/>
      <c r="S1961" s="73"/>
      <c r="T1961" s="73"/>
      <c r="U1961" s="73"/>
      <c r="V1961" s="73"/>
      <c r="W1961" s="73"/>
      <c r="X1961" s="73"/>
      <c r="Y1961" s="73"/>
      <c r="Z1961" s="73"/>
      <c r="AA1961" s="73"/>
      <c r="AB1961" s="73"/>
      <c r="AC1961" s="73"/>
      <c r="AD1961" s="73"/>
      <c r="AE1961" s="73"/>
      <c r="AF1961" s="73"/>
      <c r="AG1961" s="73"/>
      <c r="AH1961" s="73"/>
      <c r="AI1961" s="73"/>
      <c r="AJ1961" s="168"/>
      <c r="AK1961" s="73"/>
      <c r="AL1961" s="73"/>
      <c r="AM1961" s="73"/>
      <c r="AN1961" s="73"/>
      <c r="AO1961" s="73"/>
      <c r="AP1961" s="73"/>
      <c r="AQ1961" s="73"/>
      <c r="AR1961" s="73"/>
      <c r="AS1961" s="73"/>
      <c r="AT1961" s="73"/>
      <c r="AU1961" s="73"/>
      <c r="AV1961" s="73"/>
      <c r="AW1961" s="73"/>
      <c r="AX1961" s="73"/>
      <c r="AY1961" s="73"/>
      <c r="AZ1961" s="73"/>
      <c r="BA1961" s="73"/>
      <c r="BB1961" s="73"/>
      <c r="BC1961" s="73"/>
      <c r="BD1961" s="73"/>
      <c r="BE1961" s="73"/>
      <c r="BF1961" s="75"/>
      <c r="BG1961" s="73"/>
      <c r="BH1961" s="88"/>
      <c r="BI1961" s="73"/>
      <c r="BJ1961" s="73"/>
      <c r="BK1961" s="73"/>
      <c r="BL1961" s="73"/>
      <c r="BM1961" s="73"/>
      <c r="BN1961" s="73"/>
      <c r="BO1961" s="73"/>
      <c r="BP1961" s="73"/>
      <c r="BQ1961" s="73"/>
      <c r="BR1961" s="73"/>
      <c r="BS1961" s="73"/>
      <c r="BT1961" s="73"/>
      <c r="BU1961" s="73"/>
      <c r="BV1961" s="73"/>
      <c r="BW1961" s="73"/>
      <c r="BX1961" s="73"/>
      <c r="BY1961" s="73"/>
      <c r="BZ1961" s="73"/>
      <c r="CA1961" s="73"/>
      <c r="CB1961" s="73"/>
      <c r="CC1961" s="73"/>
      <c r="CD1961" s="73"/>
      <c r="CE1961" s="73"/>
      <c r="CF1961" s="73"/>
      <c r="CG1961" s="73"/>
      <c r="CH1961" s="73"/>
    </row>
    <row r="1962">
      <c r="A1962" s="73"/>
      <c r="B1962" s="73"/>
      <c r="C1962" s="73"/>
      <c r="D1962" s="73"/>
      <c r="E1962" s="140"/>
      <c r="F1962" s="80"/>
      <c r="G1962" s="80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  <c r="S1962" s="73"/>
      <c r="T1962" s="73"/>
      <c r="U1962" s="73"/>
      <c r="V1962" s="73"/>
      <c r="W1962" s="73"/>
      <c r="X1962" s="73"/>
      <c r="Y1962" s="73"/>
      <c r="Z1962" s="73"/>
      <c r="AA1962" s="73"/>
      <c r="AB1962" s="73"/>
      <c r="AC1962" s="73"/>
      <c r="AD1962" s="73"/>
      <c r="AE1962" s="73"/>
      <c r="AF1962" s="73"/>
      <c r="AG1962" s="73"/>
      <c r="AH1962" s="73"/>
      <c r="AI1962" s="73"/>
      <c r="AJ1962" s="168"/>
      <c r="AK1962" s="73"/>
      <c r="AL1962" s="73"/>
      <c r="AM1962" s="73"/>
      <c r="AN1962" s="73"/>
      <c r="AO1962" s="73"/>
      <c r="AP1962" s="73"/>
      <c r="AQ1962" s="73"/>
      <c r="AR1962" s="73"/>
      <c r="AS1962" s="73"/>
      <c r="AT1962" s="73"/>
      <c r="AU1962" s="73"/>
      <c r="AV1962" s="73"/>
      <c r="AW1962" s="73"/>
      <c r="AX1962" s="73"/>
      <c r="AY1962" s="73"/>
      <c r="AZ1962" s="73"/>
      <c r="BA1962" s="73"/>
      <c r="BB1962" s="73"/>
      <c r="BC1962" s="73"/>
      <c r="BD1962" s="73"/>
      <c r="BE1962" s="73"/>
      <c r="BF1962" s="75"/>
      <c r="BG1962" s="73"/>
      <c r="BH1962" s="88"/>
      <c r="BI1962" s="73"/>
      <c r="BJ1962" s="73"/>
      <c r="BK1962" s="73"/>
      <c r="BL1962" s="73"/>
      <c r="BM1962" s="73"/>
      <c r="BN1962" s="73"/>
      <c r="BO1962" s="73"/>
      <c r="BP1962" s="73"/>
      <c r="BQ1962" s="73"/>
      <c r="BR1962" s="73"/>
      <c r="BS1962" s="73"/>
      <c r="BT1962" s="73"/>
      <c r="BU1962" s="73"/>
      <c r="BV1962" s="73"/>
      <c r="BW1962" s="73"/>
      <c r="BX1962" s="73"/>
      <c r="BY1962" s="73"/>
      <c r="BZ1962" s="73"/>
      <c r="CA1962" s="73"/>
      <c r="CB1962" s="73"/>
      <c r="CC1962" s="73"/>
      <c r="CD1962" s="73"/>
      <c r="CE1962" s="73"/>
      <c r="CF1962" s="73"/>
      <c r="CG1962" s="73"/>
      <c r="CH1962" s="73"/>
    </row>
    <row r="1963">
      <c r="A1963" s="73"/>
      <c r="B1963" s="73"/>
      <c r="C1963" s="73"/>
      <c r="D1963" s="73"/>
      <c r="E1963" s="140"/>
      <c r="F1963" s="80"/>
      <c r="G1963" s="80"/>
      <c r="H1963" s="73"/>
      <c r="I1963" s="73"/>
      <c r="J1963" s="73"/>
      <c r="K1963" s="73"/>
      <c r="L1963" s="73"/>
      <c r="M1963" s="73"/>
      <c r="N1963" s="73"/>
      <c r="O1963" s="73"/>
      <c r="P1963" s="73"/>
      <c r="Q1963" s="73"/>
      <c r="R1963" s="73"/>
      <c r="S1963" s="73"/>
      <c r="T1963" s="73"/>
      <c r="U1963" s="73"/>
      <c r="V1963" s="73"/>
      <c r="W1963" s="73"/>
      <c r="X1963" s="73"/>
      <c r="Y1963" s="73"/>
      <c r="Z1963" s="73"/>
      <c r="AA1963" s="73"/>
      <c r="AB1963" s="73"/>
      <c r="AC1963" s="73"/>
      <c r="AD1963" s="73"/>
      <c r="AE1963" s="73"/>
      <c r="AF1963" s="73"/>
      <c r="AG1963" s="73"/>
      <c r="AH1963" s="73"/>
      <c r="AI1963" s="73"/>
      <c r="AJ1963" s="168"/>
      <c r="AK1963" s="73"/>
      <c r="AL1963" s="73"/>
      <c r="AM1963" s="73"/>
      <c r="AN1963" s="73"/>
      <c r="AO1963" s="73"/>
      <c r="AP1963" s="73"/>
      <c r="AQ1963" s="73"/>
      <c r="AR1963" s="73"/>
      <c r="AS1963" s="73"/>
      <c r="AT1963" s="73"/>
      <c r="AU1963" s="73"/>
      <c r="AV1963" s="73"/>
      <c r="AW1963" s="73"/>
      <c r="AX1963" s="73"/>
      <c r="AY1963" s="73"/>
      <c r="AZ1963" s="73"/>
      <c r="BA1963" s="73"/>
      <c r="BB1963" s="73"/>
      <c r="BC1963" s="73"/>
      <c r="BD1963" s="73"/>
      <c r="BE1963" s="73"/>
      <c r="BF1963" s="75"/>
      <c r="BG1963" s="73"/>
      <c r="BH1963" s="88"/>
      <c r="BI1963" s="73"/>
      <c r="BJ1963" s="73"/>
      <c r="BK1963" s="73"/>
      <c r="BL1963" s="73"/>
      <c r="BM1963" s="73"/>
      <c r="BN1963" s="73"/>
      <c r="BO1963" s="73"/>
      <c r="BP1963" s="73"/>
      <c r="BQ1963" s="73"/>
      <c r="BR1963" s="73"/>
      <c r="BS1963" s="73"/>
      <c r="BT1963" s="73"/>
      <c r="BU1963" s="73"/>
      <c r="BV1963" s="73"/>
      <c r="BW1963" s="73"/>
      <c r="BX1963" s="73"/>
      <c r="BY1963" s="73"/>
      <c r="BZ1963" s="73"/>
      <c r="CA1963" s="73"/>
      <c r="CB1963" s="73"/>
      <c r="CC1963" s="73"/>
      <c r="CD1963" s="73"/>
      <c r="CE1963" s="73"/>
      <c r="CF1963" s="73"/>
      <c r="CG1963" s="73"/>
      <c r="CH1963" s="73"/>
    </row>
    <row r="1964">
      <c r="A1964" s="73"/>
      <c r="B1964" s="73"/>
      <c r="C1964" s="73"/>
      <c r="D1964" s="73"/>
      <c r="E1964" s="140"/>
      <c r="F1964" s="80"/>
      <c r="G1964" s="80"/>
      <c r="H1964" s="73"/>
      <c r="I1964" s="73"/>
      <c r="J1964" s="73"/>
      <c r="K1964" s="73"/>
      <c r="L1964" s="73"/>
      <c r="M1964" s="73"/>
      <c r="N1964" s="73"/>
      <c r="O1964" s="73"/>
      <c r="P1964" s="73"/>
      <c r="Q1964" s="73"/>
      <c r="R1964" s="73"/>
      <c r="S1964" s="73"/>
      <c r="T1964" s="73"/>
      <c r="U1964" s="73"/>
      <c r="V1964" s="73"/>
      <c r="W1964" s="73"/>
      <c r="X1964" s="73"/>
      <c r="Y1964" s="73"/>
      <c r="Z1964" s="73"/>
      <c r="AA1964" s="73"/>
      <c r="AB1964" s="73"/>
      <c r="AC1964" s="73"/>
      <c r="AD1964" s="73"/>
      <c r="AE1964" s="73"/>
      <c r="AF1964" s="73"/>
      <c r="AG1964" s="73"/>
      <c r="AH1964" s="73"/>
      <c r="AI1964" s="73"/>
      <c r="AJ1964" s="168"/>
      <c r="AK1964" s="73"/>
      <c r="AL1964" s="73"/>
      <c r="AM1964" s="73"/>
      <c r="AN1964" s="73"/>
      <c r="AO1964" s="73"/>
      <c r="AP1964" s="73"/>
      <c r="AQ1964" s="73"/>
      <c r="AR1964" s="73"/>
      <c r="AS1964" s="73"/>
      <c r="AT1964" s="73"/>
      <c r="AU1964" s="73"/>
      <c r="AV1964" s="73"/>
      <c r="AW1964" s="73"/>
      <c r="AX1964" s="73"/>
      <c r="AY1964" s="73"/>
      <c r="AZ1964" s="73"/>
      <c r="BA1964" s="73"/>
      <c r="BB1964" s="73"/>
      <c r="BC1964" s="73"/>
      <c r="BD1964" s="73"/>
      <c r="BE1964" s="73"/>
      <c r="BF1964" s="75"/>
      <c r="BG1964" s="73"/>
      <c r="BH1964" s="88"/>
      <c r="BI1964" s="73"/>
      <c r="BJ1964" s="73"/>
      <c r="BK1964" s="73"/>
      <c r="BL1964" s="73"/>
      <c r="BM1964" s="73"/>
      <c r="BN1964" s="73"/>
      <c r="BO1964" s="73"/>
      <c r="BP1964" s="73"/>
      <c r="BQ1964" s="73"/>
      <c r="BR1964" s="73"/>
      <c r="BS1964" s="73"/>
      <c r="BT1964" s="73"/>
      <c r="BU1964" s="73"/>
      <c r="BV1964" s="73"/>
      <c r="BW1964" s="73"/>
      <c r="BX1964" s="73"/>
      <c r="BY1964" s="73"/>
      <c r="BZ1964" s="73"/>
      <c r="CA1964" s="73"/>
      <c r="CB1964" s="73"/>
      <c r="CC1964" s="73"/>
      <c r="CD1964" s="73"/>
      <c r="CE1964" s="73"/>
      <c r="CF1964" s="73"/>
      <c r="CG1964" s="73"/>
      <c r="CH1964" s="73"/>
    </row>
    <row r="1965">
      <c r="A1965" s="73"/>
      <c r="B1965" s="73"/>
      <c r="C1965" s="73"/>
      <c r="D1965" s="73"/>
      <c r="E1965" s="140"/>
      <c r="F1965" s="80"/>
      <c r="G1965" s="80"/>
      <c r="H1965" s="73"/>
      <c r="I1965" s="73"/>
      <c r="J1965" s="73"/>
      <c r="K1965" s="73"/>
      <c r="L1965" s="73"/>
      <c r="M1965" s="73"/>
      <c r="N1965" s="73"/>
      <c r="O1965" s="73"/>
      <c r="P1965" s="73"/>
      <c r="Q1965" s="73"/>
      <c r="R1965" s="73"/>
      <c r="S1965" s="73"/>
      <c r="T1965" s="73"/>
      <c r="U1965" s="73"/>
      <c r="V1965" s="73"/>
      <c r="W1965" s="73"/>
      <c r="X1965" s="73"/>
      <c r="Y1965" s="73"/>
      <c r="Z1965" s="73"/>
      <c r="AA1965" s="73"/>
      <c r="AB1965" s="73"/>
      <c r="AC1965" s="73"/>
      <c r="AD1965" s="73"/>
      <c r="AE1965" s="73"/>
      <c r="AF1965" s="73"/>
      <c r="AG1965" s="73"/>
      <c r="AH1965" s="73"/>
      <c r="AI1965" s="73"/>
      <c r="AJ1965" s="168"/>
      <c r="AK1965" s="73"/>
      <c r="AL1965" s="73"/>
      <c r="AM1965" s="73"/>
      <c r="AN1965" s="73"/>
      <c r="AO1965" s="73"/>
      <c r="AP1965" s="73"/>
      <c r="AQ1965" s="73"/>
      <c r="AR1965" s="73"/>
      <c r="AS1965" s="73"/>
      <c r="AT1965" s="73"/>
      <c r="AU1965" s="73"/>
      <c r="AV1965" s="73"/>
      <c r="AW1965" s="73"/>
      <c r="AX1965" s="73"/>
      <c r="AY1965" s="73"/>
      <c r="AZ1965" s="73"/>
      <c r="BA1965" s="73"/>
      <c r="BB1965" s="73"/>
      <c r="BC1965" s="73"/>
      <c r="BD1965" s="73"/>
      <c r="BE1965" s="73"/>
      <c r="BF1965" s="75"/>
      <c r="BG1965" s="73"/>
      <c r="BH1965" s="88"/>
      <c r="BI1965" s="73"/>
      <c r="BJ1965" s="73"/>
      <c r="BK1965" s="73"/>
      <c r="BL1965" s="73"/>
      <c r="BM1965" s="73"/>
      <c r="BN1965" s="73"/>
      <c r="BO1965" s="73"/>
      <c r="BP1965" s="73"/>
      <c r="BQ1965" s="73"/>
      <c r="BR1965" s="73"/>
      <c r="BS1965" s="73"/>
      <c r="BT1965" s="73"/>
      <c r="BU1965" s="73"/>
      <c r="BV1965" s="73"/>
      <c r="BW1965" s="73"/>
      <c r="BX1965" s="73"/>
      <c r="BY1965" s="73"/>
      <c r="BZ1965" s="73"/>
      <c r="CA1965" s="73"/>
      <c r="CB1965" s="73"/>
      <c r="CC1965" s="73"/>
      <c r="CD1965" s="73"/>
      <c r="CE1965" s="73"/>
      <c r="CF1965" s="73"/>
      <c r="CG1965" s="73"/>
      <c r="CH1965" s="73"/>
    </row>
    <row r="1966">
      <c r="A1966" s="73"/>
      <c r="B1966" s="73"/>
      <c r="C1966" s="73"/>
      <c r="D1966" s="73"/>
      <c r="E1966" s="140"/>
      <c r="F1966" s="80"/>
      <c r="G1966" s="80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  <c r="S1966" s="73"/>
      <c r="T1966" s="73"/>
      <c r="U1966" s="73"/>
      <c r="V1966" s="73"/>
      <c r="W1966" s="73"/>
      <c r="X1966" s="73"/>
      <c r="Y1966" s="73"/>
      <c r="Z1966" s="73"/>
      <c r="AA1966" s="73"/>
      <c r="AB1966" s="73"/>
      <c r="AC1966" s="73"/>
      <c r="AD1966" s="73"/>
      <c r="AE1966" s="73"/>
      <c r="AF1966" s="73"/>
      <c r="AG1966" s="73"/>
      <c r="AH1966" s="73"/>
      <c r="AI1966" s="73"/>
      <c r="AJ1966" s="168"/>
      <c r="AK1966" s="73"/>
      <c r="AL1966" s="73"/>
      <c r="AM1966" s="73"/>
      <c r="AN1966" s="73"/>
      <c r="AO1966" s="73"/>
      <c r="AP1966" s="73"/>
      <c r="AQ1966" s="73"/>
      <c r="AR1966" s="73"/>
      <c r="AS1966" s="73"/>
      <c r="AT1966" s="73"/>
      <c r="AU1966" s="73"/>
      <c r="AV1966" s="73"/>
      <c r="AW1966" s="73"/>
      <c r="AX1966" s="73"/>
      <c r="AY1966" s="73"/>
      <c r="AZ1966" s="73"/>
      <c r="BA1966" s="73"/>
      <c r="BB1966" s="73"/>
      <c r="BC1966" s="73"/>
      <c r="BD1966" s="73"/>
      <c r="BE1966" s="73"/>
      <c r="BF1966" s="75"/>
      <c r="BG1966" s="73"/>
      <c r="BH1966" s="88"/>
      <c r="BI1966" s="73"/>
      <c r="BJ1966" s="73"/>
      <c r="BK1966" s="73"/>
      <c r="BL1966" s="73"/>
      <c r="BM1966" s="73"/>
      <c r="BN1966" s="73"/>
      <c r="BO1966" s="73"/>
      <c r="BP1966" s="73"/>
      <c r="BQ1966" s="73"/>
      <c r="BR1966" s="73"/>
      <c r="BS1966" s="73"/>
      <c r="BT1966" s="73"/>
      <c r="BU1966" s="73"/>
      <c r="BV1966" s="73"/>
      <c r="BW1966" s="73"/>
      <c r="BX1966" s="73"/>
      <c r="BY1966" s="73"/>
      <c r="BZ1966" s="73"/>
      <c r="CA1966" s="73"/>
      <c r="CB1966" s="73"/>
      <c r="CC1966" s="73"/>
      <c r="CD1966" s="73"/>
      <c r="CE1966" s="73"/>
      <c r="CF1966" s="73"/>
      <c r="CG1966" s="73"/>
      <c r="CH1966" s="73"/>
    </row>
    <row r="1967">
      <c r="A1967" s="73"/>
      <c r="B1967" s="73"/>
      <c r="C1967" s="73"/>
      <c r="D1967" s="73"/>
      <c r="E1967" s="140"/>
      <c r="F1967" s="80"/>
      <c r="G1967" s="80"/>
      <c r="H1967" s="73"/>
      <c r="I1967" s="73"/>
      <c r="J1967" s="73"/>
      <c r="K1967" s="73"/>
      <c r="L1967" s="73"/>
      <c r="M1967" s="73"/>
      <c r="N1967" s="73"/>
      <c r="O1967" s="73"/>
      <c r="P1967" s="73"/>
      <c r="Q1967" s="73"/>
      <c r="R1967" s="73"/>
      <c r="S1967" s="73"/>
      <c r="T1967" s="73"/>
      <c r="U1967" s="73"/>
      <c r="V1967" s="73"/>
      <c r="W1967" s="73"/>
      <c r="X1967" s="73"/>
      <c r="Y1967" s="73"/>
      <c r="Z1967" s="73"/>
      <c r="AA1967" s="73"/>
      <c r="AB1967" s="73"/>
      <c r="AC1967" s="73"/>
      <c r="AD1967" s="73"/>
      <c r="AE1967" s="73"/>
      <c r="AF1967" s="73"/>
      <c r="AG1967" s="73"/>
      <c r="AH1967" s="73"/>
      <c r="AI1967" s="73"/>
      <c r="AJ1967" s="168"/>
      <c r="AK1967" s="73"/>
      <c r="AL1967" s="73"/>
      <c r="AM1967" s="73"/>
      <c r="AN1967" s="73"/>
      <c r="AO1967" s="73"/>
      <c r="AP1967" s="73"/>
      <c r="AQ1967" s="73"/>
      <c r="AR1967" s="73"/>
      <c r="AS1967" s="73"/>
      <c r="AT1967" s="73"/>
      <c r="AU1967" s="73"/>
      <c r="AV1967" s="73"/>
      <c r="AW1967" s="73"/>
      <c r="AX1967" s="73"/>
      <c r="AY1967" s="73"/>
      <c r="AZ1967" s="73"/>
      <c r="BA1967" s="73"/>
      <c r="BB1967" s="73"/>
      <c r="BC1967" s="73"/>
      <c r="BD1967" s="73"/>
      <c r="BE1967" s="73"/>
      <c r="BF1967" s="75"/>
      <c r="BG1967" s="73"/>
      <c r="BH1967" s="88"/>
      <c r="BI1967" s="73"/>
      <c r="BJ1967" s="73"/>
      <c r="BK1967" s="73"/>
      <c r="BL1967" s="73"/>
      <c r="BM1967" s="73"/>
      <c r="BN1967" s="73"/>
      <c r="BO1967" s="73"/>
      <c r="BP1967" s="73"/>
      <c r="BQ1967" s="73"/>
      <c r="BR1967" s="73"/>
      <c r="BS1967" s="73"/>
      <c r="BT1967" s="73"/>
      <c r="BU1967" s="73"/>
      <c r="BV1967" s="73"/>
      <c r="BW1967" s="73"/>
      <c r="BX1967" s="73"/>
      <c r="BY1967" s="73"/>
      <c r="BZ1967" s="73"/>
      <c r="CA1967" s="73"/>
      <c r="CB1967" s="73"/>
      <c r="CC1967" s="73"/>
      <c r="CD1967" s="73"/>
      <c r="CE1967" s="73"/>
      <c r="CF1967" s="73"/>
      <c r="CG1967" s="73"/>
      <c r="CH1967" s="73"/>
    </row>
    <row r="1968">
      <c r="A1968" s="73"/>
      <c r="B1968" s="73"/>
      <c r="C1968" s="73"/>
      <c r="D1968" s="73"/>
      <c r="E1968" s="140"/>
      <c r="F1968" s="80"/>
      <c r="G1968" s="80"/>
      <c r="H1968" s="73"/>
      <c r="I1968" s="73"/>
      <c r="J1968" s="73"/>
      <c r="K1968" s="73"/>
      <c r="L1968" s="73"/>
      <c r="M1968" s="73"/>
      <c r="N1968" s="73"/>
      <c r="O1968" s="73"/>
      <c r="P1968" s="73"/>
      <c r="Q1968" s="73"/>
      <c r="R1968" s="73"/>
      <c r="S1968" s="73"/>
      <c r="T1968" s="73"/>
      <c r="U1968" s="73"/>
      <c r="V1968" s="73"/>
      <c r="W1968" s="73"/>
      <c r="X1968" s="73"/>
      <c r="Y1968" s="73"/>
      <c r="Z1968" s="73"/>
      <c r="AA1968" s="73"/>
      <c r="AB1968" s="73"/>
      <c r="AC1968" s="73"/>
      <c r="AD1968" s="73"/>
      <c r="AE1968" s="73"/>
      <c r="AF1968" s="73"/>
      <c r="AG1968" s="73"/>
      <c r="AH1968" s="73"/>
      <c r="AI1968" s="73"/>
      <c r="AJ1968" s="168"/>
      <c r="AK1968" s="73"/>
      <c r="AL1968" s="73"/>
      <c r="AM1968" s="73"/>
      <c r="AN1968" s="73"/>
      <c r="AO1968" s="73"/>
      <c r="AP1968" s="73"/>
      <c r="AQ1968" s="73"/>
      <c r="AR1968" s="73"/>
      <c r="AS1968" s="73"/>
      <c r="AT1968" s="73"/>
      <c r="AU1968" s="73"/>
      <c r="AV1968" s="73"/>
      <c r="AW1968" s="73"/>
      <c r="AX1968" s="73"/>
      <c r="AY1968" s="73"/>
      <c r="AZ1968" s="73"/>
      <c r="BA1968" s="73"/>
      <c r="BB1968" s="73"/>
      <c r="BC1968" s="73"/>
      <c r="BD1968" s="73"/>
      <c r="BE1968" s="73"/>
      <c r="BF1968" s="75"/>
      <c r="BG1968" s="73"/>
      <c r="BH1968" s="88"/>
      <c r="BI1968" s="73"/>
      <c r="BJ1968" s="73"/>
      <c r="BK1968" s="73"/>
      <c r="BL1968" s="73"/>
      <c r="BM1968" s="73"/>
      <c r="BN1968" s="73"/>
      <c r="BO1968" s="73"/>
      <c r="BP1968" s="73"/>
      <c r="BQ1968" s="73"/>
      <c r="BR1968" s="73"/>
      <c r="BS1968" s="73"/>
      <c r="BT1968" s="73"/>
      <c r="BU1968" s="73"/>
      <c r="BV1968" s="73"/>
      <c r="BW1968" s="73"/>
      <c r="BX1968" s="73"/>
      <c r="BY1968" s="73"/>
      <c r="BZ1968" s="73"/>
      <c r="CA1968" s="73"/>
      <c r="CB1968" s="73"/>
      <c r="CC1968" s="73"/>
      <c r="CD1968" s="73"/>
      <c r="CE1968" s="73"/>
      <c r="CF1968" s="73"/>
      <c r="CG1968" s="73"/>
      <c r="CH1968" s="73"/>
    </row>
    <row r="1969">
      <c r="A1969" s="73"/>
      <c r="B1969" s="73"/>
      <c r="C1969" s="73"/>
      <c r="D1969" s="73"/>
      <c r="E1969" s="140"/>
      <c r="F1969" s="80"/>
      <c r="G1969" s="80"/>
      <c r="H1969" s="73"/>
      <c r="I1969" s="73"/>
      <c r="J1969" s="73"/>
      <c r="K1969" s="73"/>
      <c r="L1969" s="73"/>
      <c r="M1969" s="73"/>
      <c r="N1969" s="73"/>
      <c r="O1969" s="73"/>
      <c r="P1969" s="73"/>
      <c r="Q1969" s="73"/>
      <c r="R1969" s="73"/>
      <c r="S1969" s="73"/>
      <c r="T1969" s="73"/>
      <c r="U1969" s="73"/>
      <c r="V1969" s="73"/>
      <c r="W1969" s="73"/>
      <c r="X1969" s="73"/>
      <c r="Y1969" s="73"/>
      <c r="Z1969" s="73"/>
      <c r="AA1969" s="73"/>
      <c r="AB1969" s="73"/>
      <c r="AC1969" s="73"/>
      <c r="AD1969" s="73"/>
      <c r="AE1969" s="73"/>
      <c r="AF1969" s="73"/>
      <c r="AG1969" s="73"/>
      <c r="AH1969" s="73"/>
      <c r="AI1969" s="73"/>
      <c r="AJ1969" s="168"/>
      <c r="AK1969" s="73"/>
      <c r="AL1969" s="73"/>
      <c r="AM1969" s="73"/>
      <c r="AN1969" s="73"/>
      <c r="AO1969" s="73"/>
      <c r="AP1969" s="73"/>
      <c r="AQ1969" s="73"/>
      <c r="AR1969" s="73"/>
      <c r="AS1969" s="73"/>
      <c r="AT1969" s="73"/>
      <c r="AU1969" s="73"/>
      <c r="AV1969" s="73"/>
      <c r="AW1969" s="73"/>
      <c r="AX1969" s="73"/>
      <c r="AY1969" s="73"/>
      <c r="AZ1969" s="73"/>
      <c r="BA1969" s="73"/>
      <c r="BB1969" s="73"/>
      <c r="BC1969" s="73"/>
      <c r="BD1969" s="73"/>
      <c r="BE1969" s="73"/>
      <c r="BF1969" s="75"/>
      <c r="BG1969" s="73"/>
      <c r="BH1969" s="88"/>
      <c r="BI1969" s="73"/>
      <c r="BJ1969" s="73"/>
      <c r="BK1969" s="73"/>
      <c r="BL1969" s="73"/>
      <c r="BM1969" s="73"/>
      <c r="BN1969" s="73"/>
      <c r="BO1969" s="73"/>
      <c r="BP1969" s="73"/>
      <c r="BQ1969" s="73"/>
      <c r="BR1969" s="73"/>
      <c r="BS1969" s="73"/>
      <c r="BT1969" s="73"/>
      <c r="BU1969" s="73"/>
      <c r="BV1969" s="73"/>
      <c r="BW1969" s="73"/>
      <c r="BX1969" s="73"/>
      <c r="BY1969" s="73"/>
      <c r="BZ1969" s="73"/>
      <c r="CA1969" s="73"/>
      <c r="CB1969" s="73"/>
      <c r="CC1969" s="73"/>
      <c r="CD1969" s="73"/>
      <c r="CE1969" s="73"/>
      <c r="CF1969" s="73"/>
      <c r="CG1969" s="73"/>
      <c r="CH1969" s="73"/>
    </row>
    <row r="1970">
      <c r="A1970" s="73"/>
      <c r="B1970" s="73"/>
      <c r="C1970" s="73"/>
      <c r="D1970" s="73"/>
      <c r="E1970" s="140"/>
      <c r="F1970" s="80"/>
      <c r="G1970" s="80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  <c r="S1970" s="73"/>
      <c r="T1970" s="73"/>
      <c r="U1970" s="73"/>
      <c r="V1970" s="73"/>
      <c r="W1970" s="73"/>
      <c r="X1970" s="73"/>
      <c r="Y1970" s="73"/>
      <c r="Z1970" s="73"/>
      <c r="AA1970" s="73"/>
      <c r="AB1970" s="73"/>
      <c r="AC1970" s="73"/>
      <c r="AD1970" s="73"/>
      <c r="AE1970" s="73"/>
      <c r="AF1970" s="73"/>
      <c r="AG1970" s="73"/>
      <c r="AH1970" s="73"/>
      <c r="AI1970" s="73"/>
      <c r="AJ1970" s="168"/>
      <c r="AK1970" s="73"/>
      <c r="AL1970" s="73"/>
      <c r="AM1970" s="73"/>
      <c r="AN1970" s="73"/>
      <c r="AO1970" s="73"/>
      <c r="AP1970" s="73"/>
      <c r="AQ1970" s="73"/>
      <c r="AR1970" s="73"/>
      <c r="AS1970" s="73"/>
      <c r="AT1970" s="73"/>
      <c r="AU1970" s="73"/>
      <c r="AV1970" s="73"/>
      <c r="AW1970" s="73"/>
      <c r="AX1970" s="73"/>
      <c r="AY1970" s="73"/>
      <c r="AZ1970" s="73"/>
      <c r="BA1970" s="73"/>
      <c r="BB1970" s="73"/>
      <c r="BC1970" s="73"/>
      <c r="BD1970" s="73"/>
      <c r="BE1970" s="73"/>
      <c r="BF1970" s="75"/>
      <c r="BG1970" s="73"/>
      <c r="BH1970" s="88"/>
      <c r="BI1970" s="73"/>
      <c r="BJ1970" s="73"/>
      <c r="BK1970" s="73"/>
      <c r="BL1970" s="73"/>
      <c r="BM1970" s="73"/>
      <c r="BN1970" s="73"/>
      <c r="BO1970" s="73"/>
      <c r="BP1970" s="73"/>
      <c r="BQ1970" s="73"/>
      <c r="BR1970" s="73"/>
      <c r="BS1970" s="73"/>
      <c r="BT1970" s="73"/>
      <c r="BU1970" s="73"/>
      <c r="BV1970" s="73"/>
      <c r="BW1970" s="73"/>
      <c r="BX1970" s="73"/>
      <c r="BY1970" s="73"/>
      <c r="BZ1970" s="73"/>
      <c r="CA1970" s="73"/>
      <c r="CB1970" s="73"/>
      <c r="CC1970" s="73"/>
      <c r="CD1970" s="73"/>
      <c r="CE1970" s="73"/>
      <c r="CF1970" s="73"/>
      <c r="CG1970" s="73"/>
      <c r="CH1970" s="73"/>
    </row>
    <row r="1971">
      <c r="A1971" s="73"/>
      <c r="B1971" s="73"/>
      <c r="C1971" s="73"/>
      <c r="D1971" s="73"/>
      <c r="E1971" s="140"/>
      <c r="F1971" s="80"/>
      <c r="G1971" s="80"/>
      <c r="H1971" s="73"/>
      <c r="I1971" s="73"/>
      <c r="J1971" s="73"/>
      <c r="K1971" s="73"/>
      <c r="L1971" s="73"/>
      <c r="M1971" s="73"/>
      <c r="N1971" s="73"/>
      <c r="O1971" s="73"/>
      <c r="P1971" s="73"/>
      <c r="Q1971" s="73"/>
      <c r="R1971" s="73"/>
      <c r="S1971" s="73"/>
      <c r="T1971" s="73"/>
      <c r="U1971" s="73"/>
      <c r="V1971" s="73"/>
      <c r="W1971" s="73"/>
      <c r="X1971" s="73"/>
      <c r="Y1971" s="73"/>
      <c r="Z1971" s="73"/>
      <c r="AA1971" s="73"/>
      <c r="AB1971" s="73"/>
      <c r="AC1971" s="73"/>
      <c r="AD1971" s="73"/>
      <c r="AE1971" s="73"/>
      <c r="AF1971" s="73"/>
      <c r="AG1971" s="73"/>
      <c r="AH1971" s="73"/>
      <c r="AI1971" s="73"/>
      <c r="AJ1971" s="168"/>
      <c r="AK1971" s="73"/>
      <c r="AL1971" s="73"/>
      <c r="AM1971" s="73"/>
      <c r="AN1971" s="73"/>
      <c r="AO1971" s="73"/>
      <c r="AP1971" s="73"/>
      <c r="AQ1971" s="73"/>
      <c r="AR1971" s="73"/>
      <c r="AS1971" s="73"/>
      <c r="AT1971" s="73"/>
      <c r="AU1971" s="73"/>
      <c r="AV1971" s="73"/>
      <c r="AW1971" s="73"/>
      <c r="AX1971" s="73"/>
      <c r="AY1971" s="73"/>
      <c r="AZ1971" s="73"/>
      <c r="BA1971" s="73"/>
      <c r="BB1971" s="73"/>
      <c r="BC1971" s="73"/>
      <c r="BD1971" s="73"/>
      <c r="BE1971" s="73"/>
      <c r="BF1971" s="75"/>
      <c r="BG1971" s="73"/>
      <c r="BH1971" s="88"/>
      <c r="BI1971" s="73"/>
      <c r="BJ1971" s="73"/>
      <c r="BK1971" s="73"/>
      <c r="BL1971" s="73"/>
      <c r="BM1971" s="73"/>
      <c r="BN1971" s="73"/>
      <c r="BO1971" s="73"/>
      <c r="BP1971" s="73"/>
      <c r="BQ1971" s="73"/>
      <c r="BR1971" s="73"/>
      <c r="BS1971" s="73"/>
      <c r="BT1971" s="73"/>
      <c r="BU1971" s="73"/>
      <c r="BV1971" s="73"/>
      <c r="BW1971" s="73"/>
      <c r="BX1971" s="73"/>
      <c r="BY1971" s="73"/>
      <c r="BZ1971" s="73"/>
      <c r="CA1971" s="73"/>
      <c r="CB1971" s="73"/>
      <c r="CC1971" s="73"/>
      <c r="CD1971" s="73"/>
      <c r="CE1971" s="73"/>
      <c r="CF1971" s="73"/>
      <c r="CG1971" s="73"/>
      <c r="CH1971" s="73"/>
    </row>
    <row r="1972">
      <c r="A1972" s="73"/>
      <c r="B1972" s="73"/>
      <c r="C1972" s="73"/>
      <c r="D1972" s="73"/>
      <c r="E1972" s="140"/>
      <c r="F1972" s="80"/>
      <c r="G1972" s="80"/>
      <c r="H1972" s="73"/>
      <c r="I1972" s="73"/>
      <c r="J1972" s="73"/>
      <c r="K1972" s="73"/>
      <c r="L1972" s="73"/>
      <c r="M1972" s="73"/>
      <c r="N1972" s="73"/>
      <c r="O1972" s="73"/>
      <c r="P1972" s="73"/>
      <c r="Q1972" s="73"/>
      <c r="R1972" s="73"/>
      <c r="S1972" s="73"/>
      <c r="T1972" s="73"/>
      <c r="U1972" s="73"/>
      <c r="V1972" s="73"/>
      <c r="W1972" s="73"/>
      <c r="X1972" s="73"/>
      <c r="Y1972" s="73"/>
      <c r="Z1972" s="73"/>
      <c r="AA1972" s="73"/>
      <c r="AB1972" s="73"/>
      <c r="AC1972" s="73"/>
      <c r="AD1972" s="73"/>
      <c r="AE1972" s="73"/>
      <c r="AF1972" s="73"/>
      <c r="AG1972" s="73"/>
      <c r="AH1972" s="73"/>
      <c r="AI1972" s="73"/>
      <c r="AJ1972" s="168"/>
      <c r="AK1972" s="73"/>
      <c r="AL1972" s="73"/>
      <c r="AM1972" s="73"/>
      <c r="AN1972" s="73"/>
      <c r="AO1972" s="73"/>
      <c r="AP1972" s="73"/>
      <c r="AQ1972" s="73"/>
      <c r="AR1972" s="73"/>
      <c r="AS1972" s="73"/>
      <c r="AT1972" s="73"/>
      <c r="AU1972" s="73"/>
      <c r="AV1972" s="73"/>
      <c r="AW1972" s="73"/>
      <c r="AX1972" s="73"/>
      <c r="AY1972" s="73"/>
      <c r="AZ1972" s="73"/>
      <c r="BA1972" s="73"/>
      <c r="BB1972" s="73"/>
      <c r="BC1972" s="73"/>
      <c r="BD1972" s="73"/>
      <c r="BE1972" s="73"/>
      <c r="BF1972" s="75"/>
      <c r="BG1972" s="73"/>
      <c r="BH1972" s="88"/>
      <c r="BI1972" s="73"/>
      <c r="BJ1972" s="73"/>
      <c r="BK1972" s="73"/>
      <c r="BL1972" s="73"/>
      <c r="BM1972" s="73"/>
      <c r="BN1972" s="73"/>
      <c r="BO1972" s="73"/>
      <c r="BP1972" s="73"/>
      <c r="BQ1972" s="73"/>
      <c r="BR1972" s="73"/>
      <c r="BS1972" s="73"/>
      <c r="BT1972" s="73"/>
      <c r="BU1972" s="73"/>
      <c r="BV1972" s="73"/>
      <c r="BW1972" s="73"/>
      <c r="BX1972" s="73"/>
      <c r="BY1972" s="73"/>
      <c r="BZ1972" s="73"/>
      <c r="CA1972" s="73"/>
      <c r="CB1972" s="73"/>
      <c r="CC1972" s="73"/>
      <c r="CD1972" s="73"/>
      <c r="CE1972" s="73"/>
      <c r="CF1972" s="73"/>
      <c r="CG1972" s="73"/>
      <c r="CH1972" s="73"/>
    </row>
    <row r="1973">
      <c r="A1973" s="73"/>
      <c r="B1973" s="73"/>
      <c r="C1973" s="73"/>
      <c r="D1973" s="73"/>
      <c r="E1973" s="140"/>
      <c r="F1973" s="80"/>
      <c r="G1973" s="80"/>
      <c r="H1973" s="73"/>
      <c r="I1973" s="73"/>
      <c r="J1973" s="73"/>
      <c r="K1973" s="73"/>
      <c r="L1973" s="73"/>
      <c r="M1973" s="73"/>
      <c r="N1973" s="73"/>
      <c r="O1973" s="73"/>
      <c r="P1973" s="73"/>
      <c r="Q1973" s="73"/>
      <c r="R1973" s="73"/>
      <c r="S1973" s="73"/>
      <c r="T1973" s="73"/>
      <c r="U1973" s="73"/>
      <c r="V1973" s="73"/>
      <c r="W1973" s="73"/>
      <c r="X1973" s="73"/>
      <c r="Y1973" s="73"/>
      <c r="Z1973" s="73"/>
      <c r="AA1973" s="73"/>
      <c r="AB1973" s="73"/>
      <c r="AC1973" s="73"/>
      <c r="AD1973" s="73"/>
      <c r="AE1973" s="73"/>
      <c r="AF1973" s="73"/>
      <c r="AG1973" s="73"/>
      <c r="AH1973" s="73"/>
      <c r="AI1973" s="73"/>
      <c r="AJ1973" s="168"/>
      <c r="AK1973" s="73"/>
      <c r="AL1973" s="73"/>
      <c r="AM1973" s="73"/>
      <c r="AN1973" s="73"/>
      <c r="AO1973" s="73"/>
      <c r="AP1973" s="73"/>
      <c r="AQ1973" s="73"/>
      <c r="AR1973" s="73"/>
      <c r="AS1973" s="73"/>
      <c r="AT1973" s="73"/>
      <c r="AU1973" s="73"/>
      <c r="AV1973" s="73"/>
      <c r="AW1973" s="73"/>
      <c r="AX1973" s="73"/>
      <c r="AY1973" s="73"/>
      <c r="AZ1973" s="73"/>
      <c r="BA1973" s="73"/>
      <c r="BB1973" s="73"/>
      <c r="BC1973" s="73"/>
      <c r="BD1973" s="73"/>
      <c r="BE1973" s="73"/>
      <c r="BF1973" s="75"/>
      <c r="BG1973" s="73"/>
      <c r="BH1973" s="88"/>
      <c r="BI1973" s="73"/>
      <c r="BJ1973" s="73"/>
      <c r="BK1973" s="73"/>
      <c r="BL1973" s="73"/>
      <c r="BM1973" s="73"/>
      <c r="BN1973" s="73"/>
      <c r="BO1973" s="73"/>
      <c r="BP1973" s="73"/>
      <c r="BQ1973" s="73"/>
      <c r="BR1973" s="73"/>
      <c r="BS1973" s="73"/>
      <c r="BT1973" s="73"/>
      <c r="BU1973" s="73"/>
      <c r="BV1973" s="73"/>
      <c r="BW1973" s="73"/>
      <c r="BX1973" s="73"/>
      <c r="BY1973" s="73"/>
      <c r="BZ1973" s="73"/>
      <c r="CA1973" s="73"/>
      <c r="CB1973" s="73"/>
      <c r="CC1973" s="73"/>
      <c r="CD1973" s="73"/>
      <c r="CE1973" s="73"/>
      <c r="CF1973" s="73"/>
      <c r="CG1973" s="73"/>
      <c r="CH1973" s="73"/>
    </row>
    <row r="1974">
      <c r="A1974" s="73"/>
      <c r="B1974" s="73"/>
      <c r="C1974" s="73"/>
      <c r="D1974" s="73"/>
      <c r="E1974" s="140"/>
      <c r="F1974" s="80"/>
      <c r="G1974" s="80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  <c r="S1974" s="73"/>
      <c r="T1974" s="73"/>
      <c r="U1974" s="73"/>
      <c r="V1974" s="73"/>
      <c r="W1974" s="73"/>
      <c r="X1974" s="73"/>
      <c r="Y1974" s="73"/>
      <c r="Z1974" s="73"/>
      <c r="AA1974" s="73"/>
      <c r="AB1974" s="73"/>
      <c r="AC1974" s="73"/>
      <c r="AD1974" s="73"/>
      <c r="AE1974" s="73"/>
      <c r="AF1974" s="73"/>
      <c r="AG1974" s="73"/>
      <c r="AH1974" s="73"/>
      <c r="AI1974" s="73"/>
      <c r="AJ1974" s="168"/>
      <c r="AK1974" s="73"/>
      <c r="AL1974" s="73"/>
      <c r="AM1974" s="73"/>
      <c r="AN1974" s="73"/>
      <c r="AO1974" s="73"/>
      <c r="AP1974" s="73"/>
      <c r="AQ1974" s="73"/>
      <c r="AR1974" s="73"/>
      <c r="AS1974" s="73"/>
      <c r="AT1974" s="73"/>
      <c r="AU1974" s="73"/>
      <c r="AV1974" s="73"/>
      <c r="AW1974" s="73"/>
      <c r="AX1974" s="73"/>
      <c r="AY1974" s="73"/>
      <c r="AZ1974" s="73"/>
      <c r="BA1974" s="73"/>
      <c r="BB1974" s="73"/>
      <c r="BC1974" s="73"/>
      <c r="BD1974" s="73"/>
      <c r="BE1974" s="73"/>
      <c r="BF1974" s="75"/>
      <c r="BG1974" s="73"/>
      <c r="BH1974" s="88"/>
      <c r="BI1974" s="73"/>
      <c r="BJ1974" s="73"/>
      <c r="BK1974" s="73"/>
      <c r="BL1974" s="73"/>
      <c r="BM1974" s="73"/>
      <c r="BN1974" s="73"/>
      <c r="BO1974" s="73"/>
      <c r="BP1974" s="73"/>
      <c r="BQ1974" s="73"/>
      <c r="BR1974" s="73"/>
      <c r="BS1974" s="73"/>
      <c r="BT1974" s="73"/>
      <c r="BU1974" s="73"/>
      <c r="BV1974" s="73"/>
      <c r="BW1974" s="73"/>
      <c r="BX1974" s="73"/>
      <c r="BY1974" s="73"/>
      <c r="BZ1974" s="73"/>
      <c r="CA1974" s="73"/>
      <c r="CB1974" s="73"/>
      <c r="CC1974" s="73"/>
      <c r="CD1974" s="73"/>
      <c r="CE1974" s="73"/>
      <c r="CF1974" s="73"/>
      <c r="CG1974" s="73"/>
      <c r="CH1974" s="73"/>
    </row>
    <row r="1975">
      <c r="A1975" s="73"/>
      <c r="B1975" s="73"/>
      <c r="C1975" s="73"/>
      <c r="D1975" s="73"/>
      <c r="E1975" s="140"/>
      <c r="F1975" s="80"/>
      <c r="G1975" s="80"/>
      <c r="H1975" s="73"/>
      <c r="I1975" s="73"/>
      <c r="J1975" s="73"/>
      <c r="K1975" s="73"/>
      <c r="L1975" s="73"/>
      <c r="M1975" s="73"/>
      <c r="N1975" s="73"/>
      <c r="O1975" s="73"/>
      <c r="P1975" s="73"/>
      <c r="Q1975" s="73"/>
      <c r="R1975" s="73"/>
      <c r="S1975" s="73"/>
      <c r="T1975" s="73"/>
      <c r="U1975" s="73"/>
      <c r="V1975" s="73"/>
      <c r="W1975" s="73"/>
      <c r="X1975" s="73"/>
      <c r="Y1975" s="73"/>
      <c r="Z1975" s="73"/>
      <c r="AA1975" s="73"/>
      <c r="AB1975" s="73"/>
      <c r="AC1975" s="73"/>
      <c r="AD1975" s="73"/>
      <c r="AE1975" s="73"/>
      <c r="AF1975" s="73"/>
      <c r="AG1975" s="73"/>
      <c r="AH1975" s="73"/>
      <c r="AI1975" s="73"/>
      <c r="AJ1975" s="168"/>
      <c r="AK1975" s="73"/>
      <c r="AL1975" s="73"/>
      <c r="AM1975" s="73"/>
      <c r="AN1975" s="73"/>
      <c r="AO1975" s="73"/>
      <c r="AP1975" s="73"/>
      <c r="AQ1975" s="73"/>
      <c r="AR1975" s="73"/>
      <c r="AS1975" s="73"/>
      <c r="AT1975" s="73"/>
      <c r="AU1975" s="73"/>
      <c r="AV1975" s="73"/>
      <c r="AW1975" s="73"/>
      <c r="AX1975" s="73"/>
      <c r="AY1975" s="73"/>
      <c r="AZ1975" s="73"/>
      <c r="BA1975" s="73"/>
      <c r="BB1975" s="73"/>
      <c r="BC1975" s="73"/>
      <c r="BD1975" s="73"/>
      <c r="BE1975" s="73"/>
      <c r="BF1975" s="75"/>
      <c r="BG1975" s="73"/>
      <c r="BH1975" s="88"/>
      <c r="BI1975" s="73"/>
      <c r="BJ1975" s="73"/>
      <c r="BK1975" s="73"/>
      <c r="BL1975" s="73"/>
      <c r="BM1975" s="73"/>
      <c r="BN1975" s="73"/>
      <c r="BO1975" s="73"/>
      <c r="BP1975" s="73"/>
      <c r="BQ1975" s="73"/>
      <c r="BR1975" s="73"/>
      <c r="BS1975" s="73"/>
      <c r="BT1975" s="73"/>
      <c r="BU1975" s="73"/>
      <c r="BV1975" s="73"/>
      <c r="BW1975" s="73"/>
      <c r="BX1975" s="73"/>
      <c r="BY1975" s="73"/>
      <c r="BZ1975" s="73"/>
      <c r="CA1975" s="73"/>
      <c r="CB1975" s="73"/>
      <c r="CC1975" s="73"/>
      <c r="CD1975" s="73"/>
      <c r="CE1975" s="73"/>
      <c r="CF1975" s="73"/>
      <c r="CG1975" s="73"/>
      <c r="CH1975" s="73"/>
    </row>
    <row r="1976">
      <c r="A1976" s="73"/>
      <c r="B1976" s="73"/>
      <c r="C1976" s="73"/>
      <c r="D1976" s="73"/>
      <c r="E1976" s="140"/>
      <c r="F1976" s="80"/>
      <c r="G1976" s="80"/>
      <c r="H1976" s="73"/>
      <c r="I1976" s="73"/>
      <c r="J1976" s="73"/>
      <c r="K1976" s="73"/>
      <c r="L1976" s="73"/>
      <c r="M1976" s="73"/>
      <c r="N1976" s="73"/>
      <c r="O1976" s="73"/>
      <c r="P1976" s="73"/>
      <c r="Q1976" s="73"/>
      <c r="R1976" s="73"/>
      <c r="S1976" s="73"/>
      <c r="T1976" s="73"/>
      <c r="U1976" s="73"/>
      <c r="V1976" s="73"/>
      <c r="W1976" s="73"/>
      <c r="X1976" s="73"/>
      <c r="Y1976" s="73"/>
      <c r="Z1976" s="73"/>
      <c r="AA1976" s="73"/>
      <c r="AB1976" s="73"/>
      <c r="AC1976" s="73"/>
      <c r="AD1976" s="73"/>
      <c r="AE1976" s="73"/>
      <c r="AF1976" s="73"/>
      <c r="AG1976" s="73"/>
      <c r="AH1976" s="73"/>
      <c r="AI1976" s="73"/>
      <c r="AJ1976" s="168"/>
      <c r="AK1976" s="73"/>
      <c r="AL1976" s="73"/>
      <c r="AM1976" s="73"/>
      <c r="AN1976" s="73"/>
      <c r="AO1976" s="73"/>
      <c r="AP1976" s="73"/>
      <c r="AQ1976" s="73"/>
      <c r="AR1976" s="73"/>
      <c r="AS1976" s="73"/>
      <c r="AT1976" s="73"/>
      <c r="AU1976" s="73"/>
      <c r="AV1976" s="73"/>
      <c r="AW1976" s="73"/>
      <c r="AX1976" s="73"/>
      <c r="AY1976" s="73"/>
      <c r="AZ1976" s="73"/>
      <c r="BA1976" s="73"/>
      <c r="BB1976" s="73"/>
      <c r="BC1976" s="73"/>
      <c r="BD1976" s="73"/>
      <c r="BE1976" s="73"/>
      <c r="BF1976" s="75"/>
      <c r="BG1976" s="73"/>
      <c r="BH1976" s="88"/>
      <c r="BI1976" s="73"/>
      <c r="BJ1976" s="73"/>
      <c r="BK1976" s="73"/>
      <c r="BL1976" s="73"/>
      <c r="BM1976" s="73"/>
      <c r="BN1976" s="73"/>
      <c r="BO1976" s="73"/>
      <c r="BP1976" s="73"/>
      <c r="BQ1976" s="73"/>
      <c r="BR1976" s="73"/>
      <c r="BS1976" s="73"/>
      <c r="BT1976" s="73"/>
      <c r="BU1976" s="73"/>
      <c r="BV1976" s="73"/>
      <c r="BW1976" s="73"/>
      <c r="BX1976" s="73"/>
      <c r="BY1976" s="73"/>
      <c r="BZ1976" s="73"/>
      <c r="CA1976" s="73"/>
      <c r="CB1976" s="73"/>
      <c r="CC1976" s="73"/>
      <c r="CD1976" s="73"/>
      <c r="CE1976" s="73"/>
      <c r="CF1976" s="73"/>
      <c r="CG1976" s="73"/>
      <c r="CH1976" s="73"/>
    </row>
    <row r="1977">
      <c r="A1977" s="73"/>
      <c r="B1977" s="73"/>
      <c r="C1977" s="73"/>
      <c r="D1977" s="73"/>
      <c r="E1977" s="140"/>
      <c r="F1977" s="80"/>
      <c r="G1977" s="80"/>
      <c r="H1977" s="73"/>
      <c r="I1977" s="73"/>
      <c r="J1977" s="73"/>
      <c r="K1977" s="73"/>
      <c r="L1977" s="73"/>
      <c r="M1977" s="73"/>
      <c r="N1977" s="73"/>
      <c r="O1977" s="73"/>
      <c r="P1977" s="73"/>
      <c r="Q1977" s="73"/>
      <c r="R1977" s="73"/>
      <c r="S1977" s="73"/>
      <c r="T1977" s="73"/>
      <c r="U1977" s="73"/>
      <c r="V1977" s="73"/>
      <c r="W1977" s="73"/>
      <c r="X1977" s="73"/>
      <c r="Y1977" s="73"/>
      <c r="Z1977" s="73"/>
      <c r="AA1977" s="73"/>
      <c r="AB1977" s="73"/>
      <c r="AC1977" s="73"/>
      <c r="AD1977" s="73"/>
      <c r="AE1977" s="73"/>
      <c r="AF1977" s="73"/>
      <c r="AG1977" s="73"/>
      <c r="AH1977" s="73"/>
      <c r="AI1977" s="73"/>
      <c r="AJ1977" s="168"/>
      <c r="AK1977" s="73"/>
      <c r="AL1977" s="73"/>
      <c r="AM1977" s="73"/>
      <c r="AN1977" s="73"/>
      <c r="AO1977" s="73"/>
      <c r="AP1977" s="73"/>
      <c r="AQ1977" s="73"/>
      <c r="AR1977" s="73"/>
      <c r="AS1977" s="73"/>
      <c r="AT1977" s="73"/>
      <c r="AU1977" s="73"/>
      <c r="AV1977" s="73"/>
      <c r="AW1977" s="73"/>
      <c r="AX1977" s="73"/>
      <c r="AY1977" s="73"/>
      <c r="AZ1977" s="73"/>
      <c r="BA1977" s="73"/>
      <c r="BB1977" s="73"/>
      <c r="BC1977" s="73"/>
      <c r="BD1977" s="73"/>
      <c r="BE1977" s="73"/>
      <c r="BF1977" s="75"/>
      <c r="BG1977" s="73"/>
      <c r="BH1977" s="88"/>
      <c r="BI1977" s="73"/>
      <c r="BJ1977" s="73"/>
      <c r="BK1977" s="73"/>
      <c r="BL1977" s="73"/>
      <c r="BM1977" s="73"/>
      <c r="BN1977" s="73"/>
      <c r="BO1977" s="73"/>
      <c r="BP1977" s="73"/>
      <c r="BQ1977" s="73"/>
      <c r="BR1977" s="73"/>
      <c r="BS1977" s="73"/>
      <c r="BT1977" s="73"/>
      <c r="BU1977" s="73"/>
      <c r="BV1977" s="73"/>
      <c r="BW1977" s="73"/>
      <c r="BX1977" s="73"/>
      <c r="BY1977" s="73"/>
      <c r="BZ1977" s="73"/>
      <c r="CA1977" s="73"/>
      <c r="CB1977" s="73"/>
      <c r="CC1977" s="73"/>
      <c r="CD1977" s="73"/>
      <c r="CE1977" s="73"/>
      <c r="CF1977" s="73"/>
      <c r="CG1977" s="73"/>
      <c r="CH1977" s="73"/>
    </row>
    <row r="1978">
      <c r="A1978" s="73"/>
      <c r="B1978" s="73"/>
      <c r="C1978" s="73"/>
      <c r="D1978" s="73"/>
      <c r="E1978" s="140"/>
      <c r="F1978" s="80"/>
      <c r="G1978" s="80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  <c r="S1978" s="73"/>
      <c r="T1978" s="73"/>
      <c r="U1978" s="73"/>
      <c r="V1978" s="73"/>
      <c r="W1978" s="73"/>
      <c r="X1978" s="73"/>
      <c r="Y1978" s="73"/>
      <c r="Z1978" s="73"/>
      <c r="AA1978" s="73"/>
      <c r="AB1978" s="73"/>
      <c r="AC1978" s="73"/>
      <c r="AD1978" s="73"/>
      <c r="AE1978" s="73"/>
      <c r="AF1978" s="73"/>
      <c r="AG1978" s="73"/>
      <c r="AH1978" s="73"/>
      <c r="AI1978" s="73"/>
      <c r="AJ1978" s="168"/>
      <c r="AK1978" s="73"/>
      <c r="AL1978" s="73"/>
      <c r="AM1978" s="73"/>
      <c r="AN1978" s="73"/>
      <c r="AO1978" s="73"/>
      <c r="AP1978" s="73"/>
      <c r="AQ1978" s="73"/>
      <c r="AR1978" s="73"/>
      <c r="AS1978" s="73"/>
      <c r="AT1978" s="73"/>
      <c r="AU1978" s="73"/>
      <c r="AV1978" s="73"/>
      <c r="AW1978" s="73"/>
      <c r="AX1978" s="73"/>
      <c r="AY1978" s="73"/>
      <c r="AZ1978" s="73"/>
      <c r="BA1978" s="73"/>
      <c r="BB1978" s="73"/>
      <c r="BC1978" s="73"/>
      <c r="BD1978" s="73"/>
      <c r="BE1978" s="73"/>
      <c r="BF1978" s="75"/>
      <c r="BG1978" s="73"/>
      <c r="BH1978" s="88"/>
      <c r="BI1978" s="73"/>
      <c r="BJ1978" s="73"/>
      <c r="BK1978" s="73"/>
      <c r="BL1978" s="73"/>
      <c r="BM1978" s="73"/>
      <c r="BN1978" s="73"/>
      <c r="BO1978" s="73"/>
      <c r="BP1978" s="73"/>
      <c r="BQ1978" s="73"/>
      <c r="BR1978" s="73"/>
      <c r="BS1978" s="73"/>
      <c r="BT1978" s="73"/>
      <c r="BU1978" s="73"/>
      <c r="BV1978" s="73"/>
      <c r="BW1978" s="73"/>
      <c r="BX1978" s="73"/>
      <c r="BY1978" s="73"/>
      <c r="BZ1978" s="73"/>
      <c r="CA1978" s="73"/>
      <c r="CB1978" s="73"/>
      <c r="CC1978" s="73"/>
      <c r="CD1978" s="73"/>
      <c r="CE1978" s="73"/>
      <c r="CF1978" s="73"/>
      <c r="CG1978" s="73"/>
      <c r="CH1978" s="73"/>
    </row>
    <row r="1979">
      <c r="A1979" s="73"/>
      <c r="B1979" s="73"/>
      <c r="C1979" s="73"/>
      <c r="D1979" s="73"/>
      <c r="E1979" s="140"/>
      <c r="F1979" s="80"/>
      <c r="G1979" s="80"/>
      <c r="H1979" s="73"/>
      <c r="I1979" s="73"/>
      <c r="J1979" s="73"/>
      <c r="K1979" s="73"/>
      <c r="L1979" s="73"/>
      <c r="M1979" s="73"/>
      <c r="N1979" s="73"/>
      <c r="O1979" s="73"/>
      <c r="P1979" s="73"/>
      <c r="Q1979" s="73"/>
      <c r="R1979" s="73"/>
      <c r="S1979" s="73"/>
      <c r="T1979" s="73"/>
      <c r="U1979" s="73"/>
      <c r="V1979" s="73"/>
      <c r="W1979" s="73"/>
      <c r="X1979" s="73"/>
      <c r="Y1979" s="73"/>
      <c r="Z1979" s="73"/>
      <c r="AA1979" s="73"/>
      <c r="AB1979" s="73"/>
      <c r="AC1979" s="73"/>
      <c r="AD1979" s="73"/>
      <c r="AE1979" s="73"/>
      <c r="AF1979" s="73"/>
      <c r="AG1979" s="73"/>
      <c r="AH1979" s="73"/>
      <c r="AI1979" s="73"/>
      <c r="AJ1979" s="168"/>
      <c r="AK1979" s="73"/>
      <c r="AL1979" s="73"/>
      <c r="AM1979" s="73"/>
      <c r="AN1979" s="73"/>
      <c r="AO1979" s="73"/>
      <c r="AP1979" s="73"/>
      <c r="AQ1979" s="73"/>
      <c r="AR1979" s="73"/>
      <c r="AS1979" s="73"/>
      <c r="AT1979" s="73"/>
      <c r="AU1979" s="73"/>
      <c r="AV1979" s="73"/>
      <c r="AW1979" s="73"/>
      <c r="AX1979" s="73"/>
      <c r="AY1979" s="73"/>
      <c r="AZ1979" s="73"/>
      <c r="BA1979" s="73"/>
      <c r="BB1979" s="73"/>
      <c r="BC1979" s="73"/>
      <c r="BD1979" s="73"/>
      <c r="BE1979" s="73"/>
      <c r="BF1979" s="75"/>
      <c r="BG1979" s="73"/>
      <c r="BH1979" s="88"/>
      <c r="BI1979" s="73"/>
      <c r="BJ1979" s="73"/>
      <c r="BK1979" s="73"/>
      <c r="BL1979" s="73"/>
      <c r="BM1979" s="73"/>
      <c r="BN1979" s="73"/>
      <c r="BO1979" s="73"/>
      <c r="BP1979" s="73"/>
      <c r="BQ1979" s="73"/>
      <c r="BR1979" s="73"/>
      <c r="BS1979" s="73"/>
      <c r="BT1979" s="73"/>
      <c r="BU1979" s="73"/>
      <c r="BV1979" s="73"/>
      <c r="BW1979" s="73"/>
      <c r="BX1979" s="73"/>
      <c r="BY1979" s="73"/>
      <c r="BZ1979" s="73"/>
      <c r="CA1979" s="73"/>
      <c r="CB1979" s="73"/>
      <c r="CC1979" s="73"/>
      <c r="CD1979" s="73"/>
      <c r="CE1979" s="73"/>
      <c r="CF1979" s="73"/>
      <c r="CG1979" s="73"/>
      <c r="CH1979" s="73"/>
    </row>
    <row r="1980">
      <c r="A1980" s="73"/>
      <c r="B1980" s="73"/>
      <c r="C1980" s="73"/>
      <c r="D1980" s="73"/>
      <c r="E1980" s="140"/>
      <c r="F1980" s="80"/>
      <c r="G1980" s="80"/>
      <c r="H1980" s="73"/>
      <c r="I1980" s="73"/>
      <c r="J1980" s="73"/>
      <c r="K1980" s="73"/>
      <c r="L1980" s="73"/>
      <c r="M1980" s="73"/>
      <c r="N1980" s="73"/>
      <c r="O1980" s="73"/>
      <c r="P1980" s="73"/>
      <c r="Q1980" s="73"/>
      <c r="R1980" s="73"/>
      <c r="S1980" s="73"/>
      <c r="T1980" s="73"/>
      <c r="U1980" s="73"/>
      <c r="V1980" s="73"/>
      <c r="W1980" s="73"/>
      <c r="X1980" s="73"/>
      <c r="Y1980" s="73"/>
      <c r="Z1980" s="73"/>
      <c r="AA1980" s="73"/>
      <c r="AB1980" s="73"/>
      <c r="AC1980" s="73"/>
      <c r="AD1980" s="73"/>
      <c r="AE1980" s="73"/>
      <c r="AF1980" s="73"/>
      <c r="AG1980" s="73"/>
      <c r="AH1980" s="73"/>
      <c r="AI1980" s="73"/>
      <c r="AJ1980" s="168"/>
      <c r="AK1980" s="73"/>
      <c r="AL1980" s="73"/>
      <c r="AM1980" s="73"/>
      <c r="AN1980" s="73"/>
      <c r="AO1980" s="73"/>
      <c r="AP1980" s="73"/>
      <c r="AQ1980" s="73"/>
      <c r="AR1980" s="73"/>
      <c r="AS1980" s="73"/>
      <c r="AT1980" s="73"/>
      <c r="AU1980" s="73"/>
      <c r="AV1980" s="73"/>
      <c r="AW1980" s="73"/>
      <c r="AX1980" s="73"/>
      <c r="AY1980" s="73"/>
      <c r="AZ1980" s="73"/>
      <c r="BA1980" s="73"/>
      <c r="BB1980" s="73"/>
      <c r="BC1980" s="73"/>
      <c r="BD1980" s="73"/>
      <c r="BE1980" s="73"/>
      <c r="BF1980" s="75"/>
      <c r="BG1980" s="73"/>
      <c r="BH1980" s="88"/>
      <c r="BI1980" s="73"/>
      <c r="BJ1980" s="73"/>
      <c r="BK1980" s="73"/>
      <c r="BL1980" s="73"/>
      <c r="BM1980" s="73"/>
      <c r="BN1980" s="73"/>
      <c r="BO1980" s="73"/>
      <c r="BP1980" s="73"/>
      <c r="BQ1980" s="73"/>
      <c r="BR1980" s="73"/>
      <c r="BS1980" s="73"/>
      <c r="BT1980" s="73"/>
      <c r="BU1980" s="73"/>
      <c r="BV1980" s="73"/>
      <c r="BW1980" s="73"/>
      <c r="BX1980" s="73"/>
      <c r="BY1980" s="73"/>
      <c r="BZ1980" s="73"/>
      <c r="CA1980" s="73"/>
      <c r="CB1980" s="73"/>
      <c r="CC1980" s="73"/>
      <c r="CD1980" s="73"/>
      <c r="CE1980" s="73"/>
      <c r="CF1980" s="73"/>
      <c r="CG1980" s="73"/>
      <c r="CH1980" s="73"/>
    </row>
    <row r="1981">
      <c r="A1981" s="73"/>
      <c r="B1981" s="73"/>
      <c r="C1981" s="73"/>
      <c r="D1981" s="73"/>
      <c r="E1981" s="140"/>
      <c r="F1981" s="80"/>
      <c r="G1981" s="80"/>
      <c r="H1981" s="73"/>
      <c r="I1981" s="73"/>
      <c r="J1981" s="73"/>
      <c r="K1981" s="73"/>
      <c r="L1981" s="73"/>
      <c r="M1981" s="73"/>
      <c r="N1981" s="73"/>
      <c r="O1981" s="73"/>
      <c r="P1981" s="73"/>
      <c r="Q1981" s="73"/>
      <c r="R1981" s="73"/>
      <c r="S1981" s="73"/>
      <c r="T1981" s="73"/>
      <c r="U1981" s="73"/>
      <c r="V1981" s="73"/>
      <c r="W1981" s="73"/>
      <c r="X1981" s="73"/>
      <c r="Y1981" s="73"/>
      <c r="Z1981" s="73"/>
      <c r="AA1981" s="73"/>
      <c r="AB1981" s="73"/>
      <c r="AC1981" s="73"/>
      <c r="AD1981" s="73"/>
      <c r="AE1981" s="73"/>
      <c r="AF1981" s="73"/>
      <c r="AG1981" s="73"/>
      <c r="AH1981" s="73"/>
      <c r="AI1981" s="73"/>
      <c r="AJ1981" s="168"/>
      <c r="AK1981" s="73"/>
      <c r="AL1981" s="73"/>
      <c r="AM1981" s="73"/>
      <c r="AN1981" s="73"/>
      <c r="AO1981" s="73"/>
      <c r="AP1981" s="73"/>
      <c r="AQ1981" s="73"/>
      <c r="AR1981" s="73"/>
      <c r="AS1981" s="73"/>
      <c r="AT1981" s="73"/>
      <c r="AU1981" s="73"/>
      <c r="AV1981" s="73"/>
      <c r="AW1981" s="73"/>
      <c r="AX1981" s="73"/>
      <c r="AY1981" s="73"/>
      <c r="AZ1981" s="73"/>
      <c r="BA1981" s="73"/>
      <c r="BB1981" s="73"/>
      <c r="BC1981" s="73"/>
      <c r="BD1981" s="73"/>
      <c r="BE1981" s="73"/>
      <c r="BF1981" s="75"/>
      <c r="BG1981" s="73"/>
      <c r="BH1981" s="88"/>
      <c r="BI1981" s="73"/>
      <c r="BJ1981" s="73"/>
      <c r="BK1981" s="73"/>
      <c r="BL1981" s="73"/>
      <c r="BM1981" s="73"/>
      <c r="BN1981" s="73"/>
      <c r="BO1981" s="73"/>
      <c r="BP1981" s="73"/>
      <c r="BQ1981" s="73"/>
      <c r="BR1981" s="73"/>
      <c r="BS1981" s="73"/>
      <c r="BT1981" s="73"/>
      <c r="BU1981" s="73"/>
      <c r="BV1981" s="73"/>
      <c r="BW1981" s="73"/>
      <c r="BX1981" s="73"/>
      <c r="BY1981" s="73"/>
      <c r="BZ1981" s="73"/>
      <c r="CA1981" s="73"/>
      <c r="CB1981" s="73"/>
      <c r="CC1981" s="73"/>
      <c r="CD1981" s="73"/>
      <c r="CE1981" s="73"/>
      <c r="CF1981" s="73"/>
      <c r="CG1981" s="73"/>
      <c r="CH1981" s="73"/>
    </row>
    <row r="1982">
      <c r="A1982" s="73"/>
      <c r="B1982" s="73"/>
      <c r="C1982" s="73"/>
      <c r="D1982" s="73"/>
      <c r="E1982" s="140"/>
      <c r="F1982" s="80"/>
      <c r="G1982" s="80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  <c r="S1982" s="73"/>
      <c r="T1982" s="73"/>
      <c r="U1982" s="73"/>
      <c r="V1982" s="73"/>
      <c r="W1982" s="73"/>
      <c r="X1982" s="73"/>
      <c r="Y1982" s="73"/>
      <c r="Z1982" s="73"/>
      <c r="AA1982" s="73"/>
      <c r="AB1982" s="73"/>
      <c r="AC1982" s="73"/>
      <c r="AD1982" s="73"/>
      <c r="AE1982" s="73"/>
      <c r="AF1982" s="73"/>
      <c r="AG1982" s="73"/>
      <c r="AH1982" s="73"/>
      <c r="AI1982" s="73"/>
      <c r="AJ1982" s="168"/>
      <c r="AK1982" s="73"/>
      <c r="AL1982" s="73"/>
      <c r="AM1982" s="73"/>
      <c r="AN1982" s="73"/>
      <c r="AO1982" s="73"/>
      <c r="AP1982" s="73"/>
      <c r="AQ1982" s="73"/>
      <c r="AR1982" s="73"/>
      <c r="AS1982" s="73"/>
      <c r="AT1982" s="73"/>
      <c r="AU1982" s="73"/>
      <c r="AV1982" s="73"/>
      <c r="AW1982" s="73"/>
      <c r="AX1982" s="73"/>
      <c r="AY1982" s="73"/>
      <c r="AZ1982" s="73"/>
      <c r="BA1982" s="73"/>
      <c r="BB1982" s="73"/>
      <c r="BC1982" s="73"/>
      <c r="BD1982" s="73"/>
      <c r="BE1982" s="73"/>
      <c r="BF1982" s="75"/>
      <c r="BG1982" s="73"/>
      <c r="BH1982" s="88"/>
      <c r="BI1982" s="73"/>
      <c r="BJ1982" s="73"/>
      <c r="BK1982" s="73"/>
      <c r="BL1982" s="73"/>
      <c r="BM1982" s="73"/>
      <c r="BN1982" s="73"/>
      <c r="BO1982" s="73"/>
      <c r="BP1982" s="73"/>
      <c r="BQ1982" s="73"/>
      <c r="BR1982" s="73"/>
      <c r="BS1982" s="73"/>
      <c r="BT1982" s="73"/>
      <c r="BU1982" s="73"/>
      <c r="BV1982" s="73"/>
      <c r="BW1982" s="73"/>
      <c r="BX1982" s="73"/>
      <c r="BY1982" s="73"/>
      <c r="BZ1982" s="73"/>
      <c r="CA1982" s="73"/>
      <c r="CB1982" s="73"/>
      <c r="CC1982" s="73"/>
      <c r="CD1982" s="73"/>
      <c r="CE1982" s="73"/>
      <c r="CF1982" s="73"/>
      <c r="CG1982" s="73"/>
      <c r="CH1982" s="73"/>
    </row>
    <row r="1983">
      <c r="A1983" s="73"/>
      <c r="B1983" s="73"/>
      <c r="C1983" s="73"/>
      <c r="D1983" s="73"/>
      <c r="E1983" s="140"/>
      <c r="F1983" s="80"/>
      <c r="G1983" s="80"/>
      <c r="H1983" s="73"/>
      <c r="I1983" s="73"/>
      <c r="J1983" s="73"/>
      <c r="K1983" s="73"/>
      <c r="L1983" s="73"/>
      <c r="M1983" s="73"/>
      <c r="N1983" s="73"/>
      <c r="O1983" s="73"/>
      <c r="P1983" s="73"/>
      <c r="Q1983" s="73"/>
      <c r="R1983" s="73"/>
      <c r="S1983" s="73"/>
      <c r="T1983" s="73"/>
      <c r="U1983" s="73"/>
      <c r="V1983" s="73"/>
      <c r="W1983" s="73"/>
      <c r="X1983" s="73"/>
      <c r="Y1983" s="73"/>
      <c r="Z1983" s="73"/>
      <c r="AA1983" s="73"/>
      <c r="AB1983" s="73"/>
      <c r="AC1983" s="73"/>
      <c r="AD1983" s="73"/>
      <c r="AE1983" s="73"/>
      <c r="AF1983" s="73"/>
      <c r="AG1983" s="73"/>
      <c r="AH1983" s="73"/>
      <c r="AI1983" s="73"/>
      <c r="AJ1983" s="168"/>
      <c r="AK1983" s="73"/>
      <c r="AL1983" s="73"/>
      <c r="AM1983" s="73"/>
      <c r="AN1983" s="73"/>
      <c r="AO1983" s="73"/>
      <c r="AP1983" s="73"/>
      <c r="AQ1983" s="73"/>
      <c r="AR1983" s="73"/>
      <c r="AS1983" s="73"/>
      <c r="AT1983" s="73"/>
      <c r="AU1983" s="73"/>
      <c r="AV1983" s="73"/>
      <c r="AW1983" s="73"/>
      <c r="AX1983" s="73"/>
      <c r="AY1983" s="73"/>
      <c r="AZ1983" s="73"/>
      <c r="BA1983" s="73"/>
      <c r="BB1983" s="73"/>
      <c r="BC1983" s="73"/>
      <c r="BD1983" s="73"/>
      <c r="BE1983" s="73"/>
      <c r="BF1983" s="75"/>
      <c r="BG1983" s="73"/>
      <c r="BH1983" s="88"/>
      <c r="BI1983" s="73"/>
      <c r="BJ1983" s="73"/>
      <c r="BK1983" s="73"/>
      <c r="BL1983" s="73"/>
      <c r="BM1983" s="73"/>
      <c r="BN1983" s="73"/>
      <c r="BO1983" s="73"/>
      <c r="BP1983" s="73"/>
      <c r="BQ1983" s="73"/>
      <c r="BR1983" s="73"/>
      <c r="BS1983" s="73"/>
      <c r="BT1983" s="73"/>
      <c r="BU1983" s="73"/>
      <c r="BV1983" s="73"/>
      <c r="BW1983" s="73"/>
      <c r="BX1983" s="73"/>
      <c r="BY1983" s="73"/>
      <c r="BZ1983" s="73"/>
      <c r="CA1983" s="73"/>
      <c r="CB1983" s="73"/>
      <c r="CC1983" s="73"/>
      <c r="CD1983" s="73"/>
      <c r="CE1983" s="73"/>
      <c r="CF1983" s="73"/>
      <c r="CG1983" s="73"/>
      <c r="CH1983" s="73"/>
    </row>
    <row r="1984">
      <c r="A1984" s="73"/>
      <c r="B1984" s="73"/>
      <c r="C1984" s="73"/>
      <c r="D1984" s="73"/>
      <c r="E1984" s="140"/>
      <c r="F1984" s="80"/>
      <c r="G1984" s="80"/>
      <c r="H1984" s="73"/>
      <c r="I1984" s="73"/>
      <c r="J1984" s="73"/>
      <c r="K1984" s="73"/>
      <c r="L1984" s="73"/>
      <c r="M1984" s="73"/>
      <c r="N1984" s="73"/>
      <c r="O1984" s="73"/>
      <c r="P1984" s="73"/>
      <c r="Q1984" s="73"/>
      <c r="R1984" s="73"/>
      <c r="S1984" s="73"/>
      <c r="T1984" s="73"/>
      <c r="U1984" s="73"/>
      <c r="V1984" s="73"/>
      <c r="W1984" s="73"/>
      <c r="X1984" s="73"/>
      <c r="Y1984" s="73"/>
      <c r="Z1984" s="73"/>
      <c r="AA1984" s="73"/>
      <c r="AB1984" s="73"/>
      <c r="AC1984" s="73"/>
      <c r="AD1984" s="73"/>
      <c r="AE1984" s="73"/>
      <c r="AF1984" s="73"/>
      <c r="AG1984" s="73"/>
      <c r="AH1984" s="73"/>
      <c r="AI1984" s="73"/>
      <c r="AJ1984" s="168"/>
      <c r="AK1984" s="73"/>
      <c r="AL1984" s="73"/>
      <c r="AM1984" s="73"/>
      <c r="AN1984" s="73"/>
      <c r="AO1984" s="73"/>
      <c r="AP1984" s="73"/>
      <c r="AQ1984" s="73"/>
      <c r="AR1984" s="73"/>
      <c r="AS1984" s="73"/>
      <c r="AT1984" s="73"/>
      <c r="AU1984" s="73"/>
      <c r="AV1984" s="73"/>
      <c r="AW1984" s="73"/>
      <c r="AX1984" s="73"/>
      <c r="AY1984" s="73"/>
      <c r="AZ1984" s="73"/>
      <c r="BA1984" s="73"/>
      <c r="BB1984" s="73"/>
      <c r="BC1984" s="73"/>
      <c r="BD1984" s="73"/>
      <c r="BE1984" s="73"/>
      <c r="BF1984" s="75"/>
      <c r="BG1984" s="73"/>
      <c r="BH1984" s="88"/>
      <c r="BI1984" s="73"/>
      <c r="BJ1984" s="73"/>
      <c r="BK1984" s="73"/>
      <c r="BL1984" s="73"/>
      <c r="BM1984" s="73"/>
      <c r="BN1984" s="73"/>
      <c r="BO1984" s="73"/>
      <c r="BP1984" s="73"/>
      <c r="BQ1984" s="73"/>
      <c r="BR1984" s="73"/>
      <c r="BS1984" s="73"/>
      <c r="BT1984" s="73"/>
      <c r="BU1984" s="73"/>
      <c r="BV1984" s="73"/>
      <c r="BW1984" s="73"/>
      <c r="BX1984" s="73"/>
      <c r="BY1984" s="73"/>
      <c r="BZ1984" s="73"/>
      <c r="CA1984" s="73"/>
      <c r="CB1984" s="73"/>
      <c r="CC1984" s="73"/>
      <c r="CD1984" s="73"/>
      <c r="CE1984" s="73"/>
      <c r="CF1984" s="73"/>
      <c r="CG1984" s="73"/>
      <c r="CH1984" s="73"/>
    </row>
    <row r="1985">
      <c r="A1985" s="73"/>
      <c r="B1985" s="73"/>
      <c r="C1985" s="73"/>
      <c r="D1985" s="73"/>
      <c r="E1985" s="140"/>
      <c r="F1985" s="80"/>
      <c r="G1985" s="80"/>
      <c r="H1985" s="73"/>
      <c r="I1985" s="73"/>
      <c r="J1985" s="73"/>
      <c r="K1985" s="73"/>
      <c r="L1985" s="73"/>
      <c r="M1985" s="73"/>
      <c r="N1985" s="73"/>
      <c r="O1985" s="73"/>
      <c r="P1985" s="73"/>
      <c r="Q1985" s="73"/>
      <c r="R1985" s="73"/>
      <c r="S1985" s="73"/>
      <c r="T1985" s="73"/>
      <c r="U1985" s="73"/>
      <c r="V1985" s="73"/>
      <c r="W1985" s="73"/>
      <c r="X1985" s="73"/>
      <c r="Y1985" s="73"/>
      <c r="Z1985" s="73"/>
      <c r="AA1985" s="73"/>
      <c r="AB1985" s="73"/>
      <c r="AC1985" s="73"/>
      <c r="AD1985" s="73"/>
      <c r="AE1985" s="73"/>
      <c r="AF1985" s="73"/>
      <c r="AG1985" s="73"/>
      <c r="AH1985" s="73"/>
      <c r="AI1985" s="73"/>
      <c r="AJ1985" s="168"/>
      <c r="AK1985" s="73"/>
      <c r="AL1985" s="73"/>
      <c r="AM1985" s="73"/>
      <c r="AN1985" s="73"/>
      <c r="AO1985" s="73"/>
      <c r="AP1985" s="73"/>
      <c r="AQ1985" s="73"/>
      <c r="AR1985" s="73"/>
      <c r="AS1985" s="73"/>
      <c r="AT1985" s="73"/>
      <c r="AU1985" s="73"/>
      <c r="AV1985" s="73"/>
      <c r="AW1985" s="73"/>
      <c r="AX1985" s="73"/>
      <c r="AY1985" s="73"/>
      <c r="AZ1985" s="73"/>
      <c r="BA1985" s="73"/>
      <c r="BB1985" s="73"/>
      <c r="BC1985" s="73"/>
      <c r="BD1985" s="73"/>
      <c r="BE1985" s="73"/>
      <c r="BF1985" s="75"/>
      <c r="BG1985" s="73"/>
      <c r="BH1985" s="88"/>
      <c r="BI1985" s="73"/>
      <c r="BJ1985" s="73"/>
      <c r="BK1985" s="73"/>
      <c r="BL1985" s="73"/>
      <c r="BM1985" s="73"/>
      <c r="BN1985" s="73"/>
      <c r="BO1985" s="73"/>
      <c r="BP1985" s="73"/>
      <c r="BQ1985" s="73"/>
      <c r="BR1985" s="73"/>
      <c r="BS1985" s="73"/>
      <c r="BT1985" s="73"/>
      <c r="BU1985" s="73"/>
      <c r="BV1985" s="73"/>
      <c r="BW1985" s="73"/>
      <c r="BX1985" s="73"/>
      <c r="BY1985" s="73"/>
      <c r="BZ1985" s="73"/>
      <c r="CA1985" s="73"/>
      <c r="CB1985" s="73"/>
      <c r="CC1985" s="73"/>
      <c r="CD1985" s="73"/>
      <c r="CE1985" s="73"/>
      <c r="CF1985" s="73"/>
      <c r="CG1985" s="73"/>
      <c r="CH1985" s="73"/>
    </row>
    <row r="1986">
      <c r="A1986" s="73"/>
      <c r="B1986" s="73"/>
      <c r="C1986" s="73"/>
      <c r="D1986" s="73"/>
      <c r="E1986" s="140"/>
      <c r="F1986" s="80"/>
      <c r="G1986" s="80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  <c r="S1986" s="73"/>
      <c r="T1986" s="73"/>
      <c r="U1986" s="73"/>
      <c r="V1986" s="73"/>
      <c r="W1986" s="73"/>
      <c r="X1986" s="73"/>
      <c r="Y1986" s="73"/>
      <c r="Z1986" s="73"/>
      <c r="AA1986" s="73"/>
      <c r="AB1986" s="73"/>
      <c r="AC1986" s="73"/>
      <c r="AD1986" s="73"/>
      <c r="AE1986" s="73"/>
      <c r="AF1986" s="73"/>
      <c r="AG1986" s="73"/>
      <c r="AH1986" s="73"/>
      <c r="AI1986" s="73"/>
      <c r="AJ1986" s="168"/>
      <c r="AK1986" s="73"/>
      <c r="AL1986" s="73"/>
      <c r="AM1986" s="73"/>
      <c r="AN1986" s="73"/>
      <c r="AO1986" s="73"/>
      <c r="AP1986" s="73"/>
      <c r="AQ1986" s="73"/>
      <c r="AR1986" s="73"/>
      <c r="AS1986" s="73"/>
      <c r="AT1986" s="73"/>
      <c r="AU1986" s="73"/>
      <c r="AV1986" s="73"/>
      <c r="AW1986" s="73"/>
      <c r="AX1986" s="73"/>
      <c r="AY1986" s="73"/>
      <c r="AZ1986" s="73"/>
      <c r="BA1986" s="73"/>
      <c r="BB1986" s="73"/>
      <c r="BC1986" s="73"/>
      <c r="BD1986" s="73"/>
      <c r="BE1986" s="73"/>
      <c r="BF1986" s="75"/>
      <c r="BG1986" s="73"/>
      <c r="BH1986" s="88"/>
      <c r="BI1986" s="73"/>
      <c r="BJ1986" s="73"/>
      <c r="BK1986" s="73"/>
      <c r="BL1986" s="73"/>
      <c r="BM1986" s="73"/>
      <c r="BN1986" s="73"/>
      <c r="BO1986" s="73"/>
      <c r="BP1986" s="73"/>
      <c r="BQ1986" s="73"/>
      <c r="BR1986" s="73"/>
      <c r="BS1986" s="73"/>
      <c r="BT1986" s="73"/>
      <c r="BU1986" s="73"/>
      <c r="BV1986" s="73"/>
      <c r="BW1986" s="73"/>
      <c r="BX1986" s="73"/>
      <c r="BY1986" s="73"/>
      <c r="BZ1986" s="73"/>
      <c r="CA1986" s="73"/>
      <c r="CB1986" s="73"/>
      <c r="CC1986" s="73"/>
      <c r="CD1986" s="73"/>
      <c r="CE1986" s="73"/>
      <c r="CF1986" s="73"/>
      <c r="CG1986" s="73"/>
      <c r="CH1986" s="73"/>
    </row>
    <row r="1987">
      <c r="A1987" s="73"/>
      <c r="B1987" s="73"/>
      <c r="C1987" s="73"/>
      <c r="D1987" s="73"/>
      <c r="E1987" s="140"/>
      <c r="F1987" s="80"/>
      <c r="G1987" s="80"/>
      <c r="H1987" s="73"/>
      <c r="I1987" s="73"/>
      <c r="J1987" s="73"/>
      <c r="K1987" s="73"/>
      <c r="L1987" s="73"/>
      <c r="M1987" s="73"/>
      <c r="N1987" s="73"/>
      <c r="O1987" s="73"/>
      <c r="P1987" s="73"/>
      <c r="Q1987" s="73"/>
      <c r="R1987" s="73"/>
      <c r="S1987" s="73"/>
      <c r="T1987" s="73"/>
      <c r="U1987" s="73"/>
      <c r="V1987" s="73"/>
      <c r="W1987" s="73"/>
      <c r="X1987" s="73"/>
      <c r="Y1987" s="73"/>
      <c r="Z1987" s="73"/>
      <c r="AA1987" s="73"/>
      <c r="AB1987" s="73"/>
      <c r="AC1987" s="73"/>
      <c r="AD1987" s="73"/>
      <c r="AE1987" s="73"/>
      <c r="AF1987" s="73"/>
      <c r="AG1987" s="73"/>
      <c r="AH1987" s="73"/>
      <c r="AI1987" s="73"/>
      <c r="AJ1987" s="168"/>
      <c r="AK1987" s="73"/>
      <c r="AL1987" s="73"/>
      <c r="AM1987" s="73"/>
      <c r="AN1987" s="73"/>
      <c r="AO1987" s="73"/>
      <c r="AP1987" s="73"/>
      <c r="AQ1987" s="73"/>
      <c r="AR1987" s="73"/>
      <c r="AS1987" s="73"/>
      <c r="AT1987" s="73"/>
      <c r="AU1987" s="73"/>
      <c r="AV1987" s="73"/>
      <c r="AW1987" s="73"/>
      <c r="AX1987" s="73"/>
      <c r="AY1987" s="73"/>
      <c r="AZ1987" s="73"/>
      <c r="BA1987" s="73"/>
      <c r="BB1987" s="73"/>
      <c r="BC1987" s="73"/>
      <c r="BD1987" s="73"/>
      <c r="BE1987" s="73"/>
      <c r="BF1987" s="75"/>
      <c r="BG1987" s="73"/>
      <c r="BH1987" s="88"/>
      <c r="BI1987" s="73"/>
      <c r="BJ1987" s="73"/>
      <c r="BK1987" s="73"/>
      <c r="BL1987" s="73"/>
      <c r="BM1987" s="73"/>
      <c r="BN1987" s="73"/>
      <c r="BO1987" s="73"/>
      <c r="BP1987" s="73"/>
      <c r="BQ1987" s="73"/>
      <c r="BR1987" s="73"/>
      <c r="BS1987" s="73"/>
      <c r="BT1987" s="73"/>
      <c r="BU1987" s="73"/>
      <c r="BV1987" s="73"/>
      <c r="BW1987" s="73"/>
      <c r="BX1987" s="73"/>
      <c r="BY1987" s="73"/>
      <c r="BZ1987" s="73"/>
      <c r="CA1987" s="73"/>
      <c r="CB1987" s="73"/>
      <c r="CC1987" s="73"/>
      <c r="CD1987" s="73"/>
      <c r="CE1987" s="73"/>
      <c r="CF1987" s="73"/>
      <c r="CG1987" s="73"/>
      <c r="CH1987" s="73"/>
    </row>
    <row r="1988">
      <c r="A1988" s="73"/>
      <c r="B1988" s="73"/>
      <c r="C1988" s="73"/>
      <c r="D1988" s="73"/>
      <c r="E1988" s="140"/>
      <c r="F1988" s="80"/>
      <c r="G1988" s="80"/>
      <c r="H1988" s="73"/>
      <c r="I1988" s="73"/>
      <c r="J1988" s="73"/>
      <c r="K1988" s="73"/>
      <c r="L1988" s="73"/>
      <c r="M1988" s="73"/>
      <c r="N1988" s="73"/>
      <c r="O1988" s="73"/>
      <c r="P1988" s="73"/>
      <c r="Q1988" s="73"/>
      <c r="R1988" s="73"/>
      <c r="S1988" s="73"/>
      <c r="T1988" s="73"/>
      <c r="U1988" s="73"/>
      <c r="V1988" s="73"/>
      <c r="W1988" s="73"/>
      <c r="X1988" s="73"/>
      <c r="Y1988" s="73"/>
      <c r="Z1988" s="73"/>
      <c r="AA1988" s="73"/>
      <c r="AB1988" s="73"/>
      <c r="AC1988" s="73"/>
      <c r="AD1988" s="73"/>
      <c r="AE1988" s="73"/>
      <c r="AF1988" s="73"/>
      <c r="AG1988" s="73"/>
      <c r="AH1988" s="73"/>
      <c r="AI1988" s="73"/>
      <c r="AJ1988" s="168"/>
      <c r="AK1988" s="73"/>
      <c r="AL1988" s="73"/>
      <c r="AM1988" s="73"/>
      <c r="AN1988" s="73"/>
      <c r="AO1988" s="73"/>
      <c r="AP1988" s="73"/>
      <c r="AQ1988" s="73"/>
      <c r="AR1988" s="73"/>
      <c r="AS1988" s="73"/>
      <c r="AT1988" s="73"/>
      <c r="AU1988" s="73"/>
      <c r="AV1988" s="73"/>
      <c r="AW1988" s="73"/>
      <c r="AX1988" s="73"/>
      <c r="AY1988" s="73"/>
      <c r="AZ1988" s="73"/>
      <c r="BA1988" s="73"/>
      <c r="BB1988" s="73"/>
      <c r="BC1988" s="73"/>
      <c r="BD1988" s="73"/>
      <c r="BE1988" s="73"/>
      <c r="BF1988" s="75"/>
      <c r="BG1988" s="73"/>
      <c r="BH1988" s="88"/>
      <c r="BI1988" s="73"/>
      <c r="BJ1988" s="73"/>
      <c r="BK1988" s="73"/>
      <c r="BL1988" s="73"/>
      <c r="BM1988" s="73"/>
      <c r="BN1988" s="73"/>
      <c r="BO1988" s="73"/>
      <c r="BP1988" s="73"/>
      <c r="BQ1988" s="73"/>
      <c r="BR1988" s="73"/>
      <c r="BS1988" s="73"/>
      <c r="BT1988" s="73"/>
      <c r="BU1988" s="73"/>
      <c r="BV1988" s="73"/>
      <c r="BW1988" s="73"/>
      <c r="BX1988" s="73"/>
      <c r="BY1988" s="73"/>
      <c r="BZ1988" s="73"/>
      <c r="CA1988" s="73"/>
      <c r="CB1988" s="73"/>
      <c r="CC1988" s="73"/>
      <c r="CD1988" s="73"/>
      <c r="CE1988" s="73"/>
      <c r="CF1988" s="73"/>
      <c r="CG1988" s="73"/>
      <c r="CH1988" s="73"/>
    </row>
    <row r="1989">
      <c r="A1989" s="73"/>
      <c r="B1989" s="73"/>
      <c r="C1989" s="73"/>
      <c r="D1989" s="73"/>
      <c r="E1989" s="140"/>
      <c r="F1989" s="80"/>
      <c r="G1989" s="80"/>
      <c r="H1989" s="73"/>
      <c r="I1989" s="73"/>
      <c r="J1989" s="73"/>
      <c r="K1989" s="73"/>
      <c r="L1989" s="73"/>
      <c r="M1989" s="73"/>
      <c r="N1989" s="73"/>
      <c r="O1989" s="73"/>
      <c r="P1989" s="73"/>
      <c r="Q1989" s="73"/>
      <c r="R1989" s="73"/>
      <c r="S1989" s="73"/>
      <c r="T1989" s="73"/>
      <c r="U1989" s="73"/>
      <c r="V1989" s="73"/>
      <c r="W1989" s="73"/>
      <c r="X1989" s="73"/>
      <c r="Y1989" s="73"/>
      <c r="Z1989" s="73"/>
      <c r="AA1989" s="73"/>
      <c r="AB1989" s="73"/>
      <c r="AC1989" s="73"/>
      <c r="AD1989" s="73"/>
      <c r="AE1989" s="73"/>
      <c r="AF1989" s="73"/>
      <c r="AG1989" s="73"/>
      <c r="AH1989" s="73"/>
      <c r="AI1989" s="73"/>
      <c r="AJ1989" s="168"/>
      <c r="AK1989" s="73"/>
      <c r="AL1989" s="73"/>
      <c r="AM1989" s="73"/>
      <c r="AN1989" s="73"/>
      <c r="AO1989" s="73"/>
      <c r="AP1989" s="73"/>
      <c r="AQ1989" s="73"/>
      <c r="AR1989" s="73"/>
      <c r="AS1989" s="73"/>
      <c r="AT1989" s="73"/>
      <c r="AU1989" s="73"/>
      <c r="AV1989" s="73"/>
      <c r="AW1989" s="73"/>
      <c r="AX1989" s="73"/>
      <c r="AY1989" s="73"/>
      <c r="AZ1989" s="73"/>
      <c r="BA1989" s="73"/>
      <c r="BB1989" s="73"/>
      <c r="BC1989" s="73"/>
      <c r="BD1989" s="73"/>
      <c r="BE1989" s="73"/>
      <c r="BF1989" s="75"/>
      <c r="BG1989" s="73"/>
      <c r="BH1989" s="88"/>
      <c r="BI1989" s="73"/>
      <c r="BJ1989" s="73"/>
      <c r="BK1989" s="73"/>
      <c r="BL1989" s="73"/>
      <c r="BM1989" s="73"/>
      <c r="BN1989" s="73"/>
      <c r="BO1989" s="73"/>
      <c r="BP1989" s="73"/>
      <c r="BQ1989" s="73"/>
      <c r="BR1989" s="73"/>
      <c r="BS1989" s="73"/>
      <c r="BT1989" s="73"/>
      <c r="BU1989" s="73"/>
      <c r="BV1989" s="73"/>
      <c r="BW1989" s="73"/>
      <c r="BX1989" s="73"/>
      <c r="BY1989" s="73"/>
      <c r="BZ1989" s="73"/>
      <c r="CA1989" s="73"/>
      <c r="CB1989" s="73"/>
      <c r="CC1989" s="73"/>
      <c r="CD1989" s="73"/>
      <c r="CE1989" s="73"/>
      <c r="CF1989" s="73"/>
      <c r="CG1989" s="73"/>
      <c r="CH1989" s="73"/>
    </row>
    <row r="1990">
      <c r="A1990" s="73"/>
      <c r="B1990" s="73"/>
      <c r="C1990" s="73"/>
      <c r="D1990" s="73"/>
      <c r="E1990" s="140"/>
      <c r="F1990" s="80"/>
      <c r="G1990" s="80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  <c r="S1990" s="73"/>
      <c r="T1990" s="73"/>
      <c r="U1990" s="73"/>
      <c r="V1990" s="73"/>
      <c r="W1990" s="73"/>
      <c r="X1990" s="73"/>
      <c r="Y1990" s="73"/>
      <c r="Z1990" s="73"/>
      <c r="AA1990" s="73"/>
      <c r="AB1990" s="73"/>
      <c r="AC1990" s="73"/>
      <c r="AD1990" s="73"/>
      <c r="AE1990" s="73"/>
      <c r="AF1990" s="73"/>
      <c r="AG1990" s="73"/>
      <c r="AH1990" s="73"/>
      <c r="AI1990" s="73"/>
      <c r="AJ1990" s="168"/>
      <c r="AK1990" s="73"/>
      <c r="AL1990" s="73"/>
      <c r="AM1990" s="73"/>
      <c r="AN1990" s="73"/>
      <c r="AO1990" s="73"/>
      <c r="AP1990" s="73"/>
      <c r="AQ1990" s="73"/>
      <c r="AR1990" s="73"/>
      <c r="AS1990" s="73"/>
      <c r="AT1990" s="73"/>
      <c r="AU1990" s="73"/>
      <c r="AV1990" s="73"/>
      <c r="AW1990" s="73"/>
      <c r="AX1990" s="73"/>
      <c r="AY1990" s="73"/>
      <c r="AZ1990" s="73"/>
      <c r="BA1990" s="73"/>
      <c r="BB1990" s="73"/>
      <c r="BC1990" s="73"/>
      <c r="BD1990" s="73"/>
      <c r="BE1990" s="73"/>
      <c r="BF1990" s="75"/>
      <c r="BG1990" s="73"/>
      <c r="BH1990" s="88"/>
      <c r="BI1990" s="73"/>
      <c r="BJ1990" s="73"/>
      <c r="BK1990" s="73"/>
      <c r="BL1990" s="73"/>
      <c r="BM1990" s="73"/>
      <c r="BN1990" s="73"/>
      <c r="BO1990" s="73"/>
      <c r="BP1990" s="73"/>
      <c r="BQ1990" s="73"/>
      <c r="BR1990" s="73"/>
      <c r="BS1990" s="73"/>
      <c r="BT1990" s="73"/>
      <c r="BU1990" s="73"/>
      <c r="BV1990" s="73"/>
      <c r="BW1990" s="73"/>
      <c r="BX1990" s="73"/>
      <c r="BY1990" s="73"/>
      <c r="BZ1990" s="73"/>
      <c r="CA1990" s="73"/>
      <c r="CB1990" s="73"/>
      <c r="CC1990" s="73"/>
      <c r="CD1990" s="73"/>
      <c r="CE1990" s="73"/>
      <c r="CF1990" s="73"/>
      <c r="CG1990" s="73"/>
      <c r="CH1990" s="73"/>
    </row>
    <row r="1991">
      <c r="A1991" s="73"/>
      <c r="B1991" s="73"/>
      <c r="C1991" s="73"/>
      <c r="D1991" s="73"/>
      <c r="E1991" s="140"/>
      <c r="F1991" s="80"/>
      <c r="G1991" s="80"/>
      <c r="H1991" s="73"/>
      <c r="I1991" s="73"/>
      <c r="J1991" s="73"/>
      <c r="K1991" s="73"/>
      <c r="L1991" s="73"/>
      <c r="M1991" s="73"/>
      <c r="N1991" s="73"/>
      <c r="O1991" s="73"/>
      <c r="P1991" s="73"/>
      <c r="Q1991" s="73"/>
      <c r="R1991" s="73"/>
      <c r="S1991" s="73"/>
      <c r="T1991" s="73"/>
      <c r="U1991" s="73"/>
      <c r="V1991" s="73"/>
      <c r="W1991" s="73"/>
      <c r="X1991" s="73"/>
      <c r="Y1991" s="73"/>
      <c r="Z1991" s="73"/>
      <c r="AA1991" s="73"/>
      <c r="AB1991" s="73"/>
      <c r="AC1991" s="73"/>
      <c r="AD1991" s="73"/>
      <c r="AE1991" s="73"/>
      <c r="AF1991" s="73"/>
      <c r="AG1991" s="73"/>
      <c r="AH1991" s="73"/>
      <c r="AI1991" s="73"/>
      <c r="AJ1991" s="168"/>
      <c r="AK1991" s="73"/>
      <c r="AL1991" s="73"/>
      <c r="AM1991" s="73"/>
      <c r="AN1991" s="73"/>
      <c r="AO1991" s="73"/>
      <c r="AP1991" s="73"/>
      <c r="AQ1991" s="73"/>
      <c r="AR1991" s="73"/>
      <c r="AS1991" s="73"/>
      <c r="AT1991" s="73"/>
      <c r="AU1991" s="73"/>
      <c r="AV1991" s="73"/>
      <c r="AW1991" s="73"/>
      <c r="AX1991" s="73"/>
      <c r="AY1991" s="73"/>
      <c r="AZ1991" s="73"/>
      <c r="BA1991" s="73"/>
      <c r="BB1991" s="73"/>
      <c r="BC1991" s="73"/>
      <c r="BD1991" s="73"/>
      <c r="BE1991" s="73"/>
      <c r="BF1991" s="75"/>
      <c r="BG1991" s="73"/>
      <c r="BH1991" s="88"/>
      <c r="BI1991" s="73"/>
      <c r="BJ1991" s="73"/>
      <c r="BK1991" s="73"/>
      <c r="BL1991" s="73"/>
      <c r="BM1991" s="73"/>
      <c r="BN1991" s="73"/>
      <c r="BO1991" s="73"/>
      <c r="BP1991" s="73"/>
      <c r="BQ1991" s="73"/>
      <c r="BR1991" s="73"/>
      <c r="BS1991" s="73"/>
      <c r="BT1991" s="73"/>
      <c r="BU1991" s="73"/>
      <c r="BV1991" s="73"/>
      <c r="BW1991" s="73"/>
      <c r="BX1991" s="73"/>
      <c r="BY1991" s="73"/>
      <c r="BZ1991" s="73"/>
      <c r="CA1991" s="73"/>
      <c r="CB1991" s="73"/>
      <c r="CC1991" s="73"/>
      <c r="CD1991" s="73"/>
      <c r="CE1991" s="73"/>
      <c r="CF1991" s="73"/>
      <c r="CG1991" s="73"/>
      <c r="CH1991" s="73"/>
    </row>
    <row r="1992">
      <c r="A1992" s="73"/>
      <c r="B1992" s="73"/>
      <c r="C1992" s="73"/>
      <c r="D1992" s="73"/>
      <c r="E1992" s="140"/>
      <c r="F1992" s="80"/>
      <c r="G1992" s="80"/>
      <c r="H1992" s="73"/>
      <c r="I1992" s="73"/>
      <c r="J1992" s="73"/>
      <c r="K1992" s="73"/>
      <c r="L1992" s="73"/>
      <c r="M1992" s="73"/>
      <c r="N1992" s="73"/>
      <c r="O1992" s="73"/>
      <c r="P1992" s="73"/>
      <c r="Q1992" s="73"/>
      <c r="R1992" s="73"/>
      <c r="S1992" s="73"/>
      <c r="T1992" s="73"/>
      <c r="U1992" s="73"/>
      <c r="V1992" s="73"/>
      <c r="W1992" s="73"/>
      <c r="X1992" s="73"/>
      <c r="Y1992" s="73"/>
      <c r="Z1992" s="73"/>
      <c r="AA1992" s="73"/>
      <c r="AB1992" s="73"/>
      <c r="AC1992" s="73"/>
      <c r="AD1992" s="73"/>
      <c r="AE1992" s="73"/>
      <c r="AF1992" s="73"/>
      <c r="AG1992" s="73"/>
      <c r="AH1992" s="73"/>
      <c r="AI1992" s="73"/>
      <c r="AJ1992" s="168"/>
      <c r="AK1992" s="73"/>
      <c r="AL1992" s="73"/>
      <c r="AM1992" s="73"/>
      <c r="AN1992" s="73"/>
      <c r="AO1992" s="73"/>
      <c r="AP1992" s="73"/>
      <c r="AQ1992" s="73"/>
      <c r="AR1992" s="73"/>
      <c r="AS1992" s="73"/>
      <c r="AT1992" s="73"/>
      <c r="AU1992" s="73"/>
      <c r="AV1992" s="73"/>
      <c r="AW1992" s="73"/>
      <c r="AX1992" s="73"/>
      <c r="AY1992" s="73"/>
      <c r="AZ1992" s="73"/>
      <c r="BA1992" s="73"/>
      <c r="BB1992" s="73"/>
      <c r="BC1992" s="73"/>
      <c r="BD1992" s="73"/>
      <c r="BE1992" s="73"/>
      <c r="BF1992" s="75"/>
      <c r="BG1992" s="73"/>
      <c r="BH1992" s="88"/>
      <c r="BI1992" s="73"/>
      <c r="BJ1992" s="73"/>
      <c r="BK1992" s="73"/>
      <c r="BL1992" s="73"/>
      <c r="BM1992" s="73"/>
      <c r="BN1992" s="73"/>
      <c r="BO1992" s="73"/>
      <c r="BP1992" s="73"/>
      <c r="BQ1992" s="73"/>
      <c r="BR1992" s="73"/>
      <c r="BS1992" s="73"/>
      <c r="BT1992" s="73"/>
      <c r="BU1992" s="73"/>
      <c r="BV1992" s="73"/>
      <c r="BW1992" s="73"/>
      <c r="BX1992" s="73"/>
      <c r="BY1992" s="73"/>
      <c r="BZ1992" s="73"/>
      <c r="CA1992" s="73"/>
      <c r="CB1992" s="73"/>
      <c r="CC1992" s="73"/>
      <c r="CD1992" s="73"/>
      <c r="CE1992" s="73"/>
      <c r="CF1992" s="73"/>
      <c r="CG1992" s="73"/>
      <c r="CH1992" s="73"/>
    </row>
    <row r="1993">
      <c r="A1993" s="73"/>
      <c r="B1993" s="73"/>
      <c r="C1993" s="73"/>
      <c r="D1993" s="73"/>
      <c r="E1993" s="140"/>
      <c r="F1993" s="80"/>
      <c r="G1993" s="80"/>
      <c r="H1993" s="73"/>
      <c r="I1993" s="73"/>
      <c r="J1993" s="73"/>
      <c r="K1993" s="73"/>
      <c r="L1993" s="73"/>
      <c r="M1993" s="73"/>
      <c r="N1993" s="73"/>
      <c r="O1993" s="73"/>
      <c r="P1993" s="73"/>
      <c r="Q1993" s="73"/>
      <c r="R1993" s="73"/>
      <c r="S1993" s="73"/>
      <c r="T1993" s="73"/>
      <c r="U1993" s="73"/>
      <c r="V1993" s="73"/>
      <c r="W1993" s="73"/>
      <c r="X1993" s="73"/>
      <c r="Y1993" s="73"/>
      <c r="Z1993" s="73"/>
      <c r="AA1993" s="73"/>
      <c r="AB1993" s="73"/>
      <c r="AC1993" s="73"/>
      <c r="AD1993" s="73"/>
      <c r="AE1993" s="73"/>
      <c r="AF1993" s="73"/>
      <c r="AG1993" s="73"/>
      <c r="AH1993" s="73"/>
      <c r="AI1993" s="73"/>
      <c r="AJ1993" s="168"/>
      <c r="AK1993" s="73"/>
      <c r="AL1993" s="73"/>
      <c r="AM1993" s="73"/>
      <c r="AN1993" s="73"/>
      <c r="AO1993" s="73"/>
      <c r="AP1993" s="73"/>
      <c r="AQ1993" s="73"/>
      <c r="AR1993" s="73"/>
      <c r="AS1993" s="73"/>
      <c r="AT1993" s="73"/>
      <c r="AU1993" s="73"/>
      <c r="AV1993" s="73"/>
      <c r="AW1993" s="73"/>
      <c r="AX1993" s="73"/>
      <c r="AY1993" s="73"/>
      <c r="AZ1993" s="73"/>
      <c r="BA1993" s="73"/>
      <c r="BB1993" s="73"/>
      <c r="BC1993" s="73"/>
      <c r="BD1993" s="73"/>
      <c r="BE1993" s="73"/>
      <c r="BF1993" s="75"/>
      <c r="BG1993" s="73"/>
      <c r="BH1993" s="88"/>
      <c r="BI1993" s="73"/>
      <c r="BJ1993" s="73"/>
      <c r="BK1993" s="73"/>
      <c r="BL1993" s="73"/>
      <c r="BM1993" s="73"/>
      <c r="BN1993" s="73"/>
      <c r="BO1993" s="73"/>
      <c r="BP1993" s="73"/>
      <c r="BQ1993" s="73"/>
      <c r="BR1993" s="73"/>
      <c r="BS1993" s="73"/>
      <c r="BT1993" s="73"/>
      <c r="BU1993" s="73"/>
      <c r="BV1993" s="73"/>
      <c r="BW1993" s="73"/>
      <c r="BX1993" s="73"/>
      <c r="BY1993" s="73"/>
      <c r="BZ1993" s="73"/>
      <c r="CA1993" s="73"/>
      <c r="CB1993" s="73"/>
      <c r="CC1993" s="73"/>
      <c r="CD1993" s="73"/>
      <c r="CE1993" s="73"/>
      <c r="CF1993" s="73"/>
      <c r="CG1993" s="73"/>
      <c r="CH1993" s="73"/>
    </row>
    <row r="1994">
      <c r="A1994" s="73"/>
      <c r="B1994" s="73"/>
      <c r="C1994" s="73"/>
      <c r="D1994" s="73"/>
      <c r="E1994" s="140"/>
      <c r="F1994" s="80"/>
      <c r="G1994" s="80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  <c r="S1994" s="73"/>
      <c r="T1994" s="73"/>
      <c r="U1994" s="73"/>
      <c r="V1994" s="73"/>
      <c r="W1994" s="73"/>
      <c r="X1994" s="73"/>
      <c r="Y1994" s="73"/>
      <c r="Z1994" s="73"/>
      <c r="AA1994" s="73"/>
      <c r="AB1994" s="73"/>
      <c r="AC1994" s="73"/>
      <c r="AD1994" s="73"/>
      <c r="AE1994" s="73"/>
      <c r="AF1994" s="73"/>
      <c r="AG1994" s="73"/>
      <c r="AH1994" s="73"/>
      <c r="AI1994" s="73"/>
      <c r="AJ1994" s="168"/>
      <c r="AK1994" s="73"/>
      <c r="AL1994" s="73"/>
      <c r="AM1994" s="73"/>
      <c r="AN1994" s="73"/>
      <c r="AO1994" s="73"/>
      <c r="AP1994" s="73"/>
      <c r="AQ1994" s="73"/>
      <c r="AR1994" s="73"/>
      <c r="AS1994" s="73"/>
      <c r="AT1994" s="73"/>
      <c r="AU1994" s="73"/>
      <c r="AV1994" s="73"/>
      <c r="AW1994" s="73"/>
      <c r="AX1994" s="73"/>
      <c r="AY1994" s="73"/>
      <c r="AZ1994" s="73"/>
      <c r="BA1994" s="73"/>
      <c r="BB1994" s="73"/>
      <c r="BC1994" s="73"/>
      <c r="BD1994" s="73"/>
      <c r="BE1994" s="73"/>
      <c r="BF1994" s="75"/>
      <c r="BG1994" s="73"/>
      <c r="BH1994" s="88"/>
      <c r="BI1994" s="73"/>
      <c r="BJ1994" s="73"/>
      <c r="BK1994" s="73"/>
      <c r="BL1994" s="73"/>
      <c r="BM1994" s="73"/>
      <c r="BN1994" s="73"/>
      <c r="BO1994" s="73"/>
      <c r="BP1994" s="73"/>
      <c r="BQ1994" s="73"/>
      <c r="BR1994" s="73"/>
      <c r="BS1994" s="73"/>
      <c r="BT1994" s="73"/>
      <c r="BU1994" s="73"/>
      <c r="BV1994" s="73"/>
      <c r="BW1994" s="73"/>
      <c r="BX1994" s="73"/>
      <c r="BY1994" s="73"/>
      <c r="BZ1994" s="73"/>
      <c r="CA1994" s="73"/>
      <c r="CB1994" s="73"/>
      <c r="CC1994" s="73"/>
      <c r="CD1994" s="73"/>
      <c r="CE1994" s="73"/>
      <c r="CF1994" s="73"/>
      <c r="CG1994" s="73"/>
      <c r="CH1994" s="73"/>
    </row>
    <row r="1995">
      <c r="A1995" s="73"/>
      <c r="B1995" s="73"/>
      <c r="C1995" s="73"/>
      <c r="D1995" s="73"/>
      <c r="E1995" s="140"/>
      <c r="F1995" s="80"/>
      <c r="G1995" s="80"/>
      <c r="H1995" s="73"/>
      <c r="I1995" s="73"/>
      <c r="J1995" s="73"/>
      <c r="K1995" s="73"/>
      <c r="L1995" s="73"/>
      <c r="M1995" s="73"/>
      <c r="N1995" s="73"/>
      <c r="O1995" s="73"/>
      <c r="P1995" s="73"/>
      <c r="Q1995" s="73"/>
      <c r="R1995" s="73"/>
      <c r="S1995" s="73"/>
      <c r="T1995" s="73"/>
      <c r="U1995" s="73"/>
      <c r="V1995" s="73"/>
      <c r="W1995" s="73"/>
      <c r="X1995" s="73"/>
      <c r="Y1995" s="73"/>
      <c r="Z1995" s="73"/>
      <c r="AA1995" s="73"/>
      <c r="AB1995" s="73"/>
      <c r="AC1995" s="73"/>
      <c r="AD1995" s="73"/>
      <c r="AE1995" s="73"/>
      <c r="AF1995" s="73"/>
      <c r="AG1995" s="73"/>
      <c r="AH1995" s="73"/>
      <c r="AI1995" s="73"/>
      <c r="AJ1995" s="168"/>
      <c r="AK1995" s="73"/>
      <c r="AL1995" s="73"/>
      <c r="AM1995" s="73"/>
      <c r="AN1995" s="73"/>
      <c r="AO1995" s="73"/>
      <c r="AP1995" s="73"/>
      <c r="AQ1995" s="73"/>
      <c r="AR1995" s="73"/>
      <c r="AS1995" s="73"/>
      <c r="AT1995" s="73"/>
      <c r="AU1995" s="73"/>
      <c r="AV1995" s="73"/>
      <c r="AW1995" s="73"/>
      <c r="AX1995" s="73"/>
      <c r="AY1995" s="73"/>
      <c r="AZ1995" s="73"/>
      <c r="BA1995" s="73"/>
      <c r="BB1995" s="73"/>
      <c r="BC1995" s="73"/>
      <c r="BD1995" s="73"/>
      <c r="BE1995" s="73"/>
      <c r="BF1995" s="75"/>
      <c r="BG1995" s="73"/>
      <c r="BH1995" s="88"/>
      <c r="BI1995" s="73"/>
      <c r="BJ1995" s="73"/>
      <c r="BK1995" s="73"/>
      <c r="BL1995" s="73"/>
      <c r="BM1995" s="73"/>
      <c r="BN1995" s="73"/>
      <c r="BO1995" s="73"/>
      <c r="BP1995" s="73"/>
      <c r="BQ1995" s="73"/>
      <c r="BR1995" s="73"/>
      <c r="BS1995" s="73"/>
      <c r="BT1995" s="73"/>
      <c r="BU1995" s="73"/>
      <c r="BV1995" s="73"/>
      <c r="BW1995" s="73"/>
      <c r="BX1995" s="73"/>
      <c r="BY1995" s="73"/>
      <c r="BZ1995" s="73"/>
      <c r="CA1995" s="73"/>
      <c r="CB1995" s="73"/>
      <c r="CC1995" s="73"/>
      <c r="CD1995" s="73"/>
      <c r="CE1995" s="73"/>
      <c r="CF1995" s="73"/>
      <c r="CG1995" s="73"/>
      <c r="CH1995" s="73"/>
    </row>
    <row r="1996">
      <c r="A1996" s="73"/>
      <c r="B1996" s="73"/>
      <c r="C1996" s="73"/>
      <c r="D1996" s="73"/>
      <c r="E1996" s="140"/>
      <c r="F1996" s="80"/>
      <c r="G1996" s="80"/>
      <c r="H1996" s="73"/>
      <c r="I1996" s="73"/>
      <c r="J1996" s="73"/>
      <c r="K1996" s="73"/>
      <c r="L1996" s="73"/>
      <c r="M1996" s="73"/>
      <c r="N1996" s="73"/>
      <c r="O1996" s="73"/>
      <c r="P1996" s="73"/>
      <c r="Q1996" s="73"/>
      <c r="R1996" s="73"/>
      <c r="S1996" s="73"/>
      <c r="T1996" s="73"/>
      <c r="U1996" s="73"/>
      <c r="V1996" s="73"/>
      <c r="W1996" s="73"/>
      <c r="X1996" s="73"/>
      <c r="Y1996" s="73"/>
      <c r="Z1996" s="73"/>
      <c r="AA1996" s="73"/>
      <c r="AB1996" s="73"/>
      <c r="AC1996" s="73"/>
      <c r="AD1996" s="73"/>
      <c r="AE1996" s="73"/>
      <c r="AF1996" s="73"/>
      <c r="AG1996" s="73"/>
      <c r="AH1996" s="73"/>
      <c r="AI1996" s="73"/>
      <c r="AJ1996" s="168"/>
      <c r="AK1996" s="73"/>
      <c r="AL1996" s="73"/>
      <c r="AM1996" s="73"/>
      <c r="AN1996" s="73"/>
      <c r="AO1996" s="73"/>
      <c r="AP1996" s="73"/>
      <c r="AQ1996" s="73"/>
      <c r="AR1996" s="73"/>
      <c r="AS1996" s="73"/>
      <c r="AT1996" s="73"/>
      <c r="AU1996" s="73"/>
      <c r="AV1996" s="73"/>
      <c r="AW1996" s="73"/>
      <c r="AX1996" s="73"/>
      <c r="AY1996" s="73"/>
      <c r="AZ1996" s="73"/>
      <c r="BA1996" s="73"/>
      <c r="BB1996" s="73"/>
      <c r="BC1996" s="73"/>
      <c r="BD1996" s="73"/>
      <c r="BE1996" s="73"/>
      <c r="BF1996" s="75"/>
      <c r="BG1996" s="73"/>
      <c r="BH1996" s="88"/>
      <c r="BI1996" s="73"/>
      <c r="BJ1996" s="73"/>
      <c r="BK1996" s="73"/>
      <c r="BL1996" s="73"/>
      <c r="BM1996" s="73"/>
      <c r="BN1996" s="73"/>
      <c r="BO1996" s="73"/>
      <c r="BP1996" s="73"/>
      <c r="BQ1996" s="73"/>
      <c r="BR1996" s="73"/>
      <c r="BS1996" s="73"/>
      <c r="BT1996" s="73"/>
      <c r="BU1996" s="73"/>
      <c r="BV1996" s="73"/>
      <c r="BW1996" s="73"/>
      <c r="BX1996" s="73"/>
      <c r="BY1996" s="73"/>
      <c r="BZ1996" s="73"/>
      <c r="CA1996" s="73"/>
      <c r="CB1996" s="73"/>
      <c r="CC1996" s="73"/>
      <c r="CD1996" s="73"/>
      <c r="CE1996" s="73"/>
      <c r="CF1996" s="73"/>
      <c r="CG1996" s="73"/>
      <c r="CH1996" s="73"/>
    </row>
    <row r="1997">
      <c r="A1997" s="73"/>
      <c r="B1997" s="73"/>
      <c r="C1997" s="73"/>
      <c r="D1997" s="73"/>
      <c r="E1997" s="140"/>
      <c r="F1997" s="80"/>
      <c r="G1997" s="80"/>
      <c r="H1997" s="73"/>
      <c r="I1997" s="73"/>
      <c r="J1997" s="73"/>
      <c r="K1997" s="73"/>
      <c r="L1997" s="73"/>
      <c r="M1997" s="73"/>
      <c r="N1997" s="73"/>
      <c r="O1997" s="73"/>
      <c r="P1997" s="73"/>
      <c r="Q1997" s="73"/>
      <c r="R1997" s="73"/>
      <c r="S1997" s="73"/>
      <c r="T1997" s="73"/>
      <c r="U1997" s="73"/>
      <c r="V1997" s="73"/>
      <c r="W1997" s="73"/>
      <c r="X1997" s="73"/>
      <c r="Y1997" s="73"/>
      <c r="Z1997" s="73"/>
      <c r="AA1997" s="73"/>
      <c r="AB1997" s="73"/>
      <c r="AC1997" s="73"/>
      <c r="AD1997" s="73"/>
      <c r="AE1997" s="73"/>
      <c r="AF1997" s="73"/>
      <c r="AG1997" s="73"/>
      <c r="AH1997" s="73"/>
      <c r="AI1997" s="73"/>
      <c r="AJ1997" s="168"/>
      <c r="AK1997" s="73"/>
      <c r="AL1997" s="73"/>
      <c r="AM1997" s="73"/>
      <c r="AN1997" s="73"/>
      <c r="AO1997" s="73"/>
      <c r="AP1997" s="73"/>
      <c r="AQ1997" s="73"/>
      <c r="AR1997" s="73"/>
      <c r="AS1997" s="73"/>
      <c r="AT1997" s="73"/>
      <c r="AU1997" s="73"/>
      <c r="AV1997" s="73"/>
      <c r="AW1997" s="73"/>
      <c r="AX1997" s="73"/>
      <c r="AY1997" s="73"/>
      <c r="AZ1997" s="73"/>
      <c r="BA1997" s="73"/>
      <c r="BB1997" s="73"/>
      <c r="BC1997" s="73"/>
      <c r="BD1997" s="73"/>
      <c r="BE1997" s="73"/>
      <c r="BF1997" s="75"/>
      <c r="BG1997" s="73"/>
      <c r="BH1997" s="88"/>
      <c r="BI1997" s="73"/>
      <c r="BJ1997" s="73"/>
      <c r="BK1997" s="73"/>
      <c r="BL1997" s="73"/>
      <c r="BM1997" s="73"/>
      <c r="BN1997" s="73"/>
      <c r="BO1997" s="73"/>
      <c r="BP1997" s="73"/>
      <c r="BQ1997" s="73"/>
      <c r="BR1997" s="73"/>
      <c r="BS1997" s="73"/>
      <c r="BT1997" s="73"/>
      <c r="BU1997" s="73"/>
      <c r="BV1997" s="73"/>
      <c r="BW1997" s="73"/>
      <c r="BX1997" s="73"/>
      <c r="BY1997" s="73"/>
      <c r="BZ1997" s="73"/>
      <c r="CA1997" s="73"/>
      <c r="CB1997" s="73"/>
      <c r="CC1997" s="73"/>
      <c r="CD1997" s="73"/>
      <c r="CE1997" s="73"/>
      <c r="CF1997" s="73"/>
      <c r="CG1997" s="73"/>
      <c r="CH1997" s="73"/>
    </row>
    <row r="1998">
      <c r="A1998" s="73"/>
      <c r="B1998" s="73"/>
      <c r="C1998" s="73"/>
      <c r="D1998" s="73"/>
      <c r="E1998" s="140"/>
      <c r="F1998" s="80"/>
      <c r="G1998" s="80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  <c r="S1998" s="73"/>
      <c r="T1998" s="73"/>
      <c r="U1998" s="73"/>
      <c r="V1998" s="73"/>
      <c r="W1998" s="73"/>
      <c r="X1998" s="73"/>
      <c r="Y1998" s="73"/>
      <c r="Z1998" s="73"/>
      <c r="AA1998" s="73"/>
      <c r="AB1998" s="73"/>
      <c r="AC1998" s="73"/>
      <c r="AD1998" s="73"/>
      <c r="AE1998" s="73"/>
      <c r="AF1998" s="73"/>
      <c r="AG1998" s="73"/>
      <c r="AH1998" s="73"/>
      <c r="AI1998" s="73"/>
      <c r="AJ1998" s="168"/>
      <c r="AK1998" s="73"/>
      <c r="AL1998" s="73"/>
      <c r="AM1998" s="73"/>
      <c r="AN1998" s="73"/>
      <c r="AO1998" s="73"/>
      <c r="AP1998" s="73"/>
      <c r="AQ1998" s="73"/>
      <c r="AR1998" s="73"/>
      <c r="AS1998" s="73"/>
      <c r="AT1998" s="73"/>
      <c r="AU1998" s="73"/>
      <c r="AV1998" s="73"/>
      <c r="AW1998" s="73"/>
      <c r="AX1998" s="73"/>
      <c r="AY1998" s="73"/>
      <c r="AZ1998" s="73"/>
      <c r="BA1998" s="73"/>
      <c r="BB1998" s="73"/>
      <c r="BC1998" s="73"/>
      <c r="BD1998" s="73"/>
      <c r="BE1998" s="73"/>
      <c r="BF1998" s="75"/>
      <c r="BG1998" s="73"/>
      <c r="BH1998" s="88"/>
      <c r="BI1998" s="73"/>
      <c r="BJ1998" s="73"/>
      <c r="BK1998" s="73"/>
      <c r="BL1998" s="73"/>
      <c r="BM1998" s="73"/>
      <c r="BN1998" s="73"/>
      <c r="BO1998" s="73"/>
      <c r="BP1998" s="73"/>
      <c r="BQ1998" s="73"/>
      <c r="BR1998" s="73"/>
      <c r="BS1998" s="73"/>
      <c r="BT1998" s="73"/>
      <c r="BU1998" s="73"/>
      <c r="BV1998" s="73"/>
      <c r="BW1998" s="73"/>
      <c r="BX1998" s="73"/>
      <c r="BY1998" s="73"/>
      <c r="BZ1998" s="73"/>
      <c r="CA1998" s="73"/>
      <c r="CB1998" s="73"/>
      <c r="CC1998" s="73"/>
      <c r="CD1998" s="73"/>
      <c r="CE1998" s="73"/>
      <c r="CF1998" s="73"/>
      <c r="CG1998" s="73"/>
      <c r="CH1998" s="73"/>
    </row>
    <row r="1999">
      <c r="A1999" s="73"/>
      <c r="B1999" s="73"/>
      <c r="C1999" s="73"/>
      <c r="D1999" s="73"/>
      <c r="E1999" s="140"/>
      <c r="F1999" s="80"/>
      <c r="G1999" s="80"/>
      <c r="H1999" s="73"/>
      <c r="I1999" s="73"/>
      <c r="J1999" s="73"/>
      <c r="K1999" s="73"/>
      <c r="L1999" s="73"/>
      <c r="M1999" s="73"/>
      <c r="N1999" s="73"/>
      <c r="O1999" s="73"/>
      <c r="P1999" s="73"/>
      <c r="Q1999" s="73"/>
      <c r="R1999" s="73"/>
      <c r="S1999" s="73"/>
      <c r="T1999" s="73"/>
      <c r="U1999" s="73"/>
      <c r="V1999" s="73"/>
      <c r="W1999" s="73"/>
      <c r="X1999" s="73"/>
      <c r="Y1999" s="73"/>
      <c r="Z1999" s="73"/>
      <c r="AA1999" s="73"/>
      <c r="AB1999" s="73"/>
      <c r="AC1999" s="73"/>
      <c r="AD1999" s="73"/>
      <c r="AE1999" s="73"/>
      <c r="AF1999" s="73"/>
      <c r="AG1999" s="73"/>
      <c r="AH1999" s="73"/>
      <c r="AI1999" s="73"/>
      <c r="AJ1999" s="168"/>
      <c r="AK1999" s="73"/>
      <c r="AL1999" s="73"/>
      <c r="AM1999" s="73"/>
      <c r="AN1999" s="73"/>
      <c r="AO1999" s="73"/>
      <c r="AP1999" s="73"/>
      <c r="AQ1999" s="73"/>
      <c r="AR1999" s="73"/>
      <c r="AS1999" s="73"/>
      <c r="AT1999" s="73"/>
      <c r="AU1999" s="73"/>
      <c r="AV1999" s="73"/>
      <c r="AW1999" s="73"/>
      <c r="AX1999" s="73"/>
      <c r="AY1999" s="73"/>
      <c r="AZ1999" s="73"/>
      <c r="BA1999" s="73"/>
      <c r="BB1999" s="73"/>
      <c r="BC1999" s="73"/>
      <c r="BD1999" s="73"/>
      <c r="BE1999" s="73"/>
      <c r="BF1999" s="75"/>
      <c r="BG1999" s="73"/>
      <c r="BH1999" s="88"/>
      <c r="BI1999" s="73"/>
      <c r="BJ1999" s="73"/>
      <c r="BK1999" s="73"/>
      <c r="BL1999" s="73"/>
      <c r="BM1999" s="73"/>
      <c r="BN1999" s="73"/>
      <c r="BO1999" s="73"/>
      <c r="BP1999" s="73"/>
      <c r="BQ1999" s="73"/>
      <c r="BR1999" s="73"/>
      <c r="BS1999" s="73"/>
      <c r="BT1999" s="73"/>
      <c r="BU1999" s="73"/>
      <c r="BV1999" s="73"/>
      <c r="BW1999" s="73"/>
      <c r="BX1999" s="73"/>
      <c r="BY1999" s="73"/>
      <c r="BZ1999" s="73"/>
      <c r="CA1999" s="73"/>
      <c r="CB1999" s="73"/>
      <c r="CC1999" s="73"/>
      <c r="CD1999" s="73"/>
      <c r="CE1999" s="73"/>
      <c r="CF1999" s="73"/>
      <c r="CG1999" s="73"/>
      <c r="CH1999" s="73"/>
    </row>
    <row r="2000">
      <c r="A2000" s="73"/>
      <c r="B2000" s="73"/>
      <c r="C2000" s="73"/>
      <c r="D2000" s="73"/>
      <c r="E2000" s="140"/>
      <c r="F2000" s="80"/>
      <c r="G2000" s="80"/>
      <c r="H2000" s="73"/>
      <c r="I2000" s="73"/>
      <c r="J2000" s="73"/>
      <c r="K2000" s="73"/>
      <c r="L2000" s="73"/>
      <c r="M2000" s="73"/>
      <c r="N2000" s="73"/>
      <c r="O2000" s="73"/>
      <c r="P2000" s="73"/>
      <c r="Q2000" s="73"/>
      <c r="R2000" s="73"/>
      <c r="S2000" s="73"/>
      <c r="T2000" s="73"/>
      <c r="U2000" s="73"/>
      <c r="V2000" s="73"/>
      <c r="W2000" s="73"/>
      <c r="X2000" s="73"/>
      <c r="Y2000" s="73"/>
      <c r="Z2000" s="73"/>
      <c r="AA2000" s="73"/>
      <c r="AB2000" s="73"/>
      <c r="AC2000" s="73"/>
      <c r="AD2000" s="73"/>
      <c r="AE2000" s="73"/>
      <c r="AF2000" s="73"/>
      <c r="AG2000" s="73"/>
      <c r="AH2000" s="73"/>
      <c r="AI2000" s="73"/>
      <c r="AJ2000" s="168"/>
      <c r="AK2000" s="73"/>
      <c r="AL2000" s="73"/>
      <c r="AM2000" s="73"/>
      <c r="AN2000" s="73"/>
      <c r="AO2000" s="73"/>
      <c r="AP2000" s="73"/>
      <c r="AQ2000" s="73"/>
      <c r="AR2000" s="73"/>
      <c r="AS2000" s="73"/>
      <c r="AT2000" s="73"/>
      <c r="AU2000" s="73"/>
      <c r="AV2000" s="73"/>
      <c r="AW2000" s="73"/>
      <c r="AX2000" s="73"/>
      <c r="AY2000" s="73"/>
      <c r="AZ2000" s="73"/>
      <c r="BA2000" s="73"/>
      <c r="BB2000" s="73"/>
      <c r="BC2000" s="73"/>
      <c r="BD2000" s="73"/>
      <c r="BE2000" s="73"/>
      <c r="BF2000" s="75"/>
      <c r="BG2000" s="73"/>
      <c r="BH2000" s="88"/>
      <c r="BI2000" s="73"/>
      <c r="BJ2000" s="73"/>
      <c r="BK2000" s="73"/>
      <c r="BL2000" s="73"/>
      <c r="BM2000" s="73"/>
      <c r="BN2000" s="73"/>
      <c r="BO2000" s="73"/>
      <c r="BP2000" s="73"/>
      <c r="BQ2000" s="73"/>
      <c r="BR2000" s="73"/>
      <c r="BS2000" s="73"/>
      <c r="BT2000" s="73"/>
      <c r="BU2000" s="73"/>
      <c r="BV2000" s="73"/>
      <c r="BW2000" s="73"/>
      <c r="BX2000" s="73"/>
      <c r="BY2000" s="73"/>
      <c r="BZ2000" s="73"/>
      <c r="CA2000" s="73"/>
      <c r="CB2000" s="73"/>
      <c r="CC2000" s="73"/>
      <c r="CD2000" s="73"/>
      <c r="CE2000" s="73"/>
      <c r="CF2000" s="73"/>
      <c r="CG2000" s="73"/>
      <c r="CH2000" s="73"/>
    </row>
    <row r="2001">
      <c r="A2001" s="73"/>
      <c r="B2001" s="73"/>
      <c r="C2001" s="73"/>
      <c r="D2001" s="73"/>
      <c r="E2001" s="140"/>
      <c r="F2001" s="80"/>
      <c r="G2001" s="80"/>
      <c r="H2001" s="73"/>
      <c r="I2001" s="73"/>
      <c r="J2001" s="73"/>
      <c r="K2001" s="73"/>
      <c r="L2001" s="73"/>
      <c r="M2001" s="73"/>
      <c r="N2001" s="73"/>
      <c r="O2001" s="73"/>
      <c r="P2001" s="73"/>
      <c r="Q2001" s="73"/>
      <c r="R2001" s="73"/>
      <c r="S2001" s="73"/>
      <c r="T2001" s="73"/>
      <c r="U2001" s="73"/>
      <c r="V2001" s="73"/>
      <c r="W2001" s="73"/>
      <c r="X2001" s="73"/>
      <c r="Y2001" s="73"/>
      <c r="Z2001" s="73"/>
      <c r="AA2001" s="73"/>
      <c r="AB2001" s="73"/>
      <c r="AC2001" s="73"/>
      <c r="AD2001" s="73"/>
      <c r="AE2001" s="73"/>
      <c r="AF2001" s="73"/>
      <c r="AG2001" s="73"/>
      <c r="AH2001" s="73"/>
      <c r="AI2001" s="73"/>
      <c r="AJ2001" s="168"/>
      <c r="AK2001" s="73"/>
      <c r="AL2001" s="73"/>
      <c r="AM2001" s="73"/>
      <c r="AN2001" s="73"/>
      <c r="AO2001" s="73"/>
      <c r="AP2001" s="73"/>
      <c r="AQ2001" s="73"/>
      <c r="AR2001" s="73"/>
      <c r="AS2001" s="73"/>
      <c r="AT2001" s="73"/>
      <c r="AU2001" s="73"/>
      <c r="AV2001" s="73"/>
      <c r="AW2001" s="73"/>
      <c r="AX2001" s="73"/>
      <c r="AY2001" s="73"/>
      <c r="AZ2001" s="73"/>
      <c r="BA2001" s="73"/>
      <c r="BB2001" s="73"/>
      <c r="BC2001" s="73"/>
      <c r="BD2001" s="73"/>
      <c r="BE2001" s="73"/>
      <c r="BF2001" s="75"/>
      <c r="BG2001" s="73"/>
      <c r="BH2001" s="88"/>
      <c r="BI2001" s="73"/>
      <c r="BJ2001" s="73"/>
      <c r="BK2001" s="73"/>
      <c r="BL2001" s="73"/>
      <c r="BM2001" s="73"/>
      <c r="BN2001" s="73"/>
      <c r="BO2001" s="73"/>
      <c r="BP2001" s="73"/>
      <c r="BQ2001" s="73"/>
      <c r="BR2001" s="73"/>
      <c r="BS2001" s="73"/>
      <c r="BT2001" s="73"/>
      <c r="BU2001" s="73"/>
      <c r="BV2001" s="73"/>
      <c r="BW2001" s="73"/>
      <c r="BX2001" s="73"/>
      <c r="BY2001" s="73"/>
      <c r="BZ2001" s="73"/>
      <c r="CA2001" s="73"/>
      <c r="CB2001" s="73"/>
      <c r="CC2001" s="73"/>
      <c r="CD2001" s="73"/>
      <c r="CE2001" s="73"/>
      <c r="CF2001" s="73"/>
      <c r="CG2001" s="73"/>
      <c r="CH2001" s="73"/>
    </row>
    <row r="2002">
      <c r="A2002" s="73"/>
      <c r="B2002" s="73"/>
      <c r="C2002" s="73"/>
      <c r="D2002" s="73"/>
      <c r="E2002" s="140"/>
      <c r="F2002" s="80"/>
      <c r="G2002" s="80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  <c r="S2002" s="73"/>
      <c r="T2002" s="73"/>
      <c r="U2002" s="73"/>
      <c r="V2002" s="73"/>
      <c r="W2002" s="73"/>
      <c r="X2002" s="73"/>
      <c r="Y2002" s="73"/>
      <c r="Z2002" s="73"/>
      <c r="AA2002" s="73"/>
      <c r="AB2002" s="73"/>
      <c r="AC2002" s="73"/>
      <c r="AD2002" s="73"/>
      <c r="AE2002" s="73"/>
      <c r="AF2002" s="73"/>
      <c r="AG2002" s="73"/>
      <c r="AH2002" s="73"/>
      <c r="AI2002" s="73"/>
      <c r="AJ2002" s="168"/>
      <c r="AK2002" s="73"/>
      <c r="AL2002" s="73"/>
      <c r="AM2002" s="73"/>
      <c r="AN2002" s="73"/>
      <c r="AO2002" s="73"/>
      <c r="AP2002" s="73"/>
      <c r="AQ2002" s="73"/>
      <c r="AR2002" s="73"/>
      <c r="AS2002" s="73"/>
      <c r="AT2002" s="73"/>
      <c r="AU2002" s="73"/>
      <c r="AV2002" s="73"/>
      <c r="AW2002" s="73"/>
      <c r="AX2002" s="73"/>
      <c r="AY2002" s="73"/>
      <c r="AZ2002" s="73"/>
      <c r="BA2002" s="73"/>
      <c r="BB2002" s="73"/>
      <c r="BC2002" s="73"/>
      <c r="BD2002" s="73"/>
      <c r="BE2002" s="73"/>
      <c r="BF2002" s="75"/>
      <c r="BG2002" s="73"/>
      <c r="BH2002" s="88"/>
      <c r="BI2002" s="73"/>
      <c r="BJ2002" s="73"/>
      <c r="BK2002" s="73"/>
      <c r="BL2002" s="73"/>
      <c r="BM2002" s="73"/>
      <c r="BN2002" s="73"/>
      <c r="BO2002" s="73"/>
      <c r="BP2002" s="73"/>
      <c r="BQ2002" s="73"/>
      <c r="BR2002" s="73"/>
      <c r="BS2002" s="73"/>
      <c r="BT2002" s="73"/>
      <c r="BU2002" s="73"/>
      <c r="BV2002" s="73"/>
      <c r="BW2002" s="73"/>
      <c r="BX2002" s="73"/>
      <c r="BY2002" s="73"/>
      <c r="BZ2002" s="73"/>
      <c r="CA2002" s="73"/>
      <c r="CB2002" s="73"/>
      <c r="CC2002" s="73"/>
      <c r="CD2002" s="73"/>
      <c r="CE2002" s="73"/>
      <c r="CF2002" s="73"/>
      <c r="CG2002" s="73"/>
      <c r="CH2002" s="73"/>
    </row>
    <row r="2003">
      <c r="A2003" s="73"/>
      <c r="B2003" s="73"/>
      <c r="C2003" s="73"/>
      <c r="D2003" s="73"/>
      <c r="E2003" s="140"/>
      <c r="F2003" s="80"/>
      <c r="G2003" s="80"/>
      <c r="H2003" s="73"/>
      <c r="I2003" s="73"/>
      <c r="J2003" s="73"/>
      <c r="K2003" s="73"/>
      <c r="L2003" s="73"/>
      <c r="M2003" s="73"/>
      <c r="N2003" s="73"/>
      <c r="O2003" s="73"/>
      <c r="P2003" s="73"/>
      <c r="Q2003" s="73"/>
      <c r="R2003" s="73"/>
      <c r="S2003" s="73"/>
      <c r="T2003" s="73"/>
      <c r="U2003" s="73"/>
      <c r="V2003" s="73"/>
      <c r="W2003" s="73"/>
      <c r="X2003" s="73"/>
      <c r="Y2003" s="73"/>
      <c r="Z2003" s="73"/>
      <c r="AA2003" s="73"/>
      <c r="AB2003" s="73"/>
      <c r="AC2003" s="73"/>
      <c r="AD2003" s="73"/>
      <c r="AE2003" s="73"/>
      <c r="AF2003" s="73"/>
      <c r="AG2003" s="73"/>
      <c r="AH2003" s="73"/>
      <c r="AI2003" s="73"/>
      <c r="AJ2003" s="168"/>
      <c r="AK2003" s="73"/>
      <c r="AL2003" s="73"/>
      <c r="AM2003" s="73"/>
      <c r="AN2003" s="73"/>
      <c r="AO2003" s="73"/>
      <c r="AP2003" s="73"/>
      <c r="AQ2003" s="73"/>
      <c r="AR2003" s="73"/>
      <c r="AS2003" s="73"/>
      <c r="AT2003" s="73"/>
      <c r="AU2003" s="73"/>
      <c r="AV2003" s="73"/>
      <c r="AW2003" s="73"/>
      <c r="AX2003" s="73"/>
      <c r="AY2003" s="73"/>
      <c r="AZ2003" s="73"/>
      <c r="BA2003" s="73"/>
      <c r="BB2003" s="73"/>
      <c r="BC2003" s="73"/>
      <c r="BD2003" s="73"/>
      <c r="BE2003" s="73"/>
      <c r="BF2003" s="75"/>
      <c r="BG2003" s="73"/>
      <c r="BH2003" s="88"/>
      <c r="BI2003" s="73"/>
      <c r="BJ2003" s="73"/>
      <c r="BK2003" s="73"/>
      <c r="BL2003" s="73"/>
      <c r="BM2003" s="73"/>
      <c r="BN2003" s="73"/>
      <c r="BO2003" s="73"/>
      <c r="BP2003" s="73"/>
      <c r="BQ2003" s="73"/>
      <c r="BR2003" s="73"/>
      <c r="BS2003" s="73"/>
      <c r="BT2003" s="73"/>
      <c r="BU2003" s="73"/>
      <c r="BV2003" s="73"/>
      <c r="BW2003" s="73"/>
      <c r="BX2003" s="73"/>
      <c r="BY2003" s="73"/>
      <c r="BZ2003" s="73"/>
      <c r="CA2003" s="73"/>
      <c r="CB2003" s="73"/>
      <c r="CC2003" s="73"/>
      <c r="CD2003" s="73"/>
      <c r="CE2003" s="73"/>
      <c r="CF2003" s="73"/>
      <c r="CG2003" s="73"/>
      <c r="CH2003" s="73"/>
    </row>
    <row r="2004">
      <c r="A2004" s="73"/>
      <c r="B2004" s="73"/>
      <c r="C2004" s="73"/>
      <c r="D2004" s="73"/>
      <c r="E2004" s="140"/>
      <c r="F2004" s="80"/>
      <c r="G2004" s="80"/>
      <c r="H2004" s="73"/>
      <c r="I2004" s="73"/>
      <c r="J2004" s="73"/>
      <c r="K2004" s="73"/>
      <c r="L2004" s="73"/>
      <c r="M2004" s="73"/>
      <c r="N2004" s="73"/>
      <c r="O2004" s="73"/>
      <c r="P2004" s="73"/>
      <c r="Q2004" s="73"/>
      <c r="R2004" s="73"/>
      <c r="S2004" s="73"/>
      <c r="T2004" s="73"/>
      <c r="U2004" s="73"/>
      <c r="V2004" s="73"/>
      <c r="W2004" s="73"/>
      <c r="X2004" s="73"/>
      <c r="Y2004" s="73"/>
      <c r="Z2004" s="73"/>
      <c r="AA2004" s="73"/>
      <c r="AB2004" s="73"/>
      <c r="AC2004" s="73"/>
      <c r="AD2004" s="73"/>
      <c r="AE2004" s="73"/>
      <c r="AF2004" s="73"/>
      <c r="AG2004" s="73"/>
      <c r="AH2004" s="73"/>
      <c r="AI2004" s="73"/>
      <c r="AJ2004" s="168"/>
      <c r="AK2004" s="73"/>
      <c r="AL2004" s="73"/>
      <c r="AM2004" s="73"/>
      <c r="AN2004" s="73"/>
      <c r="AO2004" s="73"/>
      <c r="AP2004" s="73"/>
      <c r="AQ2004" s="73"/>
      <c r="AR2004" s="73"/>
      <c r="AS2004" s="73"/>
      <c r="AT2004" s="73"/>
      <c r="AU2004" s="73"/>
      <c r="AV2004" s="73"/>
      <c r="AW2004" s="73"/>
      <c r="AX2004" s="73"/>
      <c r="AY2004" s="73"/>
      <c r="AZ2004" s="73"/>
      <c r="BA2004" s="73"/>
      <c r="BB2004" s="73"/>
      <c r="BC2004" s="73"/>
      <c r="BD2004" s="73"/>
      <c r="BE2004" s="73"/>
      <c r="BF2004" s="75"/>
      <c r="BG2004" s="73"/>
      <c r="BH2004" s="88"/>
      <c r="BI2004" s="73"/>
      <c r="BJ2004" s="73"/>
      <c r="BK2004" s="73"/>
      <c r="BL2004" s="73"/>
      <c r="BM2004" s="73"/>
      <c r="BN2004" s="73"/>
      <c r="BO2004" s="73"/>
      <c r="BP2004" s="73"/>
      <c r="BQ2004" s="73"/>
      <c r="BR2004" s="73"/>
      <c r="BS2004" s="73"/>
      <c r="BT2004" s="73"/>
      <c r="BU2004" s="73"/>
      <c r="BV2004" s="73"/>
      <c r="BW2004" s="73"/>
      <c r="BX2004" s="73"/>
      <c r="BY2004" s="73"/>
      <c r="BZ2004" s="73"/>
      <c r="CA2004" s="73"/>
      <c r="CB2004" s="73"/>
      <c r="CC2004" s="73"/>
      <c r="CD2004" s="73"/>
      <c r="CE2004" s="73"/>
      <c r="CF2004" s="73"/>
      <c r="CG2004" s="73"/>
      <c r="CH2004" s="73"/>
    </row>
    <row r="2005">
      <c r="A2005" s="73"/>
      <c r="B2005" s="73"/>
      <c r="C2005" s="73"/>
      <c r="D2005" s="73"/>
      <c r="E2005" s="140"/>
      <c r="F2005" s="80"/>
      <c r="G2005" s="80"/>
      <c r="H2005" s="73"/>
      <c r="I2005" s="73"/>
      <c r="J2005" s="73"/>
      <c r="K2005" s="73"/>
      <c r="L2005" s="73"/>
      <c r="M2005" s="73"/>
      <c r="N2005" s="73"/>
      <c r="O2005" s="73"/>
      <c r="P2005" s="73"/>
      <c r="Q2005" s="73"/>
      <c r="R2005" s="73"/>
      <c r="S2005" s="73"/>
      <c r="T2005" s="73"/>
      <c r="U2005" s="73"/>
      <c r="V2005" s="73"/>
      <c r="W2005" s="73"/>
      <c r="X2005" s="73"/>
      <c r="Y2005" s="73"/>
      <c r="Z2005" s="73"/>
      <c r="AA2005" s="73"/>
      <c r="AB2005" s="73"/>
      <c r="AC2005" s="73"/>
      <c r="AD2005" s="73"/>
      <c r="AE2005" s="73"/>
      <c r="AF2005" s="73"/>
      <c r="AG2005" s="73"/>
      <c r="AH2005" s="73"/>
      <c r="AI2005" s="73"/>
      <c r="AJ2005" s="168"/>
      <c r="AK2005" s="73"/>
      <c r="AL2005" s="73"/>
      <c r="AM2005" s="73"/>
      <c r="AN2005" s="73"/>
      <c r="AO2005" s="73"/>
      <c r="AP2005" s="73"/>
      <c r="AQ2005" s="73"/>
      <c r="AR2005" s="73"/>
      <c r="AS2005" s="73"/>
      <c r="AT2005" s="73"/>
      <c r="AU2005" s="73"/>
      <c r="AV2005" s="73"/>
      <c r="AW2005" s="73"/>
      <c r="AX2005" s="73"/>
      <c r="AY2005" s="73"/>
      <c r="AZ2005" s="73"/>
      <c r="BA2005" s="73"/>
      <c r="BB2005" s="73"/>
      <c r="BC2005" s="73"/>
      <c r="BD2005" s="73"/>
      <c r="BE2005" s="73"/>
      <c r="BF2005" s="75"/>
      <c r="BG2005" s="73"/>
      <c r="BH2005" s="88"/>
      <c r="BI2005" s="73"/>
      <c r="BJ2005" s="73"/>
      <c r="BK2005" s="73"/>
      <c r="BL2005" s="73"/>
      <c r="BM2005" s="73"/>
      <c r="BN2005" s="73"/>
      <c r="BO2005" s="73"/>
      <c r="BP2005" s="73"/>
      <c r="BQ2005" s="73"/>
      <c r="BR2005" s="73"/>
      <c r="BS2005" s="73"/>
      <c r="BT2005" s="73"/>
      <c r="BU2005" s="73"/>
      <c r="BV2005" s="73"/>
      <c r="BW2005" s="73"/>
      <c r="BX2005" s="73"/>
      <c r="BY2005" s="73"/>
      <c r="BZ2005" s="73"/>
      <c r="CA2005" s="73"/>
      <c r="CB2005" s="73"/>
      <c r="CC2005" s="73"/>
      <c r="CD2005" s="73"/>
      <c r="CE2005" s="73"/>
      <c r="CF2005" s="73"/>
      <c r="CG2005" s="73"/>
      <c r="CH2005" s="73"/>
    </row>
    <row r="2006">
      <c r="A2006" s="73"/>
      <c r="B2006" s="73"/>
      <c r="C2006" s="73"/>
      <c r="D2006" s="73"/>
      <c r="E2006" s="140"/>
      <c r="F2006" s="80"/>
      <c r="G2006" s="80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  <c r="S2006" s="73"/>
      <c r="T2006" s="73"/>
      <c r="U2006" s="73"/>
      <c r="V2006" s="73"/>
      <c r="W2006" s="73"/>
      <c r="X2006" s="73"/>
      <c r="Y2006" s="73"/>
      <c r="Z2006" s="73"/>
      <c r="AA2006" s="73"/>
      <c r="AB2006" s="73"/>
      <c r="AC2006" s="73"/>
      <c r="AD2006" s="73"/>
      <c r="AE2006" s="73"/>
      <c r="AF2006" s="73"/>
      <c r="AG2006" s="73"/>
      <c r="AH2006" s="73"/>
      <c r="AI2006" s="73"/>
      <c r="AJ2006" s="168"/>
      <c r="AK2006" s="73"/>
      <c r="AL2006" s="73"/>
      <c r="AM2006" s="73"/>
      <c r="AN2006" s="73"/>
      <c r="AO2006" s="73"/>
      <c r="AP2006" s="73"/>
      <c r="AQ2006" s="73"/>
      <c r="AR2006" s="73"/>
      <c r="AS2006" s="73"/>
      <c r="AT2006" s="73"/>
      <c r="AU2006" s="73"/>
      <c r="AV2006" s="73"/>
      <c r="AW2006" s="73"/>
      <c r="AX2006" s="73"/>
      <c r="AY2006" s="73"/>
      <c r="AZ2006" s="73"/>
      <c r="BA2006" s="73"/>
      <c r="BB2006" s="73"/>
      <c r="BC2006" s="73"/>
      <c r="BD2006" s="73"/>
      <c r="BE2006" s="73"/>
      <c r="BF2006" s="75"/>
      <c r="BG2006" s="73"/>
      <c r="BH2006" s="88"/>
      <c r="BI2006" s="73"/>
      <c r="BJ2006" s="73"/>
      <c r="BK2006" s="73"/>
      <c r="BL2006" s="73"/>
      <c r="BM2006" s="73"/>
      <c r="BN2006" s="73"/>
      <c r="BO2006" s="73"/>
      <c r="BP2006" s="73"/>
      <c r="BQ2006" s="73"/>
      <c r="BR2006" s="73"/>
      <c r="BS2006" s="73"/>
      <c r="BT2006" s="73"/>
      <c r="BU2006" s="73"/>
      <c r="BV2006" s="73"/>
      <c r="BW2006" s="73"/>
      <c r="BX2006" s="73"/>
      <c r="BY2006" s="73"/>
      <c r="BZ2006" s="73"/>
      <c r="CA2006" s="73"/>
      <c r="CB2006" s="73"/>
      <c r="CC2006" s="73"/>
      <c r="CD2006" s="73"/>
      <c r="CE2006" s="73"/>
      <c r="CF2006" s="73"/>
      <c r="CG2006" s="73"/>
      <c r="CH2006" s="73"/>
    </row>
    <row r="2007">
      <c r="A2007" s="73"/>
      <c r="B2007" s="73"/>
      <c r="C2007" s="73"/>
      <c r="D2007" s="73"/>
      <c r="E2007" s="140"/>
      <c r="F2007" s="80"/>
      <c r="G2007" s="80"/>
      <c r="H2007" s="73"/>
      <c r="I2007" s="73"/>
      <c r="J2007" s="73"/>
      <c r="K2007" s="73"/>
      <c r="L2007" s="73"/>
      <c r="M2007" s="73"/>
      <c r="N2007" s="73"/>
      <c r="O2007" s="73"/>
      <c r="P2007" s="73"/>
      <c r="Q2007" s="73"/>
      <c r="R2007" s="73"/>
      <c r="S2007" s="73"/>
      <c r="T2007" s="73"/>
      <c r="U2007" s="73"/>
      <c r="V2007" s="73"/>
      <c r="W2007" s="73"/>
      <c r="X2007" s="73"/>
      <c r="Y2007" s="73"/>
      <c r="Z2007" s="73"/>
      <c r="AA2007" s="73"/>
      <c r="AB2007" s="73"/>
      <c r="AC2007" s="73"/>
      <c r="AD2007" s="73"/>
      <c r="AE2007" s="73"/>
      <c r="AF2007" s="73"/>
      <c r="AG2007" s="73"/>
      <c r="AH2007" s="73"/>
      <c r="AI2007" s="73"/>
      <c r="AJ2007" s="168"/>
      <c r="AK2007" s="73"/>
      <c r="AL2007" s="73"/>
      <c r="AM2007" s="73"/>
      <c r="AN2007" s="73"/>
      <c r="AO2007" s="73"/>
      <c r="AP2007" s="73"/>
      <c r="AQ2007" s="73"/>
      <c r="AR2007" s="73"/>
      <c r="AS2007" s="73"/>
      <c r="AT2007" s="73"/>
      <c r="AU2007" s="73"/>
      <c r="AV2007" s="73"/>
      <c r="AW2007" s="73"/>
      <c r="AX2007" s="73"/>
      <c r="AY2007" s="73"/>
      <c r="AZ2007" s="73"/>
      <c r="BA2007" s="73"/>
      <c r="BB2007" s="73"/>
      <c r="BC2007" s="73"/>
      <c r="BD2007" s="73"/>
      <c r="BE2007" s="73"/>
      <c r="BF2007" s="75"/>
      <c r="BG2007" s="73"/>
      <c r="BH2007" s="88"/>
      <c r="BI2007" s="73"/>
      <c r="BJ2007" s="73"/>
      <c r="BK2007" s="73"/>
      <c r="BL2007" s="73"/>
      <c r="BM2007" s="73"/>
      <c r="BN2007" s="73"/>
      <c r="BO2007" s="73"/>
      <c r="BP2007" s="73"/>
      <c r="BQ2007" s="73"/>
      <c r="BR2007" s="73"/>
      <c r="BS2007" s="73"/>
      <c r="BT2007" s="73"/>
      <c r="BU2007" s="73"/>
      <c r="BV2007" s="73"/>
      <c r="BW2007" s="73"/>
      <c r="BX2007" s="73"/>
      <c r="BY2007" s="73"/>
      <c r="BZ2007" s="73"/>
      <c r="CA2007" s="73"/>
      <c r="CB2007" s="73"/>
      <c r="CC2007" s="73"/>
      <c r="CD2007" s="73"/>
      <c r="CE2007" s="73"/>
      <c r="CF2007" s="73"/>
      <c r="CG2007" s="73"/>
      <c r="CH2007" s="73"/>
    </row>
    <row r="2008">
      <c r="A2008" s="73"/>
      <c r="B2008" s="73"/>
      <c r="C2008" s="73"/>
      <c r="D2008" s="73"/>
      <c r="E2008" s="140"/>
      <c r="F2008" s="80"/>
      <c r="G2008" s="80"/>
      <c r="H2008" s="73"/>
      <c r="I2008" s="73"/>
      <c r="J2008" s="73"/>
      <c r="K2008" s="73"/>
      <c r="L2008" s="73"/>
      <c r="M2008" s="73"/>
      <c r="N2008" s="73"/>
      <c r="O2008" s="73"/>
      <c r="P2008" s="73"/>
      <c r="Q2008" s="73"/>
      <c r="R2008" s="73"/>
      <c r="S2008" s="73"/>
      <c r="T2008" s="73"/>
      <c r="U2008" s="73"/>
      <c r="V2008" s="73"/>
      <c r="W2008" s="73"/>
      <c r="X2008" s="73"/>
      <c r="Y2008" s="73"/>
      <c r="Z2008" s="73"/>
      <c r="AA2008" s="73"/>
      <c r="AB2008" s="73"/>
      <c r="AC2008" s="73"/>
      <c r="AD2008" s="73"/>
      <c r="AE2008" s="73"/>
      <c r="AF2008" s="73"/>
      <c r="AG2008" s="73"/>
      <c r="AH2008" s="73"/>
      <c r="AI2008" s="73"/>
      <c r="AJ2008" s="168"/>
      <c r="AK2008" s="73"/>
      <c r="AL2008" s="73"/>
      <c r="AM2008" s="73"/>
      <c r="AN2008" s="73"/>
      <c r="AO2008" s="73"/>
      <c r="AP2008" s="73"/>
      <c r="AQ2008" s="73"/>
      <c r="AR2008" s="73"/>
      <c r="AS2008" s="73"/>
      <c r="AT2008" s="73"/>
      <c r="AU2008" s="73"/>
      <c r="AV2008" s="73"/>
      <c r="AW2008" s="73"/>
      <c r="AX2008" s="73"/>
      <c r="AY2008" s="73"/>
      <c r="AZ2008" s="73"/>
      <c r="BA2008" s="73"/>
      <c r="BB2008" s="73"/>
      <c r="BC2008" s="73"/>
      <c r="BD2008" s="73"/>
      <c r="BE2008" s="73"/>
      <c r="BF2008" s="75"/>
      <c r="BG2008" s="73"/>
      <c r="BH2008" s="88"/>
      <c r="BI2008" s="73"/>
      <c r="BJ2008" s="73"/>
      <c r="BK2008" s="73"/>
      <c r="BL2008" s="73"/>
      <c r="BM2008" s="73"/>
      <c r="BN2008" s="73"/>
      <c r="BO2008" s="73"/>
      <c r="BP2008" s="73"/>
      <c r="BQ2008" s="73"/>
      <c r="BR2008" s="73"/>
      <c r="BS2008" s="73"/>
      <c r="BT2008" s="73"/>
      <c r="BU2008" s="73"/>
      <c r="BV2008" s="73"/>
      <c r="BW2008" s="73"/>
      <c r="BX2008" s="73"/>
      <c r="BY2008" s="73"/>
      <c r="BZ2008" s="73"/>
      <c r="CA2008" s="73"/>
      <c r="CB2008" s="73"/>
      <c r="CC2008" s="73"/>
      <c r="CD2008" s="73"/>
      <c r="CE2008" s="73"/>
      <c r="CF2008" s="73"/>
      <c r="CG2008" s="73"/>
      <c r="CH2008" s="73"/>
    </row>
    <row r="2009">
      <c r="A2009" s="73"/>
      <c r="B2009" s="73"/>
      <c r="C2009" s="73"/>
      <c r="D2009" s="73"/>
      <c r="E2009" s="140"/>
      <c r="F2009" s="80"/>
      <c r="G2009" s="80"/>
      <c r="H2009" s="73"/>
      <c r="I2009" s="73"/>
      <c r="J2009" s="73"/>
      <c r="K2009" s="73"/>
      <c r="L2009" s="73"/>
      <c r="M2009" s="73"/>
      <c r="N2009" s="73"/>
      <c r="O2009" s="73"/>
      <c r="P2009" s="73"/>
      <c r="Q2009" s="73"/>
      <c r="R2009" s="73"/>
      <c r="S2009" s="73"/>
      <c r="T2009" s="73"/>
      <c r="U2009" s="73"/>
      <c r="V2009" s="73"/>
      <c r="W2009" s="73"/>
      <c r="X2009" s="73"/>
      <c r="Y2009" s="73"/>
      <c r="Z2009" s="73"/>
      <c r="AA2009" s="73"/>
      <c r="AB2009" s="73"/>
      <c r="AC2009" s="73"/>
      <c r="AD2009" s="73"/>
      <c r="AE2009" s="73"/>
      <c r="AF2009" s="73"/>
      <c r="AG2009" s="73"/>
      <c r="AH2009" s="73"/>
      <c r="AI2009" s="73"/>
      <c r="AJ2009" s="168"/>
      <c r="AK2009" s="73"/>
      <c r="AL2009" s="73"/>
      <c r="AM2009" s="73"/>
      <c r="AN2009" s="73"/>
      <c r="AO2009" s="73"/>
      <c r="AP2009" s="73"/>
      <c r="AQ2009" s="73"/>
      <c r="AR2009" s="73"/>
      <c r="AS2009" s="73"/>
      <c r="AT2009" s="73"/>
      <c r="AU2009" s="73"/>
      <c r="AV2009" s="73"/>
      <c r="AW2009" s="73"/>
      <c r="AX2009" s="73"/>
      <c r="AY2009" s="73"/>
      <c r="AZ2009" s="73"/>
      <c r="BA2009" s="73"/>
      <c r="BB2009" s="73"/>
      <c r="BC2009" s="73"/>
      <c r="BD2009" s="73"/>
      <c r="BE2009" s="73"/>
      <c r="BF2009" s="75"/>
      <c r="BG2009" s="73"/>
      <c r="BH2009" s="88"/>
      <c r="BI2009" s="73"/>
      <c r="BJ2009" s="73"/>
      <c r="BK2009" s="73"/>
      <c r="BL2009" s="73"/>
      <c r="BM2009" s="73"/>
      <c r="BN2009" s="73"/>
      <c r="BO2009" s="73"/>
      <c r="BP2009" s="73"/>
      <c r="BQ2009" s="73"/>
      <c r="BR2009" s="73"/>
      <c r="BS2009" s="73"/>
      <c r="BT2009" s="73"/>
      <c r="BU2009" s="73"/>
      <c r="BV2009" s="73"/>
      <c r="BW2009" s="73"/>
      <c r="BX2009" s="73"/>
      <c r="BY2009" s="73"/>
      <c r="BZ2009" s="73"/>
      <c r="CA2009" s="73"/>
      <c r="CB2009" s="73"/>
      <c r="CC2009" s="73"/>
      <c r="CD2009" s="73"/>
      <c r="CE2009" s="73"/>
      <c r="CF2009" s="73"/>
      <c r="CG2009" s="73"/>
      <c r="CH2009" s="73"/>
    </row>
    <row r="2010">
      <c r="A2010" s="73"/>
      <c r="B2010" s="73"/>
      <c r="C2010" s="73"/>
      <c r="D2010" s="73"/>
      <c r="E2010" s="140"/>
      <c r="F2010" s="80"/>
      <c r="G2010" s="80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  <c r="S2010" s="73"/>
      <c r="T2010" s="73"/>
      <c r="U2010" s="73"/>
      <c r="V2010" s="73"/>
      <c r="W2010" s="73"/>
      <c r="X2010" s="73"/>
      <c r="Y2010" s="73"/>
      <c r="Z2010" s="73"/>
      <c r="AA2010" s="73"/>
      <c r="AB2010" s="73"/>
      <c r="AC2010" s="73"/>
      <c r="AD2010" s="73"/>
      <c r="AE2010" s="73"/>
      <c r="AF2010" s="73"/>
      <c r="AG2010" s="73"/>
      <c r="AH2010" s="73"/>
      <c r="AI2010" s="73"/>
      <c r="AJ2010" s="168"/>
      <c r="AK2010" s="73"/>
      <c r="AL2010" s="73"/>
      <c r="AM2010" s="73"/>
      <c r="AN2010" s="73"/>
      <c r="AO2010" s="73"/>
      <c r="AP2010" s="73"/>
      <c r="AQ2010" s="73"/>
      <c r="AR2010" s="73"/>
      <c r="AS2010" s="73"/>
      <c r="AT2010" s="73"/>
      <c r="AU2010" s="73"/>
      <c r="AV2010" s="73"/>
      <c r="AW2010" s="73"/>
      <c r="AX2010" s="73"/>
      <c r="AY2010" s="73"/>
      <c r="AZ2010" s="73"/>
      <c r="BA2010" s="73"/>
      <c r="BB2010" s="73"/>
      <c r="BC2010" s="73"/>
      <c r="BD2010" s="73"/>
      <c r="BE2010" s="73"/>
      <c r="BF2010" s="75"/>
      <c r="BG2010" s="73"/>
      <c r="BH2010" s="88"/>
      <c r="BI2010" s="73"/>
      <c r="BJ2010" s="73"/>
      <c r="BK2010" s="73"/>
      <c r="BL2010" s="73"/>
      <c r="BM2010" s="73"/>
      <c r="BN2010" s="73"/>
      <c r="BO2010" s="73"/>
      <c r="BP2010" s="73"/>
      <c r="BQ2010" s="73"/>
      <c r="BR2010" s="73"/>
      <c r="BS2010" s="73"/>
      <c r="BT2010" s="73"/>
      <c r="BU2010" s="73"/>
      <c r="BV2010" s="73"/>
      <c r="BW2010" s="73"/>
      <c r="BX2010" s="73"/>
      <c r="BY2010" s="73"/>
      <c r="BZ2010" s="73"/>
      <c r="CA2010" s="73"/>
      <c r="CB2010" s="73"/>
      <c r="CC2010" s="73"/>
      <c r="CD2010" s="73"/>
      <c r="CE2010" s="73"/>
      <c r="CF2010" s="73"/>
      <c r="CG2010" s="73"/>
      <c r="CH2010" s="73"/>
    </row>
    <row r="2011">
      <c r="A2011" s="73"/>
      <c r="B2011" s="73"/>
      <c r="C2011" s="73"/>
      <c r="D2011" s="73"/>
      <c r="E2011" s="140"/>
      <c r="F2011" s="80"/>
      <c r="G2011" s="80"/>
      <c r="H2011" s="73"/>
      <c r="I2011" s="73"/>
      <c r="J2011" s="73"/>
      <c r="K2011" s="73"/>
      <c r="L2011" s="73"/>
      <c r="M2011" s="73"/>
      <c r="N2011" s="73"/>
      <c r="O2011" s="73"/>
      <c r="P2011" s="73"/>
      <c r="Q2011" s="73"/>
      <c r="R2011" s="73"/>
      <c r="S2011" s="73"/>
      <c r="T2011" s="73"/>
      <c r="U2011" s="73"/>
      <c r="V2011" s="73"/>
      <c r="W2011" s="73"/>
      <c r="X2011" s="73"/>
      <c r="Y2011" s="73"/>
      <c r="Z2011" s="73"/>
      <c r="AA2011" s="73"/>
      <c r="AB2011" s="73"/>
      <c r="AC2011" s="73"/>
      <c r="AD2011" s="73"/>
      <c r="AE2011" s="73"/>
      <c r="AF2011" s="73"/>
      <c r="AG2011" s="73"/>
      <c r="AH2011" s="73"/>
      <c r="AI2011" s="73"/>
      <c r="AJ2011" s="168"/>
      <c r="AK2011" s="73"/>
      <c r="AL2011" s="73"/>
      <c r="AM2011" s="73"/>
      <c r="AN2011" s="73"/>
      <c r="AO2011" s="73"/>
      <c r="AP2011" s="73"/>
      <c r="AQ2011" s="73"/>
      <c r="AR2011" s="73"/>
      <c r="AS2011" s="73"/>
      <c r="AT2011" s="73"/>
      <c r="AU2011" s="73"/>
      <c r="AV2011" s="73"/>
      <c r="AW2011" s="73"/>
      <c r="AX2011" s="73"/>
      <c r="AY2011" s="73"/>
      <c r="AZ2011" s="73"/>
      <c r="BA2011" s="73"/>
      <c r="BB2011" s="73"/>
      <c r="BC2011" s="73"/>
      <c r="BD2011" s="73"/>
      <c r="BE2011" s="73"/>
      <c r="BF2011" s="75"/>
      <c r="BG2011" s="73"/>
      <c r="BH2011" s="88"/>
      <c r="BI2011" s="73"/>
      <c r="BJ2011" s="73"/>
      <c r="BK2011" s="73"/>
      <c r="BL2011" s="73"/>
      <c r="BM2011" s="73"/>
      <c r="BN2011" s="73"/>
      <c r="BO2011" s="73"/>
      <c r="BP2011" s="73"/>
      <c r="BQ2011" s="73"/>
      <c r="BR2011" s="73"/>
      <c r="BS2011" s="73"/>
      <c r="BT2011" s="73"/>
      <c r="BU2011" s="73"/>
      <c r="BV2011" s="73"/>
      <c r="BW2011" s="73"/>
      <c r="BX2011" s="73"/>
      <c r="BY2011" s="73"/>
      <c r="BZ2011" s="73"/>
      <c r="CA2011" s="73"/>
      <c r="CB2011" s="73"/>
      <c r="CC2011" s="73"/>
      <c r="CD2011" s="73"/>
      <c r="CE2011" s="73"/>
      <c r="CF2011" s="73"/>
      <c r="CG2011" s="73"/>
      <c r="CH2011" s="73"/>
    </row>
    <row r="2012">
      <c r="A2012" s="73"/>
      <c r="B2012" s="73"/>
      <c r="C2012" s="73"/>
      <c r="D2012" s="73"/>
      <c r="E2012" s="140"/>
      <c r="F2012" s="80"/>
      <c r="G2012" s="80"/>
      <c r="H2012" s="73"/>
      <c r="I2012" s="73"/>
      <c r="J2012" s="73"/>
      <c r="K2012" s="73"/>
      <c r="L2012" s="73"/>
      <c r="M2012" s="73"/>
      <c r="N2012" s="73"/>
      <c r="O2012" s="73"/>
      <c r="P2012" s="73"/>
      <c r="Q2012" s="73"/>
      <c r="R2012" s="73"/>
      <c r="S2012" s="73"/>
      <c r="T2012" s="73"/>
      <c r="U2012" s="73"/>
      <c r="V2012" s="73"/>
      <c r="W2012" s="73"/>
      <c r="X2012" s="73"/>
      <c r="Y2012" s="73"/>
      <c r="Z2012" s="73"/>
      <c r="AA2012" s="73"/>
      <c r="AB2012" s="73"/>
      <c r="AC2012" s="73"/>
      <c r="AD2012" s="73"/>
      <c r="AE2012" s="73"/>
      <c r="AF2012" s="73"/>
      <c r="AG2012" s="73"/>
      <c r="AH2012" s="73"/>
      <c r="AI2012" s="73"/>
      <c r="AJ2012" s="168"/>
      <c r="AK2012" s="73"/>
      <c r="AL2012" s="73"/>
      <c r="AM2012" s="73"/>
      <c r="AN2012" s="73"/>
      <c r="AO2012" s="73"/>
      <c r="AP2012" s="73"/>
      <c r="AQ2012" s="73"/>
      <c r="AR2012" s="73"/>
      <c r="AS2012" s="73"/>
      <c r="AT2012" s="73"/>
      <c r="AU2012" s="73"/>
      <c r="AV2012" s="73"/>
      <c r="AW2012" s="73"/>
      <c r="AX2012" s="73"/>
      <c r="AY2012" s="73"/>
      <c r="AZ2012" s="73"/>
      <c r="BA2012" s="73"/>
      <c r="BB2012" s="73"/>
      <c r="BC2012" s="73"/>
      <c r="BD2012" s="73"/>
      <c r="BE2012" s="73"/>
      <c r="BF2012" s="75"/>
      <c r="BG2012" s="73"/>
      <c r="BH2012" s="88"/>
      <c r="BI2012" s="73"/>
      <c r="BJ2012" s="73"/>
      <c r="BK2012" s="73"/>
      <c r="BL2012" s="73"/>
      <c r="BM2012" s="73"/>
      <c r="BN2012" s="73"/>
      <c r="BO2012" s="73"/>
      <c r="BP2012" s="73"/>
      <c r="BQ2012" s="73"/>
      <c r="BR2012" s="73"/>
      <c r="BS2012" s="73"/>
      <c r="BT2012" s="73"/>
      <c r="BU2012" s="73"/>
      <c r="BV2012" s="73"/>
      <c r="BW2012" s="73"/>
      <c r="BX2012" s="73"/>
      <c r="BY2012" s="73"/>
      <c r="BZ2012" s="73"/>
      <c r="CA2012" s="73"/>
      <c r="CB2012" s="73"/>
      <c r="CC2012" s="73"/>
      <c r="CD2012" s="73"/>
      <c r="CE2012" s="73"/>
      <c r="CF2012" s="73"/>
      <c r="CG2012" s="73"/>
      <c r="CH2012" s="73"/>
    </row>
    <row r="2013">
      <c r="A2013" s="73"/>
      <c r="B2013" s="73"/>
      <c r="C2013" s="73"/>
      <c r="D2013" s="73"/>
      <c r="E2013" s="140"/>
      <c r="F2013" s="80"/>
      <c r="G2013" s="80"/>
      <c r="H2013" s="73"/>
      <c r="I2013" s="73"/>
      <c r="J2013" s="73"/>
      <c r="K2013" s="73"/>
      <c r="L2013" s="73"/>
      <c r="M2013" s="73"/>
      <c r="N2013" s="73"/>
      <c r="O2013" s="73"/>
      <c r="P2013" s="73"/>
      <c r="Q2013" s="73"/>
      <c r="R2013" s="73"/>
      <c r="S2013" s="73"/>
      <c r="T2013" s="73"/>
      <c r="U2013" s="73"/>
      <c r="V2013" s="73"/>
      <c r="W2013" s="73"/>
      <c r="X2013" s="73"/>
      <c r="Y2013" s="73"/>
      <c r="Z2013" s="73"/>
      <c r="AA2013" s="73"/>
      <c r="AB2013" s="73"/>
      <c r="AC2013" s="73"/>
      <c r="AD2013" s="73"/>
      <c r="AE2013" s="73"/>
      <c r="AF2013" s="73"/>
      <c r="AG2013" s="73"/>
      <c r="AH2013" s="73"/>
      <c r="AI2013" s="73"/>
      <c r="AJ2013" s="168"/>
      <c r="AK2013" s="73"/>
      <c r="AL2013" s="73"/>
      <c r="AM2013" s="73"/>
      <c r="AN2013" s="73"/>
      <c r="AO2013" s="73"/>
      <c r="AP2013" s="73"/>
      <c r="AQ2013" s="73"/>
      <c r="AR2013" s="73"/>
      <c r="AS2013" s="73"/>
      <c r="AT2013" s="73"/>
      <c r="AU2013" s="73"/>
      <c r="AV2013" s="73"/>
      <c r="AW2013" s="73"/>
      <c r="AX2013" s="73"/>
      <c r="AY2013" s="73"/>
      <c r="AZ2013" s="73"/>
      <c r="BA2013" s="73"/>
      <c r="BB2013" s="73"/>
      <c r="BC2013" s="73"/>
      <c r="BD2013" s="73"/>
      <c r="BE2013" s="73"/>
      <c r="BF2013" s="75"/>
      <c r="BG2013" s="73"/>
      <c r="BH2013" s="88"/>
      <c r="BI2013" s="73"/>
      <c r="BJ2013" s="73"/>
      <c r="BK2013" s="73"/>
      <c r="BL2013" s="73"/>
      <c r="BM2013" s="73"/>
      <c r="BN2013" s="73"/>
      <c r="BO2013" s="73"/>
      <c r="BP2013" s="73"/>
      <c r="BQ2013" s="73"/>
      <c r="BR2013" s="73"/>
      <c r="BS2013" s="73"/>
      <c r="BT2013" s="73"/>
      <c r="BU2013" s="73"/>
      <c r="BV2013" s="73"/>
      <c r="BW2013" s="73"/>
      <c r="BX2013" s="73"/>
      <c r="BY2013" s="73"/>
      <c r="BZ2013" s="73"/>
      <c r="CA2013" s="73"/>
      <c r="CB2013" s="73"/>
      <c r="CC2013" s="73"/>
      <c r="CD2013" s="73"/>
      <c r="CE2013" s="73"/>
      <c r="CF2013" s="73"/>
      <c r="CG2013" s="73"/>
      <c r="CH2013" s="73"/>
    </row>
    <row r="2014">
      <c r="A2014" s="73"/>
      <c r="B2014" s="73"/>
      <c r="C2014" s="73"/>
      <c r="D2014" s="73"/>
      <c r="E2014" s="140"/>
      <c r="F2014" s="80"/>
      <c r="G2014" s="80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  <c r="S2014" s="73"/>
      <c r="T2014" s="73"/>
      <c r="U2014" s="73"/>
      <c r="V2014" s="73"/>
      <c r="W2014" s="73"/>
      <c r="X2014" s="73"/>
      <c r="Y2014" s="73"/>
      <c r="Z2014" s="73"/>
      <c r="AA2014" s="73"/>
      <c r="AB2014" s="73"/>
      <c r="AC2014" s="73"/>
      <c r="AD2014" s="73"/>
      <c r="AE2014" s="73"/>
      <c r="AF2014" s="73"/>
      <c r="AG2014" s="73"/>
      <c r="AH2014" s="73"/>
      <c r="AI2014" s="73"/>
      <c r="AJ2014" s="168"/>
      <c r="AK2014" s="73"/>
      <c r="AL2014" s="73"/>
      <c r="AM2014" s="73"/>
      <c r="AN2014" s="73"/>
      <c r="AO2014" s="73"/>
      <c r="AP2014" s="73"/>
      <c r="AQ2014" s="73"/>
      <c r="AR2014" s="73"/>
      <c r="AS2014" s="73"/>
      <c r="AT2014" s="73"/>
      <c r="AU2014" s="73"/>
      <c r="AV2014" s="73"/>
      <c r="AW2014" s="73"/>
      <c r="AX2014" s="73"/>
      <c r="AY2014" s="73"/>
      <c r="AZ2014" s="73"/>
      <c r="BA2014" s="73"/>
      <c r="BB2014" s="73"/>
      <c r="BC2014" s="73"/>
      <c r="BD2014" s="73"/>
      <c r="BE2014" s="73"/>
      <c r="BF2014" s="75"/>
      <c r="BG2014" s="73"/>
      <c r="BH2014" s="88"/>
      <c r="BI2014" s="73"/>
      <c r="BJ2014" s="73"/>
      <c r="BK2014" s="73"/>
      <c r="BL2014" s="73"/>
      <c r="BM2014" s="73"/>
      <c r="BN2014" s="73"/>
      <c r="BO2014" s="73"/>
      <c r="BP2014" s="73"/>
      <c r="BQ2014" s="73"/>
      <c r="BR2014" s="73"/>
      <c r="BS2014" s="73"/>
      <c r="BT2014" s="73"/>
      <c r="BU2014" s="73"/>
      <c r="BV2014" s="73"/>
      <c r="BW2014" s="73"/>
      <c r="BX2014" s="73"/>
      <c r="BY2014" s="73"/>
      <c r="BZ2014" s="73"/>
      <c r="CA2014" s="73"/>
      <c r="CB2014" s="73"/>
      <c r="CC2014" s="73"/>
      <c r="CD2014" s="73"/>
      <c r="CE2014" s="73"/>
      <c r="CF2014" s="73"/>
      <c r="CG2014" s="73"/>
      <c r="CH2014" s="73"/>
    </row>
    <row r="2015">
      <c r="A2015" s="73"/>
      <c r="B2015" s="73"/>
      <c r="C2015" s="73"/>
      <c r="D2015" s="73"/>
      <c r="E2015" s="140"/>
      <c r="F2015" s="80"/>
      <c r="G2015" s="80"/>
      <c r="H2015" s="73"/>
      <c r="I2015" s="73"/>
      <c r="J2015" s="73"/>
      <c r="K2015" s="73"/>
      <c r="L2015" s="73"/>
      <c r="M2015" s="73"/>
      <c r="N2015" s="73"/>
      <c r="O2015" s="73"/>
      <c r="P2015" s="73"/>
      <c r="Q2015" s="73"/>
      <c r="R2015" s="73"/>
      <c r="S2015" s="73"/>
      <c r="T2015" s="73"/>
      <c r="U2015" s="73"/>
      <c r="V2015" s="73"/>
      <c r="W2015" s="73"/>
      <c r="X2015" s="73"/>
      <c r="Y2015" s="73"/>
      <c r="Z2015" s="73"/>
      <c r="AA2015" s="73"/>
      <c r="AB2015" s="73"/>
      <c r="AC2015" s="73"/>
      <c r="AD2015" s="73"/>
      <c r="AE2015" s="73"/>
      <c r="AF2015" s="73"/>
      <c r="AG2015" s="73"/>
      <c r="AH2015" s="73"/>
      <c r="AI2015" s="73"/>
      <c r="AJ2015" s="168"/>
      <c r="AK2015" s="73"/>
      <c r="AL2015" s="73"/>
      <c r="AM2015" s="73"/>
      <c r="AN2015" s="73"/>
      <c r="AO2015" s="73"/>
      <c r="AP2015" s="73"/>
      <c r="AQ2015" s="73"/>
      <c r="AR2015" s="73"/>
      <c r="AS2015" s="73"/>
      <c r="AT2015" s="73"/>
      <c r="AU2015" s="73"/>
      <c r="AV2015" s="73"/>
      <c r="AW2015" s="73"/>
      <c r="AX2015" s="73"/>
      <c r="AY2015" s="73"/>
      <c r="AZ2015" s="73"/>
      <c r="BA2015" s="73"/>
      <c r="BB2015" s="73"/>
      <c r="BC2015" s="73"/>
      <c r="BD2015" s="73"/>
      <c r="BE2015" s="73"/>
      <c r="BF2015" s="75"/>
      <c r="BG2015" s="73"/>
      <c r="BH2015" s="88"/>
      <c r="BI2015" s="73"/>
      <c r="BJ2015" s="73"/>
      <c r="BK2015" s="73"/>
      <c r="BL2015" s="73"/>
      <c r="BM2015" s="73"/>
      <c r="BN2015" s="73"/>
      <c r="BO2015" s="73"/>
      <c r="BP2015" s="73"/>
      <c r="BQ2015" s="73"/>
      <c r="BR2015" s="73"/>
      <c r="BS2015" s="73"/>
      <c r="BT2015" s="73"/>
      <c r="BU2015" s="73"/>
      <c r="BV2015" s="73"/>
      <c r="BW2015" s="73"/>
      <c r="BX2015" s="73"/>
      <c r="BY2015" s="73"/>
      <c r="BZ2015" s="73"/>
      <c r="CA2015" s="73"/>
      <c r="CB2015" s="73"/>
      <c r="CC2015" s="73"/>
      <c r="CD2015" s="73"/>
      <c r="CE2015" s="73"/>
      <c r="CF2015" s="73"/>
      <c r="CG2015" s="73"/>
      <c r="CH2015" s="73"/>
    </row>
    <row r="2016">
      <c r="A2016" s="73"/>
      <c r="B2016" s="73"/>
      <c r="C2016" s="73"/>
      <c r="D2016" s="73"/>
      <c r="E2016" s="140"/>
      <c r="F2016" s="80"/>
      <c r="G2016" s="80"/>
      <c r="H2016" s="73"/>
      <c r="I2016" s="73"/>
      <c r="J2016" s="73"/>
      <c r="K2016" s="73"/>
      <c r="L2016" s="73"/>
      <c r="M2016" s="73"/>
      <c r="N2016" s="73"/>
      <c r="O2016" s="73"/>
      <c r="P2016" s="73"/>
      <c r="Q2016" s="73"/>
      <c r="R2016" s="73"/>
      <c r="S2016" s="73"/>
      <c r="T2016" s="73"/>
      <c r="U2016" s="73"/>
      <c r="V2016" s="73"/>
      <c r="W2016" s="73"/>
      <c r="X2016" s="73"/>
      <c r="Y2016" s="73"/>
      <c r="Z2016" s="73"/>
      <c r="AA2016" s="73"/>
      <c r="AB2016" s="73"/>
      <c r="AC2016" s="73"/>
      <c r="AD2016" s="73"/>
      <c r="AE2016" s="73"/>
      <c r="AF2016" s="73"/>
      <c r="AG2016" s="73"/>
      <c r="AH2016" s="73"/>
      <c r="AI2016" s="73"/>
      <c r="AJ2016" s="168"/>
      <c r="AK2016" s="73"/>
      <c r="AL2016" s="73"/>
      <c r="AM2016" s="73"/>
      <c r="AN2016" s="73"/>
      <c r="AO2016" s="73"/>
      <c r="AP2016" s="73"/>
      <c r="AQ2016" s="73"/>
      <c r="AR2016" s="73"/>
      <c r="AS2016" s="73"/>
      <c r="AT2016" s="73"/>
      <c r="AU2016" s="73"/>
      <c r="AV2016" s="73"/>
      <c r="AW2016" s="73"/>
      <c r="AX2016" s="73"/>
      <c r="AY2016" s="73"/>
      <c r="AZ2016" s="73"/>
      <c r="BA2016" s="73"/>
      <c r="BB2016" s="73"/>
      <c r="BC2016" s="73"/>
      <c r="BD2016" s="73"/>
      <c r="BE2016" s="73"/>
      <c r="BF2016" s="75"/>
      <c r="BG2016" s="73"/>
      <c r="BH2016" s="88"/>
      <c r="BI2016" s="73"/>
      <c r="BJ2016" s="73"/>
      <c r="BK2016" s="73"/>
      <c r="BL2016" s="73"/>
      <c r="BM2016" s="73"/>
      <c r="BN2016" s="73"/>
      <c r="BO2016" s="73"/>
      <c r="BP2016" s="73"/>
      <c r="BQ2016" s="73"/>
      <c r="BR2016" s="73"/>
      <c r="BS2016" s="73"/>
      <c r="BT2016" s="73"/>
      <c r="BU2016" s="73"/>
      <c r="BV2016" s="73"/>
      <c r="BW2016" s="73"/>
      <c r="BX2016" s="73"/>
      <c r="BY2016" s="73"/>
      <c r="BZ2016" s="73"/>
      <c r="CA2016" s="73"/>
      <c r="CB2016" s="73"/>
      <c r="CC2016" s="73"/>
      <c r="CD2016" s="73"/>
      <c r="CE2016" s="73"/>
      <c r="CF2016" s="73"/>
      <c r="CG2016" s="73"/>
      <c r="CH2016" s="73"/>
    </row>
    <row r="2017">
      <c r="A2017" s="73"/>
      <c r="B2017" s="73"/>
      <c r="C2017" s="73"/>
      <c r="D2017" s="73"/>
      <c r="E2017" s="140"/>
      <c r="F2017" s="80"/>
      <c r="G2017" s="80"/>
      <c r="H2017" s="73"/>
      <c r="I2017" s="73"/>
      <c r="J2017" s="73"/>
      <c r="K2017" s="73"/>
      <c r="L2017" s="73"/>
      <c r="M2017" s="73"/>
      <c r="N2017" s="73"/>
      <c r="O2017" s="73"/>
      <c r="P2017" s="73"/>
      <c r="Q2017" s="73"/>
      <c r="R2017" s="73"/>
      <c r="S2017" s="73"/>
      <c r="T2017" s="73"/>
      <c r="U2017" s="73"/>
      <c r="V2017" s="73"/>
      <c r="W2017" s="73"/>
      <c r="X2017" s="73"/>
      <c r="Y2017" s="73"/>
      <c r="Z2017" s="73"/>
      <c r="AA2017" s="73"/>
      <c r="AB2017" s="73"/>
      <c r="AC2017" s="73"/>
      <c r="AD2017" s="73"/>
      <c r="AE2017" s="73"/>
      <c r="AF2017" s="73"/>
      <c r="AG2017" s="73"/>
      <c r="AH2017" s="73"/>
      <c r="AI2017" s="73"/>
      <c r="AJ2017" s="168"/>
      <c r="AK2017" s="73"/>
      <c r="AL2017" s="73"/>
      <c r="AM2017" s="73"/>
      <c r="AN2017" s="73"/>
      <c r="AO2017" s="73"/>
      <c r="AP2017" s="73"/>
      <c r="AQ2017" s="73"/>
      <c r="AR2017" s="73"/>
      <c r="AS2017" s="73"/>
      <c r="AT2017" s="73"/>
      <c r="AU2017" s="73"/>
      <c r="AV2017" s="73"/>
      <c r="AW2017" s="73"/>
      <c r="AX2017" s="73"/>
      <c r="AY2017" s="73"/>
      <c r="AZ2017" s="73"/>
      <c r="BA2017" s="73"/>
      <c r="BB2017" s="73"/>
      <c r="BC2017" s="73"/>
      <c r="BD2017" s="73"/>
      <c r="BE2017" s="73"/>
      <c r="BF2017" s="75"/>
      <c r="BG2017" s="73"/>
      <c r="BH2017" s="88"/>
      <c r="BI2017" s="73"/>
      <c r="BJ2017" s="73"/>
      <c r="BK2017" s="73"/>
      <c r="BL2017" s="73"/>
      <c r="BM2017" s="73"/>
      <c r="BN2017" s="73"/>
      <c r="BO2017" s="73"/>
      <c r="BP2017" s="73"/>
      <c r="BQ2017" s="73"/>
      <c r="BR2017" s="73"/>
      <c r="BS2017" s="73"/>
      <c r="BT2017" s="73"/>
      <c r="BU2017" s="73"/>
      <c r="BV2017" s="73"/>
      <c r="BW2017" s="73"/>
      <c r="BX2017" s="73"/>
      <c r="BY2017" s="73"/>
      <c r="BZ2017" s="73"/>
      <c r="CA2017" s="73"/>
      <c r="CB2017" s="73"/>
      <c r="CC2017" s="73"/>
      <c r="CD2017" s="73"/>
      <c r="CE2017" s="73"/>
      <c r="CF2017" s="73"/>
      <c r="CG2017" s="73"/>
      <c r="CH2017" s="73"/>
    </row>
    <row r="2018">
      <c r="A2018" s="73"/>
      <c r="B2018" s="73"/>
      <c r="C2018" s="73"/>
      <c r="D2018" s="73"/>
      <c r="E2018" s="140"/>
      <c r="F2018" s="80"/>
      <c r="G2018" s="80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  <c r="S2018" s="73"/>
      <c r="T2018" s="73"/>
      <c r="U2018" s="73"/>
      <c r="V2018" s="73"/>
      <c r="W2018" s="73"/>
      <c r="X2018" s="73"/>
      <c r="Y2018" s="73"/>
      <c r="Z2018" s="73"/>
      <c r="AA2018" s="73"/>
      <c r="AB2018" s="73"/>
      <c r="AC2018" s="73"/>
      <c r="AD2018" s="73"/>
      <c r="AE2018" s="73"/>
      <c r="AF2018" s="73"/>
      <c r="AG2018" s="73"/>
      <c r="AH2018" s="73"/>
      <c r="AI2018" s="73"/>
      <c r="AJ2018" s="168"/>
      <c r="AK2018" s="73"/>
      <c r="AL2018" s="73"/>
      <c r="AM2018" s="73"/>
      <c r="AN2018" s="73"/>
      <c r="AO2018" s="73"/>
      <c r="AP2018" s="73"/>
      <c r="AQ2018" s="73"/>
      <c r="AR2018" s="73"/>
      <c r="AS2018" s="73"/>
      <c r="AT2018" s="73"/>
      <c r="AU2018" s="73"/>
      <c r="AV2018" s="73"/>
      <c r="AW2018" s="73"/>
      <c r="AX2018" s="73"/>
      <c r="AY2018" s="73"/>
      <c r="AZ2018" s="73"/>
      <c r="BA2018" s="73"/>
      <c r="BB2018" s="73"/>
      <c r="BC2018" s="73"/>
      <c r="BD2018" s="73"/>
      <c r="BE2018" s="73"/>
      <c r="BF2018" s="75"/>
      <c r="BG2018" s="73"/>
      <c r="BH2018" s="88"/>
      <c r="BI2018" s="73"/>
      <c r="BJ2018" s="73"/>
      <c r="BK2018" s="73"/>
      <c r="BL2018" s="73"/>
      <c r="BM2018" s="73"/>
      <c r="BN2018" s="73"/>
      <c r="BO2018" s="73"/>
      <c r="BP2018" s="73"/>
      <c r="BQ2018" s="73"/>
      <c r="BR2018" s="73"/>
      <c r="BS2018" s="73"/>
      <c r="BT2018" s="73"/>
      <c r="BU2018" s="73"/>
      <c r="BV2018" s="73"/>
      <c r="BW2018" s="73"/>
      <c r="BX2018" s="73"/>
      <c r="BY2018" s="73"/>
      <c r="BZ2018" s="73"/>
      <c r="CA2018" s="73"/>
      <c r="CB2018" s="73"/>
      <c r="CC2018" s="73"/>
      <c r="CD2018" s="73"/>
      <c r="CE2018" s="73"/>
      <c r="CF2018" s="73"/>
      <c r="CG2018" s="73"/>
      <c r="CH2018" s="73"/>
    </row>
    <row r="2019">
      <c r="A2019" s="73"/>
      <c r="B2019" s="73"/>
      <c r="C2019" s="73"/>
      <c r="D2019" s="73"/>
      <c r="E2019" s="140"/>
      <c r="F2019" s="80"/>
      <c r="G2019" s="80"/>
      <c r="H2019" s="73"/>
      <c r="I2019" s="73"/>
      <c r="J2019" s="73"/>
      <c r="K2019" s="73"/>
      <c r="L2019" s="73"/>
      <c r="M2019" s="73"/>
      <c r="N2019" s="73"/>
      <c r="O2019" s="73"/>
      <c r="P2019" s="73"/>
      <c r="Q2019" s="73"/>
      <c r="R2019" s="73"/>
      <c r="S2019" s="73"/>
      <c r="T2019" s="73"/>
      <c r="U2019" s="73"/>
      <c r="V2019" s="73"/>
      <c r="W2019" s="73"/>
      <c r="X2019" s="73"/>
      <c r="Y2019" s="73"/>
      <c r="Z2019" s="73"/>
      <c r="AA2019" s="73"/>
      <c r="AB2019" s="73"/>
      <c r="AC2019" s="73"/>
      <c r="AD2019" s="73"/>
      <c r="AE2019" s="73"/>
      <c r="AF2019" s="73"/>
      <c r="AG2019" s="73"/>
      <c r="AH2019" s="73"/>
      <c r="AI2019" s="73"/>
      <c r="AJ2019" s="168"/>
      <c r="AK2019" s="73"/>
      <c r="AL2019" s="73"/>
      <c r="AM2019" s="73"/>
      <c r="AN2019" s="73"/>
      <c r="AO2019" s="73"/>
      <c r="AP2019" s="73"/>
      <c r="AQ2019" s="73"/>
      <c r="AR2019" s="73"/>
      <c r="AS2019" s="73"/>
      <c r="AT2019" s="73"/>
      <c r="AU2019" s="73"/>
      <c r="AV2019" s="73"/>
      <c r="AW2019" s="73"/>
      <c r="AX2019" s="73"/>
      <c r="AY2019" s="73"/>
      <c r="AZ2019" s="73"/>
      <c r="BA2019" s="73"/>
      <c r="BB2019" s="73"/>
      <c r="BC2019" s="73"/>
      <c r="BD2019" s="73"/>
      <c r="BE2019" s="73"/>
      <c r="BF2019" s="75"/>
      <c r="BG2019" s="73"/>
      <c r="BH2019" s="88"/>
      <c r="BI2019" s="73"/>
      <c r="BJ2019" s="73"/>
      <c r="BK2019" s="73"/>
      <c r="BL2019" s="73"/>
      <c r="BM2019" s="73"/>
      <c r="BN2019" s="73"/>
      <c r="BO2019" s="73"/>
      <c r="BP2019" s="73"/>
      <c r="BQ2019" s="73"/>
      <c r="BR2019" s="73"/>
      <c r="BS2019" s="73"/>
      <c r="BT2019" s="73"/>
      <c r="BU2019" s="73"/>
      <c r="BV2019" s="73"/>
      <c r="BW2019" s="73"/>
      <c r="BX2019" s="73"/>
      <c r="BY2019" s="73"/>
      <c r="BZ2019" s="73"/>
      <c r="CA2019" s="73"/>
      <c r="CB2019" s="73"/>
      <c r="CC2019" s="73"/>
      <c r="CD2019" s="73"/>
      <c r="CE2019" s="73"/>
      <c r="CF2019" s="73"/>
      <c r="CG2019" s="73"/>
      <c r="CH2019" s="73"/>
    </row>
    <row r="2020">
      <c r="A2020" s="73"/>
      <c r="B2020" s="73"/>
      <c r="C2020" s="73"/>
      <c r="D2020" s="73"/>
      <c r="E2020" s="140"/>
      <c r="F2020" s="80"/>
      <c r="G2020" s="80"/>
      <c r="H2020" s="73"/>
      <c r="I2020" s="73"/>
      <c r="J2020" s="73"/>
      <c r="K2020" s="73"/>
      <c r="L2020" s="73"/>
      <c r="M2020" s="73"/>
      <c r="N2020" s="73"/>
      <c r="O2020" s="73"/>
      <c r="P2020" s="73"/>
      <c r="Q2020" s="73"/>
      <c r="R2020" s="73"/>
      <c r="S2020" s="73"/>
      <c r="T2020" s="73"/>
      <c r="U2020" s="73"/>
      <c r="V2020" s="73"/>
      <c r="W2020" s="73"/>
      <c r="X2020" s="73"/>
      <c r="Y2020" s="73"/>
      <c r="Z2020" s="73"/>
      <c r="AA2020" s="73"/>
      <c r="AB2020" s="73"/>
      <c r="AC2020" s="73"/>
      <c r="AD2020" s="73"/>
      <c r="AE2020" s="73"/>
      <c r="AF2020" s="73"/>
      <c r="AG2020" s="73"/>
      <c r="AH2020" s="73"/>
      <c r="AI2020" s="73"/>
      <c r="AJ2020" s="168"/>
      <c r="AK2020" s="73"/>
      <c r="AL2020" s="73"/>
      <c r="AM2020" s="73"/>
      <c r="AN2020" s="73"/>
      <c r="AO2020" s="73"/>
      <c r="AP2020" s="73"/>
      <c r="AQ2020" s="73"/>
      <c r="AR2020" s="73"/>
      <c r="AS2020" s="73"/>
      <c r="AT2020" s="73"/>
      <c r="AU2020" s="73"/>
      <c r="AV2020" s="73"/>
      <c r="AW2020" s="73"/>
      <c r="AX2020" s="73"/>
      <c r="AY2020" s="73"/>
      <c r="AZ2020" s="73"/>
      <c r="BA2020" s="73"/>
      <c r="BB2020" s="73"/>
      <c r="BC2020" s="73"/>
      <c r="BD2020" s="73"/>
      <c r="BE2020" s="73"/>
      <c r="BF2020" s="75"/>
      <c r="BG2020" s="73"/>
      <c r="BH2020" s="88"/>
      <c r="BI2020" s="73"/>
      <c r="BJ2020" s="73"/>
      <c r="BK2020" s="73"/>
      <c r="BL2020" s="73"/>
      <c r="BM2020" s="73"/>
      <c r="BN2020" s="73"/>
      <c r="BO2020" s="73"/>
      <c r="BP2020" s="73"/>
      <c r="BQ2020" s="73"/>
      <c r="BR2020" s="73"/>
      <c r="BS2020" s="73"/>
      <c r="BT2020" s="73"/>
      <c r="BU2020" s="73"/>
      <c r="BV2020" s="73"/>
      <c r="BW2020" s="73"/>
      <c r="BX2020" s="73"/>
      <c r="BY2020" s="73"/>
      <c r="BZ2020" s="73"/>
      <c r="CA2020" s="73"/>
      <c r="CB2020" s="73"/>
      <c r="CC2020" s="73"/>
      <c r="CD2020" s="73"/>
      <c r="CE2020" s="73"/>
      <c r="CF2020" s="73"/>
      <c r="CG2020" s="73"/>
      <c r="CH2020" s="73"/>
    </row>
    <row r="2021">
      <c r="A2021" s="73"/>
      <c r="B2021" s="73"/>
      <c r="C2021" s="73"/>
      <c r="D2021" s="73"/>
      <c r="E2021" s="140"/>
      <c r="F2021" s="80"/>
      <c r="G2021" s="80"/>
      <c r="H2021" s="73"/>
      <c r="I2021" s="73"/>
      <c r="J2021" s="73"/>
      <c r="K2021" s="73"/>
      <c r="L2021" s="73"/>
      <c r="M2021" s="73"/>
      <c r="N2021" s="73"/>
      <c r="O2021" s="73"/>
      <c r="P2021" s="73"/>
      <c r="Q2021" s="73"/>
      <c r="R2021" s="73"/>
      <c r="S2021" s="73"/>
      <c r="T2021" s="73"/>
      <c r="U2021" s="73"/>
      <c r="V2021" s="73"/>
      <c r="W2021" s="73"/>
      <c r="X2021" s="73"/>
      <c r="Y2021" s="73"/>
      <c r="Z2021" s="73"/>
      <c r="AA2021" s="73"/>
      <c r="AB2021" s="73"/>
      <c r="AC2021" s="73"/>
      <c r="AD2021" s="73"/>
      <c r="AE2021" s="73"/>
      <c r="AF2021" s="73"/>
      <c r="AG2021" s="73"/>
      <c r="AH2021" s="73"/>
      <c r="AI2021" s="73"/>
      <c r="AJ2021" s="168"/>
      <c r="AK2021" s="73"/>
      <c r="AL2021" s="73"/>
      <c r="AM2021" s="73"/>
      <c r="AN2021" s="73"/>
      <c r="AO2021" s="73"/>
      <c r="AP2021" s="73"/>
      <c r="AQ2021" s="73"/>
      <c r="AR2021" s="73"/>
      <c r="AS2021" s="73"/>
      <c r="AT2021" s="73"/>
      <c r="AU2021" s="73"/>
      <c r="AV2021" s="73"/>
      <c r="AW2021" s="73"/>
      <c r="AX2021" s="73"/>
      <c r="AY2021" s="73"/>
      <c r="AZ2021" s="73"/>
      <c r="BA2021" s="73"/>
      <c r="BB2021" s="73"/>
      <c r="BC2021" s="73"/>
      <c r="BD2021" s="73"/>
      <c r="BE2021" s="73"/>
      <c r="BF2021" s="75"/>
      <c r="BG2021" s="73"/>
      <c r="BH2021" s="88"/>
      <c r="BI2021" s="73"/>
      <c r="BJ2021" s="73"/>
      <c r="BK2021" s="73"/>
      <c r="BL2021" s="73"/>
      <c r="BM2021" s="73"/>
      <c r="BN2021" s="73"/>
      <c r="BO2021" s="73"/>
      <c r="BP2021" s="73"/>
      <c r="BQ2021" s="73"/>
      <c r="BR2021" s="73"/>
      <c r="BS2021" s="73"/>
      <c r="BT2021" s="73"/>
      <c r="BU2021" s="73"/>
      <c r="BV2021" s="73"/>
      <c r="BW2021" s="73"/>
      <c r="BX2021" s="73"/>
      <c r="BY2021" s="73"/>
      <c r="BZ2021" s="73"/>
      <c r="CA2021" s="73"/>
      <c r="CB2021" s="73"/>
      <c r="CC2021" s="73"/>
      <c r="CD2021" s="73"/>
      <c r="CE2021" s="73"/>
      <c r="CF2021" s="73"/>
      <c r="CG2021" s="73"/>
      <c r="CH2021" s="73"/>
    </row>
    <row r="2022">
      <c r="A2022" s="73"/>
      <c r="B2022" s="73"/>
      <c r="C2022" s="73"/>
      <c r="D2022" s="73"/>
      <c r="E2022" s="140"/>
      <c r="F2022" s="80"/>
      <c r="G2022" s="80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  <c r="S2022" s="73"/>
      <c r="T2022" s="73"/>
      <c r="U2022" s="73"/>
      <c r="V2022" s="73"/>
      <c r="W2022" s="73"/>
      <c r="X2022" s="73"/>
      <c r="Y2022" s="73"/>
      <c r="Z2022" s="73"/>
      <c r="AA2022" s="73"/>
      <c r="AB2022" s="73"/>
      <c r="AC2022" s="73"/>
      <c r="AD2022" s="73"/>
      <c r="AE2022" s="73"/>
      <c r="AF2022" s="73"/>
      <c r="AG2022" s="73"/>
      <c r="AH2022" s="73"/>
      <c r="AI2022" s="73"/>
      <c r="AJ2022" s="168"/>
      <c r="AK2022" s="73"/>
      <c r="AL2022" s="73"/>
      <c r="AM2022" s="73"/>
      <c r="AN2022" s="73"/>
      <c r="AO2022" s="73"/>
      <c r="AP2022" s="73"/>
      <c r="AQ2022" s="73"/>
      <c r="AR2022" s="73"/>
      <c r="AS2022" s="73"/>
      <c r="AT2022" s="73"/>
      <c r="AU2022" s="73"/>
      <c r="AV2022" s="73"/>
      <c r="AW2022" s="73"/>
      <c r="AX2022" s="73"/>
      <c r="AY2022" s="73"/>
      <c r="AZ2022" s="73"/>
      <c r="BA2022" s="73"/>
      <c r="BB2022" s="73"/>
      <c r="BC2022" s="73"/>
      <c r="BD2022" s="73"/>
      <c r="BE2022" s="73"/>
      <c r="BF2022" s="75"/>
      <c r="BG2022" s="73"/>
      <c r="BH2022" s="88"/>
      <c r="BI2022" s="73"/>
      <c r="BJ2022" s="73"/>
      <c r="BK2022" s="73"/>
      <c r="BL2022" s="73"/>
      <c r="BM2022" s="73"/>
      <c r="BN2022" s="73"/>
      <c r="BO2022" s="73"/>
      <c r="BP2022" s="73"/>
      <c r="BQ2022" s="73"/>
      <c r="BR2022" s="73"/>
      <c r="BS2022" s="73"/>
      <c r="BT2022" s="73"/>
      <c r="BU2022" s="73"/>
      <c r="BV2022" s="73"/>
      <c r="BW2022" s="73"/>
      <c r="BX2022" s="73"/>
      <c r="BY2022" s="73"/>
      <c r="BZ2022" s="73"/>
      <c r="CA2022" s="73"/>
      <c r="CB2022" s="73"/>
      <c r="CC2022" s="73"/>
      <c r="CD2022" s="73"/>
      <c r="CE2022" s="73"/>
      <c r="CF2022" s="73"/>
      <c r="CG2022" s="73"/>
      <c r="CH2022" s="73"/>
    </row>
    <row r="2023">
      <c r="A2023" s="73"/>
      <c r="B2023" s="73"/>
      <c r="C2023" s="73"/>
      <c r="D2023" s="73"/>
      <c r="E2023" s="140"/>
      <c r="F2023" s="80"/>
      <c r="G2023" s="80"/>
      <c r="H2023" s="73"/>
      <c r="I2023" s="73"/>
      <c r="J2023" s="73"/>
      <c r="K2023" s="73"/>
      <c r="L2023" s="73"/>
      <c r="M2023" s="73"/>
      <c r="N2023" s="73"/>
      <c r="O2023" s="73"/>
      <c r="P2023" s="73"/>
      <c r="Q2023" s="73"/>
      <c r="R2023" s="73"/>
      <c r="S2023" s="73"/>
      <c r="T2023" s="73"/>
      <c r="U2023" s="73"/>
      <c r="V2023" s="73"/>
      <c r="W2023" s="73"/>
      <c r="X2023" s="73"/>
      <c r="Y2023" s="73"/>
      <c r="Z2023" s="73"/>
      <c r="AA2023" s="73"/>
      <c r="AB2023" s="73"/>
      <c r="AC2023" s="73"/>
      <c r="AD2023" s="73"/>
      <c r="AE2023" s="73"/>
      <c r="AF2023" s="73"/>
      <c r="AG2023" s="73"/>
      <c r="AH2023" s="73"/>
      <c r="AI2023" s="73"/>
      <c r="AJ2023" s="168"/>
      <c r="AK2023" s="73"/>
      <c r="AL2023" s="73"/>
      <c r="AM2023" s="73"/>
      <c r="AN2023" s="73"/>
      <c r="AO2023" s="73"/>
      <c r="AP2023" s="73"/>
      <c r="AQ2023" s="73"/>
      <c r="AR2023" s="73"/>
      <c r="AS2023" s="73"/>
      <c r="AT2023" s="73"/>
      <c r="AU2023" s="73"/>
      <c r="AV2023" s="73"/>
      <c r="AW2023" s="73"/>
      <c r="AX2023" s="73"/>
      <c r="AY2023" s="73"/>
      <c r="AZ2023" s="73"/>
      <c r="BA2023" s="73"/>
      <c r="BB2023" s="73"/>
      <c r="BC2023" s="73"/>
      <c r="BD2023" s="73"/>
      <c r="BE2023" s="73"/>
      <c r="BF2023" s="75"/>
      <c r="BG2023" s="73"/>
      <c r="BH2023" s="88"/>
      <c r="BI2023" s="73"/>
      <c r="BJ2023" s="73"/>
      <c r="BK2023" s="73"/>
      <c r="BL2023" s="73"/>
      <c r="BM2023" s="73"/>
      <c r="BN2023" s="73"/>
      <c r="BO2023" s="73"/>
      <c r="BP2023" s="73"/>
      <c r="BQ2023" s="73"/>
      <c r="BR2023" s="73"/>
      <c r="BS2023" s="73"/>
      <c r="BT2023" s="73"/>
      <c r="BU2023" s="73"/>
      <c r="BV2023" s="73"/>
      <c r="BW2023" s="73"/>
      <c r="BX2023" s="73"/>
      <c r="BY2023" s="73"/>
      <c r="BZ2023" s="73"/>
      <c r="CA2023" s="73"/>
      <c r="CB2023" s="73"/>
      <c r="CC2023" s="73"/>
      <c r="CD2023" s="73"/>
      <c r="CE2023" s="73"/>
      <c r="CF2023" s="73"/>
      <c r="CG2023" s="73"/>
      <c r="CH2023" s="73"/>
    </row>
    <row r="2024">
      <c r="A2024" s="73"/>
      <c r="B2024" s="73"/>
      <c r="C2024" s="73"/>
      <c r="D2024" s="73"/>
      <c r="E2024" s="140"/>
      <c r="F2024" s="80"/>
      <c r="G2024" s="80"/>
      <c r="H2024" s="73"/>
      <c r="I2024" s="73"/>
      <c r="J2024" s="73"/>
      <c r="K2024" s="73"/>
      <c r="L2024" s="73"/>
      <c r="M2024" s="73"/>
      <c r="N2024" s="73"/>
      <c r="O2024" s="73"/>
      <c r="P2024" s="73"/>
      <c r="Q2024" s="73"/>
      <c r="R2024" s="73"/>
      <c r="S2024" s="73"/>
      <c r="T2024" s="73"/>
      <c r="U2024" s="73"/>
      <c r="V2024" s="73"/>
      <c r="W2024" s="73"/>
      <c r="X2024" s="73"/>
      <c r="Y2024" s="73"/>
      <c r="Z2024" s="73"/>
      <c r="AA2024" s="73"/>
      <c r="AB2024" s="73"/>
      <c r="AC2024" s="73"/>
      <c r="AD2024" s="73"/>
      <c r="AE2024" s="73"/>
      <c r="AF2024" s="73"/>
      <c r="AG2024" s="73"/>
      <c r="AH2024" s="73"/>
      <c r="AI2024" s="73"/>
      <c r="AJ2024" s="168"/>
      <c r="AK2024" s="73"/>
      <c r="AL2024" s="73"/>
      <c r="AM2024" s="73"/>
      <c r="AN2024" s="73"/>
      <c r="AO2024" s="73"/>
      <c r="AP2024" s="73"/>
      <c r="AQ2024" s="73"/>
      <c r="AR2024" s="73"/>
      <c r="AS2024" s="73"/>
      <c r="AT2024" s="73"/>
      <c r="AU2024" s="73"/>
      <c r="AV2024" s="73"/>
      <c r="AW2024" s="73"/>
      <c r="AX2024" s="73"/>
      <c r="AY2024" s="73"/>
      <c r="AZ2024" s="73"/>
      <c r="BA2024" s="73"/>
      <c r="BB2024" s="73"/>
      <c r="BC2024" s="73"/>
      <c r="BD2024" s="73"/>
      <c r="BE2024" s="73"/>
      <c r="BF2024" s="75"/>
      <c r="BG2024" s="73"/>
      <c r="BH2024" s="88"/>
      <c r="BI2024" s="73"/>
      <c r="BJ2024" s="73"/>
      <c r="BK2024" s="73"/>
      <c r="BL2024" s="73"/>
      <c r="BM2024" s="73"/>
      <c r="BN2024" s="73"/>
      <c r="BO2024" s="73"/>
      <c r="BP2024" s="73"/>
      <c r="BQ2024" s="73"/>
      <c r="BR2024" s="73"/>
      <c r="BS2024" s="73"/>
      <c r="BT2024" s="73"/>
      <c r="BU2024" s="73"/>
      <c r="BV2024" s="73"/>
      <c r="BW2024" s="73"/>
      <c r="BX2024" s="73"/>
      <c r="BY2024" s="73"/>
      <c r="BZ2024" s="73"/>
      <c r="CA2024" s="73"/>
      <c r="CB2024" s="73"/>
      <c r="CC2024" s="73"/>
      <c r="CD2024" s="73"/>
      <c r="CE2024" s="73"/>
      <c r="CF2024" s="73"/>
      <c r="CG2024" s="73"/>
      <c r="CH2024" s="73"/>
    </row>
    <row r="2025">
      <c r="A2025" s="73"/>
      <c r="B2025" s="73"/>
      <c r="C2025" s="73"/>
      <c r="D2025" s="73"/>
      <c r="E2025" s="140"/>
      <c r="F2025" s="80"/>
      <c r="G2025" s="80"/>
      <c r="H2025" s="73"/>
      <c r="I2025" s="73"/>
      <c r="J2025" s="73"/>
      <c r="K2025" s="73"/>
      <c r="L2025" s="73"/>
      <c r="M2025" s="73"/>
      <c r="N2025" s="73"/>
      <c r="O2025" s="73"/>
      <c r="P2025" s="73"/>
      <c r="Q2025" s="73"/>
      <c r="R2025" s="73"/>
      <c r="S2025" s="73"/>
      <c r="T2025" s="73"/>
      <c r="U2025" s="73"/>
      <c r="V2025" s="73"/>
      <c r="W2025" s="73"/>
      <c r="X2025" s="73"/>
      <c r="Y2025" s="73"/>
      <c r="Z2025" s="73"/>
      <c r="AA2025" s="73"/>
      <c r="AB2025" s="73"/>
      <c r="AC2025" s="73"/>
      <c r="AD2025" s="73"/>
      <c r="AE2025" s="73"/>
      <c r="AF2025" s="73"/>
      <c r="AG2025" s="73"/>
      <c r="AH2025" s="73"/>
      <c r="AI2025" s="73"/>
      <c r="AJ2025" s="168"/>
      <c r="AK2025" s="73"/>
      <c r="AL2025" s="73"/>
      <c r="AM2025" s="73"/>
      <c r="AN2025" s="73"/>
      <c r="AO2025" s="73"/>
      <c r="AP2025" s="73"/>
      <c r="AQ2025" s="73"/>
      <c r="AR2025" s="73"/>
      <c r="AS2025" s="73"/>
      <c r="AT2025" s="73"/>
      <c r="AU2025" s="73"/>
      <c r="AV2025" s="73"/>
      <c r="AW2025" s="73"/>
      <c r="AX2025" s="73"/>
      <c r="AY2025" s="73"/>
      <c r="AZ2025" s="73"/>
      <c r="BA2025" s="73"/>
      <c r="BB2025" s="73"/>
      <c r="BC2025" s="73"/>
      <c r="BD2025" s="73"/>
      <c r="BE2025" s="73"/>
      <c r="BF2025" s="75"/>
      <c r="BG2025" s="73"/>
      <c r="BH2025" s="88"/>
      <c r="BI2025" s="73"/>
      <c r="BJ2025" s="73"/>
      <c r="BK2025" s="73"/>
      <c r="BL2025" s="73"/>
      <c r="BM2025" s="73"/>
      <c r="BN2025" s="73"/>
      <c r="BO2025" s="73"/>
      <c r="BP2025" s="73"/>
      <c r="BQ2025" s="73"/>
      <c r="BR2025" s="73"/>
      <c r="BS2025" s="73"/>
      <c r="BT2025" s="73"/>
      <c r="BU2025" s="73"/>
      <c r="BV2025" s="73"/>
      <c r="BW2025" s="73"/>
      <c r="BX2025" s="73"/>
      <c r="BY2025" s="73"/>
      <c r="BZ2025" s="73"/>
      <c r="CA2025" s="73"/>
      <c r="CB2025" s="73"/>
      <c r="CC2025" s="73"/>
      <c r="CD2025" s="73"/>
      <c r="CE2025" s="73"/>
      <c r="CF2025" s="73"/>
      <c r="CG2025" s="73"/>
      <c r="CH2025" s="73"/>
    </row>
    <row r="2026">
      <c r="A2026" s="73"/>
      <c r="B2026" s="73"/>
      <c r="C2026" s="73"/>
      <c r="D2026" s="73"/>
      <c r="E2026" s="140"/>
      <c r="F2026" s="80"/>
      <c r="G2026" s="80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  <c r="S2026" s="73"/>
      <c r="T2026" s="73"/>
      <c r="U2026" s="73"/>
      <c r="V2026" s="73"/>
      <c r="W2026" s="73"/>
      <c r="X2026" s="73"/>
      <c r="Y2026" s="73"/>
      <c r="Z2026" s="73"/>
      <c r="AA2026" s="73"/>
      <c r="AB2026" s="73"/>
      <c r="AC2026" s="73"/>
      <c r="AD2026" s="73"/>
      <c r="AE2026" s="73"/>
      <c r="AF2026" s="73"/>
      <c r="AG2026" s="73"/>
      <c r="AH2026" s="73"/>
      <c r="AI2026" s="73"/>
      <c r="AJ2026" s="168"/>
      <c r="AK2026" s="73"/>
      <c r="AL2026" s="73"/>
      <c r="AM2026" s="73"/>
      <c r="AN2026" s="73"/>
      <c r="AO2026" s="73"/>
      <c r="AP2026" s="73"/>
      <c r="AQ2026" s="73"/>
      <c r="AR2026" s="73"/>
      <c r="AS2026" s="73"/>
      <c r="AT2026" s="73"/>
      <c r="AU2026" s="73"/>
      <c r="AV2026" s="73"/>
      <c r="AW2026" s="73"/>
      <c r="AX2026" s="73"/>
      <c r="AY2026" s="73"/>
      <c r="AZ2026" s="73"/>
      <c r="BA2026" s="73"/>
      <c r="BB2026" s="73"/>
      <c r="BC2026" s="73"/>
      <c r="BD2026" s="73"/>
      <c r="BE2026" s="73"/>
      <c r="BF2026" s="75"/>
      <c r="BG2026" s="73"/>
      <c r="BH2026" s="88"/>
      <c r="BI2026" s="73"/>
      <c r="BJ2026" s="73"/>
      <c r="BK2026" s="73"/>
      <c r="BL2026" s="73"/>
      <c r="BM2026" s="73"/>
      <c r="BN2026" s="73"/>
      <c r="BO2026" s="73"/>
      <c r="BP2026" s="73"/>
      <c r="BQ2026" s="73"/>
      <c r="BR2026" s="73"/>
      <c r="BS2026" s="73"/>
      <c r="BT2026" s="73"/>
      <c r="BU2026" s="73"/>
      <c r="BV2026" s="73"/>
      <c r="BW2026" s="73"/>
      <c r="BX2026" s="73"/>
      <c r="BY2026" s="73"/>
      <c r="BZ2026" s="73"/>
      <c r="CA2026" s="73"/>
      <c r="CB2026" s="73"/>
      <c r="CC2026" s="73"/>
      <c r="CD2026" s="73"/>
      <c r="CE2026" s="73"/>
      <c r="CF2026" s="73"/>
      <c r="CG2026" s="73"/>
      <c r="CH2026" s="73"/>
    </row>
    <row r="2027">
      <c r="A2027" s="73"/>
      <c r="B2027" s="73"/>
      <c r="C2027" s="73"/>
      <c r="D2027" s="73"/>
      <c r="E2027" s="140"/>
      <c r="F2027" s="80"/>
      <c r="G2027" s="80"/>
      <c r="H2027" s="73"/>
      <c r="I2027" s="73"/>
      <c r="J2027" s="73"/>
      <c r="K2027" s="73"/>
      <c r="L2027" s="73"/>
      <c r="M2027" s="73"/>
      <c r="N2027" s="73"/>
      <c r="O2027" s="73"/>
      <c r="P2027" s="73"/>
      <c r="Q2027" s="73"/>
      <c r="R2027" s="73"/>
      <c r="S2027" s="73"/>
      <c r="T2027" s="73"/>
      <c r="U2027" s="73"/>
      <c r="V2027" s="73"/>
      <c r="W2027" s="73"/>
      <c r="X2027" s="73"/>
      <c r="Y2027" s="73"/>
      <c r="Z2027" s="73"/>
      <c r="AA2027" s="73"/>
      <c r="AB2027" s="73"/>
      <c r="AC2027" s="73"/>
      <c r="AD2027" s="73"/>
      <c r="AE2027" s="73"/>
      <c r="AF2027" s="73"/>
      <c r="AG2027" s="73"/>
      <c r="AH2027" s="73"/>
      <c r="AI2027" s="73"/>
      <c r="AJ2027" s="168"/>
      <c r="AK2027" s="73"/>
      <c r="AL2027" s="73"/>
      <c r="AM2027" s="73"/>
      <c r="AN2027" s="73"/>
      <c r="AO2027" s="73"/>
      <c r="AP2027" s="73"/>
      <c r="AQ2027" s="73"/>
      <c r="AR2027" s="73"/>
      <c r="AS2027" s="73"/>
      <c r="AT2027" s="73"/>
      <c r="AU2027" s="73"/>
      <c r="AV2027" s="73"/>
      <c r="AW2027" s="73"/>
      <c r="AX2027" s="73"/>
      <c r="AY2027" s="73"/>
      <c r="AZ2027" s="73"/>
      <c r="BA2027" s="73"/>
      <c r="BB2027" s="73"/>
      <c r="BC2027" s="73"/>
      <c r="BD2027" s="73"/>
      <c r="BE2027" s="73"/>
      <c r="BF2027" s="75"/>
      <c r="BG2027" s="73"/>
      <c r="BH2027" s="88"/>
      <c r="BI2027" s="73"/>
      <c r="BJ2027" s="73"/>
      <c r="BK2027" s="73"/>
      <c r="BL2027" s="73"/>
      <c r="BM2027" s="73"/>
      <c r="BN2027" s="73"/>
      <c r="BO2027" s="73"/>
      <c r="BP2027" s="73"/>
      <c r="BQ2027" s="73"/>
      <c r="BR2027" s="73"/>
      <c r="BS2027" s="73"/>
      <c r="BT2027" s="73"/>
      <c r="BU2027" s="73"/>
      <c r="BV2027" s="73"/>
      <c r="BW2027" s="73"/>
      <c r="BX2027" s="73"/>
      <c r="BY2027" s="73"/>
      <c r="BZ2027" s="73"/>
      <c r="CA2027" s="73"/>
      <c r="CB2027" s="73"/>
      <c r="CC2027" s="73"/>
      <c r="CD2027" s="73"/>
      <c r="CE2027" s="73"/>
      <c r="CF2027" s="73"/>
      <c r="CG2027" s="73"/>
      <c r="CH2027" s="73"/>
    </row>
    <row r="2028">
      <c r="A2028" s="73"/>
      <c r="B2028" s="73"/>
      <c r="C2028" s="73"/>
      <c r="D2028" s="73"/>
      <c r="E2028" s="140"/>
      <c r="F2028" s="80"/>
      <c r="G2028" s="80"/>
      <c r="H2028" s="73"/>
      <c r="I2028" s="73"/>
      <c r="J2028" s="73"/>
      <c r="K2028" s="73"/>
      <c r="L2028" s="73"/>
      <c r="M2028" s="73"/>
      <c r="N2028" s="73"/>
      <c r="O2028" s="73"/>
      <c r="P2028" s="73"/>
      <c r="Q2028" s="73"/>
      <c r="R2028" s="73"/>
      <c r="S2028" s="73"/>
      <c r="T2028" s="73"/>
      <c r="U2028" s="73"/>
      <c r="V2028" s="73"/>
      <c r="W2028" s="73"/>
      <c r="X2028" s="73"/>
      <c r="Y2028" s="73"/>
      <c r="Z2028" s="73"/>
      <c r="AA2028" s="73"/>
      <c r="AB2028" s="73"/>
      <c r="AC2028" s="73"/>
      <c r="AD2028" s="73"/>
      <c r="AE2028" s="73"/>
      <c r="AF2028" s="73"/>
      <c r="AG2028" s="73"/>
      <c r="AH2028" s="73"/>
      <c r="AI2028" s="73"/>
      <c r="AJ2028" s="168"/>
      <c r="AK2028" s="73"/>
      <c r="AL2028" s="73"/>
      <c r="AM2028" s="73"/>
      <c r="AN2028" s="73"/>
      <c r="AO2028" s="73"/>
      <c r="AP2028" s="73"/>
      <c r="AQ2028" s="73"/>
      <c r="AR2028" s="73"/>
      <c r="AS2028" s="73"/>
      <c r="AT2028" s="73"/>
      <c r="AU2028" s="73"/>
      <c r="AV2028" s="73"/>
      <c r="AW2028" s="73"/>
      <c r="AX2028" s="73"/>
      <c r="AY2028" s="73"/>
      <c r="AZ2028" s="73"/>
      <c r="BA2028" s="73"/>
      <c r="BB2028" s="73"/>
      <c r="BC2028" s="73"/>
      <c r="BD2028" s="73"/>
      <c r="BE2028" s="73"/>
      <c r="BF2028" s="75"/>
      <c r="BG2028" s="73"/>
      <c r="BH2028" s="88"/>
      <c r="BI2028" s="73"/>
      <c r="BJ2028" s="73"/>
      <c r="BK2028" s="73"/>
      <c r="BL2028" s="73"/>
      <c r="BM2028" s="73"/>
      <c r="BN2028" s="73"/>
      <c r="BO2028" s="73"/>
      <c r="BP2028" s="73"/>
      <c r="BQ2028" s="73"/>
      <c r="BR2028" s="73"/>
      <c r="BS2028" s="73"/>
      <c r="BT2028" s="73"/>
      <c r="BU2028" s="73"/>
      <c r="BV2028" s="73"/>
      <c r="BW2028" s="73"/>
      <c r="BX2028" s="73"/>
      <c r="BY2028" s="73"/>
      <c r="BZ2028" s="73"/>
      <c r="CA2028" s="73"/>
      <c r="CB2028" s="73"/>
      <c r="CC2028" s="73"/>
      <c r="CD2028" s="73"/>
      <c r="CE2028" s="73"/>
      <c r="CF2028" s="73"/>
      <c r="CG2028" s="73"/>
      <c r="CH2028" s="73"/>
    </row>
    <row r="2029">
      <c r="A2029" s="73"/>
      <c r="B2029" s="73"/>
      <c r="C2029" s="73"/>
      <c r="D2029" s="73"/>
      <c r="E2029" s="140"/>
      <c r="F2029" s="80"/>
      <c r="G2029" s="80"/>
      <c r="H2029" s="73"/>
      <c r="I2029" s="73"/>
      <c r="J2029" s="73"/>
      <c r="K2029" s="73"/>
      <c r="L2029" s="73"/>
      <c r="M2029" s="73"/>
      <c r="N2029" s="73"/>
      <c r="O2029" s="73"/>
      <c r="P2029" s="73"/>
      <c r="Q2029" s="73"/>
      <c r="R2029" s="73"/>
      <c r="S2029" s="73"/>
      <c r="T2029" s="73"/>
      <c r="U2029" s="73"/>
      <c r="V2029" s="73"/>
      <c r="W2029" s="73"/>
      <c r="X2029" s="73"/>
      <c r="Y2029" s="73"/>
      <c r="Z2029" s="73"/>
      <c r="AA2029" s="73"/>
      <c r="AB2029" s="73"/>
      <c r="AC2029" s="73"/>
      <c r="AD2029" s="73"/>
      <c r="AE2029" s="73"/>
      <c r="AF2029" s="73"/>
      <c r="AG2029" s="73"/>
      <c r="AH2029" s="73"/>
      <c r="AI2029" s="73"/>
      <c r="AJ2029" s="168"/>
      <c r="AK2029" s="73"/>
      <c r="AL2029" s="73"/>
      <c r="AM2029" s="73"/>
      <c r="AN2029" s="73"/>
      <c r="AO2029" s="73"/>
      <c r="AP2029" s="73"/>
      <c r="AQ2029" s="73"/>
      <c r="AR2029" s="73"/>
      <c r="AS2029" s="73"/>
      <c r="AT2029" s="73"/>
      <c r="AU2029" s="73"/>
      <c r="AV2029" s="73"/>
      <c r="AW2029" s="73"/>
      <c r="AX2029" s="73"/>
      <c r="AY2029" s="73"/>
      <c r="AZ2029" s="73"/>
      <c r="BA2029" s="73"/>
      <c r="BB2029" s="73"/>
      <c r="BC2029" s="73"/>
      <c r="BD2029" s="73"/>
      <c r="BE2029" s="73"/>
      <c r="BF2029" s="75"/>
      <c r="BG2029" s="73"/>
      <c r="BH2029" s="88"/>
      <c r="BI2029" s="73"/>
      <c r="BJ2029" s="73"/>
      <c r="BK2029" s="73"/>
      <c r="BL2029" s="73"/>
      <c r="BM2029" s="73"/>
      <c r="BN2029" s="73"/>
      <c r="BO2029" s="73"/>
      <c r="BP2029" s="73"/>
      <c r="BQ2029" s="73"/>
      <c r="BR2029" s="73"/>
      <c r="BS2029" s="73"/>
      <c r="BT2029" s="73"/>
      <c r="BU2029" s="73"/>
      <c r="BV2029" s="73"/>
      <c r="BW2029" s="73"/>
      <c r="BX2029" s="73"/>
      <c r="BY2029" s="73"/>
      <c r="BZ2029" s="73"/>
      <c r="CA2029" s="73"/>
      <c r="CB2029" s="73"/>
      <c r="CC2029" s="73"/>
      <c r="CD2029" s="73"/>
      <c r="CE2029" s="73"/>
      <c r="CF2029" s="73"/>
      <c r="CG2029" s="73"/>
      <c r="CH2029" s="73"/>
    </row>
    <row r="2030">
      <c r="A2030" s="73"/>
      <c r="B2030" s="73"/>
      <c r="C2030" s="73"/>
      <c r="D2030" s="73"/>
      <c r="E2030" s="140"/>
      <c r="F2030" s="80"/>
      <c r="G2030" s="80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  <c r="S2030" s="73"/>
      <c r="T2030" s="73"/>
      <c r="U2030" s="73"/>
      <c r="V2030" s="73"/>
      <c r="W2030" s="73"/>
      <c r="X2030" s="73"/>
      <c r="Y2030" s="73"/>
      <c r="Z2030" s="73"/>
      <c r="AA2030" s="73"/>
      <c r="AB2030" s="73"/>
      <c r="AC2030" s="73"/>
      <c r="AD2030" s="73"/>
      <c r="AE2030" s="73"/>
      <c r="AF2030" s="73"/>
      <c r="AG2030" s="73"/>
      <c r="AH2030" s="73"/>
      <c r="AI2030" s="73"/>
      <c r="AJ2030" s="168"/>
      <c r="AK2030" s="73"/>
      <c r="AL2030" s="73"/>
      <c r="AM2030" s="73"/>
      <c r="AN2030" s="73"/>
      <c r="AO2030" s="73"/>
      <c r="AP2030" s="73"/>
      <c r="AQ2030" s="73"/>
      <c r="AR2030" s="73"/>
      <c r="AS2030" s="73"/>
      <c r="AT2030" s="73"/>
      <c r="AU2030" s="73"/>
      <c r="AV2030" s="73"/>
      <c r="AW2030" s="73"/>
      <c r="AX2030" s="73"/>
      <c r="AY2030" s="73"/>
      <c r="AZ2030" s="73"/>
      <c r="BA2030" s="73"/>
      <c r="BB2030" s="73"/>
      <c r="BC2030" s="73"/>
      <c r="BD2030" s="73"/>
      <c r="BE2030" s="73"/>
      <c r="BF2030" s="75"/>
      <c r="BG2030" s="73"/>
      <c r="BH2030" s="88"/>
      <c r="BI2030" s="73"/>
      <c r="BJ2030" s="73"/>
      <c r="BK2030" s="73"/>
      <c r="BL2030" s="73"/>
      <c r="BM2030" s="73"/>
      <c r="BN2030" s="73"/>
      <c r="BO2030" s="73"/>
      <c r="BP2030" s="73"/>
      <c r="BQ2030" s="73"/>
      <c r="BR2030" s="73"/>
      <c r="BS2030" s="73"/>
      <c r="BT2030" s="73"/>
      <c r="BU2030" s="73"/>
      <c r="BV2030" s="73"/>
      <c r="BW2030" s="73"/>
      <c r="BX2030" s="73"/>
      <c r="BY2030" s="73"/>
      <c r="BZ2030" s="73"/>
      <c r="CA2030" s="73"/>
      <c r="CB2030" s="73"/>
      <c r="CC2030" s="73"/>
      <c r="CD2030" s="73"/>
      <c r="CE2030" s="73"/>
      <c r="CF2030" s="73"/>
      <c r="CG2030" s="73"/>
      <c r="CH2030" s="73"/>
    </row>
    <row r="2031">
      <c r="A2031" s="73"/>
      <c r="B2031" s="73"/>
      <c r="C2031" s="73"/>
      <c r="D2031" s="73"/>
      <c r="E2031" s="140"/>
      <c r="F2031" s="80"/>
      <c r="G2031" s="80"/>
      <c r="H2031" s="73"/>
      <c r="I2031" s="73"/>
      <c r="J2031" s="73"/>
      <c r="K2031" s="73"/>
      <c r="L2031" s="73"/>
      <c r="M2031" s="73"/>
      <c r="N2031" s="73"/>
      <c r="O2031" s="73"/>
      <c r="P2031" s="73"/>
      <c r="Q2031" s="73"/>
      <c r="R2031" s="73"/>
      <c r="S2031" s="73"/>
      <c r="T2031" s="73"/>
      <c r="U2031" s="73"/>
      <c r="V2031" s="73"/>
      <c r="W2031" s="73"/>
      <c r="X2031" s="73"/>
      <c r="Y2031" s="73"/>
      <c r="Z2031" s="73"/>
      <c r="AA2031" s="73"/>
      <c r="AB2031" s="73"/>
      <c r="AC2031" s="73"/>
      <c r="AD2031" s="73"/>
      <c r="AE2031" s="73"/>
      <c r="AF2031" s="73"/>
      <c r="AG2031" s="73"/>
      <c r="AH2031" s="73"/>
      <c r="AI2031" s="73"/>
      <c r="AJ2031" s="168"/>
      <c r="AK2031" s="73"/>
      <c r="AL2031" s="73"/>
      <c r="AM2031" s="73"/>
      <c r="AN2031" s="73"/>
      <c r="AO2031" s="73"/>
      <c r="AP2031" s="73"/>
      <c r="AQ2031" s="73"/>
      <c r="AR2031" s="73"/>
      <c r="AS2031" s="73"/>
      <c r="AT2031" s="73"/>
      <c r="AU2031" s="73"/>
      <c r="AV2031" s="73"/>
      <c r="AW2031" s="73"/>
      <c r="AX2031" s="73"/>
      <c r="AY2031" s="73"/>
      <c r="AZ2031" s="73"/>
      <c r="BA2031" s="73"/>
      <c r="BB2031" s="73"/>
      <c r="BC2031" s="73"/>
      <c r="BD2031" s="73"/>
      <c r="BE2031" s="73"/>
      <c r="BF2031" s="75"/>
      <c r="BG2031" s="73"/>
      <c r="BH2031" s="88"/>
      <c r="BI2031" s="73"/>
      <c r="BJ2031" s="73"/>
      <c r="BK2031" s="73"/>
      <c r="BL2031" s="73"/>
      <c r="BM2031" s="73"/>
      <c r="BN2031" s="73"/>
      <c r="BO2031" s="73"/>
      <c r="BP2031" s="73"/>
      <c r="BQ2031" s="73"/>
      <c r="BR2031" s="73"/>
      <c r="BS2031" s="73"/>
      <c r="BT2031" s="73"/>
      <c r="BU2031" s="73"/>
      <c r="BV2031" s="73"/>
      <c r="BW2031" s="73"/>
      <c r="BX2031" s="73"/>
      <c r="BY2031" s="73"/>
      <c r="BZ2031" s="73"/>
      <c r="CA2031" s="73"/>
      <c r="CB2031" s="73"/>
      <c r="CC2031" s="73"/>
      <c r="CD2031" s="73"/>
      <c r="CE2031" s="73"/>
      <c r="CF2031" s="73"/>
      <c r="CG2031" s="73"/>
      <c r="CH2031" s="73"/>
    </row>
    <row r="2032">
      <c r="A2032" s="73"/>
      <c r="B2032" s="73"/>
      <c r="C2032" s="73"/>
      <c r="D2032" s="73"/>
      <c r="E2032" s="140"/>
      <c r="F2032" s="80"/>
      <c r="G2032" s="80"/>
      <c r="H2032" s="73"/>
      <c r="I2032" s="73"/>
      <c r="J2032" s="73"/>
      <c r="K2032" s="73"/>
      <c r="L2032" s="73"/>
      <c r="M2032" s="73"/>
      <c r="N2032" s="73"/>
      <c r="O2032" s="73"/>
      <c r="P2032" s="73"/>
      <c r="Q2032" s="73"/>
      <c r="R2032" s="73"/>
      <c r="S2032" s="73"/>
      <c r="T2032" s="73"/>
      <c r="U2032" s="73"/>
      <c r="V2032" s="73"/>
      <c r="W2032" s="73"/>
      <c r="X2032" s="73"/>
      <c r="Y2032" s="73"/>
      <c r="Z2032" s="73"/>
      <c r="AA2032" s="73"/>
      <c r="AB2032" s="73"/>
      <c r="AC2032" s="73"/>
      <c r="AD2032" s="73"/>
      <c r="AE2032" s="73"/>
      <c r="AF2032" s="73"/>
      <c r="AG2032" s="73"/>
      <c r="AH2032" s="73"/>
      <c r="AI2032" s="73"/>
      <c r="AJ2032" s="168"/>
      <c r="AK2032" s="73"/>
      <c r="AL2032" s="73"/>
      <c r="AM2032" s="73"/>
      <c r="AN2032" s="73"/>
      <c r="AO2032" s="73"/>
      <c r="AP2032" s="73"/>
      <c r="AQ2032" s="73"/>
      <c r="AR2032" s="73"/>
      <c r="AS2032" s="73"/>
      <c r="AT2032" s="73"/>
      <c r="AU2032" s="73"/>
      <c r="AV2032" s="73"/>
      <c r="AW2032" s="73"/>
      <c r="AX2032" s="73"/>
      <c r="AY2032" s="73"/>
      <c r="AZ2032" s="73"/>
      <c r="BA2032" s="73"/>
      <c r="BB2032" s="73"/>
      <c r="BC2032" s="73"/>
      <c r="BD2032" s="73"/>
      <c r="BE2032" s="73"/>
      <c r="BF2032" s="75"/>
      <c r="BG2032" s="73"/>
      <c r="BH2032" s="88"/>
      <c r="BI2032" s="73"/>
      <c r="BJ2032" s="73"/>
      <c r="BK2032" s="73"/>
      <c r="BL2032" s="73"/>
      <c r="BM2032" s="73"/>
      <c r="BN2032" s="73"/>
      <c r="BO2032" s="73"/>
      <c r="BP2032" s="73"/>
      <c r="BQ2032" s="73"/>
      <c r="BR2032" s="73"/>
      <c r="BS2032" s="73"/>
      <c r="BT2032" s="73"/>
      <c r="BU2032" s="73"/>
      <c r="BV2032" s="73"/>
      <c r="BW2032" s="73"/>
      <c r="BX2032" s="73"/>
      <c r="BY2032" s="73"/>
      <c r="BZ2032" s="73"/>
      <c r="CA2032" s="73"/>
      <c r="CB2032" s="73"/>
      <c r="CC2032" s="73"/>
      <c r="CD2032" s="73"/>
      <c r="CE2032" s="73"/>
      <c r="CF2032" s="73"/>
      <c r="CG2032" s="73"/>
      <c r="CH2032" s="73"/>
    </row>
    <row r="2033">
      <c r="A2033" s="73"/>
      <c r="B2033" s="73"/>
      <c r="C2033" s="73"/>
      <c r="D2033" s="73"/>
      <c r="E2033" s="140"/>
      <c r="F2033" s="80"/>
      <c r="G2033" s="80"/>
      <c r="H2033" s="73"/>
      <c r="I2033" s="73"/>
      <c r="J2033" s="73"/>
      <c r="K2033" s="73"/>
      <c r="L2033" s="73"/>
      <c r="M2033" s="73"/>
      <c r="N2033" s="73"/>
      <c r="O2033" s="73"/>
      <c r="P2033" s="73"/>
      <c r="Q2033" s="73"/>
      <c r="R2033" s="73"/>
      <c r="S2033" s="73"/>
      <c r="T2033" s="73"/>
      <c r="U2033" s="73"/>
      <c r="V2033" s="73"/>
      <c r="W2033" s="73"/>
      <c r="X2033" s="73"/>
      <c r="Y2033" s="73"/>
      <c r="Z2033" s="73"/>
      <c r="AA2033" s="73"/>
      <c r="AB2033" s="73"/>
      <c r="AC2033" s="73"/>
      <c r="AD2033" s="73"/>
      <c r="AE2033" s="73"/>
      <c r="AF2033" s="73"/>
      <c r="AG2033" s="73"/>
      <c r="AH2033" s="73"/>
      <c r="AI2033" s="73"/>
      <c r="AJ2033" s="168"/>
      <c r="AK2033" s="73"/>
      <c r="AL2033" s="73"/>
      <c r="AM2033" s="73"/>
      <c r="AN2033" s="73"/>
      <c r="AO2033" s="73"/>
      <c r="AP2033" s="73"/>
      <c r="AQ2033" s="73"/>
      <c r="AR2033" s="73"/>
      <c r="AS2033" s="73"/>
      <c r="AT2033" s="73"/>
      <c r="AU2033" s="73"/>
      <c r="AV2033" s="73"/>
      <c r="AW2033" s="73"/>
      <c r="AX2033" s="73"/>
      <c r="AY2033" s="73"/>
      <c r="AZ2033" s="73"/>
      <c r="BA2033" s="73"/>
      <c r="BB2033" s="73"/>
      <c r="BC2033" s="73"/>
      <c r="BD2033" s="73"/>
      <c r="BE2033" s="73"/>
      <c r="BF2033" s="75"/>
      <c r="BG2033" s="73"/>
      <c r="BH2033" s="88"/>
      <c r="BI2033" s="73"/>
      <c r="BJ2033" s="73"/>
      <c r="BK2033" s="73"/>
      <c r="BL2033" s="73"/>
      <c r="BM2033" s="73"/>
      <c r="BN2033" s="73"/>
      <c r="BO2033" s="73"/>
      <c r="BP2033" s="73"/>
      <c r="BQ2033" s="73"/>
      <c r="BR2033" s="73"/>
      <c r="BS2033" s="73"/>
      <c r="BT2033" s="73"/>
      <c r="BU2033" s="73"/>
      <c r="BV2033" s="73"/>
      <c r="BW2033" s="73"/>
      <c r="BX2033" s="73"/>
      <c r="BY2033" s="73"/>
      <c r="BZ2033" s="73"/>
      <c r="CA2033" s="73"/>
      <c r="CB2033" s="73"/>
      <c r="CC2033" s="73"/>
      <c r="CD2033" s="73"/>
      <c r="CE2033" s="73"/>
      <c r="CF2033" s="73"/>
      <c r="CG2033" s="73"/>
      <c r="CH2033" s="73"/>
    </row>
    <row r="2034">
      <c r="A2034" s="73"/>
      <c r="B2034" s="73"/>
      <c r="C2034" s="73"/>
      <c r="D2034" s="73"/>
      <c r="E2034" s="140"/>
      <c r="F2034" s="80"/>
      <c r="G2034" s="80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  <c r="S2034" s="73"/>
      <c r="T2034" s="73"/>
      <c r="U2034" s="73"/>
      <c r="V2034" s="73"/>
      <c r="W2034" s="73"/>
      <c r="X2034" s="73"/>
      <c r="Y2034" s="73"/>
      <c r="Z2034" s="73"/>
      <c r="AA2034" s="73"/>
      <c r="AB2034" s="73"/>
      <c r="AC2034" s="73"/>
      <c r="AD2034" s="73"/>
      <c r="AE2034" s="73"/>
      <c r="AF2034" s="73"/>
      <c r="AG2034" s="73"/>
      <c r="AH2034" s="73"/>
      <c r="AI2034" s="73"/>
      <c r="AJ2034" s="168"/>
      <c r="AK2034" s="73"/>
      <c r="AL2034" s="73"/>
      <c r="AM2034" s="73"/>
      <c r="AN2034" s="73"/>
      <c r="AO2034" s="73"/>
      <c r="AP2034" s="73"/>
      <c r="AQ2034" s="73"/>
      <c r="AR2034" s="73"/>
      <c r="AS2034" s="73"/>
      <c r="AT2034" s="73"/>
      <c r="AU2034" s="73"/>
      <c r="AV2034" s="73"/>
      <c r="AW2034" s="73"/>
      <c r="AX2034" s="73"/>
      <c r="AY2034" s="73"/>
      <c r="AZ2034" s="73"/>
      <c r="BA2034" s="73"/>
      <c r="BB2034" s="73"/>
      <c r="BC2034" s="73"/>
      <c r="BD2034" s="73"/>
      <c r="BE2034" s="73"/>
      <c r="BF2034" s="75"/>
      <c r="BG2034" s="73"/>
      <c r="BH2034" s="88"/>
      <c r="BI2034" s="73"/>
      <c r="BJ2034" s="73"/>
      <c r="BK2034" s="73"/>
      <c r="BL2034" s="73"/>
      <c r="BM2034" s="73"/>
      <c r="BN2034" s="73"/>
      <c r="BO2034" s="73"/>
      <c r="BP2034" s="73"/>
      <c r="BQ2034" s="73"/>
      <c r="BR2034" s="73"/>
      <c r="BS2034" s="73"/>
      <c r="BT2034" s="73"/>
      <c r="BU2034" s="73"/>
      <c r="BV2034" s="73"/>
      <c r="BW2034" s="73"/>
      <c r="BX2034" s="73"/>
      <c r="BY2034" s="73"/>
      <c r="BZ2034" s="73"/>
      <c r="CA2034" s="73"/>
      <c r="CB2034" s="73"/>
      <c r="CC2034" s="73"/>
      <c r="CD2034" s="73"/>
      <c r="CE2034" s="73"/>
      <c r="CF2034" s="73"/>
      <c r="CG2034" s="73"/>
      <c r="CH2034" s="73"/>
    </row>
    <row r="2035">
      <c r="A2035" s="73"/>
      <c r="B2035" s="73"/>
      <c r="C2035" s="73"/>
      <c r="D2035" s="73"/>
      <c r="E2035" s="140"/>
      <c r="F2035" s="80"/>
      <c r="G2035" s="80"/>
      <c r="H2035" s="73"/>
      <c r="I2035" s="73"/>
      <c r="J2035" s="73"/>
      <c r="K2035" s="73"/>
      <c r="L2035" s="73"/>
      <c r="M2035" s="73"/>
      <c r="N2035" s="73"/>
      <c r="O2035" s="73"/>
      <c r="P2035" s="73"/>
      <c r="Q2035" s="73"/>
      <c r="R2035" s="73"/>
      <c r="S2035" s="73"/>
      <c r="T2035" s="73"/>
      <c r="U2035" s="73"/>
      <c r="V2035" s="73"/>
      <c r="W2035" s="73"/>
      <c r="X2035" s="73"/>
      <c r="Y2035" s="73"/>
      <c r="Z2035" s="73"/>
      <c r="AA2035" s="73"/>
      <c r="AB2035" s="73"/>
      <c r="AC2035" s="73"/>
      <c r="AD2035" s="73"/>
      <c r="AE2035" s="73"/>
      <c r="AF2035" s="73"/>
      <c r="AG2035" s="73"/>
      <c r="AH2035" s="73"/>
      <c r="AI2035" s="73"/>
      <c r="AJ2035" s="168"/>
      <c r="AK2035" s="73"/>
      <c r="AL2035" s="73"/>
      <c r="AM2035" s="73"/>
      <c r="AN2035" s="73"/>
      <c r="AO2035" s="73"/>
      <c r="AP2035" s="73"/>
      <c r="AQ2035" s="73"/>
      <c r="AR2035" s="73"/>
      <c r="AS2035" s="73"/>
      <c r="AT2035" s="73"/>
      <c r="AU2035" s="73"/>
      <c r="AV2035" s="73"/>
      <c r="AW2035" s="73"/>
      <c r="AX2035" s="73"/>
      <c r="AY2035" s="73"/>
      <c r="AZ2035" s="73"/>
      <c r="BA2035" s="73"/>
      <c r="BB2035" s="73"/>
      <c r="BC2035" s="73"/>
      <c r="BD2035" s="73"/>
      <c r="BE2035" s="73"/>
      <c r="BF2035" s="75"/>
      <c r="BG2035" s="73"/>
      <c r="BH2035" s="88"/>
      <c r="BI2035" s="73"/>
      <c r="BJ2035" s="73"/>
      <c r="BK2035" s="73"/>
      <c r="BL2035" s="73"/>
      <c r="BM2035" s="73"/>
      <c r="BN2035" s="73"/>
      <c r="BO2035" s="73"/>
      <c r="BP2035" s="73"/>
      <c r="BQ2035" s="73"/>
      <c r="BR2035" s="73"/>
      <c r="BS2035" s="73"/>
      <c r="BT2035" s="73"/>
      <c r="BU2035" s="73"/>
      <c r="BV2035" s="73"/>
      <c r="BW2035" s="73"/>
      <c r="BX2035" s="73"/>
      <c r="BY2035" s="73"/>
      <c r="BZ2035" s="73"/>
      <c r="CA2035" s="73"/>
      <c r="CB2035" s="73"/>
      <c r="CC2035" s="73"/>
      <c r="CD2035" s="73"/>
      <c r="CE2035" s="73"/>
      <c r="CF2035" s="73"/>
      <c r="CG2035" s="73"/>
      <c r="CH2035" s="73"/>
    </row>
    <row r="2036">
      <c r="A2036" s="73"/>
      <c r="B2036" s="73"/>
      <c r="C2036" s="73"/>
      <c r="D2036" s="73"/>
      <c r="E2036" s="140"/>
      <c r="F2036" s="80"/>
      <c r="G2036" s="80"/>
      <c r="H2036" s="73"/>
      <c r="I2036" s="73"/>
      <c r="J2036" s="73"/>
      <c r="K2036" s="73"/>
      <c r="L2036" s="73"/>
      <c r="M2036" s="73"/>
      <c r="N2036" s="73"/>
      <c r="O2036" s="73"/>
      <c r="P2036" s="73"/>
      <c r="Q2036" s="73"/>
      <c r="R2036" s="73"/>
      <c r="S2036" s="73"/>
      <c r="T2036" s="73"/>
      <c r="U2036" s="73"/>
      <c r="V2036" s="73"/>
      <c r="W2036" s="73"/>
      <c r="X2036" s="73"/>
      <c r="Y2036" s="73"/>
      <c r="Z2036" s="73"/>
      <c r="AA2036" s="73"/>
      <c r="AB2036" s="73"/>
      <c r="AC2036" s="73"/>
      <c r="AD2036" s="73"/>
      <c r="AE2036" s="73"/>
      <c r="AF2036" s="73"/>
      <c r="AG2036" s="73"/>
      <c r="AH2036" s="73"/>
      <c r="AI2036" s="73"/>
      <c r="AJ2036" s="168"/>
      <c r="AK2036" s="73"/>
      <c r="AL2036" s="73"/>
      <c r="AM2036" s="73"/>
      <c r="AN2036" s="73"/>
      <c r="AO2036" s="73"/>
      <c r="AP2036" s="73"/>
      <c r="AQ2036" s="73"/>
      <c r="AR2036" s="73"/>
      <c r="AS2036" s="73"/>
      <c r="AT2036" s="73"/>
      <c r="AU2036" s="73"/>
      <c r="AV2036" s="73"/>
      <c r="AW2036" s="73"/>
      <c r="AX2036" s="73"/>
      <c r="AY2036" s="73"/>
      <c r="AZ2036" s="73"/>
      <c r="BA2036" s="73"/>
      <c r="BB2036" s="73"/>
      <c r="BC2036" s="73"/>
      <c r="BD2036" s="73"/>
      <c r="BE2036" s="73"/>
      <c r="BF2036" s="75"/>
      <c r="BG2036" s="73"/>
      <c r="BH2036" s="88"/>
      <c r="BI2036" s="73"/>
      <c r="BJ2036" s="73"/>
      <c r="BK2036" s="73"/>
      <c r="BL2036" s="73"/>
      <c r="BM2036" s="73"/>
      <c r="BN2036" s="73"/>
      <c r="BO2036" s="73"/>
      <c r="BP2036" s="73"/>
      <c r="BQ2036" s="73"/>
      <c r="BR2036" s="73"/>
      <c r="BS2036" s="73"/>
      <c r="BT2036" s="73"/>
      <c r="BU2036" s="73"/>
      <c r="BV2036" s="73"/>
      <c r="BW2036" s="73"/>
      <c r="BX2036" s="73"/>
      <c r="BY2036" s="73"/>
      <c r="BZ2036" s="73"/>
      <c r="CA2036" s="73"/>
      <c r="CB2036" s="73"/>
      <c r="CC2036" s="73"/>
      <c r="CD2036" s="73"/>
      <c r="CE2036" s="73"/>
      <c r="CF2036" s="73"/>
      <c r="CG2036" s="73"/>
      <c r="CH2036" s="73"/>
    </row>
    <row r="2037">
      <c r="A2037" s="73"/>
      <c r="B2037" s="73"/>
      <c r="C2037" s="73"/>
      <c r="D2037" s="73"/>
      <c r="E2037" s="140"/>
      <c r="F2037" s="80"/>
      <c r="G2037" s="80"/>
      <c r="H2037" s="73"/>
      <c r="I2037" s="73"/>
      <c r="J2037" s="73"/>
      <c r="K2037" s="73"/>
      <c r="L2037" s="73"/>
      <c r="M2037" s="73"/>
      <c r="N2037" s="73"/>
      <c r="O2037" s="73"/>
      <c r="P2037" s="73"/>
      <c r="Q2037" s="73"/>
      <c r="R2037" s="73"/>
      <c r="S2037" s="73"/>
      <c r="T2037" s="73"/>
      <c r="U2037" s="73"/>
      <c r="V2037" s="73"/>
      <c r="W2037" s="73"/>
      <c r="X2037" s="73"/>
      <c r="Y2037" s="73"/>
      <c r="Z2037" s="73"/>
      <c r="AA2037" s="73"/>
      <c r="AB2037" s="73"/>
      <c r="AC2037" s="73"/>
      <c r="AD2037" s="73"/>
      <c r="AE2037" s="73"/>
      <c r="AF2037" s="73"/>
      <c r="AG2037" s="73"/>
      <c r="AH2037" s="73"/>
      <c r="AI2037" s="73"/>
      <c r="AJ2037" s="168"/>
      <c r="AK2037" s="73"/>
      <c r="AL2037" s="73"/>
      <c r="AM2037" s="73"/>
      <c r="AN2037" s="73"/>
      <c r="AO2037" s="73"/>
      <c r="AP2037" s="73"/>
      <c r="AQ2037" s="73"/>
      <c r="AR2037" s="73"/>
      <c r="AS2037" s="73"/>
      <c r="AT2037" s="73"/>
      <c r="AU2037" s="73"/>
      <c r="AV2037" s="73"/>
      <c r="AW2037" s="73"/>
      <c r="AX2037" s="73"/>
      <c r="AY2037" s="73"/>
      <c r="AZ2037" s="73"/>
      <c r="BA2037" s="73"/>
      <c r="BB2037" s="73"/>
      <c r="BC2037" s="73"/>
      <c r="BD2037" s="73"/>
      <c r="BE2037" s="73"/>
      <c r="BF2037" s="75"/>
      <c r="BG2037" s="73"/>
      <c r="BH2037" s="88"/>
      <c r="BI2037" s="73"/>
      <c r="BJ2037" s="73"/>
      <c r="BK2037" s="73"/>
      <c r="BL2037" s="73"/>
      <c r="BM2037" s="73"/>
      <c r="BN2037" s="73"/>
      <c r="BO2037" s="73"/>
      <c r="BP2037" s="73"/>
      <c r="BQ2037" s="73"/>
      <c r="BR2037" s="73"/>
      <c r="BS2037" s="73"/>
      <c r="BT2037" s="73"/>
      <c r="BU2037" s="73"/>
      <c r="BV2037" s="73"/>
      <c r="BW2037" s="73"/>
      <c r="BX2037" s="73"/>
      <c r="BY2037" s="73"/>
      <c r="BZ2037" s="73"/>
      <c r="CA2037" s="73"/>
      <c r="CB2037" s="73"/>
      <c r="CC2037" s="73"/>
      <c r="CD2037" s="73"/>
      <c r="CE2037" s="73"/>
      <c r="CF2037" s="73"/>
      <c r="CG2037" s="73"/>
      <c r="CH2037" s="73"/>
    </row>
    <row r="2038">
      <c r="A2038" s="73"/>
      <c r="B2038" s="73"/>
      <c r="C2038" s="73"/>
      <c r="D2038" s="73"/>
      <c r="E2038" s="140"/>
      <c r="F2038" s="80"/>
      <c r="G2038" s="80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  <c r="S2038" s="73"/>
      <c r="T2038" s="73"/>
      <c r="U2038" s="73"/>
      <c r="V2038" s="73"/>
      <c r="W2038" s="73"/>
      <c r="X2038" s="73"/>
      <c r="Y2038" s="73"/>
      <c r="Z2038" s="73"/>
      <c r="AA2038" s="73"/>
      <c r="AB2038" s="73"/>
      <c r="AC2038" s="73"/>
      <c r="AD2038" s="73"/>
      <c r="AE2038" s="73"/>
      <c r="AF2038" s="73"/>
      <c r="AG2038" s="73"/>
      <c r="AH2038" s="73"/>
      <c r="AI2038" s="73"/>
      <c r="AJ2038" s="168"/>
      <c r="AK2038" s="73"/>
      <c r="AL2038" s="73"/>
      <c r="AM2038" s="73"/>
      <c r="AN2038" s="73"/>
      <c r="AO2038" s="73"/>
      <c r="AP2038" s="73"/>
      <c r="AQ2038" s="73"/>
      <c r="AR2038" s="73"/>
      <c r="AS2038" s="73"/>
      <c r="AT2038" s="73"/>
      <c r="AU2038" s="73"/>
      <c r="AV2038" s="73"/>
      <c r="AW2038" s="73"/>
      <c r="AX2038" s="73"/>
      <c r="AY2038" s="73"/>
      <c r="AZ2038" s="73"/>
      <c r="BA2038" s="73"/>
      <c r="BB2038" s="73"/>
      <c r="BC2038" s="73"/>
      <c r="BD2038" s="73"/>
      <c r="BE2038" s="73"/>
      <c r="BF2038" s="75"/>
      <c r="BG2038" s="73"/>
      <c r="BH2038" s="88"/>
      <c r="BI2038" s="73"/>
      <c r="BJ2038" s="73"/>
      <c r="BK2038" s="73"/>
      <c r="BL2038" s="73"/>
      <c r="BM2038" s="73"/>
      <c r="BN2038" s="73"/>
      <c r="BO2038" s="73"/>
      <c r="BP2038" s="73"/>
      <c r="BQ2038" s="73"/>
      <c r="BR2038" s="73"/>
      <c r="BS2038" s="73"/>
      <c r="BT2038" s="73"/>
      <c r="BU2038" s="73"/>
      <c r="BV2038" s="73"/>
      <c r="BW2038" s="73"/>
      <c r="BX2038" s="73"/>
      <c r="BY2038" s="73"/>
      <c r="BZ2038" s="73"/>
      <c r="CA2038" s="73"/>
      <c r="CB2038" s="73"/>
      <c r="CC2038" s="73"/>
      <c r="CD2038" s="73"/>
      <c r="CE2038" s="73"/>
      <c r="CF2038" s="73"/>
      <c r="CG2038" s="73"/>
      <c r="CH2038" s="73"/>
    </row>
    <row r="2039">
      <c r="A2039" s="73"/>
      <c r="B2039" s="73"/>
      <c r="C2039" s="73"/>
      <c r="D2039" s="73"/>
      <c r="E2039" s="140"/>
      <c r="F2039" s="80"/>
      <c r="G2039" s="80"/>
      <c r="H2039" s="73"/>
      <c r="I2039" s="73"/>
      <c r="J2039" s="73"/>
      <c r="K2039" s="73"/>
      <c r="L2039" s="73"/>
      <c r="M2039" s="73"/>
      <c r="N2039" s="73"/>
      <c r="O2039" s="73"/>
      <c r="P2039" s="73"/>
      <c r="Q2039" s="73"/>
      <c r="R2039" s="73"/>
      <c r="S2039" s="73"/>
      <c r="T2039" s="73"/>
      <c r="U2039" s="73"/>
      <c r="V2039" s="73"/>
      <c r="W2039" s="73"/>
      <c r="X2039" s="73"/>
      <c r="Y2039" s="73"/>
      <c r="Z2039" s="73"/>
      <c r="AA2039" s="73"/>
      <c r="AB2039" s="73"/>
      <c r="AC2039" s="73"/>
      <c r="AD2039" s="73"/>
      <c r="AE2039" s="73"/>
      <c r="AF2039" s="73"/>
      <c r="AG2039" s="73"/>
      <c r="AH2039" s="73"/>
      <c r="AI2039" s="73"/>
      <c r="AJ2039" s="168"/>
      <c r="AK2039" s="73"/>
      <c r="AL2039" s="73"/>
      <c r="AM2039" s="73"/>
      <c r="AN2039" s="73"/>
      <c r="AO2039" s="73"/>
      <c r="AP2039" s="73"/>
      <c r="AQ2039" s="73"/>
      <c r="AR2039" s="73"/>
      <c r="AS2039" s="73"/>
      <c r="AT2039" s="73"/>
      <c r="AU2039" s="73"/>
      <c r="AV2039" s="73"/>
      <c r="AW2039" s="73"/>
      <c r="AX2039" s="73"/>
      <c r="AY2039" s="73"/>
      <c r="AZ2039" s="73"/>
      <c r="BA2039" s="73"/>
      <c r="BB2039" s="73"/>
      <c r="BC2039" s="73"/>
      <c r="BD2039" s="73"/>
      <c r="BE2039" s="73"/>
      <c r="BF2039" s="75"/>
      <c r="BG2039" s="73"/>
      <c r="BH2039" s="88"/>
      <c r="BI2039" s="73"/>
      <c r="BJ2039" s="73"/>
      <c r="BK2039" s="73"/>
      <c r="BL2039" s="73"/>
      <c r="BM2039" s="73"/>
      <c r="BN2039" s="73"/>
      <c r="BO2039" s="73"/>
      <c r="BP2039" s="73"/>
      <c r="BQ2039" s="73"/>
      <c r="BR2039" s="73"/>
      <c r="BS2039" s="73"/>
      <c r="BT2039" s="73"/>
      <c r="BU2039" s="73"/>
      <c r="BV2039" s="73"/>
      <c r="BW2039" s="73"/>
      <c r="BX2039" s="73"/>
      <c r="BY2039" s="73"/>
      <c r="BZ2039" s="73"/>
      <c r="CA2039" s="73"/>
      <c r="CB2039" s="73"/>
      <c r="CC2039" s="73"/>
      <c r="CD2039" s="73"/>
      <c r="CE2039" s="73"/>
      <c r="CF2039" s="73"/>
      <c r="CG2039" s="73"/>
      <c r="CH2039" s="73"/>
    </row>
    <row r="2040">
      <c r="A2040" s="73"/>
      <c r="B2040" s="73"/>
      <c r="C2040" s="73"/>
      <c r="D2040" s="73"/>
      <c r="E2040" s="140"/>
      <c r="F2040" s="80"/>
      <c r="G2040" s="80"/>
      <c r="H2040" s="73"/>
      <c r="I2040" s="73"/>
      <c r="J2040" s="73"/>
      <c r="K2040" s="73"/>
      <c r="L2040" s="73"/>
      <c r="M2040" s="73"/>
      <c r="N2040" s="73"/>
      <c r="O2040" s="73"/>
      <c r="P2040" s="73"/>
      <c r="Q2040" s="73"/>
      <c r="R2040" s="73"/>
      <c r="S2040" s="73"/>
      <c r="T2040" s="73"/>
      <c r="U2040" s="73"/>
      <c r="V2040" s="73"/>
      <c r="W2040" s="73"/>
      <c r="X2040" s="73"/>
      <c r="Y2040" s="73"/>
      <c r="Z2040" s="73"/>
      <c r="AA2040" s="73"/>
      <c r="AB2040" s="73"/>
      <c r="AC2040" s="73"/>
      <c r="AD2040" s="73"/>
      <c r="AE2040" s="73"/>
      <c r="AF2040" s="73"/>
      <c r="AG2040" s="73"/>
      <c r="AH2040" s="73"/>
      <c r="AI2040" s="73"/>
      <c r="AJ2040" s="168"/>
      <c r="AK2040" s="73"/>
      <c r="AL2040" s="73"/>
      <c r="AM2040" s="73"/>
      <c r="AN2040" s="73"/>
      <c r="AO2040" s="73"/>
      <c r="AP2040" s="73"/>
      <c r="AQ2040" s="73"/>
      <c r="AR2040" s="73"/>
      <c r="AS2040" s="73"/>
      <c r="AT2040" s="73"/>
      <c r="AU2040" s="73"/>
      <c r="AV2040" s="73"/>
      <c r="AW2040" s="73"/>
      <c r="AX2040" s="73"/>
      <c r="AY2040" s="73"/>
      <c r="AZ2040" s="73"/>
      <c r="BA2040" s="73"/>
      <c r="BB2040" s="73"/>
      <c r="BC2040" s="73"/>
      <c r="BD2040" s="73"/>
      <c r="BE2040" s="73"/>
      <c r="BF2040" s="75"/>
      <c r="BG2040" s="73"/>
      <c r="BH2040" s="88"/>
      <c r="BI2040" s="73"/>
      <c r="BJ2040" s="73"/>
      <c r="BK2040" s="73"/>
      <c r="BL2040" s="73"/>
      <c r="BM2040" s="73"/>
      <c r="BN2040" s="73"/>
      <c r="BO2040" s="73"/>
      <c r="BP2040" s="73"/>
      <c r="BQ2040" s="73"/>
      <c r="BR2040" s="73"/>
      <c r="BS2040" s="73"/>
      <c r="BT2040" s="73"/>
      <c r="BU2040" s="73"/>
      <c r="BV2040" s="73"/>
      <c r="BW2040" s="73"/>
      <c r="BX2040" s="73"/>
      <c r="BY2040" s="73"/>
      <c r="BZ2040" s="73"/>
      <c r="CA2040" s="73"/>
      <c r="CB2040" s="73"/>
      <c r="CC2040" s="73"/>
      <c r="CD2040" s="73"/>
      <c r="CE2040" s="73"/>
      <c r="CF2040" s="73"/>
      <c r="CG2040" s="73"/>
      <c r="CH2040" s="73"/>
    </row>
    <row r="2041">
      <c r="A2041" s="73"/>
      <c r="B2041" s="73"/>
      <c r="C2041" s="73"/>
      <c r="D2041" s="73"/>
      <c r="E2041" s="140"/>
      <c r="F2041" s="80"/>
      <c r="G2041" s="80"/>
      <c r="H2041" s="73"/>
      <c r="I2041" s="73"/>
      <c r="J2041" s="73"/>
      <c r="K2041" s="73"/>
      <c r="L2041" s="73"/>
      <c r="M2041" s="73"/>
      <c r="N2041" s="73"/>
      <c r="O2041" s="73"/>
      <c r="P2041" s="73"/>
      <c r="Q2041" s="73"/>
      <c r="R2041" s="73"/>
      <c r="S2041" s="73"/>
      <c r="T2041" s="73"/>
      <c r="U2041" s="73"/>
      <c r="V2041" s="73"/>
      <c r="W2041" s="73"/>
      <c r="X2041" s="73"/>
      <c r="Y2041" s="73"/>
      <c r="Z2041" s="73"/>
      <c r="AA2041" s="73"/>
      <c r="AB2041" s="73"/>
      <c r="AC2041" s="73"/>
      <c r="AD2041" s="73"/>
      <c r="AE2041" s="73"/>
      <c r="AF2041" s="73"/>
      <c r="AG2041" s="73"/>
      <c r="AH2041" s="73"/>
      <c r="AI2041" s="73"/>
      <c r="AJ2041" s="168"/>
      <c r="AK2041" s="73"/>
      <c r="AL2041" s="73"/>
      <c r="AM2041" s="73"/>
      <c r="AN2041" s="73"/>
      <c r="AO2041" s="73"/>
      <c r="AP2041" s="73"/>
      <c r="AQ2041" s="73"/>
      <c r="AR2041" s="73"/>
      <c r="AS2041" s="73"/>
      <c r="AT2041" s="73"/>
      <c r="AU2041" s="73"/>
      <c r="AV2041" s="73"/>
      <c r="AW2041" s="73"/>
      <c r="AX2041" s="73"/>
      <c r="AY2041" s="73"/>
      <c r="AZ2041" s="73"/>
      <c r="BA2041" s="73"/>
      <c r="BB2041" s="73"/>
      <c r="BC2041" s="73"/>
      <c r="BD2041" s="73"/>
      <c r="BE2041" s="73"/>
      <c r="BF2041" s="75"/>
      <c r="BG2041" s="73"/>
      <c r="BH2041" s="88"/>
      <c r="BI2041" s="73"/>
      <c r="BJ2041" s="73"/>
      <c r="BK2041" s="73"/>
      <c r="BL2041" s="73"/>
      <c r="BM2041" s="73"/>
      <c r="BN2041" s="73"/>
      <c r="BO2041" s="73"/>
      <c r="BP2041" s="73"/>
      <c r="BQ2041" s="73"/>
      <c r="BR2041" s="73"/>
      <c r="BS2041" s="73"/>
      <c r="BT2041" s="73"/>
      <c r="BU2041" s="73"/>
      <c r="BV2041" s="73"/>
      <c r="BW2041" s="73"/>
      <c r="BX2041" s="73"/>
      <c r="BY2041" s="73"/>
      <c r="BZ2041" s="73"/>
      <c r="CA2041" s="73"/>
      <c r="CB2041" s="73"/>
      <c r="CC2041" s="73"/>
      <c r="CD2041" s="73"/>
      <c r="CE2041" s="73"/>
      <c r="CF2041" s="73"/>
      <c r="CG2041" s="73"/>
      <c r="CH2041" s="73"/>
    </row>
    <row r="2042">
      <c r="A2042" s="73"/>
      <c r="B2042" s="73"/>
      <c r="C2042" s="73"/>
      <c r="D2042" s="73"/>
      <c r="E2042" s="140"/>
      <c r="F2042" s="80"/>
      <c r="G2042" s="80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  <c r="S2042" s="73"/>
      <c r="T2042" s="73"/>
      <c r="U2042" s="73"/>
      <c r="V2042" s="73"/>
      <c r="W2042" s="73"/>
      <c r="X2042" s="73"/>
      <c r="Y2042" s="73"/>
      <c r="Z2042" s="73"/>
      <c r="AA2042" s="73"/>
      <c r="AB2042" s="73"/>
      <c r="AC2042" s="73"/>
      <c r="AD2042" s="73"/>
      <c r="AE2042" s="73"/>
      <c r="AF2042" s="73"/>
      <c r="AG2042" s="73"/>
      <c r="AH2042" s="73"/>
      <c r="AI2042" s="73"/>
      <c r="AJ2042" s="168"/>
      <c r="AK2042" s="73"/>
      <c r="AL2042" s="73"/>
      <c r="AM2042" s="73"/>
      <c r="AN2042" s="73"/>
      <c r="AO2042" s="73"/>
      <c r="AP2042" s="73"/>
      <c r="AQ2042" s="73"/>
      <c r="AR2042" s="73"/>
      <c r="AS2042" s="73"/>
      <c r="AT2042" s="73"/>
      <c r="AU2042" s="73"/>
      <c r="AV2042" s="73"/>
      <c r="AW2042" s="73"/>
      <c r="AX2042" s="73"/>
      <c r="AY2042" s="73"/>
      <c r="AZ2042" s="73"/>
      <c r="BA2042" s="73"/>
      <c r="BB2042" s="73"/>
      <c r="BC2042" s="73"/>
      <c r="BD2042" s="73"/>
      <c r="BE2042" s="73"/>
      <c r="BF2042" s="75"/>
      <c r="BG2042" s="73"/>
      <c r="BH2042" s="88"/>
      <c r="BI2042" s="73"/>
      <c r="BJ2042" s="73"/>
      <c r="BK2042" s="73"/>
      <c r="BL2042" s="73"/>
      <c r="BM2042" s="73"/>
      <c r="BN2042" s="73"/>
      <c r="BO2042" s="73"/>
      <c r="BP2042" s="73"/>
      <c r="BQ2042" s="73"/>
      <c r="BR2042" s="73"/>
      <c r="BS2042" s="73"/>
      <c r="BT2042" s="73"/>
      <c r="BU2042" s="73"/>
      <c r="BV2042" s="73"/>
      <c r="BW2042" s="73"/>
      <c r="BX2042" s="73"/>
      <c r="BY2042" s="73"/>
      <c r="BZ2042" s="73"/>
      <c r="CA2042" s="73"/>
      <c r="CB2042" s="73"/>
      <c r="CC2042" s="73"/>
      <c r="CD2042" s="73"/>
      <c r="CE2042" s="73"/>
      <c r="CF2042" s="73"/>
      <c r="CG2042" s="73"/>
      <c r="CH2042" s="73"/>
    </row>
    <row r="2043">
      <c r="A2043" s="73"/>
      <c r="B2043" s="73"/>
      <c r="C2043" s="73"/>
      <c r="D2043" s="73"/>
      <c r="E2043" s="140"/>
      <c r="F2043" s="80"/>
      <c r="G2043" s="80"/>
      <c r="H2043" s="73"/>
      <c r="I2043" s="73"/>
      <c r="J2043" s="73"/>
      <c r="K2043" s="73"/>
      <c r="L2043" s="73"/>
      <c r="M2043" s="73"/>
      <c r="N2043" s="73"/>
      <c r="O2043" s="73"/>
      <c r="P2043" s="73"/>
      <c r="Q2043" s="73"/>
      <c r="R2043" s="73"/>
      <c r="S2043" s="73"/>
      <c r="T2043" s="73"/>
      <c r="U2043" s="73"/>
      <c r="V2043" s="73"/>
      <c r="W2043" s="73"/>
      <c r="X2043" s="73"/>
      <c r="Y2043" s="73"/>
      <c r="Z2043" s="73"/>
      <c r="AA2043" s="73"/>
      <c r="AB2043" s="73"/>
      <c r="AC2043" s="73"/>
      <c r="AD2043" s="73"/>
      <c r="AE2043" s="73"/>
      <c r="AF2043" s="73"/>
      <c r="AG2043" s="73"/>
      <c r="AH2043" s="73"/>
      <c r="AI2043" s="73"/>
      <c r="AJ2043" s="168"/>
      <c r="AK2043" s="73"/>
      <c r="AL2043" s="73"/>
      <c r="AM2043" s="73"/>
      <c r="AN2043" s="73"/>
      <c r="AO2043" s="73"/>
      <c r="AP2043" s="73"/>
      <c r="AQ2043" s="73"/>
      <c r="AR2043" s="73"/>
      <c r="AS2043" s="73"/>
      <c r="AT2043" s="73"/>
      <c r="AU2043" s="73"/>
      <c r="AV2043" s="73"/>
      <c r="AW2043" s="73"/>
      <c r="AX2043" s="73"/>
      <c r="AY2043" s="73"/>
      <c r="AZ2043" s="73"/>
      <c r="BA2043" s="73"/>
      <c r="BB2043" s="73"/>
      <c r="BC2043" s="73"/>
      <c r="BD2043" s="73"/>
      <c r="BE2043" s="73"/>
      <c r="BF2043" s="75"/>
      <c r="BG2043" s="73"/>
      <c r="BH2043" s="88"/>
      <c r="BI2043" s="73"/>
      <c r="BJ2043" s="73"/>
      <c r="BK2043" s="73"/>
      <c r="BL2043" s="73"/>
      <c r="BM2043" s="73"/>
      <c r="BN2043" s="73"/>
      <c r="BO2043" s="73"/>
      <c r="BP2043" s="73"/>
      <c r="BQ2043" s="73"/>
      <c r="BR2043" s="73"/>
      <c r="BS2043" s="73"/>
      <c r="BT2043" s="73"/>
      <c r="BU2043" s="73"/>
      <c r="BV2043" s="73"/>
      <c r="BW2043" s="73"/>
      <c r="BX2043" s="73"/>
      <c r="BY2043" s="73"/>
      <c r="BZ2043" s="73"/>
      <c r="CA2043" s="73"/>
      <c r="CB2043" s="73"/>
      <c r="CC2043" s="73"/>
      <c r="CD2043" s="73"/>
      <c r="CE2043" s="73"/>
      <c r="CF2043" s="73"/>
      <c r="CG2043" s="73"/>
      <c r="CH2043" s="73"/>
    </row>
    <row r="2044">
      <c r="A2044" s="73"/>
      <c r="B2044" s="73"/>
      <c r="C2044" s="73"/>
      <c r="D2044" s="73"/>
      <c r="E2044" s="140"/>
      <c r="F2044" s="80"/>
      <c r="G2044" s="80"/>
      <c r="H2044" s="73"/>
      <c r="I2044" s="73"/>
      <c r="J2044" s="73"/>
      <c r="K2044" s="73"/>
      <c r="L2044" s="73"/>
      <c r="M2044" s="73"/>
      <c r="N2044" s="73"/>
      <c r="O2044" s="73"/>
      <c r="P2044" s="73"/>
      <c r="Q2044" s="73"/>
      <c r="R2044" s="73"/>
      <c r="S2044" s="73"/>
      <c r="T2044" s="73"/>
      <c r="U2044" s="73"/>
      <c r="V2044" s="73"/>
      <c r="W2044" s="73"/>
      <c r="X2044" s="73"/>
      <c r="Y2044" s="73"/>
      <c r="Z2044" s="73"/>
      <c r="AA2044" s="73"/>
      <c r="AB2044" s="73"/>
      <c r="AC2044" s="73"/>
      <c r="AD2044" s="73"/>
      <c r="AE2044" s="73"/>
      <c r="AF2044" s="73"/>
      <c r="AG2044" s="73"/>
      <c r="AH2044" s="73"/>
      <c r="AI2044" s="73"/>
      <c r="AJ2044" s="168"/>
      <c r="AK2044" s="73"/>
      <c r="AL2044" s="73"/>
      <c r="AM2044" s="73"/>
      <c r="AN2044" s="73"/>
      <c r="AO2044" s="73"/>
      <c r="AP2044" s="73"/>
      <c r="AQ2044" s="73"/>
      <c r="AR2044" s="73"/>
      <c r="AS2044" s="73"/>
      <c r="AT2044" s="73"/>
      <c r="AU2044" s="73"/>
      <c r="AV2044" s="73"/>
      <c r="AW2044" s="73"/>
      <c r="AX2044" s="73"/>
      <c r="AY2044" s="73"/>
      <c r="AZ2044" s="73"/>
      <c r="BA2044" s="73"/>
      <c r="BB2044" s="73"/>
      <c r="BC2044" s="73"/>
      <c r="BD2044" s="73"/>
      <c r="BE2044" s="73"/>
      <c r="BF2044" s="75"/>
      <c r="BG2044" s="73"/>
      <c r="BH2044" s="88"/>
      <c r="BI2044" s="73"/>
      <c r="BJ2044" s="73"/>
      <c r="BK2044" s="73"/>
      <c r="BL2044" s="73"/>
      <c r="BM2044" s="73"/>
      <c r="BN2044" s="73"/>
      <c r="BO2044" s="73"/>
      <c r="BP2044" s="73"/>
      <c r="BQ2044" s="73"/>
      <c r="BR2044" s="73"/>
      <c r="BS2044" s="73"/>
      <c r="BT2044" s="73"/>
      <c r="BU2044" s="73"/>
      <c r="BV2044" s="73"/>
      <c r="BW2044" s="73"/>
      <c r="BX2044" s="73"/>
      <c r="BY2044" s="73"/>
      <c r="BZ2044" s="73"/>
      <c r="CA2044" s="73"/>
      <c r="CB2044" s="73"/>
      <c r="CC2044" s="73"/>
      <c r="CD2044" s="73"/>
      <c r="CE2044" s="73"/>
      <c r="CF2044" s="73"/>
      <c r="CG2044" s="73"/>
      <c r="CH2044" s="73"/>
    </row>
    <row r="2045">
      <c r="A2045" s="73"/>
      <c r="B2045" s="73"/>
      <c r="C2045" s="73"/>
      <c r="D2045" s="73"/>
      <c r="E2045" s="140"/>
      <c r="F2045" s="80"/>
      <c r="G2045" s="80"/>
      <c r="H2045" s="73"/>
      <c r="I2045" s="73"/>
      <c r="J2045" s="73"/>
      <c r="K2045" s="73"/>
      <c r="L2045" s="73"/>
      <c r="M2045" s="73"/>
      <c r="N2045" s="73"/>
      <c r="O2045" s="73"/>
      <c r="P2045" s="73"/>
      <c r="Q2045" s="73"/>
      <c r="R2045" s="73"/>
      <c r="S2045" s="73"/>
      <c r="T2045" s="73"/>
      <c r="U2045" s="73"/>
      <c r="V2045" s="73"/>
      <c r="W2045" s="73"/>
      <c r="X2045" s="73"/>
      <c r="Y2045" s="73"/>
      <c r="Z2045" s="73"/>
      <c r="AA2045" s="73"/>
      <c r="AB2045" s="73"/>
      <c r="AC2045" s="73"/>
      <c r="AD2045" s="73"/>
      <c r="AE2045" s="73"/>
      <c r="AF2045" s="73"/>
      <c r="AG2045" s="73"/>
      <c r="AH2045" s="73"/>
      <c r="AI2045" s="73"/>
      <c r="AJ2045" s="168"/>
      <c r="AK2045" s="73"/>
      <c r="AL2045" s="73"/>
      <c r="AM2045" s="73"/>
      <c r="AN2045" s="73"/>
      <c r="AO2045" s="73"/>
      <c r="AP2045" s="73"/>
      <c r="AQ2045" s="73"/>
      <c r="AR2045" s="73"/>
      <c r="AS2045" s="73"/>
      <c r="AT2045" s="73"/>
      <c r="AU2045" s="73"/>
      <c r="AV2045" s="73"/>
      <c r="AW2045" s="73"/>
      <c r="AX2045" s="73"/>
      <c r="AY2045" s="73"/>
      <c r="AZ2045" s="73"/>
      <c r="BA2045" s="73"/>
      <c r="BB2045" s="73"/>
      <c r="BC2045" s="73"/>
      <c r="BD2045" s="73"/>
      <c r="BE2045" s="73"/>
      <c r="BF2045" s="75"/>
      <c r="BG2045" s="73"/>
      <c r="BH2045" s="88"/>
      <c r="BI2045" s="73"/>
      <c r="BJ2045" s="73"/>
      <c r="BK2045" s="73"/>
      <c r="BL2045" s="73"/>
      <c r="BM2045" s="73"/>
      <c r="BN2045" s="73"/>
      <c r="BO2045" s="73"/>
      <c r="BP2045" s="73"/>
      <c r="BQ2045" s="73"/>
      <c r="BR2045" s="73"/>
      <c r="BS2045" s="73"/>
      <c r="BT2045" s="73"/>
      <c r="BU2045" s="73"/>
      <c r="BV2045" s="73"/>
      <c r="BW2045" s="73"/>
      <c r="BX2045" s="73"/>
      <c r="BY2045" s="73"/>
      <c r="BZ2045" s="73"/>
      <c r="CA2045" s="73"/>
      <c r="CB2045" s="73"/>
      <c r="CC2045" s="73"/>
      <c r="CD2045" s="73"/>
      <c r="CE2045" s="73"/>
      <c r="CF2045" s="73"/>
      <c r="CG2045" s="73"/>
      <c r="CH2045" s="73"/>
    </row>
    <row r="2046">
      <c r="A2046" s="73"/>
      <c r="B2046" s="73"/>
      <c r="C2046" s="73"/>
      <c r="D2046" s="73"/>
      <c r="E2046" s="140"/>
      <c r="F2046" s="80"/>
      <c r="G2046" s="80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  <c r="S2046" s="73"/>
      <c r="T2046" s="73"/>
      <c r="U2046" s="73"/>
      <c r="V2046" s="73"/>
      <c r="W2046" s="73"/>
      <c r="X2046" s="73"/>
      <c r="Y2046" s="73"/>
      <c r="Z2046" s="73"/>
      <c r="AA2046" s="73"/>
      <c r="AB2046" s="73"/>
      <c r="AC2046" s="73"/>
      <c r="AD2046" s="73"/>
      <c r="AE2046" s="73"/>
      <c r="AF2046" s="73"/>
      <c r="AG2046" s="73"/>
      <c r="AH2046" s="73"/>
      <c r="AI2046" s="73"/>
      <c r="AJ2046" s="168"/>
      <c r="AK2046" s="73"/>
      <c r="AL2046" s="73"/>
      <c r="AM2046" s="73"/>
      <c r="AN2046" s="73"/>
      <c r="AO2046" s="73"/>
      <c r="AP2046" s="73"/>
      <c r="AQ2046" s="73"/>
      <c r="AR2046" s="73"/>
      <c r="AS2046" s="73"/>
      <c r="AT2046" s="73"/>
      <c r="AU2046" s="73"/>
      <c r="AV2046" s="73"/>
      <c r="AW2046" s="73"/>
      <c r="AX2046" s="73"/>
      <c r="AY2046" s="73"/>
      <c r="AZ2046" s="73"/>
      <c r="BA2046" s="73"/>
      <c r="BB2046" s="73"/>
      <c r="BC2046" s="73"/>
      <c r="BD2046" s="73"/>
      <c r="BE2046" s="73"/>
      <c r="BF2046" s="75"/>
      <c r="BG2046" s="73"/>
      <c r="BH2046" s="88"/>
      <c r="BI2046" s="73"/>
      <c r="BJ2046" s="73"/>
      <c r="BK2046" s="73"/>
      <c r="BL2046" s="73"/>
      <c r="BM2046" s="73"/>
      <c r="BN2046" s="73"/>
      <c r="BO2046" s="73"/>
      <c r="BP2046" s="73"/>
      <c r="BQ2046" s="73"/>
      <c r="BR2046" s="73"/>
      <c r="BS2046" s="73"/>
      <c r="BT2046" s="73"/>
      <c r="BU2046" s="73"/>
      <c r="BV2046" s="73"/>
      <c r="BW2046" s="73"/>
      <c r="BX2046" s="73"/>
      <c r="BY2046" s="73"/>
      <c r="BZ2046" s="73"/>
      <c r="CA2046" s="73"/>
      <c r="CB2046" s="73"/>
      <c r="CC2046" s="73"/>
      <c r="CD2046" s="73"/>
      <c r="CE2046" s="73"/>
      <c r="CF2046" s="73"/>
      <c r="CG2046" s="73"/>
      <c r="CH2046" s="73"/>
    </row>
    <row r="2047">
      <c r="A2047" s="73"/>
      <c r="B2047" s="73"/>
      <c r="C2047" s="73"/>
      <c r="D2047" s="73"/>
      <c r="E2047" s="140"/>
      <c r="F2047" s="80"/>
      <c r="G2047" s="80"/>
      <c r="H2047" s="73"/>
      <c r="I2047" s="73"/>
      <c r="J2047" s="73"/>
      <c r="K2047" s="73"/>
      <c r="L2047" s="73"/>
      <c r="M2047" s="73"/>
      <c r="N2047" s="73"/>
      <c r="O2047" s="73"/>
      <c r="P2047" s="73"/>
      <c r="Q2047" s="73"/>
      <c r="R2047" s="73"/>
      <c r="S2047" s="73"/>
      <c r="T2047" s="73"/>
      <c r="U2047" s="73"/>
      <c r="V2047" s="73"/>
      <c r="W2047" s="73"/>
      <c r="X2047" s="73"/>
      <c r="Y2047" s="73"/>
      <c r="Z2047" s="73"/>
      <c r="AA2047" s="73"/>
      <c r="AB2047" s="73"/>
      <c r="AC2047" s="73"/>
      <c r="AD2047" s="73"/>
      <c r="AE2047" s="73"/>
      <c r="AF2047" s="73"/>
      <c r="AG2047" s="73"/>
      <c r="AH2047" s="73"/>
      <c r="AI2047" s="73"/>
      <c r="AJ2047" s="168"/>
      <c r="AK2047" s="73"/>
      <c r="AL2047" s="73"/>
      <c r="AM2047" s="73"/>
      <c r="AN2047" s="73"/>
      <c r="AO2047" s="73"/>
      <c r="AP2047" s="73"/>
      <c r="AQ2047" s="73"/>
      <c r="AR2047" s="73"/>
      <c r="AS2047" s="73"/>
      <c r="AT2047" s="73"/>
      <c r="AU2047" s="73"/>
      <c r="AV2047" s="73"/>
      <c r="AW2047" s="73"/>
      <c r="AX2047" s="73"/>
      <c r="AY2047" s="73"/>
      <c r="AZ2047" s="73"/>
      <c r="BA2047" s="73"/>
      <c r="BB2047" s="73"/>
      <c r="BC2047" s="73"/>
      <c r="BD2047" s="73"/>
      <c r="BE2047" s="73"/>
      <c r="BF2047" s="75"/>
      <c r="BG2047" s="73"/>
      <c r="BH2047" s="88"/>
      <c r="BI2047" s="73"/>
      <c r="BJ2047" s="73"/>
      <c r="BK2047" s="73"/>
      <c r="BL2047" s="73"/>
      <c r="BM2047" s="73"/>
      <c r="BN2047" s="73"/>
      <c r="BO2047" s="73"/>
      <c r="BP2047" s="73"/>
      <c r="BQ2047" s="73"/>
      <c r="BR2047" s="73"/>
      <c r="BS2047" s="73"/>
      <c r="BT2047" s="73"/>
      <c r="BU2047" s="73"/>
      <c r="BV2047" s="73"/>
      <c r="BW2047" s="73"/>
      <c r="BX2047" s="73"/>
      <c r="BY2047" s="73"/>
      <c r="BZ2047" s="73"/>
      <c r="CA2047" s="73"/>
      <c r="CB2047" s="73"/>
      <c r="CC2047" s="73"/>
      <c r="CD2047" s="73"/>
      <c r="CE2047" s="73"/>
      <c r="CF2047" s="73"/>
      <c r="CG2047" s="73"/>
      <c r="CH2047" s="73"/>
    </row>
    <row r="2048">
      <c r="A2048" s="73"/>
      <c r="B2048" s="73"/>
      <c r="C2048" s="73"/>
      <c r="D2048" s="73"/>
      <c r="E2048" s="140"/>
      <c r="F2048" s="80"/>
      <c r="G2048" s="80"/>
      <c r="H2048" s="73"/>
      <c r="I2048" s="73"/>
      <c r="J2048" s="73"/>
      <c r="K2048" s="73"/>
      <c r="L2048" s="73"/>
      <c r="M2048" s="73"/>
      <c r="N2048" s="73"/>
      <c r="O2048" s="73"/>
      <c r="P2048" s="73"/>
      <c r="Q2048" s="73"/>
      <c r="R2048" s="73"/>
      <c r="S2048" s="73"/>
      <c r="T2048" s="73"/>
      <c r="U2048" s="73"/>
      <c r="V2048" s="73"/>
      <c r="W2048" s="73"/>
      <c r="X2048" s="73"/>
      <c r="Y2048" s="73"/>
      <c r="Z2048" s="73"/>
      <c r="AA2048" s="73"/>
      <c r="AB2048" s="73"/>
      <c r="AC2048" s="73"/>
      <c r="AD2048" s="73"/>
      <c r="AE2048" s="73"/>
      <c r="AF2048" s="73"/>
      <c r="AG2048" s="73"/>
      <c r="AH2048" s="73"/>
      <c r="AI2048" s="73"/>
      <c r="AJ2048" s="168"/>
      <c r="AK2048" s="73"/>
      <c r="AL2048" s="73"/>
      <c r="AM2048" s="73"/>
      <c r="AN2048" s="73"/>
      <c r="AO2048" s="73"/>
      <c r="AP2048" s="73"/>
      <c r="AQ2048" s="73"/>
      <c r="AR2048" s="73"/>
      <c r="AS2048" s="73"/>
      <c r="AT2048" s="73"/>
      <c r="AU2048" s="73"/>
      <c r="AV2048" s="73"/>
      <c r="AW2048" s="73"/>
      <c r="AX2048" s="73"/>
      <c r="AY2048" s="73"/>
      <c r="AZ2048" s="73"/>
      <c r="BA2048" s="73"/>
      <c r="BB2048" s="73"/>
      <c r="BC2048" s="73"/>
      <c r="BD2048" s="73"/>
      <c r="BE2048" s="73"/>
      <c r="BF2048" s="75"/>
      <c r="BG2048" s="73"/>
      <c r="BH2048" s="88"/>
      <c r="BI2048" s="73"/>
      <c r="BJ2048" s="73"/>
      <c r="BK2048" s="73"/>
      <c r="BL2048" s="73"/>
      <c r="BM2048" s="73"/>
      <c r="BN2048" s="73"/>
      <c r="BO2048" s="73"/>
      <c r="BP2048" s="73"/>
      <c r="BQ2048" s="73"/>
      <c r="BR2048" s="73"/>
      <c r="BS2048" s="73"/>
      <c r="BT2048" s="73"/>
      <c r="BU2048" s="73"/>
      <c r="BV2048" s="73"/>
      <c r="BW2048" s="73"/>
      <c r="BX2048" s="73"/>
      <c r="BY2048" s="73"/>
      <c r="BZ2048" s="73"/>
      <c r="CA2048" s="73"/>
      <c r="CB2048" s="73"/>
      <c r="CC2048" s="73"/>
      <c r="CD2048" s="73"/>
      <c r="CE2048" s="73"/>
      <c r="CF2048" s="73"/>
      <c r="CG2048" s="73"/>
      <c r="CH2048" s="73"/>
    </row>
    <row r="2049">
      <c r="A2049" s="73"/>
      <c r="B2049" s="73"/>
      <c r="C2049" s="73"/>
      <c r="D2049" s="73"/>
      <c r="E2049" s="140"/>
      <c r="F2049" s="80"/>
      <c r="G2049" s="80"/>
      <c r="H2049" s="73"/>
      <c r="I2049" s="73"/>
      <c r="J2049" s="73"/>
      <c r="K2049" s="73"/>
      <c r="L2049" s="73"/>
      <c r="M2049" s="73"/>
      <c r="N2049" s="73"/>
      <c r="O2049" s="73"/>
      <c r="P2049" s="73"/>
      <c r="Q2049" s="73"/>
      <c r="R2049" s="73"/>
      <c r="S2049" s="73"/>
      <c r="T2049" s="73"/>
      <c r="U2049" s="73"/>
      <c r="V2049" s="73"/>
      <c r="W2049" s="73"/>
      <c r="X2049" s="73"/>
      <c r="Y2049" s="73"/>
      <c r="Z2049" s="73"/>
      <c r="AA2049" s="73"/>
      <c r="AB2049" s="73"/>
      <c r="AC2049" s="73"/>
      <c r="AD2049" s="73"/>
      <c r="AE2049" s="73"/>
      <c r="AF2049" s="73"/>
      <c r="AG2049" s="73"/>
      <c r="AH2049" s="73"/>
      <c r="AI2049" s="73"/>
      <c r="AJ2049" s="168"/>
      <c r="AK2049" s="73"/>
      <c r="AL2049" s="73"/>
      <c r="AM2049" s="73"/>
      <c r="AN2049" s="73"/>
      <c r="AO2049" s="73"/>
      <c r="AP2049" s="73"/>
      <c r="AQ2049" s="73"/>
      <c r="AR2049" s="73"/>
      <c r="AS2049" s="73"/>
      <c r="AT2049" s="73"/>
      <c r="AU2049" s="73"/>
      <c r="AV2049" s="73"/>
      <c r="AW2049" s="73"/>
      <c r="AX2049" s="73"/>
      <c r="AY2049" s="73"/>
      <c r="AZ2049" s="73"/>
      <c r="BA2049" s="73"/>
      <c r="BB2049" s="73"/>
      <c r="BC2049" s="73"/>
      <c r="BD2049" s="73"/>
      <c r="BE2049" s="73"/>
      <c r="BF2049" s="75"/>
      <c r="BG2049" s="73"/>
      <c r="BH2049" s="88"/>
      <c r="BI2049" s="73"/>
      <c r="BJ2049" s="73"/>
      <c r="BK2049" s="73"/>
      <c r="BL2049" s="73"/>
      <c r="BM2049" s="73"/>
      <c r="BN2049" s="73"/>
      <c r="BO2049" s="73"/>
      <c r="BP2049" s="73"/>
      <c r="BQ2049" s="73"/>
      <c r="BR2049" s="73"/>
      <c r="BS2049" s="73"/>
      <c r="BT2049" s="73"/>
      <c r="BU2049" s="73"/>
      <c r="BV2049" s="73"/>
      <c r="BW2049" s="73"/>
      <c r="BX2049" s="73"/>
      <c r="BY2049" s="73"/>
      <c r="BZ2049" s="73"/>
      <c r="CA2049" s="73"/>
      <c r="CB2049" s="73"/>
      <c r="CC2049" s="73"/>
      <c r="CD2049" s="73"/>
      <c r="CE2049" s="73"/>
      <c r="CF2049" s="73"/>
      <c r="CG2049" s="73"/>
      <c r="CH2049" s="73"/>
    </row>
    <row r="2050">
      <c r="A2050" s="73"/>
      <c r="B2050" s="73"/>
      <c r="C2050" s="73"/>
      <c r="D2050" s="73"/>
      <c r="E2050" s="140"/>
      <c r="F2050" s="80"/>
      <c r="G2050" s="80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  <c r="S2050" s="73"/>
      <c r="T2050" s="73"/>
      <c r="U2050" s="73"/>
      <c r="V2050" s="73"/>
      <c r="W2050" s="73"/>
      <c r="X2050" s="73"/>
      <c r="Y2050" s="73"/>
      <c r="Z2050" s="73"/>
      <c r="AA2050" s="73"/>
      <c r="AB2050" s="73"/>
      <c r="AC2050" s="73"/>
      <c r="AD2050" s="73"/>
      <c r="AE2050" s="73"/>
      <c r="AF2050" s="73"/>
      <c r="AG2050" s="73"/>
      <c r="AH2050" s="73"/>
      <c r="AI2050" s="73"/>
      <c r="AJ2050" s="168"/>
      <c r="AK2050" s="73"/>
      <c r="AL2050" s="73"/>
      <c r="AM2050" s="73"/>
      <c r="AN2050" s="73"/>
      <c r="AO2050" s="73"/>
      <c r="AP2050" s="73"/>
      <c r="AQ2050" s="73"/>
      <c r="AR2050" s="73"/>
      <c r="AS2050" s="73"/>
      <c r="AT2050" s="73"/>
      <c r="AU2050" s="73"/>
      <c r="AV2050" s="73"/>
      <c r="AW2050" s="73"/>
      <c r="AX2050" s="73"/>
      <c r="AY2050" s="73"/>
      <c r="AZ2050" s="73"/>
      <c r="BA2050" s="73"/>
      <c r="BB2050" s="73"/>
      <c r="BC2050" s="73"/>
      <c r="BD2050" s="73"/>
      <c r="BE2050" s="73"/>
      <c r="BF2050" s="75"/>
      <c r="BG2050" s="73"/>
      <c r="BH2050" s="88"/>
      <c r="BI2050" s="73"/>
      <c r="BJ2050" s="73"/>
      <c r="BK2050" s="73"/>
      <c r="BL2050" s="73"/>
      <c r="BM2050" s="73"/>
      <c r="BN2050" s="73"/>
      <c r="BO2050" s="73"/>
      <c r="BP2050" s="73"/>
      <c r="BQ2050" s="73"/>
      <c r="BR2050" s="73"/>
      <c r="BS2050" s="73"/>
      <c r="BT2050" s="73"/>
      <c r="BU2050" s="73"/>
      <c r="BV2050" s="73"/>
      <c r="BW2050" s="73"/>
      <c r="BX2050" s="73"/>
      <c r="BY2050" s="73"/>
      <c r="BZ2050" s="73"/>
      <c r="CA2050" s="73"/>
      <c r="CB2050" s="73"/>
      <c r="CC2050" s="73"/>
      <c r="CD2050" s="73"/>
      <c r="CE2050" s="73"/>
      <c r="CF2050" s="73"/>
      <c r="CG2050" s="73"/>
      <c r="CH2050" s="73"/>
    </row>
    <row r="2051">
      <c r="A2051" s="73"/>
      <c r="B2051" s="73"/>
      <c r="C2051" s="73"/>
      <c r="D2051" s="73"/>
      <c r="E2051" s="140"/>
      <c r="F2051" s="80"/>
      <c r="G2051" s="80"/>
      <c r="H2051" s="73"/>
      <c r="I2051" s="73"/>
      <c r="J2051" s="73"/>
      <c r="K2051" s="73"/>
      <c r="L2051" s="73"/>
      <c r="M2051" s="73"/>
      <c r="N2051" s="73"/>
      <c r="O2051" s="73"/>
      <c r="P2051" s="73"/>
      <c r="Q2051" s="73"/>
      <c r="R2051" s="73"/>
      <c r="S2051" s="73"/>
      <c r="T2051" s="73"/>
      <c r="U2051" s="73"/>
      <c r="V2051" s="73"/>
      <c r="W2051" s="73"/>
      <c r="X2051" s="73"/>
      <c r="Y2051" s="73"/>
      <c r="Z2051" s="73"/>
      <c r="AA2051" s="73"/>
      <c r="AB2051" s="73"/>
      <c r="AC2051" s="73"/>
      <c r="AD2051" s="73"/>
      <c r="AE2051" s="73"/>
      <c r="AF2051" s="73"/>
      <c r="AG2051" s="73"/>
      <c r="AH2051" s="73"/>
      <c r="AI2051" s="73"/>
      <c r="AJ2051" s="168"/>
      <c r="AK2051" s="73"/>
      <c r="AL2051" s="73"/>
      <c r="AM2051" s="73"/>
      <c r="AN2051" s="73"/>
      <c r="AO2051" s="73"/>
      <c r="AP2051" s="73"/>
      <c r="AQ2051" s="73"/>
      <c r="AR2051" s="73"/>
      <c r="AS2051" s="73"/>
      <c r="AT2051" s="73"/>
      <c r="AU2051" s="73"/>
      <c r="AV2051" s="73"/>
      <c r="AW2051" s="73"/>
      <c r="AX2051" s="73"/>
      <c r="AY2051" s="73"/>
      <c r="AZ2051" s="73"/>
      <c r="BA2051" s="73"/>
      <c r="BB2051" s="73"/>
      <c r="BC2051" s="73"/>
      <c r="BD2051" s="73"/>
      <c r="BE2051" s="73"/>
      <c r="BF2051" s="75"/>
      <c r="BG2051" s="73"/>
      <c r="BH2051" s="88"/>
      <c r="BI2051" s="73"/>
      <c r="BJ2051" s="73"/>
      <c r="BK2051" s="73"/>
      <c r="BL2051" s="73"/>
      <c r="BM2051" s="73"/>
      <c r="BN2051" s="73"/>
      <c r="BO2051" s="73"/>
      <c r="BP2051" s="73"/>
      <c r="BQ2051" s="73"/>
      <c r="BR2051" s="73"/>
      <c r="BS2051" s="73"/>
      <c r="BT2051" s="73"/>
      <c r="BU2051" s="73"/>
      <c r="BV2051" s="73"/>
      <c r="BW2051" s="73"/>
      <c r="BX2051" s="73"/>
      <c r="BY2051" s="73"/>
      <c r="BZ2051" s="73"/>
      <c r="CA2051" s="73"/>
      <c r="CB2051" s="73"/>
      <c r="CC2051" s="73"/>
      <c r="CD2051" s="73"/>
      <c r="CE2051" s="73"/>
      <c r="CF2051" s="73"/>
      <c r="CG2051" s="73"/>
      <c r="CH2051" s="73"/>
    </row>
    <row r="2052">
      <c r="A2052" s="73"/>
      <c r="B2052" s="73"/>
      <c r="C2052" s="73"/>
      <c r="D2052" s="73"/>
      <c r="E2052" s="140"/>
      <c r="F2052" s="80"/>
      <c r="G2052" s="80"/>
      <c r="H2052" s="73"/>
      <c r="I2052" s="73"/>
      <c r="J2052" s="73"/>
      <c r="K2052" s="73"/>
      <c r="L2052" s="73"/>
      <c r="M2052" s="73"/>
      <c r="N2052" s="73"/>
      <c r="O2052" s="73"/>
      <c r="P2052" s="73"/>
      <c r="Q2052" s="73"/>
      <c r="R2052" s="73"/>
      <c r="S2052" s="73"/>
      <c r="T2052" s="73"/>
      <c r="U2052" s="73"/>
      <c r="V2052" s="73"/>
      <c r="W2052" s="73"/>
      <c r="X2052" s="73"/>
      <c r="Y2052" s="73"/>
      <c r="Z2052" s="73"/>
      <c r="AA2052" s="73"/>
      <c r="AB2052" s="73"/>
      <c r="AC2052" s="73"/>
      <c r="AD2052" s="73"/>
      <c r="AE2052" s="73"/>
      <c r="AF2052" s="73"/>
      <c r="AG2052" s="73"/>
      <c r="AH2052" s="73"/>
      <c r="AI2052" s="73"/>
      <c r="AJ2052" s="168"/>
      <c r="AK2052" s="73"/>
      <c r="AL2052" s="73"/>
      <c r="AM2052" s="73"/>
      <c r="AN2052" s="73"/>
      <c r="AO2052" s="73"/>
      <c r="AP2052" s="73"/>
      <c r="AQ2052" s="73"/>
      <c r="AR2052" s="73"/>
      <c r="AS2052" s="73"/>
      <c r="AT2052" s="73"/>
      <c r="AU2052" s="73"/>
      <c r="AV2052" s="73"/>
      <c r="AW2052" s="73"/>
      <c r="AX2052" s="73"/>
      <c r="AY2052" s="73"/>
      <c r="AZ2052" s="73"/>
      <c r="BA2052" s="73"/>
      <c r="BB2052" s="73"/>
      <c r="BC2052" s="73"/>
      <c r="BD2052" s="73"/>
      <c r="BE2052" s="73"/>
      <c r="BF2052" s="75"/>
      <c r="BG2052" s="73"/>
      <c r="BH2052" s="88"/>
      <c r="BI2052" s="73"/>
      <c r="BJ2052" s="73"/>
      <c r="BK2052" s="73"/>
      <c r="BL2052" s="73"/>
      <c r="BM2052" s="73"/>
      <c r="BN2052" s="73"/>
      <c r="BO2052" s="73"/>
      <c r="BP2052" s="73"/>
      <c r="BQ2052" s="73"/>
      <c r="BR2052" s="73"/>
      <c r="BS2052" s="73"/>
      <c r="BT2052" s="73"/>
      <c r="BU2052" s="73"/>
      <c r="BV2052" s="73"/>
      <c r="BW2052" s="73"/>
      <c r="BX2052" s="73"/>
      <c r="BY2052" s="73"/>
      <c r="BZ2052" s="73"/>
      <c r="CA2052" s="73"/>
      <c r="CB2052" s="73"/>
      <c r="CC2052" s="73"/>
      <c r="CD2052" s="73"/>
      <c r="CE2052" s="73"/>
      <c r="CF2052" s="73"/>
      <c r="CG2052" s="73"/>
      <c r="CH2052" s="73"/>
    </row>
    <row r="2053">
      <c r="A2053" s="73"/>
      <c r="B2053" s="73"/>
      <c r="C2053" s="73"/>
      <c r="D2053" s="73"/>
      <c r="E2053" s="140"/>
      <c r="F2053" s="80"/>
      <c r="G2053" s="80"/>
      <c r="H2053" s="73"/>
      <c r="I2053" s="73"/>
      <c r="J2053" s="73"/>
      <c r="K2053" s="73"/>
      <c r="L2053" s="73"/>
      <c r="M2053" s="73"/>
      <c r="N2053" s="73"/>
      <c r="O2053" s="73"/>
      <c r="P2053" s="73"/>
      <c r="Q2053" s="73"/>
      <c r="R2053" s="73"/>
      <c r="S2053" s="73"/>
      <c r="T2053" s="73"/>
      <c r="U2053" s="73"/>
      <c r="V2053" s="73"/>
      <c r="W2053" s="73"/>
      <c r="X2053" s="73"/>
      <c r="Y2053" s="73"/>
      <c r="Z2053" s="73"/>
      <c r="AA2053" s="73"/>
      <c r="AB2053" s="73"/>
      <c r="AC2053" s="73"/>
      <c r="AD2053" s="73"/>
      <c r="AE2053" s="73"/>
      <c r="AF2053" s="73"/>
      <c r="AG2053" s="73"/>
      <c r="AH2053" s="73"/>
      <c r="AI2053" s="73"/>
      <c r="AJ2053" s="168"/>
      <c r="AK2053" s="73"/>
      <c r="AL2053" s="73"/>
      <c r="AM2053" s="73"/>
      <c r="AN2053" s="73"/>
      <c r="AO2053" s="73"/>
      <c r="AP2053" s="73"/>
      <c r="AQ2053" s="73"/>
      <c r="AR2053" s="73"/>
      <c r="AS2053" s="73"/>
      <c r="AT2053" s="73"/>
      <c r="AU2053" s="73"/>
      <c r="AV2053" s="73"/>
      <c r="AW2053" s="73"/>
      <c r="AX2053" s="73"/>
      <c r="AY2053" s="73"/>
      <c r="AZ2053" s="73"/>
      <c r="BA2053" s="73"/>
      <c r="BB2053" s="73"/>
      <c r="BC2053" s="73"/>
      <c r="BD2053" s="73"/>
      <c r="BE2053" s="73"/>
      <c r="BF2053" s="75"/>
      <c r="BG2053" s="73"/>
      <c r="BH2053" s="88"/>
      <c r="BI2053" s="73"/>
      <c r="BJ2053" s="73"/>
      <c r="BK2053" s="73"/>
      <c r="BL2053" s="73"/>
      <c r="BM2053" s="73"/>
      <c r="BN2053" s="73"/>
      <c r="BO2053" s="73"/>
      <c r="BP2053" s="73"/>
      <c r="BQ2053" s="73"/>
      <c r="BR2053" s="73"/>
      <c r="BS2053" s="73"/>
      <c r="BT2053" s="73"/>
      <c r="BU2053" s="73"/>
      <c r="BV2053" s="73"/>
      <c r="BW2053" s="73"/>
      <c r="BX2053" s="73"/>
      <c r="BY2053" s="73"/>
      <c r="BZ2053" s="73"/>
      <c r="CA2053" s="73"/>
      <c r="CB2053" s="73"/>
      <c r="CC2053" s="73"/>
      <c r="CD2053" s="73"/>
      <c r="CE2053" s="73"/>
      <c r="CF2053" s="73"/>
      <c r="CG2053" s="73"/>
      <c r="CH2053" s="73"/>
    </row>
    <row r="2054">
      <c r="A2054" s="73"/>
      <c r="B2054" s="73"/>
      <c r="C2054" s="73"/>
      <c r="D2054" s="73"/>
      <c r="E2054" s="140"/>
      <c r="F2054" s="80"/>
      <c r="G2054" s="80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  <c r="S2054" s="73"/>
      <c r="T2054" s="73"/>
      <c r="U2054" s="73"/>
      <c r="V2054" s="73"/>
      <c r="W2054" s="73"/>
      <c r="X2054" s="73"/>
      <c r="Y2054" s="73"/>
      <c r="Z2054" s="73"/>
      <c r="AA2054" s="73"/>
      <c r="AB2054" s="73"/>
      <c r="AC2054" s="73"/>
      <c r="AD2054" s="73"/>
      <c r="AE2054" s="73"/>
      <c r="AF2054" s="73"/>
      <c r="AG2054" s="73"/>
      <c r="AH2054" s="73"/>
      <c r="AI2054" s="73"/>
      <c r="AJ2054" s="168"/>
      <c r="AK2054" s="73"/>
      <c r="AL2054" s="73"/>
      <c r="AM2054" s="73"/>
      <c r="AN2054" s="73"/>
      <c r="AO2054" s="73"/>
      <c r="AP2054" s="73"/>
      <c r="AQ2054" s="73"/>
      <c r="AR2054" s="73"/>
      <c r="AS2054" s="73"/>
      <c r="AT2054" s="73"/>
      <c r="AU2054" s="73"/>
      <c r="AV2054" s="73"/>
      <c r="AW2054" s="73"/>
      <c r="AX2054" s="73"/>
      <c r="AY2054" s="73"/>
      <c r="AZ2054" s="73"/>
      <c r="BA2054" s="73"/>
      <c r="BB2054" s="73"/>
      <c r="BC2054" s="73"/>
      <c r="BD2054" s="73"/>
      <c r="BE2054" s="73"/>
      <c r="BF2054" s="75"/>
      <c r="BG2054" s="73"/>
      <c r="BH2054" s="88"/>
      <c r="BI2054" s="73"/>
      <c r="BJ2054" s="73"/>
      <c r="BK2054" s="73"/>
      <c r="BL2054" s="73"/>
      <c r="BM2054" s="73"/>
      <c r="BN2054" s="73"/>
      <c r="BO2054" s="73"/>
      <c r="BP2054" s="73"/>
      <c r="BQ2054" s="73"/>
      <c r="BR2054" s="73"/>
      <c r="BS2054" s="73"/>
      <c r="BT2054" s="73"/>
      <c r="BU2054" s="73"/>
      <c r="BV2054" s="73"/>
      <c r="BW2054" s="73"/>
      <c r="BX2054" s="73"/>
      <c r="BY2054" s="73"/>
      <c r="BZ2054" s="73"/>
      <c r="CA2054" s="73"/>
      <c r="CB2054" s="73"/>
      <c r="CC2054" s="73"/>
      <c r="CD2054" s="73"/>
      <c r="CE2054" s="73"/>
      <c r="CF2054" s="73"/>
      <c r="CG2054" s="73"/>
      <c r="CH2054" s="73"/>
    </row>
    <row r="2055">
      <c r="A2055" s="73"/>
      <c r="B2055" s="73"/>
      <c r="C2055" s="73"/>
      <c r="D2055" s="73"/>
      <c r="E2055" s="140"/>
      <c r="F2055" s="80"/>
      <c r="G2055" s="80"/>
      <c r="H2055" s="73"/>
      <c r="I2055" s="73"/>
      <c r="J2055" s="73"/>
      <c r="K2055" s="73"/>
      <c r="L2055" s="73"/>
      <c r="M2055" s="73"/>
      <c r="N2055" s="73"/>
      <c r="O2055" s="73"/>
      <c r="P2055" s="73"/>
      <c r="Q2055" s="73"/>
      <c r="R2055" s="73"/>
      <c r="S2055" s="73"/>
      <c r="T2055" s="73"/>
      <c r="U2055" s="73"/>
      <c r="V2055" s="73"/>
      <c r="W2055" s="73"/>
      <c r="X2055" s="73"/>
      <c r="Y2055" s="73"/>
      <c r="Z2055" s="73"/>
      <c r="AA2055" s="73"/>
      <c r="AB2055" s="73"/>
      <c r="AC2055" s="73"/>
      <c r="AD2055" s="73"/>
      <c r="AE2055" s="73"/>
      <c r="AF2055" s="73"/>
      <c r="AG2055" s="73"/>
      <c r="AH2055" s="73"/>
      <c r="AI2055" s="73"/>
      <c r="AJ2055" s="168"/>
      <c r="AK2055" s="73"/>
      <c r="AL2055" s="73"/>
      <c r="AM2055" s="73"/>
      <c r="AN2055" s="73"/>
      <c r="AO2055" s="73"/>
      <c r="AP2055" s="73"/>
      <c r="AQ2055" s="73"/>
      <c r="AR2055" s="73"/>
      <c r="AS2055" s="73"/>
      <c r="AT2055" s="73"/>
      <c r="AU2055" s="73"/>
      <c r="AV2055" s="73"/>
      <c r="AW2055" s="73"/>
      <c r="AX2055" s="73"/>
      <c r="AY2055" s="73"/>
      <c r="AZ2055" s="73"/>
      <c r="BA2055" s="73"/>
      <c r="BB2055" s="73"/>
      <c r="BC2055" s="73"/>
      <c r="BD2055" s="73"/>
      <c r="BE2055" s="73"/>
      <c r="BF2055" s="75"/>
      <c r="BG2055" s="73"/>
      <c r="BH2055" s="88"/>
      <c r="BI2055" s="73"/>
      <c r="BJ2055" s="73"/>
      <c r="BK2055" s="73"/>
      <c r="BL2055" s="73"/>
      <c r="BM2055" s="73"/>
      <c r="BN2055" s="73"/>
      <c r="BO2055" s="73"/>
      <c r="BP2055" s="73"/>
      <c r="BQ2055" s="73"/>
      <c r="BR2055" s="73"/>
      <c r="BS2055" s="73"/>
      <c r="BT2055" s="73"/>
      <c r="BU2055" s="73"/>
      <c r="BV2055" s="73"/>
      <c r="BW2055" s="73"/>
      <c r="BX2055" s="73"/>
      <c r="BY2055" s="73"/>
      <c r="BZ2055" s="73"/>
      <c r="CA2055" s="73"/>
      <c r="CB2055" s="73"/>
      <c r="CC2055" s="73"/>
      <c r="CD2055" s="73"/>
      <c r="CE2055" s="73"/>
      <c r="CF2055" s="73"/>
      <c r="CG2055" s="73"/>
      <c r="CH2055" s="73"/>
    </row>
    <row r="2056">
      <c r="A2056" s="73"/>
      <c r="B2056" s="73"/>
      <c r="C2056" s="73"/>
      <c r="D2056" s="73"/>
      <c r="E2056" s="140"/>
      <c r="F2056" s="80"/>
      <c r="G2056" s="80"/>
      <c r="H2056" s="73"/>
      <c r="I2056" s="73"/>
      <c r="J2056" s="73"/>
      <c r="K2056" s="73"/>
      <c r="L2056" s="73"/>
      <c r="M2056" s="73"/>
      <c r="N2056" s="73"/>
      <c r="O2056" s="73"/>
      <c r="P2056" s="73"/>
      <c r="Q2056" s="73"/>
      <c r="R2056" s="73"/>
      <c r="S2056" s="73"/>
      <c r="T2056" s="73"/>
      <c r="U2056" s="73"/>
      <c r="V2056" s="73"/>
      <c r="W2056" s="73"/>
      <c r="X2056" s="73"/>
      <c r="Y2056" s="73"/>
      <c r="Z2056" s="73"/>
      <c r="AA2056" s="73"/>
      <c r="AB2056" s="73"/>
      <c r="AC2056" s="73"/>
      <c r="AD2056" s="73"/>
      <c r="AE2056" s="73"/>
      <c r="AF2056" s="73"/>
      <c r="AG2056" s="73"/>
      <c r="AH2056" s="73"/>
      <c r="AI2056" s="73"/>
      <c r="AJ2056" s="168"/>
      <c r="AK2056" s="73"/>
      <c r="AL2056" s="73"/>
      <c r="AM2056" s="73"/>
      <c r="AN2056" s="73"/>
      <c r="AO2056" s="73"/>
      <c r="AP2056" s="73"/>
      <c r="AQ2056" s="73"/>
      <c r="AR2056" s="73"/>
      <c r="AS2056" s="73"/>
      <c r="AT2056" s="73"/>
      <c r="AU2056" s="73"/>
      <c r="AV2056" s="73"/>
      <c r="AW2056" s="73"/>
      <c r="AX2056" s="73"/>
      <c r="AY2056" s="73"/>
      <c r="AZ2056" s="73"/>
      <c r="BA2056" s="73"/>
      <c r="BB2056" s="73"/>
      <c r="BC2056" s="73"/>
      <c r="BD2056" s="73"/>
      <c r="BE2056" s="73"/>
      <c r="BF2056" s="75"/>
      <c r="BG2056" s="73"/>
      <c r="BH2056" s="88"/>
      <c r="BI2056" s="73"/>
      <c r="BJ2056" s="73"/>
      <c r="BK2056" s="73"/>
      <c r="BL2056" s="73"/>
      <c r="BM2056" s="73"/>
      <c r="BN2056" s="73"/>
      <c r="BO2056" s="73"/>
      <c r="BP2056" s="73"/>
      <c r="BQ2056" s="73"/>
      <c r="BR2056" s="73"/>
      <c r="BS2056" s="73"/>
      <c r="BT2056" s="73"/>
      <c r="BU2056" s="73"/>
      <c r="BV2056" s="73"/>
      <c r="BW2056" s="73"/>
      <c r="BX2056" s="73"/>
      <c r="BY2056" s="73"/>
      <c r="BZ2056" s="73"/>
      <c r="CA2056" s="73"/>
      <c r="CB2056" s="73"/>
      <c r="CC2056" s="73"/>
      <c r="CD2056" s="73"/>
      <c r="CE2056" s="73"/>
      <c r="CF2056" s="73"/>
      <c r="CG2056" s="73"/>
      <c r="CH2056" s="73"/>
    </row>
    <row r="2057">
      <c r="A2057" s="73"/>
      <c r="B2057" s="73"/>
      <c r="C2057" s="73"/>
      <c r="D2057" s="73"/>
      <c r="E2057" s="140"/>
      <c r="F2057" s="80"/>
      <c r="G2057" s="80"/>
      <c r="H2057" s="73"/>
      <c r="I2057" s="73"/>
      <c r="J2057" s="73"/>
      <c r="K2057" s="73"/>
      <c r="L2057" s="73"/>
      <c r="M2057" s="73"/>
      <c r="N2057" s="73"/>
      <c r="O2057" s="73"/>
      <c r="P2057" s="73"/>
      <c r="Q2057" s="73"/>
      <c r="R2057" s="73"/>
      <c r="S2057" s="73"/>
      <c r="T2057" s="73"/>
      <c r="U2057" s="73"/>
      <c r="V2057" s="73"/>
      <c r="W2057" s="73"/>
      <c r="X2057" s="73"/>
      <c r="Y2057" s="73"/>
      <c r="Z2057" s="73"/>
      <c r="AA2057" s="73"/>
      <c r="AB2057" s="73"/>
      <c r="AC2057" s="73"/>
      <c r="AD2057" s="73"/>
      <c r="AE2057" s="73"/>
      <c r="AF2057" s="73"/>
      <c r="AG2057" s="73"/>
      <c r="AH2057" s="73"/>
      <c r="AI2057" s="73"/>
      <c r="AJ2057" s="168"/>
      <c r="AK2057" s="73"/>
      <c r="AL2057" s="73"/>
      <c r="AM2057" s="73"/>
      <c r="AN2057" s="73"/>
      <c r="AO2057" s="73"/>
      <c r="AP2057" s="73"/>
      <c r="AQ2057" s="73"/>
      <c r="AR2057" s="73"/>
      <c r="AS2057" s="73"/>
      <c r="AT2057" s="73"/>
      <c r="AU2057" s="73"/>
      <c r="AV2057" s="73"/>
      <c r="AW2057" s="73"/>
      <c r="AX2057" s="73"/>
      <c r="AY2057" s="73"/>
      <c r="AZ2057" s="73"/>
      <c r="BA2057" s="73"/>
      <c r="BB2057" s="73"/>
      <c r="BC2057" s="73"/>
      <c r="BD2057" s="73"/>
      <c r="BE2057" s="73"/>
      <c r="BF2057" s="75"/>
      <c r="BG2057" s="73"/>
      <c r="BH2057" s="88"/>
      <c r="BI2057" s="73"/>
      <c r="BJ2057" s="73"/>
      <c r="BK2057" s="73"/>
      <c r="BL2057" s="73"/>
      <c r="BM2057" s="73"/>
      <c r="BN2057" s="73"/>
      <c r="BO2057" s="73"/>
      <c r="BP2057" s="73"/>
      <c r="BQ2057" s="73"/>
      <c r="BR2057" s="73"/>
      <c r="BS2057" s="73"/>
      <c r="BT2057" s="73"/>
      <c r="BU2057" s="73"/>
      <c r="BV2057" s="73"/>
      <c r="BW2057" s="73"/>
      <c r="BX2057" s="73"/>
      <c r="BY2057" s="73"/>
      <c r="BZ2057" s="73"/>
      <c r="CA2057" s="73"/>
      <c r="CB2057" s="73"/>
      <c r="CC2057" s="73"/>
      <c r="CD2057" s="73"/>
      <c r="CE2057" s="73"/>
      <c r="CF2057" s="73"/>
      <c r="CG2057" s="73"/>
      <c r="CH2057" s="73"/>
    </row>
    <row r="2058">
      <c r="A2058" s="73"/>
      <c r="B2058" s="73"/>
      <c r="C2058" s="73"/>
      <c r="D2058" s="73"/>
      <c r="E2058" s="140"/>
      <c r="F2058" s="80"/>
      <c r="G2058" s="80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  <c r="S2058" s="73"/>
      <c r="T2058" s="73"/>
      <c r="U2058" s="73"/>
      <c r="V2058" s="73"/>
      <c r="W2058" s="73"/>
      <c r="X2058" s="73"/>
      <c r="Y2058" s="73"/>
      <c r="Z2058" s="73"/>
      <c r="AA2058" s="73"/>
      <c r="AB2058" s="73"/>
      <c r="AC2058" s="73"/>
      <c r="AD2058" s="73"/>
      <c r="AE2058" s="73"/>
      <c r="AF2058" s="73"/>
      <c r="AG2058" s="73"/>
      <c r="AH2058" s="73"/>
      <c r="AI2058" s="73"/>
      <c r="AJ2058" s="168"/>
      <c r="AK2058" s="73"/>
      <c r="AL2058" s="73"/>
      <c r="AM2058" s="73"/>
      <c r="AN2058" s="73"/>
      <c r="AO2058" s="73"/>
      <c r="AP2058" s="73"/>
      <c r="AQ2058" s="73"/>
      <c r="AR2058" s="73"/>
      <c r="AS2058" s="73"/>
      <c r="AT2058" s="73"/>
      <c r="AU2058" s="73"/>
      <c r="AV2058" s="73"/>
      <c r="AW2058" s="73"/>
      <c r="AX2058" s="73"/>
      <c r="AY2058" s="73"/>
      <c r="AZ2058" s="73"/>
      <c r="BA2058" s="73"/>
      <c r="BB2058" s="73"/>
      <c r="BC2058" s="73"/>
      <c r="BD2058" s="73"/>
      <c r="BE2058" s="73"/>
      <c r="BF2058" s="75"/>
      <c r="BG2058" s="73"/>
      <c r="BH2058" s="88"/>
      <c r="BI2058" s="73"/>
      <c r="BJ2058" s="73"/>
      <c r="BK2058" s="73"/>
      <c r="BL2058" s="73"/>
      <c r="BM2058" s="73"/>
      <c r="BN2058" s="73"/>
      <c r="BO2058" s="73"/>
      <c r="BP2058" s="73"/>
      <c r="BQ2058" s="73"/>
      <c r="BR2058" s="73"/>
      <c r="BS2058" s="73"/>
      <c r="BT2058" s="73"/>
      <c r="BU2058" s="73"/>
      <c r="BV2058" s="73"/>
      <c r="BW2058" s="73"/>
      <c r="BX2058" s="73"/>
      <c r="BY2058" s="73"/>
      <c r="BZ2058" s="73"/>
      <c r="CA2058" s="73"/>
      <c r="CB2058" s="73"/>
      <c r="CC2058" s="73"/>
      <c r="CD2058" s="73"/>
      <c r="CE2058" s="73"/>
      <c r="CF2058" s="73"/>
      <c r="CG2058" s="73"/>
      <c r="CH2058" s="73"/>
    </row>
    <row r="2059">
      <c r="A2059" s="73"/>
      <c r="B2059" s="73"/>
      <c r="C2059" s="73"/>
      <c r="D2059" s="73"/>
      <c r="E2059" s="140"/>
      <c r="F2059" s="80"/>
      <c r="G2059" s="80"/>
      <c r="H2059" s="73"/>
      <c r="I2059" s="73"/>
      <c r="J2059" s="73"/>
      <c r="K2059" s="73"/>
      <c r="L2059" s="73"/>
      <c r="M2059" s="73"/>
      <c r="N2059" s="73"/>
      <c r="O2059" s="73"/>
      <c r="P2059" s="73"/>
      <c r="Q2059" s="73"/>
      <c r="R2059" s="73"/>
      <c r="S2059" s="73"/>
      <c r="T2059" s="73"/>
      <c r="U2059" s="73"/>
      <c r="V2059" s="73"/>
      <c r="W2059" s="73"/>
      <c r="X2059" s="73"/>
      <c r="Y2059" s="73"/>
      <c r="Z2059" s="73"/>
      <c r="AA2059" s="73"/>
      <c r="AB2059" s="73"/>
      <c r="AC2059" s="73"/>
      <c r="AD2059" s="73"/>
      <c r="AE2059" s="73"/>
      <c r="AF2059" s="73"/>
      <c r="AG2059" s="73"/>
      <c r="AH2059" s="73"/>
      <c r="AI2059" s="73"/>
      <c r="AJ2059" s="168"/>
      <c r="AK2059" s="73"/>
      <c r="AL2059" s="73"/>
      <c r="AM2059" s="73"/>
      <c r="AN2059" s="73"/>
      <c r="AO2059" s="73"/>
      <c r="AP2059" s="73"/>
      <c r="AQ2059" s="73"/>
      <c r="AR2059" s="73"/>
      <c r="AS2059" s="73"/>
      <c r="AT2059" s="73"/>
      <c r="AU2059" s="73"/>
      <c r="AV2059" s="73"/>
      <c r="AW2059" s="73"/>
      <c r="AX2059" s="73"/>
      <c r="AY2059" s="73"/>
      <c r="AZ2059" s="73"/>
      <c r="BA2059" s="73"/>
      <c r="BB2059" s="73"/>
      <c r="BC2059" s="73"/>
      <c r="BD2059" s="73"/>
      <c r="BE2059" s="73"/>
      <c r="BF2059" s="75"/>
      <c r="BG2059" s="73"/>
      <c r="BH2059" s="88"/>
      <c r="BI2059" s="73"/>
      <c r="BJ2059" s="73"/>
      <c r="BK2059" s="73"/>
      <c r="BL2059" s="73"/>
      <c r="BM2059" s="73"/>
      <c r="BN2059" s="73"/>
      <c r="BO2059" s="73"/>
      <c r="BP2059" s="73"/>
      <c r="BQ2059" s="73"/>
      <c r="BR2059" s="73"/>
      <c r="BS2059" s="73"/>
      <c r="BT2059" s="73"/>
      <c r="BU2059" s="73"/>
      <c r="BV2059" s="73"/>
      <c r="BW2059" s="73"/>
      <c r="BX2059" s="73"/>
      <c r="BY2059" s="73"/>
      <c r="BZ2059" s="73"/>
      <c r="CA2059" s="73"/>
      <c r="CB2059" s="73"/>
      <c r="CC2059" s="73"/>
      <c r="CD2059" s="73"/>
      <c r="CE2059" s="73"/>
      <c r="CF2059" s="73"/>
      <c r="CG2059" s="73"/>
      <c r="CH2059" s="73"/>
    </row>
    <row r="2060">
      <c r="A2060" s="73"/>
      <c r="B2060" s="73"/>
      <c r="C2060" s="73"/>
      <c r="D2060" s="73"/>
      <c r="E2060" s="140"/>
      <c r="F2060" s="80"/>
      <c r="G2060" s="80"/>
      <c r="H2060" s="73"/>
      <c r="I2060" s="73"/>
      <c r="J2060" s="73"/>
      <c r="K2060" s="73"/>
      <c r="L2060" s="73"/>
      <c r="M2060" s="73"/>
      <c r="N2060" s="73"/>
      <c r="O2060" s="73"/>
      <c r="P2060" s="73"/>
      <c r="Q2060" s="73"/>
      <c r="R2060" s="73"/>
      <c r="S2060" s="73"/>
      <c r="T2060" s="73"/>
      <c r="U2060" s="73"/>
      <c r="V2060" s="73"/>
      <c r="W2060" s="73"/>
      <c r="X2060" s="73"/>
      <c r="Y2060" s="73"/>
      <c r="Z2060" s="73"/>
      <c r="AA2060" s="73"/>
      <c r="AB2060" s="73"/>
      <c r="AC2060" s="73"/>
      <c r="AD2060" s="73"/>
      <c r="AE2060" s="73"/>
      <c r="AF2060" s="73"/>
      <c r="AG2060" s="73"/>
      <c r="AH2060" s="73"/>
      <c r="AI2060" s="73"/>
      <c r="AJ2060" s="168"/>
      <c r="AK2060" s="73"/>
      <c r="AL2060" s="73"/>
      <c r="AM2060" s="73"/>
      <c r="AN2060" s="73"/>
      <c r="AO2060" s="73"/>
      <c r="AP2060" s="73"/>
      <c r="AQ2060" s="73"/>
      <c r="AR2060" s="73"/>
      <c r="AS2060" s="73"/>
      <c r="AT2060" s="73"/>
      <c r="AU2060" s="73"/>
      <c r="AV2060" s="73"/>
      <c r="AW2060" s="73"/>
      <c r="AX2060" s="73"/>
      <c r="AY2060" s="73"/>
      <c r="AZ2060" s="73"/>
      <c r="BA2060" s="73"/>
      <c r="BB2060" s="73"/>
      <c r="BC2060" s="73"/>
      <c r="BD2060" s="73"/>
      <c r="BE2060" s="73"/>
      <c r="BF2060" s="75"/>
      <c r="BG2060" s="73"/>
      <c r="BH2060" s="88"/>
      <c r="BI2060" s="73"/>
      <c r="BJ2060" s="73"/>
      <c r="BK2060" s="73"/>
      <c r="BL2060" s="73"/>
      <c r="BM2060" s="73"/>
      <c r="BN2060" s="73"/>
      <c r="BO2060" s="73"/>
      <c r="BP2060" s="73"/>
      <c r="BQ2060" s="73"/>
      <c r="BR2060" s="73"/>
      <c r="BS2060" s="73"/>
      <c r="BT2060" s="73"/>
      <c r="BU2060" s="73"/>
      <c r="BV2060" s="73"/>
      <c r="BW2060" s="73"/>
      <c r="BX2060" s="73"/>
      <c r="BY2060" s="73"/>
      <c r="BZ2060" s="73"/>
      <c r="CA2060" s="73"/>
      <c r="CB2060" s="73"/>
      <c r="CC2060" s="73"/>
      <c r="CD2060" s="73"/>
      <c r="CE2060" s="73"/>
      <c r="CF2060" s="73"/>
      <c r="CG2060" s="73"/>
      <c r="CH2060" s="73"/>
    </row>
    <row r="2061">
      <c r="A2061" s="73"/>
      <c r="B2061" s="73"/>
      <c r="C2061" s="73"/>
      <c r="D2061" s="73"/>
      <c r="E2061" s="140"/>
      <c r="F2061" s="80"/>
      <c r="G2061" s="80"/>
      <c r="H2061" s="73"/>
      <c r="I2061" s="73"/>
      <c r="J2061" s="73"/>
      <c r="K2061" s="73"/>
      <c r="L2061" s="73"/>
      <c r="M2061" s="73"/>
      <c r="N2061" s="73"/>
      <c r="O2061" s="73"/>
      <c r="P2061" s="73"/>
      <c r="Q2061" s="73"/>
      <c r="R2061" s="73"/>
      <c r="S2061" s="73"/>
      <c r="T2061" s="73"/>
      <c r="U2061" s="73"/>
      <c r="V2061" s="73"/>
      <c r="W2061" s="73"/>
      <c r="X2061" s="73"/>
      <c r="Y2061" s="73"/>
      <c r="Z2061" s="73"/>
      <c r="AA2061" s="73"/>
      <c r="AB2061" s="73"/>
      <c r="AC2061" s="73"/>
      <c r="AD2061" s="73"/>
      <c r="AE2061" s="73"/>
      <c r="AF2061" s="73"/>
      <c r="AG2061" s="73"/>
      <c r="AH2061" s="73"/>
      <c r="AI2061" s="73"/>
      <c r="AJ2061" s="168"/>
      <c r="AK2061" s="73"/>
      <c r="AL2061" s="73"/>
      <c r="AM2061" s="73"/>
      <c r="AN2061" s="73"/>
      <c r="AO2061" s="73"/>
      <c r="AP2061" s="73"/>
      <c r="AQ2061" s="73"/>
      <c r="AR2061" s="73"/>
      <c r="AS2061" s="73"/>
      <c r="AT2061" s="73"/>
      <c r="AU2061" s="73"/>
      <c r="AV2061" s="73"/>
      <c r="AW2061" s="73"/>
      <c r="AX2061" s="73"/>
      <c r="AY2061" s="73"/>
      <c r="AZ2061" s="73"/>
      <c r="BA2061" s="73"/>
      <c r="BB2061" s="73"/>
      <c r="BC2061" s="73"/>
      <c r="BD2061" s="73"/>
      <c r="BE2061" s="73"/>
      <c r="BF2061" s="75"/>
      <c r="BG2061" s="73"/>
      <c r="BH2061" s="88"/>
      <c r="BI2061" s="73"/>
      <c r="BJ2061" s="73"/>
      <c r="BK2061" s="73"/>
      <c r="BL2061" s="73"/>
      <c r="BM2061" s="73"/>
      <c r="BN2061" s="73"/>
      <c r="BO2061" s="73"/>
      <c r="BP2061" s="73"/>
      <c r="BQ2061" s="73"/>
      <c r="BR2061" s="73"/>
      <c r="BS2061" s="73"/>
      <c r="BT2061" s="73"/>
      <c r="BU2061" s="73"/>
      <c r="BV2061" s="73"/>
      <c r="BW2061" s="73"/>
      <c r="BX2061" s="73"/>
      <c r="BY2061" s="73"/>
      <c r="BZ2061" s="73"/>
      <c r="CA2061" s="73"/>
      <c r="CB2061" s="73"/>
      <c r="CC2061" s="73"/>
      <c r="CD2061" s="73"/>
      <c r="CE2061" s="73"/>
      <c r="CF2061" s="73"/>
      <c r="CG2061" s="73"/>
      <c r="CH2061" s="73"/>
    </row>
    <row r="2062">
      <c r="A2062" s="73"/>
      <c r="B2062" s="73"/>
      <c r="C2062" s="73"/>
      <c r="D2062" s="73"/>
      <c r="E2062" s="140"/>
      <c r="F2062" s="80"/>
      <c r="G2062" s="80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  <c r="S2062" s="73"/>
      <c r="T2062" s="73"/>
      <c r="U2062" s="73"/>
      <c r="V2062" s="73"/>
      <c r="W2062" s="73"/>
      <c r="X2062" s="73"/>
      <c r="Y2062" s="73"/>
      <c r="Z2062" s="73"/>
      <c r="AA2062" s="73"/>
      <c r="AB2062" s="73"/>
      <c r="AC2062" s="73"/>
      <c r="AD2062" s="73"/>
      <c r="AE2062" s="73"/>
      <c r="AF2062" s="73"/>
      <c r="AG2062" s="73"/>
      <c r="AH2062" s="73"/>
      <c r="AI2062" s="73"/>
      <c r="AJ2062" s="168"/>
      <c r="AK2062" s="73"/>
      <c r="AL2062" s="73"/>
      <c r="AM2062" s="73"/>
      <c r="AN2062" s="73"/>
      <c r="AO2062" s="73"/>
      <c r="AP2062" s="73"/>
      <c r="AQ2062" s="73"/>
      <c r="AR2062" s="73"/>
      <c r="AS2062" s="73"/>
      <c r="AT2062" s="73"/>
      <c r="AU2062" s="73"/>
      <c r="AV2062" s="73"/>
      <c r="AW2062" s="73"/>
      <c r="AX2062" s="73"/>
      <c r="AY2062" s="73"/>
      <c r="AZ2062" s="73"/>
      <c r="BA2062" s="73"/>
      <c r="BB2062" s="73"/>
      <c r="BC2062" s="73"/>
      <c r="BD2062" s="73"/>
      <c r="BE2062" s="73"/>
      <c r="BF2062" s="75"/>
      <c r="BG2062" s="73"/>
      <c r="BH2062" s="88"/>
      <c r="BI2062" s="73"/>
      <c r="BJ2062" s="73"/>
      <c r="BK2062" s="73"/>
      <c r="BL2062" s="73"/>
      <c r="BM2062" s="73"/>
      <c r="BN2062" s="73"/>
      <c r="BO2062" s="73"/>
      <c r="BP2062" s="73"/>
      <c r="BQ2062" s="73"/>
      <c r="BR2062" s="73"/>
      <c r="BS2062" s="73"/>
      <c r="BT2062" s="73"/>
      <c r="BU2062" s="73"/>
      <c r="BV2062" s="73"/>
      <c r="BW2062" s="73"/>
      <c r="BX2062" s="73"/>
      <c r="BY2062" s="73"/>
      <c r="BZ2062" s="73"/>
      <c r="CA2062" s="73"/>
      <c r="CB2062" s="73"/>
      <c r="CC2062" s="73"/>
      <c r="CD2062" s="73"/>
      <c r="CE2062" s="73"/>
      <c r="CF2062" s="73"/>
      <c r="CG2062" s="73"/>
      <c r="CH2062" s="73"/>
    </row>
    <row r="2063">
      <c r="A2063" s="73"/>
      <c r="B2063" s="73"/>
      <c r="C2063" s="73"/>
      <c r="D2063" s="73"/>
      <c r="E2063" s="140"/>
      <c r="F2063" s="80"/>
      <c r="G2063" s="80"/>
      <c r="H2063" s="73"/>
      <c r="I2063" s="73"/>
      <c r="J2063" s="73"/>
      <c r="K2063" s="73"/>
      <c r="L2063" s="73"/>
      <c r="M2063" s="73"/>
      <c r="N2063" s="73"/>
      <c r="O2063" s="73"/>
      <c r="P2063" s="73"/>
      <c r="Q2063" s="73"/>
      <c r="R2063" s="73"/>
      <c r="S2063" s="73"/>
      <c r="T2063" s="73"/>
      <c r="U2063" s="73"/>
      <c r="V2063" s="73"/>
      <c r="W2063" s="73"/>
      <c r="X2063" s="73"/>
      <c r="Y2063" s="73"/>
      <c r="Z2063" s="73"/>
      <c r="AA2063" s="73"/>
      <c r="AB2063" s="73"/>
      <c r="AC2063" s="73"/>
      <c r="AD2063" s="73"/>
      <c r="AE2063" s="73"/>
      <c r="AF2063" s="73"/>
      <c r="AG2063" s="73"/>
      <c r="AH2063" s="73"/>
      <c r="AI2063" s="73"/>
      <c r="AJ2063" s="168"/>
      <c r="AK2063" s="73"/>
      <c r="AL2063" s="73"/>
      <c r="AM2063" s="73"/>
      <c r="AN2063" s="73"/>
      <c r="AO2063" s="73"/>
      <c r="AP2063" s="73"/>
      <c r="AQ2063" s="73"/>
      <c r="AR2063" s="73"/>
      <c r="AS2063" s="73"/>
      <c r="AT2063" s="73"/>
      <c r="AU2063" s="73"/>
      <c r="AV2063" s="73"/>
      <c r="AW2063" s="73"/>
      <c r="AX2063" s="73"/>
      <c r="AY2063" s="73"/>
      <c r="AZ2063" s="73"/>
      <c r="BA2063" s="73"/>
      <c r="BB2063" s="73"/>
      <c r="BC2063" s="73"/>
      <c r="BD2063" s="73"/>
      <c r="BE2063" s="73"/>
      <c r="BF2063" s="75"/>
      <c r="BG2063" s="73"/>
      <c r="BH2063" s="88"/>
      <c r="BI2063" s="73"/>
      <c r="BJ2063" s="73"/>
      <c r="BK2063" s="73"/>
      <c r="BL2063" s="73"/>
      <c r="BM2063" s="73"/>
      <c r="BN2063" s="73"/>
      <c r="BO2063" s="73"/>
      <c r="BP2063" s="73"/>
      <c r="BQ2063" s="73"/>
      <c r="BR2063" s="73"/>
      <c r="BS2063" s="73"/>
      <c r="BT2063" s="73"/>
      <c r="BU2063" s="73"/>
      <c r="BV2063" s="73"/>
      <c r="BW2063" s="73"/>
      <c r="BX2063" s="73"/>
      <c r="BY2063" s="73"/>
      <c r="BZ2063" s="73"/>
      <c r="CA2063" s="73"/>
      <c r="CB2063" s="73"/>
      <c r="CC2063" s="73"/>
      <c r="CD2063" s="73"/>
      <c r="CE2063" s="73"/>
      <c r="CF2063" s="73"/>
      <c r="CG2063" s="73"/>
      <c r="CH2063" s="73"/>
    </row>
    <row r="2064">
      <c r="A2064" s="73"/>
      <c r="B2064" s="73"/>
      <c r="C2064" s="73"/>
      <c r="D2064" s="73"/>
      <c r="E2064" s="140"/>
      <c r="F2064" s="80"/>
      <c r="G2064" s="80"/>
      <c r="H2064" s="73"/>
      <c r="I2064" s="73"/>
      <c r="J2064" s="73"/>
      <c r="K2064" s="73"/>
      <c r="L2064" s="73"/>
      <c r="M2064" s="73"/>
      <c r="N2064" s="73"/>
      <c r="O2064" s="73"/>
      <c r="P2064" s="73"/>
      <c r="Q2064" s="73"/>
      <c r="R2064" s="73"/>
      <c r="S2064" s="73"/>
      <c r="T2064" s="73"/>
      <c r="U2064" s="73"/>
      <c r="V2064" s="73"/>
      <c r="W2064" s="73"/>
      <c r="X2064" s="73"/>
      <c r="Y2064" s="73"/>
      <c r="Z2064" s="73"/>
      <c r="AA2064" s="73"/>
      <c r="AB2064" s="73"/>
      <c r="AC2064" s="73"/>
      <c r="AD2064" s="73"/>
      <c r="AE2064" s="73"/>
      <c r="AF2064" s="73"/>
      <c r="AG2064" s="73"/>
      <c r="AH2064" s="73"/>
      <c r="AI2064" s="73"/>
      <c r="AJ2064" s="168"/>
      <c r="AK2064" s="73"/>
      <c r="AL2064" s="73"/>
      <c r="AM2064" s="73"/>
      <c r="AN2064" s="73"/>
      <c r="AO2064" s="73"/>
      <c r="AP2064" s="73"/>
      <c r="AQ2064" s="73"/>
      <c r="AR2064" s="73"/>
      <c r="AS2064" s="73"/>
      <c r="AT2064" s="73"/>
      <c r="AU2064" s="73"/>
      <c r="AV2064" s="73"/>
      <c r="AW2064" s="73"/>
      <c r="AX2064" s="73"/>
      <c r="AY2064" s="73"/>
      <c r="AZ2064" s="73"/>
      <c r="BA2064" s="73"/>
      <c r="BB2064" s="73"/>
      <c r="BC2064" s="73"/>
      <c r="BD2064" s="73"/>
      <c r="BE2064" s="73"/>
      <c r="BF2064" s="75"/>
      <c r="BG2064" s="73"/>
      <c r="BH2064" s="88"/>
      <c r="BI2064" s="73"/>
      <c r="BJ2064" s="73"/>
      <c r="BK2064" s="73"/>
      <c r="BL2064" s="73"/>
      <c r="BM2064" s="73"/>
      <c r="BN2064" s="73"/>
      <c r="BO2064" s="73"/>
      <c r="BP2064" s="73"/>
      <c r="BQ2064" s="73"/>
      <c r="BR2064" s="73"/>
      <c r="BS2064" s="73"/>
      <c r="BT2064" s="73"/>
      <c r="BU2064" s="73"/>
      <c r="BV2064" s="73"/>
      <c r="BW2064" s="73"/>
      <c r="BX2064" s="73"/>
      <c r="BY2064" s="73"/>
      <c r="BZ2064" s="73"/>
      <c r="CA2064" s="73"/>
      <c r="CB2064" s="73"/>
      <c r="CC2064" s="73"/>
      <c r="CD2064" s="73"/>
      <c r="CE2064" s="73"/>
      <c r="CF2064" s="73"/>
      <c r="CG2064" s="73"/>
      <c r="CH2064" s="73"/>
    </row>
    <row r="2065">
      <c r="A2065" s="73"/>
      <c r="B2065" s="73"/>
      <c r="C2065" s="73"/>
      <c r="D2065" s="73"/>
      <c r="E2065" s="140"/>
      <c r="F2065" s="80"/>
      <c r="G2065" s="80"/>
      <c r="H2065" s="73"/>
      <c r="I2065" s="73"/>
      <c r="J2065" s="73"/>
      <c r="K2065" s="73"/>
      <c r="L2065" s="73"/>
      <c r="M2065" s="73"/>
      <c r="N2065" s="73"/>
      <c r="O2065" s="73"/>
      <c r="P2065" s="73"/>
      <c r="Q2065" s="73"/>
      <c r="R2065" s="73"/>
      <c r="S2065" s="73"/>
      <c r="T2065" s="73"/>
      <c r="U2065" s="73"/>
      <c r="V2065" s="73"/>
      <c r="W2065" s="73"/>
      <c r="X2065" s="73"/>
      <c r="Y2065" s="73"/>
      <c r="Z2065" s="73"/>
      <c r="AA2065" s="73"/>
      <c r="AB2065" s="73"/>
      <c r="AC2065" s="73"/>
      <c r="AD2065" s="73"/>
      <c r="AE2065" s="73"/>
      <c r="AF2065" s="73"/>
      <c r="AG2065" s="73"/>
      <c r="AH2065" s="73"/>
      <c r="AI2065" s="73"/>
      <c r="AJ2065" s="168"/>
      <c r="AK2065" s="73"/>
      <c r="AL2065" s="73"/>
      <c r="AM2065" s="73"/>
      <c r="AN2065" s="73"/>
      <c r="AO2065" s="73"/>
      <c r="AP2065" s="73"/>
      <c r="AQ2065" s="73"/>
      <c r="AR2065" s="73"/>
      <c r="AS2065" s="73"/>
      <c r="AT2065" s="73"/>
      <c r="AU2065" s="73"/>
      <c r="AV2065" s="73"/>
      <c r="AW2065" s="73"/>
      <c r="AX2065" s="73"/>
      <c r="AY2065" s="73"/>
      <c r="AZ2065" s="73"/>
      <c r="BA2065" s="73"/>
      <c r="BB2065" s="73"/>
      <c r="BC2065" s="73"/>
      <c r="BD2065" s="73"/>
      <c r="BE2065" s="73"/>
      <c r="BF2065" s="75"/>
      <c r="BG2065" s="73"/>
      <c r="BH2065" s="88"/>
      <c r="BI2065" s="73"/>
      <c r="BJ2065" s="73"/>
      <c r="BK2065" s="73"/>
      <c r="BL2065" s="73"/>
      <c r="BM2065" s="73"/>
      <c r="BN2065" s="73"/>
      <c r="BO2065" s="73"/>
      <c r="BP2065" s="73"/>
      <c r="BQ2065" s="73"/>
      <c r="BR2065" s="73"/>
      <c r="BS2065" s="73"/>
      <c r="BT2065" s="73"/>
      <c r="BU2065" s="73"/>
      <c r="BV2065" s="73"/>
      <c r="BW2065" s="73"/>
      <c r="BX2065" s="73"/>
      <c r="BY2065" s="73"/>
      <c r="BZ2065" s="73"/>
      <c r="CA2065" s="73"/>
      <c r="CB2065" s="73"/>
      <c r="CC2065" s="73"/>
      <c r="CD2065" s="73"/>
      <c r="CE2065" s="73"/>
      <c r="CF2065" s="73"/>
      <c r="CG2065" s="73"/>
      <c r="CH2065" s="73"/>
    </row>
    <row r="2066">
      <c r="A2066" s="73"/>
      <c r="B2066" s="73"/>
      <c r="C2066" s="73"/>
      <c r="D2066" s="73"/>
      <c r="E2066" s="140"/>
      <c r="F2066" s="80"/>
      <c r="G2066" s="80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  <c r="S2066" s="73"/>
      <c r="T2066" s="73"/>
      <c r="U2066" s="73"/>
      <c r="V2066" s="73"/>
      <c r="W2066" s="73"/>
      <c r="X2066" s="73"/>
      <c r="Y2066" s="73"/>
      <c r="Z2066" s="73"/>
      <c r="AA2066" s="73"/>
      <c r="AB2066" s="73"/>
      <c r="AC2066" s="73"/>
      <c r="AD2066" s="73"/>
      <c r="AE2066" s="73"/>
      <c r="AF2066" s="73"/>
      <c r="AG2066" s="73"/>
      <c r="AH2066" s="73"/>
      <c r="AI2066" s="73"/>
      <c r="AJ2066" s="168"/>
      <c r="AK2066" s="73"/>
      <c r="AL2066" s="73"/>
      <c r="AM2066" s="73"/>
      <c r="AN2066" s="73"/>
      <c r="AO2066" s="73"/>
      <c r="AP2066" s="73"/>
      <c r="AQ2066" s="73"/>
      <c r="AR2066" s="73"/>
      <c r="AS2066" s="73"/>
      <c r="AT2066" s="73"/>
      <c r="AU2066" s="73"/>
      <c r="AV2066" s="73"/>
      <c r="AW2066" s="73"/>
      <c r="AX2066" s="73"/>
      <c r="AY2066" s="73"/>
      <c r="AZ2066" s="73"/>
      <c r="BA2066" s="73"/>
      <c r="BB2066" s="73"/>
      <c r="BC2066" s="73"/>
      <c r="BD2066" s="73"/>
      <c r="BE2066" s="73"/>
      <c r="BF2066" s="75"/>
      <c r="BG2066" s="73"/>
      <c r="BH2066" s="88"/>
      <c r="BI2066" s="73"/>
      <c r="BJ2066" s="73"/>
      <c r="BK2066" s="73"/>
      <c r="BL2066" s="73"/>
      <c r="BM2066" s="73"/>
      <c r="BN2066" s="73"/>
      <c r="BO2066" s="73"/>
      <c r="BP2066" s="73"/>
      <c r="BQ2066" s="73"/>
      <c r="BR2066" s="73"/>
      <c r="BS2066" s="73"/>
      <c r="BT2066" s="73"/>
      <c r="BU2066" s="73"/>
      <c r="BV2066" s="73"/>
      <c r="BW2066" s="73"/>
      <c r="BX2066" s="73"/>
      <c r="BY2066" s="73"/>
      <c r="BZ2066" s="73"/>
      <c r="CA2066" s="73"/>
      <c r="CB2066" s="73"/>
      <c r="CC2066" s="73"/>
      <c r="CD2066" s="73"/>
      <c r="CE2066" s="73"/>
      <c r="CF2066" s="73"/>
      <c r="CG2066" s="73"/>
      <c r="CH2066" s="73"/>
    </row>
    <row r="2067">
      <c r="A2067" s="73"/>
      <c r="B2067" s="73"/>
      <c r="C2067" s="73"/>
      <c r="D2067" s="73"/>
      <c r="E2067" s="140"/>
      <c r="F2067" s="80"/>
      <c r="G2067" s="80"/>
      <c r="H2067" s="73"/>
      <c r="I2067" s="73"/>
      <c r="J2067" s="73"/>
      <c r="K2067" s="73"/>
      <c r="L2067" s="73"/>
      <c r="M2067" s="73"/>
      <c r="N2067" s="73"/>
      <c r="O2067" s="73"/>
      <c r="P2067" s="73"/>
      <c r="Q2067" s="73"/>
      <c r="R2067" s="73"/>
      <c r="S2067" s="73"/>
      <c r="T2067" s="73"/>
      <c r="U2067" s="73"/>
      <c r="V2067" s="73"/>
      <c r="W2067" s="73"/>
      <c r="X2067" s="73"/>
      <c r="Y2067" s="73"/>
      <c r="Z2067" s="73"/>
      <c r="AA2067" s="73"/>
      <c r="AB2067" s="73"/>
      <c r="AC2067" s="73"/>
      <c r="AD2067" s="73"/>
      <c r="AE2067" s="73"/>
      <c r="AF2067" s="73"/>
      <c r="AG2067" s="73"/>
      <c r="AH2067" s="73"/>
      <c r="AI2067" s="73"/>
      <c r="AJ2067" s="168"/>
      <c r="AK2067" s="73"/>
      <c r="AL2067" s="73"/>
      <c r="AM2067" s="73"/>
      <c r="AN2067" s="73"/>
      <c r="AO2067" s="73"/>
      <c r="AP2067" s="73"/>
      <c r="AQ2067" s="73"/>
      <c r="AR2067" s="73"/>
      <c r="AS2067" s="73"/>
      <c r="AT2067" s="73"/>
      <c r="AU2067" s="73"/>
      <c r="AV2067" s="73"/>
      <c r="AW2067" s="73"/>
      <c r="AX2067" s="73"/>
      <c r="AY2067" s="73"/>
      <c r="AZ2067" s="73"/>
      <c r="BA2067" s="73"/>
      <c r="BB2067" s="73"/>
      <c r="BC2067" s="73"/>
      <c r="BD2067" s="73"/>
      <c r="BE2067" s="73"/>
      <c r="BF2067" s="75"/>
      <c r="BG2067" s="73"/>
      <c r="BH2067" s="88"/>
      <c r="BI2067" s="73"/>
      <c r="BJ2067" s="73"/>
      <c r="BK2067" s="73"/>
      <c r="BL2067" s="73"/>
      <c r="BM2067" s="73"/>
      <c r="BN2067" s="73"/>
      <c r="BO2067" s="73"/>
      <c r="BP2067" s="73"/>
      <c r="BQ2067" s="73"/>
      <c r="BR2067" s="73"/>
      <c r="BS2067" s="73"/>
      <c r="BT2067" s="73"/>
      <c r="BU2067" s="73"/>
      <c r="BV2067" s="73"/>
      <c r="BW2067" s="73"/>
      <c r="BX2067" s="73"/>
      <c r="BY2067" s="73"/>
      <c r="BZ2067" s="73"/>
      <c r="CA2067" s="73"/>
      <c r="CB2067" s="73"/>
      <c r="CC2067" s="73"/>
      <c r="CD2067" s="73"/>
      <c r="CE2067" s="73"/>
      <c r="CF2067" s="73"/>
      <c r="CG2067" s="73"/>
      <c r="CH2067" s="73"/>
    </row>
    <row r="2068">
      <c r="A2068" s="73"/>
      <c r="B2068" s="73"/>
      <c r="C2068" s="73"/>
      <c r="D2068" s="73"/>
      <c r="E2068" s="140"/>
      <c r="F2068" s="80"/>
      <c r="G2068" s="80"/>
      <c r="H2068" s="73"/>
      <c r="I2068" s="73"/>
      <c r="J2068" s="73"/>
      <c r="K2068" s="73"/>
      <c r="L2068" s="73"/>
      <c r="M2068" s="73"/>
      <c r="N2068" s="73"/>
      <c r="O2068" s="73"/>
      <c r="P2068" s="73"/>
      <c r="Q2068" s="73"/>
      <c r="R2068" s="73"/>
      <c r="S2068" s="73"/>
      <c r="T2068" s="73"/>
      <c r="U2068" s="73"/>
      <c r="V2068" s="73"/>
      <c r="W2068" s="73"/>
      <c r="X2068" s="73"/>
      <c r="Y2068" s="73"/>
      <c r="Z2068" s="73"/>
      <c r="AA2068" s="73"/>
      <c r="AB2068" s="73"/>
      <c r="AC2068" s="73"/>
      <c r="AD2068" s="73"/>
      <c r="AE2068" s="73"/>
      <c r="AF2068" s="73"/>
      <c r="AG2068" s="73"/>
      <c r="AH2068" s="73"/>
      <c r="AI2068" s="73"/>
      <c r="AJ2068" s="168"/>
      <c r="AK2068" s="73"/>
      <c r="AL2068" s="73"/>
      <c r="AM2068" s="73"/>
      <c r="AN2068" s="73"/>
      <c r="AO2068" s="73"/>
      <c r="AP2068" s="73"/>
      <c r="AQ2068" s="73"/>
      <c r="AR2068" s="73"/>
      <c r="AS2068" s="73"/>
      <c r="AT2068" s="73"/>
      <c r="AU2068" s="73"/>
      <c r="AV2068" s="73"/>
      <c r="AW2068" s="73"/>
      <c r="AX2068" s="73"/>
      <c r="AY2068" s="73"/>
      <c r="AZ2068" s="73"/>
      <c r="BA2068" s="73"/>
      <c r="BB2068" s="73"/>
      <c r="BC2068" s="73"/>
      <c r="BD2068" s="73"/>
      <c r="BE2068" s="73"/>
      <c r="BF2068" s="75"/>
      <c r="BG2068" s="73"/>
      <c r="BH2068" s="88"/>
      <c r="BI2068" s="73"/>
      <c r="BJ2068" s="73"/>
      <c r="BK2068" s="73"/>
      <c r="BL2068" s="73"/>
      <c r="BM2068" s="73"/>
      <c r="BN2068" s="73"/>
      <c r="BO2068" s="73"/>
      <c r="BP2068" s="73"/>
      <c r="BQ2068" s="73"/>
      <c r="BR2068" s="73"/>
      <c r="BS2068" s="73"/>
      <c r="BT2068" s="73"/>
      <c r="BU2068" s="73"/>
      <c r="BV2068" s="73"/>
      <c r="BW2068" s="73"/>
      <c r="BX2068" s="73"/>
      <c r="BY2068" s="73"/>
      <c r="BZ2068" s="73"/>
      <c r="CA2068" s="73"/>
      <c r="CB2068" s="73"/>
      <c r="CC2068" s="73"/>
      <c r="CD2068" s="73"/>
      <c r="CE2068" s="73"/>
      <c r="CF2068" s="73"/>
      <c r="CG2068" s="73"/>
      <c r="CH2068" s="73"/>
    </row>
    <row r="2069">
      <c r="A2069" s="73"/>
      <c r="B2069" s="73"/>
      <c r="C2069" s="73"/>
      <c r="D2069" s="73"/>
      <c r="E2069" s="140"/>
      <c r="F2069" s="80"/>
      <c r="G2069" s="80"/>
      <c r="H2069" s="73"/>
      <c r="I2069" s="73"/>
      <c r="J2069" s="73"/>
      <c r="K2069" s="73"/>
      <c r="L2069" s="73"/>
      <c r="M2069" s="73"/>
      <c r="N2069" s="73"/>
      <c r="O2069" s="73"/>
      <c r="P2069" s="73"/>
      <c r="Q2069" s="73"/>
      <c r="R2069" s="73"/>
      <c r="S2069" s="73"/>
      <c r="T2069" s="73"/>
      <c r="U2069" s="73"/>
      <c r="V2069" s="73"/>
      <c r="W2069" s="73"/>
      <c r="X2069" s="73"/>
      <c r="Y2069" s="73"/>
      <c r="Z2069" s="73"/>
      <c r="AA2069" s="73"/>
      <c r="AB2069" s="73"/>
      <c r="AC2069" s="73"/>
      <c r="AD2069" s="73"/>
      <c r="AE2069" s="73"/>
      <c r="AF2069" s="73"/>
      <c r="AG2069" s="73"/>
      <c r="AH2069" s="73"/>
      <c r="AI2069" s="73"/>
      <c r="AJ2069" s="168"/>
      <c r="AK2069" s="73"/>
      <c r="AL2069" s="73"/>
      <c r="AM2069" s="73"/>
      <c r="AN2069" s="73"/>
      <c r="AO2069" s="73"/>
      <c r="AP2069" s="73"/>
      <c r="AQ2069" s="73"/>
      <c r="AR2069" s="73"/>
      <c r="AS2069" s="73"/>
      <c r="AT2069" s="73"/>
      <c r="AU2069" s="73"/>
      <c r="AV2069" s="73"/>
      <c r="AW2069" s="73"/>
      <c r="AX2069" s="73"/>
      <c r="AY2069" s="73"/>
      <c r="AZ2069" s="73"/>
      <c r="BA2069" s="73"/>
      <c r="BB2069" s="73"/>
      <c r="BC2069" s="73"/>
      <c r="BD2069" s="73"/>
      <c r="BE2069" s="73"/>
      <c r="BF2069" s="75"/>
      <c r="BG2069" s="73"/>
      <c r="BH2069" s="88"/>
      <c r="BI2069" s="73"/>
      <c r="BJ2069" s="73"/>
      <c r="BK2069" s="73"/>
      <c r="BL2069" s="73"/>
      <c r="BM2069" s="73"/>
      <c r="BN2069" s="73"/>
      <c r="BO2069" s="73"/>
      <c r="BP2069" s="73"/>
      <c r="BQ2069" s="73"/>
      <c r="BR2069" s="73"/>
      <c r="BS2069" s="73"/>
      <c r="BT2069" s="73"/>
      <c r="BU2069" s="73"/>
      <c r="BV2069" s="73"/>
      <c r="BW2069" s="73"/>
      <c r="BX2069" s="73"/>
      <c r="BY2069" s="73"/>
      <c r="BZ2069" s="73"/>
      <c r="CA2069" s="73"/>
      <c r="CB2069" s="73"/>
      <c r="CC2069" s="73"/>
      <c r="CD2069" s="73"/>
      <c r="CE2069" s="73"/>
      <c r="CF2069" s="73"/>
      <c r="CG2069" s="73"/>
      <c r="CH2069" s="73"/>
    </row>
    <row r="2070">
      <c r="A2070" s="73"/>
      <c r="B2070" s="73"/>
      <c r="C2070" s="73"/>
      <c r="D2070" s="73"/>
      <c r="E2070" s="140"/>
      <c r="F2070" s="80"/>
      <c r="G2070" s="80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  <c r="S2070" s="73"/>
      <c r="T2070" s="73"/>
      <c r="U2070" s="73"/>
      <c r="V2070" s="73"/>
      <c r="W2070" s="73"/>
      <c r="X2070" s="73"/>
      <c r="Y2070" s="73"/>
      <c r="Z2070" s="73"/>
      <c r="AA2070" s="73"/>
      <c r="AB2070" s="73"/>
      <c r="AC2070" s="73"/>
      <c r="AD2070" s="73"/>
      <c r="AE2070" s="73"/>
      <c r="AF2070" s="73"/>
      <c r="AG2070" s="73"/>
      <c r="AH2070" s="73"/>
      <c r="AI2070" s="73"/>
      <c r="AJ2070" s="168"/>
      <c r="AK2070" s="73"/>
      <c r="AL2070" s="73"/>
      <c r="AM2070" s="73"/>
      <c r="AN2070" s="73"/>
      <c r="AO2070" s="73"/>
      <c r="AP2070" s="73"/>
      <c r="AQ2070" s="73"/>
      <c r="AR2070" s="73"/>
      <c r="AS2070" s="73"/>
      <c r="AT2070" s="73"/>
      <c r="AU2070" s="73"/>
      <c r="AV2070" s="73"/>
      <c r="AW2070" s="73"/>
      <c r="AX2070" s="73"/>
      <c r="AY2070" s="73"/>
      <c r="AZ2070" s="73"/>
      <c r="BA2070" s="73"/>
      <c r="BB2070" s="73"/>
      <c r="BC2070" s="73"/>
      <c r="BD2070" s="73"/>
      <c r="BE2070" s="73"/>
      <c r="BF2070" s="75"/>
      <c r="BG2070" s="73"/>
      <c r="BH2070" s="88"/>
      <c r="BI2070" s="73"/>
      <c r="BJ2070" s="73"/>
      <c r="BK2070" s="73"/>
      <c r="BL2070" s="73"/>
      <c r="BM2070" s="73"/>
      <c r="BN2070" s="73"/>
      <c r="BO2070" s="73"/>
      <c r="BP2070" s="73"/>
      <c r="BQ2070" s="73"/>
      <c r="BR2070" s="73"/>
      <c r="BS2070" s="73"/>
      <c r="BT2070" s="73"/>
      <c r="BU2070" s="73"/>
      <c r="BV2070" s="73"/>
      <c r="BW2070" s="73"/>
      <c r="BX2070" s="73"/>
      <c r="BY2070" s="73"/>
      <c r="BZ2070" s="73"/>
      <c r="CA2070" s="73"/>
      <c r="CB2070" s="73"/>
      <c r="CC2070" s="73"/>
      <c r="CD2070" s="73"/>
      <c r="CE2070" s="73"/>
      <c r="CF2070" s="73"/>
      <c r="CG2070" s="73"/>
      <c r="CH2070" s="73"/>
    </row>
    <row r="2071">
      <c r="A2071" s="73"/>
      <c r="B2071" s="73"/>
      <c r="C2071" s="73"/>
      <c r="D2071" s="73"/>
      <c r="E2071" s="140"/>
      <c r="F2071" s="80"/>
      <c r="G2071" s="80"/>
      <c r="H2071" s="73"/>
      <c r="I2071" s="73"/>
      <c r="J2071" s="73"/>
      <c r="K2071" s="73"/>
      <c r="L2071" s="73"/>
      <c r="M2071" s="73"/>
      <c r="N2071" s="73"/>
      <c r="O2071" s="73"/>
      <c r="P2071" s="73"/>
      <c r="Q2071" s="73"/>
      <c r="R2071" s="73"/>
      <c r="S2071" s="73"/>
      <c r="T2071" s="73"/>
      <c r="U2071" s="73"/>
      <c r="V2071" s="73"/>
      <c r="W2071" s="73"/>
      <c r="X2071" s="73"/>
      <c r="Y2071" s="73"/>
      <c r="Z2071" s="73"/>
      <c r="AA2071" s="73"/>
      <c r="AB2071" s="73"/>
      <c r="AC2071" s="73"/>
      <c r="AD2071" s="73"/>
      <c r="AE2071" s="73"/>
      <c r="AF2071" s="73"/>
      <c r="AG2071" s="73"/>
      <c r="AH2071" s="73"/>
      <c r="AI2071" s="73"/>
      <c r="AJ2071" s="168"/>
      <c r="AK2071" s="73"/>
      <c r="AL2071" s="73"/>
      <c r="AM2071" s="73"/>
      <c r="AN2071" s="73"/>
      <c r="AO2071" s="73"/>
      <c r="AP2071" s="73"/>
      <c r="AQ2071" s="73"/>
      <c r="AR2071" s="73"/>
      <c r="AS2071" s="73"/>
      <c r="AT2071" s="73"/>
      <c r="AU2071" s="73"/>
      <c r="AV2071" s="73"/>
      <c r="AW2071" s="73"/>
      <c r="AX2071" s="73"/>
      <c r="AY2071" s="73"/>
      <c r="AZ2071" s="73"/>
      <c r="BA2071" s="73"/>
      <c r="BB2071" s="73"/>
      <c r="BC2071" s="73"/>
      <c r="BD2071" s="73"/>
      <c r="BE2071" s="73"/>
      <c r="BF2071" s="75"/>
      <c r="BG2071" s="73"/>
      <c r="BH2071" s="88"/>
      <c r="BI2071" s="73"/>
      <c r="BJ2071" s="73"/>
      <c r="BK2071" s="73"/>
      <c r="BL2071" s="73"/>
      <c r="BM2071" s="73"/>
      <c r="BN2071" s="73"/>
      <c r="BO2071" s="73"/>
      <c r="BP2071" s="73"/>
      <c r="BQ2071" s="73"/>
      <c r="BR2071" s="73"/>
      <c r="BS2071" s="73"/>
      <c r="BT2071" s="73"/>
      <c r="BU2071" s="73"/>
      <c r="BV2071" s="73"/>
      <c r="BW2071" s="73"/>
      <c r="BX2071" s="73"/>
      <c r="BY2071" s="73"/>
      <c r="BZ2071" s="73"/>
      <c r="CA2071" s="73"/>
      <c r="CB2071" s="73"/>
      <c r="CC2071" s="73"/>
      <c r="CD2071" s="73"/>
      <c r="CE2071" s="73"/>
      <c r="CF2071" s="73"/>
      <c r="CG2071" s="73"/>
      <c r="CH2071" s="73"/>
    </row>
    <row r="2072">
      <c r="A2072" s="73"/>
      <c r="B2072" s="73"/>
      <c r="C2072" s="73"/>
      <c r="D2072" s="73"/>
      <c r="E2072" s="140"/>
      <c r="F2072" s="80"/>
      <c r="G2072" s="80"/>
      <c r="H2072" s="73"/>
      <c r="I2072" s="73"/>
      <c r="J2072" s="73"/>
      <c r="K2072" s="73"/>
      <c r="L2072" s="73"/>
      <c r="M2072" s="73"/>
      <c r="N2072" s="73"/>
      <c r="O2072" s="73"/>
      <c r="P2072" s="73"/>
      <c r="Q2072" s="73"/>
      <c r="R2072" s="73"/>
      <c r="S2072" s="73"/>
      <c r="T2072" s="73"/>
      <c r="U2072" s="73"/>
      <c r="V2072" s="73"/>
      <c r="W2072" s="73"/>
      <c r="X2072" s="73"/>
      <c r="Y2072" s="73"/>
      <c r="Z2072" s="73"/>
      <c r="AA2072" s="73"/>
      <c r="AB2072" s="73"/>
      <c r="AC2072" s="73"/>
      <c r="AD2072" s="73"/>
      <c r="AE2072" s="73"/>
      <c r="AF2072" s="73"/>
      <c r="AG2072" s="73"/>
      <c r="AH2072" s="73"/>
      <c r="AI2072" s="73"/>
      <c r="AJ2072" s="168"/>
      <c r="AK2072" s="73"/>
      <c r="AL2072" s="73"/>
      <c r="AM2072" s="73"/>
      <c r="AN2072" s="73"/>
      <c r="AO2072" s="73"/>
      <c r="AP2072" s="73"/>
      <c r="AQ2072" s="73"/>
      <c r="AR2072" s="73"/>
      <c r="AS2072" s="73"/>
      <c r="AT2072" s="73"/>
      <c r="AU2072" s="73"/>
      <c r="AV2072" s="73"/>
      <c r="AW2072" s="73"/>
      <c r="AX2072" s="73"/>
      <c r="AY2072" s="73"/>
      <c r="AZ2072" s="73"/>
      <c r="BA2072" s="73"/>
      <c r="BB2072" s="73"/>
      <c r="BC2072" s="73"/>
      <c r="BD2072" s="73"/>
      <c r="BE2072" s="73"/>
      <c r="BF2072" s="75"/>
      <c r="BG2072" s="73"/>
      <c r="BH2072" s="88"/>
      <c r="BI2072" s="73"/>
      <c r="BJ2072" s="73"/>
      <c r="BK2072" s="73"/>
      <c r="BL2072" s="73"/>
      <c r="BM2072" s="73"/>
      <c r="BN2072" s="73"/>
      <c r="BO2072" s="73"/>
      <c r="BP2072" s="73"/>
      <c r="BQ2072" s="73"/>
      <c r="BR2072" s="73"/>
      <c r="BS2072" s="73"/>
      <c r="BT2072" s="73"/>
      <c r="BU2072" s="73"/>
      <c r="BV2072" s="73"/>
      <c r="BW2072" s="73"/>
      <c r="BX2072" s="73"/>
      <c r="BY2072" s="73"/>
      <c r="BZ2072" s="73"/>
      <c r="CA2072" s="73"/>
      <c r="CB2072" s="73"/>
      <c r="CC2072" s="73"/>
      <c r="CD2072" s="73"/>
      <c r="CE2072" s="73"/>
      <c r="CF2072" s="73"/>
      <c r="CG2072" s="73"/>
      <c r="CH2072" s="73"/>
    </row>
    <row r="2073">
      <c r="A2073" s="73"/>
      <c r="B2073" s="73"/>
      <c r="C2073" s="73"/>
      <c r="D2073" s="73"/>
      <c r="E2073" s="140"/>
      <c r="F2073" s="80"/>
      <c r="G2073" s="80"/>
      <c r="H2073" s="73"/>
      <c r="I2073" s="73"/>
      <c r="J2073" s="73"/>
      <c r="K2073" s="73"/>
      <c r="L2073" s="73"/>
      <c r="M2073" s="73"/>
      <c r="N2073" s="73"/>
      <c r="O2073" s="73"/>
      <c r="P2073" s="73"/>
      <c r="Q2073" s="73"/>
      <c r="R2073" s="73"/>
      <c r="S2073" s="73"/>
      <c r="T2073" s="73"/>
      <c r="U2073" s="73"/>
      <c r="V2073" s="73"/>
      <c r="W2073" s="73"/>
      <c r="X2073" s="73"/>
      <c r="Y2073" s="73"/>
      <c r="Z2073" s="73"/>
      <c r="AA2073" s="73"/>
      <c r="AB2073" s="73"/>
      <c r="AC2073" s="73"/>
      <c r="AD2073" s="73"/>
      <c r="AE2073" s="73"/>
      <c r="AF2073" s="73"/>
      <c r="AG2073" s="73"/>
      <c r="AH2073" s="73"/>
      <c r="AI2073" s="73"/>
      <c r="AJ2073" s="168"/>
      <c r="AK2073" s="73"/>
      <c r="AL2073" s="73"/>
      <c r="AM2073" s="73"/>
      <c r="AN2073" s="73"/>
      <c r="AO2073" s="73"/>
      <c r="AP2073" s="73"/>
      <c r="AQ2073" s="73"/>
      <c r="AR2073" s="73"/>
      <c r="AS2073" s="73"/>
      <c r="AT2073" s="73"/>
      <c r="AU2073" s="73"/>
      <c r="AV2073" s="73"/>
      <c r="AW2073" s="73"/>
      <c r="AX2073" s="73"/>
      <c r="AY2073" s="73"/>
      <c r="AZ2073" s="73"/>
      <c r="BA2073" s="73"/>
      <c r="BB2073" s="73"/>
      <c r="BC2073" s="73"/>
      <c r="BD2073" s="73"/>
      <c r="BE2073" s="73"/>
      <c r="BF2073" s="75"/>
      <c r="BG2073" s="73"/>
      <c r="BH2073" s="88"/>
      <c r="BI2073" s="73"/>
      <c r="BJ2073" s="73"/>
      <c r="BK2073" s="73"/>
      <c r="BL2073" s="73"/>
      <c r="BM2073" s="73"/>
      <c r="BN2073" s="73"/>
      <c r="BO2073" s="73"/>
      <c r="BP2073" s="73"/>
      <c r="BQ2073" s="73"/>
      <c r="BR2073" s="73"/>
      <c r="BS2073" s="73"/>
      <c r="BT2073" s="73"/>
      <c r="BU2073" s="73"/>
      <c r="BV2073" s="73"/>
      <c r="BW2073" s="73"/>
      <c r="BX2073" s="73"/>
      <c r="BY2073" s="73"/>
      <c r="BZ2073" s="73"/>
      <c r="CA2073" s="73"/>
      <c r="CB2073" s="73"/>
      <c r="CC2073" s="73"/>
      <c r="CD2073" s="73"/>
      <c r="CE2073" s="73"/>
      <c r="CF2073" s="73"/>
      <c r="CG2073" s="73"/>
      <c r="CH2073" s="73"/>
    </row>
    <row r="2074">
      <c r="A2074" s="73"/>
      <c r="B2074" s="73"/>
      <c r="C2074" s="73"/>
      <c r="D2074" s="73"/>
      <c r="E2074" s="140"/>
      <c r="F2074" s="80"/>
      <c r="G2074" s="80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  <c r="S2074" s="73"/>
      <c r="T2074" s="73"/>
      <c r="U2074" s="73"/>
      <c r="V2074" s="73"/>
      <c r="W2074" s="73"/>
      <c r="X2074" s="73"/>
      <c r="Y2074" s="73"/>
      <c r="Z2074" s="73"/>
      <c r="AA2074" s="73"/>
      <c r="AB2074" s="73"/>
      <c r="AC2074" s="73"/>
      <c r="AD2074" s="73"/>
      <c r="AE2074" s="73"/>
      <c r="AF2074" s="73"/>
      <c r="AG2074" s="73"/>
      <c r="AH2074" s="73"/>
      <c r="AI2074" s="73"/>
      <c r="AJ2074" s="168"/>
      <c r="AK2074" s="73"/>
      <c r="AL2074" s="73"/>
      <c r="AM2074" s="73"/>
      <c r="AN2074" s="73"/>
      <c r="AO2074" s="73"/>
      <c r="AP2074" s="73"/>
      <c r="AQ2074" s="73"/>
      <c r="AR2074" s="73"/>
      <c r="AS2074" s="73"/>
      <c r="AT2074" s="73"/>
      <c r="AU2074" s="73"/>
      <c r="AV2074" s="73"/>
      <c r="AW2074" s="73"/>
      <c r="AX2074" s="73"/>
      <c r="AY2074" s="73"/>
      <c r="AZ2074" s="73"/>
      <c r="BA2074" s="73"/>
      <c r="BB2074" s="73"/>
      <c r="BC2074" s="73"/>
      <c r="BD2074" s="73"/>
      <c r="BE2074" s="73"/>
      <c r="BF2074" s="75"/>
      <c r="BG2074" s="73"/>
      <c r="BH2074" s="88"/>
      <c r="BI2074" s="73"/>
      <c r="BJ2074" s="73"/>
      <c r="BK2074" s="73"/>
      <c r="BL2074" s="73"/>
      <c r="BM2074" s="73"/>
      <c r="BN2074" s="73"/>
      <c r="BO2074" s="73"/>
      <c r="BP2074" s="73"/>
      <c r="BQ2074" s="73"/>
      <c r="BR2074" s="73"/>
      <c r="BS2074" s="73"/>
      <c r="BT2074" s="73"/>
      <c r="BU2074" s="73"/>
      <c r="BV2074" s="73"/>
      <c r="BW2074" s="73"/>
      <c r="BX2074" s="73"/>
      <c r="BY2074" s="73"/>
      <c r="BZ2074" s="73"/>
      <c r="CA2074" s="73"/>
      <c r="CB2074" s="73"/>
      <c r="CC2074" s="73"/>
      <c r="CD2074" s="73"/>
      <c r="CE2074" s="73"/>
      <c r="CF2074" s="73"/>
      <c r="CG2074" s="73"/>
      <c r="CH2074" s="73"/>
    </row>
    <row r="2075">
      <c r="A2075" s="73"/>
      <c r="B2075" s="73"/>
      <c r="C2075" s="73"/>
      <c r="D2075" s="73"/>
      <c r="E2075" s="140"/>
      <c r="F2075" s="80"/>
      <c r="G2075" s="80"/>
      <c r="H2075" s="73"/>
      <c r="I2075" s="73"/>
      <c r="J2075" s="73"/>
      <c r="K2075" s="73"/>
      <c r="L2075" s="73"/>
      <c r="M2075" s="73"/>
      <c r="N2075" s="73"/>
      <c r="O2075" s="73"/>
      <c r="P2075" s="73"/>
      <c r="Q2075" s="73"/>
      <c r="R2075" s="73"/>
      <c r="S2075" s="73"/>
      <c r="T2075" s="73"/>
      <c r="U2075" s="73"/>
      <c r="V2075" s="73"/>
      <c r="W2075" s="73"/>
      <c r="X2075" s="73"/>
      <c r="Y2075" s="73"/>
      <c r="Z2075" s="73"/>
      <c r="AA2075" s="73"/>
      <c r="AB2075" s="73"/>
      <c r="AC2075" s="73"/>
      <c r="AD2075" s="73"/>
      <c r="AE2075" s="73"/>
      <c r="AF2075" s="73"/>
      <c r="AG2075" s="73"/>
      <c r="AH2075" s="73"/>
      <c r="AI2075" s="73"/>
      <c r="AJ2075" s="168"/>
      <c r="AK2075" s="73"/>
      <c r="AL2075" s="73"/>
      <c r="AM2075" s="73"/>
      <c r="AN2075" s="73"/>
      <c r="AO2075" s="73"/>
      <c r="AP2075" s="73"/>
      <c r="AQ2075" s="73"/>
      <c r="AR2075" s="73"/>
      <c r="AS2075" s="73"/>
      <c r="AT2075" s="73"/>
      <c r="AU2075" s="73"/>
      <c r="AV2075" s="73"/>
      <c r="AW2075" s="73"/>
      <c r="AX2075" s="73"/>
      <c r="AY2075" s="73"/>
      <c r="AZ2075" s="73"/>
      <c r="BA2075" s="73"/>
      <c r="BB2075" s="73"/>
      <c r="BC2075" s="73"/>
      <c r="BD2075" s="73"/>
      <c r="BE2075" s="73"/>
      <c r="BF2075" s="75"/>
      <c r="BG2075" s="73"/>
      <c r="BH2075" s="88"/>
      <c r="BI2075" s="73"/>
      <c r="BJ2075" s="73"/>
      <c r="BK2075" s="73"/>
      <c r="BL2075" s="73"/>
      <c r="BM2075" s="73"/>
      <c r="BN2075" s="73"/>
      <c r="BO2075" s="73"/>
      <c r="BP2075" s="73"/>
      <c r="BQ2075" s="73"/>
      <c r="BR2075" s="73"/>
      <c r="BS2075" s="73"/>
      <c r="BT2075" s="73"/>
      <c r="BU2075" s="73"/>
      <c r="BV2075" s="73"/>
      <c r="BW2075" s="73"/>
      <c r="BX2075" s="73"/>
      <c r="BY2075" s="73"/>
      <c r="BZ2075" s="73"/>
      <c r="CA2075" s="73"/>
      <c r="CB2075" s="73"/>
      <c r="CC2075" s="73"/>
      <c r="CD2075" s="73"/>
      <c r="CE2075" s="73"/>
      <c r="CF2075" s="73"/>
      <c r="CG2075" s="73"/>
      <c r="CH2075" s="73"/>
    </row>
    <row r="2076">
      <c r="A2076" s="73"/>
      <c r="B2076" s="73"/>
      <c r="C2076" s="73"/>
      <c r="D2076" s="73"/>
      <c r="E2076" s="140"/>
      <c r="F2076" s="80"/>
      <c r="G2076" s="80"/>
      <c r="H2076" s="73"/>
      <c r="I2076" s="73"/>
      <c r="J2076" s="73"/>
      <c r="K2076" s="73"/>
      <c r="L2076" s="73"/>
      <c r="M2076" s="73"/>
      <c r="N2076" s="73"/>
      <c r="O2076" s="73"/>
      <c r="P2076" s="73"/>
      <c r="Q2076" s="73"/>
      <c r="R2076" s="73"/>
      <c r="S2076" s="73"/>
      <c r="T2076" s="73"/>
      <c r="U2076" s="73"/>
      <c r="V2076" s="73"/>
      <c r="W2076" s="73"/>
      <c r="X2076" s="73"/>
      <c r="Y2076" s="73"/>
      <c r="Z2076" s="73"/>
      <c r="AA2076" s="73"/>
      <c r="AB2076" s="73"/>
      <c r="AC2076" s="73"/>
      <c r="AD2076" s="73"/>
      <c r="AE2076" s="73"/>
      <c r="AF2076" s="73"/>
      <c r="AG2076" s="73"/>
      <c r="AH2076" s="73"/>
      <c r="AI2076" s="73"/>
      <c r="AJ2076" s="168"/>
      <c r="AK2076" s="73"/>
      <c r="AL2076" s="73"/>
      <c r="AM2076" s="73"/>
      <c r="AN2076" s="73"/>
      <c r="AO2076" s="73"/>
      <c r="AP2076" s="73"/>
      <c r="AQ2076" s="73"/>
      <c r="AR2076" s="73"/>
      <c r="AS2076" s="73"/>
      <c r="AT2076" s="73"/>
      <c r="AU2076" s="73"/>
      <c r="AV2076" s="73"/>
      <c r="AW2076" s="73"/>
      <c r="AX2076" s="73"/>
      <c r="AY2076" s="73"/>
      <c r="AZ2076" s="73"/>
      <c r="BA2076" s="73"/>
      <c r="BB2076" s="73"/>
      <c r="BC2076" s="73"/>
      <c r="BD2076" s="73"/>
      <c r="BE2076" s="73"/>
      <c r="BF2076" s="75"/>
      <c r="BG2076" s="73"/>
      <c r="BH2076" s="88"/>
      <c r="BI2076" s="73"/>
      <c r="BJ2076" s="73"/>
      <c r="BK2076" s="73"/>
      <c r="BL2076" s="73"/>
      <c r="BM2076" s="73"/>
      <c r="BN2076" s="73"/>
      <c r="BO2076" s="73"/>
      <c r="BP2076" s="73"/>
      <c r="BQ2076" s="73"/>
      <c r="BR2076" s="73"/>
      <c r="BS2076" s="73"/>
      <c r="BT2076" s="73"/>
      <c r="BU2076" s="73"/>
      <c r="BV2076" s="73"/>
      <c r="BW2076" s="73"/>
      <c r="BX2076" s="73"/>
      <c r="BY2076" s="73"/>
      <c r="BZ2076" s="73"/>
      <c r="CA2076" s="73"/>
      <c r="CB2076" s="73"/>
      <c r="CC2076" s="73"/>
      <c r="CD2076" s="73"/>
      <c r="CE2076" s="73"/>
      <c r="CF2076" s="73"/>
      <c r="CG2076" s="73"/>
      <c r="CH2076" s="73"/>
    </row>
    <row r="2077">
      <c r="A2077" s="73"/>
      <c r="B2077" s="73"/>
      <c r="C2077" s="73"/>
      <c r="D2077" s="73"/>
      <c r="E2077" s="140"/>
      <c r="F2077" s="80"/>
      <c r="G2077" s="80"/>
      <c r="H2077" s="73"/>
      <c r="I2077" s="73"/>
      <c r="J2077" s="73"/>
      <c r="K2077" s="73"/>
      <c r="L2077" s="73"/>
      <c r="M2077" s="73"/>
      <c r="N2077" s="73"/>
      <c r="O2077" s="73"/>
      <c r="P2077" s="73"/>
      <c r="Q2077" s="73"/>
      <c r="R2077" s="73"/>
      <c r="S2077" s="73"/>
      <c r="T2077" s="73"/>
      <c r="U2077" s="73"/>
      <c r="V2077" s="73"/>
      <c r="W2077" s="73"/>
      <c r="X2077" s="73"/>
      <c r="Y2077" s="73"/>
      <c r="Z2077" s="73"/>
      <c r="AA2077" s="73"/>
      <c r="AB2077" s="73"/>
      <c r="AC2077" s="73"/>
      <c r="AD2077" s="73"/>
      <c r="AE2077" s="73"/>
      <c r="AF2077" s="73"/>
      <c r="AG2077" s="73"/>
      <c r="AH2077" s="73"/>
      <c r="AI2077" s="73"/>
      <c r="AJ2077" s="168"/>
      <c r="AK2077" s="73"/>
      <c r="AL2077" s="73"/>
      <c r="AM2077" s="73"/>
      <c r="AN2077" s="73"/>
      <c r="AO2077" s="73"/>
      <c r="AP2077" s="73"/>
      <c r="AQ2077" s="73"/>
      <c r="AR2077" s="73"/>
      <c r="AS2077" s="73"/>
      <c r="AT2077" s="73"/>
      <c r="AU2077" s="73"/>
      <c r="AV2077" s="73"/>
      <c r="AW2077" s="73"/>
      <c r="AX2077" s="73"/>
      <c r="AY2077" s="73"/>
      <c r="AZ2077" s="73"/>
      <c r="BA2077" s="73"/>
      <c r="BB2077" s="73"/>
      <c r="BC2077" s="73"/>
      <c r="BD2077" s="73"/>
      <c r="BE2077" s="73"/>
      <c r="BF2077" s="75"/>
      <c r="BG2077" s="73"/>
      <c r="BH2077" s="88"/>
      <c r="BI2077" s="73"/>
      <c r="BJ2077" s="73"/>
      <c r="BK2077" s="73"/>
      <c r="BL2077" s="73"/>
      <c r="BM2077" s="73"/>
      <c r="BN2077" s="73"/>
      <c r="BO2077" s="73"/>
      <c r="BP2077" s="73"/>
      <c r="BQ2077" s="73"/>
      <c r="BR2077" s="73"/>
      <c r="BS2077" s="73"/>
      <c r="BT2077" s="73"/>
      <c r="BU2077" s="73"/>
      <c r="BV2077" s="73"/>
      <c r="BW2077" s="73"/>
      <c r="BX2077" s="73"/>
      <c r="BY2077" s="73"/>
      <c r="BZ2077" s="73"/>
      <c r="CA2077" s="73"/>
      <c r="CB2077" s="73"/>
      <c r="CC2077" s="73"/>
      <c r="CD2077" s="73"/>
      <c r="CE2077" s="73"/>
      <c r="CF2077" s="73"/>
      <c r="CG2077" s="73"/>
      <c r="CH2077" s="73"/>
    </row>
    <row r="2078">
      <c r="A2078" s="73"/>
      <c r="B2078" s="73"/>
      <c r="C2078" s="73"/>
      <c r="D2078" s="73"/>
      <c r="E2078" s="140"/>
      <c r="F2078" s="80"/>
      <c r="G2078" s="80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  <c r="S2078" s="73"/>
      <c r="T2078" s="73"/>
      <c r="U2078" s="73"/>
      <c r="V2078" s="73"/>
      <c r="W2078" s="73"/>
      <c r="X2078" s="73"/>
      <c r="Y2078" s="73"/>
      <c r="Z2078" s="73"/>
      <c r="AA2078" s="73"/>
      <c r="AB2078" s="73"/>
      <c r="AC2078" s="73"/>
      <c r="AD2078" s="73"/>
      <c r="AE2078" s="73"/>
      <c r="AF2078" s="73"/>
      <c r="AG2078" s="73"/>
      <c r="AH2078" s="73"/>
      <c r="AI2078" s="73"/>
      <c r="AJ2078" s="168"/>
      <c r="AK2078" s="73"/>
      <c r="AL2078" s="73"/>
      <c r="AM2078" s="73"/>
      <c r="AN2078" s="73"/>
      <c r="AO2078" s="73"/>
      <c r="AP2078" s="73"/>
      <c r="AQ2078" s="73"/>
      <c r="AR2078" s="73"/>
      <c r="AS2078" s="73"/>
      <c r="AT2078" s="73"/>
      <c r="AU2078" s="73"/>
      <c r="AV2078" s="73"/>
      <c r="AW2078" s="73"/>
      <c r="AX2078" s="73"/>
      <c r="AY2078" s="73"/>
      <c r="AZ2078" s="73"/>
      <c r="BA2078" s="73"/>
      <c r="BB2078" s="73"/>
      <c r="BC2078" s="73"/>
      <c r="BD2078" s="73"/>
      <c r="BE2078" s="73"/>
      <c r="BF2078" s="75"/>
      <c r="BG2078" s="73"/>
      <c r="BH2078" s="88"/>
      <c r="BI2078" s="73"/>
      <c r="BJ2078" s="73"/>
      <c r="BK2078" s="73"/>
      <c r="BL2078" s="73"/>
      <c r="BM2078" s="73"/>
      <c r="BN2078" s="73"/>
      <c r="BO2078" s="73"/>
      <c r="BP2078" s="73"/>
      <c r="BQ2078" s="73"/>
      <c r="BR2078" s="73"/>
      <c r="BS2078" s="73"/>
      <c r="BT2078" s="73"/>
      <c r="BU2078" s="73"/>
      <c r="BV2078" s="73"/>
      <c r="BW2078" s="73"/>
      <c r="BX2078" s="73"/>
      <c r="BY2078" s="73"/>
      <c r="BZ2078" s="73"/>
      <c r="CA2078" s="73"/>
      <c r="CB2078" s="73"/>
      <c r="CC2078" s="73"/>
      <c r="CD2078" s="73"/>
      <c r="CE2078" s="73"/>
      <c r="CF2078" s="73"/>
      <c r="CG2078" s="73"/>
      <c r="CH2078" s="73"/>
    </row>
    <row r="2079">
      <c r="A2079" s="73"/>
      <c r="B2079" s="73"/>
      <c r="C2079" s="73"/>
      <c r="D2079" s="73"/>
      <c r="E2079" s="140"/>
      <c r="F2079" s="80"/>
      <c r="G2079" s="80"/>
      <c r="H2079" s="73"/>
      <c r="I2079" s="73"/>
      <c r="J2079" s="73"/>
      <c r="K2079" s="73"/>
      <c r="L2079" s="73"/>
      <c r="M2079" s="73"/>
      <c r="N2079" s="73"/>
      <c r="O2079" s="73"/>
      <c r="P2079" s="73"/>
      <c r="Q2079" s="73"/>
      <c r="R2079" s="73"/>
      <c r="S2079" s="73"/>
      <c r="T2079" s="73"/>
      <c r="U2079" s="73"/>
      <c r="V2079" s="73"/>
      <c r="W2079" s="73"/>
      <c r="X2079" s="73"/>
      <c r="Y2079" s="73"/>
      <c r="Z2079" s="73"/>
      <c r="AA2079" s="73"/>
      <c r="AB2079" s="73"/>
      <c r="AC2079" s="73"/>
      <c r="AD2079" s="73"/>
      <c r="AE2079" s="73"/>
      <c r="AF2079" s="73"/>
      <c r="AG2079" s="73"/>
      <c r="AH2079" s="73"/>
      <c r="AI2079" s="73"/>
      <c r="AJ2079" s="168"/>
      <c r="AK2079" s="73"/>
      <c r="AL2079" s="73"/>
      <c r="AM2079" s="73"/>
      <c r="AN2079" s="73"/>
      <c r="AO2079" s="73"/>
      <c r="AP2079" s="73"/>
      <c r="AQ2079" s="73"/>
      <c r="AR2079" s="73"/>
      <c r="AS2079" s="73"/>
      <c r="AT2079" s="73"/>
      <c r="AU2079" s="73"/>
      <c r="AV2079" s="73"/>
      <c r="AW2079" s="73"/>
      <c r="AX2079" s="73"/>
      <c r="AY2079" s="73"/>
      <c r="AZ2079" s="73"/>
      <c r="BA2079" s="73"/>
      <c r="BB2079" s="73"/>
      <c r="BC2079" s="73"/>
      <c r="BD2079" s="73"/>
      <c r="BE2079" s="73"/>
      <c r="BF2079" s="75"/>
      <c r="BG2079" s="73"/>
      <c r="BH2079" s="88"/>
      <c r="BI2079" s="73"/>
      <c r="BJ2079" s="73"/>
      <c r="BK2079" s="73"/>
      <c r="BL2079" s="73"/>
      <c r="BM2079" s="73"/>
      <c r="BN2079" s="73"/>
      <c r="BO2079" s="73"/>
      <c r="BP2079" s="73"/>
      <c r="BQ2079" s="73"/>
      <c r="BR2079" s="73"/>
      <c r="BS2079" s="73"/>
      <c r="BT2079" s="73"/>
      <c r="BU2079" s="73"/>
      <c r="BV2079" s="73"/>
      <c r="BW2079" s="73"/>
      <c r="BX2079" s="73"/>
      <c r="BY2079" s="73"/>
      <c r="BZ2079" s="73"/>
      <c r="CA2079" s="73"/>
      <c r="CB2079" s="73"/>
      <c r="CC2079" s="73"/>
      <c r="CD2079" s="73"/>
      <c r="CE2079" s="73"/>
      <c r="CF2079" s="73"/>
      <c r="CG2079" s="73"/>
      <c r="CH2079" s="73"/>
    </row>
    <row r="2080">
      <c r="A2080" s="73"/>
      <c r="B2080" s="73"/>
      <c r="C2080" s="73"/>
      <c r="D2080" s="73"/>
      <c r="E2080" s="140"/>
      <c r="F2080" s="80"/>
      <c r="G2080" s="80"/>
      <c r="H2080" s="73"/>
      <c r="I2080" s="73"/>
      <c r="J2080" s="73"/>
      <c r="K2080" s="73"/>
      <c r="L2080" s="73"/>
      <c r="M2080" s="73"/>
      <c r="N2080" s="73"/>
      <c r="O2080" s="73"/>
      <c r="P2080" s="73"/>
      <c r="Q2080" s="73"/>
      <c r="R2080" s="73"/>
      <c r="S2080" s="73"/>
      <c r="T2080" s="73"/>
      <c r="U2080" s="73"/>
      <c r="V2080" s="73"/>
      <c r="W2080" s="73"/>
      <c r="X2080" s="73"/>
      <c r="Y2080" s="73"/>
      <c r="Z2080" s="73"/>
      <c r="AA2080" s="73"/>
      <c r="AB2080" s="73"/>
      <c r="AC2080" s="73"/>
      <c r="AD2080" s="73"/>
      <c r="AE2080" s="73"/>
      <c r="AF2080" s="73"/>
      <c r="AG2080" s="73"/>
      <c r="AH2080" s="73"/>
      <c r="AI2080" s="73"/>
      <c r="AJ2080" s="168"/>
      <c r="AK2080" s="73"/>
      <c r="AL2080" s="73"/>
      <c r="AM2080" s="73"/>
      <c r="AN2080" s="73"/>
      <c r="AO2080" s="73"/>
      <c r="AP2080" s="73"/>
      <c r="AQ2080" s="73"/>
      <c r="AR2080" s="73"/>
      <c r="AS2080" s="73"/>
      <c r="AT2080" s="73"/>
      <c r="AU2080" s="73"/>
      <c r="AV2080" s="73"/>
      <c r="AW2080" s="73"/>
      <c r="AX2080" s="73"/>
      <c r="AY2080" s="73"/>
      <c r="AZ2080" s="73"/>
      <c r="BA2080" s="73"/>
      <c r="BB2080" s="73"/>
      <c r="BC2080" s="73"/>
      <c r="BD2080" s="73"/>
      <c r="BE2080" s="73"/>
      <c r="BF2080" s="75"/>
      <c r="BG2080" s="73"/>
      <c r="BH2080" s="88"/>
      <c r="BI2080" s="73"/>
      <c r="BJ2080" s="73"/>
      <c r="BK2080" s="73"/>
      <c r="BL2080" s="73"/>
      <c r="BM2080" s="73"/>
      <c r="BN2080" s="73"/>
      <c r="BO2080" s="73"/>
      <c r="BP2080" s="73"/>
      <c r="BQ2080" s="73"/>
      <c r="BR2080" s="73"/>
      <c r="BS2080" s="73"/>
      <c r="BT2080" s="73"/>
      <c r="BU2080" s="73"/>
      <c r="BV2080" s="73"/>
      <c r="BW2080" s="73"/>
      <c r="BX2080" s="73"/>
      <c r="BY2080" s="73"/>
      <c r="BZ2080" s="73"/>
      <c r="CA2080" s="73"/>
      <c r="CB2080" s="73"/>
      <c r="CC2080" s="73"/>
      <c r="CD2080" s="73"/>
      <c r="CE2080" s="73"/>
      <c r="CF2080" s="73"/>
      <c r="CG2080" s="73"/>
      <c r="CH2080" s="73"/>
    </row>
    <row r="2081">
      <c r="A2081" s="73"/>
      <c r="B2081" s="73"/>
      <c r="C2081" s="73"/>
      <c r="D2081" s="73"/>
      <c r="E2081" s="140"/>
      <c r="F2081" s="80"/>
      <c r="G2081" s="80"/>
      <c r="H2081" s="73"/>
      <c r="I2081" s="73"/>
      <c r="J2081" s="73"/>
      <c r="K2081" s="73"/>
      <c r="L2081" s="73"/>
      <c r="M2081" s="73"/>
      <c r="N2081" s="73"/>
      <c r="O2081" s="73"/>
      <c r="P2081" s="73"/>
      <c r="Q2081" s="73"/>
      <c r="R2081" s="73"/>
      <c r="S2081" s="73"/>
      <c r="T2081" s="73"/>
      <c r="U2081" s="73"/>
      <c r="V2081" s="73"/>
      <c r="W2081" s="73"/>
      <c r="X2081" s="73"/>
      <c r="Y2081" s="73"/>
      <c r="Z2081" s="73"/>
      <c r="AA2081" s="73"/>
      <c r="AB2081" s="73"/>
      <c r="AC2081" s="73"/>
      <c r="AD2081" s="73"/>
      <c r="AE2081" s="73"/>
      <c r="AF2081" s="73"/>
      <c r="AG2081" s="73"/>
      <c r="AH2081" s="73"/>
      <c r="AI2081" s="73"/>
      <c r="AJ2081" s="168"/>
      <c r="AK2081" s="73"/>
      <c r="AL2081" s="73"/>
      <c r="AM2081" s="73"/>
      <c r="AN2081" s="73"/>
      <c r="AO2081" s="73"/>
      <c r="AP2081" s="73"/>
      <c r="AQ2081" s="73"/>
      <c r="AR2081" s="73"/>
      <c r="AS2081" s="73"/>
      <c r="AT2081" s="73"/>
      <c r="AU2081" s="73"/>
      <c r="AV2081" s="73"/>
      <c r="AW2081" s="73"/>
      <c r="AX2081" s="73"/>
      <c r="AY2081" s="73"/>
      <c r="AZ2081" s="73"/>
      <c r="BA2081" s="73"/>
      <c r="BB2081" s="73"/>
      <c r="BC2081" s="73"/>
      <c r="BD2081" s="73"/>
      <c r="BE2081" s="73"/>
      <c r="BF2081" s="75"/>
      <c r="BG2081" s="73"/>
      <c r="BH2081" s="88"/>
      <c r="BI2081" s="73"/>
      <c r="BJ2081" s="73"/>
      <c r="BK2081" s="73"/>
      <c r="BL2081" s="73"/>
      <c r="BM2081" s="73"/>
      <c r="BN2081" s="73"/>
      <c r="BO2081" s="73"/>
      <c r="BP2081" s="73"/>
      <c r="BQ2081" s="73"/>
      <c r="BR2081" s="73"/>
      <c r="BS2081" s="73"/>
      <c r="BT2081" s="73"/>
      <c r="BU2081" s="73"/>
      <c r="BV2081" s="73"/>
      <c r="BW2081" s="73"/>
      <c r="BX2081" s="73"/>
      <c r="BY2081" s="73"/>
      <c r="BZ2081" s="73"/>
      <c r="CA2081" s="73"/>
      <c r="CB2081" s="73"/>
      <c r="CC2081" s="73"/>
      <c r="CD2081" s="73"/>
      <c r="CE2081" s="73"/>
      <c r="CF2081" s="73"/>
      <c r="CG2081" s="73"/>
      <c r="CH2081" s="73"/>
    </row>
    <row r="2082">
      <c r="A2082" s="73"/>
      <c r="B2082" s="73"/>
      <c r="C2082" s="73"/>
      <c r="D2082" s="73"/>
      <c r="E2082" s="140"/>
      <c r="F2082" s="80"/>
      <c r="G2082" s="80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  <c r="S2082" s="73"/>
      <c r="T2082" s="73"/>
      <c r="U2082" s="73"/>
      <c r="V2082" s="73"/>
      <c r="W2082" s="73"/>
      <c r="X2082" s="73"/>
      <c r="Y2082" s="73"/>
      <c r="Z2082" s="73"/>
      <c r="AA2082" s="73"/>
      <c r="AB2082" s="73"/>
      <c r="AC2082" s="73"/>
      <c r="AD2082" s="73"/>
      <c r="AE2082" s="73"/>
      <c r="AF2082" s="73"/>
      <c r="AG2082" s="73"/>
      <c r="AH2082" s="73"/>
      <c r="AI2082" s="73"/>
      <c r="AJ2082" s="168"/>
      <c r="AK2082" s="73"/>
      <c r="AL2082" s="73"/>
      <c r="AM2082" s="73"/>
      <c r="AN2082" s="73"/>
      <c r="AO2082" s="73"/>
      <c r="AP2082" s="73"/>
      <c r="AQ2082" s="73"/>
      <c r="AR2082" s="73"/>
      <c r="AS2082" s="73"/>
      <c r="AT2082" s="73"/>
      <c r="AU2082" s="73"/>
      <c r="AV2082" s="73"/>
      <c r="AW2082" s="73"/>
      <c r="AX2082" s="73"/>
      <c r="AY2082" s="73"/>
      <c r="AZ2082" s="73"/>
      <c r="BA2082" s="73"/>
      <c r="BB2082" s="73"/>
      <c r="BC2082" s="73"/>
      <c r="BD2082" s="73"/>
      <c r="BE2082" s="73"/>
      <c r="BF2082" s="75"/>
      <c r="BG2082" s="73"/>
      <c r="BH2082" s="88"/>
      <c r="BI2082" s="73"/>
      <c r="BJ2082" s="73"/>
      <c r="BK2082" s="73"/>
      <c r="BL2082" s="73"/>
      <c r="BM2082" s="73"/>
      <c r="BN2082" s="73"/>
      <c r="BO2082" s="73"/>
      <c r="BP2082" s="73"/>
      <c r="BQ2082" s="73"/>
      <c r="BR2082" s="73"/>
      <c r="BS2082" s="73"/>
      <c r="BT2082" s="73"/>
      <c r="BU2082" s="73"/>
      <c r="BV2082" s="73"/>
      <c r="BW2082" s="73"/>
      <c r="BX2082" s="73"/>
      <c r="BY2082" s="73"/>
      <c r="BZ2082" s="73"/>
      <c r="CA2082" s="73"/>
      <c r="CB2082" s="73"/>
      <c r="CC2082" s="73"/>
      <c r="CD2082" s="73"/>
      <c r="CE2082" s="73"/>
      <c r="CF2082" s="73"/>
      <c r="CG2082" s="73"/>
      <c r="CH2082" s="73"/>
    </row>
    <row r="2083">
      <c r="A2083" s="73"/>
      <c r="B2083" s="73"/>
      <c r="C2083" s="73"/>
      <c r="D2083" s="73"/>
      <c r="E2083" s="140"/>
      <c r="F2083" s="80"/>
      <c r="G2083" s="80"/>
      <c r="H2083" s="73"/>
      <c r="I2083" s="73"/>
      <c r="J2083" s="73"/>
      <c r="K2083" s="73"/>
      <c r="L2083" s="73"/>
      <c r="M2083" s="73"/>
      <c r="N2083" s="73"/>
      <c r="O2083" s="73"/>
      <c r="P2083" s="73"/>
      <c r="Q2083" s="73"/>
      <c r="R2083" s="73"/>
      <c r="S2083" s="73"/>
      <c r="T2083" s="73"/>
      <c r="U2083" s="73"/>
      <c r="V2083" s="73"/>
      <c r="W2083" s="73"/>
      <c r="X2083" s="73"/>
      <c r="Y2083" s="73"/>
      <c r="Z2083" s="73"/>
      <c r="AA2083" s="73"/>
      <c r="AB2083" s="73"/>
      <c r="AC2083" s="73"/>
      <c r="AD2083" s="73"/>
      <c r="AE2083" s="73"/>
      <c r="AF2083" s="73"/>
      <c r="AG2083" s="73"/>
      <c r="AH2083" s="73"/>
      <c r="AI2083" s="73"/>
      <c r="AJ2083" s="168"/>
      <c r="AK2083" s="73"/>
      <c r="AL2083" s="73"/>
      <c r="AM2083" s="73"/>
      <c r="AN2083" s="73"/>
      <c r="AO2083" s="73"/>
      <c r="AP2083" s="73"/>
      <c r="AQ2083" s="73"/>
      <c r="AR2083" s="73"/>
      <c r="AS2083" s="73"/>
      <c r="AT2083" s="73"/>
      <c r="AU2083" s="73"/>
      <c r="AV2083" s="73"/>
      <c r="AW2083" s="73"/>
      <c r="AX2083" s="73"/>
      <c r="AY2083" s="73"/>
      <c r="AZ2083" s="73"/>
      <c r="BA2083" s="73"/>
      <c r="BB2083" s="73"/>
      <c r="BC2083" s="73"/>
      <c r="BD2083" s="73"/>
      <c r="BE2083" s="73"/>
      <c r="BF2083" s="75"/>
      <c r="BG2083" s="73"/>
      <c r="BH2083" s="88"/>
      <c r="BI2083" s="73"/>
      <c r="BJ2083" s="73"/>
      <c r="BK2083" s="73"/>
      <c r="BL2083" s="73"/>
      <c r="BM2083" s="73"/>
      <c r="BN2083" s="73"/>
      <c r="BO2083" s="73"/>
      <c r="BP2083" s="73"/>
      <c r="BQ2083" s="73"/>
      <c r="BR2083" s="73"/>
      <c r="BS2083" s="73"/>
      <c r="BT2083" s="73"/>
      <c r="BU2083" s="73"/>
      <c r="BV2083" s="73"/>
      <c r="BW2083" s="73"/>
      <c r="BX2083" s="73"/>
      <c r="BY2083" s="73"/>
      <c r="BZ2083" s="73"/>
      <c r="CA2083" s="73"/>
      <c r="CB2083" s="73"/>
      <c r="CC2083" s="73"/>
      <c r="CD2083" s="73"/>
      <c r="CE2083" s="73"/>
      <c r="CF2083" s="73"/>
      <c r="CG2083" s="73"/>
      <c r="CH2083" s="73"/>
    </row>
    <row r="2084">
      <c r="A2084" s="73"/>
      <c r="B2084" s="73"/>
      <c r="C2084" s="73"/>
      <c r="D2084" s="73"/>
      <c r="E2084" s="140"/>
      <c r="F2084" s="80"/>
      <c r="G2084" s="80"/>
      <c r="H2084" s="73"/>
      <c r="I2084" s="73"/>
      <c r="J2084" s="73"/>
      <c r="K2084" s="73"/>
      <c r="L2084" s="73"/>
      <c r="M2084" s="73"/>
      <c r="N2084" s="73"/>
      <c r="O2084" s="73"/>
      <c r="P2084" s="73"/>
      <c r="Q2084" s="73"/>
      <c r="R2084" s="73"/>
      <c r="S2084" s="73"/>
      <c r="T2084" s="73"/>
      <c r="U2084" s="73"/>
      <c r="V2084" s="73"/>
      <c r="W2084" s="73"/>
      <c r="X2084" s="73"/>
      <c r="Y2084" s="73"/>
      <c r="Z2084" s="73"/>
      <c r="AA2084" s="73"/>
      <c r="AB2084" s="73"/>
      <c r="AC2084" s="73"/>
      <c r="AD2084" s="73"/>
      <c r="AE2084" s="73"/>
      <c r="AF2084" s="73"/>
      <c r="AG2084" s="73"/>
      <c r="AH2084" s="73"/>
      <c r="AI2084" s="73"/>
      <c r="AJ2084" s="168"/>
      <c r="AK2084" s="73"/>
      <c r="AL2084" s="73"/>
      <c r="AM2084" s="73"/>
      <c r="AN2084" s="73"/>
      <c r="AO2084" s="73"/>
      <c r="AP2084" s="73"/>
      <c r="AQ2084" s="73"/>
      <c r="AR2084" s="73"/>
      <c r="AS2084" s="73"/>
      <c r="AT2084" s="73"/>
      <c r="AU2084" s="73"/>
      <c r="AV2084" s="73"/>
      <c r="AW2084" s="73"/>
      <c r="AX2084" s="73"/>
      <c r="AY2084" s="73"/>
      <c r="AZ2084" s="73"/>
      <c r="BA2084" s="73"/>
      <c r="BB2084" s="73"/>
      <c r="BC2084" s="73"/>
      <c r="BD2084" s="73"/>
      <c r="BE2084" s="73"/>
      <c r="BF2084" s="75"/>
      <c r="BG2084" s="73"/>
      <c r="BH2084" s="88"/>
      <c r="BI2084" s="73"/>
      <c r="BJ2084" s="73"/>
      <c r="BK2084" s="73"/>
      <c r="BL2084" s="73"/>
      <c r="BM2084" s="73"/>
      <c r="BN2084" s="73"/>
      <c r="BO2084" s="73"/>
      <c r="BP2084" s="73"/>
      <c r="BQ2084" s="73"/>
      <c r="BR2084" s="73"/>
      <c r="BS2084" s="73"/>
      <c r="BT2084" s="73"/>
      <c r="BU2084" s="73"/>
      <c r="BV2084" s="73"/>
      <c r="BW2084" s="73"/>
      <c r="BX2084" s="73"/>
      <c r="BY2084" s="73"/>
      <c r="BZ2084" s="73"/>
      <c r="CA2084" s="73"/>
      <c r="CB2084" s="73"/>
      <c r="CC2084" s="73"/>
      <c r="CD2084" s="73"/>
      <c r="CE2084" s="73"/>
      <c r="CF2084" s="73"/>
      <c r="CG2084" s="73"/>
      <c r="CH2084" s="73"/>
    </row>
    <row r="2085">
      <c r="A2085" s="73"/>
      <c r="B2085" s="73"/>
      <c r="C2085" s="73"/>
      <c r="D2085" s="73"/>
      <c r="E2085" s="140"/>
      <c r="F2085" s="80"/>
      <c r="G2085" s="80"/>
      <c r="H2085" s="73"/>
      <c r="I2085" s="73"/>
      <c r="J2085" s="73"/>
      <c r="K2085" s="73"/>
      <c r="L2085" s="73"/>
      <c r="M2085" s="73"/>
      <c r="N2085" s="73"/>
      <c r="O2085" s="73"/>
      <c r="P2085" s="73"/>
      <c r="Q2085" s="73"/>
      <c r="R2085" s="73"/>
      <c r="S2085" s="73"/>
      <c r="T2085" s="73"/>
      <c r="U2085" s="73"/>
      <c r="V2085" s="73"/>
      <c r="W2085" s="73"/>
      <c r="X2085" s="73"/>
      <c r="Y2085" s="73"/>
      <c r="Z2085" s="73"/>
      <c r="AA2085" s="73"/>
      <c r="AB2085" s="73"/>
      <c r="AC2085" s="73"/>
      <c r="AD2085" s="73"/>
      <c r="AE2085" s="73"/>
      <c r="AF2085" s="73"/>
      <c r="AG2085" s="73"/>
      <c r="AH2085" s="73"/>
      <c r="AI2085" s="73"/>
      <c r="AJ2085" s="168"/>
      <c r="AK2085" s="73"/>
      <c r="AL2085" s="73"/>
      <c r="AM2085" s="73"/>
      <c r="AN2085" s="73"/>
      <c r="AO2085" s="73"/>
      <c r="AP2085" s="73"/>
      <c r="AQ2085" s="73"/>
      <c r="AR2085" s="73"/>
      <c r="AS2085" s="73"/>
      <c r="AT2085" s="73"/>
      <c r="AU2085" s="73"/>
      <c r="AV2085" s="73"/>
      <c r="AW2085" s="73"/>
      <c r="AX2085" s="73"/>
      <c r="AY2085" s="73"/>
      <c r="AZ2085" s="73"/>
      <c r="BA2085" s="73"/>
      <c r="BB2085" s="73"/>
      <c r="BC2085" s="73"/>
      <c r="BD2085" s="73"/>
      <c r="BE2085" s="73"/>
      <c r="BF2085" s="75"/>
      <c r="BG2085" s="73"/>
      <c r="BH2085" s="88"/>
      <c r="BI2085" s="73"/>
      <c r="BJ2085" s="73"/>
      <c r="BK2085" s="73"/>
      <c r="BL2085" s="73"/>
      <c r="BM2085" s="73"/>
      <c r="BN2085" s="73"/>
      <c r="BO2085" s="73"/>
      <c r="BP2085" s="73"/>
      <c r="BQ2085" s="73"/>
      <c r="BR2085" s="73"/>
      <c r="BS2085" s="73"/>
      <c r="BT2085" s="73"/>
      <c r="BU2085" s="73"/>
      <c r="BV2085" s="73"/>
      <c r="BW2085" s="73"/>
      <c r="BX2085" s="73"/>
      <c r="BY2085" s="73"/>
      <c r="BZ2085" s="73"/>
      <c r="CA2085" s="73"/>
      <c r="CB2085" s="73"/>
      <c r="CC2085" s="73"/>
      <c r="CD2085" s="73"/>
      <c r="CE2085" s="73"/>
      <c r="CF2085" s="73"/>
      <c r="CG2085" s="73"/>
      <c r="CH2085" s="73"/>
    </row>
    <row r="2086">
      <c r="A2086" s="73"/>
      <c r="B2086" s="73"/>
      <c r="C2086" s="73"/>
      <c r="D2086" s="73"/>
      <c r="E2086" s="140"/>
      <c r="F2086" s="80"/>
      <c r="G2086" s="80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  <c r="S2086" s="73"/>
      <c r="T2086" s="73"/>
      <c r="U2086" s="73"/>
      <c r="V2086" s="73"/>
      <c r="W2086" s="73"/>
      <c r="X2086" s="73"/>
      <c r="Y2086" s="73"/>
      <c r="Z2086" s="73"/>
      <c r="AA2086" s="73"/>
      <c r="AB2086" s="73"/>
      <c r="AC2086" s="73"/>
      <c r="AD2086" s="73"/>
      <c r="AE2086" s="73"/>
      <c r="AF2086" s="73"/>
      <c r="AG2086" s="73"/>
      <c r="AH2086" s="73"/>
      <c r="AI2086" s="73"/>
      <c r="AJ2086" s="168"/>
      <c r="AK2086" s="73"/>
      <c r="AL2086" s="73"/>
      <c r="AM2086" s="73"/>
      <c r="AN2086" s="73"/>
      <c r="AO2086" s="73"/>
      <c r="AP2086" s="73"/>
      <c r="AQ2086" s="73"/>
      <c r="AR2086" s="73"/>
      <c r="AS2086" s="73"/>
      <c r="AT2086" s="73"/>
      <c r="AU2086" s="73"/>
      <c r="AV2086" s="73"/>
      <c r="AW2086" s="73"/>
      <c r="AX2086" s="73"/>
      <c r="AY2086" s="73"/>
      <c r="AZ2086" s="73"/>
      <c r="BA2086" s="73"/>
      <c r="BB2086" s="73"/>
      <c r="BC2086" s="73"/>
      <c r="BD2086" s="73"/>
      <c r="BE2086" s="73"/>
      <c r="BF2086" s="75"/>
      <c r="BG2086" s="73"/>
      <c r="BH2086" s="88"/>
      <c r="BI2086" s="73"/>
      <c r="BJ2086" s="73"/>
      <c r="BK2086" s="73"/>
      <c r="BL2086" s="73"/>
      <c r="BM2086" s="73"/>
      <c r="BN2086" s="73"/>
      <c r="BO2086" s="73"/>
      <c r="BP2086" s="73"/>
      <c r="BQ2086" s="73"/>
      <c r="BR2086" s="73"/>
      <c r="BS2086" s="73"/>
      <c r="BT2086" s="73"/>
      <c r="BU2086" s="73"/>
      <c r="BV2086" s="73"/>
      <c r="BW2086" s="73"/>
      <c r="BX2086" s="73"/>
      <c r="BY2086" s="73"/>
      <c r="BZ2086" s="73"/>
      <c r="CA2086" s="73"/>
      <c r="CB2086" s="73"/>
      <c r="CC2086" s="73"/>
      <c r="CD2086" s="73"/>
      <c r="CE2086" s="73"/>
      <c r="CF2086" s="73"/>
      <c r="CG2086" s="73"/>
      <c r="CH2086" s="73"/>
    </row>
    <row r="2087">
      <c r="A2087" s="73"/>
      <c r="B2087" s="73"/>
      <c r="C2087" s="73"/>
      <c r="D2087" s="73"/>
      <c r="E2087" s="140"/>
      <c r="F2087" s="80"/>
      <c r="G2087" s="80"/>
      <c r="H2087" s="73"/>
      <c r="I2087" s="73"/>
      <c r="J2087" s="73"/>
      <c r="K2087" s="73"/>
      <c r="L2087" s="73"/>
      <c r="M2087" s="73"/>
      <c r="N2087" s="73"/>
      <c r="O2087" s="73"/>
      <c r="P2087" s="73"/>
      <c r="Q2087" s="73"/>
      <c r="R2087" s="73"/>
      <c r="S2087" s="73"/>
      <c r="T2087" s="73"/>
      <c r="U2087" s="73"/>
      <c r="V2087" s="73"/>
      <c r="W2087" s="73"/>
      <c r="X2087" s="73"/>
      <c r="Y2087" s="73"/>
      <c r="Z2087" s="73"/>
      <c r="AA2087" s="73"/>
      <c r="AB2087" s="73"/>
      <c r="AC2087" s="73"/>
      <c r="AD2087" s="73"/>
      <c r="AE2087" s="73"/>
      <c r="AF2087" s="73"/>
      <c r="AG2087" s="73"/>
      <c r="AH2087" s="73"/>
      <c r="AI2087" s="73"/>
      <c r="AJ2087" s="168"/>
      <c r="AK2087" s="73"/>
      <c r="AL2087" s="73"/>
      <c r="AM2087" s="73"/>
      <c r="AN2087" s="73"/>
      <c r="AO2087" s="73"/>
      <c r="AP2087" s="73"/>
      <c r="AQ2087" s="73"/>
      <c r="AR2087" s="73"/>
      <c r="AS2087" s="73"/>
      <c r="AT2087" s="73"/>
      <c r="AU2087" s="73"/>
      <c r="AV2087" s="73"/>
      <c r="AW2087" s="73"/>
      <c r="AX2087" s="73"/>
      <c r="AY2087" s="73"/>
      <c r="AZ2087" s="73"/>
      <c r="BA2087" s="73"/>
      <c r="BB2087" s="73"/>
      <c r="BC2087" s="73"/>
      <c r="BD2087" s="73"/>
      <c r="BE2087" s="73"/>
      <c r="BF2087" s="75"/>
      <c r="BG2087" s="73"/>
      <c r="BH2087" s="88"/>
      <c r="BI2087" s="73"/>
      <c r="BJ2087" s="73"/>
      <c r="BK2087" s="73"/>
      <c r="BL2087" s="73"/>
      <c r="BM2087" s="73"/>
      <c r="BN2087" s="73"/>
      <c r="BO2087" s="73"/>
      <c r="BP2087" s="73"/>
      <c r="BQ2087" s="73"/>
      <c r="BR2087" s="73"/>
      <c r="BS2087" s="73"/>
      <c r="BT2087" s="73"/>
      <c r="BU2087" s="73"/>
      <c r="BV2087" s="73"/>
      <c r="BW2087" s="73"/>
      <c r="BX2087" s="73"/>
      <c r="BY2087" s="73"/>
      <c r="BZ2087" s="73"/>
      <c r="CA2087" s="73"/>
      <c r="CB2087" s="73"/>
      <c r="CC2087" s="73"/>
      <c r="CD2087" s="73"/>
      <c r="CE2087" s="73"/>
      <c r="CF2087" s="73"/>
      <c r="CG2087" s="73"/>
      <c r="CH2087" s="73"/>
    </row>
    <row r="2088">
      <c r="A2088" s="73"/>
      <c r="B2088" s="73"/>
      <c r="C2088" s="73"/>
      <c r="D2088" s="73"/>
      <c r="E2088" s="140"/>
      <c r="F2088" s="80"/>
      <c r="G2088" s="80"/>
      <c r="H2088" s="73"/>
      <c r="I2088" s="73"/>
      <c r="J2088" s="73"/>
      <c r="K2088" s="73"/>
      <c r="L2088" s="73"/>
      <c r="M2088" s="73"/>
      <c r="N2088" s="73"/>
      <c r="O2088" s="73"/>
      <c r="P2088" s="73"/>
      <c r="Q2088" s="73"/>
      <c r="R2088" s="73"/>
      <c r="S2088" s="73"/>
      <c r="T2088" s="73"/>
      <c r="U2088" s="73"/>
      <c r="V2088" s="73"/>
      <c r="W2088" s="73"/>
      <c r="X2088" s="73"/>
      <c r="Y2088" s="73"/>
      <c r="Z2088" s="73"/>
      <c r="AA2088" s="73"/>
      <c r="AB2088" s="73"/>
      <c r="AC2088" s="73"/>
      <c r="AD2088" s="73"/>
      <c r="AE2088" s="73"/>
      <c r="AF2088" s="73"/>
      <c r="AG2088" s="73"/>
      <c r="AH2088" s="73"/>
      <c r="AI2088" s="73"/>
      <c r="AJ2088" s="168"/>
      <c r="AK2088" s="73"/>
      <c r="AL2088" s="73"/>
      <c r="AM2088" s="73"/>
      <c r="AN2088" s="73"/>
      <c r="AO2088" s="73"/>
      <c r="AP2088" s="73"/>
      <c r="AQ2088" s="73"/>
      <c r="AR2088" s="73"/>
      <c r="AS2088" s="73"/>
      <c r="AT2088" s="73"/>
      <c r="AU2088" s="73"/>
      <c r="AV2088" s="73"/>
      <c r="AW2088" s="73"/>
      <c r="AX2088" s="73"/>
      <c r="AY2088" s="73"/>
      <c r="AZ2088" s="73"/>
      <c r="BA2088" s="73"/>
      <c r="BB2088" s="73"/>
      <c r="BC2088" s="73"/>
      <c r="BD2088" s="73"/>
      <c r="BE2088" s="73"/>
      <c r="BF2088" s="75"/>
      <c r="BG2088" s="73"/>
      <c r="BH2088" s="88"/>
      <c r="BI2088" s="73"/>
      <c r="BJ2088" s="73"/>
      <c r="BK2088" s="73"/>
      <c r="BL2088" s="73"/>
      <c r="BM2088" s="73"/>
      <c r="BN2088" s="73"/>
      <c r="BO2088" s="73"/>
      <c r="BP2088" s="73"/>
      <c r="BQ2088" s="73"/>
      <c r="BR2088" s="73"/>
      <c r="BS2088" s="73"/>
      <c r="BT2088" s="73"/>
      <c r="BU2088" s="73"/>
      <c r="BV2088" s="73"/>
      <c r="BW2088" s="73"/>
      <c r="BX2088" s="73"/>
      <c r="BY2088" s="73"/>
      <c r="BZ2088" s="73"/>
      <c r="CA2088" s="73"/>
      <c r="CB2088" s="73"/>
      <c r="CC2088" s="73"/>
      <c r="CD2088" s="73"/>
      <c r="CE2088" s="73"/>
      <c r="CF2088" s="73"/>
      <c r="CG2088" s="73"/>
      <c r="CH2088" s="73"/>
    </row>
    <row r="2089">
      <c r="A2089" s="73"/>
      <c r="B2089" s="73"/>
      <c r="C2089" s="73"/>
      <c r="D2089" s="73"/>
      <c r="E2089" s="140"/>
      <c r="F2089" s="80"/>
      <c r="G2089" s="80"/>
      <c r="H2089" s="73"/>
      <c r="I2089" s="73"/>
      <c r="J2089" s="73"/>
      <c r="K2089" s="73"/>
      <c r="L2089" s="73"/>
      <c r="M2089" s="73"/>
      <c r="N2089" s="73"/>
      <c r="O2089" s="73"/>
      <c r="P2089" s="73"/>
      <c r="Q2089" s="73"/>
      <c r="R2089" s="73"/>
      <c r="S2089" s="73"/>
      <c r="T2089" s="73"/>
      <c r="U2089" s="73"/>
      <c r="V2089" s="73"/>
      <c r="W2089" s="73"/>
      <c r="X2089" s="73"/>
      <c r="Y2089" s="73"/>
      <c r="Z2089" s="73"/>
      <c r="AA2089" s="73"/>
      <c r="AB2089" s="73"/>
      <c r="AC2089" s="73"/>
      <c r="AD2089" s="73"/>
      <c r="AE2089" s="73"/>
      <c r="AF2089" s="73"/>
      <c r="AG2089" s="73"/>
      <c r="AH2089" s="73"/>
      <c r="AI2089" s="73"/>
      <c r="AJ2089" s="168"/>
      <c r="AK2089" s="73"/>
      <c r="AL2089" s="73"/>
      <c r="AM2089" s="73"/>
      <c r="AN2089" s="73"/>
      <c r="AO2089" s="73"/>
      <c r="AP2089" s="73"/>
      <c r="AQ2089" s="73"/>
      <c r="AR2089" s="73"/>
      <c r="AS2089" s="73"/>
      <c r="AT2089" s="73"/>
      <c r="AU2089" s="73"/>
      <c r="AV2089" s="73"/>
      <c r="AW2089" s="73"/>
      <c r="AX2089" s="73"/>
      <c r="AY2089" s="73"/>
      <c r="AZ2089" s="73"/>
      <c r="BA2089" s="73"/>
      <c r="BB2089" s="73"/>
      <c r="BC2089" s="73"/>
      <c r="BD2089" s="73"/>
      <c r="BE2089" s="73"/>
      <c r="BF2089" s="75"/>
      <c r="BG2089" s="73"/>
      <c r="BH2089" s="88"/>
      <c r="BI2089" s="73"/>
      <c r="BJ2089" s="73"/>
      <c r="BK2089" s="73"/>
      <c r="BL2089" s="73"/>
      <c r="BM2089" s="73"/>
      <c r="BN2089" s="73"/>
      <c r="BO2089" s="73"/>
      <c r="BP2089" s="73"/>
      <c r="BQ2089" s="73"/>
      <c r="BR2089" s="73"/>
      <c r="BS2089" s="73"/>
      <c r="BT2089" s="73"/>
      <c r="BU2089" s="73"/>
      <c r="BV2089" s="73"/>
      <c r="BW2089" s="73"/>
      <c r="BX2089" s="73"/>
      <c r="BY2089" s="73"/>
      <c r="BZ2089" s="73"/>
      <c r="CA2089" s="73"/>
      <c r="CB2089" s="73"/>
      <c r="CC2089" s="73"/>
      <c r="CD2089" s="73"/>
      <c r="CE2089" s="73"/>
      <c r="CF2089" s="73"/>
      <c r="CG2089" s="73"/>
      <c r="CH2089" s="73"/>
    </row>
    <row r="2090">
      <c r="A2090" s="73"/>
      <c r="B2090" s="73"/>
      <c r="C2090" s="73"/>
      <c r="D2090" s="73"/>
      <c r="E2090" s="140"/>
      <c r="F2090" s="80"/>
      <c r="G2090" s="80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  <c r="S2090" s="73"/>
      <c r="T2090" s="73"/>
      <c r="U2090" s="73"/>
      <c r="V2090" s="73"/>
      <c r="W2090" s="73"/>
      <c r="X2090" s="73"/>
      <c r="Y2090" s="73"/>
      <c r="Z2090" s="73"/>
      <c r="AA2090" s="73"/>
      <c r="AB2090" s="73"/>
      <c r="AC2090" s="73"/>
      <c r="AD2090" s="73"/>
      <c r="AE2090" s="73"/>
      <c r="AF2090" s="73"/>
      <c r="AG2090" s="73"/>
      <c r="AH2090" s="73"/>
      <c r="AI2090" s="73"/>
      <c r="AJ2090" s="168"/>
      <c r="AK2090" s="73"/>
      <c r="AL2090" s="73"/>
      <c r="AM2090" s="73"/>
      <c r="AN2090" s="73"/>
      <c r="AO2090" s="73"/>
      <c r="AP2090" s="73"/>
      <c r="AQ2090" s="73"/>
      <c r="AR2090" s="73"/>
      <c r="AS2090" s="73"/>
      <c r="AT2090" s="73"/>
      <c r="AU2090" s="73"/>
      <c r="AV2090" s="73"/>
      <c r="AW2090" s="73"/>
      <c r="AX2090" s="73"/>
      <c r="AY2090" s="73"/>
      <c r="AZ2090" s="73"/>
      <c r="BA2090" s="73"/>
      <c r="BB2090" s="73"/>
      <c r="BC2090" s="73"/>
      <c r="BD2090" s="73"/>
      <c r="BE2090" s="73"/>
      <c r="BF2090" s="75"/>
      <c r="BG2090" s="73"/>
      <c r="BH2090" s="88"/>
      <c r="BI2090" s="73"/>
      <c r="BJ2090" s="73"/>
      <c r="BK2090" s="73"/>
      <c r="BL2090" s="73"/>
      <c r="BM2090" s="73"/>
      <c r="BN2090" s="73"/>
      <c r="BO2090" s="73"/>
      <c r="BP2090" s="73"/>
      <c r="BQ2090" s="73"/>
      <c r="BR2090" s="73"/>
      <c r="BS2090" s="73"/>
      <c r="BT2090" s="73"/>
      <c r="BU2090" s="73"/>
      <c r="BV2090" s="73"/>
      <c r="BW2090" s="73"/>
      <c r="BX2090" s="73"/>
      <c r="BY2090" s="73"/>
      <c r="BZ2090" s="73"/>
      <c r="CA2090" s="73"/>
      <c r="CB2090" s="73"/>
      <c r="CC2090" s="73"/>
      <c r="CD2090" s="73"/>
      <c r="CE2090" s="73"/>
      <c r="CF2090" s="73"/>
      <c r="CG2090" s="73"/>
      <c r="CH2090" s="73"/>
    </row>
    <row r="2091">
      <c r="A2091" s="73"/>
      <c r="B2091" s="73"/>
      <c r="C2091" s="73"/>
      <c r="D2091" s="73"/>
      <c r="E2091" s="140"/>
      <c r="F2091" s="80"/>
      <c r="G2091" s="80"/>
      <c r="H2091" s="73"/>
      <c r="I2091" s="73"/>
      <c r="J2091" s="73"/>
      <c r="K2091" s="73"/>
      <c r="L2091" s="73"/>
      <c r="M2091" s="73"/>
      <c r="N2091" s="73"/>
      <c r="O2091" s="73"/>
      <c r="P2091" s="73"/>
      <c r="Q2091" s="73"/>
      <c r="R2091" s="73"/>
      <c r="S2091" s="73"/>
      <c r="T2091" s="73"/>
      <c r="U2091" s="73"/>
      <c r="V2091" s="73"/>
      <c r="W2091" s="73"/>
      <c r="X2091" s="73"/>
      <c r="Y2091" s="73"/>
      <c r="Z2091" s="73"/>
      <c r="AA2091" s="73"/>
      <c r="AB2091" s="73"/>
      <c r="AC2091" s="73"/>
      <c r="AD2091" s="73"/>
      <c r="AE2091" s="73"/>
      <c r="AF2091" s="73"/>
      <c r="AG2091" s="73"/>
      <c r="AH2091" s="73"/>
      <c r="AI2091" s="73"/>
      <c r="AJ2091" s="168"/>
      <c r="AK2091" s="73"/>
      <c r="AL2091" s="73"/>
      <c r="AM2091" s="73"/>
      <c r="AN2091" s="73"/>
      <c r="AO2091" s="73"/>
      <c r="AP2091" s="73"/>
      <c r="AQ2091" s="73"/>
      <c r="AR2091" s="73"/>
      <c r="AS2091" s="73"/>
      <c r="AT2091" s="73"/>
      <c r="AU2091" s="73"/>
      <c r="AV2091" s="73"/>
      <c r="AW2091" s="73"/>
      <c r="AX2091" s="73"/>
      <c r="AY2091" s="73"/>
      <c r="AZ2091" s="73"/>
      <c r="BA2091" s="73"/>
      <c r="BB2091" s="73"/>
      <c r="BC2091" s="73"/>
      <c r="BD2091" s="73"/>
      <c r="BE2091" s="73"/>
      <c r="BF2091" s="75"/>
      <c r="BG2091" s="73"/>
      <c r="BH2091" s="88"/>
      <c r="BI2091" s="73"/>
      <c r="BJ2091" s="73"/>
      <c r="BK2091" s="73"/>
      <c r="BL2091" s="73"/>
      <c r="BM2091" s="73"/>
      <c r="BN2091" s="73"/>
      <c r="BO2091" s="73"/>
      <c r="BP2091" s="73"/>
      <c r="BQ2091" s="73"/>
      <c r="BR2091" s="73"/>
      <c r="BS2091" s="73"/>
      <c r="BT2091" s="73"/>
      <c r="BU2091" s="73"/>
      <c r="BV2091" s="73"/>
      <c r="BW2091" s="73"/>
      <c r="BX2091" s="73"/>
      <c r="BY2091" s="73"/>
      <c r="BZ2091" s="73"/>
      <c r="CA2091" s="73"/>
      <c r="CB2091" s="73"/>
      <c r="CC2091" s="73"/>
      <c r="CD2091" s="73"/>
      <c r="CE2091" s="73"/>
      <c r="CF2091" s="73"/>
      <c r="CG2091" s="73"/>
      <c r="CH2091" s="73"/>
    </row>
    <row r="2092">
      <c r="A2092" s="73"/>
      <c r="B2092" s="73"/>
      <c r="C2092" s="73"/>
      <c r="D2092" s="73"/>
      <c r="E2092" s="140"/>
      <c r="F2092" s="80"/>
      <c r="G2092" s="80"/>
      <c r="H2092" s="73"/>
      <c r="I2092" s="73"/>
      <c r="J2092" s="73"/>
      <c r="K2092" s="73"/>
      <c r="L2092" s="73"/>
      <c r="M2092" s="73"/>
      <c r="N2092" s="73"/>
      <c r="O2092" s="73"/>
      <c r="P2092" s="73"/>
      <c r="Q2092" s="73"/>
      <c r="R2092" s="73"/>
      <c r="S2092" s="73"/>
      <c r="T2092" s="73"/>
      <c r="U2092" s="73"/>
      <c r="V2092" s="73"/>
      <c r="W2092" s="73"/>
      <c r="X2092" s="73"/>
      <c r="Y2092" s="73"/>
      <c r="Z2092" s="73"/>
      <c r="AA2092" s="73"/>
      <c r="AB2092" s="73"/>
      <c r="AC2092" s="73"/>
      <c r="AD2092" s="73"/>
      <c r="AE2092" s="73"/>
      <c r="AF2092" s="73"/>
      <c r="AG2092" s="73"/>
      <c r="AH2092" s="73"/>
      <c r="AI2092" s="73"/>
      <c r="AJ2092" s="168"/>
      <c r="AK2092" s="73"/>
      <c r="AL2092" s="73"/>
      <c r="AM2092" s="73"/>
      <c r="AN2092" s="73"/>
      <c r="AO2092" s="73"/>
      <c r="AP2092" s="73"/>
      <c r="AQ2092" s="73"/>
      <c r="AR2092" s="73"/>
      <c r="AS2092" s="73"/>
      <c r="AT2092" s="73"/>
      <c r="AU2092" s="73"/>
      <c r="AV2092" s="73"/>
      <c r="AW2092" s="73"/>
      <c r="AX2092" s="73"/>
      <c r="AY2092" s="73"/>
      <c r="AZ2092" s="73"/>
      <c r="BA2092" s="73"/>
      <c r="BB2092" s="73"/>
      <c r="BC2092" s="73"/>
      <c r="BD2092" s="73"/>
      <c r="BE2092" s="73"/>
      <c r="BF2092" s="75"/>
      <c r="BG2092" s="73"/>
      <c r="BH2092" s="88"/>
      <c r="BI2092" s="73"/>
      <c r="BJ2092" s="73"/>
      <c r="BK2092" s="73"/>
      <c r="BL2092" s="73"/>
      <c r="BM2092" s="73"/>
      <c r="BN2092" s="73"/>
      <c r="BO2092" s="73"/>
      <c r="BP2092" s="73"/>
      <c r="BQ2092" s="73"/>
      <c r="BR2092" s="73"/>
      <c r="BS2092" s="73"/>
      <c r="BT2092" s="73"/>
      <c r="BU2092" s="73"/>
      <c r="BV2092" s="73"/>
      <c r="BW2092" s="73"/>
      <c r="BX2092" s="73"/>
      <c r="BY2092" s="73"/>
      <c r="BZ2092" s="73"/>
      <c r="CA2092" s="73"/>
      <c r="CB2092" s="73"/>
      <c r="CC2092" s="73"/>
      <c r="CD2092" s="73"/>
      <c r="CE2092" s="73"/>
      <c r="CF2092" s="73"/>
      <c r="CG2092" s="73"/>
      <c r="CH2092" s="73"/>
    </row>
    <row r="2093">
      <c r="A2093" s="73"/>
      <c r="B2093" s="73"/>
      <c r="C2093" s="73"/>
      <c r="D2093" s="73"/>
      <c r="E2093" s="140"/>
      <c r="F2093" s="80"/>
      <c r="G2093" s="80"/>
      <c r="H2093" s="73"/>
      <c r="I2093" s="73"/>
      <c r="J2093" s="73"/>
      <c r="K2093" s="73"/>
      <c r="L2093" s="73"/>
      <c r="M2093" s="73"/>
      <c r="N2093" s="73"/>
      <c r="O2093" s="73"/>
      <c r="P2093" s="73"/>
      <c r="Q2093" s="73"/>
      <c r="R2093" s="73"/>
      <c r="S2093" s="73"/>
      <c r="T2093" s="73"/>
      <c r="U2093" s="73"/>
      <c r="V2093" s="73"/>
      <c r="W2093" s="73"/>
      <c r="X2093" s="73"/>
      <c r="Y2093" s="73"/>
      <c r="Z2093" s="73"/>
      <c r="AA2093" s="73"/>
      <c r="AB2093" s="73"/>
      <c r="AC2093" s="73"/>
      <c r="AD2093" s="73"/>
      <c r="AE2093" s="73"/>
      <c r="AF2093" s="73"/>
      <c r="AG2093" s="73"/>
      <c r="AH2093" s="73"/>
      <c r="AI2093" s="73"/>
      <c r="AJ2093" s="168"/>
      <c r="AK2093" s="73"/>
      <c r="AL2093" s="73"/>
      <c r="AM2093" s="73"/>
      <c r="AN2093" s="73"/>
      <c r="AO2093" s="73"/>
      <c r="AP2093" s="73"/>
      <c r="AQ2093" s="73"/>
      <c r="AR2093" s="73"/>
      <c r="AS2093" s="73"/>
      <c r="AT2093" s="73"/>
      <c r="AU2093" s="73"/>
      <c r="AV2093" s="73"/>
      <c r="AW2093" s="73"/>
      <c r="AX2093" s="73"/>
      <c r="AY2093" s="73"/>
      <c r="AZ2093" s="73"/>
      <c r="BA2093" s="73"/>
      <c r="BB2093" s="73"/>
      <c r="BC2093" s="73"/>
      <c r="BD2093" s="73"/>
      <c r="BE2093" s="73"/>
      <c r="BF2093" s="75"/>
      <c r="BG2093" s="73"/>
      <c r="BH2093" s="88"/>
      <c r="BI2093" s="73"/>
      <c r="BJ2093" s="73"/>
      <c r="BK2093" s="73"/>
      <c r="BL2093" s="73"/>
      <c r="BM2093" s="73"/>
      <c r="BN2093" s="73"/>
      <c r="BO2093" s="73"/>
      <c r="BP2093" s="73"/>
      <c r="BQ2093" s="73"/>
      <c r="BR2093" s="73"/>
      <c r="BS2093" s="73"/>
      <c r="BT2093" s="73"/>
      <c r="BU2093" s="73"/>
      <c r="BV2093" s="73"/>
      <c r="BW2093" s="73"/>
      <c r="BX2093" s="73"/>
      <c r="BY2093" s="73"/>
      <c r="BZ2093" s="73"/>
      <c r="CA2093" s="73"/>
      <c r="CB2093" s="73"/>
      <c r="CC2093" s="73"/>
      <c r="CD2093" s="73"/>
      <c r="CE2093" s="73"/>
      <c r="CF2093" s="73"/>
      <c r="CG2093" s="73"/>
      <c r="CH2093" s="73"/>
    </row>
    <row r="2094">
      <c r="A2094" s="73"/>
      <c r="B2094" s="73"/>
      <c r="C2094" s="73"/>
      <c r="D2094" s="73"/>
      <c r="E2094" s="140"/>
      <c r="F2094" s="80"/>
      <c r="G2094" s="80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  <c r="S2094" s="73"/>
      <c r="T2094" s="73"/>
      <c r="U2094" s="73"/>
      <c r="V2094" s="73"/>
      <c r="W2094" s="73"/>
      <c r="X2094" s="73"/>
      <c r="Y2094" s="73"/>
      <c r="Z2094" s="73"/>
      <c r="AA2094" s="73"/>
      <c r="AB2094" s="73"/>
      <c r="AC2094" s="73"/>
      <c r="AD2094" s="73"/>
      <c r="AE2094" s="73"/>
      <c r="AF2094" s="73"/>
      <c r="AG2094" s="73"/>
      <c r="AH2094" s="73"/>
      <c r="AI2094" s="73"/>
      <c r="AJ2094" s="168"/>
      <c r="AK2094" s="73"/>
      <c r="AL2094" s="73"/>
      <c r="AM2094" s="73"/>
      <c r="AN2094" s="73"/>
      <c r="AO2094" s="73"/>
      <c r="AP2094" s="73"/>
      <c r="AQ2094" s="73"/>
      <c r="AR2094" s="73"/>
      <c r="AS2094" s="73"/>
      <c r="AT2094" s="73"/>
      <c r="AU2094" s="73"/>
      <c r="AV2094" s="73"/>
      <c r="AW2094" s="73"/>
      <c r="AX2094" s="73"/>
      <c r="AY2094" s="73"/>
      <c r="AZ2094" s="73"/>
      <c r="BA2094" s="73"/>
      <c r="BB2094" s="73"/>
      <c r="BC2094" s="73"/>
      <c r="BD2094" s="73"/>
      <c r="BE2094" s="73"/>
      <c r="BF2094" s="75"/>
      <c r="BG2094" s="73"/>
      <c r="BH2094" s="88"/>
      <c r="BI2094" s="73"/>
      <c r="BJ2094" s="73"/>
      <c r="BK2094" s="73"/>
      <c r="BL2094" s="73"/>
      <c r="BM2094" s="73"/>
      <c r="BN2094" s="73"/>
      <c r="BO2094" s="73"/>
      <c r="BP2094" s="73"/>
      <c r="BQ2094" s="73"/>
      <c r="BR2094" s="73"/>
      <c r="BS2094" s="73"/>
      <c r="BT2094" s="73"/>
      <c r="BU2094" s="73"/>
      <c r="BV2094" s="73"/>
      <c r="BW2094" s="73"/>
      <c r="BX2094" s="73"/>
      <c r="BY2094" s="73"/>
      <c r="BZ2094" s="73"/>
      <c r="CA2094" s="73"/>
      <c r="CB2094" s="73"/>
      <c r="CC2094" s="73"/>
      <c r="CD2094" s="73"/>
      <c r="CE2094" s="73"/>
      <c r="CF2094" s="73"/>
      <c r="CG2094" s="73"/>
      <c r="CH2094" s="73"/>
    </row>
    <row r="2095">
      <c r="A2095" s="73"/>
      <c r="B2095" s="73"/>
      <c r="C2095" s="73"/>
      <c r="D2095" s="73"/>
      <c r="E2095" s="140"/>
      <c r="F2095" s="80"/>
      <c r="G2095" s="80"/>
      <c r="H2095" s="73"/>
      <c r="I2095" s="73"/>
      <c r="J2095" s="73"/>
      <c r="K2095" s="73"/>
      <c r="L2095" s="73"/>
      <c r="M2095" s="73"/>
      <c r="N2095" s="73"/>
      <c r="O2095" s="73"/>
      <c r="P2095" s="73"/>
      <c r="Q2095" s="73"/>
      <c r="R2095" s="73"/>
      <c r="S2095" s="73"/>
      <c r="T2095" s="73"/>
      <c r="U2095" s="73"/>
      <c r="V2095" s="73"/>
      <c r="W2095" s="73"/>
      <c r="X2095" s="73"/>
      <c r="Y2095" s="73"/>
      <c r="Z2095" s="73"/>
      <c r="AA2095" s="73"/>
      <c r="AB2095" s="73"/>
      <c r="AC2095" s="73"/>
      <c r="AD2095" s="73"/>
      <c r="AE2095" s="73"/>
      <c r="AF2095" s="73"/>
      <c r="AG2095" s="73"/>
      <c r="AH2095" s="73"/>
      <c r="AI2095" s="73"/>
      <c r="AJ2095" s="168"/>
      <c r="AK2095" s="73"/>
      <c r="AL2095" s="73"/>
      <c r="AM2095" s="73"/>
      <c r="AN2095" s="73"/>
      <c r="AO2095" s="73"/>
      <c r="AP2095" s="73"/>
      <c r="AQ2095" s="73"/>
      <c r="AR2095" s="73"/>
      <c r="AS2095" s="73"/>
      <c r="AT2095" s="73"/>
      <c r="AU2095" s="73"/>
      <c r="AV2095" s="73"/>
      <c r="AW2095" s="73"/>
      <c r="AX2095" s="73"/>
      <c r="AY2095" s="73"/>
      <c r="AZ2095" s="73"/>
      <c r="BA2095" s="73"/>
      <c r="BB2095" s="73"/>
      <c r="BC2095" s="73"/>
      <c r="BD2095" s="73"/>
      <c r="BE2095" s="73"/>
      <c r="BF2095" s="75"/>
      <c r="BG2095" s="73"/>
      <c r="BH2095" s="88"/>
      <c r="BI2095" s="73"/>
      <c r="BJ2095" s="73"/>
      <c r="BK2095" s="73"/>
      <c r="BL2095" s="73"/>
      <c r="BM2095" s="73"/>
      <c r="BN2095" s="73"/>
      <c r="BO2095" s="73"/>
      <c r="BP2095" s="73"/>
      <c r="BQ2095" s="73"/>
      <c r="BR2095" s="73"/>
      <c r="BS2095" s="73"/>
      <c r="BT2095" s="73"/>
      <c r="BU2095" s="73"/>
      <c r="BV2095" s="73"/>
      <c r="BW2095" s="73"/>
      <c r="BX2095" s="73"/>
      <c r="BY2095" s="73"/>
      <c r="BZ2095" s="73"/>
      <c r="CA2095" s="73"/>
      <c r="CB2095" s="73"/>
      <c r="CC2095" s="73"/>
      <c r="CD2095" s="73"/>
      <c r="CE2095" s="73"/>
      <c r="CF2095" s="73"/>
      <c r="CG2095" s="73"/>
      <c r="CH2095" s="73"/>
    </row>
    <row r="2096">
      <c r="A2096" s="73"/>
      <c r="B2096" s="73"/>
      <c r="C2096" s="73"/>
      <c r="D2096" s="73"/>
      <c r="E2096" s="140"/>
      <c r="F2096" s="80"/>
      <c r="G2096" s="80"/>
      <c r="H2096" s="73"/>
      <c r="I2096" s="73"/>
      <c r="J2096" s="73"/>
      <c r="K2096" s="73"/>
      <c r="L2096" s="73"/>
      <c r="M2096" s="73"/>
      <c r="N2096" s="73"/>
      <c r="O2096" s="73"/>
      <c r="P2096" s="73"/>
      <c r="Q2096" s="73"/>
      <c r="R2096" s="73"/>
      <c r="S2096" s="73"/>
      <c r="T2096" s="73"/>
      <c r="U2096" s="73"/>
      <c r="V2096" s="73"/>
      <c r="W2096" s="73"/>
      <c r="X2096" s="73"/>
      <c r="Y2096" s="73"/>
      <c r="Z2096" s="73"/>
      <c r="AA2096" s="73"/>
      <c r="AB2096" s="73"/>
      <c r="AC2096" s="73"/>
      <c r="AD2096" s="73"/>
      <c r="AE2096" s="73"/>
      <c r="AF2096" s="73"/>
      <c r="AG2096" s="73"/>
      <c r="AH2096" s="73"/>
      <c r="AI2096" s="73"/>
      <c r="AJ2096" s="168"/>
      <c r="AK2096" s="73"/>
      <c r="AL2096" s="73"/>
      <c r="AM2096" s="73"/>
      <c r="AN2096" s="73"/>
      <c r="AO2096" s="73"/>
      <c r="AP2096" s="73"/>
      <c r="AQ2096" s="73"/>
      <c r="AR2096" s="73"/>
      <c r="AS2096" s="73"/>
      <c r="AT2096" s="73"/>
      <c r="AU2096" s="73"/>
      <c r="AV2096" s="73"/>
      <c r="AW2096" s="73"/>
      <c r="AX2096" s="73"/>
      <c r="AY2096" s="73"/>
      <c r="AZ2096" s="73"/>
      <c r="BA2096" s="73"/>
      <c r="BB2096" s="73"/>
      <c r="BC2096" s="73"/>
      <c r="BD2096" s="73"/>
      <c r="BE2096" s="73"/>
      <c r="BF2096" s="75"/>
      <c r="BG2096" s="73"/>
      <c r="BH2096" s="88"/>
      <c r="BI2096" s="73"/>
      <c r="BJ2096" s="73"/>
      <c r="BK2096" s="73"/>
      <c r="BL2096" s="73"/>
      <c r="BM2096" s="73"/>
      <c r="BN2096" s="73"/>
      <c r="BO2096" s="73"/>
      <c r="BP2096" s="73"/>
      <c r="BQ2096" s="73"/>
      <c r="BR2096" s="73"/>
      <c r="BS2096" s="73"/>
      <c r="BT2096" s="73"/>
      <c r="BU2096" s="73"/>
      <c r="BV2096" s="73"/>
      <c r="BW2096" s="73"/>
      <c r="BX2096" s="73"/>
      <c r="BY2096" s="73"/>
      <c r="BZ2096" s="73"/>
      <c r="CA2096" s="73"/>
      <c r="CB2096" s="73"/>
      <c r="CC2096" s="73"/>
      <c r="CD2096" s="73"/>
      <c r="CE2096" s="73"/>
      <c r="CF2096" s="73"/>
      <c r="CG2096" s="73"/>
      <c r="CH2096" s="73"/>
    </row>
    <row r="2097">
      <c r="A2097" s="73"/>
      <c r="B2097" s="73"/>
      <c r="C2097" s="73"/>
      <c r="D2097" s="73"/>
      <c r="E2097" s="140"/>
      <c r="F2097" s="80"/>
      <c r="G2097" s="80"/>
      <c r="H2097" s="73"/>
      <c r="I2097" s="73"/>
      <c r="J2097" s="73"/>
      <c r="K2097" s="73"/>
      <c r="L2097" s="73"/>
      <c r="M2097" s="73"/>
      <c r="N2097" s="73"/>
      <c r="O2097" s="73"/>
      <c r="P2097" s="73"/>
      <c r="Q2097" s="73"/>
      <c r="R2097" s="73"/>
      <c r="S2097" s="73"/>
      <c r="T2097" s="73"/>
      <c r="U2097" s="73"/>
      <c r="V2097" s="73"/>
      <c r="W2097" s="73"/>
      <c r="X2097" s="73"/>
      <c r="Y2097" s="73"/>
      <c r="Z2097" s="73"/>
      <c r="AA2097" s="73"/>
      <c r="AB2097" s="73"/>
      <c r="AC2097" s="73"/>
      <c r="AD2097" s="73"/>
      <c r="AE2097" s="73"/>
      <c r="AF2097" s="73"/>
      <c r="AG2097" s="73"/>
      <c r="AH2097" s="73"/>
      <c r="AI2097" s="73"/>
      <c r="AJ2097" s="168"/>
      <c r="AK2097" s="73"/>
      <c r="AL2097" s="73"/>
      <c r="AM2097" s="73"/>
      <c r="AN2097" s="73"/>
      <c r="AO2097" s="73"/>
      <c r="AP2097" s="73"/>
      <c r="AQ2097" s="73"/>
      <c r="AR2097" s="73"/>
      <c r="AS2097" s="73"/>
      <c r="AT2097" s="73"/>
      <c r="AU2097" s="73"/>
      <c r="AV2097" s="73"/>
      <c r="AW2097" s="73"/>
      <c r="AX2097" s="73"/>
      <c r="AY2097" s="73"/>
      <c r="AZ2097" s="73"/>
      <c r="BA2097" s="73"/>
      <c r="BB2097" s="73"/>
      <c r="BC2097" s="73"/>
      <c r="BD2097" s="73"/>
      <c r="BE2097" s="73"/>
      <c r="BF2097" s="75"/>
      <c r="BG2097" s="73"/>
      <c r="BH2097" s="88"/>
      <c r="BI2097" s="73"/>
      <c r="BJ2097" s="73"/>
      <c r="BK2097" s="73"/>
      <c r="BL2097" s="73"/>
      <c r="BM2097" s="73"/>
      <c r="BN2097" s="73"/>
      <c r="BO2097" s="73"/>
      <c r="BP2097" s="73"/>
      <c r="BQ2097" s="73"/>
      <c r="BR2097" s="73"/>
      <c r="BS2097" s="73"/>
      <c r="BT2097" s="73"/>
      <c r="BU2097" s="73"/>
      <c r="BV2097" s="73"/>
      <c r="BW2097" s="73"/>
      <c r="BX2097" s="73"/>
      <c r="BY2097" s="73"/>
      <c r="BZ2097" s="73"/>
      <c r="CA2097" s="73"/>
      <c r="CB2097" s="73"/>
      <c r="CC2097" s="73"/>
      <c r="CD2097" s="73"/>
      <c r="CE2097" s="73"/>
      <c r="CF2097" s="73"/>
      <c r="CG2097" s="73"/>
      <c r="CH2097" s="73"/>
    </row>
    <row r="2098">
      <c r="A2098" s="73"/>
      <c r="B2098" s="73"/>
      <c r="C2098" s="73"/>
      <c r="D2098" s="73"/>
      <c r="E2098" s="140"/>
      <c r="F2098" s="80"/>
      <c r="G2098" s="80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  <c r="S2098" s="73"/>
      <c r="T2098" s="73"/>
      <c r="U2098" s="73"/>
      <c r="V2098" s="73"/>
      <c r="W2098" s="73"/>
      <c r="X2098" s="73"/>
      <c r="Y2098" s="73"/>
      <c r="Z2098" s="73"/>
      <c r="AA2098" s="73"/>
      <c r="AB2098" s="73"/>
      <c r="AC2098" s="73"/>
      <c r="AD2098" s="73"/>
      <c r="AE2098" s="73"/>
      <c r="AF2098" s="73"/>
      <c r="AG2098" s="73"/>
      <c r="AH2098" s="73"/>
      <c r="AI2098" s="73"/>
      <c r="AJ2098" s="168"/>
      <c r="AK2098" s="73"/>
      <c r="AL2098" s="73"/>
      <c r="AM2098" s="73"/>
      <c r="AN2098" s="73"/>
      <c r="AO2098" s="73"/>
      <c r="AP2098" s="73"/>
      <c r="AQ2098" s="73"/>
      <c r="AR2098" s="73"/>
      <c r="AS2098" s="73"/>
      <c r="AT2098" s="73"/>
      <c r="AU2098" s="73"/>
      <c r="AV2098" s="73"/>
      <c r="AW2098" s="73"/>
      <c r="AX2098" s="73"/>
      <c r="AY2098" s="73"/>
      <c r="AZ2098" s="73"/>
      <c r="BA2098" s="73"/>
      <c r="BB2098" s="73"/>
      <c r="BC2098" s="73"/>
      <c r="BD2098" s="73"/>
      <c r="BE2098" s="73"/>
      <c r="BF2098" s="75"/>
      <c r="BG2098" s="73"/>
      <c r="BH2098" s="88"/>
      <c r="BI2098" s="73"/>
      <c r="BJ2098" s="73"/>
      <c r="BK2098" s="73"/>
      <c r="BL2098" s="73"/>
      <c r="BM2098" s="73"/>
      <c r="BN2098" s="73"/>
      <c r="BO2098" s="73"/>
      <c r="BP2098" s="73"/>
      <c r="BQ2098" s="73"/>
      <c r="BR2098" s="73"/>
      <c r="BS2098" s="73"/>
      <c r="BT2098" s="73"/>
      <c r="BU2098" s="73"/>
      <c r="BV2098" s="73"/>
      <c r="BW2098" s="73"/>
      <c r="BX2098" s="73"/>
      <c r="BY2098" s="73"/>
      <c r="BZ2098" s="73"/>
      <c r="CA2098" s="73"/>
      <c r="CB2098" s="73"/>
      <c r="CC2098" s="73"/>
      <c r="CD2098" s="73"/>
      <c r="CE2098" s="73"/>
      <c r="CF2098" s="73"/>
      <c r="CG2098" s="73"/>
      <c r="CH2098" s="73"/>
    </row>
    <row r="2099">
      <c r="A2099" s="73"/>
      <c r="B2099" s="73"/>
      <c r="C2099" s="73"/>
      <c r="D2099" s="73"/>
      <c r="E2099" s="140"/>
      <c r="F2099" s="80"/>
      <c r="G2099" s="80"/>
      <c r="H2099" s="73"/>
      <c r="I2099" s="73"/>
      <c r="J2099" s="73"/>
      <c r="K2099" s="73"/>
      <c r="L2099" s="73"/>
      <c r="M2099" s="73"/>
      <c r="N2099" s="73"/>
      <c r="O2099" s="73"/>
      <c r="P2099" s="73"/>
      <c r="Q2099" s="73"/>
      <c r="R2099" s="73"/>
      <c r="S2099" s="73"/>
      <c r="T2099" s="73"/>
      <c r="U2099" s="73"/>
      <c r="V2099" s="73"/>
      <c r="W2099" s="73"/>
      <c r="X2099" s="73"/>
      <c r="Y2099" s="73"/>
      <c r="Z2099" s="73"/>
      <c r="AA2099" s="73"/>
      <c r="AB2099" s="73"/>
      <c r="AC2099" s="73"/>
      <c r="AD2099" s="73"/>
      <c r="AE2099" s="73"/>
      <c r="AF2099" s="73"/>
      <c r="AG2099" s="73"/>
      <c r="AH2099" s="73"/>
      <c r="AI2099" s="73"/>
      <c r="AJ2099" s="168"/>
      <c r="AK2099" s="73"/>
      <c r="AL2099" s="73"/>
      <c r="AM2099" s="73"/>
      <c r="AN2099" s="73"/>
      <c r="AO2099" s="73"/>
      <c r="AP2099" s="73"/>
      <c r="AQ2099" s="73"/>
      <c r="AR2099" s="73"/>
      <c r="AS2099" s="73"/>
      <c r="AT2099" s="73"/>
      <c r="AU2099" s="73"/>
      <c r="AV2099" s="73"/>
      <c r="AW2099" s="73"/>
      <c r="AX2099" s="73"/>
      <c r="AY2099" s="73"/>
      <c r="AZ2099" s="73"/>
      <c r="BA2099" s="73"/>
      <c r="BB2099" s="73"/>
      <c r="BC2099" s="73"/>
      <c r="BD2099" s="73"/>
      <c r="BE2099" s="73"/>
      <c r="BF2099" s="75"/>
      <c r="BG2099" s="73"/>
      <c r="BH2099" s="88"/>
      <c r="BI2099" s="73"/>
      <c r="BJ2099" s="73"/>
      <c r="BK2099" s="73"/>
      <c r="BL2099" s="73"/>
      <c r="BM2099" s="73"/>
      <c r="BN2099" s="73"/>
      <c r="BO2099" s="73"/>
      <c r="BP2099" s="73"/>
      <c r="BQ2099" s="73"/>
      <c r="BR2099" s="73"/>
      <c r="BS2099" s="73"/>
      <c r="BT2099" s="73"/>
      <c r="BU2099" s="73"/>
      <c r="BV2099" s="73"/>
      <c r="BW2099" s="73"/>
      <c r="BX2099" s="73"/>
      <c r="BY2099" s="73"/>
      <c r="BZ2099" s="73"/>
      <c r="CA2099" s="73"/>
      <c r="CB2099" s="73"/>
      <c r="CC2099" s="73"/>
      <c r="CD2099" s="73"/>
      <c r="CE2099" s="73"/>
      <c r="CF2099" s="73"/>
      <c r="CG2099" s="73"/>
      <c r="CH2099" s="73"/>
    </row>
    <row r="2100">
      <c r="A2100" s="73"/>
      <c r="B2100" s="73"/>
      <c r="C2100" s="73"/>
      <c r="D2100" s="73"/>
      <c r="E2100" s="140"/>
      <c r="F2100" s="80"/>
      <c r="G2100" s="80"/>
      <c r="H2100" s="73"/>
      <c r="I2100" s="73"/>
      <c r="J2100" s="73"/>
      <c r="K2100" s="73"/>
      <c r="L2100" s="73"/>
      <c r="M2100" s="73"/>
      <c r="N2100" s="73"/>
      <c r="O2100" s="73"/>
      <c r="P2100" s="73"/>
      <c r="Q2100" s="73"/>
      <c r="R2100" s="73"/>
      <c r="S2100" s="73"/>
      <c r="T2100" s="73"/>
      <c r="U2100" s="73"/>
      <c r="V2100" s="73"/>
      <c r="W2100" s="73"/>
      <c r="X2100" s="73"/>
      <c r="Y2100" s="73"/>
      <c r="Z2100" s="73"/>
      <c r="AA2100" s="73"/>
      <c r="AB2100" s="73"/>
      <c r="AC2100" s="73"/>
      <c r="AD2100" s="73"/>
      <c r="AE2100" s="73"/>
      <c r="AF2100" s="73"/>
      <c r="AG2100" s="73"/>
      <c r="AH2100" s="73"/>
      <c r="AI2100" s="73"/>
      <c r="AJ2100" s="168"/>
      <c r="AK2100" s="73"/>
      <c r="AL2100" s="73"/>
      <c r="AM2100" s="73"/>
      <c r="AN2100" s="73"/>
      <c r="AO2100" s="73"/>
      <c r="AP2100" s="73"/>
      <c r="AQ2100" s="73"/>
      <c r="AR2100" s="73"/>
      <c r="AS2100" s="73"/>
      <c r="AT2100" s="73"/>
      <c r="AU2100" s="73"/>
      <c r="AV2100" s="73"/>
      <c r="AW2100" s="73"/>
      <c r="AX2100" s="73"/>
      <c r="AY2100" s="73"/>
      <c r="AZ2100" s="73"/>
      <c r="BA2100" s="73"/>
      <c r="BB2100" s="73"/>
      <c r="BC2100" s="73"/>
      <c r="BD2100" s="73"/>
      <c r="BE2100" s="73"/>
      <c r="BF2100" s="75"/>
      <c r="BG2100" s="73"/>
      <c r="BH2100" s="88"/>
      <c r="BI2100" s="73"/>
      <c r="BJ2100" s="73"/>
      <c r="BK2100" s="73"/>
      <c r="BL2100" s="73"/>
      <c r="BM2100" s="73"/>
      <c r="BN2100" s="73"/>
      <c r="BO2100" s="73"/>
      <c r="BP2100" s="73"/>
      <c r="BQ2100" s="73"/>
      <c r="BR2100" s="73"/>
      <c r="BS2100" s="73"/>
      <c r="BT2100" s="73"/>
      <c r="BU2100" s="73"/>
      <c r="BV2100" s="73"/>
      <c r="BW2100" s="73"/>
      <c r="BX2100" s="73"/>
      <c r="BY2100" s="73"/>
      <c r="BZ2100" s="73"/>
      <c r="CA2100" s="73"/>
      <c r="CB2100" s="73"/>
      <c r="CC2100" s="73"/>
      <c r="CD2100" s="73"/>
      <c r="CE2100" s="73"/>
      <c r="CF2100" s="73"/>
      <c r="CG2100" s="73"/>
      <c r="CH2100" s="73"/>
    </row>
    <row r="2101">
      <c r="A2101" s="73"/>
      <c r="B2101" s="73"/>
      <c r="C2101" s="73"/>
      <c r="D2101" s="73"/>
      <c r="E2101" s="140"/>
      <c r="F2101" s="80"/>
      <c r="G2101" s="80"/>
      <c r="H2101" s="73"/>
      <c r="I2101" s="73"/>
      <c r="J2101" s="73"/>
      <c r="K2101" s="73"/>
      <c r="L2101" s="73"/>
      <c r="M2101" s="73"/>
      <c r="N2101" s="73"/>
      <c r="O2101" s="73"/>
      <c r="P2101" s="73"/>
      <c r="Q2101" s="73"/>
      <c r="R2101" s="73"/>
      <c r="S2101" s="73"/>
      <c r="T2101" s="73"/>
      <c r="U2101" s="73"/>
      <c r="V2101" s="73"/>
      <c r="W2101" s="73"/>
      <c r="X2101" s="73"/>
      <c r="Y2101" s="73"/>
      <c r="Z2101" s="73"/>
      <c r="AA2101" s="73"/>
      <c r="AB2101" s="73"/>
      <c r="AC2101" s="73"/>
      <c r="AD2101" s="73"/>
      <c r="AE2101" s="73"/>
      <c r="AF2101" s="73"/>
      <c r="AG2101" s="73"/>
      <c r="AH2101" s="73"/>
      <c r="AI2101" s="73"/>
      <c r="AJ2101" s="168"/>
      <c r="AK2101" s="73"/>
      <c r="AL2101" s="73"/>
      <c r="AM2101" s="73"/>
      <c r="AN2101" s="73"/>
      <c r="AO2101" s="73"/>
      <c r="AP2101" s="73"/>
      <c r="AQ2101" s="73"/>
      <c r="AR2101" s="73"/>
      <c r="AS2101" s="73"/>
      <c r="AT2101" s="73"/>
      <c r="AU2101" s="73"/>
      <c r="AV2101" s="73"/>
      <c r="AW2101" s="73"/>
      <c r="AX2101" s="73"/>
      <c r="AY2101" s="73"/>
      <c r="AZ2101" s="73"/>
      <c r="BA2101" s="73"/>
      <c r="BB2101" s="73"/>
      <c r="BC2101" s="73"/>
      <c r="BD2101" s="73"/>
      <c r="BE2101" s="73"/>
      <c r="BF2101" s="75"/>
      <c r="BG2101" s="73"/>
      <c r="BH2101" s="88"/>
      <c r="BI2101" s="73"/>
      <c r="BJ2101" s="73"/>
      <c r="BK2101" s="73"/>
      <c r="BL2101" s="73"/>
      <c r="BM2101" s="73"/>
      <c r="BN2101" s="73"/>
      <c r="BO2101" s="73"/>
      <c r="BP2101" s="73"/>
      <c r="BQ2101" s="73"/>
      <c r="BR2101" s="73"/>
      <c r="BS2101" s="73"/>
      <c r="BT2101" s="73"/>
      <c r="BU2101" s="73"/>
      <c r="BV2101" s="73"/>
      <c r="BW2101" s="73"/>
      <c r="BX2101" s="73"/>
      <c r="BY2101" s="73"/>
      <c r="BZ2101" s="73"/>
      <c r="CA2101" s="73"/>
      <c r="CB2101" s="73"/>
      <c r="CC2101" s="73"/>
      <c r="CD2101" s="73"/>
      <c r="CE2101" s="73"/>
      <c r="CF2101" s="73"/>
      <c r="CG2101" s="73"/>
      <c r="CH2101" s="73"/>
    </row>
    <row r="2102">
      <c r="A2102" s="73"/>
      <c r="B2102" s="73"/>
      <c r="C2102" s="73"/>
      <c r="D2102" s="73"/>
      <c r="E2102" s="140"/>
      <c r="F2102" s="80"/>
      <c r="G2102" s="80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  <c r="S2102" s="73"/>
      <c r="T2102" s="73"/>
      <c r="U2102" s="73"/>
      <c r="V2102" s="73"/>
      <c r="W2102" s="73"/>
      <c r="X2102" s="73"/>
      <c r="Y2102" s="73"/>
      <c r="Z2102" s="73"/>
      <c r="AA2102" s="73"/>
      <c r="AB2102" s="73"/>
      <c r="AC2102" s="73"/>
      <c r="AD2102" s="73"/>
      <c r="AE2102" s="73"/>
      <c r="AF2102" s="73"/>
      <c r="AG2102" s="73"/>
      <c r="AH2102" s="73"/>
      <c r="AI2102" s="73"/>
      <c r="AJ2102" s="168"/>
      <c r="AK2102" s="73"/>
      <c r="AL2102" s="73"/>
      <c r="AM2102" s="73"/>
      <c r="AN2102" s="73"/>
      <c r="AO2102" s="73"/>
      <c r="AP2102" s="73"/>
      <c r="AQ2102" s="73"/>
      <c r="AR2102" s="73"/>
      <c r="AS2102" s="73"/>
      <c r="AT2102" s="73"/>
      <c r="AU2102" s="73"/>
      <c r="AV2102" s="73"/>
      <c r="AW2102" s="73"/>
      <c r="AX2102" s="73"/>
      <c r="AY2102" s="73"/>
      <c r="AZ2102" s="73"/>
      <c r="BA2102" s="73"/>
      <c r="BB2102" s="73"/>
      <c r="BC2102" s="73"/>
      <c r="BD2102" s="73"/>
      <c r="BE2102" s="73"/>
      <c r="BF2102" s="75"/>
      <c r="BG2102" s="73"/>
      <c r="BH2102" s="88"/>
      <c r="BI2102" s="73"/>
      <c r="BJ2102" s="73"/>
      <c r="BK2102" s="73"/>
      <c r="BL2102" s="73"/>
      <c r="BM2102" s="73"/>
      <c r="BN2102" s="73"/>
      <c r="BO2102" s="73"/>
      <c r="BP2102" s="73"/>
      <c r="BQ2102" s="73"/>
      <c r="BR2102" s="73"/>
      <c r="BS2102" s="73"/>
      <c r="BT2102" s="73"/>
      <c r="BU2102" s="73"/>
      <c r="BV2102" s="73"/>
      <c r="BW2102" s="73"/>
      <c r="BX2102" s="73"/>
      <c r="BY2102" s="73"/>
      <c r="BZ2102" s="73"/>
      <c r="CA2102" s="73"/>
      <c r="CB2102" s="73"/>
      <c r="CC2102" s="73"/>
      <c r="CD2102" s="73"/>
      <c r="CE2102" s="73"/>
      <c r="CF2102" s="73"/>
      <c r="CG2102" s="73"/>
      <c r="CH2102" s="73"/>
    </row>
    <row r="2103">
      <c r="A2103" s="73"/>
      <c r="B2103" s="73"/>
      <c r="C2103" s="73"/>
      <c r="D2103" s="73"/>
      <c r="E2103" s="140"/>
      <c r="F2103" s="80"/>
      <c r="G2103" s="80"/>
      <c r="H2103" s="73"/>
      <c r="I2103" s="73"/>
      <c r="J2103" s="73"/>
      <c r="K2103" s="73"/>
      <c r="L2103" s="73"/>
      <c r="M2103" s="73"/>
      <c r="N2103" s="73"/>
      <c r="O2103" s="73"/>
      <c r="P2103" s="73"/>
      <c r="Q2103" s="73"/>
      <c r="R2103" s="73"/>
      <c r="S2103" s="73"/>
      <c r="T2103" s="73"/>
      <c r="U2103" s="73"/>
      <c r="V2103" s="73"/>
      <c r="W2103" s="73"/>
      <c r="X2103" s="73"/>
      <c r="Y2103" s="73"/>
      <c r="Z2103" s="73"/>
      <c r="AA2103" s="73"/>
      <c r="AB2103" s="73"/>
      <c r="AC2103" s="73"/>
      <c r="AD2103" s="73"/>
      <c r="AE2103" s="73"/>
      <c r="AF2103" s="73"/>
      <c r="AG2103" s="73"/>
      <c r="AH2103" s="73"/>
      <c r="AI2103" s="73"/>
      <c r="AJ2103" s="168"/>
      <c r="AK2103" s="73"/>
      <c r="AL2103" s="73"/>
      <c r="AM2103" s="73"/>
      <c r="AN2103" s="73"/>
      <c r="AO2103" s="73"/>
      <c r="AP2103" s="73"/>
      <c r="AQ2103" s="73"/>
      <c r="AR2103" s="73"/>
      <c r="AS2103" s="73"/>
      <c r="AT2103" s="73"/>
      <c r="AU2103" s="73"/>
      <c r="AV2103" s="73"/>
      <c r="AW2103" s="73"/>
      <c r="AX2103" s="73"/>
      <c r="AY2103" s="73"/>
      <c r="AZ2103" s="73"/>
      <c r="BA2103" s="73"/>
      <c r="BB2103" s="73"/>
      <c r="BC2103" s="73"/>
      <c r="BD2103" s="73"/>
      <c r="BE2103" s="73"/>
      <c r="BF2103" s="75"/>
      <c r="BG2103" s="73"/>
      <c r="BH2103" s="88"/>
      <c r="BI2103" s="73"/>
      <c r="BJ2103" s="73"/>
      <c r="BK2103" s="73"/>
      <c r="BL2103" s="73"/>
      <c r="BM2103" s="73"/>
      <c r="BN2103" s="73"/>
      <c r="BO2103" s="73"/>
      <c r="BP2103" s="73"/>
      <c r="BQ2103" s="73"/>
      <c r="BR2103" s="73"/>
      <c r="BS2103" s="73"/>
      <c r="BT2103" s="73"/>
      <c r="BU2103" s="73"/>
      <c r="BV2103" s="73"/>
      <c r="BW2103" s="73"/>
      <c r="BX2103" s="73"/>
      <c r="BY2103" s="73"/>
      <c r="BZ2103" s="73"/>
      <c r="CA2103" s="73"/>
      <c r="CB2103" s="73"/>
      <c r="CC2103" s="73"/>
      <c r="CD2103" s="73"/>
      <c r="CE2103" s="73"/>
      <c r="CF2103" s="73"/>
      <c r="CG2103" s="73"/>
      <c r="CH2103" s="73"/>
    </row>
    <row r="2104">
      <c r="A2104" s="73"/>
      <c r="B2104" s="73"/>
      <c r="C2104" s="73"/>
      <c r="D2104" s="73"/>
      <c r="E2104" s="140"/>
      <c r="F2104" s="80"/>
      <c r="G2104" s="80"/>
      <c r="H2104" s="73"/>
      <c r="I2104" s="73"/>
      <c r="J2104" s="73"/>
      <c r="K2104" s="73"/>
      <c r="L2104" s="73"/>
      <c r="M2104" s="73"/>
      <c r="N2104" s="73"/>
      <c r="O2104" s="73"/>
      <c r="P2104" s="73"/>
      <c r="Q2104" s="73"/>
      <c r="R2104" s="73"/>
      <c r="S2104" s="73"/>
      <c r="T2104" s="73"/>
      <c r="U2104" s="73"/>
      <c r="V2104" s="73"/>
      <c r="W2104" s="73"/>
      <c r="X2104" s="73"/>
      <c r="Y2104" s="73"/>
      <c r="Z2104" s="73"/>
      <c r="AA2104" s="73"/>
      <c r="AB2104" s="73"/>
      <c r="AC2104" s="73"/>
      <c r="AD2104" s="73"/>
      <c r="AE2104" s="73"/>
      <c r="AF2104" s="73"/>
      <c r="AG2104" s="73"/>
      <c r="AH2104" s="73"/>
      <c r="AI2104" s="73"/>
      <c r="AJ2104" s="168"/>
      <c r="AK2104" s="73"/>
      <c r="AL2104" s="73"/>
      <c r="AM2104" s="73"/>
      <c r="AN2104" s="73"/>
      <c r="AO2104" s="73"/>
      <c r="AP2104" s="73"/>
      <c r="AQ2104" s="73"/>
      <c r="AR2104" s="73"/>
      <c r="AS2104" s="73"/>
      <c r="AT2104" s="73"/>
      <c r="AU2104" s="73"/>
      <c r="AV2104" s="73"/>
      <c r="AW2104" s="73"/>
      <c r="AX2104" s="73"/>
      <c r="AY2104" s="73"/>
      <c r="AZ2104" s="73"/>
      <c r="BA2104" s="73"/>
      <c r="BB2104" s="73"/>
      <c r="BC2104" s="73"/>
      <c r="BD2104" s="73"/>
      <c r="BE2104" s="73"/>
      <c r="BF2104" s="75"/>
      <c r="BG2104" s="73"/>
      <c r="BH2104" s="88"/>
      <c r="BI2104" s="73"/>
      <c r="BJ2104" s="73"/>
      <c r="BK2104" s="73"/>
      <c r="BL2104" s="73"/>
      <c r="BM2104" s="73"/>
      <c r="BN2104" s="73"/>
      <c r="BO2104" s="73"/>
      <c r="BP2104" s="73"/>
      <c r="BQ2104" s="73"/>
      <c r="BR2104" s="73"/>
      <c r="BS2104" s="73"/>
      <c r="BT2104" s="73"/>
      <c r="BU2104" s="73"/>
      <c r="BV2104" s="73"/>
      <c r="BW2104" s="73"/>
      <c r="BX2104" s="73"/>
      <c r="BY2104" s="73"/>
      <c r="BZ2104" s="73"/>
      <c r="CA2104" s="73"/>
      <c r="CB2104" s="73"/>
      <c r="CC2104" s="73"/>
      <c r="CD2104" s="73"/>
      <c r="CE2104" s="73"/>
      <c r="CF2104" s="73"/>
      <c r="CG2104" s="73"/>
      <c r="CH2104" s="73"/>
    </row>
    <row r="2105">
      <c r="A2105" s="73"/>
      <c r="B2105" s="73"/>
      <c r="C2105" s="73"/>
      <c r="D2105" s="73"/>
      <c r="E2105" s="140"/>
      <c r="F2105" s="80"/>
      <c r="G2105" s="80"/>
      <c r="H2105" s="73"/>
      <c r="I2105" s="73"/>
      <c r="J2105" s="73"/>
      <c r="K2105" s="73"/>
      <c r="L2105" s="73"/>
      <c r="M2105" s="73"/>
      <c r="N2105" s="73"/>
      <c r="O2105" s="73"/>
      <c r="P2105" s="73"/>
      <c r="Q2105" s="73"/>
      <c r="R2105" s="73"/>
      <c r="S2105" s="73"/>
      <c r="T2105" s="73"/>
      <c r="U2105" s="73"/>
      <c r="V2105" s="73"/>
      <c r="W2105" s="73"/>
      <c r="X2105" s="73"/>
      <c r="Y2105" s="73"/>
      <c r="Z2105" s="73"/>
      <c r="AA2105" s="73"/>
      <c r="AB2105" s="73"/>
      <c r="AC2105" s="73"/>
      <c r="AD2105" s="73"/>
      <c r="AE2105" s="73"/>
      <c r="AF2105" s="73"/>
      <c r="AG2105" s="73"/>
      <c r="AH2105" s="73"/>
      <c r="AI2105" s="73"/>
      <c r="AJ2105" s="168"/>
      <c r="AK2105" s="73"/>
      <c r="AL2105" s="73"/>
      <c r="AM2105" s="73"/>
      <c r="AN2105" s="73"/>
      <c r="AO2105" s="73"/>
      <c r="AP2105" s="73"/>
      <c r="AQ2105" s="73"/>
      <c r="AR2105" s="73"/>
      <c r="AS2105" s="73"/>
      <c r="AT2105" s="73"/>
      <c r="AU2105" s="73"/>
      <c r="AV2105" s="73"/>
      <c r="AW2105" s="73"/>
      <c r="AX2105" s="73"/>
      <c r="AY2105" s="73"/>
      <c r="AZ2105" s="73"/>
      <c r="BA2105" s="73"/>
      <c r="BB2105" s="73"/>
      <c r="BC2105" s="73"/>
      <c r="BD2105" s="73"/>
      <c r="BE2105" s="73"/>
      <c r="BF2105" s="75"/>
      <c r="BG2105" s="73"/>
      <c r="BH2105" s="88"/>
      <c r="BI2105" s="73"/>
      <c r="BJ2105" s="73"/>
      <c r="BK2105" s="73"/>
      <c r="BL2105" s="73"/>
      <c r="BM2105" s="73"/>
      <c r="BN2105" s="73"/>
      <c r="BO2105" s="73"/>
      <c r="BP2105" s="73"/>
      <c r="BQ2105" s="73"/>
      <c r="BR2105" s="73"/>
      <c r="BS2105" s="73"/>
      <c r="BT2105" s="73"/>
      <c r="BU2105" s="73"/>
      <c r="BV2105" s="73"/>
      <c r="BW2105" s="73"/>
      <c r="BX2105" s="73"/>
      <c r="BY2105" s="73"/>
      <c r="BZ2105" s="73"/>
      <c r="CA2105" s="73"/>
      <c r="CB2105" s="73"/>
      <c r="CC2105" s="73"/>
      <c r="CD2105" s="73"/>
      <c r="CE2105" s="73"/>
      <c r="CF2105" s="73"/>
      <c r="CG2105" s="73"/>
      <c r="CH2105" s="73"/>
    </row>
    <row r="2106">
      <c r="A2106" s="73"/>
      <c r="B2106" s="73"/>
      <c r="C2106" s="73"/>
      <c r="D2106" s="73"/>
      <c r="E2106" s="140"/>
      <c r="F2106" s="80"/>
      <c r="G2106" s="80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  <c r="S2106" s="73"/>
      <c r="T2106" s="73"/>
      <c r="U2106" s="73"/>
      <c r="V2106" s="73"/>
      <c r="W2106" s="73"/>
      <c r="X2106" s="73"/>
      <c r="Y2106" s="73"/>
      <c r="Z2106" s="73"/>
      <c r="AA2106" s="73"/>
      <c r="AB2106" s="73"/>
      <c r="AC2106" s="73"/>
      <c r="AD2106" s="73"/>
      <c r="AE2106" s="73"/>
      <c r="AF2106" s="73"/>
      <c r="AG2106" s="73"/>
      <c r="AH2106" s="73"/>
      <c r="AI2106" s="73"/>
      <c r="AJ2106" s="168"/>
      <c r="AK2106" s="73"/>
      <c r="AL2106" s="73"/>
      <c r="AM2106" s="73"/>
      <c r="AN2106" s="73"/>
      <c r="AO2106" s="73"/>
      <c r="AP2106" s="73"/>
      <c r="AQ2106" s="73"/>
      <c r="AR2106" s="73"/>
      <c r="AS2106" s="73"/>
      <c r="AT2106" s="73"/>
      <c r="AU2106" s="73"/>
      <c r="AV2106" s="73"/>
      <c r="AW2106" s="73"/>
      <c r="AX2106" s="73"/>
      <c r="AY2106" s="73"/>
      <c r="AZ2106" s="73"/>
      <c r="BA2106" s="73"/>
      <c r="BB2106" s="73"/>
      <c r="BC2106" s="73"/>
      <c r="BD2106" s="73"/>
      <c r="BE2106" s="73"/>
      <c r="BF2106" s="75"/>
      <c r="BG2106" s="73"/>
      <c r="BH2106" s="88"/>
      <c r="BI2106" s="73"/>
      <c r="BJ2106" s="73"/>
      <c r="BK2106" s="73"/>
      <c r="BL2106" s="73"/>
      <c r="BM2106" s="73"/>
      <c r="BN2106" s="73"/>
      <c r="BO2106" s="73"/>
      <c r="BP2106" s="73"/>
      <c r="BQ2106" s="73"/>
      <c r="BR2106" s="73"/>
      <c r="BS2106" s="73"/>
      <c r="BT2106" s="73"/>
      <c r="BU2106" s="73"/>
      <c r="BV2106" s="73"/>
      <c r="BW2106" s="73"/>
      <c r="BX2106" s="73"/>
      <c r="BY2106" s="73"/>
      <c r="BZ2106" s="73"/>
      <c r="CA2106" s="73"/>
      <c r="CB2106" s="73"/>
      <c r="CC2106" s="73"/>
      <c r="CD2106" s="73"/>
      <c r="CE2106" s="73"/>
      <c r="CF2106" s="73"/>
      <c r="CG2106" s="73"/>
      <c r="CH2106" s="73"/>
    </row>
    <row r="2107">
      <c r="A2107" s="73"/>
      <c r="B2107" s="73"/>
      <c r="C2107" s="73"/>
      <c r="D2107" s="73"/>
      <c r="E2107" s="140"/>
      <c r="F2107" s="80"/>
      <c r="G2107" s="80"/>
      <c r="H2107" s="73"/>
      <c r="I2107" s="73"/>
      <c r="J2107" s="73"/>
      <c r="K2107" s="73"/>
      <c r="L2107" s="73"/>
      <c r="M2107" s="73"/>
      <c r="N2107" s="73"/>
      <c r="O2107" s="73"/>
      <c r="P2107" s="73"/>
      <c r="Q2107" s="73"/>
      <c r="R2107" s="73"/>
      <c r="S2107" s="73"/>
      <c r="T2107" s="73"/>
      <c r="U2107" s="73"/>
      <c r="V2107" s="73"/>
      <c r="W2107" s="73"/>
      <c r="X2107" s="73"/>
      <c r="Y2107" s="73"/>
      <c r="Z2107" s="73"/>
      <c r="AA2107" s="73"/>
      <c r="AB2107" s="73"/>
      <c r="AC2107" s="73"/>
      <c r="AD2107" s="73"/>
      <c r="AE2107" s="73"/>
      <c r="AF2107" s="73"/>
      <c r="AG2107" s="73"/>
      <c r="AH2107" s="73"/>
      <c r="AI2107" s="73"/>
      <c r="AJ2107" s="168"/>
      <c r="AK2107" s="73"/>
      <c r="AL2107" s="73"/>
      <c r="AM2107" s="73"/>
      <c r="AN2107" s="73"/>
      <c r="AO2107" s="73"/>
      <c r="AP2107" s="73"/>
      <c r="AQ2107" s="73"/>
      <c r="AR2107" s="73"/>
      <c r="AS2107" s="73"/>
      <c r="AT2107" s="73"/>
      <c r="AU2107" s="73"/>
      <c r="AV2107" s="73"/>
      <c r="AW2107" s="73"/>
      <c r="AX2107" s="73"/>
      <c r="AY2107" s="73"/>
      <c r="AZ2107" s="73"/>
      <c r="BA2107" s="73"/>
      <c r="BB2107" s="73"/>
      <c r="BC2107" s="73"/>
      <c r="BD2107" s="73"/>
      <c r="BE2107" s="73"/>
      <c r="BF2107" s="75"/>
      <c r="BG2107" s="73"/>
      <c r="BH2107" s="88"/>
      <c r="BI2107" s="73"/>
      <c r="BJ2107" s="73"/>
      <c r="BK2107" s="73"/>
      <c r="BL2107" s="73"/>
      <c r="BM2107" s="73"/>
      <c r="BN2107" s="73"/>
      <c r="BO2107" s="73"/>
      <c r="BP2107" s="73"/>
      <c r="BQ2107" s="73"/>
      <c r="BR2107" s="73"/>
      <c r="BS2107" s="73"/>
      <c r="BT2107" s="73"/>
      <c r="BU2107" s="73"/>
      <c r="BV2107" s="73"/>
      <c r="BW2107" s="73"/>
      <c r="BX2107" s="73"/>
      <c r="BY2107" s="73"/>
      <c r="BZ2107" s="73"/>
      <c r="CA2107" s="73"/>
      <c r="CB2107" s="73"/>
      <c r="CC2107" s="73"/>
      <c r="CD2107" s="73"/>
      <c r="CE2107" s="73"/>
      <c r="CF2107" s="73"/>
      <c r="CG2107" s="73"/>
      <c r="CH2107" s="73"/>
    </row>
    <row r="2108">
      <c r="A2108" s="73"/>
      <c r="B2108" s="73"/>
      <c r="C2108" s="73"/>
      <c r="D2108" s="73"/>
      <c r="E2108" s="140"/>
      <c r="F2108" s="80"/>
      <c r="G2108" s="80"/>
      <c r="H2108" s="73"/>
      <c r="I2108" s="73"/>
      <c r="J2108" s="73"/>
      <c r="K2108" s="73"/>
      <c r="L2108" s="73"/>
      <c r="M2108" s="73"/>
      <c r="N2108" s="73"/>
      <c r="O2108" s="73"/>
      <c r="P2108" s="73"/>
      <c r="Q2108" s="73"/>
      <c r="R2108" s="73"/>
      <c r="S2108" s="73"/>
      <c r="T2108" s="73"/>
      <c r="U2108" s="73"/>
      <c r="V2108" s="73"/>
      <c r="W2108" s="73"/>
      <c r="X2108" s="73"/>
      <c r="Y2108" s="73"/>
      <c r="Z2108" s="73"/>
      <c r="AA2108" s="73"/>
      <c r="AB2108" s="73"/>
      <c r="AC2108" s="73"/>
      <c r="AD2108" s="73"/>
      <c r="AE2108" s="73"/>
      <c r="AF2108" s="73"/>
      <c r="AG2108" s="73"/>
      <c r="AH2108" s="73"/>
      <c r="AI2108" s="73"/>
      <c r="AJ2108" s="168"/>
      <c r="AK2108" s="73"/>
      <c r="AL2108" s="73"/>
      <c r="AM2108" s="73"/>
      <c r="AN2108" s="73"/>
      <c r="AO2108" s="73"/>
      <c r="AP2108" s="73"/>
      <c r="AQ2108" s="73"/>
      <c r="AR2108" s="73"/>
      <c r="AS2108" s="73"/>
      <c r="AT2108" s="73"/>
      <c r="AU2108" s="73"/>
      <c r="AV2108" s="73"/>
      <c r="AW2108" s="73"/>
      <c r="AX2108" s="73"/>
      <c r="AY2108" s="73"/>
      <c r="AZ2108" s="73"/>
      <c r="BA2108" s="73"/>
      <c r="BB2108" s="73"/>
      <c r="BC2108" s="73"/>
      <c r="BD2108" s="73"/>
      <c r="BE2108" s="73"/>
      <c r="BF2108" s="75"/>
      <c r="BG2108" s="73"/>
      <c r="BH2108" s="88"/>
      <c r="BI2108" s="73"/>
      <c r="BJ2108" s="73"/>
      <c r="BK2108" s="73"/>
      <c r="BL2108" s="73"/>
      <c r="BM2108" s="73"/>
      <c r="BN2108" s="73"/>
      <c r="BO2108" s="73"/>
      <c r="BP2108" s="73"/>
      <c r="BQ2108" s="73"/>
      <c r="BR2108" s="73"/>
      <c r="BS2108" s="73"/>
      <c r="BT2108" s="73"/>
      <c r="BU2108" s="73"/>
      <c r="BV2108" s="73"/>
      <c r="BW2108" s="73"/>
      <c r="BX2108" s="73"/>
      <c r="BY2108" s="73"/>
      <c r="BZ2108" s="73"/>
      <c r="CA2108" s="73"/>
      <c r="CB2108" s="73"/>
      <c r="CC2108" s="73"/>
      <c r="CD2108" s="73"/>
      <c r="CE2108" s="73"/>
      <c r="CF2108" s="73"/>
      <c r="CG2108" s="73"/>
      <c r="CH2108" s="73"/>
    </row>
    <row r="2109">
      <c r="A2109" s="73"/>
      <c r="B2109" s="73"/>
      <c r="C2109" s="73"/>
      <c r="D2109" s="73"/>
      <c r="E2109" s="140"/>
      <c r="F2109" s="80"/>
      <c r="G2109" s="80"/>
      <c r="H2109" s="73"/>
      <c r="I2109" s="73"/>
      <c r="J2109" s="73"/>
      <c r="K2109" s="73"/>
      <c r="L2109" s="73"/>
      <c r="M2109" s="73"/>
      <c r="N2109" s="73"/>
      <c r="O2109" s="73"/>
      <c r="P2109" s="73"/>
      <c r="Q2109" s="73"/>
      <c r="R2109" s="73"/>
      <c r="S2109" s="73"/>
      <c r="T2109" s="73"/>
      <c r="U2109" s="73"/>
      <c r="V2109" s="73"/>
      <c r="W2109" s="73"/>
      <c r="X2109" s="73"/>
      <c r="Y2109" s="73"/>
      <c r="Z2109" s="73"/>
      <c r="AA2109" s="73"/>
      <c r="AB2109" s="73"/>
      <c r="AC2109" s="73"/>
      <c r="AD2109" s="73"/>
      <c r="AE2109" s="73"/>
      <c r="AF2109" s="73"/>
      <c r="AG2109" s="73"/>
      <c r="AH2109" s="73"/>
      <c r="AI2109" s="73"/>
      <c r="AJ2109" s="168"/>
      <c r="AK2109" s="73"/>
      <c r="AL2109" s="73"/>
      <c r="AM2109" s="73"/>
      <c r="AN2109" s="73"/>
      <c r="AO2109" s="73"/>
      <c r="AP2109" s="73"/>
      <c r="AQ2109" s="73"/>
      <c r="AR2109" s="73"/>
      <c r="AS2109" s="73"/>
      <c r="AT2109" s="73"/>
      <c r="AU2109" s="73"/>
      <c r="AV2109" s="73"/>
      <c r="AW2109" s="73"/>
      <c r="AX2109" s="73"/>
      <c r="AY2109" s="73"/>
      <c r="AZ2109" s="73"/>
      <c r="BA2109" s="73"/>
      <c r="BB2109" s="73"/>
      <c r="BC2109" s="73"/>
      <c r="BD2109" s="73"/>
      <c r="BE2109" s="73"/>
      <c r="BF2109" s="75"/>
      <c r="BG2109" s="73"/>
      <c r="BH2109" s="88"/>
      <c r="BI2109" s="73"/>
      <c r="BJ2109" s="73"/>
      <c r="BK2109" s="73"/>
      <c r="BL2109" s="73"/>
      <c r="BM2109" s="73"/>
      <c r="BN2109" s="73"/>
      <c r="BO2109" s="73"/>
      <c r="BP2109" s="73"/>
      <c r="BQ2109" s="73"/>
      <c r="BR2109" s="73"/>
      <c r="BS2109" s="73"/>
      <c r="BT2109" s="73"/>
      <c r="BU2109" s="73"/>
      <c r="BV2109" s="73"/>
      <c r="BW2109" s="73"/>
      <c r="BX2109" s="73"/>
      <c r="BY2109" s="73"/>
      <c r="BZ2109" s="73"/>
      <c r="CA2109" s="73"/>
      <c r="CB2109" s="73"/>
      <c r="CC2109" s="73"/>
      <c r="CD2109" s="73"/>
      <c r="CE2109" s="73"/>
      <c r="CF2109" s="73"/>
      <c r="CG2109" s="73"/>
      <c r="CH2109" s="73"/>
    </row>
    <row r="2110">
      <c r="A2110" s="73"/>
      <c r="B2110" s="73"/>
      <c r="C2110" s="73"/>
      <c r="D2110" s="73"/>
      <c r="E2110" s="140"/>
      <c r="F2110" s="80"/>
      <c r="G2110" s="80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  <c r="S2110" s="73"/>
      <c r="T2110" s="73"/>
      <c r="U2110" s="73"/>
      <c r="V2110" s="73"/>
      <c r="W2110" s="73"/>
      <c r="X2110" s="73"/>
      <c r="Y2110" s="73"/>
      <c r="Z2110" s="73"/>
      <c r="AA2110" s="73"/>
      <c r="AB2110" s="73"/>
      <c r="AC2110" s="73"/>
      <c r="AD2110" s="73"/>
      <c r="AE2110" s="73"/>
      <c r="AF2110" s="73"/>
      <c r="AG2110" s="73"/>
      <c r="AH2110" s="73"/>
      <c r="AI2110" s="73"/>
      <c r="AJ2110" s="168"/>
      <c r="AK2110" s="73"/>
      <c r="AL2110" s="73"/>
      <c r="AM2110" s="73"/>
      <c r="AN2110" s="73"/>
      <c r="AO2110" s="73"/>
      <c r="AP2110" s="73"/>
      <c r="AQ2110" s="73"/>
      <c r="AR2110" s="73"/>
      <c r="AS2110" s="73"/>
      <c r="AT2110" s="73"/>
      <c r="AU2110" s="73"/>
      <c r="AV2110" s="73"/>
      <c r="AW2110" s="73"/>
      <c r="AX2110" s="73"/>
      <c r="AY2110" s="73"/>
      <c r="AZ2110" s="73"/>
      <c r="BA2110" s="73"/>
      <c r="BB2110" s="73"/>
      <c r="BC2110" s="73"/>
      <c r="BD2110" s="73"/>
      <c r="BE2110" s="73"/>
      <c r="BF2110" s="75"/>
      <c r="BG2110" s="73"/>
      <c r="BH2110" s="88"/>
      <c r="BI2110" s="73"/>
      <c r="BJ2110" s="73"/>
      <c r="BK2110" s="73"/>
      <c r="BL2110" s="73"/>
      <c r="BM2110" s="73"/>
      <c r="BN2110" s="73"/>
      <c r="BO2110" s="73"/>
      <c r="BP2110" s="73"/>
      <c r="BQ2110" s="73"/>
      <c r="BR2110" s="73"/>
      <c r="BS2110" s="73"/>
      <c r="BT2110" s="73"/>
      <c r="BU2110" s="73"/>
      <c r="BV2110" s="73"/>
      <c r="BW2110" s="73"/>
      <c r="BX2110" s="73"/>
      <c r="BY2110" s="73"/>
      <c r="BZ2110" s="73"/>
      <c r="CA2110" s="73"/>
      <c r="CB2110" s="73"/>
      <c r="CC2110" s="73"/>
      <c r="CD2110" s="73"/>
      <c r="CE2110" s="73"/>
      <c r="CF2110" s="73"/>
      <c r="CG2110" s="73"/>
      <c r="CH2110" s="73"/>
    </row>
    <row r="2111">
      <c r="A2111" s="73"/>
      <c r="B2111" s="73"/>
      <c r="C2111" s="73"/>
      <c r="D2111" s="73"/>
      <c r="E2111" s="140"/>
      <c r="F2111" s="80"/>
      <c r="G2111" s="80"/>
      <c r="H2111" s="73"/>
      <c r="I2111" s="73"/>
      <c r="J2111" s="73"/>
      <c r="K2111" s="73"/>
      <c r="L2111" s="73"/>
      <c r="M2111" s="73"/>
      <c r="N2111" s="73"/>
      <c r="O2111" s="73"/>
      <c r="P2111" s="73"/>
      <c r="Q2111" s="73"/>
      <c r="R2111" s="73"/>
      <c r="S2111" s="73"/>
      <c r="T2111" s="73"/>
      <c r="U2111" s="73"/>
      <c r="V2111" s="73"/>
      <c r="W2111" s="73"/>
      <c r="X2111" s="73"/>
      <c r="Y2111" s="73"/>
      <c r="Z2111" s="73"/>
      <c r="AA2111" s="73"/>
      <c r="AB2111" s="73"/>
      <c r="AC2111" s="73"/>
      <c r="AD2111" s="73"/>
      <c r="AE2111" s="73"/>
      <c r="AF2111" s="73"/>
      <c r="AG2111" s="73"/>
      <c r="AH2111" s="73"/>
      <c r="AI2111" s="73"/>
      <c r="AJ2111" s="168"/>
      <c r="AK2111" s="73"/>
      <c r="AL2111" s="73"/>
      <c r="AM2111" s="73"/>
      <c r="AN2111" s="73"/>
      <c r="AO2111" s="73"/>
      <c r="AP2111" s="73"/>
      <c r="AQ2111" s="73"/>
      <c r="AR2111" s="73"/>
      <c r="AS2111" s="73"/>
      <c r="AT2111" s="73"/>
      <c r="AU2111" s="73"/>
      <c r="AV2111" s="73"/>
      <c r="AW2111" s="73"/>
      <c r="AX2111" s="73"/>
      <c r="AY2111" s="73"/>
      <c r="AZ2111" s="73"/>
      <c r="BA2111" s="73"/>
      <c r="BB2111" s="73"/>
      <c r="BC2111" s="73"/>
      <c r="BD2111" s="73"/>
      <c r="BE2111" s="73"/>
      <c r="BF2111" s="75"/>
      <c r="BG2111" s="73"/>
      <c r="BH2111" s="88"/>
      <c r="BI2111" s="73"/>
      <c r="BJ2111" s="73"/>
      <c r="BK2111" s="73"/>
      <c r="BL2111" s="73"/>
      <c r="BM2111" s="73"/>
      <c r="BN2111" s="73"/>
      <c r="BO2111" s="73"/>
      <c r="BP2111" s="73"/>
      <c r="BQ2111" s="73"/>
      <c r="BR2111" s="73"/>
      <c r="BS2111" s="73"/>
      <c r="BT2111" s="73"/>
      <c r="BU2111" s="73"/>
      <c r="BV2111" s="73"/>
      <c r="BW2111" s="73"/>
      <c r="BX2111" s="73"/>
      <c r="BY2111" s="73"/>
      <c r="BZ2111" s="73"/>
      <c r="CA2111" s="73"/>
      <c r="CB2111" s="73"/>
      <c r="CC2111" s="73"/>
      <c r="CD2111" s="73"/>
      <c r="CE2111" s="73"/>
      <c r="CF2111" s="73"/>
      <c r="CG2111" s="73"/>
      <c r="CH2111" s="73"/>
    </row>
    <row r="2112">
      <c r="A2112" s="73"/>
      <c r="B2112" s="73"/>
      <c r="C2112" s="73"/>
      <c r="D2112" s="73"/>
      <c r="E2112" s="140"/>
      <c r="F2112" s="80"/>
      <c r="G2112" s="80"/>
      <c r="H2112" s="73"/>
      <c r="I2112" s="73"/>
      <c r="J2112" s="73"/>
      <c r="K2112" s="73"/>
      <c r="L2112" s="73"/>
      <c r="M2112" s="73"/>
      <c r="N2112" s="73"/>
      <c r="O2112" s="73"/>
      <c r="P2112" s="73"/>
      <c r="Q2112" s="73"/>
      <c r="R2112" s="73"/>
      <c r="S2112" s="73"/>
      <c r="T2112" s="73"/>
      <c r="U2112" s="73"/>
      <c r="V2112" s="73"/>
      <c r="W2112" s="73"/>
      <c r="X2112" s="73"/>
      <c r="Y2112" s="73"/>
      <c r="Z2112" s="73"/>
      <c r="AA2112" s="73"/>
      <c r="AB2112" s="73"/>
      <c r="AC2112" s="73"/>
      <c r="AD2112" s="73"/>
      <c r="AE2112" s="73"/>
      <c r="AF2112" s="73"/>
      <c r="AG2112" s="73"/>
      <c r="AH2112" s="73"/>
      <c r="AI2112" s="73"/>
      <c r="AJ2112" s="168"/>
      <c r="AK2112" s="73"/>
      <c r="AL2112" s="73"/>
      <c r="AM2112" s="73"/>
      <c r="AN2112" s="73"/>
      <c r="AO2112" s="73"/>
      <c r="AP2112" s="73"/>
      <c r="AQ2112" s="73"/>
      <c r="AR2112" s="73"/>
      <c r="AS2112" s="73"/>
      <c r="AT2112" s="73"/>
      <c r="AU2112" s="73"/>
      <c r="AV2112" s="73"/>
      <c r="AW2112" s="73"/>
      <c r="AX2112" s="73"/>
      <c r="AY2112" s="73"/>
      <c r="AZ2112" s="73"/>
      <c r="BA2112" s="73"/>
      <c r="BB2112" s="73"/>
      <c r="BC2112" s="73"/>
      <c r="BD2112" s="73"/>
      <c r="BE2112" s="73"/>
      <c r="BF2112" s="75"/>
      <c r="BG2112" s="73"/>
      <c r="BH2112" s="88"/>
      <c r="BI2112" s="73"/>
      <c r="BJ2112" s="73"/>
      <c r="BK2112" s="73"/>
      <c r="BL2112" s="73"/>
      <c r="BM2112" s="73"/>
      <c r="BN2112" s="73"/>
      <c r="BO2112" s="73"/>
      <c r="BP2112" s="73"/>
      <c r="BQ2112" s="73"/>
      <c r="BR2112" s="73"/>
      <c r="BS2112" s="73"/>
      <c r="BT2112" s="73"/>
      <c r="BU2112" s="73"/>
      <c r="BV2112" s="73"/>
      <c r="BW2112" s="73"/>
      <c r="BX2112" s="73"/>
      <c r="BY2112" s="73"/>
      <c r="BZ2112" s="73"/>
      <c r="CA2112" s="73"/>
      <c r="CB2112" s="73"/>
      <c r="CC2112" s="73"/>
      <c r="CD2112" s="73"/>
      <c r="CE2112" s="73"/>
      <c r="CF2112" s="73"/>
      <c r="CG2112" s="73"/>
      <c r="CH2112" s="73"/>
    </row>
    <row r="2113">
      <c r="A2113" s="73"/>
      <c r="B2113" s="73"/>
      <c r="C2113" s="73"/>
      <c r="D2113" s="73"/>
      <c r="E2113" s="140"/>
      <c r="F2113" s="80"/>
      <c r="G2113" s="80"/>
      <c r="H2113" s="73"/>
      <c r="I2113" s="73"/>
      <c r="J2113" s="73"/>
      <c r="K2113" s="73"/>
      <c r="L2113" s="73"/>
      <c r="M2113" s="73"/>
      <c r="N2113" s="73"/>
      <c r="O2113" s="73"/>
      <c r="P2113" s="73"/>
      <c r="Q2113" s="73"/>
      <c r="R2113" s="73"/>
      <c r="S2113" s="73"/>
      <c r="T2113" s="73"/>
      <c r="U2113" s="73"/>
      <c r="V2113" s="73"/>
      <c r="W2113" s="73"/>
      <c r="X2113" s="73"/>
      <c r="Y2113" s="73"/>
      <c r="Z2113" s="73"/>
      <c r="AA2113" s="73"/>
      <c r="AB2113" s="73"/>
      <c r="AC2113" s="73"/>
      <c r="AD2113" s="73"/>
      <c r="AE2113" s="73"/>
      <c r="AF2113" s="73"/>
      <c r="AG2113" s="73"/>
      <c r="AH2113" s="73"/>
      <c r="AI2113" s="73"/>
      <c r="AJ2113" s="168"/>
      <c r="AK2113" s="73"/>
      <c r="AL2113" s="73"/>
      <c r="AM2113" s="73"/>
      <c r="AN2113" s="73"/>
      <c r="AO2113" s="73"/>
      <c r="AP2113" s="73"/>
      <c r="AQ2113" s="73"/>
      <c r="AR2113" s="73"/>
      <c r="AS2113" s="73"/>
      <c r="AT2113" s="73"/>
      <c r="AU2113" s="73"/>
      <c r="AV2113" s="73"/>
      <c r="AW2113" s="73"/>
      <c r="AX2113" s="73"/>
      <c r="AY2113" s="73"/>
      <c r="AZ2113" s="73"/>
      <c r="BA2113" s="73"/>
      <c r="BB2113" s="73"/>
      <c r="BC2113" s="73"/>
      <c r="BD2113" s="73"/>
      <c r="BE2113" s="73"/>
      <c r="BF2113" s="75"/>
      <c r="BG2113" s="73"/>
      <c r="BH2113" s="88"/>
      <c r="BI2113" s="73"/>
      <c r="BJ2113" s="73"/>
      <c r="BK2113" s="73"/>
      <c r="BL2113" s="73"/>
      <c r="BM2113" s="73"/>
      <c r="BN2113" s="73"/>
      <c r="BO2113" s="73"/>
      <c r="BP2113" s="73"/>
      <c r="BQ2113" s="73"/>
      <c r="BR2113" s="73"/>
      <c r="BS2113" s="73"/>
      <c r="BT2113" s="73"/>
      <c r="BU2113" s="73"/>
      <c r="BV2113" s="73"/>
      <c r="BW2113" s="73"/>
      <c r="BX2113" s="73"/>
      <c r="BY2113" s="73"/>
      <c r="BZ2113" s="73"/>
      <c r="CA2113" s="73"/>
      <c r="CB2113" s="73"/>
      <c r="CC2113" s="73"/>
      <c r="CD2113" s="73"/>
      <c r="CE2113" s="73"/>
      <c r="CF2113" s="73"/>
      <c r="CG2113" s="73"/>
      <c r="CH2113" s="73"/>
    </row>
    <row r="2114">
      <c r="A2114" s="73"/>
      <c r="B2114" s="73"/>
      <c r="C2114" s="73"/>
      <c r="D2114" s="73"/>
      <c r="E2114" s="140"/>
      <c r="F2114" s="80"/>
      <c r="G2114" s="80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  <c r="S2114" s="73"/>
      <c r="T2114" s="73"/>
      <c r="U2114" s="73"/>
      <c r="V2114" s="73"/>
      <c r="W2114" s="73"/>
      <c r="X2114" s="73"/>
      <c r="Y2114" s="73"/>
      <c r="Z2114" s="73"/>
      <c r="AA2114" s="73"/>
      <c r="AB2114" s="73"/>
      <c r="AC2114" s="73"/>
      <c r="AD2114" s="73"/>
      <c r="AE2114" s="73"/>
      <c r="AF2114" s="73"/>
      <c r="AG2114" s="73"/>
      <c r="AH2114" s="73"/>
      <c r="AI2114" s="73"/>
      <c r="AJ2114" s="168"/>
      <c r="AK2114" s="73"/>
      <c r="AL2114" s="73"/>
      <c r="AM2114" s="73"/>
      <c r="AN2114" s="73"/>
      <c r="AO2114" s="73"/>
      <c r="AP2114" s="73"/>
      <c r="AQ2114" s="73"/>
      <c r="AR2114" s="73"/>
      <c r="AS2114" s="73"/>
      <c r="AT2114" s="73"/>
      <c r="AU2114" s="73"/>
      <c r="AV2114" s="73"/>
      <c r="AW2114" s="73"/>
      <c r="AX2114" s="73"/>
      <c r="AY2114" s="73"/>
      <c r="AZ2114" s="73"/>
      <c r="BA2114" s="73"/>
      <c r="BB2114" s="73"/>
      <c r="BC2114" s="73"/>
      <c r="BD2114" s="73"/>
      <c r="BE2114" s="73"/>
      <c r="BF2114" s="75"/>
      <c r="BG2114" s="73"/>
      <c r="BH2114" s="88"/>
      <c r="BI2114" s="73"/>
      <c r="BJ2114" s="73"/>
      <c r="BK2114" s="73"/>
      <c r="BL2114" s="73"/>
      <c r="BM2114" s="73"/>
      <c r="BN2114" s="73"/>
      <c r="BO2114" s="73"/>
      <c r="BP2114" s="73"/>
      <c r="BQ2114" s="73"/>
      <c r="BR2114" s="73"/>
      <c r="BS2114" s="73"/>
      <c r="BT2114" s="73"/>
      <c r="BU2114" s="73"/>
      <c r="BV2114" s="73"/>
      <c r="BW2114" s="73"/>
      <c r="BX2114" s="73"/>
      <c r="BY2114" s="73"/>
      <c r="BZ2114" s="73"/>
      <c r="CA2114" s="73"/>
      <c r="CB2114" s="73"/>
      <c r="CC2114" s="73"/>
      <c r="CD2114" s="73"/>
      <c r="CE2114" s="73"/>
      <c r="CF2114" s="73"/>
      <c r="CG2114" s="73"/>
      <c r="CH2114" s="73"/>
    </row>
    <row r="2115">
      <c r="A2115" s="73"/>
      <c r="B2115" s="73"/>
      <c r="C2115" s="73"/>
      <c r="D2115" s="73"/>
      <c r="E2115" s="140"/>
      <c r="F2115" s="80"/>
      <c r="G2115" s="80"/>
      <c r="H2115" s="73"/>
      <c r="I2115" s="73"/>
      <c r="J2115" s="73"/>
      <c r="K2115" s="73"/>
      <c r="L2115" s="73"/>
      <c r="M2115" s="73"/>
      <c r="N2115" s="73"/>
      <c r="O2115" s="73"/>
      <c r="P2115" s="73"/>
      <c r="Q2115" s="73"/>
      <c r="R2115" s="73"/>
      <c r="S2115" s="73"/>
      <c r="T2115" s="73"/>
      <c r="U2115" s="73"/>
      <c r="V2115" s="73"/>
      <c r="W2115" s="73"/>
      <c r="X2115" s="73"/>
      <c r="Y2115" s="73"/>
      <c r="Z2115" s="73"/>
      <c r="AA2115" s="73"/>
      <c r="AB2115" s="73"/>
      <c r="AC2115" s="73"/>
      <c r="AD2115" s="73"/>
      <c r="AE2115" s="73"/>
      <c r="AF2115" s="73"/>
      <c r="AG2115" s="73"/>
      <c r="AH2115" s="73"/>
      <c r="AI2115" s="73"/>
      <c r="AJ2115" s="168"/>
      <c r="AK2115" s="73"/>
      <c r="AL2115" s="73"/>
      <c r="AM2115" s="73"/>
      <c r="AN2115" s="73"/>
      <c r="AO2115" s="73"/>
      <c r="AP2115" s="73"/>
      <c r="AQ2115" s="73"/>
      <c r="AR2115" s="73"/>
      <c r="AS2115" s="73"/>
      <c r="AT2115" s="73"/>
      <c r="AU2115" s="73"/>
      <c r="AV2115" s="73"/>
      <c r="AW2115" s="73"/>
      <c r="AX2115" s="73"/>
      <c r="AY2115" s="73"/>
      <c r="AZ2115" s="73"/>
      <c r="BA2115" s="73"/>
      <c r="BB2115" s="73"/>
      <c r="BC2115" s="73"/>
      <c r="BD2115" s="73"/>
      <c r="BE2115" s="73"/>
      <c r="BF2115" s="75"/>
      <c r="BG2115" s="73"/>
      <c r="BH2115" s="88"/>
      <c r="BI2115" s="73"/>
      <c r="BJ2115" s="73"/>
      <c r="BK2115" s="73"/>
      <c r="BL2115" s="73"/>
      <c r="BM2115" s="73"/>
      <c r="BN2115" s="73"/>
      <c r="BO2115" s="73"/>
      <c r="BP2115" s="73"/>
      <c r="BQ2115" s="73"/>
      <c r="BR2115" s="73"/>
      <c r="BS2115" s="73"/>
      <c r="BT2115" s="73"/>
      <c r="BU2115" s="73"/>
      <c r="BV2115" s="73"/>
      <c r="BW2115" s="73"/>
      <c r="BX2115" s="73"/>
      <c r="BY2115" s="73"/>
      <c r="BZ2115" s="73"/>
      <c r="CA2115" s="73"/>
      <c r="CB2115" s="73"/>
      <c r="CC2115" s="73"/>
      <c r="CD2115" s="73"/>
      <c r="CE2115" s="73"/>
      <c r="CF2115" s="73"/>
      <c r="CG2115" s="73"/>
      <c r="CH2115" s="73"/>
    </row>
    <row r="2116">
      <c r="A2116" s="73"/>
      <c r="B2116" s="73"/>
      <c r="C2116" s="73"/>
      <c r="D2116" s="73"/>
      <c r="E2116" s="140"/>
      <c r="F2116" s="80"/>
      <c r="G2116" s="80"/>
      <c r="H2116" s="73"/>
      <c r="I2116" s="73"/>
      <c r="J2116" s="73"/>
      <c r="K2116" s="73"/>
      <c r="L2116" s="73"/>
      <c r="M2116" s="73"/>
      <c r="N2116" s="73"/>
      <c r="O2116" s="73"/>
      <c r="P2116" s="73"/>
      <c r="Q2116" s="73"/>
      <c r="R2116" s="73"/>
      <c r="S2116" s="73"/>
      <c r="T2116" s="73"/>
      <c r="U2116" s="73"/>
      <c r="V2116" s="73"/>
      <c r="W2116" s="73"/>
      <c r="X2116" s="73"/>
      <c r="Y2116" s="73"/>
      <c r="Z2116" s="73"/>
      <c r="AA2116" s="73"/>
      <c r="AB2116" s="73"/>
      <c r="AC2116" s="73"/>
      <c r="AD2116" s="73"/>
      <c r="AE2116" s="73"/>
      <c r="AF2116" s="73"/>
      <c r="AG2116" s="73"/>
      <c r="AH2116" s="73"/>
      <c r="AI2116" s="73"/>
      <c r="AJ2116" s="168"/>
      <c r="AK2116" s="73"/>
      <c r="AL2116" s="73"/>
      <c r="AM2116" s="73"/>
      <c r="AN2116" s="73"/>
      <c r="AO2116" s="73"/>
      <c r="AP2116" s="73"/>
      <c r="AQ2116" s="73"/>
      <c r="AR2116" s="73"/>
      <c r="AS2116" s="73"/>
      <c r="AT2116" s="73"/>
      <c r="AU2116" s="73"/>
      <c r="AV2116" s="73"/>
      <c r="AW2116" s="73"/>
      <c r="AX2116" s="73"/>
      <c r="AY2116" s="73"/>
      <c r="AZ2116" s="73"/>
      <c r="BA2116" s="73"/>
      <c r="BB2116" s="73"/>
      <c r="BC2116" s="73"/>
      <c r="BD2116" s="73"/>
      <c r="BE2116" s="73"/>
      <c r="BF2116" s="75"/>
      <c r="BG2116" s="73"/>
      <c r="BH2116" s="88"/>
      <c r="BI2116" s="73"/>
      <c r="BJ2116" s="73"/>
      <c r="BK2116" s="73"/>
      <c r="BL2116" s="73"/>
      <c r="BM2116" s="73"/>
      <c r="BN2116" s="73"/>
      <c r="BO2116" s="73"/>
      <c r="BP2116" s="73"/>
      <c r="BQ2116" s="73"/>
      <c r="BR2116" s="73"/>
      <c r="BS2116" s="73"/>
      <c r="BT2116" s="73"/>
      <c r="BU2116" s="73"/>
      <c r="BV2116" s="73"/>
      <c r="BW2116" s="73"/>
      <c r="BX2116" s="73"/>
      <c r="BY2116" s="73"/>
      <c r="BZ2116" s="73"/>
      <c r="CA2116" s="73"/>
      <c r="CB2116" s="73"/>
      <c r="CC2116" s="73"/>
      <c r="CD2116" s="73"/>
      <c r="CE2116" s="73"/>
      <c r="CF2116" s="73"/>
      <c r="CG2116" s="73"/>
      <c r="CH2116" s="73"/>
    </row>
    <row r="2117">
      <c r="A2117" s="73"/>
      <c r="B2117" s="73"/>
      <c r="C2117" s="73"/>
      <c r="D2117" s="73"/>
      <c r="E2117" s="140"/>
      <c r="F2117" s="80"/>
      <c r="G2117" s="80"/>
      <c r="H2117" s="73"/>
      <c r="I2117" s="73"/>
      <c r="J2117" s="73"/>
      <c r="K2117" s="73"/>
      <c r="L2117" s="73"/>
      <c r="M2117" s="73"/>
      <c r="N2117" s="73"/>
      <c r="O2117" s="73"/>
      <c r="P2117" s="73"/>
      <c r="Q2117" s="73"/>
      <c r="R2117" s="73"/>
      <c r="S2117" s="73"/>
      <c r="T2117" s="73"/>
      <c r="U2117" s="73"/>
      <c r="V2117" s="73"/>
      <c r="W2117" s="73"/>
      <c r="X2117" s="73"/>
      <c r="Y2117" s="73"/>
      <c r="Z2117" s="73"/>
      <c r="AA2117" s="73"/>
      <c r="AB2117" s="73"/>
      <c r="AC2117" s="73"/>
      <c r="AD2117" s="73"/>
      <c r="AE2117" s="73"/>
      <c r="AF2117" s="73"/>
      <c r="AG2117" s="73"/>
      <c r="AH2117" s="73"/>
      <c r="AI2117" s="73"/>
      <c r="AJ2117" s="168"/>
      <c r="AK2117" s="73"/>
      <c r="AL2117" s="73"/>
      <c r="AM2117" s="73"/>
      <c r="AN2117" s="73"/>
      <c r="AO2117" s="73"/>
      <c r="AP2117" s="73"/>
      <c r="AQ2117" s="73"/>
      <c r="AR2117" s="73"/>
      <c r="AS2117" s="73"/>
      <c r="AT2117" s="73"/>
      <c r="AU2117" s="73"/>
      <c r="AV2117" s="73"/>
      <c r="AW2117" s="73"/>
      <c r="AX2117" s="73"/>
      <c r="AY2117" s="73"/>
      <c r="AZ2117" s="73"/>
      <c r="BA2117" s="73"/>
      <c r="BB2117" s="73"/>
      <c r="BC2117" s="73"/>
      <c r="BD2117" s="73"/>
      <c r="BE2117" s="73"/>
      <c r="BF2117" s="75"/>
      <c r="BG2117" s="73"/>
      <c r="BH2117" s="88"/>
      <c r="BI2117" s="73"/>
      <c r="BJ2117" s="73"/>
      <c r="BK2117" s="73"/>
      <c r="BL2117" s="73"/>
      <c r="BM2117" s="73"/>
      <c r="BN2117" s="73"/>
      <c r="BO2117" s="73"/>
      <c r="BP2117" s="73"/>
      <c r="BQ2117" s="73"/>
      <c r="BR2117" s="73"/>
      <c r="BS2117" s="73"/>
      <c r="BT2117" s="73"/>
      <c r="BU2117" s="73"/>
      <c r="BV2117" s="73"/>
      <c r="BW2117" s="73"/>
      <c r="BX2117" s="73"/>
      <c r="BY2117" s="73"/>
      <c r="BZ2117" s="73"/>
      <c r="CA2117" s="73"/>
      <c r="CB2117" s="73"/>
      <c r="CC2117" s="73"/>
      <c r="CD2117" s="73"/>
      <c r="CE2117" s="73"/>
      <c r="CF2117" s="73"/>
      <c r="CG2117" s="73"/>
      <c r="CH2117" s="73"/>
    </row>
    <row r="2118">
      <c r="A2118" s="73"/>
      <c r="B2118" s="73"/>
      <c r="C2118" s="73"/>
      <c r="D2118" s="73"/>
      <c r="E2118" s="140"/>
      <c r="F2118" s="80"/>
      <c r="G2118" s="80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  <c r="S2118" s="73"/>
      <c r="T2118" s="73"/>
      <c r="U2118" s="73"/>
      <c r="V2118" s="73"/>
      <c r="W2118" s="73"/>
      <c r="X2118" s="73"/>
      <c r="Y2118" s="73"/>
      <c r="Z2118" s="73"/>
      <c r="AA2118" s="73"/>
      <c r="AB2118" s="73"/>
      <c r="AC2118" s="73"/>
      <c r="AD2118" s="73"/>
      <c r="AE2118" s="73"/>
      <c r="AF2118" s="73"/>
      <c r="AG2118" s="73"/>
      <c r="AH2118" s="73"/>
      <c r="AI2118" s="73"/>
      <c r="AJ2118" s="168"/>
      <c r="AK2118" s="73"/>
      <c r="AL2118" s="73"/>
      <c r="AM2118" s="73"/>
      <c r="AN2118" s="73"/>
      <c r="AO2118" s="73"/>
      <c r="AP2118" s="73"/>
      <c r="AQ2118" s="73"/>
      <c r="AR2118" s="73"/>
      <c r="AS2118" s="73"/>
      <c r="AT2118" s="73"/>
      <c r="AU2118" s="73"/>
      <c r="AV2118" s="73"/>
      <c r="AW2118" s="73"/>
      <c r="AX2118" s="73"/>
      <c r="AY2118" s="73"/>
      <c r="AZ2118" s="73"/>
      <c r="BA2118" s="73"/>
      <c r="BB2118" s="73"/>
      <c r="BC2118" s="73"/>
      <c r="BD2118" s="73"/>
      <c r="BE2118" s="73"/>
      <c r="BF2118" s="75"/>
      <c r="BG2118" s="73"/>
      <c r="BH2118" s="88"/>
      <c r="BI2118" s="73"/>
      <c r="BJ2118" s="73"/>
      <c r="BK2118" s="73"/>
      <c r="BL2118" s="73"/>
      <c r="BM2118" s="73"/>
      <c r="BN2118" s="73"/>
      <c r="BO2118" s="73"/>
      <c r="BP2118" s="73"/>
      <c r="BQ2118" s="73"/>
      <c r="BR2118" s="73"/>
      <c r="BS2118" s="73"/>
      <c r="BT2118" s="73"/>
      <c r="BU2118" s="73"/>
      <c r="BV2118" s="73"/>
      <c r="BW2118" s="73"/>
      <c r="BX2118" s="73"/>
      <c r="BY2118" s="73"/>
      <c r="BZ2118" s="73"/>
      <c r="CA2118" s="73"/>
      <c r="CB2118" s="73"/>
      <c r="CC2118" s="73"/>
      <c r="CD2118" s="73"/>
      <c r="CE2118" s="73"/>
      <c r="CF2118" s="73"/>
      <c r="CG2118" s="73"/>
      <c r="CH2118" s="73"/>
    </row>
    <row r="2119">
      <c r="A2119" s="73"/>
      <c r="B2119" s="73"/>
      <c r="C2119" s="73"/>
      <c r="D2119" s="73"/>
      <c r="E2119" s="140"/>
      <c r="F2119" s="80"/>
      <c r="G2119" s="80"/>
      <c r="H2119" s="73"/>
      <c r="I2119" s="73"/>
      <c r="J2119" s="73"/>
      <c r="K2119" s="73"/>
      <c r="L2119" s="73"/>
      <c r="M2119" s="73"/>
      <c r="N2119" s="73"/>
      <c r="O2119" s="73"/>
      <c r="P2119" s="73"/>
      <c r="Q2119" s="73"/>
      <c r="R2119" s="73"/>
      <c r="S2119" s="73"/>
      <c r="T2119" s="73"/>
      <c r="U2119" s="73"/>
      <c r="V2119" s="73"/>
      <c r="W2119" s="73"/>
      <c r="X2119" s="73"/>
      <c r="Y2119" s="73"/>
      <c r="Z2119" s="73"/>
      <c r="AA2119" s="73"/>
      <c r="AB2119" s="73"/>
      <c r="AC2119" s="73"/>
      <c r="AD2119" s="73"/>
      <c r="AE2119" s="73"/>
      <c r="AF2119" s="73"/>
      <c r="AG2119" s="73"/>
      <c r="AH2119" s="73"/>
      <c r="AI2119" s="73"/>
      <c r="AJ2119" s="168"/>
      <c r="AK2119" s="73"/>
      <c r="AL2119" s="73"/>
      <c r="AM2119" s="73"/>
      <c r="AN2119" s="73"/>
      <c r="AO2119" s="73"/>
      <c r="AP2119" s="73"/>
      <c r="AQ2119" s="73"/>
      <c r="AR2119" s="73"/>
      <c r="AS2119" s="73"/>
      <c r="AT2119" s="73"/>
      <c r="AU2119" s="73"/>
      <c r="AV2119" s="73"/>
      <c r="AW2119" s="73"/>
      <c r="AX2119" s="73"/>
      <c r="AY2119" s="73"/>
      <c r="AZ2119" s="73"/>
      <c r="BA2119" s="73"/>
      <c r="BB2119" s="73"/>
      <c r="BC2119" s="73"/>
      <c r="BD2119" s="73"/>
      <c r="BE2119" s="73"/>
      <c r="BF2119" s="75"/>
      <c r="BG2119" s="73"/>
      <c r="BH2119" s="88"/>
      <c r="BI2119" s="73"/>
      <c r="BJ2119" s="73"/>
      <c r="BK2119" s="73"/>
      <c r="BL2119" s="73"/>
      <c r="BM2119" s="73"/>
      <c r="BN2119" s="73"/>
      <c r="BO2119" s="73"/>
      <c r="BP2119" s="73"/>
      <c r="BQ2119" s="73"/>
      <c r="BR2119" s="73"/>
      <c r="BS2119" s="73"/>
      <c r="BT2119" s="73"/>
      <c r="BU2119" s="73"/>
      <c r="BV2119" s="73"/>
      <c r="BW2119" s="73"/>
      <c r="BX2119" s="73"/>
      <c r="BY2119" s="73"/>
      <c r="BZ2119" s="73"/>
      <c r="CA2119" s="73"/>
      <c r="CB2119" s="73"/>
      <c r="CC2119" s="73"/>
      <c r="CD2119" s="73"/>
      <c r="CE2119" s="73"/>
      <c r="CF2119" s="73"/>
      <c r="CG2119" s="73"/>
      <c r="CH2119" s="73"/>
    </row>
    <row r="2120">
      <c r="A2120" s="73"/>
      <c r="B2120" s="73"/>
      <c r="C2120" s="73"/>
      <c r="D2120" s="73"/>
      <c r="E2120" s="140"/>
      <c r="F2120" s="80"/>
      <c r="G2120" s="80"/>
      <c r="H2120" s="73"/>
      <c r="I2120" s="73"/>
      <c r="J2120" s="73"/>
      <c r="K2120" s="73"/>
      <c r="L2120" s="73"/>
      <c r="M2120" s="73"/>
      <c r="N2120" s="73"/>
      <c r="O2120" s="73"/>
      <c r="P2120" s="73"/>
      <c r="Q2120" s="73"/>
      <c r="R2120" s="73"/>
      <c r="S2120" s="73"/>
      <c r="T2120" s="73"/>
      <c r="U2120" s="73"/>
      <c r="V2120" s="73"/>
      <c r="W2120" s="73"/>
      <c r="X2120" s="73"/>
      <c r="Y2120" s="73"/>
      <c r="Z2120" s="73"/>
      <c r="AA2120" s="73"/>
      <c r="AB2120" s="73"/>
      <c r="AC2120" s="73"/>
      <c r="AD2120" s="73"/>
      <c r="AE2120" s="73"/>
      <c r="AF2120" s="73"/>
      <c r="AG2120" s="73"/>
      <c r="AH2120" s="73"/>
      <c r="AI2120" s="73"/>
      <c r="AJ2120" s="168"/>
      <c r="AK2120" s="73"/>
      <c r="AL2120" s="73"/>
      <c r="AM2120" s="73"/>
      <c r="AN2120" s="73"/>
      <c r="AO2120" s="73"/>
      <c r="AP2120" s="73"/>
      <c r="AQ2120" s="73"/>
      <c r="AR2120" s="73"/>
      <c r="AS2120" s="73"/>
      <c r="AT2120" s="73"/>
      <c r="AU2120" s="73"/>
      <c r="AV2120" s="73"/>
      <c r="AW2120" s="73"/>
      <c r="AX2120" s="73"/>
      <c r="AY2120" s="73"/>
      <c r="AZ2120" s="73"/>
      <c r="BA2120" s="73"/>
      <c r="BB2120" s="73"/>
      <c r="BC2120" s="73"/>
      <c r="BD2120" s="73"/>
      <c r="BE2120" s="73"/>
      <c r="BF2120" s="75"/>
      <c r="BG2120" s="73"/>
      <c r="BH2120" s="88"/>
      <c r="BI2120" s="73"/>
      <c r="BJ2120" s="73"/>
      <c r="BK2120" s="73"/>
      <c r="BL2120" s="73"/>
      <c r="BM2120" s="73"/>
      <c r="BN2120" s="73"/>
      <c r="BO2120" s="73"/>
      <c r="BP2120" s="73"/>
      <c r="BQ2120" s="73"/>
      <c r="BR2120" s="73"/>
      <c r="BS2120" s="73"/>
      <c r="BT2120" s="73"/>
      <c r="BU2120" s="73"/>
      <c r="BV2120" s="73"/>
      <c r="BW2120" s="73"/>
      <c r="BX2120" s="73"/>
      <c r="BY2120" s="73"/>
      <c r="BZ2120" s="73"/>
      <c r="CA2120" s="73"/>
      <c r="CB2120" s="73"/>
      <c r="CC2120" s="73"/>
      <c r="CD2120" s="73"/>
      <c r="CE2120" s="73"/>
      <c r="CF2120" s="73"/>
      <c r="CG2120" s="73"/>
      <c r="CH2120" s="73"/>
    </row>
    <row r="2121">
      <c r="A2121" s="73"/>
      <c r="B2121" s="73"/>
      <c r="C2121" s="73"/>
      <c r="D2121" s="73"/>
      <c r="E2121" s="140"/>
      <c r="F2121" s="80"/>
      <c r="G2121" s="80"/>
      <c r="H2121" s="73"/>
      <c r="I2121" s="73"/>
      <c r="J2121" s="73"/>
      <c r="K2121" s="73"/>
      <c r="L2121" s="73"/>
      <c r="M2121" s="73"/>
      <c r="N2121" s="73"/>
      <c r="O2121" s="73"/>
      <c r="P2121" s="73"/>
      <c r="Q2121" s="73"/>
      <c r="R2121" s="73"/>
      <c r="S2121" s="73"/>
      <c r="T2121" s="73"/>
      <c r="U2121" s="73"/>
      <c r="V2121" s="73"/>
      <c r="W2121" s="73"/>
      <c r="X2121" s="73"/>
      <c r="Y2121" s="73"/>
      <c r="Z2121" s="73"/>
      <c r="AA2121" s="73"/>
      <c r="AB2121" s="73"/>
      <c r="AC2121" s="73"/>
      <c r="AD2121" s="73"/>
      <c r="AE2121" s="73"/>
      <c r="AF2121" s="73"/>
      <c r="AG2121" s="73"/>
      <c r="AH2121" s="73"/>
      <c r="AI2121" s="73"/>
      <c r="AJ2121" s="168"/>
      <c r="AK2121" s="73"/>
      <c r="AL2121" s="73"/>
      <c r="AM2121" s="73"/>
      <c r="AN2121" s="73"/>
      <c r="AO2121" s="73"/>
      <c r="AP2121" s="73"/>
      <c r="AQ2121" s="73"/>
      <c r="AR2121" s="73"/>
      <c r="AS2121" s="73"/>
      <c r="AT2121" s="73"/>
      <c r="AU2121" s="73"/>
      <c r="AV2121" s="73"/>
      <c r="AW2121" s="73"/>
      <c r="AX2121" s="73"/>
      <c r="AY2121" s="73"/>
      <c r="AZ2121" s="73"/>
      <c r="BA2121" s="73"/>
      <c r="BB2121" s="73"/>
      <c r="BC2121" s="73"/>
      <c r="BD2121" s="73"/>
      <c r="BE2121" s="73"/>
      <c r="BF2121" s="75"/>
      <c r="BG2121" s="73"/>
      <c r="BH2121" s="88"/>
      <c r="BI2121" s="73"/>
      <c r="BJ2121" s="73"/>
      <c r="BK2121" s="73"/>
      <c r="BL2121" s="73"/>
      <c r="BM2121" s="73"/>
      <c r="BN2121" s="73"/>
      <c r="BO2121" s="73"/>
      <c r="BP2121" s="73"/>
      <c r="BQ2121" s="73"/>
      <c r="BR2121" s="73"/>
      <c r="BS2121" s="73"/>
      <c r="BT2121" s="73"/>
      <c r="BU2121" s="73"/>
      <c r="BV2121" s="73"/>
      <c r="BW2121" s="73"/>
      <c r="BX2121" s="73"/>
      <c r="BY2121" s="73"/>
      <c r="BZ2121" s="73"/>
      <c r="CA2121" s="73"/>
      <c r="CB2121" s="73"/>
      <c r="CC2121" s="73"/>
      <c r="CD2121" s="73"/>
      <c r="CE2121" s="73"/>
      <c r="CF2121" s="73"/>
      <c r="CG2121" s="73"/>
      <c r="CH2121" s="73"/>
    </row>
    <row r="2122">
      <c r="A2122" s="73"/>
      <c r="B2122" s="73"/>
      <c r="C2122" s="73"/>
      <c r="D2122" s="73"/>
      <c r="E2122" s="140"/>
      <c r="F2122" s="80"/>
      <c r="G2122" s="80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  <c r="S2122" s="73"/>
      <c r="T2122" s="73"/>
      <c r="U2122" s="73"/>
      <c r="V2122" s="73"/>
      <c r="W2122" s="73"/>
      <c r="X2122" s="73"/>
      <c r="Y2122" s="73"/>
      <c r="Z2122" s="73"/>
      <c r="AA2122" s="73"/>
      <c r="AB2122" s="73"/>
      <c r="AC2122" s="73"/>
      <c r="AD2122" s="73"/>
      <c r="AE2122" s="73"/>
      <c r="AF2122" s="73"/>
      <c r="AG2122" s="73"/>
      <c r="AH2122" s="73"/>
      <c r="AI2122" s="73"/>
      <c r="AJ2122" s="168"/>
      <c r="AK2122" s="73"/>
      <c r="AL2122" s="73"/>
      <c r="AM2122" s="73"/>
      <c r="AN2122" s="73"/>
      <c r="AO2122" s="73"/>
      <c r="AP2122" s="73"/>
      <c r="AQ2122" s="73"/>
      <c r="AR2122" s="73"/>
      <c r="AS2122" s="73"/>
      <c r="AT2122" s="73"/>
      <c r="AU2122" s="73"/>
      <c r="AV2122" s="73"/>
      <c r="AW2122" s="73"/>
      <c r="AX2122" s="73"/>
      <c r="AY2122" s="73"/>
      <c r="AZ2122" s="73"/>
      <c r="BA2122" s="73"/>
      <c r="BB2122" s="73"/>
      <c r="BC2122" s="73"/>
      <c r="BD2122" s="73"/>
      <c r="BE2122" s="73"/>
      <c r="BF2122" s="75"/>
      <c r="BG2122" s="73"/>
      <c r="BH2122" s="88"/>
      <c r="BI2122" s="73"/>
      <c r="BJ2122" s="73"/>
      <c r="BK2122" s="73"/>
      <c r="BL2122" s="73"/>
      <c r="BM2122" s="73"/>
      <c r="BN2122" s="73"/>
      <c r="BO2122" s="73"/>
      <c r="BP2122" s="73"/>
      <c r="BQ2122" s="73"/>
      <c r="BR2122" s="73"/>
      <c r="BS2122" s="73"/>
      <c r="BT2122" s="73"/>
      <c r="BU2122" s="73"/>
      <c r="BV2122" s="73"/>
      <c r="BW2122" s="73"/>
      <c r="BX2122" s="73"/>
      <c r="BY2122" s="73"/>
      <c r="BZ2122" s="73"/>
      <c r="CA2122" s="73"/>
      <c r="CB2122" s="73"/>
      <c r="CC2122" s="73"/>
      <c r="CD2122" s="73"/>
      <c r="CE2122" s="73"/>
      <c r="CF2122" s="73"/>
      <c r="CG2122" s="73"/>
      <c r="CH2122" s="73"/>
    </row>
    <row r="2123">
      <c r="A2123" s="73"/>
      <c r="B2123" s="73"/>
      <c r="C2123" s="73"/>
      <c r="D2123" s="73"/>
      <c r="E2123" s="140"/>
      <c r="F2123" s="80"/>
      <c r="G2123" s="80"/>
      <c r="H2123" s="73"/>
      <c r="I2123" s="73"/>
      <c r="J2123" s="73"/>
      <c r="K2123" s="73"/>
      <c r="L2123" s="73"/>
      <c r="M2123" s="73"/>
      <c r="N2123" s="73"/>
      <c r="O2123" s="73"/>
      <c r="P2123" s="73"/>
      <c r="Q2123" s="73"/>
      <c r="R2123" s="73"/>
      <c r="S2123" s="73"/>
      <c r="T2123" s="73"/>
      <c r="U2123" s="73"/>
      <c r="V2123" s="73"/>
      <c r="W2123" s="73"/>
      <c r="X2123" s="73"/>
      <c r="Y2123" s="73"/>
      <c r="Z2123" s="73"/>
      <c r="AA2123" s="73"/>
      <c r="AB2123" s="73"/>
      <c r="AC2123" s="73"/>
      <c r="AD2123" s="73"/>
      <c r="AE2123" s="73"/>
      <c r="AF2123" s="73"/>
      <c r="AG2123" s="73"/>
      <c r="AH2123" s="73"/>
      <c r="AI2123" s="73"/>
      <c r="AJ2123" s="168"/>
      <c r="AK2123" s="73"/>
      <c r="AL2123" s="73"/>
      <c r="AM2123" s="73"/>
      <c r="AN2123" s="73"/>
      <c r="AO2123" s="73"/>
      <c r="AP2123" s="73"/>
      <c r="AQ2123" s="73"/>
      <c r="AR2123" s="73"/>
      <c r="AS2123" s="73"/>
      <c r="AT2123" s="73"/>
      <c r="AU2123" s="73"/>
      <c r="AV2123" s="73"/>
      <c r="AW2123" s="73"/>
      <c r="AX2123" s="73"/>
      <c r="AY2123" s="73"/>
      <c r="AZ2123" s="73"/>
      <c r="BA2123" s="73"/>
      <c r="BB2123" s="73"/>
      <c r="BC2123" s="73"/>
      <c r="BD2123" s="73"/>
      <c r="BE2123" s="73"/>
      <c r="BF2123" s="75"/>
      <c r="BG2123" s="73"/>
      <c r="BH2123" s="88"/>
      <c r="BI2123" s="73"/>
      <c r="BJ2123" s="73"/>
      <c r="BK2123" s="73"/>
      <c r="BL2123" s="73"/>
      <c r="BM2123" s="73"/>
      <c r="BN2123" s="73"/>
      <c r="BO2123" s="73"/>
      <c r="BP2123" s="73"/>
      <c r="BQ2123" s="73"/>
      <c r="BR2123" s="73"/>
      <c r="BS2123" s="73"/>
      <c r="BT2123" s="73"/>
      <c r="BU2123" s="73"/>
      <c r="BV2123" s="73"/>
      <c r="BW2123" s="73"/>
      <c r="BX2123" s="73"/>
      <c r="BY2123" s="73"/>
      <c r="BZ2123" s="73"/>
      <c r="CA2123" s="73"/>
      <c r="CB2123" s="73"/>
      <c r="CC2123" s="73"/>
      <c r="CD2123" s="73"/>
      <c r="CE2123" s="73"/>
      <c r="CF2123" s="73"/>
      <c r="CG2123" s="73"/>
      <c r="CH2123" s="73"/>
    </row>
    <row r="2124">
      <c r="A2124" s="73"/>
      <c r="B2124" s="73"/>
      <c r="C2124" s="73"/>
      <c r="D2124" s="73"/>
      <c r="E2124" s="140"/>
      <c r="F2124" s="80"/>
      <c r="G2124" s="80"/>
      <c r="H2124" s="73"/>
      <c r="I2124" s="73"/>
      <c r="J2124" s="73"/>
      <c r="K2124" s="73"/>
      <c r="L2124" s="73"/>
      <c r="M2124" s="73"/>
      <c r="N2124" s="73"/>
      <c r="O2124" s="73"/>
      <c r="P2124" s="73"/>
      <c r="Q2124" s="73"/>
      <c r="R2124" s="73"/>
      <c r="S2124" s="73"/>
      <c r="T2124" s="73"/>
      <c r="U2124" s="73"/>
      <c r="V2124" s="73"/>
      <c r="W2124" s="73"/>
      <c r="X2124" s="73"/>
      <c r="Y2124" s="73"/>
      <c r="Z2124" s="73"/>
      <c r="AA2124" s="73"/>
      <c r="AB2124" s="73"/>
      <c r="AC2124" s="73"/>
      <c r="AD2124" s="73"/>
      <c r="AE2124" s="73"/>
      <c r="AF2124" s="73"/>
      <c r="AG2124" s="73"/>
      <c r="AH2124" s="73"/>
      <c r="AI2124" s="73"/>
      <c r="AJ2124" s="168"/>
      <c r="AK2124" s="73"/>
      <c r="AL2124" s="73"/>
      <c r="AM2124" s="73"/>
      <c r="AN2124" s="73"/>
      <c r="AO2124" s="73"/>
      <c r="AP2124" s="73"/>
      <c r="AQ2124" s="73"/>
      <c r="AR2124" s="73"/>
      <c r="AS2124" s="73"/>
      <c r="AT2124" s="73"/>
      <c r="AU2124" s="73"/>
      <c r="AV2124" s="73"/>
      <c r="AW2124" s="73"/>
      <c r="AX2124" s="73"/>
      <c r="AY2124" s="73"/>
      <c r="AZ2124" s="73"/>
      <c r="BA2124" s="73"/>
      <c r="BB2124" s="73"/>
      <c r="BC2124" s="73"/>
      <c r="BD2124" s="73"/>
      <c r="BE2124" s="73"/>
      <c r="BF2124" s="75"/>
      <c r="BG2124" s="73"/>
      <c r="BH2124" s="88"/>
      <c r="BI2124" s="73"/>
      <c r="BJ2124" s="73"/>
      <c r="BK2124" s="73"/>
      <c r="BL2124" s="73"/>
      <c r="BM2124" s="73"/>
      <c r="BN2124" s="73"/>
      <c r="BO2124" s="73"/>
      <c r="BP2124" s="73"/>
      <c r="BQ2124" s="73"/>
      <c r="BR2124" s="73"/>
      <c r="BS2124" s="73"/>
      <c r="BT2124" s="73"/>
      <c r="BU2124" s="73"/>
      <c r="BV2124" s="73"/>
      <c r="BW2124" s="73"/>
      <c r="BX2124" s="73"/>
      <c r="BY2124" s="73"/>
      <c r="BZ2124" s="73"/>
      <c r="CA2124" s="73"/>
      <c r="CB2124" s="73"/>
      <c r="CC2124" s="73"/>
      <c r="CD2124" s="73"/>
      <c r="CE2124" s="73"/>
      <c r="CF2124" s="73"/>
      <c r="CG2124" s="73"/>
      <c r="CH2124" s="73"/>
    </row>
    <row r="2125">
      <c r="A2125" s="73"/>
      <c r="B2125" s="73"/>
      <c r="C2125" s="73"/>
      <c r="D2125" s="73"/>
      <c r="E2125" s="140"/>
      <c r="F2125" s="80"/>
      <c r="G2125" s="80"/>
      <c r="H2125" s="73"/>
      <c r="I2125" s="73"/>
      <c r="J2125" s="73"/>
      <c r="K2125" s="73"/>
      <c r="L2125" s="73"/>
      <c r="M2125" s="73"/>
      <c r="N2125" s="73"/>
      <c r="O2125" s="73"/>
      <c r="P2125" s="73"/>
      <c r="Q2125" s="73"/>
      <c r="R2125" s="73"/>
      <c r="S2125" s="73"/>
      <c r="T2125" s="73"/>
      <c r="U2125" s="73"/>
      <c r="V2125" s="73"/>
      <c r="W2125" s="73"/>
      <c r="X2125" s="73"/>
      <c r="Y2125" s="73"/>
      <c r="Z2125" s="73"/>
      <c r="AA2125" s="73"/>
      <c r="AB2125" s="73"/>
      <c r="AC2125" s="73"/>
      <c r="AD2125" s="73"/>
      <c r="AE2125" s="73"/>
      <c r="AF2125" s="73"/>
      <c r="AG2125" s="73"/>
      <c r="AH2125" s="73"/>
      <c r="AI2125" s="73"/>
      <c r="AJ2125" s="168"/>
      <c r="AK2125" s="73"/>
      <c r="AL2125" s="73"/>
      <c r="AM2125" s="73"/>
      <c r="AN2125" s="73"/>
      <c r="AO2125" s="73"/>
      <c r="AP2125" s="73"/>
      <c r="AQ2125" s="73"/>
      <c r="AR2125" s="73"/>
      <c r="AS2125" s="73"/>
      <c r="AT2125" s="73"/>
      <c r="AU2125" s="73"/>
      <c r="AV2125" s="73"/>
      <c r="AW2125" s="73"/>
      <c r="AX2125" s="73"/>
      <c r="AY2125" s="73"/>
      <c r="AZ2125" s="73"/>
      <c r="BA2125" s="73"/>
      <c r="BB2125" s="73"/>
      <c r="BC2125" s="73"/>
      <c r="BD2125" s="73"/>
      <c r="BE2125" s="73"/>
      <c r="BF2125" s="75"/>
      <c r="BG2125" s="73"/>
      <c r="BH2125" s="88"/>
      <c r="BI2125" s="73"/>
      <c r="BJ2125" s="73"/>
      <c r="BK2125" s="73"/>
      <c r="BL2125" s="73"/>
      <c r="BM2125" s="73"/>
      <c r="BN2125" s="73"/>
      <c r="BO2125" s="73"/>
      <c r="BP2125" s="73"/>
      <c r="BQ2125" s="73"/>
      <c r="BR2125" s="73"/>
      <c r="BS2125" s="73"/>
      <c r="BT2125" s="73"/>
      <c r="BU2125" s="73"/>
      <c r="BV2125" s="73"/>
      <c r="BW2125" s="73"/>
      <c r="BX2125" s="73"/>
      <c r="BY2125" s="73"/>
      <c r="BZ2125" s="73"/>
      <c r="CA2125" s="73"/>
      <c r="CB2125" s="73"/>
      <c r="CC2125" s="73"/>
      <c r="CD2125" s="73"/>
      <c r="CE2125" s="73"/>
      <c r="CF2125" s="73"/>
      <c r="CG2125" s="73"/>
      <c r="CH2125" s="73"/>
    </row>
    <row r="2126">
      <c r="A2126" s="73"/>
      <c r="B2126" s="73"/>
      <c r="C2126" s="73"/>
      <c r="D2126" s="73"/>
      <c r="E2126" s="140"/>
      <c r="F2126" s="80"/>
      <c r="G2126" s="80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  <c r="S2126" s="73"/>
      <c r="T2126" s="73"/>
      <c r="U2126" s="73"/>
      <c r="V2126" s="73"/>
      <c r="W2126" s="73"/>
      <c r="X2126" s="73"/>
      <c r="Y2126" s="73"/>
      <c r="Z2126" s="73"/>
      <c r="AA2126" s="73"/>
      <c r="AB2126" s="73"/>
      <c r="AC2126" s="73"/>
      <c r="AD2126" s="73"/>
      <c r="AE2126" s="73"/>
      <c r="AF2126" s="73"/>
      <c r="AG2126" s="73"/>
      <c r="AH2126" s="73"/>
      <c r="AI2126" s="73"/>
      <c r="AJ2126" s="168"/>
      <c r="AK2126" s="73"/>
      <c r="AL2126" s="73"/>
      <c r="AM2126" s="73"/>
      <c r="AN2126" s="73"/>
      <c r="AO2126" s="73"/>
      <c r="AP2126" s="73"/>
      <c r="AQ2126" s="73"/>
      <c r="AR2126" s="73"/>
      <c r="AS2126" s="73"/>
      <c r="AT2126" s="73"/>
      <c r="AU2126" s="73"/>
      <c r="AV2126" s="73"/>
      <c r="AW2126" s="73"/>
      <c r="AX2126" s="73"/>
      <c r="AY2126" s="73"/>
      <c r="AZ2126" s="73"/>
      <c r="BA2126" s="73"/>
      <c r="BB2126" s="73"/>
      <c r="BC2126" s="73"/>
      <c r="BD2126" s="73"/>
      <c r="BE2126" s="73"/>
      <c r="BF2126" s="75"/>
      <c r="BG2126" s="73"/>
      <c r="BH2126" s="88"/>
      <c r="BI2126" s="73"/>
      <c r="BJ2126" s="73"/>
      <c r="BK2126" s="73"/>
      <c r="BL2126" s="73"/>
      <c r="BM2126" s="73"/>
      <c r="BN2126" s="73"/>
      <c r="BO2126" s="73"/>
      <c r="BP2126" s="73"/>
      <c r="BQ2126" s="73"/>
      <c r="BR2126" s="73"/>
      <c r="BS2126" s="73"/>
      <c r="BT2126" s="73"/>
      <c r="BU2126" s="73"/>
      <c r="BV2126" s="73"/>
      <c r="BW2126" s="73"/>
      <c r="BX2126" s="73"/>
      <c r="BY2126" s="73"/>
      <c r="BZ2126" s="73"/>
      <c r="CA2126" s="73"/>
      <c r="CB2126" s="73"/>
      <c r="CC2126" s="73"/>
      <c r="CD2126" s="73"/>
      <c r="CE2126" s="73"/>
      <c r="CF2126" s="73"/>
      <c r="CG2126" s="73"/>
      <c r="CH2126" s="73"/>
    </row>
    <row r="2127">
      <c r="A2127" s="73"/>
      <c r="B2127" s="73"/>
      <c r="C2127" s="73"/>
      <c r="D2127" s="73"/>
      <c r="E2127" s="140"/>
      <c r="F2127" s="80"/>
      <c r="G2127" s="80"/>
      <c r="H2127" s="73"/>
      <c r="I2127" s="73"/>
      <c r="J2127" s="73"/>
      <c r="K2127" s="73"/>
      <c r="L2127" s="73"/>
      <c r="M2127" s="73"/>
      <c r="N2127" s="73"/>
      <c r="O2127" s="73"/>
      <c r="P2127" s="73"/>
      <c r="Q2127" s="73"/>
      <c r="R2127" s="73"/>
      <c r="S2127" s="73"/>
      <c r="T2127" s="73"/>
      <c r="U2127" s="73"/>
      <c r="V2127" s="73"/>
      <c r="W2127" s="73"/>
      <c r="X2127" s="73"/>
      <c r="Y2127" s="73"/>
      <c r="Z2127" s="73"/>
      <c r="AA2127" s="73"/>
      <c r="AB2127" s="73"/>
      <c r="AC2127" s="73"/>
      <c r="AD2127" s="73"/>
      <c r="AE2127" s="73"/>
      <c r="AF2127" s="73"/>
      <c r="AG2127" s="73"/>
      <c r="AH2127" s="73"/>
      <c r="AI2127" s="73"/>
      <c r="AJ2127" s="168"/>
      <c r="AK2127" s="73"/>
      <c r="AL2127" s="73"/>
      <c r="AM2127" s="73"/>
      <c r="AN2127" s="73"/>
      <c r="AO2127" s="73"/>
      <c r="AP2127" s="73"/>
      <c r="AQ2127" s="73"/>
      <c r="AR2127" s="73"/>
      <c r="AS2127" s="73"/>
      <c r="AT2127" s="73"/>
      <c r="AU2127" s="73"/>
      <c r="AV2127" s="73"/>
      <c r="AW2127" s="73"/>
      <c r="AX2127" s="73"/>
      <c r="AY2127" s="73"/>
      <c r="AZ2127" s="73"/>
      <c r="BA2127" s="73"/>
      <c r="BB2127" s="73"/>
      <c r="BC2127" s="73"/>
      <c r="BD2127" s="73"/>
      <c r="BE2127" s="73"/>
      <c r="BF2127" s="75"/>
      <c r="BG2127" s="73"/>
      <c r="BH2127" s="88"/>
      <c r="BI2127" s="73"/>
      <c r="BJ2127" s="73"/>
      <c r="BK2127" s="73"/>
      <c r="BL2127" s="73"/>
      <c r="BM2127" s="73"/>
      <c r="BN2127" s="73"/>
      <c r="BO2127" s="73"/>
      <c r="BP2127" s="73"/>
      <c r="BQ2127" s="73"/>
      <c r="BR2127" s="73"/>
      <c r="BS2127" s="73"/>
      <c r="BT2127" s="73"/>
      <c r="BU2127" s="73"/>
      <c r="BV2127" s="73"/>
      <c r="BW2127" s="73"/>
      <c r="BX2127" s="73"/>
      <c r="BY2127" s="73"/>
      <c r="BZ2127" s="73"/>
      <c r="CA2127" s="73"/>
      <c r="CB2127" s="73"/>
      <c r="CC2127" s="73"/>
      <c r="CD2127" s="73"/>
      <c r="CE2127" s="73"/>
      <c r="CF2127" s="73"/>
      <c r="CG2127" s="73"/>
      <c r="CH2127" s="73"/>
    </row>
    <row r="2128">
      <c r="A2128" s="73"/>
      <c r="B2128" s="73"/>
      <c r="C2128" s="73"/>
      <c r="D2128" s="73"/>
      <c r="E2128" s="140"/>
      <c r="F2128" s="80"/>
      <c r="G2128" s="80"/>
      <c r="H2128" s="73"/>
      <c r="I2128" s="73"/>
      <c r="J2128" s="73"/>
      <c r="K2128" s="73"/>
      <c r="L2128" s="73"/>
      <c r="M2128" s="73"/>
      <c r="N2128" s="73"/>
      <c r="O2128" s="73"/>
      <c r="P2128" s="73"/>
      <c r="Q2128" s="73"/>
      <c r="R2128" s="73"/>
      <c r="S2128" s="73"/>
      <c r="T2128" s="73"/>
      <c r="U2128" s="73"/>
      <c r="V2128" s="73"/>
      <c r="W2128" s="73"/>
      <c r="X2128" s="73"/>
      <c r="Y2128" s="73"/>
      <c r="Z2128" s="73"/>
      <c r="AA2128" s="73"/>
      <c r="AB2128" s="73"/>
      <c r="AC2128" s="73"/>
      <c r="AD2128" s="73"/>
      <c r="AE2128" s="73"/>
      <c r="AF2128" s="73"/>
      <c r="AG2128" s="73"/>
      <c r="AH2128" s="73"/>
      <c r="AI2128" s="73"/>
      <c r="AJ2128" s="168"/>
      <c r="AK2128" s="73"/>
      <c r="AL2128" s="73"/>
      <c r="AM2128" s="73"/>
      <c r="AN2128" s="73"/>
      <c r="AO2128" s="73"/>
      <c r="AP2128" s="73"/>
      <c r="AQ2128" s="73"/>
      <c r="AR2128" s="73"/>
      <c r="AS2128" s="73"/>
      <c r="AT2128" s="73"/>
      <c r="AU2128" s="73"/>
      <c r="AV2128" s="73"/>
      <c r="AW2128" s="73"/>
      <c r="AX2128" s="73"/>
      <c r="AY2128" s="73"/>
      <c r="AZ2128" s="73"/>
      <c r="BA2128" s="73"/>
      <c r="BB2128" s="73"/>
      <c r="BC2128" s="73"/>
      <c r="BD2128" s="73"/>
      <c r="BE2128" s="73"/>
      <c r="BF2128" s="75"/>
      <c r="BG2128" s="73"/>
      <c r="BH2128" s="88"/>
      <c r="BI2128" s="73"/>
      <c r="BJ2128" s="73"/>
      <c r="BK2128" s="73"/>
      <c r="BL2128" s="73"/>
      <c r="BM2128" s="73"/>
      <c r="BN2128" s="73"/>
      <c r="BO2128" s="73"/>
      <c r="BP2128" s="73"/>
      <c r="BQ2128" s="73"/>
      <c r="BR2128" s="73"/>
      <c r="BS2128" s="73"/>
      <c r="BT2128" s="73"/>
      <c r="BU2128" s="73"/>
      <c r="BV2128" s="73"/>
      <c r="BW2128" s="73"/>
      <c r="BX2128" s="73"/>
      <c r="BY2128" s="73"/>
      <c r="BZ2128" s="73"/>
      <c r="CA2128" s="73"/>
      <c r="CB2128" s="73"/>
      <c r="CC2128" s="73"/>
      <c r="CD2128" s="73"/>
      <c r="CE2128" s="73"/>
      <c r="CF2128" s="73"/>
      <c r="CG2128" s="73"/>
      <c r="CH2128" s="73"/>
    </row>
    <row r="2129">
      <c r="A2129" s="73"/>
      <c r="B2129" s="73"/>
      <c r="C2129" s="73"/>
      <c r="D2129" s="73"/>
      <c r="E2129" s="140"/>
      <c r="F2129" s="80"/>
      <c r="G2129" s="80"/>
      <c r="H2129" s="73"/>
      <c r="I2129" s="73"/>
      <c r="J2129" s="73"/>
      <c r="K2129" s="73"/>
      <c r="L2129" s="73"/>
      <c r="M2129" s="73"/>
      <c r="N2129" s="73"/>
      <c r="O2129" s="73"/>
      <c r="P2129" s="73"/>
      <c r="Q2129" s="73"/>
      <c r="R2129" s="73"/>
      <c r="S2129" s="73"/>
      <c r="T2129" s="73"/>
      <c r="U2129" s="73"/>
      <c r="V2129" s="73"/>
      <c r="W2129" s="73"/>
      <c r="X2129" s="73"/>
      <c r="Y2129" s="73"/>
      <c r="Z2129" s="73"/>
      <c r="AA2129" s="73"/>
      <c r="AB2129" s="73"/>
      <c r="AC2129" s="73"/>
      <c r="AD2129" s="73"/>
      <c r="AE2129" s="73"/>
      <c r="AF2129" s="73"/>
      <c r="AG2129" s="73"/>
      <c r="AH2129" s="73"/>
      <c r="AI2129" s="73"/>
      <c r="AJ2129" s="168"/>
      <c r="AK2129" s="73"/>
      <c r="AL2129" s="73"/>
      <c r="AM2129" s="73"/>
      <c r="AN2129" s="73"/>
      <c r="AO2129" s="73"/>
      <c r="AP2129" s="73"/>
      <c r="AQ2129" s="73"/>
      <c r="AR2129" s="73"/>
      <c r="AS2129" s="73"/>
      <c r="AT2129" s="73"/>
      <c r="AU2129" s="73"/>
      <c r="AV2129" s="73"/>
      <c r="AW2129" s="73"/>
      <c r="AX2129" s="73"/>
      <c r="AY2129" s="73"/>
      <c r="AZ2129" s="73"/>
      <c r="BA2129" s="73"/>
      <c r="BB2129" s="73"/>
      <c r="BC2129" s="73"/>
      <c r="BD2129" s="73"/>
      <c r="BE2129" s="73"/>
      <c r="BF2129" s="75"/>
      <c r="BG2129" s="73"/>
      <c r="BH2129" s="88"/>
      <c r="BI2129" s="73"/>
      <c r="BJ2129" s="73"/>
      <c r="BK2129" s="73"/>
      <c r="BL2129" s="73"/>
      <c r="BM2129" s="73"/>
      <c r="BN2129" s="73"/>
      <c r="BO2129" s="73"/>
      <c r="BP2129" s="73"/>
      <c r="BQ2129" s="73"/>
      <c r="BR2129" s="73"/>
      <c r="BS2129" s="73"/>
      <c r="BT2129" s="73"/>
      <c r="BU2129" s="73"/>
      <c r="BV2129" s="73"/>
      <c r="BW2129" s="73"/>
      <c r="BX2129" s="73"/>
      <c r="BY2129" s="73"/>
      <c r="BZ2129" s="73"/>
      <c r="CA2129" s="73"/>
      <c r="CB2129" s="73"/>
      <c r="CC2129" s="73"/>
      <c r="CD2129" s="73"/>
      <c r="CE2129" s="73"/>
      <c r="CF2129" s="73"/>
      <c r="CG2129" s="73"/>
      <c r="CH2129" s="73"/>
    </row>
    <row r="2130">
      <c r="A2130" s="73"/>
      <c r="B2130" s="73"/>
      <c r="C2130" s="73"/>
      <c r="D2130" s="73"/>
      <c r="E2130" s="140"/>
      <c r="F2130" s="80"/>
      <c r="G2130" s="80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  <c r="S2130" s="73"/>
      <c r="T2130" s="73"/>
      <c r="U2130" s="73"/>
      <c r="V2130" s="73"/>
      <c r="W2130" s="73"/>
      <c r="X2130" s="73"/>
      <c r="Y2130" s="73"/>
      <c r="Z2130" s="73"/>
      <c r="AA2130" s="73"/>
      <c r="AB2130" s="73"/>
      <c r="AC2130" s="73"/>
      <c r="AD2130" s="73"/>
      <c r="AE2130" s="73"/>
      <c r="AF2130" s="73"/>
      <c r="AG2130" s="73"/>
      <c r="AH2130" s="73"/>
      <c r="AI2130" s="73"/>
      <c r="AJ2130" s="168"/>
      <c r="AK2130" s="73"/>
      <c r="AL2130" s="73"/>
      <c r="AM2130" s="73"/>
      <c r="AN2130" s="73"/>
      <c r="AO2130" s="73"/>
      <c r="AP2130" s="73"/>
      <c r="AQ2130" s="73"/>
      <c r="AR2130" s="73"/>
      <c r="AS2130" s="73"/>
      <c r="AT2130" s="73"/>
      <c r="AU2130" s="73"/>
      <c r="AV2130" s="73"/>
      <c r="AW2130" s="73"/>
      <c r="AX2130" s="73"/>
      <c r="AY2130" s="73"/>
      <c r="AZ2130" s="73"/>
      <c r="BA2130" s="73"/>
      <c r="BB2130" s="73"/>
      <c r="BC2130" s="73"/>
      <c r="BD2130" s="73"/>
      <c r="BE2130" s="73"/>
      <c r="BF2130" s="75"/>
      <c r="BG2130" s="73"/>
      <c r="BH2130" s="88"/>
      <c r="BI2130" s="73"/>
      <c r="BJ2130" s="73"/>
      <c r="BK2130" s="73"/>
      <c r="BL2130" s="73"/>
      <c r="BM2130" s="73"/>
      <c r="BN2130" s="73"/>
      <c r="BO2130" s="73"/>
      <c r="BP2130" s="73"/>
      <c r="BQ2130" s="73"/>
      <c r="BR2130" s="73"/>
      <c r="BS2130" s="73"/>
      <c r="BT2130" s="73"/>
      <c r="BU2130" s="73"/>
      <c r="BV2130" s="73"/>
      <c r="BW2130" s="73"/>
      <c r="BX2130" s="73"/>
      <c r="BY2130" s="73"/>
      <c r="BZ2130" s="73"/>
      <c r="CA2130" s="73"/>
      <c r="CB2130" s="73"/>
      <c r="CC2130" s="73"/>
      <c r="CD2130" s="73"/>
      <c r="CE2130" s="73"/>
      <c r="CF2130" s="73"/>
      <c r="CG2130" s="73"/>
      <c r="CH2130" s="73"/>
    </row>
    <row r="2131">
      <c r="A2131" s="73"/>
      <c r="B2131" s="73"/>
      <c r="C2131" s="73"/>
      <c r="D2131" s="73"/>
      <c r="E2131" s="140"/>
      <c r="F2131" s="80"/>
      <c r="G2131" s="80"/>
      <c r="H2131" s="73"/>
      <c r="I2131" s="73"/>
      <c r="J2131" s="73"/>
      <c r="K2131" s="73"/>
      <c r="L2131" s="73"/>
      <c r="M2131" s="73"/>
      <c r="N2131" s="73"/>
      <c r="O2131" s="73"/>
      <c r="P2131" s="73"/>
      <c r="Q2131" s="73"/>
      <c r="R2131" s="73"/>
      <c r="S2131" s="73"/>
      <c r="T2131" s="73"/>
      <c r="U2131" s="73"/>
      <c r="V2131" s="73"/>
      <c r="W2131" s="73"/>
      <c r="X2131" s="73"/>
      <c r="Y2131" s="73"/>
      <c r="Z2131" s="73"/>
      <c r="AA2131" s="73"/>
      <c r="AB2131" s="73"/>
      <c r="AC2131" s="73"/>
      <c r="AD2131" s="73"/>
      <c r="AE2131" s="73"/>
      <c r="AF2131" s="73"/>
      <c r="AG2131" s="73"/>
      <c r="AH2131" s="73"/>
      <c r="AI2131" s="73"/>
      <c r="AJ2131" s="168"/>
      <c r="AK2131" s="73"/>
      <c r="AL2131" s="73"/>
      <c r="AM2131" s="73"/>
      <c r="AN2131" s="73"/>
      <c r="AO2131" s="73"/>
      <c r="AP2131" s="73"/>
      <c r="AQ2131" s="73"/>
      <c r="AR2131" s="73"/>
      <c r="AS2131" s="73"/>
      <c r="AT2131" s="73"/>
      <c r="AU2131" s="73"/>
      <c r="AV2131" s="73"/>
      <c r="AW2131" s="73"/>
      <c r="AX2131" s="73"/>
      <c r="AY2131" s="73"/>
      <c r="AZ2131" s="73"/>
      <c r="BA2131" s="73"/>
      <c r="BB2131" s="73"/>
      <c r="BC2131" s="73"/>
      <c r="BD2131" s="73"/>
      <c r="BE2131" s="73"/>
      <c r="BF2131" s="75"/>
      <c r="BG2131" s="73"/>
      <c r="BH2131" s="88"/>
      <c r="BI2131" s="73"/>
      <c r="BJ2131" s="73"/>
      <c r="BK2131" s="73"/>
      <c r="BL2131" s="73"/>
      <c r="BM2131" s="73"/>
      <c r="BN2131" s="73"/>
      <c r="BO2131" s="73"/>
      <c r="BP2131" s="73"/>
      <c r="BQ2131" s="73"/>
      <c r="BR2131" s="73"/>
      <c r="BS2131" s="73"/>
      <c r="BT2131" s="73"/>
      <c r="BU2131" s="73"/>
      <c r="BV2131" s="73"/>
      <c r="BW2131" s="73"/>
      <c r="BX2131" s="73"/>
      <c r="BY2131" s="73"/>
      <c r="BZ2131" s="73"/>
      <c r="CA2131" s="73"/>
      <c r="CB2131" s="73"/>
      <c r="CC2131" s="73"/>
      <c r="CD2131" s="73"/>
      <c r="CE2131" s="73"/>
      <c r="CF2131" s="73"/>
      <c r="CG2131" s="73"/>
      <c r="CH2131" s="73"/>
    </row>
    <row r="2132">
      <c r="A2132" s="73"/>
      <c r="B2132" s="73"/>
      <c r="C2132" s="73"/>
      <c r="D2132" s="73"/>
      <c r="E2132" s="140"/>
      <c r="F2132" s="80"/>
      <c r="G2132" s="80"/>
      <c r="H2132" s="73"/>
      <c r="I2132" s="73"/>
      <c r="J2132" s="73"/>
      <c r="K2132" s="73"/>
      <c r="L2132" s="73"/>
      <c r="M2132" s="73"/>
      <c r="N2132" s="73"/>
      <c r="O2132" s="73"/>
      <c r="P2132" s="73"/>
      <c r="Q2132" s="73"/>
      <c r="R2132" s="73"/>
      <c r="S2132" s="73"/>
      <c r="T2132" s="73"/>
      <c r="U2132" s="73"/>
      <c r="V2132" s="73"/>
      <c r="W2132" s="73"/>
      <c r="X2132" s="73"/>
      <c r="Y2132" s="73"/>
      <c r="Z2132" s="73"/>
      <c r="AA2132" s="73"/>
      <c r="AB2132" s="73"/>
      <c r="AC2132" s="73"/>
      <c r="AD2132" s="73"/>
      <c r="AE2132" s="73"/>
      <c r="AF2132" s="73"/>
      <c r="AG2132" s="73"/>
      <c r="AH2132" s="73"/>
      <c r="AI2132" s="73"/>
      <c r="AJ2132" s="168"/>
      <c r="AK2132" s="73"/>
      <c r="AL2132" s="73"/>
      <c r="AM2132" s="73"/>
      <c r="AN2132" s="73"/>
      <c r="AO2132" s="73"/>
      <c r="AP2132" s="73"/>
      <c r="AQ2132" s="73"/>
      <c r="AR2132" s="73"/>
      <c r="AS2132" s="73"/>
      <c r="AT2132" s="73"/>
      <c r="AU2132" s="73"/>
      <c r="AV2132" s="73"/>
      <c r="AW2132" s="73"/>
      <c r="AX2132" s="73"/>
      <c r="AY2132" s="73"/>
      <c r="AZ2132" s="73"/>
      <c r="BA2132" s="73"/>
      <c r="BB2132" s="73"/>
      <c r="BC2132" s="73"/>
      <c r="BD2132" s="73"/>
      <c r="BE2132" s="73"/>
      <c r="BF2132" s="75"/>
      <c r="BG2132" s="73"/>
      <c r="BH2132" s="88"/>
      <c r="BI2132" s="73"/>
      <c r="BJ2132" s="73"/>
      <c r="BK2132" s="73"/>
      <c r="BL2132" s="73"/>
      <c r="BM2132" s="73"/>
      <c r="BN2132" s="73"/>
      <c r="BO2132" s="73"/>
      <c r="BP2132" s="73"/>
      <c r="BQ2132" s="73"/>
      <c r="BR2132" s="73"/>
      <c r="BS2132" s="73"/>
      <c r="BT2132" s="73"/>
      <c r="BU2132" s="73"/>
      <c r="BV2132" s="73"/>
      <c r="BW2132" s="73"/>
      <c r="BX2132" s="73"/>
      <c r="BY2132" s="73"/>
      <c r="BZ2132" s="73"/>
      <c r="CA2132" s="73"/>
      <c r="CB2132" s="73"/>
      <c r="CC2132" s="73"/>
      <c r="CD2132" s="73"/>
      <c r="CE2132" s="73"/>
      <c r="CF2132" s="73"/>
      <c r="CG2132" s="73"/>
      <c r="CH2132" s="73"/>
    </row>
    <row r="2133">
      <c r="A2133" s="73"/>
      <c r="B2133" s="73"/>
      <c r="C2133" s="73"/>
      <c r="D2133" s="73"/>
      <c r="E2133" s="140"/>
      <c r="F2133" s="80"/>
      <c r="G2133" s="80"/>
      <c r="H2133" s="73"/>
      <c r="I2133" s="73"/>
      <c r="J2133" s="73"/>
      <c r="K2133" s="73"/>
      <c r="L2133" s="73"/>
      <c r="M2133" s="73"/>
      <c r="N2133" s="73"/>
      <c r="O2133" s="73"/>
      <c r="P2133" s="73"/>
      <c r="Q2133" s="73"/>
      <c r="R2133" s="73"/>
      <c r="S2133" s="73"/>
      <c r="T2133" s="73"/>
      <c r="U2133" s="73"/>
      <c r="V2133" s="73"/>
      <c r="W2133" s="73"/>
      <c r="X2133" s="73"/>
      <c r="Y2133" s="73"/>
      <c r="Z2133" s="73"/>
      <c r="AA2133" s="73"/>
      <c r="AB2133" s="73"/>
      <c r="AC2133" s="73"/>
      <c r="AD2133" s="73"/>
      <c r="AE2133" s="73"/>
      <c r="AF2133" s="73"/>
      <c r="AG2133" s="73"/>
      <c r="AH2133" s="73"/>
      <c r="AI2133" s="73"/>
      <c r="AJ2133" s="168"/>
      <c r="AK2133" s="73"/>
      <c r="AL2133" s="73"/>
      <c r="AM2133" s="73"/>
      <c r="AN2133" s="73"/>
      <c r="AO2133" s="73"/>
      <c r="AP2133" s="73"/>
      <c r="AQ2133" s="73"/>
      <c r="AR2133" s="73"/>
      <c r="AS2133" s="73"/>
      <c r="AT2133" s="73"/>
      <c r="AU2133" s="73"/>
      <c r="AV2133" s="73"/>
      <c r="AW2133" s="73"/>
      <c r="AX2133" s="73"/>
      <c r="AY2133" s="73"/>
      <c r="AZ2133" s="73"/>
      <c r="BA2133" s="73"/>
      <c r="BB2133" s="73"/>
      <c r="BC2133" s="73"/>
      <c r="BD2133" s="73"/>
      <c r="BE2133" s="73"/>
      <c r="BF2133" s="75"/>
      <c r="BG2133" s="73"/>
      <c r="BH2133" s="88"/>
      <c r="BI2133" s="73"/>
      <c r="BJ2133" s="73"/>
      <c r="BK2133" s="73"/>
      <c r="BL2133" s="73"/>
      <c r="BM2133" s="73"/>
      <c r="BN2133" s="73"/>
      <c r="BO2133" s="73"/>
      <c r="BP2133" s="73"/>
      <c r="BQ2133" s="73"/>
      <c r="BR2133" s="73"/>
      <c r="BS2133" s="73"/>
      <c r="BT2133" s="73"/>
      <c r="BU2133" s="73"/>
      <c r="BV2133" s="73"/>
      <c r="BW2133" s="73"/>
      <c r="BX2133" s="73"/>
      <c r="BY2133" s="73"/>
      <c r="BZ2133" s="73"/>
      <c r="CA2133" s="73"/>
      <c r="CB2133" s="73"/>
      <c r="CC2133" s="73"/>
      <c r="CD2133" s="73"/>
      <c r="CE2133" s="73"/>
      <c r="CF2133" s="73"/>
      <c r="CG2133" s="73"/>
      <c r="CH2133" s="73"/>
    </row>
    <row r="2134">
      <c r="A2134" s="73"/>
      <c r="B2134" s="73"/>
      <c r="C2134" s="73"/>
      <c r="D2134" s="73"/>
      <c r="E2134" s="140"/>
      <c r="F2134" s="80"/>
      <c r="G2134" s="80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  <c r="S2134" s="73"/>
      <c r="T2134" s="73"/>
      <c r="U2134" s="73"/>
      <c r="V2134" s="73"/>
      <c r="W2134" s="73"/>
      <c r="X2134" s="73"/>
      <c r="Y2134" s="73"/>
      <c r="Z2134" s="73"/>
      <c r="AA2134" s="73"/>
      <c r="AB2134" s="73"/>
      <c r="AC2134" s="73"/>
      <c r="AD2134" s="73"/>
      <c r="AE2134" s="73"/>
      <c r="AF2134" s="73"/>
      <c r="AG2134" s="73"/>
      <c r="AH2134" s="73"/>
      <c r="AI2134" s="73"/>
      <c r="AJ2134" s="168"/>
      <c r="AK2134" s="73"/>
      <c r="AL2134" s="73"/>
      <c r="AM2134" s="73"/>
      <c r="AN2134" s="73"/>
      <c r="AO2134" s="73"/>
      <c r="AP2134" s="73"/>
      <c r="AQ2134" s="73"/>
      <c r="AR2134" s="73"/>
      <c r="AS2134" s="73"/>
      <c r="AT2134" s="73"/>
      <c r="AU2134" s="73"/>
      <c r="AV2134" s="73"/>
      <c r="AW2134" s="73"/>
      <c r="AX2134" s="73"/>
      <c r="AY2134" s="73"/>
      <c r="AZ2134" s="73"/>
      <c r="BA2134" s="73"/>
      <c r="BB2134" s="73"/>
      <c r="BC2134" s="73"/>
      <c r="BD2134" s="73"/>
      <c r="BE2134" s="73"/>
      <c r="BF2134" s="75"/>
      <c r="BG2134" s="73"/>
      <c r="BH2134" s="88"/>
      <c r="BI2134" s="73"/>
      <c r="BJ2134" s="73"/>
      <c r="BK2134" s="73"/>
      <c r="BL2134" s="73"/>
      <c r="BM2134" s="73"/>
      <c r="BN2134" s="73"/>
      <c r="BO2134" s="73"/>
      <c r="BP2134" s="73"/>
      <c r="BQ2134" s="73"/>
      <c r="BR2134" s="73"/>
      <c r="BS2134" s="73"/>
      <c r="BT2134" s="73"/>
      <c r="BU2134" s="73"/>
      <c r="BV2134" s="73"/>
      <c r="BW2134" s="73"/>
      <c r="BX2134" s="73"/>
      <c r="BY2134" s="73"/>
      <c r="BZ2134" s="73"/>
      <c r="CA2134" s="73"/>
      <c r="CB2134" s="73"/>
      <c r="CC2134" s="73"/>
      <c r="CD2134" s="73"/>
      <c r="CE2134" s="73"/>
      <c r="CF2134" s="73"/>
      <c r="CG2134" s="73"/>
      <c r="CH2134" s="73"/>
    </row>
    <row r="2135">
      <c r="A2135" s="73"/>
      <c r="B2135" s="73"/>
      <c r="C2135" s="73"/>
      <c r="D2135" s="73"/>
      <c r="E2135" s="140"/>
      <c r="F2135" s="80"/>
      <c r="G2135" s="80"/>
      <c r="H2135" s="73"/>
      <c r="I2135" s="73"/>
      <c r="J2135" s="73"/>
      <c r="K2135" s="73"/>
      <c r="L2135" s="73"/>
      <c r="M2135" s="73"/>
      <c r="N2135" s="73"/>
      <c r="O2135" s="73"/>
      <c r="P2135" s="73"/>
      <c r="Q2135" s="73"/>
      <c r="R2135" s="73"/>
      <c r="S2135" s="73"/>
      <c r="T2135" s="73"/>
      <c r="U2135" s="73"/>
      <c r="V2135" s="73"/>
      <c r="W2135" s="73"/>
      <c r="X2135" s="73"/>
      <c r="Y2135" s="73"/>
      <c r="Z2135" s="73"/>
      <c r="AA2135" s="73"/>
      <c r="AB2135" s="73"/>
      <c r="AC2135" s="73"/>
      <c r="AD2135" s="73"/>
      <c r="AE2135" s="73"/>
      <c r="AF2135" s="73"/>
      <c r="AG2135" s="73"/>
      <c r="AH2135" s="73"/>
      <c r="AI2135" s="73"/>
      <c r="AJ2135" s="168"/>
      <c r="AK2135" s="73"/>
      <c r="AL2135" s="73"/>
      <c r="AM2135" s="73"/>
      <c r="AN2135" s="73"/>
      <c r="AO2135" s="73"/>
      <c r="AP2135" s="73"/>
      <c r="AQ2135" s="73"/>
      <c r="AR2135" s="73"/>
      <c r="AS2135" s="73"/>
      <c r="AT2135" s="73"/>
      <c r="AU2135" s="73"/>
      <c r="AV2135" s="73"/>
      <c r="AW2135" s="73"/>
      <c r="AX2135" s="73"/>
      <c r="AY2135" s="73"/>
      <c r="AZ2135" s="73"/>
      <c r="BA2135" s="73"/>
      <c r="BB2135" s="73"/>
      <c r="BC2135" s="73"/>
      <c r="BD2135" s="73"/>
      <c r="BE2135" s="73"/>
      <c r="BF2135" s="75"/>
      <c r="BG2135" s="73"/>
      <c r="BH2135" s="88"/>
      <c r="BI2135" s="73"/>
      <c r="BJ2135" s="73"/>
      <c r="BK2135" s="73"/>
      <c r="BL2135" s="73"/>
      <c r="BM2135" s="73"/>
      <c r="BN2135" s="73"/>
      <c r="BO2135" s="73"/>
      <c r="BP2135" s="73"/>
      <c r="BQ2135" s="73"/>
      <c r="BR2135" s="73"/>
      <c r="BS2135" s="73"/>
      <c r="BT2135" s="73"/>
      <c r="BU2135" s="73"/>
      <c r="BV2135" s="73"/>
      <c r="BW2135" s="73"/>
      <c r="BX2135" s="73"/>
      <c r="BY2135" s="73"/>
      <c r="BZ2135" s="73"/>
      <c r="CA2135" s="73"/>
      <c r="CB2135" s="73"/>
      <c r="CC2135" s="73"/>
      <c r="CD2135" s="73"/>
      <c r="CE2135" s="73"/>
      <c r="CF2135" s="73"/>
      <c r="CG2135" s="73"/>
      <c r="CH2135" s="73"/>
    </row>
    <row r="2136">
      <c r="A2136" s="73"/>
      <c r="B2136" s="73"/>
      <c r="C2136" s="73"/>
      <c r="D2136" s="73"/>
      <c r="E2136" s="140"/>
      <c r="F2136" s="80"/>
      <c r="G2136" s="80"/>
      <c r="H2136" s="73"/>
      <c r="I2136" s="73"/>
      <c r="J2136" s="73"/>
      <c r="K2136" s="73"/>
      <c r="L2136" s="73"/>
      <c r="M2136" s="73"/>
      <c r="N2136" s="73"/>
      <c r="O2136" s="73"/>
      <c r="P2136" s="73"/>
      <c r="Q2136" s="73"/>
      <c r="R2136" s="73"/>
      <c r="S2136" s="73"/>
      <c r="T2136" s="73"/>
      <c r="U2136" s="73"/>
      <c r="V2136" s="73"/>
      <c r="W2136" s="73"/>
      <c r="X2136" s="73"/>
      <c r="Y2136" s="73"/>
      <c r="Z2136" s="73"/>
      <c r="AA2136" s="73"/>
      <c r="AB2136" s="73"/>
      <c r="AC2136" s="73"/>
      <c r="AD2136" s="73"/>
      <c r="AE2136" s="73"/>
      <c r="AF2136" s="73"/>
      <c r="AG2136" s="73"/>
      <c r="AH2136" s="73"/>
      <c r="AI2136" s="73"/>
      <c r="AJ2136" s="168"/>
      <c r="AK2136" s="73"/>
      <c r="AL2136" s="73"/>
      <c r="AM2136" s="73"/>
      <c r="AN2136" s="73"/>
      <c r="AO2136" s="73"/>
      <c r="AP2136" s="73"/>
      <c r="AQ2136" s="73"/>
      <c r="AR2136" s="73"/>
      <c r="AS2136" s="73"/>
      <c r="AT2136" s="73"/>
      <c r="AU2136" s="73"/>
      <c r="AV2136" s="73"/>
      <c r="AW2136" s="73"/>
      <c r="AX2136" s="73"/>
      <c r="AY2136" s="73"/>
      <c r="AZ2136" s="73"/>
      <c r="BA2136" s="73"/>
      <c r="BB2136" s="73"/>
      <c r="BC2136" s="73"/>
      <c r="BD2136" s="73"/>
      <c r="BE2136" s="73"/>
      <c r="BF2136" s="75"/>
      <c r="BG2136" s="73"/>
      <c r="BH2136" s="88"/>
      <c r="BI2136" s="73"/>
      <c r="BJ2136" s="73"/>
      <c r="BK2136" s="73"/>
      <c r="BL2136" s="73"/>
      <c r="BM2136" s="73"/>
      <c r="BN2136" s="73"/>
      <c r="BO2136" s="73"/>
      <c r="BP2136" s="73"/>
      <c r="BQ2136" s="73"/>
      <c r="BR2136" s="73"/>
      <c r="BS2136" s="73"/>
      <c r="BT2136" s="73"/>
      <c r="BU2136" s="73"/>
      <c r="BV2136" s="73"/>
      <c r="BW2136" s="73"/>
      <c r="BX2136" s="73"/>
      <c r="BY2136" s="73"/>
      <c r="BZ2136" s="73"/>
      <c r="CA2136" s="73"/>
      <c r="CB2136" s="73"/>
      <c r="CC2136" s="73"/>
      <c r="CD2136" s="73"/>
      <c r="CE2136" s="73"/>
      <c r="CF2136" s="73"/>
      <c r="CG2136" s="73"/>
      <c r="CH2136" s="73"/>
    </row>
    <row r="2137">
      <c r="A2137" s="73"/>
      <c r="B2137" s="73"/>
      <c r="C2137" s="73"/>
      <c r="D2137" s="73"/>
      <c r="E2137" s="140"/>
      <c r="F2137" s="80"/>
      <c r="G2137" s="80"/>
      <c r="H2137" s="73"/>
      <c r="I2137" s="73"/>
      <c r="J2137" s="73"/>
      <c r="K2137" s="73"/>
      <c r="L2137" s="73"/>
      <c r="M2137" s="73"/>
      <c r="N2137" s="73"/>
      <c r="O2137" s="73"/>
      <c r="P2137" s="73"/>
      <c r="Q2137" s="73"/>
      <c r="R2137" s="73"/>
      <c r="S2137" s="73"/>
      <c r="T2137" s="73"/>
      <c r="U2137" s="73"/>
      <c r="V2137" s="73"/>
      <c r="W2137" s="73"/>
      <c r="X2137" s="73"/>
      <c r="Y2137" s="73"/>
      <c r="Z2137" s="73"/>
      <c r="AA2137" s="73"/>
      <c r="AB2137" s="73"/>
      <c r="AC2137" s="73"/>
      <c r="AD2137" s="73"/>
      <c r="AE2137" s="73"/>
      <c r="AF2137" s="73"/>
      <c r="AG2137" s="73"/>
      <c r="AH2137" s="73"/>
      <c r="AI2137" s="73"/>
      <c r="AJ2137" s="168"/>
      <c r="AK2137" s="73"/>
      <c r="AL2137" s="73"/>
      <c r="AM2137" s="73"/>
      <c r="AN2137" s="73"/>
      <c r="AO2137" s="73"/>
      <c r="AP2137" s="73"/>
      <c r="AQ2137" s="73"/>
      <c r="AR2137" s="73"/>
      <c r="AS2137" s="73"/>
      <c r="AT2137" s="73"/>
      <c r="AU2137" s="73"/>
      <c r="AV2137" s="73"/>
      <c r="AW2137" s="73"/>
      <c r="AX2137" s="73"/>
      <c r="AY2137" s="73"/>
      <c r="AZ2137" s="73"/>
      <c r="BA2137" s="73"/>
      <c r="BB2137" s="73"/>
      <c r="BC2137" s="73"/>
      <c r="BD2137" s="73"/>
      <c r="BE2137" s="73"/>
      <c r="BF2137" s="75"/>
      <c r="BG2137" s="73"/>
      <c r="BH2137" s="88"/>
      <c r="BI2137" s="73"/>
      <c r="BJ2137" s="73"/>
      <c r="BK2137" s="73"/>
      <c r="BL2137" s="73"/>
      <c r="BM2137" s="73"/>
      <c r="BN2137" s="73"/>
      <c r="BO2137" s="73"/>
      <c r="BP2137" s="73"/>
      <c r="BQ2137" s="73"/>
      <c r="BR2137" s="73"/>
      <c r="BS2137" s="73"/>
      <c r="BT2137" s="73"/>
      <c r="BU2137" s="73"/>
      <c r="BV2137" s="73"/>
      <c r="BW2137" s="73"/>
      <c r="BX2137" s="73"/>
      <c r="BY2137" s="73"/>
      <c r="BZ2137" s="73"/>
      <c r="CA2137" s="73"/>
      <c r="CB2137" s="73"/>
      <c r="CC2137" s="73"/>
      <c r="CD2137" s="73"/>
      <c r="CE2137" s="73"/>
      <c r="CF2137" s="73"/>
      <c r="CG2137" s="73"/>
      <c r="CH2137" s="73"/>
    </row>
    <row r="2138">
      <c r="A2138" s="73"/>
      <c r="B2138" s="73"/>
      <c r="C2138" s="73"/>
      <c r="D2138" s="73"/>
      <c r="E2138" s="140"/>
      <c r="F2138" s="80"/>
      <c r="G2138" s="80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  <c r="S2138" s="73"/>
      <c r="T2138" s="73"/>
      <c r="U2138" s="73"/>
      <c r="V2138" s="73"/>
      <c r="W2138" s="73"/>
      <c r="X2138" s="73"/>
      <c r="Y2138" s="73"/>
      <c r="Z2138" s="73"/>
      <c r="AA2138" s="73"/>
      <c r="AB2138" s="73"/>
      <c r="AC2138" s="73"/>
      <c r="AD2138" s="73"/>
      <c r="AE2138" s="73"/>
      <c r="AF2138" s="73"/>
      <c r="AG2138" s="73"/>
      <c r="AH2138" s="73"/>
      <c r="AI2138" s="73"/>
      <c r="AJ2138" s="168"/>
      <c r="AK2138" s="73"/>
      <c r="AL2138" s="73"/>
      <c r="AM2138" s="73"/>
      <c r="AN2138" s="73"/>
      <c r="AO2138" s="73"/>
      <c r="AP2138" s="73"/>
      <c r="AQ2138" s="73"/>
      <c r="AR2138" s="73"/>
      <c r="AS2138" s="73"/>
      <c r="AT2138" s="73"/>
      <c r="AU2138" s="73"/>
      <c r="AV2138" s="73"/>
      <c r="AW2138" s="73"/>
      <c r="AX2138" s="73"/>
      <c r="AY2138" s="73"/>
      <c r="AZ2138" s="73"/>
      <c r="BA2138" s="73"/>
      <c r="BB2138" s="73"/>
      <c r="BC2138" s="73"/>
      <c r="BD2138" s="73"/>
      <c r="BE2138" s="73"/>
      <c r="BF2138" s="75"/>
      <c r="BG2138" s="73"/>
      <c r="BH2138" s="88"/>
      <c r="BI2138" s="73"/>
      <c r="BJ2138" s="73"/>
      <c r="BK2138" s="73"/>
      <c r="BL2138" s="73"/>
      <c r="BM2138" s="73"/>
      <c r="BN2138" s="73"/>
      <c r="BO2138" s="73"/>
      <c r="BP2138" s="73"/>
      <c r="BQ2138" s="73"/>
      <c r="BR2138" s="73"/>
      <c r="BS2138" s="73"/>
      <c r="BT2138" s="73"/>
      <c r="BU2138" s="73"/>
      <c r="BV2138" s="73"/>
      <c r="BW2138" s="73"/>
      <c r="BX2138" s="73"/>
      <c r="BY2138" s="73"/>
      <c r="BZ2138" s="73"/>
      <c r="CA2138" s="73"/>
      <c r="CB2138" s="73"/>
      <c r="CC2138" s="73"/>
      <c r="CD2138" s="73"/>
      <c r="CE2138" s="73"/>
      <c r="CF2138" s="73"/>
      <c r="CG2138" s="73"/>
      <c r="CH2138" s="73"/>
    </row>
    <row r="2139">
      <c r="A2139" s="73"/>
      <c r="B2139" s="73"/>
      <c r="C2139" s="73"/>
      <c r="D2139" s="73"/>
      <c r="E2139" s="140"/>
      <c r="F2139" s="80"/>
      <c r="G2139" s="80"/>
      <c r="H2139" s="73"/>
      <c r="I2139" s="73"/>
      <c r="J2139" s="73"/>
      <c r="K2139" s="73"/>
      <c r="L2139" s="73"/>
      <c r="M2139" s="73"/>
      <c r="N2139" s="73"/>
      <c r="O2139" s="73"/>
      <c r="P2139" s="73"/>
      <c r="Q2139" s="73"/>
      <c r="R2139" s="73"/>
      <c r="S2139" s="73"/>
      <c r="T2139" s="73"/>
      <c r="U2139" s="73"/>
      <c r="V2139" s="73"/>
      <c r="W2139" s="73"/>
      <c r="X2139" s="73"/>
      <c r="Y2139" s="73"/>
      <c r="Z2139" s="73"/>
      <c r="AA2139" s="73"/>
      <c r="AB2139" s="73"/>
      <c r="AC2139" s="73"/>
      <c r="AD2139" s="73"/>
      <c r="AE2139" s="73"/>
      <c r="AF2139" s="73"/>
      <c r="AG2139" s="73"/>
      <c r="AH2139" s="73"/>
      <c r="AI2139" s="73"/>
      <c r="AJ2139" s="168"/>
      <c r="AK2139" s="73"/>
      <c r="AL2139" s="73"/>
      <c r="AM2139" s="73"/>
      <c r="AN2139" s="73"/>
      <c r="AO2139" s="73"/>
      <c r="AP2139" s="73"/>
      <c r="AQ2139" s="73"/>
      <c r="AR2139" s="73"/>
      <c r="AS2139" s="73"/>
      <c r="AT2139" s="73"/>
      <c r="AU2139" s="73"/>
      <c r="AV2139" s="73"/>
      <c r="AW2139" s="73"/>
      <c r="AX2139" s="73"/>
      <c r="AY2139" s="73"/>
      <c r="AZ2139" s="73"/>
      <c r="BA2139" s="73"/>
      <c r="BB2139" s="73"/>
      <c r="BC2139" s="73"/>
      <c r="BD2139" s="73"/>
      <c r="BE2139" s="73"/>
      <c r="BF2139" s="75"/>
      <c r="BG2139" s="73"/>
      <c r="BH2139" s="88"/>
      <c r="BI2139" s="73"/>
      <c r="BJ2139" s="73"/>
      <c r="BK2139" s="73"/>
      <c r="BL2139" s="73"/>
      <c r="BM2139" s="73"/>
      <c r="BN2139" s="73"/>
      <c r="BO2139" s="73"/>
      <c r="BP2139" s="73"/>
      <c r="BQ2139" s="73"/>
      <c r="BR2139" s="73"/>
      <c r="BS2139" s="73"/>
      <c r="BT2139" s="73"/>
      <c r="BU2139" s="73"/>
      <c r="BV2139" s="73"/>
      <c r="BW2139" s="73"/>
      <c r="BX2139" s="73"/>
      <c r="BY2139" s="73"/>
      <c r="BZ2139" s="73"/>
      <c r="CA2139" s="73"/>
      <c r="CB2139" s="73"/>
      <c r="CC2139" s="73"/>
      <c r="CD2139" s="73"/>
      <c r="CE2139" s="73"/>
      <c r="CF2139" s="73"/>
      <c r="CG2139" s="73"/>
      <c r="CH2139" s="73"/>
    </row>
    <row r="2140">
      <c r="A2140" s="73"/>
      <c r="B2140" s="73"/>
      <c r="C2140" s="73"/>
      <c r="D2140" s="73"/>
      <c r="E2140" s="140"/>
      <c r="F2140" s="80"/>
      <c r="G2140" s="80"/>
      <c r="H2140" s="73"/>
      <c r="I2140" s="73"/>
      <c r="J2140" s="73"/>
      <c r="K2140" s="73"/>
      <c r="L2140" s="73"/>
      <c r="M2140" s="73"/>
      <c r="N2140" s="73"/>
      <c r="O2140" s="73"/>
      <c r="P2140" s="73"/>
      <c r="Q2140" s="73"/>
      <c r="R2140" s="73"/>
      <c r="S2140" s="73"/>
      <c r="T2140" s="73"/>
      <c r="U2140" s="73"/>
      <c r="V2140" s="73"/>
      <c r="W2140" s="73"/>
      <c r="X2140" s="73"/>
      <c r="Y2140" s="73"/>
      <c r="Z2140" s="73"/>
      <c r="AA2140" s="73"/>
      <c r="AB2140" s="73"/>
      <c r="AC2140" s="73"/>
      <c r="AD2140" s="73"/>
      <c r="AE2140" s="73"/>
      <c r="AF2140" s="73"/>
      <c r="AG2140" s="73"/>
      <c r="AH2140" s="73"/>
      <c r="AI2140" s="73"/>
      <c r="AJ2140" s="168"/>
      <c r="AK2140" s="73"/>
      <c r="AL2140" s="73"/>
      <c r="AM2140" s="73"/>
      <c r="AN2140" s="73"/>
      <c r="AO2140" s="73"/>
      <c r="AP2140" s="73"/>
      <c r="AQ2140" s="73"/>
      <c r="AR2140" s="73"/>
      <c r="AS2140" s="73"/>
      <c r="AT2140" s="73"/>
      <c r="AU2140" s="73"/>
      <c r="AV2140" s="73"/>
      <c r="AW2140" s="73"/>
      <c r="AX2140" s="73"/>
      <c r="AY2140" s="73"/>
      <c r="AZ2140" s="73"/>
      <c r="BA2140" s="73"/>
      <c r="BB2140" s="73"/>
      <c r="BC2140" s="73"/>
      <c r="BD2140" s="73"/>
      <c r="BE2140" s="73"/>
      <c r="BF2140" s="75"/>
      <c r="BG2140" s="73"/>
      <c r="BH2140" s="88"/>
      <c r="BI2140" s="73"/>
      <c r="BJ2140" s="73"/>
      <c r="BK2140" s="73"/>
      <c r="BL2140" s="73"/>
      <c r="BM2140" s="73"/>
      <c r="BN2140" s="73"/>
      <c r="BO2140" s="73"/>
      <c r="BP2140" s="73"/>
      <c r="BQ2140" s="73"/>
      <c r="BR2140" s="73"/>
      <c r="BS2140" s="73"/>
      <c r="BT2140" s="73"/>
      <c r="BU2140" s="73"/>
      <c r="BV2140" s="73"/>
      <c r="BW2140" s="73"/>
      <c r="BX2140" s="73"/>
      <c r="BY2140" s="73"/>
      <c r="BZ2140" s="73"/>
      <c r="CA2140" s="73"/>
      <c r="CB2140" s="73"/>
      <c r="CC2140" s="73"/>
      <c r="CD2140" s="73"/>
      <c r="CE2140" s="73"/>
      <c r="CF2140" s="73"/>
      <c r="CG2140" s="73"/>
      <c r="CH2140" s="73"/>
    </row>
    <row r="2141">
      <c r="A2141" s="73"/>
      <c r="B2141" s="73"/>
      <c r="C2141" s="73"/>
      <c r="D2141" s="73"/>
      <c r="E2141" s="140"/>
      <c r="F2141" s="80"/>
      <c r="G2141" s="80"/>
      <c r="H2141" s="73"/>
      <c r="I2141" s="73"/>
      <c r="J2141" s="73"/>
      <c r="K2141" s="73"/>
      <c r="L2141" s="73"/>
      <c r="M2141" s="73"/>
      <c r="N2141" s="73"/>
      <c r="O2141" s="73"/>
      <c r="P2141" s="73"/>
      <c r="Q2141" s="73"/>
      <c r="R2141" s="73"/>
      <c r="S2141" s="73"/>
      <c r="T2141" s="73"/>
      <c r="U2141" s="73"/>
      <c r="V2141" s="73"/>
      <c r="W2141" s="73"/>
      <c r="X2141" s="73"/>
      <c r="Y2141" s="73"/>
      <c r="Z2141" s="73"/>
      <c r="AA2141" s="73"/>
      <c r="AB2141" s="73"/>
      <c r="AC2141" s="73"/>
      <c r="AD2141" s="73"/>
      <c r="AE2141" s="73"/>
      <c r="AF2141" s="73"/>
      <c r="AG2141" s="73"/>
      <c r="AH2141" s="73"/>
      <c r="AI2141" s="73"/>
      <c r="AJ2141" s="168"/>
      <c r="AK2141" s="73"/>
      <c r="AL2141" s="73"/>
      <c r="AM2141" s="73"/>
      <c r="AN2141" s="73"/>
      <c r="AO2141" s="73"/>
      <c r="AP2141" s="73"/>
      <c r="AQ2141" s="73"/>
      <c r="AR2141" s="73"/>
      <c r="AS2141" s="73"/>
      <c r="AT2141" s="73"/>
      <c r="AU2141" s="73"/>
      <c r="AV2141" s="73"/>
      <c r="AW2141" s="73"/>
      <c r="AX2141" s="73"/>
      <c r="AY2141" s="73"/>
      <c r="AZ2141" s="73"/>
      <c r="BA2141" s="73"/>
      <c r="BB2141" s="73"/>
      <c r="BC2141" s="73"/>
      <c r="BD2141" s="73"/>
      <c r="BE2141" s="73"/>
      <c r="BF2141" s="75"/>
      <c r="BG2141" s="73"/>
      <c r="BH2141" s="88"/>
      <c r="BI2141" s="73"/>
      <c r="BJ2141" s="73"/>
      <c r="BK2141" s="73"/>
      <c r="BL2141" s="73"/>
      <c r="BM2141" s="73"/>
      <c r="BN2141" s="73"/>
      <c r="BO2141" s="73"/>
      <c r="BP2141" s="73"/>
      <c r="BQ2141" s="73"/>
      <c r="BR2141" s="73"/>
      <c r="BS2141" s="73"/>
      <c r="BT2141" s="73"/>
      <c r="BU2141" s="73"/>
      <c r="BV2141" s="73"/>
      <c r="BW2141" s="73"/>
      <c r="BX2141" s="73"/>
      <c r="BY2141" s="73"/>
      <c r="BZ2141" s="73"/>
      <c r="CA2141" s="73"/>
      <c r="CB2141" s="73"/>
      <c r="CC2141" s="73"/>
      <c r="CD2141" s="73"/>
      <c r="CE2141" s="73"/>
      <c r="CF2141" s="73"/>
      <c r="CG2141" s="73"/>
      <c r="CH2141" s="73"/>
    </row>
    <row r="2142">
      <c r="A2142" s="73"/>
      <c r="B2142" s="73"/>
      <c r="C2142" s="73"/>
      <c r="D2142" s="73"/>
      <c r="E2142" s="140"/>
      <c r="F2142" s="80"/>
      <c r="G2142" s="80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  <c r="S2142" s="73"/>
      <c r="T2142" s="73"/>
      <c r="U2142" s="73"/>
      <c r="V2142" s="73"/>
      <c r="W2142" s="73"/>
      <c r="X2142" s="73"/>
      <c r="Y2142" s="73"/>
      <c r="Z2142" s="73"/>
      <c r="AA2142" s="73"/>
      <c r="AB2142" s="73"/>
      <c r="AC2142" s="73"/>
      <c r="AD2142" s="73"/>
      <c r="AE2142" s="73"/>
      <c r="AF2142" s="73"/>
      <c r="AG2142" s="73"/>
      <c r="AH2142" s="73"/>
      <c r="AI2142" s="73"/>
      <c r="AJ2142" s="168"/>
      <c r="AK2142" s="73"/>
      <c r="AL2142" s="73"/>
      <c r="AM2142" s="73"/>
      <c r="AN2142" s="73"/>
      <c r="AO2142" s="73"/>
      <c r="AP2142" s="73"/>
      <c r="AQ2142" s="73"/>
      <c r="AR2142" s="73"/>
      <c r="AS2142" s="73"/>
      <c r="AT2142" s="73"/>
      <c r="AU2142" s="73"/>
      <c r="AV2142" s="73"/>
      <c r="AW2142" s="73"/>
      <c r="AX2142" s="73"/>
      <c r="AY2142" s="73"/>
      <c r="AZ2142" s="73"/>
      <c r="BA2142" s="73"/>
      <c r="BB2142" s="73"/>
      <c r="BC2142" s="73"/>
      <c r="BD2142" s="73"/>
      <c r="BE2142" s="73"/>
      <c r="BF2142" s="75"/>
      <c r="BG2142" s="73"/>
      <c r="BH2142" s="88"/>
      <c r="BI2142" s="73"/>
      <c r="BJ2142" s="73"/>
      <c r="BK2142" s="73"/>
      <c r="BL2142" s="73"/>
      <c r="BM2142" s="73"/>
      <c r="BN2142" s="73"/>
      <c r="BO2142" s="73"/>
      <c r="BP2142" s="73"/>
      <c r="BQ2142" s="73"/>
      <c r="BR2142" s="73"/>
      <c r="BS2142" s="73"/>
      <c r="BT2142" s="73"/>
      <c r="BU2142" s="73"/>
      <c r="BV2142" s="73"/>
      <c r="BW2142" s="73"/>
      <c r="BX2142" s="73"/>
      <c r="BY2142" s="73"/>
      <c r="BZ2142" s="73"/>
      <c r="CA2142" s="73"/>
      <c r="CB2142" s="73"/>
      <c r="CC2142" s="73"/>
      <c r="CD2142" s="73"/>
      <c r="CE2142" s="73"/>
      <c r="CF2142" s="73"/>
      <c r="CG2142" s="73"/>
      <c r="CH2142" s="73"/>
    </row>
    <row r="2143">
      <c r="A2143" s="73"/>
      <c r="B2143" s="73"/>
      <c r="C2143" s="73"/>
      <c r="D2143" s="73"/>
      <c r="E2143" s="140"/>
      <c r="F2143" s="80"/>
      <c r="G2143" s="80"/>
      <c r="H2143" s="73"/>
      <c r="I2143" s="73"/>
      <c r="J2143" s="73"/>
      <c r="K2143" s="73"/>
      <c r="L2143" s="73"/>
      <c r="M2143" s="73"/>
      <c r="N2143" s="73"/>
      <c r="O2143" s="73"/>
      <c r="P2143" s="73"/>
      <c r="Q2143" s="73"/>
      <c r="R2143" s="73"/>
      <c r="S2143" s="73"/>
      <c r="T2143" s="73"/>
      <c r="U2143" s="73"/>
      <c r="V2143" s="73"/>
      <c r="W2143" s="73"/>
      <c r="X2143" s="73"/>
      <c r="Y2143" s="73"/>
      <c r="Z2143" s="73"/>
      <c r="AA2143" s="73"/>
      <c r="AB2143" s="73"/>
      <c r="AC2143" s="73"/>
      <c r="AD2143" s="73"/>
      <c r="AE2143" s="73"/>
      <c r="AF2143" s="73"/>
      <c r="AG2143" s="73"/>
      <c r="AH2143" s="73"/>
      <c r="AI2143" s="73"/>
      <c r="AJ2143" s="168"/>
      <c r="AK2143" s="73"/>
      <c r="AL2143" s="73"/>
      <c r="AM2143" s="73"/>
      <c r="AN2143" s="73"/>
      <c r="AO2143" s="73"/>
      <c r="AP2143" s="73"/>
      <c r="AQ2143" s="73"/>
      <c r="AR2143" s="73"/>
      <c r="AS2143" s="73"/>
      <c r="AT2143" s="73"/>
      <c r="AU2143" s="73"/>
      <c r="AV2143" s="73"/>
      <c r="AW2143" s="73"/>
      <c r="AX2143" s="73"/>
      <c r="AY2143" s="73"/>
      <c r="AZ2143" s="73"/>
      <c r="BA2143" s="73"/>
      <c r="BB2143" s="73"/>
      <c r="BC2143" s="73"/>
      <c r="BD2143" s="73"/>
      <c r="BE2143" s="73"/>
      <c r="BF2143" s="75"/>
      <c r="BG2143" s="73"/>
      <c r="BH2143" s="88"/>
      <c r="BI2143" s="73"/>
      <c r="BJ2143" s="73"/>
      <c r="BK2143" s="73"/>
      <c r="BL2143" s="73"/>
      <c r="BM2143" s="73"/>
      <c r="BN2143" s="73"/>
      <c r="BO2143" s="73"/>
      <c r="BP2143" s="73"/>
      <c r="BQ2143" s="73"/>
      <c r="BR2143" s="73"/>
      <c r="BS2143" s="73"/>
      <c r="BT2143" s="73"/>
      <c r="BU2143" s="73"/>
      <c r="BV2143" s="73"/>
      <c r="BW2143" s="73"/>
      <c r="BX2143" s="73"/>
      <c r="BY2143" s="73"/>
      <c r="BZ2143" s="73"/>
      <c r="CA2143" s="73"/>
      <c r="CB2143" s="73"/>
      <c r="CC2143" s="73"/>
      <c r="CD2143" s="73"/>
      <c r="CE2143" s="73"/>
      <c r="CF2143" s="73"/>
      <c r="CG2143" s="73"/>
      <c r="CH2143" s="73"/>
    </row>
    <row r="2144">
      <c r="A2144" s="73"/>
      <c r="B2144" s="73"/>
      <c r="C2144" s="73"/>
      <c r="D2144" s="73"/>
      <c r="E2144" s="140"/>
      <c r="F2144" s="80"/>
      <c r="G2144" s="80"/>
      <c r="H2144" s="73"/>
      <c r="I2144" s="73"/>
      <c r="J2144" s="73"/>
      <c r="K2144" s="73"/>
      <c r="L2144" s="73"/>
      <c r="M2144" s="73"/>
      <c r="N2144" s="73"/>
      <c r="O2144" s="73"/>
      <c r="P2144" s="73"/>
      <c r="Q2144" s="73"/>
      <c r="R2144" s="73"/>
      <c r="S2144" s="73"/>
      <c r="T2144" s="73"/>
      <c r="U2144" s="73"/>
      <c r="V2144" s="73"/>
      <c r="W2144" s="73"/>
      <c r="X2144" s="73"/>
      <c r="Y2144" s="73"/>
      <c r="Z2144" s="73"/>
      <c r="AA2144" s="73"/>
      <c r="AB2144" s="73"/>
      <c r="AC2144" s="73"/>
      <c r="AD2144" s="73"/>
      <c r="AE2144" s="73"/>
      <c r="AF2144" s="73"/>
      <c r="AG2144" s="73"/>
      <c r="AH2144" s="73"/>
      <c r="AI2144" s="73"/>
      <c r="AJ2144" s="168"/>
      <c r="AK2144" s="73"/>
      <c r="AL2144" s="73"/>
      <c r="AM2144" s="73"/>
      <c r="AN2144" s="73"/>
      <c r="AO2144" s="73"/>
      <c r="AP2144" s="73"/>
      <c r="AQ2144" s="73"/>
      <c r="AR2144" s="73"/>
      <c r="AS2144" s="73"/>
      <c r="AT2144" s="73"/>
      <c r="AU2144" s="73"/>
      <c r="AV2144" s="73"/>
      <c r="AW2144" s="73"/>
      <c r="AX2144" s="73"/>
      <c r="AY2144" s="73"/>
      <c r="AZ2144" s="73"/>
      <c r="BA2144" s="73"/>
      <c r="BB2144" s="73"/>
      <c r="BC2144" s="73"/>
      <c r="BD2144" s="73"/>
      <c r="BE2144" s="73"/>
      <c r="BF2144" s="75"/>
      <c r="BG2144" s="73"/>
      <c r="BH2144" s="88"/>
      <c r="BI2144" s="73"/>
      <c r="BJ2144" s="73"/>
      <c r="BK2144" s="73"/>
      <c r="BL2144" s="73"/>
      <c r="BM2144" s="73"/>
      <c r="BN2144" s="73"/>
      <c r="BO2144" s="73"/>
      <c r="BP2144" s="73"/>
      <c r="BQ2144" s="73"/>
      <c r="BR2144" s="73"/>
      <c r="BS2144" s="73"/>
      <c r="BT2144" s="73"/>
      <c r="BU2144" s="73"/>
      <c r="BV2144" s="73"/>
      <c r="BW2144" s="73"/>
      <c r="BX2144" s="73"/>
      <c r="BY2144" s="73"/>
      <c r="BZ2144" s="73"/>
      <c r="CA2144" s="73"/>
      <c r="CB2144" s="73"/>
      <c r="CC2144" s="73"/>
      <c r="CD2144" s="73"/>
      <c r="CE2144" s="73"/>
      <c r="CF2144" s="73"/>
      <c r="CG2144" s="73"/>
      <c r="CH2144" s="73"/>
    </row>
    <row r="2145">
      <c r="A2145" s="73"/>
      <c r="B2145" s="73"/>
      <c r="C2145" s="73"/>
      <c r="D2145" s="73"/>
      <c r="E2145" s="140"/>
      <c r="F2145" s="80"/>
      <c r="G2145" s="80"/>
      <c r="H2145" s="73"/>
      <c r="I2145" s="73"/>
      <c r="J2145" s="73"/>
      <c r="K2145" s="73"/>
      <c r="L2145" s="73"/>
      <c r="M2145" s="73"/>
      <c r="N2145" s="73"/>
      <c r="O2145" s="73"/>
      <c r="P2145" s="73"/>
      <c r="Q2145" s="73"/>
      <c r="R2145" s="73"/>
      <c r="S2145" s="73"/>
      <c r="T2145" s="73"/>
      <c r="U2145" s="73"/>
      <c r="V2145" s="73"/>
      <c r="W2145" s="73"/>
      <c r="X2145" s="73"/>
      <c r="Y2145" s="73"/>
      <c r="Z2145" s="73"/>
      <c r="AA2145" s="73"/>
      <c r="AB2145" s="73"/>
      <c r="AC2145" s="73"/>
      <c r="AD2145" s="73"/>
      <c r="AE2145" s="73"/>
      <c r="AF2145" s="73"/>
      <c r="AG2145" s="73"/>
      <c r="AH2145" s="73"/>
      <c r="AI2145" s="73"/>
      <c r="AJ2145" s="168"/>
      <c r="AK2145" s="73"/>
      <c r="AL2145" s="73"/>
      <c r="AM2145" s="73"/>
      <c r="AN2145" s="73"/>
      <c r="AO2145" s="73"/>
      <c r="AP2145" s="73"/>
      <c r="AQ2145" s="73"/>
      <c r="AR2145" s="73"/>
      <c r="AS2145" s="73"/>
      <c r="AT2145" s="73"/>
      <c r="AU2145" s="73"/>
      <c r="AV2145" s="73"/>
      <c r="AW2145" s="73"/>
      <c r="AX2145" s="73"/>
      <c r="AY2145" s="73"/>
      <c r="AZ2145" s="73"/>
      <c r="BA2145" s="73"/>
      <c r="BB2145" s="73"/>
      <c r="BC2145" s="73"/>
      <c r="BD2145" s="73"/>
      <c r="BE2145" s="73"/>
      <c r="BF2145" s="75"/>
      <c r="BG2145" s="73"/>
      <c r="BH2145" s="88"/>
      <c r="BI2145" s="73"/>
      <c r="BJ2145" s="73"/>
      <c r="BK2145" s="73"/>
      <c r="BL2145" s="73"/>
      <c r="BM2145" s="73"/>
      <c r="BN2145" s="73"/>
      <c r="BO2145" s="73"/>
      <c r="BP2145" s="73"/>
      <c r="BQ2145" s="73"/>
      <c r="BR2145" s="73"/>
      <c r="BS2145" s="73"/>
      <c r="BT2145" s="73"/>
      <c r="BU2145" s="73"/>
      <c r="BV2145" s="73"/>
      <c r="BW2145" s="73"/>
      <c r="BX2145" s="73"/>
      <c r="BY2145" s="73"/>
      <c r="BZ2145" s="73"/>
      <c r="CA2145" s="73"/>
      <c r="CB2145" s="73"/>
      <c r="CC2145" s="73"/>
      <c r="CD2145" s="73"/>
      <c r="CE2145" s="73"/>
      <c r="CF2145" s="73"/>
      <c r="CG2145" s="73"/>
      <c r="CH2145" s="73"/>
    </row>
    <row r="2146">
      <c r="A2146" s="73"/>
      <c r="B2146" s="73"/>
      <c r="C2146" s="73"/>
      <c r="D2146" s="73"/>
      <c r="E2146" s="140"/>
      <c r="F2146" s="80"/>
      <c r="G2146" s="80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  <c r="S2146" s="73"/>
      <c r="T2146" s="73"/>
      <c r="U2146" s="73"/>
      <c r="V2146" s="73"/>
      <c r="W2146" s="73"/>
      <c r="X2146" s="73"/>
      <c r="Y2146" s="73"/>
      <c r="Z2146" s="73"/>
      <c r="AA2146" s="73"/>
      <c r="AB2146" s="73"/>
      <c r="AC2146" s="73"/>
      <c r="AD2146" s="73"/>
      <c r="AE2146" s="73"/>
      <c r="AF2146" s="73"/>
      <c r="AG2146" s="73"/>
      <c r="AH2146" s="73"/>
      <c r="AI2146" s="73"/>
      <c r="AJ2146" s="168"/>
      <c r="AK2146" s="73"/>
      <c r="AL2146" s="73"/>
      <c r="AM2146" s="73"/>
      <c r="AN2146" s="73"/>
      <c r="AO2146" s="73"/>
      <c r="AP2146" s="73"/>
      <c r="AQ2146" s="73"/>
      <c r="AR2146" s="73"/>
      <c r="AS2146" s="73"/>
      <c r="AT2146" s="73"/>
      <c r="AU2146" s="73"/>
      <c r="AV2146" s="73"/>
      <c r="AW2146" s="73"/>
      <c r="AX2146" s="73"/>
      <c r="AY2146" s="73"/>
      <c r="AZ2146" s="73"/>
      <c r="BA2146" s="73"/>
      <c r="BB2146" s="73"/>
      <c r="BC2146" s="73"/>
      <c r="BD2146" s="73"/>
      <c r="BE2146" s="73"/>
      <c r="BF2146" s="75"/>
      <c r="BG2146" s="73"/>
      <c r="BH2146" s="88"/>
      <c r="BI2146" s="73"/>
      <c r="BJ2146" s="73"/>
      <c r="BK2146" s="73"/>
      <c r="BL2146" s="73"/>
      <c r="BM2146" s="73"/>
      <c r="BN2146" s="73"/>
      <c r="BO2146" s="73"/>
      <c r="BP2146" s="73"/>
      <c r="BQ2146" s="73"/>
      <c r="BR2146" s="73"/>
      <c r="BS2146" s="73"/>
      <c r="BT2146" s="73"/>
      <c r="BU2146" s="73"/>
      <c r="BV2146" s="73"/>
      <c r="BW2146" s="73"/>
      <c r="BX2146" s="73"/>
      <c r="BY2146" s="73"/>
      <c r="BZ2146" s="73"/>
      <c r="CA2146" s="73"/>
      <c r="CB2146" s="73"/>
      <c r="CC2146" s="73"/>
      <c r="CD2146" s="73"/>
      <c r="CE2146" s="73"/>
      <c r="CF2146" s="73"/>
      <c r="CG2146" s="73"/>
      <c r="CH2146" s="73"/>
    </row>
    <row r="2147">
      <c r="A2147" s="73"/>
      <c r="B2147" s="73"/>
      <c r="C2147" s="73"/>
      <c r="D2147" s="73"/>
      <c r="E2147" s="140"/>
      <c r="F2147" s="80"/>
      <c r="G2147" s="80"/>
      <c r="H2147" s="73"/>
      <c r="I2147" s="73"/>
      <c r="J2147" s="73"/>
      <c r="K2147" s="73"/>
      <c r="L2147" s="73"/>
      <c r="M2147" s="73"/>
      <c r="N2147" s="73"/>
      <c r="O2147" s="73"/>
      <c r="P2147" s="73"/>
      <c r="Q2147" s="73"/>
      <c r="R2147" s="73"/>
      <c r="S2147" s="73"/>
      <c r="T2147" s="73"/>
      <c r="U2147" s="73"/>
      <c r="V2147" s="73"/>
      <c r="W2147" s="73"/>
      <c r="X2147" s="73"/>
      <c r="Y2147" s="73"/>
      <c r="Z2147" s="73"/>
      <c r="AA2147" s="73"/>
      <c r="AB2147" s="73"/>
      <c r="AC2147" s="73"/>
      <c r="AD2147" s="73"/>
      <c r="AE2147" s="73"/>
      <c r="AF2147" s="73"/>
      <c r="AG2147" s="73"/>
      <c r="AH2147" s="73"/>
      <c r="AI2147" s="73"/>
      <c r="AJ2147" s="168"/>
      <c r="AK2147" s="73"/>
      <c r="AL2147" s="73"/>
      <c r="AM2147" s="73"/>
      <c r="AN2147" s="73"/>
      <c r="AO2147" s="73"/>
      <c r="AP2147" s="73"/>
      <c r="AQ2147" s="73"/>
      <c r="AR2147" s="73"/>
      <c r="AS2147" s="73"/>
      <c r="AT2147" s="73"/>
      <c r="AU2147" s="73"/>
      <c r="AV2147" s="73"/>
      <c r="AW2147" s="73"/>
      <c r="AX2147" s="73"/>
      <c r="AY2147" s="73"/>
      <c r="AZ2147" s="73"/>
      <c r="BA2147" s="73"/>
      <c r="BB2147" s="73"/>
      <c r="BC2147" s="73"/>
      <c r="BD2147" s="73"/>
      <c r="BE2147" s="73"/>
      <c r="BF2147" s="75"/>
      <c r="BG2147" s="73"/>
      <c r="BH2147" s="88"/>
      <c r="BI2147" s="73"/>
      <c r="BJ2147" s="73"/>
      <c r="BK2147" s="73"/>
      <c r="BL2147" s="73"/>
      <c r="BM2147" s="73"/>
      <c r="BN2147" s="73"/>
      <c r="BO2147" s="73"/>
      <c r="BP2147" s="73"/>
      <c r="BQ2147" s="73"/>
      <c r="BR2147" s="73"/>
      <c r="BS2147" s="73"/>
      <c r="BT2147" s="73"/>
      <c r="BU2147" s="73"/>
      <c r="BV2147" s="73"/>
      <c r="BW2147" s="73"/>
      <c r="BX2147" s="73"/>
      <c r="BY2147" s="73"/>
      <c r="BZ2147" s="73"/>
      <c r="CA2147" s="73"/>
      <c r="CB2147" s="73"/>
      <c r="CC2147" s="73"/>
      <c r="CD2147" s="73"/>
      <c r="CE2147" s="73"/>
      <c r="CF2147" s="73"/>
      <c r="CG2147" s="73"/>
      <c r="CH2147" s="73"/>
    </row>
    <row r="2148">
      <c r="A2148" s="73"/>
      <c r="B2148" s="73"/>
      <c r="C2148" s="73"/>
      <c r="D2148" s="73"/>
      <c r="E2148" s="140"/>
      <c r="F2148" s="80"/>
      <c r="G2148" s="80"/>
      <c r="H2148" s="73"/>
      <c r="I2148" s="73"/>
      <c r="J2148" s="73"/>
      <c r="K2148" s="73"/>
      <c r="L2148" s="73"/>
      <c r="M2148" s="73"/>
      <c r="N2148" s="73"/>
      <c r="O2148" s="73"/>
      <c r="P2148" s="73"/>
      <c r="Q2148" s="73"/>
      <c r="R2148" s="73"/>
      <c r="S2148" s="73"/>
      <c r="T2148" s="73"/>
      <c r="U2148" s="73"/>
      <c r="V2148" s="73"/>
      <c r="W2148" s="73"/>
      <c r="X2148" s="73"/>
      <c r="Y2148" s="73"/>
      <c r="Z2148" s="73"/>
      <c r="AA2148" s="73"/>
      <c r="AB2148" s="73"/>
      <c r="AC2148" s="73"/>
      <c r="AD2148" s="73"/>
      <c r="AE2148" s="73"/>
      <c r="AF2148" s="73"/>
      <c r="AG2148" s="73"/>
      <c r="AH2148" s="73"/>
      <c r="AI2148" s="73"/>
      <c r="AJ2148" s="168"/>
      <c r="AK2148" s="73"/>
      <c r="AL2148" s="73"/>
      <c r="AM2148" s="73"/>
      <c r="AN2148" s="73"/>
      <c r="AO2148" s="73"/>
      <c r="AP2148" s="73"/>
      <c r="AQ2148" s="73"/>
      <c r="AR2148" s="73"/>
      <c r="AS2148" s="73"/>
      <c r="AT2148" s="73"/>
      <c r="AU2148" s="73"/>
      <c r="AV2148" s="73"/>
      <c r="AW2148" s="73"/>
      <c r="AX2148" s="73"/>
      <c r="AY2148" s="73"/>
      <c r="AZ2148" s="73"/>
      <c r="BA2148" s="73"/>
      <c r="BB2148" s="73"/>
      <c r="BC2148" s="73"/>
      <c r="BD2148" s="73"/>
      <c r="BE2148" s="73"/>
      <c r="BF2148" s="75"/>
      <c r="BG2148" s="73"/>
      <c r="BH2148" s="88"/>
      <c r="BI2148" s="73"/>
      <c r="BJ2148" s="73"/>
      <c r="BK2148" s="73"/>
      <c r="BL2148" s="73"/>
      <c r="BM2148" s="73"/>
      <c r="BN2148" s="73"/>
      <c r="BO2148" s="73"/>
      <c r="BP2148" s="73"/>
      <c r="BQ2148" s="73"/>
      <c r="BR2148" s="73"/>
      <c r="BS2148" s="73"/>
      <c r="BT2148" s="73"/>
      <c r="BU2148" s="73"/>
      <c r="BV2148" s="73"/>
      <c r="BW2148" s="73"/>
      <c r="BX2148" s="73"/>
      <c r="BY2148" s="73"/>
      <c r="BZ2148" s="73"/>
      <c r="CA2148" s="73"/>
      <c r="CB2148" s="73"/>
      <c r="CC2148" s="73"/>
      <c r="CD2148" s="73"/>
      <c r="CE2148" s="73"/>
      <c r="CF2148" s="73"/>
      <c r="CG2148" s="73"/>
      <c r="CH2148" s="73"/>
    </row>
    <row r="2149">
      <c r="A2149" s="73"/>
      <c r="B2149" s="73"/>
      <c r="C2149" s="73"/>
      <c r="D2149" s="73"/>
      <c r="E2149" s="140"/>
      <c r="F2149" s="80"/>
      <c r="G2149" s="80"/>
      <c r="H2149" s="73"/>
      <c r="I2149" s="73"/>
      <c r="J2149" s="73"/>
      <c r="K2149" s="73"/>
      <c r="L2149" s="73"/>
      <c r="M2149" s="73"/>
      <c r="N2149" s="73"/>
      <c r="O2149" s="73"/>
      <c r="P2149" s="73"/>
      <c r="Q2149" s="73"/>
      <c r="R2149" s="73"/>
      <c r="S2149" s="73"/>
      <c r="T2149" s="73"/>
      <c r="U2149" s="73"/>
      <c r="V2149" s="73"/>
      <c r="W2149" s="73"/>
      <c r="X2149" s="73"/>
      <c r="Y2149" s="73"/>
      <c r="Z2149" s="73"/>
      <c r="AA2149" s="73"/>
      <c r="AB2149" s="73"/>
      <c r="AC2149" s="73"/>
      <c r="AD2149" s="73"/>
      <c r="AE2149" s="73"/>
      <c r="AF2149" s="73"/>
      <c r="AG2149" s="73"/>
      <c r="AH2149" s="73"/>
      <c r="AI2149" s="73"/>
      <c r="AJ2149" s="168"/>
      <c r="AK2149" s="73"/>
      <c r="AL2149" s="73"/>
      <c r="AM2149" s="73"/>
      <c r="AN2149" s="73"/>
      <c r="AO2149" s="73"/>
      <c r="AP2149" s="73"/>
      <c r="AQ2149" s="73"/>
      <c r="AR2149" s="73"/>
      <c r="AS2149" s="73"/>
      <c r="AT2149" s="73"/>
      <c r="AU2149" s="73"/>
      <c r="AV2149" s="73"/>
      <c r="AW2149" s="73"/>
      <c r="AX2149" s="73"/>
      <c r="AY2149" s="73"/>
      <c r="AZ2149" s="73"/>
      <c r="BA2149" s="73"/>
      <c r="BB2149" s="73"/>
      <c r="BC2149" s="73"/>
      <c r="BD2149" s="73"/>
      <c r="BE2149" s="73"/>
      <c r="BF2149" s="75"/>
      <c r="BG2149" s="73"/>
      <c r="BH2149" s="88"/>
      <c r="BI2149" s="73"/>
      <c r="BJ2149" s="73"/>
      <c r="BK2149" s="73"/>
      <c r="BL2149" s="73"/>
      <c r="BM2149" s="73"/>
      <c r="BN2149" s="73"/>
      <c r="BO2149" s="73"/>
      <c r="BP2149" s="73"/>
      <c r="BQ2149" s="73"/>
      <c r="BR2149" s="73"/>
      <c r="BS2149" s="73"/>
      <c r="BT2149" s="73"/>
      <c r="BU2149" s="73"/>
      <c r="BV2149" s="73"/>
      <c r="BW2149" s="73"/>
      <c r="BX2149" s="73"/>
      <c r="BY2149" s="73"/>
      <c r="BZ2149" s="73"/>
      <c r="CA2149" s="73"/>
      <c r="CB2149" s="73"/>
      <c r="CC2149" s="73"/>
      <c r="CD2149" s="73"/>
      <c r="CE2149" s="73"/>
      <c r="CF2149" s="73"/>
      <c r="CG2149" s="73"/>
      <c r="CH2149" s="73"/>
    </row>
    <row r="2150">
      <c r="A2150" s="73"/>
      <c r="B2150" s="73"/>
      <c r="C2150" s="73"/>
      <c r="D2150" s="73"/>
      <c r="E2150" s="140"/>
      <c r="F2150" s="80"/>
      <c r="G2150" s="80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  <c r="S2150" s="73"/>
      <c r="T2150" s="73"/>
      <c r="U2150" s="73"/>
      <c r="V2150" s="73"/>
      <c r="W2150" s="73"/>
      <c r="X2150" s="73"/>
      <c r="Y2150" s="73"/>
      <c r="Z2150" s="73"/>
      <c r="AA2150" s="73"/>
      <c r="AB2150" s="73"/>
      <c r="AC2150" s="73"/>
      <c r="AD2150" s="73"/>
      <c r="AE2150" s="73"/>
      <c r="AF2150" s="73"/>
      <c r="AG2150" s="73"/>
      <c r="AH2150" s="73"/>
      <c r="AI2150" s="73"/>
      <c r="AJ2150" s="168"/>
      <c r="AK2150" s="73"/>
      <c r="AL2150" s="73"/>
      <c r="AM2150" s="73"/>
      <c r="AN2150" s="73"/>
      <c r="AO2150" s="73"/>
      <c r="AP2150" s="73"/>
      <c r="AQ2150" s="73"/>
      <c r="AR2150" s="73"/>
      <c r="AS2150" s="73"/>
      <c r="AT2150" s="73"/>
      <c r="AU2150" s="73"/>
      <c r="AV2150" s="73"/>
      <c r="AW2150" s="73"/>
      <c r="AX2150" s="73"/>
      <c r="AY2150" s="73"/>
      <c r="AZ2150" s="73"/>
      <c r="BA2150" s="73"/>
      <c r="BB2150" s="73"/>
      <c r="BC2150" s="73"/>
      <c r="BD2150" s="73"/>
      <c r="BE2150" s="73"/>
      <c r="BF2150" s="75"/>
      <c r="BG2150" s="73"/>
      <c r="BH2150" s="88"/>
      <c r="BI2150" s="73"/>
      <c r="BJ2150" s="73"/>
      <c r="BK2150" s="73"/>
      <c r="BL2150" s="73"/>
      <c r="BM2150" s="73"/>
      <c r="BN2150" s="73"/>
      <c r="BO2150" s="73"/>
      <c r="BP2150" s="73"/>
      <c r="BQ2150" s="73"/>
      <c r="BR2150" s="73"/>
      <c r="BS2150" s="73"/>
      <c r="BT2150" s="73"/>
      <c r="BU2150" s="73"/>
      <c r="BV2150" s="73"/>
      <c r="BW2150" s="73"/>
      <c r="BX2150" s="73"/>
      <c r="BY2150" s="73"/>
      <c r="BZ2150" s="73"/>
      <c r="CA2150" s="73"/>
      <c r="CB2150" s="73"/>
      <c r="CC2150" s="73"/>
      <c r="CD2150" s="73"/>
      <c r="CE2150" s="73"/>
      <c r="CF2150" s="73"/>
      <c r="CG2150" s="73"/>
      <c r="CH2150" s="73"/>
    </row>
    <row r="2151">
      <c r="A2151" s="73"/>
      <c r="B2151" s="73"/>
      <c r="C2151" s="73"/>
      <c r="D2151" s="73"/>
      <c r="E2151" s="140"/>
      <c r="F2151" s="80"/>
      <c r="G2151" s="80"/>
      <c r="H2151" s="73"/>
      <c r="I2151" s="73"/>
      <c r="J2151" s="73"/>
      <c r="K2151" s="73"/>
      <c r="L2151" s="73"/>
      <c r="M2151" s="73"/>
      <c r="N2151" s="73"/>
      <c r="O2151" s="73"/>
      <c r="P2151" s="73"/>
      <c r="Q2151" s="73"/>
      <c r="R2151" s="73"/>
      <c r="S2151" s="73"/>
      <c r="T2151" s="73"/>
      <c r="U2151" s="73"/>
      <c r="V2151" s="73"/>
      <c r="W2151" s="73"/>
      <c r="X2151" s="73"/>
      <c r="Y2151" s="73"/>
      <c r="Z2151" s="73"/>
      <c r="AA2151" s="73"/>
      <c r="AB2151" s="73"/>
      <c r="AC2151" s="73"/>
      <c r="AD2151" s="73"/>
      <c r="AE2151" s="73"/>
      <c r="AF2151" s="73"/>
      <c r="AG2151" s="73"/>
      <c r="AH2151" s="73"/>
      <c r="AI2151" s="73"/>
      <c r="AJ2151" s="168"/>
      <c r="AK2151" s="73"/>
      <c r="AL2151" s="73"/>
      <c r="AM2151" s="73"/>
      <c r="AN2151" s="73"/>
      <c r="AO2151" s="73"/>
      <c r="AP2151" s="73"/>
      <c r="AQ2151" s="73"/>
      <c r="AR2151" s="73"/>
      <c r="AS2151" s="73"/>
      <c r="AT2151" s="73"/>
      <c r="AU2151" s="73"/>
      <c r="AV2151" s="73"/>
      <c r="AW2151" s="73"/>
      <c r="AX2151" s="73"/>
      <c r="AY2151" s="73"/>
      <c r="AZ2151" s="73"/>
      <c r="BA2151" s="73"/>
      <c r="BB2151" s="73"/>
      <c r="BC2151" s="73"/>
      <c r="BD2151" s="73"/>
      <c r="BE2151" s="73"/>
      <c r="BF2151" s="75"/>
      <c r="BG2151" s="73"/>
      <c r="BH2151" s="88"/>
      <c r="BI2151" s="73"/>
      <c r="BJ2151" s="73"/>
      <c r="BK2151" s="73"/>
      <c r="BL2151" s="73"/>
      <c r="BM2151" s="73"/>
      <c r="BN2151" s="73"/>
      <c r="BO2151" s="73"/>
      <c r="BP2151" s="73"/>
      <c r="BQ2151" s="73"/>
      <c r="BR2151" s="73"/>
      <c r="BS2151" s="73"/>
      <c r="BT2151" s="73"/>
      <c r="BU2151" s="73"/>
      <c r="BV2151" s="73"/>
      <c r="BW2151" s="73"/>
      <c r="BX2151" s="73"/>
      <c r="BY2151" s="73"/>
      <c r="BZ2151" s="73"/>
      <c r="CA2151" s="73"/>
      <c r="CB2151" s="73"/>
      <c r="CC2151" s="73"/>
      <c r="CD2151" s="73"/>
      <c r="CE2151" s="73"/>
      <c r="CF2151" s="73"/>
      <c r="CG2151" s="73"/>
      <c r="CH2151" s="73"/>
    </row>
    <row r="2152">
      <c r="A2152" s="73"/>
      <c r="B2152" s="73"/>
      <c r="C2152" s="73"/>
      <c r="D2152" s="73"/>
      <c r="E2152" s="140"/>
      <c r="F2152" s="80"/>
      <c r="G2152" s="80"/>
      <c r="H2152" s="73"/>
      <c r="I2152" s="73"/>
      <c r="J2152" s="73"/>
      <c r="K2152" s="73"/>
      <c r="L2152" s="73"/>
      <c r="M2152" s="73"/>
      <c r="N2152" s="73"/>
      <c r="O2152" s="73"/>
      <c r="P2152" s="73"/>
      <c r="Q2152" s="73"/>
      <c r="R2152" s="73"/>
      <c r="S2152" s="73"/>
      <c r="T2152" s="73"/>
      <c r="U2152" s="73"/>
      <c r="V2152" s="73"/>
      <c r="W2152" s="73"/>
      <c r="X2152" s="73"/>
      <c r="Y2152" s="73"/>
      <c r="Z2152" s="73"/>
      <c r="AA2152" s="73"/>
      <c r="AB2152" s="73"/>
      <c r="AC2152" s="73"/>
      <c r="AD2152" s="73"/>
      <c r="AE2152" s="73"/>
      <c r="AF2152" s="73"/>
      <c r="AG2152" s="73"/>
      <c r="AH2152" s="73"/>
      <c r="AI2152" s="73"/>
      <c r="AJ2152" s="168"/>
      <c r="AK2152" s="73"/>
      <c r="AL2152" s="73"/>
      <c r="AM2152" s="73"/>
      <c r="AN2152" s="73"/>
      <c r="AO2152" s="73"/>
      <c r="AP2152" s="73"/>
      <c r="AQ2152" s="73"/>
      <c r="AR2152" s="73"/>
      <c r="AS2152" s="73"/>
      <c r="AT2152" s="73"/>
      <c r="AU2152" s="73"/>
      <c r="AV2152" s="73"/>
      <c r="AW2152" s="73"/>
      <c r="AX2152" s="73"/>
      <c r="AY2152" s="73"/>
      <c r="AZ2152" s="73"/>
      <c r="BA2152" s="73"/>
      <c r="BB2152" s="73"/>
      <c r="BC2152" s="73"/>
      <c r="BD2152" s="73"/>
      <c r="BE2152" s="73"/>
      <c r="BF2152" s="75"/>
      <c r="BG2152" s="73"/>
      <c r="BH2152" s="88"/>
      <c r="BI2152" s="73"/>
      <c r="BJ2152" s="73"/>
      <c r="BK2152" s="73"/>
      <c r="BL2152" s="73"/>
      <c r="BM2152" s="73"/>
      <c r="BN2152" s="73"/>
      <c r="BO2152" s="73"/>
      <c r="BP2152" s="73"/>
      <c r="BQ2152" s="73"/>
      <c r="BR2152" s="73"/>
      <c r="BS2152" s="73"/>
      <c r="BT2152" s="73"/>
      <c r="BU2152" s="73"/>
      <c r="BV2152" s="73"/>
      <c r="BW2152" s="73"/>
      <c r="BX2152" s="73"/>
      <c r="BY2152" s="73"/>
      <c r="BZ2152" s="73"/>
      <c r="CA2152" s="73"/>
      <c r="CB2152" s="73"/>
      <c r="CC2152" s="73"/>
      <c r="CD2152" s="73"/>
      <c r="CE2152" s="73"/>
      <c r="CF2152" s="73"/>
      <c r="CG2152" s="73"/>
      <c r="CH2152" s="73"/>
    </row>
    <row r="2153">
      <c r="A2153" s="73"/>
      <c r="B2153" s="73"/>
      <c r="C2153" s="73"/>
      <c r="D2153" s="73"/>
      <c r="E2153" s="140"/>
      <c r="F2153" s="80"/>
      <c r="G2153" s="80"/>
      <c r="H2153" s="73"/>
      <c r="I2153" s="73"/>
      <c r="J2153" s="73"/>
      <c r="K2153" s="73"/>
      <c r="L2153" s="73"/>
      <c r="M2153" s="73"/>
      <c r="N2153" s="73"/>
      <c r="O2153" s="73"/>
      <c r="P2153" s="73"/>
      <c r="Q2153" s="73"/>
      <c r="R2153" s="73"/>
      <c r="S2153" s="73"/>
      <c r="T2153" s="73"/>
      <c r="U2153" s="73"/>
      <c r="V2153" s="73"/>
      <c r="W2153" s="73"/>
      <c r="X2153" s="73"/>
      <c r="Y2153" s="73"/>
      <c r="Z2153" s="73"/>
      <c r="AA2153" s="73"/>
      <c r="AB2153" s="73"/>
      <c r="AC2153" s="73"/>
      <c r="AD2153" s="73"/>
      <c r="AE2153" s="73"/>
      <c r="AF2153" s="73"/>
      <c r="AG2153" s="73"/>
      <c r="AH2153" s="73"/>
      <c r="AI2153" s="73"/>
      <c r="AJ2153" s="168"/>
      <c r="AK2153" s="73"/>
      <c r="AL2153" s="73"/>
      <c r="AM2153" s="73"/>
      <c r="AN2153" s="73"/>
      <c r="AO2153" s="73"/>
      <c r="AP2153" s="73"/>
      <c r="AQ2153" s="73"/>
      <c r="AR2153" s="73"/>
      <c r="AS2153" s="73"/>
      <c r="AT2153" s="73"/>
      <c r="AU2153" s="73"/>
      <c r="AV2153" s="73"/>
      <c r="AW2153" s="73"/>
      <c r="AX2153" s="73"/>
      <c r="AY2153" s="73"/>
      <c r="AZ2153" s="73"/>
      <c r="BA2153" s="73"/>
      <c r="BB2153" s="73"/>
      <c r="BC2153" s="73"/>
      <c r="BD2153" s="73"/>
      <c r="BE2153" s="73"/>
      <c r="BF2153" s="75"/>
      <c r="BG2153" s="73"/>
      <c r="BH2153" s="88"/>
      <c r="BI2153" s="73"/>
      <c r="BJ2153" s="73"/>
      <c r="BK2153" s="73"/>
      <c r="BL2153" s="73"/>
      <c r="BM2153" s="73"/>
      <c r="BN2153" s="73"/>
      <c r="BO2153" s="73"/>
      <c r="BP2153" s="73"/>
      <c r="BQ2153" s="73"/>
      <c r="BR2153" s="73"/>
      <c r="BS2153" s="73"/>
      <c r="BT2153" s="73"/>
      <c r="BU2153" s="73"/>
      <c r="BV2153" s="73"/>
      <c r="BW2153" s="73"/>
      <c r="BX2153" s="73"/>
      <c r="BY2153" s="73"/>
      <c r="BZ2153" s="73"/>
      <c r="CA2153" s="73"/>
      <c r="CB2153" s="73"/>
      <c r="CC2153" s="73"/>
      <c r="CD2153" s="73"/>
      <c r="CE2153" s="73"/>
      <c r="CF2153" s="73"/>
      <c r="CG2153" s="73"/>
      <c r="CH2153" s="73"/>
    </row>
    <row r="2154">
      <c r="A2154" s="73"/>
      <c r="B2154" s="73"/>
      <c r="C2154" s="73"/>
      <c r="D2154" s="73"/>
      <c r="E2154" s="140"/>
      <c r="F2154" s="80"/>
      <c r="G2154" s="80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  <c r="S2154" s="73"/>
      <c r="T2154" s="73"/>
      <c r="U2154" s="73"/>
      <c r="V2154" s="73"/>
      <c r="W2154" s="73"/>
      <c r="X2154" s="73"/>
      <c r="Y2154" s="73"/>
      <c r="Z2154" s="73"/>
      <c r="AA2154" s="73"/>
      <c r="AB2154" s="73"/>
      <c r="AC2154" s="73"/>
      <c r="AD2154" s="73"/>
      <c r="AE2154" s="73"/>
      <c r="AF2154" s="73"/>
      <c r="AG2154" s="73"/>
      <c r="AH2154" s="73"/>
      <c r="AI2154" s="73"/>
      <c r="AJ2154" s="168"/>
      <c r="AK2154" s="73"/>
      <c r="AL2154" s="73"/>
      <c r="AM2154" s="73"/>
      <c r="AN2154" s="73"/>
      <c r="AO2154" s="73"/>
      <c r="AP2154" s="73"/>
      <c r="AQ2154" s="73"/>
      <c r="AR2154" s="73"/>
      <c r="AS2154" s="73"/>
      <c r="AT2154" s="73"/>
      <c r="AU2154" s="73"/>
      <c r="AV2154" s="73"/>
      <c r="AW2154" s="73"/>
      <c r="AX2154" s="73"/>
      <c r="AY2154" s="73"/>
      <c r="AZ2154" s="73"/>
      <c r="BA2154" s="73"/>
      <c r="BB2154" s="73"/>
      <c r="BC2154" s="73"/>
      <c r="BD2154" s="73"/>
      <c r="BE2154" s="73"/>
      <c r="BF2154" s="75"/>
      <c r="BG2154" s="73"/>
      <c r="BH2154" s="88"/>
      <c r="BI2154" s="73"/>
      <c r="BJ2154" s="73"/>
      <c r="BK2154" s="73"/>
      <c r="BL2154" s="73"/>
      <c r="BM2154" s="73"/>
      <c r="BN2154" s="73"/>
      <c r="BO2154" s="73"/>
      <c r="BP2154" s="73"/>
      <c r="BQ2154" s="73"/>
      <c r="BR2154" s="73"/>
      <c r="BS2154" s="73"/>
      <c r="BT2154" s="73"/>
      <c r="BU2154" s="73"/>
      <c r="BV2154" s="73"/>
      <c r="BW2154" s="73"/>
      <c r="BX2154" s="73"/>
      <c r="BY2154" s="73"/>
      <c r="BZ2154" s="73"/>
      <c r="CA2154" s="73"/>
      <c r="CB2154" s="73"/>
      <c r="CC2154" s="73"/>
      <c r="CD2154" s="73"/>
      <c r="CE2154" s="73"/>
      <c r="CF2154" s="73"/>
      <c r="CG2154" s="73"/>
      <c r="CH2154" s="73"/>
    </row>
    <row r="2155">
      <c r="A2155" s="73"/>
      <c r="B2155" s="73"/>
      <c r="C2155" s="73"/>
      <c r="D2155" s="73"/>
      <c r="E2155" s="140"/>
      <c r="F2155" s="80"/>
      <c r="G2155" s="80"/>
      <c r="H2155" s="73"/>
      <c r="I2155" s="73"/>
      <c r="J2155" s="73"/>
      <c r="K2155" s="73"/>
      <c r="L2155" s="73"/>
      <c r="M2155" s="73"/>
      <c r="N2155" s="73"/>
      <c r="O2155" s="73"/>
      <c r="P2155" s="73"/>
      <c r="Q2155" s="73"/>
      <c r="R2155" s="73"/>
      <c r="S2155" s="73"/>
      <c r="T2155" s="73"/>
      <c r="U2155" s="73"/>
      <c r="V2155" s="73"/>
      <c r="W2155" s="73"/>
      <c r="X2155" s="73"/>
      <c r="Y2155" s="73"/>
      <c r="Z2155" s="73"/>
      <c r="AA2155" s="73"/>
      <c r="AB2155" s="73"/>
      <c r="AC2155" s="73"/>
      <c r="AD2155" s="73"/>
      <c r="AE2155" s="73"/>
      <c r="AF2155" s="73"/>
      <c r="AG2155" s="73"/>
      <c r="AH2155" s="73"/>
      <c r="AI2155" s="73"/>
      <c r="AJ2155" s="168"/>
      <c r="AK2155" s="73"/>
      <c r="AL2155" s="73"/>
      <c r="AM2155" s="73"/>
      <c r="AN2155" s="73"/>
      <c r="AO2155" s="73"/>
      <c r="AP2155" s="73"/>
      <c r="AQ2155" s="73"/>
      <c r="AR2155" s="73"/>
      <c r="AS2155" s="73"/>
      <c r="AT2155" s="73"/>
      <c r="AU2155" s="73"/>
      <c r="AV2155" s="73"/>
      <c r="AW2155" s="73"/>
      <c r="AX2155" s="73"/>
      <c r="AY2155" s="73"/>
      <c r="AZ2155" s="73"/>
      <c r="BA2155" s="73"/>
      <c r="BB2155" s="73"/>
      <c r="BC2155" s="73"/>
      <c r="BD2155" s="73"/>
      <c r="BE2155" s="73"/>
      <c r="BF2155" s="75"/>
      <c r="BG2155" s="73"/>
      <c r="BH2155" s="88"/>
      <c r="BI2155" s="73"/>
      <c r="BJ2155" s="73"/>
      <c r="BK2155" s="73"/>
      <c r="BL2155" s="73"/>
      <c r="BM2155" s="73"/>
      <c r="BN2155" s="73"/>
      <c r="BO2155" s="73"/>
      <c r="BP2155" s="73"/>
      <c r="BQ2155" s="73"/>
      <c r="BR2155" s="73"/>
      <c r="BS2155" s="73"/>
      <c r="BT2155" s="73"/>
      <c r="BU2155" s="73"/>
      <c r="BV2155" s="73"/>
      <c r="BW2155" s="73"/>
      <c r="BX2155" s="73"/>
      <c r="BY2155" s="73"/>
      <c r="BZ2155" s="73"/>
      <c r="CA2155" s="73"/>
      <c r="CB2155" s="73"/>
      <c r="CC2155" s="73"/>
      <c r="CD2155" s="73"/>
      <c r="CE2155" s="73"/>
      <c r="CF2155" s="73"/>
      <c r="CG2155" s="73"/>
      <c r="CH2155" s="73"/>
    </row>
    <row r="2156">
      <c r="A2156" s="73"/>
      <c r="B2156" s="73"/>
      <c r="C2156" s="73"/>
      <c r="D2156" s="73"/>
      <c r="E2156" s="140"/>
      <c r="F2156" s="80"/>
      <c r="G2156" s="80"/>
      <c r="H2156" s="73"/>
      <c r="I2156" s="73"/>
      <c r="J2156" s="73"/>
      <c r="K2156" s="73"/>
      <c r="L2156" s="73"/>
      <c r="M2156" s="73"/>
      <c r="N2156" s="73"/>
      <c r="O2156" s="73"/>
      <c r="P2156" s="73"/>
      <c r="Q2156" s="73"/>
      <c r="R2156" s="73"/>
      <c r="S2156" s="73"/>
      <c r="T2156" s="73"/>
      <c r="U2156" s="73"/>
      <c r="V2156" s="73"/>
      <c r="W2156" s="73"/>
      <c r="X2156" s="73"/>
      <c r="Y2156" s="73"/>
      <c r="Z2156" s="73"/>
      <c r="AA2156" s="73"/>
      <c r="AB2156" s="73"/>
      <c r="AC2156" s="73"/>
      <c r="AD2156" s="73"/>
      <c r="AE2156" s="73"/>
      <c r="AF2156" s="73"/>
      <c r="AG2156" s="73"/>
      <c r="AH2156" s="73"/>
      <c r="AI2156" s="73"/>
      <c r="AJ2156" s="168"/>
      <c r="AK2156" s="73"/>
      <c r="AL2156" s="73"/>
      <c r="AM2156" s="73"/>
      <c r="AN2156" s="73"/>
      <c r="AO2156" s="73"/>
      <c r="AP2156" s="73"/>
      <c r="AQ2156" s="73"/>
      <c r="AR2156" s="73"/>
      <c r="AS2156" s="73"/>
      <c r="AT2156" s="73"/>
      <c r="AU2156" s="73"/>
      <c r="AV2156" s="73"/>
      <c r="AW2156" s="73"/>
      <c r="AX2156" s="73"/>
      <c r="AY2156" s="73"/>
      <c r="AZ2156" s="73"/>
      <c r="BA2156" s="73"/>
      <c r="BB2156" s="73"/>
      <c r="BC2156" s="73"/>
      <c r="BD2156" s="73"/>
      <c r="BE2156" s="73"/>
      <c r="BF2156" s="75"/>
      <c r="BG2156" s="73"/>
      <c r="BH2156" s="88"/>
      <c r="BI2156" s="73"/>
      <c r="BJ2156" s="73"/>
      <c r="BK2156" s="73"/>
      <c r="BL2156" s="73"/>
      <c r="BM2156" s="73"/>
      <c r="BN2156" s="73"/>
      <c r="BO2156" s="73"/>
      <c r="BP2156" s="73"/>
      <c r="BQ2156" s="73"/>
      <c r="BR2156" s="73"/>
      <c r="BS2156" s="73"/>
      <c r="BT2156" s="73"/>
      <c r="BU2156" s="73"/>
      <c r="BV2156" s="73"/>
      <c r="BW2156" s="73"/>
      <c r="BX2156" s="73"/>
      <c r="BY2156" s="73"/>
      <c r="BZ2156" s="73"/>
      <c r="CA2156" s="73"/>
      <c r="CB2156" s="73"/>
      <c r="CC2156" s="73"/>
      <c r="CD2156" s="73"/>
      <c r="CE2156" s="73"/>
      <c r="CF2156" s="73"/>
      <c r="CG2156" s="73"/>
      <c r="CH2156" s="73"/>
    </row>
    <row r="2157">
      <c r="A2157" s="73"/>
      <c r="B2157" s="73"/>
      <c r="C2157" s="73"/>
      <c r="D2157" s="73"/>
      <c r="E2157" s="140"/>
      <c r="F2157" s="80"/>
      <c r="G2157" s="80"/>
      <c r="H2157" s="73"/>
      <c r="I2157" s="73"/>
      <c r="J2157" s="73"/>
      <c r="K2157" s="73"/>
      <c r="L2157" s="73"/>
      <c r="M2157" s="73"/>
      <c r="N2157" s="73"/>
      <c r="O2157" s="73"/>
      <c r="P2157" s="73"/>
      <c r="Q2157" s="73"/>
      <c r="R2157" s="73"/>
      <c r="S2157" s="73"/>
      <c r="T2157" s="73"/>
      <c r="U2157" s="73"/>
      <c r="V2157" s="73"/>
      <c r="W2157" s="73"/>
      <c r="X2157" s="73"/>
      <c r="Y2157" s="73"/>
      <c r="Z2157" s="73"/>
      <c r="AA2157" s="73"/>
      <c r="AB2157" s="73"/>
      <c r="AC2157" s="73"/>
      <c r="AD2157" s="73"/>
      <c r="AE2157" s="73"/>
      <c r="AF2157" s="73"/>
      <c r="AG2157" s="73"/>
      <c r="AH2157" s="73"/>
      <c r="AI2157" s="73"/>
      <c r="AJ2157" s="168"/>
      <c r="AK2157" s="73"/>
      <c r="AL2157" s="73"/>
      <c r="AM2157" s="73"/>
      <c r="AN2157" s="73"/>
      <c r="AO2157" s="73"/>
      <c r="AP2157" s="73"/>
      <c r="AQ2157" s="73"/>
      <c r="AR2157" s="73"/>
      <c r="AS2157" s="73"/>
      <c r="AT2157" s="73"/>
      <c r="AU2157" s="73"/>
      <c r="AV2157" s="73"/>
      <c r="AW2157" s="73"/>
      <c r="AX2157" s="73"/>
      <c r="AY2157" s="73"/>
      <c r="AZ2157" s="73"/>
      <c r="BA2157" s="73"/>
      <c r="BB2157" s="73"/>
      <c r="BC2157" s="73"/>
      <c r="BD2157" s="73"/>
      <c r="BE2157" s="73"/>
      <c r="BF2157" s="75"/>
      <c r="BG2157" s="73"/>
      <c r="BH2157" s="88"/>
      <c r="BI2157" s="73"/>
      <c r="BJ2157" s="73"/>
      <c r="BK2157" s="73"/>
      <c r="BL2157" s="73"/>
      <c r="BM2157" s="73"/>
      <c r="BN2157" s="73"/>
      <c r="BO2157" s="73"/>
      <c r="BP2157" s="73"/>
      <c r="BQ2157" s="73"/>
      <c r="BR2157" s="73"/>
      <c r="BS2157" s="73"/>
      <c r="BT2157" s="73"/>
      <c r="BU2157" s="73"/>
      <c r="BV2157" s="73"/>
      <c r="BW2157" s="73"/>
      <c r="BX2157" s="73"/>
      <c r="BY2157" s="73"/>
      <c r="BZ2157" s="73"/>
      <c r="CA2157" s="73"/>
      <c r="CB2157" s="73"/>
      <c r="CC2157" s="73"/>
      <c r="CD2157" s="73"/>
      <c r="CE2157" s="73"/>
      <c r="CF2157" s="73"/>
      <c r="CG2157" s="73"/>
      <c r="CH2157" s="73"/>
    </row>
    <row r="2158">
      <c r="A2158" s="73"/>
      <c r="B2158" s="73"/>
      <c r="C2158" s="73"/>
      <c r="D2158" s="73"/>
      <c r="E2158" s="140"/>
      <c r="F2158" s="80"/>
      <c r="G2158" s="80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  <c r="S2158" s="73"/>
      <c r="T2158" s="73"/>
      <c r="U2158" s="73"/>
      <c r="V2158" s="73"/>
      <c r="W2158" s="73"/>
      <c r="X2158" s="73"/>
      <c r="Y2158" s="73"/>
      <c r="Z2158" s="73"/>
      <c r="AA2158" s="73"/>
      <c r="AB2158" s="73"/>
      <c r="AC2158" s="73"/>
      <c r="AD2158" s="73"/>
      <c r="AE2158" s="73"/>
      <c r="AF2158" s="73"/>
      <c r="AG2158" s="73"/>
      <c r="AH2158" s="73"/>
      <c r="AI2158" s="73"/>
      <c r="AJ2158" s="168"/>
      <c r="AK2158" s="73"/>
      <c r="AL2158" s="73"/>
      <c r="AM2158" s="73"/>
      <c r="AN2158" s="73"/>
      <c r="AO2158" s="73"/>
      <c r="AP2158" s="73"/>
      <c r="AQ2158" s="73"/>
      <c r="AR2158" s="73"/>
      <c r="AS2158" s="73"/>
      <c r="AT2158" s="73"/>
      <c r="AU2158" s="73"/>
      <c r="AV2158" s="73"/>
      <c r="AW2158" s="73"/>
      <c r="AX2158" s="73"/>
      <c r="AY2158" s="73"/>
      <c r="AZ2158" s="73"/>
      <c r="BA2158" s="73"/>
      <c r="BB2158" s="73"/>
      <c r="BC2158" s="73"/>
      <c r="BD2158" s="73"/>
      <c r="BE2158" s="73"/>
      <c r="BF2158" s="75"/>
      <c r="BG2158" s="73"/>
      <c r="BH2158" s="88"/>
      <c r="BI2158" s="73"/>
      <c r="BJ2158" s="73"/>
      <c r="BK2158" s="73"/>
      <c r="BL2158" s="73"/>
      <c r="BM2158" s="73"/>
      <c r="BN2158" s="73"/>
      <c r="BO2158" s="73"/>
      <c r="BP2158" s="73"/>
      <c r="BQ2158" s="73"/>
      <c r="BR2158" s="73"/>
      <c r="BS2158" s="73"/>
      <c r="BT2158" s="73"/>
      <c r="BU2158" s="73"/>
      <c r="BV2158" s="73"/>
      <c r="BW2158" s="73"/>
      <c r="BX2158" s="73"/>
      <c r="BY2158" s="73"/>
      <c r="BZ2158" s="73"/>
      <c r="CA2158" s="73"/>
      <c r="CB2158" s="73"/>
      <c r="CC2158" s="73"/>
      <c r="CD2158" s="73"/>
      <c r="CE2158" s="73"/>
      <c r="CF2158" s="73"/>
      <c r="CG2158" s="73"/>
      <c r="CH2158" s="73"/>
    </row>
    <row r="2159">
      <c r="A2159" s="73"/>
      <c r="B2159" s="73"/>
      <c r="C2159" s="73"/>
      <c r="D2159" s="73"/>
      <c r="E2159" s="140"/>
      <c r="F2159" s="80"/>
      <c r="G2159" s="80"/>
      <c r="H2159" s="73"/>
      <c r="I2159" s="73"/>
      <c r="J2159" s="73"/>
      <c r="K2159" s="73"/>
      <c r="L2159" s="73"/>
      <c r="M2159" s="73"/>
      <c r="N2159" s="73"/>
      <c r="O2159" s="73"/>
      <c r="P2159" s="73"/>
      <c r="Q2159" s="73"/>
      <c r="R2159" s="73"/>
      <c r="S2159" s="73"/>
      <c r="T2159" s="73"/>
      <c r="U2159" s="73"/>
      <c r="V2159" s="73"/>
      <c r="W2159" s="73"/>
      <c r="X2159" s="73"/>
      <c r="Y2159" s="73"/>
      <c r="Z2159" s="73"/>
      <c r="AA2159" s="73"/>
      <c r="AB2159" s="73"/>
      <c r="AC2159" s="73"/>
      <c r="AD2159" s="73"/>
      <c r="AE2159" s="73"/>
      <c r="AF2159" s="73"/>
      <c r="AG2159" s="73"/>
      <c r="AH2159" s="73"/>
      <c r="AI2159" s="73"/>
      <c r="AJ2159" s="168"/>
      <c r="AK2159" s="73"/>
      <c r="AL2159" s="73"/>
      <c r="AM2159" s="73"/>
      <c r="AN2159" s="73"/>
      <c r="AO2159" s="73"/>
      <c r="AP2159" s="73"/>
      <c r="AQ2159" s="73"/>
      <c r="AR2159" s="73"/>
      <c r="AS2159" s="73"/>
      <c r="AT2159" s="73"/>
      <c r="AU2159" s="73"/>
      <c r="AV2159" s="73"/>
      <c r="AW2159" s="73"/>
      <c r="AX2159" s="73"/>
      <c r="AY2159" s="73"/>
      <c r="AZ2159" s="73"/>
      <c r="BA2159" s="73"/>
      <c r="BB2159" s="73"/>
      <c r="BC2159" s="73"/>
      <c r="BD2159" s="73"/>
      <c r="BE2159" s="73"/>
      <c r="BF2159" s="75"/>
      <c r="BG2159" s="73"/>
      <c r="BH2159" s="88"/>
      <c r="BI2159" s="73"/>
      <c r="BJ2159" s="73"/>
      <c r="BK2159" s="73"/>
      <c r="BL2159" s="73"/>
      <c r="BM2159" s="73"/>
      <c r="BN2159" s="73"/>
      <c r="BO2159" s="73"/>
      <c r="BP2159" s="73"/>
      <c r="BQ2159" s="73"/>
      <c r="BR2159" s="73"/>
      <c r="BS2159" s="73"/>
      <c r="BT2159" s="73"/>
      <c r="BU2159" s="73"/>
      <c r="BV2159" s="73"/>
      <c r="BW2159" s="73"/>
      <c r="BX2159" s="73"/>
      <c r="BY2159" s="73"/>
      <c r="BZ2159" s="73"/>
      <c r="CA2159" s="73"/>
      <c r="CB2159" s="73"/>
      <c r="CC2159" s="73"/>
      <c r="CD2159" s="73"/>
      <c r="CE2159" s="73"/>
      <c r="CF2159" s="73"/>
      <c r="CG2159" s="73"/>
      <c r="CH2159" s="73"/>
    </row>
    <row r="2160">
      <c r="A2160" s="73"/>
      <c r="B2160" s="73"/>
      <c r="C2160" s="73"/>
      <c r="D2160" s="73"/>
      <c r="E2160" s="140"/>
      <c r="F2160" s="80"/>
      <c r="G2160" s="80"/>
      <c r="H2160" s="73"/>
      <c r="I2160" s="73"/>
      <c r="J2160" s="73"/>
      <c r="K2160" s="73"/>
      <c r="L2160" s="73"/>
      <c r="M2160" s="73"/>
      <c r="N2160" s="73"/>
      <c r="O2160" s="73"/>
      <c r="P2160" s="73"/>
      <c r="Q2160" s="73"/>
      <c r="R2160" s="73"/>
      <c r="S2160" s="73"/>
      <c r="T2160" s="73"/>
      <c r="U2160" s="73"/>
      <c r="V2160" s="73"/>
      <c r="W2160" s="73"/>
      <c r="X2160" s="73"/>
      <c r="Y2160" s="73"/>
      <c r="Z2160" s="73"/>
      <c r="AA2160" s="73"/>
      <c r="AB2160" s="73"/>
      <c r="AC2160" s="73"/>
      <c r="AD2160" s="73"/>
      <c r="AE2160" s="73"/>
      <c r="AF2160" s="73"/>
      <c r="AG2160" s="73"/>
      <c r="AH2160" s="73"/>
      <c r="AI2160" s="73"/>
      <c r="AJ2160" s="168"/>
      <c r="AK2160" s="73"/>
      <c r="AL2160" s="73"/>
      <c r="AM2160" s="73"/>
      <c r="AN2160" s="73"/>
      <c r="AO2160" s="73"/>
      <c r="AP2160" s="73"/>
      <c r="AQ2160" s="73"/>
      <c r="AR2160" s="73"/>
      <c r="AS2160" s="73"/>
      <c r="AT2160" s="73"/>
      <c r="AU2160" s="73"/>
      <c r="AV2160" s="73"/>
      <c r="AW2160" s="73"/>
      <c r="AX2160" s="73"/>
      <c r="AY2160" s="73"/>
      <c r="AZ2160" s="73"/>
      <c r="BA2160" s="73"/>
      <c r="BB2160" s="73"/>
      <c r="BC2160" s="73"/>
      <c r="BD2160" s="73"/>
      <c r="BE2160" s="73"/>
      <c r="BF2160" s="75"/>
      <c r="BG2160" s="73"/>
      <c r="BH2160" s="88"/>
      <c r="BI2160" s="73"/>
      <c r="BJ2160" s="73"/>
      <c r="BK2160" s="73"/>
      <c r="BL2160" s="73"/>
      <c r="BM2160" s="73"/>
      <c r="BN2160" s="73"/>
      <c r="BO2160" s="73"/>
      <c r="BP2160" s="73"/>
      <c r="BQ2160" s="73"/>
      <c r="BR2160" s="73"/>
      <c r="BS2160" s="73"/>
      <c r="BT2160" s="73"/>
      <c r="BU2160" s="73"/>
      <c r="BV2160" s="73"/>
      <c r="BW2160" s="73"/>
      <c r="BX2160" s="73"/>
      <c r="BY2160" s="73"/>
      <c r="BZ2160" s="73"/>
      <c r="CA2160" s="73"/>
      <c r="CB2160" s="73"/>
      <c r="CC2160" s="73"/>
      <c r="CD2160" s="73"/>
      <c r="CE2160" s="73"/>
      <c r="CF2160" s="73"/>
      <c r="CG2160" s="73"/>
      <c r="CH2160" s="73"/>
    </row>
    <row r="2161">
      <c r="A2161" s="73"/>
      <c r="B2161" s="73"/>
      <c r="C2161" s="73"/>
      <c r="D2161" s="73"/>
      <c r="E2161" s="140"/>
      <c r="F2161" s="80"/>
      <c r="G2161" s="80"/>
      <c r="H2161" s="73"/>
      <c r="I2161" s="73"/>
      <c r="J2161" s="73"/>
      <c r="K2161" s="73"/>
      <c r="L2161" s="73"/>
      <c r="M2161" s="73"/>
      <c r="N2161" s="73"/>
      <c r="O2161" s="73"/>
      <c r="P2161" s="73"/>
      <c r="Q2161" s="73"/>
      <c r="R2161" s="73"/>
      <c r="S2161" s="73"/>
      <c r="T2161" s="73"/>
      <c r="U2161" s="73"/>
      <c r="V2161" s="73"/>
      <c r="W2161" s="73"/>
      <c r="X2161" s="73"/>
      <c r="Y2161" s="73"/>
      <c r="Z2161" s="73"/>
      <c r="AA2161" s="73"/>
      <c r="AB2161" s="73"/>
      <c r="AC2161" s="73"/>
      <c r="AD2161" s="73"/>
      <c r="AE2161" s="73"/>
      <c r="AF2161" s="73"/>
      <c r="AG2161" s="73"/>
      <c r="AH2161" s="73"/>
      <c r="AI2161" s="73"/>
      <c r="AJ2161" s="168"/>
      <c r="AK2161" s="73"/>
      <c r="AL2161" s="73"/>
      <c r="AM2161" s="73"/>
      <c r="AN2161" s="73"/>
      <c r="AO2161" s="73"/>
      <c r="AP2161" s="73"/>
      <c r="AQ2161" s="73"/>
      <c r="AR2161" s="73"/>
      <c r="AS2161" s="73"/>
      <c r="AT2161" s="73"/>
      <c r="AU2161" s="73"/>
      <c r="AV2161" s="73"/>
      <c r="AW2161" s="73"/>
      <c r="AX2161" s="73"/>
      <c r="AY2161" s="73"/>
      <c r="AZ2161" s="73"/>
      <c r="BA2161" s="73"/>
      <c r="BB2161" s="73"/>
      <c r="BC2161" s="73"/>
      <c r="BD2161" s="73"/>
      <c r="BE2161" s="73"/>
      <c r="BF2161" s="75"/>
      <c r="BG2161" s="73"/>
      <c r="BH2161" s="88"/>
      <c r="BI2161" s="73"/>
      <c r="BJ2161" s="73"/>
      <c r="BK2161" s="73"/>
      <c r="BL2161" s="73"/>
      <c r="BM2161" s="73"/>
      <c r="BN2161" s="73"/>
      <c r="BO2161" s="73"/>
      <c r="BP2161" s="73"/>
      <c r="BQ2161" s="73"/>
      <c r="BR2161" s="73"/>
      <c r="BS2161" s="73"/>
      <c r="BT2161" s="73"/>
      <c r="BU2161" s="73"/>
      <c r="BV2161" s="73"/>
      <c r="BW2161" s="73"/>
      <c r="BX2161" s="73"/>
      <c r="BY2161" s="73"/>
      <c r="BZ2161" s="73"/>
      <c r="CA2161" s="73"/>
      <c r="CB2161" s="73"/>
      <c r="CC2161" s="73"/>
      <c r="CD2161" s="73"/>
      <c r="CE2161" s="73"/>
      <c r="CF2161" s="73"/>
      <c r="CG2161" s="73"/>
      <c r="CH2161" s="73"/>
    </row>
    <row r="2162">
      <c r="A2162" s="73"/>
      <c r="B2162" s="73"/>
      <c r="C2162" s="73"/>
      <c r="D2162" s="73"/>
      <c r="E2162" s="140"/>
      <c r="F2162" s="80"/>
      <c r="G2162" s="80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  <c r="S2162" s="73"/>
      <c r="T2162" s="73"/>
      <c r="U2162" s="73"/>
      <c r="V2162" s="73"/>
      <c r="W2162" s="73"/>
      <c r="X2162" s="73"/>
      <c r="Y2162" s="73"/>
      <c r="Z2162" s="73"/>
      <c r="AA2162" s="73"/>
      <c r="AB2162" s="73"/>
      <c r="AC2162" s="73"/>
      <c r="AD2162" s="73"/>
      <c r="AE2162" s="73"/>
      <c r="AF2162" s="73"/>
      <c r="AG2162" s="73"/>
      <c r="AH2162" s="73"/>
      <c r="AI2162" s="73"/>
      <c r="AJ2162" s="168"/>
      <c r="AK2162" s="73"/>
      <c r="AL2162" s="73"/>
      <c r="AM2162" s="73"/>
      <c r="AN2162" s="73"/>
      <c r="AO2162" s="73"/>
      <c r="AP2162" s="73"/>
      <c r="AQ2162" s="73"/>
      <c r="AR2162" s="73"/>
      <c r="AS2162" s="73"/>
      <c r="AT2162" s="73"/>
      <c r="AU2162" s="73"/>
      <c r="AV2162" s="73"/>
      <c r="AW2162" s="73"/>
      <c r="AX2162" s="73"/>
      <c r="AY2162" s="73"/>
      <c r="AZ2162" s="73"/>
      <c r="BA2162" s="73"/>
      <c r="BB2162" s="73"/>
      <c r="BC2162" s="73"/>
      <c r="BD2162" s="73"/>
      <c r="BE2162" s="73"/>
      <c r="BF2162" s="75"/>
      <c r="BG2162" s="73"/>
      <c r="BH2162" s="88"/>
      <c r="BI2162" s="73"/>
      <c r="BJ2162" s="73"/>
      <c r="BK2162" s="73"/>
      <c r="BL2162" s="73"/>
      <c r="BM2162" s="73"/>
      <c r="BN2162" s="73"/>
      <c r="BO2162" s="73"/>
      <c r="BP2162" s="73"/>
      <c r="BQ2162" s="73"/>
      <c r="BR2162" s="73"/>
      <c r="BS2162" s="73"/>
      <c r="BT2162" s="73"/>
      <c r="BU2162" s="73"/>
      <c r="BV2162" s="73"/>
      <c r="BW2162" s="73"/>
      <c r="BX2162" s="73"/>
      <c r="BY2162" s="73"/>
      <c r="BZ2162" s="73"/>
      <c r="CA2162" s="73"/>
      <c r="CB2162" s="73"/>
      <c r="CC2162" s="73"/>
      <c r="CD2162" s="73"/>
      <c r="CE2162" s="73"/>
      <c r="CF2162" s="73"/>
      <c r="CG2162" s="73"/>
      <c r="CH2162" s="73"/>
    </row>
    <row r="2163">
      <c r="A2163" s="73"/>
      <c r="B2163" s="73"/>
      <c r="C2163" s="73"/>
      <c r="D2163" s="73"/>
      <c r="E2163" s="140"/>
      <c r="F2163" s="80"/>
      <c r="G2163" s="80"/>
      <c r="H2163" s="73"/>
      <c r="I2163" s="73"/>
      <c r="J2163" s="73"/>
      <c r="K2163" s="73"/>
      <c r="L2163" s="73"/>
      <c r="M2163" s="73"/>
      <c r="N2163" s="73"/>
      <c r="O2163" s="73"/>
      <c r="P2163" s="73"/>
      <c r="Q2163" s="73"/>
      <c r="R2163" s="73"/>
      <c r="S2163" s="73"/>
      <c r="T2163" s="73"/>
      <c r="U2163" s="73"/>
      <c r="V2163" s="73"/>
      <c r="W2163" s="73"/>
      <c r="X2163" s="73"/>
      <c r="Y2163" s="73"/>
      <c r="Z2163" s="73"/>
      <c r="AA2163" s="73"/>
      <c r="AB2163" s="73"/>
      <c r="AC2163" s="73"/>
      <c r="AD2163" s="73"/>
      <c r="AE2163" s="73"/>
      <c r="AF2163" s="73"/>
      <c r="AG2163" s="73"/>
      <c r="AH2163" s="73"/>
      <c r="AI2163" s="73"/>
      <c r="AJ2163" s="168"/>
      <c r="AK2163" s="73"/>
      <c r="AL2163" s="73"/>
      <c r="AM2163" s="73"/>
      <c r="AN2163" s="73"/>
      <c r="AO2163" s="73"/>
      <c r="AP2163" s="73"/>
      <c r="AQ2163" s="73"/>
      <c r="AR2163" s="73"/>
      <c r="AS2163" s="73"/>
      <c r="AT2163" s="73"/>
      <c r="AU2163" s="73"/>
      <c r="AV2163" s="73"/>
      <c r="AW2163" s="73"/>
      <c r="AX2163" s="73"/>
      <c r="AY2163" s="73"/>
      <c r="AZ2163" s="73"/>
      <c r="BA2163" s="73"/>
      <c r="BB2163" s="73"/>
      <c r="BC2163" s="73"/>
      <c r="BD2163" s="73"/>
      <c r="BE2163" s="73"/>
      <c r="BF2163" s="75"/>
      <c r="BG2163" s="73"/>
      <c r="BH2163" s="88"/>
      <c r="BI2163" s="73"/>
      <c r="BJ2163" s="73"/>
      <c r="BK2163" s="73"/>
      <c r="BL2163" s="73"/>
      <c r="BM2163" s="73"/>
      <c r="BN2163" s="73"/>
      <c r="BO2163" s="73"/>
      <c r="BP2163" s="73"/>
      <c r="BQ2163" s="73"/>
      <c r="BR2163" s="73"/>
      <c r="BS2163" s="73"/>
      <c r="BT2163" s="73"/>
      <c r="BU2163" s="73"/>
      <c r="BV2163" s="73"/>
      <c r="BW2163" s="73"/>
      <c r="BX2163" s="73"/>
      <c r="BY2163" s="73"/>
      <c r="BZ2163" s="73"/>
      <c r="CA2163" s="73"/>
      <c r="CB2163" s="73"/>
      <c r="CC2163" s="73"/>
      <c r="CD2163" s="73"/>
      <c r="CE2163" s="73"/>
      <c r="CF2163" s="73"/>
      <c r="CG2163" s="73"/>
      <c r="CH2163" s="73"/>
    </row>
    <row r="2164">
      <c r="A2164" s="73"/>
      <c r="B2164" s="73"/>
      <c r="C2164" s="73"/>
      <c r="D2164" s="73"/>
      <c r="E2164" s="140"/>
      <c r="F2164" s="80"/>
      <c r="G2164" s="80"/>
      <c r="H2164" s="73"/>
      <c r="I2164" s="73"/>
      <c r="J2164" s="73"/>
      <c r="K2164" s="73"/>
      <c r="L2164" s="73"/>
      <c r="M2164" s="73"/>
      <c r="N2164" s="73"/>
      <c r="O2164" s="73"/>
      <c r="P2164" s="73"/>
      <c r="Q2164" s="73"/>
      <c r="R2164" s="73"/>
      <c r="S2164" s="73"/>
      <c r="T2164" s="73"/>
      <c r="U2164" s="73"/>
      <c r="V2164" s="73"/>
      <c r="W2164" s="73"/>
      <c r="X2164" s="73"/>
      <c r="Y2164" s="73"/>
      <c r="Z2164" s="73"/>
      <c r="AA2164" s="73"/>
      <c r="AB2164" s="73"/>
      <c r="AC2164" s="73"/>
      <c r="AD2164" s="73"/>
      <c r="AE2164" s="73"/>
      <c r="AF2164" s="73"/>
      <c r="AG2164" s="73"/>
      <c r="AH2164" s="73"/>
      <c r="AI2164" s="73"/>
      <c r="AJ2164" s="168"/>
      <c r="AK2164" s="73"/>
      <c r="AL2164" s="73"/>
      <c r="AM2164" s="73"/>
      <c r="AN2164" s="73"/>
      <c r="AO2164" s="73"/>
      <c r="AP2164" s="73"/>
      <c r="AQ2164" s="73"/>
      <c r="AR2164" s="73"/>
      <c r="AS2164" s="73"/>
      <c r="AT2164" s="73"/>
      <c r="AU2164" s="73"/>
      <c r="AV2164" s="73"/>
      <c r="AW2164" s="73"/>
      <c r="AX2164" s="73"/>
      <c r="AY2164" s="73"/>
      <c r="AZ2164" s="73"/>
      <c r="BA2164" s="73"/>
      <c r="BB2164" s="73"/>
      <c r="BC2164" s="73"/>
      <c r="BD2164" s="73"/>
      <c r="BE2164" s="73"/>
      <c r="BF2164" s="75"/>
      <c r="BG2164" s="73"/>
      <c r="BH2164" s="88"/>
      <c r="BI2164" s="73"/>
      <c r="BJ2164" s="73"/>
      <c r="BK2164" s="73"/>
      <c r="BL2164" s="73"/>
      <c r="BM2164" s="73"/>
      <c r="BN2164" s="73"/>
      <c r="BO2164" s="73"/>
      <c r="BP2164" s="73"/>
      <c r="BQ2164" s="73"/>
      <c r="BR2164" s="73"/>
      <c r="BS2164" s="73"/>
      <c r="BT2164" s="73"/>
      <c r="BU2164" s="73"/>
      <c r="BV2164" s="73"/>
      <c r="BW2164" s="73"/>
      <c r="BX2164" s="73"/>
      <c r="BY2164" s="73"/>
      <c r="BZ2164" s="73"/>
      <c r="CA2164" s="73"/>
      <c r="CB2164" s="73"/>
      <c r="CC2164" s="73"/>
      <c r="CD2164" s="73"/>
      <c r="CE2164" s="73"/>
      <c r="CF2164" s="73"/>
      <c r="CG2164" s="73"/>
      <c r="CH2164" s="73"/>
    </row>
    <row r="2165">
      <c r="A2165" s="73"/>
      <c r="B2165" s="73"/>
      <c r="C2165" s="73"/>
      <c r="D2165" s="73"/>
      <c r="E2165" s="140"/>
      <c r="F2165" s="80"/>
      <c r="G2165" s="80"/>
      <c r="H2165" s="73"/>
      <c r="I2165" s="73"/>
      <c r="J2165" s="73"/>
      <c r="K2165" s="73"/>
      <c r="L2165" s="73"/>
      <c r="M2165" s="73"/>
      <c r="N2165" s="73"/>
      <c r="O2165" s="73"/>
      <c r="P2165" s="73"/>
      <c r="Q2165" s="73"/>
      <c r="R2165" s="73"/>
      <c r="S2165" s="73"/>
      <c r="T2165" s="73"/>
      <c r="U2165" s="73"/>
      <c r="V2165" s="73"/>
      <c r="W2165" s="73"/>
      <c r="X2165" s="73"/>
      <c r="Y2165" s="73"/>
      <c r="Z2165" s="73"/>
      <c r="AA2165" s="73"/>
      <c r="AB2165" s="73"/>
      <c r="AC2165" s="73"/>
      <c r="AD2165" s="73"/>
      <c r="AE2165" s="73"/>
      <c r="AF2165" s="73"/>
      <c r="AG2165" s="73"/>
      <c r="AH2165" s="73"/>
      <c r="AI2165" s="73"/>
      <c r="AJ2165" s="168"/>
      <c r="AK2165" s="73"/>
      <c r="AL2165" s="73"/>
      <c r="AM2165" s="73"/>
      <c r="AN2165" s="73"/>
      <c r="AO2165" s="73"/>
      <c r="AP2165" s="73"/>
      <c r="AQ2165" s="73"/>
      <c r="AR2165" s="73"/>
      <c r="AS2165" s="73"/>
      <c r="AT2165" s="73"/>
      <c r="AU2165" s="73"/>
      <c r="AV2165" s="73"/>
      <c r="AW2165" s="73"/>
      <c r="AX2165" s="73"/>
      <c r="AY2165" s="73"/>
      <c r="AZ2165" s="73"/>
      <c r="BA2165" s="73"/>
      <c r="BB2165" s="73"/>
      <c r="BC2165" s="73"/>
      <c r="BD2165" s="73"/>
      <c r="BE2165" s="73"/>
      <c r="BF2165" s="75"/>
      <c r="BG2165" s="73"/>
      <c r="BH2165" s="88"/>
      <c r="BI2165" s="73"/>
      <c r="BJ2165" s="73"/>
      <c r="BK2165" s="73"/>
      <c r="BL2165" s="73"/>
      <c r="BM2165" s="73"/>
      <c r="BN2165" s="73"/>
      <c r="BO2165" s="73"/>
      <c r="BP2165" s="73"/>
      <c r="BQ2165" s="73"/>
      <c r="BR2165" s="73"/>
      <c r="BS2165" s="73"/>
      <c r="BT2165" s="73"/>
      <c r="BU2165" s="73"/>
      <c r="BV2165" s="73"/>
      <c r="BW2165" s="73"/>
      <c r="BX2165" s="73"/>
      <c r="BY2165" s="73"/>
      <c r="BZ2165" s="73"/>
      <c r="CA2165" s="73"/>
      <c r="CB2165" s="73"/>
      <c r="CC2165" s="73"/>
      <c r="CD2165" s="73"/>
      <c r="CE2165" s="73"/>
      <c r="CF2165" s="73"/>
      <c r="CG2165" s="73"/>
      <c r="CH2165" s="73"/>
    </row>
    <row r="2166">
      <c r="A2166" s="73"/>
      <c r="B2166" s="73"/>
      <c r="C2166" s="73"/>
      <c r="D2166" s="73"/>
      <c r="E2166" s="140"/>
      <c r="F2166" s="80"/>
      <c r="G2166" s="80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  <c r="S2166" s="73"/>
      <c r="T2166" s="73"/>
      <c r="U2166" s="73"/>
      <c r="V2166" s="73"/>
      <c r="W2166" s="73"/>
      <c r="X2166" s="73"/>
      <c r="Y2166" s="73"/>
      <c r="Z2166" s="73"/>
      <c r="AA2166" s="73"/>
      <c r="AB2166" s="73"/>
      <c r="AC2166" s="73"/>
      <c r="AD2166" s="73"/>
      <c r="AE2166" s="73"/>
      <c r="AF2166" s="73"/>
      <c r="AG2166" s="73"/>
      <c r="AH2166" s="73"/>
      <c r="AI2166" s="73"/>
      <c r="AJ2166" s="168"/>
      <c r="AK2166" s="73"/>
      <c r="AL2166" s="73"/>
      <c r="AM2166" s="73"/>
      <c r="AN2166" s="73"/>
      <c r="AO2166" s="73"/>
      <c r="AP2166" s="73"/>
      <c r="AQ2166" s="73"/>
      <c r="AR2166" s="73"/>
      <c r="AS2166" s="73"/>
      <c r="AT2166" s="73"/>
      <c r="AU2166" s="73"/>
      <c r="AV2166" s="73"/>
      <c r="AW2166" s="73"/>
      <c r="AX2166" s="73"/>
      <c r="AY2166" s="73"/>
      <c r="AZ2166" s="73"/>
      <c r="BA2166" s="73"/>
      <c r="BB2166" s="73"/>
      <c r="BC2166" s="73"/>
      <c r="BD2166" s="73"/>
      <c r="BE2166" s="73"/>
      <c r="BF2166" s="75"/>
      <c r="BG2166" s="73"/>
      <c r="BH2166" s="88"/>
      <c r="BI2166" s="73"/>
      <c r="BJ2166" s="73"/>
      <c r="BK2166" s="73"/>
      <c r="BL2166" s="73"/>
      <c r="BM2166" s="73"/>
      <c r="BN2166" s="73"/>
      <c r="BO2166" s="73"/>
      <c r="BP2166" s="73"/>
      <c r="BQ2166" s="73"/>
      <c r="BR2166" s="73"/>
      <c r="BS2166" s="73"/>
      <c r="BT2166" s="73"/>
      <c r="BU2166" s="73"/>
      <c r="BV2166" s="73"/>
      <c r="BW2166" s="73"/>
      <c r="BX2166" s="73"/>
      <c r="BY2166" s="73"/>
      <c r="BZ2166" s="73"/>
      <c r="CA2166" s="73"/>
      <c r="CB2166" s="73"/>
      <c r="CC2166" s="73"/>
      <c r="CD2166" s="73"/>
      <c r="CE2166" s="73"/>
      <c r="CF2166" s="73"/>
      <c r="CG2166" s="73"/>
      <c r="CH2166" s="73"/>
    </row>
    <row r="2167">
      <c r="A2167" s="73"/>
      <c r="B2167" s="73"/>
      <c r="C2167" s="73"/>
      <c r="D2167" s="73"/>
      <c r="E2167" s="140"/>
      <c r="F2167" s="80"/>
      <c r="G2167" s="80"/>
      <c r="H2167" s="73"/>
      <c r="I2167" s="73"/>
      <c r="J2167" s="73"/>
      <c r="K2167" s="73"/>
      <c r="L2167" s="73"/>
      <c r="M2167" s="73"/>
      <c r="N2167" s="73"/>
      <c r="O2167" s="73"/>
      <c r="P2167" s="73"/>
      <c r="Q2167" s="73"/>
      <c r="R2167" s="73"/>
      <c r="S2167" s="73"/>
      <c r="T2167" s="73"/>
      <c r="U2167" s="73"/>
      <c r="V2167" s="73"/>
      <c r="W2167" s="73"/>
      <c r="X2167" s="73"/>
      <c r="Y2167" s="73"/>
      <c r="Z2167" s="73"/>
      <c r="AA2167" s="73"/>
      <c r="AB2167" s="73"/>
      <c r="AC2167" s="73"/>
      <c r="AD2167" s="73"/>
      <c r="AE2167" s="73"/>
      <c r="AF2167" s="73"/>
      <c r="AG2167" s="73"/>
      <c r="AH2167" s="73"/>
      <c r="AI2167" s="73"/>
      <c r="AJ2167" s="168"/>
      <c r="AK2167" s="73"/>
      <c r="AL2167" s="73"/>
      <c r="AM2167" s="73"/>
      <c r="AN2167" s="73"/>
      <c r="AO2167" s="73"/>
      <c r="AP2167" s="73"/>
      <c r="AQ2167" s="73"/>
      <c r="AR2167" s="73"/>
      <c r="AS2167" s="73"/>
      <c r="AT2167" s="73"/>
      <c r="AU2167" s="73"/>
      <c r="AV2167" s="73"/>
      <c r="AW2167" s="73"/>
      <c r="AX2167" s="73"/>
      <c r="AY2167" s="73"/>
      <c r="AZ2167" s="73"/>
      <c r="BA2167" s="73"/>
      <c r="BB2167" s="73"/>
      <c r="BC2167" s="73"/>
      <c r="BD2167" s="73"/>
      <c r="BE2167" s="73"/>
      <c r="BF2167" s="75"/>
      <c r="BG2167" s="73"/>
      <c r="BH2167" s="88"/>
      <c r="BI2167" s="73"/>
      <c r="BJ2167" s="73"/>
      <c r="BK2167" s="73"/>
      <c r="BL2167" s="73"/>
      <c r="BM2167" s="73"/>
      <c r="BN2167" s="73"/>
      <c r="BO2167" s="73"/>
      <c r="BP2167" s="73"/>
      <c r="BQ2167" s="73"/>
      <c r="BR2167" s="73"/>
      <c r="BS2167" s="73"/>
      <c r="BT2167" s="73"/>
      <c r="BU2167" s="73"/>
      <c r="BV2167" s="73"/>
      <c r="BW2167" s="73"/>
      <c r="BX2167" s="73"/>
      <c r="BY2167" s="73"/>
      <c r="BZ2167" s="73"/>
      <c r="CA2167" s="73"/>
      <c r="CB2167" s="73"/>
      <c r="CC2167" s="73"/>
      <c r="CD2167" s="73"/>
      <c r="CE2167" s="73"/>
      <c r="CF2167" s="73"/>
      <c r="CG2167" s="73"/>
      <c r="CH2167" s="73"/>
    </row>
    <row r="2168">
      <c r="A2168" s="73"/>
      <c r="B2168" s="73"/>
      <c r="C2168" s="73"/>
      <c r="D2168" s="73"/>
      <c r="E2168" s="140"/>
      <c r="F2168" s="80"/>
      <c r="G2168" s="80"/>
      <c r="H2168" s="73"/>
      <c r="I2168" s="73"/>
      <c r="J2168" s="73"/>
      <c r="K2168" s="73"/>
      <c r="L2168" s="73"/>
      <c r="M2168" s="73"/>
      <c r="N2168" s="73"/>
      <c r="O2168" s="73"/>
      <c r="P2168" s="73"/>
      <c r="Q2168" s="73"/>
      <c r="R2168" s="73"/>
      <c r="S2168" s="73"/>
      <c r="T2168" s="73"/>
      <c r="U2168" s="73"/>
      <c r="V2168" s="73"/>
      <c r="W2168" s="73"/>
      <c r="X2168" s="73"/>
      <c r="Y2168" s="73"/>
      <c r="Z2168" s="73"/>
      <c r="AA2168" s="73"/>
      <c r="AB2168" s="73"/>
      <c r="AC2168" s="73"/>
      <c r="AD2168" s="73"/>
      <c r="AE2168" s="73"/>
      <c r="AF2168" s="73"/>
      <c r="AG2168" s="73"/>
      <c r="AH2168" s="73"/>
      <c r="AI2168" s="73"/>
      <c r="AJ2168" s="168"/>
      <c r="AK2168" s="73"/>
      <c r="AL2168" s="73"/>
      <c r="AM2168" s="73"/>
      <c r="AN2168" s="73"/>
      <c r="AO2168" s="73"/>
      <c r="AP2168" s="73"/>
      <c r="AQ2168" s="73"/>
      <c r="AR2168" s="73"/>
      <c r="AS2168" s="73"/>
      <c r="AT2168" s="73"/>
      <c r="AU2168" s="73"/>
      <c r="AV2168" s="73"/>
      <c r="AW2168" s="73"/>
      <c r="AX2168" s="73"/>
      <c r="AY2168" s="73"/>
      <c r="AZ2168" s="73"/>
      <c r="BA2168" s="73"/>
      <c r="BB2168" s="73"/>
      <c r="BC2168" s="73"/>
      <c r="BD2168" s="73"/>
      <c r="BE2168" s="73"/>
      <c r="BF2168" s="75"/>
      <c r="BG2168" s="73"/>
      <c r="BH2168" s="88"/>
      <c r="BI2168" s="73"/>
      <c r="BJ2168" s="73"/>
      <c r="BK2168" s="73"/>
      <c r="BL2168" s="73"/>
      <c r="BM2168" s="73"/>
      <c r="BN2168" s="73"/>
      <c r="BO2168" s="73"/>
      <c r="BP2168" s="73"/>
      <c r="BQ2168" s="73"/>
      <c r="BR2168" s="73"/>
      <c r="BS2168" s="73"/>
      <c r="BT2168" s="73"/>
      <c r="BU2168" s="73"/>
      <c r="BV2168" s="73"/>
      <c r="BW2168" s="73"/>
      <c r="BX2168" s="73"/>
      <c r="BY2168" s="73"/>
      <c r="BZ2168" s="73"/>
      <c r="CA2168" s="73"/>
      <c r="CB2168" s="73"/>
      <c r="CC2168" s="73"/>
      <c r="CD2168" s="73"/>
      <c r="CE2168" s="73"/>
      <c r="CF2168" s="73"/>
      <c r="CG2168" s="73"/>
      <c r="CH2168" s="73"/>
    </row>
    <row r="2169">
      <c r="A2169" s="73"/>
      <c r="B2169" s="73"/>
      <c r="C2169" s="73"/>
      <c r="D2169" s="73"/>
      <c r="E2169" s="140"/>
      <c r="F2169" s="80"/>
      <c r="G2169" s="80"/>
      <c r="H2169" s="73"/>
      <c r="I2169" s="73"/>
      <c r="J2169" s="73"/>
      <c r="K2169" s="73"/>
      <c r="L2169" s="73"/>
      <c r="M2169" s="73"/>
      <c r="N2169" s="73"/>
      <c r="O2169" s="73"/>
      <c r="P2169" s="73"/>
      <c r="Q2169" s="73"/>
      <c r="R2169" s="73"/>
      <c r="S2169" s="73"/>
      <c r="T2169" s="73"/>
      <c r="U2169" s="73"/>
      <c r="V2169" s="73"/>
      <c r="W2169" s="73"/>
      <c r="X2169" s="73"/>
      <c r="Y2169" s="73"/>
      <c r="Z2169" s="73"/>
      <c r="AA2169" s="73"/>
      <c r="AB2169" s="73"/>
      <c r="AC2169" s="73"/>
      <c r="AD2169" s="73"/>
      <c r="AE2169" s="73"/>
      <c r="AF2169" s="73"/>
      <c r="AG2169" s="73"/>
      <c r="AH2169" s="73"/>
      <c r="AI2169" s="73"/>
      <c r="AJ2169" s="168"/>
      <c r="AK2169" s="73"/>
      <c r="AL2169" s="73"/>
      <c r="AM2169" s="73"/>
      <c r="AN2169" s="73"/>
      <c r="AO2169" s="73"/>
      <c r="AP2169" s="73"/>
      <c r="AQ2169" s="73"/>
      <c r="AR2169" s="73"/>
      <c r="AS2169" s="73"/>
      <c r="AT2169" s="73"/>
      <c r="AU2169" s="73"/>
      <c r="AV2169" s="73"/>
      <c r="AW2169" s="73"/>
      <c r="AX2169" s="73"/>
      <c r="AY2169" s="73"/>
      <c r="AZ2169" s="73"/>
      <c r="BA2169" s="73"/>
      <c r="BB2169" s="73"/>
      <c r="BC2169" s="73"/>
      <c r="BD2169" s="73"/>
      <c r="BE2169" s="73"/>
      <c r="BF2169" s="75"/>
      <c r="BG2169" s="73"/>
      <c r="BH2169" s="88"/>
      <c r="BI2169" s="73"/>
      <c r="BJ2169" s="73"/>
      <c r="BK2169" s="73"/>
      <c r="BL2169" s="73"/>
      <c r="BM2169" s="73"/>
      <c r="BN2169" s="73"/>
      <c r="BO2169" s="73"/>
      <c r="BP2169" s="73"/>
      <c r="BQ2169" s="73"/>
      <c r="BR2169" s="73"/>
      <c r="BS2169" s="73"/>
      <c r="BT2169" s="73"/>
      <c r="BU2169" s="73"/>
      <c r="BV2169" s="73"/>
      <c r="BW2169" s="73"/>
      <c r="BX2169" s="73"/>
      <c r="BY2169" s="73"/>
      <c r="BZ2169" s="73"/>
      <c r="CA2169" s="73"/>
      <c r="CB2169" s="73"/>
      <c r="CC2169" s="73"/>
      <c r="CD2169" s="73"/>
      <c r="CE2169" s="73"/>
      <c r="CF2169" s="73"/>
      <c r="CG2169" s="73"/>
      <c r="CH2169" s="73"/>
    </row>
    <row r="2170">
      <c r="A2170" s="73"/>
      <c r="B2170" s="73"/>
      <c r="C2170" s="73"/>
      <c r="D2170" s="73"/>
      <c r="E2170" s="140"/>
      <c r="F2170" s="80"/>
      <c r="G2170" s="80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  <c r="S2170" s="73"/>
      <c r="T2170" s="73"/>
      <c r="U2170" s="73"/>
      <c r="V2170" s="73"/>
      <c r="W2170" s="73"/>
      <c r="X2170" s="73"/>
      <c r="Y2170" s="73"/>
      <c r="Z2170" s="73"/>
      <c r="AA2170" s="73"/>
      <c r="AB2170" s="73"/>
      <c r="AC2170" s="73"/>
      <c r="AD2170" s="73"/>
      <c r="AE2170" s="73"/>
      <c r="AF2170" s="73"/>
      <c r="AG2170" s="73"/>
      <c r="AH2170" s="73"/>
      <c r="AI2170" s="73"/>
      <c r="AJ2170" s="168"/>
      <c r="AK2170" s="73"/>
      <c r="AL2170" s="73"/>
      <c r="AM2170" s="73"/>
      <c r="AN2170" s="73"/>
      <c r="AO2170" s="73"/>
      <c r="AP2170" s="73"/>
      <c r="AQ2170" s="73"/>
      <c r="AR2170" s="73"/>
      <c r="AS2170" s="73"/>
      <c r="AT2170" s="73"/>
      <c r="AU2170" s="73"/>
      <c r="AV2170" s="73"/>
      <c r="AW2170" s="73"/>
      <c r="AX2170" s="73"/>
      <c r="AY2170" s="73"/>
      <c r="AZ2170" s="73"/>
      <c r="BA2170" s="73"/>
      <c r="BB2170" s="73"/>
      <c r="BC2170" s="73"/>
      <c r="BD2170" s="73"/>
      <c r="BE2170" s="73"/>
      <c r="BF2170" s="75"/>
      <c r="BG2170" s="73"/>
      <c r="BH2170" s="88"/>
      <c r="BI2170" s="73"/>
      <c r="BJ2170" s="73"/>
      <c r="BK2170" s="73"/>
      <c r="BL2170" s="73"/>
      <c r="BM2170" s="73"/>
      <c r="BN2170" s="73"/>
      <c r="BO2170" s="73"/>
      <c r="BP2170" s="73"/>
      <c r="BQ2170" s="73"/>
      <c r="BR2170" s="73"/>
      <c r="BS2170" s="73"/>
      <c r="BT2170" s="73"/>
      <c r="BU2170" s="73"/>
      <c r="BV2170" s="73"/>
      <c r="BW2170" s="73"/>
      <c r="BX2170" s="73"/>
      <c r="BY2170" s="73"/>
      <c r="BZ2170" s="73"/>
      <c r="CA2170" s="73"/>
      <c r="CB2170" s="73"/>
      <c r="CC2170" s="73"/>
      <c r="CD2170" s="73"/>
      <c r="CE2170" s="73"/>
      <c r="CF2170" s="73"/>
      <c r="CG2170" s="73"/>
      <c r="CH2170" s="73"/>
    </row>
    <row r="2171">
      <c r="A2171" s="73"/>
      <c r="B2171" s="73"/>
      <c r="C2171" s="73"/>
      <c r="D2171" s="73"/>
      <c r="E2171" s="140"/>
      <c r="F2171" s="80"/>
      <c r="G2171" s="80"/>
      <c r="H2171" s="73"/>
      <c r="I2171" s="73"/>
      <c r="J2171" s="73"/>
      <c r="K2171" s="73"/>
      <c r="L2171" s="73"/>
      <c r="M2171" s="73"/>
      <c r="N2171" s="73"/>
      <c r="O2171" s="73"/>
      <c r="P2171" s="73"/>
      <c r="Q2171" s="73"/>
      <c r="R2171" s="73"/>
      <c r="S2171" s="73"/>
      <c r="T2171" s="73"/>
      <c r="U2171" s="73"/>
      <c r="V2171" s="73"/>
      <c r="W2171" s="73"/>
      <c r="X2171" s="73"/>
      <c r="Y2171" s="73"/>
      <c r="Z2171" s="73"/>
      <c r="AA2171" s="73"/>
      <c r="AB2171" s="73"/>
      <c r="AC2171" s="73"/>
      <c r="AD2171" s="73"/>
      <c r="AE2171" s="73"/>
      <c r="AF2171" s="73"/>
      <c r="AG2171" s="73"/>
      <c r="AH2171" s="73"/>
      <c r="AI2171" s="73"/>
      <c r="AJ2171" s="168"/>
      <c r="AK2171" s="73"/>
      <c r="AL2171" s="73"/>
      <c r="AM2171" s="73"/>
      <c r="AN2171" s="73"/>
      <c r="AO2171" s="73"/>
      <c r="AP2171" s="73"/>
      <c r="AQ2171" s="73"/>
      <c r="AR2171" s="73"/>
      <c r="AS2171" s="73"/>
      <c r="AT2171" s="73"/>
      <c r="AU2171" s="73"/>
      <c r="AV2171" s="73"/>
      <c r="AW2171" s="73"/>
      <c r="AX2171" s="73"/>
      <c r="AY2171" s="73"/>
      <c r="AZ2171" s="73"/>
      <c r="BA2171" s="73"/>
      <c r="BB2171" s="73"/>
      <c r="BC2171" s="73"/>
      <c r="BD2171" s="73"/>
      <c r="BE2171" s="73"/>
      <c r="BF2171" s="75"/>
      <c r="BG2171" s="73"/>
      <c r="BH2171" s="88"/>
      <c r="BI2171" s="73"/>
      <c r="BJ2171" s="73"/>
      <c r="BK2171" s="73"/>
      <c r="BL2171" s="73"/>
      <c r="BM2171" s="73"/>
      <c r="BN2171" s="73"/>
      <c r="BO2171" s="73"/>
      <c r="BP2171" s="73"/>
      <c r="BQ2171" s="73"/>
      <c r="BR2171" s="73"/>
      <c r="BS2171" s="73"/>
      <c r="BT2171" s="73"/>
      <c r="BU2171" s="73"/>
      <c r="BV2171" s="73"/>
      <c r="BW2171" s="73"/>
      <c r="BX2171" s="73"/>
      <c r="BY2171" s="73"/>
      <c r="BZ2171" s="73"/>
      <c r="CA2171" s="73"/>
      <c r="CB2171" s="73"/>
      <c r="CC2171" s="73"/>
      <c r="CD2171" s="73"/>
      <c r="CE2171" s="73"/>
      <c r="CF2171" s="73"/>
      <c r="CG2171" s="73"/>
      <c r="CH2171" s="73"/>
    </row>
    <row r="2172">
      <c r="A2172" s="73"/>
      <c r="B2172" s="73"/>
      <c r="C2172" s="73"/>
      <c r="D2172" s="73"/>
      <c r="E2172" s="140"/>
      <c r="F2172" s="80"/>
      <c r="G2172" s="80"/>
      <c r="H2172" s="73"/>
      <c r="I2172" s="73"/>
      <c r="J2172" s="73"/>
      <c r="K2172" s="73"/>
      <c r="L2172" s="73"/>
      <c r="M2172" s="73"/>
      <c r="N2172" s="73"/>
      <c r="O2172" s="73"/>
      <c r="P2172" s="73"/>
      <c r="Q2172" s="73"/>
      <c r="R2172" s="73"/>
      <c r="S2172" s="73"/>
      <c r="T2172" s="73"/>
      <c r="U2172" s="73"/>
      <c r="V2172" s="73"/>
      <c r="W2172" s="73"/>
      <c r="X2172" s="73"/>
      <c r="Y2172" s="73"/>
      <c r="Z2172" s="73"/>
      <c r="AA2172" s="73"/>
      <c r="AB2172" s="73"/>
      <c r="AC2172" s="73"/>
      <c r="AD2172" s="73"/>
      <c r="AE2172" s="73"/>
      <c r="AF2172" s="73"/>
      <c r="AG2172" s="73"/>
      <c r="AH2172" s="73"/>
      <c r="AI2172" s="73"/>
      <c r="AJ2172" s="168"/>
      <c r="AK2172" s="73"/>
      <c r="AL2172" s="73"/>
      <c r="AM2172" s="73"/>
      <c r="AN2172" s="73"/>
      <c r="AO2172" s="73"/>
      <c r="AP2172" s="73"/>
      <c r="AQ2172" s="73"/>
      <c r="AR2172" s="73"/>
      <c r="AS2172" s="73"/>
      <c r="AT2172" s="73"/>
      <c r="AU2172" s="73"/>
      <c r="AV2172" s="73"/>
      <c r="AW2172" s="73"/>
      <c r="AX2172" s="73"/>
      <c r="AY2172" s="73"/>
      <c r="AZ2172" s="73"/>
      <c r="BA2172" s="73"/>
      <c r="BB2172" s="73"/>
      <c r="BC2172" s="73"/>
      <c r="BD2172" s="73"/>
      <c r="BE2172" s="73"/>
      <c r="BF2172" s="75"/>
      <c r="BG2172" s="73"/>
      <c r="BH2172" s="88"/>
      <c r="BI2172" s="73"/>
      <c r="BJ2172" s="73"/>
      <c r="BK2172" s="73"/>
      <c r="BL2172" s="73"/>
      <c r="BM2172" s="73"/>
      <c r="BN2172" s="73"/>
      <c r="BO2172" s="73"/>
      <c r="BP2172" s="73"/>
      <c r="BQ2172" s="73"/>
      <c r="BR2172" s="73"/>
      <c r="BS2172" s="73"/>
      <c r="BT2172" s="73"/>
      <c r="BU2172" s="73"/>
      <c r="BV2172" s="73"/>
      <c r="BW2172" s="73"/>
      <c r="BX2172" s="73"/>
      <c r="BY2172" s="73"/>
      <c r="BZ2172" s="73"/>
      <c r="CA2172" s="73"/>
      <c r="CB2172" s="73"/>
      <c r="CC2172" s="73"/>
      <c r="CD2172" s="73"/>
      <c r="CE2172" s="73"/>
      <c r="CF2172" s="73"/>
      <c r="CG2172" s="73"/>
      <c r="CH2172" s="73"/>
    </row>
    <row r="2173">
      <c r="A2173" s="73"/>
      <c r="B2173" s="73"/>
      <c r="C2173" s="73"/>
      <c r="D2173" s="73"/>
      <c r="E2173" s="140"/>
      <c r="F2173" s="80"/>
      <c r="G2173" s="80"/>
      <c r="H2173" s="73"/>
      <c r="I2173" s="73"/>
      <c r="J2173" s="73"/>
      <c r="K2173" s="73"/>
      <c r="L2173" s="73"/>
      <c r="M2173" s="73"/>
      <c r="N2173" s="73"/>
      <c r="O2173" s="73"/>
      <c r="P2173" s="73"/>
      <c r="Q2173" s="73"/>
      <c r="R2173" s="73"/>
      <c r="S2173" s="73"/>
      <c r="T2173" s="73"/>
      <c r="U2173" s="73"/>
      <c r="V2173" s="73"/>
      <c r="W2173" s="73"/>
      <c r="X2173" s="73"/>
      <c r="Y2173" s="73"/>
      <c r="Z2173" s="73"/>
      <c r="AA2173" s="73"/>
      <c r="AB2173" s="73"/>
      <c r="AC2173" s="73"/>
      <c r="AD2173" s="73"/>
      <c r="AE2173" s="73"/>
      <c r="AF2173" s="73"/>
      <c r="AG2173" s="73"/>
      <c r="AH2173" s="73"/>
      <c r="AI2173" s="73"/>
      <c r="AJ2173" s="168"/>
      <c r="AK2173" s="73"/>
      <c r="AL2173" s="73"/>
      <c r="AM2173" s="73"/>
      <c r="AN2173" s="73"/>
      <c r="AO2173" s="73"/>
      <c r="AP2173" s="73"/>
      <c r="AQ2173" s="73"/>
      <c r="AR2173" s="73"/>
      <c r="AS2173" s="73"/>
      <c r="AT2173" s="73"/>
      <c r="AU2173" s="73"/>
      <c r="AV2173" s="73"/>
      <c r="AW2173" s="73"/>
      <c r="AX2173" s="73"/>
      <c r="AY2173" s="73"/>
      <c r="AZ2173" s="73"/>
      <c r="BA2173" s="73"/>
      <c r="BB2173" s="73"/>
      <c r="BC2173" s="73"/>
      <c r="BD2173" s="73"/>
      <c r="BE2173" s="73"/>
      <c r="BF2173" s="75"/>
      <c r="BG2173" s="73"/>
      <c r="BH2173" s="88"/>
      <c r="BI2173" s="73"/>
      <c r="BJ2173" s="73"/>
      <c r="BK2173" s="73"/>
      <c r="BL2173" s="73"/>
      <c r="BM2173" s="73"/>
      <c r="BN2173" s="73"/>
      <c r="BO2173" s="73"/>
      <c r="BP2173" s="73"/>
      <c r="BQ2173" s="73"/>
      <c r="BR2173" s="73"/>
      <c r="BS2173" s="73"/>
      <c r="BT2173" s="73"/>
      <c r="BU2173" s="73"/>
      <c r="BV2173" s="73"/>
      <c r="BW2173" s="73"/>
      <c r="BX2173" s="73"/>
      <c r="BY2173" s="73"/>
      <c r="BZ2173" s="73"/>
      <c r="CA2173" s="73"/>
      <c r="CB2173" s="73"/>
      <c r="CC2173" s="73"/>
      <c r="CD2173" s="73"/>
      <c r="CE2173" s="73"/>
      <c r="CF2173" s="73"/>
      <c r="CG2173" s="73"/>
      <c r="CH2173" s="73"/>
    </row>
    <row r="2174">
      <c r="A2174" s="73"/>
      <c r="B2174" s="73"/>
      <c r="C2174" s="73"/>
      <c r="D2174" s="73"/>
      <c r="E2174" s="140"/>
      <c r="F2174" s="80"/>
      <c r="G2174" s="80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  <c r="S2174" s="73"/>
      <c r="T2174" s="73"/>
      <c r="U2174" s="73"/>
      <c r="V2174" s="73"/>
      <c r="W2174" s="73"/>
      <c r="X2174" s="73"/>
      <c r="Y2174" s="73"/>
      <c r="Z2174" s="73"/>
      <c r="AA2174" s="73"/>
      <c r="AB2174" s="73"/>
      <c r="AC2174" s="73"/>
      <c r="AD2174" s="73"/>
      <c r="AE2174" s="73"/>
      <c r="AF2174" s="73"/>
      <c r="AG2174" s="73"/>
      <c r="AH2174" s="73"/>
      <c r="AI2174" s="73"/>
      <c r="AJ2174" s="168"/>
      <c r="AK2174" s="73"/>
      <c r="AL2174" s="73"/>
      <c r="AM2174" s="73"/>
      <c r="AN2174" s="73"/>
      <c r="AO2174" s="73"/>
      <c r="AP2174" s="73"/>
      <c r="AQ2174" s="73"/>
      <c r="AR2174" s="73"/>
      <c r="AS2174" s="73"/>
      <c r="AT2174" s="73"/>
      <c r="AU2174" s="73"/>
      <c r="AV2174" s="73"/>
      <c r="AW2174" s="73"/>
      <c r="AX2174" s="73"/>
      <c r="AY2174" s="73"/>
      <c r="AZ2174" s="73"/>
      <c r="BA2174" s="73"/>
      <c r="BB2174" s="73"/>
      <c r="BC2174" s="73"/>
      <c r="BD2174" s="73"/>
      <c r="BE2174" s="73"/>
      <c r="BF2174" s="75"/>
      <c r="BG2174" s="73"/>
      <c r="BH2174" s="88"/>
      <c r="BI2174" s="73"/>
      <c r="BJ2174" s="73"/>
      <c r="BK2174" s="73"/>
      <c r="BL2174" s="73"/>
      <c r="BM2174" s="73"/>
      <c r="BN2174" s="73"/>
      <c r="BO2174" s="73"/>
      <c r="BP2174" s="73"/>
      <c r="BQ2174" s="73"/>
      <c r="BR2174" s="73"/>
      <c r="BS2174" s="73"/>
      <c r="BT2174" s="73"/>
      <c r="BU2174" s="73"/>
      <c r="BV2174" s="73"/>
      <c r="BW2174" s="73"/>
      <c r="BX2174" s="73"/>
      <c r="BY2174" s="73"/>
      <c r="BZ2174" s="73"/>
      <c r="CA2174" s="73"/>
      <c r="CB2174" s="73"/>
      <c r="CC2174" s="73"/>
      <c r="CD2174" s="73"/>
      <c r="CE2174" s="73"/>
      <c r="CF2174" s="73"/>
      <c r="CG2174" s="73"/>
      <c r="CH2174" s="73"/>
    </row>
    <row r="2175">
      <c r="A2175" s="73"/>
      <c r="B2175" s="73"/>
      <c r="C2175" s="73"/>
      <c r="D2175" s="73"/>
      <c r="E2175" s="140"/>
      <c r="F2175" s="80"/>
      <c r="G2175" s="80"/>
      <c r="H2175" s="73"/>
      <c r="I2175" s="73"/>
      <c r="J2175" s="73"/>
      <c r="K2175" s="73"/>
      <c r="L2175" s="73"/>
      <c r="M2175" s="73"/>
      <c r="N2175" s="73"/>
      <c r="O2175" s="73"/>
      <c r="P2175" s="73"/>
      <c r="Q2175" s="73"/>
      <c r="R2175" s="73"/>
      <c r="S2175" s="73"/>
      <c r="T2175" s="73"/>
      <c r="U2175" s="73"/>
      <c r="V2175" s="73"/>
      <c r="W2175" s="73"/>
      <c r="X2175" s="73"/>
      <c r="Y2175" s="73"/>
      <c r="Z2175" s="73"/>
      <c r="AA2175" s="73"/>
      <c r="AB2175" s="73"/>
      <c r="AC2175" s="73"/>
      <c r="AD2175" s="73"/>
      <c r="AE2175" s="73"/>
      <c r="AF2175" s="73"/>
      <c r="AG2175" s="73"/>
      <c r="AH2175" s="73"/>
      <c r="AI2175" s="73"/>
      <c r="AJ2175" s="168"/>
      <c r="AK2175" s="73"/>
      <c r="AL2175" s="73"/>
      <c r="AM2175" s="73"/>
      <c r="AN2175" s="73"/>
      <c r="AO2175" s="73"/>
      <c r="AP2175" s="73"/>
      <c r="AQ2175" s="73"/>
      <c r="AR2175" s="73"/>
      <c r="AS2175" s="73"/>
      <c r="AT2175" s="73"/>
      <c r="AU2175" s="73"/>
      <c r="AV2175" s="73"/>
      <c r="AW2175" s="73"/>
      <c r="AX2175" s="73"/>
      <c r="AY2175" s="73"/>
      <c r="AZ2175" s="73"/>
      <c r="BA2175" s="73"/>
      <c r="BB2175" s="73"/>
      <c r="BC2175" s="73"/>
      <c r="BD2175" s="73"/>
      <c r="BE2175" s="73"/>
      <c r="BF2175" s="75"/>
      <c r="BG2175" s="73"/>
      <c r="BH2175" s="88"/>
      <c r="BI2175" s="73"/>
      <c r="BJ2175" s="73"/>
      <c r="BK2175" s="73"/>
      <c r="BL2175" s="73"/>
      <c r="BM2175" s="73"/>
      <c r="BN2175" s="73"/>
      <c r="BO2175" s="73"/>
      <c r="BP2175" s="73"/>
      <c r="BQ2175" s="73"/>
      <c r="BR2175" s="73"/>
      <c r="BS2175" s="73"/>
      <c r="BT2175" s="73"/>
      <c r="BU2175" s="73"/>
      <c r="BV2175" s="73"/>
      <c r="BW2175" s="73"/>
      <c r="BX2175" s="73"/>
      <c r="BY2175" s="73"/>
      <c r="BZ2175" s="73"/>
      <c r="CA2175" s="73"/>
      <c r="CB2175" s="73"/>
      <c r="CC2175" s="73"/>
      <c r="CD2175" s="73"/>
      <c r="CE2175" s="73"/>
      <c r="CF2175" s="73"/>
      <c r="CG2175" s="73"/>
      <c r="CH2175" s="73"/>
    </row>
    <row r="2176">
      <c r="A2176" s="73"/>
      <c r="B2176" s="73"/>
      <c r="C2176" s="73"/>
      <c r="D2176" s="73"/>
      <c r="E2176" s="140"/>
      <c r="F2176" s="80"/>
      <c r="G2176" s="80"/>
      <c r="H2176" s="73"/>
      <c r="I2176" s="73"/>
      <c r="J2176" s="73"/>
      <c r="K2176" s="73"/>
      <c r="L2176" s="73"/>
      <c r="M2176" s="73"/>
      <c r="N2176" s="73"/>
      <c r="O2176" s="73"/>
      <c r="P2176" s="73"/>
      <c r="Q2176" s="73"/>
      <c r="R2176" s="73"/>
      <c r="S2176" s="73"/>
      <c r="T2176" s="73"/>
      <c r="U2176" s="73"/>
      <c r="V2176" s="73"/>
      <c r="W2176" s="73"/>
      <c r="X2176" s="73"/>
      <c r="Y2176" s="73"/>
      <c r="Z2176" s="73"/>
      <c r="AA2176" s="73"/>
      <c r="AB2176" s="73"/>
      <c r="AC2176" s="73"/>
      <c r="AD2176" s="73"/>
      <c r="AE2176" s="73"/>
      <c r="AF2176" s="73"/>
      <c r="AG2176" s="73"/>
      <c r="AH2176" s="73"/>
      <c r="AI2176" s="73"/>
      <c r="AJ2176" s="168"/>
      <c r="AK2176" s="73"/>
      <c r="AL2176" s="73"/>
      <c r="AM2176" s="73"/>
      <c r="AN2176" s="73"/>
      <c r="AO2176" s="73"/>
      <c r="AP2176" s="73"/>
      <c r="AQ2176" s="73"/>
      <c r="AR2176" s="73"/>
      <c r="AS2176" s="73"/>
      <c r="AT2176" s="73"/>
      <c r="AU2176" s="73"/>
      <c r="AV2176" s="73"/>
      <c r="AW2176" s="73"/>
      <c r="AX2176" s="73"/>
      <c r="AY2176" s="73"/>
      <c r="AZ2176" s="73"/>
      <c r="BA2176" s="73"/>
      <c r="BB2176" s="73"/>
      <c r="BC2176" s="73"/>
      <c r="BD2176" s="73"/>
      <c r="BE2176" s="73"/>
      <c r="BF2176" s="75"/>
      <c r="BG2176" s="73"/>
      <c r="BH2176" s="88"/>
      <c r="BI2176" s="73"/>
      <c r="BJ2176" s="73"/>
      <c r="BK2176" s="73"/>
      <c r="BL2176" s="73"/>
      <c r="BM2176" s="73"/>
      <c r="BN2176" s="73"/>
      <c r="BO2176" s="73"/>
      <c r="BP2176" s="73"/>
      <c r="BQ2176" s="73"/>
      <c r="BR2176" s="73"/>
      <c r="BS2176" s="73"/>
      <c r="BT2176" s="73"/>
      <c r="BU2176" s="73"/>
      <c r="BV2176" s="73"/>
      <c r="BW2176" s="73"/>
      <c r="BX2176" s="73"/>
      <c r="BY2176" s="73"/>
      <c r="BZ2176" s="73"/>
      <c r="CA2176" s="73"/>
      <c r="CB2176" s="73"/>
      <c r="CC2176" s="73"/>
      <c r="CD2176" s="73"/>
      <c r="CE2176" s="73"/>
      <c r="CF2176" s="73"/>
      <c r="CG2176" s="73"/>
      <c r="CH2176" s="73"/>
    </row>
    <row r="2177">
      <c r="A2177" s="73"/>
      <c r="B2177" s="73"/>
      <c r="C2177" s="73"/>
      <c r="D2177" s="73"/>
      <c r="E2177" s="140"/>
      <c r="F2177" s="80"/>
      <c r="G2177" s="80"/>
      <c r="H2177" s="73"/>
      <c r="I2177" s="73"/>
      <c r="J2177" s="73"/>
      <c r="K2177" s="73"/>
      <c r="L2177" s="73"/>
      <c r="M2177" s="73"/>
      <c r="N2177" s="73"/>
      <c r="O2177" s="73"/>
      <c r="P2177" s="73"/>
      <c r="Q2177" s="73"/>
      <c r="R2177" s="73"/>
      <c r="S2177" s="73"/>
      <c r="T2177" s="73"/>
      <c r="U2177" s="73"/>
      <c r="V2177" s="73"/>
      <c r="W2177" s="73"/>
      <c r="X2177" s="73"/>
      <c r="Y2177" s="73"/>
      <c r="Z2177" s="73"/>
      <c r="AA2177" s="73"/>
      <c r="AB2177" s="73"/>
      <c r="AC2177" s="73"/>
      <c r="AD2177" s="73"/>
      <c r="AE2177" s="73"/>
      <c r="AF2177" s="73"/>
      <c r="AG2177" s="73"/>
      <c r="AH2177" s="73"/>
      <c r="AI2177" s="73"/>
      <c r="AJ2177" s="168"/>
      <c r="AK2177" s="73"/>
      <c r="AL2177" s="73"/>
      <c r="AM2177" s="73"/>
      <c r="AN2177" s="73"/>
      <c r="AO2177" s="73"/>
      <c r="AP2177" s="73"/>
      <c r="AQ2177" s="73"/>
      <c r="AR2177" s="73"/>
      <c r="AS2177" s="73"/>
      <c r="AT2177" s="73"/>
      <c r="AU2177" s="73"/>
      <c r="AV2177" s="73"/>
      <c r="AW2177" s="73"/>
      <c r="AX2177" s="73"/>
      <c r="AY2177" s="73"/>
      <c r="AZ2177" s="73"/>
      <c r="BA2177" s="73"/>
      <c r="BB2177" s="73"/>
      <c r="BC2177" s="73"/>
      <c r="BD2177" s="73"/>
      <c r="BE2177" s="73"/>
      <c r="BF2177" s="75"/>
      <c r="BG2177" s="73"/>
      <c r="BH2177" s="88"/>
      <c r="BI2177" s="73"/>
      <c r="BJ2177" s="73"/>
      <c r="BK2177" s="73"/>
      <c r="BL2177" s="73"/>
      <c r="BM2177" s="73"/>
      <c r="BN2177" s="73"/>
      <c r="BO2177" s="73"/>
      <c r="BP2177" s="73"/>
      <c r="BQ2177" s="73"/>
      <c r="BR2177" s="73"/>
      <c r="BS2177" s="73"/>
      <c r="BT2177" s="73"/>
      <c r="BU2177" s="73"/>
      <c r="BV2177" s="73"/>
      <c r="BW2177" s="73"/>
      <c r="BX2177" s="73"/>
      <c r="BY2177" s="73"/>
      <c r="BZ2177" s="73"/>
      <c r="CA2177" s="73"/>
      <c r="CB2177" s="73"/>
      <c r="CC2177" s="73"/>
      <c r="CD2177" s="73"/>
      <c r="CE2177" s="73"/>
      <c r="CF2177" s="73"/>
      <c r="CG2177" s="73"/>
      <c r="CH2177" s="73"/>
    </row>
    <row r="2178">
      <c r="A2178" s="73"/>
      <c r="B2178" s="73"/>
      <c r="C2178" s="73"/>
      <c r="D2178" s="73"/>
      <c r="E2178" s="140"/>
      <c r="F2178" s="80"/>
      <c r="G2178" s="80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  <c r="S2178" s="73"/>
      <c r="T2178" s="73"/>
      <c r="U2178" s="73"/>
      <c r="V2178" s="73"/>
      <c r="W2178" s="73"/>
      <c r="X2178" s="73"/>
      <c r="Y2178" s="73"/>
      <c r="Z2178" s="73"/>
      <c r="AA2178" s="73"/>
      <c r="AB2178" s="73"/>
      <c r="AC2178" s="73"/>
      <c r="AD2178" s="73"/>
      <c r="AE2178" s="73"/>
      <c r="AF2178" s="73"/>
      <c r="AG2178" s="73"/>
      <c r="AH2178" s="73"/>
      <c r="AI2178" s="73"/>
      <c r="AJ2178" s="168"/>
      <c r="AK2178" s="73"/>
      <c r="AL2178" s="73"/>
      <c r="AM2178" s="73"/>
      <c r="AN2178" s="73"/>
      <c r="AO2178" s="73"/>
      <c r="AP2178" s="73"/>
      <c r="AQ2178" s="73"/>
      <c r="AR2178" s="73"/>
      <c r="AS2178" s="73"/>
      <c r="AT2178" s="73"/>
      <c r="AU2178" s="73"/>
      <c r="AV2178" s="73"/>
      <c r="AW2178" s="73"/>
      <c r="AX2178" s="73"/>
      <c r="AY2178" s="73"/>
      <c r="AZ2178" s="73"/>
      <c r="BA2178" s="73"/>
      <c r="BB2178" s="73"/>
      <c r="BC2178" s="73"/>
      <c r="BD2178" s="73"/>
      <c r="BE2178" s="73"/>
      <c r="BF2178" s="75"/>
      <c r="BG2178" s="73"/>
      <c r="BH2178" s="88"/>
      <c r="BI2178" s="73"/>
      <c r="BJ2178" s="73"/>
      <c r="BK2178" s="73"/>
      <c r="BL2178" s="73"/>
      <c r="BM2178" s="73"/>
      <c r="BN2178" s="73"/>
      <c r="BO2178" s="73"/>
      <c r="BP2178" s="73"/>
      <c r="BQ2178" s="73"/>
      <c r="BR2178" s="73"/>
      <c r="BS2178" s="73"/>
      <c r="BT2178" s="73"/>
      <c r="BU2178" s="73"/>
      <c r="BV2178" s="73"/>
      <c r="BW2178" s="73"/>
      <c r="BX2178" s="73"/>
      <c r="BY2178" s="73"/>
      <c r="BZ2178" s="73"/>
      <c r="CA2178" s="73"/>
      <c r="CB2178" s="73"/>
      <c r="CC2178" s="73"/>
      <c r="CD2178" s="73"/>
      <c r="CE2178" s="73"/>
      <c r="CF2178" s="73"/>
      <c r="CG2178" s="73"/>
      <c r="CH2178" s="73"/>
    </row>
    <row r="2179">
      <c r="A2179" s="73"/>
      <c r="B2179" s="73"/>
      <c r="C2179" s="73"/>
      <c r="D2179" s="73"/>
      <c r="E2179" s="140"/>
      <c r="F2179" s="80"/>
      <c r="G2179" s="80"/>
      <c r="H2179" s="73"/>
      <c r="I2179" s="73"/>
      <c r="J2179" s="73"/>
      <c r="K2179" s="73"/>
      <c r="L2179" s="73"/>
      <c r="M2179" s="73"/>
      <c r="N2179" s="73"/>
      <c r="O2179" s="73"/>
      <c r="P2179" s="73"/>
      <c r="Q2179" s="73"/>
      <c r="R2179" s="73"/>
      <c r="S2179" s="73"/>
      <c r="T2179" s="73"/>
      <c r="U2179" s="73"/>
      <c r="V2179" s="73"/>
      <c r="W2179" s="73"/>
      <c r="X2179" s="73"/>
      <c r="Y2179" s="73"/>
      <c r="Z2179" s="73"/>
      <c r="AA2179" s="73"/>
      <c r="AB2179" s="73"/>
      <c r="AC2179" s="73"/>
      <c r="AD2179" s="73"/>
      <c r="AE2179" s="73"/>
      <c r="AF2179" s="73"/>
      <c r="AG2179" s="73"/>
      <c r="AH2179" s="73"/>
      <c r="AI2179" s="73"/>
      <c r="AJ2179" s="168"/>
      <c r="AK2179" s="73"/>
      <c r="AL2179" s="73"/>
      <c r="AM2179" s="73"/>
      <c r="AN2179" s="73"/>
      <c r="AO2179" s="73"/>
      <c r="AP2179" s="73"/>
      <c r="AQ2179" s="73"/>
      <c r="AR2179" s="73"/>
      <c r="AS2179" s="73"/>
      <c r="AT2179" s="73"/>
      <c r="AU2179" s="73"/>
      <c r="AV2179" s="73"/>
      <c r="AW2179" s="73"/>
      <c r="AX2179" s="73"/>
      <c r="AY2179" s="73"/>
      <c r="AZ2179" s="73"/>
      <c r="BA2179" s="73"/>
      <c r="BB2179" s="73"/>
      <c r="BC2179" s="73"/>
      <c r="BD2179" s="73"/>
      <c r="BE2179" s="73"/>
      <c r="BF2179" s="75"/>
      <c r="BG2179" s="73"/>
      <c r="BH2179" s="88"/>
      <c r="BI2179" s="73"/>
      <c r="BJ2179" s="73"/>
      <c r="BK2179" s="73"/>
      <c r="BL2179" s="73"/>
      <c r="BM2179" s="73"/>
      <c r="BN2179" s="73"/>
      <c r="BO2179" s="73"/>
      <c r="BP2179" s="73"/>
      <c r="BQ2179" s="73"/>
      <c r="BR2179" s="73"/>
      <c r="BS2179" s="73"/>
      <c r="BT2179" s="73"/>
      <c r="BU2179" s="73"/>
      <c r="BV2179" s="73"/>
      <c r="BW2179" s="73"/>
      <c r="BX2179" s="73"/>
      <c r="BY2179" s="73"/>
      <c r="BZ2179" s="73"/>
      <c r="CA2179" s="73"/>
      <c r="CB2179" s="73"/>
      <c r="CC2179" s="73"/>
      <c r="CD2179" s="73"/>
      <c r="CE2179" s="73"/>
      <c r="CF2179" s="73"/>
      <c r="CG2179" s="73"/>
      <c r="CH2179" s="73"/>
    </row>
    <row r="2180">
      <c r="A2180" s="73"/>
      <c r="B2180" s="73"/>
      <c r="C2180" s="73"/>
      <c r="D2180" s="73"/>
      <c r="E2180" s="140"/>
      <c r="F2180" s="80"/>
      <c r="G2180" s="80"/>
      <c r="H2180" s="73"/>
      <c r="I2180" s="73"/>
      <c r="J2180" s="73"/>
      <c r="K2180" s="73"/>
      <c r="L2180" s="73"/>
      <c r="M2180" s="73"/>
      <c r="N2180" s="73"/>
      <c r="O2180" s="73"/>
      <c r="P2180" s="73"/>
      <c r="Q2180" s="73"/>
      <c r="R2180" s="73"/>
      <c r="S2180" s="73"/>
      <c r="T2180" s="73"/>
      <c r="U2180" s="73"/>
      <c r="V2180" s="73"/>
      <c r="W2180" s="73"/>
      <c r="X2180" s="73"/>
      <c r="Y2180" s="73"/>
      <c r="Z2180" s="73"/>
      <c r="AA2180" s="73"/>
      <c r="AB2180" s="73"/>
      <c r="AC2180" s="73"/>
      <c r="AD2180" s="73"/>
      <c r="AE2180" s="73"/>
      <c r="AF2180" s="73"/>
      <c r="AG2180" s="73"/>
      <c r="AH2180" s="73"/>
      <c r="AI2180" s="73"/>
      <c r="AJ2180" s="168"/>
      <c r="AK2180" s="73"/>
      <c r="AL2180" s="73"/>
      <c r="AM2180" s="73"/>
      <c r="AN2180" s="73"/>
      <c r="AO2180" s="73"/>
      <c r="AP2180" s="73"/>
      <c r="AQ2180" s="73"/>
      <c r="AR2180" s="73"/>
      <c r="AS2180" s="73"/>
      <c r="AT2180" s="73"/>
      <c r="AU2180" s="73"/>
      <c r="AV2180" s="73"/>
      <c r="AW2180" s="73"/>
      <c r="AX2180" s="73"/>
      <c r="AY2180" s="73"/>
      <c r="AZ2180" s="73"/>
      <c r="BA2180" s="73"/>
      <c r="BB2180" s="73"/>
      <c r="BC2180" s="73"/>
      <c r="BD2180" s="73"/>
      <c r="BE2180" s="73"/>
      <c r="BF2180" s="75"/>
      <c r="BG2180" s="73"/>
      <c r="BH2180" s="88"/>
      <c r="BI2180" s="73"/>
      <c r="BJ2180" s="73"/>
      <c r="BK2180" s="73"/>
      <c r="BL2180" s="73"/>
      <c r="BM2180" s="73"/>
      <c r="BN2180" s="73"/>
      <c r="BO2180" s="73"/>
      <c r="BP2180" s="73"/>
      <c r="BQ2180" s="73"/>
      <c r="BR2180" s="73"/>
      <c r="BS2180" s="73"/>
      <c r="BT2180" s="73"/>
      <c r="BU2180" s="73"/>
      <c r="BV2180" s="73"/>
      <c r="BW2180" s="73"/>
      <c r="BX2180" s="73"/>
      <c r="BY2180" s="73"/>
      <c r="BZ2180" s="73"/>
      <c r="CA2180" s="73"/>
      <c r="CB2180" s="73"/>
      <c r="CC2180" s="73"/>
      <c r="CD2180" s="73"/>
      <c r="CE2180" s="73"/>
      <c r="CF2180" s="73"/>
      <c r="CG2180" s="73"/>
      <c r="CH2180" s="73"/>
    </row>
    <row r="2181">
      <c r="A2181" s="73"/>
      <c r="B2181" s="73"/>
      <c r="C2181" s="73"/>
      <c r="D2181" s="73"/>
      <c r="E2181" s="140"/>
      <c r="F2181" s="80"/>
      <c r="G2181" s="80"/>
      <c r="H2181" s="73"/>
      <c r="I2181" s="73"/>
      <c r="J2181" s="73"/>
      <c r="K2181" s="73"/>
      <c r="L2181" s="73"/>
      <c r="M2181" s="73"/>
      <c r="N2181" s="73"/>
      <c r="O2181" s="73"/>
      <c r="P2181" s="73"/>
      <c r="Q2181" s="73"/>
      <c r="R2181" s="73"/>
      <c r="S2181" s="73"/>
      <c r="T2181" s="73"/>
      <c r="U2181" s="73"/>
      <c r="V2181" s="73"/>
      <c r="W2181" s="73"/>
      <c r="X2181" s="73"/>
      <c r="Y2181" s="73"/>
      <c r="Z2181" s="73"/>
      <c r="AA2181" s="73"/>
      <c r="AB2181" s="73"/>
      <c r="AC2181" s="73"/>
      <c r="AD2181" s="73"/>
      <c r="AE2181" s="73"/>
      <c r="AF2181" s="73"/>
      <c r="AG2181" s="73"/>
      <c r="AH2181" s="73"/>
      <c r="AI2181" s="73"/>
      <c r="AJ2181" s="168"/>
      <c r="AK2181" s="73"/>
      <c r="AL2181" s="73"/>
      <c r="AM2181" s="73"/>
      <c r="AN2181" s="73"/>
      <c r="AO2181" s="73"/>
      <c r="AP2181" s="73"/>
      <c r="AQ2181" s="73"/>
      <c r="AR2181" s="73"/>
      <c r="AS2181" s="73"/>
      <c r="AT2181" s="73"/>
      <c r="AU2181" s="73"/>
      <c r="AV2181" s="73"/>
      <c r="AW2181" s="73"/>
      <c r="AX2181" s="73"/>
      <c r="AY2181" s="73"/>
      <c r="AZ2181" s="73"/>
      <c r="BA2181" s="73"/>
      <c r="BB2181" s="73"/>
      <c r="BC2181" s="73"/>
      <c r="BD2181" s="73"/>
      <c r="BE2181" s="73"/>
      <c r="BF2181" s="75"/>
      <c r="BG2181" s="73"/>
      <c r="BH2181" s="88"/>
      <c r="BI2181" s="73"/>
      <c r="BJ2181" s="73"/>
      <c r="BK2181" s="73"/>
      <c r="BL2181" s="73"/>
      <c r="BM2181" s="73"/>
      <c r="BN2181" s="73"/>
      <c r="BO2181" s="73"/>
      <c r="BP2181" s="73"/>
      <c r="BQ2181" s="73"/>
      <c r="BR2181" s="73"/>
      <c r="BS2181" s="73"/>
      <c r="BT2181" s="73"/>
      <c r="BU2181" s="73"/>
      <c r="BV2181" s="73"/>
      <c r="BW2181" s="73"/>
      <c r="BX2181" s="73"/>
      <c r="BY2181" s="73"/>
      <c r="BZ2181" s="73"/>
      <c r="CA2181" s="73"/>
      <c r="CB2181" s="73"/>
      <c r="CC2181" s="73"/>
      <c r="CD2181" s="73"/>
      <c r="CE2181" s="73"/>
      <c r="CF2181" s="73"/>
      <c r="CG2181" s="73"/>
      <c r="CH2181" s="73"/>
    </row>
    <row r="2182">
      <c r="A2182" s="73"/>
      <c r="B2182" s="73"/>
      <c r="C2182" s="73"/>
      <c r="D2182" s="73"/>
      <c r="E2182" s="140"/>
      <c r="F2182" s="80"/>
      <c r="G2182" s="80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  <c r="S2182" s="73"/>
      <c r="T2182" s="73"/>
      <c r="U2182" s="73"/>
      <c r="V2182" s="73"/>
      <c r="W2182" s="73"/>
      <c r="X2182" s="73"/>
      <c r="Y2182" s="73"/>
      <c r="Z2182" s="73"/>
      <c r="AA2182" s="73"/>
      <c r="AB2182" s="73"/>
      <c r="AC2182" s="73"/>
      <c r="AD2182" s="73"/>
      <c r="AE2182" s="73"/>
      <c r="AF2182" s="73"/>
      <c r="AG2182" s="73"/>
      <c r="AH2182" s="73"/>
      <c r="AI2182" s="73"/>
      <c r="AJ2182" s="168"/>
      <c r="AK2182" s="73"/>
      <c r="AL2182" s="73"/>
      <c r="AM2182" s="73"/>
      <c r="AN2182" s="73"/>
      <c r="AO2182" s="73"/>
      <c r="AP2182" s="73"/>
      <c r="AQ2182" s="73"/>
      <c r="AR2182" s="73"/>
      <c r="AS2182" s="73"/>
      <c r="AT2182" s="73"/>
      <c r="AU2182" s="73"/>
      <c r="AV2182" s="73"/>
      <c r="AW2182" s="73"/>
      <c r="AX2182" s="73"/>
      <c r="AY2182" s="73"/>
      <c r="AZ2182" s="73"/>
      <c r="BA2182" s="73"/>
      <c r="BB2182" s="73"/>
      <c r="BC2182" s="73"/>
      <c r="BD2182" s="73"/>
      <c r="BE2182" s="73"/>
      <c r="BF2182" s="75"/>
      <c r="BG2182" s="73"/>
      <c r="BH2182" s="88"/>
      <c r="BI2182" s="73"/>
      <c r="BJ2182" s="73"/>
      <c r="BK2182" s="73"/>
      <c r="BL2182" s="73"/>
      <c r="BM2182" s="73"/>
      <c r="BN2182" s="73"/>
      <c r="BO2182" s="73"/>
      <c r="BP2182" s="73"/>
      <c r="BQ2182" s="73"/>
      <c r="BR2182" s="73"/>
      <c r="BS2182" s="73"/>
      <c r="BT2182" s="73"/>
      <c r="BU2182" s="73"/>
      <c r="BV2182" s="73"/>
      <c r="BW2182" s="73"/>
      <c r="BX2182" s="73"/>
      <c r="BY2182" s="73"/>
      <c r="BZ2182" s="73"/>
      <c r="CA2182" s="73"/>
      <c r="CB2182" s="73"/>
      <c r="CC2182" s="73"/>
      <c r="CD2182" s="73"/>
      <c r="CE2182" s="73"/>
      <c r="CF2182" s="73"/>
      <c r="CG2182" s="73"/>
      <c r="CH2182" s="73"/>
    </row>
    <row r="2183">
      <c r="A2183" s="73"/>
      <c r="B2183" s="73"/>
      <c r="C2183" s="73"/>
      <c r="D2183" s="73"/>
      <c r="E2183" s="140"/>
      <c r="F2183" s="80"/>
      <c r="G2183" s="80"/>
      <c r="H2183" s="73"/>
      <c r="I2183" s="73"/>
      <c r="J2183" s="73"/>
      <c r="K2183" s="73"/>
      <c r="L2183" s="73"/>
      <c r="M2183" s="73"/>
      <c r="N2183" s="73"/>
      <c r="O2183" s="73"/>
      <c r="P2183" s="73"/>
      <c r="Q2183" s="73"/>
      <c r="R2183" s="73"/>
      <c r="S2183" s="73"/>
      <c r="T2183" s="73"/>
      <c r="U2183" s="73"/>
      <c r="V2183" s="73"/>
      <c r="W2183" s="73"/>
      <c r="X2183" s="73"/>
      <c r="Y2183" s="73"/>
      <c r="Z2183" s="73"/>
      <c r="AA2183" s="73"/>
      <c r="AB2183" s="73"/>
      <c r="AC2183" s="73"/>
      <c r="AD2183" s="73"/>
      <c r="AE2183" s="73"/>
      <c r="AF2183" s="73"/>
      <c r="AG2183" s="73"/>
      <c r="AH2183" s="73"/>
      <c r="AI2183" s="73"/>
      <c r="AJ2183" s="168"/>
      <c r="AK2183" s="73"/>
      <c r="AL2183" s="73"/>
      <c r="AM2183" s="73"/>
      <c r="AN2183" s="73"/>
      <c r="AO2183" s="73"/>
      <c r="AP2183" s="73"/>
      <c r="AQ2183" s="73"/>
      <c r="AR2183" s="73"/>
      <c r="AS2183" s="73"/>
      <c r="AT2183" s="73"/>
      <c r="AU2183" s="73"/>
      <c r="AV2183" s="73"/>
      <c r="AW2183" s="73"/>
      <c r="AX2183" s="73"/>
      <c r="AY2183" s="73"/>
      <c r="AZ2183" s="73"/>
      <c r="BA2183" s="73"/>
      <c r="BB2183" s="73"/>
      <c r="BC2183" s="73"/>
      <c r="BD2183" s="73"/>
      <c r="BE2183" s="73"/>
      <c r="BF2183" s="75"/>
      <c r="BG2183" s="73"/>
      <c r="BH2183" s="88"/>
      <c r="BI2183" s="73"/>
      <c r="BJ2183" s="73"/>
      <c r="BK2183" s="73"/>
      <c r="BL2183" s="73"/>
      <c r="BM2183" s="73"/>
      <c r="BN2183" s="73"/>
      <c r="BO2183" s="73"/>
      <c r="BP2183" s="73"/>
      <c r="BQ2183" s="73"/>
      <c r="BR2183" s="73"/>
      <c r="BS2183" s="73"/>
      <c r="BT2183" s="73"/>
      <c r="BU2183" s="73"/>
      <c r="BV2183" s="73"/>
      <c r="BW2183" s="73"/>
      <c r="BX2183" s="73"/>
      <c r="BY2183" s="73"/>
      <c r="BZ2183" s="73"/>
      <c r="CA2183" s="73"/>
      <c r="CB2183" s="73"/>
      <c r="CC2183" s="73"/>
      <c r="CD2183" s="73"/>
      <c r="CE2183" s="73"/>
      <c r="CF2183" s="73"/>
      <c r="CG2183" s="73"/>
      <c r="CH2183" s="73"/>
    </row>
    <row r="2184">
      <c r="A2184" s="73"/>
      <c r="B2184" s="73"/>
      <c r="C2184" s="73"/>
      <c r="D2184" s="73"/>
      <c r="E2184" s="140"/>
      <c r="F2184" s="80"/>
      <c r="G2184" s="80"/>
      <c r="H2184" s="73"/>
      <c r="I2184" s="73"/>
      <c r="J2184" s="73"/>
      <c r="K2184" s="73"/>
      <c r="L2184" s="73"/>
      <c r="M2184" s="73"/>
      <c r="N2184" s="73"/>
      <c r="O2184" s="73"/>
      <c r="P2184" s="73"/>
      <c r="Q2184" s="73"/>
      <c r="R2184" s="73"/>
      <c r="S2184" s="73"/>
      <c r="T2184" s="73"/>
      <c r="U2184" s="73"/>
      <c r="V2184" s="73"/>
      <c r="W2184" s="73"/>
      <c r="X2184" s="73"/>
      <c r="Y2184" s="73"/>
      <c r="Z2184" s="73"/>
      <c r="AA2184" s="73"/>
      <c r="AB2184" s="73"/>
      <c r="AC2184" s="73"/>
      <c r="AD2184" s="73"/>
      <c r="AE2184" s="73"/>
      <c r="AF2184" s="73"/>
      <c r="AG2184" s="73"/>
      <c r="AH2184" s="73"/>
      <c r="AI2184" s="73"/>
      <c r="AJ2184" s="168"/>
      <c r="AK2184" s="73"/>
      <c r="AL2184" s="73"/>
      <c r="AM2184" s="73"/>
      <c r="AN2184" s="73"/>
      <c r="AO2184" s="73"/>
      <c r="AP2184" s="73"/>
      <c r="AQ2184" s="73"/>
      <c r="AR2184" s="73"/>
      <c r="AS2184" s="73"/>
      <c r="AT2184" s="73"/>
      <c r="AU2184" s="73"/>
      <c r="AV2184" s="73"/>
      <c r="AW2184" s="73"/>
      <c r="AX2184" s="73"/>
      <c r="AY2184" s="73"/>
      <c r="AZ2184" s="73"/>
      <c r="BA2184" s="73"/>
      <c r="BB2184" s="73"/>
      <c r="BC2184" s="73"/>
      <c r="BD2184" s="73"/>
      <c r="BE2184" s="73"/>
      <c r="BF2184" s="75"/>
      <c r="BG2184" s="73"/>
      <c r="BH2184" s="88"/>
      <c r="BI2184" s="73"/>
      <c r="BJ2184" s="73"/>
      <c r="BK2184" s="73"/>
      <c r="BL2184" s="73"/>
      <c r="BM2184" s="73"/>
      <c r="BN2184" s="73"/>
      <c r="BO2184" s="73"/>
      <c r="BP2184" s="73"/>
      <c r="BQ2184" s="73"/>
      <c r="BR2184" s="73"/>
      <c r="BS2184" s="73"/>
      <c r="BT2184" s="73"/>
      <c r="BU2184" s="73"/>
      <c r="BV2184" s="73"/>
      <c r="BW2184" s="73"/>
      <c r="BX2184" s="73"/>
      <c r="BY2184" s="73"/>
      <c r="BZ2184" s="73"/>
      <c r="CA2184" s="73"/>
      <c r="CB2184" s="73"/>
      <c r="CC2184" s="73"/>
      <c r="CD2184" s="73"/>
      <c r="CE2184" s="73"/>
      <c r="CF2184" s="73"/>
      <c r="CG2184" s="73"/>
      <c r="CH2184" s="73"/>
    </row>
    <row r="2185">
      <c r="A2185" s="73"/>
      <c r="B2185" s="73"/>
      <c r="C2185" s="73"/>
      <c r="D2185" s="73"/>
      <c r="E2185" s="140"/>
      <c r="F2185" s="80"/>
      <c r="G2185" s="80"/>
      <c r="H2185" s="73"/>
      <c r="I2185" s="73"/>
      <c r="J2185" s="73"/>
      <c r="K2185" s="73"/>
      <c r="L2185" s="73"/>
      <c r="M2185" s="73"/>
      <c r="N2185" s="73"/>
      <c r="O2185" s="73"/>
      <c r="P2185" s="73"/>
      <c r="Q2185" s="73"/>
      <c r="R2185" s="73"/>
      <c r="S2185" s="73"/>
      <c r="T2185" s="73"/>
      <c r="U2185" s="73"/>
      <c r="V2185" s="73"/>
      <c r="W2185" s="73"/>
      <c r="X2185" s="73"/>
      <c r="Y2185" s="73"/>
      <c r="Z2185" s="73"/>
      <c r="AA2185" s="73"/>
      <c r="AB2185" s="73"/>
      <c r="AC2185" s="73"/>
      <c r="AD2185" s="73"/>
      <c r="AE2185" s="73"/>
      <c r="AF2185" s="73"/>
      <c r="AG2185" s="73"/>
      <c r="AH2185" s="73"/>
      <c r="AI2185" s="73"/>
      <c r="AJ2185" s="168"/>
      <c r="AK2185" s="73"/>
      <c r="AL2185" s="73"/>
      <c r="AM2185" s="73"/>
      <c r="AN2185" s="73"/>
      <c r="AO2185" s="73"/>
      <c r="AP2185" s="73"/>
      <c r="AQ2185" s="73"/>
      <c r="AR2185" s="73"/>
      <c r="AS2185" s="73"/>
      <c r="AT2185" s="73"/>
      <c r="AU2185" s="73"/>
      <c r="AV2185" s="73"/>
      <c r="AW2185" s="73"/>
      <c r="AX2185" s="73"/>
      <c r="AY2185" s="73"/>
      <c r="AZ2185" s="73"/>
      <c r="BA2185" s="73"/>
      <c r="BB2185" s="73"/>
      <c r="BC2185" s="73"/>
      <c r="BD2185" s="73"/>
      <c r="BE2185" s="73"/>
      <c r="BF2185" s="75"/>
      <c r="BG2185" s="73"/>
      <c r="BH2185" s="88"/>
      <c r="BI2185" s="73"/>
      <c r="BJ2185" s="73"/>
      <c r="BK2185" s="73"/>
      <c r="BL2185" s="73"/>
      <c r="BM2185" s="73"/>
      <c r="BN2185" s="73"/>
      <c r="BO2185" s="73"/>
      <c r="BP2185" s="73"/>
      <c r="BQ2185" s="73"/>
      <c r="BR2185" s="73"/>
      <c r="BS2185" s="73"/>
      <c r="BT2185" s="73"/>
      <c r="BU2185" s="73"/>
      <c r="BV2185" s="73"/>
      <c r="BW2185" s="73"/>
      <c r="BX2185" s="73"/>
      <c r="BY2185" s="73"/>
      <c r="BZ2185" s="73"/>
      <c r="CA2185" s="73"/>
      <c r="CB2185" s="73"/>
      <c r="CC2185" s="73"/>
      <c r="CD2185" s="73"/>
      <c r="CE2185" s="73"/>
      <c r="CF2185" s="73"/>
      <c r="CG2185" s="73"/>
      <c r="CH2185" s="73"/>
    </row>
    <row r="2186">
      <c r="A2186" s="73"/>
      <c r="B2186" s="73"/>
      <c r="C2186" s="73"/>
      <c r="D2186" s="73"/>
      <c r="E2186" s="140"/>
      <c r="F2186" s="80"/>
      <c r="G2186" s="80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  <c r="S2186" s="73"/>
      <c r="T2186" s="73"/>
      <c r="U2186" s="73"/>
      <c r="V2186" s="73"/>
      <c r="W2186" s="73"/>
      <c r="X2186" s="73"/>
      <c r="Y2186" s="73"/>
      <c r="Z2186" s="73"/>
      <c r="AA2186" s="73"/>
      <c r="AB2186" s="73"/>
      <c r="AC2186" s="73"/>
      <c r="AD2186" s="73"/>
      <c r="AE2186" s="73"/>
      <c r="AF2186" s="73"/>
      <c r="AG2186" s="73"/>
      <c r="AH2186" s="73"/>
      <c r="AI2186" s="73"/>
      <c r="AJ2186" s="168"/>
      <c r="AK2186" s="73"/>
      <c r="AL2186" s="73"/>
      <c r="AM2186" s="73"/>
      <c r="AN2186" s="73"/>
      <c r="AO2186" s="73"/>
      <c r="AP2186" s="73"/>
      <c r="AQ2186" s="73"/>
      <c r="AR2186" s="73"/>
      <c r="AS2186" s="73"/>
      <c r="AT2186" s="73"/>
      <c r="AU2186" s="73"/>
      <c r="AV2186" s="73"/>
      <c r="AW2186" s="73"/>
      <c r="AX2186" s="73"/>
      <c r="AY2186" s="73"/>
      <c r="AZ2186" s="73"/>
      <c r="BA2186" s="73"/>
      <c r="BB2186" s="73"/>
      <c r="BC2186" s="73"/>
      <c r="BD2186" s="73"/>
      <c r="BE2186" s="73"/>
      <c r="BF2186" s="75"/>
      <c r="BG2186" s="73"/>
      <c r="BH2186" s="88"/>
      <c r="BI2186" s="73"/>
      <c r="BJ2186" s="73"/>
      <c r="BK2186" s="73"/>
      <c r="BL2186" s="73"/>
      <c r="BM2186" s="73"/>
      <c r="BN2186" s="73"/>
      <c r="BO2186" s="73"/>
      <c r="BP2186" s="73"/>
      <c r="BQ2186" s="73"/>
      <c r="BR2186" s="73"/>
      <c r="BS2186" s="73"/>
      <c r="BT2186" s="73"/>
      <c r="BU2186" s="73"/>
      <c r="BV2186" s="73"/>
      <c r="BW2186" s="73"/>
      <c r="BX2186" s="73"/>
      <c r="BY2186" s="73"/>
      <c r="BZ2186" s="73"/>
      <c r="CA2186" s="73"/>
      <c r="CB2186" s="73"/>
      <c r="CC2186" s="73"/>
      <c r="CD2186" s="73"/>
      <c r="CE2186" s="73"/>
      <c r="CF2186" s="73"/>
      <c r="CG2186" s="73"/>
      <c r="CH2186" s="73"/>
    </row>
    <row r="2187">
      <c r="A2187" s="73"/>
      <c r="B2187" s="73"/>
      <c r="C2187" s="73"/>
      <c r="D2187" s="73"/>
      <c r="E2187" s="140"/>
      <c r="F2187" s="80"/>
      <c r="G2187" s="80"/>
      <c r="H2187" s="73"/>
      <c r="I2187" s="73"/>
      <c r="J2187" s="73"/>
      <c r="K2187" s="73"/>
      <c r="L2187" s="73"/>
      <c r="M2187" s="73"/>
      <c r="N2187" s="73"/>
      <c r="O2187" s="73"/>
      <c r="P2187" s="73"/>
      <c r="Q2187" s="73"/>
      <c r="R2187" s="73"/>
      <c r="S2187" s="73"/>
      <c r="T2187" s="73"/>
      <c r="U2187" s="73"/>
      <c r="V2187" s="73"/>
      <c r="W2187" s="73"/>
      <c r="X2187" s="73"/>
      <c r="Y2187" s="73"/>
      <c r="Z2187" s="73"/>
      <c r="AA2187" s="73"/>
      <c r="AB2187" s="73"/>
      <c r="AC2187" s="73"/>
      <c r="AD2187" s="73"/>
      <c r="AE2187" s="73"/>
      <c r="AF2187" s="73"/>
      <c r="AG2187" s="73"/>
      <c r="AH2187" s="73"/>
      <c r="AI2187" s="73"/>
      <c r="AJ2187" s="168"/>
      <c r="AK2187" s="73"/>
      <c r="AL2187" s="73"/>
      <c r="AM2187" s="73"/>
      <c r="AN2187" s="73"/>
      <c r="AO2187" s="73"/>
      <c r="AP2187" s="73"/>
      <c r="AQ2187" s="73"/>
      <c r="AR2187" s="73"/>
      <c r="AS2187" s="73"/>
      <c r="AT2187" s="73"/>
      <c r="AU2187" s="73"/>
      <c r="AV2187" s="73"/>
      <c r="AW2187" s="73"/>
      <c r="AX2187" s="73"/>
      <c r="AY2187" s="73"/>
      <c r="AZ2187" s="73"/>
      <c r="BA2187" s="73"/>
      <c r="BB2187" s="73"/>
      <c r="BC2187" s="73"/>
      <c r="BD2187" s="73"/>
      <c r="BE2187" s="73"/>
      <c r="BF2187" s="75"/>
      <c r="BG2187" s="73"/>
      <c r="BH2187" s="88"/>
      <c r="BI2187" s="73"/>
      <c r="BJ2187" s="73"/>
      <c r="BK2187" s="73"/>
      <c r="BL2187" s="73"/>
      <c r="BM2187" s="73"/>
      <c r="BN2187" s="73"/>
      <c r="BO2187" s="73"/>
      <c r="BP2187" s="73"/>
      <c r="BQ2187" s="73"/>
      <c r="BR2187" s="73"/>
      <c r="BS2187" s="73"/>
      <c r="BT2187" s="73"/>
      <c r="BU2187" s="73"/>
      <c r="BV2187" s="73"/>
      <c r="BW2187" s="73"/>
      <c r="BX2187" s="73"/>
      <c r="BY2187" s="73"/>
      <c r="BZ2187" s="73"/>
      <c r="CA2187" s="73"/>
      <c r="CB2187" s="73"/>
      <c r="CC2187" s="73"/>
      <c r="CD2187" s="73"/>
      <c r="CE2187" s="73"/>
      <c r="CF2187" s="73"/>
      <c r="CG2187" s="73"/>
      <c r="CH2187" s="73"/>
    </row>
    <row r="2188">
      <c r="A2188" s="73"/>
      <c r="B2188" s="73"/>
      <c r="C2188" s="73"/>
      <c r="D2188" s="73"/>
      <c r="E2188" s="140"/>
      <c r="F2188" s="80"/>
      <c r="G2188" s="80"/>
      <c r="H2188" s="73"/>
      <c r="I2188" s="73"/>
      <c r="J2188" s="73"/>
      <c r="K2188" s="73"/>
      <c r="L2188" s="73"/>
      <c r="M2188" s="73"/>
      <c r="N2188" s="73"/>
      <c r="O2188" s="73"/>
      <c r="P2188" s="73"/>
      <c r="Q2188" s="73"/>
      <c r="R2188" s="73"/>
      <c r="S2188" s="73"/>
      <c r="T2188" s="73"/>
      <c r="U2188" s="73"/>
      <c r="V2188" s="73"/>
      <c r="W2188" s="73"/>
      <c r="X2188" s="73"/>
      <c r="Y2188" s="73"/>
      <c r="Z2188" s="73"/>
      <c r="AA2188" s="73"/>
      <c r="AB2188" s="73"/>
      <c r="AC2188" s="73"/>
      <c r="AD2188" s="73"/>
      <c r="AE2188" s="73"/>
      <c r="AF2188" s="73"/>
      <c r="AG2188" s="73"/>
      <c r="AH2188" s="73"/>
      <c r="AI2188" s="73"/>
      <c r="AJ2188" s="168"/>
      <c r="AK2188" s="73"/>
      <c r="AL2188" s="73"/>
      <c r="AM2188" s="73"/>
      <c r="AN2188" s="73"/>
      <c r="AO2188" s="73"/>
      <c r="AP2188" s="73"/>
      <c r="AQ2188" s="73"/>
      <c r="AR2188" s="73"/>
      <c r="AS2188" s="73"/>
      <c r="AT2188" s="73"/>
      <c r="AU2188" s="73"/>
      <c r="AV2188" s="73"/>
      <c r="AW2188" s="73"/>
      <c r="AX2188" s="73"/>
      <c r="AY2188" s="73"/>
      <c r="AZ2188" s="73"/>
      <c r="BA2188" s="73"/>
      <c r="BB2188" s="73"/>
      <c r="BC2188" s="73"/>
      <c r="BD2188" s="73"/>
      <c r="BE2188" s="73"/>
      <c r="BF2188" s="75"/>
      <c r="BG2188" s="73"/>
      <c r="BH2188" s="88"/>
      <c r="BI2188" s="73"/>
      <c r="BJ2188" s="73"/>
      <c r="BK2188" s="73"/>
      <c r="BL2188" s="73"/>
      <c r="BM2188" s="73"/>
      <c r="BN2188" s="73"/>
      <c r="BO2188" s="73"/>
      <c r="BP2188" s="73"/>
      <c r="BQ2188" s="73"/>
      <c r="BR2188" s="73"/>
      <c r="BS2188" s="73"/>
      <c r="BT2188" s="73"/>
      <c r="BU2188" s="73"/>
      <c r="BV2188" s="73"/>
      <c r="BW2188" s="73"/>
      <c r="BX2188" s="73"/>
      <c r="BY2188" s="73"/>
      <c r="BZ2188" s="73"/>
      <c r="CA2188" s="73"/>
      <c r="CB2188" s="73"/>
      <c r="CC2188" s="73"/>
      <c r="CD2188" s="73"/>
      <c r="CE2188" s="73"/>
      <c r="CF2188" s="73"/>
      <c r="CG2188" s="73"/>
      <c r="CH2188" s="73"/>
    </row>
    <row r="2189">
      <c r="A2189" s="73"/>
      <c r="B2189" s="73"/>
      <c r="C2189" s="73"/>
      <c r="D2189" s="73"/>
      <c r="E2189" s="140"/>
      <c r="F2189" s="80"/>
      <c r="G2189" s="80"/>
      <c r="H2189" s="73"/>
      <c r="I2189" s="73"/>
      <c r="J2189" s="73"/>
      <c r="K2189" s="73"/>
      <c r="L2189" s="73"/>
      <c r="M2189" s="73"/>
      <c r="N2189" s="73"/>
      <c r="O2189" s="73"/>
      <c r="P2189" s="73"/>
      <c r="Q2189" s="73"/>
      <c r="R2189" s="73"/>
      <c r="S2189" s="73"/>
      <c r="T2189" s="73"/>
      <c r="U2189" s="73"/>
      <c r="V2189" s="73"/>
      <c r="W2189" s="73"/>
      <c r="X2189" s="73"/>
      <c r="Y2189" s="73"/>
      <c r="Z2189" s="73"/>
      <c r="AA2189" s="73"/>
      <c r="AB2189" s="73"/>
      <c r="AC2189" s="73"/>
      <c r="AD2189" s="73"/>
      <c r="AE2189" s="73"/>
      <c r="AF2189" s="73"/>
      <c r="AG2189" s="73"/>
      <c r="AH2189" s="73"/>
      <c r="AI2189" s="73"/>
      <c r="AJ2189" s="168"/>
      <c r="AK2189" s="73"/>
      <c r="AL2189" s="73"/>
      <c r="AM2189" s="73"/>
      <c r="AN2189" s="73"/>
      <c r="AO2189" s="73"/>
      <c r="AP2189" s="73"/>
      <c r="AQ2189" s="73"/>
      <c r="AR2189" s="73"/>
      <c r="AS2189" s="73"/>
      <c r="AT2189" s="73"/>
      <c r="AU2189" s="73"/>
      <c r="AV2189" s="73"/>
      <c r="AW2189" s="73"/>
      <c r="AX2189" s="73"/>
      <c r="AY2189" s="73"/>
      <c r="AZ2189" s="73"/>
      <c r="BA2189" s="73"/>
      <c r="BB2189" s="73"/>
      <c r="BC2189" s="73"/>
      <c r="BD2189" s="73"/>
      <c r="BE2189" s="73"/>
      <c r="BF2189" s="75"/>
      <c r="BG2189" s="73"/>
      <c r="BH2189" s="88"/>
      <c r="BI2189" s="73"/>
      <c r="BJ2189" s="73"/>
      <c r="BK2189" s="73"/>
      <c r="BL2189" s="73"/>
      <c r="BM2189" s="73"/>
      <c r="BN2189" s="73"/>
      <c r="BO2189" s="73"/>
      <c r="BP2189" s="73"/>
      <c r="BQ2189" s="73"/>
      <c r="BR2189" s="73"/>
      <c r="BS2189" s="73"/>
      <c r="BT2189" s="73"/>
      <c r="BU2189" s="73"/>
      <c r="BV2189" s="73"/>
      <c r="BW2189" s="73"/>
      <c r="BX2189" s="73"/>
      <c r="BY2189" s="73"/>
      <c r="BZ2189" s="73"/>
      <c r="CA2189" s="73"/>
      <c r="CB2189" s="73"/>
      <c r="CC2189" s="73"/>
      <c r="CD2189" s="73"/>
      <c r="CE2189" s="73"/>
      <c r="CF2189" s="73"/>
      <c r="CG2189" s="73"/>
      <c r="CH2189" s="73"/>
    </row>
    <row r="2190">
      <c r="A2190" s="73"/>
      <c r="B2190" s="73"/>
      <c r="C2190" s="73"/>
      <c r="D2190" s="73"/>
      <c r="E2190" s="140"/>
      <c r="F2190" s="80"/>
      <c r="G2190" s="80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  <c r="S2190" s="73"/>
      <c r="T2190" s="73"/>
      <c r="U2190" s="73"/>
      <c r="V2190" s="73"/>
      <c r="W2190" s="73"/>
      <c r="X2190" s="73"/>
      <c r="Y2190" s="73"/>
      <c r="Z2190" s="73"/>
      <c r="AA2190" s="73"/>
      <c r="AB2190" s="73"/>
      <c r="AC2190" s="73"/>
      <c r="AD2190" s="73"/>
      <c r="AE2190" s="73"/>
      <c r="AF2190" s="73"/>
      <c r="AG2190" s="73"/>
      <c r="AH2190" s="73"/>
      <c r="AI2190" s="73"/>
      <c r="AJ2190" s="168"/>
      <c r="AK2190" s="73"/>
      <c r="AL2190" s="73"/>
      <c r="AM2190" s="73"/>
      <c r="AN2190" s="73"/>
      <c r="AO2190" s="73"/>
      <c r="AP2190" s="73"/>
      <c r="AQ2190" s="73"/>
      <c r="AR2190" s="73"/>
      <c r="AS2190" s="73"/>
      <c r="AT2190" s="73"/>
      <c r="AU2190" s="73"/>
      <c r="AV2190" s="73"/>
      <c r="AW2190" s="73"/>
      <c r="AX2190" s="73"/>
      <c r="AY2190" s="73"/>
      <c r="AZ2190" s="73"/>
      <c r="BA2190" s="73"/>
      <c r="BB2190" s="73"/>
      <c r="BC2190" s="73"/>
      <c r="BD2190" s="73"/>
      <c r="BE2190" s="73"/>
      <c r="BF2190" s="75"/>
      <c r="BG2190" s="73"/>
      <c r="BH2190" s="88"/>
      <c r="BI2190" s="73"/>
      <c r="BJ2190" s="73"/>
      <c r="BK2190" s="73"/>
      <c r="BL2190" s="73"/>
      <c r="BM2190" s="73"/>
      <c r="BN2190" s="73"/>
      <c r="BO2190" s="73"/>
      <c r="BP2190" s="73"/>
      <c r="BQ2190" s="73"/>
      <c r="BR2190" s="73"/>
      <c r="BS2190" s="73"/>
      <c r="BT2190" s="73"/>
      <c r="BU2190" s="73"/>
      <c r="BV2190" s="73"/>
      <c r="BW2190" s="73"/>
      <c r="BX2190" s="73"/>
      <c r="BY2190" s="73"/>
      <c r="BZ2190" s="73"/>
      <c r="CA2190" s="73"/>
      <c r="CB2190" s="73"/>
      <c r="CC2190" s="73"/>
      <c r="CD2190" s="73"/>
      <c r="CE2190" s="73"/>
      <c r="CF2190" s="73"/>
      <c r="CG2190" s="73"/>
      <c r="CH2190" s="73"/>
    </row>
    <row r="2191">
      <c r="A2191" s="73"/>
      <c r="B2191" s="73"/>
      <c r="C2191" s="73"/>
      <c r="D2191" s="73"/>
      <c r="E2191" s="140"/>
      <c r="F2191" s="80"/>
      <c r="G2191" s="80"/>
      <c r="H2191" s="73"/>
      <c r="I2191" s="73"/>
      <c r="J2191" s="73"/>
      <c r="K2191" s="73"/>
      <c r="L2191" s="73"/>
      <c r="M2191" s="73"/>
      <c r="N2191" s="73"/>
      <c r="O2191" s="73"/>
      <c r="P2191" s="73"/>
      <c r="Q2191" s="73"/>
      <c r="R2191" s="73"/>
      <c r="S2191" s="73"/>
      <c r="T2191" s="73"/>
      <c r="U2191" s="73"/>
      <c r="V2191" s="73"/>
      <c r="W2191" s="73"/>
      <c r="X2191" s="73"/>
      <c r="Y2191" s="73"/>
      <c r="Z2191" s="73"/>
      <c r="AA2191" s="73"/>
      <c r="AB2191" s="73"/>
      <c r="AC2191" s="73"/>
      <c r="AD2191" s="73"/>
      <c r="AE2191" s="73"/>
      <c r="AF2191" s="73"/>
      <c r="AG2191" s="73"/>
      <c r="AH2191" s="73"/>
      <c r="AI2191" s="73"/>
      <c r="AJ2191" s="168"/>
      <c r="AK2191" s="73"/>
      <c r="AL2191" s="73"/>
      <c r="AM2191" s="73"/>
      <c r="AN2191" s="73"/>
      <c r="AO2191" s="73"/>
      <c r="AP2191" s="73"/>
      <c r="AQ2191" s="73"/>
      <c r="AR2191" s="73"/>
      <c r="AS2191" s="73"/>
      <c r="AT2191" s="73"/>
      <c r="AU2191" s="73"/>
      <c r="AV2191" s="73"/>
      <c r="AW2191" s="73"/>
      <c r="AX2191" s="73"/>
      <c r="AY2191" s="73"/>
      <c r="AZ2191" s="73"/>
      <c r="BA2191" s="73"/>
      <c r="BB2191" s="73"/>
      <c r="BC2191" s="73"/>
      <c r="BD2191" s="73"/>
      <c r="BE2191" s="73"/>
      <c r="BF2191" s="75"/>
      <c r="BG2191" s="73"/>
      <c r="BH2191" s="88"/>
      <c r="BI2191" s="73"/>
      <c r="BJ2191" s="73"/>
      <c r="BK2191" s="73"/>
      <c r="BL2191" s="73"/>
      <c r="BM2191" s="73"/>
      <c r="BN2191" s="73"/>
      <c r="BO2191" s="73"/>
      <c r="BP2191" s="73"/>
      <c r="BQ2191" s="73"/>
      <c r="BR2191" s="73"/>
      <c r="BS2191" s="73"/>
      <c r="BT2191" s="73"/>
      <c r="BU2191" s="73"/>
      <c r="BV2191" s="73"/>
      <c r="BW2191" s="73"/>
      <c r="BX2191" s="73"/>
      <c r="BY2191" s="73"/>
      <c r="BZ2191" s="73"/>
      <c r="CA2191" s="73"/>
      <c r="CB2191" s="73"/>
      <c r="CC2191" s="73"/>
      <c r="CD2191" s="73"/>
      <c r="CE2191" s="73"/>
      <c r="CF2191" s="73"/>
      <c r="CG2191" s="73"/>
      <c r="CH2191" s="73"/>
    </row>
    <row r="2192">
      <c r="A2192" s="73"/>
      <c r="B2192" s="73"/>
      <c r="C2192" s="73"/>
      <c r="D2192" s="73"/>
      <c r="E2192" s="140"/>
      <c r="F2192" s="80"/>
      <c r="G2192" s="80"/>
      <c r="H2192" s="73"/>
      <c r="I2192" s="73"/>
      <c r="J2192" s="73"/>
      <c r="K2192" s="73"/>
      <c r="L2192" s="73"/>
      <c r="M2192" s="73"/>
      <c r="N2192" s="73"/>
      <c r="O2192" s="73"/>
      <c r="P2192" s="73"/>
      <c r="Q2192" s="73"/>
      <c r="R2192" s="73"/>
      <c r="S2192" s="73"/>
      <c r="T2192" s="73"/>
      <c r="U2192" s="73"/>
      <c r="V2192" s="73"/>
      <c r="W2192" s="73"/>
      <c r="X2192" s="73"/>
      <c r="Y2192" s="73"/>
      <c r="Z2192" s="73"/>
      <c r="AA2192" s="73"/>
      <c r="AB2192" s="73"/>
      <c r="AC2192" s="73"/>
      <c r="AD2192" s="73"/>
      <c r="AE2192" s="73"/>
      <c r="AF2192" s="73"/>
      <c r="AG2192" s="73"/>
      <c r="AH2192" s="73"/>
      <c r="AI2192" s="73"/>
      <c r="AJ2192" s="168"/>
      <c r="AK2192" s="73"/>
      <c r="AL2192" s="73"/>
      <c r="AM2192" s="73"/>
      <c r="AN2192" s="73"/>
      <c r="AO2192" s="73"/>
      <c r="AP2192" s="73"/>
      <c r="AQ2192" s="73"/>
      <c r="AR2192" s="73"/>
      <c r="AS2192" s="73"/>
      <c r="AT2192" s="73"/>
      <c r="AU2192" s="73"/>
      <c r="AV2192" s="73"/>
      <c r="AW2192" s="73"/>
      <c r="AX2192" s="73"/>
      <c r="AY2192" s="73"/>
      <c r="AZ2192" s="73"/>
      <c r="BA2192" s="73"/>
      <c r="BB2192" s="73"/>
      <c r="BC2192" s="73"/>
      <c r="BD2192" s="73"/>
      <c r="BE2192" s="73"/>
      <c r="BF2192" s="75"/>
      <c r="BG2192" s="73"/>
      <c r="BH2192" s="88"/>
      <c r="BI2192" s="73"/>
      <c r="BJ2192" s="73"/>
      <c r="BK2192" s="73"/>
      <c r="BL2192" s="73"/>
      <c r="BM2192" s="73"/>
      <c r="BN2192" s="73"/>
      <c r="BO2192" s="73"/>
      <c r="BP2192" s="73"/>
      <c r="BQ2192" s="73"/>
      <c r="BR2192" s="73"/>
      <c r="BS2192" s="73"/>
      <c r="BT2192" s="73"/>
      <c r="BU2192" s="73"/>
      <c r="BV2192" s="73"/>
      <c r="BW2192" s="73"/>
      <c r="BX2192" s="73"/>
      <c r="BY2192" s="73"/>
      <c r="BZ2192" s="73"/>
      <c r="CA2192" s="73"/>
      <c r="CB2192" s="73"/>
      <c r="CC2192" s="73"/>
      <c r="CD2192" s="73"/>
      <c r="CE2192" s="73"/>
      <c r="CF2192" s="73"/>
      <c r="CG2192" s="73"/>
      <c r="CH2192" s="73"/>
    </row>
    <row r="2193">
      <c r="A2193" s="73"/>
      <c r="B2193" s="73"/>
      <c r="C2193" s="73"/>
      <c r="D2193" s="73"/>
      <c r="E2193" s="140"/>
      <c r="F2193" s="80"/>
      <c r="G2193" s="80"/>
      <c r="H2193" s="73"/>
      <c r="I2193" s="73"/>
      <c r="J2193" s="73"/>
      <c r="K2193" s="73"/>
      <c r="L2193" s="73"/>
      <c r="M2193" s="73"/>
      <c r="N2193" s="73"/>
      <c r="O2193" s="73"/>
      <c r="P2193" s="73"/>
      <c r="Q2193" s="73"/>
      <c r="R2193" s="73"/>
      <c r="S2193" s="73"/>
      <c r="T2193" s="73"/>
      <c r="U2193" s="73"/>
      <c r="V2193" s="73"/>
      <c r="W2193" s="73"/>
      <c r="X2193" s="73"/>
      <c r="Y2193" s="73"/>
      <c r="Z2193" s="73"/>
      <c r="AA2193" s="73"/>
      <c r="AB2193" s="73"/>
      <c r="AC2193" s="73"/>
      <c r="AD2193" s="73"/>
      <c r="AE2193" s="73"/>
      <c r="AF2193" s="73"/>
      <c r="AG2193" s="73"/>
      <c r="AH2193" s="73"/>
      <c r="AI2193" s="73"/>
      <c r="AJ2193" s="168"/>
      <c r="AK2193" s="73"/>
      <c r="AL2193" s="73"/>
      <c r="AM2193" s="73"/>
      <c r="AN2193" s="73"/>
      <c r="AO2193" s="73"/>
      <c r="AP2193" s="73"/>
      <c r="AQ2193" s="73"/>
      <c r="AR2193" s="73"/>
      <c r="AS2193" s="73"/>
      <c r="AT2193" s="73"/>
      <c r="AU2193" s="73"/>
      <c r="AV2193" s="73"/>
      <c r="AW2193" s="73"/>
      <c r="AX2193" s="73"/>
      <c r="AY2193" s="73"/>
      <c r="AZ2193" s="73"/>
      <c r="BA2193" s="73"/>
      <c r="BB2193" s="73"/>
      <c r="BC2193" s="73"/>
      <c r="BD2193" s="73"/>
      <c r="BE2193" s="73"/>
      <c r="BF2193" s="75"/>
      <c r="BG2193" s="73"/>
      <c r="BH2193" s="88"/>
      <c r="BI2193" s="73"/>
      <c r="BJ2193" s="73"/>
      <c r="BK2193" s="73"/>
      <c r="BL2193" s="73"/>
      <c r="BM2193" s="73"/>
      <c r="BN2193" s="73"/>
      <c r="BO2193" s="73"/>
      <c r="BP2193" s="73"/>
      <c r="BQ2193" s="73"/>
      <c r="BR2193" s="73"/>
      <c r="BS2193" s="73"/>
      <c r="BT2193" s="73"/>
      <c r="BU2193" s="73"/>
      <c r="BV2193" s="73"/>
      <c r="BW2193" s="73"/>
      <c r="BX2193" s="73"/>
      <c r="BY2193" s="73"/>
      <c r="BZ2193" s="73"/>
      <c r="CA2193" s="73"/>
      <c r="CB2193" s="73"/>
      <c r="CC2193" s="73"/>
      <c r="CD2193" s="73"/>
      <c r="CE2193" s="73"/>
      <c r="CF2193" s="73"/>
      <c r="CG2193" s="73"/>
      <c r="CH2193" s="73"/>
    </row>
    <row r="2194">
      <c r="A2194" s="73"/>
      <c r="B2194" s="73"/>
      <c r="C2194" s="73"/>
      <c r="D2194" s="73"/>
      <c r="E2194" s="140"/>
      <c r="F2194" s="80"/>
      <c r="G2194" s="80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  <c r="S2194" s="73"/>
      <c r="T2194" s="73"/>
      <c r="U2194" s="73"/>
      <c r="V2194" s="73"/>
      <c r="W2194" s="73"/>
      <c r="X2194" s="73"/>
      <c r="Y2194" s="73"/>
      <c r="Z2194" s="73"/>
      <c r="AA2194" s="73"/>
      <c r="AB2194" s="73"/>
      <c r="AC2194" s="73"/>
      <c r="AD2194" s="73"/>
      <c r="AE2194" s="73"/>
      <c r="AF2194" s="73"/>
      <c r="AG2194" s="73"/>
      <c r="AH2194" s="73"/>
      <c r="AI2194" s="73"/>
      <c r="AJ2194" s="168"/>
      <c r="AK2194" s="73"/>
      <c r="AL2194" s="73"/>
      <c r="AM2194" s="73"/>
      <c r="AN2194" s="73"/>
      <c r="AO2194" s="73"/>
      <c r="AP2194" s="73"/>
      <c r="AQ2194" s="73"/>
      <c r="AR2194" s="73"/>
      <c r="AS2194" s="73"/>
      <c r="AT2194" s="73"/>
      <c r="AU2194" s="73"/>
      <c r="AV2194" s="73"/>
      <c r="AW2194" s="73"/>
      <c r="AX2194" s="73"/>
      <c r="AY2194" s="73"/>
      <c r="AZ2194" s="73"/>
      <c r="BA2194" s="73"/>
      <c r="BB2194" s="73"/>
      <c r="BC2194" s="73"/>
      <c r="BD2194" s="73"/>
      <c r="BE2194" s="73"/>
      <c r="BF2194" s="75"/>
      <c r="BG2194" s="73"/>
      <c r="BH2194" s="88"/>
      <c r="BI2194" s="73"/>
      <c r="BJ2194" s="73"/>
      <c r="BK2194" s="73"/>
      <c r="BL2194" s="73"/>
      <c r="BM2194" s="73"/>
      <c r="BN2194" s="73"/>
      <c r="BO2194" s="73"/>
      <c r="BP2194" s="73"/>
      <c r="BQ2194" s="73"/>
      <c r="BR2194" s="73"/>
      <c r="BS2194" s="73"/>
      <c r="BT2194" s="73"/>
      <c r="BU2194" s="73"/>
      <c r="BV2194" s="73"/>
      <c r="BW2194" s="73"/>
      <c r="BX2194" s="73"/>
      <c r="BY2194" s="73"/>
      <c r="BZ2194" s="73"/>
      <c r="CA2194" s="73"/>
      <c r="CB2194" s="73"/>
      <c r="CC2194" s="73"/>
      <c r="CD2194" s="73"/>
      <c r="CE2194" s="73"/>
      <c r="CF2194" s="73"/>
      <c r="CG2194" s="73"/>
      <c r="CH2194" s="73"/>
    </row>
    <row r="2195">
      <c r="A2195" s="73"/>
      <c r="B2195" s="73"/>
      <c r="C2195" s="73"/>
      <c r="D2195" s="73"/>
      <c r="E2195" s="140"/>
      <c r="F2195" s="80"/>
      <c r="G2195" s="80"/>
      <c r="H2195" s="73"/>
      <c r="I2195" s="73"/>
      <c r="J2195" s="73"/>
      <c r="K2195" s="73"/>
      <c r="L2195" s="73"/>
      <c r="M2195" s="73"/>
      <c r="N2195" s="73"/>
      <c r="O2195" s="73"/>
      <c r="P2195" s="73"/>
      <c r="Q2195" s="73"/>
      <c r="R2195" s="73"/>
      <c r="S2195" s="73"/>
      <c r="T2195" s="73"/>
      <c r="U2195" s="73"/>
      <c r="V2195" s="73"/>
      <c r="W2195" s="73"/>
      <c r="X2195" s="73"/>
      <c r="Y2195" s="73"/>
      <c r="Z2195" s="73"/>
      <c r="AA2195" s="73"/>
      <c r="AB2195" s="73"/>
      <c r="AC2195" s="73"/>
      <c r="AD2195" s="73"/>
      <c r="AE2195" s="73"/>
      <c r="AF2195" s="73"/>
      <c r="AG2195" s="73"/>
      <c r="AH2195" s="73"/>
      <c r="AI2195" s="73"/>
      <c r="AJ2195" s="168"/>
      <c r="AK2195" s="73"/>
      <c r="AL2195" s="73"/>
      <c r="AM2195" s="73"/>
      <c r="AN2195" s="73"/>
      <c r="AO2195" s="73"/>
      <c r="AP2195" s="73"/>
      <c r="AQ2195" s="73"/>
      <c r="AR2195" s="73"/>
      <c r="AS2195" s="73"/>
      <c r="AT2195" s="73"/>
      <c r="AU2195" s="73"/>
      <c r="AV2195" s="73"/>
      <c r="AW2195" s="73"/>
      <c r="AX2195" s="73"/>
      <c r="AY2195" s="73"/>
      <c r="AZ2195" s="73"/>
      <c r="BA2195" s="73"/>
      <c r="BB2195" s="73"/>
      <c r="BC2195" s="73"/>
      <c r="BD2195" s="73"/>
      <c r="BE2195" s="73"/>
      <c r="BF2195" s="75"/>
      <c r="BG2195" s="73"/>
      <c r="BH2195" s="88"/>
      <c r="BI2195" s="73"/>
      <c r="BJ2195" s="73"/>
      <c r="BK2195" s="73"/>
      <c r="BL2195" s="73"/>
      <c r="BM2195" s="73"/>
      <c r="BN2195" s="73"/>
      <c r="BO2195" s="73"/>
      <c r="BP2195" s="73"/>
      <c r="BQ2195" s="73"/>
      <c r="BR2195" s="73"/>
      <c r="BS2195" s="73"/>
      <c r="BT2195" s="73"/>
      <c r="BU2195" s="73"/>
      <c r="BV2195" s="73"/>
      <c r="BW2195" s="73"/>
      <c r="BX2195" s="73"/>
      <c r="BY2195" s="73"/>
      <c r="BZ2195" s="73"/>
      <c r="CA2195" s="73"/>
      <c r="CB2195" s="73"/>
      <c r="CC2195" s="73"/>
      <c r="CD2195" s="73"/>
      <c r="CE2195" s="73"/>
      <c r="CF2195" s="73"/>
      <c r="CG2195" s="73"/>
      <c r="CH2195" s="73"/>
    </row>
    <row r="2196">
      <c r="A2196" s="73"/>
      <c r="B2196" s="73"/>
      <c r="C2196" s="73"/>
      <c r="D2196" s="73"/>
      <c r="E2196" s="140"/>
      <c r="F2196" s="80"/>
      <c r="G2196" s="80"/>
      <c r="H2196" s="73"/>
      <c r="I2196" s="73"/>
      <c r="J2196" s="73"/>
      <c r="K2196" s="73"/>
      <c r="L2196" s="73"/>
      <c r="M2196" s="73"/>
      <c r="N2196" s="73"/>
      <c r="O2196" s="73"/>
      <c r="P2196" s="73"/>
      <c r="Q2196" s="73"/>
      <c r="R2196" s="73"/>
      <c r="S2196" s="73"/>
      <c r="T2196" s="73"/>
      <c r="U2196" s="73"/>
      <c r="V2196" s="73"/>
      <c r="W2196" s="73"/>
      <c r="X2196" s="73"/>
      <c r="Y2196" s="73"/>
      <c r="Z2196" s="73"/>
      <c r="AA2196" s="73"/>
      <c r="AB2196" s="73"/>
      <c r="AC2196" s="73"/>
      <c r="AD2196" s="73"/>
      <c r="AE2196" s="73"/>
      <c r="AF2196" s="73"/>
      <c r="AG2196" s="73"/>
      <c r="AH2196" s="73"/>
      <c r="AI2196" s="73"/>
      <c r="AJ2196" s="168"/>
      <c r="AK2196" s="73"/>
      <c r="AL2196" s="73"/>
      <c r="AM2196" s="73"/>
      <c r="AN2196" s="73"/>
      <c r="AO2196" s="73"/>
      <c r="AP2196" s="73"/>
      <c r="AQ2196" s="73"/>
      <c r="AR2196" s="73"/>
      <c r="AS2196" s="73"/>
      <c r="AT2196" s="73"/>
      <c r="AU2196" s="73"/>
      <c r="AV2196" s="73"/>
      <c r="AW2196" s="73"/>
      <c r="AX2196" s="73"/>
      <c r="AY2196" s="73"/>
      <c r="AZ2196" s="73"/>
      <c r="BA2196" s="73"/>
      <c r="BB2196" s="73"/>
      <c r="BC2196" s="73"/>
      <c r="BD2196" s="73"/>
      <c r="BE2196" s="73"/>
      <c r="BF2196" s="75"/>
      <c r="BG2196" s="73"/>
      <c r="BH2196" s="88"/>
      <c r="BI2196" s="73"/>
      <c r="BJ2196" s="73"/>
      <c r="BK2196" s="73"/>
      <c r="BL2196" s="73"/>
      <c r="BM2196" s="73"/>
      <c r="BN2196" s="73"/>
      <c r="BO2196" s="73"/>
      <c r="BP2196" s="73"/>
      <c r="BQ2196" s="73"/>
      <c r="BR2196" s="73"/>
      <c r="BS2196" s="73"/>
      <c r="BT2196" s="73"/>
      <c r="BU2196" s="73"/>
      <c r="BV2196" s="73"/>
      <c r="BW2196" s="73"/>
      <c r="BX2196" s="73"/>
      <c r="BY2196" s="73"/>
      <c r="BZ2196" s="73"/>
      <c r="CA2196" s="73"/>
      <c r="CB2196" s="73"/>
      <c r="CC2196" s="73"/>
      <c r="CD2196" s="73"/>
      <c r="CE2196" s="73"/>
      <c r="CF2196" s="73"/>
      <c r="CG2196" s="73"/>
      <c r="CH2196" s="73"/>
    </row>
    <row r="2197">
      <c r="A2197" s="73"/>
      <c r="B2197" s="73"/>
      <c r="C2197" s="73"/>
      <c r="D2197" s="73"/>
      <c r="E2197" s="140"/>
      <c r="F2197" s="80"/>
      <c r="G2197" s="80"/>
      <c r="H2197" s="73"/>
      <c r="I2197" s="73"/>
      <c r="J2197" s="73"/>
      <c r="K2197" s="73"/>
      <c r="L2197" s="73"/>
      <c r="M2197" s="73"/>
      <c r="N2197" s="73"/>
      <c r="O2197" s="73"/>
      <c r="P2197" s="73"/>
      <c r="Q2197" s="73"/>
      <c r="R2197" s="73"/>
      <c r="S2197" s="73"/>
      <c r="T2197" s="73"/>
      <c r="U2197" s="73"/>
      <c r="V2197" s="73"/>
      <c r="W2197" s="73"/>
      <c r="X2197" s="73"/>
      <c r="Y2197" s="73"/>
      <c r="Z2197" s="73"/>
      <c r="AA2197" s="73"/>
      <c r="AB2197" s="73"/>
      <c r="AC2197" s="73"/>
      <c r="AD2197" s="73"/>
      <c r="AE2197" s="73"/>
      <c r="AF2197" s="73"/>
      <c r="AG2197" s="73"/>
      <c r="AH2197" s="73"/>
      <c r="AI2197" s="73"/>
      <c r="AJ2197" s="168"/>
      <c r="AK2197" s="73"/>
      <c r="AL2197" s="73"/>
      <c r="AM2197" s="73"/>
      <c r="AN2197" s="73"/>
      <c r="AO2197" s="73"/>
      <c r="AP2197" s="73"/>
      <c r="AQ2197" s="73"/>
      <c r="AR2197" s="73"/>
      <c r="AS2197" s="73"/>
      <c r="AT2197" s="73"/>
      <c r="AU2197" s="73"/>
      <c r="AV2197" s="73"/>
      <c r="AW2197" s="73"/>
      <c r="AX2197" s="73"/>
      <c r="AY2197" s="73"/>
      <c r="AZ2197" s="73"/>
      <c r="BA2197" s="73"/>
      <c r="BB2197" s="73"/>
      <c r="BC2197" s="73"/>
      <c r="BD2197" s="73"/>
      <c r="BE2197" s="73"/>
      <c r="BF2197" s="75"/>
      <c r="BG2197" s="73"/>
      <c r="BH2197" s="88"/>
      <c r="BI2197" s="73"/>
      <c r="BJ2197" s="73"/>
      <c r="BK2197" s="73"/>
      <c r="BL2197" s="73"/>
      <c r="BM2197" s="73"/>
      <c r="BN2197" s="73"/>
      <c r="BO2197" s="73"/>
      <c r="BP2197" s="73"/>
      <c r="BQ2197" s="73"/>
      <c r="BR2197" s="73"/>
      <c r="BS2197" s="73"/>
      <c r="BT2197" s="73"/>
      <c r="BU2197" s="73"/>
      <c r="BV2197" s="73"/>
      <c r="BW2197" s="73"/>
      <c r="BX2197" s="73"/>
      <c r="BY2197" s="73"/>
      <c r="BZ2197" s="73"/>
      <c r="CA2197" s="73"/>
      <c r="CB2197" s="73"/>
      <c r="CC2197" s="73"/>
      <c r="CD2197" s="73"/>
      <c r="CE2197" s="73"/>
      <c r="CF2197" s="73"/>
      <c r="CG2197" s="73"/>
      <c r="CH2197" s="73"/>
    </row>
    <row r="2198">
      <c r="A2198" s="73"/>
      <c r="B2198" s="73"/>
      <c r="C2198" s="73"/>
      <c r="D2198" s="73"/>
      <c r="E2198" s="140"/>
      <c r="F2198" s="80"/>
      <c r="G2198" s="80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  <c r="S2198" s="73"/>
      <c r="T2198" s="73"/>
      <c r="U2198" s="73"/>
      <c r="V2198" s="73"/>
      <c r="W2198" s="73"/>
      <c r="X2198" s="73"/>
      <c r="Y2198" s="73"/>
      <c r="Z2198" s="73"/>
      <c r="AA2198" s="73"/>
      <c r="AB2198" s="73"/>
      <c r="AC2198" s="73"/>
      <c r="AD2198" s="73"/>
      <c r="AE2198" s="73"/>
      <c r="AF2198" s="73"/>
      <c r="AG2198" s="73"/>
      <c r="AH2198" s="73"/>
      <c r="AI2198" s="73"/>
      <c r="AJ2198" s="168"/>
      <c r="AK2198" s="73"/>
      <c r="AL2198" s="73"/>
      <c r="AM2198" s="73"/>
      <c r="AN2198" s="73"/>
      <c r="AO2198" s="73"/>
      <c r="AP2198" s="73"/>
      <c r="AQ2198" s="73"/>
      <c r="AR2198" s="73"/>
      <c r="AS2198" s="73"/>
      <c r="AT2198" s="73"/>
      <c r="AU2198" s="73"/>
      <c r="AV2198" s="73"/>
      <c r="AW2198" s="73"/>
      <c r="AX2198" s="73"/>
      <c r="AY2198" s="73"/>
      <c r="AZ2198" s="73"/>
      <c r="BA2198" s="73"/>
      <c r="BB2198" s="73"/>
      <c r="BC2198" s="73"/>
      <c r="BD2198" s="73"/>
      <c r="BE2198" s="73"/>
      <c r="BF2198" s="75"/>
      <c r="BG2198" s="73"/>
      <c r="BH2198" s="88"/>
      <c r="BI2198" s="73"/>
      <c r="BJ2198" s="73"/>
      <c r="BK2198" s="73"/>
      <c r="BL2198" s="73"/>
      <c r="BM2198" s="73"/>
      <c r="BN2198" s="73"/>
      <c r="BO2198" s="73"/>
      <c r="BP2198" s="73"/>
      <c r="BQ2198" s="73"/>
      <c r="BR2198" s="73"/>
      <c r="BS2198" s="73"/>
      <c r="BT2198" s="73"/>
      <c r="BU2198" s="73"/>
      <c r="BV2198" s="73"/>
      <c r="BW2198" s="73"/>
      <c r="BX2198" s="73"/>
      <c r="BY2198" s="73"/>
      <c r="BZ2198" s="73"/>
      <c r="CA2198" s="73"/>
      <c r="CB2198" s="73"/>
      <c r="CC2198" s="73"/>
      <c r="CD2198" s="73"/>
      <c r="CE2198" s="73"/>
      <c r="CF2198" s="73"/>
      <c r="CG2198" s="73"/>
      <c r="CH2198" s="73"/>
    </row>
    <row r="2199">
      <c r="A2199" s="73"/>
      <c r="B2199" s="73"/>
      <c r="C2199" s="73"/>
      <c r="D2199" s="73"/>
      <c r="E2199" s="140"/>
      <c r="F2199" s="80"/>
      <c r="G2199" s="80"/>
      <c r="H2199" s="73"/>
      <c r="I2199" s="73"/>
      <c r="J2199" s="73"/>
      <c r="K2199" s="73"/>
      <c r="L2199" s="73"/>
      <c r="M2199" s="73"/>
      <c r="N2199" s="73"/>
      <c r="O2199" s="73"/>
      <c r="P2199" s="73"/>
      <c r="Q2199" s="73"/>
      <c r="R2199" s="73"/>
      <c r="S2199" s="73"/>
      <c r="T2199" s="73"/>
      <c r="U2199" s="73"/>
      <c r="V2199" s="73"/>
      <c r="W2199" s="73"/>
      <c r="X2199" s="73"/>
      <c r="Y2199" s="73"/>
      <c r="Z2199" s="73"/>
      <c r="AA2199" s="73"/>
      <c r="AB2199" s="73"/>
      <c r="AC2199" s="73"/>
      <c r="AD2199" s="73"/>
      <c r="AE2199" s="73"/>
      <c r="AF2199" s="73"/>
      <c r="AG2199" s="73"/>
      <c r="AH2199" s="73"/>
      <c r="AI2199" s="73"/>
      <c r="AJ2199" s="168"/>
      <c r="AK2199" s="73"/>
      <c r="AL2199" s="73"/>
      <c r="AM2199" s="73"/>
      <c r="AN2199" s="73"/>
      <c r="AO2199" s="73"/>
      <c r="AP2199" s="73"/>
      <c r="AQ2199" s="73"/>
      <c r="AR2199" s="73"/>
      <c r="AS2199" s="73"/>
      <c r="AT2199" s="73"/>
      <c r="AU2199" s="73"/>
      <c r="AV2199" s="73"/>
      <c r="AW2199" s="73"/>
      <c r="AX2199" s="73"/>
      <c r="AY2199" s="73"/>
      <c r="AZ2199" s="73"/>
      <c r="BA2199" s="73"/>
      <c r="BB2199" s="73"/>
      <c r="BC2199" s="73"/>
      <c r="BD2199" s="73"/>
      <c r="BE2199" s="73"/>
      <c r="BF2199" s="75"/>
      <c r="BG2199" s="73"/>
      <c r="BH2199" s="88"/>
      <c r="BI2199" s="73"/>
      <c r="BJ2199" s="73"/>
      <c r="BK2199" s="73"/>
      <c r="BL2199" s="73"/>
      <c r="BM2199" s="73"/>
      <c r="BN2199" s="73"/>
      <c r="BO2199" s="73"/>
      <c r="BP2199" s="73"/>
      <c r="BQ2199" s="73"/>
      <c r="BR2199" s="73"/>
      <c r="BS2199" s="73"/>
      <c r="BT2199" s="73"/>
      <c r="BU2199" s="73"/>
      <c r="BV2199" s="73"/>
      <c r="BW2199" s="73"/>
      <c r="BX2199" s="73"/>
      <c r="BY2199" s="73"/>
      <c r="BZ2199" s="73"/>
      <c r="CA2199" s="73"/>
      <c r="CB2199" s="73"/>
      <c r="CC2199" s="73"/>
      <c r="CD2199" s="73"/>
      <c r="CE2199" s="73"/>
      <c r="CF2199" s="73"/>
      <c r="CG2199" s="73"/>
      <c r="CH2199" s="73"/>
    </row>
    <row r="2200">
      <c r="A2200" s="73"/>
      <c r="B2200" s="73"/>
      <c r="C2200" s="73"/>
      <c r="D2200" s="73"/>
      <c r="E2200" s="140"/>
      <c r="F2200" s="80"/>
      <c r="G2200" s="80"/>
      <c r="H2200" s="73"/>
      <c r="I2200" s="73"/>
      <c r="J2200" s="73"/>
      <c r="K2200" s="73"/>
      <c r="L2200" s="73"/>
      <c r="M2200" s="73"/>
      <c r="N2200" s="73"/>
      <c r="O2200" s="73"/>
      <c r="P2200" s="73"/>
      <c r="Q2200" s="73"/>
      <c r="R2200" s="73"/>
      <c r="S2200" s="73"/>
      <c r="T2200" s="73"/>
      <c r="U2200" s="73"/>
      <c r="V2200" s="73"/>
      <c r="W2200" s="73"/>
      <c r="X2200" s="73"/>
      <c r="Y2200" s="73"/>
      <c r="Z2200" s="73"/>
      <c r="AA2200" s="73"/>
      <c r="AB2200" s="73"/>
      <c r="AC2200" s="73"/>
      <c r="AD2200" s="73"/>
      <c r="AE2200" s="73"/>
      <c r="AF2200" s="73"/>
      <c r="AG2200" s="73"/>
      <c r="AH2200" s="73"/>
      <c r="AI2200" s="73"/>
      <c r="AJ2200" s="168"/>
      <c r="AK2200" s="73"/>
      <c r="AL2200" s="73"/>
      <c r="AM2200" s="73"/>
      <c r="AN2200" s="73"/>
      <c r="AO2200" s="73"/>
      <c r="AP2200" s="73"/>
      <c r="AQ2200" s="73"/>
      <c r="AR2200" s="73"/>
      <c r="AS2200" s="73"/>
      <c r="AT2200" s="73"/>
      <c r="AU2200" s="73"/>
      <c r="AV2200" s="73"/>
      <c r="AW2200" s="73"/>
      <c r="AX2200" s="73"/>
      <c r="AY2200" s="73"/>
      <c r="AZ2200" s="73"/>
      <c r="BA2200" s="73"/>
      <c r="BB2200" s="73"/>
      <c r="BC2200" s="73"/>
      <c r="BD2200" s="73"/>
      <c r="BE2200" s="73"/>
      <c r="BF2200" s="75"/>
      <c r="BG2200" s="73"/>
      <c r="BH2200" s="88"/>
      <c r="BI2200" s="73"/>
      <c r="BJ2200" s="73"/>
      <c r="BK2200" s="73"/>
      <c r="BL2200" s="73"/>
      <c r="BM2200" s="73"/>
      <c r="BN2200" s="73"/>
      <c r="BO2200" s="73"/>
      <c r="BP2200" s="73"/>
      <c r="BQ2200" s="73"/>
      <c r="BR2200" s="73"/>
      <c r="BS2200" s="73"/>
      <c r="BT2200" s="73"/>
      <c r="BU2200" s="73"/>
      <c r="BV2200" s="73"/>
      <c r="BW2200" s="73"/>
      <c r="BX2200" s="73"/>
      <c r="BY2200" s="73"/>
      <c r="BZ2200" s="73"/>
      <c r="CA2200" s="73"/>
      <c r="CB2200" s="73"/>
      <c r="CC2200" s="73"/>
      <c r="CD2200" s="73"/>
      <c r="CE2200" s="73"/>
      <c r="CF2200" s="73"/>
      <c r="CG2200" s="73"/>
      <c r="CH2200" s="73"/>
    </row>
    <row r="2201">
      <c r="A2201" s="73"/>
      <c r="B2201" s="73"/>
      <c r="C2201" s="73"/>
      <c r="D2201" s="73"/>
      <c r="E2201" s="140"/>
      <c r="F2201" s="80"/>
      <c r="G2201" s="80"/>
      <c r="H2201" s="73"/>
      <c r="I2201" s="73"/>
      <c r="J2201" s="73"/>
      <c r="K2201" s="73"/>
      <c r="L2201" s="73"/>
      <c r="M2201" s="73"/>
      <c r="N2201" s="73"/>
      <c r="O2201" s="73"/>
      <c r="P2201" s="73"/>
      <c r="Q2201" s="73"/>
      <c r="R2201" s="73"/>
      <c r="S2201" s="73"/>
      <c r="T2201" s="73"/>
      <c r="U2201" s="73"/>
      <c r="V2201" s="73"/>
      <c r="W2201" s="73"/>
      <c r="X2201" s="73"/>
      <c r="Y2201" s="73"/>
      <c r="Z2201" s="73"/>
      <c r="AA2201" s="73"/>
      <c r="AB2201" s="73"/>
      <c r="AC2201" s="73"/>
      <c r="AD2201" s="73"/>
      <c r="AE2201" s="73"/>
      <c r="AF2201" s="73"/>
      <c r="AG2201" s="73"/>
      <c r="AH2201" s="73"/>
      <c r="AI2201" s="73"/>
      <c r="AJ2201" s="168"/>
      <c r="AK2201" s="73"/>
      <c r="AL2201" s="73"/>
      <c r="AM2201" s="73"/>
      <c r="AN2201" s="73"/>
      <c r="AO2201" s="73"/>
      <c r="AP2201" s="73"/>
      <c r="AQ2201" s="73"/>
      <c r="AR2201" s="73"/>
      <c r="AS2201" s="73"/>
      <c r="AT2201" s="73"/>
      <c r="AU2201" s="73"/>
      <c r="AV2201" s="73"/>
      <c r="AW2201" s="73"/>
      <c r="AX2201" s="73"/>
      <c r="AY2201" s="73"/>
      <c r="AZ2201" s="73"/>
      <c r="BA2201" s="73"/>
      <c r="BB2201" s="73"/>
      <c r="BC2201" s="73"/>
      <c r="BD2201" s="73"/>
      <c r="BE2201" s="73"/>
      <c r="BF2201" s="75"/>
      <c r="BG2201" s="73"/>
      <c r="BH2201" s="88"/>
      <c r="BI2201" s="73"/>
      <c r="BJ2201" s="73"/>
      <c r="BK2201" s="73"/>
      <c r="BL2201" s="73"/>
      <c r="BM2201" s="73"/>
      <c r="BN2201" s="73"/>
      <c r="BO2201" s="73"/>
      <c r="BP2201" s="73"/>
      <c r="BQ2201" s="73"/>
      <c r="BR2201" s="73"/>
      <c r="BS2201" s="73"/>
      <c r="BT2201" s="73"/>
      <c r="BU2201" s="73"/>
      <c r="BV2201" s="73"/>
      <c r="BW2201" s="73"/>
      <c r="BX2201" s="73"/>
      <c r="BY2201" s="73"/>
      <c r="BZ2201" s="73"/>
      <c r="CA2201" s="73"/>
      <c r="CB2201" s="73"/>
      <c r="CC2201" s="73"/>
      <c r="CD2201" s="73"/>
      <c r="CE2201" s="73"/>
      <c r="CF2201" s="73"/>
      <c r="CG2201" s="73"/>
      <c r="CH2201" s="73"/>
    </row>
    <row r="2202">
      <c r="A2202" s="73"/>
      <c r="B2202" s="73"/>
      <c r="C2202" s="73"/>
      <c r="D2202" s="73"/>
      <c r="E2202" s="140"/>
      <c r="F2202" s="80"/>
      <c r="G2202" s="80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  <c r="S2202" s="73"/>
      <c r="T2202" s="73"/>
      <c r="U2202" s="73"/>
      <c r="V2202" s="73"/>
      <c r="W2202" s="73"/>
      <c r="X2202" s="73"/>
      <c r="Y2202" s="73"/>
      <c r="Z2202" s="73"/>
      <c r="AA2202" s="73"/>
      <c r="AB2202" s="73"/>
      <c r="AC2202" s="73"/>
      <c r="AD2202" s="73"/>
      <c r="AE2202" s="73"/>
      <c r="AF2202" s="73"/>
      <c r="AG2202" s="73"/>
      <c r="AH2202" s="73"/>
      <c r="AI2202" s="73"/>
      <c r="AJ2202" s="168"/>
      <c r="AK2202" s="73"/>
      <c r="AL2202" s="73"/>
      <c r="AM2202" s="73"/>
      <c r="AN2202" s="73"/>
      <c r="AO2202" s="73"/>
      <c r="AP2202" s="73"/>
      <c r="AQ2202" s="73"/>
      <c r="AR2202" s="73"/>
      <c r="AS2202" s="73"/>
      <c r="AT2202" s="73"/>
      <c r="AU2202" s="73"/>
      <c r="AV2202" s="73"/>
      <c r="AW2202" s="73"/>
      <c r="AX2202" s="73"/>
      <c r="AY2202" s="73"/>
      <c r="AZ2202" s="73"/>
      <c r="BA2202" s="73"/>
      <c r="BB2202" s="73"/>
      <c r="BC2202" s="73"/>
      <c r="BD2202" s="73"/>
      <c r="BE2202" s="73"/>
      <c r="BF2202" s="75"/>
      <c r="BG2202" s="73"/>
      <c r="BH2202" s="88"/>
      <c r="BI2202" s="73"/>
      <c r="BJ2202" s="73"/>
      <c r="BK2202" s="73"/>
      <c r="BL2202" s="73"/>
      <c r="BM2202" s="73"/>
      <c r="BN2202" s="73"/>
      <c r="BO2202" s="73"/>
      <c r="BP2202" s="73"/>
      <c r="BQ2202" s="73"/>
      <c r="BR2202" s="73"/>
      <c r="BS2202" s="73"/>
      <c r="BT2202" s="73"/>
      <c r="BU2202" s="73"/>
      <c r="BV2202" s="73"/>
      <c r="BW2202" s="73"/>
      <c r="BX2202" s="73"/>
      <c r="BY2202" s="73"/>
      <c r="BZ2202" s="73"/>
      <c r="CA2202" s="73"/>
      <c r="CB2202" s="73"/>
      <c r="CC2202" s="73"/>
      <c r="CD2202" s="73"/>
      <c r="CE2202" s="73"/>
      <c r="CF2202" s="73"/>
      <c r="CG2202" s="73"/>
      <c r="CH2202" s="73"/>
    </row>
    <row r="2203">
      <c r="A2203" s="73"/>
      <c r="B2203" s="73"/>
      <c r="C2203" s="73"/>
      <c r="D2203" s="73"/>
      <c r="E2203" s="140"/>
      <c r="F2203" s="80"/>
      <c r="G2203" s="80"/>
      <c r="H2203" s="73"/>
      <c r="I2203" s="73"/>
      <c r="J2203" s="73"/>
      <c r="K2203" s="73"/>
      <c r="L2203" s="73"/>
      <c r="M2203" s="73"/>
      <c r="N2203" s="73"/>
      <c r="O2203" s="73"/>
      <c r="P2203" s="73"/>
      <c r="Q2203" s="73"/>
      <c r="R2203" s="73"/>
      <c r="S2203" s="73"/>
      <c r="T2203" s="73"/>
      <c r="U2203" s="73"/>
      <c r="V2203" s="73"/>
      <c r="W2203" s="73"/>
      <c r="X2203" s="73"/>
      <c r="Y2203" s="73"/>
      <c r="Z2203" s="73"/>
      <c r="AA2203" s="73"/>
      <c r="AB2203" s="73"/>
      <c r="AC2203" s="73"/>
      <c r="AD2203" s="73"/>
      <c r="AE2203" s="73"/>
      <c r="AF2203" s="73"/>
      <c r="AG2203" s="73"/>
      <c r="AH2203" s="73"/>
      <c r="AI2203" s="73"/>
      <c r="AJ2203" s="168"/>
      <c r="AK2203" s="73"/>
      <c r="AL2203" s="73"/>
      <c r="AM2203" s="73"/>
      <c r="AN2203" s="73"/>
      <c r="AO2203" s="73"/>
      <c r="AP2203" s="73"/>
      <c r="AQ2203" s="73"/>
      <c r="AR2203" s="73"/>
      <c r="AS2203" s="73"/>
      <c r="AT2203" s="73"/>
      <c r="AU2203" s="73"/>
      <c r="AV2203" s="73"/>
      <c r="AW2203" s="73"/>
      <c r="AX2203" s="73"/>
      <c r="AY2203" s="73"/>
      <c r="AZ2203" s="73"/>
      <c r="BA2203" s="73"/>
      <c r="BB2203" s="73"/>
      <c r="BC2203" s="73"/>
      <c r="BD2203" s="73"/>
      <c r="BE2203" s="73"/>
      <c r="BF2203" s="75"/>
      <c r="BG2203" s="73"/>
      <c r="BH2203" s="88"/>
      <c r="BI2203" s="73"/>
      <c r="BJ2203" s="73"/>
      <c r="BK2203" s="73"/>
      <c r="BL2203" s="73"/>
      <c r="BM2203" s="73"/>
      <c r="BN2203" s="73"/>
      <c r="BO2203" s="73"/>
      <c r="BP2203" s="73"/>
      <c r="BQ2203" s="73"/>
      <c r="BR2203" s="73"/>
      <c r="BS2203" s="73"/>
      <c r="BT2203" s="73"/>
      <c r="BU2203" s="73"/>
      <c r="BV2203" s="73"/>
      <c r="BW2203" s="73"/>
      <c r="BX2203" s="73"/>
      <c r="BY2203" s="73"/>
      <c r="BZ2203" s="73"/>
      <c r="CA2203" s="73"/>
      <c r="CB2203" s="73"/>
      <c r="CC2203" s="73"/>
      <c r="CD2203" s="73"/>
      <c r="CE2203" s="73"/>
      <c r="CF2203" s="73"/>
      <c r="CG2203" s="73"/>
      <c r="CH2203" s="73"/>
    </row>
    <row r="2204">
      <c r="A2204" s="73"/>
      <c r="B2204" s="73"/>
      <c r="C2204" s="73"/>
      <c r="D2204" s="73"/>
      <c r="E2204" s="140"/>
      <c r="F2204" s="80"/>
      <c r="G2204" s="80"/>
      <c r="H2204" s="73"/>
      <c r="I2204" s="73"/>
      <c r="J2204" s="73"/>
      <c r="K2204" s="73"/>
      <c r="L2204" s="73"/>
      <c r="M2204" s="73"/>
      <c r="N2204" s="73"/>
      <c r="O2204" s="73"/>
      <c r="P2204" s="73"/>
      <c r="Q2204" s="73"/>
      <c r="R2204" s="73"/>
      <c r="S2204" s="73"/>
      <c r="T2204" s="73"/>
      <c r="U2204" s="73"/>
      <c r="V2204" s="73"/>
      <c r="W2204" s="73"/>
      <c r="X2204" s="73"/>
      <c r="Y2204" s="73"/>
      <c r="Z2204" s="73"/>
      <c r="AA2204" s="73"/>
      <c r="AB2204" s="73"/>
      <c r="AC2204" s="73"/>
      <c r="AD2204" s="73"/>
      <c r="AE2204" s="73"/>
      <c r="AF2204" s="73"/>
      <c r="AG2204" s="73"/>
      <c r="AH2204" s="73"/>
      <c r="AI2204" s="73"/>
      <c r="AJ2204" s="168"/>
      <c r="AK2204" s="73"/>
      <c r="AL2204" s="73"/>
      <c r="AM2204" s="73"/>
      <c r="AN2204" s="73"/>
      <c r="AO2204" s="73"/>
      <c r="AP2204" s="73"/>
      <c r="AQ2204" s="73"/>
      <c r="AR2204" s="73"/>
      <c r="AS2204" s="73"/>
      <c r="AT2204" s="73"/>
      <c r="AU2204" s="73"/>
      <c r="AV2204" s="73"/>
      <c r="AW2204" s="73"/>
      <c r="AX2204" s="73"/>
      <c r="AY2204" s="73"/>
      <c r="AZ2204" s="73"/>
      <c r="BA2204" s="73"/>
      <c r="BB2204" s="73"/>
      <c r="BC2204" s="73"/>
      <c r="BD2204" s="73"/>
      <c r="BE2204" s="73"/>
      <c r="BF2204" s="75"/>
      <c r="BG2204" s="73"/>
      <c r="BH2204" s="88"/>
      <c r="BI2204" s="73"/>
      <c r="BJ2204" s="73"/>
      <c r="BK2204" s="73"/>
      <c r="BL2204" s="73"/>
      <c r="BM2204" s="73"/>
      <c r="BN2204" s="73"/>
      <c r="BO2204" s="73"/>
      <c r="BP2204" s="73"/>
      <c r="BQ2204" s="73"/>
      <c r="BR2204" s="73"/>
      <c r="BS2204" s="73"/>
      <c r="BT2204" s="73"/>
      <c r="BU2204" s="73"/>
      <c r="BV2204" s="73"/>
      <c r="BW2204" s="73"/>
      <c r="BX2204" s="73"/>
      <c r="BY2204" s="73"/>
      <c r="BZ2204" s="73"/>
      <c r="CA2204" s="73"/>
      <c r="CB2204" s="73"/>
      <c r="CC2204" s="73"/>
      <c r="CD2204" s="73"/>
      <c r="CE2204" s="73"/>
      <c r="CF2204" s="73"/>
      <c r="CG2204" s="73"/>
      <c r="CH2204" s="73"/>
    </row>
    <row r="2205">
      <c r="A2205" s="73"/>
      <c r="B2205" s="73"/>
      <c r="C2205" s="73"/>
      <c r="D2205" s="73"/>
      <c r="E2205" s="140"/>
      <c r="F2205" s="80"/>
      <c r="G2205" s="80"/>
      <c r="H2205" s="73"/>
      <c r="I2205" s="73"/>
      <c r="J2205" s="73"/>
      <c r="K2205" s="73"/>
      <c r="L2205" s="73"/>
      <c r="M2205" s="73"/>
      <c r="N2205" s="73"/>
      <c r="O2205" s="73"/>
      <c r="P2205" s="73"/>
      <c r="Q2205" s="73"/>
      <c r="R2205" s="73"/>
      <c r="S2205" s="73"/>
      <c r="T2205" s="73"/>
      <c r="U2205" s="73"/>
      <c r="V2205" s="73"/>
      <c r="W2205" s="73"/>
      <c r="X2205" s="73"/>
      <c r="Y2205" s="73"/>
      <c r="Z2205" s="73"/>
      <c r="AA2205" s="73"/>
      <c r="AB2205" s="73"/>
      <c r="AC2205" s="73"/>
      <c r="AD2205" s="73"/>
      <c r="AE2205" s="73"/>
      <c r="AF2205" s="73"/>
      <c r="AG2205" s="73"/>
      <c r="AH2205" s="73"/>
      <c r="AI2205" s="73"/>
      <c r="AJ2205" s="168"/>
      <c r="AK2205" s="73"/>
      <c r="AL2205" s="73"/>
      <c r="AM2205" s="73"/>
      <c r="AN2205" s="73"/>
      <c r="AO2205" s="73"/>
      <c r="AP2205" s="73"/>
      <c r="AQ2205" s="73"/>
      <c r="AR2205" s="73"/>
      <c r="AS2205" s="73"/>
      <c r="AT2205" s="73"/>
      <c r="AU2205" s="73"/>
      <c r="AV2205" s="73"/>
      <c r="AW2205" s="73"/>
      <c r="AX2205" s="73"/>
      <c r="AY2205" s="73"/>
      <c r="AZ2205" s="73"/>
      <c r="BA2205" s="73"/>
      <c r="BB2205" s="73"/>
      <c r="BC2205" s="73"/>
      <c r="BD2205" s="73"/>
      <c r="BE2205" s="73"/>
      <c r="BF2205" s="75"/>
      <c r="BG2205" s="73"/>
      <c r="BH2205" s="88"/>
      <c r="BI2205" s="73"/>
      <c r="BJ2205" s="73"/>
      <c r="BK2205" s="73"/>
      <c r="BL2205" s="73"/>
      <c r="BM2205" s="73"/>
      <c r="BN2205" s="73"/>
      <c r="BO2205" s="73"/>
      <c r="BP2205" s="73"/>
      <c r="BQ2205" s="73"/>
      <c r="BR2205" s="73"/>
      <c r="BS2205" s="73"/>
      <c r="BT2205" s="73"/>
      <c r="BU2205" s="73"/>
      <c r="BV2205" s="73"/>
      <c r="BW2205" s="73"/>
      <c r="BX2205" s="73"/>
      <c r="BY2205" s="73"/>
      <c r="BZ2205" s="73"/>
      <c r="CA2205" s="73"/>
      <c r="CB2205" s="73"/>
      <c r="CC2205" s="73"/>
      <c r="CD2205" s="73"/>
      <c r="CE2205" s="73"/>
      <c r="CF2205" s="73"/>
      <c r="CG2205" s="73"/>
      <c r="CH2205" s="73"/>
    </row>
    <row r="2206">
      <c r="A2206" s="73"/>
      <c r="B2206" s="73"/>
      <c r="C2206" s="73"/>
      <c r="D2206" s="73"/>
      <c r="E2206" s="140"/>
      <c r="F2206" s="80"/>
      <c r="G2206" s="80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  <c r="S2206" s="73"/>
      <c r="T2206" s="73"/>
      <c r="U2206" s="73"/>
      <c r="V2206" s="73"/>
      <c r="W2206" s="73"/>
      <c r="X2206" s="73"/>
      <c r="Y2206" s="73"/>
      <c r="Z2206" s="73"/>
      <c r="AA2206" s="73"/>
      <c r="AB2206" s="73"/>
      <c r="AC2206" s="73"/>
      <c r="AD2206" s="73"/>
      <c r="AE2206" s="73"/>
      <c r="AF2206" s="73"/>
      <c r="AG2206" s="73"/>
      <c r="AH2206" s="73"/>
      <c r="AI2206" s="73"/>
      <c r="AJ2206" s="168"/>
      <c r="AK2206" s="73"/>
      <c r="AL2206" s="73"/>
      <c r="AM2206" s="73"/>
      <c r="AN2206" s="73"/>
      <c r="AO2206" s="73"/>
      <c r="AP2206" s="73"/>
      <c r="AQ2206" s="73"/>
      <c r="AR2206" s="73"/>
      <c r="AS2206" s="73"/>
      <c r="AT2206" s="73"/>
      <c r="AU2206" s="73"/>
      <c r="AV2206" s="73"/>
      <c r="AW2206" s="73"/>
      <c r="AX2206" s="73"/>
      <c r="AY2206" s="73"/>
      <c r="AZ2206" s="73"/>
      <c r="BA2206" s="73"/>
      <c r="BB2206" s="73"/>
      <c r="BC2206" s="73"/>
      <c r="BD2206" s="73"/>
      <c r="BE2206" s="73"/>
      <c r="BF2206" s="75"/>
      <c r="BG2206" s="73"/>
      <c r="BH2206" s="88"/>
      <c r="BI2206" s="73"/>
      <c r="BJ2206" s="73"/>
      <c r="BK2206" s="73"/>
      <c r="BL2206" s="73"/>
      <c r="BM2206" s="73"/>
      <c r="BN2206" s="73"/>
      <c r="BO2206" s="73"/>
      <c r="BP2206" s="73"/>
      <c r="BQ2206" s="73"/>
      <c r="BR2206" s="73"/>
      <c r="BS2206" s="73"/>
      <c r="BT2206" s="73"/>
      <c r="BU2206" s="73"/>
      <c r="BV2206" s="73"/>
      <c r="BW2206" s="73"/>
      <c r="BX2206" s="73"/>
      <c r="BY2206" s="73"/>
      <c r="BZ2206" s="73"/>
      <c r="CA2206" s="73"/>
      <c r="CB2206" s="73"/>
      <c r="CC2206" s="73"/>
      <c r="CD2206" s="73"/>
      <c r="CE2206" s="73"/>
      <c r="CF2206" s="73"/>
      <c r="CG2206" s="73"/>
      <c r="CH2206" s="73"/>
    </row>
    <row r="2207">
      <c r="A2207" s="73"/>
      <c r="B2207" s="73"/>
      <c r="C2207" s="73"/>
      <c r="D2207" s="73"/>
      <c r="E2207" s="140"/>
      <c r="F2207" s="80"/>
      <c r="G2207" s="80"/>
      <c r="H2207" s="73"/>
      <c r="I2207" s="73"/>
      <c r="J2207" s="73"/>
      <c r="K2207" s="73"/>
      <c r="L2207" s="73"/>
      <c r="M2207" s="73"/>
      <c r="N2207" s="73"/>
      <c r="O2207" s="73"/>
      <c r="P2207" s="73"/>
      <c r="Q2207" s="73"/>
      <c r="R2207" s="73"/>
      <c r="S2207" s="73"/>
      <c r="T2207" s="73"/>
      <c r="U2207" s="73"/>
      <c r="V2207" s="73"/>
      <c r="W2207" s="73"/>
      <c r="X2207" s="73"/>
      <c r="Y2207" s="73"/>
      <c r="Z2207" s="73"/>
      <c r="AA2207" s="73"/>
      <c r="AB2207" s="73"/>
      <c r="AC2207" s="73"/>
      <c r="AD2207" s="73"/>
      <c r="AE2207" s="73"/>
      <c r="AF2207" s="73"/>
      <c r="AG2207" s="73"/>
      <c r="AH2207" s="73"/>
      <c r="AI2207" s="73"/>
      <c r="AJ2207" s="168"/>
      <c r="AK2207" s="73"/>
      <c r="AL2207" s="73"/>
      <c r="AM2207" s="73"/>
      <c r="AN2207" s="73"/>
      <c r="AO2207" s="73"/>
      <c r="AP2207" s="73"/>
      <c r="AQ2207" s="73"/>
      <c r="AR2207" s="73"/>
      <c r="AS2207" s="73"/>
      <c r="AT2207" s="73"/>
      <c r="AU2207" s="73"/>
      <c r="AV2207" s="73"/>
      <c r="AW2207" s="73"/>
      <c r="AX2207" s="73"/>
      <c r="AY2207" s="73"/>
      <c r="AZ2207" s="73"/>
      <c r="BA2207" s="73"/>
      <c r="BB2207" s="73"/>
      <c r="BC2207" s="73"/>
      <c r="BD2207" s="73"/>
      <c r="BE2207" s="73"/>
      <c r="BF2207" s="75"/>
      <c r="BG2207" s="73"/>
      <c r="BH2207" s="88"/>
      <c r="BI2207" s="73"/>
      <c r="BJ2207" s="73"/>
      <c r="BK2207" s="73"/>
      <c r="BL2207" s="73"/>
      <c r="BM2207" s="73"/>
      <c r="BN2207" s="73"/>
      <c r="BO2207" s="73"/>
      <c r="BP2207" s="73"/>
      <c r="BQ2207" s="73"/>
      <c r="BR2207" s="73"/>
      <c r="BS2207" s="73"/>
      <c r="BT2207" s="73"/>
      <c r="BU2207" s="73"/>
      <c r="BV2207" s="73"/>
      <c r="BW2207" s="73"/>
      <c r="BX2207" s="73"/>
      <c r="BY2207" s="73"/>
      <c r="BZ2207" s="73"/>
      <c r="CA2207" s="73"/>
      <c r="CB2207" s="73"/>
      <c r="CC2207" s="73"/>
      <c r="CD2207" s="73"/>
      <c r="CE2207" s="73"/>
      <c r="CF2207" s="73"/>
      <c r="CG2207" s="73"/>
      <c r="CH2207" s="73"/>
    </row>
    <row r="2208">
      <c r="A2208" s="73"/>
      <c r="B2208" s="73"/>
      <c r="C2208" s="73"/>
      <c r="D2208" s="73"/>
      <c r="E2208" s="140"/>
      <c r="F2208" s="80"/>
      <c r="G2208" s="80"/>
      <c r="H2208" s="73"/>
      <c r="I2208" s="73"/>
      <c r="J2208" s="73"/>
      <c r="K2208" s="73"/>
      <c r="L2208" s="73"/>
      <c r="M2208" s="73"/>
      <c r="N2208" s="73"/>
      <c r="O2208" s="73"/>
      <c r="P2208" s="73"/>
      <c r="Q2208" s="73"/>
      <c r="R2208" s="73"/>
      <c r="S2208" s="73"/>
      <c r="T2208" s="73"/>
      <c r="U2208" s="73"/>
      <c r="V2208" s="73"/>
      <c r="W2208" s="73"/>
      <c r="X2208" s="73"/>
      <c r="Y2208" s="73"/>
      <c r="Z2208" s="73"/>
      <c r="AA2208" s="73"/>
      <c r="AB2208" s="73"/>
      <c r="AC2208" s="73"/>
      <c r="AD2208" s="73"/>
      <c r="AE2208" s="73"/>
      <c r="AF2208" s="73"/>
      <c r="AG2208" s="73"/>
      <c r="AH2208" s="73"/>
      <c r="AI2208" s="73"/>
      <c r="AJ2208" s="168"/>
      <c r="AK2208" s="73"/>
      <c r="AL2208" s="73"/>
      <c r="AM2208" s="73"/>
      <c r="AN2208" s="73"/>
      <c r="AO2208" s="73"/>
      <c r="AP2208" s="73"/>
      <c r="AQ2208" s="73"/>
      <c r="AR2208" s="73"/>
      <c r="AS2208" s="73"/>
      <c r="AT2208" s="73"/>
      <c r="AU2208" s="73"/>
      <c r="AV2208" s="73"/>
      <c r="AW2208" s="73"/>
      <c r="AX2208" s="73"/>
      <c r="AY2208" s="73"/>
      <c r="AZ2208" s="73"/>
      <c r="BA2208" s="73"/>
      <c r="BB2208" s="73"/>
      <c r="BC2208" s="73"/>
      <c r="BD2208" s="73"/>
      <c r="BE2208" s="73"/>
      <c r="BF2208" s="75"/>
      <c r="BG2208" s="73"/>
      <c r="BH2208" s="88"/>
      <c r="BI2208" s="73"/>
      <c r="BJ2208" s="73"/>
      <c r="BK2208" s="73"/>
      <c r="BL2208" s="73"/>
      <c r="BM2208" s="73"/>
      <c r="BN2208" s="73"/>
      <c r="BO2208" s="73"/>
      <c r="BP2208" s="73"/>
      <c r="BQ2208" s="73"/>
      <c r="BR2208" s="73"/>
      <c r="BS2208" s="73"/>
      <c r="BT2208" s="73"/>
      <c r="BU2208" s="73"/>
      <c r="BV2208" s="73"/>
      <c r="BW2208" s="73"/>
      <c r="BX2208" s="73"/>
      <c r="BY2208" s="73"/>
      <c r="BZ2208" s="73"/>
      <c r="CA2208" s="73"/>
      <c r="CB2208" s="73"/>
      <c r="CC2208" s="73"/>
      <c r="CD2208" s="73"/>
      <c r="CE2208" s="73"/>
      <c r="CF2208" s="73"/>
      <c r="CG2208" s="73"/>
      <c r="CH2208" s="73"/>
    </row>
    <row r="2209">
      <c r="A2209" s="73"/>
      <c r="B2209" s="73"/>
      <c r="C2209" s="73"/>
      <c r="D2209" s="73"/>
      <c r="E2209" s="140"/>
      <c r="F2209" s="80"/>
      <c r="G2209" s="80"/>
      <c r="H2209" s="73"/>
      <c r="I2209" s="73"/>
      <c r="J2209" s="73"/>
      <c r="K2209" s="73"/>
      <c r="L2209" s="73"/>
      <c r="M2209" s="73"/>
      <c r="N2209" s="73"/>
      <c r="O2209" s="73"/>
      <c r="P2209" s="73"/>
      <c r="Q2209" s="73"/>
      <c r="R2209" s="73"/>
      <c r="S2209" s="73"/>
      <c r="T2209" s="73"/>
      <c r="U2209" s="73"/>
      <c r="V2209" s="73"/>
      <c r="W2209" s="73"/>
      <c r="X2209" s="73"/>
      <c r="Y2209" s="73"/>
      <c r="Z2209" s="73"/>
      <c r="AA2209" s="73"/>
      <c r="AB2209" s="73"/>
      <c r="AC2209" s="73"/>
      <c r="AD2209" s="73"/>
      <c r="AE2209" s="73"/>
      <c r="AF2209" s="73"/>
      <c r="AG2209" s="73"/>
      <c r="AH2209" s="73"/>
      <c r="AI2209" s="73"/>
      <c r="AJ2209" s="168"/>
      <c r="AK2209" s="73"/>
      <c r="AL2209" s="73"/>
      <c r="AM2209" s="73"/>
      <c r="AN2209" s="73"/>
      <c r="AO2209" s="73"/>
      <c r="AP2209" s="73"/>
      <c r="AQ2209" s="73"/>
      <c r="AR2209" s="73"/>
      <c r="AS2209" s="73"/>
      <c r="AT2209" s="73"/>
      <c r="AU2209" s="73"/>
      <c r="AV2209" s="73"/>
      <c r="AW2209" s="73"/>
      <c r="AX2209" s="73"/>
      <c r="AY2209" s="73"/>
      <c r="AZ2209" s="73"/>
      <c r="BA2209" s="73"/>
      <c r="BB2209" s="73"/>
      <c r="BC2209" s="73"/>
      <c r="BD2209" s="73"/>
      <c r="BE2209" s="73"/>
      <c r="BF2209" s="75"/>
      <c r="BG2209" s="73"/>
      <c r="BH2209" s="88"/>
      <c r="BI2209" s="73"/>
      <c r="BJ2209" s="73"/>
      <c r="BK2209" s="73"/>
      <c r="BL2209" s="73"/>
      <c r="BM2209" s="73"/>
      <c r="BN2209" s="73"/>
      <c r="BO2209" s="73"/>
      <c r="BP2209" s="73"/>
      <c r="BQ2209" s="73"/>
      <c r="BR2209" s="73"/>
      <c r="BS2209" s="73"/>
      <c r="BT2209" s="73"/>
      <c r="BU2209" s="73"/>
      <c r="BV2209" s="73"/>
      <c r="BW2209" s="73"/>
      <c r="BX2209" s="73"/>
      <c r="BY2209" s="73"/>
      <c r="BZ2209" s="73"/>
      <c r="CA2209" s="73"/>
      <c r="CB2209" s="73"/>
      <c r="CC2209" s="73"/>
      <c r="CD2209" s="73"/>
      <c r="CE2209" s="73"/>
      <c r="CF2209" s="73"/>
      <c r="CG2209" s="73"/>
      <c r="CH2209" s="73"/>
    </row>
    <row r="2210">
      <c r="A2210" s="73"/>
      <c r="B2210" s="73"/>
      <c r="C2210" s="73"/>
      <c r="D2210" s="73"/>
      <c r="E2210" s="140"/>
      <c r="F2210" s="80"/>
      <c r="G2210" s="80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  <c r="S2210" s="73"/>
      <c r="T2210" s="73"/>
      <c r="U2210" s="73"/>
      <c r="V2210" s="73"/>
      <c r="W2210" s="73"/>
      <c r="X2210" s="73"/>
      <c r="Y2210" s="73"/>
      <c r="Z2210" s="73"/>
      <c r="AA2210" s="73"/>
      <c r="AB2210" s="73"/>
      <c r="AC2210" s="73"/>
      <c r="AD2210" s="73"/>
      <c r="AE2210" s="73"/>
      <c r="AF2210" s="73"/>
      <c r="AG2210" s="73"/>
      <c r="AH2210" s="73"/>
      <c r="AI2210" s="73"/>
      <c r="AJ2210" s="168"/>
      <c r="AK2210" s="73"/>
      <c r="AL2210" s="73"/>
      <c r="AM2210" s="73"/>
      <c r="AN2210" s="73"/>
      <c r="AO2210" s="73"/>
      <c r="AP2210" s="73"/>
      <c r="AQ2210" s="73"/>
      <c r="AR2210" s="73"/>
      <c r="AS2210" s="73"/>
      <c r="AT2210" s="73"/>
      <c r="AU2210" s="73"/>
      <c r="AV2210" s="73"/>
      <c r="AW2210" s="73"/>
      <c r="AX2210" s="73"/>
      <c r="AY2210" s="73"/>
      <c r="AZ2210" s="73"/>
      <c r="BA2210" s="73"/>
      <c r="BB2210" s="73"/>
      <c r="BC2210" s="73"/>
      <c r="BD2210" s="73"/>
      <c r="BE2210" s="73"/>
      <c r="BF2210" s="75"/>
      <c r="BG2210" s="73"/>
      <c r="BH2210" s="88"/>
      <c r="BI2210" s="73"/>
      <c r="BJ2210" s="73"/>
      <c r="BK2210" s="73"/>
      <c r="BL2210" s="73"/>
      <c r="BM2210" s="73"/>
      <c r="BN2210" s="73"/>
      <c r="BO2210" s="73"/>
      <c r="BP2210" s="73"/>
      <c r="BQ2210" s="73"/>
      <c r="BR2210" s="73"/>
      <c r="BS2210" s="73"/>
      <c r="BT2210" s="73"/>
      <c r="BU2210" s="73"/>
      <c r="BV2210" s="73"/>
      <c r="BW2210" s="73"/>
      <c r="BX2210" s="73"/>
      <c r="BY2210" s="73"/>
      <c r="BZ2210" s="73"/>
      <c r="CA2210" s="73"/>
      <c r="CB2210" s="73"/>
      <c r="CC2210" s="73"/>
      <c r="CD2210" s="73"/>
      <c r="CE2210" s="73"/>
      <c r="CF2210" s="73"/>
      <c r="CG2210" s="73"/>
      <c r="CH2210" s="73"/>
    </row>
    <row r="2211">
      <c r="A2211" s="73"/>
      <c r="B2211" s="73"/>
      <c r="C2211" s="73"/>
      <c r="D2211" s="73"/>
      <c r="E2211" s="140"/>
      <c r="F2211" s="80"/>
      <c r="G2211" s="80"/>
      <c r="H2211" s="73"/>
      <c r="I2211" s="73"/>
      <c r="J2211" s="73"/>
      <c r="K2211" s="73"/>
      <c r="L2211" s="73"/>
      <c r="M2211" s="73"/>
      <c r="N2211" s="73"/>
      <c r="O2211" s="73"/>
      <c r="P2211" s="73"/>
      <c r="Q2211" s="73"/>
      <c r="R2211" s="73"/>
      <c r="S2211" s="73"/>
      <c r="T2211" s="73"/>
      <c r="U2211" s="73"/>
      <c r="V2211" s="73"/>
      <c r="W2211" s="73"/>
      <c r="X2211" s="73"/>
      <c r="Y2211" s="73"/>
      <c r="Z2211" s="73"/>
      <c r="AA2211" s="73"/>
      <c r="AB2211" s="73"/>
      <c r="AC2211" s="73"/>
      <c r="AD2211" s="73"/>
      <c r="AE2211" s="73"/>
      <c r="AF2211" s="73"/>
      <c r="AG2211" s="73"/>
      <c r="AH2211" s="73"/>
      <c r="AI2211" s="73"/>
      <c r="AJ2211" s="168"/>
      <c r="AK2211" s="73"/>
      <c r="AL2211" s="73"/>
      <c r="AM2211" s="73"/>
      <c r="AN2211" s="73"/>
      <c r="AO2211" s="73"/>
      <c r="AP2211" s="73"/>
      <c r="AQ2211" s="73"/>
      <c r="AR2211" s="73"/>
      <c r="AS2211" s="73"/>
      <c r="AT2211" s="73"/>
      <c r="AU2211" s="73"/>
      <c r="AV2211" s="73"/>
      <c r="AW2211" s="73"/>
      <c r="AX2211" s="73"/>
      <c r="AY2211" s="73"/>
      <c r="AZ2211" s="73"/>
      <c r="BA2211" s="73"/>
      <c r="BB2211" s="73"/>
      <c r="BC2211" s="73"/>
      <c r="BD2211" s="73"/>
      <c r="BE2211" s="73"/>
      <c r="BF2211" s="75"/>
      <c r="BG2211" s="73"/>
      <c r="BH2211" s="88"/>
      <c r="BI2211" s="73"/>
      <c r="BJ2211" s="73"/>
      <c r="BK2211" s="73"/>
      <c r="BL2211" s="73"/>
      <c r="BM2211" s="73"/>
      <c r="BN2211" s="73"/>
      <c r="BO2211" s="73"/>
      <c r="BP2211" s="73"/>
      <c r="BQ2211" s="73"/>
      <c r="BR2211" s="73"/>
      <c r="BS2211" s="73"/>
      <c r="BT2211" s="73"/>
      <c r="BU2211" s="73"/>
      <c r="BV2211" s="73"/>
      <c r="BW2211" s="73"/>
      <c r="BX2211" s="73"/>
      <c r="BY2211" s="73"/>
      <c r="BZ2211" s="73"/>
      <c r="CA2211" s="73"/>
      <c r="CB2211" s="73"/>
      <c r="CC2211" s="73"/>
      <c r="CD2211" s="73"/>
      <c r="CE2211" s="73"/>
      <c r="CF2211" s="73"/>
      <c r="CG2211" s="73"/>
      <c r="CH2211" s="73"/>
    </row>
    <row r="2212">
      <c r="A2212" s="73"/>
      <c r="B2212" s="73"/>
      <c r="C2212" s="73"/>
      <c r="D2212" s="73"/>
      <c r="E2212" s="140"/>
      <c r="F2212" s="80"/>
      <c r="G2212" s="80"/>
      <c r="H2212" s="73"/>
      <c r="I2212" s="73"/>
      <c r="J2212" s="73"/>
      <c r="K2212" s="73"/>
      <c r="L2212" s="73"/>
      <c r="M2212" s="73"/>
      <c r="N2212" s="73"/>
      <c r="O2212" s="73"/>
      <c r="P2212" s="73"/>
      <c r="Q2212" s="73"/>
      <c r="R2212" s="73"/>
      <c r="S2212" s="73"/>
      <c r="T2212" s="73"/>
      <c r="U2212" s="73"/>
      <c r="V2212" s="73"/>
      <c r="W2212" s="73"/>
      <c r="X2212" s="73"/>
      <c r="Y2212" s="73"/>
      <c r="Z2212" s="73"/>
      <c r="AA2212" s="73"/>
      <c r="AB2212" s="73"/>
      <c r="AC2212" s="73"/>
      <c r="AD2212" s="73"/>
      <c r="AE2212" s="73"/>
      <c r="AF2212" s="73"/>
      <c r="AG2212" s="73"/>
      <c r="AH2212" s="73"/>
      <c r="AI2212" s="73"/>
      <c r="AJ2212" s="168"/>
      <c r="AK2212" s="73"/>
      <c r="AL2212" s="73"/>
      <c r="AM2212" s="73"/>
      <c r="AN2212" s="73"/>
      <c r="AO2212" s="73"/>
      <c r="AP2212" s="73"/>
      <c r="AQ2212" s="73"/>
      <c r="AR2212" s="73"/>
      <c r="AS2212" s="73"/>
      <c r="AT2212" s="73"/>
      <c r="AU2212" s="73"/>
      <c r="AV2212" s="73"/>
      <c r="AW2212" s="73"/>
      <c r="AX2212" s="73"/>
      <c r="AY2212" s="73"/>
      <c r="AZ2212" s="73"/>
      <c r="BA2212" s="73"/>
      <c r="BB2212" s="73"/>
      <c r="BC2212" s="73"/>
      <c r="BD2212" s="73"/>
      <c r="BE2212" s="73"/>
      <c r="BF2212" s="75"/>
      <c r="BG2212" s="73"/>
      <c r="BH2212" s="88"/>
      <c r="BI2212" s="73"/>
      <c r="BJ2212" s="73"/>
      <c r="BK2212" s="73"/>
      <c r="BL2212" s="73"/>
      <c r="BM2212" s="73"/>
      <c r="BN2212" s="73"/>
      <c r="BO2212" s="73"/>
      <c r="BP2212" s="73"/>
      <c r="BQ2212" s="73"/>
      <c r="BR2212" s="73"/>
      <c r="BS2212" s="73"/>
      <c r="BT2212" s="73"/>
      <c r="BU2212" s="73"/>
      <c r="BV2212" s="73"/>
      <c r="BW2212" s="73"/>
      <c r="BX2212" s="73"/>
      <c r="BY2212" s="73"/>
      <c r="BZ2212" s="73"/>
      <c r="CA2212" s="73"/>
      <c r="CB2212" s="73"/>
      <c r="CC2212" s="73"/>
      <c r="CD2212" s="73"/>
      <c r="CE2212" s="73"/>
      <c r="CF2212" s="73"/>
      <c r="CG2212" s="73"/>
      <c r="CH2212" s="73"/>
    </row>
    <row r="2213">
      <c r="A2213" s="73"/>
      <c r="B2213" s="73"/>
      <c r="C2213" s="73"/>
      <c r="D2213" s="73"/>
      <c r="E2213" s="140"/>
      <c r="F2213" s="80"/>
      <c r="G2213" s="80"/>
      <c r="H2213" s="73"/>
      <c r="I2213" s="73"/>
      <c r="J2213" s="73"/>
      <c r="K2213" s="73"/>
      <c r="L2213" s="73"/>
      <c r="M2213" s="73"/>
      <c r="N2213" s="73"/>
      <c r="O2213" s="73"/>
      <c r="P2213" s="73"/>
      <c r="Q2213" s="73"/>
      <c r="R2213" s="73"/>
      <c r="S2213" s="73"/>
      <c r="T2213" s="73"/>
      <c r="U2213" s="73"/>
      <c r="V2213" s="73"/>
      <c r="W2213" s="73"/>
      <c r="X2213" s="73"/>
      <c r="Y2213" s="73"/>
      <c r="Z2213" s="73"/>
      <c r="AA2213" s="73"/>
      <c r="AB2213" s="73"/>
      <c r="AC2213" s="73"/>
      <c r="AD2213" s="73"/>
      <c r="AE2213" s="73"/>
      <c r="AF2213" s="73"/>
      <c r="AG2213" s="73"/>
      <c r="AH2213" s="73"/>
      <c r="AI2213" s="73"/>
      <c r="AJ2213" s="168"/>
      <c r="AK2213" s="73"/>
      <c r="AL2213" s="73"/>
      <c r="AM2213" s="73"/>
      <c r="AN2213" s="73"/>
      <c r="AO2213" s="73"/>
      <c r="AP2213" s="73"/>
      <c r="AQ2213" s="73"/>
      <c r="AR2213" s="73"/>
      <c r="AS2213" s="73"/>
      <c r="AT2213" s="73"/>
      <c r="AU2213" s="73"/>
      <c r="AV2213" s="73"/>
      <c r="AW2213" s="73"/>
      <c r="AX2213" s="73"/>
      <c r="AY2213" s="73"/>
      <c r="AZ2213" s="73"/>
      <c r="BA2213" s="73"/>
      <c r="BB2213" s="73"/>
      <c r="BC2213" s="73"/>
      <c r="BD2213" s="73"/>
      <c r="BE2213" s="73"/>
      <c r="BF2213" s="75"/>
      <c r="BG2213" s="73"/>
      <c r="BH2213" s="88"/>
      <c r="BI2213" s="73"/>
      <c r="BJ2213" s="73"/>
      <c r="BK2213" s="73"/>
      <c r="BL2213" s="73"/>
      <c r="BM2213" s="73"/>
      <c r="BN2213" s="73"/>
      <c r="BO2213" s="73"/>
      <c r="BP2213" s="73"/>
      <c r="BQ2213" s="73"/>
      <c r="BR2213" s="73"/>
      <c r="BS2213" s="73"/>
      <c r="BT2213" s="73"/>
      <c r="BU2213" s="73"/>
      <c r="BV2213" s="73"/>
      <c r="BW2213" s="73"/>
      <c r="BX2213" s="73"/>
      <c r="BY2213" s="73"/>
      <c r="BZ2213" s="73"/>
      <c r="CA2213" s="73"/>
      <c r="CB2213" s="73"/>
      <c r="CC2213" s="73"/>
      <c r="CD2213" s="73"/>
      <c r="CE2213" s="73"/>
      <c r="CF2213" s="73"/>
      <c r="CG2213" s="73"/>
      <c r="CH2213" s="73"/>
    </row>
    <row r="2214">
      <c r="A2214" s="73"/>
      <c r="B2214" s="73"/>
      <c r="C2214" s="73"/>
      <c r="D2214" s="73"/>
      <c r="E2214" s="140"/>
      <c r="F2214" s="80"/>
      <c r="G2214" s="80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  <c r="S2214" s="73"/>
      <c r="T2214" s="73"/>
      <c r="U2214" s="73"/>
      <c r="V2214" s="73"/>
      <c r="W2214" s="73"/>
      <c r="X2214" s="73"/>
      <c r="Y2214" s="73"/>
      <c r="Z2214" s="73"/>
      <c r="AA2214" s="73"/>
      <c r="AB2214" s="73"/>
      <c r="AC2214" s="73"/>
      <c r="AD2214" s="73"/>
      <c r="AE2214" s="73"/>
      <c r="AF2214" s="73"/>
      <c r="AG2214" s="73"/>
      <c r="AH2214" s="73"/>
      <c r="AI2214" s="73"/>
      <c r="AJ2214" s="168"/>
      <c r="AK2214" s="73"/>
      <c r="AL2214" s="73"/>
      <c r="AM2214" s="73"/>
      <c r="AN2214" s="73"/>
      <c r="AO2214" s="73"/>
      <c r="AP2214" s="73"/>
      <c r="AQ2214" s="73"/>
      <c r="AR2214" s="73"/>
      <c r="AS2214" s="73"/>
      <c r="AT2214" s="73"/>
      <c r="AU2214" s="73"/>
      <c r="AV2214" s="73"/>
      <c r="AW2214" s="73"/>
      <c r="AX2214" s="73"/>
      <c r="AY2214" s="73"/>
      <c r="AZ2214" s="73"/>
      <c r="BA2214" s="73"/>
      <c r="BB2214" s="73"/>
      <c r="BC2214" s="73"/>
      <c r="BD2214" s="73"/>
      <c r="BE2214" s="73"/>
      <c r="BF2214" s="75"/>
      <c r="BG2214" s="73"/>
      <c r="BH2214" s="88"/>
      <c r="BI2214" s="73"/>
      <c r="BJ2214" s="73"/>
      <c r="BK2214" s="73"/>
      <c r="BL2214" s="73"/>
      <c r="BM2214" s="73"/>
      <c r="BN2214" s="73"/>
      <c r="BO2214" s="73"/>
      <c r="BP2214" s="73"/>
      <c r="BQ2214" s="73"/>
      <c r="BR2214" s="73"/>
      <c r="BS2214" s="73"/>
      <c r="BT2214" s="73"/>
      <c r="BU2214" s="73"/>
      <c r="BV2214" s="73"/>
      <c r="BW2214" s="73"/>
      <c r="BX2214" s="73"/>
      <c r="BY2214" s="73"/>
      <c r="BZ2214" s="73"/>
      <c r="CA2214" s="73"/>
      <c r="CB2214" s="73"/>
      <c r="CC2214" s="73"/>
      <c r="CD2214" s="73"/>
      <c r="CE2214" s="73"/>
      <c r="CF2214" s="73"/>
      <c r="CG2214" s="73"/>
      <c r="CH2214" s="73"/>
    </row>
    <row r="2215">
      <c r="A2215" s="73"/>
      <c r="B2215" s="73"/>
      <c r="C2215" s="73"/>
      <c r="D2215" s="73"/>
      <c r="E2215" s="140"/>
      <c r="F2215" s="80"/>
      <c r="G2215" s="80"/>
      <c r="H2215" s="73"/>
      <c r="I2215" s="73"/>
      <c r="J2215" s="73"/>
      <c r="K2215" s="73"/>
      <c r="L2215" s="73"/>
      <c r="M2215" s="73"/>
      <c r="N2215" s="73"/>
      <c r="O2215" s="73"/>
      <c r="P2215" s="73"/>
      <c r="Q2215" s="73"/>
      <c r="R2215" s="73"/>
      <c r="S2215" s="73"/>
      <c r="T2215" s="73"/>
      <c r="U2215" s="73"/>
      <c r="V2215" s="73"/>
      <c r="W2215" s="73"/>
      <c r="X2215" s="73"/>
      <c r="Y2215" s="73"/>
      <c r="Z2215" s="73"/>
      <c r="AA2215" s="73"/>
      <c r="AB2215" s="73"/>
      <c r="AC2215" s="73"/>
      <c r="AD2215" s="73"/>
      <c r="AE2215" s="73"/>
      <c r="AF2215" s="73"/>
      <c r="AG2215" s="73"/>
      <c r="AH2215" s="73"/>
      <c r="AI2215" s="73"/>
      <c r="AJ2215" s="168"/>
      <c r="AK2215" s="73"/>
      <c r="AL2215" s="73"/>
      <c r="AM2215" s="73"/>
      <c r="AN2215" s="73"/>
      <c r="AO2215" s="73"/>
      <c r="AP2215" s="73"/>
      <c r="AQ2215" s="73"/>
      <c r="AR2215" s="73"/>
      <c r="AS2215" s="73"/>
      <c r="AT2215" s="73"/>
      <c r="AU2215" s="73"/>
      <c r="AV2215" s="73"/>
      <c r="AW2215" s="73"/>
      <c r="AX2215" s="73"/>
      <c r="AY2215" s="73"/>
      <c r="AZ2215" s="73"/>
      <c r="BA2215" s="73"/>
      <c r="BB2215" s="73"/>
      <c r="BC2215" s="73"/>
      <c r="BD2215" s="73"/>
      <c r="BE2215" s="73"/>
      <c r="BF2215" s="75"/>
      <c r="BG2215" s="73"/>
      <c r="BH2215" s="88"/>
      <c r="BI2215" s="73"/>
      <c r="BJ2215" s="73"/>
      <c r="BK2215" s="73"/>
      <c r="BL2215" s="73"/>
      <c r="BM2215" s="73"/>
      <c r="BN2215" s="73"/>
      <c r="BO2215" s="73"/>
      <c r="BP2215" s="73"/>
      <c r="BQ2215" s="73"/>
      <c r="BR2215" s="73"/>
      <c r="BS2215" s="73"/>
      <c r="BT2215" s="73"/>
      <c r="BU2215" s="73"/>
      <c r="BV2215" s="73"/>
      <c r="BW2215" s="73"/>
      <c r="BX2215" s="73"/>
      <c r="BY2215" s="73"/>
      <c r="BZ2215" s="73"/>
      <c r="CA2215" s="73"/>
      <c r="CB2215" s="73"/>
      <c r="CC2215" s="73"/>
      <c r="CD2215" s="73"/>
      <c r="CE2215" s="73"/>
      <c r="CF2215" s="73"/>
      <c r="CG2215" s="73"/>
      <c r="CH2215" s="73"/>
    </row>
    <row r="2216">
      <c r="A2216" s="73"/>
      <c r="B2216" s="73"/>
      <c r="C2216" s="73"/>
      <c r="D2216" s="73"/>
      <c r="E2216" s="140"/>
      <c r="F2216" s="80"/>
      <c r="G2216" s="80"/>
      <c r="H2216" s="73"/>
      <c r="I2216" s="73"/>
      <c r="J2216" s="73"/>
      <c r="K2216" s="73"/>
      <c r="L2216" s="73"/>
      <c r="M2216" s="73"/>
      <c r="N2216" s="73"/>
      <c r="O2216" s="73"/>
      <c r="P2216" s="73"/>
      <c r="Q2216" s="73"/>
      <c r="R2216" s="73"/>
      <c r="S2216" s="73"/>
      <c r="T2216" s="73"/>
      <c r="U2216" s="73"/>
      <c r="V2216" s="73"/>
      <c r="W2216" s="73"/>
      <c r="X2216" s="73"/>
      <c r="Y2216" s="73"/>
      <c r="Z2216" s="73"/>
      <c r="AA2216" s="73"/>
      <c r="AB2216" s="73"/>
      <c r="AC2216" s="73"/>
      <c r="AD2216" s="73"/>
      <c r="AE2216" s="73"/>
      <c r="AF2216" s="73"/>
      <c r="AG2216" s="73"/>
      <c r="AH2216" s="73"/>
      <c r="AI2216" s="73"/>
      <c r="AJ2216" s="168"/>
      <c r="AK2216" s="73"/>
      <c r="AL2216" s="73"/>
      <c r="AM2216" s="73"/>
      <c r="AN2216" s="73"/>
      <c r="AO2216" s="73"/>
      <c r="AP2216" s="73"/>
      <c r="AQ2216" s="73"/>
      <c r="AR2216" s="73"/>
      <c r="AS2216" s="73"/>
      <c r="AT2216" s="73"/>
      <c r="AU2216" s="73"/>
      <c r="AV2216" s="73"/>
      <c r="AW2216" s="73"/>
      <c r="AX2216" s="73"/>
      <c r="AY2216" s="73"/>
      <c r="AZ2216" s="73"/>
      <c r="BA2216" s="73"/>
      <c r="BB2216" s="73"/>
      <c r="BC2216" s="73"/>
      <c r="BD2216" s="73"/>
      <c r="BE2216" s="73"/>
      <c r="BF2216" s="75"/>
      <c r="BG2216" s="73"/>
      <c r="BH2216" s="88"/>
      <c r="BI2216" s="73"/>
      <c r="BJ2216" s="73"/>
      <c r="BK2216" s="73"/>
      <c r="BL2216" s="73"/>
      <c r="BM2216" s="73"/>
      <c r="BN2216" s="73"/>
      <c r="BO2216" s="73"/>
      <c r="BP2216" s="73"/>
      <c r="BQ2216" s="73"/>
      <c r="BR2216" s="73"/>
      <c r="BS2216" s="73"/>
      <c r="BT2216" s="73"/>
      <c r="BU2216" s="73"/>
      <c r="BV2216" s="73"/>
      <c r="BW2216" s="73"/>
      <c r="BX2216" s="73"/>
      <c r="BY2216" s="73"/>
      <c r="BZ2216" s="73"/>
      <c r="CA2216" s="73"/>
      <c r="CB2216" s="73"/>
      <c r="CC2216" s="73"/>
      <c r="CD2216" s="73"/>
      <c r="CE2216" s="73"/>
      <c r="CF2216" s="73"/>
      <c r="CG2216" s="73"/>
      <c r="CH2216" s="73"/>
    </row>
    <row r="2217">
      <c r="A2217" s="73"/>
      <c r="B2217" s="73"/>
      <c r="C2217" s="73"/>
      <c r="D2217" s="73"/>
      <c r="E2217" s="140"/>
      <c r="F2217" s="80"/>
      <c r="G2217" s="80"/>
      <c r="H2217" s="73"/>
      <c r="I2217" s="73"/>
      <c r="J2217" s="73"/>
      <c r="K2217" s="73"/>
      <c r="L2217" s="73"/>
      <c r="M2217" s="73"/>
      <c r="N2217" s="73"/>
      <c r="O2217" s="73"/>
      <c r="P2217" s="73"/>
      <c r="Q2217" s="73"/>
      <c r="R2217" s="73"/>
      <c r="S2217" s="73"/>
      <c r="T2217" s="73"/>
      <c r="U2217" s="73"/>
      <c r="V2217" s="73"/>
      <c r="W2217" s="73"/>
      <c r="X2217" s="73"/>
      <c r="Y2217" s="73"/>
      <c r="Z2217" s="73"/>
      <c r="AA2217" s="73"/>
      <c r="AB2217" s="73"/>
      <c r="AC2217" s="73"/>
      <c r="AD2217" s="73"/>
      <c r="AE2217" s="73"/>
      <c r="AF2217" s="73"/>
      <c r="AG2217" s="73"/>
      <c r="AH2217" s="73"/>
      <c r="AI2217" s="73"/>
      <c r="AJ2217" s="168"/>
      <c r="AK2217" s="73"/>
      <c r="AL2217" s="73"/>
      <c r="AM2217" s="73"/>
      <c r="AN2217" s="73"/>
      <c r="AO2217" s="73"/>
      <c r="AP2217" s="73"/>
      <c r="AQ2217" s="73"/>
      <c r="AR2217" s="73"/>
      <c r="AS2217" s="73"/>
      <c r="AT2217" s="73"/>
      <c r="AU2217" s="73"/>
      <c r="AV2217" s="73"/>
      <c r="AW2217" s="73"/>
      <c r="AX2217" s="73"/>
      <c r="AY2217" s="73"/>
      <c r="AZ2217" s="73"/>
      <c r="BA2217" s="73"/>
      <c r="BB2217" s="73"/>
      <c r="BC2217" s="73"/>
      <c r="BD2217" s="73"/>
      <c r="BE2217" s="73"/>
      <c r="BF2217" s="75"/>
      <c r="BG2217" s="73"/>
      <c r="BH2217" s="88"/>
      <c r="BI2217" s="73"/>
      <c r="BJ2217" s="73"/>
      <c r="BK2217" s="73"/>
      <c r="BL2217" s="73"/>
      <c r="BM2217" s="73"/>
      <c r="BN2217" s="73"/>
      <c r="BO2217" s="73"/>
      <c r="BP2217" s="73"/>
      <c r="BQ2217" s="73"/>
      <c r="BR2217" s="73"/>
      <c r="BS2217" s="73"/>
      <c r="BT2217" s="73"/>
      <c r="BU2217" s="73"/>
      <c r="BV2217" s="73"/>
      <c r="BW2217" s="73"/>
      <c r="BX2217" s="73"/>
      <c r="BY2217" s="73"/>
      <c r="BZ2217" s="73"/>
      <c r="CA2217" s="73"/>
      <c r="CB2217" s="73"/>
      <c r="CC2217" s="73"/>
      <c r="CD2217" s="73"/>
      <c r="CE2217" s="73"/>
      <c r="CF2217" s="73"/>
      <c r="CG2217" s="73"/>
      <c r="CH2217" s="73"/>
    </row>
    <row r="2218">
      <c r="A2218" s="73"/>
      <c r="B2218" s="73"/>
      <c r="C2218" s="73"/>
      <c r="D2218" s="73"/>
      <c r="E2218" s="140"/>
      <c r="F2218" s="80"/>
      <c r="G2218" s="80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  <c r="S2218" s="73"/>
      <c r="T2218" s="73"/>
      <c r="U2218" s="73"/>
      <c r="V2218" s="73"/>
      <c r="W2218" s="73"/>
      <c r="X2218" s="73"/>
      <c r="Y2218" s="73"/>
      <c r="Z2218" s="73"/>
      <c r="AA2218" s="73"/>
      <c r="AB2218" s="73"/>
      <c r="AC2218" s="73"/>
      <c r="AD2218" s="73"/>
      <c r="AE2218" s="73"/>
      <c r="AF2218" s="73"/>
      <c r="AG2218" s="73"/>
      <c r="AH2218" s="73"/>
      <c r="AI2218" s="73"/>
      <c r="AJ2218" s="168"/>
      <c r="AK2218" s="73"/>
      <c r="AL2218" s="73"/>
      <c r="AM2218" s="73"/>
      <c r="AN2218" s="73"/>
      <c r="AO2218" s="73"/>
      <c r="AP2218" s="73"/>
      <c r="AQ2218" s="73"/>
      <c r="AR2218" s="73"/>
      <c r="AS2218" s="73"/>
      <c r="AT2218" s="73"/>
      <c r="AU2218" s="73"/>
      <c r="AV2218" s="73"/>
      <c r="AW2218" s="73"/>
      <c r="AX2218" s="73"/>
      <c r="AY2218" s="73"/>
      <c r="AZ2218" s="73"/>
      <c r="BA2218" s="73"/>
      <c r="BB2218" s="73"/>
      <c r="BC2218" s="73"/>
      <c r="BD2218" s="73"/>
      <c r="BE2218" s="73"/>
      <c r="BF2218" s="75"/>
      <c r="BG2218" s="73"/>
      <c r="BH2218" s="88"/>
      <c r="BI2218" s="73"/>
      <c r="BJ2218" s="73"/>
      <c r="BK2218" s="73"/>
      <c r="BL2218" s="73"/>
      <c r="BM2218" s="73"/>
      <c r="BN2218" s="73"/>
      <c r="BO2218" s="73"/>
      <c r="BP2218" s="73"/>
      <c r="BQ2218" s="73"/>
      <c r="BR2218" s="73"/>
      <c r="BS2218" s="73"/>
      <c r="BT2218" s="73"/>
      <c r="BU2218" s="73"/>
      <c r="BV2218" s="73"/>
      <c r="BW2218" s="73"/>
      <c r="BX2218" s="73"/>
      <c r="BY2218" s="73"/>
      <c r="BZ2218" s="73"/>
      <c r="CA2218" s="73"/>
      <c r="CB2218" s="73"/>
      <c r="CC2218" s="73"/>
      <c r="CD2218" s="73"/>
      <c r="CE2218" s="73"/>
      <c r="CF2218" s="73"/>
      <c r="CG2218" s="73"/>
      <c r="CH2218" s="73"/>
    </row>
    <row r="2219">
      <c r="A2219" s="73"/>
      <c r="B2219" s="73"/>
      <c r="C2219" s="73"/>
      <c r="D2219" s="73"/>
      <c r="E2219" s="140"/>
      <c r="F2219" s="80"/>
      <c r="G2219" s="80"/>
      <c r="H2219" s="73"/>
      <c r="I2219" s="73"/>
      <c r="J2219" s="73"/>
      <c r="K2219" s="73"/>
      <c r="L2219" s="73"/>
      <c r="M2219" s="73"/>
      <c r="N2219" s="73"/>
      <c r="O2219" s="73"/>
      <c r="P2219" s="73"/>
      <c r="Q2219" s="73"/>
      <c r="R2219" s="73"/>
      <c r="S2219" s="73"/>
      <c r="T2219" s="73"/>
      <c r="U2219" s="73"/>
      <c r="V2219" s="73"/>
      <c r="W2219" s="73"/>
      <c r="X2219" s="73"/>
      <c r="Y2219" s="73"/>
      <c r="Z2219" s="73"/>
      <c r="AA2219" s="73"/>
      <c r="AB2219" s="73"/>
      <c r="AC2219" s="73"/>
      <c r="AD2219" s="73"/>
      <c r="AE2219" s="73"/>
      <c r="AF2219" s="73"/>
      <c r="AG2219" s="73"/>
      <c r="AH2219" s="73"/>
      <c r="AI2219" s="73"/>
      <c r="AJ2219" s="168"/>
      <c r="AK2219" s="73"/>
      <c r="AL2219" s="73"/>
      <c r="AM2219" s="73"/>
      <c r="AN2219" s="73"/>
      <c r="AO2219" s="73"/>
      <c r="AP2219" s="73"/>
      <c r="AQ2219" s="73"/>
      <c r="AR2219" s="73"/>
      <c r="AS2219" s="73"/>
      <c r="AT2219" s="73"/>
      <c r="AU2219" s="73"/>
      <c r="AV2219" s="73"/>
      <c r="AW2219" s="73"/>
      <c r="AX2219" s="73"/>
      <c r="AY2219" s="73"/>
      <c r="AZ2219" s="73"/>
      <c r="BA2219" s="73"/>
      <c r="BB2219" s="73"/>
      <c r="BC2219" s="73"/>
      <c r="BD2219" s="73"/>
      <c r="BE2219" s="73"/>
      <c r="BF2219" s="75"/>
      <c r="BG2219" s="73"/>
      <c r="BH2219" s="88"/>
      <c r="BI2219" s="73"/>
      <c r="BJ2219" s="73"/>
      <c r="BK2219" s="73"/>
      <c r="BL2219" s="73"/>
      <c r="BM2219" s="73"/>
      <c r="BN2219" s="73"/>
      <c r="BO2219" s="73"/>
      <c r="BP2219" s="73"/>
      <c r="BQ2219" s="73"/>
      <c r="BR2219" s="73"/>
      <c r="BS2219" s="73"/>
      <c r="BT2219" s="73"/>
      <c r="BU2219" s="73"/>
      <c r="BV2219" s="73"/>
      <c r="BW2219" s="73"/>
      <c r="BX2219" s="73"/>
      <c r="BY2219" s="73"/>
      <c r="BZ2219" s="73"/>
      <c r="CA2219" s="73"/>
      <c r="CB2219" s="73"/>
      <c r="CC2219" s="73"/>
      <c r="CD2219" s="73"/>
      <c r="CE2219" s="73"/>
      <c r="CF2219" s="73"/>
      <c r="CG2219" s="73"/>
      <c r="CH2219" s="73"/>
    </row>
    <row r="2220">
      <c r="A2220" s="73"/>
      <c r="B2220" s="73"/>
      <c r="C2220" s="73"/>
      <c r="D2220" s="73"/>
      <c r="E2220" s="140"/>
      <c r="F2220" s="80"/>
      <c r="G2220" s="80"/>
      <c r="H2220" s="73"/>
      <c r="I2220" s="73"/>
      <c r="J2220" s="73"/>
      <c r="K2220" s="73"/>
      <c r="L2220" s="73"/>
      <c r="M2220" s="73"/>
      <c r="N2220" s="73"/>
      <c r="O2220" s="73"/>
      <c r="P2220" s="73"/>
      <c r="Q2220" s="73"/>
      <c r="R2220" s="73"/>
      <c r="S2220" s="73"/>
      <c r="T2220" s="73"/>
      <c r="U2220" s="73"/>
      <c r="V2220" s="73"/>
      <c r="W2220" s="73"/>
      <c r="X2220" s="73"/>
      <c r="Y2220" s="73"/>
      <c r="Z2220" s="73"/>
      <c r="AA2220" s="73"/>
      <c r="AB2220" s="73"/>
      <c r="AC2220" s="73"/>
      <c r="AD2220" s="73"/>
      <c r="AE2220" s="73"/>
      <c r="AF2220" s="73"/>
      <c r="AG2220" s="73"/>
      <c r="AH2220" s="73"/>
      <c r="AI2220" s="73"/>
      <c r="AJ2220" s="168"/>
      <c r="AK2220" s="73"/>
      <c r="AL2220" s="73"/>
      <c r="AM2220" s="73"/>
      <c r="AN2220" s="73"/>
      <c r="AO2220" s="73"/>
      <c r="AP2220" s="73"/>
      <c r="AQ2220" s="73"/>
      <c r="AR2220" s="73"/>
      <c r="AS2220" s="73"/>
      <c r="AT2220" s="73"/>
      <c r="AU2220" s="73"/>
      <c r="AV2220" s="73"/>
      <c r="AW2220" s="73"/>
      <c r="AX2220" s="73"/>
      <c r="AY2220" s="73"/>
      <c r="AZ2220" s="73"/>
      <c r="BA2220" s="73"/>
      <c r="BB2220" s="73"/>
      <c r="BC2220" s="73"/>
      <c r="BD2220" s="73"/>
      <c r="BE2220" s="73"/>
      <c r="BF2220" s="75"/>
      <c r="BG2220" s="73"/>
      <c r="BH2220" s="88"/>
      <c r="BI2220" s="73"/>
      <c r="BJ2220" s="73"/>
      <c r="BK2220" s="73"/>
      <c r="BL2220" s="73"/>
      <c r="BM2220" s="73"/>
      <c r="BN2220" s="73"/>
      <c r="BO2220" s="73"/>
      <c r="BP2220" s="73"/>
      <c r="BQ2220" s="73"/>
      <c r="BR2220" s="73"/>
      <c r="BS2220" s="73"/>
      <c r="BT2220" s="73"/>
      <c r="BU2220" s="73"/>
      <c r="BV2220" s="73"/>
      <c r="BW2220" s="73"/>
      <c r="BX2220" s="73"/>
      <c r="BY2220" s="73"/>
      <c r="BZ2220" s="73"/>
      <c r="CA2220" s="73"/>
      <c r="CB2220" s="73"/>
      <c r="CC2220" s="73"/>
      <c r="CD2220" s="73"/>
      <c r="CE2220" s="73"/>
      <c r="CF2220" s="73"/>
      <c r="CG2220" s="73"/>
      <c r="CH2220" s="73"/>
    </row>
    <row r="2221">
      <c r="A2221" s="73"/>
      <c r="B2221" s="73"/>
      <c r="C2221" s="73"/>
      <c r="D2221" s="73"/>
      <c r="E2221" s="140"/>
      <c r="F2221" s="80"/>
      <c r="G2221" s="80"/>
      <c r="H2221" s="73"/>
      <c r="I2221" s="73"/>
      <c r="J2221" s="73"/>
      <c r="K2221" s="73"/>
      <c r="L2221" s="73"/>
      <c r="M2221" s="73"/>
      <c r="N2221" s="73"/>
      <c r="O2221" s="73"/>
      <c r="P2221" s="73"/>
      <c r="Q2221" s="73"/>
      <c r="R2221" s="73"/>
      <c r="S2221" s="73"/>
      <c r="T2221" s="73"/>
      <c r="U2221" s="73"/>
      <c r="V2221" s="73"/>
      <c r="W2221" s="73"/>
      <c r="X2221" s="73"/>
      <c r="Y2221" s="73"/>
      <c r="Z2221" s="73"/>
      <c r="AA2221" s="73"/>
      <c r="AB2221" s="73"/>
      <c r="AC2221" s="73"/>
      <c r="AD2221" s="73"/>
      <c r="AE2221" s="73"/>
      <c r="AF2221" s="73"/>
      <c r="AG2221" s="73"/>
      <c r="AH2221" s="73"/>
      <c r="AI2221" s="73"/>
      <c r="AJ2221" s="168"/>
      <c r="AK2221" s="73"/>
      <c r="AL2221" s="73"/>
      <c r="AM2221" s="73"/>
      <c r="AN2221" s="73"/>
      <c r="AO2221" s="73"/>
      <c r="AP2221" s="73"/>
      <c r="AQ2221" s="73"/>
      <c r="AR2221" s="73"/>
      <c r="AS2221" s="73"/>
      <c r="AT2221" s="73"/>
      <c r="AU2221" s="73"/>
      <c r="AV2221" s="73"/>
      <c r="AW2221" s="73"/>
      <c r="AX2221" s="73"/>
      <c r="AY2221" s="73"/>
      <c r="AZ2221" s="73"/>
      <c r="BA2221" s="73"/>
      <c r="BB2221" s="73"/>
      <c r="BC2221" s="73"/>
      <c r="BD2221" s="73"/>
      <c r="BE2221" s="73"/>
      <c r="BF2221" s="75"/>
      <c r="BG2221" s="73"/>
      <c r="BH2221" s="88"/>
      <c r="BI2221" s="73"/>
      <c r="BJ2221" s="73"/>
      <c r="BK2221" s="73"/>
      <c r="BL2221" s="73"/>
      <c r="BM2221" s="73"/>
      <c r="BN2221" s="73"/>
      <c r="BO2221" s="73"/>
      <c r="BP2221" s="73"/>
      <c r="BQ2221" s="73"/>
      <c r="BR2221" s="73"/>
      <c r="BS2221" s="73"/>
      <c r="BT2221" s="73"/>
      <c r="BU2221" s="73"/>
      <c r="BV2221" s="73"/>
      <c r="BW2221" s="73"/>
      <c r="BX2221" s="73"/>
      <c r="BY2221" s="73"/>
      <c r="BZ2221" s="73"/>
      <c r="CA2221" s="73"/>
      <c r="CB2221" s="73"/>
      <c r="CC2221" s="73"/>
      <c r="CD2221" s="73"/>
      <c r="CE2221" s="73"/>
      <c r="CF2221" s="73"/>
      <c r="CG2221" s="73"/>
      <c r="CH2221" s="73"/>
    </row>
    <row r="2222">
      <c r="A2222" s="73"/>
      <c r="B2222" s="73"/>
      <c r="C2222" s="73"/>
      <c r="D2222" s="73"/>
      <c r="E2222" s="140"/>
      <c r="F2222" s="80"/>
      <c r="G2222" s="80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  <c r="S2222" s="73"/>
      <c r="T2222" s="73"/>
      <c r="U2222" s="73"/>
      <c r="V2222" s="73"/>
      <c r="W2222" s="73"/>
      <c r="X2222" s="73"/>
      <c r="Y2222" s="73"/>
      <c r="Z2222" s="73"/>
      <c r="AA2222" s="73"/>
      <c r="AB2222" s="73"/>
      <c r="AC2222" s="73"/>
      <c r="AD2222" s="73"/>
      <c r="AE2222" s="73"/>
      <c r="AF2222" s="73"/>
      <c r="AG2222" s="73"/>
      <c r="AH2222" s="73"/>
      <c r="AI2222" s="73"/>
      <c r="AJ2222" s="168"/>
      <c r="AK2222" s="73"/>
      <c r="AL2222" s="73"/>
      <c r="AM2222" s="73"/>
      <c r="AN2222" s="73"/>
      <c r="AO2222" s="73"/>
      <c r="AP2222" s="73"/>
      <c r="AQ2222" s="73"/>
      <c r="AR2222" s="73"/>
      <c r="AS2222" s="73"/>
      <c r="AT2222" s="73"/>
      <c r="AU2222" s="73"/>
      <c r="AV2222" s="73"/>
      <c r="AW2222" s="73"/>
      <c r="AX2222" s="73"/>
      <c r="AY2222" s="73"/>
      <c r="AZ2222" s="73"/>
      <c r="BA2222" s="73"/>
      <c r="BB2222" s="73"/>
      <c r="BC2222" s="73"/>
      <c r="BD2222" s="73"/>
      <c r="BE2222" s="73"/>
      <c r="BF2222" s="75"/>
      <c r="BG2222" s="73"/>
      <c r="BH2222" s="88"/>
      <c r="BI2222" s="73"/>
      <c r="BJ2222" s="73"/>
      <c r="BK2222" s="73"/>
      <c r="BL2222" s="73"/>
      <c r="BM2222" s="73"/>
      <c r="BN2222" s="73"/>
      <c r="BO2222" s="73"/>
      <c r="BP2222" s="73"/>
      <c r="BQ2222" s="73"/>
      <c r="BR2222" s="73"/>
      <c r="BS2222" s="73"/>
      <c r="BT2222" s="73"/>
      <c r="BU2222" s="73"/>
      <c r="BV2222" s="73"/>
      <c r="BW2222" s="73"/>
      <c r="BX2222" s="73"/>
      <c r="BY2222" s="73"/>
      <c r="BZ2222" s="73"/>
      <c r="CA2222" s="73"/>
      <c r="CB2222" s="73"/>
      <c r="CC2222" s="73"/>
      <c r="CD2222" s="73"/>
      <c r="CE2222" s="73"/>
      <c r="CF2222" s="73"/>
      <c r="CG2222" s="73"/>
      <c r="CH2222" s="73"/>
    </row>
    <row r="2223">
      <c r="A2223" s="73"/>
      <c r="B2223" s="73"/>
      <c r="C2223" s="73"/>
      <c r="D2223" s="73"/>
      <c r="E2223" s="140"/>
      <c r="F2223" s="80"/>
      <c r="G2223" s="80"/>
      <c r="H2223" s="73"/>
      <c r="I2223" s="73"/>
      <c r="J2223" s="73"/>
      <c r="K2223" s="73"/>
      <c r="L2223" s="73"/>
      <c r="M2223" s="73"/>
      <c r="N2223" s="73"/>
      <c r="O2223" s="73"/>
      <c r="P2223" s="73"/>
      <c r="Q2223" s="73"/>
      <c r="R2223" s="73"/>
      <c r="S2223" s="73"/>
      <c r="T2223" s="73"/>
      <c r="U2223" s="73"/>
      <c r="V2223" s="73"/>
      <c r="W2223" s="73"/>
      <c r="X2223" s="73"/>
      <c r="Y2223" s="73"/>
      <c r="Z2223" s="73"/>
      <c r="AA2223" s="73"/>
      <c r="AB2223" s="73"/>
      <c r="AC2223" s="73"/>
      <c r="AD2223" s="73"/>
      <c r="AE2223" s="73"/>
      <c r="AF2223" s="73"/>
      <c r="AG2223" s="73"/>
      <c r="AH2223" s="73"/>
      <c r="AI2223" s="73"/>
      <c r="AJ2223" s="168"/>
      <c r="AK2223" s="73"/>
      <c r="AL2223" s="73"/>
      <c r="AM2223" s="73"/>
      <c r="AN2223" s="73"/>
      <c r="AO2223" s="73"/>
      <c r="AP2223" s="73"/>
      <c r="AQ2223" s="73"/>
      <c r="AR2223" s="73"/>
      <c r="AS2223" s="73"/>
      <c r="AT2223" s="73"/>
      <c r="AU2223" s="73"/>
      <c r="AV2223" s="73"/>
      <c r="AW2223" s="73"/>
      <c r="AX2223" s="73"/>
      <c r="AY2223" s="73"/>
      <c r="AZ2223" s="73"/>
      <c r="BA2223" s="73"/>
      <c r="BB2223" s="73"/>
      <c r="BC2223" s="73"/>
      <c r="BD2223" s="73"/>
      <c r="BE2223" s="73"/>
      <c r="BF2223" s="75"/>
      <c r="BG2223" s="73"/>
      <c r="BH2223" s="88"/>
      <c r="BI2223" s="73"/>
      <c r="BJ2223" s="73"/>
      <c r="BK2223" s="73"/>
      <c r="BL2223" s="73"/>
      <c r="BM2223" s="73"/>
      <c r="BN2223" s="73"/>
      <c r="BO2223" s="73"/>
      <c r="BP2223" s="73"/>
      <c r="BQ2223" s="73"/>
      <c r="BR2223" s="73"/>
      <c r="BS2223" s="73"/>
      <c r="BT2223" s="73"/>
      <c r="BU2223" s="73"/>
      <c r="BV2223" s="73"/>
      <c r="BW2223" s="73"/>
      <c r="BX2223" s="73"/>
      <c r="BY2223" s="73"/>
      <c r="BZ2223" s="73"/>
      <c r="CA2223" s="73"/>
      <c r="CB2223" s="73"/>
      <c r="CC2223" s="73"/>
      <c r="CD2223" s="73"/>
      <c r="CE2223" s="73"/>
      <c r="CF2223" s="73"/>
      <c r="CG2223" s="73"/>
      <c r="CH2223" s="73"/>
    </row>
    <row r="2224">
      <c r="A2224" s="73"/>
      <c r="B2224" s="73"/>
      <c r="C2224" s="73"/>
      <c r="D2224" s="73"/>
      <c r="E2224" s="140"/>
      <c r="F2224" s="80"/>
      <c r="G2224" s="80"/>
      <c r="H2224" s="73"/>
      <c r="I2224" s="73"/>
      <c r="J2224" s="73"/>
      <c r="K2224" s="73"/>
      <c r="L2224" s="73"/>
      <c r="M2224" s="73"/>
      <c r="N2224" s="73"/>
      <c r="O2224" s="73"/>
      <c r="P2224" s="73"/>
      <c r="Q2224" s="73"/>
      <c r="R2224" s="73"/>
      <c r="S2224" s="73"/>
      <c r="T2224" s="73"/>
      <c r="U2224" s="73"/>
      <c r="V2224" s="73"/>
      <c r="W2224" s="73"/>
      <c r="X2224" s="73"/>
      <c r="Y2224" s="73"/>
      <c r="Z2224" s="73"/>
      <c r="AA2224" s="73"/>
      <c r="AB2224" s="73"/>
      <c r="AC2224" s="73"/>
      <c r="AD2224" s="73"/>
      <c r="AE2224" s="73"/>
      <c r="AF2224" s="73"/>
      <c r="AG2224" s="73"/>
      <c r="AH2224" s="73"/>
      <c r="AI2224" s="73"/>
      <c r="AJ2224" s="168"/>
      <c r="AK2224" s="73"/>
      <c r="AL2224" s="73"/>
      <c r="AM2224" s="73"/>
      <c r="AN2224" s="73"/>
      <c r="AO2224" s="73"/>
      <c r="AP2224" s="73"/>
      <c r="AQ2224" s="73"/>
      <c r="AR2224" s="73"/>
      <c r="AS2224" s="73"/>
      <c r="AT2224" s="73"/>
      <c r="AU2224" s="73"/>
      <c r="AV2224" s="73"/>
      <c r="AW2224" s="73"/>
      <c r="AX2224" s="73"/>
      <c r="AY2224" s="73"/>
      <c r="AZ2224" s="73"/>
      <c r="BA2224" s="73"/>
      <c r="BB2224" s="73"/>
      <c r="BC2224" s="73"/>
      <c r="BD2224" s="73"/>
      <c r="BE2224" s="73"/>
      <c r="BF2224" s="75"/>
      <c r="BG2224" s="73"/>
      <c r="BH2224" s="88"/>
      <c r="BI2224" s="73"/>
      <c r="BJ2224" s="73"/>
      <c r="BK2224" s="73"/>
      <c r="BL2224" s="73"/>
      <c r="BM2224" s="73"/>
      <c r="BN2224" s="73"/>
      <c r="BO2224" s="73"/>
      <c r="BP2224" s="73"/>
      <c r="BQ2224" s="73"/>
      <c r="BR2224" s="73"/>
      <c r="BS2224" s="73"/>
      <c r="BT2224" s="73"/>
      <c r="BU2224" s="73"/>
      <c r="BV2224" s="73"/>
      <c r="BW2224" s="73"/>
      <c r="BX2224" s="73"/>
      <c r="BY2224" s="73"/>
      <c r="BZ2224" s="73"/>
      <c r="CA2224" s="73"/>
      <c r="CB2224" s="73"/>
      <c r="CC2224" s="73"/>
      <c r="CD2224" s="73"/>
      <c r="CE2224" s="73"/>
      <c r="CF2224" s="73"/>
      <c r="CG2224" s="73"/>
      <c r="CH2224" s="73"/>
    </row>
    <row r="2225">
      <c r="A2225" s="73"/>
      <c r="B2225" s="73"/>
      <c r="C2225" s="73"/>
      <c r="D2225" s="73"/>
      <c r="E2225" s="140"/>
      <c r="F2225" s="80"/>
      <c r="G2225" s="80"/>
      <c r="H2225" s="73"/>
      <c r="I2225" s="73"/>
      <c r="J2225" s="73"/>
      <c r="K2225" s="73"/>
      <c r="L2225" s="73"/>
      <c r="M2225" s="73"/>
      <c r="N2225" s="73"/>
      <c r="O2225" s="73"/>
      <c r="P2225" s="73"/>
      <c r="Q2225" s="73"/>
      <c r="R2225" s="73"/>
      <c r="S2225" s="73"/>
      <c r="T2225" s="73"/>
      <c r="U2225" s="73"/>
      <c r="V2225" s="73"/>
      <c r="W2225" s="73"/>
      <c r="X2225" s="73"/>
      <c r="Y2225" s="73"/>
      <c r="Z2225" s="73"/>
      <c r="AA2225" s="73"/>
      <c r="AB2225" s="73"/>
      <c r="AC2225" s="73"/>
      <c r="AD2225" s="73"/>
      <c r="AE2225" s="73"/>
      <c r="AF2225" s="73"/>
      <c r="AG2225" s="73"/>
      <c r="AH2225" s="73"/>
      <c r="AI2225" s="73"/>
      <c r="AJ2225" s="168"/>
      <c r="AK2225" s="73"/>
      <c r="AL2225" s="73"/>
      <c r="AM2225" s="73"/>
      <c r="AN2225" s="73"/>
      <c r="AO2225" s="73"/>
      <c r="AP2225" s="73"/>
      <c r="AQ2225" s="73"/>
      <c r="AR2225" s="73"/>
      <c r="AS2225" s="73"/>
      <c r="AT2225" s="73"/>
      <c r="AU2225" s="73"/>
      <c r="AV2225" s="73"/>
      <c r="AW2225" s="73"/>
      <c r="AX2225" s="73"/>
      <c r="AY2225" s="73"/>
      <c r="AZ2225" s="73"/>
      <c r="BA2225" s="73"/>
      <c r="BB2225" s="73"/>
      <c r="BC2225" s="73"/>
      <c r="BD2225" s="73"/>
      <c r="BE2225" s="73"/>
      <c r="BF2225" s="75"/>
      <c r="BG2225" s="73"/>
      <c r="BH2225" s="88"/>
      <c r="BI2225" s="73"/>
      <c r="BJ2225" s="73"/>
      <c r="BK2225" s="73"/>
      <c r="BL2225" s="73"/>
      <c r="BM2225" s="73"/>
      <c r="BN2225" s="73"/>
      <c r="BO2225" s="73"/>
      <c r="BP2225" s="73"/>
      <c r="BQ2225" s="73"/>
      <c r="BR2225" s="73"/>
      <c r="BS2225" s="73"/>
      <c r="BT2225" s="73"/>
      <c r="BU2225" s="73"/>
      <c r="BV2225" s="73"/>
      <c r="BW2225" s="73"/>
      <c r="BX2225" s="73"/>
      <c r="BY2225" s="73"/>
      <c r="BZ2225" s="73"/>
      <c r="CA2225" s="73"/>
      <c r="CB2225" s="73"/>
      <c r="CC2225" s="73"/>
      <c r="CD2225" s="73"/>
      <c r="CE2225" s="73"/>
      <c r="CF2225" s="73"/>
      <c r="CG2225" s="73"/>
      <c r="CH2225" s="73"/>
    </row>
    <row r="2226">
      <c r="A2226" s="73"/>
      <c r="B2226" s="73"/>
      <c r="C2226" s="73"/>
      <c r="D2226" s="73"/>
      <c r="E2226" s="140"/>
      <c r="F2226" s="80"/>
      <c r="G2226" s="80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  <c r="S2226" s="73"/>
      <c r="T2226" s="73"/>
      <c r="U2226" s="73"/>
      <c r="V2226" s="73"/>
      <c r="W2226" s="73"/>
      <c r="X2226" s="73"/>
      <c r="Y2226" s="73"/>
      <c r="Z2226" s="73"/>
      <c r="AA2226" s="73"/>
      <c r="AB2226" s="73"/>
      <c r="AC2226" s="73"/>
      <c r="AD2226" s="73"/>
      <c r="AE2226" s="73"/>
      <c r="AF2226" s="73"/>
      <c r="AG2226" s="73"/>
      <c r="AH2226" s="73"/>
      <c r="AI2226" s="73"/>
      <c r="AJ2226" s="168"/>
      <c r="AK2226" s="73"/>
      <c r="AL2226" s="73"/>
      <c r="AM2226" s="73"/>
      <c r="AN2226" s="73"/>
      <c r="AO2226" s="73"/>
      <c r="AP2226" s="73"/>
      <c r="AQ2226" s="73"/>
      <c r="AR2226" s="73"/>
      <c r="AS2226" s="73"/>
      <c r="AT2226" s="73"/>
      <c r="AU2226" s="73"/>
      <c r="AV2226" s="73"/>
      <c r="AW2226" s="73"/>
      <c r="AX2226" s="73"/>
      <c r="AY2226" s="73"/>
      <c r="AZ2226" s="73"/>
      <c r="BA2226" s="73"/>
      <c r="BB2226" s="73"/>
      <c r="BC2226" s="73"/>
      <c r="BD2226" s="73"/>
      <c r="BE2226" s="73"/>
      <c r="BF2226" s="75"/>
      <c r="BG2226" s="73"/>
      <c r="BH2226" s="88"/>
      <c r="BI2226" s="73"/>
      <c r="BJ2226" s="73"/>
      <c r="BK2226" s="73"/>
      <c r="BL2226" s="73"/>
      <c r="BM2226" s="73"/>
      <c r="BN2226" s="73"/>
      <c r="BO2226" s="73"/>
      <c r="BP2226" s="73"/>
      <c r="BQ2226" s="73"/>
      <c r="BR2226" s="73"/>
      <c r="BS2226" s="73"/>
      <c r="BT2226" s="73"/>
      <c r="BU2226" s="73"/>
      <c r="BV2226" s="73"/>
      <c r="BW2226" s="73"/>
      <c r="BX2226" s="73"/>
      <c r="BY2226" s="73"/>
      <c r="BZ2226" s="73"/>
      <c r="CA2226" s="73"/>
      <c r="CB2226" s="73"/>
      <c r="CC2226" s="73"/>
      <c r="CD2226" s="73"/>
      <c r="CE2226" s="73"/>
      <c r="CF2226" s="73"/>
      <c r="CG2226" s="73"/>
      <c r="CH2226" s="73"/>
    </row>
    <row r="2227">
      <c r="A2227" s="73"/>
      <c r="B2227" s="73"/>
      <c r="C2227" s="73"/>
      <c r="D2227" s="73"/>
      <c r="E2227" s="140"/>
      <c r="F2227" s="80"/>
      <c r="G2227" s="80"/>
      <c r="H2227" s="73"/>
      <c r="I2227" s="73"/>
      <c r="J2227" s="73"/>
      <c r="K2227" s="73"/>
      <c r="L2227" s="73"/>
      <c r="M2227" s="73"/>
      <c r="N2227" s="73"/>
      <c r="O2227" s="73"/>
      <c r="P2227" s="73"/>
      <c r="Q2227" s="73"/>
      <c r="R2227" s="73"/>
      <c r="S2227" s="73"/>
      <c r="T2227" s="73"/>
      <c r="U2227" s="73"/>
      <c r="V2227" s="73"/>
      <c r="W2227" s="73"/>
      <c r="X2227" s="73"/>
      <c r="Y2227" s="73"/>
      <c r="Z2227" s="73"/>
      <c r="AA2227" s="73"/>
      <c r="AB2227" s="73"/>
      <c r="AC2227" s="73"/>
      <c r="AD2227" s="73"/>
      <c r="AE2227" s="73"/>
      <c r="AF2227" s="73"/>
      <c r="AG2227" s="73"/>
      <c r="AH2227" s="73"/>
      <c r="AI2227" s="73"/>
      <c r="AJ2227" s="168"/>
      <c r="AK2227" s="73"/>
      <c r="AL2227" s="73"/>
      <c r="AM2227" s="73"/>
      <c r="AN2227" s="73"/>
      <c r="AO2227" s="73"/>
      <c r="AP2227" s="73"/>
      <c r="AQ2227" s="73"/>
      <c r="AR2227" s="73"/>
      <c r="AS2227" s="73"/>
      <c r="AT2227" s="73"/>
      <c r="AU2227" s="73"/>
      <c r="AV2227" s="73"/>
      <c r="AW2227" s="73"/>
      <c r="AX2227" s="73"/>
      <c r="AY2227" s="73"/>
      <c r="AZ2227" s="73"/>
      <c r="BA2227" s="73"/>
      <c r="BB2227" s="73"/>
      <c r="BC2227" s="73"/>
      <c r="BD2227" s="73"/>
      <c r="BE2227" s="73"/>
      <c r="BF2227" s="75"/>
      <c r="BG2227" s="73"/>
      <c r="BH2227" s="88"/>
      <c r="BI2227" s="73"/>
      <c r="BJ2227" s="73"/>
      <c r="BK2227" s="73"/>
      <c r="BL2227" s="73"/>
      <c r="BM2227" s="73"/>
      <c r="BN2227" s="73"/>
      <c r="BO2227" s="73"/>
      <c r="BP2227" s="73"/>
      <c r="BQ2227" s="73"/>
      <c r="BR2227" s="73"/>
      <c r="BS2227" s="73"/>
      <c r="BT2227" s="73"/>
      <c r="BU2227" s="73"/>
      <c r="BV2227" s="73"/>
      <c r="BW2227" s="73"/>
      <c r="BX2227" s="73"/>
      <c r="BY2227" s="73"/>
      <c r="BZ2227" s="73"/>
      <c r="CA2227" s="73"/>
      <c r="CB2227" s="73"/>
      <c r="CC2227" s="73"/>
      <c r="CD2227" s="73"/>
      <c r="CE2227" s="73"/>
      <c r="CF2227" s="73"/>
      <c r="CG2227" s="73"/>
      <c r="CH2227" s="73"/>
    </row>
    <row r="2228">
      <c r="A2228" s="73"/>
      <c r="B2228" s="73"/>
      <c r="C2228" s="73"/>
      <c r="D2228" s="73"/>
      <c r="E2228" s="140"/>
      <c r="F2228" s="80"/>
      <c r="G2228" s="80"/>
      <c r="H2228" s="73"/>
      <c r="I2228" s="73"/>
      <c r="J2228" s="73"/>
      <c r="K2228" s="73"/>
      <c r="L2228" s="73"/>
      <c r="M2228" s="73"/>
      <c r="N2228" s="73"/>
      <c r="O2228" s="73"/>
      <c r="P2228" s="73"/>
      <c r="Q2228" s="73"/>
      <c r="R2228" s="73"/>
      <c r="S2228" s="73"/>
      <c r="T2228" s="73"/>
      <c r="U2228" s="73"/>
      <c r="V2228" s="73"/>
      <c r="W2228" s="73"/>
      <c r="X2228" s="73"/>
      <c r="Y2228" s="73"/>
      <c r="Z2228" s="73"/>
      <c r="AA2228" s="73"/>
      <c r="AB2228" s="73"/>
      <c r="AC2228" s="73"/>
      <c r="AD2228" s="73"/>
      <c r="AE2228" s="73"/>
      <c r="AF2228" s="73"/>
      <c r="AG2228" s="73"/>
      <c r="AH2228" s="73"/>
      <c r="AI2228" s="73"/>
      <c r="AJ2228" s="168"/>
      <c r="AK2228" s="73"/>
      <c r="AL2228" s="73"/>
      <c r="AM2228" s="73"/>
      <c r="AN2228" s="73"/>
      <c r="AO2228" s="73"/>
      <c r="AP2228" s="73"/>
      <c r="AQ2228" s="73"/>
      <c r="AR2228" s="73"/>
      <c r="AS2228" s="73"/>
      <c r="AT2228" s="73"/>
      <c r="AU2228" s="73"/>
      <c r="AV2228" s="73"/>
      <c r="AW2228" s="73"/>
      <c r="AX2228" s="73"/>
      <c r="AY2228" s="73"/>
      <c r="AZ2228" s="73"/>
      <c r="BA2228" s="73"/>
      <c r="BB2228" s="73"/>
      <c r="BC2228" s="73"/>
      <c r="BD2228" s="73"/>
      <c r="BE2228" s="73"/>
      <c r="BF2228" s="75"/>
      <c r="BG2228" s="73"/>
      <c r="BH2228" s="88"/>
      <c r="BI2228" s="73"/>
      <c r="BJ2228" s="73"/>
      <c r="BK2228" s="73"/>
      <c r="BL2228" s="73"/>
      <c r="BM2228" s="73"/>
      <c r="BN2228" s="73"/>
      <c r="BO2228" s="73"/>
      <c r="BP2228" s="73"/>
      <c r="BQ2228" s="73"/>
      <c r="BR2228" s="73"/>
      <c r="BS2228" s="73"/>
      <c r="BT2228" s="73"/>
      <c r="BU2228" s="73"/>
      <c r="BV2228" s="73"/>
      <c r="BW2228" s="73"/>
      <c r="BX2228" s="73"/>
      <c r="BY2228" s="73"/>
      <c r="BZ2228" s="73"/>
      <c r="CA2228" s="73"/>
      <c r="CB2228" s="73"/>
      <c r="CC2228" s="73"/>
      <c r="CD2228" s="73"/>
      <c r="CE2228" s="73"/>
      <c r="CF2228" s="73"/>
      <c r="CG2228" s="73"/>
      <c r="CH2228" s="73"/>
    </row>
    <row r="2229">
      <c r="A2229" s="73"/>
      <c r="B2229" s="73"/>
      <c r="C2229" s="73"/>
      <c r="D2229" s="73"/>
      <c r="E2229" s="140"/>
      <c r="F2229" s="80"/>
      <c r="G2229" s="80"/>
      <c r="H2229" s="73"/>
      <c r="I2229" s="73"/>
      <c r="J2229" s="73"/>
      <c r="K2229" s="73"/>
      <c r="L2229" s="73"/>
      <c r="M2229" s="73"/>
      <c r="N2229" s="73"/>
      <c r="O2229" s="73"/>
      <c r="P2229" s="73"/>
      <c r="Q2229" s="73"/>
      <c r="R2229" s="73"/>
      <c r="S2229" s="73"/>
      <c r="T2229" s="73"/>
      <c r="U2229" s="73"/>
      <c r="V2229" s="73"/>
      <c r="W2229" s="73"/>
      <c r="X2229" s="73"/>
      <c r="Y2229" s="73"/>
      <c r="Z2229" s="73"/>
      <c r="AA2229" s="73"/>
      <c r="AB2229" s="73"/>
      <c r="AC2229" s="73"/>
      <c r="AD2229" s="73"/>
      <c r="AE2229" s="73"/>
      <c r="AF2229" s="73"/>
      <c r="AG2229" s="73"/>
      <c r="AH2229" s="73"/>
      <c r="AI2229" s="73"/>
      <c r="AJ2229" s="168"/>
      <c r="AK2229" s="73"/>
      <c r="AL2229" s="73"/>
      <c r="AM2229" s="73"/>
      <c r="AN2229" s="73"/>
      <c r="AO2229" s="73"/>
      <c r="AP2229" s="73"/>
      <c r="AQ2229" s="73"/>
      <c r="AR2229" s="73"/>
      <c r="AS2229" s="73"/>
      <c r="AT2229" s="73"/>
      <c r="AU2229" s="73"/>
      <c r="AV2229" s="73"/>
      <c r="AW2229" s="73"/>
      <c r="AX2229" s="73"/>
      <c r="AY2229" s="73"/>
      <c r="AZ2229" s="73"/>
      <c r="BA2229" s="73"/>
      <c r="BB2229" s="73"/>
      <c r="BC2229" s="73"/>
      <c r="BD2229" s="73"/>
      <c r="BE2229" s="73"/>
      <c r="BF2229" s="75"/>
      <c r="BG2229" s="73"/>
      <c r="BH2229" s="88"/>
      <c r="BI2229" s="73"/>
      <c r="BJ2229" s="73"/>
      <c r="BK2229" s="73"/>
      <c r="BL2229" s="73"/>
      <c r="BM2229" s="73"/>
      <c r="BN2229" s="73"/>
      <c r="BO2229" s="73"/>
      <c r="BP2229" s="73"/>
      <c r="BQ2229" s="73"/>
      <c r="BR2229" s="73"/>
      <c r="BS2229" s="73"/>
      <c r="BT2229" s="73"/>
      <c r="BU2229" s="73"/>
      <c r="BV2229" s="73"/>
      <c r="BW2229" s="73"/>
      <c r="BX2229" s="73"/>
      <c r="BY2229" s="73"/>
      <c r="BZ2229" s="73"/>
      <c r="CA2229" s="73"/>
      <c r="CB2229" s="73"/>
      <c r="CC2229" s="73"/>
      <c r="CD2229" s="73"/>
      <c r="CE2229" s="73"/>
      <c r="CF2229" s="73"/>
      <c r="CG2229" s="73"/>
      <c r="CH2229" s="73"/>
    </row>
    <row r="2230">
      <c r="A2230" s="73"/>
      <c r="B2230" s="73"/>
      <c r="C2230" s="73"/>
      <c r="D2230" s="73"/>
      <c r="E2230" s="140"/>
      <c r="F2230" s="80"/>
      <c r="G2230" s="80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  <c r="S2230" s="73"/>
      <c r="T2230" s="73"/>
      <c r="U2230" s="73"/>
      <c r="V2230" s="73"/>
      <c r="W2230" s="73"/>
      <c r="X2230" s="73"/>
      <c r="Y2230" s="73"/>
      <c r="Z2230" s="73"/>
      <c r="AA2230" s="73"/>
      <c r="AB2230" s="73"/>
      <c r="AC2230" s="73"/>
      <c r="AD2230" s="73"/>
      <c r="AE2230" s="73"/>
      <c r="AF2230" s="73"/>
      <c r="AG2230" s="73"/>
      <c r="AH2230" s="73"/>
      <c r="AI2230" s="73"/>
      <c r="AJ2230" s="168"/>
      <c r="AK2230" s="73"/>
      <c r="AL2230" s="73"/>
      <c r="AM2230" s="73"/>
      <c r="AN2230" s="73"/>
      <c r="AO2230" s="73"/>
      <c r="AP2230" s="73"/>
      <c r="AQ2230" s="73"/>
      <c r="AR2230" s="73"/>
      <c r="AS2230" s="73"/>
      <c r="AT2230" s="73"/>
      <c r="AU2230" s="73"/>
      <c r="AV2230" s="73"/>
      <c r="AW2230" s="73"/>
      <c r="AX2230" s="73"/>
      <c r="AY2230" s="73"/>
      <c r="AZ2230" s="73"/>
      <c r="BA2230" s="73"/>
      <c r="BB2230" s="73"/>
      <c r="BC2230" s="73"/>
      <c r="BD2230" s="73"/>
      <c r="BE2230" s="73"/>
      <c r="BF2230" s="75"/>
      <c r="BG2230" s="73"/>
      <c r="BH2230" s="88"/>
      <c r="BI2230" s="73"/>
      <c r="BJ2230" s="73"/>
      <c r="BK2230" s="73"/>
      <c r="BL2230" s="73"/>
      <c r="BM2230" s="73"/>
      <c r="BN2230" s="73"/>
      <c r="BO2230" s="73"/>
      <c r="BP2230" s="73"/>
      <c r="BQ2230" s="73"/>
      <c r="BR2230" s="73"/>
      <c r="BS2230" s="73"/>
      <c r="BT2230" s="73"/>
      <c r="BU2230" s="73"/>
      <c r="BV2230" s="73"/>
      <c r="BW2230" s="73"/>
      <c r="BX2230" s="73"/>
      <c r="BY2230" s="73"/>
      <c r="BZ2230" s="73"/>
      <c r="CA2230" s="73"/>
      <c r="CB2230" s="73"/>
      <c r="CC2230" s="73"/>
      <c r="CD2230" s="73"/>
      <c r="CE2230" s="73"/>
      <c r="CF2230" s="73"/>
      <c r="CG2230" s="73"/>
      <c r="CH2230" s="73"/>
    </row>
    <row r="2231">
      <c r="A2231" s="73"/>
      <c r="B2231" s="73"/>
      <c r="C2231" s="73"/>
      <c r="D2231" s="73"/>
      <c r="E2231" s="140"/>
      <c r="F2231" s="80"/>
      <c r="G2231" s="80"/>
      <c r="H2231" s="73"/>
      <c r="I2231" s="73"/>
      <c r="J2231" s="73"/>
      <c r="K2231" s="73"/>
      <c r="L2231" s="73"/>
      <c r="M2231" s="73"/>
      <c r="N2231" s="73"/>
      <c r="O2231" s="73"/>
      <c r="P2231" s="73"/>
      <c r="Q2231" s="73"/>
      <c r="R2231" s="73"/>
      <c r="S2231" s="73"/>
      <c r="T2231" s="73"/>
      <c r="U2231" s="73"/>
      <c r="V2231" s="73"/>
      <c r="W2231" s="73"/>
      <c r="X2231" s="73"/>
      <c r="Y2231" s="73"/>
      <c r="Z2231" s="73"/>
      <c r="AA2231" s="73"/>
      <c r="AB2231" s="73"/>
      <c r="AC2231" s="73"/>
      <c r="AD2231" s="73"/>
      <c r="AE2231" s="73"/>
      <c r="AF2231" s="73"/>
      <c r="AG2231" s="73"/>
      <c r="AH2231" s="73"/>
      <c r="AI2231" s="73"/>
      <c r="AJ2231" s="168"/>
      <c r="AK2231" s="73"/>
      <c r="AL2231" s="73"/>
      <c r="AM2231" s="73"/>
      <c r="AN2231" s="73"/>
      <c r="AO2231" s="73"/>
      <c r="AP2231" s="73"/>
      <c r="AQ2231" s="73"/>
      <c r="AR2231" s="73"/>
      <c r="AS2231" s="73"/>
      <c r="AT2231" s="73"/>
      <c r="AU2231" s="73"/>
      <c r="AV2231" s="73"/>
      <c r="AW2231" s="73"/>
      <c r="AX2231" s="73"/>
      <c r="AY2231" s="73"/>
      <c r="AZ2231" s="73"/>
      <c r="BA2231" s="73"/>
      <c r="BB2231" s="73"/>
      <c r="BC2231" s="73"/>
      <c r="BD2231" s="73"/>
      <c r="BE2231" s="73"/>
      <c r="BF2231" s="75"/>
      <c r="BG2231" s="73"/>
      <c r="BH2231" s="88"/>
      <c r="BI2231" s="73"/>
      <c r="BJ2231" s="73"/>
      <c r="BK2231" s="73"/>
      <c r="BL2231" s="73"/>
      <c r="BM2231" s="73"/>
      <c r="BN2231" s="73"/>
      <c r="BO2231" s="73"/>
      <c r="BP2231" s="73"/>
      <c r="BQ2231" s="73"/>
      <c r="BR2231" s="73"/>
      <c r="BS2231" s="73"/>
      <c r="BT2231" s="73"/>
      <c r="BU2231" s="73"/>
      <c r="BV2231" s="73"/>
      <c r="BW2231" s="73"/>
      <c r="BX2231" s="73"/>
      <c r="BY2231" s="73"/>
      <c r="BZ2231" s="73"/>
      <c r="CA2231" s="73"/>
      <c r="CB2231" s="73"/>
      <c r="CC2231" s="73"/>
      <c r="CD2231" s="73"/>
      <c r="CE2231" s="73"/>
      <c r="CF2231" s="73"/>
      <c r="CG2231" s="73"/>
      <c r="CH2231" s="73"/>
    </row>
    <row r="2232">
      <c r="A2232" s="73"/>
      <c r="B2232" s="73"/>
      <c r="C2232" s="73"/>
      <c r="D2232" s="73"/>
      <c r="E2232" s="140"/>
      <c r="F2232" s="80"/>
      <c r="G2232" s="80"/>
      <c r="H2232" s="73"/>
      <c r="I2232" s="73"/>
      <c r="J2232" s="73"/>
      <c r="K2232" s="73"/>
      <c r="L2232" s="73"/>
      <c r="M2232" s="73"/>
      <c r="N2232" s="73"/>
      <c r="O2232" s="73"/>
      <c r="P2232" s="73"/>
      <c r="Q2232" s="73"/>
      <c r="R2232" s="73"/>
      <c r="S2232" s="73"/>
      <c r="T2232" s="73"/>
      <c r="U2232" s="73"/>
      <c r="V2232" s="73"/>
      <c r="W2232" s="73"/>
      <c r="X2232" s="73"/>
      <c r="Y2232" s="73"/>
      <c r="Z2232" s="73"/>
      <c r="AA2232" s="73"/>
      <c r="AB2232" s="73"/>
      <c r="AC2232" s="73"/>
      <c r="AD2232" s="73"/>
      <c r="AE2232" s="73"/>
      <c r="AF2232" s="73"/>
      <c r="AG2232" s="73"/>
      <c r="AH2232" s="73"/>
      <c r="AI2232" s="73"/>
      <c r="AJ2232" s="168"/>
      <c r="AK2232" s="73"/>
      <c r="AL2232" s="73"/>
      <c r="AM2232" s="73"/>
      <c r="AN2232" s="73"/>
      <c r="AO2232" s="73"/>
      <c r="AP2232" s="73"/>
      <c r="AQ2232" s="73"/>
      <c r="AR2232" s="73"/>
      <c r="AS2232" s="73"/>
      <c r="AT2232" s="73"/>
      <c r="AU2232" s="73"/>
      <c r="AV2232" s="73"/>
      <c r="AW2232" s="73"/>
      <c r="AX2232" s="73"/>
      <c r="AY2232" s="73"/>
      <c r="AZ2232" s="73"/>
      <c r="BA2232" s="73"/>
      <c r="BB2232" s="73"/>
      <c r="BC2232" s="73"/>
      <c r="BD2232" s="73"/>
      <c r="BE2232" s="73"/>
      <c r="BF2232" s="75"/>
      <c r="BG2232" s="73"/>
      <c r="BH2232" s="88"/>
      <c r="BI2232" s="73"/>
      <c r="BJ2232" s="73"/>
      <c r="BK2232" s="73"/>
      <c r="BL2232" s="73"/>
      <c r="BM2232" s="73"/>
      <c r="BN2232" s="73"/>
      <c r="BO2232" s="73"/>
      <c r="BP2232" s="73"/>
      <c r="BQ2232" s="73"/>
      <c r="BR2232" s="73"/>
      <c r="BS2232" s="73"/>
      <c r="BT2232" s="73"/>
      <c r="BU2232" s="73"/>
      <c r="BV2232" s="73"/>
      <c r="BW2232" s="73"/>
      <c r="BX2232" s="73"/>
      <c r="BY2232" s="73"/>
      <c r="BZ2232" s="73"/>
      <c r="CA2232" s="73"/>
      <c r="CB2232" s="73"/>
      <c r="CC2232" s="73"/>
      <c r="CD2232" s="73"/>
      <c r="CE2232" s="73"/>
      <c r="CF2232" s="73"/>
      <c r="CG2232" s="73"/>
      <c r="CH2232" s="73"/>
    </row>
    <row r="2233">
      <c r="A2233" s="73"/>
      <c r="B2233" s="73"/>
      <c r="C2233" s="73"/>
      <c r="D2233" s="73"/>
      <c r="E2233" s="140"/>
      <c r="F2233" s="80"/>
      <c r="G2233" s="80"/>
      <c r="H2233" s="73"/>
      <c r="I2233" s="73"/>
      <c r="J2233" s="73"/>
      <c r="K2233" s="73"/>
      <c r="L2233" s="73"/>
      <c r="M2233" s="73"/>
      <c r="N2233" s="73"/>
      <c r="O2233" s="73"/>
      <c r="P2233" s="73"/>
      <c r="Q2233" s="73"/>
      <c r="R2233" s="73"/>
      <c r="S2233" s="73"/>
      <c r="T2233" s="73"/>
      <c r="U2233" s="73"/>
      <c r="V2233" s="73"/>
      <c r="W2233" s="73"/>
      <c r="X2233" s="73"/>
      <c r="Y2233" s="73"/>
      <c r="Z2233" s="73"/>
      <c r="AA2233" s="73"/>
      <c r="AB2233" s="73"/>
      <c r="AC2233" s="73"/>
      <c r="AD2233" s="73"/>
      <c r="AE2233" s="73"/>
      <c r="AF2233" s="73"/>
      <c r="AG2233" s="73"/>
      <c r="AH2233" s="73"/>
      <c r="AI2233" s="73"/>
      <c r="AJ2233" s="168"/>
      <c r="AK2233" s="73"/>
      <c r="AL2233" s="73"/>
      <c r="AM2233" s="73"/>
      <c r="AN2233" s="73"/>
      <c r="AO2233" s="73"/>
      <c r="AP2233" s="73"/>
      <c r="AQ2233" s="73"/>
      <c r="AR2233" s="73"/>
      <c r="AS2233" s="73"/>
      <c r="AT2233" s="73"/>
      <c r="AU2233" s="73"/>
      <c r="AV2233" s="73"/>
      <c r="AW2233" s="73"/>
      <c r="AX2233" s="73"/>
      <c r="AY2233" s="73"/>
      <c r="AZ2233" s="73"/>
      <c r="BA2233" s="73"/>
      <c r="BB2233" s="73"/>
      <c r="BC2233" s="73"/>
      <c r="BD2233" s="73"/>
      <c r="BE2233" s="73"/>
      <c r="BF2233" s="75"/>
      <c r="BG2233" s="73"/>
      <c r="BH2233" s="88"/>
      <c r="BI2233" s="73"/>
      <c r="BJ2233" s="73"/>
      <c r="BK2233" s="73"/>
      <c r="BL2233" s="73"/>
      <c r="BM2233" s="73"/>
      <c r="BN2233" s="73"/>
      <c r="BO2233" s="73"/>
      <c r="BP2233" s="73"/>
      <c r="BQ2233" s="73"/>
      <c r="BR2233" s="73"/>
      <c r="BS2233" s="73"/>
      <c r="BT2233" s="73"/>
      <c r="BU2233" s="73"/>
      <c r="BV2233" s="73"/>
      <c r="BW2233" s="73"/>
      <c r="BX2233" s="73"/>
      <c r="BY2233" s="73"/>
      <c r="BZ2233" s="73"/>
      <c r="CA2233" s="73"/>
      <c r="CB2233" s="73"/>
      <c r="CC2233" s="73"/>
      <c r="CD2233" s="73"/>
      <c r="CE2233" s="73"/>
      <c r="CF2233" s="73"/>
      <c r="CG2233" s="73"/>
      <c r="CH2233" s="73"/>
    </row>
    <row r="2234">
      <c r="A2234" s="73"/>
      <c r="B2234" s="73"/>
      <c r="C2234" s="73"/>
      <c r="D2234" s="73"/>
      <c r="E2234" s="140"/>
      <c r="F2234" s="80"/>
      <c r="G2234" s="80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  <c r="S2234" s="73"/>
      <c r="T2234" s="73"/>
      <c r="U2234" s="73"/>
      <c r="V2234" s="73"/>
      <c r="W2234" s="73"/>
      <c r="X2234" s="73"/>
      <c r="Y2234" s="73"/>
      <c r="Z2234" s="73"/>
      <c r="AA2234" s="73"/>
      <c r="AB2234" s="73"/>
      <c r="AC2234" s="73"/>
      <c r="AD2234" s="73"/>
      <c r="AE2234" s="73"/>
      <c r="AF2234" s="73"/>
      <c r="AG2234" s="73"/>
      <c r="AH2234" s="73"/>
      <c r="AI2234" s="73"/>
      <c r="AJ2234" s="168"/>
      <c r="AK2234" s="73"/>
      <c r="AL2234" s="73"/>
      <c r="AM2234" s="73"/>
      <c r="AN2234" s="73"/>
      <c r="AO2234" s="73"/>
      <c r="AP2234" s="73"/>
      <c r="AQ2234" s="73"/>
      <c r="AR2234" s="73"/>
      <c r="AS2234" s="73"/>
      <c r="AT2234" s="73"/>
      <c r="AU2234" s="73"/>
      <c r="AV2234" s="73"/>
      <c r="AW2234" s="73"/>
      <c r="AX2234" s="73"/>
      <c r="AY2234" s="73"/>
      <c r="AZ2234" s="73"/>
      <c r="BA2234" s="73"/>
      <c r="BB2234" s="73"/>
      <c r="BC2234" s="73"/>
      <c r="BD2234" s="73"/>
      <c r="BE2234" s="73"/>
      <c r="BF2234" s="75"/>
      <c r="BG2234" s="73"/>
      <c r="BH2234" s="88"/>
      <c r="BI2234" s="73"/>
      <c r="BJ2234" s="73"/>
      <c r="BK2234" s="73"/>
      <c r="BL2234" s="73"/>
      <c r="BM2234" s="73"/>
      <c r="BN2234" s="73"/>
      <c r="BO2234" s="73"/>
      <c r="BP2234" s="73"/>
      <c r="BQ2234" s="73"/>
      <c r="BR2234" s="73"/>
      <c r="BS2234" s="73"/>
      <c r="BT2234" s="73"/>
      <c r="BU2234" s="73"/>
      <c r="BV2234" s="73"/>
      <c r="BW2234" s="73"/>
      <c r="BX2234" s="73"/>
      <c r="BY2234" s="73"/>
      <c r="BZ2234" s="73"/>
      <c r="CA2234" s="73"/>
      <c r="CB2234" s="73"/>
      <c r="CC2234" s="73"/>
      <c r="CD2234" s="73"/>
      <c r="CE2234" s="73"/>
      <c r="CF2234" s="73"/>
      <c r="CG2234" s="73"/>
      <c r="CH2234" s="73"/>
    </row>
    <row r="2235">
      <c r="A2235" s="73"/>
      <c r="B2235" s="73"/>
      <c r="C2235" s="73"/>
      <c r="D2235" s="73"/>
      <c r="E2235" s="140"/>
      <c r="F2235" s="80"/>
      <c r="G2235" s="80"/>
      <c r="H2235" s="73"/>
      <c r="I2235" s="73"/>
      <c r="J2235" s="73"/>
      <c r="K2235" s="73"/>
      <c r="L2235" s="73"/>
      <c r="M2235" s="73"/>
      <c r="N2235" s="73"/>
      <c r="O2235" s="73"/>
      <c r="P2235" s="73"/>
      <c r="Q2235" s="73"/>
      <c r="R2235" s="73"/>
      <c r="S2235" s="73"/>
      <c r="T2235" s="73"/>
      <c r="U2235" s="73"/>
      <c r="V2235" s="73"/>
      <c r="W2235" s="73"/>
      <c r="X2235" s="73"/>
      <c r="Y2235" s="73"/>
      <c r="Z2235" s="73"/>
      <c r="AA2235" s="73"/>
      <c r="AB2235" s="73"/>
      <c r="AC2235" s="73"/>
      <c r="AD2235" s="73"/>
      <c r="AE2235" s="73"/>
      <c r="AF2235" s="73"/>
      <c r="AG2235" s="73"/>
      <c r="AH2235" s="73"/>
      <c r="AI2235" s="73"/>
      <c r="AJ2235" s="168"/>
      <c r="AK2235" s="73"/>
      <c r="AL2235" s="73"/>
      <c r="AM2235" s="73"/>
      <c r="AN2235" s="73"/>
      <c r="AO2235" s="73"/>
      <c r="AP2235" s="73"/>
      <c r="AQ2235" s="73"/>
      <c r="AR2235" s="73"/>
      <c r="AS2235" s="73"/>
      <c r="AT2235" s="73"/>
      <c r="AU2235" s="73"/>
      <c r="AV2235" s="73"/>
      <c r="AW2235" s="73"/>
      <c r="AX2235" s="73"/>
      <c r="AY2235" s="73"/>
      <c r="AZ2235" s="73"/>
      <c r="BA2235" s="73"/>
      <c r="BB2235" s="73"/>
      <c r="BC2235" s="73"/>
      <c r="BD2235" s="73"/>
      <c r="BE2235" s="73"/>
      <c r="BF2235" s="75"/>
      <c r="BG2235" s="73"/>
      <c r="BH2235" s="88"/>
      <c r="BI2235" s="73"/>
      <c r="BJ2235" s="73"/>
      <c r="BK2235" s="73"/>
      <c r="BL2235" s="73"/>
      <c r="BM2235" s="73"/>
      <c r="BN2235" s="73"/>
      <c r="BO2235" s="73"/>
      <c r="BP2235" s="73"/>
      <c r="BQ2235" s="73"/>
      <c r="BR2235" s="73"/>
      <c r="BS2235" s="73"/>
      <c r="BT2235" s="73"/>
      <c r="BU2235" s="73"/>
      <c r="BV2235" s="73"/>
      <c r="BW2235" s="73"/>
      <c r="BX2235" s="73"/>
      <c r="BY2235" s="73"/>
      <c r="BZ2235" s="73"/>
      <c r="CA2235" s="73"/>
      <c r="CB2235" s="73"/>
      <c r="CC2235" s="73"/>
      <c r="CD2235" s="73"/>
      <c r="CE2235" s="73"/>
      <c r="CF2235" s="73"/>
      <c r="CG2235" s="73"/>
      <c r="CH2235" s="73"/>
    </row>
    <row r="2236">
      <c r="A2236" s="73"/>
      <c r="B2236" s="73"/>
      <c r="C2236" s="73"/>
      <c r="D2236" s="73"/>
      <c r="E2236" s="140"/>
      <c r="F2236" s="80"/>
      <c r="G2236" s="80"/>
      <c r="H2236" s="73"/>
      <c r="I2236" s="73"/>
      <c r="J2236" s="73"/>
      <c r="K2236" s="73"/>
      <c r="L2236" s="73"/>
      <c r="M2236" s="73"/>
      <c r="N2236" s="73"/>
      <c r="O2236" s="73"/>
      <c r="P2236" s="73"/>
      <c r="Q2236" s="73"/>
      <c r="R2236" s="73"/>
      <c r="S2236" s="73"/>
      <c r="T2236" s="73"/>
      <c r="U2236" s="73"/>
      <c r="V2236" s="73"/>
      <c r="W2236" s="73"/>
      <c r="X2236" s="73"/>
      <c r="Y2236" s="73"/>
      <c r="Z2236" s="73"/>
      <c r="AA2236" s="73"/>
      <c r="AB2236" s="73"/>
      <c r="AC2236" s="73"/>
      <c r="AD2236" s="73"/>
      <c r="AE2236" s="73"/>
      <c r="AF2236" s="73"/>
      <c r="AG2236" s="73"/>
      <c r="AH2236" s="73"/>
      <c r="AI2236" s="73"/>
      <c r="AJ2236" s="168"/>
      <c r="AK2236" s="73"/>
      <c r="AL2236" s="73"/>
      <c r="AM2236" s="73"/>
      <c r="AN2236" s="73"/>
      <c r="AO2236" s="73"/>
      <c r="AP2236" s="73"/>
      <c r="AQ2236" s="73"/>
      <c r="AR2236" s="73"/>
      <c r="AS2236" s="73"/>
      <c r="AT2236" s="73"/>
      <c r="AU2236" s="73"/>
      <c r="AV2236" s="73"/>
      <c r="AW2236" s="73"/>
      <c r="AX2236" s="73"/>
      <c r="AY2236" s="73"/>
      <c r="AZ2236" s="73"/>
      <c r="BA2236" s="73"/>
      <c r="BB2236" s="73"/>
      <c r="BC2236" s="73"/>
      <c r="BD2236" s="73"/>
      <c r="BE2236" s="73"/>
      <c r="BF2236" s="75"/>
      <c r="BG2236" s="73"/>
      <c r="BH2236" s="88"/>
      <c r="BI2236" s="73"/>
      <c r="BJ2236" s="73"/>
      <c r="BK2236" s="73"/>
      <c r="BL2236" s="73"/>
      <c r="BM2236" s="73"/>
      <c r="BN2236" s="73"/>
      <c r="BO2236" s="73"/>
      <c r="BP2236" s="73"/>
      <c r="BQ2236" s="73"/>
      <c r="BR2236" s="73"/>
      <c r="BS2236" s="73"/>
      <c r="BT2236" s="73"/>
      <c r="BU2236" s="73"/>
      <c r="BV2236" s="73"/>
      <c r="BW2236" s="73"/>
      <c r="BX2236" s="73"/>
      <c r="BY2236" s="73"/>
      <c r="BZ2236" s="73"/>
      <c r="CA2236" s="73"/>
      <c r="CB2236" s="73"/>
      <c r="CC2236" s="73"/>
      <c r="CD2236" s="73"/>
      <c r="CE2236" s="73"/>
      <c r="CF2236" s="73"/>
      <c r="CG2236" s="73"/>
      <c r="CH2236" s="73"/>
    </row>
    <row r="2237">
      <c r="A2237" s="73"/>
      <c r="B2237" s="73"/>
      <c r="C2237" s="73"/>
      <c r="D2237" s="73"/>
      <c r="E2237" s="140"/>
      <c r="F2237" s="80"/>
      <c r="G2237" s="80"/>
      <c r="H2237" s="73"/>
      <c r="I2237" s="73"/>
      <c r="J2237" s="73"/>
      <c r="K2237" s="73"/>
      <c r="L2237" s="73"/>
      <c r="M2237" s="73"/>
      <c r="N2237" s="73"/>
      <c r="O2237" s="73"/>
      <c r="P2237" s="73"/>
      <c r="Q2237" s="73"/>
      <c r="R2237" s="73"/>
      <c r="S2237" s="73"/>
      <c r="T2237" s="73"/>
      <c r="U2237" s="73"/>
      <c r="V2237" s="73"/>
      <c r="W2237" s="73"/>
      <c r="X2237" s="73"/>
      <c r="Y2237" s="73"/>
      <c r="Z2237" s="73"/>
      <c r="AA2237" s="73"/>
      <c r="AB2237" s="73"/>
      <c r="AC2237" s="73"/>
      <c r="AD2237" s="73"/>
      <c r="AE2237" s="73"/>
      <c r="AF2237" s="73"/>
      <c r="AG2237" s="73"/>
      <c r="AH2237" s="73"/>
      <c r="AI2237" s="73"/>
      <c r="AJ2237" s="168"/>
      <c r="AK2237" s="73"/>
      <c r="AL2237" s="73"/>
      <c r="AM2237" s="73"/>
      <c r="AN2237" s="73"/>
      <c r="AO2237" s="73"/>
      <c r="AP2237" s="73"/>
      <c r="AQ2237" s="73"/>
      <c r="AR2237" s="73"/>
      <c r="AS2237" s="73"/>
      <c r="AT2237" s="73"/>
      <c r="AU2237" s="73"/>
      <c r="AV2237" s="73"/>
      <c r="AW2237" s="73"/>
      <c r="AX2237" s="73"/>
      <c r="AY2237" s="73"/>
      <c r="AZ2237" s="73"/>
      <c r="BA2237" s="73"/>
      <c r="BB2237" s="73"/>
      <c r="BC2237" s="73"/>
      <c r="BD2237" s="73"/>
      <c r="BE2237" s="73"/>
      <c r="BF2237" s="75"/>
      <c r="BG2237" s="73"/>
      <c r="BH2237" s="88"/>
      <c r="BI2237" s="73"/>
      <c r="BJ2237" s="73"/>
      <c r="BK2237" s="73"/>
      <c r="BL2237" s="73"/>
      <c r="BM2237" s="73"/>
      <c r="BN2237" s="73"/>
      <c r="BO2237" s="73"/>
      <c r="BP2237" s="73"/>
      <c r="BQ2237" s="73"/>
      <c r="BR2237" s="73"/>
      <c r="BS2237" s="73"/>
      <c r="BT2237" s="73"/>
      <c r="BU2237" s="73"/>
      <c r="BV2237" s="73"/>
      <c r="BW2237" s="73"/>
      <c r="BX2237" s="73"/>
      <c r="BY2237" s="73"/>
      <c r="BZ2237" s="73"/>
      <c r="CA2237" s="73"/>
      <c r="CB2237" s="73"/>
      <c r="CC2237" s="73"/>
      <c r="CD2237" s="73"/>
      <c r="CE2237" s="73"/>
      <c r="CF2237" s="73"/>
      <c r="CG2237" s="73"/>
      <c r="CH2237" s="73"/>
    </row>
    <row r="2238">
      <c r="A2238" s="73"/>
      <c r="B2238" s="73"/>
      <c r="C2238" s="73"/>
      <c r="D2238" s="73"/>
      <c r="E2238" s="140"/>
      <c r="F2238" s="80"/>
      <c r="G2238" s="80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  <c r="S2238" s="73"/>
      <c r="T2238" s="73"/>
      <c r="U2238" s="73"/>
      <c r="V2238" s="73"/>
      <c r="W2238" s="73"/>
      <c r="X2238" s="73"/>
      <c r="Y2238" s="73"/>
      <c r="Z2238" s="73"/>
      <c r="AA2238" s="73"/>
      <c r="AB2238" s="73"/>
      <c r="AC2238" s="73"/>
      <c r="AD2238" s="73"/>
      <c r="AE2238" s="73"/>
      <c r="AF2238" s="73"/>
      <c r="AG2238" s="73"/>
      <c r="AH2238" s="73"/>
      <c r="AI2238" s="73"/>
      <c r="AJ2238" s="168"/>
      <c r="AK2238" s="73"/>
      <c r="AL2238" s="73"/>
      <c r="AM2238" s="73"/>
      <c r="AN2238" s="73"/>
      <c r="AO2238" s="73"/>
      <c r="AP2238" s="73"/>
      <c r="AQ2238" s="73"/>
      <c r="AR2238" s="73"/>
      <c r="AS2238" s="73"/>
      <c r="AT2238" s="73"/>
      <c r="AU2238" s="73"/>
      <c r="AV2238" s="73"/>
      <c r="AW2238" s="73"/>
      <c r="AX2238" s="73"/>
      <c r="AY2238" s="73"/>
      <c r="AZ2238" s="73"/>
      <c r="BA2238" s="73"/>
      <c r="BB2238" s="73"/>
      <c r="BC2238" s="73"/>
      <c r="BD2238" s="73"/>
      <c r="BE2238" s="73"/>
      <c r="BF2238" s="75"/>
      <c r="BG2238" s="73"/>
      <c r="BH2238" s="88"/>
      <c r="BI2238" s="73"/>
      <c r="BJ2238" s="73"/>
      <c r="BK2238" s="73"/>
      <c r="BL2238" s="73"/>
      <c r="BM2238" s="73"/>
      <c r="BN2238" s="73"/>
      <c r="BO2238" s="73"/>
      <c r="BP2238" s="73"/>
      <c r="BQ2238" s="73"/>
      <c r="BR2238" s="73"/>
      <c r="BS2238" s="73"/>
      <c r="BT2238" s="73"/>
      <c r="BU2238" s="73"/>
      <c r="BV2238" s="73"/>
      <c r="BW2238" s="73"/>
      <c r="BX2238" s="73"/>
      <c r="BY2238" s="73"/>
      <c r="BZ2238" s="73"/>
      <c r="CA2238" s="73"/>
      <c r="CB2238" s="73"/>
      <c r="CC2238" s="73"/>
      <c r="CD2238" s="73"/>
      <c r="CE2238" s="73"/>
      <c r="CF2238" s="73"/>
      <c r="CG2238" s="73"/>
      <c r="CH2238" s="73"/>
    </row>
    <row r="2239">
      <c r="A2239" s="73"/>
      <c r="B2239" s="73"/>
      <c r="C2239" s="73"/>
      <c r="D2239" s="73"/>
      <c r="E2239" s="140"/>
      <c r="F2239" s="80"/>
      <c r="G2239" s="80"/>
      <c r="H2239" s="73"/>
      <c r="I2239" s="73"/>
      <c r="J2239" s="73"/>
      <c r="K2239" s="73"/>
      <c r="L2239" s="73"/>
      <c r="M2239" s="73"/>
      <c r="N2239" s="73"/>
      <c r="O2239" s="73"/>
      <c r="P2239" s="73"/>
      <c r="Q2239" s="73"/>
      <c r="R2239" s="73"/>
      <c r="S2239" s="73"/>
      <c r="T2239" s="73"/>
      <c r="U2239" s="73"/>
      <c r="V2239" s="73"/>
      <c r="W2239" s="73"/>
      <c r="X2239" s="73"/>
      <c r="Y2239" s="73"/>
      <c r="Z2239" s="73"/>
      <c r="AA2239" s="73"/>
      <c r="AB2239" s="73"/>
      <c r="AC2239" s="73"/>
      <c r="AD2239" s="73"/>
      <c r="AE2239" s="73"/>
      <c r="AF2239" s="73"/>
      <c r="AG2239" s="73"/>
      <c r="AH2239" s="73"/>
      <c r="AI2239" s="73"/>
      <c r="AJ2239" s="168"/>
      <c r="AK2239" s="73"/>
      <c r="AL2239" s="73"/>
      <c r="AM2239" s="73"/>
      <c r="AN2239" s="73"/>
      <c r="AO2239" s="73"/>
      <c r="AP2239" s="73"/>
      <c r="AQ2239" s="73"/>
      <c r="AR2239" s="73"/>
      <c r="AS2239" s="73"/>
      <c r="AT2239" s="73"/>
      <c r="AU2239" s="73"/>
      <c r="AV2239" s="73"/>
      <c r="AW2239" s="73"/>
      <c r="AX2239" s="73"/>
      <c r="AY2239" s="73"/>
      <c r="AZ2239" s="73"/>
      <c r="BA2239" s="73"/>
      <c r="BB2239" s="73"/>
      <c r="BC2239" s="73"/>
      <c r="BD2239" s="73"/>
      <c r="BE2239" s="73"/>
      <c r="BF2239" s="75"/>
      <c r="BG2239" s="73"/>
      <c r="BH2239" s="88"/>
      <c r="BI2239" s="73"/>
      <c r="BJ2239" s="73"/>
      <c r="BK2239" s="73"/>
      <c r="BL2239" s="73"/>
      <c r="BM2239" s="73"/>
      <c r="BN2239" s="73"/>
      <c r="BO2239" s="73"/>
      <c r="BP2239" s="73"/>
      <c r="BQ2239" s="73"/>
      <c r="BR2239" s="73"/>
      <c r="BS2239" s="73"/>
      <c r="BT2239" s="73"/>
      <c r="BU2239" s="73"/>
      <c r="BV2239" s="73"/>
      <c r="BW2239" s="73"/>
      <c r="BX2239" s="73"/>
      <c r="BY2239" s="73"/>
      <c r="BZ2239" s="73"/>
      <c r="CA2239" s="73"/>
      <c r="CB2239" s="73"/>
      <c r="CC2239" s="73"/>
      <c r="CD2239" s="73"/>
      <c r="CE2239" s="73"/>
      <c r="CF2239" s="73"/>
      <c r="CG2239" s="73"/>
      <c r="CH2239" s="73"/>
    </row>
    <row r="2240">
      <c r="A2240" s="73"/>
      <c r="B2240" s="73"/>
      <c r="C2240" s="73"/>
      <c r="D2240" s="73"/>
      <c r="E2240" s="140"/>
      <c r="F2240" s="80"/>
      <c r="G2240" s="80"/>
      <c r="H2240" s="73"/>
      <c r="I2240" s="73"/>
      <c r="J2240" s="73"/>
      <c r="K2240" s="73"/>
      <c r="L2240" s="73"/>
      <c r="M2240" s="73"/>
      <c r="N2240" s="73"/>
      <c r="O2240" s="73"/>
      <c r="P2240" s="73"/>
      <c r="Q2240" s="73"/>
      <c r="R2240" s="73"/>
      <c r="S2240" s="73"/>
      <c r="T2240" s="73"/>
      <c r="U2240" s="73"/>
      <c r="V2240" s="73"/>
      <c r="W2240" s="73"/>
      <c r="X2240" s="73"/>
      <c r="Y2240" s="73"/>
      <c r="Z2240" s="73"/>
      <c r="AA2240" s="73"/>
      <c r="AB2240" s="73"/>
      <c r="AC2240" s="73"/>
      <c r="AD2240" s="73"/>
      <c r="AE2240" s="73"/>
      <c r="AF2240" s="73"/>
      <c r="AG2240" s="73"/>
      <c r="AH2240" s="73"/>
      <c r="AI2240" s="73"/>
      <c r="AJ2240" s="168"/>
      <c r="AK2240" s="73"/>
      <c r="AL2240" s="73"/>
      <c r="AM2240" s="73"/>
      <c r="AN2240" s="73"/>
      <c r="AO2240" s="73"/>
      <c r="AP2240" s="73"/>
      <c r="AQ2240" s="73"/>
      <c r="AR2240" s="73"/>
      <c r="AS2240" s="73"/>
      <c r="AT2240" s="73"/>
      <c r="AU2240" s="73"/>
      <c r="AV2240" s="73"/>
      <c r="AW2240" s="73"/>
      <c r="AX2240" s="73"/>
      <c r="AY2240" s="73"/>
      <c r="AZ2240" s="73"/>
      <c r="BA2240" s="73"/>
      <c r="BB2240" s="73"/>
      <c r="BC2240" s="73"/>
      <c r="BD2240" s="73"/>
      <c r="BE2240" s="73"/>
      <c r="BF2240" s="75"/>
      <c r="BG2240" s="73"/>
      <c r="BH2240" s="88"/>
      <c r="BI2240" s="73"/>
      <c r="BJ2240" s="73"/>
      <c r="BK2240" s="73"/>
      <c r="BL2240" s="73"/>
      <c r="BM2240" s="73"/>
      <c r="BN2240" s="73"/>
      <c r="BO2240" s="73"/>
      <c r="BP2240" s="73"/>
      <c r="BQ2240" s="73"/>
      <c r="BR2240" s="73"/>
      <c r="BS2240" s="73"/>
      <c r="BT2240" s="73"/>
      <c r="BU2240" s="73"/>
      <c r="BV2240" s="73"/>
      <c r="BW2240" s="73"/>
      <c r="BX2240" s="73"/>
      <c r="BY2240" s="73"/>
      <c r="BZ2240" s="73"/>
      <c r="CA2240" s="73"/>
      <c r="CB2240" s="73"/>
      <c r="CC2240" s="73"/>
      <c r="CD2240" s="73"/>
      <c r="CE2240" s="73"/>
      <c r="CF2240" s="73"/>
      <c r="CG2240" s="73"/>
      <c r="CH2240" s="73"/>
    </row>
    <row r="2241">
      <c r="A2241" s="73"/>
      <c r="B2241" s="73"/>
      <c r="C2241" s="73"/>
      <c r="D2241" s="73"/>
      <c r="E2241" s="140"/>
      <c r="F2241" s="80"/>
      <c r="G2241" s="80"/>
      <c r="H2241" s="73"/>
      <c r="I2241" s="73"/>
      <c r="J2241" s="73"/>
      <c r="K2241" s="73"/>
      <c r="L2241" s="73"/>
      <c r="M2241" s="73"/>
      <c r="N2241" s="73"/>
      <c r="O2241" s="73"/>
      <c r="P2241" s="73"/>
      <c r="Q2241" s="73"/>
      <c r="R2241" s="73"/>
      <c r="S2241" s="73"/>
      <c r="T2241" s="73"/>
      <c r="U2241" s="73"/>
      <c r="V2241" s="73"/>
      <c r="W2241" s="73"/>
      <c r="X2241" s="73"/>
      <c r="Y2241" s="73"/>
      <c r="Z2241" s="73"/>
      <c r="AA2241" s="73"/>
      <c r="AB2241" s="73"/>
      <c r="AC2241" s="73"/>
      <c r="AD2241" s="73"/>
      <c r="AE2241" s="73"/>
      <c r="AF2241" s="73"/>
      <c r="AG2241" s="73"/>
      <c r="AH2241" s="73"/>
      <c r="AI2241" s="73"/>
      <c r="AJ2241" s="168"/>
      <c r="AK2241" s="73"/>
      <c r="AL2241" s="73"/>
      <c r="AM2241" s="73"/>
      <c r="AN2241" s="73"/>
      <c r="AO2241" s="73"/>
      <c r="AP2241" s="73"/>
      <c r="AQ2241" s="73"/>
      <c r="AR2241" s="73"/>
      <c r="AS2241" s="73"/>
      <c r="AT2241" s="73"/>
      <c r="AU2241" s="73"/>
      <c r="AV2241" s="73"/>
      <c r="AW2241" s="73"/>
      <c r="AX2241" s="73"/>
      <c r="AY2241" s="73"/>
      <c r="AZ2241" s="73"/>
      <c r="BA2241" s="73"/>
      <c r="BB2241" s="73"/>
      <c r="BC2241" s="73"/>
      <c r="BD2241" s="73"/>
      <c r="BE2241" s="73"/>
      <c r="BF2241" s="75"/>
      <c r="BG2241" s="73"/>
      <c r="BH2241" s="88"/>
      <c r="BI2241" s="73"/>
      <c r="BJ2241" s="73"/>
      <c r="BK2241" s="73"/>
      <c r="BL2241" s="73"/>
      <c r="BM2241" s="73"/>
      <c r="BN2241" s="73"/>
      <c r="BO2241" s="73"/>
      <c r="BP2241" s="73"/>
      <c r="BQ2241" s="73"/>
      <c r="BR2241" s="73"/>
      <c r="BS2241" s="73"/>
      <c r="BT2241" s="73"/>
      <c r="BU2241" s="73"/>
      <c r="BV2241" s="73"/>
      <c r="BW2241" s="73"/>
      <c r="BX2241" s="73"/>
      <c r="BY2241" s="73"/>
      <c r="BZ2241" s="73"/>
      <c r="CA2241" s="73"/>
      <c r="CB2241" s="73"/>
      <c r="CC2241" s="73"/>
      <c r="CD2241" s="73"/>
      <c r="CE2241" s="73"/>
      <c r="CF2241" s="73"/>
      <c r="CG2241" s="73"/>
      <c r="CH2241" s="73"/>
    </row>
    <row r="2242">
      <c r="A2242" s="73"/>
      <c r="B2242" s="73"/>
      <c r="C2242" s="73"/>
      <c r="D2242" s="73"/>
      <c r="E2242" s="140"/>
      <c r="F2242" s="80"/>
      <c r="G2242" s="80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  <c r="S2242" s="73"/>
      <c r="T2242" s="73"/>
      <c r="U2242" s="73"/>
      <c r="V2242" s="73"/>
      <c r="W2242" s="73"/>
      <c r="X2242" s="73"/>
      <c r="Y2242" s="73"/>
      <c r="Z2242" s="73"/>
      <c r="AA2242" s="73"/>
      <c r="AB2242" s="73"/>
      <c r="AC2242" s="73"/>
      <c r="AD2242" s="73"/>
      <c r="AE2242" s="73"/>
      <c r="AF2242" s="73"/>
      <c r="AG2242" s="73"/>
      <c r="AH2242" s="73"/>
      <c r="AI2242" s="73"/>
      <c r="AJ2242" s="168"/>
      <c r="AK2242" s="73"/>
      <c r="AL2242" s="73"/>
      <c r="AM2242" s="73"/>
      <c r="AN2242" s="73"/>
      <c r="AO2242" s="73"/>
      <c r="AP2242" s="73"/>
      <c r="AQ2242" s="73"/>
      <c r="AR2242" s="73"/>
      <c r="AS2242" s="73"/>
      <c r="AT2242" s="73"/>
      <c r="AU2242" s="73"/>
      <c r="AV2242" s="73"/>
      <c r="AW2242" s="73"/>
      <c r="AX2242" s="73"/>
      <c r="AY2242" s="73"/>
      <c r="AZ2242" s="73"/>
      <c r="BA2242" s="73"/>
      <c r="BB2242" s="73"/>
      <c r="BC2242" s="73"/>
      <c r="BD2242" s="73"/>
      <c r="BE2242" s="73"/>
      <c r="BF2242" s="75"/>
      <c r="BG2242" s="73"/>
      <c r="BH2242" s="88"/>
      <c r="BI2242" s="73"/>
      <c r="BJ2242" s="73"/>
      <c r="BK2242" s="73"/>
      <c r="BL2242" s="73"/>
      <c r="BM2242" s="73"/>
      <c r="BN2242" s="73"/>
      <c r="BO2242" s="73"/>
      <c r="BP2242" s="73"/>
      <c r="BQ2242" s="73"/>
      <c r="BR2242" s="73"/>
      <c r="BS2242" s="73"/>
      <c r="BT2242" s="73"/>
      <c r="BU2242" s="73"/>
      <c r="BV2242" s="73"/>
      <c r="BW2242" s="73"/>
      <c r="BX2242" s="73"/>
      <c r="BY2242" s="73"/>
      <c r="BZ2242" s="73"/>
      <c r="CA2242" s="73"/>
      <c r="CB2242" s="73"/>
      <c r="CC2242" s="73"/>
      <c r="CD2242" s="73"/>
      <c r="CE2242" s="73"/>
      <c r="CF2242" s="73"/>
      <c r="CG2242" s="73"/>
      <c r="CH2242" s="73"/>
    </row>
    <row r="2243">
      <c r="A2243" s="73"/>
      <c r="B2243" s="73"/>
      <c r="C2243" s="73"/>
      <c r="D2243" s="73"/>
      <c r="E2243" s="140"/>
      <c r="F2243" s="80"/>
      <c r="G2243" s="80"/>
      <c r="H2243" s="73"/>
      <c r="I2243" s="73"/>
      <c r="J2243" s="73"/>
      <c r="K2243" s="73"/>
      <c r="L2243" s="73"/>
      <c r="M2243" s="73"/>
      <c r="N2243" s="73"/>
      <c r="O2243" s="73"/>
      <c r="P2243" s="73"/>
      <c r="Q2243" s="73"/>
      <c r="R2243" s="73"/>
      <c r="S2243" s="73"/>
      <c r="T2243" s="73"/>
      <c r="U2243" s="73"/>
      <c r="V2243" s="73"/>
      <c r="W2243" s="73"/>
      <c r="X2243" s="73"/>
      <c r="Y2243" s="73"/>
      <c r="Z2243" s="73"/>
      <c r="AA2243" s="73"/>
      <c r="AB2243" s="73"/>
      <c r="AC2243" s="73"/>
      <c r="AD2243" s="73"/>
      <c r="AE2243" s="73"/>
      <c r="AF2243" s="73"/>
      <c r="AG2243" s="73"/>
      <c r="AH2243" s="73"/>
      <c r="AI2243" s="73"/>
      <c r="AJ2243" s="168"/>
      <c r="AK2243" s="73"/>
      <c r="AL2243" s="73"/>
      <c r="AM2243" s="73"/>
      <c r="AN2243" s="73"/>
      <c r="AO2243" s="73"/>
      <c r="AP2243" s="73"/>
      <c r="AQ2243" s="73"/>
      <c r="AR2243" s="73"/>
      <c r="AS2243" s="73"/>
      <c r="AT2243" s="73"/>
      <c r="AU2243" s="73"/>
      <c r="AV2243" s="73"/>
      <c r="AW2243" s="73"/>
      <c r="AX2243" s="73"/>
      <c r="AY2243" s="73"/>
      <c r="AZ2243" s="73"/>
      <c r="BA2243" s="73"/>
      <c r="BB2243" s="73"/>
      <c r="BC2243" s="73"/>
      <c r="BD2243" s="73"/>
      <c r="BE2243" s="73"/>
      <c r="BF2243" s="75"/>
      <c r="BG2243" s="73"/>
      <c r="BH2243" s="88"/>
      <c r="BI2243" s="73"/>
      <c r="BJ2243" s="73"/>
      <c r="BK2243" s="73"/>
      <c r="BL2243" s="73"/>
      <c r="BM2243" s="73"/>
      <c r="BN2243" s="73"/>
      <c r="BO2243" s="73"/>
      <c r="BP2243" s="73"/>
      <c r="BQ2243" s="73"/>
      <c r="BR2243" s="73"/>
      <c r="BS2243" s="73"/>
      <c r="BT2243" s="73"/>
      <c r="BU2243" s="73"/>
      <c r="BV2243" s="73"/>
      <c r="BW2243" s="73"/>
      <c r="BX2243" s="73"/>
      <c r="BY2243" s="73"/>
      <c r="BZ2243" s="73"/>
      <c r="CA2243" s="73"/>
      <c r="CB2243" s="73"/>
      <c r="CC2243" s="73"/>
      <c r="CD2243" s="73"/>
      <c r="CE2243" s="73"/>
      <c r="CF2243" s="73"/>
      <c r="CG2243" s="73"/>
      <c r="CH2243" s="73"/>
    </row>
    <row r="2244">
      <c r="A2244" s="73"/>
      <c r="B2244" s="73"/>
      <c r="C2244" s="73"/>
      <c r="D2244" s="73"/>
      <c r="E2244" s="140"/>
      <c r="F2244" s="80"/>
      <c r="G2244" s="80"/>
      <c r="H2244" s="73"/>
      <c r="I2244" s="73"/>
      <c r="J2244" s="73"/>
      <c r="K2244" s="73"/>
      <c r="L2244" s="73"/>
      <c r="M2244" s="73"/>
      <c r="N2244" s="73"/>
      <c r="O2244" s="73"/>
      <c r="P2244" s="73"/>
      <c r="Q2244" s="73"/>
      <c r="R2244" s="73"/>
      <c r="S2244" s="73"/>
      <c r="T2244" s="73"/>
      <c r="U2244" s="73"/>
      <c r="V2244" s="73"/>
      <c r="W2244" s="73"/>
      <c r="X2244" s="73"/>
      <c r="Y2244" s="73"/>
      <c r="Z2244" s="73"/>
      <c r="AA2244" s="73"/>
      <c r="AB2244" s="73"/>
      <c r="AC2244" s="73"/>
      <c r="AD2244" s="73"/>
      <c r="AE2244" s="73"/>
      <c r="AF2244" s="73"/>
      <c r="AG2244" s="73"/>
      <c r="AH2244" s="73"/>
      <c r="AI2244" s="73"/>
      <c r="AJ2244" s="168"/>
      <c r="AK2244" s="73"/>
      <c r="AL2244" s="73"/>
      <c r="AM2244" s="73"/>
      <c r="AN2244" s="73"/>
      <c r="AO2244" s="73"/>
      <c r="AP2244" s="73"/>
      <c r="AQ2244" s="73"/>
      <c r="AR2244" s="73"/>
      <c r="AS2244" s="73"/>
      <c r="AT2244" s="73"/>
      <c r="AU2244" s="73"/>
      <c r="AV2244" s="73"/>
      <c r="AW2244" s="73"/>
      <c r="AX2244" s="73"/>
      <c r="AY2244" s="73"/>
      <c r="AZ2244" s="73"/>
      <c r="BA2244" s="73"/>
      <c r="BB2244" s="73"/>
      <c r="BC2244" s="73"/>
      <c r="BD2244" s="73"/>
      <c r="BE2244" s="73"/>
      <c r="BF2244" s="75"/>
      <c r="BG2244" s="73"/>
      <c r="BH2244" s="88"/>
      <c r="BI2244" s="73"/>
      <c r="BJ2244" s="73"/>
      <c r="BK2244" s="73"/>
      <c r="BL2244" s="73"/>
      <c r="BM2244" s="73"/>
      <c r="BN2244" s="73"/>
      <c r="BO2244" s="73"/>
      <c r="BP2244" s="73"/>
      <c r="BQ2244" s="73"/>
      <c r="BR2244" s="73"/>
      <c r="BS2244" s="73"/>
      <c r="BT2244" s="73"/>
      <c r="BU2244" s="73"/>
      <c r="BV2244" s="73"/>
      <c r="BW2244" s="73"/>
      <c r="BX2244" s="73"/>
      <c r="BY2244" s="73"/>
      <c r="BZ2244" s="73"/>
      <c r="CA2244" s="73"/>
      <c r="CB2244" s="73"/>
      <c r="CC2244" s="73"/>
      <c r="CD2244" s="73"/>
      <c r="CE2244" s="73"/>
      <c r="CF2244" s="73"/>
      <c r="CG2244" s="73"/>
      <c r="CH2244" s="73"/>
    </row>
    <row r="2245">
      <c r="A2245" s="73"/>
      <c r="B2245" s="73"/>
      <c r="C2245" s="73"/>
      <c r="D2245" s="73"/>
      <c r="E2245" s="140"/>
      <c r="F2245" s="80"/>
      <c r="G2245" s="80"/>
      <c r="H2245" s="73"/>
      <c r="I2245" s="73"/>
      <c r="J2245" s="73"/>
      <c r="K2245" s="73"/>
      <c r="L2245" s="73"/>
      <c r="M2245" s="73"/>
      <c r="N2245" s="73"/>
      <c r="O2245" s="73"/>
      <c r="P2245" s="73"/>
      <c r="Q2245" s="73"/>
      <c r="R2245" s="73"/>
      <c r="S2245" s="73"/>
      <c r="T2245" s="73"/>
      <c r="U2245" s="73"/>
      <c r="V2245" s="73"/>
      <c r="W2245" s="73"/>
      <c r="X2245" s="73"/>
      <c r="Y2245" s="73"/>
      <c r="Z2245" s="73"/>
      <c r="AA2245" s="73"/>
      <c r="AB2245" s="73"/>
      <c r="AC2245" s="73"/>
      <c r="AD2245" s="73"/>
      <c r="AE2245" s="73"/>
      <c r="AF2245" s="73"/>
      <c r="AG2245" s="73"/>
      <c r="AH2245" s="73"/>
      <c r="AI2245" s="73"/>
      <c r="AJ2245" s="168"/>
      <c r="AK2245" s="73"/>
      <c r="AL2245" s="73"/>
      <c r="AM2245" s="73"/>
      <c r="AN2245" s="73"/>
      <c r="AO2245" s="73"/>
      <c r="AP2245" s="73"/>
      <c r="AQ2245" s="73"/>
      <c r="AR2245" s="73"/>
      <c r="AS2245" s="73"/>
      <c r="AT2245" s="73"/>
      <c r="AU2245" s="73"/>
      <c r="AV2245" s="73"/>
      <c r="AW2245" s="73"/>
      <c r="AX2245" s="73"/>
      <c r="AY2245" s="73"/>
      <c r="AZ2245" s="73"/>
      <c r="BA2245" s="73"/>
      <c r="BB2245" s="73"/>
      <c r="BC2245" s="73"/>
      <c r="BD2245" s="73"/>
      <c r="BE2245" s="73"/>
      <c r="BF2245" s="75"/>
      <c r="BG2245" s="73"/>
      <c r="BH2245" s="88"/>
      <c r="BI2245" s="73"/>
      <c r="BJ2245" s="73"/>
      <c r="BK2245" s="73"/>
      <c r="BL2245" s="73"/>
      <c r="BM2245" s="73"/>
      <c r="BN2245" s="73"/>
      <c r="BO2245" s="73"/>
      <c r="BP2245" s="73"/>
      <c r="BQ2245" s="73"/>
      <c r="BR2245" s="73"/>
      <c r="BS2245" s="73"/>
      <c r="BT2245" s="73"/>
      <c r="BU2245" s="73"/>
      <c r="BV2245" s="73"/>
      <c r="BW2245" s="73"/>
      <c r="BX2245" s="73"/>
      <c r="BY2245" s="73"/>
      <c r="BZ2245" s="73"/>
      <c r="CA2245" s="73"/>
      <c r="CB2245" s="73"/>
      <c r="CC2245" s="73"/>
      <c r="CD2245" s="73"/>
      <c r="CE2245" s="73"/>
      <c r="CF2245" s="73"/>
      <c r="CG2245" s="73"/>
      <c r="CH2245" s="73"/>
    </row>
    <row r="2246">
      <c r="A2246" s="73"/>
      <c r="B2246" s="73"/>
      <c r="C2246" s="73"/>
      <c r="D2246" s="73"/>
      <c r="E2246" s="140"/>
      <c r="F2246" s="80"/>
      <c r="G2246" s="80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  <c r="S2246" s="73"/>
      <c r="T2246" s="73"/>
      <c r="U2246" s="73"/>
      <c r="V2246" s="73"/>
      <c r="W2246" s="73"/>
      <c r="X2246" s="73"/>
      <c r="Y2246" s="73"/>
      <c r="Z2246" s="73"/>
      <c r="AA2246" s="73"/>
      <c r="AB2246" s="73"/>
      <c r="AC2246" s="73"/>
      <c r="AD2246" s="73"/>
      <c r="AE2246" s="73"/>
      <c r="AF2246" s="73"/>
      <c r="AG2246" s="73"/>
      <c r="AH2246" s="73"/>
      <c r="AI2246" s="73"/>
      <c r="AJ2246" s="168"/>
      <c r="AK2246" s="73"/>
      <c r="AL2246" s="73"/>
      <c r="AM2246" s="73"/>
      <c r="AN2246" s="73"/>
      <c r="AO2246" s="73"/>
      <c r="AP2246" s="73"/>
      <c r="AQ2246" s="73"/>
      <c r="AR2246" s="73"/>
      <c r="AS2246" s="73"/>
      <c r="AT2246" s="73"/>
      <c r="AU2246" s="73"/>
      <c r="AV2246" s="73"/>
      <c r="AW2246" s="73"/>
      <c r="AX2246" s="73"/>
      <c r="AY2246" s="73"/>
      <c r="AZ2246" s="73"/>
      <c r="BA2246" s="73"/>
      <c r="BB2246" s="73"/>
      <c r="BC2246" s="73"/>
      <c r="BD2246" s="73"/>
      <c r="BE2246" s="73"/>
      <c r="BF2246" s="75"/>
      <c r="BG2246" s="73"/>
      <c r="BH2246" s="88"/>
      <c r="BI2246" s="73"/>
      <c r="BJ2246" s="73"/>
      <c r="BK2246" s="73"/>
      <c r="BL2246" s="73"/>
      <c r="BM2246" s="73"/>
      <c r="BN2246" s="73"/>
      <c r="BO2246" s="73"/>
      <c r="BP2246" s="73"/>
      <c r="BQ2246" s="73"/>
      <c r="BR2246" s="73"/>
      <c r="BS2246" s="73"/>
      <c r="BT2246" s="73"/>
      <c r="BU2246" s="73"/>
      <c r="BV2246" s="73"/>
      <c r="BW2246" s="73"/>
      <c r="BX2246" s="73"/>
      <c r="BY2246" s="73"/>
      <c r="BZ2246" s="73"/>
      <c r="CA2246" s="73"/>
      <c r="CB2246" s="73"/>
      <c r="CC2246" s="73"/>
      <c r="CD2246" s="73"/>
      <c r="CE2246" s="73"/>
      <c r="CF2246" s="73"/>
      <c r="CG2246" s="73"/>
      <c r="CH2246" s="73"/>
    </row>
    <row r="2247">
      <c r="A2247" s="73"/>
      <c r="B2247" s="73"/>
      <c r="C2247" s="73"/>
      <c r="D2247" s="73"/>
      <c r="E2247" s="140"/>
      <c r="F2247" s="80"/>
      <c r="G2247" s="80"/>
      <c r="H2247" s="73"/>
      <c r="I2247" s="73"/>
      <c r="J2247" s="73"/>
      <c r="K2247" s="73"/>
      <c r="L2247" s="73"/>
      <c r="M2247" s="73"/>
      <c r="N2247" s="73"/>
      <c r="O2247" s="73"/>
      <c r="P2247" s="73"/>
      <c r="Q2247" s="73"/>
      <c r="R2247" s="73"/>
      <c r="S2247" s="73"/>
      <c r="T2247" s="73"/>
      <c r="U2247" s="73"/>
      <c r="V2247" s="73"/>
      <c r="W2247" s="73"/>
      <c r="X2247" s="73"/>
      <c r="Y2247" s="73"/>
      <c r="Z2247" s="73"/>
      <c r="AA2247" s="73"/>
      <c r="AB2247" s="73"/>
      <c r="AC2247" s="73"/>
      <c r="AD2247" s="73"/>
      <c r="AE2247" s="73"/>
      <c r="AF2247" s="73"/>
      <c r="AG2247" s="73"/>
      <c r="AH2247" s="73"/>
      <c r="AI2247" s="73"/>
      <c r="AJ2247" s="168"/>
      <c r="AK2247" s="73"/>
      <c r="AL2247" s="73"/>
      <c r="AM2247" s="73"/>
      <c r="AN2247" s="73"/>
      <c r="AO2247" s="73"/>
      <c r="AP2247" s="73"/>
      <c r="AQ2247" s="73"/>
      <c r="AR2247" s="73"/>
      <c r="AS2247" s="73"/>
      <c r="AT2247" s="73"/>
      <c r="AU2247" s="73"/>
      <c r="AV2247" s="73"/>
      <c r="AW2247" s="73"/>
      <c r="AX2247" s="73"/>
      <c r="AY2247" s="73"/>
      <c r="AZ2247" s="73"/>
      <c r="BA2247" s="73"/>
      <c r="BB2247" s="73"/>
      <c r="BC2247" s="73"/>
      <c r="BD2247" s="73"/>
      <c r="BE2247" s="73"/>
      <c r="BF2247" s="75"/>
      <c r="BG2247" s="73"/>
      <c r="BH2247" s="88"/>
      <c r="BI2247" s="73"/>
      <c r="BJ2247" s="73"/>
      <c r="BK2247" s="73"/>
      <c r="BL2247" s="73"/>
      <c r="BM2247" s="73"/>
      <c r="BN2247" s="73"/>
      <c r="BO2247" s="73"/>
      <c r="BP2247" s="73"/>
      <c r="BQ2247" s="73"/>
      <c r="BR2247" s="73"/>
      <c r="BS2247" s="73"/>
      <c r="BT2247" s="73"/>
      <c r="BU2247" s="73"/>
      <c r="BV2247" s="73"/>
      <c r="BW2247" s="73"/>
      <c r="BX2247" s="73"/>
      <c r="BY2247" s="73"/>
      <c r="BZ2247" s="73"/>
      <c r="CA2247" s="73"/>
      <c r="CB2247" s="73"/>
      <c r="CC2247" s="73"/>
      <c r="CD2247" s="73"/>
      <c r="CE2247" s="73"/>
      <c r="CF2247" s="73"/>
      <c r="CG2247" s="73"/>
      <c r="CH2247" s="73"/>
    </row>
    <row r="2248">
      <c r="A2248" s="73"/>
      <c r="B2248" s="73"/>
      <c r="C2248" s="73"/>
      <c r="D2248" s="73"/>
      <c r="E2248" s="140"/>
      <c r="F2248" s="80"/>
      <c r="G2248" s="80"/>
      <c r="H2248" s="73"/>
      <c r="I2248" s="73"/>
      <c r="J2248" s="73"/>
      <c r="K2248" s="73"/>
      <c r="L2248" s="73"/>
      <c r="M2248" s="73"/>
      <c r="N2248" s="73"/>
      <c r="O2248" s="73"/>
      <c r="P2248" s="73"/>
      <c r="Q2248" s="73"/>
      <c r="R2248" s="73"/>
      <c r="S2248" s="73"/>
      <c r="T2248" s="73"/>
      <c r="U2248" s="73"/>
      <c r="V2248" s="73"/>
      <c r="W2248" s="73"/>
      <c r="X2248" s="73"/>
      <c r="Y2248" s="73"/>
      <c r="Z2248" s="73"/>
      <c r="AA2248" s="73"/>
      <c r="AB2248" s="73"/>
      <c r="AC2248" s="73"/>
      <c r="AD2248" s="73"/>
      <c r="AE2248" s="73"/>
      <c r="AF2248" s="73"/>
      <c r="AG2248" s="73"/>
      <c r="AH2248" s="73"/>
      <c r="AI2248" s="73"/>
      <c r="AJ2248" s="168"/>
      <c r="AK2248" s="73"/>
      <c r="AL2248" s="73"/>
      <c r="AM2248" s="73"/>
      <c r="AN2248" s="73"/>
      <c r="AO2248" s="73"/>
      <c r="AP2248" s="73"/>
      <c r="AQ2248" s="73"/>
      <c r="AR2248" s="73"/>
      <c r="AS2248" s="73"/>
      <c r="AT2248" s="73"/>
      <c r="AU2248" s="73"/>
      <c r="AV2248" s="73"/>
      <c r="AW2248" s="73"/>
      <c r="AX2248" s="73"/>
      <c r="AY2248" s="73"/>
      <c r="AZ2248" s="73"/>
      <c r="BA2248" s="73"/>
      <c r="BB2248" s="73"/>
      <c r="BC2248" s="73"/>
      <c r="BD2248" s="73"/>
      <c r="BE2248" s="73"/>
      <c r="BF2248" s="75"/>
      <c r="BG2248" s="73"/>
      <c r="BH2248" s="88"/>
      <c r="BI2248" s="73"/>
      <c r="BJ2248" s="73"/>
      <c r="BK2248" s="73"/>
      <c r="BL2248" s="73"/>
      <c r="BM2248" s="73"/>
      <c r="BN2248" s="73"/>
      <c r="BO2248" s="73"/>
      <c r="BP2248" s="73"/>
      <c r="BQ2248" s="73"/>
      <c r="BR2248" s="73"/>
      <c r="BS2248" s="73"/>
      <c r="BT2248" s="73"/>
      <c r="BU2248" s="73"/>
      <c r="BV2248" s="73"/>
      <c r="BW2248" s="73"/>
      <c r="BX2248" s="73"/>
      <c r="BY2248" s="73"/>
      <c r="BZ2248" s="73"/>
      <c r="CA2248" s="73"/>
      <c r="CB2248" s="73"/>
      <c r="CC2248" s="73"/>
      <c r="CD2248" s="73"/>
      <c r="CE2248" s="73"/>
      <c r="CF2248" s="73"/>
      <c r="CG2248" s="73"/>
      <c r="CH2248" s="73"/>
    </row>
    <row r="2249">
      <c r="A2249" s="73"/>
      <c r="B2249" s="73"/>
      <c r="C2249" s="73"/>
      <c r="D2249" s="73"/>
      <c r="E2249" s="140"/>
      <c r="F2249" s="80"/>
      <c r="G2249" s="80"/>
      <c r="H2249" s="73"/>
      <c r="I2249" s="73"/>
      <c r="J2249" s="73"/>
      <c r="K2249" s="73"/>
      <c r="L2249" s="73"/>
      <c r="M2249" s="73"/>
      <c r="N2249" s="73"/>
      <c r="O2249" s="73"/>
      <c r="P2249" s="73"/>
      <c r="Q2249" s="73"/>
      <c r="R2249" s="73"/>
      <c r="S2249" s="73"/>
      <c r="T2249" s="73"/>
      <c r="U2249" s="73"/>
      <c r="V2249" s="73"/>
      <c r="W2249" s="73"/>
      <c r="X2249" s="73"/>
      <c r="Y2249" s="73"/>
      <c r="Z2249" s="73"/>
      <c r="AA2249" s="73"/>
      <c r="AB2249" s="73"/>
      <c r="AC2249" s="73"/>
      <c r="AD2249" s="73"/>
      <c r="AE2249" s="73"/>
      <c r="AF2249" s="73"/>
      <c r="AG2249" s="73"/>
      <c r="AH2249" s="73"/>
      <c r="AI2249" s="73"/>
      <c r="AJ2249" s="168"/>
      <c r="AK2249" s="73"/>
      <c r="AL2249" s="73"/>
      <c r="AM2249" s="73"/>
      <c r="AN2249" s="73"/>
      <c r="AO2249" s="73"/>
      <c r="AP2249" s="73"/>
      <c r="AQ2249" s="73"/>
      <c r="AR2249" s="73"/>
      <c r="AS2249" s="73"/>
      <c r="AT2249" s="73"/>
      <c r="AU2249" s="73"/>
      <c r="AV2249" s="73"/>
      <c r="AW2249" s="73"/>
      <c r="AX2249" s="73"/>
      <c r="AY2249" s="73"/>
      <c r="AZ2249" s="73"/>
      <c r="BA2249" s="73"/>
      <c r="BB2249" s="73"/>
      <c r="BC2249" s="73"/>
      <c r="BD2249" s="73"/>
      <c r="BE2249" s="73"/>
      <c r="BF2249" s="75"/>
      <c r="BG2249" s="73"/>
      <c r="BH2249" s="88"/>
      <c r="BI2249" s="73"/>
      <c r="BJ2249" s="73"/>
      <c r="BK2249" s="73"/>
      <c r="BL2249" s="73"/>
      <c r="BM2249" s="73"/>
      <c r="BN2249" s="73"/>
      <c r="BO2249" s="73"/>
      <c r="BP2249" s="73"/>
      <c r="BQ2249" s="73"/>
      <c r="BR2249" s="73"/>
      <c r="BS2249" s="73"/>
      <c r="BT2249" s="73"/>
      <c r="BU2249" s="73"/>
      <c r="BV2249" s="73"/>
      <c r="BW2249" s="73"/>
      <c r="BX2249" s="73"/>
      <c r="BY2249" s="73"/>
      <c r="BZ2249" s="73"/>
      <c r="CA2249" s="73"/>
      <c r="CB2249" s="73"/>
      <c r="CC2249" s="73"/>
      <c r="CD2249" s="73"/>
      <c r="CE2249" s="73"/>
      <c r="CF2249" s="73"/>
      <c r="CG2249" s="73"/>
      <c r="CH2249" s="73"/>
    </row>
    <row r="2250">
      <c r="A2250" s="73"/>
      <c r="B2250" s="73"/>
      <c r="C2250" s="73"/>
      <c r="D2250" s="73"/>
      <c r="E2250" s="140"/>
      <c r="F2250" s="80"/>
      <c r="G2250" s="80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  <c r="S2250" s="73"/>
      <c r="T2250" s="73"/>
      <c r="U2250" s="73"/>
      <c r="V2250" s="73"/>
      <c r="W2250" s="73"/>
      <c r="X2250" s="73"/>
      <c r="Y2250" s="73"/>
      <c r="Z2250" s="73"/>
      <c r="AA2250" s="73"/>
      <c r="AB2250" s="73"/>
      <c r="AC2250" s="73"/>
      <c r="AD2250" s="73"/>
      <c r="AE2250" s="73"/>
      <c r="AF2250" s="73"/>
      <c r="AG2250" s="73"/>
      <c r="AH2250" s="73"/>
      <c r="AI2250" s="73"/>
      <c r="AJ2250" s="168"/>
      <c r="AK2250" s="73"/>
      <c r="AL2250" s="73"/>
      <c r="AM2250" s="73"/>
      <c r="AN2250" s="73"/>
      <c r="AO2250" s="73"/>
      <c r="AP2250" s="73"/>
      <c r="AQ2250" s="73"/>
      <c r="AR2250" s="73"/>
      <c r="AS2250" s="73"/>
      <c r="AT2250" s="73"/>
      <c r="AU2250" s="73"/>
      <c r="AV2250" s="73"/>
      <c r="AW2250" s="73"/>
      <c r="AX2250" s="73"/>
      <c r="AY2250" s="73"/>
      <c r="AZ2250" s="73"/>
      <c r="BA2250" s="73"/>
      <c r="BB2250" s="73"/>
      <c r="BC2250" s="73"/>
      <c r="BD2250" s="73"/>
      <c r="BE2250" s="73"/>
      <c r="BF2250" s="75"/>
      <c r="BG2250" s="73"/>
      <c r="BH2250" s="88"/>
      <c r="BI2250" s="73"/>
      <c r="BJ2250" s="73"/>
      <c r="BK2250" s="73"/>
      <c r="BL2250" s="73"/>
      <c r="BM2250" s="73"/>
      <c r="BN2250" s="73"/>
      <c r="BO2250" s="73"/>
      <c r="BP2250" s="73"/>
      <c r="BQ2250" s="73"/>
      <c r="BR2250" s="73"/>
      <c r="BS2250" s="73"/>
      <c r="BT2250" s="73"/>
      <c r="BU2250" s="73"/>
      <c r="BV2250" s="73"/>
      <c r="BW2250" s="73"/>
      <c r="BX2250" s="73"/>
      <c r="BY2250" s="73"/>
      <c r="BZ2250" s="73"/>
      <c r="CA2250" s="73"/>
      <c r="CB2250" s="73"/>
      <c r="CC2250" s="73"/>
      <c r="CD2250" s="73"/>
      <c r="CE2250" s="73"/>
      <c r="CF2250" s="73"/>
      <c r="CG2250" s="73"/>
      <c r="CH2250" s="73"/>
    </row>
    <row r="2251">
      <c r="A2251" s="73"/>
      <c r="B2251" s="73"/>
      <c r="C2251" s="73"/>
      <c r="D2251" s="73"/>
      <c r="E2251" s="140"/>
      <c r="F2251" s="80"/>
      <c r="G2251" s="80"/>
      <c r="H2251" s="73"/>
      <c r="I2251" s="73"/>
      <c r="J2251" s="73"/>
      <c r="K2251" s="73"/>
      <c r="L2251" s="73"/>
      <c r="M2251" s="73"/>
      <c r="N2251" s="73"/>
      <c r="O2251" s="73"/>
      <c r="P2251" s="73"/>
      <c r="Q2251" s="73"/>
      <c r="R2251" s="73"/>
      <c r="S2251" s="73"/>
      <c r="T2251" s="73"/>
      <c r="U2251" s="73"/>
      <c r="V2251" s="73"/>
      <c r="W2251" s="73"/>
      <c r="X2251" s="73"/>
      <c r="Y2251" s="73"/>
      <c r="Z2251" s="73"/>
      <c r="AA2251" s="73"/>
      <c r="AB2251" s="73"/>
      <c r="AC2251" s="73"/>
      <c r="AD2251" s="73"/>
      <c r="AE2251" s="73"/>
      <c r="AF2251" s="73"/>
      <c r="AG2251" s="73"/>
      <c r="AH2251" s="73"/>
      <c r="AI2251" s="73"/>
      <c r="AJ2251" s="168"/>
      <c r="AK2251" s="73"/>
      <c r="AL2251" s="73"/>
      <c r="AM2251" s="73"/>
      <c r="AN2251" s="73"/>
      <c r="AO2251" s="73"/>
      <c r="AP2251" s="73"/>
      <c r="AQ2251" s="73"/>
      <c r="AR2251" s="73"/>
      <c r="AS2251" s="73"/>
      <c r="AT2251" s="73"/>
      <c r="AU2251" s="73"/>
      <c r="AV2251" s="73"/>
      <c r="AW2251" s="73"/>
      <c r="AX2251" s="73"/>
      <c r="AY2251" s="73"/>
      <c r="AZ2251" s="73"/>
      <c r="BA2251" s="73"/>
      <c r="BB2251" s="73"/>
      <c r="BC2251" s="73"/>
      <c r="BD2251" s="73"/>
      <c r="BE2251" s="73"/>
      <c r="BF2251" s="75"/>
      <c r="BG2251" s="73"/>
      <c r="BH2251" s="88"/>
      <c r="BI2251" s="73"/>
      <c r="BJ2251" s="73"/>
      <c r="BK2251" s="73"/>
      <c r="BL2251" s="73"/>
      <c r="BM2251" s="73"/>
      <c r="BN2251" s="73"/>
      <c r="BO2251" s="73"/>
      <c r="BP2251" s="73"/>
      <c r="BQ2251" s="73"/>
      <c r="BR2251" s="73"/>
      <c r="BS2251" s="73"/>
      <c r="BT2251" s="73"/>
      <c r="BU2251" s="73"/>
      <c r="BV2251" s="73"/>
      <c r="BW2251" s="73"/>
      <c r="BX2251" s="73"/>
      <c r="BY2251" s="73"/>
      <c r="BZ2251" s="73"/>
      <c r="CA2251" s="73"/>
      <c r="CB2251" s="73"/>
      <c r="CC2251" s="73"/>
      <c r="CD2251" s="73"/>
      <c r="CE2251" s="73"/>
      <c r="CF2251" s="73"/>
      <c r="CG2251" s="73"/>
      <c r="CH2251" s="73"/>
    </row>
    <row r="2252">
      <c r="A2252" s="73"/>
      <c r="B2252" s="73"/>
      <c r="C2252" s="73"/>
      <c r="D2252" s="73"/>
      <c r="E2252" s="140"/>
      <c r="F2252" s="80"/>
      <c r="G2252" s="80"/>
      <c r="H2252" s="73"/>
      <c r="I2252" s="73"/>
      <c r="J2252" s="73"/>
      <c r="K2252" s="73"/>
      <c r="L2252" s="73"/>
      <c r="M2252" s="73"/>
      <c r="N2252" s="73"/>
      <c r="O2252" s="73"/>
      <c r="P2252" s="73"/>
      <c r="Q2252" s="73"/>
      <c r="R2252" s="73"/>
      <c r="S2252" s="73"/>
      <c r="T2252" s="73"/>
      <c r="U2252" s="73"/>
      <c r="V2252" s="73"/>
      <c r="W2252" s="73"/>
      <c r="X2252" s="73"/>
      <c r="Y2252" s="73"/>
      <c r="Z2252" s="73"/>
      <c r="AA2252" s="73"/>
      <c r="AB2252" s="73"/>
      <c r="AC2252" s="73"/>
      <c r="AD2252" s="73"/>
      <c r="AE2252" s="73"/>
      <c r="AF2252" s="73"/>
      <c r="AG2252" s="73"/>
      <c r="AH2252" s="73"/>
      <c r="AI2252" s="73"/>
      <c r="AJ2252" s="168"/>
      <c r="AK2252" s="73"/>
      <c r="AL2252" s="73"/>
      <c r="AM2252" s="73"/>
      <c r="AN2252" s="73"/>
      <c r="AO2252" s="73"/>
      <c r="AP2252" s="73"/>
      <c r="AQ2252" s="73"/>
      <c r="AR2252" s="73"/>
      <c r="AS2252" s="73"/>
      <c r="AT2252" s="73"/>
      <c r="AU2252" s="73"/>
      <c r="AV2252" s="73"/>
      <c r="AW2252" s="73"/>
      <c r="AX2252" s="73"/>
      <c r="AY2252" s="73"/>
      <c r="AZ2252" s="73"/>
      <c r="BA2252" s="73"/>
      <c r="BB2252" s="73"/>
      <c r="BC2252" s="73"/>
      <c r="BD2252" s="73"/>
      <c r="BE2252" s="73"/>
      <c r="BF2252" s="75"/>
      <c r="BG2252" s="73"/>
      <c r="BH2252" s="88"/>
      <c r="BI2252" s="73"/>
      <c r="BJ2252" s="73"/>
      <c r="BK2252" s="73"/>
      <c r="BL2252" s="73"/>
      <c r="BM2252" s="73"/>
      <c r="BN2252" s="73"/>
      <c r="BO2252" s="73"/>
      <c r="BP2252" s="73"/>
      <c r="BQ2252" s="73"/>
      <c r="BR2252" s="73"/>
      <c r="BS2252" s="73"/>
      <c r="BT2252" s="73"/>
      <c r="BU2252" s="73"/>
      <c r="BV2252" s="73"/>
      <c r="BW2252" s="73"/>
      <c r="BX2252" s="73"/>
      <c r="BY2252" s="73"/>
      <c r="BZ2252" s="73"/>
      <c r="CA2252" s="73"/>
      <c r="CB2252" s="73"/>
      <c r="CC2252" s="73"/>
      <c r="CD2252" s="73"/>
      <c r="CE2252" s="73"/>
      <c r="CF2252" s="73"/>
      <c r="CG2252" s="73"/>
      <c r="CH2252" s="73"/>
    </row>
    <row r="2253">
      <c r="A2253" s="73"/>
      <c r="B2253" s="73"/>
      <c r="C2253" s="73"/>
      <c r="D2253" s="73"/>
      <c r="E2253" s="140"/>
      <c r="F2253" s="80"/>
      <c r="G2253" s="80"/>
      <c r="H2253" s="73"/>
      <c r="I2253" s="73"/>
      <c r="J2253" s="73"/>
      <c r="K2253" s="73"/>
      <c r="L2253" s="73"/>
      <c r="M2253" s="73"/>
      <c r="N2253" s="73"/>
      <c r="O2253" s="73"/>
      <c r="P2253" s="73"/>
      <c r="Q2253" s="73"/>
      <c r="R2253" s="73"/>
      <c r="S2253" s="73"/>
      <c r="T2253" s="73"/>
      <c r="U2253" s="73"/>
      <c r="V2253" s="73"/>
      <c r="W2253" s="73"/>
      <c r="X2253" s="73"/>
      <c r="Y2253" s="73"/>
      <c r="Z2253" s="73"/>
      <c r="AA2253" s="73"/>
      <c r="AB2253" s="73"/>
      <c r="AC2253" s="73"/>
      <c r="AD2253" s="73"/>
      <c r="AE2253" s="73"/>
      <c r="AF2253" s="73"/>
      <c r="AG2253" s="73"/>
      <c r="AH2253" s="73"/>
      <c r="AI2253" s="73"/>
      <c r="AJ2253" s="168"/>
      <c r="AK2253" s="73"/>
      <c r="AL2253" s="73"/>
      <c r="AM2253" s="73"/>
      <c r="AN2253" s="73"/>
      <c r="AO2253" s="73"/>
      <c r="AP2253" s="73"/>
      <c r="AQ2253" s="73"/>
      <c r="AR2253" s="73"/>
      <c r="AS2253" s="73"/>
      <c r="AT2253" s="73"/>
      <c r="AU2253" s="73"/>
      <c r="AV2253" s="73"/>
      <c r="AW2253" s="73"/>
      <c r="AX2253" s="73"/>
      <c r="AY2253" s="73"/>
      <c r="AZ2253" s="73"/>
      <c r="BA2253" s="73"/>
      <c r="BB2253" s="73"/>
      <c r="BC2253" s="73"/>
      <c r="BD2253" s="73"/>
      <c r="BE2253" s="73"/>
      <c r="BF2253" s="75"/>
      <c r="BG2253" s="73"/>
      <c r="BH2253" s="88"/>
      <c r="BI2253" s="73"/>
      <c r="BJ2253" s="73"/>
      <c r="BK2253" s="73"/>
      <c r="BL2253" s="73"/>
      <c r="BM2253" s="73"/>
      <c r="BN2253" s="73"/>
      <c r="BO2253" s="73"/>
      <c r="BP2253" s="73"/>
      <c r="BQ2253" s="73"/>
      <c r="BR2253" s="73"/>
      <c r="BS2253" s="73"/>
      <c r="BT2253" s="73"/>
      <c r="BU2253" s="73"/>
      <c r="BV2253" s="73"/>
      <c r="BW2253" s="73"/>
      <c r="BX2253" s="73"/>
      <c r="BY2253" s="73"/>
      <c r="BZ2253" s="73"/>
      <c r="CA2253" s="73"/>
      <c r="CB2253" s="73"/>
      <c r="CC2253" s="73"/>
      <c r="CD2253" s="73"/>
      <c r="CE2253" s="73"/>
      <c r="CF2253" s="73"/>
      <c r="CG2253" s="73"/>
      <c r="CH2253" s="73"/>
    </row>
    <row r="2254">
      <c r="A2254" s="73"/>
      <c r="B2254" s="73"/>
      <c r="C2254" s="73"/>
      <c r="D2254" s="73"/>
      <c r="E2254" s="140"/>
      <c r="F2254" s="80"/>
      <c r="G2254" s="80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  <c r="S2254" s="73"/>
      <c r="T2254" s="73"/>
      <c r="U2254" s="73"/>
      <c r="V2254" s="73"/>
      <c r="W2254" s="73"/>
      <c r="X2254" s="73"/>
      <c r="Y2254" s="73"/>
      <c r="Z2254" s="73"/>
      <c r="AA2254" s="73"/>
      <c r="AB2254" s="73"/>
      <c r="AC2254" s="73"/>
      <c r="AD2254" s="73"/>
      <c r="AE2254" s="73"/>
      <c r="AF2254" s="73"/>
      <c r="AG2254" s="73"/>
      <c r="AH2254" s="73"/>
      <c r="AI2254" s="73"/>
      <c r="AJ2254" s="168"/>
      <c r="AK2254" s="73"/>
      <c r="AL2254" s="73"/>
      <c r="AM2254" s="73"/>
      <c r="AN2254" s="73"/>
      <c r="AO2254" s="73"/>
      <c r="AP2254" s="73"/>
      <c r="AQ2254" s="73"/>
      <c r="AR2254" s="73"/>
      <c r="AS2254" s="73"/>
      <c r="AT2254" s="73"/>
      <c r="AU2254" s="73"/>
      <c r="AV2254" s="73"/>
      <c r="AW2254" s="73"/>
      <c r="AX2254" s="73"/>
      <c r="AY2254" s="73"/>
      <c r="AZ2254" s="73"/>
      <c r="BA2254" s="73"/>
      <c r="BB2254" s="73"/>
      <c r="BC2254" s="73"/>
      <c r="BD2254" s="73"/>
      <c r="BE2254" s="73"/>
      <c r="BF2254" s="75"/>
      <c r="BG2254" s="73"/>
      <c r="BH2254" s="88"/>
      <c r="BI2254" s="73"/>
      <c r="BJ2254" s="73"/>
      <c r="BK2254" s="73"/>
      <c r="BL2254" s="73"/>
      <c r="BM2254" s="73"/>
      <c r="BN2254" s="73"/>
      <c r="BO2254" s="73"/>
      <c r="BP2254" s="73"/>
      <c r="BQ2254" s="73"/>
      <c r="BR2254" s="73"/>
      <c r="BS2254" s="73"/>
      <c r="BT2254" s="73"/>
      <c r="BU2254" s="73"/>
      <c r="BV2254" s="73"/>
      <c r="BW2254" s="73"/>
      <c r="BX2254" s="73"/>
      <c r="BY2254" s="73"/>
      <c r="BZ2254" s="73"/>
      <c r="CA2254" s="73"/>
      <c r="CB2254" s="73"/>
      <c r="CC2254" s="73"/>
      <c r="CD2254" s="73"/>
      <c r="CE2254" s="73"/>
      <c r="CF2254" s="73"/>
      <c r="CG2254" s="73"/>
      <c r="CH2254" s="73"/>
    </row>
    <row r="2255">
      <c r="A2255" s="73"/>
      <c r="B2255" s="73"/>
      <c r="C2255" s="73"/>
      <c r="D2255" s="73"/>
      <c r="E2255" s="140"/>
      <c r="F2255" s="80"/>
      <c r="G2255" s="80"/>
      <c r="H2255" s="73"/>
      <c r="I2255" s="73"/>
      <c r="J2255" s="73"/>
      <c r="K2255" s="73"/>
      <c r="L2255" s="73"/>
      <c r="M2255" s="73"/>
      <c r="N2255" s="73"/>
      <c r="O2255" s="73"/>
      <c r="P2255" s="73"/>
      <c r="Q2255" s="73"/>
      <c r="R2255" s="73"/>
      <c r="S2255" s="73"/>
      <c r="T2255" s="73"/>
      <c r="U2255" s="73"/>
      <c r="V2255" s="73"/>
      <c r="W2255" s="73"/>
      <c r="X2255" s="73"/>
      <c r="Y2255" s="73"/>
      <c r="Z2255" s="73"/>
      <c r="AA2255" s="73"/>
      <c r="AB2255" s="73"/>
      <c r="AC2255" s="73"/>
      <c r="AD2255" s="73"/>
      <c r="AE2255" s="73"/>
      <c r="AF2255" s="73"/>
      <c r="AG2255" s="73"/>
      <c r="AH2255" s="73"/>
      <c r="AI2255" s="73"/>
      <c r="AJ2255" s="168"/>
      <c r="AK2255" s="73"/>
      <c r="AL2255" s="73"/>
      <c r="AM2255" s="73"/>
      <c r="AN2255" s="73"/>
      <c r="AO2255" s="73"/>
      <c r="AP2255" s="73"/>
      <c r="AQ2255" s="73"/>
      <c r="AR2255" s="73"/>
      <c r="AS2255" s="73"/>
      <c r="AT2255" s="73"/>
      <c r="AU2255" s="73"/>
      <c r="AV2255" s="73"/>
      <c r="AW2255" s="73"/>
      <c r="AX2255" s="73"/>
      <c r="AY2255" s="73"/>
      <c r="AZ2255" s="73"/>
      <c r="BA2255" s="73"/>
      <c r="BB2255" s="73"/>
      <c r="BC2255" s="73"/>
      <c r="BD2255" s="73"/>
      <c r="BE2255" s="73"/>
      <c r="BF2255" s="75"/>
      <c r="BG2255" s="73"/>
      <c r="BH2255" s="88"/>
      <c r="BI2255" s="73"/>
      <c r="BJ2255" s="73"/>
      <c r="BK2255" s="73"/>
      <c r="BL2255" s="73"/>
      <c r="BM2255" s="73"/>
      <c r="BN2255" s="73"/>
      <c r="BO2255" s="73"/>
      <c r="BP2255" s="73"/>
      <c r="BQ2255" s="73"/>
      <c r="BR2255" s="73"/>
      <c r="BS2255" s="73"/>
      <c r="BT2255" s="73"/>
      <c r="BU2255" s="73"/>
      <c r="BV2255" s="73"/>
      <c r="BW2255" s="73"/>
      <c r="BX2255" s="73"/>
      <c r="BY2255" s="73"/>
      <c r="BZ2255" s="73"/>
      <c r="CA2255" s="73"/>
      <c r="CB2255" s="73"/>
      <c r="CC2255" s="73"/>
      <c r="CD2255" s="73"/>
      <c r="CE2255" s="73"/>
      <c r="CF2255" s="73"/>
      <c r="CG2255" s="73"/>
      <c r="CH2255" s="73"/>
    </row>
    <row r="2256">
      <c r="A2256" s="73"/>
      <c r="B2256" s="73"/>
      <c r="C2256" s="73"/>
      <c r="D2256" s="73"/>
      <c r="E2256" s="140"/>
      <c r="F2256" s="80"/>
      <c r="G2256" s="80"/>
      <c r="H2256" s="73"/>
      <c r="I2256" s="73"/>
      <c r="J2256" s="73"/>
      <c r="K2256" s="73"/>
      <c r="L2256" s="73"/>
      <c r="M2256" s="73"/>
      <c r="N2256" s="73"/>
      <c r="O2256" s="73"/>
      <c r="P2256" s="73"/>
      <c r="Q2256" s="73"/>
      <c r="R2256" s="73"/>
      <c r="S2256" s="73"/>
      <c r="T2256" s="73"/>
      <c r="U2256" s="73"/>
      <c r="V2256" s="73"/>
      <c r="W2256" s="73"/>
      <c r="X2256" s="73"/>
      <c r="Y2256" s="73"/>
      <c r="Z2256" s="73"/>
      <c r="AA2256" s="73"/>
      <c r="AB2256" s="73"/>
      <c r="AC2256" s="73"/>
      <c r="AD2256" s="73"/>
      <c r="AE2256" s="73"/>
      <c r="AF2256" s="73"/>
      <c r="AG2256" s="73"/>
      <c r="AH2256" s="73"/>
      <c r="AI2256" s="73"/>
      <c r="AJ2256" s="168"/>
      <c r="AK2256" s="73"/>
      <c r="AL2256" s="73"/>
      <c r="AM2256" s="73"/>
      <c r="AN2256" s="73"/>
      <c r="AO2256" s="73"/>
      <c r="AP2256" s="73"/>
      <c r="AQ2256" s="73"/>
      <c r="AR2256" s="73"/>
      <c r="AS2256" s="73"/>
      <c r="AT2256" s="73"/>
      <c r="AU2256" s="73"/>
      <c r="AV2256" s="73"/>
      <c r="AW2256" s="73"/>
      <c r="AX2256" s="73"/>
      <c r="AY2256" s="73"/>
      <c r="AZ2256" s="73"/>
      <c r="BA2256" s="73"/>
      <c r="BB2256" s="73"/>
      <c r="BC2256" s="73"/>
      <c r="BD2256" s="73"/>
      <c r="BE2256" s="73"/>
      <c r="BF2256" s="75"/>
      <c r="BG2256" s="73"/>
      <c r="BH2256" s="88"/>
      <c r="BI2256" s="73"/>
      <c r="BJ2256" s="73"/>
      <c r="BK2256" s="73"/>
      <c r="BL2256" s="73"/>
      <c r="BM2256" s="73"/>
      <c r="BN2256" s="73"/>
      <c r="BO2256" s="73"/>
      <c r="BP2256" s="73"/>
      <c r="BQ2256" s="73"/>
      <c r="BR2256" s="73"/>
      <c r="BS2256" s="73"/>
      <c r="BT2256" s="73"/>
      <c r="BU2256" s="73"/>
      <c r="BV2256" s="73"/>
      <c r="BW2256" s="73"/>
      <c r="BX2256" s="73"/>
      <c r="BY2256" s="73"/>
      <c r="BZ2256" s="73"/>
      <c r="CA2256" s="73"/>
      <c r="CB2256" s="73"/>
      <c r="CC2256" s="73"/>
      <c r="CD2256" s="73"/>
      <c r="CE2256" s="73"/>
      <c r="CF2256" s="73"/>
      <c r="CG2256" s="73"/>
      <c r="CH2256" s="73"/>
    </row>
    <row r="2257">
      <c r="A2257" s="73"/>
      <c r="B2257" s="73"/>
      <c r="C2257" s="73"/>
      <c r="D2257" s="73"/>
      <c r="E2257" s="140"/>
      <c r="F2257" s="80"/>
      <c r="G2257" s="80"/>
      <c r="H2257" s="73"/>
      <c r="I2257" s="73"/>
      <c r="J2257" s="73"/>
      <c r="K2257" s="73"/>
      <c r="L2257" s="73"/>
      <c r="M2257" s="73"/>
      <c r="N2257" s="73"/>
      <c r="O2257" s="73"/>
      <c r="P2257" s="73"/>
      <c r="Q2257" s="73"/>
      <c r="R2257" s="73"/>
      <c r="S2257" s="73"/>
      <c r="T2257" s="73"/>
      <c r="U2257" s="73"/>
      <c r="V2257" s="73"/>
      <c r="W2257" s="73"/>
      <c r="X2257" s="73"/>
      <c r="Y2257" s="73"/>
      <c r="Z2257" s="73"/>
      <c r="AA2257" s="73"/>
      <c r="AB2257" s="73"/>
      <c r="AC2257" s="73"/>
      <c r="AD2257" s="73"/>
      <c r="AE2257" s="73"/>
      <c r="AF2257" s="73"/>
      <c r="AG2257" s="73"/>
      <c r="AH2257" s="73"/>
      <c r="AI2257" s="73"/>
      <c r="AJ2257" s="168"/>
      <c r="AK2257" s="73"/>
      <c r="AL2257" s="73"/>
      <c r="AM2257" s="73"/>
      <c r="AN2257" s="73"/>
      <c r="AO2257" s="73"/>
      <c r="AP2257" s="73"/>
      <c r="AQ2257" s="73"/>
      <c r="AR2257" s="73"/>
      <c r="AS2257" s="73"/>
      <c r="AT2257" s="73"/>
      <c r="AU2257" s="73"/>
      <c r="AV2257" s="73"/>
      <c r="AW2257" s="73"/>
      <c r="AX2257" s="73"/>
      <c r="AY2257" s="73"/>
      <c r="AZ2257" s="73"/>
      <c r="BA2257" s="73"/>
      <c r="BB2257" s="73"/>
      <c r="BC2257" s="73"/>
      <c r="BD2257" s="73"/>
      <c r="BE2257" s="73"/>
      <c r="BF2257" s="75"/>
      <c r="BG2257" s="73"/>
      <c r="BH2257" s="88"/>
      <c r="BI2257" s="73"/>
      <c r="BJ2257" s="73"/>
      <c r="BK2257" s="73"/>
      <c r="BL2257" s="73"/>
      <c r="BM2257" s="73"/>
      <c r="BN2257" s="73"/>
      <c r="BO2257" s="73"/>
      <c r="BP2257" s="73"/>
      <c r="BQ2257" s="73"/>
      <c r="BR2257" s="73"/>
      <c r="BS2257" s="73"/>
      <c r="BT2257" s="73"/>
      <c r="BU2257" s="73"/>
      <c r="BV2257" s="73"/>
      <c r="BW2257" s="73"/>
      <c r="BX2257" s="73"/>
      <c r="BY2257" s="73"/>
      <c r="BZ2257" s="73"/>
      <c r="CA2257" s="73"/>
      <c r="CB2257" s="73"/>
      <c r="CC2257" s="73"/>
      <c r="CD2257" s="73"/>
      <c r="CE2257" s="73"/>
      <c r="CF2257" s="73"/>
      <c r="CG2257" s="73"/>
      <c r="CH2257" s="73"/>
    </row>
    <row r="2258">
      <c r="A2258" s="73"/>
      <c r="B2258" s="73"/>
      <c r="C2258" s="73"/>
      <c r="D2258" s="73"/>
      <c r="E2258" s="140"/>
      <c r="F2258" s="80"/>
      <c r="G2258" s="80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  <c r="S2258" s="73"/>
      <c r="T2258" s="73"/>
      <c r="U2258" s="73"/>
      <c r="V2258" s="73"/>
      <c r="W2258" s="73"/>
      <c r="X2258" s="73"/>
      <c r="Y2258" s="73"/>
      <c r="Z2258" s="73"/>
      <c r="AA2258" s="73"/>
      <c r="AB2258" s="73"/>
      <c r="AC2258" s="73"/>
      <c r="AD2258" s="73"/>
      <c r="AE2258" s="73"/>
      <c r="AF2258" s="73"/>
      <c r="AG2258" s="73"/>
      <c r="AH2258" s="73"/>
      <c r="AI2258" s="73"/>
      <c r="AJ2258" s="168"/>
      <c r="AK2258" s="73"/>
      <c r="AL2258" s="73"/>
      <c r="AM2258" s="73"/>
      <c r="AN2258" s="73"/>
      <c r="AO2258" s="73"/>
      <c r="AP2258" s="73"/>
      <c r="AQ2258" s="73"/>
      <c r="AR2258" s="73"/>
      <c r="AS2258" s="73"/>
      <c r="AT2258" s="73"/>
      <c r="AU2258" s="73"/>
      <c r="AV2258" s="73"/>
      <c r="AW2258" s="73"/>
      <c r="AX2258" s="73"/>
      <c r="AY2258" s="73"/>
      <c r="AZ2258" s="73"/>
      <c r="BA2258" s="73"/>
      <c r="BB2258" s="73"/>
      <c r="BC2258" s="73"/>
      <c r="BD2258" s="73"/>
      <c r="BE2258" s="73"/>
      <c r="BF2258" s="75"/>
      <c r="BG2258" s="73"/>
      <c r="BH2258" s="88"/>
      <c r="BI2258" s="73"/>
      <c r="BJ2258" s="73"/>
      <c r="BK2258" s="73"/>
      <c r="BL2258" s="73"/>
      <c r="BM2258" s="73"/>
      <c r="BN2258" s="73"/>
      <c r="BO2258" s="73"/>
      <c r="BP2258" s="73"/>
      <c r="BQ2258" s="73"/>
      <c r="BR2258" s="73"/>
      <c r="BS2258" s="73"/>
      <c r="BT2258" s="73"/>
      <c r="BU2258" s="73"/>
      <c r="BV2258" s="73"/>
      <c r="BW2258" s="73"/>
      <c r="BX2258" s="73"/>
      <c r="BY2258" s="73"/>
      <c r="BZ2258" s="73"/>
      <c r="CA2258" s="73"/>
      <c r="CB2258" s="73"/>
      <c r="CC2258" s="73"/>
      <c r="CD2258" s="73"/>
      <c r="CE2258" s="73"/>
      <c r="CF2258" s="73"/>
      <c r="CG2258" s="73"/>
      <c r="CH2258" s="73"/>
    </row>
    <row r="2259">
      <c r="A2259" s="73"/>
      <c r="B2259" s="73"/>
      <c r="C2259" s="73"/>
      <c r="D2259" s="73"/>
      <c r="E2259" s="140"/>
      <c r="F2259" s="80"/>
      <c r="G2259" s="80"/>
      <c r="H2259" s="73"/>
      <c r="I2259" s="73"/>
      <c r="J2259" s="73"/>
      <c r="K2259" s="73"/>
      <c r="L2259" s="73"/>
      <c r="M2259" s="73"/>
      <c r="N2259" s="73"/>
      <c r="O2259" s="73"/>
      <c r="P2259" s="73"/>
      <c r="Q2259" s="73"/>
      <c r="R2259" s="73"/>
      <c r="S2259" s="73"/>
      <c r="T2259" s="73"/>
      <c r="U2259" s="73"/>
      <c r="V2259" s="73"/>
      <c r="W2259" s="73"/>
      <c r="X2259" s="73"/>
      <c r="Y2259" s="73"/>
      <c r="Z2259" s="73"/>
      <c r="AA2259" s="73"/>
      <c r="AB2259" s="73"/>
      <c r="AC2259" s="73"/>
      <c r="AD2259" s="73"/>
      <c r="AE2259" s="73"/>
      <c r="AF2259" s="73"/>
      <c r="AG2259" s="73"/>
      <c r="AH2259" s="73"/>
      <c r="AI2259" s="73"/>
      <c r="AJ2259" s="168"/>
      <c r="AK2259" s="73"/>
      <c r="AL2259" s="73"/>
      <c r="AM2259" s="73"/>
      <c r="AN2259" s="73"/>
      <c r="AO2259" s="73"/>
      <c r="AP2259" s="73"/>
      <c r="AQ2259" s="73"/>
      <c r="AR2259" s="73"/>
      <c r="AS2259" s="73"/>
      <c r="AT2259" s="73"/>
      <c r="AU2259" s="73"/>
      <c r="AV2259" s="73"/>
      <c r="AW2259" s="73"/>
      <c r="AX2259" s="73"/>
      <c r="AY2259" s="73"/>
      <c r="AZ2259" s="73"/>
      <c r="BA2259" s="73"/>
      <c r="BB2259" s="73"/>
      <c r="BC2259" s="73"/>
      <c r="BD2259" s="73"/>
      <c r="BE2259" s="73"/>
      <c r="BF2259" s="75"/>
      <c r="BG2259" s="73"/>
      <c r="BH2259" s="88"/>
      <c r="BI2259" s="73"/>
      <c r="BJ2259" s="73"/>
      <c r="BK2259" s="73"/>
      <c r="BL2259" s="73"/>
      <c r="BM2259" s="73"/>
      <c r="BN2259" s="73"/>
      <c r="BO2259" s="73"/>
      <c r="BP2259" s="73"/>
      <c r="BQ2259" s="73"/>
      <c r="BR2259" s="73"/>
      <c r="BS2259" s="73"/>
      <c r="BT2259" s="73"/>
      <c r="BU2259" s="73"/>
      <c r="BV2259" s="73"/>
      <c r="BW2259" s="73"/>
      <c r="BX2259" s="73"/>
      <c r="BY2259" s="73"/>
      <c r="BZ2259" s="73"/>
      <c r="CA2259" s="73"/>
      <c r="CB2259" s="73"/>
      <c r="CC2259" s="73"/>
      <c r="CD2259" s="73"/>
      <c r="CE2259" s="73"/>
      <c r="CF2259" s="73"/>
      <c r="CG2259" s="73"/>
      <c r="CH2259" s="73"/>
    </row>
    <row r="2260">
      <c r="A2260" s="73"/>
      <c r="B2260" s="73"/>
      <c r="C2260" s="73"/>
      <c r="D2260" s="73"/>
      <c r="E2260" s="140"/>
      <c r="F2260" s="80"/>
      <c r="G2260" s="80"/>
      <c r="H2260" s="73"/>
      <c r="I2260" s="73"/>
      <c r="J2260" s="73"/>
      <c r="K2260" s="73"/>
      <c r="L2260" s="73"/>
      <c r="M2260" s="73"/>
      <c r="N2260" s="73"/>
      <c r="O2260" s="73"/>
      <c r="P2260" s="73"/>
      <c r="Q2260" s="73"/>
      <c r="R2260" s="73"/>
      <c r="S2260" s="73"/>
      <c r="T2260" s="73"/>
      <c r="U2260" s="73"/>
      <c r="V2260" s="73"/>
      <c r="W2260" s="73"/>
      <c r="X2260" s="73"/>
      <c r="Y2260" s="73"/>
      <c r="Z2260" s="73"/>
      <c r="AA2260" s="73"/>
      <c r="AB2260" s="73"/>
      <c r="AC2260" s="73"/>
      <c r="AD2260" s="73"/>
      <c r="AE2260" s="73"/>
      <c r="AF2260" s="73"/>
      <c r="AG2260" s="73"/>
      <c r="AH2260" s="73"/>
      <c r="AI2260" s="73"/>
      <c r="AJ2260" s="168"/>
      <c r="AK2260" s="73"/>
      <c r="AL2260" s="73"/>
      <c r="AM2260" s="73"/>
      <c r="AN2260" s="73"/>
      <c r="AO2260" s="73"/>
      <c r="AP2260" s="73"/>
      <c r="AQ2260" s="73"/>
      <c r="AR2260" s="73"/>
      <c r="AS2260" s="73"/>
      <c r="AT2260" s="73"/>
      <c r="AU2260" s="73"/>
      <c r="AV2260" s="73"/>
      <c r="AW2260" s="73"/>
      <c r="AX2260" s="73"/>
      <c r="AY2260" s="73"/>
      <c r="AZ2260" s="73"/>
      <c r="BA2260" s="73"/>
      <c r="BB2260" s="73"/>
      <c r="BC2260" s="73"/>
      <c r="BD2260" s="73"/>
      <c r="BE2260" s="73"/>
      <c r="BF2260" s="75"/>
      <c r="BG2260" s="73"/>
      <c r="BH2260" s="88"/>
      <c r="BI2260" s="73"/>
      <c r="BJ2260" s="73"/>
      <c r="BK2260" s="73"/>
      <c r="BL2260" s="73"/>
      <c r="BM2260" s="73"/>
      <c r="BN2260" s="73"/>
      <c r="BO2260" s="73"/>
      <c r="BP2260" s="73"/>
      <c r="BQ2260" s="73"/>
      <c r="BR2260" s="73"/>
      <c r="BS2260" s="73"/>
      <c r="BT2260" s="73"/>
      <c r="BU2260" s="73"/>
      <c r="BV2260" s="73"/>
      <c r="BW2260" s="73"/>
      <c r="BX2260" s="73"/>
      <c r="BY2260" s="73"/>
      <c r="BZ2260" s="73"/>
      <c r="CA2260" s="73"/>
      <c r="CB2260" s="73"/>
      <c r="CC2260" s="73"/>
      <c r="CD2260" s="73"/>
      <c r="CE2260" s="73"/>
      <c r="CF2260" s="73"/>
      <c r="CG2260" s="73"/>
      <c r="CH2260" s="73"/>
    </row>
    <row r="2261">
      <c r="A2261" s="73"/>
      <c r="B2261" s="73"/>
      <c r="C2261" s="73"/>
      <c r="D2261" s="73"/>
      <c r="E2261" s="140"/>
      <c r="F2261" s="80"/>
      <c r="G2261" s="80"/>
      <c r="H2261" s="73"/>
      <c r="I2261" s="73"/>
      <c r="J2261" s="73"/>
      <c r="K2261" s="73"/>
      <c r="L2261" s="73"/>
      <c r="M2261" s="73"/>
      <c r="N2261" s="73"/>
      <c r="O2261" s="73"/>
      <c r="P2261" s="73"/>
      <c r="Q2261" s="73"/>
      <c r="R2261" s="73"/>
      <c r="S2261" s="73"/>
      <c r="T2261" s="73"/>
      <c r="U2261" s="73"/>
      <c r="V2261" s="73"/>
      <c r="W2261" s="73"/>
      <c r="X2261" s="73"/>
      <c r="Y2261" s="73"/>
      <c r="Z2261" s="73"/>
      <c r="AA2261" s="73"/>
      <c r="AB2261" s="73"/>
      <c r="AC2261" s="73"/>
      <c r="AD2261" s="73"/>
      <c r="AE2261" s="73"/>
      <c r="AF2261" s="73"/>
      <c r="AG2261" s="73"/>
      <c r="AH2261" s="73"/>
      <c r="AI2261" s="73"/>
      <c r="AJ2261" s="168"/>
      <c r="AK2261" s="73"/>
      <c r="AL2261" s="73"/>
      <c r="AM2261" s="73"/>
      <c r="AN2261" s="73"/>
      <c r="AO2261" s="73"/>
      <c r="AP2261" s="73"/>
      <c r="AQ2261" s="73"/>
      <c r="AR2261" s="73"/>
      <c r="AS2261" s="73"/>
      <c r="AT2261" s="73"/>
      <c r="AU2261" s="73"/>
      <c r="AV2261" s="73"/>
      <c r="AW2261" s="73"/>
      <c r="AX2261" s="73"/>
      <c r="AY2261" s="73"/>
      <c r="AZ2261" s="73"/>
      <c r="BA2261" s="73"/>
      <c r="BB2261" s="73"/>
      <c r="BC2261" s="73"/>
      <c r="BD2261" s="73"/>
      <c r="BE2261" s="73"/>
      <c r="BF2261" s="75"/>
      <c r="BG2261" s="73"/>
      <c r="BH2261" s="88"/>
      <c r="BI2261" s="73"/>
      <c r="BJ2261" s="73"/>
      <c r="BK2261" s="73"/>
      <c r="BL2261" s="73"/>
      <c r="BM2261" s="73"/>
      <c r="BN2261" s="73"/>
      <c r="BO2261" s="73"/>
      <c r="BP2261" s="73"/>
      <c r="BQ2261" s="73"/>
      <c r="BR2261" s="73"/>
      <c r="BS2261" s="73"/>
      <c r="BT2261" s="73"/>
      <c r="BU2261" s="73"/>
      <c r="BV2261" s="73"/>
      <c r="BW2261" s="73"/>
      <c r="BX2261" s="73"/>
      <c r="BY2261" s="73"/>
      <c r="BZ2261" s="73"/>
      <c r="CA2261" s="73"/>
      <c r="CB2261" s="73"/>
      <c r="CC2261" s="73"/>
      <c r="CD2261" s="73"/>
      <c r="CE2261" s="73"/>
      <c r="CF2261" s="73"/>
      <c r="CG2261" s="73"/>
      <c r="CH2261" s="73"/>
    </row>
    <row r="2262">
      <c r="A2262" s="73"/>
      <c r="B2262" s="73"/>
      <c r="C2262" s="73"/>
      <c r="D2262" s="73"/>
      <c r="E2262" s="140"/>
      <c r="F2262" s="80"/>
      <c r="G2262" s="80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  <c r="S2262" s="73"/>
      <c r="T2262" s="73"/>
      <c r="U2262" s="73"/>
      <c r="V2262" s="73"/>
      <c r="W2262" s="73"/>
      <c r="X2262" s="73"/>
      <c r="Y2262" s="73"/>
      <c r="Z2262" s="73"/>
      <c r="AA2262" s="73"/>
      <c r="AB2262" s="73"/>
      <c r="AC2262" s="73"/>
      <c r="AD2262" s="73"/>
      <c r="AE2262" s="73"/>
      <c r="AF2262" s="73"/>
      <c r="AG2262" s="73"/>
      <c r="AH2262" s="73"/>
      <c r="AI2262" s="73"/>
      <c r="AJ2262" s="168"/>
      <c r="AK2262" s="73"/>
      <c r="AL2262" s="73"/>
      <c r="AM2262" s="73"/>
      <c r="AN2262" s="73"/>
      <c r="AO2262" s="73"/>
      <c r="AP2262" s="73"/>
      <c r="AQ2262" s="73"/>
      <c r="AR2262" s="73"/>
      <c r="AS2262" s="73"/>
      <c r="AT2262" s="73"/>
      <c r="AU2262" s="73"/>
      <c r="AV2262" s="73"/>
      <c r="AW2262" s="73"/>
      <c r="AX2262" s="73"/>
      <c r="AY2262" s="73"/>
      <c r="AZ2262" s="73"/>
      <c r="BA2262" s="73"/>
      <c r="BB2262" s="73"/>
      <c r="BC2262" s="73"/>
      <c r="BD2262" s="73"/>
      <c r="BE2262" s="73"/>
      <c r="BF2262" s="75"/>
      <c r="BG2262" s="73"/>
      <c r="BH2262" s="88"/>
      <c r="BI2262" s="73"/>
      <c r="BJ2262" s="73"/>
      <c r="BK2262" s="73"/>
      <c r="BL2262" s="73"/>
      <c r="BM2262" s="73"/>
      <c r="BN2262" s="73"/>
      <c r="BO2262" s="73"/>
      <c r="BP2262" s="73"/>
      <c r="BQ2262" s="73"/>
      <c r="BR2262" s="73"/>
      <c r="BS2262" s="73"/>
      <c r="BT2262" s="73"/>
      <c r="BU2262" s="73"/>
      <c r="BV2262" s="73"/>
      <c r="BW2262" s="73"/>
      <c r="BX2262" s="73"/>
      <c r="BY2262" s="73"/>
      <c r="BZ2262" s="73"/>
      <c r="CA2262" s="73"/>
      <c r="CB2262" s="73"/>
      <c r="CC2262" s="73"/>
      <c r="CD2262" s="73"/>
      <c r="CE2262" s="73"/>
      <c r="CF2262" s="73"/>
      <c r="CG2262" s="73"/>
      <c r="CH2262" s="73"/>
    </row>
    <row r="2263">
      <c r="A2263" s="73"/>
      <c r="B2263" s="73"/>
      <c r="C2263" s="73"/>
      <c r="D2263" s="73"/>
      <c r="E2263" s="140"/>
      <c r="F2263" s="80"/>
      <c r="G2263" s="80"/>
      <c r="H2263" s="73"/>
      <c r="I2263" s="73"/>
      <c r="J2263" s="73"/>
      <c r="K2263" s="73"/>
      <c r="L2263" s="73"/>
      <c r="M2263" s="73"/>
      <c r="N2263" s="73"/>
      <c r="O2263" s="73"/>
      <c r="P2263" s="73"/>
      <c r="Q2263" s="73"/>
      <c r="R2263" s="73"/>
      <c r="S2263" s="73"/>
      <c r="T2263" s="73"/>
      <c r="U2263" s="73"/>
      <c r="V2263" s="73"/>
      <c r="W2263" s="73"/>
      <c r="X2263" s="73"/>
      <c r="Y2263" s="73"/>
      <c r="Z2263" s="73"/>
      <c r="AA2263" s="73"/>
      <c r="AB2263" s="73"/>
      <c r="AC2263" s="73"/>
      <c r="AD2263" s="73"/>
      <c r="AE2263" s="73"/>
      <c r="AF2263" s="73"/>
      <c r="AG2263" s="73"/>
      <c r="AH2263" s="73"/>
      <c r="AI2263" s="73"/>
      <c r="AJ2263" s="168"/>
      <c r="AK2263" s="73"/>
      <c r="AL2263" s="73"/>
      <c r="AM2263" s="73"/>
      <c r="AN2263" s="73"/>
      <c r="AO2263" s="73"/>
      <c r="AP2263" s="73"/>
      <c r="AQ2263" s="73"/>
      <c r="AR2263" s="73"/>
      <c r="AS2263" s="73"/>
      <c r="AT2263" s="73"/>
      <c r="AU2263" s="73"/>
      <c r="AV2263" s="73"/>
      <c r="AW2263" s="73"/>
      <c r="AX2263" s="73"/>
      <c r="AY2263" s="73"/>
      <c r="AZ2263" s="73"/>
      <c r="BA2263" s="73"/>
      <c r="BB2263" s="73"/>
      <c r="BC2263" s="73"/>
      <c r="BD2263" s="73"/>
      <c r="BE2263" s="73"/>
      <c r="BF2263" s="75"/>
      <c r="BG2263" s="73"/>
      <c r="BH2263" s="88"/>
      <c r="BI2263" s="73"/>
      <c r="BJ2263" s="73"/>
      <c r="BK2263" s="73"/>
      <c r="BL2263" s="73"/>
      <c r="BM2263" s="73"/>
      <c r="BN2263" s="73"/>
      <c r="BO2263" s="73"/>
      <c r="BP2263" s="73"/>
      <c r="BQ2263" s="73"/>
      <c r="BR2263" s="73"/>
      <c r="BS2263" s="73"/>
      <c r="BT2263" s="73"/>
      <c r="BU2263" s="73"/>
      <c r="BV2263" s="73"/>
      <c r="BW2263" s="73"/>
      <c r="BX2263" s="73"/>
      <c r="BY2263" s="73"/>
      <c r="BZ2263" s="73"/>
      <c r="CA2263" s="73"/>
      <c r="CB2263" s="73"/>
      <c r="CC2263" s="73"/>
      <c r="CD2263" s="73"/>
      <c r="CE2263" s="73"/>
      <c r="CF2263" s="73"/>
      <c r="CG2263" s="73"/>
      <c r="CH2263" s="73"/>
    </row>
    <row r="2264">
      <c r="A2264" s="73"/>
      <c r="B2264" s="73"/>
      <c r="C2264" s="73"/>
      <c r="D2264" s="73"/>
      <c r="E2264" s="140"/>
      <c r="F2264" s="80"/>
      <c r="G2264" s="80"/>
      <c r="H2264" s="73"/>
      <c r="I2264" s="73"/>
      <c r="J2264" s="73"/>
      <c r="K2264" s="73"/>
      <c r="L2264" s="73"/>
      <c r="M2264" s="73"/>
      <c r="N2264" s="73"/>
      <c r="O2264" s="73"/>
      <c r="P2264" s="73"/>
      <c r="Q2264" s="73"/>
      <c r="R2264" s="73"/>
      <c r="S2264" s="73"/>
      <c r="T2264" s="73"/>
      <c r="U2264" s="73"/>
      <c r="V2264" s="73"/>
      <c r="W2264" s="73"/>
      <c r="X2264" s="73"/>
      <c r="Y2264" s="73"/>
      <c r="Z2264" s="73"/>
      <c r="AA2264" s="73"/>
      <c r="AB2264" s="73"/>
      <c r="AC2264" s="73"/>
      <c r="AD2264" s="73"/>
      <c r="AE2264" s="73"/>
      <c r="AF2264" s="73"/>
      <c r="AG2264" s="73"/>
      <c r="AH2264" s="73"/>
      <c r="AI2264" s="73"/>
      <c r="AJ2264" s="168"/>
      <c r="AK2264" s="73"/>
      <c r="AL2264" s="73"/>
      <c r="AM2264" s="73"/>
      <c r="AN2264" s="73"/>
      <c r="AO2264" s="73"/>
      <c r="AP2264" s="73"/>
      <c r="AQ2264" s="73"/>
      <c r="AR2264" s="73"/>
      <c r="AS2264" s="73"/>
      <c r="AT2264" s="73"/>
      <c r="AU2264" s="73"/>
      <c r="AV2264" s="73"/>
      <c r="AW2264" s="73"/>
      <c r="AX2264" s="73"/>
      <c r="AY2264" s="73"/>
      <c r="AZ2264" s="73"/>
      <c r="BA2264" s="73"/>
      <c r="BB2264" s="73"/>
      <c r="BC2264" s="73"/>
      <c r="BD2264" s="73"/>
      <c r="BE2264" s="73"/>
      <c r="BF2264" s="75"/>
      <c r="BG2264" s="73"/>
      <c r="BH2264" s="88"/>
      <c r="BI2264" s="73"/>
      <c r="BJ2264" s="73"/>
      <c r="BK2264" s="73"/>
      <c r="BL2264" s="73"/>
      <c r="BM2264" s="73"/>
      <c r="BN2264" s="73"/>
      <c r="BO2264" s="73"/>
      <c r="BP2264" s="73"/>
      <c r="BQ2264" s="73"/>
      <c r="BR2264" s="73"/>
      <c r="BS2264" s="73"/>
      <c r="BT2264" s="73"/>
      <c r="BU2264" s="73"/>
      <c r="BV2264" s="73"/>
      <c r="BW2264" s="73"/>
      <c r="BX2264" s="73"/>
      <c r="BY2264" s="73"/>
      <c r="BZ2264" s="73"/>
      <c r="CA2264" s="73"/>
      <c r="CB2264" s="73"/>
      <c r="CC2264" s="73"/>
      <c r="CD2264" s="73"/>
      <c r="CE2264" s="73"/>
      <c r="CF2264" s="73"/>
      <c r="CG2264" s="73"/>
      <c r="CH2264" s="73"/>
    </row>
    <row r="2265">
      <c r="A2265" s="73"/>
      <c r="B2265" s="73"/>
      <c r="C2265" s="73"/>
      <c r="D2265" s="73"/>
      <c r="E2265" s="140"/>
      <c r="F2265" s="80"/>
      <c r="G2265" s="80"/>
      <c r="H2265" s="73"/>
      <c r="I2265" s="73"/>
      <c r="J2265" s="73"/>
      <c r="K2265" s="73"/>
      <c r="L2265" s="73"/>
      <c r="M2265" s="73"/>
      <c r="N2265" s="73"/>
      <c r="O2265" s="73"/>
      <c r="P2265" s="73"/>
      <c r="Q2265" s="73"/>
      <c r="R2265" s="73"/>
      <c r="S2265" s="73"/>
      <c r="T2265" s="73"/>
      <c r="U2265" s="73"/>
      <c r="V2265" s="73"/>
      <c r="W2265" s="73"/>
      <c r="X2265" s="73"/>
      <c r="Y2265" s="73"/>
      <c r="Z2265" s="73"/>
      <c r="AA2265" s="73"/>
      <c r="AB2265" s="73"/>
      <c r="AC2265" s="73"/>
      <c r="AD2265" s="73"/>
      <c r="AE2265" s="73"/>
      <c r="AF2265" s="73"/>
      <c r="AG2265" s="73"/>
      <c r="AH2265" s="73"/>
      <c r="AI2265" s="73"/>
      <c r="AJ2265" s="168"/>
      <c r="AK2265" s="73"/>
      <c r="AL2265" s="73"/>
      <c r="AM2265" s="73"/>
      <c r="AN2265" s="73"/>
      <c r="AO2265" s="73"/>
      <c r="AP2265" s="73"/>
      <c r="AQ2265" s="73"/>
      <c r="AR2265" s="73"/>
      <c r="AS2265" s="73"/>
      <c r="AT2265" s="73"/>
      <c r="AU2265" s="73"/>
      <c r="AV2265" s="73"/>
      <c r="AW2265" s="73"/>
      <c r="AX2265" s="73"/>
      <c r="AY2265" s="73"/>
      <c r="AZ2265" s="73"/>
      <c r="BA2265" s="73"/>
      <c r="BB2265" s="73"/>
      <c r="BC2265" s="73"/>
      <c r="BD2265" s="73"/>
      <c r="BE2265" s="73"/>
      <c r="BF2265" s="75"/>
      <c r="BG2265" s="73"/>
      <c r="BH2265" s="88"/>
      <c r="BI2265" s="73"/>
      <c r="BJ2265" s="73"/>
      <c r="BK2265" s="73"/>
      <c r="BL2265" s="73"/>
      <c r="BM2265" s="73"/>
      <c r="BN2265" s="73"/>
      <c r="BO2265" s="73"/>
      <c r="BP2265" s="73"/>
      <c r="BQ2265" s="73"/>
      <c r="BR2265" s="73"/>
      <c r="BS2265" s="73"/>
      <c r="BT2265" s="73"/>
      <c r="BU2265" s="73"/>
      <c r="BV2265" s="73"/>
      <c r="BW2265" s="73"/>
      <c r="BX2265" s="73"/>
      <c r="BY2265" s="73"/>
      <c r="BZ2265" s="73"/>
      <c r="CA2265" s="73"/>
      <c r="CB2265" s="73"/>
      <c r="CC2265" s="73"/>
      <c r="CD2265" s="73"/>
      <c r="CE2265" s="73"/>
      <c r="CF2265" s="73"/>
      <c r="CG2265" s="73"/>
      <c r="CH2265" s="73"/>
    </row>
    <row r="2266">
      <c r="A2266" s="73"/>
      <c r="B2266" s="73"/>
      <c r="C2266" s="73"/>
      <c r="D2266" s="73"/>
      <c r="E2266" s="140"/>
      <c r="F2266" s="80"/>
      <c r="G2266" s="80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  <c r="S2266" s="73"/>
      <c r="T2266" s="73"/>
      <c r="U2266" s="73"/>
      <c r="V2266" s="73"/>
      <c r="W2266" s="73"/>
      <c r="X2266" s="73"/>
      <c r="Y2266" s="73"/>
      <c r="Z2266" s="73"/>
      <c r="AA2266" s="73"/>
      <c r="AB2266" s="73"/>
      <c r="AC2266" s="73"/>
      <c r="AD2266" s="73"/>
      <c r="AE2266" s="73"/>
      <c r="AF2266" s="73"/>
      <c r="AG2266" s="73"/>
      <c r="AH2266" s="73"/>
      <c r="AI2266" s="73"/>
      <c r="AJ2266" s="168"/>
      <c r="AK2266" s="73"/>
      <c r="AL2266" s="73"/>
      <c r="AM2266" s="73"/>
      <c r="AN2266" s="73"/>
      <c r="AO2266" s="73"/>
      <c r="AP2266" s="73"/>
      <c r="AQ2266" s="73"/>
      <c r="AR2266" s="73"/>
      <c r="AS2266" s="73"/>
      <c r="AT2266" s="73"/>
      <c r="AU2266" s="73"/>
      <c r="AV2266" s="73"/>
      <c r="AW2266" s="73"/>
      <c r="AX2266" s="73"/>
      <c r="AY2266" s="73"/>
      <c r="AZ2266" s="73"/>
      <c r="BA2266" s="73"/>
      <c r="BB2266" s="73"/>
      <c r="BC2266" s="73"/>
      <c r="BD2266" s="73"/>
      <c r="BE2266" s="73"/>
      <c r="BF2266" s="75"/>
      <c r="BG2266" s="73"/>
      <c r="BH2266" s="88"/>
      <c r="BI2266" s="73"/>
      <c r="BJ2266" s="73"/>
      <c r="BK2266" s="73"/>
      <c r="BL2266" s="73"/>
      <c r="BM2266" s="73"/>
      <c r="BN2266" s="73"/>
      <c r="BO2266" s="73"/>
      <c r="BP2266" s="73"/>
      <c r="BQ2266" s="73"/>
      <c r="BR2266" s="73"/>
      <c r="BS2266" s="73"/>
      <c r="BT2266" s="73"/>
      <c r="BU2266" s="73"/>
      <c r="BV2266" s="73"/>
      <c r="BW2266" s="73"/>
      <c r="BX2266" s="73"/>
      <c r="BY2266" s="73"/>
      <c r="BZ2266" s="73"/>
      <c r="CA2266" s="73"/>
      <c r="CB2266" s="73"/>
      <c r="CC2266" s="73"/>
      <c r="CD2266" s="73"/>
      <c r="CE2266" s="73"/>
      <c r="CF2266" s="73"/>
      <c r="CG2266" s="73"/>
      <c r="CH2266" s="73"/>
    </row>
    <row r="2267">
      <c r="A2267" s="73"/>
      <c r="B2267" s="73"/>
      <c r="C2267" s="73"/>
      <c r="D2267" s="73"/>
      <c r="E2267" s="140"/>
      <c r="F2267" s="80"/>
      <c r="G2267" s="80"/>
      <c r="H2267" s="73"/>
      <c r="I2267" s="73"/>
      <c r="J2267" s="73"/>
      <c r="K2267" s="73"/>
      <c r="L2267" s="73"/>
      <c r="M2267" s="73"/>
      <c r="N2267" s="73"/>
      <c r="O2267" s="73"/>
      <c r="P2267" s="73"/>
      <c r="Q2267" s="73"/>
      <c r="R2267" s="73"/>
      <c r="S2267" s="73"/>
      <c r="T2267" s="73"/>
      <c r="U2267" s="73"/>
      <c r="V2267" s="73"/>
      <c r="W2267" s="73"/>
      <c r="X2267" s="73"/>
      <c r="Y2267" s="73"/>
      <c r="Z2267" s="73"/>
      <c r="AA2267" s="73"/>
      <c r="AB2267" s="73"/>
      <c r="AC2267" s="73"/>
      <c r="AD2267" s="73"/>
      <c r="AE2267" s="73"/>
      <c r="AF2267" s="73"/>
      <c r="AG2267" s="73"/>
      <c r="AH2267" s="73"/>
      <c r="AI2267" s="73"/>
      <c r="AJ2267" s="168"/>
      <c r="AK2267" s="73"/>
      <c r="AL2267" s="73"/>
      <c r="AM2267" s="73"/>
      <c r="AN2267" s="73"/>
      <c r="AO2267" s="73"/>
      <c r="AP2267" s="73"/>
      <c r="AQ2267" s="73"/>
      <c r="AR2267" s="73"/>
      <c r="AS2267" s="73"/>
      <c r="AT2267" s="73"/>
      <c r="AU2267" s="73"/>
      <c r="AV2267" s="73"/>
      <c r="AW2267" s="73"/>
      <c r="AX2267" s="73"/>
      <c r="AY2267" s="73"/>
      <c r="AZ2267" s="73"/>
      <c r="BA2267" s="73"/>
      <c r="BB2267" s="73"/>
      <c r="BC2267" s="73"/>
      <c r="BD2267" s="73"/>
      <c r="BE2267" s="73"/>
      <c r="BF2267" s="75"/>
      <c r="BG2267" s="73"/>
      <c r="BH2267" s="88"/>
      <c r="BI2267" s="73"/>
      <c r="BJ2267" s="73"/>
      <c r="BK2267" s="73"/>
      <c r="BL2267" s="73"/>
      <c r="BM2267" s="73"/>
      <c r="BN2267" s="73"/>
      <c r="BO2267" s="73"/>
      <c r="BP2267" s="73"/>
      <c r="BQ2267" s="73"/>
      <c r="BR2267" s="73"/>
      <c r="BS2267" s="73"/>
      <c r="BT2267" s="73"/>
      <c r="BU2267" s="73"/>
      <c r="BV2267" s="73"/>
      <c r="BW2267" s="73"/>
      <c r="BX2267" s="73"/>
      <c r="BY2267" s="73"/>
      <c r="BZ2267" s="73"/>
      <c r="CA2267" s="73"/>
      <c r="CB2267" s="73"/>
      <c r="CC2267" s="73"/>
      <c r="CD2267" s="73"/>
      <c r="CE2267" s="73"/>
      <c r="CF2267" s="73"/>
      <c r="CG2267" s="73"/>
      <c r="CH2267" s="73"/>
    </row>
    <row r="2268">
      <c r="A2268" s="73"/>
      <c r="B2268" s="73"/>
      <c r="C2268" s="73"/>
      <c r="D2268" s="73"/>
      <c r="E2268" s="140"/>
      <c r="F2268" s="80"/>
      <c r="G2268" s="80"/>
      <c r="H2268" s="73"/>
      <c r="I2268" s="73"/>
      <c r="J2268" s="73"/>
      <c r="K2268" s="73"/>
      <c r="L2268" s="73"/>
      <c r="M2268" s="73"/>
      <c r="N2268" s="73"/>
      <c r="O2268" s="73"/>
      <c r="P2268" s="73"/>
      <c r="Q2268" s="73"/>
      <c r="R2268" s="73"/>
      <c r="S2268" s="73"/>
      <c r="T2268" s="73"/>
      <c r="U2268" s="73"/>
      <c r="V2268" s="73"/>
      <c r="W2268" s="73"/>
      <c r="X2268" s="73"/>
      <c r="Y2268" s="73"/>
      <c r="Z2268" s="73"/>
      <c r="AA2268" s="73"/>
      <c r="AB2268" s="73"/>
      <c r="AC2268" s="73"/>
      <c r="AD2268" s="73"/>
      <c r="AE2268" s="73"/>
      <c r="AF2268" s="73"/>
      <c r="AG2268" s="73"/>
      <c r="AH2268" s="73"/>
      <c r="AI2268" s="73"/>
      <c r="AJ2268" s="168"/>
      <c r="AK2268" s="73"/>
      <c r="AL2268" s="73"/>
      <c r="AM2268" s="73"/>
      <c r="AN2268" s="73"/>
      <c r="AO2268" s="73"/>
      <c r="AP2268" s="73"/>
      <c r="AQ2268" s="73"/>
      <c r="AR2268" s="73"/>
      <c r="AS2268" s="73"/>
      <c r="AT2268" s="73"/>
      <c r="AU2268" s="73"/>
      <c r="AV2268" s="73"/>
      <c r="AW2268" s="73"/>
      <c r="AX2268" s="73"/>
      <c r="AY2268" s="73"/>
      <c r="AZ2268" s="73"/>
      <c r="BA2268" s="73"/>
      <c r="BB2268" s="73"/>
      <c r="BC2268" s="73"/>
      <c r="BD2268" s="73"/>
      <c r="BE2268" s="73"/>
      <c r="BF2268" s="75"/>
      <c r="BG2268" s="73"/>
      <c r="BH2268" s="88"/>
      <c r="BI2268" s="73"/>
      <c r="BJ2268" s="73"/>
      <c r="BK2268" s="73"/>
      <c r="BL2268" s="73"/>
      <c r="BM2268" s="73"/>
      <c r="BN2268" s="73"/>
      <c r="BO2268" s="73"/>
      <c r="BP2268" s="73"/>
      <c r="BQ2268" s="73"/>
      <c r="BR2268" s="73"/>
      <c r="BS2268" s="73"/>
      <c r="BT2268" s="73"/>
      <c r="BU2268" s="73"/>
      <c r="BV2268" s="73"/>
      <c r="BW2268" s="73"/>
      <c r="BX2268" s="73"/>
      <c r="BY2268" s="73"/>
      <c r="BZ2268" s="73"/>
      <c r="CA2268" s="73"/>
      <c r="CB2268" s="73"/>
      <c r="CC2268" s="73"/>
      <c r="CD2268" s="73"/>
      <c r="CE2268" s="73"/>
      <c r="CF2268" s="73"/>
      <c r="CG2268" s="73"/>
      <c r="CH2268" s="73"/>
    </row>
    <row r="2269">
      <c r="A2269" s="73"/>
      <c r="B2269" s="73"/>
      <c r="C2269" s="73"/>
      <c r="D2269" s="73"/>
      <c r="E2269" s="140"/>
      <c r="F2269" s="80"/>
      <c r="G2269" s="80"/>
      <c r="H2269" s="73"/>
      <c r="I2269" s="73"/>
      <c r="J2269" s="73"/>
      <c r="K2269" s="73"/>
      <c r="L2269" s="73"/>
      <c r="M2269" s="73"/>
      <c r="N2269" s="73"/>
      <c r="O2269" s="73"/>
      <c r="P2269" s="73"/>
      <c r="Q2269" s="73"/>
      <c r="R2269" s="73"/>
      <c r="S2269" s="73"/>
      <c r="T2269" s="73"/>
      <c r="U2269" s="73"/>
      <c r="V2269" s="73"/>
      <c r="W2269" s="73"/>
      <c r="X2269" s="73"/>
      <c r="Y2269" s="73"/>
      <c r="Z2269" s="73"/>
      <c r="AA2269" s="73"/>
      <c r="AB2269" s="73"/>
      <c r="AC2269" s="73"/>
      <c r="AD2269" s="73"/>
      <c r="AE2269" s="73"/>
      <c r="AF2269" s="73"/>
      <c r="AG2269" s="73"/>
      <c r="AH2269" s="73"/>
      <c r="AI2269" s="73"/>
      <c r="AJ2269" s="168"/>
      <c r="AK2269" s="73"/>
      <c r="AL2269" s="73"/>
      <c r="AM2269" s="73"/>
      <c r="AN2269" s="73"/>
      <c r="AO2269" s="73"/>
      <c r="AP2269" s="73"/>
      <c r="AQ2269" s="73"/>
      <c r="AR2269" s="73"/>
      <c r="AS2269" s="73"/>
      <c r="AT2269" s="73"/>
      <c r="AU2269" s="73"/>
      <c r="AV2269" s="73"/>
      <c r="AW2269" s="73"/>
      <c r="AX2269" s="73"/>
      <c r="AY2269" s="73"/>
      <c r="AZ2269" s="73"/>
      <c r="BA2269" s="73"/>
      <c r="BB2269" s="73"/>
      <c r="BC2269" s="73"/>
      <c r="BD2269" s="73"/>
      <c r="BE2269" s="73"/>
      <c r="BF2269" s="75"/>
      <c r="BG2269" s="73"/>
      <c r="BH2269" s="88"/>
      <c r="BI2269" s="73"/>
      <c r="BJ2269" s="73"/>
      <c r="BK2269" s="73"/>
      <c r="BL2269" s="73"/>
      <c r="BM2269" s="73"/>
      <c r="BN2269" s="73"/>
      <c r="BO2269" s="73"/>
      <c r="BP2269" s="73"/>
      <c r="BQ2269" s="73"/>
      <c r="BR2269" s="73"/>
      <c r="BS2269" s="73"/>
      <c r="BT2269" s="73"/>
      <c r="BU2269" s="73"/>
      <c r="BV2269" s="73"/>
      <c r="BW2269" s="73"/>
      <c r="BX2269" s="73"/>
      <c r="BY2269" s="73"/>
      <c r="BZ2269" s="73"/>
      <c r="CA2269" s="73"/>
      <c r="CB2269" s="73"/>
      <c r="CC2269" s="73"/>
      <c r="CD2269" s="73"/>
      <c r="CE2269" s="73"/>
      <c r="CF2269" s="73"/>
      <c r="CG2269" s="73"/>
      <c r="CH2269" s="73"/>
    </row>
    <row r="2270">
      <c r="A2270" s="73"/>
      <c r="B2270" s="73"/>
      <c r="C2270" s="73"/>
      <c r="D2270" s="73"/>
      <c r="E2270" s="140"/>
      <c r="F2270" s="80"/>
      <c r="G2270" s="80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  <c r="S2270" s="73"/>
      <c r="T2270" s="73"/>
      <c r="U2270" s="73"/>
      <c r="V2270" s="73"/>
      <c r="W2270" s="73"/>
      <c r="X2270" s="73"/>
      <c r="Y2270" s="73"/>
      <c r="Z2270" s="73"/>
      <c r="AA2270" s="73"/>
      <c r="AB2270" s="73"/>
      <c r="AC2270" s="73"/>
      <c r="AD2270" s="73"/>
      <c r="AE2270" s="73"/>
      <c r="AF2270" s="73"/>
      <c r="AG2270" s="73"/>
      <c r="AH2270" s="73"/>
      <c r="AI2270" s="73"/>
      <c r="AJ2270" s="168"/>
      <c r="AK2270" s="73"/>
      <c r="AL2270" s="73"/>
      <c r="AM2270" s="73"/>
      <c r="AN2270" s="73"/>
      <c r="AO2270" s="73"/>
      <c r="AP2270" s="73"/>
      <c r="AQ2270" s="73"/>
      <c r="AR2270" s="73"/>
      <c r="AS2270" s="73"/>
      <c r="AT2270" s="73"/>
      <c r="AU2270" s="73"/>
      <c r="AV2270" s="73"/>
      <c r="AW2270" s="73"/>
      <c r="AX2270" s="73"/>
      <c r="AY2270" s="73"/>
      <c r="AZ2270" s="73"/>
      <c r="BA2270" s="73"/>
      <c r="BB2270" s="73"/>
      <c r="BC2270" s="73"/>
      <c r="BD2270" s="73"/>
      <c r="BE2270" s="73"/>
      <c r="BF2270" s="75"/>
      <c r="BG2270" s="73"/>
      <c r="BH2270" s="88"/>
      <c r="BI2270" s="73"/>
      <c r="BJ2270" s="73"/>
      <c r="BK2270" s="73"/>
      <c r="BL2270" s="73"/>
      <c r="BM2270" s="73"/>
      <c r="BN2270" s="73"/>
      <c r="BO2270" s="73"/>
      <c r="BP2270" s="73"/>
      <c r="BQ2270" s="73"/>
      <c r="BR2270" s="73"/>
      <c r="BS2270" s="73"/>
      <c r="BT2270" s="73"/>
      <c r="BU2270" s="73"/>
      <c r="BV2270" s="73"/>
      <c r="BW2270" s="73"/>
      <c r="BX2270" s="73"/>
      <c r="BY2270" s="73"/>
      <c r="BZ2270" s="73"/>
      <c r="CA2270" s="73"/>
      <c r="CB2270" s="73"/>
      <c r="CC2270" s="73"/>
      <c r="CD2270" s="73"/>
      <c r="CE2270" s="73"/>
      <c r="CF2270" s="73"/>
      <c r="CG2270" s="73"/>
      <c r="CH2270" s="73"/>
    </row>
    <row r="2271">
      <c r="A2271" s="73"/>
      <c r="B2271" s="73"/>
      <c r="C2271" s="73"/>
      <c r="D2271" s="73"/>
      <c r="E2271" s="140"/>
      <c r="F2271" s="80"/>
      <c r="G2271" s="80"/>
      <c r="H2271" s="73"/>
      <c r="I2271" s="73"/>
      <c r="J2271" s="73"/>
      <c r="K2271" s="73"/>
      <c r="L2271" s="73"/>
      <c r="M2271" s="73"/>
      <c r="N2271" s="73"/>
      <c r="O2271" s="73"/>
      <c r="P2271" s="73"/>
      <c r="Q2271" s="73"/>
      <c r="R2271" s="73"/>
      <c r="S2271" s="73"/>
      <c r="T2271" s="73"/>
      <c r="U2271" s="73"/>
      <c r="V2271" s="73"/>
      <c r="W2271" s="73"/>
      <c r="X2271" s="73"/>
      <c r="Y2271" s="73"/>
      <c r="Z2271" s="73"/>
      <c r="AA2271" s="73"/>
      <c r="AB2271" s="73"/>
      <c r="AC2271" s="73"/>
      <c r="AD2271" s="73"/>
      <c r="AE2271" s="73"/>
      <c r="AF2271" s="73"/>
      <c r="AG2271" s="73"/>
      <c r="AH2271" s="73"/>
      <c r="AI2271" s="73"/>
      <c r="AJ2271" s="168"/>
      <c r="AK2271" s="73"/>
      <c r="AL2271" s="73"/>
      <c r="AM2271" s="73"/>
      <c r="AN2271" s="73"/>
      <c r="AO2271" s="73"/>
      <c r="AP2271" s="73"/>
      <c r="AQ2271" s="73"/>
      <c r="AR2271" s="73"/>
      <c r="AS2271" s="73"/>
      <c r="AT2271" s="73"/>
      <c r="AU2271" s="73"/>
      <c r="AV2271" s="73"/>
      <c r="AW2271" s="73"/>
      <c r="AX2271" s="73"/>
      <c r="AY2271" s="73"/>
      <c r="AZ2271" s="73"/>
      <c r="BA2271" s="73"/>
      <c r="BB2271" s="73"/>
      <c r="BC2271" s="73"/>
      <c r="BD2271" s="73"/>
      <c r="BE2271" s="73"/>
      <c r="BF2271" s="75"/>
      <c r="BG2271" s="73"/>
      <c r="BH2271" s="88"/>
      <c r="BI2271" s="73"/>
      <c r="BJ2271" s="73"/>
      <c r="BK2271" s="73"/>
      <c r="BL2271" s="73"/>
      <c r="BM2271" s="73"/>
      <c r="BN2271" s="73"/>
      <c r="BO2271" s="73"/>
      <c r="BP2271" s="73"/>
      <c r="BQ2271" s="73"/>
      <c r="BR2271" s="73"/>
      <c r="BS2271" s="73"/>
      <c r="BT2271" s="73"/>
      <c r="BU2271" s="73"/>
      <c r="BV2271" s="73"/>
      <c r="BW2271" s="73"/>
      <c r="BX2271" s="73"/>
      <c r="BY2271" s="73"/>
      <c r="BZ2271" s="73"/>
      <c r="CA2271" s="73"/>
      <c r="CB2271" s="73"/>
      <c r="CC2271" s="73"/>
      <c r="CD2271" s="73"/>
      <c r="CE2271" s="73"/>
      <c r="CF2271" s="73"/>
      <c r="CG2271" s="73"/>
      <c r="CH2271" s="73"/>
    </row>
    <row r="2272">
      <c r="A2272" s="73"/>
      <c r="B2272" s="73"/>
      <c r="C2272" s="73"/>
      <c r="D2272" s="73"/>
      <c r="E2272" s="140"/>
      <c r="F2272" s="80"/>
      <c r="G2272" s="80"/>
      <c r="H2272" s="73"/>
      <c r="I2272" s="73"/>
      <c r="J2272" s="73"/>
      <c r="K2272" s="73"/>
      <c r="L2272" s="73"/>
      <c r="M2272" s="73"/>
      <c r="N2272" s="73"/>
      <c r="O2272" s="73"/>
      <c r="P2272" s="73"/>
      <c r="Q2272" s="73"/>
      <c r="R2272" s="73"/>
      <c r="S2272" s="73"/>
      <c r="T2272" s="73"/>
      <c r="U2272" s="73"/>
      <c r="V2272" s="73"/>
      <c r="W2272" s="73"/>
      <c r="X2272" s="73"/>
      <c r="Y2272" s="73"/>
      <c r="Z2272" s="73"/>
      <c r="AA2272" s="73"/>
      <c r="AB2272" s="73"/>
      <c r="AC2272" s="73"/>
      <c r="AD2272" s="73"/>
      <c r="AE2272" s="73"/>
      <c r="AF2272" s="73"/>
      <c r="AG2272" s="73"/>
      <c r="AH2272" s="73"/>
      <c r="AI2272" s="73"/>
      <c r="AJ2272" s="168"/>
      <c r="AK2272" s="73"/>
      <c r="AL2272" s="73"/>
      <c r="AM2272" s="73"/>
      <c r="AN2272" s="73"/>
      <c r="AO2272" s="73"/>
      <c r="AP2272" s="73"/>
      <c r="AQ2272" s="73"/>
      <c r="AR2272" s="73"/>
      <c r="AS2272" s="73"/>
      <c r="AT2272" s="73"/>
      <c r="AU2272" s="73"/>
      <c r="AV2272" s="73"/>
      <c r="AW2272" s="73"/>
      <c r="AX2272" s="73"/>
      <c r="AY2272" s="73"/>
      <c r="AZ2272" s="73"/>
      <c r="BA2272" s="73"/>
      <c r="BB2272" s="73"/>
      <c r="BC2272" s="73"/>
      <c r="BD2272" s="73"/>
      <c r="BE2272" s="73"/>
      <c r="BF2272" s="75"/>
      <c r="BG2272" s="73"/>
      <c r="BH2272" s="88"/>
      <c r="BI2272" s="73"/>
      <c r="BJ2272" s="73"/>
      <c r="BK2272" s="73"/>
      <c r="BL2272" s="73"/>
      <c r="BM2272" s="73"/>
      <c r="BN2272" s="73"/>
      <c r="BO2272" s="73"/>
      <c r="BP2272" s="73"/>
      <c r="BQ2272" s="73"/>
      <c r="BR2272" s="73"/>
      <c r="BS2272" s="73"/>
      <c r="BT2272" s="73"/>
      <c r="BU2272" s="73"/>
      <c r="BV2272" s="73"/>
      <c r="BW2272" s="73"/>
      <c r="BX2272" s="73"/>
      <c r="BY2272" s="73"/>
      <c r="BZ2272" s="73"/>
      <c r="CA2272" s="73"/>
      <c r="CB2272" s="73"/>
      <c r="CC2272" s="73"/>
      <c r="CD2272" s="73"/>
      <c r="CE2272" s="73"/>
      <c r="CF2272" s="73"/>
      <c r="CG2272" s="73"/>
      <c r="CH2272" s="73"/>
    </row>
    <row r="2273">
      <c r="A2273" s="73"/>
      <c r="B2273" s="73"/>
      <c r="C2273" s="73"/>
      <c r="D2273" s="73"/>
      <c r="E2273" s="140"/>
      <c r="F2273" s="80"/>
      <c r="G2273" s="80"/>
      <c r="H2273" s="73"/>
      <c r="I2273" s="73"/>
      <c r="J2273" s="73"/>
      <c r="K2273" s="73"/>
      <c r="L2273" s="73"/>
      <c r="M2273" s="73"/>
      <c r="N2273" s="73"/>
      <c r="O2273" s="73"/>
      <c r="P2273" s="73"/>
      <c r="Q2273" s="73"/>
      <c r="R2273" s="73"/>
      <c r="S2273" s="73"/>
      <c r="T2273" s="73"/>
      <c r="U2273" s="73"/>
      <c r="V2273" s="73"/>
      <c r="W2273" s="73"/>
      <c r="X2273" s="73"/>
      <c r="Y2273" s="73"/>
      <c r="Z2273" s="73"/>
      <c r="AA2273" s="73"/>
      <c r="AB2273" s="73"/>
      <c r="AC2273" s="73"/>
      <c r="AD2273" s="73"/>
      <c r="AE2273" s="73"/>
      <c r="AF2273" s="73"/>
      <c r="AG2273" s="73"/>
      <c r="AH2273" s="73"/>
      <c r="AI2273" s="73"/>
      <c r="AJ2273" s="168"/>
      <c r="AK2273" s="73"/>
      <c r="AL2273" s="73"/>
      <c r="AM2273" s="73"/>
      <c r="AN2273" s="73"/>
      <c r="AO2273" s="73"/>
      <c r="AP2273" s="73"/>
      <c r="AQ2273" s="73"/>
      <c r="AR2273" s="73"/>
      <c r="AS2273" s="73"/>
      <c r="AT2273" s="73"/>
      <c r="AU2273" s="73"/>
      <c r="AV2273" s="73"/>
      <c r="AW2273" s="73"/>
      <c r="AX2273" s="73"/>
      <c r="AY2273" s="73"/>
      <c r="AZ2273" s="73"/>
      <c r="BA2273" s="73"/>
      <c r="BB2273" s="73"/>
      <c r="BC2273" s="73"/>
      <c r="BD2273" s="73"/>
      <c r="BE2273" s="73"/>
      <c r="BF2273" s="75"/>
      <c r="BG2273" s="73"/>
      <c r="BH2273" s="88"/>
      <c r="BI2273" s="73"/>
      <c r="BJ2273" s="73"/>
      <c r="BK2273" s="73"/>
      <c r="BL2273" s="73"/>
      <c r="BM2273" s="73"/>
      <c r="BN2273" s="73"/>
      <c r="BO2273" s="73"/>
      <c r="BP2273" s="73"/>
      <c r="BQ2273" s="73"/>
      <c r="BR2273" s="73"/>
      <c r="BS2273" s="73"/>
      <c r="BT2273" s="73"/>
      <c r="BU2273" s="73"/>
      <c r="BV2273" s="73"/>
      <c r="BW2273" s="73"/>
      <c r="BX2273" s="73"/>
      <c r="BY2273" s="73"/>
      <c r="BZ2273" s="73"/>
      <c r="CA2273" s="73"/>
      <c r="CB2273" s="73"/>
      <c r="CC2273" s="73"/>
      <c r="CD2273" s="73"/>
      <c r="CE2273" s="73"/>
      <c r="CF2273" s="73"/>
      <c r="CG2273" s="73"/>
      <c r="CH2273" s="73"/>
    </row>
    <row r="2274">
      <c r="A2274" s="73"/>
      <c r="B2274" s="73"/>
      <c r="C2274" s="73"/>
      <c r="D2274" s="73"/>
      <c r="E2274" s="140"/>
      <c r="F2274" s="80"/>
      <c r="G2274" s="80"/>
      <c r="H2274" s="73"/>
      <c r="I2274" s="73"/>
      <c r="J2274" s="73"/>
      <c r="K2274" s="73"/>
      <c r="L2274" s="73"/>
      <c r="M2274" s="73"/>
      <c r="N2274" s="73"/>
      <c r="O2274" s="73"/>
      <c r="P2274" s="73"/>
      <c r="Q2274" s="73"/>
      <c r="R2274" s="73"/>
      <c r="S2274" s="73"/>
      <c r="T2274" s="73"/>
      <c r="U2274" s="73"/>
      <c r="V2274" s="73"/>
      <c r="W2274" s="73"/>
      <c r="X2274" s="73"/>
      <c r="Y2274" s="73"/>
      <c r="Z2274" s="73"/>
      <c r="AA2274" s="73"/>
      <c r="AB2274" s="73"/>
      <c r="AC2274" s="73"/>
      <c r="AD2274" s="73"/>
      <c r="AE2274" s="73"/>
      <c r="AF2274" s="73"/>
      <c r="AG2274" s="73"/>
      <c r="AH2274" s="73"/>
      <c r="AI2274" s="73"/>
      <c r="AJ2274" s="168"/>
      <c r="AK2274" s="73"/>
      <c r="AL2274" s="73"/>
      <c r="AM2274" s="73"/>
      <c r="AN2274" s="73"/>
      <c r="AO2274" s="73"/>
      <c r="AP2274" s="73"/>
      <c r="AQ2274" s="73"/>
      <c r="AR2274" s="73"/>
      <c r="AS2274" s="73"/>
      <c r="AT2274" s="73"/>
      <c r="AU2274" s="73"/>
      <c r="AV2274" s="73"/>
      <c r="AW2274" s="73"/>
      <c r="AX2274" s="73"/>
      <c r="AY2274" s="73"/>
      <c r="AZ2274" s="73"/>
      <c r="BA2274" s="73"/>
      <c r="BB2274" s="73"/>
      <c r="BC2274" s="73"/>
      <c r="BD2274" s="73"/>
      <c r="BE2274" s="73"/>
      <c r="BF2274" s="75"/>
      <c r="BG2274" s="73"/>
      <c r="BH2274" s="88"/>
      <c r="BI2274" s="73"/>
      <c r="BJ2274" s="73"/>
      <c r="BK2274" s="73"/>
      <c r="BL2274" s="73"/>
      <c r="BM2274" s="73"/>
      <c r="BN2274" s="73"/>
      <c r="BO2274" s="73"/>
      <c r="BP2274" s="73"/>
      <c r="BQ2274" s="73"/>
      <c r="BR2274" s="73"/>
      <c r="BS2274" s="73"/>
      <c r="BT2274" s="73"/>
      <c r="BU2274" s="73"/>
      <c r="BV2274" s="73"/>
      <c r="BW2274" s="73"/>
      <c r="BX2274" s="73"/>
      <c r="BY2274" s="73"/>
      <c r="BZ2274" s="73"/>
      <c r="CA2274" s="73"/>
      <c r="CB2274" s="73"/>
      <c r="CC2274" s="73"/>
      <c r="CD2274" s="73"/>
      <c r="CE2274" s="73"/>
      <c r="CF2274" s="73"/>
      <c r="CG2274" s="73"/>
      <c r="CH2274" s="73"/>
    </row>
    <row r="2275">
      <c r="A2275" s="73"/>
      <c r="B2275" s="73"/>
      <c r="C2275" s="73"/>
      <c r="D2275" s="73"/>
      <c r="E2275" s="140"/>
      <c r="F2275" s="80"/>
      <c r="G2275" s="80"/>
      <c r="H2275" s="73"/>
      <c r="I2275" s="73"/>
      <c r="J2275" s="73"/>
      <c r="K2275" s="73"/>
      <c r="L2275" s="73"/>
      <c r="M2275" s="73"/>
      <c r="N2275" s="73"/>
      <c r="O2275" s="73"/>
      <c r="P2275" s="73"/>
      <c r="Q2275" s="73"/>
      <c r="R2275" s="73"/>
      <c r="S2275" s="73"/>
      <c r="T2275" s="73"/>
      <c r="U2275" s="73"/>
      <c r="V2275" s="73"/>
      <c r="W2275" s="73"/>
      <c r="X2275" s="73"/>
      <c r="Y2275" s="73"/>
      <c r="Z2275" s="73"/>
      <c r="AA2275" s="73"/>
      <c r="AB2275" s="73"/>
      <c r="AC2275" s="73"/>
      <c r="AD2275" s="73"/>
      <c r="AE2275" s="73"/>
      <c r="AF2275" s="73"/>
      <c r="AG2275" s="73"/>
      <c r="AH2275" s="73"/>
      <c r="AI2275" s="73"/>
      <c r="AJ2275" s="168"/>
      <c r="AK2275" s="73"/>
      <c r="AL2275" s="73"/>
      <c r="AM2275" s="73"/>
      <c r="AN2275" s="73"/>
      <c r="AO2275" s="73"/>
      <c r="AP2275" s="73"/>
      <c r="AQ2275" s="73"/>
      <c r="AR2275" s="73"/>
      <c r="AS2275" s="73"/>
      <c r="AT2275" s="73"/>
      <c r="AU2275" s="73"/>
      <c r="AV2275" s="73"/>
      <c r="AW2275" s="73"/>
      <c r="AX2275" s="73"/>
      <c r="AY2275" s="73"/>
      <c r="AZ2275" s="73"/>
      <c r="BA2275" s="73"/>
      <c r="BB2275" s="73"/>
      <c r="BC2275" s="73"/>
      <c r="BD2275" s="73"/>
      <c r="BE2275" s="73"/>
      <c r="BF2275" s="75"/>
      <c r="BG2275" s="73"/>
      <c r="BH2275" s="88"/>
      <c r="BI2275" s="73"/>
      <c r="BJ2275" s="73"/>
      <c r="BK2275" s="73"/>
      <c r="BL2275" s="73"/>
      <c r="BM2275" s="73"/>
      <c r="BN2275" s="73"/>
      <c r="BO2275" s="73"/>
      <c r="BP2275" s="73"/>
      <c r="BQ2275" s="73"/>
      <c r="BR2275" s="73"/>
      <c r="BS2275" s="73"/>
      <c r="BT2275" s="73"/>
      <c r="BU2275" s="73"/>
      <c r="BV2275" s="73"/>
      <c r="BW2275" s="73"/>
      <c r="BX2275" s="73"/>
      <c r="BY2275" s="73"/>
      <c r="BZ2275" s="73"/>
      <c r="CA2275" s="73"/>
      <c r="CB2275" s="73"/>
      <c r="CC2275" s="73"/>
      <c r="CD2275" s="73"/>
      <c r="CE2275" s="73"/>
      <c r="CF2275" s="73"/>
      <c r="CG2275" s="73"/>
      <c r="CH2275" s="73"/>
    </row>
    <row r="2276">
      <c r="A2276" s="73"/>
      <c r="B2276" s="73"/>
      <c r="C2276" s="73"/>
      <c r="D2276" s="73"/>
      <c r="E2276" s="140"/>
      <c r="F2276" s="80"/>
      <c r="G2276" s="80"/>
      <c r="H2276" s="73"/>
      <c r="I2276" s="73"/>
      <c r="J2276" s="73"/>
      <c r="K2276" s="73"/>
      <c r="L2276" s="73"/>
      <c r="M2276" s="73"/>
      <c r="N2276" s="73"/>
      <c r="O2276" s="73"/>
      <c r="P2276" s="73"/>
      <c r="Q2276" s="73"/>
      <c r="R2276" s="73"/>
      <c r="S2276" s="73"/>
      <c r="T2276" s="73"/>
      <c r="U2276" s="73"/>
      <c r="V2276" s="73"/>
      <c r="W2276" s="73"/>
      <c r="X2276" s="73"/>
      <c r="Y2276" s="73"/>
      <c r="Z2276" s="73"/>
      <c r="AA2276" s="73"/>
      <c r="AB2276" s="73"/>
      <c r="AC2276" s="73"/>
      <c r="AD2276" s="73"/>
      <c r="AE2276" s="73"/>
      <c r="AF2276" s="73"/>
      <c r="AG2276" s="73"/>
      <c r="AH2276" s="73"/>
      <c r="AI2276" s="73"/>
      <c r="AJ2276" s="168"/>
      <c r="AK2276" s="73"/>
      <c r="AL2276" s="73"/>
      <c r="AM2276" s="73"/>
      <c r="AN2276" s="73"/>
      <c r="AO2276" s="73"/>
      <c r="AP2276" s="73"/>
      <c r="AQ2276" s="73"/>
      <c r="AR2276" s="73"/>
      <c r="AS2276" s="73"/>
      <c r="AT2276" s="73"/>
      <c r="AU2276" s="73"/>
      <c r="AV2276" s="73"/>
      <c r="AW2276" s="73"/>
      <c r="AX2276" s="73"/>
      <c r="AY2276" s="73"/>
      <c r="AZ2276" s="73"/>
      <c r="BA2276" s="73"/>
      <c r="BB2276" s="73"/>
      <c r="BC2276" s="73"/>
      <c r="BD2276" s="73"/>
      <c r="BE2276" s="73"/>
      <c r="BF2276" s="75"/>
      <c r="BG2276" s="73"/>
      <c r="BH2276" s="88"/>
      <c r="BI2276" s="73"/>
      <c r="BJ2276" s="73"/>
      <c r="BK2276" s="73"/>
      <c r="BL2276" s="73"/>
      <c r="BM2276" s="73"/>
      <c r="BN2276" s="73"/>
      <c r="BO2276" s="73"/>
      <c r="BP2276" s="73"/>
      <c r="BQ2276" s="73"/>
      <c r="BR2276" s="73"/>
      <c r="BS2276" s="73"/>
      <c r="BT2276" s="73"/>
      <c r="BU2276" s="73"/>
      <c r="BV2276" s="73"/>
      <c r="BW2276" s="73"/>
      <c r="BX2276" s="73"/>
      <c r="BY2276" s="73"/>
      <c r="BZ2276" s="73"/>
      <c r="CA2276" s="73"/>
      <c r="CB2276" s="73"/>
      <c r="CC2276" s="73"/>
      <c r="CD2276" s="73"/>
      <c r="CE2276" s="73"/>
      <c r="CF2276" s="73"/>
      <c r="CG2276" s="73"/>
      <c r="CH2276" s="73"/>
    </row>
    <row r="2277">
      <c r="A2277" s="73"/>
      <c r="B2277" s="73"/>
      <c r="C2277" s="73"/>
      <c r="D2277" s="73"/>
      <c r="E2277" s="140"/>
      <c r="F2277" s="80"/>
      <c r="G2277" s="80"/>
      <c r="H2277" s="73"/>
      <c r="I2277" s="73"/>
      <c r="J2277" s="73"/>
      <c r="K2277" s="73"/>
      <c r="L2277" s="73"/>
      <c r="M2277" s="73"/>
      <c r="N2277" s="73"/>
      <c r="O2277" s="73"/>
      <c r="P2277" s="73"/>
      <c r="Q2277" s="73"/>
      <c r="R2277" s="73"/>
      <c r="S2277" s="73"/>
      <c r="T2277" s="73"/>
      <c r="U2277" s="73"/>
      <c r="V2277" s="73"/>
      <c r="W2277" s="73"/>
      <c r="X2277" s="73"/>
      <c r="Y2277" s="73"/>
      <c r="Z2277" s="73"/>
      <c r="AA2277" s="73"/>
      <c r="AB2277" s="73"/>
      <c r="AC2277" s="73"/>
      <c r="AD2277" s="73"/>
      <c r="AE2277" s="73"/>
      <c r="AF2277" s="73"/>
      <c r="AG2277" s="73"/>
      <c r="AH2277" s="73"/>
      <c r="AI2277" s="73"/>
      <c r="AJ2277" s="168"/>
      <c r="AK2277" s="73"/>
      <c r="AL2277" s="73"/>
      <c r="AM2277" s="73"/>
      <c r="AN2277" s="73"/>
      <c r="AO2277" s="73"/>
      <c r="AP2277" s="73"/>
      <c r="AQ2277" s="73"/>
      <c r="AR2277" s="73"/>
      <c r="AS2277" s="73"/>
      <c r="AT2277" s="73"/>
      <c r="AU2277" s="73"/>
      <c r="AV2277" s="73"/>
      <c r="AW2277" s="73"/>
      <c r="AX2277" s="73"/>
      <c r="AY2277" s="73"/>
      <c r="AZ2277" s="73"/>
      <c r="BA2277" s="73"/>
      <c r="BB2277" s="73"/>
      <c r="BC2277" s="73"/>
      <c r="BD2277" s="73"/>
      <c r="BE2277" s="73"/>
      <c r="BF2277" s="75"/>
      <c r="BG2277" s="73"/>
      <c r="BH2277" s="88"/>
      <c r="BI2277" s="73"/>
      <c r="BJ2277" s="73"/>
      <c r="BK2277" s="73"/>
      <c r="BL2277" s="73"/>
      <c r="BM2277" s="73"/>
      <c r="BN2277" s="73"/>
      <c r="BO2277" s="73"/>
      <c r="BP2277" s="73"/>
      <c r="BQ2277" s="73"/>
      <c r="BR2277" s="73"/>
      <c r="BS2277" s="73"/>
      <c r="BT2277" s="73"/>
      <c r="BU2277" s="73"/>
      <c r="BV2277" s="73"/>
      <c r="BW2277" s="73"/>
      <c r="BX2277" s="73"/>
      <c r="BY2277" s="73"/>
      <c r="BZ2277" s="73"/>
      <c r="CA2277" s="73"/>
      <c r="CB2277" s="73"/>
      <c r="CC2277" s="73"/>
      <c r="CD2277" s="73"/>
      <c r="CE2277" s="73"/>
      <c r="CF2277" s="73"/>
      <c r="CG2277" s="73"/>
      <c r="CH2277" s="73"/>
    </row>
    <row r="2278">
      <c r="A2278" s="73"/>
      <c r="B2278" s="73"/>
      <c r="C2278" s="73"/>
      <c r="D2278" s="73"/>
      <c r="E2278" s="140"/>
      <c r="F2278" s="80"/>
      <c r="G2278" s="80"/>
      <c r="H2278" s="73"/>
      <c r="I2278" s="73"/>
      <c r="J2278" s="73"/>
      <c r="K2278" s="73"/>
      <c r="L2278" s="73"/>
      <c r="M2278" s="73"/>
      <c r="N2278" s="73"/>
      <c r="O2278" s="73"/>
      <c r="P2278" s="73"/>
      <c r="Q2278" s="73"/>
      <c r="R2278" s="73"/>
      <c r="S2278" s="73"/>
      <c r="T2278" s="73"/>
      <c r="U2278" s="73"/>
      <c r="V2278" s="73"/>
      <c r="W2278" s="73"/>
      <c r="X2278" s="73"/>
      <c r="Y2278" s="73"/>
      <c r="Z2278" s="73"/>
      <c r="AA2278" s="73"/>
      <c r="AB2278" s="73"/>
      <c r="AC2278" s="73"/>
      <c r="AD2278" s="73"/>
      <c r="AE2278" s="73"/>
      <c r="AF2278" s="73"/>
      <c r="AG2278" s="73"/>
      <c r="AH2278" s="73"/>
      <c r="AI2278" s="73"/>
      <c r="AJ2278" s="168"/>
      <c r="AK2278" s="73"/>
      <c r="AL2278" s="73"/>
      <c r="AM2278" s="73"/>
      <c r="AN2278" s="73"/>
      <c r="AO2278" s="73"/>
      <c r="AP2278" s="73"/>
      <c r="AQ2278" s="73"/>
      <c r="AR2278" s="73"/>
      <c r="AS2278" s="73"/>
      <c r="AT2278" s="73"/>
      <c r="AU2278" s="73"/>
      <c r="AV2278" s="73"/>
      <c r="AW2278" s="73"/>
      <c r="AX2278" s="73"/>
      <c r="AY2278" s="73"/>
      <c r="AZ2278" s="73"/>
      <c r="BA2278" s="73"/>
      <c r="BB2278" s="73"/>
      <c r="BC2278" s="73"/>
      <c r="BD2278" s="73"/>
      <c r="BE2278" s="73"/>
      <c r="BF2278" s="75"/>
      <c r="BG2278" s="73"/>
      <c r="BH2278" s="88"/>
      <c r="BI2278" s="73"/>
      <c r="BJ2278" s="73"/>
      <c r="BK2278" s="73"/>
      <c r="BL2278" s="73"/>
      <c r="BM2278" s="73"/>
      <c r="BN2278" s="73"/>
      <c r="BO2278" s="73"/>
      <c r="BP2278" s="73"/>
      <c r="BQ2278" s="73"/>
      <c r="BR2278" s="73"/>
      <c r="BS2278" s="73"/>
      <c r="BT2278" s="73"/>
      <c r="BU2278" s="73"/>
      <c r="BV2278" s="73"/>
      <c r="BW2278" s="73"/>
      <c r="BX2278" s="73"/>
      <c r="BY2278" s="73"/>
      <c r="BZ2278" s="73"/>
      <c r="CA2278" s="73"/>
      <c r="CB2278" s="73"/>
      <c r="CC2278" s="73"/>
      <c r="CD2278" s="73"/>
      <c r="CE2278" s="73"/>
      <c r="CF2278" s="73"/>
      <c r="CG2278" s="73"/>
      <c r="CH2278" s="73"/>
    </row>
    <row r="2279">
      <c r="A2279" s="73"/>
      <c r="B2279" s="73"/>
      <c r="C2279" s="73"/>
      <c r="D2279" s="73"/>
      <c r="E2279" s="140"/>
      <c r="F2279" s="80"/>
      <c r="G2279" s="80"/>
      <c r="H2279" s="73"/>
      <c r="I2279" s="73"/>
      <c r="J2279" s="73"/>
      <c r="K2279" s="73"/>
      <c r="L2279" s="73"/>
      <c r="M2279" s="73"/>
      <c r="N2279" s="73"/>
      <c r="O2279" s="73"/>
      <c r="P2279" s="73"/>
      <c r="Q2279" s="73"/>
      <c r="R2279" s="73"/>
      <c r="S2279" s="73"/>
      <c r="T2279" s="73"/>
      <c r="U2279" s="73"/>
      <c r="V2279" s="73"/>
      <c r="W2279" s="73"/>
      <c r="X2279" s="73"/>
      <c r="Y2279" s="73"/>
      <c r="Z2279" s="73"/>
      <c r="AA2279" s="73"/>
      <c r="AB2279" s="73"/>
      <c r="AC2279" s="73"/>
      <c r="AD2279" s="73"/>
      <c r="AE2279" s="73"/>
      <c r="AF2279" s="73"/>
      <c r="AG2279" s="73"/>
      <c r="AH2279" s="73"/>
      <c r="AI2279" s="73"/>
      <c r="AJ2279" s="168"/>
      <c r="AK2279" s="73"/>
      <c r="AL2279" s="73"/>
      <c r="AM2279" s="73"/>
      <c r="AN2279" s="73"/>
      <c r="AO2279" s="73"/>
      <c r="AP2279" s="73"/>
      <c r="AQ2279" s="73"/>
      <c r="AR2279" s="73"/>
      <c r="AS2279" s="73"/>
      <c r="AT2279" s="73"/>
      <c r="AU2279" s="73"/>
      <c r="AV2279" s="73"/>
      <c r="AW2279" s="73"/>
      <c r="AX2279" s="73"/>
      <c r="AY2279" s="73"/>
      <c r="AZ2279" s="73"/>
      <c r="BA2279" s="73"/>
      <c r="BB2279" s="73"/>
      <c r="BC2279" s="73"/>
      <c r="BD2279" s="73"/>
      <c r="BE2279" s="73"/>
      <c r="BF2279" s="75"/>
      <c r="BG2279" s="73"/>
      <c r="BH2279" s="88"/>
      <c r="BI2279" s="73"/>
      <c r="BJ2279" s="73"/>
      <c r="BK2279" s="73"/>
      <c r="BL2279" s="73"/>
      <c r="BM2279" s="73"/>
      <c r="BN2279" s="73"/>
      <c r="BO2279" s="73"/>
      <c r="BP2279" s="73"/>
      <c r="BQ2279" s="73"/>
      <c r="BR2279" s="73"/>
      <c r="BS2279" s="73"/>
      <c r="BT2279" s="73"/>
      <c r="BU2279" s="73"/>
      <c r="BV2279" s="73"/>
      <c r="BW2279" s="73"/>
      <c r="BX2279" s="73"/>
      <c r="BY2279" s="73"/>
      <c r="BZ2279" s="73"/>
      <c r="CA2279" s="73"/>
      <c r="CB2279" s="73"/>
      <c r="CC2279" s="73"/>
      <c r="CD2279" s="73"/>
      <c r="CE2279" s="73"/>
      <c r="CF2279" s="73"/>
      <c r="CG2279" s="73"/>
      <c r="CH2279" s="73"/>
    </row>
    <row r="2280">
      <c r="A2280" s="73"/>
      <c r="B2280" s="73"/>
      <c r="C2280" s="73"/>
      <c r="D2280" s="73"/>
      <c r="E2280" s="140"/>
      <c r="F2280" s="80"/>
      <c r="G2280" s="80"/>
      <c r="H2280" s="73"/>
      <c r="I2280" s="73"/>
      <c r="J2280" s="73"/>
      <c r="K2280" s="73"/>
      <c r="L2280" s="73"/>
      <c r="M2280" s="73"/>
      <c r="N2280" s="73"/>
      <c r="O2280" s="73"/>
      <c r="P2280" s="73"/>
      <c r="Q2280" s="73"/>
      <c r="R2280" s="73"/>
      <c r="S2280" s="73"/>
      <c r="T2280" s="73"/>
      <c r="U2280" s="73"/>
      <c r="V2280" s="73"/>
      <c r="W2280" s="73"/>
      <c r="X2280" s="73"/>
      <c r="Y2280" s="73"/>
      <c r="Z2280" s="73"/>
      <c r="AA2280" s="73"/>
      <c r="AB2280" s="73"/>
      <c r="AC2280" s="73"/>
      <c r="AD2280" s="73"/>
      <c r="AE2280" s="73"/>
      <c r="AF2280" s="73"/>
      <c r="AG2280" s="73"/>
      <c r="AH2280" s="73"/>
      <c r="AI2280" s="73"/>
      <c r="AJ2280" s="168"/>
      <c r="AK2280" s="73"/>
      <c r="AL2280" s="73"/>
      <c r="AM2280" s="73"/>
      <c r="AN2280" s="73"/>
      <c r="AO2280" s="73"/>
      <c r="AP2280" s="73"/>
      <c r="AQ2280" s="73"/>
      <c r="AR2280" s="73"/>
      <c r="AS2280" s="73"/>
      <c r="AT2280" s="73"/>
      <c r="AU2280" s="73"/>
      <c r="AV2280" s="73"/>
      <c r="AW2280" s="73"/>
      <c r="AX2280" s="73"/>
      <c r="AY2280" s="73"/>
      <c r="AZ2280" s="73"/>
      <c r="BA2280" s="73"/>
      <c r="BB2280" s="73"/>
      <c r="BC2280" s="73"/>
      <c r="BD2280" s="73"/>
      <c r="BE2280" s="73"/>
      <c r="BF2280" s="75"/>
      <c r="BG2280" s="73"/>
      <c r="BH2280" s="88"/>
      <c r="BI2280" s="73"/>
      <c r="BJ2280" s="73"/>
      <c r="BK2280" s="73"/>
      <c r="BL2280" s="73"/>
      <c r="BM2280" s="73"/>
      <c r="BN2280" s="73"/>
      <c r="BO2280" s="73"/>
      <c r="BP2280" s="73"/>
      <c r="BQ2280" s="73"/>
      <c r="BR2280" s="73"/>
      <c r="BS2280" s="73"/>
      <c r="BT2280" s="73"/>
      <c r="BU2280" s="73"/>
      <c r="BV2280" s="73"/>
      <c r="BW2280" s="73"/>
      <c r="BX2280" s="73"/>
      <c r="BY2280" s="73"/>
      <c r="BZ2280" s="73"/>
      <c r="CA2280" s="73"/>
      <c r="CB2280" s="73"/>
      <c r="CC2280" s="73"/>
      <c r="CD2280" s="73"/>
      <c r="CE2280" s="73"/>
      <c r="CF2280" s="73"/>
      <c r="CG2280" s="73"/>
      <c r="CH2280" s="73"/>
    </row>
    <row r="2281">
      <c r="A2281" s="73"/>
      <c r="B2281" s="73"/>
      <c r="C2281" s="73"/>
      <c r="D2281" s="73"/>
      <c r="E2281" s="140"/>
      <c r="F2281" s="80"/>
      <c r="G2281" s="80"/>
      <c r="H2281" s="73"/>
      <c r="I2281" s="73"/>
      <c r="J2281" s="73"/>
      <c r="K2281" s="73"/>
      <c r="L2281" s="73"/>
      <c r="M2281" s="73"/>
      <c r="N2281" s="73"/>
      <c r="O2281" s="73"/>
      <c r="P2281" s="73"/>
      <c r="Q2281" s="73"/>
      <c r="R2281" s="73"/>
      <c r="S2281" s="73"/>
      <c r="T2281" s="73"/>
      <c r="U2281" s="73"/>
      <c r="V2281" s="73"/>
      <c r="W2281" s="73"/>
      <c r="X2281" s="73"/>
      <c r="Y2281" s="73"/>
      <c r="Z2281" s="73"/>
      <c r="AA2281" s="73"/>
      <c r="AB2281" s="73"/>
      <c r="AC2281" s="73"/>
      <c r="AD2281" s="73"/>
      <c r="AE2281" s="73"/>
      <c r="AF2281" s="73"/>
      <c r="AG2281" s="73"/>
      <c r="AH2281" s="73"/>
      <c r="AI2281" s="73"/>
      <c r="AJ2281" s="168"/>
      <c r="AK2281" s="73"/>
      <c r="AL2281" s="73"/>
      <c r="AM2281" s="73"/>
      <c r="AN2281" s="73"/>
      <c r="AO2281" s="73"/>
      <c r="AP2281" s="73"/>
      <c r="AQ2281" s="73"/>
      <c r="AR2281" s="73"/>
      <c r="AS2281" s="73"/>
      <c r="AT2281" s="73"/>
      <c r="AU2281" s="73"/>
      <c r="AV2281" s="73"/>
      <c r="AW2281" s="73"/>
      <c r="AX2281" s="73"/>
      <c r="AY2281" s="73"/>
      <c r="AZ2281" s="73"/>
      <c r="BA2281" s="73"/>
      <c r="BB2281" s="73"/>
      <c r="BC2281" s="73"/>
      <c r="BD2281" s="73"/>
      <c r="BE2281" s="73"/>
      <c r="BF2281" s="75"/>
      <c r="BG2281" s="73"/>
      <c r="BH2281" s="88"/>
      <c r="BI2281" s="73"/>
      <c r="BJ2281" s="73"/>
      <c r="BK2281" s="73"/>
      <c r="BL2281" s="73"/>
      <c r="BM2281" s="73"/>
      <c r="BN2281" s="73"/>
      <c r="BO2281" s="73"/>
      <c r="BP2281" s="73"/>
      <c r="BQ2281" s="73"/>
      <c r="BR2281" s="73"/>
      <c r="BS2281" s="73"/>
      <c r="BT2281" s="73"/>
      <c r="BU2281" s="73"/>
      <c r="BV2281" s="73"/>
      <c r="BW2281" s="73"/>
      <c r="BX2281" s="73"/>
      <c r="BY2281" s="73"/>
      <c r="BZ2281" s="73"/>
      <c r="CA2281" s="73"/>
      <c r="CB2281" s="73"/>
      <c r="CC2281" s="73"/>
      <c r="CD2281" s="73"/>
      <c r="CE2281" s="73"/>
      <c r="CF2281" s="73"/>
      <c r="CG2281" s="73"/>
      <c r="CH2281" s="73"/>
    </row>
    <row r="2282">
      <c r="A2282" s="73"/>
      <c r="B2282" s="73"/>
      <c r="C2282" s="73"/>
      <c r="D2282" s="73"/>
      <c r="E2282" s="140"/>
      <c r="F2282" s="80"/>
      <c r="G2282" s="80"/>
      <c r="H2282" s="73"/>
      <c r="I2282" s="73"/>
      <c r="J2282" s="73"/>
      <c r="K2282" s="73"/>
      <c r="L2282" s="73"/>
      <c r="M2282" s="73"/>
      <c r="N2282" s="73"/>
      <c r="O2282" s="73"/>
      <c r="P2282" s="73"/>
      <c r="Q2282" s="73"/>
      <c r="R2282" s="73"/>
      <c r="S2282" s="73"/>
      <c r="T2282" s="73"/>
      <c r="U2282" s="73"/>
      <c r="V2282" s="73"/>
      <c r="W2282" s="73"/>
      <c r="X2282" s="73"/>
      <c r="Y2282" s="73"/>
      <c r="Z2282" s="73"/>
      <c r="AA2282" s="73"/>
      <c r="AB2282" s="73"/>
      <c r="AC2282" s="73"/>
      <c r="AD2282" s="73"/>
      <c r="AE2282" s="73"/>
      <c r="AF2282" s="73"/>
      <c r="AG2282" s="73"/>
      <c r="AH2282" s="73"/>
      <c r="AI2282" s="73"/>
      <c r="AJ2282" s="168"/>
      <c r="AK2282" s="73"/>
      <c r="AL2282" s="73"/>
      <c r="AM2282" s="73"/>
      <c r="AN2282" s="73"/>
      <c r="AO2282" s="73"/>
      <c r="AP2282" s="73"/>
      <c r="AQ2282" s="73"/>
      <c r="AR2282" s="73"/>
      <c r="AS2282" s="73"/>
      <c r="AT2282" s="73"/>
      <c r="AU2282" s="73"/>
      <c r="AV2282" s="73"/>
      <c r="AW2282" s="73"/>
      <c r="AX2282" s="73"/>
      <c r="AY2282" s="73"/>
      <c r="AZ2282" s="73"/>
      <c r="BA2282" s="73"/>
      <c r="BB2282" s="73"/>
      <c r="BC2282" s="73"/>
      <c r="BD2282" s="73"/>
      <c r="BE2282" s="73"/>
      <c r="BF2282" s="75"/>
      <c r="BG2282" s="73"/>
      <c r="BH2282" s="88"/>
      <c r="BI2282" s="73"/>
      <c r="BJ2282" s="73"/>
      <c r="BK2282" s="73"/>
      <c r="BL2282" s="73"/>
      <c r="BM2282" s="73"/>
      <c r="BN2282" s="73"/>
      <c r="BO2282" s="73"/>
      <c r="BP2282" s="73"/>
      <c r="BQ2282" s="73"/>
      <c r="BR2282" s="73"/>
      <c r="BS2282" s="73"/>
      <c r="BT2282" s="73"/>
      <c r="BU2282" s="73"/>
      <c r="BV2282" s="73"/>
      <c r="BW2282" s="73"/>
      <c r="BX2282" s="73"/>
      <c r="BY2282" s="73"/>
      <c r="BZ2282" s="73"/>
      <c r="CA2282" s="73"/>
      <c r="CB2282" s="73"/>
      <c r="CC2282" s="73"/>
      <c r="CD2282" s="73"/>
      <c r="CE2282" s="73"/>
      <c r="CF2282" s="73"/>
      <c r="CG2282" s="73"/>
      <c r="CH2282" s="73"/>
    </row>
    <row r="2283">
      <c r="A2283" s="73"/>
      <c r="B2283" s="73"/>
      <c r="C2283" s="73"/>
      <c r="D2283" s="73"/>
      <c r="E2283" s="140"/>
      <c r="F2283" s="80"/>
      <c r="G2283" s="80"/>
      <c r="H2283" s="73"/>
      <c r="I2283" s="73"/>
      <c r="J2283" s="73"/>
      <c r="K2283" s="73"/>
      <c r="L2283" s="73"/>
      <c r="M2283" s="73"/>
      <c r="N2283" s="73"/>
      <c r="O2283" s="73"/>
      <c r="P2283" s="73"/>
      <c r="Q2283" s="73"/>
      <c r="R2283" s="73"/>
      <c r="S2283" s="73"/>
      <c r="T2283" s="73"/>
      <c r="U2283" s="73"/>
      <c r="V2283" s="73"/>
      <c r="W2283" s="73"/>
      <c r="X2283" s="73"/>
      <c r="Y2283" s="73"/>
      <c r="Z2283" s="73"/>
      <c r="AA2283" s="73"/>
      <c r="AB2283" s="73"/>
      <c r="AC2283" s="73"/>
      <c r="AD2283" s="73"/>
      <c r="AE2283" s="73"/>
      <c r="AF2283" s="73"/>
      <c r="AG2283" s="73"/>
      <c r="AH2283" s="73"/>
      <c r="AI2283" s="73"/>
      <c r="AJ2283" s="168"/>
      <c r="AK2283" s="73"/>
      <c r="AL2283" s="73"/>
      <c r="AM2283" s="73"/>
      <c r="AN2283" s="73"/>
      <c r="AO2283" s="73"/>
      <c r="AP2283" s="73"/>
      <c r="AQ2283" s="73"/>
      <c r="AR2283" s="73"/>
      <c r="AS2283" s="73"/>
      <c r="AT2283" s="73"/>
      <c r="AU2283" s="73"/>
      <c r="AV2283" s="73"/>
      <c r="AW2283" s="73"/>
      <c r="AX2283" s="73"/>
      <c r="AY2283" s="73"/>
      <c r="AZ2283" s="73"/>
      <c r="BA2283" s="73"/>
      <c r="BB2283" s="73"/>
      <c r="BC2283" s="73"/>
      <c r="BD2283" s="73"/>
      <c r="BE2283" s="73"/>
      <c r="BF2283" s="75"/>
      <c r="BG2283" s="73"/>
      <c r="BH2283" s="88"/>
      <c r="BI2283" s="73"/>
      <c r="BJ2283" s="73"/>
      <c r="BK2283" s="73"/>
      <c r="BL2283" s="73"/>
      <c r="BM2283" s="73"/>
      <c r="BN2283" s="73"/>
      <c r="BO2283" s="73"/>
      <c r="BP2283" s="73"/>
      <c r="BQ2283" s="73"/>
      <c r="BR2283" s="73"/>
      <c r="BS2283" s="73"/>
      <c r="BT2283" s="73"/>
      <c r="BU2283" s="73"/>
      <c r="BV2283" s="73"/>
      <c r="BW2283" s="73"/>
      <c r="BX2283" s="73"/>
      <c r="BY2283" s="73"/>
      <c r="BZ2283" s="73"/>
      <c r="CA2283" s="73"/>
      <c r="CB2283" s="73"/>
      <c r="CC2283" s="73"/>
      <c r="CD2283" s="73"/>
      <c r="CE2283" s="73"/>
      <c r="CF2283" s="73"/>
      <c r="CG2283" s="73"/>
      <c r="CH2283" s="73"/>
    </row>
    <row r="2284">
      <c r="A2284" s="73"/>
      <c r="B2284" s="73"/>
      <c r="C2284" s="73"/>
      <c r="D2284" s="73"/>
      <c r="E2284" s="140"/>
      <c r="F2284" s="80"/>
      <c r="G2284" s="80"/>
      <c r="H2284" s="73"/>
      <c r="I2284" s="73"/>
      <c r="J2284" s="73"/>
      <c r="K2284" s="73"/>
      <c r="L2284" s="73"/>
      <c r="M2284" s="73"/>
      <c r="N2284" s="73"/>
      <c r="O2284" s="73"/>
      <c r="P2284" s="73"/>
      <c r="Q2284" s="73"/>
      <c r="R2284" s="73"/>
      <c r="S2284" s="73"/>
      <c r="T2284" s="73"/>
      <c r="U2284" s="73"/>
      <c r="V2284" s="73"/>
      <c r="W2284" s="73"/>
      <c r="X2284" s="73"/>
      <c r="Y2284" s="73"/>
      <c r="Z2284" s="73"/>
      <c r="AA2284" s="73"/>
      <c r="AB2284" s="73"/>
      <c r="AC2284" s="73"/>
      <c r="AD2284" s="73"/>
      <c r="AE2284" s="73"/>
      <c r="AF2284" s="73"/>
      <c r="AG2284" s="73"/>
      <c r="AH2284" s="73"/>
      <c r="AI2284" s="73"/>
      <c r="AJ2284" s="168"/>
      <c r="AK2284" s="73"/>
      <c r="AL2284" s="73"/>
      <c r="AM2284" s="73"/>
      <c r="AN2284" s="73"/>
      <c r="AO2284" s="73"/>
      <c r="AP2284" s="73"/>
      <c r="AQ2284" s="73"/>
      <c r="AR2284" s="73"/>
      <c r="AS2284" s="73"/>
      <c r="AT2284" s="73"/>
      <c r="AU2284" s="73"/>
      <c r="AV2284" s="73"/>
      <c r="AW2284" s="73"/>
      <c r="AX2284" s="73"/>
      <c r="AY2284" s="73"/>
      <c r="AZ2284" s="73"/>
      <c r="BA2284" s="73"/>
      <c r="BB2284" s="73"/>
      <c r="BC2284" s="73"/>
      <c r="BD2284" s="73"/>
      <c r="BE2284" s="73"/>
      <c r="BF2284" s="75"/>
      <c r="BG2284" s="73"/>
      <c r="BH2284" s="88"/>
      <c r="BI2284" s="73"/>
      <c r="BJ2284" s="73"/>
      <c r="BK2284" s="73"/>
      <c r="BL2284" s="73"/>
      <c r="BM2284" s="73"/>
      <c r="BN2284" s="73"/>
      <c r="BO2284" s="73"/>
      <c r="BP2284" s="73"/>
      <c r="BQ2284" s="73"/>
      <c r="BR2284" s="73"/>
      <c r="BS2284" s="73"/>
      <c r="BT2284" s="73"/>
      <c r="BU2284" s="73"/>
      <c r="BV2284" s="73"/>
      <c r="BW2284" s="73"/>
      <c r="BX2284" s="73"/>
      <c r="BY2284" s="73"/>
      <c r="BZ2284" s="73"/>
      <c r="CA2284" s="73"/>
      <c r="CB2284" s="73"/>
      <c r="CC2284" s="73"/>
      <c r="CD2284" s="73"/>
      <c r="CE2284" s="73"/>
      <c r="CF2284" s="73"/>
      <c r="CG2284" s="73"/>
      <c r="CH2284" s="73"/>
    </row>
    <row r="2285">
      <c r="A2285" s="73"/>
      <c r="B2285" s="73"/>
      <c r="C2285" s="73"/>
      <c r="D2285" s="73"/>
      <c r="E2285" s="140"/>
      <c r="F2285" s="80"/>
      <c r="G2285" s="80"/>
      <c r="H2285" s="73"/>
      <c r="I2285" s="73"/>
      <c r="J2285" s="73"/>
      <c r="K2285" s="73"/>
      <c r="L2285" s="73"/>
      <c r="M2285" s="73"/>
      <c r="N2285" s="73"/>
      <c r="O2285" s="73"/>
      <c r="P2285" s="73"/>
      <c r="Q2285" s="73"/>
      <c r="R2285" s="73"/>
      <c r="S2285" s="73"/>
      <c r="T2285" s="73"/>
      <c r="U2285" s="73"/>
      <c r="V2285" s="73"/>
      <c r="W2285" s="73"/>
      <c r="X2285" s="73"/>
      <c r="Y2285" s="73"/>
      <c r="Z2285" s="73"/>
      <c r="AA2285" s="73"/>
      <c r="AB2285" s="73"/>
      <c r="AC2285" s="73"/>
      <c r="AD2285" s="73"/>
      <c r="AE2285" s="73"/>
      <c r="AF2285" s="73"/>
      <c r="AG2285" s="73"/>
      <c r="AH2285" s="73"/>
      <c r="AI2285" s="73"/>
      <c r="AJ2285" s="168"/>
      <c r="AK2285" s="73"/>
      <c r="AL2285" s="73"/>
      <c r="AM2285" s="73"/>
      <c r="AN2285" s="73"/>
      <c r="AO2285" s="73"/>
      <c r="AP2285" s="73"/>
      <c r="AQ2285" s="73"/>
      <c r="AR2285" s="73"/>
      <c r="AS2285" s="73"/>
      <c r="AT2285" s="73"/>
      <c r="AU2285" s="73"/>
      <c r="AV2285" s="73"/>
      <c r="AW2285" s="73"/>
      <c r="AX2285" s="73"/>
      <c r="AY2285" s="73"/>
      <c r="AZ2285" s="73"/>
      <c r="BA2285" s="73"/>
      <c r="BB2285" s="73"/>
      <c r="BC2285" s="73"/>
      <c r="BD2285" s="73"/>
      <c r="BE2285" s="73"/>
      <c r="BF2285" s="75"/>
      <c r="BG2285" s="73"/>
      <c r="BH2285" s="88"/>
      <c r="BI2285" s="73"/>
      <c r="BJ2285" s="73"/>
      <c r="BK2285" s="73"/>
      <c r="BL2285" s="73"/>
      <c r="BM2285" s="73"/>
      <c r="BN2285" s="73"/>
      <c r="BO2285" s="73"/>
      <c r="BP2285" s="73"/>
      <c r="BQ2285" s="73"/>
      <c r="BR2285" s="73"/>
      <c r="BS2285" s="73"/>
      <c r="BT2285" s="73"/>
      <c r="BU2285" s="73"/>
      <c r="BV2285" s="73"/>
      <c r="BW2285" s="73"/>
      <c r="BX2285" s="73"/>
      <c r="BY2285" s="73"/>
      <c r="BZ2285" s="73"/>
      <c r="CA2285" s="73"/>
      <c r="CB2285" s="73"/>
      <c r="CC2285" s="73"/>
      <c r="CD2285" s="73"/>
      <c r="CE2285" s="73"/>
      <c r="CF2285" s="73"/>
      <c r="CG2285" s="73"/>
      <c r="CH2285" s="73"/>
    </row>
    <row r="2286">
      <c r="A2286" s="73"/>
      <c r="B2286" s="73"/>
      <c r="C2286" s="73"/>
      <c r="D2286" s="73"/>
      <c r="E2286" s="140"/>
      <c r="F2286" s="80"/>
      <c r="G2286" s="80"/>
      <c r="H2286" s="73"/>
      <c r="I2286" s="73"/>
      <c r="J2286" s="73"/>
      <c r="K2286" s="73"/>
      <c r="L2286" s="73"/>
      <c r="M2286" s="73"/>
      <c r="N2286" s="73"/>
      <c r="O2286" s="73"/>
      <c r="P2286" s="73"/>
      <c r="Q2286" s="73"/>
      <c r="R2286" s="73"/>
      <c r="S2286" s="73"/>
      <c r="T2286" s="73"/>
      <c r="U2286" s="73"/>
      <c r="V2286" s="73"/>
      <c r="W2286" s="73"/>
      <c r="X2286" s="73"/>
      <c r="Y2286" s="73"/>
      <c r="Z2286" s="73"/>
      <c r="AA2286" s="73"/>
      <c r="AB2286" s="73"/>
      <c r="AC2286" s="73"/>
      <c r="AD2286" s="73"/>
      <c r="AE2286" s="73"/>
      <c r="AF2286" s="73"/>
      <c r="AG2286" s="73"/>
      <c r="AH2286" s="73"/>
      <c r="AI2286" s="73"/>
      <c r="AJ2286" s="168"/>
      <c r="AK2286" s="73"/>
      <c r="AL2286" s="73"/>
      <c r="AM2286" s="73"/>
      <c r="AN2286" s="73"/>
      <c r="AO2286" s="73"/>
      <c r="AP2286" s="73"/>
      <c r="AQ2286" s="73"/>
      <c r="AR2286" s="73"/>
      <c r="AS2286" s="73"/>
      <c r="AT2286" s="73"/>
      <c r="AU2286" s="73"/>
      <c r="AV2286" s="73"/>
      <c r="AW2286" s="73"/>
      <c r="AX2286" s="73"/>
      <c r="AY2286" s="73"/>
      <c r="AZ2286" s="73"/>
      <c r="BA2286" s="73"/>
      <c r="BB2286" s="73"/>
      <c r="BC2286" s="73"/>
      <c r="BD2286" s="73"/>
      <c r="BE2286" s="73"/>
      <c r="BF2286" s="75"/>
      <c r="BG2286" s="73"/>
      <c r="BH2286" s="88"/>
      <c r="BI2286" s="73"/>
      <c r="BJ2286" s="73"/>
      <c r="BK2286" s="73"/>
      <c r="BL2286" s="73"/>
      <c r="BM2286" s="73"/>
      <c r="BN2286" s="73"/>
      <c r="BO2286" s="73"/>
      <c r="BP2286" s="73"/>
      <c r="BQ2286" s="73"/>
      <c r="BR2286" s="73"/>
      <c r="BS2286" s="73"/>
      <c r="BT2286" s="73"/>
      <c r="BU2286" s="73"/>
      <c r="BV2286" s="73"/>
      <c r="BW2286" s="73"/>
      <c r="BX2286" s="73"/>
      <c r="BY2286" s="73"/>
      <c r="BZ2286" s="73"/>
      <c r="CA2286" s="73"/>
      <c r="CB2286" s="73"/>
      <c r="CC2286" s="73"/>
      <c r="CD2286" s="73"/>
      <c r="CE2286" s="73"/>
      <c r="CF2286" s="73"/>
      <c r="CG2286" s="73"/>
      <c r="CH2286" s="73"/>
    </row>
    <row r="2287">
      <c r="A2287" s="73"/>
      <c r="B2287" s="73"/>
      <c r="C2287" s="73"/>
      <c r="D2287" s="73"/>
      <c r="E2287" s="140"/>
      <c r="F2287" s="80"/>
      <c r="G2287" s="80"/>
      <c r="H2287" s="73"/>
      <c r="I2287" s="73"/>
      <c r="J2287" s="73"/>
      <c r="K2287" s="73"/>
      <c r="L2287" s="73"/>
      <c r="M2287" s="73"/>
      <c r="N2287" s="73"/>
      <c r="O2287" s="73"/>
      <c r="P2287" s="73"/>
      <c r="Q2287" s="73"/>
      <c r="R2287" s="73"/>
      <c r="S2287" s="73"/>
      <c r="T2287" s="73"/>
      <c r="U2287" s="73"/>
      <c r="V2287" s="73"/>
      <c r="W2287" s="73"/>
      <c r="X2287" s="73"/>
      <c r="Y2287" s="73"/>
      <c r="Z2287" s="73"/>
      <c r="AA2287" s="73"/>
      <c r="AB2287" s="73"/>
      <c r="AC2287" s="73"/>
      <c r="AD2287" s="73"/>
      <c r="AE2287" s="73"/>
      <c r="AF2287" s="73"/>
      <c r="AG2287" s="73"/>
      <c r="AH2287" s="73"/>
      <c r="AI2287" s="73"/>
      <c r="AJ2287" s="168"/>
      <c r="AK2287" s="73"/>
      <c r="AL2287" s="73"/>
      <c r="AM2287" s="73"/>
      <c r="AN2287" s="73"/>
      <c r="AO2287" s="73"/>
      <c r="AP2287" s="73"/>
      <c r="AQ2287" s="73"/>
      <c r="AR2287" s="73"/>
      <c r="AS2287" s="73"/>
      <c r="AT2287" s="73"/>
      <c r="AU2287" s="73"/>
      <c r="AV2287" s="73"/>
      <c r="AW2287" s="73"/>
      <c r="AX2287" s="73"/>
      <c r="AY2287" s="73"/>
      <c r="AZ2287" s="73"/>
      <c r="BA2287" s="73"/>
      <c r="BB2287" s="73"/>
      <c r="BC2287" s="73"/>
      <c r="BD2287" s="73"/>
      <c r="BE2287" s="73"/>
      <c r="BF2287" s="75"/>
      <c r="BG2287" s="73"/>
      <c r="BH2287" s="88"/>
      <c r="BI2287" s="73"/>
      <c r="BJ2287" s="73"/>
      <c r="BK2287" s="73"/>
      <c r="BL2287" s="73"/>
      <c r="BM2287" s="73"/>
      <c r="BN2287" s="73"/>
      <c r="BO2287" s="73"/>
      <c r="BP2287" s="73"/>
      <c r="BQ2287" s="73"/>
      <c r="BR2287" s="73"/>
      <c r="BS2287" s="73"/>
      <c r="BT2287" s="73"/>
      <c r="BU2287" s="73"/>
      <c r="BV2287" s="73"/>
      <c r="BW2287" s="73"/>
      <c r="BX2287" s="73"/>
      <c r="BY2287" s="73"/>
      <c r="BZ2287" s="73"/>
      <c r="CA2287" s="73"/>
      <c r="CB2287" s="73"/>
      <c r="CC2287" s="73"/>
      <c r="CD2287" s="73"/>
      <c r="CE2287" s="73"/>
      <c r="CF2287" s="73"/>
      <c r="CG2287" s="73"/>
      <c r="CH2287" s="73"/>
    </row>
    <row r="2288">
      <c r="A2288" s="73"/>
      <c r="B2288" s="73"/>
      <c r="C2288" s="73"/>
      <c r="D2288" s="73"/>
      <c r="E2288" s="140"/>
      <c r="F2288" s="80"/>
      <c r="G2288" s="80"/>
      <c r="H2288" s="73"/>
      <c r="I2288" s="73"/>
      <c r="J2288" s="73"/>
      <c r="K2288" s="73"/>
      <c r="L2288" s="73"/>
      <c r="M2288" s="73"/>
      <c r="N2288" s="73"/>
      <c r="O2288" s="73"/>
      <c r="P2288" s="73"/>
      <c r="Q2288" s="73"/>
      <c r="R2288" s="73"/>
      <c r="S2288" s="73"/>
      <c r="T2288" s="73"/>
      <c r="U2288" s="73"/>
      <c r="V2288" s="73"/>
      <c r="W2288" s="73"/>
      <c r="X2288" s="73"/>
      <c r="Y2288" s="73"/>
      <c r="Z2288" s="73"/>
      <c r="AA2288" s="73"/>
      <c r="AB2288" s="73"/>
      <c r="AC2288" s="73"/>
      <c r="AD2288" s="73"/>
      <c r="AE2288" s="73"/>
      <c r="AF2288" s="73"/>
      <c r="AG2288" s="73"/>
      <c r="AH2288" s="73"/>
      <c r="AI2288" s="73"/>
      <c r="AJ2288" s="168"/>
      <c r="AK2288" s="73"/>
      <c r="AL2288" s="73"/>
      <c r="AM2288" s="73"/>
      <c r="AN2288" s="73"/>
      <c r="AO2288" s="73"/>
      <c r="AP2288" s="73"/>
      <c r="AQ2288" s="73"/>
      <c r="AR2288" s="73"/>
      <c r="AS2288" s="73"/>
      <c r="AT2288" s="73"/>
      <c r="AU2288" s="73"/>
      <c r="AV2288" s="73"/>
      <c r="AW2288" s="73"/>
      <c r="AX2288" s="73"/>
      <c r="AY2288" s="73"/>
      <c r="AZ2288" s="73"/>
      <c r="BA2288" s="73"/>
      <c r="BB2288" s="73"/>
      <c r="BC2288" s="73"/>
      <c r="BD2288" s="73"/>
      <c r="BE2288" s="73"/>
      <c r="BF2288" s="75"/>
      <c r="BG2288" s="73"/>
      <c r="BH2288" s="88"/>
      <c r="BI2288" s="73"/>
      <c r="BJ2288" s="73"/>
      <c r="BK2288" s="73"/>
      <c r="BL2288" s="73"/>
      <c r="BM2288" s="73"/>
      <c r="BN2288" s="73"/>
      <c r="BO2288" s="73"/>
      <c r="BP2288" s="73"/>
      <c r="BQ2288" s="73"/>
      <c r="BR2288" s="73"/>
      <c r="BS2288" s="73"/>
      <c r="BT2288" s="73"/>
      <c r="BU2288" s="73"/>
      <c r="BV2288" s="73"/>
      <c r="BW2288" s="73"/>
      <c r="BX2288" s="73"/>
      <c r="BY2288" s="73"/>
      <c r="BZ2288" s="73"/>
      <c r="CA2288" s="73"/>
      <c r="CB2288" s="73"/>
      <c r="CC2288" s="73"/>
      <c r="CD2288" s="73"/>
      <c r="CE2288" s="73"/>
      <c r="CF2288" s="73"/>
      <c r="CG2288" s="73"/>
      <c r="CH2288" s="73"/>
    </row>
    <row r="2289">
      <c r="A2289" s="73"/>
      <c r="B2289" s="73"/>
      <c r="C2289" s="73"/>
      <c r="D2289" s="73"/>
      <c r="E2289" s="140"/>
      <c r="F2289" s="80"/>
      <c r="G2289" s="80"/>
      <c r="H2289" s="73"/>
      <c r="I2289" s="73"/>
      <c r="J2289" s="73"/>
      <c r="K2289" s="73"/>
      <c r="L2289" s="73"/>
      <c r="M2289" s="73"/>
      <c r="N2289" s="73"/>
      <c r="O2289" s="73"/>
      <c r="P2289" s="73"/>
      <c r="Q2289" s="73"/>
      <c r="R2289" s="73"/>
      <c r="S2289" s="73"/>
      <c r="T2289" s="73"/>
      <c r="U2289" s="73"/>
      <c r="V2289" s="73"/>
      <c r="W2289" s="73"/>
      <c r="X2289" s="73"/>
      <c r="Y2289" s="73"/>
      <c r="Z2289" s="73"/>
      <c r="AA2289" s="73"/>
      <c r="AB2289" s="73"/>
      <c r="AC2289" s="73"/>
      <c r="AD2289" s="73"/>
      <c r="AE2289" s="73"/>
      <c r="AF2289" s="73"/>
      <c r="AG2289" s="73"/>
      <c r="AH2289" s="73"/>
      <c r="AI2289" s="73"/>
      <c r="AJ2289" s="168"/>
      <c r="AK2289" s="73"/>
      <c r="AL2289" s="73"/>
      <c r="AM2289" s="73"/>
      <c r="AN2289" s="73"/>
      <c r="AO2289" s="73"/>
      <c r="AP2289" s="73"/>
      <c r="AQ2289" s="73"/>
      <c r="AR2289" s="73"/>
      <c r="AS2289" s="73"/>
      <c r="AT2289" s="73"/>
      <c r="AU2289" s="73"/>
      <c r="AV2289" s="73"/>
      <c r="AW2289" s="73"/>
      <c r="AX2289" s="73"/>
      <c r="AY2289" s="73"/>
      <c r="AZ2289" s="73"/>
      <c r="BA2289" s="73"/>
      <c r="BB2289" s="73"/>
      <c r="BC2289" s="73"/>
      <c r="BD2289" s="73"/>
      <c r="BE2289" s="73"/>
      <c r="BF2289" s="75"/>
      <c r="BG2289" s="73"/>
      <c r="BH2289" s="88"/>
      <c r="BI2289" s="73"/>
      <c r="BJ2289" s="73"/>
      <c r="BK2289" s="73"/>
      <c r="BL2289" s="73"/>
      <c r="BM2289" s="73"/>
      <c r="BN2289" s="73"/>
      <c r="BO2289" s="73"/>
      <c r="BP2289" s="73"/>
      <c r="BQ2289" s="73"/>
      <c r="BR2289" s="73"/>
      <c r="BS2289" s="73"/>
      <c r="BT2289" s="73"/>
      <c r="BU2289" s="73"/>
      <c r="BV2289" s="73"/>
      <c r="BW2289" s="73"/>
      <c r="BX2289" s="73"/>
      <c r="BY2289" s="73"/>
      <c r="BZ2289" s="73"/>
      <c r="CA2289" s="73"/>
      <c r="CB2289" s="73"/>
      <c r="CC2289" s="73"/>
      <c r="CD2289" s="73"/>
      <c r="CE2289" s="73"/>
      <c r="CF2289" s="73"/>
      <c r="CG2289" s="73"/>
      <c r="CH2289" s="73"/>
    </row>
    <row r="2290">
      <c r="A2290" s="73"/>
      <c r="B2290" s="73"/>
      <c r="C2290" s="73"/>
      <c r="D2290" s="73"/>
      <c r="E2290" s="140"/>
      <c r="F2290" s="80"/>
      <c r="G2290" s="80"/>
      <c r="H2290" s="73"/>
      <c r="I2290" s="73"/>
      <c r="J2290" s="73"/>
      <c r="K2290" s="73"/>
      <c r="L2290" s="73"/>
      <c r="M2290" s="73"/>
      <c r="N2290" s="73"/>
      <c r="O2290" s="73"/>
      <c r="P2290" s="73"/>
      <c r="Q2290" s="73"/>
      <c r="R2290" s="73"/>
      <c r="S2290" s="73"/>
      <c r="T2290" s="73"/>
      <c r="U2290" s="73"/>
      <c r="V2290" s="73"/>
      <c r="W2290" s="73"/>
      <c r="X2290" s="73"/>
      <c r="Y2290" s="73"/>
      <c r="Z2290" s="73"/>
      <c r="AA2290" s="73"/>
      <c r="AB2290" s="73"/>
      <c r="AC2290" s="73"/>
      <c r="AD2290" s="73"/>
      <c r="AE2290" s="73"/>
      <c r="AF2290" s="73"/>
      <c r="AG2290" s="73"/>
      <c r="AH2290" s="73"/>
      <c r="AI2290" s="73"/>
      <c r="AJ2290" s="168"/>
      <c r="AK2290" s="73"/>
      <c r="AL2290" s="73"/>
      <c r="AM2290" s="73"/>
      <c r="AN2290" s="73"/>
      <c r="AO2290" s="73"/>
      <c r="AP2290" s="73"/>
      <c r="AQ2290" s="73"/>
      <c r="AR2290" s="73"/>
      <c r="AS2290" s="73"/>
      <c r="AT2290" s="73"/>
      <c r="AU2290" s="73"/>
      <c r="AV2290" s="73"/>
      <c r="AW2290" s="73"/>
      <c r="AX2290" s="73"/>
      <c r="AY2290" s="73"/>
      <c r="AZ2290" s="73"/>
      <c r="BA2290" s="73"/>
      <c r="BB2290" s="73"/>
      <c r="BC2290" s="73"/>
      <c r="BD2290" s="73"/>
      <c r="BE2290" s="73"/>
      <c r="BF2290" s="75"/>
      <c r="BG2290" s="73"/>
      <c r="BH2290" s="88"/>
      <c r="BI2290" s="73"/>
      <c r="BJ2290" s="73"/>
      <c r="BK2290" s="73"/>
      <c r="BL2290" s="73"/>
      <c r="BM2290" s="73"/>
      <c r="BN2290" s="73"/>
      <c r="BO2290" s="73"/>
      <c r="BP2290" s="73"/>
      <c r="BQ2290" s="73"/>
      <c r="BR2290" s="73"/>
      <c r="BS2290" s="73"/>
      <c r="BT2290" s="73"/>
      <c r="BU2290" s="73"/>
      <c r="BV2290" s="73"/>
      <c r="BW2290" s="73"/>
      <c r="BX2290" s="73"/>
      <c r="BY2290" s="73"/>
      <c r="BZ2290" s="73"/>
      <c r="CA2290" s="73"/>
      <c r="CB2290" s="73"/>
      <c r="CC2290" s="73"/>
      <c r="CD2290" s="73"/>
      <c r="CE2290" s="73"/>
      <c r="CF2290" s="73"/>
      <c r="CG2290" s="73"/>
      <c r="CH2290" s="73"/>
    </row>
    <row r="2291">
      <c r="A2291" s="73"/>
      <c r="B2291" s="73"/>
      <c r="C2291" s="73"/>
      <c r="D2291" s="73"/>
      <c r="E2291" s="140"/>
      <c r="F2291" s="80"/>
      <c r="G2291" s="80"/>
      <c r="H2291" s="73"/>
      <c r="I2291" s="73"/>
      <c r="J2291" s="73"/>
      <c r="K2291" s="73"/>
      <c r="L2291" s="73"/>
      <c r="M2291" s="73"/>
      <c r="N2291" s="73"/>
      <c r="O2291" s="73"/>
      <c r="P2291" s="73"/>
      <c r="Q2291" s="73"/>
      <c r="R2291" s="73"/>
      <c r="S2291" s="73"/>
      <c r="T2291" s="73"/>
      <c r="U2291" s="73"/>
      <c r="V2291" s="73"/>
      <c r="W2291" s="73"/>
      <c r="X2291" s="73"/>
      <c r="Y2291" s="73"/>
      <c r="Z2291" s="73"/>
      <c r="AA2291" s="73"/>
      <c r="AB2291" s="73"/>
      <c r="AC2291" s="73"/>
      <c r="AD2291" s="73"/>
      <c r="AE2291" s="73"/>
      <c r="AF2291" s="73"/>
      <c r="AG2291" s="73"/>
      <c r="AH2291" s="73"/>
      <c r="AI2291" s="73"/>
      <c r="AJ2291" s="168"/>
      <c r="AK2291" s="73"/>
      <c r="AL2291" s="73"/>
      <c r="AM2291" s="73"/>
      <c r="AN2291" s="73"/>
      <c r="AO2291" s="73"/>
      <c r="AP2291" s="73"/>
      <c r="AQ2291" s="73"/>
      <c r="AR2291" s="73"/>
      <c r="AS2291" s="73"/>
      <c r="AT2291" s="73"/>
      <c r="AU2291" s="73"/>
      <c r="AV2291" s="73"/>
      <c r="AW2291" s="73"/>
      <c r="AX2291" s="73"/>
      <c r="AY2291" s="73"/>
      <c r="AZ2291" s="73"/>
      <c r="BA2291" s="73"/>
      <c r="BB2291" s="73"/>
      <c r="BC2291" s="73"/>
      <c r="BD2291" s="73"/>
      <c r="BE2291" s="73"/>
      <c r="BF2291" s="75"/>
      <c r="BG2291" s="73"/>
      <c r="BH2291" s="88"/>
      <c r="BI2291" s="73"/>
      <c r="BJ2291" s="73"/>
      <c r="BK2291" s="73"/>
      <c r="BL2291" s="73"/>
      <c r="BM2291" s="73"/>
      <c r="BN2291" s="73"/>
      <c r="BO2291" s="73"/>
      <c r="BP2291" s="73"/>
      <c r="BQ2291" s="73"/>
      <c r="BR2291" s="73"/>
      <c r="BS2291" s="73"/>
      <c r="BT2291" s="73"/>
      <c r="BU2291" s="73"/>
      <c r="BV2291" s="73"/>
      <c r="BW2291" s="73"/>
      <c r="BX2291" s="73"/>
      <c r="BY2291" s="73"/>
      <c r="BZ2291" s="73"/>
      <c r="CA2291" s="73"/>
      <c r="CB2291" s="73"/>
      <c r="CC2291" s="73"/>
      <c r="CD2291" s="73"/>
      <c r="CE2291" s="73"/>
      <c r="CF2291" s="73"/>
      <c r="CG2291" s="73"/>
      <c r="CH2291" s="73"/>
    </row>
    <row r="2292">
      <c r="A2292" s="73"/>
      <c r="B2292" s="73"/>
      <c r="C2292" s="73"/>
      <c r="D2292" s="73"/>
      <c r="E2292" s="140"/>
      <c r="F2292" s="80"/>
      <c r="G2292" s="80"/>
      <c r="H2292" s="73"/>
      <c r="I2292" s="73"/>
      <c r="J2292" s="73"/>
      <c r="K2292" s="73"/>
      <c r="L2292" s="73"/>
      <c r="M2292" s="73"/>
      <c r="N2292" s="73"/>
      <c r="O2292" s="73"/>
      <c r="P2292" s="73"/>
      <c r="Q2292" s="73"/>
      <c r="R2292" s="73"/>
      <c r="S2292" s="73"/>
      <c r="T2292" s="73"/>
      <c r="U2292" s="73"/>
      <c r="V2292" s="73"/>
      <c r="W2292" s="73"/>
      <c r="X2292" s="73"/>
      <c r="Y2292" s="73"/>
      <c r="Z2292" s="73"/>
      <c r="AA2292" s="73"/>
      <c r="AB2292" s="73"/>
      <c r="AC2292" s="73"/>
      <c r="AD2292" s="73"/>
      <c r="AE2292" s="73"/>
      <c r="AF2292" s="73"/>
      <c r="AG2292" s="73"/>
      <c r="AH2292" s="73"/>
      <c r="AI2292" s="73"/>
      <c r="AJ2292" s="168"/>
      <c r="AK2292" s="73"/>
      <c r="AL2292" s="73"/>
      <c r="AM2292" s="73"/>
      <c r="AN2292" s="73"/>
      <c r="AO2292" s="73"/>
      <c r="AP2292" s="73"/>
      <c r="AQ2292" s="73"/>
      <c r="AR2292" s="73"/>
      <c r="AS2292" s="73"/>
      <c r="AT2292" s="73"/>
      <c r="AU2292" s="73"/>
      <c r="AV2292" s="73"/>
      <c r="AW2292" s="73"/>
      <c r="AX2292" s="73"/>
      <c r="AY2292" s="73"/>
      <c r="AZ2292" s="73"/>
      <c r="BA2292" s="73"/>
      <c r="BB2292" s="73"/>
      <c r="BC2292" s="73"/>
      <c r="BD2292" s="73"/>
      <c r="BE2292" s="73"/>
      <c r="BF2292" s="75"/>
      <c r="BG2292" s="73"/>
      <c r="BH2292" s="88"/>
      <c r="BI2292" s="73"/>
      <c r="BJ2292" s="73"/>
      <c r="BK2292" s="73"/>
      <c r="BL2292" s="73"/>
      <c r="BM2292" s="73"/>
      <c r="BN2292" s="73"/>
      <c r="BO2292" s="73"/>
      <c r="BP2292" s="73"/>
      <c r="BQ2292" s="73"/>
      <c r="BR2292" s="73"/>
      <c r="BS2292" s="73"/>
      <c r="BT2292" s="73"/>
      <c r="BU2292" s="73"/>
      <c r="BV2292" s="73"/>
      <c r="BW2292" s="73"/>
      <c r="BX2292" s="73"/>
      <c r="BY2292" s="73"/>
      <c r="BZ2292" s="73"/>
      <c r="CA2292" s="73"/>
      <c r="CB2292" s="73"/>
      <c r="CC2292" s="73"/>
      <c r="CD2292" s="73"/>
      <c r="CE2292" s="73"/>
      <c r="CF2292" s="73"/>
      <c r="CG2292" s="73"/>
      <c r="CH2292" s="73"/>
    </row>
    <row r="2293">
      <c r="A2293" s="73"/>
      <c r="B2293" s="73"/>
      <c r="C2293" s="73"/>
      <c r="D2293" s="73"/>
      <c r="E2293" s="140"/>
      <c r="F2293" s="80"/>
      <c r="G2293" s="80"/>
      <c r="H2293" s="73"/>
      <c r="I2293" s="73"/>
      <c r="J2293" s="73"/>
      <c r="K2293" s="73"/>
      <c r="L2293" s="73"/>
      <c r="M2293" s="73"/>
      <c r="N2293" s="73"/>
      <c r="O2293" s="73"/>
      <c r="P2293" s="73"/>
      <c r="Q2293" s="73"/>
      <c r="R2293" s="73"/>
      <c r="S2293" s="73"/>
      <c r="T2293" s="73"/>
      <c r="U2293" s="73"/>
      <c r="V2293" s="73"/>
      <c r="W2293" s="73"/>
      <c r="X2293" s="73"/>
      <c r="Y2293" s="73"/>
      <c r="Z2293" s="73"/>
      <c r="AA2293" s="73"/>
      <c r="AB2293" s="73"/>
      <c r="AC2293" s="73"/>
      <c r="AD2293" s="73"/>
      <c r="AE2293" s="73"/>
      <c r="AF2293" s="73"/>
      <c r="AG2293" s="73"/>
      <c r="AH2293" s="73"/>
      <c r="AI2293" s="73"/>
      <c r="AJ2293" s="168"/>
      <c r="AK2293" s="73"/>
      <c r="AL2293" s="73"/>
      <c r="AM2293" s="73"/>
      <c r="AN2293" s="73"/>
      <c r="AO2293" s="73"/>
      <c r="AP2293" s="73"/>
      <c r="AQ2293" s="73"/>
      <c r="AR2293" s="73"/>
      <c r="AS2293" s="73"/>
      <c r="AT2293" s="73"/>
      <c r="AU2293" s="73"/>
      <c r="AV2293" s="73"/>
      <c r="AW2293" s="73"/>
      <c r="AX2293" s="73"/>
      <c r="AY2293" s="73"/>
      <c r="AZ2293" s="73"/>
      <c r="BA2293" s="73"/>
      <c r="BB2293" s="73"/>
      <c r="BC2293" s="73"/>
      <c r="BD2293" s="73"/>
      <c r="BE2293" s="73"/>
      <c r="BF2293" s="75"/>
      <c r="BG2293" s="73"/>
      <c r="BH2293" s="88"/>
      <c r="BI2293" s="73"/>
      <c r="BJ2293" s="73"/>
      <c r="BK2293" s="73"/>
      <c r="BL2293" s="73"/>
      <c r="BM2293" s="73"/>
      <c r="BN2293" s="73"/>
      <c r="BO2293" s="73"/>
      <c r="BP2293" s="73"/>
      <c r="BQ2293" s="73"/>
      <c r="BR2293" s="73"/>
      <c r="BS2293" s="73"/>
      <c r="BT2293" s="73"/>
      <c r="BU2293" s="73"/>
      <c r="BV2293" s="73"/>
      <c r="BW2293" s="73"/>
      <c r="BX2293" s="73"/>
      <c r="BY2293" s="73"/>
      <c r="BZ2293" s="73"/>
      <c r="CA2293" s="73"/>
      <c r="CB2293" s="73"/>
      <c r="CC2293" s="73"/>
      <c r="CD2293" s="73"/>
      <c r="CE2293" s="73"/>
      <c r="CF2293" s="73"/>
      <c r="CG2293" s="73"/>
      <c r="CH2293" s="73"/>
    </row>
    <row r="2294">
      <c r="A2294" s="73"/>
      <c r="B2294" s="73"/>
      <c r="C2294" s="73"/>
      <c r="D2294" s="73"/>
      <c r="E2294" s="140"/>
      <c r="F2294" s="80"/>
      <c r="G2294" s="80"/>
      <c r="H2294" s="73"/>
      <c r="I2294" s="73"/>
      <c r="J2294" s="73"/>
      <c r="K2294" s="73"/>
      <c r="L2294" s="73"/>
      <c r="M2294" s="73"/>
      <c r="N2294" s="73"/>
      <c r="O2294" s="73"/>
      <c r="P2294" s="73"/>
      <c r="Q2294" s="73"/>
      <c r="R2294" s="73"/>
      <c r="S2294" s="73"/>
      <c r="T2294" s="73"/>
      <c r="U2294" s="73"/>
      <c r="V2294" s="73"/>
      <c r="W2294" s="73"/>
      <c r="X2294" s="73"/>
      <c r="Y2294" s="73"/>
      <c r="Z2294" s="73"/>
      <c r="AA2294" s="73"/>
      <c r="AB2294" s="73"/>
      <c r="AC2294" s="73"/>
      <c r="AD2294" s="73"/>
      <c r="AE2294" s="73"/>
      <c r="AF2294" s="73"/>
      <c r="AG2294" s="73"/>
      <c r="AH2294" s="73"/>
      <c r="AI2294" s="73"/>
      <c r="AJ2294" s="168"/>
      <c r="AK2294" s="73"/>
      <c r="AL2294" s="73"/>
      <c r="AM2294" s="73"/>
      <c r="AN2294" s="73"/>
      <c r="AO2294" s="73"/>
      <c r="AP2294" s="73"/>
      <c r="AQ2294" s="73"/>
      <c r="AR2294" s="73"/>
      <c r="AS2294" s="73"/>
      <c r="AT2294" s="73"/>
      <c r="AU2294" s="73"/>
      <c r="AV2294" s="73"/>
      <c r="AW2294" s="73"/>
      <c r="AX2294" s="73"/>
      <c r="AY2294" s="73"/>
      <c r="AZ2294" s="73"/>
      <c r="BA2294" s="73"/>
      <c r="BB2294" s="73"/>
      <c r="BC2294" s="73"/>
      <c r="BD2294" s="73"/>
      <c r="BE2294" s="73"/>
      <c r="BF2294" s="75"/>
      <c r="BG2294" s="73"/>
      <c r="BH2294" s="88"/>
      <c r="BI2294" s="73"/>
      <c r="BJ2294" s="73"/>
      <c r="BK2294" s="73"/>
      <c r="BL2294" s="73"/>
      <c r="BM2294" s="73"/>
      <c r="BN2294" s="73"/>
      <c r="BO2294" s="73"/>
      <c r="BP2294" s="73"/>
      <c r="BQ2294" s="73"/>
      <c r="BR2294" s="73"/>
      <c r="BS2294" s="73"/>
      <c r="BT2294" s="73"/>
      <c r="BU2294" s="73"/>
      <c r="BV2294" s="73"/>
      <c r="BW2294" s="73"/>
      <c r="BX2294" s="73"/>
      <c r="BY2294" s="73"/>
      <c r="BZ2294" s="73"/>
      <c r="CA2294" s="73"/>
      <c r="CB2294" s="73"/>
      <c r="CC2294" s="73"/>
      <c r="CD2294" s="73"/>
      <c r="CE2294" s="73"/>
      <c r="CF2294" s="73"/>
      <c r="CG2294" s="73"/>
      <c r="CH2294" s="73"/>
    </row>
    <row r="2295">
      <c r="A2295" s="73"/>
      <c r="B2295" s="73"/>
      <c r="C2295" s="73"/>
      <c r="D2295" s="73"/>
      <c r="E2295" s="140"/>
      <c r="F2295" s="80"/>
      <c r="G2295" s="80"/>
      <c r="H2295" s="73"/>
      <c r="I2295" s="73"/>
      <c r="J2295" s="73"/>
      <c r="K2295" s="73"/>
      <c r="L2295" s="73"/>
      <c r="M2295" s="73"/>
      <c r="N2295" s="73"/>
      <c r="O2295" s="73"/>
      <c r="P2295" s="73"/>
      <c r="Q2295" s="73"/>
      <c r="R2295" s="73"/>
      <c r="S2295" s="73"/>
      <c r="T2295" s="73"/>
      <c r="U2295" s="73"/>
      <c r="V2295" s="73"/>
      <c r="W2295" s="73"/>
      <c r="X2295" s="73"/>
      <c r="Y2295" s="73"/>
      <c r="Z2295" s="73"/>
      <c r="AA2295" s="73"/>
      <c r="AB2295" s="73"/>
      <c r="AC2295" s="73"/>
      <c r="AD2295" s="73"/>
      <c r="AE2295" s="73"/>
      <c r="AF2295" s="73"/>
      <c r="AG2295" s="73"/>
      <c r="AH2295" s="73"/>
      <c r="AI2295" s="73"/>
      <c r="AJ2295" s="168"/>
      <c r="AK2295" s="73"/>
      <c r="AL2295" s="73"/>
      <c r="AM2295" s="73"/>
      <c r="AN2295" s="73"/>
      <c r="AO2295" s="73"/>
      <c r="AP2295" s="73"/>
      <c r="AQ2295" s="73"/>
      <c r="AR2295" s="73"/>
      <c r="AS2295" s="73"/>
      <c r="AT2295" s="73"/>
      <c r="AU2295" s="73"/>
      <c r="AV2295" s="73"/>
      <c r="AW2295" s="73"/>
      <c r="AX2295" s="73"/>
      <c r="AY2295" s="73"/>
      <c r="AZ2295" s="73"/>
      <c r="BA2295" s="73"/>
      <c r="BB2295" s="73"/>
      <c r="BC2295" s="73"/>
      <c r="BD2295" s="73"/>
      <c r="BE2295" s="73"/>
      <c r="BF2295" s="75"/>
      <c r="BG2295" s="73"/>
      <c r="BH2295" s="88"/>
      <c r="BI2295" s="73"/>
      <c r="BJ2295" s="73"/>
      <c r="BK2295" s="73"/>
      <c r="BL2295" s="73"/>
      <c r="BM2295" s="73"/>
      <c r="BN2295" s="73"/>
      <c r="BO2295" s="73"/>
      <c r="BP2295" s="73"/>
      <c r="BQ2295" s="73"/>
      <c r="BR2295" s="73"/>
      <c r="BS2295" s="73"/>
      <c r="BT2295" s="73"/>
      <c r="BU2295" s="73"/>
      <c r="BV2295" s="73"/>
      <c r="BW2295" s="73"/>
      <c r="BX2295" s="73"/>
      <c r="BY2295" s="73"/>
      <c r="BZ2295" s="73"/>
      <c r="CA2295" s="73"/>
      <c r="CB2295" s="73"/>
      <c r="CC2295" s="73"/>
      <c r="CD2295" s="73"/>
      <c r="CE2295" s="73"/>
      <c r="CF2295" s="73"/>
      <c r="CG2295" s="73"/>
      <c r="CH2295" s="73"/>
    </row>
    <row r="2296">
      <c r="A2296" s="73"/>
      <c r="B2296" s="73"/>
      <c r="C2296" s="73"/>
      <c r="D2296" s="73"/>
      <c r="E2296" s="140"/>
      <c r="F2296" s="80"/>
      <c r="G2296" s="80"/>
      <c r="H2296" s="73"/>
      <c r="I2296" s="73"/>
      <c r="J2296" s="73"/>
      <c r="K2296" s="73"/>
      <c r="L2296" s="73"/>
      <c r="M2296" s="73"/>
      <c r="N2296" s="73"/>
      <c r="O2296" s="73"/>
      <c r="P2296" s="73"/>
      <c r="Q2296" s="73"/>
      <c r="R2296" s="73"/>
      <c r="S2296" s="73"/>
      <c r="T2296" s="73"/>
      <c r="U2296" s="73"/>
      <c r="V2296" s="73"/>
      <c r="W2296" s="73"/>
      <c r="X2296" s="73"/>
      <c r="Y2296" s="73"/>
      <c r="Z2296" s="73"/>
      <c r="AA2296" s="73"/>
      <c r="AB2296" s="73"/>
      <c r="AC2296" s="73"/>
      <c r="AD2296" s="73"/>
      <c r="AE2296" s="73"/>
      <c r="AF2296" s="73"/>
      <c r="AG2296" s="73"/>
      <c r="AH2296" s="73"/>
      <c r="AI2296" s="73"/>
      <c r="AJ2296" s="168"/>
      <c r="AK2296" s="73"/>
      <c r="AL2296" s="73"/>
      <c r="AM2296" s="73"/>
      <c r="AN2296" s="73"/>
      <c r="AO2296" s="73"/>
      <c r="AP2296" s="73"/>
      <c r="AQ2296" s="73"/>
      <c r="AR2296" s="73"/>
      <c r="AS2296" s="73"/>
      <c r="AT2296" s="73"/>
      <c r="AU2296" s="73"/>
      <c r="AV2296" s="73"/>
      <c r="AW2296" s="73"/>
      <c r="AX2296" s="73"/>
      <c r="AY2296" s="73"/>
      <c r="AZ2296" s="73"/>
      <c r="BA2296" s="73"/>
      <c r="BB2296" s="73"/>
      <c r="BC2296" s="73"/>
      <c r="BD2296" s="73"/>
      <c r="BE2296" s="73"/>
      <c r="BF2296" s="75"/>
      <c r="BG2296" s="73"/>
      <c r="BH2296" s="88"/>
      <c r="BI2296" s="73"/>
      <c r="BJ2296" s="73"/>
      <c r="BK2296" s="73"/>
      <c r="BL2296" s="73"/>
      <c r="BM2296" s="73"/>
      <c r="BN2296" s="73"/>
      <c r="BO2296" s="73"/>
      <c r="BP2296" s="73"/>
      <c r="BQ2296" s="73"/>
      <c r="BR2296" s="73"/>
      <c r="BS2296" s="73"/>
      <c r="BT2296" s="73"/>
      <c r="BU2296" s="73"/>
      <c r="BV2296" s="73"/>
      <c r="BW2296" s="73"/>
      <c r="BX2296" s="73"/>
      <c r="BY2296" s="73"/>
      <c r="BZ2296" s="73"/>
      <c r="CA2296" s="73"/>
      <c r="CB2296" s="73"/>
      <c r="CC2296" s="73"/>
      <c r="CD2296" s="73"/>
      <c r="CE2296" s="73"/>
      <c r="CF2296" s="73"/>
      <c r="CG2296" s="73"/>
      <c r="CH2296" s="73"/>
    </row>
    <row r="2297">
      <c r="A2297" s="73"/>
      <c r="B2297" s="73"/>
      <c r="C2297" s="73"/>
      <c r="D2297" s="73"/>
      <c r="E2297" s="140"/>
      <c r="F2297" s="80"/>
      <c r="G2297" s="80"/>
      <c r="H2297" s="73"/>
      <c r="I2297" s="73"/>
      <c r="J2297" s="73"/>
      <c r="K2297" s="73"/>
      <c r="L2297" s="73"/>
      <c r="M2297" s="73"/>
      <c r="N2297" s="73"/>
      <c r="O2297" s="73"/>
      <c r="P2297" s="73"/>
      <c r="Q2297" s="73"/>
      <c r="R2297" s="73"/>
      <c r="S2297" s="73"/>
      <c r="T2297" s="73"/>
      <c r="U2297" s="73"/>
      <c r="V2297" s="73"/>
      <c r="W2297" s="73"/>
      <c r="X2297" s="73"/>
      <c r="Y2297" s="73"/>
      <c r="Z2297" s="73"/>
      <c r="AA2297" s="73"/>
      <c r="AB2297" s="73"/>
      <c r="AC2297" s="73"/>
      <c r="AD2297" s="73"/>
      <c r="AE2297" s="73"/>
      <c r="AF2297" s="73"/>
      <c r="AG2297" s="73"/>
      <c r="AH2297" s="73"/>
      <c r="AI2297" s="73"/>
      <c r="AJ2297" s="168"/>
      <c r="AK2297" s="73"/>
      <c r="AL2297" s="73"/>
      <c r="AM2297" s="73"/>
      <c r="AN2297" s="73"/>
      <c r="AO2297" s="73"/>
      <c r="AP2297" s="73"/>
      <c r="AQ2297" s="73"/>
      <c r="AR2297" s="73"/>
      <c r="AS2297" s="73"/>
      <c r="AT2297" s="73"/>
      <c r="AU2297" s="73"/>
      <c r="AV2297" s="73"/>
      <c r="AW2297" s="73"/>
      <c r="AX2297" s="73"/>
      <c r="AY2297" s="73"/>
      <c r="AZ2297" s="73"/>
      <c r="BA2297" s="73"/>
      <c r="BB2297" s="73"/>
      <c r="BC2297" s="73"/>
      <c r="BD2297" s="73"/>
      <c r="BE2297" s="73"/>
      <c r="BF2297" s="75"/>
      <c r="BG2297" s="73"/>
      <c r="BH2297" s="88"/>
      <c r="BI2297" s="73"/>
      <c r="BJ2297" s="73"/>
      <c r="BK2297" s="73"/>
      <c r="BL2297" s="73"/>
      <c r="BM2297" s="73"/>
      <c r="BN2297" s="73"/>
      <c r="BO2297" s="73"/>
      <c r="BP2297" s="73"/>
      <c r="BQ2297" s="73"/>
      <c r="BR2297" s="73"/>
      <c r="BS2297" s="73"/>
      <c r="BT2297" s="73"/>
      <c r="BU2297" s="73"/>
      <c r="BV2297" s="73"/>
      <c r="BW2297" s="73"/>
      <c r="BX2297" s="73"/>
      <c r="BY2297" s="73"/>
      <c r="BZ2297" s="73"/>
      <c r="CA2297" s="73"/>
      <c r="CB2297" s="73"/>
      <c r="CC2297" s="73"/>
      <c r="CD2297" s="73"/>
      <c r="CE2297" s="73"/>
      <c r="CF2297" s="73"/>
      <c r="CG2297" s="73"/>
      <c r="CH2297" s="73"/>
    </row>
    <row r="2298">
      <c r="A2298" s="73"/>
      <c r="B2298" s="73"/>
      <c r="C2298" s="73"/>
      <c r="D2298" s="73"/>
      <c r="E2298" s="140"/>
      <c r="F2298" s="80"/>
      <c r="G2298" s="80"/>
      <c r="H2298" s="73"/>
      <c r="I2298" s="73"/>
      <c r="J2298" s="73"/>
      <c r="K2298" s="73"/>
      <c r="L2298" s="73"/>
      <c r="M2298" s="73"/>
      <c r="N2298" s="73"/>
      <c r="O2298" s="73"/>
      <c r="P2298" s="73"/>
      <c r="Q2298" s="73"/>
      <c r="R2298" s="73"/>
      <c r="S2298" s="73"/>
      <c r="T2298" s="73"/>
      <c r="U2298" s="73"/>
      <c r="V2298" s="73"/>
      <c r="W2298" s="73"/>
      <c r="X2298" s="73"/>
      <c r="Y2298" s="73"/>
      <c r="Z2298" s="73"/>
      <c r="AA2298" s="73"/>
      <c r="AB2298" s="73"/>
      <c r="AC2298" s="73"/>
      <c r="AD2298" s="73"/>
      <c r="AE2298" s="73"/>
      <c r="AF2298" s="73"/>
      <c r="AG2298" s="73"/>
      <c r="AH2298" s="73"/>
      <c r="AI2298" s="73"/>
      <c r="AJ2298" s="168"/>
      <c r="AK2298" s="73"/>
      <c r="AL2298" s="73"/>
      <c r="AM2298" s="73"/>
      <c r="AN2298" s="73"/>
      <c r="AO2298" s="73"/>
      <c r="AP2298" s="73"/>
      <c r="AQ2298" s="73"/>
      <c r="AR2298" s="73"/>
      <c r="AS2298" s="73"/>
      <c r="AT2298" s="73"/>
      <c r="AU2298" s="73"/>
      <c r="AV2298" s="73"/>
      <c r="AW2298" s="73"/>
      <c r="AX2298" s="73"/>
      <c r="AY2298" s="73"/>
      <c r="AZ2298" s="73"/>
      <c r="BA2298" s="73"/>
      <c r="BB2298" s="73"/>
      <c r="BC2298" s="73"/>
      <c r="BD2298" s="73"/>
      <c r="BE2298" s="73"/>
      <c r="BF2298" s="75"/>
      <c r="BG2298" s="73"/>
      <c r="BH2298" s="88"/>
      <c r="BI2298" s="73"/>
      <c r="BJ2298" s="73"/>
      <c r="BK2298" s="73"/>
      <c r="BL2298" s="73"/>
      <c r="BM2298" s="73"/>
      <c r="BN2298" s="73"/>
      <c r="BO2298" s="73"/>
      <c r="BP2298" s="73"/>
      <c r="BQ2298" s="73"/>
      <c r="BR2298" s="73"/>
      <c r="BS2298" s="73"/>
      <c r="BT2298" s="73"/>
      <c r="BU2298" s="73"/>
      <c r="BV2298" s="73"/>
      <c r="BW2298" s="73"/>
      <c r="BX2298" s="73"/>
      <c r="BY2298" s="73"/>
      <c r="BZ2298" s="73"/>
      <c r="CA2298" s="73"/>
      <c r="CB2298" s="73"/>
      <c r="CC2298" s="73"/>
      <c r="CD2298" s="73"/>
      <c r="CE2298" s="73"/>
      <c r="CF2298" s="73"/>
      <c r="CG2298" s="73"/>
      <c r="CH2298" s="73"/>
    </row>
    <row r="2299">
      <c r="A2299" s="73"/>
      <c r="B2299" s="73"/>
      <c r="C2299" s="73"/>
      <c r="D2299" s="73"/>
      <c r="E2299" s="140"/>
      <c r="F2299" s="80"/>
      <c r="G2299" s="80"/>
      <c r="H2299" s="73"/>
      <c r="I2299" s="73"/>
      <c r="J2299" s="73"/>
      <c r="K2299" s="73"/>
      <c r="L2299" s="73"/>
      <c r="M2299" s="73"/>
      <c r="N2299" s="73"/>
      <c r="O2299" s="73"/>
      <c r="P2299" s="73"/>
      <c r="Q2299" s="73"/>
      <c r="R2299" s="73"/>
      <c r="S2299" s="73"/>
      <c r="T2299" s="73"/>
      <c r="U2299" s="73"/>
      <c r="V2299" s="73"/>
      <c r="W2299" s="73"/>
      <c r="X2299" s="73"/>
      <c r="Y2299" s="73"/>
      <c r="Z2299" s="73"/>
      <c r="AA2299" s="73"/>
      <c r="AB2299" s="73"/>
      <c r="AC2299" s="73"/>
      <c r="AD2299" s="73"/>
      <c r="AE2299" s="73"/>
      <c r="AF2299" s="73"/>
      <c r="AG2299" s="73"/>
      <c r="AH2299" s="73"/>
      <c r="AI2299" s="73"/>
      <c r="AJ2299" s="168"/>
      <c r="AK2299" s="73"/>
      <c r="AL2299" s="73"/>
      <c r="AM2299" s="73"/>
      <c r="AN2299" s="73"/>
      <c r="AO2299" s="73"/>
      <c r="AP2299" s="73"/>
      <c r="AQ2299" s="73"/>
      <c r="AR2299" s="73"/>
      <c r="AS2299" s="73"/>
      <c r="AT2299" s="73"/>
      <c r="AU2299" s="73"/>
      <c r="AV2299" s="73"/>
      <c r="AW2299" s="73"/>
      <c r="AX2299" s="73"/>
      <c r="AY2299" s="73"/>
      <c r="AZ2299" s="73"/>
      <c r="BA2299" s="73"/>
      <c r="BB2299" s="73"/>
      <c r="BC2299" s="73"/>
      <c r="BD2299" s="73"/>
      <c r="BE2299" s="73"/>
      <c r="BF2299" s="75"/>
      <c r="BG2299" s="73"/>
      <c r="BH2299" s="88"/>
      <c r="BI2299" s="73"/>
      <c r="BJ2299" s="73"/>
      <c r="BK2299" s="73"/>
      <c r="BL2299" s="73"/>
      <c r="BM2299" s="73"/>
      <c r="BN2299" s="73"/>
      <c r="BO2299" s="73"/>
      <c r="BP2299" s="73"/>
      <c r="BQ2299" s="73"/>
      <c r="BR2299" s="73"/>
      <c r="BS2299" s="73"/>
      <c r="BT2299" s="73"/>
      <c r="BU2299" s="73"/>
      <c r="BV2299" s="73"/>
      <c r="BW2299" s="73"/>
      <c r="BX2299" s="73"/>
      <c r="BY2299" s="73"/>
      <c r="BZ2299" s="73"/>
      <c r="CA2299" s="73"/>
      <c r="CB2299" s="73"/>
      <c r="CC2299" s="73"/>
      <c r="CD2299" s="73"/>
      <c r="CE2299" s="73"/>
      <c r="CF2299" s="73"/>
      <c r="CG2299" s="73"/>
      <c r="CH2299" s="73"/>
    </row>
    <row r="2300">
      <c r="A2300" s="73"/>
      <c r="B2300" s="73"/>
      <c r="C2300" s="73"/>
      <c r="D2300" s="73"/>
      <c r="E2300" s="140"/>
      <c r="F2300" s="80"/>
      <c r="G2300" s="80"/>
      <c r="H2300" s="73"/>
      <c r="I2300" s="73"/>
      <c r="J2300" s="73"/>
      <c r="K2300" s="73"/>
      <c r="L2300" s="73"/>
      <c r="M2300" s="73"/>
      <c r="N2300" s="73"/>
      <c r="O2300" s="73"/>
      <c r="P2300" s="73"/>
      <c r="Q2300" s="73"/>
      <c r="R2300" s="73"/>
      <c r="S2300" s="73"/>
      <c r="T2300" s="73"/>
      <c r="U2300" s="73"/>
      <c r="V2300" s="73"/>
      <c r="W2300" s="73"/>
      <c r="X2300" s="73"/>
      <c r="Y2300" s="73"/>
      <c r="Z2300" s="73"/>
      <c r="AA2300" s="73"/>
      <c r="AB2300" s="73"/>
      <c r="AC2300" s="73"/>
      <c r="AD2300" s="73"/>
      <c r="AE2300" s="73"/>
      <c r="AF2300" s="73"/>
      <c r="AG2300" s="73"/>
      <c r="AH2300" s="73"/>
      <c r="AI2300" s="73"/>
      <c r="AJ2300" s="168"/>
      <c r="AK2300" s="73"/>
      <c r="AL2300" s="73"/>
      <c r="AM2300" s="73"/>
      <c r="AN2300" s="73"/>
      <c r="AO2300" s="73"/>
      <c r="AP2300" s="73"/>
      <c r="AQ2300" s="73"/>
      <c r="AR2300" s="73"/>
      <c r="AS2300" s="73"/>
      <c r="AT2300" s="73"/>
      <c r="AU2300" s="73"/>
      <c r="AV2300" s="73"/>
      <c r="AW2300" s="73"/>
      <c r="AX2300" s="73"/>
      <c r="AY2300" s="73"/>
      <c r="AZ2300" s="73"/>
      <c r="BA2300" s="73"/>
      <c r="BB2300" s="73"/>
      <c r="BC2300" s="73"/>
      <c r="BD2300" s="73"/>
      <c r="BE2300" s="73"/>
      <c r="BF2300" s="75"/>
      <c r="BG2300" s="73"/>
      <c r="BH2300" s="88"/>
      <c r="BI2300" s="73"/>
      <c r="BJ2300" s="73"/>
      <c r="BK2300" s="73"/>
      <c r="BL2300" s="73"/>
      <c r="BM2300" s="73"/>
      <c r="BN2300" s="73"/>
      <c r="BO2300" s="73"/>
      <c r="BP2300" s="73"/>
      <c r="BQ2300" s="73"/>
      <c r="BR2300" s="73"/>
      <c r="BS2300" s="73"/>
      <c r="BT2300" s="73"/>
      <c r="BU2300" s="73"/>
      <c r="BV2300" s="73"/>
      <c r="BW2300" s="73"/>
      <c r="BX2300" s="73"/>
      <c r="BY2300" s="73"/>
      <c r="BZ2300" s="73"/>
      <c r="CA2300" s="73"/>
      <c r="CB2300" s="73"/>
      <c r="CC2300" s="73"/>
      <c r="CD2300" s="73"/>
      <c r="CE2300" s="73"/>
      <c r="CF2300" s="73"/>
      <c r="CG2300" s="73"/>
      <c r="CH2300" s="73"/>
    </row>
    <row r="2301">
      <c r="A2301" s="73"/>
      <c r="B2301" s="73"/>
      <c r="C2301" s="73"/>
      <c r="D2301" s="73"/>
      <c r="E2301" s="140"/>
      <c r="F2301" s="80"/>
      <c r="G2301" s="80"/>
      <c r="H2301" s="73"/>
      <c r="I2301" s="73"/>
      <c r="J2301" s="73"/>
      <c r="K2301" s="73"/>
      <c r="L2301" s="73"/>
      <c r="M2301" s="73"/>
      <c r="N2301" s="73"/>
      <c r="O2301" s="73"/>
      <c r="P2301" s="73"/>
      <c r="Q2301" s="73"/>
      <c r="R2301" s="73"/>
      <c r="S2301" s="73"/>
      <c r="T2301" s="73"/>
      <c r="U2301" s="73"/>
      <c r="V2301" s="73"/>
      <c r="W2301" s="73"/>
      <c r="X2301" s="73"/>
      <c r="Y2301" s="73"/>
      <c r="Z2301" s="73"/>
      <c r="AA2301" s="73"/>
      <c r="AB2301" s="73"/>
      <c r="AC2301" s="73"/>
      <c r="AD2301" s="73"/>
      <c r="AE2301" s="73"/>
      <c r="AF2301" s="73"/>
      <c r="AG2301" s="73"/>
      <c r="AH2301" s="73"/>
      <c r="AI2301" s="73"/>
      <c r="AJ2301" s="168"/>
      <c r="AK2301" s="73"/>
      <c r="AL2301" s="73"/>
      <c r="AM2301" s="73"/>
      <c r="AN2301" s="73"/>
      <c r="AO2301" s="73"/>
      <c r="AP2301" s="73"/>
      <c r="AQ2301" s="73"/>
      <c r="AR2301" s="73"/>
      <c r="AS2301" s="73"/>
      <c r="AT2301" s="73"/>
      <c r="AU2301" s="73"/>
      <c r="AV2301" s="73"/>
      <c r="AW2301" s="73"/>
      <c r="AX2301" s="73"/>
      <c r="AY2301" s="73"/>
      <c r="AZ2301" s="73"/>
      <c r="BA2301" s="73"/>
      <c r="BB2301" s="73"/>
      <c r="BC2301" s="73"/>
      <c r="BD2301" s="73"/>
      <c r="BE2301" s="73"/>
      <c r="BF2301" s="75"/>
      <c r="BG2301" s="73"/>
      <c r="BH2301" s="88"/>
      <c r="BI2301" s="73"/>
      <c r="BJ2301" s="73"/>
      <c r="BK2301" s="73"/>
      <c r="BL2301" s="73"/>
      <c r="BM2301" s="73"/>
      <c r="BN2301" s="73"/>
      <c r="BO2301" s="73"/>
      <c r="BP2301" s="73"/>
      <c r="BQ2301" s="73"/>
      <c r="BR2301" s="73"/>
      <c r="BS2301" s="73"/>
      <c r="BT2301" s="73"/>
      <c r="BU2301" s="73"/>
      <c r="BV2301" s="73"/>
      <c r="BW2301" s="73"/>
      <c r="BX2301" s="73"/>
      <c r="BY2301" s="73"/>
      <c r="BZ2301" s="73"/>
      <c r="CA2301" s="73"/>
      <c r="CB2301" s="73"/>
      <c r="CC2301" s="73"/>
      <c r="CD2301" s="73"/>
      <c r="CE2301" s="73"/>
      <c r="CF2301" s="73"/>
      <c r="CG2301" s="73"/>
      <c r="CH2301" s="73"/>
    </row>
    <row r="2302">
      <c r="A2302" s="73"/>
      <c r="B2302" s="73"/>
      <c r="C2302" s="73"/>
      <c r="D2302" s="73"/>
      <c r="E2302" s="140"/>
      <c r="F2302" s="80"/>
      <c r="G2302" s="80"/>
      <c r="H2302" s="73"/>
      <c r="I2302" s="73"/>
      <c r="J2302" s="73"/>
      <c r="K2302" s="73"/>
      <c r="L2302" s="73"/>
      <c r="M2302" s="73"/>
      <c r="N2302" s="73"/>
      <c r="O2302" s="73"/>
      <c r="P2302" s="73"/>
      <c r="Q2302" s="73"/>
      <c r="R2302" s="73"/>
      <c r="S2302" s="73"/>
      <c r="T2302" s="73"/>
      <c r="U2302" s="73"/>
      <c r="V2302" s="73"/>
      <c r="W2302" s="73"/>
      <c r="X2302" s="73"/>
      <c r="Y2302" s="73"/>
      <c r="Z2302" s="73"/>
      <c r="AA2302" s="73"/>
      <c r="AB2302" s="73"/>
      <c r="AC2302" s="73"/>
      <c r="AD2302" s="73"/>
      <c r="AE2302" s="73"/>
      <c r="AF2302" s="73"/>
      <c r="AG2302" s="73"/>
      <c r="AH2302" s="73"/>
      <c r="AI2302" s="73"/>
      <c r="AJ2302" s="168"/>
      <c r="AK2302" s="73"/>
      <c r="AL2302" s="73"/>
      <c r="AM2302" s="73"/>
      <c r="AN2302" s="73"/>
      <c r="AO2302" s="73"/>
      <c r="AP2302" s="73"/>
      <c r="AQ2302" s="73"/>
      <c r="AR2302" s="73"/>
      <c r="AS2302" s="73"/>
      <c r="AT2302" s="73"/>
      <c r="AU2302" s="73"/>
      <c r="AV2302" s="73"/>
      <c r="AW2302" s="73"/>
      <c r="AX2302" s="73"/>
      <c r="AY2302" s="73"/>
      <c r="AZ2302" s="73"/>
      <c r="BA2302" s="73"/>
      <c r="BB2302" s="73"/>
      <c r="BC2302" s="73"/>
      <c r="BD2302" s="73"/>
      <c r="BE2302" s="73"/>
      <c r="BF2302" s="75"/>
      <c r="BG2302" s="73"/>
      <c r="BH2302" s="88"/>
      <c r="BI2302" s="73"/>
      <c r="BJ2302" s="73"/>
      <c r="BK2302" s="73"/>
      <c r="BL2302" s="73"/>
      <c r="BM2302" s="73"/>
      <c r="BN2302" s="73"/>
      <c r="BO2302" s="73"/>
      <c r="BP2302" s="73"/>
      <c r="BQ2302" s="73"/>
      <c r="BR2302" s="73"/>
      <c r="BS2302" s="73"/>
      <c r="BT2302" s="73"/>
      <c r="BU2302" s="73"/>
      <c r="BV2302" s="73"/>
      <c r="BW2302" s="73"/>
      <c r="BX2302" s="73"/>
      <c r="BY2302" s="73"/>
      <c r="BZ2302" s="73"/>
      <c r="CA2302" s="73"/>
      <c r="CB2302" s="73"/>
      <c r="CC2302" s="73"/>
      <c r="CD2302" s="73"/>
      <c r="CE2302" s="73"/>
      <c r="CF2302" s="73"/>
      <c r="CG2302" s="73"/>
      <c r="CH2302" s="73"/>
    </row>
    <row r="2303">
      <c r="A2303" s="73"/>
      <c r="B2303" s="73"/>
      <c r="C2303" s="73"/>
      <c r="D2303" s="73"/>
      <c r="E2303" s="140"/>
      <c r="F2303" s="80"/>
      <c r="G2303" s="80"/>
      <c r="H2303" s="73"/>
      <c r="I2303" s="73"/>
      <c r="J2303" s="73"/>
      <c r="K2303" s="73"/>
      <c r="L2303" s="73"/>
      <c r="M2303" s="73"/>
      <c r="N2303" s="73"/>
      <c r="O2303" s="73"/>
      <c r="P2303" s="73"/>
      <c r="Q2303" s="73"/>
      <c r="R2303" s="73"/>
      <c r="S2303" s="73"/>
      <c r="T2303" s="73"/>
      <c r="U2303" s="73"/>
      <c r="V2303" s="73"/>
      <c r="W2303" s="73"/>
      <c r="X2303" s="73"/>
      <c r="Y2303" s="73"/>
      <c r="Z2303" s="73"/>
      <c r="AA2303" s="73"/>
      <c r="AB2303" s="73"/>
      <c r="AC2303" s="73"/>
      <c r="AD2303" s="73"/>
      <c r="AE2303" s="73"/>
      <c r="AF2303" s="73"/>
      <c r="AG2303" s="73"/>
      <c r="AH2303" s="73"/>
      <c r="AI2303" s="73"/>
      <c r="AJ2303" s="168"/>
      <c r="AK2303" s="73"/>
      <c r="AL2303" s="73"/>
      <c r="AM2303" s="73"/>
      <c r="AN2303" s="73"/>
      <c r="AO2303" s="73"/>
      <c r="AP2303" s="73"/>
      <c r="AQ2303" s="73"/>
      <c r="AR2303" s="73"/>
      <c r="AS2303" s="73"/>
      <c r="AT2303" s="73"/>
      <c r="AU2303" s="73"/>
      <c r="AV2303" s="73"/>
      <c r="AW2303" s="73"/>
      <c r="AX2303" s="73"/>
      <c r="AY2303" s="73"/>
      <c r="AZ2303" s="73"/>
      <c r="BA2303" s="73"/>
      <c r="BB2303" s="73"/>
      <c r="BC2303" s="73"/>
      <c r="BD2303" s="73"/>
      <c r="BE2303" s="73"/>
      <c r="BF2303" s="75"/>
      <c r="BG2303" s="73"/>
      <c r="BH2303" s="88"/>
      <c r="BI2303" s="73"/>
      <c r="BJ2303" s="73"/>
      <c r="BK2303" s="73"/>
      <c r="BL2303" s="73"/>
      <c r="BM2303" s="73"/>
      <c r="BN2303" s="73"/>
      <c r="BO2303" s="73"/>
      <c r="BP2303" s="73"/>
      <c r="BQ2303" s="73"/>
      <c r="BR2303" s="73"/>
      <c r="BS2303" s="73"/>
      <c r="BT2303" s="73"/>
      <c r="BU2303" s="73"/>
      <c r="BV2303" s="73"/>
      <c r="BW2303" s="73"/>
      <c r="BX2303" s="73"/>
      <c r="BY2303" s="73"/>
      <c r="BZ2303" s="73"/>
      <c r="CA2303" s="73"/>
      <c r="CB2303" s="73"/>
      <c r="CC2303" s="73"/>
      <c r="CD2303" s="73"/>
      <c r="CE2303" s="73"/>
      <c r="CF2303" s="73"/>
      <c r="CG2303" s="73"/>
      <c r="CH2303" s="73"/>
    </row>
    <row r="2304">
      <c r="A2304" s="73"/>
      <c r="B2304" s="73"/>
      <c r="C2304" s="73"/>
      <c r="D2304" s="73"/>
      <c r="E2304" s="140"/>
      <c r="F2304" s="80"/>
      <c r="G2304" s="80"/>
      <c r="H2304" s="73"/>
      <c r="I2304" s="73"/>
      <c r="J2304" s="73"/>
      <c r="K2304" s="73"/>
      <c r="L2304" s="73"/>
      <c r="M2304" s="73"/>
      <c r="N2304" s="73"/>
      <c r="O2304" s="73"/>
      <c r="P2304" s="73"/>
      <c r="Q2304" s="73"/>
      <c r="R2304" s="73"/>
      <c r="S2304" s="73"/>
      <c r="T2304" s="73"/>
      <c r="U2304" s="73"/>
      <c r="V2304" s="73"/>
      <c r="W2304" s="73"/>
      <c r="X2304" s="73"/>
      <c r="Y2304" s="73"/>
      <c r="Z2304" s="73"/>
      <c r="AA2304" s="73"/>
      <c r="AB2304" s="73"/>
      <c r="AC2304" s="73"/>
      <c r="AD2304" s="73"/>
      <c r="AE2304" s="73"/>
      <c r="AF2304" s="73"/>
      <c r="AG2304" s="73"/>
      <c r="AH2304" s="73"/>
      <c r="AI2304" s="73"/>
      <c r="AJ2304" s="168"/>
      <c r="AK2304" s="73"/>
      <c r="AL2304" s="73"/>
      <c r="AM2304" s="73"/>
      <c r="AN2304" s="73"/>
      <c r="AO2304" s="73"/>
      <c r="AP2304" s="73"/>
      <c r="AQ2304" s="73"/>
      <c r="AR2304" s="73"/>
      <c r="AS2304" s="73"/>
      <c r="AT2304" s="73"/>
      <c r="AU2304" s="73"/>
      <c r="AV2304" s="73"/>
      <c r="AW2304" s="73"/>
      <c r="AX2304" s="73"/>
      <c r="AY2304" s="73"/>
      <c r="AZ2304" s="73"/>
      <c r="BA2304" s="73"/>
      <c r="BB2304" s="73"/>
      <c r="BC2304" s="73"/>
      <c r="BD2304" s="73"/>
      <c r="BE2304" s="73"/>
      <c r="BF2304" s="75"/>
      <c r="BG2304" s="73"/>
      <c r="BH2304" s="88"/>
      <c r="BI2304" s="73"/>
      <c r="BJ2304" s="73"/>
      <c r="BK2304" s="73"/>
      <c r="BL2304" s="73"/>
      <c r="BM2304" s="73"/>
      <c r="BN2304" s="73"/>
      <c r="BO2304" s="73"/>
      <c r="BP2304" s="73"/>
      <c r="BQ2304" s="73"/>
      <c r="BR2304" s="73"/>
      <c r="BS2304" s="73"/>
      <c r="BT2304" s="73"/>
      <c r="BU2304" s="73"/>
      <c r="BV2304" s="73"/>
      <c r="BW2304" s="73"/>
      <c r="BX2304" s="73"/>
      <c r="BY2304" s="73"/>
      <c r="BZ2304" s="73"/>
      <c r="CA2304" s="73"/>
      <c r="CB2304" s="73"/>
      <c r="CC2304" s="73"/>
      <c r="CD2304" s="73"/>
      <c r="CE2304" s="73"/>
      <c r="CF2304" s="73"/>
      <c r="CG2304" s="73"/>
      <c r="CH2304" s="73"/>
    </row>
    <row r="2305">
      <c r="A2305" s="73"/>
      <c r="B2305" s="73"/>
      <c r="C2305" s="73"/>
      <c r="D2305" s="73"/>
      <c r="E2305" s="140"/>
      <c r="F2305" s="80"/>
      <c r="G2305" s="80"/>
      <c r="H2305" s="73"/>
      <c r="I2305" s="73"/>
      <c r="J2305" s="73"/>
      <c r="K2305" s="73"/>
      <c r="L2305" s="73"/>
      <c r="M2305" s="73"/>
      <c r="N2305" s="73"/>
      <c r="O2305" s="73"/>
      <c r="P2305" s="73"/>
      <c r="Q2305" s="73"/>
      <c r="R2305" s="73"/>
      <c r="S2305" s="73"/>
      <c r="T2305" s="73"/>
      <c r="U2305" s="73"/>
      <c r="V2305" s="73"/>
      <c r="W2305" s="73"/>
      <c r="X2305" s="73"/>
      <c r="Y2305" s="73"/>
      <c r="Z2305" s="73"/>
      <c r="AA2305" s="73"/>
      <c r="AB2305" s="73"/>
      <c r="AC2305" s="73"/>
      <c r="AD2305" s="73"/>
      <c r="AE2305" s="73"/>
      <c r="AF2305" s="73"/>
      <c r="AG2305" s="73"/>
      <c r="AH2305" s="73"/>
      <c r="AI2305" s="73"/>
      <c r="AJ2305" s="168"/>
      <c r="AK2305" s="73"/>
      <c r="AL2305" s="73"/>
      <c r="AM2305" s="73"/>
      <c r="AN2305" s="73"/>
      <c r="AO2305" s="73"/>
      <c r="AP2305" s="73"/>
      <c r="AQ2305" s="73"/>
      <c r="AR2305" s="73"/>
      <c r="AS2305" s="73"/>
      <c r="AT2305" s="73"/>
      <c r="AU2305" s="73"/>
      <c r="AV2305" s="73"/>
      <c r="AW2305" s="73"/>
      <c r="AX2305" s="73"/>
      <c r="AY2305" s="73"/>
      <c r="AZ2305" s="73"/>
      <c r="BA2305" s="73"/>
      <c r="BB2305" s="73"/>
      <c r="BC2305" s="73"/>
      <c r="BD2305" s="73"/>
      <c r="BE2305" s="73"/>
      <c r="BF2305" s="75"/>
      <c r="BG2305" s="73"/>
      <c r="BH2305" s="88"/>
      <c r="BI2305" s="73"/>
      <c r="BJ2305" s="73"/>
      <c r="BK2305" s="73"/>
      <c r="BL2305" s="73"/>
      <c r="BM2305" s="73"/>
      <c r="BN2305" s="73"/>
      <c r="BO2305" s="73"/>
      <c r="BP2305" s="73"/>
      <c r="BQ2305" s="73"/>
      <c r="BR2305" s="73"/>
      <c r="BS2305" s="73"/>
      <c r="BT2305" s="73"/>
      <c r="BU2305" s="73"/>
      <c r="BV2305" s="73"/>
      <c r="BW2305" s="73"/>
      <c r="BX2305" s="73"/>
      <c r="BY2305" s="73"/>
      <c r="BZ2305" s="73"/>
      <c r="CA2305" s="73"/>
      <c r="CB2305" s="73"/>
      <c r="CC2305" s="73"/>
      <c r="CD2305" s="73"/>
      <c r="CE2305" s="73"/>
      <c r="CF2305" s="73"/>
      <c r="CG2305" s="73"/>
      <c r="CH2305" s="73"/>
    </row>
    <row r="2306">
      <c r="A2306" s="73"/>
      <c r="B2306" s="73"/>
      <c r="C2306" s="73"/>
      <c r="D2306" s="73"/>
      <c r="E2306" s="140"/>
      <c r="F2306" s="80"/>
      <c r="G2306" s="80"/>
      <c r="H2306" s="73"/>
      <c r="I2306" s="73"/>
      <c r="J2306" s="73"/>
      <c r="K2306" s="73"/>
      <c r="L2306" s="73"/>
      <c r="M2306" s="73"/>
      <c r="N2306" s="73"/>
      <c r="O2306" s="73"/>
      <c r="P2306" s="73"/>
      <c r="Q2306" s="73"/>
      <c r="R2306" s="73"/>
      <c r="S2306" s="73"/>
      <c r="T2306" s="73"/>
      <c r="U2306" s="73"/>
      <c r="V2306" s="73"/>
      <c r="W2306" s="73"/>
      <c r="X2306" s="73"/>
      <c r="Y2306" s="73"/>
      <c r="Z2306" s="73"/>
      <c r="AA2306" s="73"/>
      <c r="AB2306" s="73"/>
      <c r="AC2306" s="73"/>
      <c r="AD2306" s="73"/>
      <c r="AE2306" s="73"/>
      <c r="AF2306" s="73"/>
      <c r="AG2306" s="73"/>
      <c r="AH2306" s="73"/>
      <c r="AI2306" s="73"/>
      <c r="AJ2306" s="168"/>
      <c r="AK2306" s="73"/>
      <c r="AL2306" s="73"/>
      <c r="AM2306" s="73"/>
      <c r="AN2306" s="73"/>
      <c r="AO2306" s="73"/>
      <c r="AP2306" s="73"/>
      <c r="AQ2306" s="73"/>
      <c r="AR2306" s="73"/>
      <c r="AS2306" s="73"/>
      <c r="AT2306" s="73"/>
      <c r="AU2306" s="73"/>
      <c r="AV2306" s="73"/>
      <c r="AW2306" s="73"/>
      <c r="AX2306" s="73"/>
      <c r="AY2306" s="73"/>
      <c r="AZ2306" s="73"/>
      <c r="BA2306" s="73"/>
      <c r="BB2306" s="73"/>
      <c r="BC2306" s="73"/>
      <c r="BD2306" s="73"/>
      <c r="BE2306" s="73"/>
      <c r="BF2306" s="75"/>
      <c r="BG2306" s="73"/>
      <c r="BH2306" s="88"/>
      <c r="BI2306" s="73"/>
      <c r="BJ2306" s="73"/>
      <c r="BK2306" s="73"/>
      <c r="BL2306" s="73"/>
      <c r="BM2306" s="73"/>
      <c r="BN2306" s="73"/>
      <c r="BO2306" s="73"/>
      <c r="BP2306" s="73"/>
      <c r="BQ2306" s="73"/>
      <c r="BR2306" s="73"/>
      <c r="BS2306" s="73"/>
      <c r="BT2306" s="73"/>
      <c r="BU2306" s="73"/>
      <c r="BV2306" s="73"/>
      <c r="BW2306" s="73"/>
      <c r="BX2306" s="73"/>
      <c r="BY2306" s="73"/>
      <c r="BZ2306" s="73"/>
      <c r="CA2306" s="73"/>
      <c r="CB2306" s="73"/>
      <c r="CC2306" s="73"/>
      <c r="CD2306" s="73"/>
      <c r="CE2306" s="73"/>
      <c r="CF2306" s="73"/>
      <c r="CG2306" s="73"/>
      <c r="CH2306" s="73"/>
    </row>
    <row r="2307">
      <c r="A2307" s="73"/>
      <c r="B2307" s="73"/>
      <c r="C2307" s="73"/>
      <c r="D2307" s="73"/>
      <c r="E2307" s="140"/>
      <c r="F2307" s="80"/>
      <c r="G2307" s="80"/>
      <c r="H2307" s="73"/>
      <c r="I2307" s="73"/>
      <c r="J2307" s="73"/>
      <c r="K2307" s="73"/>
      <c r="L2307" s="73"/>
      <c r="M2307" s="73"/>
      <c r="N2307" s="73"/>
      <c r="O2307" s="73"/>
      <c r="P2307" s="73"/>
      <c r="Q2307" s="73"/>
      <c r="R2307" s="73"/>
      <c r="S2307" s="73"/>
      <c r="T2307" s="73"/>
      <c r="U2307" s="73"/>
      <c r="V2307" s="73"/>
      <c r="W2307" s="73"/>
      <c r="X2307" s="73"/>
      <c r="Y2307" s="73"/>
      <c r="Z2307" s="73"/>
      <c r="AA2307" s="73"/>
      <c r="AB2307" s="73"/>
      <c r="AC2307" s="73"/>
      <c r="AD2307" s="73"/>
      <c r="AE2307" s="73"/>
      <c r="AF2307" s="73"/>
      <c r="AG2307" s="73"/>
      <c r="AH2307" s="73"/>
      <c r="AI2307" s="73"/>
      <c r="AJ2307" s="168"/>
      <c r="AK2307" s="73"/>
      <c r="AL2307" s="73"/>
      <c r="AM2307" s="73"/>
      <c r="AN2307" s="73"/>
      <c r="AO2307" s="73"/>
      <c r="AP2307" s="73"/>
      <c r="AQ2307" s="73"/>
      <c r="AR2307" s="73"/>
      <c r="AS2307" s="73"/>
      <c r="AT2307" s="73"/>
      <c r="AU2307" s="73"/>
      <c r="AV2307" s="73"/>
      <c r="AW2307" s="73"/>
      <c r="AX2307" s="73"/>
      <c r="AY2307" s="73"/>
      <c r="AZ2307" s="73"/>
      <c r="BA2307" s="73"/>
      <c r="BB2307" s="73"/>
      <c r="BC2307" s="73"/>
      <c r="BD2307" s="73"/>
      <c r="BE2307" s="73"/>
      <c r="BF2307" s="75"/>
      <c r="BG2307" s="73"/>
      <c r="BH2307" s="88"/>
      <c r="BI2307" s="73"/>
      <c r="BJ2307" s="73"/>
      <c r="BK2307" s="73"/>
      <c r="BL2307" s="73"/>
      <c r="BM2307" s="73"/>
      <c r="BN2307" s="73"/>
      <c r="BO2307" s="73"/>
      <c r="BP2307" s="73"/>
      <c r="BQ2307" s="73"/>
      <c r="BR2307" s="73"/>
      <c r="BS2307" s="73"/>
      <c r="BT2307" s="73"/>
      <c r="BU2307" s="73"/>
      <c r="BV2307" s="73"/>
      <c r="BW2307" s="73"/>
      <c r="BX2307" s="73"/>
      <c r="BY2307" s="73"/>
      <c r="BZ2307" s="73"/>
      <c r="CA2307" s="73"/>
      <c r="CB2307" s="73"/>
      <c r="CC2307" s="73"/>
      <c r="CD2307" s="73"/>
      <c r="CE2307" s="73"/>
      <c r="CF2307" s="73"/>
      <c r="CG2307" s="73"/>
      <c r="CH2307" s="73"/>
    </row>
    <row r="2308">
      <c r="A2308" s="73"/>
      <c r="B2308" s="73"/>
      <c r="C2308" s="73"/>
      <c r="D2308" s="73"/>
      <c r="E2308" s="140"/>
      <c r="F2308" s="80"/>
      <c r="G2308" s="80"/>
      <c r="H2308" s="73"/>
      <c r="I2308" s="73"/>
      <c r="J2308" s="73"/>
      <c r="K2308" s="73"/>
      <c r="L2308" s="73"/>
      <c r="M2308" s="73"/>
      <c r="N2308" s="73"/>
      <c r="O2308" s="73"/>
      <c r="P2308" s="73"/>
      <c r="Q2308" s="73"/>
      <c r="R2308" s="73"/>
      <c r="S2308" s="73"/>
      <c r="T2308" s="73"/>
      <c r="U2308" s="73"/>
      <c r="V2308" s="73"/>
      <c r="W2308" s="73"/>
      <c r="X2308" s="73"/>
      <c r="Y2308" s="73"/>
      <c r="Z2308" s="73"/>
      <c r="AA2308" s="73"/>
      <c r="AB2308" s="73"/>
      <c r="AC2308" s="73"/>
      <c r="AD2308" s="73"/>
      <c r="AE2308" s="73"/>
      <c r="AF2308" s="73"/>
      <c r="AG2308" s="73"/>
      <c r="AH2308" s="73"/>
      <c r="AI2308" s="73"/>
      <c r="AJ2308" s="168"/>
      <c r="AK2308" s="73"/>
      <c r="AL2308" s="73"/>
      <c r="AM2308" s="73"/>
      <c r="AN2308" s="73"/>
      <c r="AO2308" s="73"/>
      <c r="AP2308" s="73"/>
      <c r="AQ2308" s="73"/>
      <c r="AR2308" s="73"/>
      <c r="AS2308" s="73"/>
      <c r="AT2308" s="73"/>
      <c r="AU2308" s="73"/>
      <c r="AV2308" s="73"/>
      <c r="AW2308" s="73"/>
      <c r="AX2308" s="73"/>
      <c r="AY2308" s="73"/>
      <c r="AZ2308" s="73"/>
      <c r="BA2308" s="73"/>
      <c r="BB2308" s="73"/>
      <c r="BC2308" s="73"/>
      <c r="BD2308" s="73"/>
      <c r="BE2308" s="73"/>
      <c r="BF2308" s="75"/>
      <c r="BG2308" s="73"/>
      <c r="BH2308" s="88"/>
      <c r="BI2308" s="73"/>
      <c r="BJ2308" s="73"/>
      <c r="BK2308" s="73"/>
      <c r="BL2308" s="73"/>
      <c r="BM2308" s="73"/>
      <c r="BN2308" s="73"/>
      <c r="BO2308" s="73"/>
      <c r="BP2308" s="73"/>
      <c r="BQ2308" s="73"/>
      <c r="BR2308" s="73"/>
      <c r="BS2308" s="73"/>
      <c r="BT2308" s="73"/>
      <c r="BU2308" s="73"/>
      <c r="BV2308" s="73"/>
      <c r="BW2308" s="73"/>
      <c r="BX2308" s="73"/>
      <c r="BY2308" s="73"/>
      <c r="BZ2308" s="73"/>
      <c r="CA2308" s="73"/>
      <c r="CB2308" s="73"/>
      <c r="CC2308" s="73"/>
      <c r="CD2308" s="73"/>
      <c r="CE2308" s="73"/>
      <c r="CF2308" s="73"/>
      <c r="CG2308" s="73"/>
      <c r="CH2308" s="73"/>
    </row>
    <row r="2309">
      <c r="A2309" s="73"/>
      <c r="B2309" s="73"/>
      <c r="C2309" s="73"/>
      <c r="D2309" s="73"/>
      <c r="E2309" s="140"/>
      <c r="F2309" s="80"/>
      <c r="G2309" s="80"/>
      <c r="H2309" s="73"/>
      <c r="I2309" s="73"/>
      <c r="J2309" s="73"/>
      <c r="K2309" s="73"/>
      <c r="L2309" s="73"/>
      <c r="M2309" s="73"/>
      <c r="N2309" s="73"/>
      <c r="O2309" s="73"/>
      <c r="P2309" s="73"/>
      <c r="Q2309" s="73"/>
      <c r="R2309" s="73"/>
      <c r="S2309" s="73"/>
      <c r="T2309" s="73"/>
      <c r="U2309" s="73"/>
      <c r="V2309" s="73"/>
      <c r="W2309" s="73"/>
      <c r="X2309" s="73"/>
      <c r="Y2309" s="73"/>
      <c r="Z2309" s="73"/>
      <c r="AA2309" s="73"/>
      <c r="AB2309" s="73"/>
      <c r="AC2309" s="73"/>
      <c r="AD2309" s="73"/>
      <c r="AE2309" s="73"/>
      <c r="AF2309" s="73"/>
      <c r="AG2309" s="73"/>
      <c r="AH2309" s="73"/>
      <c r="AI2309" s="73"/>
      <c r="AJ2309" s="168"/>
      <c r="AK2309" s="73"/>
      <c r="AL2309" s="73"/>
      <c r="AM2309" s="73"/>
      <c r="AN2309" s="73"/>
      <c r="AO2309" s="73"/>
      <c r="AP2309" s="73"/>
      <c r="AQ2309" s="73"/>
      <c r="AR2309" s="73"/>
      <c r="AS2309" s="73"/>
      <c r="AT2309" s="73"/>
      <c r="AU2309" s="73"/>
      <c r="AV2309" s="73"/>
      <c r="AW2309" s="73"/>
      <c r="AX2309" s="73"/>
      <c r="AY2309" s="73"/>
      <c r="AZ2309" s="73"/>
      <c r="BA2309" s="73"/>
      <c r="BB2309" s="73"/>
      <c r="BC2309" s="73"/>
      <c r="BD2309" s="73"/>
      <c r="BE2309" s="73"/>
      <c r="BF2309" s="75"/>
      <c r="BG2309" s="73"/>
      <c r="BH2309" s="88"/>
      <c r="BI2309" s="73"/>
      <c r="BJ2309" s="73"/>
      <c r="BK2309" s="73"/>
      <c r="BL2309" s="73"/>
      <c r="BM2309" s="73"/>
      <c r="BN2309" s="73"/>
      <c r="BO2309" s="73"/>
      <c r="BP2309" s="73"/>
      <c r="BQ2309" s="73"/>
      <c r="BR2309" s="73"/>
      <c r="BS2309" s="73"/>
      <c r="BT2309" s="73"/>
      <c r="BU2309" s="73"/>
      <c r="BV2309" s="73"/>
      <c r="BW2309" s="73"/>
      <c r="BX2309" s="73"/>
      <c r="BY2309" s="73"/>
      <c r="BZ2309" s="73"/>
      <c r="CA2309" s="73"/>
      <c r="CB2309" s="73"/>
      <c r="CC2309" s="73"/>
      <c r="CD2309" s="73"/>
      <c r="CE2309" s="73"/>
      <c r="CF2309" s="73"/>
      <c r="CG2309" s="73"/>
      <c r="CH2309" s="73"/>
    </row>
    <row r="2310">
      <c r="A2310" s="73"/>
      <c r="B2310" s="73"/>
      <c r="C2310" s="73"/>
      <c r="D2310" s="73"/>
      <c r="E2310" s="140"/>
      <c r="F2310" s="80"/>
      <c r="G2310" s="80"/>
      <c r="H2310" s="73"/>
      <c r="I2310" s="73"/>
      <c r="J2310" s="73"/>
      <c r="K2310" s="73"/>
      <c r="L2310" s="73"/>
      <c r="M2310" s="73"/>
      <c r="N2310" s="73"/>
      <c r="O2310" s="73"/>
      <c r="P2310" s="73"/>
      <c r="Q2310" s="73"/>
      <c r="R2310" s="73"/>
      <c r="S2310" s="73"/>
      <c r="T2310" s="73"/>
      <c r="U2310" s="73"/>
      <c r="V2310" s="73"/>
      <c r="W2310" s="73"/>
      <c r="X2310" s="73"/>
      <c r="Y2310" s="73"/>
      <c r="Z2310" s="73"/>
      <c r="AA2310" s="73"/>
      <c r="AB2310" s="73"/>
      <c r="AC2310" s="73"/>
      <c r="AD2310" s="73"/>
      <c r="AE2310" s="73"/>
      <c r="AF2310" s="73"/>
      <c r="AG2310" s="73"/>
      <c r="AH2310" s="73"/>
      <c r="AI2310" s="73"/>
      <c r="AJ2310" s="168"/>
      <c r="AK2310" s="73"/>
      <c r="AL2310" s="73"/>
      <c r="AM2310" s="73"/>
      <c r="AN2310" s="73"/>
      <c r="AO2310" s="73"/>
      <c r="AP2310" s="73"/>
      <c r="AQ2310" s="73"/>
      <c r="AR2310" s="73"/>
      <c r="AS2310" s="73"/>
      <c r="AT2310" s="73"/>
      <c r="AU2310" s="73"/>
      <c r="AV2310" s="73"/>
      <c r="AW2310" s="73"/>
      <c r="AX2310" s="73"/>
      <c r="AY2310" s="73"/>
      <c r="AZ2310" s="73"/>
      <c r="BA2310" s="73"/>
      <c r="BB2310" s="73"/>
      <c r="BC2310" s="73"/>
      <c r="BD2310" s="73"/>
      <c r="BE2310" s="73"/>
      <c r="BF2310" s="75"/>
      <c r="BG2310" s="73"/>
      <c r="BH2310" s="88"/>
      <c r="BI2310" s="73"/>
      <c r="BJ2310" s="73"/>
      <c r="BK2310" s="73"/>
      <c r="BL2310" s="73"/>
      <c r="BM2310" s="73"/>
      <c r="BN2310" s="73"/>
      <c r="BO2310" s="73"/>
      <c r="BP2310" s="73"/>
      <c r="BQ2310" s="73"/>
      <c r="BR2310" s="73"/>
      <c r="BS2310" s="73"/>
      <c r="BT2310" s="73"/>
      <c r="BU2310" s="73"/>
      <c r="BV2310" s="73"/>
      <c r="BW2310" s="73"/>
      <c r="BX2310" s="73"/>
      <c r="BY2310" s="73"/>
      <c r="BZ2310" s="73"/>
      <c r="CA2310" s="73"/>
      <c r="CB2310" s="73"/>
      <c r="CC2310" s="73"/>
      <c r="CD2310" s="73"/>
      <c r="CE2310" s="73"/>
      <c r="CF2310" s="73"/>
      <c r="CG2310" s="73"/>
      <c r="CH2310" s="73"/>
    </row>
    <row r="2311">
      <c r="A2311" s="73"/>
      <c r="B2311" s="73"/>
      <c r="C2311" s="73"/>
      <c r="D2311" s="73"/>
      <c r="E2311" s="140"/>
      <c r="F2311" s="80"/>
      <c r="G2311" s="80"/>
      <c r="H2311" s="73"/>
      <c r="I2311" s="73"/>
      <c r="J2311" s="73"/>
      <c r="K2311" s="73"/>
      <c r="L2311" s="73"/>
      <c r="M2311" s="73"/>
      <c r="N2311" s="73"/>
      <c r="O2311" s="73"/>
      <c r="P2311" s="73"/>
      <c r="Q2311" s="73"/>
      <c r="R2311" s="73"/>
      <c r="S2311" s="73"/>
      <c r="T2311" s="73"/>
      <c r="U2311" s="73"/>
      <c r="V2311" s="73"/>
      <c r="W2311" s="73"/>
      <c r="X2311" s="73"/>
      <c r="Y2311" s="73"/>
      <c r="Z2311" s="73"/>
      <c r="AA2311" s="73"/>
      <c r="AB2311" s="73"/>
      <c r="AC2311" s="73"/>
      <c r="AD2311" s="73"/>
      <c r="AE2311" s="73"/>
      <c r="AF2311" s="73"/>
      <c r="AG2311" s="73"/>
      <c r="AH2311" s="73"/>
      <c r="AI2311" s="73"/>
      <c r="AJ2311" s="168"/>
      <c r="AK2311" s="73"/>
      <c r="AL2311" s="73"/>
      <c r="AM2311" s="73"/>
      <c r="AN2311" s="73"/>
      <c r="AO2311" s="73"/>
      <c r="AP2311" s="73"/>
      <c r="AQ2311" s="73"/>
      <c r="AR2311" s="73"/>
      <c r="AS2311" s="73"/>
      <c r="AT2311" s="73"/>
      <c r="AU2311" s="73"/>
      <c r="AV2311" s="73"/>
      <c r="AW2311" s="73"/>
      <c r="AX2311" s="73"/>
      <c r="AY2311" s="73"/>
      <c r="AZ2311" s="73"/>
      <c r="BA2311" s="73"/>
      <c r="BB2311" s="73"/>
      <c r="BC2311" s="73"/>
      <c r="BD2311" s="73"/>
      <c r="BE2311" s="73"/>
      <c r="BF2311" s="75"/>
      <c r="BG2311" s="73"/>
      <c r="BH2311" s="88"/>
      <c r="BI2311" s="73"/>
      <c r="BJ2311" s="73"/>
      <c r="BK2311" s="73"/>
      <c r="BL2311" s="73"/>
      <c r="BM2311" s="73"/>
      <c r="BN2311" s="73"/>
      <c r="BO2311" s="73"/>
      <c r="BP2311" s="73"/>
      <c r="BQ2311" s="73"/>
      <c r="BR2311" s="73"/>
      <c r="BS2311" s="73"/>
      <c r="BT2311" s="73"/>
      <c r="BU2311" s="73"/>
      <c r="BV2311" s="73"/>
      <c r="BW2311" s="73"/>
      <c r="BX2311" s="73"/>
      <c r="BY2311" s="73"/>
      <c r="BZ2311" s="73"/>
      <c r="CA2311" s="73"/>
      <c r="CB2311" s="73"/>
      <c r="CC2311" s="73"/>
      <c r="CD2311" s="73"/>
      <c r="CE2311" s="73"/>
      <c r="CF2311" s="73"/>
      <c r="CG2311" s="73"/>
      <c r="CH2311" s="73"/>
    </row>
    <row r="2312">
      <c r="A2312" s="73"/>
      <c r="B2312" s="73"/>
      <c r="C2312" s="73"/>
      <c r="D2312" s="73"/>
      <c r="E2312" s="140"/>
      <c r="F2312" s="80"/>
      <c r="G2312" s="80"/>
      <c r="H2312" s="73"/>
      <c r="I2312" s="73"/>
      <c r="J2312" s="73"/>
      <c r="K2312" s="73"/>
      <c r="L2312" s="73"/>
      <c r="M2312" s="73"/>
      <c r="N2312" s="73"/>
      <c r="O2312" s="73"/>
      <c r="P2312" s="73"/>
      <c r="Q2312" s="73"/>
      <c r="R2312" s="73"/>
      <c r="S2312" s="73"/>
      <c r="T2312" s="73"/>
      <c r="U2312" s="73"/>
      <c r="V2312" s="73"/>
      <c r="W2312" s="73"/>
      <c r="X2312" s="73"/>
      <c r="Y2312" s="73"/>
      <c r="Z2312" s="73"/>
      <c r="AA2312" s="73"/>
      <c r="AB2312" s="73"/>
      <c r="AC2312" s="73"/>
      <c r="AD2312" s="73"/>
      <c r="AE2312" s="73"/>
      <c r="AF2312" s="73"/>
      <c r="AG2312" s="73"/>
      <c r="AH2312" s="73"/>
      <c r="AI2312" s="73"/>
      <c r="AJ2312" s="168"/>
      <c r="AK2312" s="73"/>
      <c r="AL2312" s="73"/>
      <c r="AM2312" s="73"/>
      <c r="AN2312" s="73"/>
      <c r="AO2312" s="73"/>
      <c r="AP2312" s="73"/>
      <c r="AQ2312" s="73"/>
      <c r="AR2312" s="73"/>
      <c r="AS2312" s="73"/>
      <c r="AT2312" s="73"/>
      <c r="AU2312" s="73"/>
      <c r="AV2312" s="73"/>
      <c r="AW2312" s="73"/>
      <c r="AX2312" s="73"/>
      <c r="AY2312" s="73"/>
      <c r="AZ2312" s="73"/>
      <c r="BA2312" s="73"/>
      <c r="BB2312" s="73"/>
      <c r="BC2312" s="73"/>
      <c r="BD2312" s="73"/>
      <c r="BE2312" s="73"/>
      <c r="BF2312" s="75"/>
      <c r="BG2312" s="73"/>
      <c r="BH2312" s="88"/>
      <c r="BI2312" s="73"/>
      <c r="BJ2312" s="73"/>
      <c r="BK2312" s="73"/>
      <c r="BL2312" s="73"/>
      <c r="BM2312" s="73"/>
      <c r="BN2312" s="73"/>
      <c r="BO2312" s="73"/>
      <c r="BP2312" s="73"/>
      <c r="BQ2312" s="73"/>
      <c r="BR2312" s="73"/>
      <c r="BS2312" s="73"/>
      <c r="BT2312" s="73"/>
      <c r="BU2312" s="73"/>
      <c r="BV2312" s="73"/>
      <c r="BW2312" s="73"/>
      <c r="BX2312" s="73"/>
      <c r="BY2312" s="73"/>
      <c r="BZ2312" s="73"/>
      <c r="CA2312" s="73"/>
      <c r="CB2312" s="73"/>
      <c r="CC2312" s="73"/>
      <c r="CD2312" s="73"/>
      <c r="CE2312" s="73"/>
      <c r="CF2312" s="73"/>
      <c r="CG2312" s="73"/>
      <c r="CH2312" s="73"/>
    </row>
    <row r="2313">
      <c r="A2313" s="73"/>
      <c r="B2313" s="73"/>
      <c r="C2313" s="73"/>
      <c r="D2313" s="73"/>
      <c r="E2313" s="140"/>
      <c r="F2313" s="80"/>
      <c r="G2313" s="80"/>
      <c r="H2313" s="73"/>
      <c r="I2313" s="73"/>
      <c r="J2313" s="73"/>
      <c r="K2313" s="73"/>
      <c r="L2313" s="73"/>
      <c r="M2313" s="73"/>
      <c r="N2313" s="73"/>
      <c r="O2313" s="73"/>
      <c r="P2313" s="73"/>
      <c r="Q2313" s="73"/>
      <c r="R2313" s="73"/>
      <c r="S2313" s="73"/>
      <c r="T2313" s="73"/>
      <c r="U2313" s="73"/>
      <c r="V2313" s="73"/>
      <c r="W2313" s="73"/>
      <c r="X2313" s="73"/>
      <c r="Y2313" s="73"/>
      <c r="Z2313" s="73"/>
      <c r="AA2313" s="73"/>
      <c r="AB2313" s="73"/>
      <c r="AC2313" s="73"/>
      <c r="AD2313" s="73"/>
      <c r="AE2313" s="73"/>
      <c r="AF2313" s="73"/>
      <c r="AG2313" s="73"/>
      <c r="AH2313" s="73"/>
      <c r="AI2313" s="73"/>
      <c r="AJ2313" s="168"/>
      <c r="AK2313" s="73"/>
      <c r="AL2313" s="73"/>
      <c r="AM2313" s="73"/>
      <c r="AN2313" s="73"/>
      <c r="AO2313" s="73"/>
      <c r="AP2313" s="73"/>
      <c r="AQ2313" s="73"/>
      <c r="AR2313" s="73"/>
      <c r="AS2313" s="73"/>
      <c r="AT2313" s="73"/>
      <c r="AU2313" s="73"/>
      <c r="AV2313" s="73"/>
      <c r="AW2313" s="73"/>
      <c r="AX2313" s="73"/>
      <c r="AY2313" s="73"/>
      <c r="AZ2313" s="73"/>
      <c r="BA2313" s="73"/>
      <c r="BB2313" s="73"/>
      <c r="BC2313" s="73"/>
      <c r="BD2313" s="73"/>
      <c r="BE2313" s="73"/>
      <c r="BF2313" s="75"/>
      <c r="BG2313" s="73"/>
      <c r="BH2313" s="88"/>
      <c r="BI2313" s="73"/>
      <c r="BJ2313" s="73"/>
      <c r="BK2313" s="73"/>
      <c r="BL2313" s="73"/>
      <c r="BM2313" s="73"/>
      <c r="BN2313" s="73"/>
      <c r="BO2313" s="73"/>
      <c r="BP2313" s="73"/>
      <c r="BQ2313" s="73"/>
      <c r="BR2313" s="73"/>
      <c r="BS2313" s="73"/>
      <c r="BT2313" s="73"/>
      <c r="BU2313" s="73"/>
      <c r="BV2313" s="73"/>
      <c r="BW2313" s="73"/>
      <c r="BX2313" s="73"/>
      <c r="BY2313" s="73"/>
      <c r="BZ2313" s="73"/>
      <c r="CA2313" s="73"/>
      <c r="CB2313" s="73"/>
      <c r="CC2313" s="73"/>
      <c r="CD2313" s="73"/>
      <c r="CE2313" s="73"/>
      <c r="CF2313" s="73"/>
      <c r="CG2313" s="73"/>
      <c r="CH2313" s="73"/>
    </row>
    <row r="2314">
      <c r="A2314" s="73"/>
      <c r="B2314" s="73"/>
      <c r="C2314" s="73"/>
      <c r="D2314" s="73"/>
      <c r="E2314" s="140"/>
      <c r="F2314" s="80"/>
      <c r="G2314" s="80"/>
      <c r="H2314" s="73"/>
      <c r="I2314" s="73"/>
      <c r="J2314" s="73"/>
      <c r="K2314" s="73"/>
      <c r="L2314" s="73"/>
      <c r="M2314" s="73"/>
      <c r="N2314" s="73"/>
      <c r="O2314" s="73"/>
      <c r="P2314" s="73"/>
      <c r="Q2314" s="73"/>
      <c r="R2314" s="73"/>
      <c r="S2314" s="73"/>
      <c r="T2314" s="73"/>
      <c r="U2314" s="73"/>
      <c r="V2314" s="73"/>
      <c r="W2314" s="73"/>
      <c r="X2314" s="73"/>
      <c r="Y2314" s="73"/>
      <c r="Z2314" s="73"/>
      <c r="AA2314" s="73"/>
      <c r="AB2314" s="73"/>
      <c r="AC2314" s="73"/>
      <c r="AD2314" s="73"/>
      <c r="AE2314" s="73"/>
      <c r="AF2314" s="73"/>
      <c r="AG2314" s="73"/>
      <c r="AH2314" s="73"/>
      <c r="AI2314" s="73"/>
      <c r="AJ2314" s="168"/>
      <c r="AK2314" s="73"/>
      <c r="AL2314" s="73"/>
      <c r="AM2314" s="73"/>
      <c r="AN2314" s="73"/>
      <c r="AO2314" s="73"/>
      <c r="AP2314" s="73"/>
      <c r="AQ2314" s="73"/>
      <c r="AR2314" s="73"/>
      <c r="AS2314" s="73"/>
      <c r="AT2314" s="73"/>
      <c r="AU2314" s="73"/>
      <c r="AV2314" s="73"/>
      <c r="AW2314" s="73"/>
      <c r="AX2314" s="73"/>
      <c r="AY2314" s="73"/>
      <c r="AZ2314" s="73"/>
      <c r="BA2314" s="73"/>
      <c r="BB2314" s="73"/>
      <c r="BC2314" s="73"/>
      <c r="BD2314" s="73"/>
      <c r="BE2314" s="73"/>
      <c r="BF2314" s="75"/>
      <c r="BG2314" s="73"/>
      <c r="BH2314" s="88"/>
      <c r="BI2314" s="73"/>
      <c r="BJ2314" s="73"/>
      <c r="BK2314" s="73"/>
      <c r="BL2314" s="73"/>
      <c r="BM2314" s="73"/>
      <c r="BN2314" s="73"/>
      <c r="BO2314" s="73"/>
      <c r="BP2314" s="73"/>
      <c r="BQ2314" s="73"/>
      <c r="BR2314" s="73"/>
      <c r="BS2314" s="73"/>
      <c r="BT2314" s="73"/>
      <c r="BU2314" s="73"/>
      <c r="BV2314" s="73"/>
      <c r="BW2314" s="73"/>
      <c r="BX2314" s="73"/>
      <c r="BY2314" s="73"/>
      <c r="BZ2314" s="73"/>
      <c r="CA2314" s="73"/>
      <c r="CB2314" s="73"/>
      <c r="CC2314" s="73"/>
      <c r="CD2314" s="73"/>
      <c r="CE2314" s="73"/>
      <c r="CF2314" s="73"/>
      <c r="CG2314" s="73"/>
      <c r="CH2314" s="73"/>
    </row>
    <row r="2315">
      <c r="A2315" s="73"/>
      <c r="B2315" s="73"/>
      <c r="C2315" s="73"/>
      <c r="D2315" s="73"/>
      <c r="E2315" s="140"/>
      <c r="F2315" s="80"/>
      <c r="G2315" s="80"/>
      <c r="H2315" s="73"/>
      <c r="I2315" s="73"/>
      <c r="J2315" s="73"/>
      <c r="K2315" s="73"/>
      <c r="L2315" s="73"/>
      <c r="M2315" s="73"/>
      <c r="N2315" s="73"/>
      <c r="O2315" s="73"/>
      <c r="P2315" s="73"/>
      <c r="Q2315" s="73"/>
      <c r="R2315" s="73"/>
      <c r="S2315" s="73"/>
      <c r="T2315" s="73"/>
      <c r="U2315" s="73"/>
      <c r="V2315" s="73"/>
      <c r="W2315" s="73"/>
      <c r="X2315" s="73"/>
      <c r="Y2315" s="73"/>
      <c r="Z2315" s="73"/>
      <c r="AA2315" s="73"/>
      <c r="AB2315" s="73"/>
      <c r="AC2315" s="73"/>
      <c r="AD2315" s="73"/>
      <c r="AE2315" s="73"/>
      <c r="AF2315" s="73"/>
      <c r="AG2315" s="73"/>
      <c r="AH2315" s="73"/>
      <c r="AI2315" s="73"/>
      <c r="AJ2315" s="168"/>
      <c r="AK2315" s="73"/>
      <c r="AL2315" s="73"/>
      <c r="AM2315" s="73"/>
      <c r="AN2315" s="73"/>
      <c r="AO2315" s="73"/>
      <c r="AP2315" s="73"/>
      <c r="AQ2315" s="73"/>
      <c r="AR2315" s="73"/>
      <c r="AS2315" s="73"/>
      <c r="AT2315" s="73"/>
      <c r="AU2315" s="73"/>
      <c r="AV2315" s="73"/>
      <c r="AW2315" s="73"/>
      <c r="AX2315" s="73"/>
      <c r="AY2315" s="73"/>
      <c r="AZ2315" s="73"/>
      <c r="BA2315" s="73"/>
      <c r="BB2315" s="73"/>
      <c r="BC2315" s="73"/>
      <c r="BD2315" s="73"/>
      <c r="BE2315" s="73"/>
      <c r="BF2315" s="75"/>
      <c r="BG2315" s="73"/>
      <c r="BH2315" s="88"/>
      <c r="BI2315" s="73"/>
      <c r="BJ2315" s="73"/>
      <c r="BK2315" s="73"/>
      <c r="BL2315" s="73"/>
      <c r="BM2315" s="73"/>
      <c r="BN2315" s="73"/>
      <c r="BO2315" s="73"/>
      <c r="BP2315" s="73"/>
      <c r="BQ2315" s="73"/>
      <c r="BR2315" s="73"/>
      <c r="BS2315" s="73"/>
      <c r="BT2315" s="73"/>
      <c r="BU2315" s="73"/>
      <c r="BV2315" s="73"/>
      <c r="BW2315" s="73"/>
      <c r="BX2315" s="73"/>
      <c r="BY2315" s="73"/>
      <c r="BZ2315" s="73"/>
      <c r="CA2315" s="73"/>
      <c r="CB2315" s="73"/>
      <c r="CC2315" s="73"/>
      <c r="CD2315" s="73"/>
      <c r="CE2315" s="73"/>
      <c r="CF2315" s="73"/>
      <c r="CG2315" s="73"/>
      <c r="CH2315" s="73"/>
    </row>
    <row r="2316">
      <c r="A2316" s="73"/>
      <c r="B2316" s="73"/>
      <c r="C2316" s="73"/>
      <c r="D2316" s="73"/>
      <c r="E2316" s="140"/>
      <c r="F2316" s="80"/>
      <c r="G2316" s="80"/>
      <c r="H2316" s="73"/>
      <c r="I2316" s="73"/>
      <c r="J2316" s="73"/>
      <c r="K2316" s="73"/>
      <c r="L2316" s="73"/>
      <c r="M2316" s="73"/>
      <c r="N2316" s="73"/>
      <c r="O2316" s="73"/>
      <c r="P2316" s="73"/>
      <c r="Q2316" s="73"/>
      <c r="R2316" s="73"/>
      <c r="S2316" s="73"/>
      <c r="T2316" s="73"/>
      <c r="U2316" s="73"/>
      <c r="V2316" s="73"/>
      <c r="W2316" s="73"/>
      <c r="X2316" s="73"/>
      <c r="Y2316" s="73"/>
      <c r="Z2316" s="73"/>
      <c r="AA2316" s="73"/>
      <c r="AB2316" s="73"/>
      <c r="AC2316" s="73"/>
      <c r="AD2316" s="73"/>
      <c r="AE2316" s="73"/>
      <c r="AF2316" s="73"/>
      <c r="AG2316" s="73"/>
      <c r="AH2316" s="73"/>
      <c r="AI2316" s="73"/>
      <c r="AJ2316" s="168"/>
      <c r="AK2316" s="73"/>
      <c r="AL2316" s="73"/>
      <c r="AM2316" s="73"/>
      <c r="AN2316" s="73"/>
      <c r="AO2316" s="73"/>
      <c r="AP2316" s="73"/>
      <c r="AQ2316" s="73"/>
      <c r="AR2316" s="73"/>
      <c r="AS2316" s="73"/>
      <c r="AT2316" s="73"/>
      <c r="AU2316" s="73"/>
      <c r="AV2316" s="73"/>
      <c r="AW2316" s="73"/>
      <c r="AX2316" s="73"/>
      <c r="AY2316" s="73"/>
      <c r="AZ2316" s="73"/>
      <c r="BA2316" s="73"/>
      <c r="BB2316" s="73"/>
      <c r="BC2316" s="73"/>
      <c r="BD2316" s="73"/>
      <c r="BE2316" s="73"/>
      <c r="BF2316" s="75"/>
      <c r="BG2316" s="73"/>
      <c r="BH2316" s="88"/>
      <c r="BI2316" s="73"/>
      <c r="BJ2316" s="73"/>
      <c r="BK2316" s="73"/>
      <c r="BL2316" s="73"/>
      <c r="BM2316" s="73"/>
      <c r="BN2316" s="73"/>
      <c r="BO2316" s="73"/>
      <c r="BP2316" s="73"/>
      <c r="BQ2316" s="73"/>
      <c r="BR2316" s="73"/>
      <c r="BS2316" s="73"/>
      <c r="BT2316" s="73"/>
      <c r="BU2316" s="73"/>
      <c r="BV2316" s="73"/>
      <c r="BW2316" s="73"/>
      <c r="BX2316" s="73"/>
      <c r="BY2316" s="73"/>
      <c r="BZ2316" s="73"/>
      <c r="CA2316" s="73"/>
      <c r="CB2316" s="73"/>
      <c r="CC2316" s="73"/>
      <c r="CD2316" s="73"/>
      <c r="CE2316" s="73"/>
      <c r="CF2316" s="73"/>
      <c r="CG2316" s="73"/>
      <c r="CH2316" s="73"/>
    </row>
    <row r="2317">
      <c r="A2317" s="73"/>
      <c r="B2317" s="73"/>
      <c r="C2317" s="73"/>
      <c r="D2317" s="73"/>
      <c r="E2317" s="140"/>
      <c r="F2317" s="80"/>
      <c r="G2317" s="80"/>
      <c r="H2317" s="73"/>
      <c r="I2317" s="73"/>
      <c r="J2317" s="73"/>
      <c r="K2317" s="73"/>
      <c r="L2317" s="73"/>
      <c r="M2317" s="73"/>
      <c r="N2317" s="73"/>
      <c r="O2317" s="73"/>
      <c r="P2317" s="73"/>
      <c r="Q2317" s="73"/>
      <c r="R2317" s="73"/>
      <c r="S2317" s="73"/>
      <c r="T2317" s="73"/>
      <c r="U2317" s="73"/>
      <c r="V2317" s="73"/>
      <c r="W2317" s="73"/>
      <c r="X2317" s="73"/>
      <c r="Y2317" s="73"/>
      <c r="Z2317" s="73"/>
      <c r="AA2317" s="73"/>
      <c r="AB2317" s="73"/>
      <c r="AC2317" s="73"/>
      <c r="AD2317" s="73"/>
      <c r="AE2317" s="73"/>
      <c r="AF2317" s="73"/>
      <c r="AG2317" s="73"/>
      <c r="AH2317" s="73"/>
      <c r="AI2317" s="73"/>
      <c r="AJ2317" s="168"/>
      <c r="AK2317" s="73"/>
      <c r="AL2317" s="73"/>
      <c r="AM2317" s="73"/>
      <c r="AN2317" s="73"/>
      <c r="AO2317" s="73"/>
      <c r="AP2317" s="73"/>
      <c r="AQ2317" s="73"/>
      <c r="AR2317" s="73"/>
      <c r="AS2317" s="73"/>
      <c r="AT2317" s="73"/>
      <c r="AU2317" s="73"/>
      <c r="AV2317" s="73"/>
      <c r="AW2317" s="73"/>
      <c r="AX2317" s="73"/>
      <c r="AY2317" s="73"/>
      <c r="AZ2317" s="73"/>
      <c r="BA2317" s="73"/>
      <c r="BB2317" s="73"/>
      <c r="BC2317" s="73"/>
      <c r="BD2317" s="73"/>
      <c r="BE2317" s="73"/>
      <c r="BF2317" s="75"/>
      <c r="BG2317" s="73"/>
      <c r="BH2317" s="88"/>
      <c r="BI2317" s="73"/>
      <c r="BJ2317" s="73"/>
      <c r="BK2317" s="73"/>
      <c r="BL2317" s="73"/>
      <c r="BM2317" s="73"/>
      <c r="BN2317" s="73"/>
      <c r="BO2317" s="73"/>
      <c r="BP2317" s="73"/>
      <c r="BQ2317" s="73"/>
      <c r="BR2317" s="73"/>
      <c r="BS2317" s="73"/>
      <c r="BT2317" s="73"/>
      <c r="BU2317" s="73"/>
      <c r="BV2317" s="73"/>
      <c r="BW2317" s="73"/>
      <c r="BX2317" s="73"/>
      <c r="BY2317" s="73"/>
      <c r="BZ2317" s="73"/>
      <c r="CA2317" s="73"/>
      <c r="CB2317" s="73"/>
      <c r="CC2317" s="73"/>
      <c r="CD2317" s="73"/>
      <c r="CE2317" s="73"/>
      <c r="CF2317" s="73"/>
      <c r="CG2317" s="73"/>
      <c r="CH2317" s="73"/>
    </row>
    <row r="2318">
      <c r="A2318" s="73"/>
      <c r="B2318" s="73"/>
      <c r="C2318" s="73"/>
      <c r="D2318" s="73"/>
      <c r="E2318" s="140"/>
      <c r="F2318" s="80"/>
      <c r="G2318" s="80"/>
      <c r="H2318" s="73"/>
      <c r="I2318" s="73"/>
      <c r="J2318" s="73"/>
      <c r="K2318" s="73"/>
      <c r="L2318" s="73"/>
      <c r="M2318" s="73"/>
      <c r="N2318" s="73"/>
      <c r="O2318" s="73"/>
      <c r="P2318" s="73"/>
      <c r="Q2318" s="73"/>
      <c r="R2318" s="73"/>
      <c r="S2318" s="73"/>
      <c r="T2318" s="73"/>
      <c r="U2318" s="73"/>
      <c r="V2318" s="73"/>
      <c r="W2318" s="73"/>
      <c r="X2318" s="73"/>
      <c r="Y2318" s="73"/>
      <c r="Z2318" s="73"/>
      <c r="AA2318" s="73"/>
      <c r="AB2318" s="73"/>
      <c r="AC2318" s="73"/>
      <c r="AD2318" s="73"/>
      <c r="AE2318" s="73"/>
      <c r="AF2318" s="73"/>
      <c r="AG2318" s="73"/>
      <c r="AH2318" s="73"/>
      <c r="AI2318" s="73"/>
      <c r="AJ2318" s="168"/>
      <c r="AK2318" s="73"/>
      <c r="AL2318" s="73"/>
      <c r="AM2318" s="73"/>
      <c r="AN2318" s="73"/>
      <c r="AO2318" s="73"/>
      <c r="AP2318" s="73"/>
      <c r="AQ2318" s="73"/>
      <c r="AR2318" s="73"/>
      <c r="AS2318" s="73"/>
      <c r="AT2318" s="73"/>
      <c r="AU2318" s="73"/>
      <c r="AV2318" s="73"/>
      <c r="AW2318" s="73"/>
      <c r="AX2318" s="73"/>
      <c r="AY2318" s="73"/>
      <c r="AZ2318" s="73"/>
      <c r="BA2318" s="73"/>
      <c r="BB2318" s="73"/>
      <c r="BC2318" s="73"/>
      <c r="BD2318" s="73"/>
      <c r="BE2318" s="73"/>
      <c r="BF2318" s="75"/>
      <c r="BG2318" s="73"/>
      <c r="BH2318" s="88"/>
      <c r="BI2318" s="73"/>
      <c r="BJ2318" s="73"/>
      <c r="BK2318" s="73"/>
      <c r="BL2318" s="73"/>
      <c r="BM2318" s="73"/>
      <c r="BN2318" s="73"/>
      <c r="BO2318" s="73"/>
      <c r="BP2318" s="73"/>
      <c r="BQ2318" s="73"/>
      <c r="BR2318" s="73"/>
      <c r="BS2318" s="73"/>
      <c r="BT2318" s="73"/>
      <c r="BU2318" s="73"/>
      <c r="BV2318" s="73"/>
      <c r="BW2318" s="73"/>
      <c r="BX2318" s="73"/>
      <c r="BY2318" s="73"/>
      <c r="BZ2318" s="73"/>
      <c r="CA2318" s="73"/>
      <c r="CB2318" s="73"/>
      <c r="CC2318" s="73"/>
      <c r="CD2318" s="73"/>
      <c r="CE2318" s="73"/>
      <c r="CF2318" s="73"/>
      <c r="CG2318" s="73"/>
      <c r="CH2318" s="73"/>
    </row>
    <row r="2319">
      <c r="A2319" s="73"/>
      <c r="B2319" s="73"/>
      <c r="C2319" s="73"/>
      <c r="D2319" s="73"/>
      <c r="E2319" s="140"/>
      <c r="F2319" s="80"/>
      <c r="G2319" s="80"/>
      <c r="H2319" s="73"/>
      <c r="I2319" s="73"/>
      <c r="J2319" s="73"/>
      <c r="K2319" s="73"/>
      <c r="L2319" s="73"/>
      <c r="M2319" s="73"/>
      <c r="N2319" s="73"/>
      <c r="O2319" s="73"/>
      <c r="P2319" s="73"/>
      <c r="Q2319" s="73"/>
      <c r="R2319" s="73"/>
      <c r="S2319" s="73"/>
      <c r="T2319" s="73"/>
      <c r="U2319" s="73"/>
      <c r="V2319" s="73"/>
      <c r="W2319" s="73"/>
      <c r="X2319" s="73"/>
      <c r="Y2319" s="73"/>
      <c r="Z2319" s="73"/>
      <c r="AA2319" s="73"/>
      <c r="AB2319" s="73"/>
      <c r="AC2319" s="73"/>
      <c r="AD2319" s="73"/>
      <c r="AE2319" s="73"/>
      <c r="AF2319" s="73"/>
      <c r="AG2319" s="73"/>
      <c r="AH2319" s="73"/>
      <c r="AI2319" s="73"/>
      <c r="AJ2319" s="168"/>
      <c r="AK2319" s="73"/>
      <c r="AL2319" s="73"/>
      <c r="AM2319" s="73"/>
      <c r="AN2319" s="73"/>
      <c r="AO2319" s="73"/>
      <c r="AP2319" s="73"/>
      <c r="AQ2319" s="73"/>
      <c r="AR2319" s="73"/>
      <c r="AS2319" s="73"/>
      <c r="AT2319" s="73"/>
      <c r="AU2319" s="73"/>
      <c r="AV2319" s="73"/>
      <c r="AW2319" s="73"/>
      <c r="AX2319" s="73"/>
      <c r="AY2319" s="73"/>
      <c r="AZ2319" s="73"/>
      <c r="BA2319" s="73"/>
      <c r="BB2319" s="73"/>
      <c r="BC2319" s="73"/>
      <c r="BD2319" s="73"/>
      <c r="BE2319" s="73"/>
      <c r="BF2319" s="75"/>
      <c r="BG2319" s="73"/>
      <c r="BH2319" s="88"/>
      <c r="BI2319" s="73"/>
      <c r="BJ2319" s="73"/>
      <c r="BK2319" s="73"/>
      <c r="BL2319" s="73"/>
      <c r="BM2319" s="73"/>
      <c r="BN2319" s="73"/>
      <c r="BO2319" s="73"/>
      <c r="BP2319" s="73"/>
      <c r="BQ2319" s="73"/>
      <c r="BR2319" s="73"/>
      <c r="BS2319" s="73"/>
      <c r="BT2319" s="73"/>
      <c r="BU2319" s="73"/>
      <c r="BV2319" s="73"/>
      <c r="BW2319" s="73"/>
      <c r="BX2319" s="73"/>
      <c r="BY2319" s="73"/>
      <c r="BZ2319" s="73"/>
      <c r="CA2319" s="73"/>
      <c r="CB2319" s="73"/>
      <c r="CC2319" s="73"/>
      <c r="CD2319" s="73"/>
      <c r="CE2319" s="73"/>
      <c r="CF2319" s="73"/>
      <c r="CG2319" s="73"/>
      <c r="CH2319" s="73"/>
    </row>
    <row r="2320">
      <c r="A2320" s="73"/>
      <c r="B2320" s="73"/>
      <c r="C2320" s="73"/>
      <c r="D2320" s="73"/>
      <c r="E2320" s="140"/>
      <c r="F2320" s="80"/>
      <c r="G2320" s="80"/>
      <c r="H2320" s="73"/>
      <c r="I2320" s="73"/>
      <c r="J2320" s="73"/>
      <c r="K2320" s="73"/>
      <c r="L2320" s="73"/>
      <c r="M2320" s="73"/>
      <c r="N2320" s="73"/>
      <c r="O2320" s="73"/>
      <c r="P2320" s="73"/>
      <c r="Q2320" s="73"/>
      <c r="R2320" s="73"/>
      <c r="S2320" s="73"/>
      <c r="T2320" s="73"/>
      <c r="U2320" s="73"/>
      <c r="V2320" s="73"/>
      <c r="W2320" s="73"/>
      <c r="X2320" s="73"/>
      <c r="Y2320" s="73"/>
      <c r="Z2320" s="73"/>
      <c r="AA2320" s="73"/>
      <c r="AB2320" s="73"/>
      <c r="AC2320" s="73"/>
      <c r="AD2320" s="73"/>
      <c r="AE2320" s="73"/>
      <c r="AF2320" s="73"/>
      <c r="AG2320" s="73"/>
      <c r="AH2320" s="73"/>
      <c r="AI2320" s="73"/>
      <c r="AJ2320" s="168"/>
      <c r="AK2320" s="73"/>
      <c r="AL2320" s="73"/>
      <c r="AM2320" s="73"/>
      <c r="AN2320" s="73"/>
      <c r="AO2320" s="73"/>
      <c r="AP2320" s="73"/>
      <c r="AQ2320" s="73"/>
      <c r="AR2320" s="73"/>
      <c r="AS2320" s="73"/>
      <c r="AT2320" s="73"/>
      <c r="AU2320" s="73"/>
      <c r="AV2320" s="73"/>
      <c r="AW2320" s="73"/>
      <c r="AX2320" s="73"/>
      <c r="AY2320" s="73"/>
      <c r="AZ2320" s="73"/>
      <c r="BA2320" s="73"/>
      <c r="BB2320" s="73"/>
      <c r="BC2320" s="73"/>
      <c r="BD2320" s="73"/>
      <c r="BE2320" s="73"/>
      <c r="BF2320" s="75"/>
      <c r="BG2320" s="73"/>
      <c r="BH2320" s="88"/>
      <c r="BI2320" s="73"/>
      <c r="BJ2320" s="73"/>
      <c r="BK2320" s="73"/>
      <c r="BL2320" s="73"/>
      <c r="BM2320" s="73"/>
      <c r="BN2320" s="73"/>
      <c r="BO2320" s="73"/>
      <c r="BP2320" s="73"/>
      <c r="BQ2320" s="73"/>
      <c r="BR2320" s="73"/>
      <c r="BS2320" s="73"/>
      <c r="BT2320" s="73"/>
      <c r="BU2320" s="73"/>
      <c r="BV2320" s="73"/>
      <c r="BW2320" s="73"/>
      <c r="BX2320" s="73"/>
      <c r="BY2320" s="73"/>
      <c r="BZ2320" s="73"/>
      <c r="CA2320" s="73"/>
      <c r="CB2320" s="73"/>
      <c r="CC2320" s="73"/>
      <c r="CD2320" s="73"/>
      <c r="CE2320" s="73"/>
      <c r="CF2320" s="73"/>
      <c r="CG2320" s="73"/>
      <c r="CH2320" s="73"/>
    </row>
    <row r="2321">
      <c r="A2321" s="73"/>
      <c r="B2321" s="73"/>
      <c r="C2321" s="73"/>
      <c r="D2321" s="73"/>
      <c r="E2321" s="140"/>
      <c r="F2321" s="80"/>
      <c r="G2321" s="80"/>
      <c r="H2321" s="73"/>
      <c r="I2321" s="73"/>
      <c r="J2321" s="73"/>
      <c r="K2321" s="73"/>
      <c r="L2321" s="73"/>
      <c r="M2321" s="73"/>
      <c r="N2321" s="73"/>
      <c r="O2321" s="73"/>
      <c r="P2321" s="73"/>
      <c r="Q2321" s="73"/>
      <c r="R2321" s="73"/>
      <c r="S2321" s="73"/>
      <c r="T2321" s="73"/>
      <c r="U2321" s="73"/>
      <c r="V2321" s="73"/>
      <c r="W2321" s="73"/>
      <c r="X2321" s="73"/>
      <c r="Y2321" s="73"/>
      <c r="Z2321" s="73"/>
      <c r="AA2321" s="73"/>
      <c r="AB2321" s="73"/>
      <c r="AC2321" s="73"/>
      <c r="AD2321" s="73"/>
      <c r="AE2321" s="73"/>
      <c r="AF2321" s="73"/>
      <c r="AG2321" s="73"/>
      <c r="AH2321" s="73"/>
      <c r="AI2321" s="73"/>
      <c r="AJ2321" s="168"/>
      <c r="AK2321" s="73"/>
      <c r="AL2321" s="73"/>
      <c r="AM2321" s="73"/>
      <c r="AN2321" s="73"/>
      <c r="AO2321" s="73"/>
      <c r="AP2321" s="73"/>
      <c r="AQ2321" s="73"/>
      <c r="AR2321" s="73"/>
      <c r="AS2321" s="73"/>
      <c r="AT2321" s="73"/>
      <c r="AU2321" s="73"/>
      <c r="AV2321" s="73"/>
      <c r="AW2321" s="73"/>
      <c r="AX2321" s="73"/>
      <c r="AY2321" s="73"/>
      <c r="AZ2321" s="73"/>
      <c r="BA2321" s="73"/>
      <c r="BB2321" s="73"/>
      <c r="BC2321" s="73"/>
      <c r="BD2321" s="73"/>
      <c r="BE2321" s="73"/>
      <c r="BF2321" s="75"/>
      <c r="BG2321" s="73"/>
      <c r="BH2321" s="88"/>
      <c r="BI2321" s="73"/>
      <c r="BJ2321" s="73"/>
      <c r="BK2321" s="73"/>
      <c r="BL2321" s="73"/>
      <c r="BM2321" s="73"/>
      <c r="BN2321" s="73"/>
      <c r="BO2321" s="73"/>
      <c r="BP2321" s="73"/>
      <c r="BQ2321" s="73"/>
      <c r="BR2321" s="73"/>
      <c r="BS2321" s="73"/>
      <c r="BT2321" s="73"/>
      <c r="BU2321" s="73"/>
      <c r="BV2321" s="73"/>
      <c r="BW2321" s="73"/>
      <c r="BX2321" s="73"/>
      <c r="BY2321" s="73"/>
      <c r="BZ2321" s="73"/>
      <c r="CA2321" s="73"/>
      <c r="CB2321" s="73"/>
      <c r="CC2321" s="73"/>
      <c r="CD2321" s="73"/>
      <c r="CE2321" s="73"/>
      <c r="CF2321" s="73"/>
      <c r="CG2321" s="73"/>
      <c r="CH2321" s="73"/>
    </row>
    <row r="2322">
      <c r="A2322" s="73"/>
      <c r="B2322" s="73"/>
      <c r="C2322" s="73"/>
      <c r="D2322" s="73"/>
      <c r="E2322" s="140"/>
      <c r="F2322" s="80"/>
      <c r="G2322" s="80"/>
      <c r="H2322" s="73"/>
      <c r="I2322" s="73"/>
      <c r="J2322" s="73"/>
      <c r="K2322" s="73"/>
      <c r="L2322" s="73"/>
      <c r="M2322" s="73"/>
      <c r="N2322" s="73"/>
      <c r="O2322" s="73"/>
      <c r="P2322" s="73"/>
      <c r="Q2322" s="73"/>
      <c r="R2322" s="73"/>
      <c r="S2322" s="73"/>
      <c r="T2322" s="73"/>
      <c r="U2322" s="73"/>
      <c r="V2322" s="73"/>
      <c r="W2322" s="73"/>
      <c r="X2322" s="73"/>
      <c r="Y2322" s="73"/>
      <c r="Z2322" s="73"/>
      <c r="AA2322" s="73"/>
      <c r="AB2322" s="73"/>
      <c r="AC2322" s="73"/>
      <c r="AD2322" s="73"/>
      <c r="AE2322" s="73"/>
      <c r="AF2322" s="73"/>
      <c r="AG2322" s="73"/>
      <c r="AH2322" s="73"/>
      <c r="AI2322" s="73"/>
      <c r="AJ2322" s="168"/>
      <c r="AK2322" s="73"/>
      <c r="AL2322" s="73"/>
      <c r="AM2322" s="73"/>
      <c r="AN2322" s="73"/>
      <c r="AO2322" s="73"/>
      <c r="AP2322" s="73"/>
      <c r="AQ2322" s="73"/>
      <c r="AR2322" s="73"/>
      <c r="AS2322" s="73"/>
      <c r="AT2322" s="73"/>
      <c r="AU2322" s="73"/>
      <c r="AV2322" s="73"/>
      <c r="AW2322" s="73"/>
      <c r="AX2322" s="73"/>
      <c r="AY2322" s="73"/>
      <c r="AZ2322" s="73"/>
      <c r="BA2322" s="73"/>
      <c r="BB2322" s="73"/>
      <c r="BC2322" s="73"/>
      <c r="BD2322" s="73"/>
      <c r="BE2322" s="73"/>
      <c r="BF2322" s="75"/>
      <c r="BG2322" s="73"/>
      <c r="BH2322" s="88"/>
      <c r="BI2322" s="73"/>
      <c r="BJ2322" s="73"/>
      <c r="BK2322" s="73"/>
      <c r="BL2322" s="73"/>
      <c r="BM2322" s="73"/>
      <c r="BN2322" s="73"/>
      <c r="BO2322" s="73"/>
      <c r="BP2322" s="73"/>
      <c r="BQ2322" s="73"/>
      <c r="BR2322" s="73"/>
      <c r="BS2322" s="73"/>
      <c r="BT2322" s="73"/>
      <c r="BU2322" s="73"/>
      <c r="BV2322" s="73"/>
      <c r="BW2322" s="73"/>
      <c r="BX2322" s="73"/>
      <c r="BY2322" s="73"/>
      <c r="BZ2322" s="73"/>
      <c r="CA2322" s="73"/>
      <c r="CB2322" s="73"/>
      <c r="CC2322" s="73"/>
      <c r="CD2322" s="73"/>
      <c r="CE2322" s="73"/>
      <c r="CF2322" s="73"/>
      <c r="CG2322" s="73"/>
      <c r="CH2322" s="73"/>
    </row>
    <row r="2323">
      <c r="A2323" s="73"/>
      <c r="B2323" s="73"/>
      <c r="C2323" s="73"/>
      <c r="D2323" s="73"/>
      <c r="E2323" s="140"/>
      <c r="F2323" s="80"/>
      <c r="G2323" s="80"/>
      <c r="H2323" s="73"/>
      <c r="I2323" s="73"/>
      <c r="J2323" s="73"/>
      <c r="K2323" s="73"/>
      <c r="L2323" s="73"/>
      <c r="M2323" s="73"/>
      <c r="N2323" s="73"/>
      <c r="O2323" s="73"/>
      <c r="P2323" s="73"/>
      <c r="Q2323" s="73"/>
      <c r="R2323" s="73"/>
      <c r="S2323" s="73"/>
      <c r="T2323" s="73"/>
      <c r="U2323" s="73"/>
      <c r="V2323" s="73"/>
      <c r="W2323" s="73"/>
      <c r="X2323" s="73"/>
      <c r="Y2323" s="73"/>
      <c r="Z2323" s="73"/>
      <c r="AA2323" s="73"/>
      <c r="AB2323" s="73"/>
      <c r="AC2323" s="73"/>
      <c r="AD2323" s="73"/>
      <c r="AE2323" s="73"/>
      <c r="AF2323" s="73"/>
      <c r="AG2323" s="73"/>
      <c r="AH2323" s="73"/>
      <c r="AI2323" s="73"/>
      <c r="AJ2323" s="168"/>
      <c r="AK2323" s="73"/>
      <c r="AL2323" s="73"/>
      <c r="AM2323" s="73"/>
      <c r="AN2323" s="73"/>
      <c r="AO2323" s="73"/>
      <c r="AP2323" s="73"/>
      <c r="AQ2323" s="73"/>
      <c r="AR2323" s="73"/>
      <c r="AS2323" s="73"/>
      <c r="AT2323" s="73"/>
      <c r="AU2323" s="73"/>
      <c r="AV2323" s="73"/>
      <c r="AW2323" s="73"/>
      <c r="AX2323" s="73"/>
      <c r="AY2323" s="73"/>
      <c r="AZ2323" s="73"/>
      <c r="BA2323" s="73"/>
      <c r="BB2323" s="73"/>
      <c r="BC2323" s="73"/>
      <c r="BD2323" s="73"/>
      <c r="BE2323" s="73"/>
      <c r="BF2323" s="75"/>
      <c r="BG2323" s="73"/>
      <c r="BH2323" s="88"/>
      <c r="BI2323" s="73"/>
      <c r="BJ2323" s="73"/>
      <c r="BK2323" s="73"/>
      <c r="BL2323" s="73"/>
      <c r="BM2323" s="73"/>
      <c r="BN2323" s="73"/>
      <c r="BO2323" s="73"/>
      <c r="BP2323" s="73"/>
      <c r="BQ2323" s="73"/>
      <c r="BR2323" s="73"/>
      <c r="BS2323" s="73"/>
      <c r="BT2323" s="73"/>
      <c r="BU2323" s="73"/>
      <c r="BV2323" s="73"/>
      <c r="BW2323" s="73"/>
      <c r="BX2323" s="73"/>
      <c r="BY2323" s="73"/>
      <c r="BZ2323" s="73"/>
      <c r="CA2323" s="73"/>
      <c r="CB2323" s="73"/>
      <c r="CC2323" s="73"/>
      <c r="CD2323" s="73"/>
      <c r="CE2323" s="73"/>
      <c r="CF2323" s="73"/>
      <c r="CG2323" s="73"/>
      <c r="CH2323" s="73"/>
    </row>
    <row r="2324">
      <c r="A2324" s="73"/>
      <c r="B2324" s="73"/>
      <c r="C2324" s="73"/>
      <c r="D2324" s="73"/>
      <c r="E2324" s="140"/>
      <c r="F2324" s="80"/>
      <c r="G2324" s="80"/>
      <c r="H2324" s="73"/>
      <c r="I2324" s="73"/>
      <c r="J2324" s="73"/>
      <c r="K2324" s="73"/>
      <c r="L2324" s="73"/>
      <c r="M2324" s="73"/>
      <c r="N2324" s="73"/>
      <c r="O2324" s="73"/>
      <c r="P2324" s="73"/>
      <c r="Q2324" s="73"/>
      <c r="R2324" s="73"/>
      <c r="S2324" s="73"/>
      <c r="T2324" s="73"/>
      <c r="U2324" s="73"/>
      <c r="V2324" s="73"/>
      <c r="W2324" s="73"/>
      <c r="X2324" s="73"/>
      <c r="Y2324" s="73"/>
      <c r="Z2324" s="73"/>
      <c r="AA2324" s="73"/>
      <c r="AB2324" s="73"/>
      <c r="AC2324" s="73"/>
      <c r="AD2324" s="73"/>
      <c r="AE2324" s="73"/>
      <c r="AF2324" s="73"/>
      <c r="AG2324" s="73"/>
      <c r="AH2324" s="73"/>
      <c r="AI2324" s="73"/>
      <c r="AJ2324" s="168"/>
      <c r="AK2324" s="73"/>
      <c r="AL2324" s="73"/>
      <c r="AM2324" s="73"/>
      <c r="AN2324" s="73"/>
      <c r="AO2324" s="73"/>
      <c r="AP2324" s="73"/>
      <c r="AQ2324" s="73"/>
      <c r="AR2324" s="73"/>
      <c r="AS2324" s="73"/>
      <c r="AT2324" s="73"/>
      <c r="AU2324" s="73"/>
      <c r="AV2324" s="73"/>
      <c r="AW2324" s="73"/>
      <c r="AX2324" s="73"/>
      <c r="AY2324" s="73"/>
      <c r="AZ2324" s="73"/>
      <c r="BA2324" s="73"/>
      <c r="BB2324" s="73"/>
      <c r="BC2324" s="73"/>
      <c r="BD2324" s="73"/>
      <c r="BE2324" s="73"/>
      <c r="BF2324" s="75"/>
      <c r="BG2324" s="73"/>
      <c r="BH2324" s="88"/>
      <c r="BI2324" s="73"/>
      <c r="BJ2324" s="73"/>
      <c r="BK2324" s="73"/>
      <c r="BL2324" s="73"/>
      <c r="BM2324" s="73"/>
      <c r="BN2324" s="73"/>
      <c r="BO2324" s="73"/>
      <c r="BP2324" s="73"/>
      <c r="BQ2324" s="73"/>
      <c r="BR2324" s="73"/>
      <c r="BS2324" s="73"/>
      <c r="BT2324" s="73"/>
      <c r="BU2324" s="73"/>
      <c r="BV2324" s="73"/>
      <c r="BW2324" s="73"/>
      <c r="BX2324" s="73"/>
      <c r="BY2324" s="73"/>
      <c r="BZ2324" s="73"/>
      <c r="CA2324" s="73"/>
      <c r="CB2324" s="73"/>
      <c r="CC2324" s="73"/>
      <c r="CD2324" s="73"/>
      <c r="CE2324" s="73"/>
      <c r="CF2324" s="73"/>
      <c r="CG2324" s="73"/>
      <c r="CH2324" s="73"/>
    </row>
    <row r="2325">
      <c r="A2325" s="73"/>
      <c r="B2325" s="73"/>
      <c r="C2325" s="73"/>
      <c r="D2325" s="73"/>
      <c r="E2325" s="140"/>
      <c r="F2325" s="80"/>
      <c r="G2325" s="80"/>
      <c r="H2325" s="73"/>
      <c r="I2325" s="73"/>
      <c r="J2325" s="73"/>
      <c r="K2325" s="73"/>
      <c r="L2325" s="73"/>
      <c r="M2325" s="73"/>
      <c r="N2325" s="73"/>
      <c r="O2325" s="73"/>
      <c r="P2325" s="73"/>
      <c r="Q2325" s="73"/>
      <c r="R2325" s="73"/>
      <c r="S2325" s="73"/>
      <c r="T2325" s="73"/>
      <c r="U2325" s="73"/>
      <c r="V2325" s="73"/>
      <c r="W2325" s="73"/>
      <c r="X2325" s="73"/>
      <c r="Y2325" s="73"/>
      <c r="Z2325" s="73"/>
      <c r="AA2325" s="73"/>
      <c r="AB2325" s="73"/>
      <c r="AC2325" s="73"/>
      <c r="AD2325" s="73"/>
      <c r="AE2325" s="73"/>
      <c r="AF2325" s="73"/>
      <c r="AG2325" s="73"/>
      <c r="AH2325" s="73"/>
      <c r="AI2325" s="73"/>
      <c r="AJ2325" s="168"/>
      <c r="AK2325" s="73"/>
      <c r="AL2325" s="73"/>
      <c r="AM2325" s="73"/>
      <c r="AN2325" s="73"/>
      <c r="AO2325" s="73"/>
      <c r="AP2325" s="73"/>
      <c r="AQ2325" s="73"/>
      <c r="AR2325" s="73"/>
      <c r="AS2325" s="73"/>
      <c r="AT2325" s="73"/>
      <c r="AU2325" s="73"/>
      <c r="AV2325" s="73"/>
      <c r="AW2325" s="73"/>
      <c r="AX2325" s="73"/>
      <c r="AY2325" s="73"/>
      <c r="AZ2325" s="73"/>
      <c r="BA2325" s="73"/>
      <c r="BB2325" s="73"/>
      <c r="BC2325" s="73"/>
      <c r="BD2325" s="73"/>
      <c r="BE2325" s="73"/>
      <c r="BF2325" s="75"/>
      <c r="BG2325" s="73"/>
      <c r="BH2325" s="88"/>
      <c r="BI2325" s="73"/>
      <c r="BJ2325" s="73"/>
      <c r="BK2325" s="73"/>
      <c r="BL2325" s="73"/>
      <c r="BM2325" s="73"/>
      <c r="BN2325" s="73"/>
      <c r="BO2325" s="73"/>
      <c r="BP2325" s="73"/>
      <c r="BQ2325" s="73"/>
      <c r="BR2325" s="73"/>
      <c r="BS2325" s="73"/>
      <c r="BT2325" s="73"/>
      <c r="BU2325" s="73"/>
      <c r="BV2325" s="73"/>
      <c r="BW2325" s="73"/>
      <c r="BX2325" s="73"/>
      <c r="BY2325" s="73"/>
      <c r="BZ2325" s="73"/>
      <c r="CA2325" s="73"/>
      <c r="CB2325" s="73"/>
      <c r="CC2325" s="73"/>
      <c r="CD2325" s="73"/>
      <c r="CE2325" s="73"/>
      <c r="CF2325" s="73"/>
      <c r="CG2325" s="73"/>
      <c r="CH2325" s="73"/>
    </row>
    <row r="2326">
      <c r="A2326" s="73"/>
      <c r="B2326" s="73"/>
      <c r="C2326" s="73"/>
      <c r="D2326" s="73"/>
      <c r="E2326" s="140"/>
      <c r="F2326" s="80"/>
      <c r="G2326" s="80"/>
      <c r="H2326" s="73"/>
      <c r="I2326" s="73"/>
      <c r="J2326" s="73"/>
      <c r="K2326" s="73"/>
      <c r="L2326" s="73"/>
      <c r="M2326" s="73"/>
      <c r="N2326" s="73"/>
      <c r="O2326" s="73"/>
      <c r="P2326" s="73"/>
      <c r="Q2326" s="73"/>
      <c r="R2326" s="73"/>
      <c r="S2326" s="73"/>
      <c r="T2326" s="73"/>
      <c r="U2326" s="73"/>
      <c r="V2326" s="73"/>
      <c r="W2326" s="73"/>
      <c r="X2326" s="73"/>
      <c r="Y2326" s="73"/>
      <c r="Z2326" s="73"/>
      <c r="AA2326" s="73"/>
      <c r="AB2326" s="73"/>
      <c r="AC2326" s="73"/>
      <c r="AD2326" s="73"/>
      <c r="AE2326" s="73"/>
      <c r="AF2326" s="73"/>
      <c r="AG2326" s="73"/>
      <c r="AH2326" s="73"/>
      <c r="AI2326" s="73"/>
      <c r="AJ2326" s="168"/>
      <c r="AK2326" s="73"/>
      <c r="AL2326" s="73"/>
      <c r="AM2326" s="73"/>
      <c r="AN2326" s="73"/>
      <c r="AO2326" s="73"/>
      <c r="AP2326" s="73"/>
      <c r="AQ2326" s="73"/>
      <c r="AR2326" s="73"/>
      <c r="AS2326" s="73"/>
      <c r="AT2326" s="73"/>
      <c r="AU2326" s="73"/>
      <c r="AV2326" s="73"/>
      <c r="AW2326" s="73"/>
      <c r="AX2326" s="73"/>
      <c r="AY2326" s="73"/>
      <c r="AZ2326" s="73"/>
      <c r="BA2326" s="73"/>
      <c r="BB2326" s="73"/>
      <c r="BC2326" s="73"/>
      <c r="BD2326" s="73"/>
      <c r="BE2326" s="73"/>
      <c r="BF2326" s="75"/>
      <c r="BG2326" s="73"/>
      <c r="BH2326" s="88"/>
      <c r="BI2326" s="73"/>
      <c r="BJ2326" s="73"/>
      <c r="BK2326" s="73"/>
      <c r="BL2326" s="73"/>
      <c r="BM2326" s="73"/>
      <c r="BN2326" s="73"/>
      <c r="BO2326" s="73"/>
      <c r="BP2326" s="73"/>
      <c r="BQ2326" s="73"/>
      <c r="BR2326" s="73"/>
      <c r="BS2326" s="73"/>
      <c r="BT2326" s="73"/>
      <c r="BU2326" s="73"/>
      <c r="BV2326" s="73"/>
      <c r="BW2326" s="73"/>
      <c r="BX2326" s="73"/>
      <c r="BY2326" s="73"/>
      <c r="BZ2326" s="73"/>
      <c r="CA2326" s="73"/>
      <c r="CB2326" s="73"/>
      <c r="CC2326" s="73"/>
      <c r="CD2326" s="73"/>
      <c r="CE2326" s="73"/>
      <c r="CF2326" s="73"/>
      <c r="CG2326" s="73"/>
      <c r="CH2326" s="73"/>
    </row>
    <row r="2327">
      <c r="A2327" s="73"/>
      <c r="B2327" s="73"/>
      <c r="C2327" s="73"/>
      <c r="D2327" s="73"/>
      <c r="E2327" s="140"/>
      <c r="F2327" s="80"/>
      <c r="G2327" s="80"/>
      <c r="H2327" s="73"/>
      <c r="I2327" s="73"/>
      <c r="J2327" s="73"/>
      <c r="K2327" s="73"/>
      <c r="L2327" s="73"/>
      <c r="M2327" s="73"/>
      <c r="N2327" s="73"/>
      <c r="O2327" s="73"/>
      <c r="P2327" s="73"/>
      <c r="Q2327" s="73"/>
      <c r="R2327" s="73"/>
      <c r="S2327" s="73"/>
      <c r="T2327" s="73"/>
      <c r="U2327" s="73"/>
      <c r="V2327" s="73"/>
      <c r="W2327" s="73"/>
      <c r="X2327" s="73"/>
      <c r="Y2327" s="73"/>
      <c r="Z2327" s="73"/>
      <c r="AA2327" s="73"/>
      <c r="AB2327" s="73"/>
      <c r="AC2327" s="73"/>
      <c r="AD2327" s="73"/>
      <c r="AE2327" s="73"/>
      <c r="AF2327" s="73"/>
      <c r="AG2327" s="73"/>
      <c r="AH2327" s="73"/>
      <c r="AI2327" s="73"/>
      <c r="AJ2327" s="168"/>
      <c r="AK2327" s="73"/>
      <c r="AL2327" s="73"/>
      <c r="AM2327" s="73"/>
      <c r="AN2327" s="73"/>
      <c r="AO2327" s="73"/>
      <c r="AP2327" s="73"/>
      <c r="AQ2327" s="73"/>
      <c r="AR2327" s="73"/>
      <c r="AS2327" s="73"/>
      <c r="AT2327" s="73"/>
      <c r="AU2327" s="73"/>
      <c r="AV2327" s="73"/>
      <c r="AW2327" s="73"/>
      <c r="AX2327" s="73"/>
      <c r="AY2327" s="73"/>
      <c r="AZ2327" s="73"/>
      <c r="BA2327" s="73"/>
      <c r="BB2327" s="73"/>
      <c r="BC2327" s="73"/>
      <c r="BD2327" s="73"/>
      <c r="BE2327" s="73"/>
      <c r="BF2327" s="75"/>
      <c r="BG2327" s="73"/>
      <c r="BH2327" s="88"/>
      <c r="BI2327" s="73"/>
      <c r="BJ2327" s="73"/>
      <c r="BK2327" s="73"/>
      <c r="BL2327" s="73"/>
      <c r="BM2327" s="73"/>
      <c r="BN2327" s="73"/>
      <c r="BO2327" s="73"/>
      <c r="BP2327" s="73"/>
      <c r="BQ2327" s="73"/>
      <c r="BR2327" s="73"/>
      <c r="BS2327" s="73"/>
      <c r="BT2327" s="73"/>
      <c r="BU2327" s="73"/>
      <c r="BV2327" s="73"/>
      <c r="BW2327" s="73"/>
      <c r="BX2327" s="73"/>
      <c r="BY2327" s="73"/>
      <c r="BZ2327" s="73"/>
      <c r="CA2327" s="73"/>
      <c r="CB2327" s="73"/>
      <c r="CC2327" s="73"/>
      <c r="CD2327" s="73"/>
      <c r="CE2327" s="73"/>
      <c r="CF2327" s="73"/>
      <c r="CG2327" s="73"/>
      <c r="CH2327" s="73"/>
    </row>
    <row r="2328">
      <c r="A2328" s="73"/>
      <c r="B2328" s="73"/>
      <c r="C2328" s="73"/>
      <c r="D2328" s="73"/>
      <c r="E2328" s="140"/>
      <c r="F2328" s="80"/>
      <c r="G2328" s="80"/>
      <c r="H2328" s="73"/>
      <c r="I2328" s="73"/>
      <c r="J2328" s="73"/>
      <c r="K2328" s="73"/>
      <c r="L2328" s="73"/>
      <c r="M2328" s="73"/>
      <c r="N2328" s="73"/>
      <c r="O2328" s="73"/>
      <c r="P2328" s="73"/>
      <c r="Q2328" s="73"/>
      <c r="R2328" s="73"/>
      <c r="S2328" s="73"/>
      <c r="T2328" s="73"/>
      <c r="U2328" s="73"/>
      <c r="V2328" s="73"/>
      <c r="W2328" s="73"/>
      <c r="X2328" s="73"/>
      <c r="Y2328" s="73"/>
      <c r="Z2328" s="73"/>
      <c r="AA2328" s="73"/>
      <c r="AB2328" s="73"/>
      <c r="AC2328" s="73"/>
      <c r="AD2328" s="73"/>
      <c r="AE2328" s="73"/>
      <c r="AF2328" s="73"/>
      <c r="AG2328" s="73"/>
      <c r="AH2328" s="73"/>
      <c r="AI2328" s="73"/>
      <c r="AJ2328" s="168"/>
      <c r="AK2328" s="73"/>
      <c r="AL2328" s="73"/>
      <c r="AM2328" s="73"/>
      <c r="AN2328" s="73"/>
      <c r="AO2328" s="73"/>
      <c r="AP2328" s="73"/>
      <c r="AQ2328" s="73"/>
      <c r="AR2328" s="73"/>
      <c r="AS2328" s="73"/>
      <c r="AT2328" s="73"/>
      <c r="AU2328" s="73"/>
      <c r="AV2328" s="73"/>
      <c r="AW2328" s="73"/>
      <c r="AX2328" s="73"/>
      <c r="AY2328" s="73"/>
      <c r="AZ2328" s="73"/>
      <c r="BA2328" s="73"/>
      <c r="BB2328" s="73"/>
      <c r="BC2328" s="73"/>
      <c r="BD2328" s="73"/>
      <c r="BE2328" s="73"/>
      <c r="BF2328" s="75"/>
      <c r="BG2328" s="73"/>
      <c r="BH2328" s="88"/>
      <c r="BI2328" s="73"/>
      <c r="BJ2328" s="73"/>
      <c r="BK2328" s="73"/>
      <c r="BL2328" s="73"/>
      <c r="BM2328" s="73"/>
      <c r="BN2328" s="73"/>
      <c r="BO2328" s="73"/>
      <c r="BP2328" s="73"/>
      <c r="BQ2328" s="73"/>
      <c r="BR2328" s="73"/>
      <c r="BS2328" s="73"/>
      <c r="BT2328" s="73"/>
      <c r="BU2328" s="73"/>
      <c r="BV2328" s="73"/>
      <c r="BW2328" s="73"/>
      <c r="BX2328" s="73"/>
      <c r="BY2328" s="73"/>
      <c r="BZ2328" s="73"/>
      <c r="CA2328" s="73"/>
      <c r="CB2328" s="73"/>
      <c r="CC2328" s="73"/>
      <c r="CD2328" s="73"/>
      <c r="CE2328" s="73"/>
      <c r="CF2328" s="73"/>
      <c r="CG2328" s="73"/>
      <c r="CH2328" s="73"/>
    </row>
    <row r="2329">
      <c r="A2329" s="73"/>
      <c r="B2329" s="73"/>
      <c r="C2329" s="73"/>
      <c r="D2329" s="73"/>
      <c r="E2329" s="140"/>
      <c r="F2329" s="80"/>
      <c r="G2329" s="80"/>
      <c r="H2329" s="73"/>
      <c r="I2329" s="73"/>
      <c r="J2329" s="73"/>
      <c r="K2329" s="73"/>
      <c r="L2329" s="73"/>
      <c r="M2329" s="73"/>
      <c r="N2329" s="73"/>
      <c r="O2329" s="73"/>
      <c r="P2329" s="73"/>
      <c r="Q2329" s="73"/>
      <c r="R2329" s="73"/>
      <c r="S2329" s="73"/>
      <c r="T2329" s="73"/>
      <c r="U2329" s="73"/>
      <c r="V2329" s="73"/>
      <c r="W2329" s="73"/>
      <c r="X2329" s="73"/>
      <c r="Y2329" s="73"/>
      <c r="Z2329" s="73"/>
      <c r="AA2329" s="73"/>
      <c r="AB2329" s="73"/>
      <c r="AC2329" s="73"/>
      <c r="AD2329" s="73"/>
      <c r="AE2329" s="73"/>
      <c r="AF2329" s="73"/>
      <c r="AG2329" s="73"/>
      <c r="AH2329" s="73"/>
      <c r="AI2329" s="73"/>
      <c r="AJ2329" s="168"/>
      <c r="AK2329" s="73"/>
      <c r="AL2329" s="73"/>
      <c r="AM2329" s="73"/>
      <c r="AN2329" s="73"/>
      <c r="AO2329" s="73"/>
      <c r="AP2329" s="73"/>
      <c r="AQ2329" s="73"/>
      <c r="AR2329" s="73"/>
      <c r="AS2329" s="73"/>
      <c r="AT2329" s="73"/>
      <c r="AU2329" s="73"/>
      <c r="AV2329" s="73"/>
      <c r="AW2329" s="73"/>
      <c r="AX2329" s="73"/>
      <c r="AY2329" s="73"/>
      <c r="AZ2329" s="73"/>
      <c r="BA2329" s="73"/>
      <c r="BB2329" s="73"/>
      <c r="BC2329" s="73"/>
      <c r="BD2329" s="73"/>
      <c r="BE2329" s="73"/>
      <c r="BF2329" s="75"/>
      <c r="BG2329" s="73"/>
      <c r="BH2329" s="88"/>
      <c r="BI2329" s="73"/>
      <c r="BJ2329" s="73"/>
      <c r="BK2329" s="73"/>
      <c r="BL2329" s="73"/>
      <c r="BM2329" s="73"/>
      <c r="BN2329" s="73"/>
      <c r="BO2329" s="73"/>
      <c r="BP2329" s="73"/>
      <c r="BQ2329" s="73"/>
      <c r="BR2329" s="73"/>
      <c r="BS2329" s="73"/>
      <c r="BT2329" s="73"/>
      <c r="BU2329" s="73"/>
      <c r="BV2329" s="73"/>
      <c r="BW2329" s="73"/>
      <c r="BX2329" s="73"/>
      <c r="BY2329" s="73"/>
      <c r="BZ2329" s="73"/>
      <c r="CA2329" s="73"/>
      <c r="CB2329" s="73"/>
      <c r="CC2329" s="73"/>
      <c r="CD2329" s="73"/>
      <c r="CE2329" s="73"/>
      <c r="CF2329" s="73"/>
      <c r="CG2329" s="73"/>
      <c r="CH2329" s="73"/>
    </row>
    <row r="2330">
      <c r="A2330" s="73"/>
      <c r="B2330" s="73"/>
      <c r="C2330" s="73"/>
      <c r="D2330" s="73"/>
      <c r="E2330" s="140"/>
      <c r="F2330" s="80"/>
      <c r="G2330" s="80"/>
      <c r="H2330" s="73"/>
      <c r="I2330" s="73"/>
      <c r="J2330" s="73"/>
      <c r="K2330" s="73"/>
      <c r="L2330" s="73"/>
      <c r="M2330" s="73"/>
      <c r="N2330" s="73"/>
      <c r="O2330" s="73"/>
      <c r="P2330" s="73"/>
      <c r="Q2330" s="73"/>
      <c r="R2330" s="73"/>
      <c r="S2330" s="73"/>
      <c r="T2330" s="73"/>
      <c r="U2330" s="73"/>
      <c r="V2330" s="73"/>
      <c r="W2330" s="73"/>
      <c r="X2330" s="73"/>
      <c r="Y2330" s="73"/>
      <c r="Z2330" s="73"/>
      <c r="AA2330" s="73"/>
      <c r="AB2330" s="73"/>
      <c r="AC2330" s="73"/>
      <c r="AD2330" s="73"/>
      <c r="AE2330" s="73"/>
      <c r="AF2330" s="73"/>
      <c r="AG2330" s="73"/>
      <c r="AH2330" s="73"/>
      <c r="AI2330" s="73"/>
      <c r="AJ2330" s="168"/>
      <c r="AK2330" s="73"/>
      <c r="AL2330" s="73"/>
      <c r="AM2330" s="73"/>
      <c r="AN2330" s="73"/>
      <c r="AO2330" s="73"/>
      <c r="AP2330" s="73"/>
      <c r="AQ2330" s="73"/>
      <c r="AR2330" s="73"/>
      <c r="AS2330" s="73"/>
      <c r="AT2330" s="73"/>
      <c r="AU2330" s="73"/>
      <c r="AV2330" s="73"/>
      <c r="AW2330" s="73"/>
      <c r="AX2330" s="73"/>
      <c r="AY2330" s="73"/>
      <c r="AZ2330" s="73"/>
      <c r="BA2330" s="73"/>
      <c r="BB2330" s="73"/>
      <c r="BC2330" s="73"/>
      <c r="BD2330" s="73"/>
      <c r="BE2330" s="73"/>
      <c r="BF2330" s="75"/>
      <c r="BG2330" s="73"/>
      <c r="BH2330" s="88"/>
      <c r="BI2330" s="73"/>
      <c r="BJ2330" s="73"/>
      <c r="BK2330" s="73"/>
      <c r="BL2330" s="73"/>
      <c r="BM2330" s="73"/>
      <c r="BN2330" s="73"/>
      <c r="BO2330" s="73"/>
      <c r="BP2330" s="73"/>
      <c r="BQ2330" s="73"/>
      <c r="BR2330" s="73"/>
      <c r="BS2330" s="73"/>
      <c r="BT2330" s="73"/>
      <c r="BU2330" s="73"/>
      <c r="BV2330" s="73"/>
      <c r="BW2330" s="73"/>
      <c r="BX2330" s="73"/>
      <c r="BY2330" s="73"/>
      <c r="BZ2330" s="73"/>
      <c r="CA2330" s="73"/>
      <c r="CB2330" s="73"/>
      <c r="CC2330" s="73"/>
      <c r="CD2330" s="73"/>
      <c r="CE2330" s="73"/>
      <c r="CF2330" s="73"/>
      <c r="CG2330" s="73"/>
      <c r="CH2330" s="73"/>
    </row>
    <row r="2331">
      <c r="A2331" s="73"/>
      <c r="B2331" s="73"/>
      <c r="C2331" s="73"/>
      <c r="D2331" s="73"/>
      <c r="E2331" s="140"/>
      <c r="F2331" s="80"/>
      <c r="G2331" s="80"/>
      <c r="H2331" s="73"/>
      <c r="I2331" s="73"/>
      <c r="J2331" s="73"/>
      <c r="K2331" s="73"/>
      <c r="L2331" s="73"/>
      <c r="M2331" s="73"/>
      <c r="N2331" s="73"/>
      <c r="O2331" s="73"/>
      <c r="P2331" s="73"/>
      <c r="Q2331" s="73"/>
      <c r="R2331" s="73"/>
      <c r="S2331" s="73"/>
      <c r="T2331" s="73"/>
      <c r="U2331" s="73"/>
      <c r="V2331" s="73"/>
      <c r="W2331" s="73"/>
      <c r="X2331" s="73"/>
      <c r="Y2331" s="73"/>
      <c r="Z2331" s="73"/>
      <c r="AA2331" s="73"/>
      <c r="AB2331" s="73"/>
      <c r="AC2331" s="73"/>
      <c r="AD2331" s="73"/>
      <c r="AE2331" s="73"/>
      <c r="AF2331" s="73"/>
      <c r="AG2331" s="73"/>
      <c r="AH2331" s="73"/>
      <c r="AI2331" s="73"/>
      <c r="AJ2331" s="168"/>
      <c r="AK2331" s="73"/>
      <c r="AL2331" s="73"/>
      <c r="AM2331" s="73"/>
      <c r="AN2331" s="73"/>
      <c r="AO2331" s="73"/>
      <c r="AP2331" s="73"/>
      <c r="AQ2331" s="73"/>
      <c r="AR2331" s="73"/>
      <c r="AS2331" s="73"/>
      <c r="AT2331" s="73"/>
      <c r="AU2331" s="73"/>
      <c r="AV2331" s="73"/>
      <c r="AW2331" s="73"/>
      <c r="AX2331" s="73"/>
      <c r="AY2331" s="73"/>
      <c r="AZ2331" s="73"/>
      <c r="BA2331" s="73"/>
      <c r="BB2331" s="73"/>
      <c r="BC2331" s="73"/>
      <c r="BD2331" s="73"/>
      <c r="BE2331" s="73"/>
      <c r="BF2331" s="75"/>
      <c r="BG2331" s="73"/>
      <c r="BH2331" s="88"/>
      <c r="BI2331" s="73"/>
      <c r="BJ2331" s="73"/>
      <c r="BK2331" s="73"/>
      <c r="BL2331" s="73"/>
      <c r="BM2331" s="73"/>
      <c r="BN2331" s="73"/>
      <c r="BO2331" s="73"/>
      <c r="BP2331" s="73"/>
      <c r="BQ2331" s="73"/>
      <c r="BR2331" s="73"/>
      <c r="BS2331" s="73"/>
      <c r="BT2331" s="73"/>
      <c r="BU2331" s="73"/>
      <c r="BV2331" s="73"/>
      <c r="BW2331" s="73"/>
      <c r="BX2331" s="73"/>
      <c r="BY2331" s="73"/>
      <c r="BZ2331" s="73"/>
      <c r="CA2331" s="73"/>
      <c r="CB2331" s="73"/>
      <c r="CC2331" s="73"/>
      <c r="CD2331" s="73"/>
      <c r="CE2331" s="73"/>
      <c r="CF2331" s="73"/>
      <c r="CG2331" s="73"/>
      <c r="CH2331" s="73"/>
    </row>
    <row r="2332">
      <c r="A2332" s="73"/>
      <c r="B2332" s="73"/>
      <c r="C2332" s="73"/>
      <c r="D2332" s="73"/>
      <c r="E2332" s="140"/>
      <c r="F2332" s="80"/>
      <c r="G2332" s="80"/>
      <c r="H2332" s="73"/>
      <c r="I2332" s="73"/>
      <c r="J2332" s="73"/>
      <c r="K2332" s="73"/>
      <c r="L2332" s="73"/>
      <c r="M2332" s="73"/>
      <c r="N2332" s="73"/>
      <c r="O2332" s="73"/>
      <c r="P2332" s="73"/>
      <c r="Q2332" s="73"/>
      <c r="R2332" s="73"/>
      <c r="S2332" s="73"/>
      <c r="T2332" s="73"/>
      <c r="U2332" s="73"/>
      <c r="V2332" s="73"/>
      <c r="W2332" s="73"/>
      <c r="X2332" s="73"/>
      <c r="Y2332" s="73"/>
      <c r="Z2332" s="73"/>
      <c r="AA2332" s="73"/>
      <c r="AB2332" s="73"/>
      <c r="AC2332" s="73"/>
      <c r="AD2332" s="73"/>
      <c r="AE2332" s="73"/>
      <c r="AF2332" s="73"/>
      <c r="AG2332" s="73"/>
      <c r="AH2332" s="73"/>
      <c r="AI2332" s="73"/>
      <c r="AJ2332" s="168"/>
      <c r="AK2332" s="73"/>
      <c r="AL2332" s="73"/>
      <c r="AM2332" s="73"/>
      <c r="AN2332" s="73"/>
      <c r="AO2332" s="73"/>
      <c r="AP2332" s="73"/>
      <c r="AQ2332" s="73"/>
      <c r="AR2332" s="73"/>
      <c r="AS2332" s="73"/>
      <c r="AT2332" s="73"/>
      <c r="AU2332" s="73"/>
      <c r="AV2332" s="73"/>
      <c r="AW2332" s="73"/>
      <c r="AX2332" s="73"/>
      <c r="AY2332" s="73"/>
      <c r="AZ2332" s="73"/>
      <c r="BA2332" s="73"/>
      <c r="BB2332" s="73"/>
      <c r="BC2332" s="73"/>
      <c r="BD2332" s="73"/>
      <c r="BE2332" s="73"/>
      <c r="BF2332" s="75"/>
      <c r="BG2332" s="73"/>
      <c r="BH2332" s="88"/>
      <c r="BI2332" s="73"/>
      <c r="BJ2332" s="73"/>
      <c r="BK2332" s="73"/>
      <c r="BL2332" s="73"/>
      <c r="BM2332" s="73"/>
      <c r="BN2332" s="73"/>
      <c r="BO2332" s="73"/>
      <c r="BP2332" s="73"/>
      <c r="BQ2332" s="73"/>
      <c r="BR2332" s="73"/>
      <c r="BS2332" s="73"/>
      <c r="BT2332" s="73"/>
      <c r="BU2332" s="73"/>
      <c r="BV2332" s="73"/>
      <c r="BW2332" s="73"/>
      <c r="BX2332" s="73"/>
      <c r="BY2332" s="73"/>
      <c r="BZ2332" s="73"/>
      <c r="CA2332" s="73"/>
      <c r="CB2332" s="73"/>
      <c r="CC2332" s="73"/>
      <c r="CD2332" s="73"/>
      <c r="CE2332" s="73"/>
      <c r="CF2332" s="73"/>
      <c r="CG2332" s="73"/>
      <c r="CH2332" s="73"/>
    </row>
    <row r="2333">
      <c r="A2333" s="73"/>
      <c r="B2333" s="73"/>
      <c r="C2333" s="73"/>
      <c r="D2333" s="73"/>
      <c r="E2333" s="140"/>
      <c r="F2333" s="80"/>
      <c r="G2333" s="80"/>
      <c r="H2333" s="73"/>
      <c r="I2333" s="73"/>
      <c r="J2333" s="73"/>
      <c r="K2333" s="73"/>
      <c r="L2333" s="73"/>
      <c r="M2333" s="73"/>
      <c r="N2333" s="73"/>
      <c r="O2333" s="73"/>
      <c r="P2333" s="73"/>
      <c r="Q2333" s="73"/>
      <c r="R2333" s="73"/>
      <c r="S2333" s="73"/>
      <c r="T2333" s="73"/>
      <c r="U2333" s="73"/>
      <c r="V2333" s="73"/>
      <c r="W2333" s="73"/>
      <c r="X2333" s="73"/>
      <c r="Y2333" s="73"/>
      <c r="Z2333" s="73"/>
      <c r="AA2333" s="73"/>
      <c r="AB2333" s="73"/>
      <c r="AC2333" s="73"/>
      <c r="AD2333" s="73"/>
      <c r="AE2333" s="73"/>
      <c r="AF2333" s="73"/>
      <c r="AG2333" s="73"/>
      <c r="AH2333" s="73"/>
      <c r="AI2333" s="73"/>
      <c r="AJ2333" s="168"/>
      <c r="AK2333" s="73"/>
      <c r="AL2333" s="73"/>
      <c r="AM2333" s="73"/>
      <c r="AN2333" s="73"/>
      <c r="AO2333" s="73"/>
      <c r="AP2333" s="73"/>
      <c r="AQ2333" s="73"/>
      <c r="AR2333" s="73"/>
      <c r="AS2333" s="73"/>
      <c r="AT2333" s="73"/>
      <c r="AU2333" s="73"/>
      <c r="AV2333" s="73"/>
      <c r="AW2333" s="73"/>
      <c r="AX2333" s="73"/>
      <c r="AY2333" s="73"/>
      <c r="AZ2333" s="73"/>
      <c r="BA2333" s="73"/>
      <c r="BB2333" s="73"/>
      <c r="BC2333" s="73"/>
      <c r="BD2333" s="73"/>
      <c r="BE2333" s="73"/>
      <c r="BF2333" s="75"/>
      <c r="BG2333" s="73"/>
      <c r="BH2333" s="88"/>
      <c r="BI2333" s="73"/>
      <c r="BJ2333" s="73"/>
      <c r="BK2333" s="73"/>
      <c r="BL2333" s="73"/>
      <c r="BM2333" s="73"/>
      <c r="BN2333" s="73"/>
      <c r="BO2333" s="73"/>
      <c r="BP2333" s="73"/>
      <c r="BQ2333" s="73"/>
      <c r="BR2333" s="73"/>
      <c r="BS2333" s="73"/>
      <c r="BT2333" s="73"/>
      <c r="BU2333" s="73"/>
      <c r="BV2333" s="73"/>
      <c r="BW2333" s="73"/>
      <c r="BX2333" s="73"/>
      <c r="BY2333" s="73"/>
      <c r="BZ2333" s="73"/>
      <c r="CA2333" s="73"/>
      <c r="CB2333" s="73"/>
      <c r="CC2333" s="73"/>
      <c r="CD2333" s="73"/>
      <c r="CE2333" s="73"/>
      <c r="CF2333" s="73"/>
      <c r="CG2333" s="73"/>
      <c r="CH2333" s="73"/>
    </row>
    <row r="2334">
      <c r="A2334" s="73"/>
      <c r="B2334" s="73"/>
      <c r="C2334" s="73"/>
      <c r="D2334" s="73"/>
      <c r="E2334" s="140"/>
      <c r="F2334" s="80"/>
      <c r="G2334" s="80"/>
      <c r="H2334" s="73"/>
      <c r="I2334" s="73"/>
      <c r="J2334" s="73"/>
      <c r="K2334" s="73"/>
      <c r="L2334" s="73"/>
      <c r="M2334" s="73"/>
      <c r="N2334" s="73"/>
      <c r="O2334" s="73"/>
      <c r="P2334" s="73"/>
      <c r="Q2334" s="73"/>
      <c r="R2334" s="73"/>
      <c r="S2334" s="73"/>
      <c r="T2334" s="73"/>
      <c r="U2334" s="73"/>
      <c r="V2334" s="73"/>
      <c r="W2334" s="73"/>
      <c r="X2334" s="73"/>
      <c r="Y2334" s="73"/>
      <c r="Z2334" s="73"/>
      <c r="AA2334" s="73"/>
      <c r="AB2334" s="73"/>
      <c r="AC2334" s="73"/>
      <c r="AD2334" s="73"/>
      <c r="AE2334" s="73"/>
      <c r="AF2334" s="73"/>
      <c r="AG2334" s="73"/>
      <c r="AH2334" s="73"/>
      <c r="AI2334" s="73"/>
      <c r="AJ2334" s="168"/>
      <c r="AK2334" s="73"/>
      <c r="AL2334" s="73"/>
      <c r="AM2334" s="73"/>
      <c r="AN2334" s="73"/>
      <c r="AO2334" s="73"/>
      <c r="AP2334" s="73"/>
      <c r="AQ2334" s="73"/>
      <c r="AR2334" s="73"/>
      <c r="AS2334" s="73"/>
      <c r="AT2334" s="73"/>
      <c r="AU2334" s="73"/>
      <c r="AV2334" s="73"/>
      <c r="AW2334" s="73"/>
      <c r="AX2334" s="73"/>
      <c r="AY2334" s="73"/>
      <c r="AZ2334" s="73"/>
      <c r="BA2334" s="73"/>
      <c r="BB2334" s="73"/>
      <c r="BC2334" s="73"/>
      <c r="BD2334" s="73"/>
      <c r="BE2334" s="73"/>
      <c r="BF2334" s="75"/>
      <c r="BG2334" s="73"/>
      <c r="BH2334" s="88"/>
      <c r="BI2334" s="73"/>
      <c r="BJ2334" s="73"/>
      <c r="BK2334" s="73"/>
      <c r="BL2334" s="73"/>
      <c r="BM2334" s="73"/>
      <c r="BN2334" s="73"/>
      <c r="BO2334" s="73"/>
      <c r="BP2334" s="73"/>
      <c r="BQ2334" s="73"/>
      <c r="BR2334" s="73"/>
      <c r="BS2334" s="73"/>
      <c r="BT2334" s="73"/>
      <c r="BU2334" s="73"/>
      <c r="BV2334" s="73"/>
      <c r="BW2334" s="73"/>
      <c r="BX2334" s="73"/>
      <c r="BY2334" s="73"/>
      <c r="BZ2334" s="73"/>
      <c r="CA2334" s="73"/>
      <c r="CB2334" s="73"/>
      <c r="CC2334" s="73"/>
      <c r="CD2334" s="73"/>
      <c r="CE2334" s="73"/>
      <c r="CF2334" s="73"/>
      <c r="CG2334" s="73"/>
      <c r="CH2334" s="73"/>
    </row>
    <row r="2335">
      <c r="A2335" s="73"/>
      <c r="B2335" s="73"/>
      <c r="C2335" s="73"/>
      <c r="D2335" s="73"/>
      <c r="E2335" s="140"/>
      <c r="F2335" s="80"/>
      <c r="G2335" s="80"/>
      <c r="H2335" s="73"/>
      <c r="I2335" s="73"/>
      <c r="J2335" s="73"/>
      <c r="K2335" s="73"/>
      <c r="L2335" s="73"/>
      <c r="M2335" s="73"/>
      <c r="N2335" s="73"/>
      <c r="O2335" s="73"/>
      <c r="P2335" s="73"/>
      <c r="Q2335" s="73"/>
      <c r="R2335" s="73"/>
      <c r="S2335" s="73"/>
      <c r="T2335" s="73"/>
      <c r="U2335" s="73"/>
      <c r="V2335" s="73"/>
      <c r="W2335" s="73"/>
      <c r="X2335" s="73"/>
      <c r="Y2335" s="73"/>
      <c r="Z2335" s="73"/>
      <c r="AA2335" s="73"/>
      <c r="AB2335" s="73"/>
      <c r="AC2335" s="73"/>
      <c r="AD2335" s="73"/>
      <c r="AE2335" s="73"/>
      <c r="AF2335" s="73"/>
      <c r="AG2335" s="73"/>
      <c r="AH2335" s="73"/>
      <c r="AI2335" s="73"/>
      <c r="AJ2335" s="168"/>
      <c r="AK2335" s="73"/>
      <c r="AL2335" s="73"/>
      <c r="AM2335" s="73"/>
      <c r="AN2335" s="73"/>
      <c r="AO2335" s="73"/>
      <c r="AP2335" s="73"/>
      <c r="AQ2335" s="73"/>
      <c r="AR2335" s="73"/>
      <c r="AS2335" s="73"/>
      <c r="AT2335" s="73"/>
      <c r="AU2335" s="73"/>
      <c r="AV2335" s="73"/>
      <c r="AW2335" s="73"/>
      <c r="AX2335" s="73"/>
      <c r="AY2335" s="73"/>
      <c r="AZ2335" s="73"/>
      <c r="BA2335" s="73"/>
      <c r="BB2335" s="73"/>
      <c r="BC2335" s="73"/>
      <c r="BD2335" s="73"/>
      <c r="BE2335" s="73"/>
      <c r="BF2335" s="75"/>
      <c r="BG2335" s="73"/>
      <c r="BH2335" s="88"/>
      <c r="BI2335" s="73"/>
      <c r="BJ2335" s="73"/>
      <c r="BK2335" s="73"/>
      <c r="BL2335" s="73"/>
      <c r="BM2335" s="73"/>
      <c r="BN2335" s="73"/>
      <c r="BO2335" s="73"/>
      <c r="BP2335" s="73"/>
      <c r="BQ2335" s="73"/>
      <c r="BR2335" s="73"/>
      <c r="BS2335" s="73"/>
      <c r="BT2335" s="73"/>
      <c r="BU2335" s="73"/>
      <c r="BV2335" s="73"/>
      <c r="BW2335" s="73"/>
      <c r="BX2335" s="73"/>
      <c r="BY2335" s="73"/>
      <c r="BZ2335" s="73"/>
      <c r="CA2335" s="73"/>
      <c r="CB2335" s="73"/>
      <c r="CC2335" s="73"/>
      <c r="CD2335" s="73"/>
      <c r="CE2335" s="73"/>
      <c r="CF2335" s="73"/>
      <c r="CG2335" s="73"/>
      <c r="CH2335" s="73"/>
    </row>
    <row r="2336">
      <c r="A2336" s="73"/>
      <c r="B2336" s="73"/>
      <c r="C2336" s="73"/>
      <c r="D2336" s="73"/>
      <c r="E2336" s="140"/>
      <c r="F2336" s="80"/>
      <c r="G2336" s="80"/>
      <c r="H2336" s="73"/>
      <c r="I2336" s="73"/>
      <c r="J2336" s="73"/>
      <c r="K2336" s="73"/>
      <c r="L2336" s="73"/>
      <c r="M2336" s="73"/>
      <c r="N2336" s="73"/>
      <c r="O2336" s="73"/>
      <c r="P2336" s="73"/>
      <c r="Q2336" s="73"/>
      <c r="R2336" s="73"/>
      <c r="S2336" s="73"/>
      <c r="T2336" s="73"/>
      <c r="U2336" s="73"/>
      <c r="V2336" s="73"/>
      <c r="W2336" s="73"/>
      <c r="X2336" s="73"/>
      <c r="Y2336" s="73"/>
      <c r="Z2336" s="73"/>
      <c r="AA2336" s="73"/>
      <c r="AB2336" s="73"/>
      <c r="AC2336" s="73"/>
      <c r="AD2336" s="73"/>
      <c r="AE2336" s="73"/>
      <c r="AF2336" s="73"/>
      <c r="AG2336" s="73"/>
      <c r="AH2336" s="73"/>
      <c r="AI2336" s="73"/>
      <c r="AJ2336" s="168"/>
      <c r="AK2336" s="73"/>
      <c r="AL2336" s="73"/>
      <c r="AM2336" s="73"/>
      <c r="AN2336" s="73"/>
      <c r="AO2336" s="73"/>
      <c r="AP2336" s="73"/>
      <c r="AQ2336" s="73"/>
      <c r="AR2336" s="73"/>
      <c r="AS2336" s="73"/>
      <c r="AT2336" s="73"/>
      <c r="AU2336" s="73"/>
      <c r="AV2336" s="73"/>
      <c r="AW2336" s="73"/>
      <c r="AX2336" s="73"/>
      <c r="AY2336" s="73"/>
      <c r="AZ2336" s="73"/>
      <c r="BA2336" s="73"/>
      <c r="BB2336" s="73"/>
      <c r="BC2336" s="73"/>
      <c r="BD2336" s="73"/>
      <c r="BE2336" s="73"/>
      <c r="BF2336" s="75"/>
      <c r="BG2336" s="73"/>
      <c r="BH2336" s="88"/>
      <c r="BI2336" s="73"/>
      <c r="BJ2336" s="73"/>
      <c r="BK2336" s="73"/>
      <c r="BL2336" s="73"/>
      <c r="BM2336" s="73"/>
      <c r="BN2336" s="73"/>
      <c r="BO2336" s="73"/>
      <c r="BP2336" s="73"/>
      <c r="BQ2336" s="73"/>
      <c r="BR2336" s="73"/>
      <c r="BS2336" s="73"/>
      <c r="BT2336" s="73"/>
      <c r="BU2336" s="73"/>
      <c r="BV2336" s="73"/>
      <c r="BW2336" s="73"/>
      <c r="BX2336" s="73"/>
      <c r="BY2336" s="73"/>
      <c r="BZ2336" s="73"/>
      <c r="CA2336" s="73"/>
      <c r="CB2336" s="73"/>
      <c r="CC2336" s="73"/>
      <c r="CD2336" s="73"/>
      <c r="CE2336" s="73"/>
      <c r="CF2336" s="73"/>
      <c r="CG2336" s="73"/>
      <c r="CH2336" s="73"/>
    </row>
    <row r="2337">
      <c r="A2337" s="73"/>
      <c r="B2337" s="73"/>
      <c r="C2337" s="73"/>
      <c r="D2337" s="73"/>
      <c r="E2337" s="140"/>
      <c r="F2337" s="80"/>
      <c r="G2337" s="80"/>
      <c r="H2337" s="73"/>
      <c r="I2337" s="73"/>
      <c r="J2337" s="73"/>
      <c r="K2337" s="73"/>
      <c r="L2337" s="73"/>
      <c r="M2337" s="73"/>
      <c r="N2337" s="73"/>
      <c r="O2337" s="73"/>
      <c r="P2337" s="73"/>
      <c r="Q2337" s="73"/>
      <c r="R2337" s="73"/>
      <c r="S2337" s="73"/>
      <c r="T2337" s="73"/>
      <c r="U2337" s="73"/>
      <c r="V2337" s="73"/>
      <c r="W2337" s="73"/>
      <c r="X2337" s="73"/>
      <c r="Y2337" s="73"/>
      <c r="Z2337" s="73"/>
      <c r="AA2337" s="73"/>
      <c r="AB2337" s="73"/>
      <c r="AC2337" s="73"/>
      <c r="AD2337" s="73"/>
      <c r="AE2337" s="73"/>
      <c r="AF2337" s="73"/>
      <c r="AG2337" s="73"/>
      <c r="AH2337" s="73"/>
      <c r="AI2337" s="73"/>
      <c r="AJ2337" s="168"/>
      <c r="AK2337" s="73"/>
      <c r="AL2337" s="73"/>
      <c r="AM2337" s="73"/>
      <c r="AN2337" s="73"/>
      <c r="AO2337" s="73"/>
      <c r="AP2337" s="73"/>
      <c r="AQ2337" s="73"/>
      <c r="AR2337" s="73"/>
      <c r="AS2337" s="73"/>
      <c r="AT2337" s="73"/>
      <c r="AU2337" s="73"/>
      <c r="AV2337" s="73"/>
      <c r="AW2337" s="73"/>
      <c r="AX2337" s="73"/>
      <c r="AY2337" s="73"/>
      <c r="AZ2337" s="73"/>
      <c r="BA2337" s="73"/>
      <c r="BB2337" s="73"/>
      <c r="BC2337" s="73"/>
      <c r="BD2337" s="73"/>
      <c r="BE2337" s="73"/>
      <c r="BF2337" s="75"/>
      <c r="BG2337" s="73"/>
      <c r="BH2337" s="88"/>
      <c r="BI2337" s="73"/>
      <c r="BJ2337" s="73"/>
      <c r="BK2337" s="73"/>
      <c r="BL2337" s="73"/>
      <c r="BM2337" s="73"/>
      <c r="BN2337" s="73"/>
      <c r="BO2337" s="73"/>
      <c r="BP2337" s="73"/>
      <c r="BQ2337" s="73"/>
      <c r="BR2337" s="73"/>
      <c r="BS2337" s="73"/>
      <c r="BT2337" s="73"/>
      <c r="BU2337" s="73"/>
      <c r="BV2337" s="73"/>
      <c r="BW2337" s="73"/>
      <c r="BX2337" s="73"/>
      <c r="BY2337" s="73"/>
      <c r="BZ2337" s="73"/>
      <c r="CA2337" s="73"/>
      <c r="CB2337" s="73"/>
      <c r="CC2337" s="73"/>
      <c r="CD2337" s="73"/>
      <c r="CE2337" s="73"/>
      <c r="CF2337" s="73"/>
      <c r="CG2337" s="73"/>
      <c r="CH2337" s="73"/>
    </row>
    <row r="2338">
      <c r="A2338" s="73"/>
      <c r="B2338" s="73"/>
      <c r="C2338" s="73"/>
      <c r="D2338" s="73"/>
      <c r="E2338" s="140"/>
      <c r="F2338" s="80"/>
      <c r="G2338" s="80"/>
      <c r="H2338" s="73"/>
      <c r="I2338" s="73"/>
      <c r="J2338" s="73"/>
      <c r="K2338" s="73"/>
      <c r="L2338" s="73"/>
      <c r="M2338" s="73"/>
      <c r="N2338" s="73"/>
      <c r="O2338" s="73"/>
      <c r="P2338" s="73"/>
      <c r="Q2338" s="73"/>
      <c r="R2338" s="73"/>
      <c r="S2338" s="73"/>
      <c r="T2338" s="73"/>
      <c r="U2338" s="73"/>
      <c r="V2338" s="73"/>
      <c r="W2338" s="73"/>
      <c r="X2338" s="73"/>
      <c r="Y2338" s="73"/>
      <c r="Z2338" s="73"/>
      <c r="AA2338" s="73"/>
      <c r="AB2338" s="73"/>
      <c r="AC2338" s="73"/>
      <c r="AD2338" s="73"/>
      <c r="AE2338" s="73"/>
      <c r="AF2338" s="73"/>
      <c r="AG2338" s="73"/>
      <c r="AH2338" s="73"/>
      <c r="AI2338" s="73"/>
      <c r="AJ2338" s="168"/>
      <c r="AK2338" s="73"/>
      <c r="AL2338" s="73"/>
      <c r="AM2338" s="73"/>
      <c r="AN2338" s="73"/>
      <c r="AO2338" s="73"/>
      <c r="AP2338" s="73"/>
      <c r="AQ2338" s="73"/>
      <c r="AR2338" s="73"/>
      <c r="AS2338" s="73"/>
      <c r="AT2338" s="73"/>
      <c r="AU2338" s="73"/>
      <c r="AV2338" s="73"/>
      <c r="AW2338" s="73"/>
      <c r="AX2338" s="73"/>
      <c r="AY2338" s="73"/>
      <c r="AZ2338" s="73"/>
      <c r="BA2338" s="73"/>
      <c r="BB2338" s="73"/>
      <c r="BC2338" s="73"/>
      <c r="BD2338" s="73"/>
      <c r="BE2338" s="73"/>
      <c r="BF2338" s="75"/>
      <c r="BG2338" s="73"/>
      <c r="BH2338" s="88"/>
      <c r="BI2338" s="73"/>
      <c r="BJ2338" s="73"/>
      <c r="BK2338" s="73"/>
      <c r="BL2338" s="73"/>
      <c r="BM2338" s="73"/>
      <c r="BN2338" s="73"/>
      <c r="BO2338" s="73"/>
      <c r="BP2338" s="73"/>
      <c r="BQ2338" s="73"/>
      <c r="BR2338" s="73"/>
      <c r="BS2338" s="73"/>
      <c r="BT2338" s="73"/>
      <c r="BU2338" s="73"/>
      <c r="BV2338" s="73"/>
      <c r="BW2338" s="73"/>
      <c r="BX2338" s="73"/>
      <c r="BY2338" s="73"/>
      <c r="BZ2338" s="73"/>
      <c r="CA2338" s="73"/>
      <c r="CB2338" s="73"/>
      <c r="CC2338" s="73"/>
      <c r="CD2338" s="73"/>
      <c r="CE2338" s="73"/>
      <c r="CF2338" s="73"/>
      <c r="CG2338" s="73"/>
      <c r="CH2338" s="73"/>
    </row>
    <row r="2339">
      <c r="A2339" s="73"/>
      <c r="B2339" s="73"/>
      <c r="C2339" s="73"/>
      <c r="D2339" s="73"/>
      <c r="E2339" s="140"/>
      <c r="F2339" s="80"/>
      <c r="G2339" s="80"/>
      <c r="H2339" s="73"/>
      <c r="I2339" s="73"/>
      <c r="J2339" s="73"/>
      <c r="K2339" s="73"/>
      <c r="L2339" s="73"/>
      <c r="M2339" s="73"/>
      <c r="N2339" s="73"/>
      <c r="O2339" s="73"/>
      <c r="P2339" s="73"/>
      <c r="Q2339" s="73"/>
      <c r="R2339" s="73"/>
      <c r="S2339" s="73"/>
      <c r="T2339" s="73"/>
      <c r="U2339" s="73"/>
      <c r="V2339" s="73"/>
      <c r="W2339" s="73"/>
      <c r="X2339" s="73"/>
      <c r="Y2339" s="73"/>
      <c r="Z2339" s="73"/>
      <c r="AA2339" s="73"/>
      <c r="AB2339" s="73"/>
      <c r="AC2339" s="73"/>
      <c r="AD2339" s="73"/>
      <c r="AE2339" s="73"/>
      <c r="AF2339" s="73"/>
      <c r="AG2339" s="73"/>
      <c r="AH2339" s="73"/>
      <c r="AI2339" s="73"/>
      <c r="AJ2339" s="168"/>
      <c r="AK2339" s="73"/>
      <c r="AL2339" s="73"/>
      <c r="AM2339" s="73"/>
      <c r="AN2339" s="73"/>
      <c r="AO2339" s="73"/>
      <c r="AP2339" s="73"/>
      <c r="AQ2339" s="73"/>
      <c r="AR2339" s="73"/>
      <c r="AS2339" s="73"/>
      <c r="AT2339" s="73"/>
      <c r="AU2339" s="73"/>
      <c r="AV2339" s="73"/>
      <c r="AW2339" s="73"/>
      <c r="AX2339" s="73"/>
      <c r="AY2339" s="73"/>
      <c r="AZ2339" s="73"/>
      <c r="BA2339" s="73"/>
      <c r="BB2339" s="73"/>
      <c r="BC2339" s="73"/>
      <c r="BD2339" s="73"/>
      <c r="BE2339" s="73"/>
      <c r="BF2339" s="75"/>
      <c r="BG2339" s="73"/>
      <c r="BH2339" s="88"/>
      <c r="BI2339" s="73"/>
      <c r="BJ2339" s="73"/>
      <c r="BK2339" s="73"/>
      <c r="BL2339" s="73"/>
      <c r="BM2339" s="73"/>
      <c r="BN2339" s="73"/>
      <c r="BO2339" s="73"/>
      <c r="BP2339" s="73"/>
      <c r="BQ2339" s="73"/>
      <c r="BR2339" s="73"/>
      <c r="BS2339" s="73"/>
      <c r="BT2339" s="73"/>
      <c r="BU2339" s="73"/>
      <c r="BV2339" s="73"/>
      <c r="BW2339" s="73"/>
      <c r="BX2339" s="73"/>
      <c r="BY2339" s="73"/>
      <c r="BZ2339" s="73"/>
      <c r="CA2339" s="73"/>
      <c r="CB2339" s="73"/>
      <c r="CC2339" s="73"/>
      <c r="CD2339" s="73"/>
      <c r="CE2339" s="73"/>
      <c r="CF2339" s="73"/>
      <c r="CG2339" s="73"/>
      <c r="CH2339" s="73"/>
    </row>
    <row r="2340">
      <c r="A2340" s="73"/>
      <c r="B2340" s="73"/>
      <c r="C2340" s="73"/>
      <c r="D2340" s="73"/>
      <c r="E2340" s="140"/>
      <c r="F2340" s="80"/>
      <c r="G2340" s="80"/>
      <c r="H2340" s="73"/>
      <c r="I2340" s="73"/>
      <c r="J2340" s="73"/>
      <c r="K2340" s="73"/>
      <c r="L2340" s="73"/>
      <c r="M2340" s="73"/>
      <c r="N2340" s="73"/>
      <c r="O2340" s="73"/>
      <c r="P2340" s="73"/>
      <c r="Q2340" s="73"/>
      <c r="R2340" s="73"/>
      <c r="S2340" s="73"/>
      <c r="T2340" s="73"/>
      <c r="U2340" s="73"/>
      <c r="V2340" s="73"/>
      <c r="W2340" s="73"/>
      <c r="X2340" s="73"/>
      <c r="Y2340" s="73"/>
      <c r="Z2340" s="73"/>
      <c r="AA2340" s="73"/>
      <c r="AB2340" s="73"/>
      <c r="AC2340" s="73"/>
      <c r="AD2340" s="73"/>
      <c r="AE2340" s="73"/>
      <c r="AF2340" s="73"/>
      <c r="AG2340" s="73"/>
      <c r="AH2340" s="73"/>
      <c r="AI2340" s="73"/>
      <c r="AJ2340" s="168"/>
      <c r="AK2340" s="73"/>
      <c r="AL2340" s="73"/>
      <c r="AM2340" s="73"/>
      <c r="AN2340" s="73"/>
      <c r="AO2340" s="73"/>
      <c r="AP2340" s="73"/>
      <c r="AQ2340" s="73"/>
      <c r="AR2340" s="73"/>
      <c r="AS2340" s="73"/>
      <c r="AT2340" s="73"/>
      <c r="AU2340" s="73"/>
      <c r="AV2340" s="73"/>
      <c r="AW2340" s="73"/>
      <c r="AX2340" s="73"/>
      <c r="AY2340" s="73"/>
      <c r="AZ2340" s="73"/>
      <c r="BA2340" s="73"/>
      <c r="BB2340" s="73"/>
      <c r="BC2340" s="73"/>
      <c r="BD2340" s="73"/>
      <c r="BE2340" s="73"/>
      <c r="BF2340" s="75"/>
      <c r="BG2340" s="73"/>
      <c r="BH2340" s="88"/>
      <c r="BI2340" s="73"/>
      <c r="BJ2340" s="73"/>
      <c r="BK2340" s="73"/>
      <c r="BL2340" s="73"/>
      <c r="BM2340" s="73"/>
      <c r="BN2340" s="73"/>
      <c r="BO2340" s="73"/>
      <c r="BP2340" s="73"/>
      <c r="BQ2340" s="73"/>
      <c r="BR2340" s="73"/>
      <c r="BS2340" s="73"/>
      <c r="BT2340" s="73"/>
      <c r="BU2340" s="73"/>
      <c r="BV2340" s="73"/>
      <c r="BW2340" s="73"/>
      <c r="BX2340" s="73"/>
      <c r="BY2340" s="73"/>
      <c r="BZ2340" s="73"/>
      <c r="CA2340" s="73"/>
      <c r="CB2340" s="73"/>
      <c r="CC2340" s="73"/>
      <c r="CD2340" s="73"/>
      <c r="CE2340" s="73"/>
      <c r="CF2340" s="73"/>
      <c r="CG2340" s="73"/>
      <c r="CH2340" s="73"/>
    </row>
    <row r="2341">
      <c r="A2341" s="73"/>
      <c r="B2341" s="73"/>
      <c r="C2341" s="73"/>
      <c r="D2341" s="73"/>
      <c r="E2341" s="140"/>
      <c r="F2341" s="80"/>
      <c r="G2341" s="80"/>
      <c r="H2341" s="73"/>
      <c r="I2341" s="73"/>
      <c r="J2341" s="73"/>
      <c r="K2341" s="73"/>
      <c r="L2341" s="73"/>
      <c r="M2341" s="73"/>
      <c r="N2341" s="73"/>
      <c r="O2341" s="73"/>
      <c r="P2341" s="73"/>
      <c r="Q2341" s="73"/>
      <c r="R2341" s="73"/>
      <c r="S2341" s="73"/>
      <c r="T2341" s="73"/>
      <c r="U2341" s="73"/>
      <c r="V2341" s="73"/>
      <c r="W2341" s="73"/>
      <c r="X2341" s="73"/>
      <c r="Y2341" s="73"/>
      <c r="Z2341" s="73"/>
      <c r="AA2341" s="73"/>
      <c r="AB2341" s="73"/>
      <c r="AC2341" s="73"/>
      <c r="AD2341" s="73"/>
      <c r="AE2341" s="73"/>
      <c r="AF2341" s="73"/>
      <c r="AG2341" s="73"/>
      <c r="AH2341" s="73"/>
      <c r="AI2341" s="73"/>
      <c r="AJ2341" s="168"/>
      <c r="AK2341" s="73"/>
      <c r="AL2341" s="73"/>
      <c r="AM2341" s="73"/>
      <c r="AN2341" s="73"/>
      <c r="AO2341" s="73"/>
      <c r="AP2341" s="73"/>
      <c r="AQ2341" s="73"/>
      <c r="AR2341" s="73"/>
      <c r="AS2341" s="73"/>
      <c r="AT2341" s="73"/>
      <c r="AU2341" s="73"/>
      <c r="AV2341" s="73"/>
      <c r="AW2341" s="73"/>
      <c r="AX2341" s="73"/>
      <c r="AY2341" s="73"/>
      <c r="AZ2341" s="73"/>
      <c r="BA2341" s="73"/>
      <c r="BB2341" s="73"/>
      <c r="BC2341" s="73"/>
      <c r="BD2341" s="73"/>
      <c r="BE2341" s="73"/>
      <c r="BF2341" s="75"/>
      <c r="BG2341" s="73"/>
      <c r="BH2341" s="88"/>
      <c r="BI2341" s="73"/>
      <c r="BJ2341" s="73"/>
      <c r="BK2341" s="73"/>
      <c r="BL2341" s="73"/>
      <c r="BM2341" s="73"/>
      <c r="BN2341" s="73"/>
      <c r="BO2341" s="73"/>
      <c r="BP2341" s="73"/>
      <c r="BQ2341" s="73"/>
      <c r="BR2341" s="73"/>
      <c r="BS2341" s="73"/>
      <c r="BT2341" s="73"/>
      <c r="BU2341" s="73"/>
      <c r="BV2341" s="73"/>
      <c r="BW2341" s="73"/>
      <c r="BX2341" s="73"/>
      <c r="BY2341" s="73"/>
      <c r="BZ2341" s="73"/>
      <c r="CA2341" s="73"/>
      <c r="CB2341" s="73"/>
      <c r="CC2341" s="73"/>
      <c r="CD2341" s="73"/>
      <c r="CE2341" s="73"/>
      <c r="CF2341" s="73"/>
      <c r="CG2341" s="73"/>
      <c r="CH2341" s="73"/>
    </row>
    <row r="2342">
      <c r="A2342" s="73"/>
      <c r="B2342" s="73"/>
      <c r="C2342" s="73"/>
      <c r="D2342" s="73"/>
      <c r="E2342" s="140"/>
      <c r="F2342" s="80"/>
      <c r="G2342" s="80"/>
      <c r="H2342" s="73"/>
      <c r="I2342" s="73"/>
      <c r="J2342" s="73"/>
      <c r="K2342" s="73"/>
      <c r="L2342" s="73"/>
      <c r="M2342" s="73"/>
      <c r="N2342" s="73"/>
      <c r="O2342" s="73"/>
      <c r="P2342" s="73"/>
      <c r="Q2342" s="73"/>
      <c r="R2342" s="73"/>
      <c r="S2342" s="73"/>
      <c r="T2342" s="73"/>
      <c r="U2342" s="73"/>
      <c r="V2342" s="73"/>
      <c r="W2342" s="73"/>
      <c r="X2342" s="73"/>
      <c r="Y2342" s="73"/>
      <c r="Z2342" s="73"/>
      <c r="AA2342" s="73"/>
      <c r="AB2342" s="73"/>
      <c r="AC2342" s="73"/>
      <c r="AD2342" s="73"/>
      <c r="AE2342" s="73"/>
      <c r="AF2342" s="73"/>
      <c r="AG2342" s="73"/>
      <c r="AH2342" s="73"/>
      <c r="AI2342" s="73"/>
      <c r="AJ2342" s="168"/>
      <c r="AK2342" s="73"/>
      <c r="AL2342" s="73"/>
      <c r="AM2342" s="73"/>
      <c r="AN2342" s="73"/>
      <c r="AO2342" s="73"/>
      <c r="AP2342" s="73"/>
      <c r="AQ2342" s="73"/>
      <c r="AR2342" s="73"/>
      <c r="AS2342" s="73"/>
      <c r="AT2342" s="73"/>
      <c r="AU2342" s="73"/>
      <c r="AV2342" s="73"/>
      <c r="AW2342" s="73"/>
      <c r="AX2342" s="73"/>
      <c r="AY2342" s="73"/>
      <c r="AZ2342" s="73"/>
      <c r="BA2342" s="73"/>
      <c r="BB2342" s="73"/>
      <c r="BC2342" s="73"/>
      <c r="BD2342" s="73"/>
      <c r="BE2342" s="73"/>
      <c r="BF2342" s="75"/>
      <c r="BG2342" s="73"/>
      <c r="BH2342" s="88"/>
      <c r="BI2342" s="73"/>
      <c r="BJ2342" s="73"/>
      <c r="BK2342" s="73"/>
      <c r="BL2342" s="73"/>
      <c r="BM2342" s="73"/>
      <c r="BN2342" s="73"/>
      <c r="BO2342" s="73"/>
      <c r="BP2342" s="73"/>
      <c r="BQ2342" s="73"/>
      <c r="BR2342" s="73"/>
      <c r="BS2342" s="73"/>
      <c r="BT2342" s="73"/>
      <c r="BU2342" s="73"/>
      <c r="BV2342" s="73"/>
      <c r="BW2342" s="73"/>
      <c r="BX2342" s="73"/>
      <c r="BY2342" s="73"/>
      <c r="BZ2342" s="73"/>
      <c r="CA2342" s="73"/>
      <c r="CB2342" s="73"/>
      <c r="CC2342" s="73"/>
      <c r="CD2342" s="73"/>
      <c r="CE2342" s="73"/>
      <c r="CF2342" s="73"/>
      <c r="CG2342" s="73"/>
      <c r="CH2342" s="73"/>
    </row>
    <row r="2343">
      <c r="A2343" s="73"/>
      <c r="B2343" s="73"/>
      <c r="C2343" s="73"/>
      <c r="D2343" s="73"/>
      <c r="E2343" s="140"/>
      <c r="F2343" s="80"/>
      <c r="G2343" s="80"/>
      <c r="H2343" s="73"/>
      <c r="I2343" s="73"/>
      <c r="J2343" s="73"/>
      <c r="K2343" s="73"/>
      <c r="L2343" s="73"/>
      <c r="M2343" s="73"/>
      <c r="N2343" s="73"/>
      <c r="O2343" s="73"/>
      <c r="P2343" s="73"/>
      <c r="Q2343" s="73"/>
      <c r="R2343" s="73"/>
      <c r="S2343" s="73"/>
      <c r="T2343" s="73"/>
      <c r="U2343" s="73"/>
      <c r="V2343" s="73"/>
      <c r="W2343" s="73"/>
      <c r="X2343" s="73"/>
      <c r="Y2343" s="73"/>
      <c r="Z2343" s="73"/>
      <c r="AA2343" s="73"/>
      <c r="AB2343" s="73"/>
      <c r="AC2343" s="73"/>
      <c r="AD2343" s="73"/>
      <c r="AE2343" s="73"/>
      <c r="AF2343" s="73"/>
      <c r="AG2343" s="73"/>
      <c r="AH2343" s="73"/>
      <c r="AI2343" s="73"/>
      <c r="AJ2343" s="168"/>
      <c r="AK2343" s="73"/>
      <c r="AL2343" s="73"/>
      <c r="AM2343" s="73"/>
      <c r="AN2343" s="73"/>
      <c r="AO2343" s="73"/>
      <c r="AP2343" s="73"/>
      <c r="AQ2343" s="73"/>
      <c r="AR2343" s="73"/>
      <c r="AS2343" s="73"/>
      <c r="AT2343" s="73"/>
      <c r="AU2343" s="73"/>
      <c r="AV2343" s="73"/>
      <c r="AW2343" s="73"/>
      <c r="AX2343" s="73"/>
      <c r="AY2343" s="73"/>
      <c r="AZ2343" s="73"/>
      <c r="BA2343" s="73"/>
      <c r="BB2343" s="73"/>
      <c r="BC2343" s="73"/>
      <c r="BD2343" s="73"/>
      <c r="BE2343" s="73"/>
      <c r="BF2343" s="75"/>
      <c r="BG2343" s="73"/>
      <c r="BH2343" s="88"/>
      <c r="BI2343" s="73"/>
      <c r="BJ2343" s="73"/>
      <c r="BK2343" s="73"/>
      <c r="BL2343" s="73"/>
      <c r="BM2343" s="73"/>
      <c r="BN2343" s="73"/>
      <c r="BO2343" s="73"/>
      <c r="BP2343" s="73"/>
      <c r="BQ2343" s="73"/>
      <c r="BR2343" s="73"/>
      <c r="BS2343" s="73"/>
      <c r="BT2343" s="73"/>
      <c r="BU2343" s="73"/>
      <c r="BV2343" s="73"/>
      <c r="BW2343" s="73"/>
      <c r="BX2343" s="73"/>
      <c r="BY2343" s="73"/>
      <c r="BZ2343" s="73"/>
      <c r="CA2343" s="73"/>
      <c r="CB2343" s="73"/>
      <c r="CC2343" s="73"/>
      <c r="CD2343" s="73"/>
      <c r="CE2343" s="73"/>
      <c r="CF2343" s="73"/>
      <c r="CG2343" s="73"/>
      <c r="CH2343" s="73"/>
    </row>
    <row r="2344">
      <c r="A2344" s="73"/>
      <c r="B2344" s="73"/>
      <c r="C2344" s="73"/>
      <c r="D2344" s="73"/>
      <c r="E2344" s="140"/>
      <c r="F2344" s="80"/>
      <c r="G2344" s="80"/>
      <c r="H2344" s="73"/>
      <c r="I2344" s="73"/>
      <c r="J2344" s="73"/>
      <c r="K2344" s="73"/>
      <c r="L2344" s="73"/>
      <c r="M2344" s="73"/>
      <c r="N2344" s="73"/>
      <c r="O2344" s="73"/>
      <c r="P2344" s="73"/>
      <c r="Q2344" s="73"/>
      <c r="R2344" s="73"/>
      <c r="S2344" s="73"/>
      <c r="T2344" s="73"/>
      <c r="U2344" s="73"/>
      <c r="V2344" s="73"/>
      <c r="W2344" s="73"/>
      <c r="X2344" s="73"/>
      <c r="Y2344" s="73"/>
      <c r="Z2344" s="73"/>
      <c r="AA2344" s="73"/>
      <c r="AB2344" s="73"/>
      <c r="AC2344" s="73"/>
      <c r="AD2344" s="73"/>
      <c r="AE2344" s="73"/>
      <c r="AF2344" s="73"/>
      <c r="AG2344" s="73"/>
      <c r="AH2344" s="73"/>
      <c r="AI2344" s="73"/>
      <c r="AJ2344" s="168"/>
      <c r="AK2344" s="73"/>
      <c r="AL2344" s="73"/>
      <c r="AM2344" s="73"/>
      <c r="AN2344" s="73"/>
      <c r="AO2344" s="73"/>
      <c r="AP2344" s="73"/>
      <c r="AQ2344" s="73"/>
      <c r="AR2344" s="73"/>
      <c r="AS2344" s="73"/>
      <c r="AT2344" s="73"/>
      <c r="AU2344" s="73"/>
      <c r="AV2344" s="73"/>
      <c r="AW2344" s="73"/>
      <c r="AX2344" s="73"/>
      <c r="AY2344" s="73"/>
      <c r="AZ2344" s="73"/>
      <c r="BA2344" s="73"/>
      <c r="BB2344" s="73"/>
      <c r="BC2344" s="73"/>
      <c r="BD2344" s="73"/>
      <c r="BE2344" s="73"/>
      <c r="BF2344" s="75"/>
      <c r="BG2344" s="73"/>
      <c r="BH2344" s="88"/>
      <c r="BI2344" s="73"/>
      <c r="BJ2344" s="73"/>
      <c r="BK2344" s="73"/>
      <c r="BL2344" s="73"/>
      <c r="BM2344" s="73"/>
      <c r="BN2344" s="73"/>
      <c r="BO2344" s="73"/>
      <c r="BP2344" s="73"/>
      <c r="BQ2344" s="73"/>
      <c r="BR2344" s="73"/>
      <c r="BS2344" s="73"/>
      <c r="BT2344" s="73"/>
      <c r="BU2344" s="73"/>
      <c r="BV2344" s="73"/>
      <c r="BW2344" s="73"/>
      <c r="BX2344" s="73"/>
      <c r="BY2344" s="73"/>
      <c r="BZ2344" s="73"/>
      <c r="CA2344" s="73"/>
      <c r="CB2344" s="73"/>
      <c r="CC2344" s="73"/>
      <c r="CD2344" s="73"/>
      <c r="CE2344" s="73"/>
      <c r="CF2344" s="73"/>
      <c r="CG2344" s="73"/>
      <c r="CH2344" s="73"/>
    </row>
    <row r="2345">
      <c r="A2345" s="73"/>
      <c r="B2345" s="73"/>
      <c r="C2345" s="73"/>
      <c r="D2345" s="73"/>
      <c r="E2345" s="140"/>
      <c r="F2345" s="80"/>
      <c r="G2345" s="80"/>
      <c r="H2345" s="73"/>
      <c r="I2345" s="73"/>
      <c r="J2345" s="73"/>
      <c r="K2345" s="73"/>
      <c r="L2345" s="73"/>
      <c r="M2345" s="73"/>
      <c r="N2345" s="73"/>
      <c r="O2345" s="73"/>
      <c r="P2345" s="73"/>
      <c r="Q2345" s="73"/>
      <c r="R2345" s="73"/>
      <c r="S2345" s="73"/>
      <c r="T2345" s="73"/>
      <c r="U2345" s="73"/>
      <c r="V2345" s="73"/>
      <c r="W2345" s="73"/>
      <c r="X2345" s="73"/>
      <c r="Y2345" s="73"/>
      <c r="Z2345" s="73"/>
      <c r="AA2345" s="73"/>
      <c r="AB2345" s="73"/>
      <c r="AC2345" s="73"/>
      <c r="AD2345" s="73"/>
      <c r="AE2345" s="73"/>
      <c r="AF2345" s="73"/>
      <c r="AG2345" s="73"/>
      <c r="AH2345" s="73"/>
      <c r="AI2345" s="73"/>
      <c r="AJ2345" s="168"/>
      <c r="AK2345" s="73"/>
      <c r="AL2345" s="73"/>
      <c r="AM2345" s="73"/>
      <c r="AN2345" s="73"/>
      <c r="AO2345" s="73"/>
      <c r="AP2345" s="73"/>
      <c r="AQ2345" s="73"/>
      <c r="AR2345" s="73"/>
      <c r="AS2345" s="73"/>
      <c r="AT2345" s="73"/>
      <c r="AU2345" s="73"/>
      <c r="AV2345" s="73"/>
      <c r="AW2345" s="73"/>
      <c r="AX2345" s="73"/>
      <c r="AY2345" s="73"/>
      <c r="AZ2345" s="73"/>
      <c r="BA2345" s="73"/>
      <c r="BB2345" s="73"/>
      <c r="BC2345" s="73"/>
      <c r="BD2345" s="73"/>
      <c r="BE2345" s="73"/>
      <c r="BF2345" s="75"/>
      <c r="BG2345" s="73"/>
      <c r="BH2345" s="88"/>
      <c r="BI2345" s="73"/>
      <c r="BJ2345" s="73"/>
      <c r="BK2345" s="73"/>
      <c r="BL2345" s="73"/>
      <c r="BM2345" s="73"/>
      <c r="BN2345" s="73"/>
      <c r="BO2345" s="73"/>
      <c r="BP2345" s="73"/>
      <c r="BQ2345" s="73"/>
      <c r="BR2345" s="73"/>
      <c r="BS2345" s="73"/>
      <c r="BT2345" s="73"/>
      <c r="BU2345" s="73"/>
      <c r="BV2345" s="73"/>
      <c r="BW2345" s="73"/>
      <c r="BX2345" s="73"/>
      <c r="BY2345" s="73"/>
      <c r="BZ2345" s="73"/>
      <c r="CA2345" s="73"/>
      <c r="CB2345" s="73"/>
      <c r="CC2345" s="73"/>
      <c r="CD2345" s="73"/>
      <c r="CE2345" s="73"/>
      <c r="CF2345" s="73"/>
      <c r="CG2345" s="73"/>
      <c r="CH2345" s="73"/>
    </row>
    <row r="2346">
      <c r="A2346" s="73"/>
      <c r="B2346" s="73"/>
      <c r="C2346" s="73"/>
      <c r="D2346" s="73"/>
      <c r="E2346" s="140"/>
      <c r="F2346" s="80"/>
      <c r="G2346" s="80"/>
      <c r="H2346" s="73"/>
      <c r="I2346" s="73"/>
      <c r="J2346" s="73"/>
      <c r="K2346" s="73"/>
      <c r="L2346" s="73"/>
      <c r="M2346" s="73"/>
      <c r="N2346" s="73"/>
      <c r="O2346" s="73"/>
      <c r="P2346" s="73"/>
      <c r="Q2346" s="73"/>
      <c r="R2346" s="73"/>
      <c r="S2346" s="73"/>
      <c r="T2346" s="73"/>
      <c r="U2346" s="73"/>
      <c r="V2346" s="73"/>
      <c r="W2346" s="73"/>
      <c r="X2346" s="73"/>
      <c r="Y2346" s="73"/>
      <c r="Z2346" s="73"/>
      <c r="AA2346" s="73"/>
      <c r="AB2346" s="73"/>
      <c r="AC2346" s="73"/>
      <c r="AD2346" s="73"/>
      <c r="AE2346" s="73"/>
      <c r="AF2346" s="73"/>
      <c r="AG2346" s="73"/>
      <c r="AH2346" s="73"/>
      <c r="AI2346" s="73"/>
      <c r="AJ2346" s="168"/>
      <c r="AK2346" s="73"/>
      <c r="AL2346" s="73"/>
      <c r="AM2346" s="73"/>
      <c r="AN2346" s="73"/>
      <c r="AO2346" s="73"/>
      <c r="AP2346" s="73"/>
      <c r="AQ2346" s="73"/>
      <c r="AR2346" s="73"/>
      <c r="AS2346" s="73"/>
      <c r="AT2346" s="73"/>
      <c r="AU2346" s="73"/>
      <c r="AV2346" s="73"/>
      <c r="AW2346" s="73"/>
      <c r="AX2346" s="73"/>
      <c r="AY2346" s="73"/>
      <c r="AZ2346" s="73"/>
      <c r="BA2346" s="73"/>
      <c r="BB2346" s="73"/>
      <c r="BC2346" s="73"/>
      <c r="BD2346" s="73"/>
      <c r="BE2346" s="73"/>
      <c r="BF2346" s="75"/>
      <c r="BG2346" s="73"/>
      <c r="BH2346" s="88"/>
      <c r="BI2346" s="73"/>
      <c r="BJ2346" s="73"/>
      <c r="BK2346" s="73"/>
      <c r="BL2346" s="73"/>
      <c r="BM2346" s="73"/>
      <c r="BN2346" s="73"/>
      <c r="BO2346" s="73"/>
      <c r="BP2346" s="73"/>
      <c r="BQ2346" s="73"/>
      <c r="BR2346" s="73"/>
      <c r="BS2346" s="73"/>
      <c r="BT2346" s="73"/>
      <c r="BU2346" s="73"/>
      <c r="BV2346" s="73"/>
      <c r="BW2346" s="73"/>
      <c r="BX2346" s="73"/>
      <c r="BY2346" s="73"/>
      <c r="BZ2346" s="73"/>
      <c r="CA2346" s="73"/>
      <c r="CB2346" s="73"/>
      <c r="CC2346" s="73"/>
      <c r="CD2346" s="73"/>
      <c r="CE2346" s="73"/>
      <c r="CF2346" s="73"/>
      <c r="CG2346" s="73"/>
      <c r="CH2346" s="73"/>
    </row>
    <row r="2347">
      <c r="A2347" s="73"/>
      <c r="B2347" s="73"/>
      <c r="C2347" s="73"/>
      <c r="D2347" s="73"/>
      <c r="E2347" s="140"/>
      <c r="F2347" s="80"/>
      <c r="G2347" s="80"/>
      <c r="H2347" s="73"/>
      <c r="I2347" s="73"/>
      <c r="J2347" s="73"/>
      <c r="K2347" s="73"/>
      <c r="L2347" s="73"/>
      <c r="M2347" s="73"/>
      <c r="N2347" s="73"/>
      <c r="O2347" s="73"/>
      <c r="P2347" s="73"/>
      <c r="Q2347" s="73"/>
      <c r="R2347" s="73"/>
      <c r="S2347" s="73"/>
      <c r="T2347" s="73"/>
      <c r="U2347" s="73"/>
      <c r="V2347" s="73"/>
      <c r="W2347" s="73"/>
      <c r="X2347" s="73"/>
      <c r="Y2347" s="73"/>
      <c r="Z2347" s="73"/>
      <c r="AA2347" s="73"/>
      <c r="AB2347" s="73"/>
      <c r="AC2347" s="73"/>
      <c r="AD2347" s="73"/>
      <c r="AE2347" s="73"/>
      <c r="AF2347" s="73"/>
      <c r="AG2347" s="73"/>
      <c r="AH2347" s="73"/>
      <c r="AI2347" s="73"/>
      <c r="AJ2347" s="168"/>
      <c r="AK2347" s="73"/>
      <c r="AL2347" s="73"/>
      <c r="AM2347" s="73"/>
      <c r="AN2347" s="73"/>
      <c r="AO2347" s="73"/>
      <c r="AP2347" s="73"/>
      <c r="AQ2347" s="73"/>
      <c r="AR2347" s="73"/>
      <c r="AS2347" s="73"/>
      <c r="AT2347" s="73"/>
      <c r="AU2347" s="73"/>
      <c r="AV2347" s="73"/>
      <c r="AW2347" s="73"/>
      <c r="AX2347" s="73"/>
      <c r="AY2347" s="73"/>
      <c r="AZ2347" s="73"/>
      <c r="BA2347" s="73"/>
      <c r="BB2347" s="73"/>
      <c r="BC2347" s="73"/>
      <c r="BD2347" s="73"/>
      <c r="BE2347" s="73"/>
      <c r="BF2347" s="75"/>
      <c r="BG2347" s="73"/>
      <c r="BH2347" s="88"/>
      <c r="BI2347" s="73"/>
      <c r="BJ2347" s="73"/>
      <c r="BK2347" s="73"/>
      <c r="BL2347" s="73"/>
      <c r="BM2347" s="73"/>
      <c r="BN2347" s="73"/>
      <c r="BO2347" s="73"/>
      <c r="BP2347" s="73"/>
      <c r="BQ2347" s="73"/>
      <c r="BR2347" s="73"/>
      <c r="BS2347" s="73"/>
      <c r="BT2347" s="73"/>
      <c r="BU2347" s="73"/>
      <c r="BV2347" s="73"/>
      <c r="BW2347" s="73"/>
      <c r="BX2347" s="73"/>
      <c r="BY2347" s="73"/>
      <c r="BZ2347" s="73"/>
      <c r="CA2347" s="73"/>
      <c r="CB2347" s="73"/>
      <c r="CC2347" s="73"/>
      <c r="CD2347" s="73"/>
      <c r="CE2347" s="73"/>
      <c r="CF2347" s="73"/>
      <c r="CG2347" s="73"/>
      <c r="CH2347" s="73"/>
    </row>
    <row r="2348">
      <c r="A2348" s="73"/>
      <c r="B2348" s="73"/>
      <c r="C2348" s="73"/>
      <c r="D2348" s="73"/>
      <c r="E2348" s="140"/>
      <c r="F2348" s="80"/>
      <c r="G2348" s="80"/>
      <c r="H2348" s="73"/>
      <c r="I2348" s="73"/>
      <c r="J2348" s="73"/>
      <c r="K2348" s="73"/>
      <c r="L2348" s="73"/>
      <c r="M2348" s="73"/>
      <c r="N2348" s="73"/>
      <c r="O2348" s="73"/>
      <c r="P2348" s="73"/>
      <c r="Q2348" s="73"/>
      <c r="R2348" s="73"/>
      <c r="S2348" s="73"/>
      <c r="T2348" s="73"/>
      <c r="U2348" s="73"/>
      <c r="V2348" s="73"/>
      <c r="W2348" s="73"/>
      <c r="X2348" s="73"/>
      <c r="Y2348" s="73"/>
      <c r="Z2348" s="73"/>
      <c r="AA2348" s="73"/>
      <c r="AB2348" s="73"/>
      <c r="AC2348" s="73"/>
      <c r="AD2348" s="73"/>
      <c r="AE2348" s="73"/>
      <c r="AF2348" s="73"/>
      <c r="AG2348" s="73"/>
      <c r="AH2348" s="73"/>
      <c r="AI2348" s="73"/>
      <c r="AJ2348" s="168"/>
      <c r="AK2348" s="73"/>
      <c r="AL2348" s="73"/>
      <c r="AM2348" s="73"/>
      <c r="AN2348" s="73"/>
      <c r="AO2348" s="73"/>
      <c r="AP2348" s="73"/>
      <c r="AQ2348" s="73"/>
      <c r="AR2348" s="73"/>
      <c r="AS2348" s="73"/>
      <c r="AT2348" s="73"/>
      <c r="AU2348" s="73"/>
      <c r="AV2348" s="73"/>
      <c r="AW2348" s="73"/>
      <c r="AX2348" s="73"/>
      <c r="AY2348" s="73"/>
      <c r="AZ2348" s="73"/>
      <c r="BA2348" s="73"/>
      <c r="BB2348" s="73"/>
      <c r="BC2348" s="73"/>
      <c r="BD2348" s="73"/>
      <c r="BE2348" s="73"/>
      <c r="BF2348" s="75"/>
      <c r="BG2348" s="73"/>
      <c r="BH2348" s="88"/>
      <c r="BI2348" s="73"/>
      <c r="BJ2348" s="73"/>
      <c r="BK2348" s="73"/>
      <c r="BL2348" s="73"/>
      <c r="BM2348" s="73"/>
      <c r="BN2348" s="73"/>
      <c r="BO2348" s="73"/>
      <c r="BP2348" s="73"/>
      <c r="BQ2348" s="73"/>
      <c r="BR2348" s="73"/>
      <c r="BS2348" s="73"/>
      <c r="BT2348" s="73"/>
      <c r="BU2348" s="73"/>
      <c r="BV2348" s="73"/>
      <c r="BW2348" s="73"/>
      <c r="BX2348" s="73"/>
      <c r="BY2348" s="73"/>
      <c r="BZ2348" s="73"/>
      <c r="CA2348" s="73"/>
      <c r="CB2348" s="73"/>
      <c r="CC2348" s="73"/>
      <c r="CD2348" s="73"/>
      <c r="CE2348" s="73"/>
      <c r="CF2348" s="73"/>
      <c r="CG2348" s="73"/>
      <c r="CH2348" s="73"/>
    </row>
    <row r="2349">
      <c r="A2349" s="73"/>
      <c r="B2349" s="73"/>
      <c r="C2349" s="73"/>
      <c r="D2349" s="73"/>
      <c r="E2349" s="140"/>
      <c r="F2349" s="80"/>
      <c r="G2349" s="80"/>
      <c r="H2349" s="73"/>
      <c r="I2349" s="73"/>
      <c r="J2349" s="73"/>
      <c r="K2349" s="73"/>
      <c r="L2349" s="73"/>
      <c r="M2349" s="73"/>
      <c r="N2349" s="73"/>
      <c r="O2349" s="73"/>
      <c r="P2349" s="73"/>
      <c r="Q2349" s="73"/>
      <c r="R2349" s="73"/>
      <c r="S2349" s="73"/>
      <c r="T2349" s="73"/>
      <c r="U2349" s="73"/>
      <c r="V2349" s="73"/>
      <c r="W2349" s="73"/>
      <c r="X2349" s="73"/>
      <c r="Y2349" s="73"/>
      <c r="Z2349" s="73"/>
      <c r="AA2349" s="73"/>
      <c r="AB2349" s="73"/>
      <c r="AC2349" s="73"/>
      <c r="AD2349" s="73"/>
      <c r="AE2349" s="73"/>
      <c r="AF2349" s="73"/>
      <c r="AG2349" s="73"/>
      <c r="AH2349" s="73"/>
      <c r="AI2349" s="73"/>
      <c r="AJ2349" s="168"/>
      <c r="AK2349" s="73"/>
      <c r="AL2349" s="73"/>
      <c r="AM2349" s="73"/>
      <c r="AN2349" s="73"/>
      <c r="AO2349" s="73"/>
      <c r="AP2349" s="73"/>
      <c r="AQ2349" s="73"/>
      <c r="AR2349" s="73"/>
      <c r="AS2349" s="73"/>
      <c r="AT2349" s="73"/>
      <c r="AU2349" s="73"/>
      <c r="AV2349" s="73"/>
      <c r="AW2349" s="73"/>
      <c r="AX2349" s="73"/>
      <c r="AY2349" s="73"/>
      <c r="AZ2349" s="73"/>
      <c r="BA2349" s="73"/>
      <c r="BB2349" s="73"/>
      <c r="BC2349" s="73"/>
      <c r="BD2349" s="73"/>
      <c r="BE2349" s="73"/>
      <c r="BF2349" s="75"/>
      <c r="BG2349" s="73"/>
      <c r="BH2349" s="88"/>
      <c r="BI2349" s="73"/>
      <c r="BJ2349" s="73"/>
      <c r="BK2349" s="73"/>
      <c r="BL2349" s="73"/>
      <c r="BM2349" s="73"/>
      <c r="BN2349" s="73"/>
      <c r="BO2349" s="73"/>
      <c r="BP2349" s="73"/>
      <c r="BQ2349" s="73"/>
      <c r="BR2349" s="73"/>
      <c r="BS2349" s="73"/>
      <c r="BT2349" s="73"/>
      <c r="BU2349" s="73"/>
      <c r="BV2349" s="73"/>
      <c r="BW2349" s="73"/>
      <c r="BX2349" s="73"/>
      <c r="BY2349" s="73"/>
      <c r="BZ2349" s="73"/>
      <c r="CA2349" s="73"/>
      <c r="CB2349" s="73"/>
      <c r="CC2349" s="73"/>
      <c r="CD2349" s="73"/>
      <c r="CE2349" s="73"/>
      <c r="CF2349" s="73"/>
      <c r="CG2349" s="73"/>
      <c r="CH2349" s="73"/>
    </row>
    <row r="2350">
      <c r="A2350" s="73"/>
      <c r="B2350" s="73"/>
      <c r="C2350" s="73"/>
      <c r="D2350" s="73"/>
      <c r="E2350" s="140"/>
      <c r="F2350" s="80"/>
      <c r="G2350" s="80"/>
      <c r="H2350" s="73"/>
      <c r="I2350" s="73"/>
      <c r="J2350" s="73"/>
      <c r="K2350" s="73"/>
      <c r="L2350" s="73"/>
      <c r="M2350" s="73"/>
      <c r="N2350" s="73"/>
      <c r="O2350" s="73"/>
      <c r="P2350" s="73"/>
      <c r="Q2350" s="73"/>
      <c r="R2350" s="73"/>
      <c r="S2350" s="73"/>
      <c r="T2350" s="73"/>
      <c r="U2350" s="73"/>
      <c r="V2350" s="73"/>
      <c r="W2350" s="73"/>
      <c r="X2350" s="73"/>
      <c r="Y2350" s="73"/>
      <c r="Z2350" s="73"/>
      <c r="AA2350" s="73"/>
      <c r="AB2350" s="73"/>
      <c r="AC2350" s="73"/>
      <c r="AD2350" s="73"/>
      <c r="AE2350" s="73"/>
      <c r="AF2350" s="73"/>
      <c r="AG2350" s="73"/>
      <c r="AH2350" s="73"/>
      <c r="AI2350" s="73"/>
      <c r="AJ2350" s="168"/>
      <c r="AK2350" s="73"/>
      <c r="AL2350" s="73"/>
      <c r="AM2350" s="73"/>
      <c r="AN2350" s="73"/>
      <c r="AO2350" s="73"/>
      <c r="AP2350" s="73"/>
      <c r="AQ2350" s="73"/>
      <c r="AR2350" s="73"/>
      <c r="AS2350" s="73"/>
      <c r="AT2350" s="73"/>
      <c r="AU2350" s="73"/>
      <c r="AV2350" s="73"/>
      <c r="AW2350" s="73"/>
      <c r="AX2350" s="73"/>
      <c r="AY2350" s="73"/>
      <c r="AZ2350" s="73"/>
      <c r="BA2350" s="73"/>
      <c r="BB2350" s="73"/>
      <c r="BC2350" s="73"/>
      <c r="BD2350" s="73"/>
      <c r="BE2350" s="73"/>
      <c r="BF2350" s="75"/>
      <c r="BG2350" s="73"/>
      <c r="BH2350" s="88"/>
      <c r="BI2350" s="73"/>
      <c r="BJ2350" s="73"/>
      <c r="BK2350" s="73"/>
      <c r="BL2350" s="73"/>
      <c r="BM2350" s="73"/>
      <c r="BN2350" s="73"/>
      <c r="BO2350" s="73"/>
      <c r="BP2350" s="73"/>
      <c r="BQ2350" s="73"/>
      <c r="BR2350" s="73"/>
      <c r="BS2350" s="73"/>
      <c r="BT2350" s="73"/>
      <c r="BU2350" s="73"/>
      <c r="BV2350" s="73"/>
      <c r="BW2350" s="73"/>
      <c r="BX2350" s="73"/>
      <c r="BY2350" s="73"/>
      <c r="BZ2350" s="73"/>
      <c r="CA2350" s="73"/>
      <c r="CB2350" s="73"/>
      <c r="CC2350" s="73"/>
      <c r="CD2350" s="73"/>
      <c r="CE2350" s="73"/>
      <c r="CF2350" s="73"/>
      <c r="CG2350" s="73"/>
      <c r="CH2350" s="73"/>
    </row>
    <row r="2351">
      <c r="A2351" s="73"/>
      <c r="B2351" s="73"/>
      <c r="C2351" s="73"/>
      <c r="D2351" s="73"/>
      <c r="E2351" s="140"/>
      <c r="F2351" s="80"/>
      <c r="G2351" s="80"/>
      <c r="H2351" s="73"/>
      <c r="I2351" s="73"/>
      <c r="J2351" s="73"/>
      <c r="K2351" s="73"/>
      <c r="L2351" s="73"/>
      <c r="M2351" s="73"/>
      <c r="N2351" s="73"/>
      <c r="O2351" s="73"/>
      <c r="P2351" s="73"/>
      <c r="Q2351" s="73"/>
      <c r="R2351" s="73"/>
      <c r="S2351" s="73"/>
      <c r="T2351" s="73"/>
      <c r="U2351" s="73"/>
      <c r="V2351" s="73"/>
      <c r="W2351" s="73"/>
      <c r="X2351" s="73"/>
      <c r="Y2351" s="73"/>
      <c r="Z2351" s="73"/>
      <c r="AA2351" s="73"/>
      <c r="AB2351" s="73"/>
      <c r="AC2351" s="73"/>
      <c r="AD2351" s="73"/>
      <c r="AE2351" s="73"/>
      <c r="AF2351" s="73"/>
      <c r="AG2351" s="73"/>
      <c r="AH2351" s="73"/>
      <c r="AI2351" s="73"/>
      <c r="AJ2351" s="168"/>
      <c r="AK2351" s="73"/>
      <c r="AL2351" s="73"/>
      <c r="AM2351" s="73"/>
      <c r="AN2351" s="73"/>
      <c r="AO2351" s="73"/>
      <c r="AP2351" s="73"/>
      <c r="AQ2351" s="73"/>
      <c r="AR2351" s="73"/>
      <c r="AS2351" s="73"/>
      <c r="AT2351" s="73"/>
      <c r="AU2351" s="73"/>
      <c r="AV2351" s="73"/>
      <c r="AW2351" s="73"/>
      <c r="AX2351" s="73"/>
      <c r="AY2351" s="73"/>
      <c r="AZ2351" s="73"/>
      <c r="BA2351" s="73"/>
      <c r="BB2351" s="73"/>
      <c r="BC2351" s="73"/>
      <c r="BD2351" s="73"/>
      <c r="BE2351" s="73"/>
      <c r="BF2351" s="75"/>
      <c r="BG2351" s="73"/>
      <c r="BH2351" s="88"/>
      <c r="BI2351" s="73"/>
      <c r="BJ2351" s="73"/>
      <c r="BK2351" s="73"/>
      <c r="BL2351" s="73"/>
      <c r="BM2351" s="73"/>
      <c r="BN2351" s="73"/>
      <c r="BO2351" s="73"/>
      <c r="BP2351" s="73"/>
      <c r="BQ2351" s="73"/>
      <c r="BR2351" s="73"/>
      <c r="BS2351" s="73"/>
      <c r="BT2351" s="73"/>
      <c r="BU2351" s="73"/>
      <c r="BV2351" s="73"/>
      <c r="BW2351" s="73"/>
      <c r="BX2351" s="73"/>
      <c r="BY2351" s="73"/>
      <c r="BZ2351" s="73"/>
      <c r="CA2351" s="73"/>
      <c r="CB2351" s="73"/>
      <c r="CC2351" s="73"/>
      <c r="CD2351" s="73"/>
      <c r="CE2351" s="73"/>
      <c r="CF2351" s="73"/>
      <c r="CG2351" s="73"/>
      <c r="CH2351" s="73"/>
    </row>
    <row r="2352">
      <c r="A2352" s="73"/>
      <c r="B2352" s="73"/>
      <c r="C2352" s="73"/>
      <c r="D2352" s="73"/>
      <c r="E2352" s="140"/>
      <c r="F2352" s="80"/>
      <c r="G2352" s="80"/>
      <c r="H2352" s="73"/>
      <c r="I2352" s="73"/>
      <c r="J2352" s="73"/>
      <c r="K2352" s="73"/>
      <c r="L2352" s="73"/>
      <c r="M2352" s="73"/>
      <c r="N2352" s="73"/>
      <c r="O2352" s="73"/>
      <c r="P2352" s="73"/>
      <c r="Q2352" s="73"/>
      <c r="R2352" s="73"/>
      <c r="S2352" s="73"/>
      <c r="T2352" s="73"/>
      <c r="U2352" s="73"/>
      <c r="V2352" s="73"/>
      <c r="W2352" s="73"/>
      <c r="X2352" s="73"/>
      <c r="Y2352" s="73"/>
      <c r="Z2352" s="73"/>
      <c r="AA2352" s="73"/>
      <c r="AB2352" s="73"/>
      <c r="AC2352" s="73"/>
      <c r="AD2352" s="73"/>
      <c r="AE2352" s="73"/>
      <c r="AF2352" s="73"/>
      <c r="AG2352" s="73"/>
      <c r="AH2352" s="73"/>
      <c r="AI2352" s="73"/>
      <c r="AJ2352" s="168"/>
      <c r="AK2352" s="73"/>
      <c r="AL2352" s="73"/>
      <c r="AM2352" s="73"/>
      <c r="AN2352" s="73"/>
      <c r="AO2352" s="73"/>
      <c r="AP2352" s="73"/>
      <c r="AQ2352" s="73"/>
      <c r="AR2352" s="73"/>
      <c r="AS2352" s="73"/>
      <c r="AT2352" s="73"/>
      <c r="AU2352" s="73"/>
      <c r="AV2352" s="73"/>
      <c r="AW2352" s="73"/>
      <c r="AX2352" s="73"/>
      <c r="AY2352" s="73"/>
      <c r="AZ2352" s="73"/>
      <c r="BA2352" s="73"/>
      <c r="BB2352" s="73"/>
      <c r="BC2352" s="73"/>
      <c r="BD2352" s="73"/>
      <c r="BE2352" s="73"/>
      <c r="BF2352" s="75"/>
      <c r="BG2352" s="73"/>
      <c r="BH2352" s="88"/>
      <c r="BI2352" s="73"/>
      <c r="BJ2352" s="73"/>
      <c r="BK2352" s="73"/>
      <c r="BL2352" s="73"/>
      <c r="BM2352" s="73"/>
      <c r="BN2352" s="73"/>
      <c r="BO2352" s="73"/>
      <c r="BP2352" s="73"/>
      <c r="BQ2352" s="73"/>
      <c r="BR2352" s="73"/>
      <c r="BS2352" s="73"/>
      <c r="BT2352" s="73"/>
      <c r="BU2352" s="73"/>
      <c r="BV2352" s="73"/>
      <c r="BW2352" s="73"/>
      <c r="BX2352" s="73"/>
      <c r="BY2352" s="73"/>
      <c r="BZ2352" s="73"/>
      <c r="CA2352" s="73"/>
      <c r="CB2352" s="73"/>
      <c r="CC2352" s="73"/>
      <c r="CD2352" s="73"/>
      <c r="CE2352" s="73"/>
      <c r="CF2352" s="73"/>
      <c r="CG2352" s="73"/>
      <c r="CH2352" s="73"/>
    </row>
    <row r="2353">
      <c r="A2353" s="73"/>
      <c r="B2353" s="73"/>
      <c r="C2353" s="73"/>
      <c r="D2353" s="73"/>
      <c r="E2353" s="140"/>
      <c r="F2353" s="80"/>
      <c r="G2353" s="80"/>
      <c r="H2353" s="73"/>
      <c r="I2353" s="73"/>
      <c r="J2353" s="73"/>
      <c r="K2353" s="73"/>
      <c r="L2353" s="73"/>
      <c r="M2353" s="73"/>
      <c r="N2353" s="73"/>
      <c r="O2353" s="73"/>
      <c r="P2353" s="73"/>
      <c r="Q2353" s="73"/>
      <c r="R2353" s="73"/>
      <c r="S2353" s="73"/>
      <c r="T2353" s="73"/>
      <c r="U2353" s="73"/>
      <c r="V2353" s="73"/>
      <c r="W2353" s="73"/>
      <c r="X2353" s="73"/>
      <c r="Y2353" s="73"/>
      <c r="Z2353" s="73"/>
      <c r="AA2353" s="73"/>
      <c r="AB2353" s="73"/>
      <c r="AC2353" s="73"/>
      <c r="AD2353" s="73"/>
      <c r="AE2353" s="73"/>
      <c r="AF2353" s="73"/>
      <c r="AG2353" s="73"/>
      <c r="AH2353" s="73"/>
      <c r="AI2353" s="73"/>
      <c r="AJ2353" s="168"/>
      <c r="AK2353" s="73"/>
      <c r="AL2353" s="73"/>
      <c r="AM2353" s="73"/>
      <c r="AN2353" s="73"/>
      <c r="AO2353" s="73"/>
      <c r="AP2353" s="73"/>
      <c r="AQ2353" s="73"/>
      <c r="AR2353" s="73"/>
      <c r="AS2353" s="73"/>
      <c r="AT2353" s="73"/>
      <c r="AU2353" s="73"/>
      <c r="AV2353" s="73"/>
      <c r="AW2353" s="73"/>
      <c r="AX2353" s="73"/>
      <c r="AY2353" s="73"/>
      <c r="AZ2353" s="73"/>
      <c r="BA2353" s="73"/>
      <c r="BB2353" s="73"/>
      <c r="BC2353" s="73"/>
      <c r="BD2353" s="73"/>
      <c r="BE2353" s="73"/>
      <c r="BF2353" s="75"/>
      <c r="BG2353" s="73"/>
      <c r="BH2353" s="88"/>
      <c r="BI2353" s="73"/>
      <c r="BJ2353" s="73"/>
      <c r="BK2353" s="73"/>
      <c r="BL2353" s="73"/>
      <c r="BM2353" s="73"/>
      <c r="BN2353" s="73"/>
      <c r="BO2353" s="73"/>
      <c r="BP2353" s="73"/>
      <c r="BQ2353" s="73"/>
      <c r="BR2353" s="73"/>
      <c r="BS2353" s="73"/>
      <c r="BT2353" s="73"/>
      <c r="BU2353" s="73"/>
      <c r="BV2353" s="73"/>
      <c r="BW2353" s="73"/>
      <c r="BX2353" s="73"/>
      <c r="BY2353" s="73"/>
      <c r="BZ2353" s="73"/>
      <c r="CA2353" s="73"/>
      <c r="CB2353" s="73"/>
      <c r="CC2353" s="73"/>
      <c r="CD2353" s="73"/>
      <c r="CE2353" s="73"/>
      <c r="CF2353" s="73"/>
      <c r="CG2353" s="73"/>
      <c r="CH2353" s="73"/>
    </row>
    <row r="2354">
      <c r="A2354" s="73"/>
      <c r="B2354" s="73"/>
      <c r="C2354" s="73"/>
      <c r="D2354" s="73"/>
      <c r="E2354" s="140"/>
      <c r="F2354" s="80"/>
      <c r="G2354" s="80"/>
      <c r="H2354" s="73"/>
      <c r="I2354" s="73"/>
      <c r="J2354" s="73"/>
      <c r="K2354" s="73"/>
      <c r="L2354" s="73"/>
      <c r="M2354" s="73"/>
      <c r="N2354" s="73"/>
      <c r="O2354" s="73"/>
      <c r="P2354" s="73"/>
      <c r="Q2354" s="73"/>
      <c r="R2354" s="73"/>
      <c r="S2354" s="73"/>
      <c r="T2354" s="73"/>
      <c r="U2354" s="73"/>
      <c r="V2354" s="73"/>
      <c r="W2354" s="73"/>
      <c r="X2354" s="73"/>
      <c r="Y2354" s="73"/>
      <c r="Z2354" s="73"/>
      <c r="AA2354" s="73"/>
      <c r="AB2354" s="73"/>
      <c r="AC2354" s="73"/>
      <c r="AD2354" s="73"/>
      <c r="AE2354" s="73"/>
      <c r="AF2354" s="73"/>
      <c r="AG2354" s="73"/>
      <c r="AH2354" s="73"/>
      <c r="AI2354" s="73"/>
      <c r="AJ2354" s="168"/>
      <c r="AK2354" s="73"/>
      <c r="AL2354" s="73"/>
      <c r="AM2354" s="73"/>
      <c r="AN2354" s="73"/>
      <c r="AO2354" s="73"/>
      <c r="AP2354" s="73"/>
      <c r="AQ2354" s="73"/>
      <c r="AR2354" s="73"/>
      <c r="AS2354" s="73"/>
      <c r="AT2354" s="73"/>
      <c r="AU2354" s="73"/>
      <c r="AV2354" s="73"/>
      <c r="AW2354" s="73"/>
      <c r="AX2354" s="73"/>
      <c r="AY2354" s="73"/>
      <c r="AZ2354" s="73"/>
      <c r="BA2354" s="73"/>
      <c r="BB2354" s="73"/>
      <c r="BC2354" s="73"/>
      <c r="BD2354" s="73"/>
      <c r="BE2354" s="73"/>
      <c r="BF2354" s="75"/>
      <c r="BG2354" s="73"/>
      <c r="BH2354" s="88"/>
      <c r="BI2354" s="73"/>
      <c r="BJ2354" s="73"/>
      <c r="BK2354" s="73"/>
      <c r="BL2354" s="73"/>
      <c r="BM2354" s="73"/>
      <c r="BN2354" s="73"/>
      <c r="BO2354" s="73"/>
      <c r="BP2354" s="73"/>
      <c r="BQ2354" s="73"/>
      <c r="BR2354" s="73"/>
      <c r="BS2354" s="73"/>
      <c r="BT2354" s="73"/>
      <c r="BU2354" s="73"/>
      <c r="BV2354" s="73"/>
      <c r="BW2354" s="73"/>
      <c r="BX2354" s="73"/>
      <c r="BY2354" s="73"/>
      <c r="BZ2354" s="73"/>
      <c r="CA2354" s="73"/>
      <c r="CB2354" s="73"/>
      <c r="CC2354" s="73"/>
      <c r="CD2354" s="73"/>
      <c r="CE2354" s="73"/>
      <c r="CF2354" s="73"/>
      <c r="CG2354" s="73"/>
      <c r="CH2354" s="73"/>
    </row>
    <row r="2355">
      <c r="A2355" s="73"/>
      <c r="B2355" s="73"/>
      <c r="C2355" s="73"/>
      <c r="D2355" s="73"/>
      <c r="E2355" s="140"/>
      <c r="F2355" s="80"/>
      <c r="G2355" s="80"/>
      <c r="H2355" s="73"/>
      <c r="I2355" s="73"/>
      <c r="J2355" s="73"/>
      <c r="K2355" s="73"/>
      <c r="L2355" s="73"/>
      <c r="M2355" s="73"/>
      <c r="N2355" s="73"/>
      <c r="O2355" s="73"/>
      <c r="P2355" s="73"/>
      <c r="Q2355" s="73"/>
      <c r="R2355" s="73"/>
      <c r="S2355" s="73"/>
      <c r="T2355" s="73"/>
      <c r="U2355" s="73"/>
      <c r="V2355" s="73"/>
      <c r="W2355" s="73"/>
      <c r="X2355" s="73"/>
      <c r="Y2355" s="73"/>
      <c r="Z2355" s="73"/>
      <c r="AA2355" s="73"/>
      <c r="AB2355" s="73"/>
      <c r="AC2355" s="73"/>
      <c r="AD2355" s="73"/>
      <c r="AE2355" s="73"/>
      <c r="AF2355" s="73"/>
      <c r="AG2355" s="73"/>
      <c r="AH2355" s="73"/>
      <c r="AI2355" s="73"/>
      <c r="AJ2355" s="168"/>
      <c r="AK2355" s="73"/>
      <c r="AL2355" s="73"/>
      <c r="AM2355" s="73"/>
      <c r="AN2355" s="73"/>
      <c r="AO2355" s="73"/>
      <c r="AP2355" s="73"/>
      <c r="AQ2355" s="73"/>
      <c r="AR2355" s="73"/>
      <c r="AS2355" s="73"/>
      <c r="AT2355" s="73"/>
      <c r="AU2355" s="73"/>
      <c r="AV2355" s="73"/>
      <c r="AW2355" s="73"/>
      <c r="AX2355" s="73"/>
      <c r="AY2355" s="73"/>
      <c r="AZ2355" s="73"/>
      <c r="BA2355" s="73"/>
      <c r="BB2355" s="73"/>
      <c r="BC2355" s="73"/>
      <c r="BD2355" s="73"/>
      <c r="BE2355" s="73"/>
      <c r="BF2355" s="75"/>
      <c r="BG2355" s="73"/>
      <c r="BH2355" s="88"/>
      <c r="BI2355" s="73"/>
      <c r="BJ2355" s="73"/>
      <c r="BK2355" s="73"/>
      <c r="BL2355" s="73"/>
      <c r="BM2355" s="73"/>
      <c r="BN2355" s="73"/>
      <c r="BO2355" s="73"/>
      <c r="BP2355" s="73"/>
      <c r="BQ2355" s="73"/>
      <c r="BR2355" s="73"/>
      <c r="BS2355" s="73"/>
      <c r="BT2355" s="73"/>
      <c r="BU2355" s="73"/>
      <c r="BV2355" s="73"/>
      <c r="BW2355" s="73"/>
      <c r="BX2355" s="73"/>
      <c r="BY2355" s="73"/>
      <c r="BZ2355" s="73"/>
      <c r="CA2355" s="73"/>
      <c r="CB2355" s="73"/>
      <c r="CC2355" s="73"/>
      <c r="CD2355" s="73"/>
      <c r="CE2355" s="73"/>
      <c r="CF2355" s="73"/>
      <c r="CG2355" s="73"/>
      <c r="CH2355" s="73"/>
    </row>
    <row r="2356">
      <c r="A2356" s="73"/>
      <c r="B2356" s="73"/>
      <c r="C2356" s="73"/>
      <c r="D2356" s="73"/>
      <c r="E2356" s="140"/>
      <c r="F2356" s="80"/>
      <c r="G2356" s="80"/>
      <c r="H2356" s="73"/>
      <c r="I2356" s="73"/>
      <c r="J2356" s="73"/>
      <c r="K2356" s="73"/>
      <c r="L2356" s="73"/>
      <c r="M2356" s="73"/>
      <c r="N2356" s="73"/>
      <c r="O2356" s="73"/>
      <c r="P2356" s="73"/>
      <c r="Q2356" s="73"/>
      <c r="R2356" s="73"/>
      <c r="S2356" s="73"/>
      <c r="T2356" s="73"/>
      <c r="U2356" s="73"/>
      <c r="V2356" s="73"/>
      <c r="W2356" s="73"/>
      <c r="X2356" s="73"/>
      <c r="Y2356" s="73"/>
      <c r="Z2356" s="73"/>
      <c r="AA2356" s="73"/>
      <c r="AB2356" s="73"/>
      <c r="AC2356" s="73"/>
      <c r="AD2356" s="73"/>
      <c r="AE2356" s="73"/>
      <c r="AF2356" s="73"/>
      <c r="AG2356" s="73"/>
      <c r="AH2356" s="73"/>
      <c r="AI2356" s="73"/>
      <c r="AJ2356" s="168"/>
      <c r="AK2356" s="73"/>
      <c r="AL2356" s="73"/>
      <c r="AM2356" s="73"/>
      <c r="AN2356" s="73"/>
      <c r="AO2356" s="73"/>
      <c r="AP2356" s="73"/>
      <c r="AQ2356" s="73"/>
      <c r="AR2356" s="73"/>
      <c r="AS2356" s="73"/>
      <c r="AT2356" s="73"/>
      <c r="AU2356" s="73"/>
      <c r="AV2356" s="73"/>
      <c r="AW2356" s="73"/>
      <c r="AX2356" s="73"/>
      <c r="AY2356" s="73"/>
      <c r="AZ2356" s="73"/>
      <c r="BA2356" s="73"/>
      <c r="BB2356" s="73"/>
      <c r="BC2356" s="73"/>
      <c r="BD2356" s="73"/>
      <c r="BE2356" s="73"/>
      <c r="BF2356" s="75"/>
      <c r="BG2356" s="73"/>
      <c r="BH2356" s="88"/>
      <c r="BI2356" s="73"/>
      <c r="BJ2356" s="73"/>
      <c r="BK2356" s="73"/>
      <c r="BL2356" s="73"/>
      <c r="BM2356" s="73"/>
      <c r="BN2356" s="73"/>
      <c r="BO2356" s="73"/>
      <c r="BP2356" s="73"/>
      <c r="BQ2356" s="73"/>
      <c r="BR2356" s="73"/>
      <c r="BS2356" s="73"/>
      <c r="BT2356" s="73"/>
      <c r="BU2356" s="73"/>
      <c r="BV2356" s="73"/>
      <c r="BW2356" s="73"/>
      <c r="BX2356" s="73"/>
      <c r="BY2356" s="73"/>
      <c r="BZ2356" s="73"/>
      <c r="CA2356" s="73"/>
      <c r="CB2356" s="73"/>
      <c r="CC2356" s="73"/>
      <c r="CD2356" s="73"/>
      <c r="CE2356" s="73"/>
      <c r="CF2356" s="73"/>
      <c r="CG2356" s="73"/>
      <c r="CH2356" s="73"/>
    </row>
    <row r="2357">
      <c r="A2357" s="73"/>
      <c r="B2357" s="73"/>
      <c r="C2357" s="73"/>
      <c r="D2357" s="73"/>
      <c r="E2357" s="140"/>
      <c r="F2357" s="80"/>
      <c r="G2357" s="80"/>
      <c r="H2357" s="73"/>
      <c r="I2357" s="73"/>
      <c r="J2357" s="73"/>
      <c r="K2357" s="73"/>
      <c r="L2357" s="73"/>
      <c r="M2357" s="73"/>
      <c r="N2357" s="73"/>
      <c r="O2357" s="73"/>
      <c r="P2357" s="73"/>
      <c r="Q2357" s="73"/>
      <c r="R2357" s="73"/>
      <c r="S2357" s="73"/>
      <c r="T2357" s="73"/>
      <c r="U2357" s="73"/>
      <c r="V2357" s="73"/>
      <c r="W2357" s="73"/>
      <c r="X2357" s="73"/>
      <c r="Y2357" s="73"/>
      <c r="Z2357" s="73"/>
      <c r="AA2357" s="73"/>
      <c r="AB2357" s="73"/>
      <c r="AC2357" s="73"/>
      <c r="AD2357" s="73"/>
      <c r="AE2357" s="73"/>
      <c r="AF2357" s="73"/>
      <c r="AG2357" s="73"/>
      <c r="AH2357" s="73"/>
      <c r="AI2357" s="73"/>
      <c r="AJ2357" s="168"/>
      <c r="AK2357" s="73"/>
      <c r="AL2357" s="73"/>
      <c r="AM2357" s="73"/>
      <c r="AN2357" s="73"/>
      <c r="AO2357" s="73"/>
      <c r="AP2357" s="73"/>
      <c r="AQ2357" s="73"/>
      <c r="AR2357" s="73"/>
      <c r="AS2357" s="73"/>
      <c r="AT2357" s="73"/>
      <c r="AU2357" s="73"/>
      <c r="AV2357" s="73"/>
      <c r="AW2357" s="73"/>
      <c r="AX2357" s="73"/>
      <c r="AY2357" s="73"/>
      <c r="AZ2357" s="73"/>
      <c r="BA2357" s="73"/>
      <c r="BB2357" s="73"/>
      <c r="BC2357" s="73"/>
      <c r="BD2357" s="73"/>
      <c r="BE2357" s="73"/>
      <c r="BF2357" s="75"/>
      <c r="BG2357" s="73"/>
      <c r="BH2357" s="88"/>
      <c r="BI2357" s="73"/>
      <c r="BJ2357" s="73"/>
      <c r="BK2357" s="73"/>
      <c r="BL2357" s="73"/>
      <c r="BM2357" s="73"/>
      <c r="BN2357" s="73"/>
      <c r="BO2357" s="73"/>
      <c r="BP2357" s="73"/>
      <c r="BQ2357" s="73"/>
      <c r="BR2357" s="73"/>
      <c r="BS2357" s="73"/>
      <c r="BT2357" s="73"/>
      <c r="BU2357" s="73"/>
      <c r="BV2357" s="73"/>
      <c r="BW2357" s="73"/>
      <c r="BX2357" s="73"/>
      <c r="BY2357" s="73"/>
      <c r="BZ2357" s="73"/>
      <c r="CA2357" s="73"/>
      <c r="CB2357" s="73"/>
      <c r="CC2357" s="73"/>
      <c r="CD2357" s="73"/>
      <c r="CE2357" s="73"/>
      <c r="CF2357" s="73"/>
      <c r="CG2357" s="73"/>
      <c r="CH2357" s="73"/>
    </row>
    <row r="2358">
      <c r="A2358" s="73"/>
      <c r="B2358" s="73"/>
      <c r="C2358" s="73"/>
      <c r="D2358" s="73"/>
      <c r="E2358" s="140"/>
      <c r="F2358" s="80"/>
      <c r="G2358" s="80"/>
      <c r="H2358" s="73"/>
      <c r="I2358" s="73"/>
      <c r="J2358" s="73"/>
      <c r="K2358" s="73"/>
      <c r="L2358" s="73"/>
      <c r="M2358" s="73"/>
      <c r="N2358" s="73"/>
      <c r="O2358" s="73"/>
      <c r="P2358" s="73"/>
      <c r="Q2358" s="73"/>
      <c r="R2358" s="73"/>
      <c r="S2358" s="73"/>
      <c r="T2358" s="73"/>
      <c r="U2358" s="73"/>
      <c r="V2358" s="73"/>
      <c r="W2358" s="73"/>
      <c r="X2358" s="73"/>
      <c r="Y2358" s="73"/>
      <c r="Z2358" s="73"/>
      <c r="AA2358" s="73"/>
      <c r="AB2358" s="73"/>
      <c r="AC2358" s="73"/>
      <c r="AD2358" s="73"/>
      <c r="AE2358" s="73"/>
      <c r="AF2358" s="73"/>
      <c r="AG2358" s="73"/>
      <c r="AH2358" s="73"/>
      <c r="AI2358" s="73"/>
      <c r="AJ2358" s="168"/>
      <c r="AK2358" s="73"/>
      <c r="AL2358" s="73"/>
      <c r="AM2358" s="73"/>
      <c r="AN2358" s="73"/>
      <c r="AO2358" s="73"/>
      <c r="AP2358" s="73"/>
      <c r="AQ2358" s="73"/>
      <c r="AR2358" s="73"/>
      <c r="AS2358" s="73"/>
      <c r="AT2358" s="73"/>
      <c r="AU2358" s="73"/>
      <c r="AV2358" s="73"/>
      <c r="AW2358" s="73"/>
      <c r="AX2358" s="73"/>
      <c r="AY2358" s="73"/>
      <c r="AZ2358" s="73"/>
      <c r="BA2358" s="73"/>
      <c r="BB2358" s="73"/>
      <c r="BC2358" s="73"/>
      <c r="BD2358" s="73"/>
      <c r="BE2358" s="73"/>
      <c r="BF2358" s="75"/>
      <c r="BG2358" s="73"/>
      <c r="BH2358" s="88"/>
      <c r="BI2358" s="73"/>
      <c r="BJ2358" s="73"/>
      <c r="BK2358" s="73"/>
      <c r="BL2358" s="73"/>
      <c r="BM2358" s="73"/>
      <c r="BN2358" s="73"/>
      <c r="BO2358" s="73"/>
      <c r="BP2358" s="73"/>
      <c r="BQ2358" s="73"/>
      <c r="BR2358" s="73"/>
      <c r="BS2358" s="73"/>
      <c r="BT2358" s="73"/>
      <c r="BU2358" s="73"/>
      <c r="BV2358" s="73"/>
      <c r="BW2358" s="73"/>
      <c r="BX2358" s="73"/>
      <c r="BY2358" s="73"/>
      <c r="BZ2358" s="73"/>
      <c r="CA2358" s="73"/>
      <c r="CB2358" s="73"/>
      <c r="CC2358" s="73"/>
      <c r="CD2358" s="73"/>
      <c r="CE2358" s="73"/>
      <c r="CF2358" s="73"/>
      <c r="CG2358" s="73"/>
      <c r="CH2358" s="73"/>
    </row>
    <row r="2359">
      <c r="A2359" s="73"/>
      <c r="B2359" s="73"/>
      <c r="C2359" s="73"/>
      <c r="D2359" s="73"/>
      <c r="E2359" s="140"/>
      <c r="F2359" s="80"/>
      <c r="G2359" s="80"/>
      <c r="H2359" s="73"/>
      <c r="I2359" s="73"/>
      <c r="J2359" s="73"/>
      <c r="K2359" s="73"/>
      <c r="L2359" s="73"/>
      <c r="M2359" s="73"/>
      <c r="N2359" s="73"/>
      <c r="O2359" s="73"/>
      <c r="P2359" s="73"/>
      <c r="Q2359" s="73"/>
      <c r="R2359" s="73"/>
      <c r="S2359" s="73"/>
      <c r="T2359" s="73"/>
      <c r="U2359" s="73"/>
      <c r="V2359" s="73"/>
      <c r="W2359" s="73"/>
      <c r="X2359" s="73"/>
      <c r="Y2359" s="73"/>
      <c r="Z2359" s="73"/>
      <c r="AA2359" s="73"/>
      <c r="AB2359" s="73"/>
      <c r="AC2359" s="73"/>
      <c r="AD2359" s="73"/>
      <c r="AE2359" s="73"/>
      <c r="AF2359" s="73"/>
      <c r="AG2359" s="73"/>
      <c r="AH2359" s="73"/>
      <c r="AI2359" s="73"/>
      <c r="AJ2359" s="168"/>
      <c r="AK2359" s="73"/>
      <c r="AL2359" s="73"/>
      <c r="AM2359" s="73"/>
      <c r="AN2359" s="73"/>
      <c r="AO2359" s="73"/>
      <c r="AP2359" s="73"/>
      <c r="AQ2359" s="73"/>
      <c r="AR2359" s="73"/>
      <c r="AS2359" s="73"/>
      <c r="AT2359" s="73"/>
      <c r="AU2359" s="73"/>
      <c r="AV2359" s="73"/>
      <c r="AW2359" s="73"/>
      <c r="AX2359" s="73"/>
      <c r="AY2359" s="73"/>
      <c r="AZ2359" s="73"/>
      <c r="BA2359" s="73"/>
      <c r="BB2359" s="73"/>
      <c r="BC2359" s="73"/>
      <c r="BD2359" s="73"/>
      <c r="BE2359" s="73"/>
      <c r="BF2359" s="75"/>
      <c r="BG2359" s="73"/>
      <c r="BH2359" s="88"/>
      <c r="BI2359" s="73"/>
      <c r="BJ2359" s="73"/>
      <c r="BK2359" s="73"/>
      <c r="BL2359" s="73"/>
      <c r="BM2359" s="73"/>
      <c r="BN2359" s="73"/>
      <c r="BO2359" s="73"/>
      <c r="BP2359" s="73"/>
      <c r="BQ2359" s="73"/>
      <c r="BR2359" s="73"/>
      <c r="BS2359" s="73"/>
      <c r="BT2359" s="73"/>
      <c r="BU2359" s="73"/>
      <c r="BV2359" s="73"/>
      <c r="BW2359" s="73"/>
      <c r="BX2359" s="73"/>
      <c r="BY2359" s="73"/>
      <c r="BZ2359" s="73"/>
      <c r="CA2359" s="73"/>
      <c r="CB2359" s="73"/>
      <c r="CC2359" s="73"/>
      <c r="CD2359" s="73"/>
      <c r="CE2359" s="73"/>
      <c r="CF2359" s="73"/>
      <c r="CG2359" s="73"/>
      <c r="CH2359" s="73"/>
    </row>
    <row r="2360">
      <c r="A2360" s="73"/>
      <c r="B2360" s="73"/>
      <c r="C2360" s="73"/>
      <c r="D2360" s="73"/>
      <c r="E2360" s="140"/>
      <c r="F2360" s="80"/>
      <c r="G2360" s="80"/>
      <c r="H2360" s="73"/>
      <c r="I2360" s="73"/>
      <c r="J2360" s="73"/>
      <c r="K2360" s="73"/>
      <c r="L2360" s="73"/>
      <c r="M2360" s="73"/>
      <c r="N2360" s="73"/>
      <c r="O2360" s="73"/>
      <c r="P2360" s="73"/>
      <c r="Q2360" s="73"/>
      <c r="R2360" s="73"/>
      <c r="S2360" s="73"/>
      <c r="T2360" s="73"/>
      <c r="U2360" s="73"/>
      <c r="V2360" s="73"/>
      <c r="W2360" s="73"/>
      <c r="X2360" s="73"/>
      <c r="Y2360" s="73"/>
      <c r="Z2360" s="73"/>
      <c r="AA2360" s="73"/>
      <c r="AB2360" s="73"/>
      <c r="AC2360" s="73"/>
      <c r="AD2360" s="73"/>
      <c r="AE2360" s="73"/>
      <c r="AF2360" s="73"/>
      <c r="AG2360" s="73"/>
      <c r="AH2360" s="73"/>
      <c r="AI2360" s="73"/>
      <c r="AJ2360" s="168"/>
      <c r="AK2360" s="73"/>
      <c r="AL2360" s="73"/>
      <c r="AM2360" s="73"/>
      <c r="AN2360" s="73"/>
      <c r="AO2360" s="73"/>
      <c r="AP2360" s="73"/>
      <c r="AQ2360" s="73"/>
      <c r="AR2360" s="73"/>
      <c r="AS2360" s="73"/>
      <c r="AT2360" s="73"/>
      <c r="AU2360" s="73"/>
      <c r="AV2360" s="73"/>
      <c r="AW2360" s="73"/>
      <c r="AX2360" s="73"/>
      <c r="AY2360" s="73"/>
      <c r="AZ2360" s="73"/>
      <c r="BA2360" s="73"/>
      <c r="BB2360" s="73"/>
      <c r="BC2360" s="73"/>
      <c r="BD2360" s="73"/>
      <c r="BE2360" s="73"/>
      <c r="BF2360" s="75"/>
      <c r="BG2360" s="73"/>
      <c r="BH2360" s="88"/>
      <c r="BI2360" s="73"/>
      <c r="BJ2360" s="73"/>
      <c r="BK2360" s="73"/>
      <c r="BL2360" s="73"/>
      <c r="BM2360" s="73"/>
      <c r="BN2360" s="73"/>
      <c r="BO2360" s="73"/>
      <c r="BP2360" s="73"/>
      <c r="BQ2360" s="73"/>
      <c r="BR2360" s="73"/>
      <c r="BS2360" s="73"/>
      <c r="BT2360" s="73"/>
      <c r="BU2360" s="73"/>
      <c r="BV2360" s="73"/>
      <c r="BW2360" s="73"/>
      <c r="BX2360" s="73"/>
      <c r="BY2360" s="73"/>
      <c r="BZ2360" s="73"/>
      <c r="CA2360" s="73"/>
      <c r="CB2360" s="73"/>
      <c r="CC2360" s="73"/>
      <c r="CD2360" s="73"/>
      <c r="CE2360" s="73"/>
      <c r="CF2360" s="73"/>
      <c r="CG2360" s="73"/>
      <c r="CH2360" s="73"/>
    </row>
    <row r="2361">
      <c r="A2361" s="73"/>
      <c r="B2361" s="73"/>
      <c r="C2361" s="73"/>
      <c r="D2361" s="73"/>
      <c r="E2361" s="140"/>
      <c r="F2361" s="80"/>
      <c r="G2361" s="80"/>
      <c r="H2361" s="73"/>
      <c r="I2361" s="73"/>
      <c r="J2361" s="73"/>
      <c r="K2361" s="73"/>
      <c r="L2361" s="73"/>
      <c r="M2361" s="73"/>
      <c r="N2361" s="73"/>
      <c r="O2361" s="73"/>
      <c r="P2361" s="73"/>
      <c r="Q2361" s="73"/>
      <c r="R2361" s="73"/>
      <c r="S2361" s="73"/>
      <c r="T2361" s="73"/>
      <c r="U2361" s="73"/>
      <c r="V2361" s="73"/>
      <c r="W2361" s="73"/>
      <c r="X2361" s="73"/>
      <c r="Y2361" s="73"/>
      <c r="Z2361" s="73"/>
      <c r="AA2361" s="73"/>
      <c r="AB2361" s="73"/>
      <c r="AC2361" s="73"/>
      <c r="AD2361" s="73"/>
      <c r="AE2361" s="73"/>
      <c r="AF2361" s="73"/>
      <c r="AG2361" s="73"/>
      <c r="AH2361" s="73"/>
      <c r="AI2361" s="73"/>
      <c r="AJ2361" s="168"/>
      <c r="AK2361" s="73"/>
      <c r="AL2361" s="73"/>
      <c r="AM2361" s="73"/>
      <c r="AN2361" s="73"/>
      <c r="AO2361" s="73"/>
      <c r="AP2361" s="73"/>
      <c r="AQ2361" s="73"/>
      <c r="AR2361" s="73"/>
      <c r="AS2361" s="73"/>
      <c r="AT2361" s="73"/>
      <c r="AU2361" s="73"/>
      <c r="AV2361" s="73"/>
      <c r="AW2361" s="73"/>
      <c r="AX2361" s="73"/>
      <c r="AY2361" s="73"/>
      <c r="AZ2361" s="73"/>
      <c r="BA2361" s="73"/>
      <c r="BB2361" s="73"/>
      <c r="BC2361" s="73"/>
      <c r="BD2361" s="73"/>
      <c r="BE2361" s="73"/>
      <c r="BF2361" s="75"/>
      <c r="BG2361" s="73"/>
      <c r="BH2361" s="88"/>
      <c r="BI2361" s="73"/>
      <c r="BJ2361" s="73"/>
      <c r="BK2361" s="73"/>
      <c r="BL2361" s="73"/>
      <c r="BM2361" s="73"/>
      <c r="BN2361" s="73"/>
      <c r="BO2361" s="73"/>
      <c r="BP2361" s="73"/>
      <c r="BQ2361" s="73"/>
      <c r="BR2361" s="73"/>
      <c r="BS2361" s="73"/>
      <c r="BT2361" s="73"/>
      <c r="BU2361" s="73"/>
      <c r="BV2361" s="73"/>
      <c r="BW2361" s="73"/>
      <c r="BX2361" s="73"/>
      <c r="BY2361" s="73"/>
      <c r="BZ2361" s="73"/>
      <c r="CA2361" s="73"/>
      <c r="CB2361" s="73"/>
      <c r="CC2361" s="73"/>
      <c r="CD2361" s="73"/>
      <c r="CE2361" s="73"/>
      <c r="CF2361" s="73"/>
      <c r="CG2361" s="73"/>
      <c r="CH2361" s="73"/>
    </row>
    <row r="2362">
      <c r="A2362" s="73"/>
      <c r="B2362" s="73"/>
      <c r="C2362" s="73"/>
      <c r="D2362" s="73"/>
      <c r="E2362" s="140"/>
      <c r="F2362" s="80"/>
      <c r="G2362" s="80"/>
      <c r="H2362" s="73"/>
      <c r="I2362" s="73"/>
      <c r="J2362" s="73"/>
      <c r="K2362" s="73"/>
      <c r="L2362" s="73"/>
      <c r="M2362" s="73"/>
      <c r="N2362" s="73"/>
      <c r="O2362" s="73"/>
      <c r="P2362" s="73"/>
      <c r="Q2362" s="73"/>
      <c r="R2362" s="73"/>
      <c r="S2362" s="73"/>
      <c r="T2362" s="73"/>
      <c r="U2362" s="73"/>
      <c r="V2362" s="73"/>
      <c r="W2362" s="73"/>
      <c r="X2362" s="73"/>
      <c r="Y2362" s="73"/>
      <c r="Z2362" s="73"/>
      <c r="AA2362" s="73"/>
      <c r="AB2362" s="73"/>
      <c r="AC2362" s="73"/>
      <c r="AD2362" s="73"/>
      <c r="AE2362" s="73"/>
      <c r="AF2362" s="73"/>
      <c r="AG2362" s="73"/>
      <c r="AH2362" s="73"/>
      <c r="AI2362" s="73"/>
      <c r="AJ2362" s="168"/>
      <c r="AK2362" s="73"/>
      <c r="AL2362" s="73"/>
      <c r="AM2362" s="73"/>
      <c r="AN2362" s="73"/>
      <c r="AO2362" s="73"/>
      <c r="AP2362" s="73"/>
      <c r="AQ2362" s="73"/>
      <c r="AR2362" s="73"/>
      <c r="AS2362" s="73"/>
      <c r="AT2362" s="73"/>
      <c r="AU2362" s="73"/>
      <c r="AV2362" s="73"/>
      <c r="AW2362" s="73"/>
      <c r="AX2362" s="73"/>
      <c r="AY2362" s="73"/>
      <c r="AZ2362" s="73"/>
      <c r="BA2362" s="73"/>
      <c r="BB2362" s="73"/>
      <c r="BC2362" s="73"/>
      <c r="BD2362" s="73"/>
      <c r="BE2362" s="73"/>
      <c r="BF2362" s="75"/>
      <c r="BG2362" s="73"/>
      <c r="BH2362" s="88"/>
      <c r="BI2362" s="73"/>
      <c r="BJ2362" s="73"/>
      <c r="BK2362" s="73"/>
      <c r="BL2362" s="73"/>
      <c r="BM2362" s="73"/>
      <c r="BN2362" s="73"/>
      <c r="BO2362" s="73"/>
      <c r="BP2362" s="73"/>
      <c r="BQ2362" s="73"/>
      <c r="BR2362" s="73"/>
      <c r="BS2362" s="73"/>
      <c r="BT2362" s="73"/>
      <c r="BU2362" s="73"/>
      <c r="BV2362" s="73"/>
      <c r="BW2362" s="73"/>
      <c r="BX2362" s="73"/>
      <c r="BY2362" s="73"/>
      <c r="BZ2362" s="73"/>
      <c r="CA2362" s="73"/>
      <c r="CB2362" s="73"/>
      <c r="CC2362" s="73"/>
      <c r="CD2362" s="73"/>
      <c r="CE2362" s="73"/>
      <c r="CF2362" s="73"/>
      <c r="CG2362" s="73"/>
      <c r="CH2362" s="73"/>
    </row>
    <row r="2363">
      <c r="A2363" s="73"/>
      <c r="B2363" s="73"/>
      <c r="C2363" s="73"/>
      <c r="D2363" s="73"/>
      <c r="E2363" s="140"/>
      <c r="F2363" s="80"/>
      <c r="G2363" s="80"/>
      <c r="H2363" s="73"/>
      <c r="I2363" s="73"/>
      <c r="J2363" s="73"/>
      <c r="K2363" s="73"/>
      <c r="L2363" s="73"/>
      <c r="M2363" s="73"/>
      <c r="N2363" s="73"/>
      <c r="O2363" s="73"/>
      <c r="P2363" s="73"/>
      <c r="Q2363" s="73"/>
      <c r="R2363" s="73"/>
      <c r="S2363" s="73"/>
      <c r="T2363" s="73"/>
      <c r="U2363" s="73"/>
      <c r="V2363" s="73"/>
      <c r="W2363" s="73"/>
      <c r="X2363" s="73"/>
      <c r="Y2363" s="73"/>
      <c r="Z2363" s="73"/>
      <c r="AA2363" s="73"/>
      <c r="AB2363" s="73"/>
      <c r="AC2363" s="73"/>
      <c r="AD2363" s="73"/>
      <c r="AE2363" s="73"/>
      <c r="AF2363" s="73"/>
      <c r="AG2363" s="73"/>
      <c r="AH2363" s="73"/>
      <c r="AI2363" s="73"/>
      <c r="AJ2363" s="168"/>
      <c r="AK2363" s="73"/>
      <c r="AL2363" s="73"/>
      <c r="AM2363" s="73"/>
      <c r="AN2363" s="73"/>
      <c r="AO2363" s="73"/>
      <c r="AP2363" s="73"/>
      <c r="AQ2363" s="73"/>
      <c r="AR2363" s="73"/>
      <c r="AS2363" s="73"/>
      <c r="AT2363" s="73"/>
      <c r="AU2363" s="73"/>
      <c r="AV2363" s="73"/>
      <c r="AW2363" s="73"/>
      <c r="AX2363" s="73"/>
      <c r="AY2363" s="73"/>
      <c r="AZ2363" s="73"/>
      <c r="BA2363" s="73"/>
      <c r="BB2363" s="73"/>
      <c r="BC2363" s="73"/>
      <c r="BD2363" s="73"/>
      <c r="BE2363" s="73"/>
      <c r="BF2363" s="75"/>
      <c r="BG2363" s="73"/>
      <c r="BH2363" s="88"/>
      <c r="BI2363" s="73"/>
      <c r="BJ2363" s="73"/>
      <c r="BK2363" s="73"/>
      <c r="BL2363" s="73"/>
      <c r="BM2363" s="73"/>
      <c r="BN2363" s="73"/>
      <c r="BO2363" s="73"/>
      <c r="BP2363" s="73"/>
      <c r="BQ2363" s="73"/>
      <c r="BR2363" s="73"/>
      <c r="BS2363" s="73"/>
      <c r="BT2363" s="73"/>
      <c r="BU2363" s="73"/>
      <c r="BV2363" s="73"/>
      <c r="BW2363" s="73"/>
      <c r="BX2363" s="73"/>
      <c r="BY2363" s="73"/>
      <c r="BZ2363" s="73"/>
      <c r="CA2363" s="73"/>
      <c r="CB2363" s="73"/>
      <c r="CC2363" s="73"/>
      <c r="CD2363" s="73"/>
      <c r="CE2363" s="73"/>
      <c r="CF2363" s="73"/>
      <c r="CG2363" s="73"/>
      <c r="CH2363" s="73"/>
    </row>
    <row r="2364">
      <c r="A2364" s="73"/>
      <c r="B2364" s="73"/>
      <c r="C2364" s="73"/>
      <c r="D2364" s="73"/>
      <c r="E2364" s="140"/>
      <c r="F2364" s="80"/>
      <c r="G2364" s="80"/>
      <c r="H2364" s="73"/>
      <c r="I2364" s="73"/>
      <c r="J2364" s="73"/>
      <c r="K2364" s="73"/>
      <c r="L2364" s="73"/>
      <c r="M2364" s="73"/>
      <c r="N2364" s="73"/>
      <c r="O2364" s="73"/>
      <c r="P2364" s="73"/>
      <c r="Q2364" s="73"/>
      <c r="R2364" s="73"/>
      <c r="S2364" s="73"/>
      <c r="T2364" s="73"/>
      <c r="U2364" s="73"/>
      <c r="V2364" s="73"/>
      <c r="W2364" s="73"/>
      <c r="X2364" s="73"/>
      <c r="Y2364" s="73"/>
      <c r="Z2364" s="73"/>
      <c r="AA2364" s="73"/>
      <c r="AB2364" s="73"/>
      <c r="AC2364" s="73"/>
      <c r="AD2364" s="73"/>
      <c r="AE2364" s="73"/>
      <c r="AF2364" s="73"/>
      <c r="AG2364" s="73"/>
      <c r="AH2364" s="73"/>
      <c r="AI2364" s="73"/>
      <c r="AJ2364" s="168"/>
      <c r="AK2364" s="73"/>
      <c r="AL2364" s="73"/>
      <c r="AM2364" s="73"/>
      <c r="AN2364" s="73"/>
      <c r="AO2364" s="73"/>
      <c r="AP2364" s="73"/>
      <c r="AQ2364" s="73"/>
      <c r="AR2364" s="73"/>
      <c r="AS2364" s="73"/>
      <c r="AT2364" s="73"/>
      <c r="AU2364" s="73"/>
      <c r="AV2364" s="73"/>
      <c r="AW2364" s="73"/>
      <c r="AX2364" s="73"/>
      <c r="AY2364" s="73"/>
      <c r="AZ2364" s="73"/>
      <c r="BA2364" s="73"/>
      <c r="BB2364" s="73"/>
      <c r="BC2364" s="73"/>
      <c r="BD2364" s="73"/>
      <c r="BE2364" s="73"/>
      <c r="BF2364" s="75"/>
      <c r="BG2364" s="73"/>
      <c r="BH2364" s="88"/>
      <c r="BI2364" s="73"/>
      <c r="BJ2364" s="73"/>
      <c r="BK2364" s="73"/>
      <c r="BL2364" s="73"/>
      <c r="BM2364" s="73"/>
      <c r="BN2364" s="73"/>
      <c r="BO2364" s="73"/>
      <c r="BP2364" s="73"/>
      <c r="BQ2364" s="73"/>
      <c r="BR2364" s="73"/>
      <c r="BS2364" s="73"/>
      <c r="BT2364" s="73"/>
      <c r="BU2364" s="73"/>
      <c r="BV2364" s="73"/>
      <c r="BW2364" s="73"/>
      <c r="BX2364" s="73"/>
      <c r="BY2364" s="73"/>
      <c r="BZ2364" s="73"/>
      <c r="CA2364" s="73"/>
      <c r="CB2364" s="73"/>
      <c r="CC2364" s="73"/>
      <c r="CD2364" s="73"/>
      <c r="CE2364" s="73"/>
      <c r="CF2364" s="73"/>
      <c r="CG2364" s="73"/>
      <c r="CH2364" s="73"/>
    </row>
    <row r="2365">
      <c r="A2365" s="73"/>
      <c r="B2365" s="73"/>
      <c r="C2365" s="73"/>
      <c r="D2365" s="73"/>
      <c r="E2365" s="140"/>
      <c r="F2365" s="80"/>
      <c r="G2365" s="80"/>
      <c r="H2365" s="73"/>
      <c r="I2365" s="73"/>
      <c r="J2365" s="73"/>
      <c r="K2365" s="73"/>
      <c r="L2365" s="73"/>
      <c r="M2365" s="73"/>
      <c r="N2365" s="73"/>
      <c r="O2365" s="73"/>
      <c r="P2365" s="73"/>
      <c r="Q2365" s="73"/>
      <c r="R2365" s="73"/>
      <c r="S2365" s="73"/>
      <c r="T2365" s="73"/>
      <c r="U2365" s="73"/>
      <c r="V2365" s="73"/>
      <c r="W2365" s="73"/>
      <c r="X2365" s="73"/>
      <c r="Y2365" s="73"/>
      <c r="Z2365" s="73"/>
      <c r="AA2365" s="73"/>
      <c r="AB2365" s="73"/>
      <c r="AC2365" s="73"/>
      <c r="AD2365" s="73"/>
      <c r="AE2365" s="73"/>
      <c r="AF2365" s="73"/>
      <c r="AG2365" s="73"/>
      <c r="AH2365" s="73"/>
      <c r="AI2365" s="73"/>
      <c r="AJ2365" s="168"/>
      <c r="AK2365" s="73"/>
      <c r="AL2365" s="73"/>
      <c r="AM2365" s="73"/>
      <c r="AN2365" s="73"/>
      <c r="AO2365" s="73"/>
      <c r="AP2365" s="73"/>
      <c r="AQ2365" s="73"/>
      <c r="AR2365" s="73"/>
      <c r="AS2365" s="73"/>
      <c r="AT2365" s="73"/>
      <c r="AU2365" s="73"/>
      <c r="AV2365" s="73"/>
      <c r="AW2365" s="73"/>
      <c r="AX2365" s="73"/>
      <c r="AY2365" s="73"/>
      <c r="AZ2365" s="73"/>
      <c r="BA2365" s="73"/>
      <c r="BB2365" s="73"/>
      <c r="BC2365" s="73"/>
      <c r="BD2365" s="73"/>
      <c r="BE2365" s="73"/>
      <c r="BF2365" s="75"/>
      <c r="BG2365" s="73"/>
      <c r="BH2365" s="88"/>
      <c r="BI2365" s="73"/>
      <c r="BJ2365" s="73"/>
      <c r="BK2365" s="73"/>
      <c r="BL2365" s="73"/>
      <c r="BM2365" s="73"/>
      <c r="BN2365" s="73"/>
      <c r="BO2365" s="73"/>
      <c r="BP2365" s="73"/>
      <c r="BQ2365" s="73"/>
      <c r="BR2365" s="73"/>
      <c r="BS2365" s="73"/>
      <c r="BT2365" s="73"/>
      <c r="BU2365" s="73"/>
      <c r="BV2365" s="73"/>
      <c r="BW2365" s="73"/>
      <c r="BX2365" s="73"/>
      <c r="BY2365" s="73"/>
      <c r="BZ2365" s="73"/>
      <c r="CA2365" s="73"/>
      <c r="CB2365" s="73"/>
      <c r="CC2365" s="73"/>
      <c r="CD2365" s="73"/>
      <c r="CE2365" s="73"/>
      <c r="CF2365" s="73"/>
      <c r="CG2365" s="73"/>
      <c r="CH2365" s="73"/>
    </row>
    <row r="2366">
      <c r="A2366" s="73"/>
      <c r="B2366" s="73"/>
      <c r="C2366" s="73"/>
      <c r="D2366" s="73"/>
      <c r="E2366" s="140"/>
      <c r="F2366" s="80"/>
      <c r="G2366" s="80"/>
      <c r="H2366" s="73"/>
      <c r="I2366" s="73"/>
      <c r="J2366" s="73"/>
      <c r="K2366" s="73"/>
      <c r="L2366" s="73"/>
      <c r="M2366" s="73"/>
      <c r="N2366" s="73"/>
      <c r="O2366" s="73"/>
      <c r="P2366" s="73"/>
      <c r="Q2366" s="73"/>
      <c r="R2366" s="73"/>
      <c r="S2366" s="73"/>
      <c r="T2366" s="73"/>
      <c r="U2366" s="73"/>
      <c r="V2366" s="73"/>
      <c r="W2366" s="73"/>
      <c r="X2366" s="73"/>
      <c r="Y2366" s="73"/>
      <c r="Z2366" s="73"/>
      <c r="AA2366" s="73"/>
      <c r="AB2366" s="73"/>
      <c r="AC2366" s="73"/>
      <c r="AD2366" s="73"/>
      <c r="AE2366" s="73"/>
      <c r="AF2366" s="73"/>
      <c r="AG2366" s="73"/>
      <c r="AH2366" s="73"/>
      <c r="AI2366" s="73"/>
      <c r="AJ2366" s="168"/>
      <c r="AK2366" s="73"/>
      <c r="AL2366" s="73"/>
      <c r="AM2366" s="73"/>
      <c r="AN2366" s="73"/>
      <c r="AO2366" s="73"/>
      <c r="AP2366" s="73"/>
      <c r="AQ2366" s="73"/>
      <c r="AR2366" s="73"/>
      <c r="AS2366" s="73"/>
      <c r="AT2366" s="73"/>
      <c r="AU2366" s="73"/>
      <c r="AV2366" s="73"/>
      <c r="AW2366" s="73"/>
      <c r="AX2366" s="73"/>
      <c r="AY2366" s="73"/>
      <c r="AZ2366" s="73"/>
      <c r="BA2366" s="73"/>
      <c r="BB2366" s="73"/>
      <c r="BC2366" s="73"/>
      <c r="BD2366" s="73"/>
      <c r="BE2366" s="73"/>
      <c r="BF2366" s="75"/>
      <c r="BG2366" s="73"/>
      <c r="BH2366" s="88"/>
      <c r="BI2366" s="73"/>
      <c r="BJ2366" s="73"/>
      <c r="BK2366" s="73"/>
      <c r="BL2366" s="73"/>
      <c r="BM2366" s="73"/>
      <c r="BN2366" s="73"/>
      <c r="BO2366" s="73"/>
      <c r="BP2366" s="73"/>
      <c r="BQ2366" s="73"/>
      <c r="BR2366" s="73"/>
      <c r="BS2366" s="73"/>
      <c r="BT2366" s="73"/>
      <c r="BU2366" s="73"/>
      <c r="BV2366" s="73"/>
      <c r="BW2366" s="73"/>
      <c r="BX2366" s="73"/>
      <c r="BY2366" s="73"/>
      <c r="BZ2366" s="73"/>
      <c r="CA2366" s="73"/>
      <c r="CB2366" s="73"/>
      <c r="CC2366" s="73"/>
      <c r="CD2366" s="73"/>
      <c r="CE2366" s="73"/>
      <c r="CF2366" s="73"/>
      <c r="CG2366" s="73"/>
      <c r="CH2366" s="73"/>
    </row>
    <row r="2367">
      <c r="A2367" s="73"/>
      <c r="B2367" s="73"/>
      <c r="C2367" s="73"/>
      <c r="D2367" s="73"/>
      <c r="E2367" s="140"/>
      <c r="F2367" s="80"/>
      <c r="G2367" s="80"/>
      <c r="H2367" s="73"/>
      <c r="I2367" s="73"/>
      <c r="J2367" s="73"/>
      <c r="K2367" s="73"/>
      <c r="L2367" s="73"/>
      <c r="M2367" s="73"/>
      <c r="N2367" s="73"/>
      <c r="O2367" s="73"/>
      <c r="P2367" s="73"/>
      <c r="Q2367" s="73"/>
      <c r="R2367" s="73"/>
      <c r="S2367" s="73"/>
      <c r="T2367" s="73"/>
      <c r="U2367" s="73"/>
      <c r="V2367" s="73"/>
      <c r="W2367" s="73"/>
      <c r="X2367" s="73"/>
      <c r="Y2367" s="73"/>
      <c r="Z2367" s="73"/>
      <c r="AA2367" s="73"/>
      <c r="AB2367" s="73"/>
      <c r="AC2367" s="73"/>
      <c r="AD2367" s="73"/>
      <c r="AE2367" s="73"/>
      <c r="AF2367" s="73"/>
      <c r="AG2367" s="73"/>
      <c r="AH2367" s="73"/>
      <c r="AI2367" s="73"/>
      <c r="AJ2367" s="168"/>
      <c r="AK2367" s="73"/>
      <c r="AL2367" s="73"/>
      <c r="AM2367" s="73"/>
      <c r="AN2367" s="73"/>
      <c r="AO2367" s="73"/>
      <c r="AP2367" s="73"/>
      <c r="AQ2367" s="73"/>
      <c r="AR2367" s="73"/>
      <c r="AS2367" s="73"/>
      <c r="AT2367" s="73"/>
      <c r="AU2367" s="73"/>
      <c r="AV2367" s="73"/>
      <c r="AW2367" s="73"/>
      <c r="AX2367" s="73"/>
      <c r="AY2367" s="73"/>
      <c r="AZ2367" s="73"/>
      <c r="BA2367" s="73"/>
      <c r="BB2367" s="73"/>
      <c r="BC2367" s="73"/>
      <c r="BD2367" s="73"/>
      <c r="BE2367" s="73"/>
      <c r="BF2367" s="75"/>
      <c r="BG2367" s="73"/>
      <c r="BH2367" s="88"/>
      <c r="BI2367" s="73"/>
      <c r="BJ2367" s="73"/>
      <c r="BK2367" s="73"/>
      <c r="BL2367" s="73"/>
      <c r="BM2367" s="73"/>
      <c r="BN2367" s="73"/>
      <c r="BO2367" s="73"/>
      <c r="BP2367" s="73"/>
      <c r="BQ2367" s="73"/>
      <c r="BR2367" s="73"/>
      <c r="BS2367" s="73"/>
      <c r="BT2367" s="73"/>
      <c r="BU2367" s="73"/>
      <c r="BV2367" s="73"/>
      <c r="BW2367" s="73"/>
      <c r="BX2367" s="73"/>
      <c r="BY2367" s="73"/>
      <c r="BZ2367" s="73"/>
      <c r="CA2367" s="73"/>
      <c r="CB2367" s="73"/>
      <c r="CC2367" s="73"/>
      <c r="CD2367" s="73"/>
      <c r="CE2367" s="73"/>
      <c r="CF2367" s="73"/>
      <c r="CG2367" s="73"/>
      <c r="CH2367" s="73"/>
    </row>
    <row r="2368">
      <c r="A2368" s="73"/>
      <c r="B2368" s="73"/>
      <c r="C2368" s="73"/>
      <c r="D2368" s="73"/>
      <c r="E2368" s="140"/>
      <c r="F2368" s="80"/>
      <c r="G2368" s="80"/>
      <c r="H2368" s="73"/>
      <c r="I2368" s="73"/>
      <c r="J2368" s="73"/>
      <c r="K2368" s="73"/>
      <c r="L2368" s="73"/>
      <c r="M2368" s="73"/>
      <c r="N2368" s="73"/>
      <c r="O2368" s="73"/>
      <c r="P2368" s="73"/>
      <c r="Q2368" s="73"/>
      <c r="R2368" s="73"/>
      <c r="S2368" s="73"/>
      <c r="T2368" s="73"/>
      <c r="U2368" s="73"/>
      <c r="V2368" s="73"/>
      <c r="W2368" s="73"/>
      <c r="X2368" s="73"/>
      <c r="Y2368" s="73"/>
      <c r="Z2368" s="73"/>
      <c r="AA2368" s="73"/>
      <c r="AB2368" s="73"/>
      <c r="AC2368" s="73"/>
      <c r="AD2368" s="73"/>
      <c r="AE2368" s="73"/>
      <c r="AF2368" s="73"/>
      <c r="AG2368" s="73"/>
      <c r="AH2368" s="73"/>
      <c r="AI2368" s="73"/>
      <c r="AJ2368" s="168"/>
      <c r="AK2368" s="73"/>
      <c r="AL2368" s="73"/>
      <c r="AM2368" s="73"/>
      <c r="AN2368" s="73"/>
      <c r="AO2368" s="73"/>
      <c r="AP2368" s="73"/>
      <c r="AQ2368" s="73"/>
      <c r="AR2368" s="73"/>
      <c r="AS2368" s="73"/>
      <c r="AT2368" s="73"/>
      <c r="AU2368" s="73"/>
      <c r="AV2368" s="73"/>
      <c r="AW2368" s="73"/>
      <c r="AX2368" s="73"/>
      <c r="AY2368" s="73"/>
      <c r="AZ2368" s="73"/>
      <c r="BA2368" s="73"/>
      <c r="BB2368" s="73"/>
      <c r="BC2368" s="73"/>
      <c r="BD2368" s="73"/>
      <c r="BE2368" s="73"/>
      <c r="BF2368" s="75"/>
      <c r="BG2368" s="73"/>
      <c r="BH2368" s="88"/>
      <c r="BI2368" s="73"/>
      <c r="BJ2368" s="73"/>
      <c r="BK2368" s="73"/>
      <c r="BL2368" s="73"/>
      <c r="BM2368" s="73"/>
      <c r="BN2368" s="73"/>
      <c r="BO2368" s="73"/>
      <c r="BP2368" s="73"/>
      <c r="BQ2368" s="73"/>
      <c r="BR2368" s="73"/>
      <c r="BS2368" s="73"/>
      <c r="BT2368" s="73"/>
      <c r="BU2368" s="73"/>
      <c r="BV2368" s="73"/>
      <c r="BW2368" s="73"/>
      <c r="BX2368" s="73"/>
      <c r="BY2368" s="73"/>
      <c r="BZ2368" s="73"/>
      <c r="CA2368" s="73"/>
      <c r="CB2368" s="73"/>
      <c r="CC2368" s="73"/>
      <c r="CD2368" s="73"/>
      <c r="CE2368" s="73"/>
      <c r="CF2368" s="73"/>
      <c r="CG2368" s="73"/>
      <c r="CH2368" s="73"/>
    </row>
    <row r="2369">
      <c r="A2369" s="73"/>
      <c r="B2369" s="73"/>
      <c r="C2369" s="73"/>
      <c r="D2369" s="73"/>
      <c r="E2369" s="140"/>
      <c r="F2369" s="80"/>
      <c r="G2369" s="80"/>
      <c r="H2369" s="73"/>
      <c r="I2369" s="73"/>
      <c r="J2369" s="73"/>
      <c r="K2369" s="73"/>
      <c r="L2369" s="73"/>
      <c r="M2369" s="73"/>
      <c r="N2369" s="73"/>
      <c r="O2369" s="73"/>
      <c r="P2369" s="73"/>
      <c r="Q2369" s="73"/>
      <c r="R2369" s="73"/>
      <c r="S2369" s="73"/>
      <c r="T2369" s="73"/>
      <c r="U2369" s="73"/>
      <c r="V2369" s="73"/>
      <c r="W2369" s="73"/>
      <c r="X2369" s="73"/>
      <c r="Y2369" s="73"/>
      <c r="Z2369" s="73"/>
      <c r="AA2369" s="73"/>
      <c r="AB2369" s="73"/>
      <c r="AC2369" s="73"/>
      <c r="AD2369" s="73"/>
      <c r="AE2369" s="73"/>
      <c r="AF2369" s="73"/>
      <c r="AG2369" s="73"/>
      <c r="AH2369" s="73"/>
      <c r="AI2369" s="73"/>
      <c r="AJ2369" s="168"/>
      <c r="AK2369" s="73"/>
      <c r="AL2369" s="73"/>
      <c r="AM2369" s="73"/>
      <c r="AN2369" s="73"/>
      <c r="AO2369" s="73"/>
      <c r="AP2369" s="73"/>
      <c r="AQ2369" s="73"/>
      <c r="AR2369" s="73"/>
      <c r="AS2369" s="73"/>
      <c r="AT2369" s="73"/>
      <c r="AU2369" s="73"/>
      <c r="AV2369" s="73"/>
      <c r="AW2369" s="73"/>
      <c r="AX2369" s="73"/>
      <c r="AY2369" s="73"/>
      <c r="AZ2369" s="73"/>
      <c r="BA2369" s="73"/>
      <c r="BB2369" s="73"/>
      <c r="BC2369" s="73"/>
      <c r="BD2369" s="73"/>
      <c r="BE2369" s="73"/>
      <c r="BF2369" s="75"/>
      <c r="BG2369" s="73"/>
      <c r="BH2369" s="88"/>
      <c r="BI2369" s="73"/>
      <c r="BJ2369" s="73"/>
      <c r="BK2369" s="73"/>
      <c r="BL2369" s="73"/>
      <c r="BM2369" s="73"/>
      <c r="BN2369" s="73"/>
      <c r="BO2369" s="73"/>
      <c r="BP2369" s="73"/>
      <c r="BQ2369" s="73"/>
      <c r="BR2369" s="73"/>
      <c r="BS2369" s="73"/>
      <c r="BT2369" s="73"/>
      <c r="BU2369" s="73"/>
      <c r="BV2369" s="73"/>
      <c r="BW2369" s="73"/>
      <c r="BX2369" s="73"/>
      <c r="BY2369" s="73"/>
      <c r="BZ2369" s="73"/>
      <c r="CA2369" s="73"/>
      <c r="CB2369" s="73"/>
      <c r="CC2369" s="73"/>
      <c r="CD2369" s="73"/>
      <c r="CE2369" s="73"/>
      <c r="CF2369" s="73"/>
      <c r="CG2369" s="73"/>
      <c r="CH2369" s="73"/>
    </row>
    <row r="2370">
      <c r="A2370" s="73"/>
      <c r="B2370" s="73"/>
      <c r="C2370" s="73"/>
      <c r="D2370" s="73"/>
      <c r="E2370" s="140"/>
      <c r="F2370" s="80"/>
      <c r="G2370" s="80"/>
      <c r="H2370" s="73"/>
      <c r="I2370" s="73"/>
      <c r="J2370" s="73"/>
      <c r="K2370" s="73"/>
      <c r="L2370" s="73"/>
      <c r="M2370" s="73"/>
      <c r="N2370" s="73"/>
      <c r="O2370" s="73"/>
      <c r="P2370" s="73"/>
      <c r="Q2370" s="73"/>
      <c r="R2370" s="73"/>
      <c r="S2370" s="73"/>
      <c r="T2370" s="73"/>
      <c r="U2370" s="73"/>
      <c r="V2370" s="73"/>
      <c r="W2370" s="73"/>
      <c r="X2370" s="73"/>
      <c r="Y2370" s="73"/>
      <c r="Z2370" s="73"/>
      <c r="AA2370" s="73"/>
      <c r="AB2370" s="73"/>
      <c r="AC2370" s="73"/>
      <c r="AD2370" s="73"/>
      <c r="AE2370" s="73"/>
      <c r="AF2370" s="73"/>
      <c r="AG2370" s="73"/>
      <c r="AH2370" s="73"/>
      <c r="AI2370" s="73"/>
      <c r="AJ2370" s="168"/>
      <c r="AK2370" s="73"/>
      <c r="AL2370" s="73"/>
      <c r="AM2370" s="73"/>
      <c r="AN2370" s="73"/>
      <c r="AO2370" s="73"/>
      <c r="AP2370" s="73"/>
      <c r="AQ2370" s="73"/>
      <c r="AR2370" s="73"/>
      <c r="AS2370" s="73"/>
      <c r="AT2370" s="73"/>
      <c r="AU2370" s="73"/>
      <c r="AV2370" s="73"/>
      <c r="AW2370" s="73"/>
      <c r="AX2370" s="73"/>
      <c r="AY2370" s="73"/>
      <c r="AZ2370" s="73"/>
      <c r="BA2370" s="73"/>
      <c r="BB2370" s="73"/>
      <c r="BC2370" s="73"/>
      <c r="BD2370" s="73"/>
      <c r="BE2370" s="73"/>
      <c r="BF2370" s="75"/>
      <c r="BG2370" s="73"/>
      <c r="BH2370" s="88"/>
      <c r="BI2370" s="73"/>
      <c r="BJ2370" s="73"/>
      <c r="BK2370" s="73"/>
      <c r="BL2370" s="73"/>
      <c r="BM2370" s="73"/>
      <c r="BN2370" s="73"/>
      <c r="BO2370" s="73"/>
      <c r="BP2370" s="73"/>
      <c r="BQ2370" s="73"/>
      <c r="BR2370" s="73"/>
      <c r="BS2370" s="73"/>
      <c r="BT2370" s="73"/>
      <c r="BU2370" s="73"/>
      <c r="BV2370" s="73"/>
      <c r="BW2370" s="73"/>
      <c r="BX2370" s="73"/>
      <c r="BY2370" s="73"/>
      <c r="BZ2370" s="73"/>
      <c r="CA2370" s="73"/>
      <c r="CB2370" s="73"/>
      <c r="CC2370" s="73"/>
      <c r="CD2370" s="73"/>
      <c r="CE2370" s="73"/>
      <c r="CF2370" s="73"/>
      <c r="CG2370" s="73"/>
      <c r="CH2370" s="73"/>
    </row>
    <row r="2371">
      <c r="A2371" s="73"/>
      <c r="B2371" s="73"/>
      <c r="C2371" s="73"/>
      <c r="D2371" s="73"/>
      <c r="E2371" s="140"/>
      <c r="F2371" s="80"/>
      <c r="G2371" s="80"/>
      <c r="H2371" s="73"/>
      <c r="I2371" s="73"/>
      <c r="J2371" s="73"/>
      <c r="K2371" s="73"/>
      <c r="L2371" s="73"/>
      <c r="M2371" s="73"/>
      <c r="N2371" s="73"/>
      <c r="O2371" s="73"/>
      <c r="P2371" s="73"/>
      <c r="Q2371" s="73"/>
      <c r="R2371" s="73"/>
      <c r="S2371" s="73"/>
      <c r="T2371" s="73"/>
      <c r="U2371" s="73"/>
      <c r="V2371" s="73"/>
      <c r="W2371" s="73"/>
      <c r="X2371" s="73"/>
      <c r="Y2371" s="73"/>
      <c r="Z2371" s="73"/>
      <c r="AA2371" s="73"/>
      <c r="AB2371" s="73"/>
      <c r="AC2371" s="73"/>
      <c r="AD2371" s="73"/>
      <c r="AE2371" s="73"/>
      <c r="AF2371" s="73"/>
      <c r="AG2371" s="73"/>
      <c r="AH2371" s="73"/>
      <c r="AI2371" s="73"/>
      <c r="AJ2371" s="168"/>
      <c r="AK2371" s="73"/>
      <c r="AL2371" s="73"/>
      <c r="AM2371" s="73"/>
      <c r="AN2371" s="73"/>
      <c r="AO2371" s="73"/>
      <c r="AP2371" s="73"/>
      <c r="AQ2371" s="73"/>
      <c r="AR2371" s="73"/>
      <c r="AS2371" s="73"/>
      <c r="AT2371" s="73"/>
      <c r="AU2371" s="73"/>
      <c r="AV2371" s="73"/>
      <c r="AW2371" s="73"/>
      <c r="AX2371" s="73"/>
      <c r="AY2371" s="73"/>
      <c r="AZ2371" s="73"/>
      <c r="BA2371" s="73"/>
      <c r="BB2371" s="73"/>
      <c r="BC2371" s="73"/>
      <c r="BD2371" s="73"/>
      <c r="BE2371" s="73"/>
      <c r="BF2371" s="75"/>
      <c r="BG2371" s="73"/>
      <c r="BH2371" s="88"/>
      <c r="BI2371" s="73"/>
      <c r="BJ2371" s="73"/>
      <c r="BK2371" s="73"/>
      <c r="BL2371" s="73"/>
      <c r="BM2371" s="73"/>
      <c r="BN2371" s="73"/>
      <c r="BO2371" s="73"/>
      <c r="BP2371" s="73"/>
      <c r="BQ2371" s="73"/>
      <c r="BR2371" s="73"/>
      <c r="BS2371" s="73"/>
      <c r="BT2371" s="73"/>
      <c r="BU2371" s="73"/>
      <c r="BV2371" s="73"/>
      <c r="BW2371" s="73"/>
      <c r="BX2371" s="73"/>
      <c r="BY2371" s="73"/>
      <c r="BZ2371" s="73"/>
      <c r="CA2371" s="73"/>
      <c r="CB2371" s="73"/>
      <c r="CC2371" s="73"/>
      <c r="CD2371" s="73"/>
      <c r="CE2371" s="73"/>
      <c r="CF2371" s="73"/>
      <c r="CG2371" s="73"/>
      <c r="CH2371" s="73"/>
    </row>
    <row r="2372">
      <c r="A2372" s="73"/>
      <c r="B2372" s="73"/>
      <c r="C2372" s="73"/>
      <c r="D2372" s="73"/>
      <c r="E2372" s="140"/>
      <c r="F2372" s="80"/>
      <c r="G2372" s="80"/>
      <c r="H2372" s="73"/>
      <c r="I2372" s="73"/>
      <c r="J2372" s="73"/>
      <c r="K2372" s="73"/>
      <c r="L2372" s="73"/>
      <c r="M2372" s="73"/>
      <c r="N2372" s="73"/>
      <c r="O2372" s="73"/>
      <c r="P2372" s="73"/>
      <c r="Q2372" s="73"/>
      <c r="R2372" s="73"/>
      <c r="S2372" s="73"/>
      <c r="T2372" s="73"/>
      <c r="U2372" s="73"/>
      <c r="V2372" s="73"/>
      <c r="W2372" s="73"/>
      <c r="X2372" s="73"/>
      <c r="Y2372" s="73"/>
      <c r="Z2372" s="73"/>
      <c r="AA2372" s="73"/>
      <c r="AB2372" s="73"/>
      <c r="AC2372" s="73"/>
      <c r="AD2372" s="73"/>
      <c r="AE2372" s="73"/>
      <c r="AF2372" s="73"/>
      <c r="AG2372" s="73"/>
      <c r="AH2372" s="73"/>
      <c r="AI2372" s="73"/>
      <c r="AJ2372" s="168"/>
      <c r="AK2372" s="73"/>
      <c r="AL2372" s="73"/>
      <c r="AM2372" s="73"/>
      <c r="AN2372" s="73"/>
      <c r="AO2372" s="73"/>
      <c r="AP2372" s="73"/>
      <c r="AQ2372" s="73"/>
      <c r="AR2372" s="73"/>
      <c r="AS2372" s="73"/>
      <c r="AT2372" s="73"/>
      <c r="AU2372" s="73"/>
      <c r="AV2372" s="73"/>
      <c r="AW2372" s="73"/>
      <c r="AX2372" s="73"/>
      <c r="AY2372" s="73"/>
      <c r="AZ2372" s="73"/>
      <c r="BA2372" s="73"/>
      <c r="BB2372" s="73"/>
      <c r="BC2372" s="73"/>
      <c r="BD2372" s="73"/>
      <c r="BE2372" s="73"/>
      <c r="BF2372" s="75"/>
      <c r="BG2372" s="73"/>
      <c r="BH2372" s="88"/>
      <c r="BI2372" s="73"/>
      <c r="BJ2372" s="73"/>
      <c r="BK2372" s="73"/>
      <c r="BL2372" s="73"/>
      <c r="BM2372" s="73"/>
      <c r="BN2372" s="73"/>
      <c r="BO2372" s="73"/>
      <c r="BP2372" s="73"/>
      <c r="BQ2372" s="73"/>
      <c r="BR2372" s="73"/>
      <c r="BS2372" s="73"/>
      <c r="BT2372" s="73"/>
      <c r="BU2372" s="73"/>
      <c r="BV2372" s="73"/>
      <c r="BW2372" s="73"/>
      <c r="BX2372" s="73"/>
      <c r="BY2372" s="73"/>
      <c r="BZ2372" s="73"/>
      <c r="CA2372" s="73"/>
      <c r="CB2372" s="73"/>
      <c r="CC2372" s="73"/>
      <c r="CD2372" s="73"/>
      <c r="CE2372" s="73"/>
      <c r="CF2372" s="73"/>
      <c r="CG2372" s="73"/>
      <c r="CH2372" s="73"/>
    </row>
    <row r="2373">
      <c r="A2373" s="73"/>
      <c r="B2373" s="73"/>
      <c r="C2373" s="73"/>
      <c r="D2373" s="73"/>
      <c r="E2373" s="140"/>
      <c r="F2373" s="80"/>
      <c r="G2373" s="80"/>
      <c r="H2373" s="73"/>
      <c r="I2373" s="73"/>
      <c r="J2373" s="73"/>
      <c r="K2373" s="73"/>
      <c r="L2373" s="73"/>
      <c r="M2373" s="73"/>
      <c r="N2373" s="73"/>
      <c r="O2373" s="73"/>
      <c r="P2373" s="73"/>
      <c r="Q2373" s="73"/>
      <c r="R2373" s="73"/>
      <c r="S2373" s="73"/>
      <c r="T2373" s="73"/>
      <c r="U2373" s="73"/>
      <c r="V2373" s="73"/>
      <c r="W2373" s="73"/>
      <c r="X2373" s="73"/>
      <c r="Y2373" s="73"/>
      <c r="Z2373" s="73"/>
      <c r="AA2373" s="73"/>
      <c r="AB2373" s="73"/>
      <c r="AC2373" s="73"/>
      <c r="AD2373" s="73"/>
      <c r="AE2373" s="73"/>
      <c r="AF2373" s="73"/>
      <c r="AG2373" s="73"/>
      <c r="AH2373" s="73"/>
      <c r="AI2373" s="73"/>
      <c r="AJ2373" s="168"/>
      <c r="AK2373" s="73"/>
      <c r="AL2373" s="73"/>
      <c r="AM2373" s="73"/>
      <c r="AN2373" s="73"/>
      <c r="AO2373" s="73"/>
      <c r="AP2373" s="73"/>
      <c r="AQ2373" s="73"/>
      <c r="AR2373" s="73"/>
      <c r="AS2373" s="73"/>
      <c r="AT2373" s="73"/>
      <c r="AU2373" s="73"/>
      <c r="AV2373" s="73"/>
      <c r="AW2373" s="73"/>
      <c r="AX2373" s="73"/>
      <c r="AY2373" s="73"/>
      <c r="AZ2373" s="73"/>
      <c r="BA2373" s="73"/>
      <c r="BB2373" s="73"/>
      <c r="BC2373" s="73"/>
      <c r="BD2373" s="73"/>
      <c r="BE2373" s="73"/>
      <c r="BF2373" s="75"/>
      <c r="BG2373" s="73"/>
      <c r="BH2373" s="88"/>
      <c r="BI2373" s="73"/>
      <c r="BJ2373" s="73"/>
      <c r="BK2373" s="73"/>
      <c r="BL2373" s="73"/>
      <c r="BM2373" s="73"/>
      <c r="BN2373" s="73"/>
      <c r="BO2373" s="73"/>
      <c r="BP2373" s="73"/>
      <c r="BQ2373" s="73"/>
      <c r="BR2373" s="73"/>
      <c r="BS2373" s="73"/>
      <c r="BT2373" s="73"/>
      <c r="BU2373" s="73"/>
      <c r="BV2373" s="73"/>
      <c r="BW2373" s="73"/>
      <c r="BX2373" s="73"/>
      <c r="BY2373" s="73"/>
      <c r="BZ2373" s="73"/>
      <c r="CA2373" s="73"/>
      <c r="CB2373" s="73"/>
      <c r="CC2373" s="73"/>
      <c r="CD2373" s="73"/>
      <c r="CE2373" s="73"/>
      <c r="CF2373" s="73"/>
      <c r="CG2373" s="73"/>
      <c r="CH2373" s="73"/>
    </row>
    <row r="2374">
      <c r="A2374" s="73"/>
      <c r="B2374" s="73"/>
      <c r="C2374" s="73"/>
      <c r="D2374" s="73"/>
      <c r="E2374" s="140"/>
      <c r="F2374" s="80"/>
      <c r="G2374" s="80"/>
      <c r="H2374" s="73"/>
      <c r="I2374" s="73"/>
      <c r="J2374" s="73"/>
      <c r="K2374" s="73"/>
      <c r="L2374" s="73"/>
      <c r="M2374" s="73"/>
      <c r="N2374" s="73"/>
      <c r="O2374" s="73"/>
      <c r="P2374" s="73"/>
      <c r="Q2374" s="73"/>
      <c r="R2374" s="73"/>
      <c r="S2374" s="73"/>
      <c r="T2374" s="73"/>
      <c r="U2374" s="73"/>
      <c r="V2374" s="73"/>
      <c r="W2374" s="73"/>
      <c r="X2374" s="73"/>
      <c r="Y2374" s="73"/>
      <c r="Z2374" s="73"/>
      <c r="AA2374" s="73"/>
      <c r="AB2374" s="73"/>
      <c r="AC2374" s="73"/>
      <c r="AD2374" s="73"/>
      <c r="AE2374" s="73"/>
      <c r="AF2374" s="73"/>
      <c r="AG2374" s="73"/>
      <c r="AH2374" s="73"/>
      <c r="AI2374" s="73"/>
      <c r="AJ2374" s="168"/>
      <c r="AK2374" s="73"/>
      <c r="AL2374" s="73"/>
      <c r="AM2374" s="73"/>
      <c r="AN2374" s="73"/>
      <c r="AO2374" s="73"/>
      <c r="AP2374" s="73"/>
      <c r="AQ2374" s="73"/>
      <c r="AR2374" s="73"/>
      <c r="AS2374" s="73"/>
      <c r="AT2374" s="73"/>
      <c r="AU2374" s="73"/>
      <c r="AV2374" s="73"/>
      <c r="AW2374" s="73"/>
      <c r="AX2374" s="73"/>
      <c r="AY2374" s="73"/>
      <c r="AZ2374" s="73"/>
      <c r="BA2374" s="73"/>
      <c r="BB2374" s="73"/>
      <c r="BC2374" s="73"/>
      <c r="BD2374" s="73"/>
      <c r="BE2374" s="73"/>
      <c r="BF2374" s="75"/>
      <c r="BG2374" s="73"/>
      <c r="BH2374" s="88"/>
      <c r="BI2374" s="73"/>
      <c r="BJ2374" s="73"/>
      <c r="BK2374" s="73"/>
      <c r="BL2374" s="73"/>
      <c r="BM2374" s="73"/>
      <c r="BN2374" s="73"/>
      <c r="BO2374" s="73"/>
      <c r="BP2374" s="73"/>
      <c r="BQ2374" s="73"/>
      <c r="BR2374" s="73"/>
      <c r="BS2374" s="73"/>
      <c r="BT2374" s="73"/>
      <c r="BU2374" s="73"/>
      <c r="BV2374" s="73"/>
      <c r="BW2374" s="73"/>
      <c r="BX2374" s="73"/>
      <c r="BY2374" s="73"/>
      <c r="BZ2374" s="73"/>
      <c r="CA2374" s="73"/>
      <c r="CB2374" s="73"/>
      <c r="CC2374" s="73"/>
      <c r="CD2374" s="73"/>
      <c r="CE2374" s="73"/>
      <c r="CF2374" s="73"/>
      <c r="CG2374" s="73"/>
      <c r="CH2374" s="73"/>
    </row>
    <row r="2375">
      <c r="A2375" s="73"/>
      <c r="B2375" s="73"/>
      <c r="C2375" s="73"/>
      <c r="D2375" s="73"/>
      <c r="E2375" s="140"/>
      <c r="F2375" s="80"/>
      <c r="G2375" s="80"/>
      <c r="H2375" s="73"/>
      <c r="I2375" s="73"/>
      <c r="J2375" s="73"/>
      <c r="K2375" s="73"/>
      <c r="L2375" s="73"/>
      <c r="M2375" s="73"/>
      <c r="N2375" s="73"/>
      <c r="O2375" s="73"/>
      <c r="P2375" s="73"/>
      <c r="Q2375" s="73"/>
      <c r="R2375" s="73"/>
      <c r="S2375" s="73"/>
      <c r="T2375" s="73"/>
      <c r="U2375" s="73"/>
      <c r="V2375" s="73"/>
      <c r="W2375" s="73"/>
      <c r="X2375" s="73"/>
      <c r="Y2375" s="73"/>
      <c r="Z2375" s="73"/>
      <c r="AA2375" s="73"/>
      <c r="AB2375" s="73"/>
      <c r="AC2375" s="73"/>
      <c r="AD2375" s="73"/>
      <c r="AE2375" s="73"/>
      <c r="AF2375" s="73"/>
      <c r="AG2375" s="73"/>
      <c r="AH2375" s="73"/>
      <c r="AI2375" s="73"/>
      <c r="AJ2375" s="168"/>
      <c r="AK2375" s="73"/>
      <c r="AL2375" s="73"/>
      <c r="AM2375" s="73"/>
      <c r="AN2375" s="73"/>
      <c r="AO2375" s="73"/>
      <c r="AP2375" s="73"/>
      <c r="AQ2375" s="73"/>
      <c r="AR2375" s="73"/>
      <c r="AS2375" s="73"/>
      <c r="AT2375" s="73"/>
      <c r="AU2375" s="73"/>
      <c r="AV2375" s="73"/>
      <c r="AW2375" s="73"/>
      <c r="AX2375" s="73"/>
      <c r="AY2375" s="73"/>
      <c r="AZ2375" s="73"/>
      <c r="BA2375" s="73"/>
      <c r="BB2375" s="73"/>
      <c r="BC2375" s="73"/>
      <c r="BD2375" s="73"/>
      <c r="BE2375" s="73"/>
      <c r="BF2375" s="75"/>
      <c r="BG2375" s="73"/>
      <c r="BH2375" s="88"/>
      <c r="BI2375" s="73"/>
      <c r="BJ2375" s="73"/>
      <c r="BK2375" s="73"/>
      <c r="BL2375" s="73"/>
      <c r="BM2375" s="73"/>
      <c r="BN2375" s="73"/>
      <c r="BO2375" s="73"/>
      <c r="BP2375" s="73"/>
      <c r="BQ2375" s="73"/>
      <c r="BR2375" s="73"/>
      <c r="BS2375" s="73"/>
      <c r="BT2375" s="73"/>
      <c r="BU2375" s="73"/>
      <c r="BV2375" s="73"/>
      <c r="BW2375" s="73"/>
      <c r="BX2375" s="73"/>
      <c r="BY2375" s="73"/>
      <c r="BZ2375" s="73"/>
      <c r="CA2375" s="73"/>
      <c r="CB2375" s="73"/>
      <c r="CC2375" s="73"/>
      <c r="CD2375" s="73"/>
      <c r="CE2375" s="73"/>
      <c r="CF2375" s="73"/>
      <c r="CG2375" s="73"/>
      <c r="CH2375" s="73"/>
    </row>
    <row r="2376">
      <c r="A2376" s="73"/>
      <c r="B2376" s="73"/>
      <c r="C2376" s="73"/>
      <c r="D2376" s="73"/>
      <c r="E2376" s="140"/>
      <c r="F2376" s="80"/>
      <c r="G2376" s="80"/>
      <c r="H2376" s="73"/>
      <c r="I2376" s="73"/>
      <c r="J2376" s="73"/>
      <c r="K2376" s="73"/>
      <c r="L2376" s="73"/>
      <c r="M2376" s="73"/>
      <c r="N2376" s="73"/>
      <c r="O2376" s="73"/>
      <c r="P2376" s="73"/>
      <c r="Q2376" s="73"/>
      <c r="R2376" s="73"/>
      <c r="S2376" s="73"/>
      <c r="T2376" s="73"/>
      <c r="U2376" s="73"/>
      <c r="V2376" s="73"/>
      <c r="W2376" s="73"/>
      <c r="X2376" s="73"/>
      <c r="Y2376" s="73"/>
      <c r="Z2376" s="73"/>
      <c r="AA2376" s="73"/>
      <c r="AB2376" s="73"/>
      <c r="AC2376" s="73"/>
      <c r="AD2376" s="73"/>
      <c r="AE2376" s="73"/>
      <c r="AF2376" s="73"/>
      <c r="AG2376" s="73"/>
      <c r="AH2376" s="73"/>
      <c r="AI2376" s="73"/>
      <c r="AJ2376" s="168"/>
      <c r="AK2376" s="73"/>
      <c r="AL2376" s="73"/>
      <c r="AM2376" s="73"/>
      <c r="AN2376" s="73"/>
      <c r="AO2376" s="73"/>
      <c r="AP2376" s="73"/>
      <c r="AQ2376" s="73"/>
      <c r="AR2376" s="73"/>
      <c r="AS2376" s="73"/>
      <c r="AT2376" s="73"/>
      <c r="AU2376" s="73"/>
      <c r="AV2376" s="73"/>
      <c r="AW2376" s="73"/>
      <c r="AX2376" s="73"/>
      <c r="AY2376" s="73"/>
      <c r="AZ2376" s="73"/>
      <c r="BA2376" s="73"/>
      <c r="BB2376" s="73"/>
      <c r="BC2376" s="73"/>
      <c r="BD2376" s="73"/>
      <c r="BE2376" s="73"/>
      <c r="BF2376" s="75"/>
      <c r="BG2376" s="73"/>
      <c r="BH2376" s="88"/>
      <c r="BI2376" s="73"/>
      <c r="BJ2376" s="73"/>
      <c r="BK2376" s="73"/>
      <c r="BL2376" s="73"/>
      <c r="BM2376" s="73"/>
      <c r="BN2376" s="73"/>
      <c r="BO2376" s="73"/>
      <c r="BP2376" s="73"/>
      <c r="BQ2376" s="73"/>
      <c r="BR2376" s="73"/>
      <c r="BS2376" s="73"/>
      <c r="BT2376" s="73"/>
      <c r="BU2376" s="73"/>
      <c r="BV2376" s="73"/>
      <c r="BW2376" s="73"/>
      <c r="BX2376" s="73"/>
      <c r="BY2376" s="73"/>
      <c r="BZ2376" s="73"/>
      <c r="CA2376" s="73"/>
      <c r="CB2376" s="73"/>
      <c r="CC2376" s="73"/>
      <c r="CD2376" s="73"/>
      <c r="CE2376" s="73"/>
      <c r="CF2376" s="73"/>
      <c r="CG2376" s="73"/>
      <c r="CH2376" s="73"/>
    </row>
    <row r="2377">
      <c r="A2377" s="73"/>
      <c r="B2377" s="73"/>
      <c r="C2377" s="73"/>
      <c r="D2377" s="73"/>
      <c r="E2377" s="140"/>
      <c r="F2377" s="80"/>
      <c r="G2377" s="80"/>
      <c r="H2377" s="73"/>
      <c r="I2377" s="73"/>
      <c r="J2377" s="73"/>
      <c r="K2377" s="73"/>
      <c r="L2377" s="73"/>
      <c r="M2377" s="73"/>
      <c r="N2377" s="73"/>
      <c r="O2377" s="73"/>
      <c r="P2377" s="73"/>
      <c r="Q2377" s="73"/>
      <c r="R2377" s="73"/>
      <c r="S2377" s="73"/>
      <c r="T2377" s="73"/>
      <c r="U2377" s="73"/>
      <c r="V2377" s="73"/>
      <c r="W2377" s="73"/>
      <c r="X2377" s="73"/>
      <c r="Y2377" s="73"/>
      <c r="Z2377" s="73"/>
      <c r="AA2377" s="73"/>
      <c r="AB2377" s="73"/>
      <c r="AC2377" s="73"/>
      <c r="AD2377" s="73"/>
      <c r="AE2377" s="73"/>
      <c r="AF2377" s="73"/>
      <c r="AG2377" s="73"/>
      <c r="AH2377" s="73"/>
      <c r="AI2377" s="73"/>
      <c r="AJ2377" s="168"/>
      <c r="AK2377" s="73"/>
      <c r="AL2377" s="73"/>
      <c r="AM2377" s="73"/>
      <c r="AN2377" s="73"/>
      <c r="AO2377" s="73"/>
      <c r="AP2377" s="73"/>
      <c r="AQ2377" s="73"/>
      <c r="AR2377" s="73"/>
      <c r="AS2377" s="73"/>
      <c r="AT2377" s="73"/>
      <c r="AU2377" s="73"/>
      <c r="AV2377" s="73"/>
      <c r="AW2377" s="73"/>
      <c r="AX2377" s="73"/>
      <c r="AY2377" s="73"/>
      <c r="AZ2377" s="73"/>
      <c r="BA2377" s="73"/>
      <c r="BB2377" s="73"/>
      <c r="BC2377" s="73"/>
      <c r="BD2377" s="73"/>
      <c r="BE2377" s="73"/>
      <c r="BF2377" s="75"/>
      <c r="BG2377" s="73"/>
      <c r="BH2377" s="88"/>
      <c r="BI2377" s="73"/>
      <c r="BJ2377" s="73"/>
      <c r="BK2377" s="73"/>
      <c r="BL2377" s="73"/>
      <c r="BM2377" s="73"/>
      <c r="BN2377" s="73"/>
      <c r="BO2377" s="73"/>
      <c r="BP2377" s="73"/>
      <c r="BQ2377" s="73"/>
      <c r="BR2377" s="73"/>
      <c r="BS2377" s="73"/>
      <c r="BT2377" s="73"/>
      <c r="BU2377" s="73"/>
      <c r="BV2377" s="73"/>
      <c r="BW2377" s="73"/>
      <c r="BX2377" s="73"/>
      <c r="BY2377" s="73"/>
      <c r="BZ2377" s="73"/>
      <c r="CA2377" s="73"/>
      <c r="CB2377" s="73"/>
      <c r="CC2377" s="73"/>
      <c r="CD2377" s="73"/>
      <c r="CE2377" s="73"/>
      <c r="CF2377" s="73"/>
      <c r="CG2377" s="73"/>
      <c r="CH2377" s="73"/>
    </row>
    <row r="2378">
      <c r="A2378" s="73"/>
      <c r="B2378" s="73"/>
      <c r="C2378" s="73"/>
      <c r="D2378" s="73"/>
      <c r="E2378" s="140"/>
      <c r="F2378" s="80"/>
      <c r="G2378" s="80"/>
      <c r="H2378" s="73"/>
      <c r="I2378" s="73"/>
      <c r="J2378" s="73"/>
      <c r="K2378" s="73"/>
      <c r="L2378" s="73"/>
      <c r="M2378" s="73"/>
      <c r="N2378" s="73"/>
      <c r="O2378" s="73"/>
      <c r="P2378" s="73"/>
      <c r="Q2378" s="73"/>
      <c r="R2378" s="73"/>
      <c r="S2378" s="73"/>
      <c r="T2378" s="73"/>
      <c r="U2378" s="73"/>
      <c r="V2378" s="73"/>
      <c r="W2378" s="73"/>
      <c r="X2378" s="73"/>
      <c r="Y2378" s="73"/>
      <c r="Z2378" s="73"/>
      <c r="AA2378" s="73"/>
      <c r="AB2378" s="73"/>
      <c r="AC2378" s="73"/>
      <c r="AD2378" s="73"/>
      <c r="AE2378" s="73"/>
      <c r="AF2378" s="73"/>
      <c r="AG2378" s="73"/>
      <c r="AH2378" s="73"/>
      <c r="AI2378" s="73"/>
      <c r="AJ2378" s="168"/>
      <c r="AK2378" s="73"/>
      <c r="AL2378" s="73"/>
      <c r="AM2378" s="73"/>
      <c r="AN2378" s="73"/>
      <c r="AO2378" s="73"/>
      <c r="AP2378" s="73"/>
      <c r="AQ2378" s="73"/>
      <c r="AR2378" s="73"/>
      <c r="AS2378" s="73"/>
      <c r="AT2378" s="73"/>
      <c r="AU2378" s="73"/>
      <c r="AV2378" s="73"/>
      <c r="AW2378" s="73"/>
      <c r="AX2378" s="73"/>
      <c r="AY2378" s="73"/>
      <c r="AZ2378" s="73"/>
      <c r="BA2378" s="73"/>
      <c r="BB2378" s="73"/>
      <c r="BC2378" s="73"/>
      <c r="BD2378" s="73"/>
      <c r="BE2378" s="73"/>
      <c r="BF2378" s="75"/>
      <c r="BG2378" s="73"/>
      <c r="BH2378" s="88"/>
      <c r="BI2378" s="73"/>
      <c r="BJ2378" s="73"/>
      <c r="BK2378" s="73"/>
      <c r="BL2378" s="73"/>
      <c r="BM2378" s="73"/>
      <c r="BN2378" s="73"/>
      <c r="BO2378" s="73"/>
      <c r="BP2378" s="73"/>
      <c r="BQ2378" s="73"/>
      <c r="BR2378" s="73"/>
      <c r="BS2378" s="73"/>
      <c r="BT2378" s="73"/>
      <c r="BU2378" s="73"/>
      <c r="BV2378" s="73"/>
      <c r="BW2378" s="73"/>
      <c r="BX2378" s="73"/>
      <c r="BY2378" s="73"/>
      <c r="BZ2378" s="73"/>
      <c r="CA2378" s="73"/>
      <c r="CB2378" s="73"/>
      <c r="CC2378" s="73"/>
      <c r="CD2378" s="73"/>
      <c r="CE2378" s="73"/>
      <c r="CF2378" s="73"/>
      <c r="CG2378" s="73"/>
      <c r="CH2378" s="73"/>
    </row>
    <row r="2379">
      <c r="A2379" s="73"/>
      <c r="B2379" s="73"/>
      <c r="C2379" s="73"/>
      <c r="D2379" s="73"/>
      <c r="E2379" s="140"/>
      <c r="F2379" s="80"/>
      <c r="G2379" s="80"/>
      <c r="H2379" s="73"/>
      <c r="I2379" s="73"/>
      <c r="J2379" s="73"/>
      <c r="K2379" s="73"/>
      <c r="L2379" s="73"/>
      <c r="M2379" s="73"/>
      <c r="N2379" s="73"/>
      <c r="O2379" s="73"/>
      <c r="P2379" s="73"/>
      <c r="Q2379" s="73"/>
      <c r="R2379" s="73"/>
      <c r="S2379" s="73"/>
      <c r="T2379" s="73"/>
      <c r="U2379" s="73"/>
      <c r="V2379" s="73"/>
      <c r="W2379" s="73"/>
      <c r="X2379" s="73"/>
      <c r="Y2379" s="73"/>
      <c r="Z2379" s="73"/>
      <c r="AA2379" s="73"/>
      <c r="AB2379" s="73"/>
      <c r="AC2379" s="73"/>
      <c r="AD2379" s="73"/>
      <c r="AE2379" s="73"/>
      <c r="AF2379" s="73"/>
      <c r="AG2379" s="73"/>
      <c r="AH2379" s="73"/>
      <c r="AI2379" s="73"/>
      <c r="AJ2379" s="168"/>
      <c r="AK2379" s="73"/>
      <c r="AL2379" s="73"/>
      <c r="AM2379" s="73"/>
      <c r="AN2379" s="73"/>
      <c r="AO2379" s="73"/>
      <c r="AP2379" s="73"/>
      <c r="AQ2379" s="73"/>
      <c r="AR2379" s="73"/>
      <c r="AS2379" s="73"/>
      <c r="AT2379" s="73"/>
      <c r="AU2379" s="73"/>
      <c r="AV2379" s="73"/>
      <c r="AW2379" s="73"/>
      <c r="AX2379" s="73"/>
      <c r="AY2379" s="73"/>
      <c r="AZ2379" s="73"/>
      <c r="BA2379" s="73"/>
      <c r="BB2379" s="73"/>
      <c r="BC2379" s="73"/>
      <c r="BD2379" s="73"/>
      <c r="BE2379" s="73"/>
      <c r="BF2379" s="75"/>
      <c r="BG2379" s="73"/>
      <c r="BH2379" s="88"/>
      <c r="BI2379" s="73"/>
      <c r="BJ2379" s="73"/>
      <c r="BK2379" s="73"/>
      <c r="BL2379" s="73"/>
      <c r="BM2379" s="73"/>
      <c r="BN2379" s="73"/>
      <c r="BO2379" s="73"/>
      <c r="BP2379" s="73"/>
      <c r="BQ2379" s="73"/>
      <c r="BR2379" s="73"/>
      <c r="BS2379" s="73"/>
      <c r="BT2379" s="73"/>
      <c r="BU2379" s="73"/>
      <c r="BV2379" s="73"/>
      <c r="BW2379" s="73"/>
      <c r="BX2379" s="73"/>
      <c r="BY2379" s="73"/>
      <c r="BZ2379" s="73"/>
      <c r="CA2379" s="73"/>
      <c r="CB2379" s="73"/>
      <c r="CC2379" s="73"/>
      <c r="CD2379" s="73"/>
      <c r="CE2379" s="73"/>
      <c r="CF2379" s="73"/>
      <c r="CG2379" s="73"/>
      <c r="CH2379" s="73"/>
    </row>
    <row r="2380">
      <c r="A2380" s="73"/>
      <c r="B2380" s="73"/>
      <c r="C2380" s="73"/>
      <c r="D2380" s="73"/>
      <c r="E2380" s="140"/>
      <c r="F2380" s="80"/>
      <c r="G2380" s="80"/>
      <c r="H2380" s="73"/>
      <c r="I2380" s="73"/>
      <c r="J2380" s="73"/>
      <c r="K2380" s="73"/>
      <c r="L2380" s="73"/>
      <c r="M2380" s="73"/>
      <c r="N2380" s="73"/>
      <c r="O2380" s="73"/>
      <c r="P2380" s="73"/>
      <c r="Q2380" s="73"/>
      <c r="R2380" s="73"/>
      <c r="S2380" s="73"/>
      <c r="T2380" s="73"/>
      <c r="U2380" s="73"/>
      <c r="V2380" s="73"/>
      <c r="W2380" s="73"/>
      <c r="X2380" s="73"/>
      <c r="Y2380" s="73"/>
      <c r="Z2380" s="73"/>
      <c r="AA2380" s="73"/>
      <c r="AB2380" s="73"/>
      <c r="AC2380" s="73"/>
      <c r="AD2380" s="73"/>
      <c r="AE2380" s="73"/>
      <c r="AF2380" s="73"/>
      <c r="AG2380" s="73"/>
      <c r="AH2380" s="73"/>
      <c r="AI2380" s="73"/>
      <c r="AJ2380" s="168"/>
      <c r="AK2380" s="73"/>
      <c r="AL2380" s="73"/>
      <c r="AM2380" s="73"/>
      <c r="AN2380" s="73"/>
      <c r="AO2380" s="73"/>
      <c r="AP2380" s="73"/>
      <c r="AQ2380" s="73"/>
      <c r="AR2380" s="73"/>
      <c r="AS2380" s="73"/>
      <c r="AT2380" s="73"/>
      <c r="AU2380" s="73"/>
      <c r="AV2380" s="73"/>
      <c r="AW2380" s="73"/>
      <c r="AX2380" s="73"/>
      <c r="AY2380" s="73"/>
      <c r="AZ2380" s="73"/>
      <c r="BA2380" s="73"/>
      <c r="BB2380" s="73"/>
      <c r="BC2380" s="73"/>
      <c r="BD2380" s="73"/>
      <c r="BE2380" s="73"/>
      <c r="BF2380" s="75"/>
      <c r="BG2380" s="73"/>
      <c r="BH2380" s="88"/>
      <c r="BI2380" s="73"/>
      <c r="BJ2380" s="73"/>
      <c r="BK2380" s="73"/>
      <c r="BL2380" s="73"/>
      <c r="BM2380" s="73"/>
      <c r="BN2380" s="73"/>
      <c r="BO2380" s="73"/>
      <c r="BP2380" s="73"/>
      <c r="BQ2380" s="73"/>
      <c r="BR2380" s="73"/>
      <c r="BS2380" s="73"/>
      <c r="BT2380" s="73"/>
      <c r="BU2380" s="73"/>
      <c r="BV2380" s="73"/>
      <c r="BW2380" s="73"/>
      <c r="BX2380" s="73"/>
      <c r="BY2380" s="73"/>
      <c r="BZ2380" s="73"/>
      <c r="CA2380" s="73"/>
      <c r="CB2380" s="73"/>
      <c r="CC2380" s="73"/>
      <c r="CD2380" s="73"/>
      <c r="CE2380" s="73"/>
      <c r="CF2380" s="73"/>
      <c r="CG2380" s="73"/>
      <c r="CH2380" s="73"/>
    </row>
    <row r="2381">
      <c r="A2381" s="73"/>
      <c r="B2381" s="73"/>
      <c r="C2381" s="73"/>
      <c r="D2381" s="73"/>
      <c r="E2381" s="140"/>
      <c r="F2381" s="80"/>
      <c r="G2381" s="80"/>
      <c r="H2381" s="73"/>
      <c r="I2381" s="73"/>
      <c r="J2381" s="73"/>
      <c r="K2381" s="73"/>
      <c r="L2381" s="73"/>
      <c r="M2381" s="73"/>
      <c r="N2381" s="73"/>
      <c r="O2381" s="73"/>
      <c r="P2381" s="73"/>
      <c r="Q2381" s="73"/>
      <c r="R2381" s="73"/>
      <c r="S2381" s="73"/>
      <c r="T2381" s="73"/>
      <c r="U2381" s="73"/>
      <c r="V2381" s="73"/>
      <c r="W2381" s="73"/>
      <c r="X2381" s="73"/>
      <c r="Y2381" s="73"/>
      <c r="Z2381" s="73"/>
      <c r="AA2381" s="73"/>
      <c r="AB2381" s="73"/>
      <c r="AC2381" s="73"/>
      <c r="AD2381" s="73"/>
      <c r="AE2381" s="73"/>
      <c r="AF2381" s="73"/>
      <c r="AG2381" s="73"/>
      <c r="AH2381" s="73"/>
      <c r="AI2381" s="73"/>
      <c r="AJ2381" s="168"/>
      <c r="AK2381" s="73"/>
      <c r="AL2381" s="73"/>
      <c r="AM2381" s="73"/>
      <c r="AN2381" s="73"/>
      <c r="AO2381" s="73"/>
      <c r="AP2381" s="73"/>
      <c r="AQ2381" s="73"/>
      <c r="AR2381" s="73"/>
      <c r="AS2381" s="73"/>
      <c r="AT2381" s="73"/>
      <c r="AU2381" s="73"/>
      <c r="AV2381" s="73"/>
      <c r="AW2381" s="73"/>
      <c r="AX2381" s="73"/>
      <c r="AY2381" s="73"/>
      <c r="AZ2381" s="73"/>
      <c r="BA2381" s="73"/>
      <c r="BB2381" s="73"/>
      <c r="BC2381" s="73"/>
      <c r="BD2381" s="73"/>
      <c r="BE2381" s="73"/>
      <c r="BF2381" s="75"/>
      <c r="BG2381" s="73"/>
      <c r="BH2381" s="88"/>
      <c r="BI2381" s="73"/>
      <c r="BJ2381" s="73"/>
      <c r="BK2381" s="73"/>
      <c r="BL2381" s="73"/>
      <c r="BM2381" s="73"/>
      <c r="BN2381" s="73"/>
      <c r="BO2381" s="73"/>
      <c r="BP2381" s="73"/>
      <c r="BQ2381" s="73"/>
      <c r="BR2381" s="73"/>
      <c r="BS2381" s="73"/>
      <c r="BT2381" s="73"/>
      <c r="BU2381" s="73"/>
      <c r="BV2381" s="73"/>
      <c r="BW2381" s="73"/>
      <c r="BX2381" s="73"/>
      <c r="BY2381" s="73"/>
      <c r="BZ2381" s="73"/>
      <c r="CA2381" s="73"/>
      <c r="CB2381" s="73"/>
      <c r="CC2381" s="73"/>
      <c r="CD2381" s="73"/>
      <c r="CE2381" s="73"/>
      <c r="CF2381" s="73"/>
      <c r="CG2381" s="73"/>
      <c r="CH2381" s="73"/>
    </row>
    <row r="2382">
      <c r="A2382" s="73"/>
      <c r="B2382" s="73"/>
      <c r="C2382" s="73"/>
      <c r="D2382" s="73"/>
      <c r="E2382" s="140"/>
      <c r="F2382" s="80"/>
      <c r="G2382" s="80"/>
      <c r="H2382" s="73"/>
      <c r="I2382" s="73"/>
      <c r="J2382" s="73"/>
      <c r="K2382" s="73"/>
      <c r="L2382" s="73"/>
      <c r="M2382" s="73"/>
      <c r="N2382" s="73"/>
      <c r="O2382" s="73"/>
      <c r="P2382" s="73"/>
      <c r="Q2382" s="73"/>
      <c r="R2382" s="73"/>
      <c r="S2382" s="73"/>
      <c r="T2382" s="73"/>
      <c r="U2382" s="73"/>
      <c r="V2382" s="73"/>
      <c r="W2382" s="73"/>
      <c r="X2382" s="73"/>
      <c r="Y2382" s="73"/>
      <c r="Z2382" s="73"/>
      <c r="AA2382" s="73"/>
      <c r="AB2382" s="73"/>
      <c r="AC2382" s="73"/>
      <c r="AD2382" s="73"/>
      <c r="AE2382" s="73"/>
      <c r="AF2382" s="73"/>
      <c r="AG2382" s="73"/>
      <c r="AH2382" s="73"/>
      <c r="AI2382" s="73"/>
      <c r="AJ2382" s="168"/>
      <c r="AK2382" s="73"/>
      <c r="AL2382" s="73"/>
      <c r="AM2382" s="73"/>
      <c r="AN2382" s="73"/>
      <c r="AO2382" s="73"/>
      <c r="AP2382" s="73"/>
      <c r="AQ2382" s="73"/>
      <c r="AR2382" s="73"/>
      <c r="AS2382" s="73"/>
      <c r="AT2382" s="73"/>
      <c r="AU2382" s="73"/>
      <c r="AV2382" s="73"/>
      <c r="AW2382" s="73"/>
      <c r="AX2382" s="73"/>
      <c r="AY2382" s="73"/>
      <c r="AZ2382" s="73"/>
      <c r="BA2382" s="73"/>
      <c r="BB2382" s="73"/>
      <c r="BC2382" s="73"/>
      <c r="BD2382" s="73"/>
      <c r="BE2382" s="73"/>
      <c r="BF2382" s="75"/>
      <c r="BG2382" s="73"/>
      <c r="BH2382" s="88"/>
      <c r="BI2382" s="73"/>
      <c r="BJ2382" s="73"/>
      <c r="BK2382" s="73"/>
      <c r="BL2382" s="73"/>
      <c r="BM2382" s="73"/>
      <c r="BN2382" s="73"/>
      <c r="BO2382" s="73"/>
      <c r="BP2382" s="73"/>
      <c r="BQ2382" s="73"/>
      <c r="BR2382" s="73"/>
      <c r="BS2382" s="73"/>
      <c r="BT2382" s="73"/>
      <c r="BU2382" s="73"/>
      <c r="BV2382" s="73"/>
      <c r="BW2382" s="73"/>
      <c r="BX2382" s="73"/>
      <c r="BY2382" s="73"/>
      <c r="BZ2382" s="73"/>
      <c r="CA2382" s="73"/>
      <c r="CB2382" s="73"/>
      <c r="CC2382" s="73"/>
      <c r="CD2382" s="73"/>
      <c r="CE2382" s="73"/>
      <c r="CF2382" s="73"/>
      <c r="CG2382" s="73"/>
      <c r="CH2382" s="73"/>
    </row>
    <row r="2383">
      <c r="A2383" s="73"/>
      <c r="B2383" s="73"/>
      <c r="C2383" s="73"/>
      <c r="D2383" s="73"/>
      <c r="E2383" s="140"/>
      <c r="F2383" s="80"/>
      <c r="G2383" s="80"/>
      <c r="H2383" s="73"/>
      <c r="I2383" s="73"/>
      <c r="J2383" s="73"/>
      <c r="K2383" s="73"/>
      <c r="L2383" s="73"/>
      <c r="M2383" s="73"/>
      <c r="N2383" s="73"/>
      <c r="O2383" s="73"/>
      <c r="P2383" s="73"/>
      <c r="Q2383" s="73"/>
      <c r="R2383" s="73"/>
      <c r="S2383" s="73"/>
      <c r="T2383" s="73"/>
      <c r="U2383" s="73"/>
      <c r="V2383" s="73"/>
      <c r="W2383" s="73"/>
      <c r="X2383" s="73"/>
      <c r="Y2383" s="73"/>
      <c r="Z2383" s="73"/>
      <c r="AA2383" s="73"/>
      <c r="AB2383" s="73"/>
      <c r="AC2383" s="73"/>
      <c r="AD2383" s="73"/>
      <c r="AE2383" s="73"/>
      <c r="AF2383" s="73"/>
      <c r="AG2383" s="73"/>
      <c r="AH2383" s="73"/>
      <c r="AI2383" s="73"/>
      <c r="AJ2383" s="168"/>
      <c r="AK2383" s="73"/>
      <c r="AL2383" s="73"/>
      <c r="AM2383" s="73"/>
      <c r="AN2383" s="73"/>
      <c r="AO2383" s="73"/>
      <c r="AP2383" s="73"/>
      <c r="AQ2383" s="73"/>
      <c r="AR2383" s="73"/>
      <c r="AS2383" s="73"/>
      <c r="AT2383" s="73"/>
      <c r="AU2383" s="73"/>
      <c r="AV2383" s="73"/>
      <c r="AW2383" s="73"/>
      <c r="AX2383" s="73"/>
      <c r="AY2383" s="73"/>
      <c r="AZ2383" s="73"/>
      <c r="BA2383" s="73"/>
      <c r="BB2383" s="73"/>
      <c r="BC2383" s="73"/>
      <c r="BD2383" s="73"/>
      <c r="BE2383" s="73"/>
      <c r="BF2383" s="75"/>
      <c r="BG2383" s="73"/>
      <c r="BH2383" s="88"/>
      <c r="BI2383" s="73"/>
      <c r="BJ2383" s="73"/>
      <c r="BK2383" s="73"/>
      <c r="BL2383" s="73"/>
      <c r="BM2383" s="73"/>
      <c r="BN2383" s="73"/>
      <c r="BO2383" s="73"/>
      <c r="BP2383" s="73"/>
      <c r="BQ2383" s="73"/>
      <c r="BR2383" s="73"/>
      <c r="BS2383" s="73"/>
      <c r="BT2383" s="73"/>
      <c r="BU2383" s="73"/>
      <c r="BV2383" s="73"/>
      <c r="BW2383" s="73"/>
      <c r="BX2383" s="73"/>
      <c r="BY2383" s="73"/>
      <c r="BZ2383" s="73"/>
      <c r="CA2383" s="73"/>
      <c r="CB2383" s="73"/>
      <c r="CC2383" s="73"/>
      <c r="CD2383" s="73"/>
      <c r="CE2383" s="73"/>
      <c r="CF2383" s="73"/>
      <c r="CG2383" s="73"/>
      <c r="CH2383" s="73"/>
    </row>
    <row r="2384">
      <c r="A2384" s="73"/>
      <c r="B2384" s="73"/>
      <c r="C2384" s="73"/>
      <c r="D2384" s="73"/>
      <c r="E2384" s="140"/>
      <c r="F2384" s="80"/>
      <c r="G2384" s="80"/>
      <c r="H2384" s="73"/>
      <c r="I2384" s="73"/>
      <c r="J2384" s="73"/>
      <c r="K2384" s="73"/>
      <c r="L2384" s="73"/>
      <c r="M2384" s="73"/>
      <c r="N2384" s="73"/>
      <c r="O2384" s="73"/>
      <c r="P2384" s="73"/>
      <c r="Q2384" s="73"/>
      <c r="R2384" s="73"/>
      <c r="S2384" s="73"/>
      <c r="T2384" s="73"/>
      <c r="U2384" s="73"/>
      <c r="V2384" s="73"/>
      <c r="W2384" s="73"/>
      <c r="X2384" s="73"/>
      <c r="Y2384" s="73"/>
      <c r="Z2384" s="73"/>
      <c r="AA2384" s="73"/>
      <c r="AB2384" s="73"/>
      <c r="AC2384" s="73"/>
      <c r="AD2384" s="73"/>
      <c r="AE2384" s="73"/>
      <c r="AF2384" s="73"/>
      <c r="AG2384" s="73"/>
      <c r="AH2384" s="73"/>
      <c r="AI2384" s="73"/>
      <c r="AJ2384" s="168"/>
      <c r="AK2384" s="73"/>
      <c r="AL2384" s="73"/>
      <c r="AM2384" s="73"/>
      <c r="AN2384" s="73"/>
      <c r="AO2384" s="73"/>
      <c r="AP2384" s="73"/>
      <c r="AQ2384" s="73"/>
      <c r="AR2384" s="73"/>
      <c r="AS2384" s="73"/>
      <c r="AT2384" s="73"/>
      <c r="AU2384" s="73"/>
      <c r="AV2384" s="73"/>
      <c r="AW2384" s="73"/>
      <c r="AX2384" s="73"/>
      <c r="AY2384" s="73"/>
      <c r="AZ2384" s="73"/>
      <c r="BA2384" s="73"/>
      <c r="BB2384" s="73"/>
      <c r="BC2384" s="73"/>
      <c r="BD2384" s="73"/>
      <c r="BE2384" s="73"/>
      <c r="BF2384" s="75"/>
      <c r="BG2384" s="73"/>
      <c r="BH2384" s="88"/>
      <c r="BI2384" s="73"/>
      <c r="BJ2384" s="73"/>
      <c r="BK2384" s="73"/>
      <c r="BL2384" s="73"/>
      <c r="BM2384" s="73"/>
      <c r="BN2384" s="73"/>
      <c r="BO2384" s="73"/>
      <c r="BP2384" s="73"/>
      <c r="BQ2384" s="73"/>
      <c r="BR2384" s="73"/>
      <c r="BS2384" s="73"/>
      <c r="BT2384" s="73"/>
      <c r="BU2384" s="73"/>
      <c r="BV2384" s="73"/>
      <c r="BW2384" s="73"/>
      <c r="BX2384" s="73"/>
      <c r="BY2384" s="73"/>
      <c r="BZ2384" s="73"/>
      <c r="CA2384" s="73"/>
      <c r="CB2384" s="73"/>
      <c r="CC2384" s="73"/>
      <c r="CD2384" s="73"/>
      <c r="CE2384" s="73"/>
      <c r="CF2384" s="73"/>
      <c r="CG2384" s="73"/>
      <c r="CH2384" s="73"/>
    </row>
    <row r="2385">
      <c r="A2385" s="73"/>
      <c r="B2385" s="73"/>
      <c r="C2385" s="73"/>
      <c r="D2385" s="73"/>
      <c r="E2385" s="140"/>
      <c r="F2385" s="80"/>
      <c r="G2385" s="80"/>
      <c r="H2385" s="73"/>
      <c r="I2385" s="73"/>
      <c r="J2385" s="73"/>
      <c r="K2385" s="73"/>
      <c r="L2385" s="73"/>
      <c r="M2385" s="73"/>
      <c r="N2385" s="73"/>
      <c r="O2385" s="73"/>
      <c r="P2385" s="73"/>
      <c r="Q2385" s="73"/>
      <c r="R2385" s="73"/>
      <c r="S2385" s="73"/>
      <c r="T2385" s="73"/>
      <c r="U2385" s="73"/>
      <c r="V2385" s="73"/>
      <c r="W2385" s="73"/>
      <c r="X2385" s="73"/>
      <c r="Y2385" s="73"/>
      <c r="Z2385" s="73"/>
      <c r="AA2385" s="73"/>
      <c r="AB2385" s="73"/>
      <c r="AC2385" s="73"/>
      <c r="AD2385" s="73"/>
      <c r="AE2385" s="73"/>
      <c r="AF2385" s="73"/>
      <c r="AG2385" s="73"/>
      <c r="AH2385" s="73"/>
      <c r="AI2385" s="73"/>
      <c r="AJ2385" s="168"/>
      <c r="AK2385" s="73"/>
      <c r="AL2385" s="73"/>
      <c r="AM2385" s="73"/>
      <c r="AN2385" s="73"/>
      <c r="AO2385" s="73"/>
      <c r="AP2385" s="73"/>
      <c r="AQ2385" s="73"/>
      <c r="AR2385" s="73"/>
      <c r="AS2385" s="73"/>
      <c r="AT2385" s="73"/>
      <c r="AU2385" s="73"/>
      <c r="AV2385" s="73"/>
      <c r="AW2385" s="73"/>
      <c r="AX2385" s="73"/>
      <c r="AY2385" s="73"/>
      <c r="AZ2385" s="73"/>
      <c r="BA2385" s="73"/>
      <c r="BB2385" s="73"/>
      <c r="BC2385" s="73"/>
      <c r="BD2385" s="73"/>
      <c r="BE2385" s="73"/>
      <c r="BF2385" s="75"/>
      <c r="BG2385" s="73"/>
      <c r="BH2385" s="88"/>
      <c r="BI2385" s="73"/>
      <c r="BJ2385" s="73"/>
      <c r="BK2385" s="73"/>
      <c r="BL2385" s="73"/>
      <c r="BM2385" s="73"/>
      <c r="BN2385" s="73"/>
      <c r="BO2385" s="73"/>
      <c r="BP2385" s="73"/>
      <c r="BQ2385" s="73"/>
      <c r="BR2385" s="73"/>
      <c r="BS2385" s="73"/>
      <c r="BT2385" s="73"/>
      <c r="BU2385" s="73"/>
      <c r="BV2385" s="73"/>
      <c r="BW2385" s="73"/>
      <c r="BX2385" s="73"/>
      <c r="BY2385" s="73"/>
      <c r="BZ2385" s="73"/>
      <c r="CA2385" s="73"/>
      <c r="CB2385" s="73"/>
      <c r="CC2385" s="73"/>
      <c r="CD2385" s="73"/>
      <c r="CE2385" s="73"/>
      <c r="CF2385" s="73"/>
      <c r="CG2385" s="73"/>
      <c r="CH2385" s="73"/>
    </row>
    <row r="2386">
      <c r="A2386" s="73"/>
      <c r="B2386" s="73"/>
      <c r="C2386" s="73"/>
      <c r="D2386" s="73"/>
      <c r="E2386" s="140"/>
      <c r="F2386" s="80"/>
      <c r="G2386" s="80"/>
      <c r="H2386" s="73"/>
      <c r="I2386" s="73"/>
      <c r="J2386" s="73"/>
      <c r="K2386" s="73"/>
      <c r="L2386" s="73"/>
      <c r="M2386" s="73"/>
      <c r="N2386" s="73"/>
      <c r="O2386" s="73"/>
      <c r="P2386" s="73"/>
      <c r="Q2386" s="73"/>
      <c r="R2386" s="73"/>
      <c r="S2386" s="73"/>
      <c r="T2386" s="73"/>
      <c r="U2386" s="73"/>
      <c r="V2386" s="73"/>
      <c r="W2386" s="73"/>
      <c r="X2386" s="73"/>
      <c r="Y2386" s="73"/>
      <c r="Z2386" s="73"/>
      <c r="AA2386" s="73"/>
      <c r="AB2386" s="73"/>
      <c r="AC2386" s="73"/>
      <c r="AD2386" s="73"/>
      <c r="AE2386" s="73"/>
      <c r="AF2386" s="73"/>
      <c r="AG2386" s="73"/>
      <c r="AH2386" s="73"/>
      <c r="AI2386" s="73"/>
      <c r="AJ2386" s="168"/>
      <c r="AK2386" s="73"/>
      <c r="AL2386" s="73"/>
      <c r="AM2386" s="73"/>
      <c r="AN2386" s="73"/>
      <c r="AO2386" s="73"/>
      <c r="AP2386" s="73"/>
      <c r="AQ2386" s="73"/>
      <c r="AR2386" s="73"/>
      <c r="AS2386" s="73"/>
      <c r="AT2386" s="73"/>
      <c r="AU2386" s="73"/>
      <c r="AV2386" s="73"/>
      <c r="AW2386" s="73"/>
      <c r="AX2386" s="73"/>
      <c r="AY2386" s="73"/>
      <c r="AZ2386" s="73"/>
      <c r="BA2386" s="73"/>
      <c r="BB2386" s="73"/>
      <c r="BC2386" s="73"/>
      <c r="BD2386" s="73"/>
      <c r="BE2386" s="73"/>
      <c r="BF2386" s="75"/>
      <c r="BG2386" s="73"/>
      <c r="BH2386" s="88"/>
      <c r="BI2386" s="73"/>
      <c r="BJ2386" s="73"/>
      <c r="BK2386" s="73"/>
      <c r="BL2386" s="73"/>
      <c r="BM2386" s="73"/>
      <c r="BN2386" s="73"/>
      <c r="BO2386" s="73"/>
      <c r="BP2386" s="73"/>
      <c r="BQ2386" s="73"/>
      <c r="BR2386" s="73"/>
      <c r="BS2386" s="73"/>
      <c r="BT2386" s="73"/>
      <c r="BU2386" s="73"/>
      <c r="BV2386" s="73"/>
      <c r="BW2386" s="73"/>
      <c r="BX2386" s="73"/>
      <c r="BY2386" s="73"/>
      <c r="BZ2386" s="73"/>
      <c r="CA2386" s="73"/>
      <c r="CB2386" s="73"/>
      <c r="CC2386" s="73"/>
      <c r="CD2386" s="73"/>
      <c r="CE2386" s="73"/>
      <c r="CF2386" s="73"/>
      <c r="CG2386" s="73"/>
      <c r="CH2386" s="73"/>
    </row>
    <row r="2387">
      <c r="A2387" s="73"/>
      <c r="B2387" s="73"/>
      <c r="C2387" s="73"/>
      <c r="D2387" s="73"/>
      <c r="E2387" s="140"/>
      <c r="F2387" s="80"/>
      <c r="G2387" s="80"/>
      <c r="H2387" s="73"/>
      <c r="I2387" s="73"/>
      <c r="J2387" s="73"/>
      <c r="K2387" s="73"/>
      <c r="L2387" s="73"/>
      <c r="M2387" s="73"/>
      <c r="N2387" s="73"/>
      <c r="O2387" s="73"/>
      <c r="P2387" s="73"/>
      <c r="Q2387" s="73"/>
      <c r="R2387" s="73"/>
      <c r="S2387" s="73"/>
      <c r="T2387" s="73"/>
      <c r="U2387" s="73"/>
      <c r="V2387" s="73"/>
      <c r="W2387" s="73"/>
      <c r="X2387" s="73"/>
      <c r="Y2387" s="73"/>
      <c r="Z2387" s="73"/>
      <c r="AA2387" s="73"/>
      <c r="AB2387" s="73"/>
      <c r="AC2387" s="73"/>
      <c r="AD2387" s="73"/>
      <c r="AE2387" s="73"/>
      <c r="AF2387" s="73"/>
      <c r="AG2387" s="73"/>
      <c r="AH2387" s="73"/>
      <c r="AI2387" s="73"/>
      <c r="AJ2387" s="168"/>
      <c r="AK2387" s="73"/>
      <c r="AL2387" s="73"/>
      <c r="AM2387" s="73"/>
      <c r="AN2387" s="73"/>
      <c r="AO2387" s="73"/>
      <c r="AP2387" s="73"/>
      <c r="AQ2387" s="73"/>
      <c r="AR2387" s="73"/>
      <c r="AS2387" s="73"/>
      <c r="AT2387" s="73"/>
      <c r="AU2387" s="73"/>
      <c r="AV2387" s="73"/>
      <c r="AW2387" s="73"/>
      <c r="AX2387" s="73"/>
      <c r="AY2387" s="73"/>
      <c r="AZ2387" s="73"/>
      <c r="BA2387" s="73"/>
      <c r="BB2387" s="73"/>
      <c r="BC2387" s="73"/>
      <c r="BD2387" s="73"/>
      <c r="BE2387" s="73"/>
      <c r="BF2387" s="75"/>
      <c r="BG2387" s="73"/>
      <c r="BH2387" s="88"/>
      <c r="BI2387" s="73"/>
      <c r="BJ2387" s="73"/>
      <c r="BK2387" s="73"/>
      <c r="BL2387" s="73"/>
      <c r="BM2387" s="73"/>
      <c r="BN2387" s="73"/>
      <c r="BO2387" s="73"/>
      <c r="BP2387" s="73"/>
      <c r="BQ2387" s="73"/>
      <c r="BR2387" s="73"/>
      <c r="BS2387" s="73"/>
      <c r="BT2387" s="73"/>
      <c r="BU2387" s="73"/>
      <c r="BV2387" s="73"/>
      <c r="BW2387" s="73"/>
      <c r="BX2387" s="73"/>
      <c r="BY2387" s="73"/>
      <c r="BZ2387" s="73"/>
      <c r="CA2387" s="73"/>
      <c r="CB2387" s="73"/>
      <c r="CC2387" s="73"/>
      <c r="CD2387" s="73"/>
      <c r="CE2387" s="73"/>
      <c r="CF2387" s="73"/>
      <c r="CG2387" s="73"/>
      <c r="CH2387" s="73"/>
    </row>
    <row r="2388">
      <c r="A2388" s="73"/>
      <c r="B2388" s="73"/>
      <c r="C2388" s="73"/>
      <c r="D2388" s="73"/>
      <c r="E2388" s="140"/>
      <c r="F2388" s="80"/>
      <c r="G2388" s="80"/>
      <c r="H2388" s="73"/>
      <c r="I2388" s="73"/>
      <c r="J2388" s="73"/>
      <c r="K2388" s="73"/>
      <c r="L2388" s="73"/>
      <c r="M2388" s="73"/>
      <c r="N2388" s="73"/>
      <c r="O2388" s="73"/>
      <c r="P2388" s="73"/>
      <c r="Q2388" s="73"/>
      <c r="R2388" s="73"/>
      <c r="S2388" s="73"/>
      <c r="T2388" s="73"/>
      <c r="U2388" s="73"/>
      <c r="V2388" s="73"/>
      <c r="W2388" s="73"/>
      <c r="X2388" s="73"/>
      <c r="Y2388" s="73"/>
      <c r="Z2388" s="73"/>
      <c r="AA2388" s="73"/>
      <c r="AB2388" s="73"/>
      <c r="AC2388" s="73"/>
      <c r="AD2388" s="73"/>
      <c r="AE2388" s="73"/>
      <c r="AF2388" s="73"/>
      <c r="AG2388" s="73"/>
      <c r="AH2388" s="73"/>
      <c r="AI2388" s="73"/>
      <c r="AJ2388" s="168"/>
      <c r="AK2388" s="73"/>
      <c r="AL2388" s="73"/>
      <c r="AM2388" s="73"/>
      <c r="AN2388" s="73"/>
      <c r="AO2388" s="73"/>
      <c r="AP2388" s="73"/>
      <c r="AQ2388" s="73"/>
      <c r="AR2388" s="73"/>
      <c r="AS2388" s="73"/>
      <c r="AT2388" s="73"/>
      <c r="AU2388" s="73"/>
      <c r="AV2388" s="73"/>
      <c r="AW2388" s="73"/>
      <c r="AX2388" s="73"/>
      <c r="AY2388" s="73"/>
      <c r="AZ2388" s="73"/>
      <c r="BA2388" s="73"/>
      <c r="BB2388" s="73"/>
      <c r="BC2388" s="73"/>
      <c r="BD2388" s="73"/>
      <c r="BE2388" s="73"/>
      <c r="BF2388" s="75"/>
      <c r="BG2388" s="73"/>
      <c r="BH2388" s="88"/>
      <c r="BI2388" s="73"/>
      <c r="BJ2388" s="73"/>
      <c r="BK2388" s="73"/>
      <c r="BL2388" s="73"/>
      <c r="BM2388" s="73"/>
      <c r="BN2388" s="73"/>
      <c r="BO2388" s="73"/>
      <c r="BP2388" s="73"/>
      <c r="BQ2388" s="73"/>
      <c r="BR2388" s="73"/>
      <c r="BS2388" s="73"/>
      <c r="BT2388" s="73"/>
      <c r="BU2388" s="73"/>
      <c r="BV2388" s="73"/>
      <c r="BW2388" s="73"/>
      <c r="BX2388" s="73"/>
      <c r="BY2388" s="73"/>
      <c r="BZ2388" s="73"/>
      <c r="CA2388" s="73"/>
      <c r="CB2388" s="73"/>
      <c r="CC2388" s="73"/>
      <c r="CD2388" s="73"/>
      <c r="CE2388" s="73"/>
      <c r="CF2388" s="73"/>
      <c r="CG2388" s="73"/>
      <c r="CH2388" s="73"/>
    </row>
    <row r="2389">
      <c r="A2389" s="73"/>
      <c r="B2389" s="73"/>
      <c r="C2389" s="73"/>
      <c r="D2389" s="73"/>
      <c r="E2389" s="140"/>
      <c r="F2389" s="80"/>
      <c r="G2389" s="80"/>
      <c r="H2389" s="73"/>
      <c r="I2389" s="73"/>
      <c r="J2389" s="73"/>
      <c r="K2389" s="73"/>
      <c r="L2389" s="73"/>
      <c r="M2389" s="73"/>
      <c r="N2389" s="73"/>
      <c r="O2389" s="73"/>
      <c r="P2389" s="73"/>
      <c r="Q2389" s="73"/>
      <c r="R2389" s="73"/>
      <c r="S2389" s="73"/>
      <c r="T2389" s="73"/>
      <c r="U2389" s="73"/>
      <c r="V2389" s="73"/>
      <c r="W2389" s="73"/>
      <c r="X2389" s="73"/>
      <c r="Y2389" s="73"/>
      <c r="Z2389" s="73"/>
      <c r="AA2389" s="73"/>
      <c r="AB2389" s="73"/>
      <c r="AC2389" s="73"/>
      <c r="AD2389" s="73"/>
      <c r="AE2389" s="73"/>
      <c r="AF2389" s="73"/>
      <c r="AG2389" s="73"/>
      <c r="AH2389" s="73"/>
      <c r="AI2389" s="73"/>
      <c r="AJ2389" s="168"/>
      <c r="AK2389" s="73"/>
      <c r="AL2389" s="73"/>
      <c r="AM2389" s="73"/>
      <c r="AN2389" s="73"/>
      <c r="AO2389" s="73"/>
      <c r="AP2389" s="73"/>
      <c r="AQ2389" s="73"/>
      <c r="AR2389" s="73"/>
      <c r="AS2389" s="73"/>
      <c r="AT2389" s="73"/>
      <c r="AU2389" s="73"/>
      <c r="AV2389" s="73"/>
      <c r="AW2389" s="73"/>
      <c r="AX2389" s="73"/>
      <c r="AY2389" s="73"/>
      <c r="AZ2389" s="73"/>
      <c r="BA2389" s="73"/>
      <c r="BB2389" s="73"/>
      <c r="BC2389" s="73"/>
      <c r="BD2389" s="73"/>
      <c r="BE2389" s="73"/>
      <c r="BF2389" s="75"/>
      <c r="BG2389" s="73"/>
      <c r="BH2389" s="88"/>
      <c r="BI2389" s="73"/>
      <c r="BJ2389" s="73"/>
      <c r="BK2389" s="73"/>
      <c r="BL2389" s="73"/>
      <c r="BM2389" s="73"/>
      <c r="BN2389" s="73"/>
      <c r="BO2389" s="73"/>
      <c r="BP2389" s="73"/>
      <c r="BQ2389" s="73"/>
      <c r="BR2389" s="73"/>
      <c r="BS2389" s="73"/>
      <c r="BT2389" s="73"/>
      <c r="BU2389" s="73"/>
      <c r="BV2389" s="73"/>
      <c r="BW2389" s="73"/>
      <c r="BX2389" s="73"/>
      <c r="BY2389" s="73"/>
      <c r="BZ2389" s="73"/>
      <c r="CA2389" s="73"/>
      <c r="CB2389" s="73"/>
      <c r="CC2389" s="73"/>
      <c r="CD2389" s="73"/>
      <c r="CE2389" s="73"/>
      <c r="CF2389" s="73"/>
      <c r="CG2389" s="73"/>
      <c r="CH2389" s="73"/>
    </row>
    <row r="2390">
      <c r="A2390" s="73"/>
      <c r="B2390" s="73"/>
      <c r="C2390" s="73"/>
      <c r="D2390" s="73"/>
      <c r="E2390" s="140"/>
      <c r="F2390" s="80"/>
      <c r="G2390" s="80"/>
      <c r="H2390" s="73"/>
      <c r="I2390" s="73"/>
      <c r="J2390" s="73"/>
      <c r="K2390" s="73"/>
      <c r="L2390" s="73"/>
      <c r="M2390" s="73"/>
      <c r="N2390" s="73"/>
      <c r="O2390" s="73"/>
      <c r="P2390" s="73"/>
      <c r="Q2390" s="73"/>
      <c r="R2390" s="73"/>
      <c r="S2390" s="73"/>
      <c r="T2390" s="73"/>
      <c r="U2390" s="73"/>
      <c r="V2390" s="73"/>
      <c r="W2390" s="73"/>
      <c r="X2390" s="73"/>
      <c r="Y2390" s="73"/>
      <c r="Z2390" s="73"/>
      <c r="AA2390" s="73"/>
      <c r="AB2390" s="73"/>
      <c r="AC2390" s="73"/>
      <c r="AD2390" s="73"/>
      <c r="AE2390" s="73"/>
      <c r="AF2390" s="73"/>
      <c r="AG2390" s="73"/>
      <c r="AH2390" s="73"/>
      <c r="AI2390" s="73"/>
      <c r="AJ2390" s="168"/>
      <c r="AK2390" s="73"/>
      <c r="AL2390" s="73"/>
      <c r="AM2390" s="73"/>
      <c r="AN2390" s="73"/>
      <c r="AO2390" s="73"/>
      <c r="AP2390" s="73"/>
      <c r="AQ2390" s="73"/>
      <c r="AR2390" s="73"/>
      <c r="AS2390" s="73"/>
      <c r="AT2390" s="73"/>
      <c r="AU2390" s="73"/>
      <c r="AV2390" s="73"/>
      <c r="AW2390" s="73"/>
      <c r="AX2390" s="73"/>
      <c r="AY2390" s="73"/>
      <c r="AZ2390" s="73"/>
      <c r="BA2390" s="73"/>
      <c r="BB2390" s="73"/>
      <c r="BC2390" s="73"/>
      <c r="BD2390" s="73"/>
      <c r="BE2390" s="73"/>
      <c r="BF2390" s="75"/>
      <c r="BG2390" s="73"/>
      <c r="BH2390" s="88"/>
      <c r="BI2390" s="73"/>
      <c r="BJ2390" s="73"/>
      <c r="BK2390" s="73"/>
      <c r="BL2390" s="73"/>
      <c r="BM2390" s="73"/>
      <c r="BN2390" s="73"/>
      <c r="BO2390" s="73"/>
      <c r="BP2390" s="73"/>
      <c r="BQ2390" s="73"/>
      <c r="BR2390" s="73"/>
      <c r="BS2390" s="73"/>
      <c r="BT2390" s="73"/>
      <c r="BU2390" s="73"/>
      <c r="BV2390" s="73"/>
      <c r="BW2390" s="73"/>
      <c r="BX2390" s="73"/>
      <c r="BY2390" s="73"/>
      <c r="BZ2390" s="73"/>
      <c r="CA2390" s="73"/>
      <c r="CB2390" s="73"/>
      <c r="CC2390" s="73"/>
      <c r="CD2390" s="73"/>
      <c r="CE2390" s="73"/>
      <c r="CF2390" s="73"/>
      <c r="CG2390" s="73"/>
      <c r="CH2390" s="73"/>
    </row>
    <row r="2391">
      <c r="A2391" s="73"/>
      <c r="B2391" s="73"/>
      <c r="C2391" s="73"/>
      <c r="D2391" s="73"/>
      <c r="E2391" s="140"/>
      <c r="F2391" s="80"/>
      <c r="G2391" s="80"/>
      <c r="H2391" s="73"/>
      <c r="I2391" s="73"/>
      <c r="J2391" s="73"/>
      <c r="K2391" s="73"/>
      <c r="L2391" s="73"/>
      <c r="M2391" s="73"/>
      <c r="N2391" s="73"/>
      <c r="O2391" s="73"/>
      <c r="P2391" s="73"/>
      <c r="Q2391" s="73"/>
      <c r="R2391" s="73"/>
      <c r="S2391" s="73"/>
      <c r="T2391" s="73"/>
      <c r="U2391" s="73"/>
      <c r="V2391" s="73"/>
      <c r="W2391" s="73"/>
      <c r="X2391" s="73"/>
      <c r="Y2391" s="73"/>
      <c r="Z2391" s="73"/>
      <c r="AA2391" s="73"/>
      <c r="AB2391" s="73"/>
      <c r="AC2391" s="73"/>
      <c r="AD2391" s="73"/>
      <c r="AE2391" s="73"/>
      <c r="AF2391" s="73"/>
      <c r="AG2391" s="73"/>
      <c r="AH2391" s="73"/>
      <c r="AI2391" s="73"/>
      <c r="AJ2391" s="168"/>
      <c r="AK2391" s="73"/>
      <c r="AL2391" s="73"/>
      <c r="AM2391" s="73"/>
      <c r="AN2391" s="73"/>
      <c r="AO2391" s="73"/>
      <c r="AP2391" s="73"/>
      <c r="AQ2391" s="73"/>
      <c r="AR2391" s="73"/>
      <c r="AS2391" s="73"/>
      <c r="AT2391" s="73"/>
      <c r="AU2391" s="73"/>
      <c r="AV2391" s="73"/>
      <c r="AW2391" s="73"/>
      <c r="AX2391" s="73"/>
      <c r="AY2391" s="73"/>
      <c r="AZ2391" s="73"/>
      <c r="BA2391" s="73"/>
      <c r="BB2391" s="73"/>
      <c r="BC2391" s="73"/>
      <c r="BD2391" s="73"/>
      <c r="BE2391" s="73"/>
      <c r="BF2391" s="75"/>
      <c r="BG2391" s="73"/>
      <c r="BH2391" s="88"/>
      <c r="BI2391" s="73"/>
      <c r="BJ2391" s="73"/>
      <c r="BK2391" s="73"/>
      <c r="BL2391" s="73"/>
      <c r="BM2391" s="73"/>
      <c r="BN2391" s="73"/>
      <c r="BO2391" s="73"/>
      <c r="BP2391" s="73"/>
      <c r="BQ2391" s="73"/>
      <c r="BR2391" s="73"/>
      <c r="BS2391" s="73"/>
      <c r="BT2391" s="73"/>
      <c r="BU2391" s="73"/>
      <c r="BV2391" s="73"/>
      <c r="BW2391" s="73"/>
      <c r="BX2391" s="73"/>
      <c r="BY2391" s="73"/>
      <c r="BZ2391" s="73"/>
      <c r="CA2391" s="73"/>
      <c r="CB2391" s="73"/>
      <c r="CC2391" s="73"/>
      <c r="CD2391" s="73"/>
      <c r="CE2391" s="73"/>
      <c r="CF2391" s="73"/>
      <c r="CG2391" s="73"/>
      <c r="CH2391" s="73"/>
    </row>
    <row r="2392">
      <c r="A2392" s="73"/>
      <c r="B2392" s="73"/>
      <c r="C2392" s="73"/>
      <c r="D2392" s="73"/>
      <c r="E2392" s="140"/>
      <c r="F2392" s="80"/>
      <c r="G2392" s="80"/>
      <c r="H2392" s="73"/>
      <c r="I2392" s="73"/>
      <c r="J2392" s="73"/>
      <c r="K2392" s="73"/>
      <c r="L2392" s="73"/>
      <c r="M2392" s="73"/>
      <c r="N2392" s="73"/>
      <c r="O2392" s="73"/>
      <c r="P2392" s="73"/>
      <c r="Q2392" s="73"/>
      <c r="R2392" s="73"/>
      <c r="S2392" s="73"/>
      <c r="T2392" s="73"/>
      <c r="U2392" s="73"/>
      <c r="V2392" s="73"/>
      <c r="W2392" s="73"/>
      <c r="X2392" s="73"/>
      <c r="Y2392" s="73"/>
      <c r="Z2392" s="73"/>
      <c r="AA2392" s="73"/>
      <c r="AB2392" s="73"/>
      <c r="AC2392" s="73"/>
      <c r="AD2392" s="73"/>
      <c r="AE2392" s="73"/>
      <c r="AF2392" s="73"/>
      <c r="AG2392" s="73"/>
      <c r="AH2392" s="73"/>
      <c r="AI2392" s="73"/>
      <c r="AJ2392" s="168"/>
      <c r="AK2392" s="73"/>
      <c r="AL2392" s="73"/>
      <c r="AM2392" s="73"/>
      <c r="AN2392" s="73"/>
      <c r="AO2392" s="73"/>
      <c r="AP2392" s="73"/>
      <c r="AQ2392" s="73"/>
      <c r="AR2392" s="73"/>
      <c r="AS2392" s="73"/>
      <c r="AT2392" s="73"/>
      <c r="AU2392" s="73"/>
      <c r="AV2392" s="73"/>
      <c r="AW2392" s="73"/>
      <c r="AX2392" s="73"/>
      <c r="AY2392" s="73"/>
      <c r="AZ2392" s="73"/>
      <c r="BA2392" s="73"/>
      <c r="BB2392" s="73"/>
      <c r="BC2392" s="73"/>
      <c r="BD2392" s="73"/>
      <c r="BE2392" s="73"/>
      <c r="BF2392" s="75"/>
      <c r="BG2392" s="73"/>
      <c r="BH2392" s="88"/>
      <c r="BI2392" s="73"/>
      <c r="BJ2392" s="73"/>
      <c r="BK2392" s="73"/>
      <c r="BL2392" s="73"/>
      <c r="BM2392" s="73"/>
      <c r="BN2392" s="73"/>
      <c r="BO2392" s="73"/>
      <c r="BP2392" s="73"/>
      <c r="BQ2392" s="73"/>
      <c r="BR2392" s="73"/>
      <c r="BS2392" s="73"/>
      <c r="BT2392" s="73"/>
      <c r="BU2392" s="73"/>
      <c r="BV2392" s="73"/>
      <c r="BW2392" s="73"/>
      <c r="BX2392" s="73"/>
      <c r="BY2392" s="73"/>
      <c r="BZ2392" s="73"/>
      <c r="CA2392" s="73"/>
      <c r="CB2392" s="73"/>
      <c r="CC2392" s="73"/>
      <c r="CD2392" s="73"/>
      <c r="CE2392" s="73"/>
      <c r="CF2392" s="73"/>
      <c r="CG2392" s="73"/>
      <c r="CH2392" s="73"/>
    </row>
    <row r="2393">
      <c r="A2393" s="73"/>
      <c r="B2393" s="73"/>
      <c r="C2393" s="73"/>
      <c r="D2393" s="73"/>
      <c r="E2393" s="140"/>
      <c r="F2393" s="80"/>
      <c r="G2393" s="80"/>
      <c r="H2393" s="73"/>
      <c r="I2393" s="73"/>
      <c r="J2393" s="73"/>
      <c r="K2393" s="73"/>
      <c r="L2393" s="73"/>
      <c r="M2393" s="73"/>
      <c r="N2393" s="73"/>
      <c r="O2393" s="73"/>
      <c r="P2393" s="73"/>
      <c r="Q2393" s="73"/>
      <c r="R2393" s="73"/>
      <c r="S2393" s="73"/>
      <c r="T2393" s="73"/>
      <c r="U2393" s="73"/>
      <c r="V2393" s="73"/>
      <c r="W2393" s="73"/>
      <c r="X2393" s="73"/>
      <c r="Y2393" s="73"/>
      <c r="Z2393" s="73"/>
      <c r="AA2393" s="73"/>
      <c r="AB2393" s="73"/>
      <c r="AC2393" s="73"/>
      <c r="AD2393" s="73"/>
      <c r="AE2393" s="73"/>
      <c r="AF2393" s="73"/>
      <c r="AG2393" s="73"/>
      <c r="AH2393" s="73"/>
      <c r="AI2393" s="73"/>
      <c r="AJ2393" s="168"/>
      <c r="AK2393" s="73"/>
      <c r="AL2393" s="73"/>
      <c r="AM2393" s="73"/>
      <c r="AN2393" s="73"/>
      <c r="AO2393" s="73"/>
      <c r="AP2393" s="73"/>
      <c r="AQ2393" s="73"/>
      <c r="AR2393" s="73"/>
      <c r="AS2393" s="73"/>
      <c r="AT2393" s="73"/>
      <c r="AU2393" s="73"/>
      <c r="AV2393" s="73"/>
      <c r="AW2393" s="73"/>
      <c r="AX2393" s="73"/>
      <c r="AY2393" s="73"/>
      <c r="AZ2393" s="73"/>
      <c r="BA2393" s="73"/>
      <c r="BB2393" s="73"/>
      <c r="BC2393" s="73"/>
      <c r="BD2393" s="73"/>
      <c r="BE2393" s="73"/>
      <c r="BF2393" s="75"/>
      <c r="BG2393" s="73"/>
      <c r="BH2393" s="88"/>
      <c r="BI2393" s="73"/>
      <c r="BJ2393" s="73"/>
      <c r="BK2393" s="73"/>
      <c r="BL2393" s="73"/>
      <c r="BM2393" s="73"/>
      <c r="BN2393" s="73"/>
      <c r="BO2393" s="73"/>
      <c r="BP2393" s="73"/>
      <c r="BQ2393" s="73"/>
      <c r="BR2393" s="73"/>
      <c r="BS2393" s="73"/>
      <c r="BT2393" s="73"/>
      <c r="BU2393" s="73"/>
      <c r="BV2393" s="73"/>
      <c r="BW2393" s="73"/>
      <c r="BX2393" s="73"/>
      <c r="BY2393" s="73"/>
      <c r="BZ2393" s="73"/>
      <c r="CA2393" s="73"/>
      <c r="CB2393" s="73"/>
      <c r="CC2393" s="73"/>
      <c r="CD2393" s="73"/>
      <c r="CE2393" s="73"/>
      <c r="CF2393" s="73"/>
      <c r="CG2393" s="73"/>
      <c r="CH2393" s="73"/>
    </row>
    <row r="2394">
      <c r="A2394" s="73"/>
      <c r="B2394" s="73"/>
      <c r="C2394" s="73"/>
      <c r="D2394" s="73"/>
      <c r="E2394" s="140"/>
      <c r="F2394" s="80"/>
      <c r="G2394" s="80"/>
      <c r="H2394" s="73"/>
      <c r="I2394" s="73"/>
      <c r="J2394" s="73"/>
      <c r="K2394" s="73"/>
      <c r="L2394" s="73"/>
      <c r="M2394" s="73"/>
      <c r="N2394" s="73"/>
      <c r="O2394" s="73"/>
      <c r="P2394" s="73"/>
      <c r="Q2394" s="73"/>
      <c r="R2394" s="73"/>
      <c r="S2394" s="73"/>
      <c r="T2394" s="73"/>
      <c r="U2394" s="73"/>
      <c r="V2394" s="73"/>
      <c r="W2394" s="73"/>
      <c r="X2394" s="73"/>
      <c r="Y2394" s="73"/>
      <c r="Z2394" s="73"/>
      <c r="AA2394" s="73"/>
      <c r="AB2394" s="73"/>
      <c r="AC2394" s="73"/>
      <c r="AD2394" s="73"/>
      <c r="AE2394" s="73"/>
      <c r="AF2394" s="73"/>
      <c r="AG2394" s="73"/>
      <c r="AH2394" s="73"/>
      <c r="AI2394" s="73"/>
      <c r="AJ2394" s="168"/>
      <c r="AK2394" s="73"/>
      <c r="AL2394" s="73"/>
      <c r="AM2394" s="73"/>
      <c r="AN2394" s="73"/>
      <c r="AO2394" s="73"/>
      <c r="AP2394" s="73"/>
      <c r="AQ2394" s="73"/>
      <c r="AR2394" s="73"/>
      <c r="AS2394" s="73"/>
      <c r="AT2394" s="73"/>
      <c r="AU2394" s="73"/>
      <c r="AV2394" s="73"/>
      <c r="AW2394" s="73"/>
      <c r="AX2394" s="73"/>
      <c r="AY2394" s="73"/>
      <c r="AZ2394" s="73"/>
      <c r="BA2394" s="73"/>
      <c r="BB2394" s="73"/>
      <c r="BC2394" s="73"/>
      <c r="BD2394" s="73"/>
      <c r="BE2394" s="73"/>
      <c r="BF2394" s="75"/>
      <c r="BG2394" s="73"/>
      <c r="BH2394" s="88"/>
      <c r="BI2394" s="73"/>
      <c r="BJ2394" s="73"/>
      <c r="BK2394" s="73"/>
      <c r="BL2394" s="73"/>
      <c r="BM2394" s="73"/>
      <c r="BN2394" s="73"/>
      <c r="BO2394" s="73"/>
      <c r="BP2394" s="73"/>
      <c r="BQ2394" s="73"/>
      <c r="BR2394" s="73"/>
      <c r="BS2394" s="73"/>
      <c r="BT2394" s="73"/>
      <c r="BU2394" s="73"/>
      <c r="BV2394" s="73"/>
      <c r="BW2394" s="73"/>
      <c r="BX2394" s="73"/>
      <c r="BY2394" s="73"/>
      <c r="BZ2394" s="73"/>
      <c r="CA2394" s="73"/>
      <c r="CB2394" s="73"/>
      <c r="CC2394" s="73"/>
      <c r="CD2394" s="73"/>
      <c r="CE2394" s="73"/>
      <c r="CF2394" s="73"/>
      <c r="CG2394" s="73"/>
      <c r="CH2394" s="73"/>
    </row>
    <row r="2395">
      <c r="A2395" s="73"/>
      <c r="B2395" s="73"/>
      <c r="C2395" s="73"/>
      <c r="D2395" s="73"/>
      <c r="E2395" s="140"/>
      <c r="F2395" s="80"/>
      <c r="G2395" s="80"/>
      <c r="H2395" s="73"/>
      <c r="I2395" s="73"/>
      <c r="J2395" s="73"/>
      <c r="K2395" s="73"/>
      <c r="L2395" s="73"/>
      <c r="M2395" s="73"/>
      <c r="N2395" s="73"/>
      <c r="O2395" s="73"/>
      <c r="P2395" s="73"/>
      <c r="Q2395" s="73"/>
      <c r="R2395" s="73"/>
      <c r="S2395" s="73"/>
      <c r="T2395" s="73"/>
      <c r="U2395" s="73"/>
      <c r="V2395" s="73"/>
      <c r="W2395" s="73"/>
      <c r="X2395" s="73"/>
      <c r="Y2395" s="73"/>
      <c r="Z2395" s="73"/>
      <c r="AA2395" s="73"/>
      <c r="AB2395" s="73"/>
      <c r="AC2395" s="73"/>
      <c r="AD2395" s="73"/>
      <c r="AE2395" s="73"/>
      <c r="AF2395" s="73"/>
      <c r="AG2395" s="73"/>
      <c r="AH2395" s="73"/>
      <c r="AI2395" s="73"/>
      <c r="AJ2395" s="168"/>
      <c r="AK2395" s="73"/>
      <c r="AL2395" s="73"/>
      <c r="AM2395" s="73"/>
      <c r="AN2395" s="73"/>
      <c r="AO2395" s="73"/>
      <c r="AP2395" s="73"/>
      <c r="AQ2395" s="73"/>
      <c r="AR2395" s="73"/>
      <c r="AS2395" s="73"/>
      <c r="AT2395" s="73"/>
      <c r="AU2395" s="73"/>
      <c r="AV2395" s="73"/>
      <c r="AW2395" s="73"/>
      <c r="AX2395" s="73"/>
      <c r="AY2395" s="73"/>
      <c r="AZ2395" s="73"/>
      <c r="BA2395" s="73"/>
      <c r="BB2395" s="73"/>
      <c r="BC2395" s="73"/>
      <c r="BD2395" s="73"/>
      <c r="BE2395" s="73"/>
      <c r="BF2395" s="75"/>
      <c r="BG2395" s="73"/>
      <c r="BH2395" s="88"/>
      <c r="BI2395" s="73"/>
      <c r="BJ2395" s="73"/>
      <c r="BK2395" s="73"/>
      <c r="BL2395" s="73"/>
      <c r="BM2395" s="73"/>
      <c r="BN2395" s="73"/>
      <c r="BO2395" s="73"/>
      <c r="BP2395" s="73"/>
      <c r="BQ2395" s="73"/>
      <c r="BR2395" s="73"/>
      <c r="BS2395" s="73"/>
      <c r="BT2395" s="73"/>
      <c r="BU2395" s="73"/>
      <c r="BV2395" s="73"/>
      <c r="BW2395" s="73"/>
      <c r="BX2395" s="73"/>
      <c r="BY2395" s="73"/>
      <c r="BZ2395" s="73"/>
      <c r="CA2395" s="73"/>
      <c r="CB2395" s="73"/>
      <c r="CC2395" s="73"/>
      <c r="CD2395" s="73"/>
      <c r="CE2395" s="73"/>
      <c r="CF2395" s="73"/>
      <c r="CG2395" s="73"/>
      <c r="CH2395" s="73"/>
    </row>
    <row r="2396">
      <c r="A2396" s="73"/>
      <c r="B2396" s="73"/>
      <c r="C2396" s="73"/>
      <c r="D2396" s="73"/>
      <c r="E2396" s="140"/>
      <c r="F2396" s="80"/>
      <c r="G2396" s="80"/>
      <c r="H2396" s="73"/>
      <c r="I2396" s="73"/>
      <c r="J2396" s="73"/>
      <c r="K2396" s="73"/>
      <c r="L2396" s="73"/>
      <c r="M2396" s="73"/>
      <c r="N2396" s="73"/>
      <c r="O2396" s="73"/>
      <c r="P2396" s="73"/>
      <c r="Q2396" s="73"/>
      <c r="R2396" s="73"/>
      <c r="S2396" s="73"/>
      <c r="T2396" s="73"/>
      <c r="U2396" s="73"/>
      <c r="V2396" s="73"/>
      <c r="W2396" s="73"/>
      <c r="X2396" s="73"/>
      <c r="Y2396" s="73"/>
      <c r="Z2396" s="73"/>
      <c r="AA2396" s="73"/>
      <c r="AB2396" s="73"/>
      <c r="AC2396" s="73"/>
      <c r="AD2396" s="73"/>
      <c r="AE2396" s="73"/>
      <c r="AF2396" s="73"/>
      <c r="AG2396" s="73"/>
      <c r="AH2396" s="73"/>
      <c r="AI2396" s="73"/>
      <c r="AJ2396" s="168"/>
      <c r="AK2396" s="73"/>
      <c r="AL2396" s="73"/>
      <c r="AM2396" s="73"/>
      <c r="AN2396" s="73"/>
      <c r="AO2396" s="73"/>
      <c r="AP2396" s="73"/>
      <c r="AQ2396" s="73"/>
      <c r="AR2396" s="73"/>
      <c r="AS2396" s="73"/>
      <c r="AT2396" s="73"/>
      <c r="AU2396" s="73"/>
      <c r="AV2396" s="73"/>
      <c r="AW2396" s="73"/>
      <c r="AX2396" s="73"/>
      <c r="AY2396" s="73"/>
      <c r="AZ2396" s="73"/>
      <c r="BA2396" s="73"/>
      <c r="BB2396" s="73"/>
      <c r="BC2396" s="73"/>
      <c r="BD2396" s="73"/>
      <c r="BE2396" s="73"/>
      <c r="BF2396" s="75"/>
      <c r="BG2396" s="73"/>
      <c r="BH2396" s="88"/>
      <c r="BI2396" s="73"/>
      <c r="BJ2396" s="73"/>
      <c r="BK2396" s="73"/>
      <c r="BL2396" s="73"/>
      <c r="BM2396" s="73"/>
      <c r="BN2396" s="73"/>
      <c r="BO2396" s="73"/>
      <c r="BP2396" s="73"/>
      <c r="BQ2396" s="73"/>
      <c r="BR2396" s="73"/>
      <c r="BS2396" s="73"/>
      <c r="BT2396" s="73"/>
      <c r="BU2396" s="73"/>
      <c r="BV2396" s="73"/>
      <c r="BW2396" s="73"/>
      <c r="BX2396" s="73"/>
      <c r="BY2396" s="73"/>
      <c r="BZ2396" s="73"/>
      <c r="CA2396" s="73"/>
      <c r="CB2396" s="73"/>
      <c r="CC2396" s="73"/>
      <c r="CD2396" s="73"/>
      <c r="CE2396" s="73"/>
      <c r="CF2396" s="73"/>
      <c r="CG2396" s="73"/>
      <c r="CH2396" s="73"/>
    </row>
    <row r="2397">
      <c r="A2397" s="73"/>
      <c r="B2397" s="73"/>
      <c r="C2397" s="73"/>
      <c r="D2397" s="73"/>
      <c r="E2397" s="140"/>
      <c r="F2397" s="80"/>
      <c r="G2397" s="80"/>
      <c r="H2397" s="73"/>
      <c r="I2397" s="73"/>
      <c r="J2397" s="73"/>
      <c r="K2397" s="73"/>
      <c r="L2397" s="73"/>
      <c r="M2397" s="73"/>
      <c r="N2397" s="73"/>
      <c r="O2397" s="73"/>
      <c r="P2397" s="73"/>
      <c r="Q2397" s="73"/>
      <c r="R2397" s="73"/>
      <c r="S2397" s="73"/>
      <c r="T2397" s="73"/>
      <c r="U2397" s="73"/>
      <c r="V2397" s="73"/>
      <c r="W2397" s="73"/>
      <c r="X2397" s="73"/>
      <c r="Y2397" s="73"/>
      <c r="Z2397" s="73"/>
      <c r="AA2397" s="73"/>
      <c r="AB2397" s="73"/>
      <c r="AC2397" s="73"/>
      <c r="AD2397" s="73"/>
      <c r="AE2397" s="73"/>
      <c r="AF2397" s="73"/>
      <c r="AG2397" s="73"/>
      <c r="AH2397" s="73"/>
      <c r="AI2397" s="73"/>
      <c r="AJ2397" s="168"/>
      <c r="AK2397" s="73"/>
      <c r="AL2397" s="73"/>
      <c r="AM2397" s="73"/>
      <c r="AN2397" s="73"/>
      <c r="AO2397" s="73"/>
      <c r="AP2397" s="73"/>
      <c r="AQ2397" s="73"/>
      <c r="AR2397" s="73"/>
      <c r="AS2397" s="73"/>
      <c r="AT2397" s="73"/>
      <c r="AU2397" s="73"/>
      <c r="AV2397" s="73"/>
      <c r="AW2397" s="73"/>
      <c r="AX2397" s="73"/>
      <c r="AY2397" s="73"/>
      <c r="AZ2397" s="73"/>
      <c r="BA2397" s="73"/>
      <c r="BB2397" s="73"/>
      <c r="BC2397" s="73"/>
      <c r="BD2397" s="73"/>
      <c r="BE2397" s="73"/>
      <c r="BF2397" s="75"/>
      <c r="BG2397" s="73"/>
      <c r="BH2397" s="88"/>
      <c r="BI2397" s="73"/>
      <c r="BJ2397" s="73"/>
      <c r="BK2397" s="73"/>
      <c r="BL2397" s="73"/>
      <c r="BM2397" s="73"/>
      <c r="BN2397" s="73"/>
      <c r="BO2397" s="73"/>
      <c r="BP2397" s="73"/>
      <c r="BQ2397" s="73"/>
      <c r="BR2397" s="73"/>
      <c r="BS2397" s="73"/>
      <c r="BT2397" s="73"/>
      <c r="BU2397" s="73"/>
      <c r="BV2397" s="73"/>
      <c r="BW2397" s="73"/>
      <c r="BX2397" s="73"/>
      <c r="BY2397" s="73"/>
      <c r="BZ2397" s="73"/>
      <c r="CA2397" s="73"/>
      <c r="CB2397" s="73"/>
      <c r="CC2397" s="73"/>
      <c r="CD2397" s="73"/>
      <c r="CE2397" s="73"/>
      <c r="CF2397" s="73"/>
      <c r="CG2397" s="73"/>
      <c r="CH2397" s="73"/>
    </row>
    <row r="2398">
      <c r="A2398" s="73"/>
      <c r="B2398" s="73"/>
      <c r="C2398" s="73"/>
      <c r="D2398" s="73"/>
      <c r="E2398" s="140"/>
      <c r="F2398" s="80"/>
      <c r="G2398" s="80"/>
      <c r="H2398" s="73"/>
      <c r="I2398" s="73"/>
      <c r="J2398" s="73"/>
      <c r="K2398" s="73"/>
      <c r="L2398" s="73"/>
      <c r="M2398" s="73"/>
      <c r="N2398" s="73"/>
      <c r="O2398" s="73"/>
      <c r="P2398" s="73"/>
      <c r="Q2398" s="73"/>
      <c r="R2398" s="73"/>
      <c r="S2398" s="73"/>
      <c r="T2398" s="73"/>
      <c r="U2398" s="73"/>
      <c r="V2398" s="73"/>
      <c r="W2398" s="73"/>
      <c r="X2398" s="73"/>
      <c r="Y2398" s="73"/>
      <c r="Z2398" s="73"/>
      <c r="AA2398" s="73"/>
      <c r="AB2398" s="73"/>
      <c r="AC2398" s="73"/>
      <c r="AD2398" s="73"/>
      <c r="AE2398" s="73"/>
      <c r="AF2398" s="73"/>
      <c r="AG2398" s="73"/>
      <c r="AH2398" s="73"/>
      <c r="AI2398" s="73"/>
      <c r="AJ2398" s="168"/>
      <c r="AK2398" s="73"/>
      <c r="AL2398" s="73"/>
      <c r="AM2398" s="73"/>
      <c r="AN2398" s="73"/>
      <c r="AO2398" s="73"/>
      <c r="AP2398" s="73"/>
      <c r="AQ2398" s="73"/>
      <c r="AR2398" s="73"/>
      <c r="AS2398" s="73"/>
      <c r="AT2398" s="73"/>
      <c r="AU2398" s="73"/>
      <c r="AV2398" s="73"/>
      <c r="AW2398" s="73"/>
      <c r="AX2398" s="73"/>
      <c r="AY2398" s="73"/>
      <c r="AZ2398" s="73"/>
      <c r="BA2398" s="73"/>
      <c r="BB2398" s="73"/>
      <c r="BC2398" s="73"/>
      <c r="BD2398" s="73"/>
      <c r="BE2398" s="73"/>
      <c r="BF2398" s="75"/>
      <c r="BG2398" s="73"/>
      <c r="BH2398" s="88"/>
      <c r="BI2398" s="73"/>
      <c r="BJ2398" s="73"/>
      <c r="BK2398" s="73"/>
      <c r="BL2398" s="73"/>
      <c r="BM2398" s="73"/>
      <c r="BN2398" s="73"/>
      <c r="BO2398" s="73"/>
      <c r="BP2398" s="73"/>
      <c r="BQ2398" s="73"/>
      <c r="BR2398" s="73"/>
      <c r="BS2398" s="73"/>
      <c r="BT2398" s="73"/>
      <c r="BU2398" s="73"/>
      <c r="BV2398" s="73"/>
      <c r="BW2398" s="73"/>
      <c r="BX2398" s="73"/>
      <c r="BY2398" s="73"/>
      <c r="BZ2398" s="73"/>
      <c r="CA2398" s="73"/>
      <c r="CB2398" s="73"/>
      <c r="CC2398" s="73"/>
      <c r="CD2398" s="73"/>
      <c r="CE2398" s="73"/>
      <c r="CF2398" s="73"/>
      <c r="CG2398" s="73"/>
      <c r="CH2398" s="73"/>
    </row>
    <row r="2399">
      <c r="A2399" s="73"/>
      <c r="B2399" s="73"/>
      <c r="C2399" s="73"/>
      <c r="D2399" s="73"/>
      <c r="E2399" s="140"/>
      <c r="F2399" s="80"/>
      <c r="G2399" s="80"/>
      <c r="H2399" s="73"/>
      <c r="I2399" s="73"/>
      <c r="J2399" s="73"/>
      <c r="K2399" s="73"/>
      <c r="L2399" s="73"/>
      <c r="M2399" s="73"/>
      <c r="N2399" s="73"/>
      <c r="O2399" s="73"/>
      <c r="P2399" s="73"/>
      <c r="Q2399" s="73"/>
      <c r="R2399" s="73"/>
      <c r="S2399" s="73"/>
      <c r="T2399" s="73"/>
      <c r="U2399" s="73"/>
      <c r="V2399" s="73"/>
      <c r="W2399" s="73"/>
      <c r="X2399" s="73"/>
      <c r="Y2399" s="73"/>
      <c r="Z2399" s="73"/>
      <c r="AA2399" s="73"/>
      <c r="AB2399" s="73"/>
      <c r="AC2399" s="73"/>
      <c r="AD2399" s="73"/>
      <c r="AE2399" s="73"/>
      <c r="AF2399" s="73"/>
      <c r="AG2399" s="73"/>
      <c r="AH2399" s="73"/>
      <c r="AI2399" s="73"/>
      <c r="AJ2399" s="168"/>
      <c r="AK2399" s="73"/>
      <c r="AL2399" s="73"/>
      <c r="AM2399" s="73"/>
      <c r="AN2399" s="73"/>
      <c r="AO2399" s="73"/>
      <c r="AP2399" s="73"/>
      <c r="AQ2399" s="73"/>
      <c r="AR2399" s="73"/>
      <c r="AS2399" s="73"/>
      <c r="AT2399" s="73"/>
      <c r="AU2399" s="73"/>
      <c r="AV2399" s="73"/>
      <c r="AW2399" s="73"/>
      <c r="AX2399" s="73"/>
      <c r="AY2399" s="73"/>
      <c r="AZ2399" s="73"/>
      <c r="BA2399" s="73"/>
      <c r="BB2399" s="73"/>
      <c r="BC2399" s="73"/>
      <c r="BD2399" s="73"/>
      <c r="BE2399" s="73"/>
      <c r="BF2399" s="75"/>
      <c r="BG2399" s="73"/>
      <c r="BH2399" s="88"/>
      <c r="BI2399" s="73"/>
      <c r="BJ2399" s="73"/>
      <c r="BK2399" s="73"/>
      <c r="BL2399" s="73"/>
      <c r="BM2399" s="73"/>
      <c r="BN2399" s="73"/>
      <c r="BO2399" s="73"/>
      <c r="BP2399" s="73"/>
      <c r="BQ2399" s="73"/>
      <c r="BR2399" s="73"/>
      <c r="BS2399" s="73"/>
      <c r="BT2399" s="73"/>
      <c r="BU2399" s="73"/>
      <c r="BV2399" s="73"/>
      <c r="BW2399" s="73"/>
      <c r="BX2399" s="73"/>
      <c r="BY2399" s="73"/>
      <c r="BZ2399" s="73"/>
      <c r="CA2399" s="73"/>
      <c r="CB2399" s="73"/>
      <c r="CC2399" s="73"/>
      <c r="CD2399" s="73"/>
      <c r="CE2399" s="73"/>
      <c r="CF2399" s="73"/>
      <c r="CG2399" s="73"/>
      <c r="CH2399" s="73"/>
    </row>
    <row r="2400">
      <c r="A2400" s="73"/>
      <c r="B2400" s="73"/>
      <c r="C2400" s="73"/>
      <c r="D2400" s="73"/>
      <c r="E2400" s="140"/>
      <c r="F2400" s="80"/>
      <c r="G2400" s="80"/>
      <c r="H2400" s="73"/>
      <c r="I2400" s="73"/>
      <c r="J2400" s="73"/>
      <c r="K2400" s="73"/>
      <c r="L2400" s="73"/>
      <c r="M2400" s="73"/>
      <c r="N2400" s="73"/>
      <c r="O2400" s="73"/>
      <c r="P2400" s="73"/>
      <c r="Q2400" s="73"/>
      <c r="R2400" s="73"/>
      <c r="S2400" s="73"/>
      <c r="T2400" s="73"/>
      <c r="U2400" s="73"/>
      <c r="V2400" s="73"/>
      <c r="W2400" s="73"/>
      <c r="X2400" s="73"/>
      <c r="Y2400" s="73"/>
      <c r="Z2400" s="73"/>
      <c r="AA2400" s="73"/>
      <c r="AB2400" s="73"/>
      <c r="AC2400" s="73"/>
      <c r="AD2400" s="73"/>
      <c r="AE2400" s="73"/>
      <c r="AF2400" s="73"/>
      <c r="AG2400" s="73"/>
      <c r="AH2400" s="73"/>
      <c r="AI2400" s="73"/>
      <c r="AJ2400" s="168"/>
      <c r="AK2400" s="73"/>
      <c r="AL2400" s="73"/>
      <c r="AM2400" s="73"/>
      <c r="AN2400" s="73"/>
      <c r="AO2400" s="73"/>
      <c r="AP2400" s="73"/>
      <c r="AQ2400" s="73"/>
      <c r="AR2400" s="73"/>
      <c r="AS2400" s="73"/>
      <c r="AT2400" s="73"/>
      <c r="AU2400" s="73"/>
      <c r="AV2400" s="73"/>
      <c r="AW2400" s="73"/>
      <c r="AX2400" s="73"/>
      <c r="AY2400" s="73"/>
      <c r="AZ2400" s="73"/>
      <c r="BA2400" s="73"/>
      <c r="BB2400" s="73"/>
      <c r="BC2400" s="73"/>
      <c r="BD2400" s="73"/>
      <c r="BE2400" s="73"/>
      <c r="BF2400" s="75"/>
      <c r="BG2400" s="73"/>
      <c r="BH2400" s="88"/>
      <c r="BI2400" s="73"/>
      <c r="BJ2400" s="73"/>
      <c r="BK2400" s="73"/>
      <c r="BL2400" s="73"/>
      <c r="BM2400" s="73"/>
      <c r="BN2400" s="73"/>
      <c r="BO2400" s="73"/>
      <c r="BP2400" s="73"/>
      <c r="BQ2400" s="73"/>
      <c r="BR2400" s="73"/>
      <c r="BS2400" s="73"/>
      <c r="BT2400" s="73"/>
      <c r="BU2400" s="73"/>
      <c r="BV2400" s="73"/>
      <c r="BW2400" s="73"/>
      <c r="BX2400" s="73"/>
      <c r="BY2400" s="73"/>
      <c r="BZ2400" s="73"/>
      <c r="CA2400" s="73"/>
      <c r="CB2400" s="73"/>
      <c r="CC2400" s="73"/>
      <c r="CD2400" s="73"/>
      <c r="CE2400" s="73"/>
      <c r="CF2400" s="73"/>
      <c r="CG2400" s="73"/>
      <c r="CH2400" s="73"/>
    </row>
    <row r="2401">
      <c r="A2401" s="73"/>
      <c r="B2401" s="73"/>
      <c r="C2401" s="73"/>
      <c r="D2401" s="73"/>
      <c r="E2401" s="140"/>
      <c r="F2401" s="80"/>
      <c r="G2401" s="80"/>
      <c r="H2401" s="73"/>
      <c r="I2401" s="73"/>
      <c r="J2401" s="73"/>
      <c r="K2401" s="73"/>
      <c r="L2401" s="73"/>
      <c r="M2401" s="73"/>
      <c r="N2401" s="73"/>
      <c r="O2401" s="73"/>
      <c r="P2401" s="73"/>
      <c r="Q2401" s="73"/>
      <c r="R2401" s="73"/>
      <c r="S2401" s="73"/>
      <c r="T2401" s="73"/>
      <c r="U2401" s="73"/>
      <c r="V2401" s="73"/>
      <c r="W2401" s="73"/>
      <c r="X2401" s="73"/>
      <c r="Y2401" s="73"/>
      <c r="Z2401" s="73"/>
      <c r="AA2401" s="73"/>
      <c r="AB2401" s="73"/>
      <c r="AC2401" s="73"/>
      <c r="AD2401" s="73"/>
      <c r="AE2401" s="73"/>
      <c r="AF2401" s="73"/>
      <c r="AG2401" s="73"/>
      <c r="AH2401" s="73"/>
      <c r="AI2401" s="73"/>
      <c r="AJ2401" s="168"/>
      <c r="AK2401" s="73"/>
      <c r="AL2401" s="73"/>
      <c r="AM2401" s="73"/>
      <c r="AN2401" s="73"/>
      <c r="AO2401" s="73"/>
      <c r="AP2401" s="73"/>
      <c r="AQ2401" s="73"/>
      <c r="AR2401" s="73"/>
      <c r="AS2401" s="73"/>
      <c r="AT2401" s="73"/>
      <c r="AU2401" s="73"/>
      <c r="AV2401" s="73"/>
      <c r="AW2401" s="73"/>
      <c r="AX2401" s="73"/>
      <c r="AY2401" s="73"/>
      <c r="AZ2401" s="73"/>
      <c r="BA2401" s="73"/>
      <c r="BB2401" s="73"/>
      <c r="BC2401" s="73"/>
      <c r="BD2401" s="73"/>
      <c r="BE2401" s="73"/>
      <c r="BF2401" s="75"/>
      <c r="BG2401" s="73"/>
      <c r="BH2401" s="88"/>
      <c r="BI2401" s="73"/>
      <c r="BJ2401" s="73"/>
      <c r="BK2401" s="73"/>
      <c r="BL2401" s="73"/>
      <c r="BM2401" s="73"/>
      <c r="BN2401" s="73"/>
      <c r="BO2401" s="73"/>
      <c r="BP2401" s="73"/>
      <c r="BQ2401" s="73"/>
      <c r="BR2401" s="73"/>
      <c r="BS2401" s="73"/>
      <c r="BT2401" s="73"/>
      <c r="BU2401" s="73"/>
      <c r="BV2401" s="73"/>
      <c r="BW2401" s="73"/>
      <c r="BX2401" s="73"/>
      <c r="BY2401" s="73"/>
      <c r="BZ2401" s="73"/>
      <c r="CA2401" s="73"/>
      <c r="CB2401" s="73"/>
      <c r="CC2401" s="73"/>
      <c r="CD2401" s="73"/>
      <c r="CE2401" s="73"/>
      <c r="CF2401" s="73"/>
      <c r="CG2401" s="73"/>
      <c r="CH2401" s="73"/>
    </row>
    <row r="2402">
      <c r="A2402" s="73"/>
      <c r="B2402" s="73"/>
      <c r="C2402" s="73"/>
      <c r="D2402" s="73"/>
      <c r="E2402" s="140"/>
      <c r="F2402" s="80"/>
      <c r="G2402" s="80"/>
      <c r="H2402" s="73"/>
      <c r="I2402" s="73"/>
      <c r="J2402" s="73"/>
      <c r="K2402" s="73"/>
      <c r="L2402" s="73"/>
      <c r="M2402" s="73"/>
      <c r="N2402" s="73"/>
      <c r="O2402" s="73"/>
      <c r="P2402" s="73"/>
      <c r="Q2402" s="73"/>
      <c r="R2402" s="73"/>
      <c r="S2402" s="73"/>
      <c r="T2402" s="73"/>
      <c r="U2402" s="73"/>
      <c r="V2402" s="73"/>
      <c r="W2402" s="73"/>
      <c r="X2402" s="73"/>
      <c r="Y2402" s="73"/>
      <c r="Z2402" s="73"/>
      <c r="AA2402" s="73"/>
      <c r="AB2402" s="73"/>
      <c r="AC2402" s="73"/>
      <c r="AD2402" s="73"/>
      <c r="AE2402" s="73"/>
      <c r="AF2402" s="73"/>
      <c r="AG2402" s="73"/>
      <c r="AH2402" s="73"/>
      <c r="AI2402" s="73"/>
      <c r="AJ2402" s="168"/>
      <c r="AK2402" s="73"/>
      <c r="AL2402" s="73"/>
      <c r="AM2402" s="73"/>
      <c r="AN2402" s="73"/>
      <c r="AO2402" s="73"/>
      <c r="AP2402" s="73"/>
      <c r="AQ2402" s="73"/>
      <c r="AR2402" s="73"/>
      <c r="AS2402" s="73"/>
      <c r="AT2402" s="73"/>
      <c r="AU2402" s="73"/>
      <c r="AV2402" s="73"/>
      <c r="AW2402" s="73"/>
      <c r="AX2402" s="73"/>
      <c r="AY2402" s="73"/>
      <c r="AZ2402" s="73"/>
      <c r="BA2402" s="73"/>
      <c r="BB2402" s="73"/>
      <c r="BC2402" s="73"/>
      <c r="BD2402" s="73"/>
      <c r="BE2402" s="73"/>
      <c r="BF2402" s="75"/>
      <c r="BG2402" s="73"/>
      <c r="BH2402" s="88"/>
      <c r="BI2402" s="73"/>
      <c r="BJ2402" s="73"/>
      <c r="BK2402" s="73"/>
      <c r="BL2402" s="73"/>
      <c r="BM2402" s="73"/>
      <c r="BN2402" s="73"/>
      <c r="BO2402" s="73"/>
      <c r="BP2402" s="73"/>
      <c r="BQ2402" s="73"/>
      <c r="BR2402" s="73"/>
      <c r="BS2402" s="73"/>
      <c r="BT2402" s="73"/>
      <c r="BU2402" s="73"/>
      <c r="BV2402" s="73"/>
      <c r="BW2402" s="73"/>
      <c r="BX2402" s="73"/>
      <c r="BY2402" s="73"/>
      <c r="BZ2402" s="73"/>
      <c r="CA2402" s="73"/>
      <c r="CB2402" s="73"/>
      <c r="CC2402" s="73"/>
      <c r="CD2402" s="73"/>
      <c r="CE2402" s="73"/>
      <c r="CF2402" s="73"/>
      <c r="CG2402" s="73"/>
      <c r="CH2402" s="73"/>
    </row>
    <row r="2403">
      <c r="A2403" s="73"/>
      <c r="B2403" s="73"/>
      <c r="C2403" s="73"/>
      <c r="D2403" s="73"/>
      <c r="E2403" s="140"/>
      <c r="F2403" s="80"/>
      <c r="G2403" s="80"/>
      <c r="H2403" s="73"/>
      <c r="I2403" s="73"/>
      <c r="J2403" s="73"/>
      <c r="K2403" s="73"/>
      <c r="L2403" s="73"/>
      <c r="M2403" s="73"/>
      <c r="N2403" s="73"/>
      <c r="O2403" s="73"/>
      <c r="P2403" s="73"/>
      <c r="Q2403" s="73"/>
      <c r="R2403" s="73"/>
      <c r="S2403" s="73"/>
      <c r="T2403" s="73"/>
      <c r="U2403" s="73"/>
      <c r="V2403" s="73"/>
      <c r="W2403" s="73"/>
      <c r="X2403" s="73"/>
      <c r="Y2403" s="73"/>
      <c r="Z2403" s="73"/>
      <c r="AA2403" s="73"/>
      <c r="AB2403" s="73"/>
      <c r="AC2403" s="73"/>
      <c r="AD2403" s="73"/>
      <c r="AE2403" s="73"/>
      <c r="AF2403" s="73"/>
      <c r="AG2403" s="73"/>
      <c r="AH2403" s="73"/>
      <c r="AI2403" s="73"/>
      <c r="AJ2403" s="168"/>
      <c r="AK2403" s="73"/>
      <c r="AL2403" s="73"/>
      <c r="AM2403" s="73"/>
      <c r="AN2403" s="73"/>
      <c r="AO2403" s="73"/>
      <c r="AP2403" s="73"/>
      <c r="AQ2403" s="73"/>
      <c r="AR2403" s="73"/>
      <c r="AS2403" s="73"/>
      <c r="AT2403" s="73"/>
      <c r="AU2403" s="73"/>
      <c r="AV2403" s="73"/>
      <c r="AW2403" s="73"/>
      <c r="AX2403" s="73"/>
      <c r="AY2403" s="73"/>
      <c r="AZ2403" s="73"/>
      <c r="BA2403" s="73"/>
      <c r="BB2403" s="73"/>
      <c r="BC2403" s="73"/>
      <c r="BD2403" s="73"/>
      <c r="BE2403" s="73"/>
      <c r="BF2403" s="75"/>
      <c r="BG2403" s="73"/>
      <c r="BH2403" s="88"/>
      <c r="BI2403" s="73"/>
      <c r="BJ2403" s="73"/>
      <c r="BK2403" s="73"/>
      <c r="BL2403" s="73"/>
      <c r="BM2403" s="73"/>
      <c r="BN2403" s="73"/>
      <c r="BO2403" s="73"/>
      <c r="BP2403" s="73"/>
      <c r="BQ2403" s="73"/>
      <c r="BR2403" s="73"/>
      <c r="BS2403" s="73"/>
      <c r="BT2403" s="73"/>
      <c r="BU2403" s="73"/>
      <c r="BV2403" s="73"/>
      <c r="BW2403" s="73"/>
      <c r="BX2403" s="73"/>
      <c r="BY2403" s="73"/>
      <c r="BZ2403" s="73"/>
      <c r="CA2403" s="73"/>
      <c r="CB2403" s="73"/>
      <c r="CC2403" s="73"/>
      <c r="CD2403" s="73"/>
      <c r="CE2403" s="73"/>
      <c r="CF2403" s="73"/>
      <c r="CG2403" s="73"/>
      <c r="CH2403" s="73"/>
    </row>
    <row r="2404">
      <c r="A2404" s="73"/>
      <c r="B2404" s="73"/>
      <c r="C2404" s="73"/>
      <c r="D2404" s="73"/>
      <c r="E2404" s="140"/>
      <c r="F2404" s="80"/>
      <c r="G2404" s="80"/>
      <c r="H2404" s="73"/>
      <c r="I2404" s="73"/>
      <c r="J2404" s="73"/>
      <c r="K2404" s="73"/>
      <c r="L2404" s="73"/>
      <c r="M2404" s="73"/>
      <c r="N2404" s="73"/>
      <c r="O2404" s="73"/>
      <c r="P2404" s="73"/>
      <c r="Q2404" s="73"/>
      <c r="R2404" s="73"/>
      <c r="S2404" s="73"/>
      <c r="T2404" s="73"/>
      <c r="U2404" s="73"/>
      <c r="V2404" s="73"/>
      <c r="W2404" s="73"/>
      <c r="X2404" s="73"/>
      <c r="Y2404" s="73"/>
      <c r="Z2404" s="73"/>
      <c r="AA2404" s="73"/>
      <c r="AB2404" s="73"/>
      <c r="AC2404" s="73"/>
      <c r="AD2404" s="73"/>
      <c r="AE2404" s="73"/>
      <c r="AF2404" s="73"/>
      <c r="AG2404" s="73"/>
      <c r="AH2404" s="73"/>
      <c r="AI2404" s="73"/>
      <c r="AJ2404" s="168"/>
      <c r="AK2404" s="73"/>
      <c r="AL2404" s="73"/>
      <c r="AM2404" s="73"/>
      <c r="AN2404" s="73"/>
      <c r="AO2404" s="73"/>
      <c r="AP2404" s="73"/>
      <c r="AQ2404" s="73"/>
      <c r="AR2404" s="73"/>
      <c r="AS2404" s="73"/>
      <c r="AT2404" s="73"/>
      <c r="AU2404" s="73"/>
      <c r="AV2404" s="73"/>
      <c r="AW2404" s="73"/>
      <c r="AX2404" s="73"/>
      <c r="AY2404" s="73"/>
      <c r="AZ2404" s="73"/>
      <c r="BA2404" s="73"/>
      <c r="BB2404" s="73"/>
      <c r="BC2404" s="73"/>
      <c r="BD2404" s="73"/>
      <c r="BE2404" s="73"/>
      <c r="BF2404" s="75"/>
      <c r="BG2404" s="73"/>
      <c r="BH2404" s="88"/>
      <c r="BI2404" s="73"/>
      <c r="BJ2404" s="73"/>
      <c r="BK2404" s="73"/>
      <c r="BL2404" s="73"/>
      <c r="BM2404" s="73"/>
      <c r="BN2404" s="73"/>
      <c r="BO2404" s="73"/>
      <c r="BP2404" s="73"/>
      <c r="BQ2404" s="73"/>
      <c r="BR2404" s="73"/>
      <c r="BS2404" s="73"/>
      <c r="BT2404" s="73"/>
      <c r="BU2404" s="73"/>
      <c r="BV2404" s="73"/>
      <c r="BW2404" s="73"/>
      <c r="BX2404" s="73"/>
      <c r="BY2404" s="73"/>
      <c r="BZ2404" s="73"/>
      <c r="CA2404" s="73"/>
      <c r="CB2404" s="73"/>
      <c r="CC2404" s="73"/>
      <c r="CD2404" s="73"/>
      <c r="CE2404" s="73"/>
      <c r="CF2404" s="73"/>
      <c r="CG2404" s="73"/>
      <c r="CH2404" s="73"/>
    </row>
    <row r="2405">
      <c r="A2405" s="73"/>
      <c r="B2405" s="73"/>
      <c r="C2405" s="73"/>
      <c r="D2405" s="73"/>
      <c r="E2405" s="140"/>
      <c r="F2405" s="80"/>
      <c r="G2405" s="80"/>
      <c r="H2405" s="73"/>
      <c r="I2405" s="73"/>
      <c r="J2405" s="73"/>
      <c r="K2405" s="73"/>
      <c r="L2405" s="73"/>
      <c r="M2405" s="73"/>
      <c r="N2405" s="73"/>
      <c r="O2405" s="73"/>
      <c r="P2405" s="73"/>
      <c r="Q2405" s="73"/>
      <c r="R2405" s="73"/>
      <c r="S2405" s="73"/>
      <c r="T2405" s="73"/>
      <c r="U2405" s="73"/>
      <c r="V2405" s="73"/>
      <c r="W2405" s="73"/>
      <c r="X2405" s="73"/>
      <c r="Y2405" s="73"/>
      <c r="Z2405" s="73"/>
      <c r="AA2405" s="73"/>
      <c r="AB2405" s="73"/>
      <c r="AC2405" s="73"/>
      <c r="AD2405" s="73"/>
      <c r="AE2405" s="73"/>
      <c r="AF2405" s="73"/>
      <c r="AG2405" s="73"/>
      <c r="AH2405" s="73"/>
      <c r="AI2405" s="73"/>
      <c r="AJ2405" s="168"/>
      <c r="AK2405" s="73"/>
      <c r="AL2405" s="73"/>
      <c r="AM2405" s="73"/>
      <c r="AN2405" s="73"/>
      <c r="AO2405" s="73"/>
      <c r="AP2405" s="73"/>
      <c r="AQ2405" s="73"/>
      <c r="AR2405" s="73"/>
      <c r="AS2405" s="73"/>
      <c r="AT2405" s="73"/>
      <c r="AU2405" s="73"/>
      <c r="AV2405" s="73"/>
      <c r="AW2405" s="73"/>
      <c r="AX2405" s="73"/>
      <c r="AY2405" s="73"/>
      <c r="AZ2405" s="73"/>
      <c r="BA2405" s="73"/>
      <c r="BB2405" s="73"/>
      <c r="BC2405" s="73"/>
      <c r="BD2405" s="73"/>
      <c r="BE2405" s="73"/>
      <c r="BF2405" s="75"/>
      <c r="BG2405" s="73"/>
      <c r="BH2405" s="88"/>
      <c r="BI2405" s="73"/>
      <c r="BJ2405" s="73"/>
      <c r="BK2405" s="73"/>
      <c r="BL2405" s="73"/>
      <c r="BM2405" s="73"/>
      <c r="BN2405" s="73"/>
      <c r="BO2405" s="73"/>
      <c r="BP2405" s="73"/>
      <c r="BQ2405" s="73"/>
      <c r="BR2405" s="73"/>
      <c r="BS2405" s="73"/>
      <c r="BT2405" s="73"/>
      <c r="BU2405" s="73"/>
      <c r="BV2405" s="73"/>
      <c r="BW2405" s="73"/>
      <c r="BX2405" s="73"/>
      <c r="BY2405" s="73"/>
      <c r="BZ2405" s="73"/>
      <c r="CA2405" s="73"/>
      <c r="CB2405" s="73"/>
      <c r="CC2405" s="73"/>
      <c r="CD2405" s="73"/>
      <c r="CE2405" s="73"/>
      <c r="CF2405" s="73"/>
      <c r="CG2405" s="73"/>
      <c r="CH2405" s="73"/>
    </row>
    <row r="2406">
      <c r="A2406" s="73"/>
      <c r="B2406" s="73"/>
      <c r="C2406" s="73"/>
      <c r="D2406" s="73"/>
      <c r="E2406" s="140"/>
      <c r="F2406" s="80"/>
      <c r="G2406" s="80"/>
      <c r="H2406" s="73"/>
      <c r="I2406" s="73"/>
      <c r="J2406" s="73"/>
      <c r="K2406" s="73"/>
      <c r="L2406" s="73"/>
      <c r="M2406" s="73"/>
      <c r="N2406" s="73"/>
      <c r="O2406" s="73"/>
      <c r="P2406" s="73"/>
      <c r="Q2406" s="73"/>
      <c r="R2406" s="73"/>
      <c r="S2406" s="73"/>
      <c r="T2406" s="73"/>
      <c r="U2406" s="73"/>
      <c r="V2406" s="73"/>
      <c r="W2406" s="73"/>
      <c r="X2406" s="73"/>
      <c r="Y2406" s="73"/>
      <c r="Z2406" s="73"/>
      <c r="AA2406" s="73"/>
      <c r="AB2406" s="73"/>
      <c r="AC2406" s="73"/>
      <c r="AD2406" s="73"/>
      <c r="AE2406" s="73"/>
      <c r="AF2406" s="73"/>
      <c r="AG2406" s="73"/>
      <c r="AH2406" s="73"/>
      <c r="AI2406" s="73"/>
      <c r="AJ2406" s="168"/>
      <c r="AK2406" s="73"/>
      <c r="AL2406" s="73"/>
      <c r="AM2406" s="73"/>
      <c r="AN2406" s="73"/>
      <c r="AO2406" s="73"/>
      <c r="AP2406" s="73"/>
      <c r="AQ2406" s="73"/>
      <c r="AR2406" s="73"/>
      <c r="AS2406" s="73"/>
      <c r="AT2406" s="73"/>
      <c r="AU2406" s="73"/>
      <c r="AV2406" s="73"/>
      <c r="AW2406" s="73"/>
      <c r="AX2406" s="73"/>
      <c r="AY2406" s="73"/>
      <c r="AZ2406" s="73"/>
      <c r="BA2406" s="73"/>
      <c r="BB2406" s="73"/>
      <c r="BC2406" s="73"/>
      <c r="BD2406" s="73"/>
      <c r="BE2406" s="73"/>
      <c r="BF2406" s="75"/>
      <c r="BG2406" s="73"/>
      <c r="BH2406" s="88"/>
      <c r="BI2406" s="73"/>
      <c r="BJ2406" s="73"/>
      <c r="BK2406" s="73"/>
      <c r="BL2406" s="73"/>
      <c r="BM2406" s="73"/>
      <c r="BN2406" s="73"/>
      <c r="BO2406" s="73"/>
      <c r="BP2406" s="73"/>
      <c r="BQ2406" s="73"/>
      <c r="BR2406" s="73"/>
      <c r="BS2406" s="73"/>
      <c r="BT2406" s="73"/>
      <c r="BU2406" s="73"/>
      <c r="BV2406" s="73"/>
      <c r="BW2406" s="73"/>
      <c r="BX2406" s="73"/>
      <c r="BY2406" s="73"/>
      <c r="BZ2406" s="73"/>
      <c r="CA2406" s="73"/>
      <c r="CB2406" s="73"/>
      <c r="CC2406" s="73"/>
      <c r="CD2406" s="73"/>
      <c r="CE2406" s="73"/>
      <c r="CF2406" s="73"/>
      <c r="CG2406" s="73"/>
      <c r="CH2406" s="73"/>
    </row>
    <row r="2407">
      <c r="A2407" s="73"/>
      <c r="B2407" s="73"/>
      <c r="C2407" s="73"/>
      <c r="D2407" s="73"/>
      <c r="E2407" s="140"/>
      <c r="F2407" s="80"/>
      <c r="G2407" s="80"/>
      <c r="H2407" s="73"/>
      <c r="I2407" s="73"/>
      <c r="J2407" s="73"/>
      <c r="K2407" s="73"/>
      <c r="L2407" s="73"/>
      <c r="M2407" s="73"/>
      <c r="N2407" s="73"/>
      <c r="O2407" s="73"/>
      <c r="P2407" s="73"/>
      <c r="Q2407" s="73"/>
      <c r="R2407" s="73"/>
      <c r="S2407" s="73"/>
      <c r="T2407" s="73"/>
      <c r="U2407" s="73"/>
      <c r="V2407" s="73"/>
      <c r="W2407" s="73"/>
      <c r="X2407" s="73"/>
      <c r="Y2407" s="73"/>
      <c r="Z2407" s="73"/>
      <c r="AA2407" s="73"/>
      <c r="AB2407" s="73"/>
      <c r="AC2407" s="73"/>
      <c r="AD2407" s="73"/>
      <c r="AE2407" s="73"/>
      <c r="AF2407" s="73"/>
      <c r="AG2407" s="73"/>
      <c r="AH2407" s="73"/>
      <c r="AI2407" s="73"/>
      <c r="AJ2407" s="168"/>
      <c r="AK2407" s="73"/>
      <c r="AL2407" s="73"/>
      <c r="AM2407" s="73"/>
      <c r="AN2407" s="73"/>
      <c r="AO2407" s="73"/>
      <c r="AP2407" s="73"/>
      <c r="AQ2407" s="73"/>
      <c r="AR2407" s="73"/>
      <c r="AS2407" s="73"/>
      <c r="AT2407" s="73"/>
      <c r="AU2407" s="73"/>
      <c r="AV2407" s="73"/>
      <c r="AW2407" s="73"/>
      <c r="AX2407" s="73"/>
      <c r="AY2407" s="73"/>
      <c r="AZ2407" s="73"/>
      <c r="BA2407" s="73"/>
      <c r="BB2407" s="73"/>
      <c r="BC2407" s="73"/>
      <c r="BD2407" s="73"/>
      <c r="BE2407" s="73"/>
      <c r="BF2407" s="75"/>
      <c r="BG2407" s="73"/>
      <c r="BH2407" s="88"/>
      <c r="BI2407" s="73"/>
      <c r="BJ2407" s="73"/>
      <c r="BK2407" s="73"/>
      <c r="BL2407" s="73"/>
      <c r="BM2407" s="73"/>
      <c r="BN2407" s="73"/>
      <c r="BO2407" s="73"/>
      <c r="BP2407" s="73"/>
      <c r="BQ2407" s="73"/>
      <c r="BR2407" s="73"/>
      <c r="BS2407" s="73"/>
      <c r="BT2407" s="73"/>
      <c r="BU2407" s="73"/>
      <c r="BV2407" s="73"/>
      <c r="BW2407" s="73"/>
      <c r="BX2407" s="73"/>
      <c r="BY2407" s="73"/>
      <c r="BZ2407" s="73"/>
      <c r="CA2407" s="73"/>
      <c r="CB2407" s="73"/>
      <c r="CC2407" s="73"/>
      <c r="CD2407" s="73"/>
      <c r="CE2407" s="73"/>
      <c r="CF2407" s="73"/>
      <c r="CG2407" s="73"/>
      <c r="CH2407" s="73"/>
    </row>
    <row r="2408">
      <c r="A2408" s="73"/>
      <c r="B2408" s="73"/>
      <c r="C2408" s="73"/>
      <c r="D2408" s="73"/>
      <c r="E2408" s="140"/>
      <c r="F2408" s="80"/>
      <c r="G2408" s="80"/>
      <c r="H2408" s="73"/>
      <c r="I2408" s="73"/>
      <c r="J2408" s="73"/>
      <c r="K2408" s="73"/>
      <c r="L2408" s="73"/>
      <c r="M2408" s="73"/>
      <c r="N2408" s="73"/>
      <c r="O2408" s="73"/>
      <c r="P2408" s="73"/>
      <c r="Q2408" s="73"/>
      <c r="R2408" s="73"/>
      <c r="S2408" s="73"/>
      <c r="T2408" s="73"/>
      <c r="U2408" s="73"/>
      <c r="V2408" s="73"/>
      <c r="W2408" s="73"/>
      <c r="X2408" s="73"/>
      <c r="Y2408" s="73"/>
      <c r="Z2408" s="73"/>
      <c r="AA2408" s="73"/>
      <c r="AB2408" s="73"/>
      <c r="AC2408" s="73"/>
      <c r="AD2408" s="73"/>
      <c r="AE2408" s="73"/>
      <c r="AF2408" s="73"/>
      <c r="AG2408" s="73"/>
      <c r="AH2408" s="73"/>
      <c r="AI2408" s="73"/>
      <c r="AJ2408" s="168"/>
      <c r="AK2408" s="73"/>
      <c r="AL2408" s="73"/>
      <c r="AM2408" s="73"/>
      <c r="AN2408" s="73"/>
      <c r="AO2408" s="73"/>
      <c r="AP2408" s="73"/>
      <c r="AQ2408" s="73"/>
      <c r="AR2408" s="73"/>
      <c r="AS2408" s="73"/>
      <c r="AT2408" s="73"/>
      <c r="AU2408" s="73"/>
      <c r="AV2408" s="73"/>
      <c r="AW2408" s="73"/>
      <c r="AX2408" s="73"/>
      <c r="AY2408" s="73"/>
      <c r="AZ2408" s="73"/>
      <c r="BA2408" s="73"/>
      <c r="BB2408" s="73"/>
      <c r="BC2408" s="73"/>
      <c r="BD2408" s="73"/>
      <c r="BE2408" s="73"/>
      <c r="BF2408" s="75"/>
      <c r="BG2408" s="73"/>
      <c r="BH2408" s="88"/>
      <c r="BI2408" s="73"/>
      <c r="BJ2408" s="73"/>
      <c r="BK2408" s="73"/>
      <c r="BL2408" s="73"/>
      <c r="BM2408" s="73"/>
      <c r="BN2408" s="73"/>
      <c r="BO2408" s="73"/>
      <c r="BP2408" s="73"/>
      <c r="BQ2408" s="73"/>
      <c r="BR2408" s="73"/>
      <c r="BS2408" s="73"/>
      <c r="BT2408" s="73"/>
      <c r="BU2408" s="73"/>
      <c r="BV2408" s="73"/>
      <c r="BW2408" s="73"/>
      <c r="BX2408" s="73"/>
      <c r="BY2408" s="73"/>
      <c r="BZ2408" s="73"/>
      <c r="CA2408" s="73"/>
      <c r="CB2408" s="73"/>
      <c r="CC2408" s="73"/>
      <c r="CD2408" s="73"/>
      <c r="CE2408" s="73"/>
      <c r="CF2408" s="73"/>
      <c r="CG2408" s="73"/>
      <c r="CH2408" s="73"/>
    </row>
    <row r="2409">
      <c r="A2409" s="73"/>
      <c r="B2409" s="73"/>
      <c r="C2409" s="73"/>
      <c r="D2409" s="73"/>
      <c r="E2409" s="140"/>
      <c r="F2409" s="80"/>
      <c r="G2409" s="80"/>
      <c r="H2409" s="73"/>
      <c r="I2409" s="73"/>
      <c r="J2409" s="73"/>
      <c r="K2409" s="73"/>
      <c r="L2409" s="73"/>
      <c r="M2409" s="73"/>
      <c r="N2409" s="73"/>
      <c r="O2409" s="73"/>
      <c r="P2409" s="73"/>
      <c r="Q2409" s="73"/>
      <c r="R2409" s="73"/>
      <c r="S2409" s="73"/>
      <c r="T2409" s="73"/>
      <c r="U2409" s="73"/>
      <c r="V2409" s="73"/>
      <c r="W2409" s="73"/>
      <c r="X2409" s="73"/>
      <c r="Y2409" s="73"/>
      <c r="Z2409" s="73"/>
      <c r="AA2409" s="73"/>
      <c r="AB2409" s="73"/>
      <c r="AC2409" s="73"/>
      <c r="AD2409" s="73"/>
      <c r="AE2409" s="73"/>
      <c r="AF2409" s="73"/>
      <c r="AG2409" s="73"/>
      <c r="AH2409" s="73"/>
      <c r="AI2409" s="73"/>
      <c r="AJ2409" s="168"/>
      <c r="AK2409" s="73"/>
      <c r="AL2409" s="73"/>
      <c r="AM2409" s="73"/>
      <c r="AN2409" s="73"/>
      <c r="AO2409" s="73"/>
      <c r="AP2409" s="73"/>
      <c r="AQ2409" s="73"/>
      <c r="AR2409" s="73"/>
      <c r="AS2409" s="73"/>
      <c r="AT2409" s="73"/>
      <c r="AU2409" s="73"/>
      <c r="AV2409" s="73"/>
      <c r="AW2409" s="73"/>
      <c r="AX2409" s="73"/>
      <c r="AY2409" s="73"/>
      <c r="AZ2409" s="73"/>
      <c r="BA2409" s="73"/>
      <c r="BB2409" s="73"/>
      <c r="BC2409" s="73"/>
      <c r="BD2409" s="73"/>
      <c r="BE2409" s="73"/>
      <c r="BF2409" s="75"/>
      <c r="BG2409" s="73"/>
      <c r="BH2409" s="88"/>
      <c r="BI2409" s="73"/>
      <c r="BJ2409" s="73"/>
      <c r="BK2409" s="73"/>
      <c r="BL2409" s="73"/>
      <c r="BM2409" s="73"/>
      <c r="BN2409" s="73"/>
      <c r="BO2409" s="73"/>
      <c r="BP2409" s="73"/>
      <c r="BQ2409" s="73"/>
      <c r="BR2409" s="73"/>
      <c r="BS2409" s="73"/>
      <c r="BT2409" s="73"/>
      <c r="BU2409" s="73"/>
      <c r="BV2409" s="73"/>
      <c r="BW2409" s="73"/>
      <c r="BX2409" s="73"/>
      <c r="BY2409" s="73"/>
      <c r="BZ2409" s="73"/>
      <c r="CA2409" s="73"/>
      <c r="CB2409" s="73"/>
      <c r="CC2409" s="73"/>
      <c r="CD2409" s="73"/>
      <c r="CE2409" s="73"/>
      <c r="CF2409" s="73"/>
      <c r="CG2409" s="73"/>
      <c r="CH2409" s="73"/>
    </row>
    <row r="2410">
      <c r="A2410" s="73"/>
      <c r="B2410" s="73"/>
      <c r="C2410" s="73"/>
      <c r="D2410" s="73"/>
      <c r="E2410" s="140"/>
      <c r="F2410" s="80"/>
      <c r="G2410" s="80"/>
      <c r="H2410" s="73"/>
      <c r="I2410" s="73"/>
      <c r="J2410" s="73"/>
      <c r="K2410" s="73"/>
      <c r="L2410" s="73"/>
      <c r="M2410" s="73"/>
      <c r="N2410" s="73"/>
      <c r="O2410" s="73"/>
      <c r="P2410" s="73"/>
      <c r="Q2410" s="73"/>
      <c r="R2410" s="73"/>
      <c r="S2410" s="73"/>
      <c r="T2410" s="73"/>
      <c r="U2410" s="73"/>
      <c r="V2410" s="73"/>
      <c r="W2410" s="73"/>
      <c r="X2410" s="73"/>
      <c r="Y2410" s="73"/>
      <c r="Z2410" s="73"/>
      <c r="AA2410" s="73"/>
      <c r="AB2410" s="73"/>
      <c r="AC2410" s="73"/>
      <c r="AD2410" s="73"/>
      <c r="AE2410" s="73"/>
      <c r="AF2410" s="73"/>
      <c r="AG2410" s="73"/>
      <c r="AH2410" s="73"/>
      <c r="AI2410" s="73"/>
      <c r="AJ2410" s="168"/>
      <c r="AK2410" s="73"/>
      <c r="AL2410" s="73"/>
      <c r="AM2410" s="73"/>
      <c r="AN2410" s="73"/>
      <c r="AO2410" s="73"/>
      <c r="AP2410" s="73"/>
      <c r="AQ2410" s="73"/>
      <c r="AR2410" s="73"/>
      <c r="AS2410" s="73"/>
      <c r="AT2410" s="73"/>
      <c r="AU2410" s="73"/>
      <c r="AV2410" s="73"/>
      <c r="AW2410" s="73"/>
      <c r="AX2410" s="73"/>
      <c r="AY2410" s="73"/>
      <c r="AZ2410" s="73"/>
      <c r="BA2410" s="73"/>
      <c r="BB2410" s="73"/>
      <c r="BC2410" s="73"/>
      <c r="BD2410" s="73"/>
      <c r="BE2410" s="73"/>
      <c r="BF2410" s="75"/>
      <c r="BG2410" s="73"/>
      <c r="BH2410" s="88"/>
      <c r="BI2410" s="73"/>
      <c r="BJ2410" s="73"/>
      <c r="BK2410" s="73"/>
      <c r="BL2410" s="73"/>
      <c r="BM2410" s="73"/>
      <c r="BN2410" s="73"/>
      <c r="BO2410" s="73"/>
      <c r="BP2410" s="73"/>
      <c r="BQ2410" s="73"/>
      <c r="BR2410" s="73"/>
      <c r="BS2410" s="73"/>
      <c r="BT2410" s="73"/>
      <c r="BU2410" s="73"/>
      <c r="BV2410" s="73"/>
      <c r="BW2410" s="73"/>
      <c r="BX2410" s="73"/>
      <c r="BY2410" s="73"/>
      <c r="BZ2410" s="73"/>
      <c r="CA2410" s="73"/>
      <c r="CB2410" s="73"/>
      <c r="CC2410" s="73"/>
      <c r="CD2410" s="73"/>
      <c r="CE2410" s="73"/>
      <c r="CF2410" s="73"/>
      <c r="CG2410" s="73"/>
      <c r="CH2410" s="73"/>
    </row>
    <row r="2411">
      <c r="A2411" s="73"/>
      <c r="B2411" s="73"/>
      <c r="C2411" s="73"/>
      <c r="D2411" s="73"/>
      <c r="E2411" s="140"/>
      <c r="F2411" s="80"/>
      <c r="G2411" s="80"/>
      <c r="H2411" s="73"/>
      <c r="I2411" s="73"/>
      <c r="J2411" s="73"/>
      <c r="K2411" s="73"/>
      <c r="L2411" s="73"/>
      <c r="M2411" s="73"/>
      <c r="N2411" s="73"/>
      <c r="O2411" s="73"/>
      <c r="P2411" s="73"/>
      <c r="Q2411" s="73"/>
      <c r="R2411" s="73"/>
      <c r="S2411" s="73"/>
      <c r="T2411" s="73"/>
      <c r="U2411" s="73"/>
      <c r="V2411" s="73"/>
      <c r="W2411" s="73"/>
      <c r="X2411" s="73"/>
      <c r="Y2411" s="73"/>
      <c r="Z2411" s="73"/>
      <c r="AA2411" s="73"/>
      <c r="AB2411" s="73"/>
      <c r="AC2411" s="73"/>
      <c r="AD2411" s="73"/>
      <c r="AE2411" s="73"/>
      <c r="AF2411" s="73"/>
      <c r="AG2411" s="73"/>
      <c r="AH2411" s="73"/>
      <c r="AI2411" s="73"/>
      <c r="AJ2411" s="168"/>
      <c r="AK2411" s="73"/>
      <c r="AL2411" s="73"/>
      <c r="AM2411" s="73"/>
      <c r="AN2411" s="73"/>
      <c r="AO2411" s="73"/>
      <c r="AP2411" s="73"/>
      <c r="AQ2411" s="73"/>
      <c r="AR2411" s="73"/>
      <c r="AS2411" s="73"/>
      <c r="AT2411" s="73"/>
      <c r="AU2411" s="73"/>
      <c r="AV2411" s="73"/>
      <c r="AW2411" s="73"/>
      <c r="AX2411" s="73"/>
      <c r="AY2411" s="73"/>
      <c r="AZ2411" s="73"/>
      <c r="BA2411" s="73"/>
      <c r="BB2411" s="73"/>
      <c r="BC2411" s="73"/>
      <c r="BD2411" s="73"/>
      <c r="BE2411" s="73"/>
      <c r="BF2411" s="75"/>
      <c r="BG2411" s="73"/>
      <c r="BH2411" s="88"/>
      <c r="BI2411" s="73"/>
      <c r="BJ2411" s="73"/>
      <c r="BK2411" s="73"/>
      <c r="BL2411" s="73"/>
      <c r="BM2411" s="73"/>
      <c r="BN2411" s="73"/>
      <c r="BO2411" s="73"/>
      <c r="BP2411" s="73"/>
      <c r="BQ2411" s="73"/>
      <c r="BR2411" s="73"/>
      <c r="BS2411" s="73"/>
      <c r="BT2411" s="73"/>
      <c r="BU2411" s="73"/>
      <c r="BV2411" s="73"/>
      <c r="BW2411" s="73"/>
      <c r="BX2411" s="73"/>
      <c r="BY2411" s="73"/>
      <c r="BZ2411" s="73"/>
      <c r="CA2411" s="73"/>
      <c r="CB2411" s="73"/>
      <c r="CC2411" s="73"/>
      <c r="CD2411" s="73"/>
      <c r="CE2411" s="73"/>
      <c r="CF2411" s="73"/>
      <c r="CG2411" s="73"/>
      <c r="CH2411" s="73"/>
    </row>
    <row r="2412">
      <c r="A2412" s="73"/>
      <c r="B2412" s="73"/>
      <c r="C2412" s="73"/>
      <c r="D2412" s="73"/>
      <c r="E2412" s="140"/>
      <c r="F2412" s="80"/>
      <c r="G2412" s="80"/>
      <c r="H2412" s="73"/>
      <c r="I2412" s="73"/>
      <c r="J2412" s="73"/>
      <c r="K2412" s="73"/>
      <c r="L2412" s="73"/>
      <c r="M2412" s="73"/>
      <c r="N2412" s="73"/>
      <c r="O2412" s="73"/>
      <c r="P2412" s="73"/>
      <c r="Q2412" s="73"/>
      <c r="R2412" s="73"/>
      <c r="S2412" s="73"/>
      <c r="T2412" s="73"/>
      <c r="U2412" s="73"/>
      <c r="V2412" s="73"/>
      <c r="W2412" s="73"/>
      <c r="X2412" s="73"/>
      <c r="Y2412" s="73"/>
      <c r="Z2412" s="73"/>
      <c r="AA2412" s="73"/>
      <c r="AB2412" s="73"/>
      <c r="AC2412" s="73"/>
      <c r="AD2412" s="73"/>
      <c r="AE2412" s="73"/>
      <c r="AF2412" s="73"/>
      <c r="AG2412" s="73"/>
      <c r="AH2412" s="73"/>
      <c r="AI2412" s="73"/>
      <c r="AJ2412" s="168"/>
      <c r="AK2412" s="73"/>
      <c r="AL2412" s="73"/>
      <c r="AM2412" s="73"/>
      <c r="AN2412" s="73"/>
      <c r="AO2412" s="73"/>
      <c r="AP2412" s="73"/>
      <c r="AQ2412" s="73"/>
      <c r="AR2412" s="73"/>
      <c r="AS2412" s="73"/>
      <c r="AT2412" s="73"/>
      <c r="AU2412" s="73"/>
      <c r="AV2412" s="73"/>
      <c r="AW2412" s="73"/>
      <c r="AX2412" s="73"/>
      <c r="AY2412" s="73"/>
      <c r="AZ2412" s="73"/>
      <c r="BA2412" s="73"/>
      <c r="BB2412" s="73"/>
      <c r="BC2412" s="73"/>
      <c r="BD2412" s="73"/>
      <c r="BE2412" s="73"/>
      <c r="BF2412" s="75"/>
      <c r="BG2412" s="73"/>
      <c r="BH2412" s="88"/>
      <c r="BI2412" s="73"/>
      <c r="BJ2412" s="73"/>
      <c r="BK2412" s="73"/>
      <c r="BL2412" s="73"/>
      <c r="BM2412" s="73"/>
      <c r="BN2412" s="73"/>
      <c r="BO2412" s="73"/>
      <c r="BP2412" s="73"/>
      <c r="BQ2412" s="73"/>
      <c r="BR2412" s="73"/>
      <c r="BS2412" s="73"/>
      <c r="BT2412" s="73"/>
      <c r="BU2412" s="73"/>
      <c r="BV2412" s="73"/>
      <c r="BW2412" s="73"/>
      <c r="BX2412" s="73"/>
      <c r="BY2412" s="73"/>
      <c r="BZ2412" s="73"/>
      <c r="CA2412" s="73"/>
      <c r="CB2412" s="73"/>
      <c r="CC2412" s="73"/>
      <c r="CD2412" s="73"/>
      <c r="CE2412" s="73"/>
      <c r="CF2412" s="73"/>
      <c r="CG2412" s="73"/>
      <c r="CH2412" s="73"/>
    </row>
    <row r="2413">
      <c r="A2413" s="73"/>
      <c r="B2413" s="73"/>
      <c r="C2413" s="73"/>
      <c r="D2413" s="73"/>
      <c r="E2413" s="140"/>
      <c r="F2413" s="80"/>
      <c r="G2413" s="80"/>
      <c r="H2413" s="73"/>
      <c r="I2413" s="73"/>
      <c r="J2413" s="73"/>
      <c r="K2413" s="73"/>
      <c r="L2413" s="73"/>
      <c r="M2413" s="73"/>
      <c r="N2413" s="73"/>
      <c r="O2413" s="73"/>
      <c r="P2413" s="73"/>
      <c r="Q2413" s="73"/>
      <c r="R2413" s="73"/>
      <c r="S2413" s="73"/>
      <c r="T2413" s="73"/>
      <c r="U2413" s="73"/>
      <c r="V2413" s="73"/>
      <c r="W2413" s="73"/>
      <c r="X2413" s="73"/>
      <c r="Y2413" s="73"/>
      <c r="Z2413" s="73"/>
      <c r="AA2413" s="73"/>
      <c r="AB2413" s="73"/>
      <c r="AC2413" s="73"/>
      <c r="AD2413" s="73"/>
      <c r="AE2413" s="73"/>
      <c r="AF2413" s="73"/>
      <c r="AG2413" s="73"/>
      <c r="AH2413" s="73"/>
      <c r="AI2413" s="73"/>
      <c r="AJ2413" s="168"/>
      <c r="AK2413" s="73"/>
      <c r="AL2413" s="73"/>
      <c r="AM2413" s="73"/>
      <c r="AN2413" s="73"/>
      <c r="AO2413" s="73"/>
      <c r="AP2413" s="73"/>
      <c r="AQ2413" s="73"/>
      <c r="AR2413" s="73"/>
      <c r="AS2413" s="73"/>
      <c r="AT2413" s="73"/>
      <c r="AU2413" s="73"/>
      <c r="AV2413" s="73"/>
      <c r="AW2413" s="73"/>
      <c r="AX2413" s="73"/>
      <c r="AY2413" s="73"/>
      <c r="AZ2413" s="73"/>
      <c r="BA2413" s="73"/>
      <c r="BB2413" s="73"/>
      <c r="BC2413" s="73"/>
      <c r="BD2413" s="73"/>
      <c r="BE2413" s="73"/>
      <c r="BF2413" s="75"/>
      <c r="BG2413" s="73"/>
      <c r="BH2413" s="88"/>
      <c r="BI2413" s="73"/>
      <c r="BJ2413" s="73"/>
      <c r="BK2413" s="73"/>
      <c r="BL2413" s="73"/>
      <c r="BM2413" s="73"/>
      <c r="BN2413" s="73"/>
      <c r="BO2413" s="73"/>
      <c r="BP2413" s="73"/>
      <c r="BQ2413" s="73"/>
      <c r="BR2413" s="73"/>
      <c r="BS2413" s="73"/>
      <c r="BT2413" s="73"/>
      <c r="BU2413" s="73"/>
      <c r="BV2413" s="73"/>
      <c r="BW2413" s="73"/>
      <c r="BX2413" s="73"/>
      <c r="BY2413" s="73"/>
      <c r="BZ2413" s="73"/>
      <c r="CA2413" s="73"/>
      <c r="CB2413" s="73"/>
      <c r="CC2413" s="73"/>
      <c r="CD2413" s="73"/>
      <c r="CE2413" s="73"/>
      <c r="CF2413" s="73"/>
      <c r="CG2413" s="73"/>
      <c r="CH2413" s="73"/>
    </row>
    <row r="2414">
      <c r="A2414" s="73"/>
      <c r="B2414" s="73"/>
      <c r="C2414" s="73"/>
      <c r="D2414" s="73"/>
      <c r="E2414" s="140"/>
      <c r="F2414" s="80"/>
      <c r="G2414" s="80"/>
      <c r="H2414" s="73"/>
      <c r="I2414" s="73"/>
      <c r="J2414" s="73"/>
      <c r="K2414" s="73"/>
      <c r="L2414" s="73"/>
      <c r="M2414" s="73"/>
      <c r="N2414" s="73"/>
      <c r="O2414" s="73"/>
      <c r="P2414" s="73"/>
      <c r="Q2414" s="73"/>
      <c r="R2414" s="73"/>
      <c r="S2414" s="73"/>
      <c r="T2414" s="73"/>
      <c r="U2414" s="73"/>
      <c r="V2414" s="73"/>
      <c r="W2414" s="73"/>
      <c r="X2414" s="73"/>
      <c r="Y2414" s="73"/>
      <c r="Z2414" s="73"/>
      <c r="AA2414" s="73"/>
      <c r="AB2414" s="73"/>
      <c r="AC2414" s="73"/>
      <c r="AD2414" s="73"/>
      <c r="AE2414" s="73"/>
      <c r="AF2414" s="73"/>
      <c r="AG2414" s="73"/>
      <c r="AH2414" s="73"/>
      <c r="AI2414" s="73"/>
      <c r="AJ2414" s="168"/>
      <c r="AK2414" s="73"/>
      <c r="AL2414" s="73"/>
      <c r="AM2414" s="73"/>
      <c r="AN2414" s="73"/>
      <c r="AO2414" s="73"/>
      <c r="AP2414" s="73"/>
      <c r="AQ2414" s="73"/>
      <c r="AR2414" s="73"/>
      <c r="AS2414" s="73"/>
      <c r="AT2414" s="73"/>
      <c r="AU2414" s="73"/>
      <c r="AV2414" s="73"/>
      <c r="AW2414" s="73"/>
      <c r="AX2414" s="73"/>
      <c r="AY2414" s="73"/>
      <c r="AZ2414" s="73"/>
      <c r="BA2414" s="73"/>
      <c r="BB2414" s="73"/>
      <c r="BC2414" s="73"/>
      <c r="BD2414" s="73"/>
      <c r="BE2414" s="73"/>
      <c r="BF2414" s="75"/>
      <c r="BG2414" s="73"/>
      <c r="BH2414" s="88"/>
      <c r="BI2414" s="73"/>
      <c r="BJ2414" s="73"/>
      <c r="BK2414" s="73"/>
      <c r="BL2414" s="73"/>
      <c r="BM2414" s="73"/>
      <c r="BN2414" s="73"/>
      <c r="BO2414" s="73"/>
      <c r="BP2414" s="73"/>
      <c r="BQ2414" s="73"/>
      <c r="BR2414" s="73"/>
      <c r="BS2414" s="73"/>
      <c r="BT2414" s="73"/>
      <c r="BU2414" s="73"/>
      <c r="BV2414" s="73"/>
      <c r="BW2414" s="73"/>
      <c r="BX2414" s="73"/>
      <c r="BY2414" s="73"/>
      <c r="BZ2414" s="73"/>
      <c r="CA2414" s="73"/>
      <c r="CB2414" s="73"/>
      <c r="CC2414" s="73"/>
      <c r="CD2414" s="73"/>
      <c r="CE2414" s="73"/>
      <c r="CF2414" s="73"/>
      <c r="CG2414" s="73"/>
      <c r="CH2414" s="73"/>
    </row>
    <row r="2415">
      <c r="A2415" s="73"/>
      <c r="B2415" s="73"/>
      <c r="C2415" s="73"/>
      <c r="D2415" s="73"/>
      <c r="E2415" s="140"/>
      <c r="F2415" s="80"/>
      <c r="G2415" s="80"/>
      <c r="H2415" s="73"/>
      <c r="I2415" s="73"/>
      <c r="J2415" s="73"/>
      <c r="K2415" s="73"/>
      <c r="L2415" s="73"/>
      <c r="M2415" s="73"/>
      <c r="N2415" s="73"/>
      <c r="O2415" s="73"/>
      <c r="P2415" s="73"/>
      <c r="Q2415" s="73"/>
      <c r="R2415" s="73"/>
      <c r="S2415" s="73"/>
      <c r="T2415" s="73"/>
      <c r="U2415" s="73"/>
      <c r="V2415" s="73"/>
      <c r="W2415" s="73"/>
      <c r="X2415" s="73"/>
      <c r="Y2415" s="73"/>
      <c r="Z2415" s="73"/>
      <c r="AA2415" s="73"/>
      <c r="AB2415" s="73"/>
      <c r="AC2415" s="73"/>
      <c r="AD2415" s="73"/>
      <c r="AE2415" s="73"/>
      <c r="AF2415" s="73"/>
      <c r="AG2415" s="73"/>
      <c r="AH2415" s="73"/>
      <c r="AI2415" s="73"/>
      <c r="AJ2415" s="168"/>
      <c r="AK2415" s="73"/>
      <c r="AL2415" s="73"/>
      <c r="AM2415" s="73"/>
      <c r="AN2415" s="73"/>
      <c r="AO2415" s="73"/>
      <c r="AP2415" s="73"/>
      <c r="AQ2415" s="73"/>
      <c r="AR2415" s="73"/>
      <c r="AS2415" s="73"/>
      <c r="AT2415" s="73"/>
      <c r="AU2415" s="73"/>
      <c r="AV2415" s="73"/>
      <c r="AW2415" s="73"/>
      <c r="AX2415" s="73"/>
      <c r="AY2415" s="73"/>
      <c r="AZ2415" s="73"/>
      <c r="BA2415" s="73"/>
      <c r="BB2415" s="73"/>
      <c r="BC2415" s="73"/>
      <c r="BD2415" s="73"/>
      <c r="BE2415" s="73"/>
      <c r="BF2415" s="75"/>
      <c r="BG2415" s="73"/>
      <c r="BH2415" s="88"/>
      <c r="BI2415" s="73"/>
      <c r="BJ2415" s="73"/>
      <c r="BK2415" s="73"/>
      <c r="BL2415" s="73"/>
      <c r="BM2415" s="73"/>
      <c r="BN2415" s="73"/>
      <c r="BO2415" s="73"/>
      <c r="BP2415" s="73"/>
      <c r="BQ2415" s="73"/>
      <c r="BR2415" s="73"/>
      <c r="BS2415" s="73"/>
      <c r="BT2415" s="73"/>
      <c r="BU2415" s="73"/>
      <c r="BV2415" s="73"/>
      <c r="BW2415" s="73"/>
      <c r="BX2415" s="73"/>
      <c r="BY2415" s="73"/>
      <c r="BZ2415" s="73"/>
      <c r="CA2415" s="73"/>
      <c r="CB2415" s="73"/>
      <c r="CC2415" s="73"/>
      <c r="CD2415" s="73"/>
      <c r="CE2415" s="73"/>
      <c r="CF2415" s="73"/>
      <c r="CG2415" s="73"/>
      <c r="CH2415" s="73"/>
    </row>
    <row r="2416">
      <c r="A2416" s="73"/>
      <c r="B2416" s="73"/>
      <c r="C2416" s="73"/>
      <c r="D2416" s="73"/>
      <c r="E2416" s="140"/>
      <c r="F2416" s="80"/>
      <c r="G2416" s="80"/>
      <c r="H2416" s="73"/>
      <c r="I2416" s="73"/>
      <c r="J2416" s="73"/>
      <c r="K2416" s="73"/>
      <c r="L2416" s="73"/>
      <c r="M2416" s="73"/>
      <c r="N2416" s="73"/>
      <c r="O2416" s="73"/>
      <c r="P2416" s="73"/>
      <c r="Q2416" s="73"/>
      <c r="R2416" s="73"/>
      <c r="S2416" s="73"/>
      <c r="T2416" s="73"/>
      <c r="U2416" s="73"/>
      <c r="V2416" s="73"/>
      <c r="W2416" s="73"/>
      <c r="X2416" s="73"/>
      <c r="Y2416" s="73"/>
      <c r="Z2416" s="73"/>
      <c r="AA2416" s="73"/>
      <c r="AB2416" s="73"/>
      <c r="AC2416" s="73"/>
      <c r="AD2416" s="73"/>
      <c r="AE2416" s="73"/>
      <c r="AF2416" s="73"/>
      <c r="AG2416" s="73"/>
      <c r="AH2416" s="73"/>
      <c r="AI2416" s="73"/>
      <c r="AJ2416" s="168"/>
      <c r="AK2416" s="73"/>
      <c r="AL2416" s="73"/>
      <c r="AM2416" s="73"/>
      <c r="AN2416" s="73"/>
      <c r="AO2416" s="73"/>
      <c r="AP2416" s="73"/>
      <c r="AQ2416" s="73"/>
      <c r="AR2416" s="73"/>
      <c r="AS2416" s="73"/>
      <c r="AT2416" s="73"/>
      <c r="AU2416" s="73"/>
      <c r="AV2416" s="73"/>
      <c r="AW2416" s="73"/>
      <c r="AX2416" s="73"/>
      <c r="AY2416" s="73"/>
      <c r="AZ2416" s="73"/>
      <c r="BA2416" s="73"/>
      <c r="BB2416" s="73"/>
      <c r="BC2416" s="73"/>
      <c r="BD2416" s="73"/>
      <c r="BE2416" s="73"/>
      <c r="BF2416" s="75"/>
      <c r="BG2416" s="73"/>
      <c r="BH2416" s="88"/>
      <c r="BI2416" s="73"/>
      <c r="BJ2416" s="73"/>
      <c r="BK2416" s="73"/>
      <c r="BL2416" s="73"/>
      <c r="BM2416" s="73"/>
      <c r="BN2416" s="73"/>
      <c r="BO2416" s="73"/>
      <c r="BP2416" s="73"/>
      <c r="BQ2416" s="73"/>
      <c r="BR2416" s="73"/>
      <c r="BS2416" s="73"/>
      <c r="BT2416" s="73"/>
      <c r="BU2416" s="73"/>
      <c r="BV2416" s="73"/>
      <c r="BW2416" s="73"/>
      <c r="BX2416" s="73"/>
      <c r="BY2416" s="73"/>
      <c r="BZ2416" s="73"/>
      <c r="CA2416" s="73"/>
      <c r="CB2416" s="73"/>
      <c r="CC2416" s="73"/>
      <c r="CD2416" s="73"/>
      <c r="CE2416" s="73"/>
      <c r="CF2416" s="73"/>
      <c r="CG2416" s="73"/>
      <c r="CH2416" s="73"/>
    </row>
    <row r="2417">
      <c r="A2417" s="73"/>
      <c r="B2417" s="73"/>
      <c r="C2417" s="73"/>
      <c r="D2417" s="73"/>
      <c r="E2417" s="140"/>
      <c r="F2417" s="80"/>
      <c r="G2417" s="80"/>
      <c r="H2417" s="73"/>
      <c r="I2417" s="73"/>
      <c r="J2417" s="73"/>
      <c r="K2417" s="73"/>
      <c r="L2417" s="73"/>
      <c r="M2417" s="73"/>
      <c r="N2417" s="73"/>
      <c r="O2417" s="73"/>
      <c r="P2417" s="73"/>
      <c r="Q2417" s="73"/>
      <c r="R2417" s="73"/>
      <c r="S2417" s="73"/>
      <c r="T2417" s="73"/>
      <c r="U2417" s="73"/>
      <c r="V2417" s="73"/>
      <c r="W2417" s="73"/>
      <c r="X2417" s="73"/>
      <c r="Y2417" s="73"/>
      <c r="Z2417" s="73"/>
      <c r="AA2417" s="73"/>
      <c r="AB2417" s="73"/>
      <c r="AC2417" s="73"/>
      <c r="AD2417" s="73"/>
      <c r="AE2417" s="73"/>
      <c r="AF2417" s="73"/>
      <c r="AG2417" s="73"/>
      <c r="AH2417" s="73"/>
      <c r="AI2417" s="73"/>
      <c r="AJ2417" s="168"/>
      <c r="AK2417" s="73"/>
      <c r="AL2417" s="73"/>
      <c r="AM2417" s="73"/>
      <c r="AN2417" s="73"/>
      <c r="AO2417" s="73"/>
      <c r="AP2417" s="73"/>
      <c r="AQ2417" s="73"/>
      <c r="AR2417" s="73"/>
      <c r="AS2417" s="73"/>
      <c r="AT2417" s="73"/>
      <c r="AU2417" s="73"/>
      <c r="AV2417" s="73"/>
      <c r="AW2417" s="73"/>
      <c r="AX2417" s="73"/>
      <c r="AY2417" s="73"/>
      <c r="AZ2417" s="73"/>
      <c r="BA2417" s="73"/>
      <c r="BB2417" s="73"/>
      <c r="BC2417" s="73"/>
      <c r="BD2417" s="73"/>
      <c r="BE2417" s="73"/>
      <c r="BF2417" s="75"/>
      <c r="BG2417" s="73"/>
      <c r="BH2417" s="88"/>
      <c r="BI2417" s="73"/>
      <c r="BJ2417" s="73"/>
      <c r="BK2417" s="73"/>
      <c r="BL2417" s="73"/>
      <c r="BM2417" s="73"/>
      <c r="BN2417" s="73"/>
      <c r="BO2417" s="73"/>
      <c r="BP2417" s="73"/>
      <c r="BQ2417" s="73"/>
      <c r="BR2417" s="73"/>
      <c r="BS2417" s="73"/>
      <c r="BT2417" s="73"/>
      <c r="BU2417" s="73"/>
      <c r="BV2417" s="73"/>
      <c r="BW2417" s="73"/>
      <c r="BX2417" s="73"/>
      <c r="BY2417" s="73"/>
      <c r="BZ2417" s="73"/>
      <c r="CA2417" s="73"/>
      <c r="CB2417" s="73"/>
      <c r="CC2417" s="73"/>
      <c r="CD2417" s="73"/>
      <c r="CE2417" s="73"/>
      <c r="CF2417" s="73"/>
      <c r="CG2417" s="73"/>
      <c r="CH2417" s="73"/>
    </row>
    <row r="2418">
      <c r="A2418" s="73"/>
      <c r="B2418" s="73"/>
      <c r="C2418" s="73"/>
      <c r="D2418" s="73"/>
      <c r="E2418" s="140"/>
      <c r="F2418" s="80"/>
      <c r="G2418" s="80"/>
      <c r="H2418" s="73"/>
      <c r="I2418" s="73"/>
      <c r="J2418" s="73"/>
      <c r="K2418" s="73"/>
      <c r="L2418" s="73"/>
      <c r="M2418" s="73"/>
      <c r="N2418" s="73"/>
      <c r="O2418" s="73"/>
      <c r="P2418" s="73"/>
      <c r="Q2418" s="73"/>
      <c r="R2418" s="73"/>
      <c r="S2418" s="73"/>
      <c r="T2418" s="73"/>
      <c r="U2418" s="73"/>
      <c r="V2418" s="73"/>
      <c r="W2418" s="73"/>
      <c r="X2418" s="73"/>
      <c r="Y2418" s="73"/>
      <c r="Z2418" s="73"/>
      <c r="AA2418" s="73"/>
      <c r="AB2418" s="73"/>
      <c r="AC2418" s="73"/>
      <c r="AD2418" s="73"/>
      <c r="AE2418" s="73"/>
      <c r="AF2418" s="73"/>
      <c r="AG2418" s="73"/>
      <c r="AH2418" s="73"/>
      <c r="AI2418" s="73"/>
      <c r="AJ2418" s="168"/>
      <c r="AK2418" s="73"/>
      <c r="AL2418" s="73"/>
      <c r="AM2418" s="73"/>
      <c r="AN2418" s="73"/>
      <c r="AO2418" s="73"/>
      <c r="AP2418" s="73"/>
      <c r="AQ2418" s="73"/>
      <c r="AR2418" s="73"/>
      <c r="AS2418" s="73"/>
      <c r="AT2418" s="73"/>
      <c r="AU2418" s="73"/>
      <c r="AV2418" s="73"/>
      <c r="AW2418" s="73"/>
      <c r="AX2418" s="73"/>
      <c r="AY2418" s="73"/>
      <c r="AZ2418" s="73"/>
      <c r="BA2418" s="73"/>
      <c r="BB2418" s="73"/>
      <c r="BC2418" s="73"/>
      <c r="BD2418" s="73"/>
      <c r="BE2418" s="73"/>
      <c r="BF2418" s="75"/>
      <c r="BG2418" s="73"/>
      <c r="BH2418" s="88"/>
      <c r="BI2418" s="73"/>
      <c r="BJ2418" s="73"/>
      <c r="BK2418" s="73"/>
      <c r="BL2418" s="73"/>
      <c r="BM2418" s="73"/>
      <c r="BN2418" s="73"/>
      <c r="BO2418" s="73"/>
      <c r="BP2418" s="73"/>
      <c r="BQ2418" s="73"/>
      <c r="BR2418" s="73"/>
      <c r="BS2418" s="73"/>
      <c r="BT2418" s="73"/>
      <c r="BU2418" s="73"/>
      <c r="BV2418" s="73"/>
      <c r="BW2418" s="73"/>
      <c r="BX2418" s="73"/>
      <c r="BY2418" s="73"/>
      <c r="BZ2418" s="73"/>
      <c r="CA2418" s="73"/>
      <c r="CB2418" s="73"/>
      <c r="CC2418" s="73"/>
      <c r="CD2418" s="73"/>
      <c r="CE2418" s="73"/>
      <c r="CF2418" s="73"/>
      <c r="CG2418" s="73"/>
      <c r="CH2418" s="73"/>
    </row>
    <row r="2419">
      <c r="A2419" s="73"/>
      <c r="B2419" s="73"/>
      <c r="C2419" s="73"/>
      <c r="D2419" s="73"/>
      <c r="E2419" s="140"/>
      <c r="F2419" s="80"/>
      <c r="G2419" s="80"/>
      <c r="H2419" s="73"/>
      <c r="I2419" s="73"/>
      <c r="J2419" s="73"/>
      <c r="K2419" s="73"/>
      <c r="L2419" s="73"/>
      <c r="M2419" s="73"/>
      <c r="N2419" s="73"/>
      <c r="O2419" s="73"/>
      <c r="P2419" s="73"/>
      <c r="Q2419" s="73"/>
      <c r="R2419" s="73"/>
      <c r="S2419" s="73"/>
      <c r="T2419" s="73"/>
      <c r="U2419" s="73"/>
      <c r="V2419" s="73"/>
      <c r="W2419" s="73"/>
      <c r="X2419" s="73"/>
      <c r="Y2419" s="73"/>
      <c r="Z2419" s="73"/>
      <c r="AA2419" s="73"/>
      <c r="AB2419" s="73"/>
      <c r="AC2419" s="73"/>
      <c r="AD2419" s="73"/>
      <c r="AE2419" s="73"/>
      <c r="AF2419" s="73"/>
      <c r="AG2419" s="73"/>
      <c r="AH2419" s="73"/>
      <c r="AI2419" s="73"/>
      <c r="AJ2419" s="168"/>
      <c r="AK2419" s="73"/>
      <c r="AL2419" s="73"/>
      <c r="AM2419" s="73"/>
      <c r="AN2419" s="73"/>
      <c r="AO2419" s="73"/>
      <c r="AP2419" s="73"/>
      <c r="AQ2419" s="73"/>
      <c r="AR2419" s="73"/>
      <c r="AS2419" s="73"/>
      <c r="AT2419" s="73"/>
      <c r="AU2419" s="73"/>
      <c r="AV2419" s="73"/>
      <c r="AW2419" s="73"/>
      <c r="AX2419" s="73"/>
      <c r="AY2419" s="73"/>
      <c r="AZ2419" s="73"/>
      <c r="BA2419" s="73"/>
      <c r="BB2419" s="73"/>
      <c r="BC2419" s="73"/>
      <c r="BD2419" s="73"/>
      <c r="BE2419" s="73"/>
      <c r="BF2419" s="75"/>
      <c r="BG2419" s="73"/>
      <c r="BH2419" s="88"/>
      <c r="BI2419" s="73"/>
      <c r="BJ2419" s="73"/>
      <c r="BK2419" s="73"/>
      <c r="BL2419" s="73"/>
      <c r="BM2419" s="73"/>
      <c r="BN2419" s="73"/>
      <c r="BO2419" s="73"/>
      <c r="BP2419" s="73"/>
      <c r="BQ2419" s="73"/>
      <c r="BR2419" s="73"/>
      <c r="BS2419" s="73"/>
      <c r="BT2419" s="73"/>
      <c r="BU2419" s="73"/>
      <c r="BV2419" s="73"/>
      <c r="BW2419" s="73"/>
      <c r="BX2419" s="73"/>
      <c r="BY2419" s="73"/>
      <c r="BZ2419" s="73"/>
      <c r="CA2419" s="73"/>
      <c r="CB2419" s="73"/>
      <c r="CC2419" s="73"/>
      <c r="CD2419" s="73"/>
      <c r="CE2419" s="73"/>
      <c r="CF2419" s="73"/>
      <c r="CG2419" s="73"/>
      <c r="CH2419" s="73"/>
    </row>
    <row r="2420">
      <c r="A2420" s="73"/>
      <c r="B2420" s="73"/>
      <c r="C2420" s="73"/>
      <c r="D2420" s="73"/>
      <c r="E2420" s="140"/>
      <c r="F2420" s="80"/>
      <c r="G2420" s="80"/>
      <c r="H2420" s="73"/>
      <c r="I2420" s="73"/>
      <c r="J2420" s="73"/>
      <c r="K2420" s="73"/>
      <c r="L2420" s="73"/>
      <c r="M2420" s="73"/>
      <c r="N2420" s="73"/>
      <c r="O2420" s="73"/>
      <c r="P2420" s="73"/>
      <c r="Q2420" s="73"/>
      <c r="R2420" s="73"/>
      <c r="S2420" s="73"/>
      <c r="T2420" s="73"/>
      <c r="U2420" s="73"/>
      <c r="V2420" s="73"/>
      <c r="W2420" s="73"/>
      <c r="X2420" s="73"/>
      <c r="Y2420" s="73"/>
      <c r="Z2420" s="73"/>
      <c r="AA2420" s="73"/>
      <c r="AB2420" s="73"/>
      <c r="AC2420" s="73"/>
      <c r="AD2420" s="73"/>
      <c r="AE2420" s="73"/>
      <c r="AF2420" s="73"/>
      <c r="AG2420" s="73"/>
      <c r="AH2420" s="73"/>
      <c r="AI2420" s="73"/>
      <c r="AJ2420" s="168"/>
      <c r="AK2420" s="73"/>
      <c r="AL2420" s="73"/>
      <c r="AM2420" s="73"/>
      <c r="AN2420" s="73"/>
      <c r="AO2420" s="73"/>
      <c r="AP2420" s="73"/>
      <c r="AQ2420" s="73"/>
      <c r="AR2420" s="73"/>
      <c r="AS2420" s="73"/>
      <c r="AT2420" s="73"/>
      <c r="AU2420" s="73"/>
      <c r="AV2420" s="73"/>
      <c r="AW2420" s="73"/>
      <c r="AX2420" s="73"/>
      <c r="AY2420" s="73"/>
      <c r="AZ2420" s="73"/>
      <c r="BA2420" s="73"/>
      <c r="BB2420" s="73"/>
      <c r="BC2420" s="73"/>
      <c r="BD2420" s="73"/>
      <c r="BE2420" s="73"/>
      <c r="BF2420" s="75"/>
      <c r="BG2420" s="73"/>
      <c r="BH2420" s="88"/>
      <c r="BI2420" s="73"/>
      <c r="BJ2420" s="73"/>
      <c r="BK2420" s="73"/>
      <c r="BL2420" s="73"/>
      <c r="BM2420" s="73"/>
      <c r="BN2420" s="73"/>
      <c r="BO2420" s="73"/>
      <c r="BP2420" s="73"/>
      <c r="BQ2420" s="73"/>
      <c r="BR2420" s="73"/>
      <c r="BS2420" s="73"/>
      <c r="BT2420" s="73"/>
      <c r="BU2420" s="73"/>
      <c r="BV2420" s="73"/>
      <c r="BW2420" s="73"/>
      <c r="BX2420" s="73"/>
      <c r="BY2420" s="73"/>
      <c r="BZ2420" s="73"/>
      <c r="CA2420" s="73"/>
      <c r="CB2420" s="73"/>
      <c r="CC2420" s="73"/>
      <c r="CD2420" s="73"/>
      <c r="CE2420" s="73"/>
      <c r="CF2420" s="73"/>
      <c r="CG2420" s="73"/>
      <c r="CH2420" s="73"/>
    </row>
    <row r="2421">
      <c r="A2421" s="73"/>
      <c r="B2421" s="73"/>
      <c r="C2421" s="73"/>
      <c r="D2421" s="73"/>
      <c r="E2421" s="140"/>
      <c r="F2421" s="80"/>
      <c r="G2421" s="80"/>
      <c r="H2421" s="73"/>
      <c r="I2421" s="73"/>
      <c r="J2421" s="73"/>
      <c r="K2421" s="73"/>
      <c r="L2421" s="73"/>
      <c r="M2421" s="73"/>
      <c r="N2421" s="73"/>
      <c r="O2421" s="73"/>
      <c r="P2421" s="73"/>
      <c r="Q2421" s="73"/>
      <c r="R2421" s="73"/>
      <c r="S2421" s="73"/>
      <c r="T2421" s="73"/>
      <c r="U2421" s="73"/>
      <c r="V2421" s="73"/>
      <c r="W2421" s="73"/>
      <c r="X2421" s="73"/>
      <c r="Y2421" s="73"/>
      <c r="Z2421" s="73"/>
      <c r="AA2421" s="73"/>
      <c r="AB2421" s="73"/>
      <c r="AC2421" s="73"/>
      <c r="AD2421" s="73"/>
      <c r="AE2421" s="73"/>
      <c r="AF2421" s="73"/>
      <c r="AG2421" s="73"/>
      <c r="AH2421" s="73"/>
      <c r="AI2421" s="73"/>
      <c r="AJ2421" s="168"/>
      <c r="AK2421" s="73"/>
      <c r="AL2421" s="73"/>
      <c r="AM2421" s="73"/>
      <c r="AN2421" s="73"/>
      <c r="AO2421" s="73"/>
      <c r="AP2421" s="73"/>
      <c r="AQ2421" s="73"/>
      <c r="AR2421" s="73"/>
      <c r="AS2421" s="73"/>
      <c r="AT2421" s="73"/>
      <c r="AU2421" s="73"/>
      <c r="AV2421" s="73"/>
      <c r="AW2421" s="73"/>
      <c r="AX2421" s="73"/>
      <c r="AY2421" s="73"/>
      <c r="AZ2421" s="73"/>
      <c r="BA2421" s="73"/>
      <c r="BB2421" s="73"/>
      <c r="BC2421" s="73"/>
      <c r="BD2421" s="73"/>
      <c r="BE2421" s="73"/>
      <c r="BF2421" s="75"/>
      <c r="BG2421" s="73"/>
      <c r="BH2421" s="88"/>
      <c r="BI2421" s="73"/>
      <c r="BJ2421" s="73"/>
      <c r="BK2421" s="73"/>
      <c r="BL2421" s="73"/>
      <c r="BM2421" s="73"/>
      <c r="BN2421" s="73"/>
      <c r="BO2421" s="73"/>
      <c r="BP2421" s="73"/>
      <c r="BQ2421" s="73"/>
      <c r="BR2421" s="73"/>
      <c r="BS2421" s="73"/>
      <c r="BT2421" s="73"/>
      <c r="BU2421" s="73"/>
      <c r="BV2421" s="73"/>
      <c r="BW2421" s="73"/>
      <c r="BX2421" s="73"/>
      <c r="BY2421" s="73"/>
      <c r="BZ2421" s="73"/>
      <c r="CA2421" s="73"/>
      <c r="CB2421" s="73"/>
      <c r="CC2421" s="73"/>
      <c r="CD2421" s="73"/>
      <c r="CE2421" s="73"/>
      <c r="CF2421" s="73"/>
      <c r="CG2421" s="73"/>
      <c r="CH2421" s="73"/>
    </row>
    <row r="2422">
      <c r="A2422" s="73"/>
      <c r="B2422" s="73"/>
      <c r="C2422" s="73"/>
      <c r="D2422" s="73"/>
      <c r="E2422" s="140"/>
      <c r="F2422" s="80"/>
      <c r="G2422" s="80"/>
      <c r="H2422" s="73"/>
      <c r="I2422" s="73"/>
      <c r="J2422" s="73"/>
      <c r="K2422" s="73"/>
      <c r="L2422" s="73"/>
      <c r="M2422" s="73"/>
      <c r="N2422" s="73"/>
      <c r="O2422" s="73"/>
      <c r="P2422" s="73"/>
      <c r="Q2422" s="73"/>
      <c r="R2422" s="73"/>
      <c r="S2422" s="73"/>
      <c r="T2422" s="73"/>
      <c r="U2422" s="73"/>
      <c r="V2422" s="73"/>
      <c r="W2422" s="73"/>
      <c r="X2422" s="73"/>
      <c r="Y2422" s="73"/>
      <c r="Z2422" s="73"/>
      <c r="AA2422" s="73"/>
      <c r="AB2422" s="73"/>
      <c r="AC2422" s="73"/>
      <c r="AD2422" s="73"/>
      <c r="AE2422" s="73"/>
      <c r="AF2422" s="73"/>
      <c r="AG2422" s="73"/>
      <c r="AH2422" s="73"/>
      <c r="AI2422" s="73"/>
      <c r="AJ2422" s="168"/>
      <c r="AK2422" s="73"/>
      <c r="AL2422" s="73"/>
      <c r="AM2422" s="73"/>
      <c r="AN2422" s="73"/>
      <c r="AO2422" s="73"/>
      <c r="AP2422" s="73"/>
      <c r="AQ2422" s="73"/>
      <c r="AR2422" s="73"/>
      <c r="AS2422" s="73"/>
      <c r="AT2422" s="73"/>
      <c r="AU2422" s="73"/>
      <c r="AV2422" s="73"/>
      <c r="AW2422" s="73"/>
      <c r="AX2422" s="73"/>
      <c r="AY2422" s="73"/>
      <c r="AZ2422" s="73"/>
      <c r="BA2422" s="73"/>
      <c r="BB2422" s="73"/>
      <c r="BC2422" s="73"/>
      <c r="BD2422" s="73"/>
      <c r="BE2422" s="73"/>
      <c r="BF2422" s="75"/>
      <c r="BG2422" s="73"/>
      <c r="BH2422" s="88"/>
      <c r="BI2422" s="73"/>
      <c r="BJ2422" s="73"/>
      <c r="BK2422" s="73"/>
      <c r="BL2422" s="73"/>
      <c r="BM2422" s="73"/>
      <c r="BN2422" s="73"/>
      <c r="BO2422" s="73"/>
      <c r="BP2422" s="73"/>
      <c r="BQ2422" s="73"/>
      <c r="BR2422" s="73"/>
      <c r="BS2422" s="73"/>
      <c r="BT2422" s="73"/>
      <c r="BU2422" s="73"/>
      <c r="BV2422" s="73"/>
      <c r="BW2422" s="73"/>
      <c r="BX2422" s="73"/>
      <c r="BY2422" s="73"/>
      <c r="BZ2422" s="73"/>
      <c r="CA2422" s="73"/>
      <c r="CB2422" s="73"/>
      <c r="CC2422" s="73"/>
      <c r="CD2422" s="73"/>
      <c r="CE2422" s="73"/>
      <c r="CF2422" s="73"/>
      <c r="CG2422" s="73"/>
      <c r="CH2422" s="73"/>
    </row>
    <row r="2423">
      <c r="A2423" s="73"/>
      <c r="B2423" s="73"/>
      <c r="C2423" s="73"/>
      <c r="D2423" s="73"/>
      <c r="E2423" s="140"/>
      <c r="F2423" s="80"/>
      <c r="G2423" s="80"/>
      <c r="H2423" s="73"/>
      <c r="I2423" s="73"/>
      <c r="J2423" s="73"/>
      <c r="K2423" s="73"/>
      <c r="L2423" s="73"/>
      <c r="M2423" s="73"/>
      <c r="N2423" s="73"/>
      <c r="O2423" s="73"/>
      <c r="P2423" s="73"/>
      <c r="Q2423" s="73"/>
      <c r="R2423" s="73"/>
      <c r="S2423" s="73"/>
      <c r="T2423" s="73"/>
      <c r="U2423" s="73"/>
      <c r="V2423" s="73"/>
      <c r="W2423" s="73"/>
      <c r="X2423" s="73"/>
      <c r="Y2423" s="73"/>
      <c r="Z2423" s="73"/>
      <c r="AA2423" s="73"/>
      <c r="AB2423" s="73"/>
      <c r="AC2423" s="73"/>
      <c r="AD2423" s="73"/>
      <c r="AE2423" s="73"/>
      <c r="AF2423" s="73"/>
      <c r="AG2423" s="73"/>
      <c r="AH2423" s="73"/>
      <c r="AI2423" s="73"/>
      <c r="AJ2423" s="168"/>
      <c r="AK2423" s="73"/>
      <c r="AL2423" s="73"/>
      <c r="AM2423" s="73"/>
      <c r="AN2423" s="73"/>
      <c r="AO2423" s="73"/>
      <c r="AP2423" s="73"/>
      <c r="AQ2423" s="73"/>
      <c r="AR2423" s="73"/>
      <c r="AS2423" s="73"/>
      <c r="AT2423" s="73"/>
      <c r="AU2423" s="73"/>
      <c r="AV2423" s="73"/>
      <c r="AW2423" s="73"/>
      <c r="AX2423" s="73"/>
      <c r="AY2423" s="73"/>
      <c r="AZ2423" s="73"/>
      <c r="BA2423" s="73"/>
      <c r="BB2423" s="73"/>
      <c r="BC2423" s="73"/>
      <c r="BD2423" s="73"/>
      <c r="BE2423" s="73"/>
      <c r="BF2423" s="75"/>
      <c r="BG2423" s="73"/>
      <c r="BH2423" s="88"/>
      <c r="BI2423" s="73"/>
      <c r="BJ2423" s="73"/>
      <c r="BK2423" s="73"/>
      <c r="BL2423" s="73"/>
      <c r="BM2423" s="73"/>
      <c r="BN2423" s="73"/>
      <c r="BO2423" s="73"/>
      <c r="BP2423" s="73"/>
      <c r="BQ2423" s="73"/>
      <c r="BR2423" s="73"/>
      <c r="BS2423" s="73"/>
      <c r="BT2423" s="73"/>
      <c r="BU2423" s="73"/>
      <c r="BV2423" s="73"/>
      <c r="BW2423" s="73"/>
      <c r="BX2423" s="73"/>
      <c r="BY2423" s="73"/>
      <c r="BZ2423" s="73"/>
      <c r="CA2423" s="73"/>
      <c r="CB2423" s="73"/>
      <c r="CC2423" s="73"/>
      <c r="CD2423" s="73"/>
      <c r="CE2423" s="73"/>
      <c r="CF2423" s="73"/>
      <c r="CG2423" s="73"/>
      <c r="CH2423" s="73"/>
    </row>
    <row r="2424">
      <c r="A2424" s="73"/>
      <c r="B2424" s="73"/>
      <c r="C2424" s="73"/>
      <c r="D2424" s="73"/>
      <c r="E2424" s="140"/>
      <c r="F2424" s="80"/>
      <c r="G2424" s="80"/>
      <c r="H2424" s="73"/>
      <c r="I2424" s="73"/>
      <c r="J2424" s="73"/>
      <c r="K2424" s="73"/>
      <c r="L2424" s="73"/>
      <c r="M2424" s="73"/>
      <c r="N2424" s="73"/>
      <c r="O2424" s="73"/>
      <c r="P2424" s="73"/>
      <c r="Q2424" s="73"/>
      <c r="R2424" s="73"/>
      <c r="S2424" s="73"/>
      <c r="T2424" s="73"/>
      <c r="U2424" s="73"/>
      <c r="V2424" s="73"/>
      <c r="W2424" s="73"/>
      <c r="X2424" s="73"/>
      <c r="Y2424" s="73"/>
      <c r="Z2424" s="73"/>
      <c r="AA2424" s="73"/>
      <c r="AB2424" s="73"/>
      <c r="AC2424" s="73"/>
      <c r="AD2424" s="73"/>
      <c r="AE2424" s="73"/>
      <c r="AF2424" s="73"/>
      <c r="AG2424" s="73"/>
      <c r="AH2424" s="73"/>
      <c r="AI2424" s="73"/>
      <c r="AJ2424" s="168"/>
      <c r="AK2424" s="73"/>
      <c r="AL2424" s="73"/>
      <c r="AM2424" s="73"/>
      <c r="AN2424" s="73"/>
      <c r="AO2424" s="73"/>
      <c r="AP2424" s="73"/>
      <c r="AQ2424" s="73"/>
      <c r="AR2424" s="73"/>
      <c r="AS2424" s="73"/>
      <c r="AT2424" s="73"/>
      <c r="AU2424" s="73"/>
      <c r="AV2424" s="73"/>
      <c r="AW2424" s="73"/>
      <c r="AX2424" s="73"/>
      <c r="AY2424" s="73"/>
      <c r="AZ2424" s="73"/>
      <c r="BA2424" s="73"/>
      <c r="BB2424" s="73"/>
      <c r="BC2424" s="73"/>
      <c r="BD2424" s="73"/>
      <c r="BE2424" s="73"/>
      <c r="BF2424" s="75"/>
      <c r="BG2424" s="73"/>
      <c r="BH2424" s="88"/>
      <c r="BI2424" s="73"/>
      <c r="BJ2424" s="73"/>
      <c r="BK2424" s="73"/>
      <c r="BL2424" s="73"/>
      <c r="BM2424" s="73"/>
      <c r="BN2424" s="73"/>
      <c r="BO2424" s="73"/>
      <c r="BP2424" s="73"/>
      <c r="BQ2424" s="73"/>
      <c r="BR2424" s="73"/>
      <c r="BS2424" s="73"/>
      <c r="BT2424" s="73"/>
      <c r="BU2424" s="73"/>
      <c r="BV2424" s="73"/>
      <c r="BW2424" s="73"/>
      <c r="BX2424" s="73"/>
      <c r="BY2424" s="73"/>
      <c r="BZ2424" s="73"/>
      <c r="CA2424" s="73"/>
      <c r="CB2424" s="73"/>
      <c r="CC2424" s="73"/>
      <c r="CD2424" s="73"/>
      <c r="CE2424" s="73"/>
      <c r="CF2424" s="73"/>
      <c r="CG2424" s="73"/>
      <c r="CH2424" s="73"/>
    </row>
    <row r="2425">
      <c r="A2425" s="73"/>
      <c r="B2425" s="73"/>
      <c r="C2425" s="73"/>
      <c r="D2425" s="73"/>
      <c r="E2425" s="140"/>
      <c r="F2425" s="80"/>
      <c r="G2425" s="80"/>
      <c r="H2425" s="73"/>
      <c r="I2425" s="73"/>
      <c r="J2425" s="73"/>
      <c r="K2425" s="73"/>
      <c r="L2425" s="73"/>
      <c r="M2425" s="73"/>
      <c r="N2425" s="73"/>
      <c r="O2425" s="73"/>
      <c r="P2425" s="73"/>
      <c r="Q2425" s="73"/>
      <c r="R2425" s="73"/>
      <c r="S2425" s="73"/>
      <c r="T2425" s="73"/>
      <c r="U2425" s="73"/>
      <c r="V2425" s="73"/>
      <c r="W2425" s="73"/>
      <c r="X2425" s="73"/>
      <c r="Y2425" s="73"/>
      <c r="Z2425" s="73"/>
      <c r="AA2425" s="73"/>
      <c r="AB2425" s="73"/>
      <c r="AC2425" s="73"/>
      <c r="AD2425" s="73"/>
      <c r="AE2425" s="73"/>
      <c r="AF2425" s="73"/>
      <c r="AG2425" s="73"/>
      <c r="AH2425" s="73"/>
      <c r="AI2425" s="73"/>
      <c r="AJ2425" s="168"/>
      <c r="AK2425" s="73"/>
      <c r="AL2425" s="73"/>
      <c r="AM2425" s="73"/>
      <c r="AN2425" s="73"/>
      <c r="AO2425" s="73"/>
      <c r="AP2425" s="73"/>
      <c r="AQ2425" s="73"/>
      <c r="AR2425" s="73"/>
      <c r="AS2425" s="73"/>
      <c r="AT2425" s="73"/>
      <c r="AU2425" s="73"/>
      <c r="AV2425" s="73"/>
      <c r="AW2425" s="73"/>
      <c r="AX2425" s="73"/>
      <c r="AY2425" s="73"/>
      <c r="AZ2425" s="73"/>
      <c r="BA2425" s="73"/>
      <c r="BB2425" s="73"/>
      <c r="BC2425" s="73"/>
      <c r="BD2425" s="73"/>
      <c r="BE2425" s="73"/>
      <c r="BF2425" s="75"/>
      <c r="BG2425" s="73"/>
      <c r="BH2425" s="88"/>
      <c r="BI2425" s="73"/>
      <c r="BJ2425" s="73"/>
      <c r="BK2425" s="73"/>
      <c r="BL2425" s="73"/>
      <c r="BM2425" s="73"/>
      <c r="BN2425" s="73"/>
      <c r="BO2425" s="73"/>
      <c r="BP2425" s="73"/>
      <c r="BQ2425" s="73"/>
      <c r="BR2425" s="73"/>
      <c r="BS2425" s="73"/>
      <c r="BT2425" s="73"/>
      <c r="BU2425" s="73"/>
      <c r="BV2425" s="73"/>
      <c r="BW2425" s="73"/>
      <c r="BX2425" s="73"/>
      <c r="BY2425" s="73"/>
      <c r="BZ2425" s="73"/>
      <c r="CA2425" s="73"/>
      <c r="CB2425" s="73"/>
      <c r="CC2425" s="73"/>
      <c r="CD2425" s="73"/>
      <c r="CE2425" s="73"/>
      <c r="CF2425" s="73"/>
      <c r="CG2425" s="73"/>
      <c r="CH2425" s="73"/>
    </row>
    <row r="2426">
      <c r="A2426" s="73"/>
      <c r="B2426" s="73"/>
      <c r="C2426" s="73"/>
      <c r="D2426" s="73"/>
      <c r="E2426" s="140"/>
      <c r="F2426" s="80"/>
      <c r="G2426" s="80"/>
      <c r="H2426" s="73"/>
      <c r="I2426" s="73"/>
      <c r="J2426" s="73"/>
      <c r="K2426" s="73"/>
      <c r="L2426" s="73"/>
      <c r="M2426" s="73"/>
      <c r="N2426" s="73"/>
      <c r="O2426" s="73"/>
      <c r="P2426" s="73"/>
      <c r="Q2426" s="73"/>
      <c r="R2426" s="73"/>
      <c r="S2426" s="73"/>
      <c r="T2426" s="73"/>
      <c r="U2426" s="73"/>
      <c r="V2426" s="73"/>
      <c r="W2426" s="73"/>
      <c r="X2426" s="73"/>
      <c r="Y2426" s="73"/>
      <c r="Z2426" s="73"/>
      <c r="AA2426" s="73"/>
      <c r="AB2426" s="73"/>
      <c r="AC2426" s="73"/>
      <c r="AD2426" s="73"/>
      <c r="AE2426" s="73"/>
      <c r="AF2426" s="73"/>
      <c r="AG2426" s="73"/>
      <c r="AH2426" s="73"/>
      <c r="AI2426" s="73"/>
      <c r="AJ2426" s="168"/>
      <c r="AK2426" s="73"/>
      <c r="AL2426" s="73"/>
      <c r="AM2426" s="73"/>
      <c r="AN2426" s="73"/>
      <c r="AO2426" s="73"/>
      <c r="AP2426" s="73"/>
      <c r="AQ2426" s="73"/>
      <c r="AR2426" s="73"/>
      <c r="AS2426" s="73"/>
      <c r="AT2426" s="73"/>
      <c r="AU2426" s="73"/>
      <c r="AV2426" s="73"/>
      <c r="AW2426" s="73"/>
      <c r="AX2426" s="73"/>
      <c r="AY2426" s="73"/>
      <c r="AZ2426" s="73"/>
      <c r="BA2426" s="73"/>
      <c r="BB2426" s="73"/>
      <c r="BC2426" s="73"/>
      <c r="BD2426" s="73"/>
      <c r="BE2426" s="73"/>
      <c r="BF2426" s="75"/>
      <c r="BG2426" s="73"/>
      <c r="BH2426" s="88"/>
      <c r="BI2426" s="73"/>
      <c r="BJ2426" s="73"/>
      <c r="BK2426" s="73"/>
      <c r="BL2426" s="73"/>
      <c r="BM2426" s="73"/>
      <c r="BN2426" s="73"/>
      <c r="BO2426" s="73"/>
      <c r="BP2426" s="73"/>
      <c r="BQ2426" s="73"/>
      <c r="BR2426" s="73"/>
      <c r="BS2426" s="73"/>
      <c r="BT2426" s="73"/>
      <c r="BU2426" s="73"/>
      <c r="BV2426" s="73"/>
      <c r="BW2426" s="73"/>
      <c r="BX2426" s="73"/>
      <c r="BY2426" s="73"/>
      <c r="BZ2426" s="73"/>
      <c r="CA2426" s="73"/>
      <c r="CB2426" s="73"/>
      <c r="CC2426" s="73"/>
      <c r="CD2426" s="73"/>
      <c r="CE2426" s="73"/>
      <c r="CF2426" s="73"/>
      <c r="CG2426" s="73"/>
      <c r="CH2426" s="73"/>
    </row>
    <row r="2427">
      <c r="A2427" s="73"/>
      <c r="B2427" s="73"/>
      <c r="C2427" s="73"/>
      <c r="D2427" s="73"/>
      <c r="E2427" s="140"/>
      <c r="F2427" s="80"/>
      <c r="G2427" s="80"/>
      <c r="H2427" s="73"/>
      <c r="I2427" s="73"/>
      <c r="J2427" s="73"/>
      <c r="K2427" s="73"/>
      <c r="L2427" s="73"/>
      <c r="M2427" s="73"/>
      <c r="N2427" s="73"/>
      <c r="O2427" s="73"/>
      <c r="P2427" s="73"/>
      <c r="Q2427" s="73"/>
      <c r="R2427" s="73"/>
      <c r="S2427" s="73"/>
      <c r="T2427" s="73"/>
      <c r="U2427" s="73"/>
      <c r="V2427" s="73"/>
      <c r="W2427" s="73"/>
      <c r="X2427" s="73"/>
      <c r="Y2427" s="73"/>
      <c r="Z2427" s="73"/>
      <c r="AA2427" s="73"/>
      <c r="AB2427" s="73"/>
      <c r="AC2427" s="73"/>
      <c r="AD2427" s="73"/>
      <c r="AE2427" s="73"/>
      <c r="AF2427" s="73"/>
      <c r="AG2427" s="73"/>
      <c r="AH2427" s="73"/>
      <c r="AI2427" s="73"/>
      <c r="AJ2427" s="168"/>
      <c r="AK2427" s="73"/>
      <c r="AL2427" s="73"/>
      <c r="AM2427" s="73"/>
      <c r="AN2427" s="73"/>
      <c r="AO2427" s="73"/>
      <c r="AP2427" s="73"/>
      <c r="AQ2427" s="73"/>
      <c r="AR2427" s="73"/>
      <c r="AS2427" s="73"/>
      <c r="AT2427" s="73"/>
      <c r="AU2427" s="73"/>
      <c r="AV2427" s="73"/>
      <c r="AW2427" s="73"/>
      <c r="AX2427" s="73"/>
      <c r="AY2427" s="73"/>
      <c r="AZ2427" s="73"/>
      <c r="BA2427" s="73"/>
      <c r="BB2427" s="73"/>
      <c r="BC2427" s="73"/>
      <c r="BD2427" s="73"/>
      <c r="BE2427" s="73"/>
      <c r="BF2427" s="75"/>
      <c r="BG2427" s="73"/>
      <c r="BH2427" s="88"/>
      <c r="BI2427" s="73"/>
      <c r="BJ2427" s="73"/>
      <c r="BK2427" s="73"/>
      <c r="BL2427" s="73"/>
      <c r="BM2427" s="73"/>
      <c r="BN2427" s="73"/>
      <c r="BO2427" s="73"/>
      <c r="BP2427" s="73"/>
      <c r="BQ2427" s="73"/>
      <c r="BR2427" s="73"/>
      <c r="BS2427" s="73"/>
      <c r="BT2427" s="73"/>
      <c r="BU2427" s="73"/>
      <c r="BV2427" s="73"/>
      <c r="BW2427" s="73"/>
      <c r="BX2427" s="73"/>
      <c r="BY2427" s="73"/>
      <c r="BZ2427" s="73"/>
      <c r="CA2427" s="73"/>
      <c r="CB2427" s="73"/>
      <c r="CC2427" s="73"/>
      <c r="CD2427" s="73"/>
      <c r="CE2427" s="73"/>
      <c r="CF2427" s="73"/>
      <c r="CG2427" s="73"/>
      <c r="CH2427" s="73"/>
    </row>
    <row r="2428">
      <c r="A2428" s="73"/>
      <c r="B2428" s="73"/>
      <c r="C2428" s="73"/>
      <c r="D2428" s="73"/>
      <c r="E2428" s="140"/>
      <c r="F2428" s="80"/>
      <c r="G2428" s="80"/>
      <c r="H2428" s="73"/>
      <c r="I2428" s="73"/>
      <c r="J2428" s="73"/>
      <c r="K2428" s="73"/>
      <c r="L2428" s="73"/>
      <c r="M2428" s="73"/>
      <c r="N2428" s="73"/>
      <c r="O2428" s="73"/>
      <c r="P2428" s="73"/>
      <c r="Q2428" s="73"/>
      <c r="R2428" s="73"/>
      <c r="S2428" s="73"/>
      <c r="T2428" s="73"/>
      <c r="U2428" s="73"/>
      <c r="V2428" s="73"/>
      <c r="W2428" s="73"/>
      <c r="X2428" s="73"/>
      <c r="Y2428" s="73"/>
      <c r="Z2428" s="73"/>
      <c r="AA2428" s="73"/>
      <c r="AB2428" s="73"/>
      <c r="AC2428" s="73"/>
      <c r="AD2428" s="73"/>
      <c r="AE2428" s="73"/>
      <c r="AF2428" s="73"/>
      <c r="AG2428" s="73"/>
      <c r="AH2428" s="73"/>
      <c r="AI2428" s="73"/>
      <c r="AJ2428" s="168"/>
      <c r="AK2428" s="73"/>
      <c r="AL2428" s="73"/>
      <c r="AM2428" s="73"/>
      <c r="AN2428" s="73"/>
      <c r="AO2428" s="73"/>
      <c r="AP2428" s="73"/>
      <c r="AQ2428" s="73"/>
      <c r="AR2428" s="73"/>
      <c r="AS2428" s="73"/>
      <c r="AT2428" s="73"/>
      <c r="AU2428" s="73"/>
      <c r="AV2428" s="73"/>
      <c r="AW2428" s="73"/>
      <c r="AX2428" s="73"/>
      <c r="AY2428" s="73"/>
      <c r="AZ2428" s="73"/>
      <c r="BA2428" s="73"/>
      <c r="BB2428" s="73"/>
      <c r="BC2428" s="73"/>
      <c r="BD2428" s="73"/>
      <c r="BE2428" s="73"/>
      <c r="BF2428" s="75"/>
      <c r="BG2428" s="73"/>
      <c r="BH2428" s="88"/>
      <c r="BI2428" s="73"/>
      <c r="BJ2428" s="73"/>
      <c r="BK2428" s="73"/>
      <c r="BL2428" s="73"/>
      <c r="BM2428" s="73"/>
      <c r="BN2428" s="73"/>
      <c r="BO2428" s="73"/>
      <c r="BP2428" s="73"/>
      <c r="BQ2428" s="73"/>
      <c r="BR2428" s="73"/>
      <c r="BS2428" s="73"/>
      <c r="BT2428" s="73"/>
      <c r="BU2428" s="73"/>
      <c r="BV2428" s="73"/>
      <c r="BW2428" s="73"/>
      <c r="BX2428" s="73"/>
      <c r="BY2428" s="73"/>
      <c r="BZ2428" s="73"/>
      <c r="CA2428" s="73"/>
      <c r="CB2428" s="73"/>
      <c r="CC2428" s="73"/>
      <c r="CD2428" s="73"/>
      <c r="CE2428" s="73"/>
      <c r="CF2428" s="73"/>
      <c r="CG2428" s="73"/>
      <c r="CH2428" s="73"/>
    </row>
    <row r="2429">
      <c r="A2429" s="73"/>
      <c r="B2429" s="73"/>
      <c r="C2429" s="73"/>
      <c r="D2429" s="73"/>
      <c r="E2429" s="140"/>
      <c r="F2429" s="80"/>
      <c r="G2429" s="80"/>
      <c r="H2429" s="73"/>
      <c r="I2429" s="73"/>
      <c r="J2429" s="73"/>
      <c r="K2429" s="73"/>
      <c r="L2429" s="73"/>
      <c r="M2429" s="73"/>
      <c r="N2429" s="73"/>
      <c r="O2429" s="73"/>
      <c r="P2429" s="73"/>
      <c r="Q2429" s="73"/>
      <c r="R2429" s="73"/>
      <c r="S2429" s="73"/>
      <c r="T2429" s="73"/>
      <c r="U2429" s="73"/>
      <c r="V2429" s="73"/>
      <c r="W2429" s="73"/>
      <c r="X2429" s="73"/>
      <c r="Y2429" s="73"/>
      <c r="Z2429" s="73"/>
      <c r="AA2429" s="73"/>
      <c r="AB2429" s="73"/>
      <c r="AC2429" s="73"/>
      <c r="AD2429" s="73"/>
      <c r="AE2429" s="73"/>
      <c r="AF2429" s="73"/>
      <c r="AG2429" s="73"/>
      <c r="AH2429" s="73"/>
      <c r="AI2429" s="73"/>
      <c r="AJ2429" s="168"/>
      <c r="AK2429" s="73"/>
      <c r="AL2429" s="73"/>
      <c r="AM2429" s="73"/>
      <c r="AN2429" s="73"/>
      <c r="AO2429" s="73"/>
      <c r="AP2429" s="73"/>
      <c r="AQ2429" s="73"/>
      <c r="AR2429" s="73"/>
      <c r="AS2429" s="73"/>
      <c r="AT2429" s="73"/>
      <c r="AU2429" s="73"/>
      <c r="AV2429" s="73"/>
      <c r="AW2429" s="73"/>
      <c r="AX2429" s="73"/>
      <c r="AY2429" s="73"/>
      <c r="AZ2429" s="73"/>
      <c r="BA2429" s="73"/>
      <c r="BB2429" s="73"/>
      <c r="BC2429" s="73"/>
      <c r="BD2429" s="73"/>
      <c r="BE2429" s="73"/>
      <c r="BF2429" s="75"/>
      <c r="BG2429" s="73"/>
      <c r="BH2429" s="88"/>
      <c r="BI2429" s="73"/>
      <c r="BJ2429" s="73"/>
      <c r="BK2429" s="73"/>
      <c r="BL2429" s="73"/>
      <c r="BM2429" s="73"/>
      <c r="BN2429" s="73"/>
      <c r="BO2429" s="73"/>
      <c r="BP2429" s="73"/>
      <c r="BQ2429" s="73"/>
      <c r="BR2429" s="73"/>
      <c r="BS2429" s="73"/>
      <c r="BT2429" s="73"/>
      <c r="BU2429" s="73"/>
      <c r="BV2429" s="73"/>
      <c r="BW2429" s="73"/>
      <c r="BX2429" s="73"/>
      <c r="BY2429" s="73"/>
      <c r="BZ2429" s="73"/>
      <c r="CA2429" s="73"/>
      <c r="CB2429" s="73"/>
      <c r="CC2429" s="73"/>
      <c r="CD2429" s="73"/>
      <c r="CE2429" s="73"/>
      <c r="CF2429" s="73"/>
      <c r="CG2429" s="73"/>
      <c r="CH2429" s="73"/>
    </row>
    <row r="2430">
      <c r="A2430" s="73"/>
      <c r="B2430" s="73"/>
      <c r="C2430" s="73"/>
      <c r="D2430" s="73"/>
      <c r="E2430" s="140"/>
      <c r="F2430" s="80"/>
      <c r="G2430" s="80"/>
      <c r="H2430" s="73"/>
      <c r="I2430" s="73"/>
      <c r="J2430" s="73"/>
      <c r="K2430" s="73"/>
      <c r="L2430" s="73"/>
      <c r="M2430" s="73"/>
      <c r="N2430" s="73"/>
      <c r="O2430" s="73"/>
      <c r="P2430" s="73"/>
      <c r="Q2430" s="73"/>
      <c r="R2430" s="73"/>
      <c r="S2430" s="73"/>
      <c r="T2430" s="73"/>
      <c r="U2430" s="73"/>
      <c r="V2430" s="73"/>
      <c r="W2430" s="73"/>
      <c r="X2430" s="73"/>
      <c r="Y2430" s="73"/>
      <c r="Z2430" s="73"/>
      <c r="AA2430" s="73"/>
      <c r="AB2430" s="73"/>
      <c r="AC2430" s="73"/>
      <c r="AD2430" s="73"/>
      <c r="AE2430" s="73"/>
      <c r="AF2430" s="73"/>
      <c r="AG2430" s="73"/>
      <c r="AH2430" s="73"/>
      <c r="AI2430" s="73"/>
      <c r="AJ2430" s="168"/>
      <c r="AK2430" s="73"/>
      <c r="AL2430" s="73"/>
      <c r="AM2430" s="73"/>
      <c r="AN2430" s="73"/>
      <c r="AO2430" s="73"/>
      <c r="AP2430" s="73"/>
      <c r="AQ2430" s="73"/>
      <c r="AR2430" s="73"/>
      <c r="AS2430" s="73"/>
      <c r="AT2430" s="73"/>
      <c r="AU2430" s="73"/>
      <c r="AV2430" s="73"/>
      <c r="AW2430" s="73"/>
      <c r="AX2430" s="73"/>
      <c r="AY2430" s="73"/>
      <c r="AZ2430" s="73"/>
      <c r="BA2430" s="73"/>
      <c r="BB2430" s="73"/>
      <c r="BC2430" s="73"/>
      <c r="BD2430" s="73"/>
      <c r="BE2430" s="73"/>
      <c r="BF2430" s="75"/>
      <c r="BG2430" s="73"/>
      <c r="BH2430" s="88"/>
      <c r="BI2430" s="73"/>
      <c r="BJ2430" s="73"/>
      <c r="BK2430" s="73"/>
      <c r="BL2430" s="73"/>
      <c r="BM2430" s="73"/>
      <c r="BN2430" s="73"/>
      <c r="BO2430" s="73"/>
      <c r="BP2430" s="73"/>
      <c r="BQ2430" s="73"/>
      <c r="BR2430" s="73"/>
      <c r="BS2430" s="73"/>
      <c r="BT2430" s="73"/>
      <c r="BU2430" s="73"/>
      <c r="BV2430" s="73"/>
      <c r="BW2430" s="73"/>
      <c r="BX2430" s="73"/>
      <c r="BY2430" s="73"/>
      <c r="BZ2430" s="73"/>
      <c r="CA2430" s="73"/>
      <c r="CB2430" s="73"/>
      <c r="CC2430" s="73"/>
      <c r="CD2430" s="73"/>
      <c r="CE2430" s="73"/>
      <c r="CF2430" s="73"/>
      <c r="CG2430" s="73"/>
      <c r="CH2430" s="73"/>
    </row>
    <row r="2431">
      <c r="A2431" s="73"/>
      <c r="B2431" s="73"/>
      <c r="C2431" s="73"/>
      <c r="D2431" s="73"/>
      <c r="E2431" s="140"/>
      <c r="F2431" s="80"/>
      <c r="G2431" s="80"/>
      <c r="H2431" s="73"/>
      <c r="I2431" s="73"/>
      <c r="J2431" s="73"/>
      <c r="K2431" s="73"/>
      <c r="L2431" s="73"/>
      <c r="M2431" s="73"/>
      <c r="N2431" s="73"/>
      <c r="O2431" s="73"/>
      <c r="P2431" s="73"/>
      <c r="Q2431" s="73"/>
      <c r="R2431" s="73"/>
      <c r="S2431" s="73"/>
      <c r="T2431" s="73"/>
      <c r="U2431" s="73"/>
      <c r="V2431" s="73"/>
      <c r="W2431" s="73"/>
      <c r="X2431" s="73"/>
      <c r="Y2431" s="73"/>
      <c r="Z2431" s="73"/>
      <c r="AA2431" s="73"/>
      <c r="AB2431" s="73"/>
      <c r="AC2431" s="73"/>
      <c r="AD2431" s="73"/>
      <c r="AE2431" s="73"/>
      <c r="AF2431" s="73"/>
      <c r="AG2431" s="73"/>
      <c r="AH2431" s="73"/>
      <c r="AI2431" s="73"/>
      <c r="AJ2431" s="168"/>
      <c r="AK2431" s="73"/>
      <c r="AL2431" s="73"/>
      <c r="AM2431" s="73"/>
      <c r="AN2431" s="73"/>
      <c r="AO2431" s="73"/>
      <c r="AP2431" s="73"/>
      <c r="AQ2431" s="73"/>
      <c r="AR2431" s="73"/>
      <c r="AS2431" s="73"/>
      <c r="AT2431" s="73"/>
      <c r="AU2431" s="73"/>
      <c r="AV2431" s="73"/>
      <c r="AW2431" s="73"/>
      <c r="AX2431" s="73"/>
      <c r="AY2431" s="73"/>
      <c r="AZ2431" s="73"/>
      <c r="BA2431" s="73"/>
      <c r="BB2431" s="73"/>
      <c r="BC2431" s="73"/>
      <c r="BD2431" s="73"/>
      <c r="BE2431" s="73"/>
      <c r="BF2431" s="75"/>
      <c r="BG2431" s="73"/>
      <c r="BH2431" s="88"/>
      <c r="BI2431" s="73"/>
      <c r="BJ2431" s="73"/>
      <c r="BK2431" s="73"/>
      <c r="BL2431" s="73"/>
      <c r="BM2431" s="73"/>
      <c r="BN2431" s="73"/>
      <c r="BO2431" s="73"/>
      <c r="BP2431" s="73"/>
      <c r="BQ2431" s="73"/>
      <c r="BR2431" s="73"/>
      <c r="BS2431" s="73"/>
      <c r="BT2431" s="73"/>
      <c r="BU2431" s="73"/>
      <c r="BV2431" s="73"/>
      <c r="BW2431" s="73"/>
      <c r="BX2431" s="73"/>
      <c r="BY2431" s="73"/>
      <c r="BZ2431" s="73"/>
      <c r="CA2431" s="73"/>
      <c r="CB2431" s="73"/>
      <c r="CC2431" s="73"/>
      <c r="CD2431" s="73"/>
      <c r="CE2431" s="73"/>
      <c r="CF2431" s="73"/>
      <c r="CG2431" s="73"/>
      <c r="CH2431" s="73"/>
    </row>
    <row r="2432">
      <c r="A2432" s="73"/>
      <c r="B2432" s="73"/>
      <c r="C2432" s="73"/>
      <c r="D2432" s="73"/>
      <c r="E2432" s="140"/>
      <c r="F2432" s="80"/>
      <c r="G2432" s="80"/>
      <c r="H2432" s="73"/>
      <c r="I2432" s="73"/>
      <c r="J2432" s="73"/>
      <c r="K2432" s="73"/>
      <c r="L2432" s="73"/>
      <c r="M2432" s="73"/>
      <c r="N2432" s="73"/>
      <c r="O2432" s="73"/>
      <c r="P2432" s="73"/>
      <c r="Q2432" s="73"/>
      <c r="R2432" s="73"/>
      <c r="S2432" s="73"/>
      <c r="T2432" s="73"/>
      <c r="U2432" s="73"/>
      <c r="V2432" s="73"/>
      <c r="W2432" s="73"/>
      <c r="X2432" s="73"/>
      <c r="Y2432" s="73"/>
      <c r="Z2432" s="73"/>
      <c r="AA2432" s="73"/>
      <c r="AB2432" s="73"/>
      <c r="AC2432" s="73"/>
      <c r="AD2432" s="73"/>
      <c r="AE2432" s="73"/>
      <c r="AF2432" s="73"/>
      <c r="AG2432" s="73"/>
      <c r="AH2432" s="73"/>
      <c r="AI2432" s="73"/>
      <c r="AJ2432" s="168"/>
      <c r="AK2432" s="73"/>
      <c r="AL2432" s="73"/>
      <c r="AM2432" s="73"/>
      <c r="AN2432" s="73"/>
      <c r="AO2432" s="73"/>
      <c r="AP2432" s="73"/>
      <c r="AQ2432" s="73"/>
      <c r="AR2432" s="73"/>
      <c r="AS2432" s="73"/>
      <c r="AT2432" s="73"/>
      <c r="AU2432" s="73"/>
      <c r="AV2432" s="73"/>
      <c r="AW2432" s="73"/>
      <c r="AX2432" s="73"/>
      <c r="AY2432" s="73"/>
      <c r="AZ2432" s="73"/>
      <c r="BA2432" s="73"/>
      <c r="BB2432" s="73"/>
      <c r="BC2432" s="73"/>
      <c r="BD2432" s="73"/>
      <c r="BE2432" s="73"/>
      <c r="BF2432" s="75"/>
      <c r="BG2432" s="73"/>
      <c r="BH2432" s="88"/>
      <c r="BI2432" s="73"/>
      <c r="BJ2432" s="73"/>
      <c r="BK2432" s="73"/>
      <c r="BL2432" s="73"/>
      <c r="BM2432" s="73"/>
      <c r="BN2432" s="73"/>
      <c r="BO2432" s="73"/>
      <c r="BP2432" s="73"/>
      <c r="BQ2432" s="73"/>
      <c r="BR2432" s="73"/>
      <c r="BS2432" s="73"/>
      <c r="BT2432" s="73"/>
      <c r="BU2432" s="73"/>
      <c r="BV2432" s="73"/>
      <c r="BW2432" s="73"/>
      <c r="BX2432" s="73"/>
      <c r="BY2432" s="73"/>
      <c r="BZ2432" s="73"/>
      <c r="CA2432" s="73"/>
      <c r="CB2432" s="73"/>
      <c r="CC2432" s="73"/>
      <c r="CD2432" s="73"/>
      <c r="CE2432" s="73"/>
      <c r="CF2432" s="73"/>
      <c r="CG2432" s="73"/>
      <c r="CH2432" s="73"/>
    </row>
    <row r="2433">
      <c r="A2433" s="73"/>
      <c r="B2433" s="73"/>
      <c r="C2433" s="73"/>
      <c r="D2433" s="73"/>
      <c r="E2433" s="140"/>
      <c r="F2433" s="80"/>
      <c r="G2433" s="80"/>
      <c r="H2433" s="73"/>
      <c r="I2433" s="73"/>
      <c r="J2433" s="73"/>
      <c r="K2433" s="73"/>
      <c r="L2433" s="73"/>
      <c r="M2433" s="73"/>
      <c r="N2433" s="73"/>
      <c r="O2433" s="73"/>
      <c r="P2433" s="73"/>
      <c r="Q2433" s="73"/>
      <c r="R2433" s="73"/>
      <c r="S2433" s="73"/>
      <c r="T2433" s="73"/>
      <c r="U2433" s="73"/>
      <c r="V2433" s="73"/>
      <c r="W2433" s="73"/>
      <c r="X2433" s="73"/>
      <c r="Y2433" s="73"/>
      <c r="Z2433" s="73"/>
      <c r="AA2433" s="73"/>
      <c r="AB2433" s="73"/>
      <c r="AC2433" s="73"/>
      <c r="AD2433" s="73"/>
      <c r="AE2433" s="73"/>
      <c r="AF2433" s="73"/>
      <c r="AG2433" s="73"/>
      <c r="AH2433" s="73"/>
      <c r="AI2433" s="73"/>
      <c r="AJ2433" s="168"/>
      <c r="AK2433" s="73"/>
      <c r="AL2433" s="73"/>
      <c r="AM2433" s="73"/>
      <c r="AN2433" s="73"/>
      <c r="AO2433" s="73"/>
      <c r="AP2433" s="73"/>
      <c r="AQ2433" s="73"/>
      <c r="AR2433" s="73"/>
      <c r="AS2433" s="73"/>
      <c r="AT2433" s="73"/>
      <c r="AU2433" s="73"/>
      <c r="AV2433" s="73"/>
      <c r="AW2433" s="73"/>
      <c r="AX2433" s="73"/>
      <c r="AY2433" s="73"/>
      <c r="AZ2433" s="73"/>
      <c r="BA2433" s="73"/>
      <c r="BB2433" s="73"/>
      <c r="BC2433" s="73"/>
      <c r="BD2433" s="73"/>
      <c r="BE2433" s="73"/>
      <c r="BF2433" s="75"/>
      <c r="BG2433" s="73"/>
      <c r="BH2433" s="88"/>
      <c r="BI2433" s="73"/>
      <c r="BJ2433" s="73"/>
      <c r="BK2433" s="73"/>
      <c r="BL2433" s="73"/>
      <c r="BM2433" s="73"/>
      <c r="BN2433" s="73"/>
      <c r="BO2433" s="73"/>
      <c r="BP2433" s="73"/>
      <c r="BQ2433" s="73"/>
      <c r="BR2433" s="73"/>
      <c r="BS2433" s="73"/>
      <c r="BT2433" s="73"/>
      <c r="BU2433" s="73"/>
      <c r="BV2433" s="73"/>
      <c r="BW2433" s="73"/>
      <c r="BX2433" s="73"/>
      <c r="BY2433" s="73"/>
      <c r="BZ2433" s="73"/>
      <c r="CA2433" s="73"/>
      <c r="CB2433" s="73"/>
      <c r="CC2433" s="73"/>
      <c r="CD2433" s="73"/>
      <c r="CE2433" s="73"/>
      <c r="CF2433" s="73"/>
      <c r="CG2433" s="73"/>
      <c r="CH2433" s="73"/>
    </row>
    <row r="2434">
      <c r="A2434" s="73"/>
      <c r="B2434" s="73"/>
      <c r="C2434" s="73"/>
      <c r="D2434" s="73"/>
      <c r="E2434" s="140"/>
      <c r="F2434" s="80"/>
      <c r="G2434" s="80"/>
      <c r="H2434" s="73"/>
      <c r="I2434" s="73"/>
      <c r="J2434" s="73"/>
      <c r="K2434" s="73"/>
      <c r="L2434" s="73"/>
      <c r="M2434" s="73"/>
      <c r="N2434" s="73"/>
      <c r="O2434" s="73"/>
      <c r="P2434" s="73"/>
      <c r="Q2434" s="73"/>
      <c r="R2434" s="73"/>
      <c r="S2434" s="73"/>
      <c r="T2434" s="73"/>
      <c r="U2434" s="73"/>
      <c r="V2434" s="73"/>
      <c r="W2434" s="73"/>
      <c r="X2434" s="73"/>
      <c r="Y2434" s="73"/>
      <c r="Z2434" s="73"/>
      <c r="AA2434" s="73"/>
      <c r="AB2434" s="73"/>
      <c r="AC2434" s="73"/>
      <c r="AD2434" s="73"/>
      <c r="AE2434" s="73"/>
      <c r="AF2434" s="73"/>
      <c r="AG2434" s="73"/>
      <c r="AH2434" s="73"/>
      <c r="AI2434" s="73"/>
      <c r="AJ2434" s="168"/>
      <c r="AK2434" s="73"/>
      <c r="AL2434" s="73"/>
      <c r="AM2434" s="73"/>
      <c r="AN2434" s="73"/>
      <c r="AO2434" s="73"/>
      <c r="AP2434" s="73"/>
      <c r="AQ2434" s="73"/>
      <c r="AR2434" s="73"/>
      <c r="AS2434" s="73"/>
      <c r="AT2434" s="73"/>
      <c r="AU2434" s="73"/>
      <c r="AV2434" s="73"/>
      <c r="AW2434" s="73"/>
      <c r="AX2434" s="73"/>
      <c r="AY2434" s="73"/>
      <c r="AZ2434" s="73"/>
      <c r="BA2434" s="73"/>
      <c r="BB2434" s="73"/>
      <c r="BC2434" s="73"/>
      <c r="BD2434" s="73"/>
      <c r="BE2434" s="73"/>
      <c r="BF2434" s="75"/>
      <c r="BG2434" s="73"/>
      <c r="BH2434" s="88"/>
      <c r="BI2434" s="73"/>
      <c r="BJ2434" s="73"/>
      <c r="BK2434" s="73"/>
      <c r="BL2434" s="73"/>
      <c r="BM2434" s="73"/>
      <c r="BN2434" s="73"/>
      <c r="BO2434" s="73"/>
      <c r="BP2434" s="73"/>
      <c r="BQ2434" s="73"/>
      <c r="BR2434" s="73"/>
      <c r="BS2434" s="73"/>
      <c r="BT2434" s="73"/>
      <c r="BU2434" s="73"/>
      <c r="BV2434" s="73"/>
      <c r="BW2434" s="73"/>
      <c r="BX2434" s="73"/>
      <c r="BY2434" s="73"/>
      <c r="BZ2434" s="73"/>
      <c r="CA2434" s="73"/>
      <c r="CB2434" s="73"/>
      <c r="CC2434" s="73"/>
      <c r="CD2434" s="73"/>
      <c r="CE2434" s="73"/>
      <c r="CF2434" s="73"/>
      <c r="CG2434" s="73"/>
      <c r="CH2434" s="73"/>
    </row>
    <row r="2435">
      <c r="A2435" s="73"/>
      <c r="B2435" s="73"/>
      <c r="C2435" s="73"/>
      <c r="D2435" s="73"/>
      <c r="E2435" s="140"/>
      <c r="F2435" s="80"/>
      <c r="G2435" s="80"/>
      <c r="H2435" s="73"/>
      <c r="I2435" s="73"/>
      <c r="J2435" s="73"/>
      <c r="K2435" s="73"/>
      <c r="L2435" s="73"/>
      <c r="M2435" s="73"/>
      <c r="N2435" s="73"/>
      <c r="O2435" s="73"/>
      <c r="P2435" s="73"/>
      <c r="Q2435" s="73"/>
      <c r="R2435" s="73"/>
      <c r="S2435" s="73"/>
      <c r="T2435" s="73"/>
      <c r="U2435" s="73"/>
      <c r="V2435" s="73"/>
      <c r="W2435" s="73"/>
      <c r="X2435" s="73"/>
      <c r="Y2435" s="73"/>
      <c r="Z2435" s="73"/>
      <c r="AA2435" s="73"/>
      <c r="AB2435" s="73"/>
      <c r="AC2435" s="73"/>
      <c r="AD2435" s="73"/>
      <c r="AE2435" s="73"/>
      <c r="AF2435" s="73"/>
      <c r="AG2435" s="73"/>
      <c r="AH2435" s="73"/>
      <c r="AI2435" s="73"/>
      <c r="AJ2435" s="168"/>
      <c r="AK2435" s="73"/>
      <c r="AL2435" s="73"/>
      <c r="AM2435" s="73"/>
      <c r="AN2435" s="73"/>
      <c r="AO2435" s="73"/>
      <c r="AP2435" s="73"/>
      <c r="AQ2435" s="73"/>
      <c r="AR2435" s="73"/>
      <c r="AS2435" s="73"/>
      <c r="AT2435" s="73"/>
      <c r="AU2435" s="73"/>
      <c r="AV2435" s="73"/>
      <c r="AW2435" s="73"/>
      <c r="AX2435" s="73"/>
      <c r="AY2435" s="73"/>
      <c r="AZ2435" s="73"/>
      <c r="BA2435" s="73"/>
      <c r="BB2435" s="73"/>
      <c r="BC2435" s="73"/>
      <c r="BD2435" s="73"/>
      <c r="BE2435" s="73"/>
      <c r="BF2435" s="75"/>
      <c r="BG2435" s="73"/>
      <c r="BH2435" s="88"/>
      <c r="BI2435" s="73"/>
      <c r="BJ2435" s="73"/>
      <c r="BK2435" s="73"/>
      <c r="BL2435" s="73"/>
      <c r="BM2435" s="73"/>
      <c r="BN2435" s="73"/>
      <c r="BO2435" s="73"/>
      <c r="BP2435" s="73"/>
      <c r="BQ2435" s="73"/>
      <c r="BR2435" s="73"/>
      <c r="BS2435" s="73"/>
      <c r="BT2435" s="73"/>
      <c r="BU2435" s="73"/>
      <c r="BV2435" s="73"/>
      <c r="BW2435" s="73"/>
      <c r="BX2435" s="73"/>
      <c r="BY2435" s="73"/>
      <c r="BZ2435" s="73"/>
      <c r="CA2435" s="73"/>
      <c r="CB2435" s="73"/>
      <c r="CC2435" s="73"/>
      <c r="CD2435" s="73"/>
      <c r="CE2435" s="73"/>
      <c r="CF2435" s="73"/>
      <c r="CG2435" s="73"/>
      <c r="CH2435" s="73"/>
    </row>
    <row r="2436">
      <c r="A2436" s="73"/>
      <c r="B2436" s="73"/>
      <c r="C2436" s="73"/>
      <c r="D2436" s="73"/>
      <c r="E2436" s="140"/>
      <c r="F2436" s="80"/>
      <c r="G2436" s="80"/>
      <c r="H2436" s="73"/>
      <c r="I2436" s="73"/>
      <c r="J2436" s="73"/>
      <c r="K2436" s="73"/>
      <c r="L2436" s="73"/>
      <c r="M2436" s="73"/>
      <c r="N2436" s="73"/>
      <c r="O2436" s="73"/>
      <c r="P2436" s="73"/>
      <c r="Q2436" s="73"/>
      <c r="R2436" s="73"/>
      <c r="S2436" s="73"/>
      <c r="T2436" s="73"/>
      <c r="U2436" s="73"/>
      <c r="V2436" s="73"/>
      <c r="W2436" s="73"/>
      <c r="X2436" s="73"/>
      <c r="Y2436" s="73"/>
      <c r="Z2436" s="73"/>
      <c r="AA2436" s="73"/>
      <c r="AB2436" s="73"/>
      <c r="AC2436" s="73"/>
      <c r="AD2436" s="73"/>
      <c r="AE2436" s="73"/>
      <c r="AF2436" s="73"/>
      <c r="AG2436" s="73"/>
      <c r="AH2436" s="73"/>
      <c r="AI2436" s="73"/>
      <c r="AJ2436" s="168"/>
      <c r="AK2436" s="73"/>
      <c r="AL2436" s="73"/>
      <c r="AM2436" s="73"/>
      <c r="AN2436" s="73"/>
      <c r="AO2436" s="73"/>
      <c r="AP2436" s="73"/>
      <c r="AQ2436" s="73"/>
      <c r="AR2436" s="73"/>
      <c r="AS2436" s="73"/>
      <c r="AT2436" s="73"/>
      <c r="AU2436" s="73"/>
      <c r="AV2436" s="73"/>
      <c r="AW2436" s="73"/>
      <c r="AX2436" s="73"/>
      <c r="AY2436" s="73"/>
      <c r="AZ2436" s="73"/>
      <c r="BA2436" s="73"/>
      <c r="BB2436" s="73"/>
      <c r="BC2436" s="73"/>
      <c r="BD2436" s="73"/>
      <c r="BE2436" s="73"/>
      <c r="BF2436" s="75"/>
      <c r="BG2436" s="73"/>
      <c r="BH2436" s="88"/>
      <c r="BI2436" s="73"/>
      <c r="BJ2436" s="73"/>
      <c r="BK2436" s="73"/>
      <c r="BL2436" s="73"/>
      <c r="BM2436" s="73"/>
      <c r="BN2436" s="73"/>
      <c r="BO2436" s="73"/>
      <c r="BP2436" s="73"/>
      <c r="BQ2436" s="73"/>
      <c r="BR2436" s="73"/>
      <c r="BS2436" s="73"/>
      <c r="BT2436" s="73"/>
      <c r="BU2436" s="73"/>
      <c r="BV2436" s="73"/>
      <c r="BW2436" s="73"/>
      <c r="BX2436" s="73"/>
      <c r="BY2436" s="73"/>
      <c r="BZ2436" s="73"/>
      <c r="CA2436" s="73"/>
      <c r="CB2436" s="73"/>
      <c r="CC2436" s="73"/>
      <c r="CD2436" s="73"/>
      <c r="CE2436" s="73"/>
      <c r="CF2436" s="73"/>
      <c r="CG2436" s="73"/>
      <c r="CH2436" s="73"/>
    </row>
    <row r="2437">
      <c r="A2437" s="73"/>
      <c r="B2437" s="73"/>
      <c r="C2437" s="73"/>
      <c r="D2437" s="73"/>
      <c r="E2437" s="140"/>
      <c r="F2437" s="80"/>
      <c r="G2437" s="80"/>
      <c r="H2437" s="73"/>
      <c r="I2437" s="73"/>
      <c r="J2437" s="73"/>
      <c r="K2437" s="73"/>
      <c r="L2437" s="73"/>
      <c r="M2437" s="73"/>
      <c r="N2437" s="73"/>
      <c r="O2437" s="73"/>
      <c r="P2437" s="73"/>
      <c r="Q2437" s="73"/>
      <c r="R2437" s="73"/>
      <c r="S2437" s="73"/>
      <c r="T2437" s="73"/>
      <c r="U2437" s="73"/>
      <c r="V2437" s="73"/>
      <c r="W2437" s="73"/>
      <c r="X2437" s="73"/>
      <c r="Y2437" s="73"/>
      <c r="Z2437" s="73"/>
      <c r="AA2437" s="73"/>
      <c r="AB2437" s="73"/>
      <c r="AC2437" s="73"/>
      <c r="AD2437" s="73"/>
      <c r="AE2437" s="73"/>
      <c r="AF2437" s="73"/>
      <c r="AG2437" s="73"/>
      <c r="AH2437" s="73"/>
      <c r="AI2437" s="73"/>
      <c r="AJ2437" s="168"/>
      <c r="AK2437" s="73"/>
      <c r="AL2437" s="73"/>
      <c r="AM2437" s="73"/>
      <c r="AN2437" s="73"/>
      <c r="AO2437" s="73"/>
      <c r="AP2437" s="73"/>
      <c r="AQ2437" s="73"/>
      <c r="AR2437" s="73"/>
      <c r="AS2437" s="73"/>
      <c r="AT2437" s="73"/>
      <c r="AU2437" s="73"/>
      <c r="AV2437" s="73"/>
      <c r="AW2437" s="73"/>
      <c r="AX2437" s="73"/>
      <c r="AY2437" s="73"/>
      <c r="AZ2437" s="73"/>
      <c r="BA2437" s="73"/>
      <c r="BB2437" s="73"/>
      <c r="BC2437" s="73"/>
      <c r="BD2437" s="73"/>
      <c r="BE2437" s="73"/>
      <c r="BF2437" s="75"/>
      <c r="BG2437" s="73"/>
      <c r="BH2437" s="88"/>
      <c r="BI2437" s="73"/>
      <c r="BJ2437" s="73"/>
      <c r="BK2437" s="73"/>
      <c r="BL2437" s="73"/>
      <c r="BM2437" s="73"/>
      <c r="BN2437" s="73"/>
      <c r="BO2437" s="73"/>
      <c r="BP2437" s="73"/>
      <c r="BQ2437" s="73"/>
      <c r="BR2437" s="73"/>
      <c r="BS2437" s="73"/>
      <c r="BT2437" s="73"/>
      <c r="BU2437" s="73"/>
      <c r="BV2437" s="73"/>
      <c r="BW2437" s="73"/>
      <c r="BX2437" s="73"/>
      <c r="BY2437" s="73"/>
      <c r="BZ2437" s="73"/>
      <c r="CA2437" s="73"/>
      <c r="CB2437" s="73"/>
      <c r="CC2437" s="73"/>
      <c r="CD2437" s="73"/>
      <c r="CE2437" s="73"/>
      <c r="CF2437" s="73"/>
      <c r="CG2437" s="73"/>
      <c r="CH2437" s="73"/>
    </row>
    <row r="2438">
      <c r="A2438" s="73"/>
      <c r="B2438" s="73"/>
      <c r="C2438" s="73"/>
      <c r="D2438" s="73"/>
      <c r="E2438" s="140"/>
      <c r="F2438" s="80"/>
      <c r="G2438" s="80"/>
      <c r="H2438" s="73"/>
      <c r="I2438" s="73"/>
      <c r="J2438" s="73"/>
      <c r="K2438" s="73"/>
      <c r="L2438" s="73"/>
      <c r="M2438" s="73"/>
      <c r="N2438" s="73"/>
      <c r="O2438" s="73"/>
      <c r="P2438" s="73"/>
      <c r="Q2438" s="73"/>
      <c r="R2438" s="73"/>
      <c r="S2438" s="73"/>
      <c r="T2438" s="73"/>
      <c r="U2438" s="73"/>
      <c r="V2438" s="73"/>
      <c r="W2438" s="73"/>
      <c r="X2438" s="73"/>
      <c r="Y2438" s="73"/>
      <c r="Z2438" s="73"/>
      <c r="AA2438" s="73"/>
      <c r="AB2438" s="73"/>
      <c r="AC2438" s="73"/>
      <c r="AD2438" s="73"/>
      <c r="AE2438" s="73"/>
      <c r="AF2438" s="73"/>
      <c r="AG2438" s="73"/>
      <c r="AH2438" s="73"/>
      <c r="AI2438" s="73"/>
      <c r="AJ2438" s="168"/>
      <c r="AK2438" s="73"/>
      <c r="AL2438" s="73"/>
      <c r="AM2438" s="73"/>
      <c r="AN2438" s="73"/>
      <c r="AO2438" s="73"/>
      <c r="AP2438" s="73"/>
      <c r="AQ2438" s="73"/>
      <c r="AR2438" s="73"/>
      <c r="AS2438" s="73"/>
      <c r="AT2438" s="73"/>
      <c r="AU2438" s="73"/>
      <c r="AV2438" s="73"/>
      <c r="AW2438" s="73"/>
      <c r="AX2438" s="73"/>
      <c r="AY2438" s="73"/>
      <c r="AZ2438" s="73"/>
      <c r="BA2438" s="73"/>
      <c r="BB2438" s="73"/>
      <c r="BC2438" s="73"/>
      <c r="BD2438" s="73"/>
      <c r="BE2438" s="73"/>
      <c r="BF2438" s="75"/>
      <c r="BG2438" s="73"/>
      <c r="BH2438" s="88"/>
      <c r="BI2438" s="73"/>
      <c r="BJ2438" s="73"/>
      <c r="BK2438" s="73"/>
      <c r="BL2438" s="73"/>
      <c r="BM2438" s="73"/>
      <c r="BN2438" s="73"/>
      <c r="BO2438" s="73"/>
      <c r="BP2438" s="73"/>
      <c r="BQ2438" s="73"/>
      <c r="BR2438" s="73"/>
      <c r="BS2438" s="73"/>
      <c r="BT2438" s="73"/>
      <c r="BU2438" s="73"/>
      <c r="BV2438" s="73"/>
      <c r="BW2438" s="73"/>
      <c r="BX2438" s="73"/>
      <c r="BY2438" s="73"/>
      <c r="BZ2438" s="73"/>
      <c r="CA2438" s="73"/>
      <c r="CB2438" s="73"/>
      <c r="CC2438" s="73"/>
      <c r="CD2438" s="73"/>
      <c r="CE2438" s="73"/>
      <c r="CF2438" s="73"/>
      <c r="CG2438" s="73"/>
      <c r="CH2438" s="73"/>
    </row>
    <row r="2439">
      <c r="A2439" s="73"/>
      <c r="B2439" s="73"/>
      <c r="C2439" s="73"/>
      <c r="D2439" s="73"/>
      <c r="E2439" s="140"/>
      <c r="F2439" s="80"/>
      <c r="G2439" s="80"/>
      <c r="H2439" s="73"/>
      <c r="I2439" s="73"/>
      <c r="J2439" s="73"/>
      <c r="K2439" s="73"/>
      <c r="L2439" s="73"/>
      <c r="M2439" s="73"/>
      <c r="N2439" s="73"/>
      <c r="O2439" s="73"/>
      <c r="P2439" s="73"/>
      <c r="Q2439" s="73"/>
      <c r="R2439" s="73"/>
      <c r="S2439" s="73"/>
      <c r="T2439" s="73"/>
      <c r="U2439" s="73"/>
      <c r="V2439" s="73"/>
      <c r="W2439" s="73"/>
      <c r="X2439" s="73"/>
      <c r="Y2439" s="73"/>
      <c r="Z2439" s="73"/>
      <c r="AA2439" s="73"/>
      <c r="AB2439" s="73"/>
      <c r="AC2439" s="73"/>
      <c r="AD2439" s="73"/>
      <c r="AE2439" s="73"/>
      <c r="AF2439" s="73"/>
      <c r="AG2439" s="73"/>
      <c r="AH2439" s="73"/>
      <c r="AI2439" s="73"/>
      <c r="AJ2439" s="168"/>
      <c r="AK2439" s="73"/>
      <c r="AL2439" s="73"/>
      <c r="AM2439" s="73"/>
      <c r="AN2439" s="73"/>
      <c r="AO2439" s="73"/>
      <c r="AP2439" s="73"/>
      <c r="AQ2439" s="73"/>
      <c r="AR2439" s="73"/>
      <c r="AS2439" s="73"/>
      <c r="AT2439" s="73"/>
      <c r="AU2439" s="73"/>
      <c r="AV2439" s="73"/>
      <c r="AW2439" s="73"/>
      <c r="AX2439" s="73"/>
      <c r="AY2439" s="73"/>
      <c r="AZ2439" s="73"/>
      <c r="BA2439" s="73"/>
      <c r="BB2439" s="73"/>
      <c r="BC2439" s="73"/>
      <c r="BD2439" s="73"/>
      <c r="BE2439" s="73"/>
      <c r="BF2439" s="75"/>
      <c r="BG2439" s="73"/>
      <c r="BH2439" s="88"/>
      <c r="BI2439" s="73"/>
      <c r="BJ2439" s="73"/>
      <c r="BK2439" s="73"/>
      <c r="BL2439" s="73"/>
      <c r="BM2439" s="73"/>
      <c r="BN2439" s="73"/>
      <c r="BO2439" s="73"/>
      <c r="BP2439" s="73"/>
      <c r="BQ2439" s="73"/>
      <c r="BR2439" s="73"/>
      <c r="BS2439" s="73"/>
      <c r="BT2439" s="73"/>
      <c r="BU2439" s="73"/>
      <c r="BV2439" s="73"/>
      <c r="BW2439" s="73"/>
      <c r="BX2439" s="73"/>
      <c r="BY2439" s="73"/>
      <c r="BZ2439" s="73"/>
      <c r="CA2439" s="73"/>
      <c r="CB2439" s="73"/>
      <c r="CC2439" s="73"/>
      <c r="CD2439" s="73"/>
      <c r="CE2439" s="73"/>
      <c r="CF2439" s="73"/>
      <c r="CG2439" s="73"/>
      <c r="CH2439" s="73"/>
    </row>
    <row r="2440">
      <c r="A2440" s="73"/>
      <c r="B2440" s="73"/>
      <c r="C2440" s="73"/>
      <c r="D2440" s="73"/>
      <c r="E2440" s="140"/>
      <c r="F2440" s="80"/>
      <c r="G2440" s="80"/>
      <c r="H2440" s="73"/>
      <c r="I2440" s="73"/>
      <c r="J2440" s="73"/>
      <c r="K2440" s="73"/>
      <c r="L2440" s="73"/>
      <c r="M2440" s="73"/>
      <c r="N2440" s="73"/>
      <c r="O2440" s="73"/>
      <c r="P2440" s="73"/>
      <c r="Q2440" s="73"/>
      <c r="R2440" s="73"/>
      <c r="S2440" s="73"/>
      <c r="T2440" s="73"/>
      <c r="U2440" s="73"/>
      <c r="V2440" s="73"/>
      <c r="W2440" s="73"/>
      <c r="X2440" s="73"/>
      <c r="Y2440" s="73"/>
      <c r="Z2440" s="73"/>
      <c r="AA2440" s="73"/>
      <c r="AB2440" s="73"/>
      <c r="AC2440" s="73"/>
      <c r="AD2440" s="73"/>
      <c r="AE2440" s="73"/>
      <c r="AF2440" s="73"/>
      <c r="AG2440" s="73"/>
      <c r="AH2440" s="73"/>
      <c r="AI2440" s="73"/>
      <c r="AJ2440" s="168"/>
      <c r="AK2440" s="73"/>
      <c r="AL2440" s="73"/>
      <c r="AM2440" s="73"/>
      <c r="AN2440" s="73"/>
      <c r="AO2440" s="73"/>
      <c r="AP2440" s="73"/>
      <c r="AQ2440" s="73"/>
      <c r="AR2440" s="73"/>
      <c r="AS2440" s="73"/>
      <c r="AT2440" s="73"/>
      <c r="AU2440" s="73"/>
      <c r="AV2440" s="73"/>
      <c r="AW2440" s="73"/>
      <c r="AX2440" s="73"/>
      <c r="AY2440" s="73"/>
      <c r="AZ2440" s="73"/>
      <c r="BA2440" s="73"/>
      <c r="BB2440" s="73"/>
      <c r="BC2440" s="73"/>
      <c r="BD2440" s="73"/>
      <c r="BE2440" s="73"/>
      <c r="BF2440" s="75"/>
      <c r="BG2440" s="73"/>
      <c r="BH2440" s="88"/>
      <c r="BI2440" s="73"/>
      <c r="BJ2440" s="73"/>
      <c r="BK2440" s="73"/>
      <c r="BL2440" s="73"/>
      <c r="BM2440" s="73"/>
      <c r="BN2440" s="73"/>
      <c r="BO2440" s="73"/>
      <c r="BP2440" s="73"/>
      <c r="BQ2440" s="73"/>
      <c r="BR2440" s="73"/>
      <c r="BS2440" s="73"/>
      <c r="BT2440" s="73"/>
      <c r="BU2440" s="73"/>
      <c r="BV2440" s="73"/>
      <c r="BW2440" s="73"/>
      <c r="BX2440" s="73"/>
      <c r="BY2440" s="73"/>
      <c r="BZ2440" s="73"/>
      <c r="CA2440" s="73"/>
      <c r="CB2440" s="73"/>
      <c r="CC2440" s="73"/>
      <c r="CD2440" s="73"/>
      <c r="CE2440" s="73"/>
      <c r="CF2440" s="73"/>
      <c r="CG2440" s="73"/>
      <c r="CH2440" s="73"/>
    </row>
    <row r="2441">
      <c r="A2441" s="73"/>
      <c r="B2441" s="73"/>
      <c r="C2441" s="73"/>
      <c r="D2441" s="73"/>
      <c r="E2441" s="140"/>
      <c r="F2441" s="80"/>
      <c r="G2441" s="80"/>
      <c r="H2441" s="73"/>
      <c r="I2441" s="73"/>
      <c r="J2441" s="73"/>
      <c r="K2441" s="73"/>
      <c r="L2441" s="73"/>
      <c r="M2441" s="73"/>
      <c r="N2441" s="73"/>
      <c r="O2441" s="73"/>
      <c r="P2441" s="73"/>
      <c r="Q2441" s="73"/>
      <c r="R2441" s="73"/>
      <c r="S2441" s="73"/>
      <c r="T2441" s="73"/>
      <c r="U2441" s="73"/>
      <c r="V2441" s="73"/>
      <c r="W2441" s="73"/>
      <c r="X2441" s="73"/>
      <c r="Y2441" s="73"/>
      <c r="Z2441" s="73"/>
      <c r="AA2441" s="73"/>
      <c r="AB2441" s="73"/>
      <c r="AC2441" s="73"/>
      <c r="AD2441" s="73"/>
      <c r="AE2441" s="73"/>
      <c r="AF2441" s="73"/>
      <c r="AG2441" s="73"/>
      <c r="AH2441" s="73"/>
      <c r="AI2441" s="73"/>
      <c r="AJ2441" s="168"/>
      <c r="AK2441" s="73"/>
      <c r="AL2441" s="73"/>
      <c r="AM2441" s="73"/>
      <c r="AN2441" s="73"/>
      <c r="AO2441" s="73"/>
      <c r="AP2441" s="73"/>
      <c r="AQ2441" s="73"/>
      <c r="AR2441" s="73"/>
      <c r="AS2441" s="73"/>
      <c r="AT2441" s="73"/>
      <c r="AU2441" s="73"/>
      <c r="AV2441" s="73"/>
      <c r="AW2441" s="73"/>
      <c r="AX2441" s="73"/>
      <c r="AY2441" s="73"/>
      <c r="AZ2441" s="73"/>
      <c r="BA2441" s="73"/>
      <c r="BB2441" s="73"/>
      <c r="BC2441" s="73"/>
      <c r="BD2441" s="73"/>
      <c r="BE2441" s="73"/>
      <c r="BF2441" s="75"/>
      <c r="BG2441" s="73"/>
      <c r="BH2441" s="88"/>
      <c r="BI2441" s="73"/>
      <c r="BJ2441" s="73"/>
      <c r="BK2441" s="73"/>
      <c r="BL2441" s="73"/>
      <c r="BM2441" s="73"/>
      <c r="BN2441" s="73"/>
      <c r="BO2441" s="73"/>
      <c r="BP2441" s="73"/>
      <c r="BQ2441" s="73"/>
      <c r="BR2441" s="73"/>
      <c r="BS2441" s="73"/>
      <c r="BT2441" s="73"/>
      <c r="BU2441" s="73"/>
      <c r="BV2441" s="73"/>
      <c r="BW2441" s="73"/>
      <c r="BX2441" s="73"/>
      <c r="BY2441" s="73"/>
      <c r="BZ2441" s="73"/>
      <c r="CA2441" s="73"/>
      <c r="CB2441" s="73"/>
      <c r="CC2441" s="73"/>
      <c r="CD2441" s="73"/>
      <c r="CE2441" s="73"/>
      <c r="CF2441" s="73"/>
      <c r="CG2441" s="73"/>
      <c r="CH2441" s="73"/>
    </row>
    <row r="2442">
      <c r="A2442" s="73"/>
      <c r="B2442" s="73"/>
      <c r="C2442" s="73"/>
      <c r="D2442" s="73"/>
      <c r="E2442" s="140"/>
      <c r="F2442" s="80"/>
      <c r="G2442" s="80"/>
      <c r="H2442" s="73"/>
      <c r="I2442" s="73"/>
      <c r="J2442" s="73"/>
      <c r="K2442" s="73"/>
      <c r="L2442" s="73"/>
      <c r="M2442" s="73"/>
      <c r="N2442" s="73"/>
      <c r="O2442" s="73"/>
      <c r="P2442" s="73"/>
      <c r="Q2442" s="73"/>
      <c r="R2442" s="73"/>
      <c r="S2442" s="73"/>
      <c r="T2442" s="73"/>
      <c r="U2442" s="73"/>
      <c r="V2442" s="73"/>
      <c r="W2442" s="73"/>
      <c r="X2442" s="73"/>
      <c r="Y2442" s="73"/>
      <c r="Z2442" s="73"/>
      <c r="AA2442" s="73"/>
      <c r="AB2442" s="73"/>
      <c r="AC2442" s="73"/>
      <c r="AD2442" s="73"/>
      <c r="AE2442" s="73"/>
      <c r="AF2442" s="73"/>
      <c r="AG2442" s="73"/>
      <c r="AH2442" s="73"/>
      <c r="AI2442" s="73"/>
      <c r="AJ2442" s="168"/>
      <c r="AK2442" s="73"/>
      <c r="AL2442" s="73"/>
      <c r="AM2442" s="73"/>
      <c r="AN2442" s="73"/>
      <c r="AO2442" s="73"/>
      <c r="AP2442" s="73"/>
      <c r="AQ2442" s="73"/>
      <c r="AR2442" s="73"/>
      <c r="AS2442" s="73"/>
      <c r="AT2442" s="73"/>
      <c r="AU2442" s="73"/>
      <c r="AV2442" s="73"/>
      <c r="AW2442" s="73"/>
      <c r="AX2442" s="73"/>
      <c r="AY2442" s="73"/>
      <c r="AZ2442" s="73"/>
      <c r="BA2442" s="73"/>
      <c r="BB2442" s="73"/>
      <c r="BC2442" s="73"/>
      <c r="BD2442" s="73"/>
      <c r="BE2442" s="73"/>
      <c r="BF2442" s="75"/>
      <c r="BG2442" s="73"/>
      <c r="BH2442" s="88"/>
      <c r="BI2442" s="73"/>
      <c r="BJ2442" s="73"/>
      <c r="BK2442" s="73"/>
      <c r="BL2442" s="73"/>
      <c r="BM2442" s="73"/>
      <c r="BN2442" s="73"/>
      <c r="BO2442" s="73"/>
      <c r="BP2442" s="73"/>
      <c r="BQ2442" s="73"/>
      <c r="BR2442" s="73"/>
      <c r="BS2442" s="73"/>
      <c r="BT2442" s="73"/>
      <c r="BU2442" s="73"/>
      <c r="BV2442" s="73"/>
      <c r="BW2442" s="73"/>
      <c r="BX2442" s="73"/>
      <c r="BY2442" s="73"/>
      <c r="BZ2442" s="73"/>
      <c r="CA2442" s="73"/>
      <c r="CB2442" s="73"/>
      <c r="CC2442" s="73"/>
      <c r="CD2442" s="73"/>
      <c r="CE2442" s="73"/>
      <c r="CF2442" s="73"/>
      <c r="CG2442" s="73"/>
      <c r="CH2442" s="73"/>
    </row>
    <row r="2443">
      <c r="A2443" s="73"/>
      <c r="B2443" s="73"/>
      <c r="C2443" s="73"/>
      <c r="D2443" s="73"/>
      <c r="E2443" s="140"/>
      <c r="F2443" s="80"/>
      <c r="G2443" s="80"/>
      <c r="H2443" s="73"/>
      <c r="I2443" s="73"/>
      <c r="J2443" s="73"/>
      <c r="K2443" s="73"/>
      <c r="L2443" s="73"/>
      <c r="M2443" s="73"/>
      <c r="N2443" s="73"/>
      <c r="O2443" s="73"/>
      <c r="P2443" s="73"/>
      <c r="Q2443" s="73"/>
      <c r="R2443" s="73"/>
      <c r="S2443" s="73"/>
      <c r="T2443" s="73"/>
      <c r="U2443" s="73"/>
      <c r="V2443" s="73"/>
      <c r="W2443" s="73"/>
      <c r="X2443" s="73"/>
      <c r="Y2443" s="73"/>
      <c r="Z2443" s="73"/>
      <c r="AA2443" s="73"/>
      <c r="AB2443" s="73"/>
      <c r="AC2443" s="73"/>
      <c r="AD2443" s="73"/>
      <c r="AE2443" s="73"/>
      <c r="AF2443" s="73"/>
      <c r="AG2443" s="73"/>
      <c r="AH2443" s="73"/>
      <c r="AI2443" s="73"/>
      <c r="AJ2443" s="168"/>
      <c r="AK2443" s="73"/>
      <c r="AL2443" s="73"/>
      <c r="AM2443" s="73"/>
      <c r="AN2443" s="73"/>
      <c r="AO2443" s="73"/>
      <c r="AP2443" s="73"/>
      <c r="AQ2443" s="73"/>
      <c r="AR2443" s="73"/>
      <c r="AS2443" s="73"/>
      <c r="AT2443" s="73"/>
      <c r="AU2443" s="73"/>
      <c r="AV2443" s="73"/>
      <c r="AW2443" s="73"/>
      <c r="AX2443" s="73"/>
      <c r="AY2443" s="73"/>
      <c r="AZ2443" s="73"/>
      <c r="BA2443" s="73"/>
      <c r="BB2443" s="73"/>
      <c r="BC2443" s="73"/>
      <c r="BD2443" s="73"/>
      <c r="BE2443" s="73"/>
      <c r="BF2443" s="75"/>
      <c r="BG2443" s="73"/>
      <c r="BH2443" s="88"/>
      <c r="BI2443" s="73"/>
      <c r="BJ2443" s="73"/>
      <c r="BK2443" s="73"/>
      <c r="BL2443" s="73"/>
      <c r="BM2443" s="73"/>
      <c r="BN2443" s="73"/>
      <c r="BO2443" s="73"/>
      <c r="BP2443" s="73"/>
      <c r="BQ2443" s="73"/>
      <c r="BR2443" s="73"/>
      <c r="BS2443" s="73"/>
      <c r="BT2443" s="73"/>
      <c r="BU2443" s="73"/>
      <c r="BV2443" s="73"/>
      <c r="BW2443" s="73"/>
      <c r="BX2443" s="73"/>
      <c r="BY2443" s="73"/>
      <c r="BZ2443" s="73"/>
      <c r="CA2443" s="73"/>
      <c r="CB2443" s="73"/>
      <c r="CC2443" s="73"/>
      <c r="CD2443" s="73"/>
      <c r="CE2443" s="73"/>
      <c r="CF2443" s="73"/>
      <c r="CG2443" s="73"/>
      <c r="CH2443" s="73"/>
    </row>
    <row r="2444">
      <c r="A2444" s="73"/>
      <c r="B2444" s="73"/>
      <c r="C2444" s="73"/>
      <c r="D2444" s="73"/>
      <c r="E2444" s="140"/>
      <c r="F2444" s="80"/>
      <c r="G2444" s="80"/>
      <c r="H2444" s="73"/>
      <c r="I2444" s="73"/>
      <c r="J2444" s="73"/>
      <c r="K2444" s="73"/>
      <c r="L2444" s="73"/>
      <c r="M2444" s="73"/>
      <c r="N2444" s="73"/>
      <c r="O2444" s="73"/>
      <c r="P2444" s="73"/>
      <c r="Q2444" s="73"/>
      <c r="R2444" s="73"/>
      <c r="S2444" s="73"/>
      <c r="T2444" s="73"/>
      <c r="U2444" s="73"/>
      <c r="V2444" s="73"/>
      <c r="W2444" s="73"/>
      <c r="X2444" s="73"/>
      <c r="Y2444" s="73"/>
      <c r="Z2444" s="73"/>
      <c r="AA2444" s="73"/>
      <c r="AB2444" s="73"/>
      <c r="AC2444" s="73"/>
      <c r="AD2444" s="73"/>
      <c r="AE2444" s="73"/>
      <c r="AF2444" s="73"/>
      <c r="AG2444" s="73"/>
      <c r="AH2444" s="73"/>
      <c r="AI2444" s="73"/>
      <c r="AJ2444" s="168"/>
      <c r="AK2444" s="73"/>
      <c r="AL2444" s="73"/>
      <c r="AM2444" s="73"/>
      <c r="AN2444" s="73"/>
      <c r="AO2444" s="73"/>
      <c r="AP2444" s="73"/>
      <c r="AQ2444" s="73"/>
      <c r="AR2444" s="73"/>
      <c r="AS2444" s="73"/>
      <c r="AT2444" s="73"/>
      <c r="AU2444" s="73"/>
      <c r="AV2444" s="73"/>
      <c r="AW2444" s="73"/>
      <c r="AX2444" s="73"/>
      <c r="AY2444" s="73"/>
      <c r="AZ2444" s="73"/>
      <c r="BA2444" s="73"/>
      <c r="BB2444" s="73"/>
      <c r="BC2444" s="73"/>
      <c r="BD2444" s="73"/>
      <c r="BE2444" s="73"/>
      <c r="BF2444" s="75"/>
      <c r="BG2444" s="73"/>
      <c r="BH2444" s="88"/>
      <c r="BI2444" s="73"/>
      <c r="BJ2444" s="73"/>
      <c r="BK2444" s="73"/>
      <c r="BL2444" s="73"/>
      <c r="BM2444" s="73"/>
      <c r="BN2444" s="73"/>
      <c r="BO2444" s="73"/>
      <c r="BP2444" s="73"/>
      <c r="BQ2444" s="73"/>
      <c r="BR2444" s="73"/>
      <c r="BS2444" s="73"/>
      <c r="BT2444" s="73"/>
      <c r="BU2444" s="73"/>
      <c r="BV2444" s="73"/>
      <c r="BW2444" s="73"/>
      <c r="BX2444" s="73"/>
      <c r="BY2444" s="73"/>
      <c r="BZ2444" s="73"/>
      <c r="CA2444" s="73"/>
      <c r="CB2444" s="73"/>
      <c r="CC2444" s="73"/>
      <c r="CD2444" s="73"/>
      <c r="CE2444" s="73"/>
      <c r="CF2444" s="73"/>
      <c r="CG2444" s="73"/>
      <c r="CH2444" s="73"/>
    </row>
    <row r="2445">
      <c r="A2445" s="73"/>
      <c r="B2445" s="73"/>
      <c r="C2445" s="73"/>
      <c r="D2445" s="73"/>
      <c r="E2445" s="140"/>
      <c r="F2445" s="80"/>
      <c r="G2445" s="80"/>
      <c r="H2445" s="73"/>
      <c r="I2445" s="73"/>
      <c r="J2445" s="73"/>
      <c r="K2445" s="73"/>
      <c r="L2445" s="73"/>
      <c r="M2445" s="73"/>
      <c r="N2445" s="73"/>
      <c r="O2445" s="73"/>
      <c r="P2445" s="73"/>
      <c r="Q2445" s="73"/>
      <c r="R2445" s="73"/>
      <c r="S2445" s="73"/>
      <c r="T2445" s="73"/>
      <c r="U2445" s="73"/>
      <c r="V2445" s="73"/>
      <c r="W2445" s="73"/>
      <c r="X2445" s="73"/>
      <c r="Y2445" s="73"/>
      <c r="Z2445" s="73"/>
      <c r="AA2445" s="73"/>
      <c r="AB2445" s="73"/>
      <c r="AC2445" s="73"/>
      <c r="AD2445" s="73"/>
      <c r="AE2445" s="73"/>
      <c r="AF2445" s="73"/>
      <c r="AG2445" s="73"/>
      <c r="AH2445" s="73"/>
      <c r="AI2445" s="73"/>
      <c r="AJ2445" s="168"/>
      <c r="AK2445" s="73"/>
      <c r="AL2445" s="73"/>
      <c r="AM2445" s="73"/>
      <c r="AN2445" s="73"/>
      <c r="AO2445" s="73"/>
      <c r="AP2445" s="73"/>
      <c r="AQ2445" s="73"/>
      <c r="AR2445" s="73"/>
      <c r="AS2445" s="73"/>
      <c r="AT2445" s="73"/>
      <c r="AU2445" s="73"/>
      <c r="AV2445" s="73"/>
      <c r="AW2445" s="73"/>
      <c r="AX2445" s="73"/>
      <c r="AY2445" s="73"/>
      <c r="AZ2445" s="73"/>
      <c r="BA2445" s="73"/>
      <c r="BB2445" s="73"/>
      <c r="BC2445" s="73"/>
      <c r="BD2445" s="73"/>
      <c r="BE2445" s="73"/>
      <c r="BF2445" s="75"/>
      <c r="BG2445" s="73"/>
      <c r="BH2445" s="88"/>
      <c r="BI2445" s="73"/>
      <c r="BJ2445" s="73"/>
      <c r="BK2445" s="73"/>
      <c r="BL2445" s="73"/>
      <c r="BM2445" s="73"/>
      <c r="BN2445" s="73"/>
      <c r="BO2445" s="73"/>
      <c r="BP2445" s="73"/>
      <c r="BQ2445" s="73"/>
      <c r="BR2445" s="73"/>
      <c r="BS2445" s="73"/>
      <c r="BT2445" s="73"/>
      <c r="BU2445" s="73"/>
      <c r="BV2445" s="73"/>
      <c r="BW2445" s="73"/>
      <c r="BX2445" s="73"/>
      <c r="BY2445" s="73"/>
      <c r="BZ2445" s="73"/>
      <c r="CA2445" s="73"/>
      <c r="CB2445" s="73"/>
      <c r="CC2445" s="73"/>
      <c r="CD2445" s="73"/>
      <c r="CE2445" s="73"/>
      <c r="CF2445" s="73"/>
      <c r="CG2445" s="73"/>
      <c r="CH2445" s="73"/>
    </row>
    <row r="2446">
      <c r="A2446" s="73"/>
      <c r="B2446" s="73"/>
      <c r="C2446" s="73"/>
      <c r="D2446" s="73"/>
      <c r="E2446" s="140"/>
      <c r="F2446" s="80"/>
      <c r="G2446" s="80"/>
      <c r="H2446" s="73"/>
      <c r="I2446" s="73"/>
      <c r="J2446" s="73"/>
      <c r="K2446" s="73"/>
      <c r="L2446" s="73"/>
      <c r="M2446" s="73"/>
      <c r="N2446" s="73"/>
      <c r="O2446" s="73"/>
      <c r="P2446" s="73"/>
      <c r="Q2446" s="73"/>
      <c r="R2446" s="73"/>
      <c r="S2446" s="73"/>
      <c r="T2446" s="73"/>
      <c r="U2446" s="73"/>
      <c r="V2446" s="73"/>
      <c r="W2446" s="73"/>
      <c r="X2446" s="73"/>
      <c r="Y2446" s="73"/>
      <c r="Z2446" s="73"/>
      <c r="AA2446" s="73"/>
      <c r="AB2446" s="73"/>
      <c r="AC2446" s="73"/>
      <c r="AD2446" s="73"/>
      <c r="AE2446" s="73"/>
      <c r="AF2446" s="73"/>
      <c r="AG2446" s="73"/>
      <c r="AH2446" s="73"/>
      <c r="AI2446" s="73"/>
      <c r="AJ2446" s="168"/>
      <c r="AK2446" s="73"/>
      <c r="AL2446" s="73"/>
      <c r="AM2446" s="73"/>
      <c r="AN2446" s="73"/>
      <c r="AO2446" s="73"/>
      <c r="AP2446" s="73"/>
      <c r="AQ2446" s="73"/>
      <c r="AR2446" s="73"/>
      <c r="AS2446" s="73"/>
      <c r="AT2446" s="73"/>
      <c r="AU2446" s="73"/>
      <c r="AV2446" s="73"/>
      <c r="AW2446" s="73"/>
      <c r="AX2446" s="73"/>
      <c r="AY2446" s="73"/>
      <c r="AZ2446" s="73"/>
      <c r="BA2446" s="73"/>
      <c r="BB2446" s="73"/>
      <c r="BC2446" s="73"/>
      <c r="BD2446" s="73"/>
      <c r="BE2446" s="73"/>
      <c r="BF2446" s="75"/>
      <c r="BG2446" s="73"/>
      <c r="BH2446" s="88"/>
      <c r="BI2446" s="73"/>
      <c r="BJ2446" s="73"/>
      <c r="BK2446" s="73"/>
      <c r="BL2446" s="73"/>
      <c r="BM2446" s="73"/>
      <c r="BN2446" s="73"/>
      <c r="BO2446" s="73"/>
      <c r="BP2446" s="73"/>
      <c r="BQ2446" s="73"/>
      <c r="BR2446" s="73"/>
      <c r="BS2446" s="73"/>
      <c r="BT2446" s="73"/>
      <c r="BU2446" s="73"/>
      <c r="BV2446" s="73"/>
      <c r="BW2446" s="73"/>
      <c r="BX2446" s="73"/>
      <c r="BY2446" s="73"/>
      <c r="BZ2446" s="73"/>
      <c r="CA2446" s="73"/>
      <c r="CB2446" s="73"/>
      <c r="CC2446" s="73"/>
      <c r="CD2446" s="73"/>
      <c r="CE2446" s="73"/>
      <c r="CF2446" s="73"/>
      <c r="CG2446" s="73"/>
      <c r="CH2446" s="73"/>
    </row>
    <row r="2447">
      <c r="A2447" s="73"/>
      <c r="B2447" s="73"/>
      <c r="C2447" s="73"/>
      <c r="D2447" s="73"/>
      <c r="E2447" s="140"/>
      <c r="F2447" s="80"/>
      <c r="G2447" s="80"/>
      <c r="H2447" s="73"/>
      <c r="I2447" s="73"/>
      <c r="J2447" s="73"/>
      <c r="K2447" s="73"/>
      <c r="L2447" s="73"/>
      <c r="M2447" s="73"/>
      <c r="N2447" s="73"/>
      <c r="O2447" s="73"/>
      <c r="P2447" s="73"/>
      <c r="Q2447" s="73"/>
      <c r="R2447" s="73"/>
      <c r="S2447" s="73"/>
      <c r="T2447" s="73"/>
      <c r="U2447" s="73"/>
      <c r="V2447" s="73"/>
      <c r="W2447" s="73"/>
      <c r="X2447" s="73"/>
      <c r="Y2447" s="73"/>
      <c r="Z2447" s="73"/>
      <c r="AA2447" s="73"/>
      <c r="AB2447" s="73"/>
      <c r="AC2447" s="73"/>
      <c r="AD2447" s="73"/>
      <c r="AE2447" s="73"/>
      <c r="AF2447" s="73"/>
      <c r="AG2447" s="73"/>
      <c r="AH2447" s="73"/>
      <c r="AI2447" s="73"/>
      <c r="AJ2447" s="168"/>
      <c r="AK2447" s="73"/>
      <c r="AL2447" s="73"/>
      <c r="AM2447" s="73"/>
      <c r="AN2447" s="73"/>
      <c r="AO2447" s="73"/>
      <c r="AP2447" s="73"/>
      <c r="AQ2447" s="73"/>
      <c r="AR2447" s="73"/>
      <c r="AS2447" s="73"/>
      <c r="AT2447" s="73"/>
      <c r="AU2447" s="73"/>
      <c r="AV2447" s="73"/>
      <c r="AW2447" s="73"/>
      <c r="AX2447" s="73"/>
      <c r="AY2447" s="73"/>
      <c r="AZ2447" s="73"/>
      <c r="BA2447" s="73"/>
      <c r="BB2447" s="73"/>
      <c r="BC2447" s="73"/>
      <c r="BD2447" s="73"/>
      <c r="BE2447" s="73"/>
      <c r="BF2447" s="75"/>
      <c r="BG2447" s="73"/>
      <c r="BH2447" s="88"/>
      <c r="BI2447" s="73"/>
      <c r="BJ2447" s="73"/>
      <c r="BK2447" s="73"/>
      <c r="BL2447" s="73"/>
      <c r="BM2447" s="73"/>
      <c r="BN2447" s="73"/>
      <c r="BO2447" s="73"/>
      <c r="BP2447" s="73"/>
      <c r="BQ2447" s="73"/>
      <c r="BR2447" s="73"/>
      <c r="BS2447" s="73"/>
      <c r="BT2447" s="73"/>
      <c r="BU2447" s="73"/>
      <c r="BV2447" s="73"/>
      <c r="BW2447" s="73"/>
      <c r="BX2447" s="73"/>
      <c r="BY2447" s="73"/>
      <c r="BZ2447" s="73"/>
      <c r="CA2447" s="73"/>
      <c r="CB2447" s="73"/>
      <c r="CC2447" s="73"/>
      <c r="CD2447" s="73"/>
      <c r="CE2447" s="73"/>
      <c r="CF2447" s="73"/>
      <c r="CG2447" s="73"/>
      <c r="CH2447" s="73"/>
    </row>
    <row r="2448">
      <c r="A2448" s="73"/>
      <c r="B2448" s="73"/>
      <c r="C2448" s="73"/>
      <c r="D2448" s="73"/>
      <c r="E2448" s="140"/>
      <c r="F2448" s="80"/>
      <c r="G2448" s="80"/>
      <c r="H2448" s="73"/>
      <c r="I2448" s="73"/>
      <c r="J2448" s="73"/>
      <c r="K2448" s="73"/>
      <c r="L2448" s="73"/>
      <c r="M2448" s="73"/>
      <c r="N2448" s="73"/>
      <c r="O2448" s="73"/>
      <c r="P2448" s="73"/>
      <c r="Q2448" s="73"/>
      <c r="R2448" s="73"/>
      <c r="S2448" s="73"/>
      <c r="T2448" s="73"/>
      <c r="U2448" s="73"/>
      <c r="V2448" s="73"/>
      <c r="W2448" s="73"/>
      <c r="X2448" s="73"/>
      <c r="Y2448" s="73"/>
      <c r="Z2448" s="73"/>
      <c r="AA2448" s="73"/>
      <c r="AB2448" s="73"/>
      <c r="AC2448" s="73"/>
      <c r="AD2448" s="73"/>
      <c r="AE2448" s="73"/>
      <c r="AF2448" s="73"/>
      <c r="AG2448" s="73"/>
      <c r="AH2448" s="73"/>
      <c r="AI2448" s="73"/>
      <c r="AJ2448" s="168"/>
      <c r="AK2448" s="73"/>
      <c r="AL2448" s="73"/>
      <c r="AM2448" s="73"/>
      <c r="AN2448" s="73"/>
      <c r="AO2448" s="73"/>
      <c r="AP2448" s="73"/>
      <c r="AQ2448" s="73"/>
      <c r="AR2448" s="73"/>
      <c r="AS2448" s="73"/>
      <c r="AT2448" s="73"/>
      <c r="AU2448" s="73"/>
      <c r="AV2448" s="73"/>
      <c r="AW2448" s="73"/>
      <c r="AX2448" s="73"/>
      <c r="AY2448" s="73"/>
      <c r="AZ2448" s="73"/>
      <c r="BA2448" s="73"/>
      <c r="BB2448" s="73"/>
      <c r="BC2448" s="73"/>
      <c r="BD2448" s="73"/>
      <c r="BE2448" s="73"/>
      <c r="BF2448" s="75"/>
      <c r="BG2448" s="73"/>
      <c r="BH2448" s="88"/>
      <c r="BI2448" s="73"/>
      <c r="BJ2448" s="73"/>
      <c r="BK2448" s="73"/>
      <c r="BL2448" s="73"/>
      <c r="BM2448" s="73"/>
      <c r="BN2448" s="73"/>
      <c r="BO2448" s="73"/>
      <c r="BP2448" s="73"/>
      <c r="BQ2448" s="73"/>
      <c r="BR2448" s="73"/>
      <c r="BS2448" s="73"/>
      <c r="BT2448" s="73"/>
      <c r="BU2448" s="73"/>
      <c r="BV2448" s="73"/>
      <c r="BW2448" s="73"/>
      <c r="BX2448" s="73"/>
      <c r="BY2448" s="73"/>
      <c r="BZ2448" s="73"/>
      <c r="CA2448" s="73"/>
      <c r="CB2448" s="73"/>
      <c r="CC2448" s="73"/>
      <c r="CD2448" s="73"/>
      <c r="CE2448" s="73"/>
      <c r="CF2448" s="73"/>
      <c r="CG2448" s="73"/>
      <c r="CH2448" s="73"/>
    </row>
    <row r="2449">
      <c r="A2449" s="73"/>
      <c r="B2449" s="73"/>
      <c r="C2449" s="73"/>
      <c r="D2449" s="73"/>
      <c r="E2449" s="140"/>
      <c r="F2449" s="80"/>
      <c r="G2449" s="80"/>
      <c r="H2449" s="73"/>
      <c r="I2449" s="73"/>
      <c r="J2449" s="73"/>
      <c r="K2449" s="73"/>
      <c r="L2449" s="73"/>
      <c r="M2449" s="73"/>
      <c r="N2449" s="73"/>
      <c r="O2449" s="73"/>
      <c r="P2449" s="73"/>
      <c r="Q2449" s="73"/>
      <c r="R2449" s="73"/>
      <c r="S2449" s="73"/>
      <c r="T2449" s="73"/>
      <c r="U2449" s="73"/>
      <c r="V2449" s="73"/>
      <c r="W2449" s="73"/>
      <c r="X2449" s="73"/>
      <c r="Y2449" s="73"/>
      <c r="Z2449" s="73"/>
      <c r="AA2449" s="73"/>
      <c r="AB2449" s="73"/>
      <c r="AC2449" s="73"/>
      <c r="AD2449" s="73"/>
      <c r="AE2449" s="73"/>
      <c r="AF2449" s="73"/>
      <c r="AG2449" s="73"/>
      <c r="AH2449" s="73"/>
      <c r="AI2449" s="73"/>
      <c r="AJ2449" s="168"/>
      <c r="AK2449" s="73"/>
      <c r="AL2449" s="73"/>
      <c r="AM2449" s="73"/>
      <c r="AN2449" s="73"/>
      <c r="AO2449" s="73"/>
      <c r="AP2449" s="73"/>
      <c r="AQ2449" s="73"/>
      <c r="AR2449" s="73"/>
      <c r="AS2449" s="73"/>
      <c r="AT2449" s="73"/>
      <c r="AU2449" s="73"/>
      <c r="AV2449" s="73"/>
      <c r="AW2449" s="73"/>
      <c r="AX2449" s="73"/>
      <c r="AY2449" s="73"/>
      <c r="AZ2449" s="73"/>
      <c r="BA2449" s="73"/>
      <c r="BB2449" s="73"/>
      <c r="BC2449" s="73"/>
      <c r="BD2449" s="73"/>
      <c r="BE2449" s="73"/>
      <c r="BF2449" s="75"/>
      <c r="BG2449" s="73"/>
      <c r="BH2449" s="88"/>
      <c r="BI2449" s="73"/>
      <c r="BJ2449" s="73"/>
      <c r="BK2449" s="73"/>
      <c r="BL2449" s="73"/>
      <c r="BM2449" s="73"/>
      <c r="BN2449" s="73"/>
      <c r="BO2449" s="73"/>
      <c r="BP2449" s="73"/>
      <c r="BQ2449" s="73"/>
      <c r="BR2449" s="73"/>
      <c r="BS2449" s="73"/>
      <c r="BT2449" s="73"/>
      <c r="BU2449" s="73"/>
      <c r="BV2449" s="73"/>
      <c r="BW2449" s="73"/>
      <c r="BX2449" s="73"/>
      <c r="BY2449" s="73"/>
      <c r="BZ2449" s="73"/>
      <c r="CA2449" s="73"/>
      <c r="CB2449" s="73"/>
      <c r="CC2449" s="73"/>
      <c r="CD2449" s="73"/>
      <c r="CE2449" s="73"/>
      <c r="CF2449" s="73"/>
      <c r="CG2449" s="73"/>
      <c r="CH2449" s="73"/>
    </row>
    <row r="2450">
      <c r="A2450" s="73"/>
      <c r="B2450" s="73"/>
      <c r="C2450" s="73"/>
      <c r="D2450" s="73"/>
      <c r="E2450" s="140"/>
      <c r="F2450" s="80"/>
      <c r="G2450" s="80"/>
      <c r="H2450" s="73"/>
      <c r="I2450" s="73"/>
      <c r="J2450" s="73"/>
      <c r="K2450" s="73"/>
      <c r="L2450" s="73"/>
      <c r="M2450" s="73"/>
      <c r="N2450" s="73"/>
      <c r="O2450" s="73"/>
      <c r="P2450" s="73"/>
      <c r="Q2450" s="73"/>
      <c r="R2450" s="73"/>
      <c r="S2450" s="73"/>
      <c r="T2450" s="73"/>
      <c r="U2450" s="73"/>
      <c r="V2450" s="73"/>
      <c r="W2450" s="73"/>
      <c r="X2450" s="73"/>
      <c r="Y2450" s="73"/>
      <c r="Z2450" s="73"/>
      <c r="AA2450" s="73"/>
      <c r="AB2450" s="73"/>
      <c r="AC2450" s="73"/>
      <c r="AD2450" s="73"/>
      <c r="AE2450" s="73"/>
      <c r="AF2450" s="73"/>
      <c r="AG2450" s="73"/>
      <c r="AH2450" s="73"/>
      <c r="AI2450" s="73"/>
      <c r="AJ2450" s="168"/>
      <c r="AK2450" s="73"/>
      <c r="AL2450" s="73"/>
      <c r="AM2450" s="73"/>
      <c r="AN2450" s="73"/>
      <c r="AO2450" s="73"/>
      <c r="AP2450" s="73"/>
      <c r="AQ2450" s="73"/>
      <c r="AR2450" s="73"/>
      <c r="AS2450" s="73"/>
      <c r="AT2450" s="73"/>
      <c r="AU2450" s="73"/>
      <c r="AV2450" s="73"/>
      <c r="AW2450" s="73"/>
      <c r="AX2450" s="73"/>
      <c r="AY2450" s="73"/>
      <c r="AZ2450" s="73"/>
      <c r="BA2450" s="73"/>
      <c r="BB2450" s="73"/>
      <c r="BC2450" s="73"/>
      <c r="BD2450" s="73"/>
      <c r="BE2450" s="73"/>
      <c r="BF2450" s="75"/>
      <c r="BG2450" s="73"/>
      <c r="BH2450" s="88"/>
      <c r="BI2450" s="73"/>
      <c r="BJ2450" s="73"/>
      <c r="BK2450" s="73"/>
      <c r="BL2450" s="73"/>
      <c r="BM2450" s="73"/>
      <c r="BN2450" s="73"/>
      <c r="BO2450" s="73"/>
      <c r="BP2450" s="73"/>
      <c r="BQ2450" s="73"/>
      <c r="BR2450" s="73"/>
      <c r="BS2450" s="73"/>
      <c r="BT2450" s="73"/>
      <c r="BU2450" s="73"/>
      <c r="BV2450" s="73"/>
      <c r="BW2450" s="73"/>
      <c r="BX2450" s="73"/>
      <c r="BY2450" s="73"/>
      <c r="BZ2450" s="73"/>
      <c r="CA2450" s="73"/>
      <c r="CB2450" s="73"/>
      <c r="CC2450" s="73"/>
      <c r="CD2450" s="73"/>
      <c r="CE2450" s="73"/>
      <c r="CF2450" s="73"/>
      <c r="CG2450" s="73"/>
      <c r="CH2450" s="73"/>
    </row>
    <row r="2451">
      <c r="A2451" s="73"/>
      <c r="B2451" s="73"/>
      <c r="C2451" s="73"/>
      <c r="D2451" s="73"/>
      <c r="E2451" s="140"/>
      <c r="F2451" s="80"/>
      <c r="G2451" s="80"/>
      <c r="H2451" s="73"/>
      <c r="I2451" s="73"/>
      <c r="J2451" s="73"/>
      <c r="K2451" s="73"/>
      <c r="L2451" s="73"/>
      <c r="M2451" s="73"/>
      <c r="N2451" s="73"/>
      <c r="O2451" s="73"/>
      <c r="P2451" s="73"/>
      <c r="Q2451" s="73"/>
      <c r="R2451" s="73"/>
      <c r="S2451" s="73"/>
      <c r="T2451" s="73"/>
      <c r="U2451" s="73"/>
      <c r="V2451" s="73"/>
      <c r="W2451" s="73"/>
      <c r="X2451" s="73"/>
      <c r="Y2451" s="73"/>
      <c r="Z2451" s="73"/>
      <c r="AA2451" s="73"/>
      <c r="AB2451" s="73"/>
      <c r="AC2451" s="73"/>
      <c r="AD2451" s="73"/>
      <c r="AE2451" s="73"/>
      <c r="AF2451" s="73"/>
      <c r="AG2451" s="73"/>
      <c r="AH2451" s="73"/>
      <c r="AI2451" s="73"/>
      <c r="AJ2451" s="168"/>
      <c r="AK2451" s="73"/>
      <c r="AL2451" s="73"/>
      <c r="AM2451" s="73"/>
      <c r="AN2451" s="73"/>
      <c r="AO2451" s="73"/>
      <c r="AP2451" s="73"/>
      <c r="AQ2451" s="73"/>
      <c r="AR2451" s="73"/>
      <c r="AS2451" s="73"/>
      <c r="AT2451" s="73"/>
      <c r="AU2451" s="73"/>
      <c r="AV2451" s="73"/>
      <c r="AW2451" s="73"/>
      <c r="AX2451" s="73"/>
      <c r="AY2451" s="73"/>
      <c r="AZ2451" s="73"/>
      <c r="BA2451" s="73"/>
      <c r="BB2451" s="73"/>
      <c r="BC2451" s="73"/>
      <c r="BD2451" s="73"/>
      <c r="BE2451" s="73"/>
      <c r="BF2451" s="75"/>
      <c r="BG2451" s="73"/>
      <c r="BH2451" s="88"/>
      <c r="BI2451" s="73"/>
      <c r="BJ2451" s="73"/>
      <c r="BK2451" s="73"/>
      <c r="BL2451" s="73"/>
      <c r="BM2451" s="73"/>
      <c r="BN2451" s="73"/>
      <c r="BO2451" s="73"/>
      <c r="BP2451" s="73"/>
      <c r="BQ2451" s="73"/>
      <c r="BR2451" s="73"/>
      <c r="BS2451" s="73"/>
      <c r="BT2451" s="73"/>
      <c r="BU2451" s="73"/>
      <c r="BV2451" s="73"/>
      <c r="BW2451" s="73"/>
      <c r="BX2451" s="73"/>
      <c r="BY2451" s="73"/>
      <c r="BZ2451" s="73"/>
      <c r="CA2451" s="73"/>
      <c r="CB2451" s="73"/>
      <c r="CC2451" s="73"/>
      <c r="CD2451" s="73"/>
      <c r="CE2451" s="73"/>
      <c r="CF2451" s="73"/>
      <c r="CG2451" s="73"/>
      <c r="CH2451" s="73"/>
    </row>
    <row r="2452">
      <c r="A2452" s="73"/>
      <c r="B2452" s="73"/>
      <c r="C2452" s="73"/>
      <c r="D2452" s="73"/>
      <c r="E2452" s="140"/>
      <c r="F2452" s="80"/>
      <c r="G2452" s="80"/>
      <c r="H2452" s="73"/>
      <c r="I2452" s="73"/>
      <c r="J2452" s="73"/>
      <c r="K2452" s="73"/>
      <c r="L2452" s="73"/>
      <c r="M2452" s="73"/>
      <c r="N2452" s="73"/>
      <c r="O2452" s="73"/>
      <c r="P2452" s="73"/>
      <c r="Q2452" s="73"/>
      <c r="R2452" s="73"/>
      <c r="S2452" s="73"/>
      <c r="T2452" s="73"/>
      <c r="U2452" s="73"/>
      <c r="V2452" s="73"/>
      <c r="W2452" s="73"/>
      <c r="X2452" s="73"/>
      <c r="Y2452" s="73"/>
      <c r="Z2452" s="73"/>
      <c r="AA2452" s="73"/>
      <c r="AB2452" s="73"/>
      <c r="AC2452" s="73"/>
      <c r="AD2452" s="73"/>
      <c r="AE2452" s="73"/>
      <c r="AF2452" s="73"/>
      <c r="AG2452" s="73"/>
      <c r="AH2452" s="73"/>
      <c r="AI2452" s="73"/>
      <c r="AJ2452" s="168"/>
      <c r="AK2452" s="73"/>
      <c r="AL2452" s="73"/>
      <c r="AM2452" s="73"/>
      <c r="AN2452" s="73"/>
      <c r="AO2452" s="73"/>
      <c r="AP2452" s="73"/>
      <c r="AQ2452" s="73"/>
      <c r="AR2452" s="73"/>
      <c r="AS2452" s="73"/>
      <c r="AT2452" s="73"/>
      <c r="AU2452" s="73"/>
      <c r="AV2452" s="73"/>
      <c r="AW2452" s="73"/>
      <c r="AX2452" s="73"/>
      <c r="AY2452" s="73"/>
      <c r="AZ2452" s="73"/>
      <c r="BA2452" s="73"/>
      <c r="BB2452" s="73"/>
      <c r="BC2452" s="73"/>
      <c r="BD2452" s="73"/>
      <c r="BE2452" s="73"/>
      <c r="BF2452" s="75"/>
      <c r="BG2452" s="73"/>
      <c r="BH2452" s="88"/>
      <c r="BI2452" s="73"/>
      <c r="BJ2452" s="73"/>
      <c r="BK2452" s="73"/>
      <c r="BL2452" s="73"/>
      <c r="BM2452" s="73"/>
      <c r="BN2452" s="73"/>
      <c r="BO2452" s="73"/>
      <c r="BP2452" s="73"/>
      <c r="BQ2452" s="73"/>
      <c r="BR2452" s="73"/>
      <c r="BS2452" s="73"/>
      <c r="BT2452" s="73"/>
      <c r="BU2452" s="73"/>
      <c r="BV2452" s="73"/>
      <c r="BW2452" s="73"/>
      <c r="BX2452" s="73"/>
      <c r="BY2452" s="73"/>
      <c r="BZ2452" s="73"/>
      <c r="CA2452" s="73"/>
      <c r="CB2452" s="73"/>
      <c r="CC2452" s="73"/>
      <c r="CD2452" s="73"/>
      <c r="CE2452" s="73"/>
      <c r="CF2452" s="73"/>
      <c r="CG2452" s="73"/>
      <c r="CH2452" s="73"/>
    </row>
    <row r="2453">
      <c r="A2453" s="73"/>
      <c r="B2453" s="73"/>
      <c r="C2453" s="73"/>
      <c r="D2453" s="73"/>
      <c r="E2453" s="140"/>
      <c r="F2453" s="80"/>
      <c r="G2453" s="80"/>
      <c r="H2453" s="73"/>
      <c r="I2453" s="73"/>
      <c r="J2453" s="73"/>
      <c r="K2453" s="73"/>
      <c r="L2453" s="73"/>
      <c r="M2453" s="73"/>
      <c r="N2453" s="73"/>
      <c r="O2453" s="73"/>
      <c r="P2453" s="73"/>
      <c r="Q2453" s="73"/>
      <c r="R2453" s="73"/>
      <c r="S2453" s="73"/>
      <c r="T2453" s="73"/>
      <c r="U2453" s="73"/>
      <c r="V2453" s="73"/>
      <c r="W2453" s="73"/>
      <c r="X2453" s="73"/>
      <c r="Y2453" s="73"/>
      <c r="Z2453" s="73"/>
      <c r="AA2453" s="73"/>
      <c r="AB2453" s="73"/>
      <c r="AC2453" s="73"/>
      <c r="AD2453" s="73"/>
      <c r="AE2453" s="73"/>
      <c r="AF2453" s="73"/>
      <c r="AG2453" s="73"/>
      <c r="AH2453" s="73"/>
      <c r="AI2453" s="73"/>
      <c r="AJ2453" s="168"/>
      <c r="AK2453" s="73"/>
      <c r="AL2453" s="73"/>
      <c r="AM2453" s="73"/>
      <c r="AN2453" s="73"/>
      <c r="AO2453" s="73"/>
      <c r="AP2453" s="73"/>
      <c r="AQ2453" s="73"/>
      <c r="AR2453" s="73"/>
      <c r="AS2453" s="73"/>
      <c r="AT2453" s="73"/>
      <c r="AU2453" s="73"/>
      <c r="AV2453" s="73"/>
      <c r="AW2453" s="73"/>
      <c r="AX2453" s="73"/>
      <c r="AY2453" s="73"/>
      <c r="AZ2453" s="73"/>
      <c r="BA2453" s="73"/>
      <c r="BB2453" s="73"/>
      <c r="BC2453" s="73"/>
      <c r="BD2453" s="73"/>
      <c r="BE2453" s="73"/>
      <c r="BF2453" s="75"/>
      <c r="BG2453" s="73"/>
      <c r="BH2453" s="88"/>
      <c r="BI2453" s="73"/>
      <c r="BJ2453" s="73"/>
      <c r="BK2453" s="73"/>
      <c r="BL2453" s="73"/>
      <c r="BM2453" s="73"/>
      <c r="BN2453" s="73"/>
      <c r="BO2453" s="73"/>
      <c r="BP2453" s="73"/>
      <c r="BQ2453" s="73"/>
      <c r="BR2453" s="73"/>
      <c r="BS2453" s="73"/>
      <c r="BT2453" s="73"/>
      <c r="BU2453" s="73"/>
      <c r="BV2453" s="73"/>
      <c r="BW2453" s="73"/>
      <c r="BX2453" s="73"/>
      <c r="BY2453" s="73"/>
      <c r="BZ2453" s="73"/>
      <c r="CA2453" s="73"/>
      <c r="CB2453" s="73"/>
      <c r="CC2453" s="73"/>
      <c r="CD2453" s="73"/>
      <c r="CE2453" s="73"/>
      <c r="CF2453" s="73"/>
      <c r="CG2453" s="73"/>
      <c r="CH2453" s="73"/>
    </row>
    <row r="2454">
      <c r="A2454" s="73"/>
      <c r="B2454" s="73"/>
      <c r="C2454" s="73"/>
      <c r="D2454" s="73"/>
      <c r="E2454" s="140"/>
      <c r="F2454" s="80"/>
      <c r="G2454" s="80"/>
      <c r="H2454" s="73"/>
      <c r="I2454" s="73"/>
      <c r="J2454" s="73"/>
      <c r="K2454" s="73"/>
      <c r="L2454" s="73"/>
      <c r="M2454" s="73"/>
      <c r="N2454" s="73"/>
      <c r="O2454" s="73"/>
      <c r="P2454" s="73"/>
      <c r="Q2454" s="73"/>
      <c r="R2454" s="73"/>
      <c r="S2454" s="73"/>
      <c r="T2454" s="73"/>
      <c r="U2454" s="73"/>
      <c r="V2454" s="73"/>
      <c r="W2454" s="73"/>
      <c r="X2454" s="73"/>
      <c r="Y2454" s="73"/>
      <c r="Z2454" s="73"/>
      <c r="AA2454" s="73"/>
      <c r="AB2454" s="73"/>
      <c r="AC2454" s="73"/>
      <c r="AD2454" s="73"/>
      <c r="AE2454" s="73"/>
      <c r="AF2454" s="73"/>
      <c r="AG2454" s="73"/>
      <c r="AH2454" s="73"/>
      <c r="AI2454" s="73"/>
      <c r="AJ2454" s="168"/>
      <c r="AK2454" s="73"/>
      <c r="AL2454" s="73"/>
      <c r="AM2454" s="73"/>
      <c r="AN2454" s="73"/>
      <c r="AO2454" s="73"/>
      <c r="AP2454" s="73"/>
      <c r="AQ2454" s="73"/>
      <c r="AR2454" s="73"/>
      <c r="AS2454" s="73"/>
      <c r="AT2454" s="73"/>
      <c r="AU2454" s="73"/>
      <c r="AV2454" s="73"/>
      <c r="AW2454" s="73"/>
      <c r="AX2454" s="73"/>
      <c r="AY2454" s="73"/>
      <c r="AZ2454" s="73"/>
      <c r="BA2454" s="73"/>
      <c r="BB2454" s="73"/>
      <c r="BC2454" s="73"/>
      <c r="BD2454" s="73"/>
      <c r="BE2454" s="73"/>
      <c r="BF2454" s="75"/>
      <c r="BG2454" s="73"/>
      <c r="BH2454" s="88"/>
      <c r="BI2454" s="73"/>
      <c r="BJ2454" s="73"/>
      <c r="BK2454" s="73"/>
      <c r="BL2454" s="73"/>
      <c r="BM2454" s="73"/>
      <c r="BN2454" s="73"/>
      <c r="BO2454" s="73"/>
      <c r="BP2454" s="73"/>
      <c r="BQ2454" s="73"/>
      <c r="BR2454" s="73"/>
      <c r="BS2454" s="73"/>
      <c r="BT2454" s="73"/>
      <c r="BU2454" s="73"/>
      <c r="BV2454" s="73"/>
      <c r="BW2454" s="73"/>
      <c r="BX2454" s="73"/>
      <c r="BY2454" s="73"/>
      <c r="BZ2454" s="73"/>
      <c r="CA2454" s="73"/>
      <c r="CB2454" s="73"/>
      <c r="CC2454" s="73"/>
      <c r="CD2454" s="73"/>
      <c r="CE2454" s="73"/>
      <c r="CF2454" s="73"/>
      <c r="CG2454" s="73"/>
      <c r="CH2454" s="73"/>
    </row>
    <row r="2455">
      <c r="A2455" s="73"/>
      <c r="B2455" s="73"/>
      <c r="C2455" s="73"/>
      <c r="D2455" s="73"/>
      <c r="E2455" s="140"/>
      <c r="F2455" s="80"/>
      <c r="G2455" s="80"/>
      <c r="H2455" s="73"/>
      <c r="I2455" s="73"/>
      <c r="J2455" s="73"/>
      <c r="K2455" s="73"/>
      <c r="L2455" s="73"/>
      <c r="M2455" s="73"/>
      <c r="N2455" s="73"/>
      <c r="O2455" s="73"/>
      <c r="P2455" s="73"/>
      <c r="Q2455" s="73"/>
      <c r="R2455" s="73"/>
      <c r="S2455" s="73"/>
      <c r="T2455" s="73"/>
      <c r="U2455" s="73"/>
      <c r="V2455" s="73"/>
      <c r="W2455" s="73"/>
      <c r="X2455" s="73"/>
      <c r="Y2455" s="73"/>
      <c r="Z2455" s="73"/>
      <c r="AA2455" s="73"/>
      <c r="AB2455" s="73"/>
      <c r="AC2455" s="73"/>
      <c r="AD2455" s="73"/>
      <c r="AE2455" s="73"/>
      <c r="AF2455" s="73"/>
      <c r="AG2455" s="73"/>
      <c r="AH2455" s="73"/>
      <c r="AI2455" s="73"/>
      <c r="AJ2455" s="168"/>
      <c r="AK2455" s="73"/>
      <c r="AL2455" s="73"/>
      <c r="AM2455" s="73"/>
      <c r="AN2455" s="73"/>
      <c r="AO2455" s="73"/>
      <c r="AP2455" s="73"/>
      <c r="AQ2455" s="73"/>
      <c r="AR2455" s="73"/>
      <c r="AS2455" s="73"/>
      <c r="AT2455" s="73"/>
      <c r="AU2455" s="73"/>
      <c r="AV2455" s="73"/>
      <c r="AW2455" s="73"/>
      <c r="AX2455" s="73"/>
      <c r="AY2455" s="73"/>
      <c r="AZ2455" s="73"/>
      <c r="BA2455" s="73"/>
      <c r="BB2455" s="73"/>
      <c r="BC2455" s="73"/>
      <c r="BD2455" s="73"/>
      <c r="BE2455" s="73"/>
      <c r="BF2455" s="75"/>
      <c r="BG2455" s="73"/>
      <c r="BH2455" s="88"/>
      <c r="BI2455" s="73"/>
      <c r="BJ2455" s="73"/>
      <c r="BK2455" s="73"/>
      <c r="BL2455" s="73"/>
      <c r="BM2455" s="73"/>
      <c r="BN2455" s="73"/>
      <c r="BO2455" s="73"/>
      <c r="BP2455" s="73"/>
      <c r="BQ2455" s="73"/>
      <c r="BR2455" s="73"/>
      <c r="BS2455" s="73"/>
      <c r="BT2455" s="73"/>
      <c r="BU2455" s="73"/>
      <c r="BV2455" s="73"/>
      <c r="BW2455" s="73"/>
      <c r="BX2455" s="73"/>
      <c r="BY2455" s="73"/>
      <c r="BZ2455" s="73"/>
      <c r="CA2455" s="73"/>
      <c r="CB2455" s="73"/>
      <c r="CC2455" s="73"/>
      <c r="CD2455" s="73"/>
      <c r="CE2455" s="73"/>
      <c r="CF2455" s="73"/>
      <c r="CG2455" s="73"/>
      <c r="CH2455" s="73"/>
    </row>
    <row r="2456">
      <c r="A2456" s="73"/>
      <c r="B2456" s="73"/>
      <c r="C2456" s="73"/>
      <c r="D2456" s="73"/>
      <c r="E2456" s="140"/>
      <c r="F2456" s="80"/>
      <c r="G2456" s="80"/>
      <c r="H2456" s="73"/>
      <c r="I2456" s="73"/>
      <c r="J2456" s="73"/>
      <c r="K2456" s="73"/>
      <c r="L2456" s="73"/>
      <c r="M2456" s="73"/>
      <c r="N2456" s="73"/>
      <c r="O2456" s="73"/>
      <c r="P2456" s="73"/>
      <c r="Q2456" s="73"/>
      <c r="R2456" s="73"/>
      <c r="S2456" s="73"/>
      <c r="T2456" s="73"/>
      <c r="U2456" s="73"/>
      <c r="V2456" s="73"/>
      <c r="W2456" s="73"/>
      <c r="X2456" s="73"/>
      <c r="Y2456" s="73"/>
      <c r="Z2456" s="73"/>
      <c r="AA2456" s="73"/>
      <c r="AB2456" s="73"/>
      <c r="AC2456" s="73"/>
      <c r="AD2456" s="73"/>
      <c r="AE2456" s="73"/>
      <c r="AF2456" s="73"/>
      <c r="AG2456" s="73"/>
      <c r="AH2456" s="73"/>
      <c r="AI2456" s="73"/>
      <c r="AJ2456" s="168"/>
      <c r="AK2456" s="73"/>
      <c r="AL2456" s="73"/>
      <c r="AM2456" s="73"/>
      <c r="AN2456" s="73"/>
      <c r="AO2456" s="73"/>
      <c r="AP2456" s="73"/>
      <c r="AQ2456" s="73"/>
      <c r="AR2456" s="73"/>
      <c r="AS2456" s="73"/>
      <c r="AT2456" s="73"/>
      <c r="AU2456" s="73"/>
      <c r="AV2456" s="73"/>
      <c r="AW2456" s="73"/>
      <c r="AX2456" s="73"/>
      <c r="AY2456" s="73"/>
      <c r="AZ2456" s="73"/>
      <c r="BA2456" s="73"/>
      <c r="BB2456" s="73"/>
      <c r="BC2456" s="73"/>
      <c r="BD2456" s="73"/>
      <c r="BE2456" s="73"/>
      <c r="BF2456" s="75"/>
      <c r="BG2456" s="73"/>
      <c r="BH2456" s="88"/>
      <c r="BI2456" s="73"/>
      <c r="BJ2456" s="73"/>
      <c r="BK2456" s="73"/>
      <c r="BL2456" s="73"/>
      <c r="BM2456" s="73"/>
      <c r="BN2456" s="73"/>
      <c r="BO2456" s="73"/>
      <c r="BP2456" s="73"/>
      <c r="BQ2456" s="73"/>
      <c r="BR2456" s="73"/>
      <c r="BS2456" s="73"/>
      <c r="BT2456" s="73"/>
      <c r="BU2456" s="73"/>
      <c r="BV2456" s="73"/>
      <c r="BW2456" s="73"/>
      <c r="BX2456" s="73"/>
      <c r="BY2456" s="73"/>
      <c r="BZ2456" s="73"/>
      <c r="CA2456" s="73"/>
      <c r="CB2456" s="73"/>
      <c r="CC2456" s="73"/>
      <c r="CD2456" s="73"/>
      <c r="CE2456" s="73"/>
      <c r="CF2456" s="73"/>
      <c r="CG2456" s="73"/>
      <c r="CH2456" s="73"/>
    </row>
    <row r="2457">
      <c r="A2457" s="73"/>
      <c r="B2457" s="73"/>
      <c r="C2457" s="73"/>
      <c r="D2457" s="73"/>
      <c r="E2457" s="140"/>
      <c r="F2457" s="80"/>
      <c r="G2457" s="80"/>
      <c r="H2457" s="73"/>
      <c r="I2457" s="73"/>
      <c r="J2457" s="73"/>
      <c r="K2457" s="73"/>
      <c r="L2457" s="73"/>
      <c r="M2457" s="73"/>
      <c r="N2457" s="73"/>
      <c r="O2457" s="73"/>
      <c r="P2457" s="73"/>
      <c r="Q2457" s="73"/>
      <c r="R2457" s="73"/>
      <c r="S2457" s="73"/>
      <c r="T2457" s="73"/>
      <c r="U2457" s="73"/>
      <c r="V2457" s="73"/>
      <c r="W2457" s="73"/>
      <c r="X2457" s="73"/>
      <c r="Y2457" s="73"/>
      <c r="Z2457" s="73"/>
      <c r="AA2457" s="73"/>
      <c r="AB2457" s="73"/>
      <c r="AC2457" s="73"/>
      <c r="AD2457" s="73"/>
      <c r="AE2457" s="73"/>
      <c r="AF2457" s="73"/>
      <c r="AG2457" s="73"/>
      <c r="AH2457" s="73"/>
      <c r="AI2457" s="73"/>
      <c r="AJ2457" s="168"/>
      <c r="AK2457" s="73"/>
      <c r="AL2457" s="73"/>
      <c r="AM2457" s="73"/>
      <c r="AN2457" s="73"/>
      <c r="AO2457" s="73"/>
      <c r="AP2457" s="73"/>
      <c r="AQ2457" s="73"/>
      <c r="AR2457" s="73"/>
      <c r="AS2457" s="73"/>
      <c r="AT2457" s="73"/>
      <c r="AU2457" s="73"/>
      <c r="AV2457" s="73"/>
      <c r="AW2457" s="73"/>
      <c r="AX2457" s="73"/>
      <c r="AY2457" s="73"/>
      <c r="AZ2457" s="73"/>
      <c r="BA2457" s="73"/>
      <c r="BB2457" s="73"/>
      <c r="BC2457" s="73"/>
      <c r="BD2457" s="73"/>
      <c r="BE2457" s="73"/>
      <c r="BF2457" s="75"/>
      <c r="BG2457" s="73"/>
      <c r="BH2457" s="88"/>
      <c r="BI2457" s="73"/>
      <c r="BJ2457" s="73"/>
      <c r="BK2457" s="73"/>
      <c r="BL2457" s="73"/>
      <c r="BM2457" s="73"/>
      <c r="BN2457" s="73"/>
      <c r="BO2457" s="73"/>
      <c r="BP2457" s="73"/>
      <c r="BQ2457" s="73"/>
      <c r="BR2457" s="73"/>
      <c r="BS2457" s="73"/>
      <c r="BT2457" s="73"/>
      <c r="BU2457" s="73"/>
      <c r="BV2457" s="73"/>
      <c r="BW2457" s="73"/>
      <c r="BX2457" s="73"/>
      <c r="BY2457" s="73"/>
      <c r="BZ2457" s="73"/>
      <c r="CA2457" s="73"/>
      <c r="CB2457" s="73"/>
      <c r="CC2457" s="73"/>
      <c r="CD2457" s="73"/>
      <c r="CE2457" s="73"/>
      <c r="CF2457" s="73"/>
      <c r="CG2457" s="73"/>
      <c r="CH2457" s="73"/>
    </row>
  </sheetData>
  <autoFilter ref="$BT$1:$BT$499"/>
  <hyperlinks>
    <hyperlink r:id="rId1" ref="AJ16"/>
    <hyperlink r:id="rId2" ref="A17"/>
    <hyperlink r:id="rId3" ref="A18"/>
    <hyperlink r:id="rId4" ref="A19"/>
    <hyperlink r:id="rId5" ref="A20"/>
    <hyperlink r:id="rId6" ref="A21"/>
    <hyperlink r:id="rId7" ref="A22"/>
    <hyperlink r:id="rId8" ref="A23"/>
    <hyperlink r:id="rId9" ref="A24"/>
    <hyperlink r:id="rId10" ref="A25"/>
    <hyperlink r:id="rId11" ref="A26"/>
    <hyperlink r:id="rId12" ref="A27"/>
    <hyperlink r:id="rId13" ref="A28"/>
    <hyperlink r:id="rId14" ref="A29"/>
    <hyperlink r:id="rId15" ref="A30"/>
    <hyperlink r:id="rId16" ref="A31"/>
    <hyperlink r:id="rId17" ref="A32"/>
    <hyperlink r:id="rId18" ref="A33"/>
    <hyperlink r:id="rId19" ref="A34"/>
    <hyperlink r:id="rId20" ref="A35"/>
    <hyperlink r:id="rId21" ref="A36"/>
    <hyperlink r:id="rId22" ref="A37"/>
    <hyperlink r:id="rId23" ref="A38"/>
    <hyperlink r:id="rId24" ref="A39"/>
    <hyperlink r:id="rId25" ref="A40"/>
    <hyperlink r:id="rId26" ref="A41"/>
    <hyperlink r:id="rId27" ref="A42"/>
    <hyperlink r:id="rId28" ref="A43"/>
    <hyperlink r:id="rId29" ref="A44"/>
    <hyperlink r:id="rId30" ref="A45"/>
    <hyperlink r:id="rId31" ref="A46"/>
    <hyperlink r:id="rId32" ref="A47"/>
    <hyperlink r:id="rId33" ref="A48"/>
    <hyperlink r:id="rId34" ref="A49"/>
    <hyperlink r:id="rId35" ref="A50"/>
    <hyperlink r:id="rId36" ref="A51"/>
    <hyperlink r:id="rId37" ref="A52"/>
    <hyperlink r:id="rId38" ref="A53"/>
    <hyperlink r:id="rId39" ref="A54"/>
    <hyperlink r:id="rId40" ref="A55"/>
    <hyperlink r:id="rId41" ref="A56"/>
    <hyperlink r:id="rId42" ref="A57"/>
    <hyperlink r:id="rId43" ref="A58"/>
    <hyperlink r:id="rId44" ref="A59"/>
    <hyperlink r:id="rId45" ref="A60"/>
    <hyperlink r:id="rId46" ref="A61"/>
    <hyperlink r:id="rId47" ref="A62"/>
    <hyperlink r:id="rId48" ref="A63"/>
    <hyperlink r:id="rId49" ref="A64"/>
    <hyperlink r:id="rId50" ref="A65"/>
    <hyperlink r:id="rId51" ref="A66"/>
    <hyperlink r:id="rId52" ref="A67"/>
    <hyperlink r:id="rId53" ref="A68"/>
    <hyperlink r:id="rId54" ref="A69"/>
    <hyperlink r:id="rId55" ref="A70"/>
    <hyperlink r:id="rId56" ref="A71"/>
    <hyperlink r:id="rId57" ref="A72"/>
    <hyperlink r:id="rId58" ref="A73"/>
    <hyperlink r:id="rId59" ref="A74"/>
    <hyperlink r:id="rId60" ref="A75"/>
    <hyperlink r:id="rId61" ref="A76"/>
    <hyperlink r:id="rId62" ref="A77"/>
    <hyperlink r:id="rId63" ref="A78"/>
    <hyperlink r:id="rId64" ref="A79"/>
    <hyperlink r:id="rId65" ref="A80"/>
    <hyperlink r:id="rId66" ref="A81"/>
    <hyperlink r:id="rId67" ref="A82"/>
    <hyperlink r:id="rId68" ref="A83"/>
    <hyperlink r:id="rId69" ref="A84"/>
    <hyperlink r:id="rId70" ref="A85"/>
    <hyperlink r:id="rId71" ref="A86"/>
    <hyperlink r:id="rId72" ref="A87"/>
    <hyperlink r:id="rId73" ref="A88"/>
    <hyperlink r:id="rId74" ref="A89"/>
    <hyperlink r:id="rId75" ref="A90"/>
    <hyperlink r:id="rId76" ref="A91"/>
    <hyperlink r:id="rId77" ref="A92"/>
    <hyperlink r:id="rId78" ref="A93"/>
    <hyperlink r:id="rId79" ref="A94"/>
    <hyperlink r:id="rId80" ref="A95"/>
    <hyperlink r:id="rId81" ref="A96"/>
    <hyperlink r:id="rId82" ref="A97"/>
    <hyperlink r:id="rId83" ref="A98"/>
    <hyperlink r:id="rId84" ref="A99"/>
    <hyperlink r:id="rId85" ref="A100"/>
    <hyperlink r:id="rId86" ref="A101"/>
    <hyperlink r:id="rId87" ref="A102"/>
    <hyperlink r:id="rId88" ref="A103"/>
    <hyperlink r:id="rId89" ref="A104"/>
    <hyperlink r:id="rId90" ref="A105"/>
    <hyperlink r:id="rId91" ref="A106"/>
    <hyperlink r:id="rId92" ref="A107"/>
    <hyperlink r:id="rId93" ref="A108"/>
    <hyperlink r:id="rId94" ref="A109"/>
    <hyperlink r:id="rId95" ref="A110"/>
    <hyperlink r:id="rId96" ref="A111"/>
    <hyperlink r:id="rId97" ref="A112"/>
    <hyperlink r:id="rId98" ref="A113"/>
    <hyperlink r:id="rId99" ref="A114"/>
    <hyperlink r:id="rId100" ref="A115"/>
    <hyperlink r:id="rId101" ref="A116"/>
    <hyperlink r:id="rId102" ref="A117"/>
    <hyperlink r:id="rId103" ref="A118"/>
    <hyperlink r:id="rId104" ref="A119"/>
    <hyperlink r:id="rId105" ref="A120"/>
    <hyperlink r:id="rId106" ref="A121"/>
    <hyperlink r:id="rId107" ref="A122"/>
    <hyperlink r:id="rId108" ref="A123"/>
    <hyperlink r:id="rId109" ref="A124"/>
    <hyperlink r:id="rId110" ref="A125"/>
    <hyperlink r:id="rId111" ref="A126"/>
    <hyperlink r:id="rId112" ref="A127"/>
    <hyperlink r:id="rId113" ref="A128"/>
    <hyperlink r:id="rId114" ref="A129"/>
    <hyperlink r:id="rId115" ref="A130"/>
    <hyperlink r:id="rId116" ref="A131"/>
    <hyperlink r:id="rId117" ref="A132"/>
    <hyperlink r:id="rId118" ref="A133"/>
    <hyperlink r:id="rId119" ref="A134"/>
    <hyperlink r:id="rId120" ref="A135"/>
    <hyperlink r:id="rId121" ref="A136"/>
    <hyperlink r:id="rId122" ref="A137"/>
    <hyperlink r:id="rId123" ref="A138"/>
    <hyperlink r:id="rId124" ref="A139"/>
    <hyperlink r:id="rId125" ref="A140"/>
    <hyperlink r:id="rId126" ref="A141"/>
    <hyperlink r:id="rId127" ref="A142"/>
    <hyperlink r:id="rId128" ref="A143"/>
  </hyperlinks>
  <drawing r:id="rId12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63"/>
    <col customWidth="1" min="24" max="24" width="15.13"/>
    <col customWidth="1" min="30" max="30" width="15.13"/>
  </cols>
  <sheetData>
    <row r="1">
      <c r="A1" s="144" t="s">
        <v>0</v>
      </c>
      <c r="B1" s="145" t="s">
        <v>1</v>
      </c>
      <c r="C1" s="2" t="s">
        <v>2</v>
      </c>
      <c r="D1" s="2" t="s">
        <v>3</v>
      </c>
      <c r="E1" s="2" t="s">
        <v>4</v>
      </c>
      <c r="F1" s="169" t="s">
        <v>5</v>
      </c>
      <c r="G1" s="170" t="s">
        <v>7</v>
      </c>
      <c r="H1" s="170" t="s">
        <v>8</v>
      </c>
      <c r="I1" s="171" t="s">
        <v>16</v>
      </c>
      <c r="J1" s="172" t="s">
        <v>193</v>
      </c>
      <c r="K1" s="172" t="s">
        <v>21</v>
      </c>
      <c r="L1" s="173" t="s">
        <v>22</v>
      </c>
      <c r="M1" s="173" t="s">
        <v>23</v>
      </c>
      <c r="N1" s="174" t="s">
        <v>194</v>
      </c>
      <c r="O1" s="175" t="s">
        <v>195</v>
      </c>
      <c r="P1" s="73"/>
      <c r="Q1" s="73"/>
      <c r="R1" s="73" t="str">
        <f>IFERROR(__xludf.DUMMYFUNCTION("SPLIT(Quotation!F17,""*"")"),"#VALUE!")</f>
        <v>#VALUE!</v>
      </c>
      <c r="S1" s="73"/>
      <c r="T1" s="73"/>
      <c r="U1" s="74" t="s">
        <v>217</v>
      </c>
      <c r="V1" s="73"/>
      <c r="W1" s="73"/>
      <c r="X1" s="73"/>
      <c r="Y1" s="73"/>
      <c r="Z1" s="88"/>
      <c r="AA1" s="80"/>
      <c r="AB1" s="80" t="str">
        <f>Quotation!A21</f>
        <v>Offset</v>
      </c>
      <c r="AC1" s="33" t="str">
        <f>IF(AB1="","","and AC = '"&amp;AB1&amp;"'")</f>
        <v>and AC = 'Offset'</v>
      </c>
      <c r="AD1" s="80"/>
      <c r="AE1" s="80"/>
      <c r="AF1" s="80"/>
    </row>
    <row r="2">
      <c r="A2" s="176" t="str">
        <f>Product!A13</f>
        <v>https://drive.google.com/open?id=1NLrZ9Hf7XX7ORpYJXuBzVfkGVvuPoBZu&amp;authuser=jay.agg%40gmail.com&amp;usp=drive_fs</v>
      </c>
      <c r="B2" s="71" t="str">
        <f>Product!B13</f>
        <v>Bakery</v>
      </c>
      <c r="C2" s="71" t="str">
        <f>Product!C13</f>
        <v>Brownie 2</v>
      </c>
      <c r="D2" s="71" t="str">
        <f>Product!D13</f>
        <v>180*70*35 mm | 7*2.75*1.4 inch</v>
      </c>
      <c r="E2" s="177">
        <f>Product!E13*Product!CG93</f>
        <v>4</v>
      </c>
      <c r="F2" s="71">
        <f>Product!F13</f>
        <v>2029</v>
      </c>
      <c r="G2" s="71">
        <f>Product!G13*Product!CG93</f>
        <v>19</v>
      </c>
      <c r="H2" s="71">
        <f>Product!H13*Product!CG93</f>
        <v>20</v>
      </c>
      <c r="I2" s="71">
        <f>Product!I13</f>
        <v>100</v>
      </c>
      <c r="J2" s="71" t="str">
        <f>Product!J13</f>
        <v/>
      </c>
      <c r="K2" s="71" t="str">
        <f>Product!K13</f>
        <v/>
      </c>
      <c r="L2" s="71">
        <f>Product!L13</f>
        <v>1</v>
      </c>
      <c r="M2" s="71" t="str">
        <f>Product!M13</f>
        <v/>
      </c>
      <c r="N2" s="71">
        <f>Product!N13*Product!CG93</f>
        <v>1</v>
      </c>
      <c r="O2" s="71" t="str">
        <f>Product!O13</f>
        <v/>
      </c>
      <c r="P2" s="80"/>
      <c r="Q2" s="80"/>
      <c r="R2" s="80"/>
      <c r="S2" s="80"/>
      <c r="T2" s="80"/>
      <c r="U2" s="73" t="s">
        <v>218</v>
      </c>
      <c r="V2" s="73" t="s">
        <v>218</v>
      </c>
      <c r="W2" s="73" t="s">
        <v>218</v>
      </c>
      <c r="X2" s="35" t="s">
        <v>65</v>
      </c>
      <c r="Y2" s="82">
        <v>1.0</v>
      </c>
      <c r="Z2" s="33">
        <f t="array" ref="Z2">INDEX($Y$2:$Y$9,MATCH(Quotation!B25,$X$2:$X$9,FALSE),1)</f>
        <v>1</v>
      </c>
      <c r="AA2" s="82" t="s">
        <v>68</v>
      </c>
      <c r="AB2" s="82">
        <v>1.0</v>
      </c>
      <c r="AC2" s="33" t="str">
        <f>CONCATENATE("select * where 1=1",AC1)</f>
        <v>select * where 1=1and AC = 'Offset'</v>
      </c>
      <c r="AD2" s="35"/>
      <c r="AE2" s="82"/>
      <c r="AF2" s="82"/>
    </row>
    <row r="3">
      <c r="A3" s="80"/>
      <c r="B3" s="80"/>
      <c r="C3" s="80"/>
      <c r="D3" s="80"/>
      <c r="E3" s="178"/>
      <c r="F3" s="80"/>
      <c r="G3" s="80"/>
      <c r="H3" s="80"/>
      <c r="I3" s="80"/>
      <c r="J3" s="80"/>
      <c r="K3" s="80"/>
      <c r="L3" s="80"/>
      <c r="M3" s="80"/>
      <c r="N3" s="80"/>
      <c r="O3" s="80"/>
      <c r="P3" s="141" t="s">
        <v>186</v>
      </c>
      <c r="Q3" s="72" t="s">
        <v>108</v>
      </c>
      <c r="R3" s="179" t="s">
        <v>43</v>
      </c>
      <c r="S3" s="180" t="str">
        <f>IF(Quotation!A22="All","","and B = '"&amp;Quotation!A22&amp;"'")</f>
        <v>and B = 'Bakery'</v>
      </c>
      <c r="T3" s="73"/>
      <c r="U3" s="73" t="str">
        <f>IFERROR(__xludf.DUMMYFUNCTION("UNIQUE(SORT(QUERY({ALLDATA!$B$2:$B100;Price!A2:A100})))"),"#REF!")</f>
        <v>#REF!</v>
      </c>
      <c r="V3" s="73" t="str">
        <f t="array" ref="V3:V13">UNIQUE($C$9:$C100)</f>
        <v>Sub Category</v>
      </c>
      <c r="W3" s="73" t="str">
        <f t="array" ref="W3:W18">UNIQUE($D$21:$D100)</f>
        <v>Specifications</v>
      </c>
      <c r="X3" s="82" t="s">
        <v>69</v>
      </c>
      <c r="Y3" s="82">
        <v>2.0</v>
      </c>
      <c r="Z3" s="33">
        <f t="array" ref="Z3">INDEX($Y$2:$Y$8,MATCH(Quotation!B33,$X$2:$X$8,FALSE),1)</f>
        <v>4</v>
      </c>
      <c r="AA3" s="181" t="s">
        <v>12</v>
      </c>
      <c r="AB3" s="82">
        <v>2.0</v>
      </c>
      <c r="AC3" s="82"/>
      <c r="AD3" s="82"/>
      <c r="AE3" s="82"/>
      <c r="AF3" s="82"/>
    </row>
    <row r="4">
      <c r="A4" s="80"/>
      <c r="B4" s="80"/>
      <c r="C4" s="80"/>
      <c r="D4" s="80"/>
      <c r="E4" s="67">
        <f>Main!AN5*Product!CH93</f>
        <v>0</v>
      </c>
      <c r="F4" s="80"/>
      <c r="G4" s="80">
        <f>Main!AL5*Product!CH93</f>
        <v>0</v>
      </c>
      <c r="H4" s="80">
        <f>Main!AM5*Product!CH93</f>
        <v>0</v>
      </c>
      <c r="I4" s="80"/>
      <c r="J4" s="80"/>
      <c r="K4" s="80"/>
      <c r="L4" s="80"/>
      <c r="M4" s="80">
        <f>MAX(N2,N4)</f>
        <v>1</v>
      </c>
      <c r="N4" s="82">
        <v>1.0</v>
      </c>
      <c r="O4" s="80"/>
      <c r="P4" s="141" t="s">
        <v>190</v>
      </c>
      <c r="Q4" s="72" t="s">
        <v>218</v>
      </c>
      <c r="R4" s="182" t="s">
        <v>44</v>
      </c>
      <c r="S4" s="180" t="str">
        <f>IF(Quotation!B22="All","","and D = '"&amp;Quotation!B22&amp;"'")</f>
        <v>and D = '180*70*35 mm | 7*2.75*1.4 inch'</v>
      </c>
      <c r="T4" s="73"/>
      <c r="U4" s="80"/>
      <c r="V4" s="80" t="s">
        <v>73</v>
      </c>
      <c r="W4" s="80"/>
      <c r="X4" s="82" t="s">
        <v>75</v>
      </c>
      <c r="Y4" s="82">
        <v>4.0</v>
      </c>
      <c r="Z4" s="42">
        <f t="array" ref="Z4">INDEX($Y$2:$Y$8,MATCH(Quotation!B41,$X$2:$X$8,FALSE),1)</f>
        <v>4</v>
      </c>
      <c r="AA4" s="80"/>
      <c r="AB4" s="80"/>
      <c r="AC4" s="54" t="s">
        <v>63</v>
      </c>
      <c r="AD4" s="85" t="s">
        <v>65</v>
      </c>
      <c r="AE4" s="76">
        <v>1.0</v>
      </c>
      <c r="AF4" s="80"/>
    </row>
    <row r="5">
      <c r="A5" s="144" t="s">
        <v>0</v>
      </c>
      <c r="B5" s="145" t="s">
        <v>1</v>
      </c>
      <c r="C5" s="2" t="s">
        <v>2</v>
      </c>
      <c r="D5" s="2" t="s">
        <v>3</v>
      </c>
      <c r="E5" s="2" t="s">
        <v>4</v>
      </c>
      <c r="F5" s="169" t="s">
        <v>5</v>
      </c>
      <c r="G5" s="170" t="s">
        <v>7</v>
      </c>
      <c r="H5" s="170" t="s">
        <v>8</v>
      </c>
      <c r="I5" s="171" t="s">
        <v>16</v>
      </c>
      <c r="J5" s="172" t="s">
        <v>193</v>
      </c>
      <c r="K5" s="172" t="s">
        <v>21</v>
      </c>
      <c r="L5" s="173" t="s">
        <v>22</v>
      </c>
      <c r="M5" s="173" t="s">
        <v>23</v>
      </c>
      <c r="N5" s="174" t="s">
        <v>194</v>
      </c>
      <c r="O5" s="175" t="s">
        <v>195</v>
      </c>
      <c r="P5" s="73"/>
      <c r="Q5" s="73"/>
      <c r="R5" s="92" t="s">
        <v>51</v>
      </c>
      <c r="S5" s="143" t="str">
        <f>CONCATENATE("select * where 1=1",Q3,Q4)</f>
        <v>select * where 1=1CandleALL</v>
      </c>
      <c r="T5" s="73"/>
      <c r="U5" s="73"/>
      <c r="V5" s="73"/>
      <c r="W5" s="73">
        <v>0.0</v>
      </c>
      <c r="X5" s="74" t="s">
        <v>78</v>
      </c>
      <c r="Y5" s="74">
        <v>5.0</v>
      </c>
      <c r="Z5" s="42">
        <f t="array" ref="Z5">INDEX($Y$2:$Y$8,MATCH(Quotation!B49,$X$2:$X$8,FALSE),1)</f>
        <v>4</v>
      </c>
      <c r="AA5" s="80"/>
      <c r="AB5" s="33">
        <f t="array" ref="AB5">INDEX($AB$2:$AB$3,MATCH(Quotation!A24,$AA$2:$AA$3,FALSE),1)</f>
        <v>1</v>
      </c>
      <c r="AC5" s="54" t="s">
        <v>63</v>
      </c>
      <c r="AD5" s="54" t="s">
        <v>69</v>
      </c>
      <c r="AE5" s="76">
        <v>2.0</v>
      </c>
      <c r="AF5" s="33"/>
    </row>
    <row r="6">
      <c r="A6" s="71" t="str">
        <f>Product2!A13</f>
        <v>#N/A</v>
      </c>
      <c r="B6" s="71" t="str">
        <f>Product2!B13</f>
        <v/>
      </c>
      <c r="C6" s="71" t="str">
        <f>Product2!C13</f>
        <v/>
      </c>
      <c r="D6" s="71" t="str">
        <f>Product2!D13</f>
        <v/>
      </c>
      <c r="E6" s="177">
        <f>Product2!E13*Product2!CG93</f>
        <v>0</v>
      </c>
      <c r="F6" s="71" t="str">
        <f>Product2!F13</f>
        <v/>
      </c>
      <c r="G6" s="71">
        <f>Product2!G13*Product2!CG93</f>
        <v>0</v>
      </c>
      <c r="H6" s="71">
        <f>Product2!H13*Product2!CG93</f>
        <v>0</v>
      </c>
      <c r="I6" s="71" t="str">
        <f>Product2!I13</f>
        <v/>
      </c>
      <c r="J6" s="71" t="str">
        <f>Product2!J13</f>
        <v/>
      </c>
      <c r="K6" s="71" t="str">
        <f>Product2!K13</f>
        <v/>
      </c>
      <c r="L6" s="71" t="str">
        <f>Product2!L13</f>
        <v/>
      </c>
      <c r="M6" s="71" t="str">
        <f>Product2!M13</f>
        <v/>
      </c>
      <c r="N6" s="71">
        <f>Product2!N13*Product2!CG93</f>
        <v>0</v>
      </c>
      <c r="O6" s="71" t="str">
        <f>Product2!O13</f>
        <v/>
      </c>
      <c r="P6" s="80"/>
      <c r="Q6" s="80"/>
      <c r="R6" s="183" t="s">
        <v>92</v>
      </c>
      <c r="S6" s="80"/>
      <c r="T6" s="80"/>
      <c r="U6" s="80"/>
      <c r="V6" s="80" t="s">
        <v>219</v>
      </c>
      <c r="W6" s="80">
        <v>5.0</v>
      </c>
      <c r="X6" s="74" t="s">
        <v>80</v>
      </c>
      <c r="Y6" s="74">
        <v>6.0</v>
      </c>
      <c r="Z6" s="33"/>
      <c r="AA6" s="80"/>
      <c r="AB6" s="33">
        <f t="array" ref="AB6">INDEX($AB$2:$AB$3,MATCH(Quotation!A32,$AA$2:$AA$3,FALSE),1)</f>
        <v>1</v>
      </c>
      <c r="AC6" s="54" t="s">
        <v>63</v>
      </c>
      <c r="AD6" s="54" t="s">
        <v>75</v>
      </c>
      <c r="AE6" s="76">
        <v>4.0</v>
      </c>
      <c r="AF6" s="33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183" t="s">
        <v>94</v>
      </c>
      <c r="S7" s="80"/>
      <c r="T7" s="80"/>
      <c r="U7" s="80"/>
      <c r="V7" s="80" t="s">
        <v>220</v>
      </c>
      <c r="W7" s="80" t="e">
        <v>#DIV/0!</v>
      </c>
      <c r="X7" s="82" t="s">
        <v>82</v>
      </c>
      <c r="Y7" s="74">
        <v>8.0</v>
      </c>
      <c r="Z7" s="33"/>
      <c r="AA7" s="80"/>
      <c r="AB7" s="33">
        <f t="array" ref="AB7">INDEX($AB$2:$AB$3,MATCH(Quotation!A40,$AA$2:$AA$3,FALSE),1)</f>
        <v>1</v>
      </c>
      <c r="AC7" s="54" t="s">
        <v>63</v>
      </c>
      <c r="AD7" s="88" t="s">
        <v>78</v>
      </c>
      <c r="AE7" s="86">
        <v>5.0</v>
      </c>
      <c r="AF7" s="33"/>
    </row>
    <row r="8">
      <c r="A8" s="80"/>
      <c r="B8" s="80"/>
      <c r="C8" s="80"/>
      <c r="D8" s="80"/>
      <c r="E8" s="80">
        <f>Main!AN9*Product2!CH93</f>
        <v>2</v>
      </c>
      <c r="F8" s="80"/>
      <c r="G8" s="80">
        <f>Main!AL9*Product2!CH93</f>
        <v>18</v>
      </c>
      <c r="H8" s="80">
        <f>Main!AM9*Product2!CH93</f>
        <v>25</v>
      </c>
      <c r="I8" s="80"/>
      <c r="J8" s="80"/>
      <c r="K8" s="80"/>
      <c r="L8" s="80"/>
      <c r="M8" s="33">
        <f>MAX(N6,N8)</f>
        <v>1</v>
      </c>
      <c r="N8" s="82">
        <v>1.0</v>
      </c>
      <c r="O8" s="80"/>
      <c r="P8" s="80"/>
      <c r="Q8" s="80"/>
      <c r="R8" s="183" t="s">
        <v>47</v>
      </c>
      <c r="S8" s="80"/>
      <c r="T8" s="80"/>
      <c r="U8" s="80"/>
      <c r="V8" s="80">
        <v>250.0</v>
      </c>
      <c r="W8" s="80">
        <v>0.0029809220985691576</v>
      </c>
      <c r="X8" s="82" t="s">
        <v>84</v>
      </c>
      <c r="Y8" s="74">
        <v>0.0</v>
      </c>
      <c r="Z8" s="42"/>
      <c r="AA8" s="80"/>
      <c r="AB8" s="33">
        <f t="array" ref="AB8">INDEX($AB$2:$AB$3,MATCH(Quotation!A48,$AA$2:$AA$3,FALSE),1)</f>
        <v>2</v>
      </c>
      <c r="AC8" s="54" t="s">
        <v>63</v>
      </c>
      <c r="AD8" s="88" t="s">
        <v>80</v>
      </c>
      <c r="AE8" s="86">
        <v>6.0</v>
      </c>
      <c r="AF8" s="33"/>
    </row>
    <row r="9">
      <c r="A9" s="144" t="s">
        <v>0</v>
      </c>
      <c r="B9" s="145" t="s">
        <v>1</v>
      </c>
      <c r="C9" s="2" t="s">
        <v>2</v>
      </c>
      <c r="D9" s="2" t="s">
        <v>3</v>
      </c>
      <c r="E9" s="2" t="s">
        <v>4</v>
      </c>
      <c r="F9" s="169" t="s">
        <v>5</v>
      </c>
      <c r="G9" s="170" t="s">
        <v>7</v>
      </c>
      <c r="H9" s="170" t="s">
        <v>8</v>
      </c>
      <c r="I9" s="171" t="s">
        <v>16</v>
      </c>
      <c r="J9" s="172" t="s">
        <v>193</v>
      </c>
      <c r="K9" s="172" t="s">
        <v>21</v>
      </c>
      <c r="L9" s="173" t="s">
        <v>22</v>
      </c>
      <c r="M9" s="173" t="s">
        <v>23</v>
      </c>
      <c r="N9" s="174" t="s">
        <v>194</v>
      </c>
      <c r="O9" s="175" t="s">
        <v>195</v>
      </c>
      <c r="P9" s="73"/>
      <c r="Q9" s="73"/>
      <c r="R9" s="88" t="s">
        <v>48</v>
      </c>
      <c r="S9" s="73"/>
      <c r="T9" s="73"/>
      <c r="U9" s="73"/>
      <c r="V9" s="73" t="s">
        <v>31</v>
      </c>
      <c r="W9" s="73">
        <v>0.005924170616113744</v>
      </c>
      <c r="X9" s="74" t="s">
        <v>221</v>
      </c>
      <c r="Y9" s="74">
        <v>1.0</v>
      </c>
      <c r="Z9" s="42"/>
      <c r="AA9" s="80"/>
      <c r="AB9" s="80"/>
      <c r="AC9" s="54" t="s">
        <v>63</v>
      </c>
      <c r="AD9" s="54" t="s">
        <v>82</v>
      </c>
      <c r="AE9" s="86">
        <v>8.0</v>
      </c>
      <c r="AF9" s="80"/>
    </row>
    <row r="10">
      <c r="A10" s="71" t="str">
        <f>Product3!A13</f>
        <v/>
      </c>
      <c r="B10" s="71" t="str">
        <f>Product3!B13</f>
        <v>All</v>
      </c>
      <c r="C10" s="71" t="str">
        <f>Product3!C13</f>
        <v>Cashify</v>
      </c>
      <c r="D10" s="71" t="str">
        <f>Product3!D13</f>
        <v>Custom Size</v>
      </c>
      <c r="E10" s="177">
        <f>Product3!E13*Product3!CG93</f>
        <v>0</v>
      </c>
      <c r="F10" s="71" t="str">
        <f>Product3!F13</f>
        <v/>
      </c>
      <c r="G10" s="71">
        <f>Product3!G13*Product3!CG93</f>
        <v>0</v>
      </c>
      <c r="H10" s="71">
        <f>Product3!H13*Product3!CG93</f>
        <v>0</v>
      </c>
      <c r="I10" s="184">
        <v>100.0</v>
      </c>
      <c r="J10" s="71" t="str">
        <f>Product3!J13</f>
        <v/>
      </c>
      <c r="K10" s="71" t="str">
        <f>Product3!K13</f>
        <v/>
      </c>
      <c r="L10" s="71" t="str">
        <f>Product3!L13</f>
        <v/>
      </c>
      <c r="M10" s="71" t="str">
        <f>Product3!M13</f>
        <v/>
      </c>
      <c r="N10" s="71">
        <f>Product3!N13*Product3!CG93</f>
        <v>0</v>
      </c>
      <c r="O10" s="71" t="str">
        <f>Product3!O13</f>
        <v/>
      </c>
      <c r="P10" s="80"/>
      <c r="Q10" s="80"/>
      <c r="R10" s="54" t="s">
        <v>49</v>
      </c>
      <c r="S10" s="80"/>
      <c r="T10" s="80"/>
      <c r="U10" s="80"/>
      <c r="V10" s="80" t="s">
        <v>222</v>
      </c>
      <c r="W10" s="80" t="s">
        <v>31</v>
      </c>
      <c r="X10" s="80"/>
      <c r="Y10" s="73"/>
      <c r="Z10" s="80"/>
      <c r="AA10" s="80"/>
      <c r="AB10" s="33" t="str">
        <f t="array" ref="AB10">INDEX($AB$2:$AB$3,MATCH('Custom Quote'!A23,$AA$2:$AA$3,FALSE),1)</f>
        <v>#REF!</v>
      </c>
      <c r="AC10" s="80" t="s">
        <v>63</v>
      </c>
      <c r="AD10" s="80" t="s">
        <v>84</v>
      </c>
      <c r="AE10" s="77">
        <v>0.0</v>
      </c>
      <c r="AF10" s="33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2" t="s">
        <v>50</v>
      </c>
      <c r="S11" s="80"/>
      <c r="T11" s="80"/>
      <c r="U11" s="80"/>
      <c r="V11" s="80" t="s">
        <v>223</v>
      </c>
      <c r="W11" s="80" t="s">
        <v>222</v>
      </c>
      <c r="X11" s="82" t="s">
        <v>67</v>
      </c>
      <c r="Y11" s="74">
        <v>1.0</v>
      </c>
      <c r="Z11" s="33">
        <f t="array" ref="Z11">INDEX($Y$11:$Y$12,MATCH(Quotation!D25,$X$11:$X$12,FALSE),1)</f>
        <v>1</v>
      </c>
      <c r="AA11" s="33" t="str">
        <f t="array" ref="AA11">INDEX($Y$11:$Y$12,MATCH('Custom Quote'!D24,$X$11:$X$12,FALSE),1)</f>
        <v>#REF!</v>
      </c>
      <c r="AB11" s="33" t="str">
        <f t="array" ref="AB11">INDEX($AB$2:$AB$3,MATCH('Custom Quote'!A29,$AA$2:$AA$3,FALSE),1)</f>
        <v>#REF!</v>
      </c>
      <c r="AC11" s="75" t="s">
        <v>212</v>
      </c>
      <c r="AD11" s="73" t="s">
        <v>221</v>
      </c>
      <c r="AE11" s="77">
        <v>1.0</v>
      </c>
      <c r="AF11" s="33"/>
    </row>
    <row r="12">
      <c r="A12" s="80"/>
      <c r="B12" s="80"/>
      <c r="C12" s="80"/>
      <c r="D12" s="80"/>
      <c r="E12" s="80">
        <f>Main!AN13*Product3!CH93</f>
        <v>3</v>
      </c>
      <c r="F12" s="80"/>
      <c r="G12" s="80">
        <f>Main!AL13*Product3!CH93</f>
        <v>20</v>
      </c>
      <c r="H12" s="80">
        <f>Main!AM13*Product3!CH93</f>
        <v>30</v>
      </c>
      <c r="I12" s="80"/>
      <c r="J12" s="80"/>
      <c r="K12" s="80"/>
      <c r="L12" s="80"/>
      <c r="M12" s="33">
        <f>MAX(N10,N12)</f>
        <v>1</v>
      </c>
      <c r="N12" s="82">
        <v>1.0</v>
      </c>
      <c r="O12" s="80"/>
      <c r="P12" s="80"/>
      <c r="Q12" s="80"/>
      <c r="R12" s="54" t="s">
        <v>74</v>
      </c>
      <c r="S12" s="80"/>
      <c r="T12" s="80"/>
      <c r="U12" s="80"/>
      <c r="V12" s="80">
        <v>0.0051</v>
      </c>
      <c r="W12" s="80" t="s">
        <v>223</v>
      </c>
      <c r="X12" s="82" t="s">
        <v>71</v>
      </c>
      <c r="Y12" s="74">
        <v>0.0</v>
      </c>
      <c r="Z12" s="33">
        <f t="array" ref="Z12">INDEX($Y$11:$Y$12,MATCH(Quotation!D33,$X$11:$X$12,FALSE),1)</f>
        <v>1</v>
      </c>
      <c r="AA12" s="33" t="str">
        <f t="array" ref="AA12">INDEX($Y$11:$Y$12,MATCH('Custom Quote'!D30,$X$11:$X$12,FALSE),1)</f>
        <v>#REF!</v>
      </c>
      <c r="AB12" s="33" t="str">
        <f t="array" ref="AB12">INDEX($AB$2:$AB$3,MATCH('Custom Quote'!A35,$AA$2:$AA$3,FALSE),1)</f>
        <v>#REF!</v>
      </c>
      <c r="AC12" s="33"/>
      <c r="AD12" s="33"/>
      <c r="AE12" s="33"/>
      <c r="AF12" s="33"/>
    </row>
    <row r="13">
      <c r="A13" s="144" t="s">
        <v>0</v>
      </c>
      <c r="B13" s="145" t="s">
        <v>1</v>
      </c>
      <c r="C13" s="2" t="s">
        <v>2</v>
      </c>
      <c r="D13" s="2" t="s">
        <v>3</v>
      </c>
      <c r="E13" s="2" t="s">
        <v>4</v>
      </c>
      <c r="F13" s="169" t="s">
        <v>5</v>
      </c>
      <c r="G13" s="170" t="s">
        <v>7</v>
      </c>
      <c r="H13" s="170" t="s">
        <v>8</v>
      </c>
      <c r="I13" s="171" t="s">
        <v>16</v>
      </c>
      <c r="J13" s="172" t="s">
        <v>193</v>
      </c>
      <c r="K13" s="172" t="s">
        <v>21</v>
      </c>
      <c r="L13" s="173" t="s">
        <v>22</v>
      </c>
      <c r="M13" s="173" t="s">
        <v>23</v>
      </c>
      <c r="N13" s="174" t="s">
        <v>194</v>
      </c>
      <c r="O13" s="175" t="s">
        <v>195</v>
      </c>
      <c r="P13" s="73"/>
      <c r="Q13" s="73"/>
      <c r="R13" s="73"/>
      <c r="S13" s="73"/>
      <c r="T13" s="73"/>
      <c r="U13" s="73"/>
      <c r="V13" s="73">
        <v>0.0052</v>
      </c>
      <c r="W13" s="73" t="s">
        <v>14</v>
      </c>
      <c r="X13" s="73"/>
      <c r="Y13" s="73"/>
      <c r="Z13" s="33">
        <f t="array" ref="Z13">INDEX($Y$11:$Y$12,MATCH(Quotation!D41,$X$11:$X$12,FALSE),1)</f>
        <v>1</v>
      </c>
      <c r="AA13" s="33" t="str">
        <f t="array" ref="AA13">INDEX($Y$11:$Y$12,MATCH('Custom Quote'!D36,$X$11:$X$12,FALSE),1)</f>
        <v>#REF!</v>
      </c>
      <c r="AB13" s="33" t="str">
        <f t="array" ref="AB13">INDEX($AB$2:$AB$3,MATCH('Custom Quote'!A41,$AA$2:$AA$3,FALSE),1)</f>
        <v>#REF!</v>
      </c>
      <c r="AC13" s="33"/>
      <c r="AD13" s="33"/>
      <c r="AE13" s="33"/>
      <c r="AF13" s="33"/>
    </row>
    <row r="14">
      <c r="A14" s="185" t="str">
        <f>Product4!A13</f>
        <v>https://drive.google.com/open?id=1AT8COyVu1i54kTQbeZJnxYi8bjYPzfhK&amp;authuser=jay.agg%40gmail.com&amp;usp=drive_fs</v>
      </c>
      <c r="B14" s="71" t="str">
        <f>Product4!B13</f>
        <v>Flyer</v>
      </c>
      <c r="C14" s="71" t="str">
        <f>Product4!C13</f>
        <v>A5</v>
      </c>
      <c r="D14" s="71" t="str">
        <f>Product4!D13</f>
        <v>148 × 210 millimeters or 5.8 × 8.3 inches</v>
      </c>
      <c r="E14" s="177">
        <f>Product4!E13*Product4!CG93</f>
        <v>8</v>
      </c>
      <c r="F14" s="71">
        <f>Product4!F13</f>
        <v>1926</v>
      </c>
      <c r="G14" s="71">
        <f>Product4!G13*Product4!CG93</f>
        <v>18</v>
      </c>
      <c r="H14" s="71">
        <f>Product4!H13*Product4!CG93</f>
        <v>25</v>
      </c>
      <c r="I14" s="71">
        <f>Product4!I13</f>
        <v>100</v>
      </c>
      <c r="J14" s="71" t="str">
        <f>Product4!J13</f>
        <v/>
      </c>
      <c r="K14" s="71" t="str">
        <f>Product4!K13</f>
        <v/>
      </c>
      <c r="L14" s="71" t="str">
        <f>Product4!L13</f>
        <v/>
      </c>
      <c r="M14" s="71">
        <f>Product4!M13</f>
        <v>0.03</v>
      </c>
      <c r="N14" s="71">
        <f>Product4!N13*Product4!CG93</f>
        <v>1</v>
      </c>
      <c r="O14" s="71">
        <f>Product4!O13</f>
        <v>4.5</v>
      </c>
      <c r="P14" s="80"/>
      <c r="Q14" s="80"/>
      <c r="R14" s="80"/>
      <c r="S14" s="80"/>
      <c r="T14" s="80"/>
      <c r="U14" s="80"/>
      <c r="V14" s="80"/>
      <c r="W14" s="80" t="e">
        <v>#N/A</v>
      </c>
      <c r="X14" s="80"/>
      <c r="Y14" s="73"/>
      <c r="Z14" s="33">
        <f t="array" ref="Z14">INDEX($Y$11:$Y$12,MATCH(Quotation!D49,$X$11:$X$12,FALSE),1)</f>
        <v>0</v>
      </c>
      <c r="AA14" s="33" t="str">
        <f t="array" ref="AA14">INDEX($Y$11:$Y$12,MATCH('Custom Quote'!D42,$X$11:$X$12,FALSE),1)</f>
        <v>#REF!</v>
      </c>
      <c r="AB14" s="80"/>
      <c r="AC14" s="80"/>
      <c r="AD14" s="80"/>
      <c r="AE14" s="80"/>
      <c r="AF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 t="s">
        <v>29</v>
      </c>
      <c r="X15" s="35" t="s">
        <v>52</v>
      </c>
      <c r="Y15" s="74">
        <v>1.0</v>
      </c>
      <c r="Z15" s="80"/>
      <c r="AA15" s="80"/>
      <c r="AB15" s="80"/>
      <c r="AC15" s="80"/>
      <c r="AD15" s="80"/>
      <c r="AE15" s="80"/>
      <c r="AF15" s="80"/>
    </row>
    <row r="16">
      <c r="A16" s="80"/>
      <c r="B16" s="80"/>
      <c r="C16" s="80"/>
      <c r="D16" s="80"/>
      <c r="E16" s="80">
        <f>Main!AN17*Product4!CH93</f>
        <v>0</v>
      </c>
      <c r="F16" s="80"/>
      <c r="G16" s="80">
        <f>Main!AL17*Product4!CH93</f>
        <v>0</v>
      </c>
      <c r="H16" s="80">
        <f>Main!AM17*Product4!CH93</f>
        <v>0</v>
      </c>
      <c r="I16" s="80"/>
      <c r="J16" s="80"/>
      <c r="K16" s="80"/>
      <c r="L16" s="80"/>
      <c r="M16" s="33">
        <f>MAX(N14,N16)</f>
        <v>1</v>
      </c>
      <c r="N16" s="82">
        <v>1.0</v>
      </c>
      <c r="O16" s="80"/>
      <c r="P16" s="80"/>
      <c r="Q16" s="80"/>
      <c r="R16" s="80"/>
      <c r="S16" s="80"/>
      <c r="T16" s="80"/>
      <c r="U16" s="80"/>
      <c r="V16" s="80"/>
      <c r="W16" s="80" t="s">
        <v>18</v>
      </c>
      <c r="X16" s="179" t="s">
        <v>43</v>
      </c>
      <c r="Y16" s="74">
        <v>1.0</v>
      </c>
      <c r="Z16" s="54"/>
      <c r="AA16" s="80"/>
      <c r="AB16" s="80"/>
      <c r="AC16" s="33" t="str">
        <f>IFERROR(__xludf.DUMMYFUNCTION("QUERY(AC4:AE11,AC2)"),"Offset")</f>
        <v>Offset</v>
      </c>
      <c r="AD16" s="80" t="str">
        <f>IFERROR(__xludf.DUMMYFUNCTION("""COMPUTED_VALUE"""),"Single Colour")</f>
        <v>Single Colour</v>
      </c>
      <c r="AE16" s="80">
        <f>IFERROR(__xludf.DUMMYFUNCTION("""COMPUTED_VALUE"""),1.0)</f>
        <v>1</v>
      </c>
      <c r="AF16" s="33">
        <f t="array" ref="AF16">INDEX($AE$16:$AE$25,MATCH(Quotation!B25,$AD$16:$AD$25,FALSE),1)</f>
        <v>1</v>
      </c>
    </row>
    <row r="17">
      <c r="A17" s="144" t="s">
        <v>0</v>
      </c>
      <c r="B17" s="145" t="s">
        <v>1</v>
      </c>
      <c r="C17" s="2" t="s">
        <v>2</v>
      </c>
      <c r="D17" s="2" t="s">
        <v>3</v>
      </c>
      <c r="E17" s="2" t="s">
        <v>4</v>
      </c>
      <c r="F17" s="169" t="s">
        <v>5</v>
      </c>
      <c r="G17" s="170" t="s">
        <v>7</v>
      </c>
      <c r="H17" s="170" t="s">
        <v>8</v>
      </c>
      <c r="I17" s="171" t="s">
        <v>16</v>
      </c>
      <c r="J17" s="172" t="s">
        <v>193</v>
      </c>
      <c r="K17" s="172" t="s">
        <v>21</v>
      </c>
      <c r="L17" s="173" t="s">
        <v>22</v>
      </c>
      <c r="M17" s="173" t="s">
        <v>23</v>
      </c>
      <c r="N17" s="174" t="s">
        <v>194</v>
      </c>
      <c r="O17" s="175" t="s">
        <v>195</v>
      </c>
      <c r="P17" s="73"/>
      <c r="Q17" s="73"/>
      <c r="R17" s="73"/>
      <c r="S17" s="73"/>
      <c r="T17" s="73"/>
      <c r="U17" s="73"/>
      <c r="V17" s="73"/>
      <c r="W17" s="73" t="s">
        <v>224</v>
      </c>
      <c r="X17" s="182" t="s">
        <v>44</v>
      </c>
      <c r="Y17" s="74">
        <v>1.0</v>
      </c>
      <c r="Z17" s="33">
        <f t="array" ref="Z17">INDEX($Y$15:$Y$26,MATCH(Quotation!C26,$X$15:$X$26,FALSE),1)</f>
        <v>0</v>
      </c>
      <c r="AA17" s="33" t="str">
        <f t="array" ref="AA17">INDEX($Y$16:$Y$22,MATCH('Custom Quote'!C25,$X$16:$X$22,FALSE),1)</f>
        <v>#REF!</v>
      </c>
      <c r="AB17" s="80"/>
      <c r="AC17" s="80" t="str">
        <f>IFERROR(__xludf.DUMMYFUNCTION("""COMPUTED_VALUE"""),"Offset")</f>
        <v>Offset</v>
      </c>
      <c r="AD17" s="80" t="str">
        <f>IFERROR(__xludf.DUMMYFUNCTION("""COMPUTED_VALUE"""),"Double Colour")</f>
        <v>Double Colour</v>
      </c>
      <c r="AE17" s="80">
        <f>IFERROR(__xludf.DUMMYFUNCTION("""COMPUTED_VALUE"""),2.0)</f>
        <v>2</v>
      </c>
      <c r="AF17" s="33">
        <f t="array" ref="AF17">INDEX($AE$16:$AE$25,MATCH(Quotation!B33,$AD$16:$AD$25,FALSE),1)</f>
        <v>4</v>
      </c>
    </row>
    <row r="18">
      <c r="A18" s="71" t="str">
        <f>Product5!$A$2</f>
        <v/>
      </c>
      <c r="B18" s="71" t="str">
        <f>Product5!$B$2</f>
        <v>Bakery</v>
      </c>
      <c r="C18" s="71" t="str">
        <f>Product5!$C$2</f>
        <v>Brownie 2</v>
      </c>
      <c r="D18" s="71" t="str">
        <f>Product5!D2</f>
        <v/>
      </c>
      <c r="E18" s="177" t="str">
        <f>Product5!E2</f>
        <v/>
      </c>
      <c r="F18" s="177" t="str">
        <f>Product5!F2</f>
        <v/>
      </c>
      <c r="G18" s="71" t="str">
        <f>Product5!G2</f>
        <v>#REF!</v>
      </c>
      <c r="H18" s="71" t="str">
        <f>Product5!H2</f>
        <v>#REF!</v>
      </c>
      <c r="I18" s="184">
        <v>100.0</v>
      </c>
      <c r="J18" s="71"/>
      <c r="K18" s="71"/>
      <c r="L18" s="71"/>
      <c r="M18" s="71"/>
      <c r="N18" s="184">
        <v>1.0</v>
      </c>
      <c r="O18" s="71"/>
      <c r="P18" s="80"/>
      <c r="Q18" s="80"/>
      <c r="R18" s="80"/>
      <c r="S18" s="80"/>
      <c r="T18" s="80"/>
      <c r="U18" s="80"/>
      <c r="V18" s="80"/>
      <c r="W18" s="80" t="s">
        <v>225</v>
      </c>
      <c r="X18" s="92" t="s">
        <v>51</v>
      </c>
      <c r="Y18" s="92">
        <v>1.0</v>
      </c>
      <c r="Z18" s="33">
        <f t="array" ref="Z18">INDEX($Y$15:$Y$26,MATCH(Quotation!C34,$X$15:$X$26,FALSE),1)</f>
        <v>1</v>
      </c>
      <c r="AA18" s="33" t="str">
        <f t="array" ref="AA18">INDEX($Y$16:$Y$22,MATCH('Custom Quote'!C31,$X$16:$X$22,FALSE),1)</f>
        <v>#REF!</v>
      </c>
      <c r="AB18" s="80"/>
      <c r="AC18" s="80" t="str">
        <f>IFERROR(__xludf.DUMMYFUNCTION("""COMPUTED_VALUE"""),"Offset")</f>
        <v>Offset</v>
      </c>
      <c r="AD18" s="80" t="str">
        <f>IFERROR(__xludf.DUMMYFUNCTION("""COMPUTED_VALUE"""),"Four Colour")</f>
        <v>Four Colour</v>
      </c>
      <c r="AE18" s="80">
        <f>IFERROR(__xludf.DUMMYFUNCTION("""COMPUTED_VALUE"""),4.0)</f>
        <v>4</v>
      </c>
      <c r="AF18" s="33">
        <f t="array" ref="AF18">INDEX($AE$16:$AE$25,MATCH(Quotation!B41,$AD$16:$AD$25,FALSE),1)</f>
        <v>4</v>
      </c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183" t="s">
        <v>92</v>
      </c>
      <c r="Y19" s="82">
        <v>1.0</v>
      </c>
      <c r="Z19" s="33">
        <f t="array" ref="Z19">INDEX($Y$15:$Y$26,MATCH(Quotation!C42,$X$15:$X$26,FALSE),1)</f>
        <v>0</v>
      </c>
      <c r="AA19" s="33" t="str">
        <f t="array" ref="AA19">INDEX($Y$16:$Y$22,MATCH('Custom Quote'!C37,$X$16:$X$22,FALSE),1)</f>
        <v>#REF!</v>
      </c>
      <c r="AB19" s="80"/>
      <c r="AC19" s="80" t="str">
        <f>IFERROR(__xludf.DUMMYFUNCTION("""COMPUTED_VALUE"""),"Offset")</f>
        <v>Offset</v>
      </c>
      <c r="AD19" s="80" t="str">
        <f>IFERROR(__xludf.DUMMYFUNCTION("""COMPUTED_VALUE"""),"Four + One Colour")</f>
        <v>Four + One Colour</v>
      </c>
      <c r="AE19" s="80">
        <f>IFERROR(__xludf.DUMMYFUNCTION("""COMPUTED_VALUE"""),5.0)</f>
        <v>5</v>
      </c>
      <c r="AF19" s="33">
        <f t="array" ref="AF19">INDEX($AE$16:$AE$25,MATCH(Quotation!B49,$AD$16:$AD$25,FALSE),1)</f>
        <v>4</v>
      </c>
    </row>
    <row r="20">
      <c r="A20" s="186"/>
      <c r="B20" s="186"/>
      <c r="C20" s="187"/>
      <c r="D20" s="187"/>
      <c r="E20" s="187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143"/>
      <c r="V20" s="73"/>
      <c r="W20" s="73"/>
      <c r="X20" s="183" t="s">
        <v>94</v>
      </c>
      <c r="Y20" s="74">
        <v>1.0</v>
      </c>
      <c r="Z20" s="33">
        <f t="array" ref="Z20">INDEX($Y$15:$Y$26,MATCH(Quotation!C50,$X$15:$X$26,FALSE),1)</f>
        <v>1</v>
      </c>
      <c r="AA20" s="33" t="str">
        <f t="array" ref="AA20">INDEX($Y$16:$Y$22,MATCH('Custom Quote'!C43,$X$16:$X$22,FALSE),1)</f>
        <v>#REF!</v>
      </c>
      <c r="AB20" s="73"/>
      <c r="AC20" s="73" t="str">
        <f>IFERROR(__xludf.DUMMYFUNCTION("""COMPUTED_VALUE"""),"Offset")</f>
        <v>Offset</v>
      </c>
      <c r="AD20" s="73" t="str">
        <f>IFERROR(__xludf.DUMMYFUNCTION("""COMPUTED_VALUE"""),"Four + Two Colour")</f>
        <v>Four + Two Colour</v>
      </c>
      <c r="AE20" s="73">
        <f>IFERROR(__xludf.DUMMYFUNCTION("""COMPUTED_VALUE"""),6.0)</f>
        <v>6</v>
      </c>
      <c r="AF20" s="73"/>
    </row>
    <row r="21">
      <c r="A21" s="144" t="s">
        <v>0</v>
      </c>
      <c r="B21" s="145" t="s">
        <v>1</v>
      </c>
      <c r="C21" s="2" t="s">
        <v>2</v>
      </c>
      <c r="D21" s="2" t="s">
        <v>3</v>
      </c>
      <c r="E21" s="2" t="s">
        <v>4</v>
      </c>
      <c r="F21" s="169" t="s">
        <v>5</v>
      </c>
      <c r="G21" s="170" t="s">
        <v>7</v>
      </c>
      <c r="H21" s="170" t="s">
        <v>8</v>
      </c>
      <c r="I21" s="171" t="s">
        <v>16</v>
      </c>
      <c r="J21" s="172" t="s">
        <v>193</v>
      </c>
      <c r="K21" s="172" t="s">
        <v>21</v>
      </c>
      <c r="L21" s="173" t="s">
        <v>22</v>
      </c>
      <c r="M21" s="173" t="s">
        <v>23</v>
      </c>
      <c r="N21" s="174" t="s">
        <v>194</v>
      </c>
      <c r="O21" s="175" t="s">
        <v>195</v>
      </c>
      <c r="P21" s="73"/>
      <c r="Q21" s="73"/>
      <c r="R21" s="73"/>
      <c r="S21" s="73"/>
      <c r="T21" s="73"/>
      <c r="U21" s="73"/>
      <c r="V21" s="73"/>
      <c r="W21" s="73"/>
      <c r="X21" s="183" t="s">
        <v>47</v>
      </c>
      <c r="Y21" s="74">
        <v>1.0</v>
      </c>
      <c r="Z21" s="33"/>
      <c r="AA21" s="80"/>
      <c r="AB21" s="80"/>
      <c r="AC21" s="80" t="str">
        <f>IFERROR(__xludf.DUMMYFUNCTION("""COMPUTED_VALUE"""),"Offset")</f>
        <v>Offset</v>
      </c>
      <c r="AD21" s="80" t="str">
        <f>IFERROR(__xludf.DUMMYFUNCTION("""COMPUTED_VALUE"""),"Four + Four Colour")</f>
        <v>Four + Four Colour</v>
      </c>
      <c r="AE21" s="80">
        <f>IFERROR(__xludf.DUMMYFUNCTION("""COMPUTED_VALUE"""),8.0)</f>
        <v>8</v>
      </c>
      <c r="AF21" s="80"/>
    </row>
    <row r="22">
      <c r="A22" s="71" t="str">
        <f>Product5!A6</f>
        <v/>
      </c>
      <c r="B22" s="71" t="str">
        <f>Product5!B6</f>
        <v>Bakery</v>
      </c>
      <c r="C22" s="71" t="str">
        <f>Product5!C6</f>
        <v>Brownie 2</v>
      </c>
      <c r="D22" s="71" t="str">
        <f>Product4!D21</f>
        <v/>
      </c>
      <c r="E22" s="177" t="str">
        <f>Product4!E21</f>
        <v/>
      </c>
      <c r="F22" s="71" t="str">
        <f>Product4!F21</f>
        <v/>
      </c>
      <c r="G22" s="71" t="str">
        <f>Product4!G21</f>
        <v/>
      </c>
      <c r="H22" s="71" t="str">
        <f>Product4!H21</f>
        <v/>
      </c>
      <c r="I22" s="71" t="str">
        <f>Product4!I21</f>
        <v/>
      </c>
      <c r="J22" s="71" t="str">
        <f>Product4!J21</f>
        <v/>
      </c>
      <c r="K22" s="71" t="str">
        <f>Product4!K21</f>
        <v/>
      </c>
      <c r="L22" s="71" t="str">
        <f>Product4!L21</f>
        <v/>
      </c>
      <c r="M22" s="71"/>
      <c r="N22" s="71" t="str">
        <f>Product4!N21</f>
        <v/>
      </c>
      <c r="O22" s="71" t="str">
        <f>Product4!O21</f>
        <v/>
      </c>
      <c r="P22" s="80"/>
      <c r="Q22" s="80"/>
      <c r="R22" s="80"/>
      <c r="S22" s="80"/>
      <c r="T22" s="80"/>
      <c r="U22" s="80"/>
      <c r="V22" s="80"/>
      <c r="W22" s="80"/>
      <c r="X22" s="82" t="s">
        <v>74</v>
      </c>
      <c r="Y22" s="74">
        <v>0.0</v>
      </c>
      <c r="Z22" s="33"/>
      <c r="AA22" s="80"/>
      <c r="AB22" s="80"/>
      <c r="AC22" s="80" t="str">
        <f>IFERROR(__xludf.DUMMYFUNCTION("""COMPUTED_VALUE"""),"Offset")</f>
        <v>Offset</v>
      </c>
      <c r="AD22" s="80" t="str">
        <f>IFERROR(__xludf.DUMMYFUNCTION("""COMPUTED_VALUE"""),"Without Print")</f>
        <v>Without Print</v>
      </c>
      <c r="AE22" s="80">
        <f>IFERROR(__xludf.DUMMYFUNCTION("""COMPUTED_VALUE"""),0.0)</f>
        <v>0</v>
      </c>
      <c r="AF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8" t="s">
        <v>48</v>
      </c>
      <c r="Y23" s="82">
        <v>1.0</v>
      </c>
      <c r="Z23" s="80"/>
      <c r="AA23" s="80"/>
      <c r="AB23" s="80"/>
      <c r="AC23" s="80"/>
      <c r="AD23" s="80"/>
      <c r="AE23" s="80"/>
      <c r="AF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54" t="s">
        <v>49</v>
      </c>
      <c r="Y24" s="82">
        <v>1.0</v>
      </c>
      <c r="Z24" s="80"/>
      <c r="AA24" s="80"/>
      <c r="AB24" s="80"/>
      <c r="AC24" s="80"/>
      <c r="AD24" s="80"/>
      <c r="AE24" s="80"/>
      <c r="AF24" s="80"/>
    </row>
    <row r="25">
      <c r="A25" s="144" t="s">
        <v>0</v>
      </c>
      <c r="B25" s="145" t="s">
        <v>1</v>
      </c>
      <c r="C25" s="2" t="s">
        <v>2</v>
      </c>
      <c r="D25" s="2" t="s">
        <v>3</v>
      </c>
      <c r="E25" s="2" t="s">
        <v>4</v>
      </c>
      <c r="F25" s="169" t="s">
        <v>5</v>
      </c>
      <c r="G25" s="170" t="s">
        <v>7</v>
      </c>
      <c r="H25" s="170" t="s">
        <v>8</v>
      </c>
      <c r="I25" s="171" t="s">
        <v>16</v>
      </c>
      <c r="J25" s="172" t="s">
        <v>193</v>
      </c>
      <c r="K25" s="172" t="s">
        <v>21</v>
      </c>
      <c r="L25" s="173" t="s">
        <v>22</v>
      </c>
      <c r="M25" s="173" t="s">
        <v>23</v>
      </c>
      <c r="N25" s="174" t="s">
        <v>194</v>
      </c>
      <c r="O25" s="175" t="s">
        <v>195</v>
      </c>
      <c r="P25" s="73"/>
      <c r="Q25" s="73"/>
      <c r="R25" s="73"/>
      <c r="S25" s="73"/>
      <c r="T25" s="73"/>
      <c r="U25" s="73"/>
      <c r="V25" s="73"/>
      <c r="W25" s="73"/>
      <c r="X25" s="74" t="s">
        <v>50</v>
      </c>
      <c r="Y25" s="74">
        <v>1.0</v>
      </c>
      <c r="Z25" s="33"/>
      <c r="AA25" s="80"/>
      <c r="AB25" s="80"/>
      <c r="AC25" s="80"/>
      <c r="AD25" s="80"/>
      <c r="AE25" s="80"/>
      <c r="AF25" s="80"/>
    </row>
    <row r="26">
      <c r="A26" s="71" t="str">
        <f>Product4!A25</f>
        <v/>
      </c>
      <c r="B26" s="71" t="str">
        <f>Product4!B25</f>
        <v/>
      </c>
      <c r="C26" s="71" t="str">
        <f>Product4!C25</f>
        <v/>
      </c>
      <c r="D26" s="71" t="str">
        <f>Product4!D25</f>
        <v/>
      </c>
      <c r="E26" s="177" t="str">
        <f>Product4!E25</f>
        <v/>
      </c>
      <c r="F26" s="71" t="str">
        <f>Product4!F25</f>
        <v/>
      </c>
      <c r="G26" s="71" t="str">
        <f>Product4!G25</f>
        <v/>
      </c>
      <c r="H26" s="71" t="str">
        <f>Product4!H25</f>
        <v/>
      </c>
      <c r="I26" s="184">
        <v>100.0</v>
      </c>
      <c r="J26" s="71" t="str">
        <f>Product4!J25</f>
        <v/>
      </c>
      <c r="K26" s="71" t="str">
        <f>Product4!K25</f>
        <v/>
      </c>
      <c r="L26" s="71" t="str">
        <f>Product4!L25</f>
        <v/>
      </c>
      <c r="M26" s="71" t="str">
        <f>Product4!M25</f>
        <v/>
      </c>
      <c r="N26" s="184">
        <v>1.0</v>
      </c>
      <c r="O26" s="71" t="str">
        <f>Product4!O25</f>
        <v/>
      </c>
      <c r="P26" s="80"/>
      <c r="Q26" s="80"/>
      <c r="R26" s="80"/>
      <c r="S26" s="80"/>
      <c r="T26" s="80"/>
      <c r="U26" s="80"/>
      <c r="V26" s="80"/>
      <c r="W26" s="80"/>
      <c r="X26" s="35" t="s">
        <v>53</v>
      </c>
      <c r="Y26" s="74">
        <v>1.0</v>
      </c>
      <c r="Z26" s="33"/>
      <c r="AA26" s="80"/>
      <c r="AB26" s="80"/>
      <c r="AC26" s="80"/>
      <c r="AD26" s="80"/>
      <c r="AE26" s="80"/>
      <c r="AF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2" t="s">
        <v>226</v>
      </c>
      <c r="Y27" s="82">
        <v>1.0</v>
      </c>
      <c r="Z27" s="33">
        <f t="array" ref="Z27">INDEX($Y$27:$Y$28,MATCH(Quotation!C24,$X$27:$X$28,FALSE),1)</f>
        <v>1</v>
      </c>
      <c r="AA27" s="80"/>
      <c r="AB27" s="80"/>
      <c r="AC27" s="80"/>
      <c r="AD27" s="80"/>
      <c r="AE27" s="80"/>
      <c r="AF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2" t="s">
        <v>227</v>
      </c>
      <c r="Y28" s="82">
        <v>2.0</v>
      </c>
      <c r="Z28" s="33">
        <f t="array" ref="Z28">INDEX($Y$27:$Y$28,MATCH(Quotation!C32,$X$27:$X$28,FALSE),1)</f>
        <v>1</v>
      </c>
      <c r="AA28" s="80"/>
      <c r="AB28" s="80"/>
      <c r="AC28" s="80"/>
      <c r="AD28" s="80"/>
      <c r="AE28" s="80"/>
      <c r="AF28" s="80"/>
    </row>
    <row r="29">
      <c r="A29" s="144" t="s">
        <v>0</v>
      </c>
      <c r="B29" s="145" t="s">
        <v>1</v>
      </c>
      <c r="C29" s="2" t="s">
        <v>2</v>
      </c>
      <c r="D29" s="2" t="s">
        <v>3</v>
      </c>
      <c r="E29" s="2" t="s">
        <v>4</v>
      </c>
      <c r="F29" s="169" t="s">
        <v>5</v>
      </c>
      <c r="G29" s="170" t="s">
        <v>7</v>
      </c>
      <c r="H29" s="170" t="s">
        <v>8</v>
      </c>
      <c r="I29" s="171" t="s">
        <v>16</v>
      </c>
      <c r="J29" s="172" t="s">
        <v>193</v>
      </c>
      <c r="K29" s="172" t="s">
        <v>21</v>
      </c>
      <c r="L29" s="173" t="s">
        <v>22</v>
      </c>
      <c r="M29" s="173" t="s">
        <v>23</v>
      </c>
      <c r="N29" s="174" t="s">
        <v>194</v>
      </c>
      <c r="O29" s="175" t="s">
        <v>195</v>
      </c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33">
        <f t="array" ref="Z29">INDEX($Y$27:$Y$28,MATCH(Quotation!C40,$X$27:$X$28,FALSE),1)</f>
        <v>1</v>
      </c>
      <c r="AA29" s="80"/>
      <c r="AB29" s="80"/>
      <c r="AC29" s="80"/>
      <c r="AD29" s="80"/>
      <c r="AE29" s="80"/>
      <c r="AF29" s="80"/>
    </row>
    <row r="30">
      <c r="A30" s="71" t="str">
        <f>Product4!A29</f>
        <v/>
      </c>
      <c r="B30" s="71" t="str">
        <f>Product4!B29</f>
        <v/>
      </c>
      <c r="C30" s="71" t="str">
        <f>Product4!C29</f>
        <v/>
      </c>
      <c r="D30" s="71" t="str">
        <f>Product4!D29</f>
        <v/>
      </c>
      <c r="E30" s="177" t="str">
        <f>Product4!E29</f>
        <v/>
      </c>
      <c r="F30" s="71" t="str">
        <f>Product4!F29</f>
        <v/>
      </c>
      <c r="G30" s="71" t="str">
        <f>Product4!G29</f>
        <v/>
      </c>
      <c r="H30" s="71" t="str">
        <f>Product4!H29</f>
        <v/>
      </c>
      <c r="I30" s="184">
        <v>100.0</v>
      </c>
      <c r="J30" s="71" t="str">
        <f>Product4!J29</f>
        <v/>
      </c>
      <c r="K30" s="71" t="str">
        <f>Product4!K29</f>
        <v/>
      </c>
      <c r="L30" s="71" t="str">
        <f>Product4!L29</f>
        <v/>
      </c>
      <c r="M30" s="71" t="str">
        <f>Product4!M29</f>
        <v/>
      </c>
      <c r="N30" s="184">
        <v>1.0</v>
      </c>
      <c r="O30" s="71" t="str">
        <f>Product4!O29</f>
        <v/>
      </c>
      <c r="P30" s="80"/>
      <c r="Q30" s="80"/>
      <c r="R30" s="80"/>
      <c r="S30" s="80"/>
      <c r="T30" s="80"/>
      <c r="U30" s="80"/>
      <c r="V30" s="80"/>
      <c r="W30" s="80"/>
      <c r="Z30" s="33">
        <f t="array" ref="Z30">INDEX($Y$27:$Y$28,MATCH(Quotation!C48,$X$27:$X$28,FALSE),1)</f>
        <v>1</v>
      </c>
      <c r="AA30" s="80"/>
      <c r="AB30" s="80"/>
      <c r="AC30" s="80"/>
      <c r="AD30" s="80"/>
      <c r="AE30" s="80"/>
      <c r="AF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Z31" s="80"/>
      <c r="AA31" s="80"/>
      <c r="AB31" s="80"/>
      <c r="AC31" s="80"/>
      <c r="AD31" s="80"/>
      <c r="AE31" s="80"/>
      <c r="AF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 t="s">
        <v>228</v>
      </c>
      <c r="X33" s="86">
        <v>0.16</v>
      </c>
      <c r="Y33" s="86">
        <v>0.26</v>
      </c>
      <c r="Z33" s="71">
        <f t="array" ref="Z33">INDEX($X$33:$X$35,MATCH(Quotation!E19,$W$33:$W$35,FALSE),1)</f>
        <v>0.16</v>
      </c>
      <c r="AA33" s="71">
        <f t="array" ref="AA33">INDEX($Y$33:$Y$35,MATCH(Quotation!E19,$W$33:$W$35,FALSE),1)</f>
        <v>0.26</v>
      </c>
      <c r="AB33" s="80"/>
      <c r="AC33" s="80"/>
      <c r="AD33" s="80"/>
      <c r="AE33" s="80"/>
      <c r="AF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 t="s">
        <v>229</v>
      </c>
      <c r="X34" s="76">
        <v>0.28</v>
      </c>
      <c r="Y34" s="76">
        <v>0.35</v>
      </c>
      <c r="Z34" s="80"/>
      <c r="AA34" s="80"/>
      <c r="AB34" s="80"/>
      <c r="AC34" s="80"/>
      <c r="AD34" s="80"/>
      <c r="AE34" s="80"/>
      <c r="AF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 t="s">
        <v>230</v>
      </c>
      <c r="X35" s="107">
        <v>0.12</v>
      </c>
      <c r="Y35" s="107">
        <v>0.2</v>
      </c>
      <c r="Z35" s="80"/>
      <c r="AA35" s="80"/>
      <c r="AB35" s="80"/>
      <c r="AC35" s="80"/>
      <c r="AD35" s="80"/>
      <c r="AE35" s="80"/>
      <c r="AF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</row>
    <row r="37">
      <c r="A37" s="80"/>
      <c r="B37" s="80"/>
      <c r="C37" s="80"/>
      <c r="D37" s="80"/>
      <c r="E37" s="80"/>
      <c r="F37" s="80"/>
      <c r="G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</row>
    <row r="38">
      <c r="A38" s="80"/>
      <c r="B38" s="80"/>
      <c r="C38" s="80"/>
      <c r="D38" s="80"/>
      <c r="E38" s="80"/>
      <c r="F38" s="80"/>
      <c r="G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2"/>
      <c r="Z38" s="188"/>
      <c r="AA38" s="33"/>
      <c r="AB38" s="80"/>
      <c r="AC38" s="80"/>
      <c r="AD38" s="80"/>
      <c r="AE38" s="80"/>
      <c r="AF38" s="80"/>
    </row>
    <row r="39">
      <c r="A39" s="80"/>
      <c r="B39" s="80"/>
      <c r="C39" s="80"/>
      <c r="D39" s="80"/>
      <c r="E39" s="80"/>
      <c r="F39" s="80"/>
      <c r="G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2"/>
      <c r="Z39" s="188"/>
      <c r="AA39" s="80"/>
      <c r="AB39" s="80"/>
      <c r="AC39" s="80"/>
      <c r="AD39" s="80"/>
      <c r="AE39" s="80"/>
      <c r="AF39" s="80"/>
    </row>
    <row r="40">
      <c r="A40" s="80"/>
      <c r="B40" s="80"/>
      <c r="C40" s="80"/>
      <c r="D40" s="80"/>
      <c r="E40" s="80"/>
      <c r="F40" s="80"/>
      <c r="G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2"/>
      <c r="Z40" s="82"/>
      <c r="AA40" s="80"/>
      <c r="AB40" s="80"/>
      <c r="AC40" s="80"/>
      <c r="AD40" s="80"/>
      <c r="AE40" s="80"/>
      <c r="AF40" s="80"/>
    </row>
    <row r="41">
      <c r="A41" s="80"/>
      <c r="B41" s="80"/>
      <c r="C41" s="80"/>
      <c r="D41" s="80"/>
      <c r="E41" s="80"/>
      <c r="F41" s="80"/>
      <c r="G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</row>
    <row r="42">
      <c r="A42" s="80"/>
      <c r="B42" s="80"/>
      <c r="C42" s="80"/>
      <c r="D42" s="80"/>
      <c r="E42" s="80"/>
      <c r="F42" s="80"/>
      <c r="G42" s="80"/>
      <c r="O42" s="80"/>
      <c r="P42" s="80"/>
      <c r="Q42" s="80"/>
      <c r="R42" s="80"/>
      <c r="S42" s="80"/>
      <c r="T42" s="80"/>
      <c r="U42" s="80"/>
      <c r="V42" s="80"/>
      <c r="W42" s="80" t="str">
        <f>Quotation!D17</f>
        <v/>
      </c>
      <c r="X42" s="80"/>
      <c r="Y42" s="80"/>
      <c r="Z42" s="80"/>
      <c r="AA42" s="80"/>
      <c r="AB42" s="80"/>
      <c r="AC42" s="80"/>
      <c r="AD42" s="80"/>
      <c r="AE42" s="80"/>
      <c r="AF42" s="80"/>
    </row>
    <row r="43">
      <c r="A43" s="80"/>
      <c r="B43" s="80"/>
      <c r="C43" s="80"/>
      <c r="D43" s="80"/>
      <c r="E43" s="80"/>
      <c r="F43" s="80"/>
      <c r="G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</row>
    <row r="44">
      <c r="A44" s="80"/>
      <c r="B44" s="189">
        <f>ifna((HLOOKUP(Quotation!C26,Product!$AO$1:$BA$2,2,false))*Quotation!E22,"")</f>
        <v>0</v>
      </c>
      <c r="C44" s="190">
        <v>250.0</v>
      </c>
      <c r="D44" s="191">
        <f>((MAX(B44,C44))/Quotation!E22)*Sheet2!Z17</f>
        <v>0</v>
      </c>
      <c r="E44" s="80"/>
      <c r="F44" s="83">
        <f>MAX((ifna(((((HLOOKUP(Quotation!$B$23,Product!$J$1:$T$2,2,false))+((HLOOKUP(Quotation!$B$24,Product!$AE$1:$AN$2,2,false))*Z$27))*M$4)+D44)+((HLOOKUP(Quotation!$B$27,Product!$AG$1:$AN$2,2,false))),"")),Main!AS2)</f>
        <v>150.9</v>
      </c>
      <c r="G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</row>
    <row r="45">
      <c r="A45" s="80"/>
      <c r="B45" s="189">
        <f>ifna((HLOOKUP(Quotation!C26,Product!$AO$3:$BA$4,2,false))*Quotation!E23,"")</f>
        <v>0</v>
      </c>
      <c r="C45" s="190">
        <v>250.0</v>
      </c>
      <c r="D45" s="191">
        <f>((MAX(B45,C45))/Quotation!E23)*Sheet2!Z17</f>
        <v>0</v>
      </c>
      <c r="E45" s="80"/>
      <c r="F45" s="83">
        <f>MAX(ifna((((((HLOOKUP(Quotation!B23,Product!$J$3:$T$4,2,false))+(HLOOKUP(Quotation!B24,Product!$AE$3:$AN$4,2,false))*Z27))*M$4)+D45)+((HLOOKUP(Quotation!B27,Product!$AG$1:$AN$2,2,false))),""),Main!AS3)</f>
        <v>17.74444444</v>
      </c>
      <c r="G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</row>
    <row r="46">
      <c r="A46" s="80"/>
      <c r="B46" s="189">
        <f>ifna((HLOOKUP(Quotation!C26,Product!$AO$5:$BA$6,2,false))*Quotation!E24,"")</f>
        <v>0</v>
      </c>
      <c r="C46" s="190">
        <v>250.0</v>
      </c>
      <c r="D46" s="191">
        <f>((MAX(B46,C46))/Quotation!E24)*Sheet2!Z17</f>
        <v>0</v>
      </c>
      <c r="E46" s="80"/>
      <c r="F46" s="83">
        <f>MAX(ifna((((((HLOOKUP(Quotation!B23,Product!$J$5:$T$6,2,false))+(HLOOKUP(Quotation!B24,Product!$AE$5:$AN$6,2,false))*Z27))*M$4)+D46)+((HLOOKUP(Quotation!B27,Product!$AG$1:$AN$2,2,false))),""),Main!AS4)</f>
        <v>16.08</v>
      </c>
      <c r="G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</row>
    <row r="47">
      <c r="A47" s="80"/>
      <c r="B47" s="73"/>
      <c r="C47" s="88"/>
      <c r="D47" s="73"/>
      <c r="E47" s="80"/>
      <c r="F47" s="80"/>
      <c r="G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</row>
    <row r="48">
      <c r="A48" s="80"/>
      <c r="B48" s="73"/>
      <c r="C48" s="88"/>
      <c r="D48" s="73"/>
      <c r="E48" s="80"/>
      <c r="F48" s="80"/>
      <c r="G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</row>
    <row r="49">
      <c r="A49" s="80"/>
      <c r="B49" s="73"/>
      <c r="C49" s="88"/>
      <c r="D49" s="73"/>
      <c r="E49" s="80"/>
      <c r="F49" s="80"/>
      <c r="G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</row>
    <row r="50">
      <c r="A50" s="80"/>
      <c r="B50" s="189">
        <f>ifna((HLOOKUP(Quotation!C34,Product2!$AO$1:$BA$2,2,false))*Quotation!E30,"")</f>
        <v>2500</v>
      </c>
      <c r="C50" s="190">
        <v>250.0</v>
      </c>
      <c r="D50" s="191">
        <f>((MAX(B50,C50))/Quotation!E30)*Sheet2!$Z$18</f>
        <v>5</v>
      </c>
      <c r="E50" s="80"/>
      <c r="F50" s="83">
        <f>MAX(ifna((((((HLOOKUP(Quotation!B31,Product2!$J$1:$T$2,2,false))+(HLOOKUP(Quotation!B32,Product2!$AE$1:$AN$2,2,false))*Z28))*M8)+D50)+((HLOOKUP(Quotation!B35,Product2!$AG$1:$AN$2,2,false))),""),Main!AS6)</f>
        <v>13.98</v>
      </c>
      <c r="G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</row>
    <row r="51">
      <c r="A51" s="80"/>
      <c r="B51" s="189">
        <f>ifna((HLOOKUP(Quotation!C34,Product2!$AO$3:$BA$4,2,false))*Quotation!E31,"")</f>
        <v>175000</v>
      </c>
      <c r="C51" s="190">
        <v>250.0</v>
      </c>
      <c r="D51" s="191">
        <f>((MAX(B51,C51))/Quotation!E31)*Sheet2!Z18</f>
        <v>5</v>
      </c>
      <c r="E51" s="80"/>
      <c r="F51" s="83">
        <f>MAX(ifna((((((HLOOKUP(Quotation!B31,Product2!$J$3:$T$4,2,false))+(HLOOKUP(Quotation!B32,Product2!$AE$3:$AN$4,2,false))*Z28))*M8)+D51)+((HLOOKUP(Quotation!B35,Product2!$AG$1:$AN$2,2,false))),""),Main!AS7)</f>
        <v>7.700497143</v>
      </c>
      <c r="G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</row>
    <row r="52">
      <c r="A52" s="80"/>
      <c r="B52" s="189" t="str">
        <f>ifna((HLOOKUP(Quotation!C34,Product2!$AO$5:$BA$6,2,false))*Quotation!E32,"")</f>
        <v>#DIV/0!</v>
      </c>
      <c r="C52" s="190">
        <v>250.0</v>
      </c>
      <c r="D52" s="191" t="str">
        <f>((MAX(B52,C52))/Quotation!E32)*Sheet2!Z18</f>
        <v>#DIV/0!</v>
      </c>
      <c r="E52" s="80"/>
      <c r="F52" s="83" t="str">
        <f>MAX(ifna((((((HLOOKUP(Quotation!B31,Product2!$J$5:$T$6,2,false))+(HLOOKUP(Quotation!B32,Product2!$AE$5:$AN$6,2,false))*Z28))*M8)+D52)+((HLOOKUP(Quotation!B35,Product2!$AG$1:$AN$2,2,false))),""),Main!AS8)</f>
        <v>#DIV/0!</v>
      </c>
      <c r="G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</row>
    <row r="53">
      <c r="A53" s="80"/>
      <c r="B53" s="73"/>
      <c r="C53" s="88"/>
      <c r="D53" s="73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>
      <c r="A54" s="80"/>
      <c r="B54" s="73"/>
      <c r="C54" s="88"/>
      <c r="D54" s="73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</row>
    <row r="55">
      <c r="A55" s="80"/>
      <c r="B55" s="73"/>
      <c r="C55" s="88"/>
      <c r="D55" s="73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</row>
    <row r="56">
      <c r="A56" s="80"/>
      <c r="B56" s="189">
        <f>ifna((HLOOKUP(Quotation!C42,Product3!$AO$1:$BA$2,2,false))*Quotation!E38,"")</f>
        <v>0</v>
      </c>
      <c r="C56" s="190">
        <v>250.0</v>
      </c>
      <c r="D56" s="191">
        <f>((MAX(B56,C56))/Quotation!E38)*Sheet2!$Z$19</f>
        <v>0</v>
      </c>
      <c r="E56" s="80"/>
      <c r="F56" s="83">
        <f>MAX(IFNA((((((HLOOKUP(Quotation!B39,Product3!$J$1:$T$2,2,false))+(HLOOKUP(Quotation!B40,Product3!$AE$1:$AN$2,2,false))*Z29))*M12)+D56)+((HLOOKUP(Quotation!B43,Product3!$AG$1:$AN$2,2,false))),""),Main!AS10)</f>
        <v>1.876473333</v>
      </c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</row>
    <row r="57">
      <c r="A57" s="80"/>
      <c r="B57" s="189">
        <f>ifna((HLOOKUP(Quotation!C42,Product3!$AO$3:$BA$4,2,false))*Quotation!E39,"")</f>
        <v>0</v>
      </c>
      <c r="C57" s="190">
        <v>250.0</v>
      </c>
      <c r="D57" s="191">
        <f>((MAX(B57,C57))/Quotation!E39)*Sheet2!$Z$19</f>
        <v>0</v>
      </c>
      <c r="E57" s="80"/>
      <c r="F57" s="83">
        <f>MAX(ifna((((((HLOOKUP(Quotation!B39,Product3!$J$3:$T$4,2,false))+(HLOOKUP(Quotation!B40,Product3!$AE$3:$AN$4,2,false))*Z29))*M12)+D57)+((HLOOKUP(Quotation!B43,Product3!$AG$1:$AN$2,2,false))),""),Main!AS11)</f>
        <v>1.870928</v>
      </c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</row>
    <row r="58">
      <c r="A58" s="80"/>
      <c r="B58" s="189">
        <f>ifna((HLOOKUP(Quotation!C42,Product3!$AO$5:$BA$6,2,false))*Quotation!E40,"")</f>
        <v>0</v>
      </c>
      <c r="C58" s="190">
        <v>250.0</v>
      </c>
      <c r="D58" s="191" t="str">
        <f>((MAX(B58,C58))/Quotation!E40)*Sheet2!$Z$19</f>
        <v>#DIV/0!</v>
      </c>
      <c r="E58" s="80"/>
      <c r="F58" s="83" t="str">
        <f>MAX(ifna((((((HLOOKUP(Quotation!B39,Product3!$J$5:$T$6,2,false))+(HLOOKUP(Quotation!B40,Product3!$AE$5:$AN$6,2,false))*Z29))*M12)+D58)+((HLOOKUP(Quotation!B43,Product3!$AG$1:$AN$2,2,false))),""),Main!AS12)</f>
        <v>#DIV/0!</v>
      </c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</row>
    <row r="59">
      <c r="A59" s="80"/>
      <c r="B59" s="73"/>
      <c r="C59" s="88"/>
      <c r="D59" s="73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</row>
    <row r="60">
      <c r="A60" s="80"/>
      <c r="B60" s="73"/>
      <c r="C60" s="88"/>
      <c r="D60" s="73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</row>
    <row r="61">
      <c r="A61" s="80"/>
      <c r="B61" s="73"/>
      <c r="C61" s="88"/>
      <c r="D61" s="73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</row>
    <row r="62">
      <c r="A62" s="80"/>
      <c r="B62" s="189">
        <f>ifna((HLOOKUP(Quotation!C50,Product4!$AO$1:$BA$2,2,false))*Quotation!E46,"")</f>
        <v>298.0922099</v>
      </c>
      <c r="C62" s="190">
        <v>250.0</v>
      </c>
      <c r="D62" s="191">
        <f>((MAX(B62,C62))/Quotation!E46)*Sheet2!$Z$20</f>
        <v>0.002980922099</v>
      </c>
      <c r="E62" s="80"/>
      <c r="F62" s="83">
        <f>MAX(ifna((((((HLOOKUP(Quotation!B47,Product4!$J$1:$T$2,2,false))+(HLOOKUP(Quotation!B48,Product4!$AE$1:$AN$2,2,false))*Z30))*M16)+D62)+((HLOOKUP(Quotation!B51,Product4!$AG$1:$AN$2,2,false))),""),Main!AS14)</f>
        <v>0.5668909221</v>
      </c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</row>
    <row r="63">
      <c r="A63" s="80"/>
      <c r="B63" s="189">
        <f>ifna((HLOOKUP(Quotation!C50,Product4!$AO$3:$BA$4,2,false))*Quotation!E47,"")</f>
        <v>296.2085308</v>
      </c>
      <c r="C63" s="190">
        <v>250.0</v>
      </c>
      <c r="D63" s="191">
        <f>((MAX(B63,C63))/Quotation!E47)*Sheet2!$Z$20</f>
        <v>0.005924170616</v>
      </c>
      <c r="E63" s="80"/>
      <c r="F63" s="83">
        <f>MAX(ifna((((((HLOOKUP(Quotation!B47,Product4!$J$3:$T$4,2,false))+(HLOOKUP(Quotation!B48,Product4!$AE$3:$AN$4,2,false))*Z30))*M16)+D63)+((HLOOKUP(Quotation!B51,Product4!$AG$1:$AN$2,2,false))),""),Main!AS15)</f>
        <v>0.5885841706</v>
      </c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</row>
    <row r="64">
      <c r="A64" s="80"/>
      <c r="B64" s="189">
        <f>ifna((HLOOKUP(Quotation!C50,Product4!$AO$5:$BA$6,2,false))*Quotation!E48,"")</f>
        <v>0</v>
      </c>
      <c r="C64" s="190">
        <v>250.0</v>
      </c>
      <c r="D64" s="191" t="str">
        <f>((MAX(B64,C64))/Quotation!E48)*Sheet2!$Z$20</f>
        <v>#DIV/0!</v>
      </c>
      <c r="E64" s="80"/>
      <c r="F64" s="83" t="str">
        <f>MAX(ifna((((((HLOOKUP(Quotation!B47,Product4!$J$5:$T$6,2,false))+(HLOOKUP(Quotation!B48,Product4!$AE$5:$AN$6,2,false))*Z30))*M16)+D64)+((HLOOKUP(Quotation!B51,Product4!$AG$1:$AN$2,2,false))),""),Main!AS16)</f>
        <v>#DIV/0!</v>
      </c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</row>
    <row r="65">
      <c r="A65" s="80"/>
      <c r="B65" s="73"/>
      <c r="C65" s="73"/>
      <c r="D65" s="73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</row>
    <row r="68">
      <c r="A68" s="80"/>
      <c r="B68" s="67" t="str">
        <f>Quotation!B23</f>
        <v>SBS</v>
      </c>
      <c r="C68" s="80" t="str">
        <f>Quotation!B31</f>
        <v>Custom Paper</v>
      </c>
      <c r="D68" s="80" t="str">
        <f>Quotation!B39</f>
        <v>Custom Paper</v>
      </c>
      <c r="E68" s="80" t="str">
        <f>Quotation!B47</f>
        <v>Art Card</v>
      </c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</row>
    <row r="69">
      <c r="A69" s="80"/>
      <c r="B69" s="33" t="str">
        <f t="shared" ref="B69:E69" si="1">IF(B68="","","and B = '"&amp;B68&amp;"'")</f>
        <v>and B = 'SBS'</v>
      </c>
      <c r="C69" s="33" t="str">
        <f t="shared" si="1"/>
        <v>and B = 'Custom Paper'</v>
      </c>
      <c r="D69" s="33" t="str">
        <f t="shared" si="1"/>
        <v>and B = 'Custom Paper'</v>
      </c>
      <c r="E69" s="33" t="str">
        <f t="shared" si="1"/>
        <v>and B = 'Art Card'</v>
      </c>
      <c r="F69" s="33" t="str">
        <f>IF(F68="","","and H = '"&amp;F68&amp;"'")</f>
        <v/>
      </c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</row>
    <row r="70">
      <c r="A70" s="80"/>
      <c r="B70" s="42" t="str">
        <f t="shared" ref="B70:F70" si="2">CONCATENATE("select * where 1=1",B69)</f>
        <v>select * where 1=1and B = 'SBS'</v>
      </c>
      <c r="C70" s="42" t="str">
        <f t="shared" si="2"/>
        <v>select * where 1=1and B = 'Custom Paper'</v>
      </c>
      <c r="D70" s="42" t="str">
        <f t="shared" si="2"/>
        <v>select * where 1=1and B = 'Custom Paper'</v>
      </c>
      <c r="E70" s="42" t="str">
        <f t="shared" si="2"/>
        <v>select * where 1=1and B = 'Art Card'</v>
      </c>
      <c r="F70" s="42" t="str">
        <f t="shared" si="2"/>
        <v>select * where 1=1</v>
      </c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</row>
    <row r="71">
      <c r="A71" s="80"/>
      <c r="B71" s="82" t="s">
        <v>77</v>
      </c>
      <c r="C71" s="67">
        <f>Price!W12</f>
        <v>0.0051</v>
      </c>
      <c r="D71" s="35" t="str">
        <f>IFERROR(__xludf.DUMMYFUNCTION("QUERY(B71:C79,B70)"),"SBS")</f>
        <v>SBS</v>
      </c>
      <c r="E71" s="49">
        <f>IFERROR(__xludf.DUMMYFUNCTION("""COMPUTED_VALUE"""),0.0051)</f>
        <v>0.0051</v>
      </c>
      <c r="F71" s="192" t="s">
        <v>18</v>
      </c>
      <c r="G71" s="35">
        <v>0.0</v>
      </c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</row>
    <row r="72">
      <c r="A72" s="80"/>
      <c r="B72" s="3" t="s">
        <v>15</v>
      </c>
      <c r="C72" s="80">
        <f>Price!X12</f>
        <v>0.0052</v>
      </c>
      <c r="D72" s="42" t="str">
        <f>IFERROR(__xludf.DUMMYFUNCTION("QUERY(B71:C79,C70)"),"#N/A")</f>
        <v>#N/A</v>
      </c>
      <c r="F72" s="35" t="s">
        <v>211</v>
      </c>
      <c r="G72" s="82">
        <v>1.0</v>
      </c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</row>
    <row r="73">
      <c r="A73" s="80"/>
      <c r="B73" s="3" t="s">
        <v>30</v>
      </c>
      <c r="C73" s="80">
        <f>Price!X12</f>
        <v>0.0052</v>
      </c>
      <c r="D73" s="33" t="str">
        <f>IFERROR(__xludf.DUMMYFUNCTION("QUERY(B71:C79,D70)"),"#N/A")</f>
        <v>#N/A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</row>
    <row r="74">
      <c r="A74" s="80"/>
      <c r="B74" s="86" t="s">
        <v>231</v>
      </c>
      <c r="C74" s="67">
        <f>Price!X12</f>
        <v>0.0052</v>
      </c>
      <c r="D74" s="33" t="str">
        <f>IFERROR(__xludf.DUMMYFUNCTION("QUERY(B71:C79,E70)"),"Art Card")</f>
        <v>Art Card</v>
      </c>
      <c r="E74" s="80">
        <f>IFERROR(__xludf.DUMMYFUNCTION("""COMPUTED_VALUE"""),0.0052)</f>
        <v>0.0052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</row>
    <row r="75">
      <c r="A75" s="80"/>
      <c r="B75" s="86" t="s">
        <v>232</v>
      </c>
      <c r="C75" s="67">
        <f>Price!X12</f>
        <v>0.0052</v>
      </c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</row>
    <row r="76">
      <c r="A76" s="80"/>
      <c r="B76" s="102" t="s">
        <v>29</v>
      </c>
      <c r="C76" s="67">
        <f>Price!X12</f>
        <v>0.0052</v>
      </c>
      <c r="D76" s="80" t="str">
        <f>Quotation!A25</f>
        <v>Printing</v>
      </c>
      <c r="E76" s="80" t="str">
        <f>Quotation!A33</f>
        <v>Printing</v>
      </c>
      <c r="F76" s="80" t="str">
        <f>Quotation!A41</f>
        <v>Printing</v>
      </c>
      <c r="G76" s="80" t="str">
        <f>Quotation!A49</f>
        <v>Printing</v>
      </c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</row>
    <row r="77">
      <c r="A77" s="80"/>
      <c r="B77" s="2" t="s">
        <v>14</v>
      </c>
      <c r="C77" s="80">
        <f>Price!W12</f>
        <v>0.0051</v>
      </c>
      <c r="D77" s="33" t="str">
        <f t="shared" ref="D77:G77" si="3">IF(D76="","","and F = '"&amp;D76&amp;"'")</f>
        <v>and F = 'Printing'</v>
      </c>
      <c r="E77" s="33" t="str">
        <f t="shared" si="3"/>
        <v>and F = 'Printing'</v>
      </c>
      <c r="F77" s="33" t="str">
        <f t="shared" si="3"/>
        <v>and F = 'Printing'</v>
      </c>
      <c r="G77" s="33" t="str">
        <f t="shared" si="3"/>
        <v>and F = 'Printing'</v>
      </c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>
      <c r="A78" s="80"/>
      <c r="B78" s="3" t="s">
        <v>27</v>
      </c>
      <c r="C78" s="67">
        <f>Price!W12</f>
        <v>0.0051</v>
      </c>
      <c r="D78" s="42" t="str">
        <f t="shared" ref="D78:G78" si="4">CONCATENATE("select * where 1=1",D77)</f>
        <v>select * where 1=1and F = 'Printing'</v>
      </c>
      <c r="E78" s="42" t="str">
        <f t="shared" si="4"/>
        <v>select * where 1=1and F = 'Printing'</v>
      </c>
      <c r="F78" s="42" t="str">
        <f t="shared" si="4"/>
        <v>select * where 1=1and F = 'Printing'</v>
      </c>
      <c r="G78" s="42" t="str">
        <f t="shared" si="4"/>
        <v>select * where 1=1and F = 'Printing'</v>
      </c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</row>
    <row r="79">
      <c r="A79" s="80"/>
      <c r="B79" s="3" t="s">
        <v>28</v>
      </c>
      <c r="C79" s="67">
        <f>Price!W12</f>
        <v>0.0051</v>
      </c>
      <c r="D79" s="33" t="str">
        <f>IFERROR(__xludf.DUMMYFUNCTION("QUERY(F71:G72,D78)"),"Printing")</f>
        <v>Printing</v>
      </c>
      <c r="E79" s="80">
        <f>IFERROR(__xludf.DUMMYFUNCTION("""COMPUTED_VALUE"""),0.0)</f>
        <v>0</v>
      </c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</row>
    <row r="80">
      <c r="A80" s="80"/>
      <c r="B80" s="80"/>
      <c r="C80" s="80"/>
      <c r="D80" s="33" t="str">
        <f>IFERROR(__xludf.DUMMYFUNCTION("QUERY(F71:G72,E78)"),"Printing")</f>
        <v>Printing</v>
      </c>
      <c r="E80" s="80">
        <f>IFERROR(__xludf.DUMMYFUNCTION("""COMPUTED_VALUE"""),0.0)</f>
        <v>0</v>
      </c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</row>
    <row r="81">
      <c r="A81" s="80"/>
      <c r="B81" s="80"/>
      <c r="C81" s="80"/>
      <c r="D81" s="33" t="str">
        <f>IFERROR(__xludf.DUMMYFUNCTION("QUERY(F71:G72,F78)"),"Printing")</f>
        <v>Printing</v>
      </c>
      <c r="E81" s="80">
        <f>IFERROR(__xludf.DUMMYFUNCTION("""COMPUTED_VALUE"""),0.0)</f>
        <v>0</v>
      </c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</row>
    <row r="82">
      <c r="A82" s="80"/>
      <c r="B82" s="80"/>
      <c r="C82" s="80"/>
      <c r="D82" s="33" t="str">
        <f>IFERROR(__xludf.DUMMYFUNCTION("QUERY(F71:G72,G78)"),"Printing")</f>
        <v>Printing</v>
      </c>
      <c r="E82" s="80">
        <f>IFERROR(__xludf.DUMMYFUNCTION("""COMPUTED_VALUE"""),0.0)</f>
        <v>0</v>
      </c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4" max="74" width="16.13"/>
  </cols>
  <sheetData>
    <row r="1">
      <c r="A1" s="108" t="str">
        <f>Main!A1</f>
        <v>Product Code</v>
      </c>
      <c r="B1" s="108" t="str">
        <f>Main!B1</f>
        <v>Category</v>
      </c>
      <c r="C1" s="108" t="str">
        <f>Main!C1</f>
        <v>Sub Category</v>
      </c>
      <c r="D1" s="108" t="str">
        <f>Main!D1</f>
        <v>Specifications</v>
      </c>
      <c r="E1" s="109" t="str">
        <f>Main!E1</f>
        <v>No.  of Ups</v>
      </c>
      <c r="F1" s="108" t="str">
        <f>Main!F1</f>
        <v>Machine</v>
      </c>
      <c r="G1" s="108" t="str">
        <f>Main!J1</f>
        <v>GSM</v>
      </c>
      <c r="H1" s="108" t="str">
        <f>Main!K1</f>
        <v>Final Qty</v>
      </c>
      <c r="I1" s="108" t="str">
        <f>Main!L1</f>
        <v>Sheet Qty</v>
      </c>
      <c r="J1" s="109" t="str">
        <f>Main!AG1:AG2457</f>
        <v>SBS</v>
      </c>
      <c r="K1" s="109" t="str">
        <f>Main!AH1</f>
        <v>WhiteBack</v>
      </c>
      <c r="L1" s="109" t="str">
        <f>Main!AI1</f>
        <v>GreyBack</v>
      </c>
      <c r="M1" s="109" t="str">
        <f>Main!AJ1</f>
        <v>Art Card</v>
      </c>
      <c r="N1" s="109" t="str">
        <f>Main!AK1</f>
        <v>Maplitho</v>
      </c>
      <c r="O1" s="109" t="str">
        <f>Main!AL1</f>
        <v>Other Type</v>
      </c>
      <c r="P1" s="109" t="str">
        <f>Main!AN1</f>
        <v/>
      </c>
      <c r="Q1" s="109" t="str">
        <f>Main!AO1</f>
        <v/>
      </c>
      <c r="R1" s="109" t="str">
        <f>Main!AP1</f>
        <v/>
      </c>
      <c r="S1" s="109" t="str">
        <f>Main!AQ1</f>
        <v/>
      </c>
      <c r="T1" s="193" t="s">
        <v>31</v>
      </c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17" t="s">
        <v>37</v>
      </c>
      <c r="AF1" s="114" t="s">
        <v>36</v>
      </c>
      <c r="AG1" s="109" t="str">
        <f>Main!AR1</f>
        <v/>
      </c>
      <c r="AH1" s="109" t="str">
        <f>Main!AW1</f>
        <v>Lamination Thermal</v>
      </c>
      <c r="AI1" s="109" t="str">
        <f>Main!AX1</f>
        <v>Lamination Normal Gloss</v>
      </c>
      <c r="AJ1" s="115" t="str">
        <f>Main!AY1</f>
        <v>Lamination Normal Matt</v>
      </c>
      <c r="AK1" s="109" t="str">
        <f>Main!AZ1</f>
        <v>Varnish</v>
      </c>
      <c r="AL1" s="109" t="str">
        <f>Main!BC1</f>
        <v>UV Hybrid</v>
      </c>
      <c r="AM1" s="109" t="str">
        <f>Main!BD1</f>
        <v>Spot UV</v>
      </c>
      <c r="AN1" s="116" t="s">
        <v>74</v>
      </c>
      <c r="AO1" s="117" t="s">
        <v>42</v>
      </c>
      <c r="AP1" s="111" t="s">
        <v>43</v>
      </c>
      <c r="AQ1" s="111" t="s">
        <v>44</v>
      </c>
      <c r="AR1" s="117" t="s">
        <v>92</v>
      </c>
      <c r="AS1" s="117" t="s">
        <v>94</v>
      </c>
      <c r="AT1" s="117" t="s">
        <v>47</v>
      </c>
      <c r="AU1" s="24" t="s">
        <v>48</v>
      </c>
      <c r="AV1" s="24" t="s">
        <v>49</v>
      </c>
      <c r="AW1" s="24" t="s">
        <v>50</v>
      </c>
      <c r="AX1" s="108" t="s">
        <v>74</v>
      </c>
      <c r="AY1" s="118" t="s">
        <v>51</v>
      </c>
      <c r="AZ1" s="119" t="s">
        <v>52</v>
      </c>
      <c r="BA1" s="119" t="s">
        <v>53</v>
      </c>
      <c r="BB1" s="73"/>
      <c r="BC1" s="73"/>
      <c r="BD1" s="73"/>
      <c r="BE1" s="73" t="str">
        <f>Quotation!A29</f>
        <v>Offset</v>
      </c>
      <c r="BF1" s="73" t="str">
        <f>Quotation!B29</f>
        <v>Packaging</v>
      </c>
      <c r="BG1" s="73" t="str">
        <f>Quotation!B31</f>
        <v>Custom Paper</v>
      </c>
      <c r="BH1" s="73" t="str">
        <f>Quotation!B32</f>
        <v>Varnish</v>
      </c>
      <c r="BI1" s="73" t="str">
        <f>Quotation!C34</f>
        <v>Carry Bag Single Pasting</v>
      </c>
      <c r="BJ1" s="73" t="str">
        <f>Quotation!C35</f>
        <v>Plain</v>
      </c>
      <c r="BK1" s="120" t="str">
        <f>Quotation!B35</f>
        <v>Plain</v>
      </c>
      <c r="BL1" s="121" t="str">
        <f>Quotation!A34</f>
        <v>New Job</v>
      </c>
      <c r="BM1" s="121"/>
      <c r="BN1" s="80"/>
      <c r="BO1" s="121" t="str">
        <f>Quotation!B31</f>
        <v>Custom Paper</v>
      </c>
      <c r="BP1" s="121"/>
      <c r="BQ1" s="121"/>
      <c r="BR1" s="121"/>
      <c r="BS1" s="122" t="str">
        <f>Quotation!B31</f>
        <v>Custom Paper</v>
      </c>
      <c r="BT1" s="121"/>
      <c r="BU1" s="121"/>
      <c r="BV1" s="121"/>
      <c r="BW1" s="121"/>
      <c r="BX1" s="121"/>
      <c r="BY1" s="121"/>
      <c r="BZ1" s="122" t="str">
        <f>Quotation!C31</f>
        <v>Custom</v>
      </c>
      <c r="CA1" s="121"/>
      <c r="CB1" s="121"/>
      <c r="CC1" s="121"/>
      <c r="CD1" s="122" t="str">
        <f>Quotation!D31</f>
        <v>GSM</v>
      </c>
      <c r="CE1" s="121"/>
      <c r="CF1" s="121"/>
      <c r="CG1" s="121"/>
      <c r="CH1" s="121"/>
    </row>
    <row r="2">
      <c r="A2" s="80" t="str">
        <f>Main!A6</f>
        <v>#N/A</v>
      </c>
      <c r="B2" s="80" t="str">
        <f>Main!B6</f>
        <v/>
      </c>
      <c r="C2" s="80" t="str">
        <f>Main!C6</f>
        <v/>
      </c>
      <c r="D2" s="80" t="str">
        <f>Main!D6</f>
        <v/>
      </c>
      <c r="E2" s="124">
        <f>Main!E6</f>
        <v>2</v>
      </c>
      <c r="F2" s="80">
        <f>Main!F6</f>
        <v>2029</v>
      </c>
      <c r="G2" s="80" t="str">
        <f>Quotation!C31</f>
        <v>Custom</v>
      </c>
      <c r="H2" s="80">
        <f>Quotation!E30</f>
        <v>500</v>
      </c>
      <c r="I2" s="80">
        <f>Main!L6</f>
        <v>330</v>
      </c>
      <c r="J2" s="125">
        <f>Main!AG6</f>
        <v>8.38</v>
      </c>
      <c r="K2" s="125">
        <f>J2</f>
        <v>8.38</v>
      </c>
      <c r="L2" s="125">
        <f>J2</f>
        <v>8.38</v>
      </c>
      <c r="M2" s="125">
        <f>J2</f>
        <v>8.38</v>
      </c>
      <c r="N2" s="125">
        <f>J2</f>
        <v>8.38</v>
      </c>
      <c r="O2" s="125">
        <f>Main!AL6</f>
        <v>56.008</v>
      </c>
      <c r="P2" s="109" t="str">
        <f>Main!AN6</f>
        <v/>
      </c>
      <c r="Q2" s="125" t="str">
        <f>Main!AO6</f>
        <v/>
      </c>
      <c r="R2" s="125" t="str">
        <f>Main!AP6</f>
        <v/>
      </c>
      <c r="S2" s="125" t="str">
        <f>Main!AQ6</f>
        <v/>
      </c>
      <c r="T2" s="125">
        <f>Main!AM6</f>
        <v>8.38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25">
        <f>Main!BB6</f>
        <v>7.376</v>
      </c>
      <c r="AF2" s="125">
        <f>Main!BA6</f>
        <v>1.4425</v>
      </c>
      <c r="AG2" s="125" t="str">
        <f>Main!AR6</f>
        <v/>
      </c>
      <c r="AH2" s="125">
        <f>Main!AW6</f>
        <v>2.376</v>
      </c>
      <c r="AI2" s="125">
        <f>Main!AX6</f>
        <v>0.9801</v>
      </c>
      <c r="AJ2" s="126">
        <f>Main!AY6</f>
        <v>1.3068</v>
      </c>
      <c r="AK2" s="125">
        <f>Main!AZ6</f>
        <v>0.6</v>
      </c>
      <c r="AL2" s="125">
        <f>Main!BC6</f>
        <v>5</v>
      </c>
      <c r="AM2" s="125">
        <f>Main!BD6</f>
        <v>5.276</v>
      </c>
      <c r="AN2" s="76">
        <v>0.0</v>
      </c>
      <c r="AO2" s="47">
        <f>Main!BI6</f>
        <v>4.167045455</v>
      </c>
      <c r="AP2" s="61" t="str">
        <f>Main!BJ6</f>
        <v>#VALUE!</v>
      </c>
      <c r="AQ2" s="61" t="str">
        <f>Main!BK6</f>
        <v>#VALUE!</v>
      </c>
      <c r="AR2" s="47">
        <f>Main!BL6</f>
        <v>1</v>
      </c>
      <c r="AS2" s="47">
        <f>Main!BM6</f>
        <v>1.1</v>
      </c>
      <c r="AT2" s="47">
        <f>Main!BN6</f>
        <v>1.2</v>
      </c>
      <c r="AU2" s="47">
        <f>Main!BO6</f>
        <v>0.4545454545</v>
      </c>
      <c r="AV2" s="47">
        <f>Main!BP6</f>
        <v>0.4545454545</v>
      </c>
      <c r="AW2" s="47">
        <f>Main!BQ6</f>
        <v>0.4545454545</v>
      </c>
      <c r="AX2" s="86">
        <v>0.0</v>
      </c>
      <c r="AY2" s="77" t="str">
        <f>Main!BR6</f>
        <v>#VALUE!</v>
      </c>
      <c r="AZ2" s="77">
        <f>Main!BS6</f>
        <v>5</v>
      </c>
      <c r="BA2" s="77">
        <f>Main!BT6</f>
        <v>6</v>
      </c>
      <c r="BB2" s="73"/>
      <c r="BC2" s="73"/>
      <c r="BD2" s="73"/>
      <c r="BE2" s="73"/>
      <c r="BF2" s="73"/>
      <c r="BG2" s="73"/>
      <c r="BH2" s="73"/>
      <c r="BI2" s="73"/>
      <c r="BJ2" s="73"/>
      <c r="BK2" s="80"/>
      <c r="BL2" s="80"/>
      <c r="BM2" s="80"/>
      <c r="BN2" s="80"/>
      <c r="BO2" s="80"/>
      <c r="BP2" s="80"/>
      <c r="BQ2" s="80"/>
      <c r="BR2" s="80"/>
      <c r="BS2" s="128" t="str">
        <f>IF(BS1="","","and BS = '"&amp;BS1&amp;"'")</f>
        <v>and BS = 'Custom Paper'</v>
      </c>
      <c r="BT2" s="80"/>
      <c r="BU2" s="80"/>
      <c r="BV2" s="80"/>
      <c r="BW2" s="80"/>
      <c r="BX2" s="80"/>
      <c r="BY2" s="80"/>
      <c r="BZ2" s="128" t="str">
        <f>IF(BZ1="","","and BX = '"&amp;BZ1&amp;"'")</f>
        <v>and BX = 'Custom'</v>
      </c>
      <c r="CA2" s="80"/>
      <c r="CB2" s="80"/>
      <c r="CC2" s="80"/>
      <c r="CD2" s="128" t="str">
        <f>IF(CD1="","","and CD = '"&amp;CD1&amp;"'")</f>
        <v>and CD = 'GSM'</v>
      </c>
      <c r="CE2" s="80"/>
      <c r="CF2" s="80"/>
      <c r="CG2" s="80"/>
      <c r="CH2" s="80"/>
    </row>
    <row r="3">
      <c r="A3" s="108" t="str">
        <f t="shared" ref="A3:S3" si="1">A1</f>
        <v>Product Code</v>
      </c>
      <c r="B3" s="108" t="str">
        <f t="shared" si="1"/>
        <v>Category</v>
      </c>
      <c r="C3" s="108" t="str">
        <f t="shared" si="1"/>
        <v>Sub Category</v>
      </c>
      <c r="D3" s="108" t="str">
        <f t="shared" si="1"/>
        <v>Specifications</v>
      </c>
      <c r="E3" s="108" t="str">
        <f t="shared" si="1"/>
        <v>No.  of Ups</v>
      </c>
      <c r="F3" s="108" t="str">
        <f t="shared" si="1"/>
        <v>Machine</v>
      </c>
      <c r="G3" s="108" t="str">
        <f t="shared" si="1"/>
        <v>GSM</v>
      </c>
      <c r="H3" s="108" t="str">
        <f t="shared" si="1"/>
        <v>Final Qty</v>
      </c>
      <c r="I3" s="108" t="str">
        <f t="shared" si="1"/>
        <v>Sheet Qty</v>
      </c>
      <c r="J3" s="108" t="str">
        <f t="shared" si="1"/>
        <v>SBS</v>
      </c>
      <c r="K3" s="108" t="str">
        <f t="shared" si="1"/>
        <v>WhiteBack</v>
      </c>
      <c r="L3" s="108" t="str">
        <f t="shared" si="1"/>
        <v>GreyBack</v>
      </c>
      <c r="M3" s="108" t="str">
        <f t="shared" si="1"/>
        <v>Art Card</v>
      </c>
      <c r="N3" s="108" t="str">
        <f t="shared" si="1"/>
        <v>Maplitho</v>
      </c>
      <c r="O3" s="108" t="str">
        <f t="shared" si="1"/>
        <v>Other Type</v>
      </c>
      <c r="P3" s="108" t="str">
        <f t="shared" si="1"/>
        <v/>
      </c>
      <c r="Q3" s="108" t="str">
        <f t="shared" si="1"/>
        <v/>
      </c>
      <c r="R3" s="108" t="str">
        <f t="shared" si="1"/>
        <v/>
      </c>
      <c r="S3" s="108" t="str">
        <f t="shared" si="1"/>
        <v/>
      </c>
      <c r="T3" s="193" t="s">
        <v>31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17" t="s">
        <v>37</v>
      </c>
      <c r="AF3" s="114" t="s">
        <v>36</v>
      </c>
      <c r="AG3" s="108" t="str">
        <f t="shared" ref="AG3:AN3" si="2">AG1</f>
        <v/>
      </c>
      <c r="AH3" s="108" t="str">
        <f t="shared" si="2"/>
        <v>Lamination Thermal</v>
      </c>
      <c r="AI3" s="108" t="str">
        <f t="shared" si="2"/>
        <v>Lamination Normal Gloss</v>
      </c>
      <c r="AJ3" s="129" t="str">
        <f t="shared" si="2"/>
        <v>Lamination Normal Matt</v>
      </c>
      <c r="AK3" s="108" t="str">
        <f t="shared" si="2"/>
        <v>Varnish</v>
      </c>
      <c r="AL3" s="108" t="str">
        <f t="shared" si="2"/>
        <v>UV Hybrid</v>
      </c>
      <c r="AM3" s="108" t="str">
        <f t="shared" si="2"/>
        <v>Spot UV</v>
      </c>
      <c r="AN3" s="108" t="str">
        <f t="shared" si="2"/>
        <v>Plain</v>
      </c>
      <c r="AO3" s="117" t="s">
        <v>42</v>
      </c>
      <c r="AP3" s="111" t="s">
        <v>43</v>
      </c>
      <c r="AQ3" s="111" t="s">
        <v>44</v>
      </c>
      <c r="AR3" s="117" t="s">
        <v>92</v>
      </c>
      <c r="AS3" s="117" t="s">
        <v>94</v>
      </c>
      <c r="AT3" s="117" t="s">
        <v>47</v>
      </c>
      <c r="AU3" s="24" t="s">
        <v>48</v>
      </c>
      <c r="AV3" s="24" t="s">
        <v>49</v>
      </c>
      <c r="AW3" s="24" t="s">
        <v>50</v>
      </c>
      <c r="AX3" s="116" t="s">
        <v>74</v>
      </c>
      <c r="AY3" s="118" t="s">
        <v>51</v>
      </c>
      <c r="AZ3" s="119" t="s">
        <v>52</v>
      </c>
      <c r="BA3" s="119" t="s">
        <v>53</v>
      </c>
      <c r="BB3" s="73"/>
      <c r="BC3" s="73"/>
      <c r="BD3" s="73"/>
      <c r="BE3" s="134" t="str">
        <f>IF(BE1="","","and A = '"&amp;BE1&amp;"'")</f>
        <v>and A = 'Offset'</v>
      </c>
      <c r="BF3" s="134" t="str">
        <f>IF(BF1="","","and B = '"&amp;BF1&amp;"'")</f>
        <v>and B = 'Packaging'</v>
      </c>
      <c r="BG3" s="134" t="str">
        <f>IF(BF1="","","and M = '"&amp;BF1&amp;"'")</f>
        <v>and M = 'Packaging'</v>
      </c>
      <c r="BH3" s="134" t="str">
        <f>IF(BF1="","","and BF = '"&amp;BF1&amp;"'")</f>
        <v>and BF = 'Packaging'</v>
      </c>
      <c r="BI3" s="134" t="str">
        <f>IF(BG1="","","and AY = '"&amp;BG1&amp;"'")</f>
        <v>and AY = 'Custom Paper'</v>
      </c>
      <c r="BJ3" s="134" t="str">
        <f>IF(BH1="","","and BC = '"&amp;BH1&amp;"'")</f>
        <v>and BC = 'Varnish'</v>
      </c>
      <c r="BK3" s="134" t="str">
        <f>IF(BI1="","","and AW = '"&amp;BI1&amp;"'")</f>
        <v>and AW = 'Carry Bag Single Pasting'</v>
      </c>
      <c r="BL3" s="134" t="str">
        <f>IF(BJ1="","","and AU = '"&amp;BJ1&amp;"'")</f>
        <v>and AU = 'Plain'</v>
      </c>
      <c r="BM3" s="134" t="str">
        <f>IF(BK1="","","and BC = '"&amp;BK1&amp;"'")</f>
        <v>and BC = 'Plain'</v>
      </c>
      <c r="BN3" s="134" t="str">
        <f>IF(BL1="","","and BA = '"&amp;BL1&amp;"'")</f>
        <v>and BA = 'New Job'</v>
      </c>
      <c r="BO3" s="128" t="str">
        <f>IF(BO1="","","and AW = '"&amp;BO1&amp;"'")</f>
        <v>and AW = 'Custom Paper'</v>
      </c>
      <c r="BP3" s="121"/>
      <c r="BQ3" s="121"/>
      <c r="BR3" s="121"/>
      <c r="BS3" s="120" t="str">
        <f>CONCATENATE("select * where 1=1",BS2)</f>
        <v>select * where 1=1and BS = 'Custom Paper'</v>
      </c>
      <c r="BT3" s="121"/>
      <c r="BU3" s="121"/>
      <c r="BV3" s="121"/>
      <c r="BW3" s="121"/>
      <c r="BX3" s="121"/>
      <c r="BY3" s="121"/>
      <c r="BZ3" s="120" t="str">
        <f>CONCATENATE("select * where 1=1",BZ2)</f>
        <v>select * where 1=1and BX = 'Custom'</v>
      </c>
      <c r="CA3" s="121"/>
      <c r="CB3" s="121"/>
      <c r="CC3" s="121"/>
      <c r="CD3" s="120" t="str">
        <f>CONCATENATE("select * where 1=1",CD2)</f>
        <v>select * where 1=1and CD = 'GSM'</v>
      </c>
      <c r="CE3" s="121"/>
      <c r="CF3" s="121"/>
      <c r="CG3" s="121"/>
      <c r="CH3" s="121"/>
    </row>
    <row r="4">
      <c r="A4" s="80" t="str">
        <f>Main!A7</f>
        <v>#N/A</v>
      </c>
      <c r="B4" s="80" t="str">
        <f>Main!B7</f>
        <v/>
      </c>
      <c r="C4" s="80" t="str">
        <f>Main!C7</f>
        <v/>
      </c>
      <c r="D4" s="80" t="str">
        <f>Main!D7</f>
        <v/>
      </c>
      <c r="E4" s="124">
        <f>Main!E7</f>
        <v>2</v>
      </c>
      <c r="F4" s="80">
        <f>Main!F7</f>
        <v>2029</v>
      </c>
      <c r="G4" s="80" t="str">
        <f>G2</f>
        <v>Custom</v>
      </c>
      <c r="H4" s="80">
        <f>Quotation!E31</f>
        <v>35000</v>
      </c>
      <c r="I4" s="80">
        <f>Main!L7</f>
        <v>17580</v>
      </c>
      <c r="J4" s="125">
        <f>Main!AG7</f>
        <v>2.384057143</v>
      </c>
      <c r="K4" s="125">
        <f>J4</f>
        <v>2.384057143</v>
      </c>
      <c r="L4" s="131">
        <f>J4</f>
        <v>2.384057143</v>
      </c>
      <c r="M4" s="131">
        <f>J4</f>
        <v>2.384057143</v>
      </c>
      <c r="N4" s="131">
        <f>J4</f>
        <v>2.384057143</v>
      </c>
      <c r="O4" s="125">
        <f>Main!AL7</f>
        <v>38.63148571</v>
      </c>
      <c r="P4" s="109" t="str">
        <f>Main!AN7</f>
        <v/>
      </c>
      <c r="Q4" s="125" t="str">
        <f>Main!AO7</f>
        <v/>
      </c>
      <c r="R4" s="125" t="str">
        <f>Main!AP7</f>
        <v/>
      </c>
      <c r="S4" s="125" t="str">
        <f>Main!AQ7</f>
        <v/>
      </c>
      <c r="T4" s="125">
        <f>Main!AM7</f>
        <v>2.384057143</v>
      </c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25">
        <f>Main!BB7</f>
        <v>3.061385714</v>
      </c>
      <c r="AF4" s="125">
        <f>Main!BA7</f>
        <v>0.5750714286</v>
      </c>
      <c r="AG4" s="125" t="str">
        <f>Main!AR7</f>
        <v/>
      </c>
      <c r="AH4" s="125">
        <f>Main!AW7</f>
        <v>1.808228571</v>
      </c>
      <c r="AI4" s="125">
        <f>Main!AX7</f>
        <v>0.7458942857</v>
      </c>
      <c r="AJ4" s="126">
        <f>Main!AY7</f>
        <v>0.9945257143</v>
      </c>
      <c r="AK4" s="125">
        <f>Main!AZ7</f>
        <v>0.31644</v>
      </c>
      <c r="AL4" s="125">
        <f>Main!BC7</f>
        <v>1.027128571</v>
      </c>
      <c r="AM4" s="125">
        <f>Main!BD7</f>
        <v>2.405902857</v>
      </c>
      <c r="AN4" s="76">
        <v>0.0</v>
      </c>
      <c r="AO4" s="47">
        <f>Main!BI7</f>
        <v>2.833889566</v>
      </c>
      <c r="AP4" s="61" t="str">
        <f>Main!BJ7</f>
        <v>#VALUE!</v>
      </c>
      <c r="AQ4" s="61" t="str">
        <f>Main!BK7</f>
        <v>#VALUE!</v>
      </c>
      <c r="AR4" s="47">
        <f>Main!BL7</f>
        <v>0.1585324232</v>
      </c>
      <c r="AS4" s="47">
        <f>Main!BM7</f>
        <v>0.1599609946</v>
      </c>
      <c r="AT4" s="47">
        <f>Main!BN7</f>
        <v>0.1613895661</v>
      </c>
      <c r="AU4" s="47">
        <f>Main!BO7</f>
        <v>0.008532423208</v>
      </c>
      <c r="AV4" s="47">
        <f>Main!BP7</f>
        <v>0.1200227531</v>
      </c>
      <c r="AW4" s="47">
        <f>Main!BQ7</f>
        <v>0.008532423208</v>
      </c>
      <c r="AX4" s="86">
        <v>0.0</v>
      </c>
      <c r="AY4" s="130" t="str">
        <f>Main!BR7</f>
        <v>#VALUE!</v>
      </c>
      <c r="AZ4" s="77">
        <f>Main!BS7</f>
        <v>5</v>
      </c>
      <c r="BA4" s="77">
        <f>Main!BT7</f>
        <v>6</v>
      </c>
      <c r="BB4" s="73"/>
      <c r="BC4" s="73"/>
      <c r="BD4" s="73"/>
      <c r="BE4" s="134" t="str">
        <f t="shared" ref="BE4:BO4" si="3">CONCATENATE("select * where 1=1",BE3)</f>
        <v>select * where 1=1and A = 'Offset'</v>
      </c>
      <c r="BF4" s="134" t="str">
        <f t="shared" si="3"/>
        <v>select * where 1=1and B = 'Packaging'</v>
      </c>
      <c r="BG4" s="134" t="str">
        <f t="shared" si="3"/>
        <v>select * where 1=1and M = 'Packaging'</v>
      </c>
      <c r="BH4" s="134" t="str">
        <f t="shared" si="3"/>
        <v>select * where 1=1and BF = 'Packaging'</v>
      </c>
      <c r="BI4" s="134" t="str">
        <f t="shared" si="3"/>
        <v>select * where 1=1and AY = 'Custom Paper'</v>
      </c>
      <c r="BJ4" s="134" t="str">
        <f t="shared" si="3"/>
        <v>select * where 1=1and BC = 'Varnish'</v>
      </c>
      <c r="BK4" s="134" t="str">
        <f t="shared" si="3"/>
        <v>select * where 1=1and AW = 'Carry Bag Single Pasting'</v>
      </c>
      <c r="BL4" s="134" t="str">
        <f t="shared" si="3"/>
        <v>select * where 1=1and AU = 'Plain'</v>
      </c>
      <c r="BM4" s="134" t="str">
        <f t="shared" si="3"/>
        <v>select * where 1=1and BC = 'Plain'</v>
      </c>
      <c r="BN4" s="134" t="str">
        <f t="shared" si="3"/>
        <v>select * where 1=1and BA = 'New Job'</v>
      </c>
      <c r="BO4" s="133" t="str">
        <f t="shared" si="3"/>
        <v>select * where 1=1and AW = 'Custom Paper'</v>
      </c>
      <c r="BP4" s="134"/>
      <c r="BQ4" s="134"/>
      <c r="BR4" s="134"/>
      <c r="BS4" s="134"/>
      <c r="BT4" s="134"/>
      <c r="BU4" s="134"/>
      <c r="BV4" s="134"/>
      <c r="BW4" s="73"/>
      <c r="BX4" s="134" t="s">
        <v>71</v>
      </c>
      <c r="BY4" s="134" t="s">
        <v>71</v>
      </c>
      <c r="BZ4" s="134"/>
      <c r="CA4" s="134"/>
      <c r="CB4" s="134"/>
      <c r="CC4" s="134"/>
      <c r="CD4" s="88" t="s">
        <v>9</v>
      </c>
      <c r="CE4" s="135" t="str">
        <f>Quotation!D32</f>
        <v>170</v>
      </c>
      <c r="CF4" s="134"/>
      <c r="CG4" s="134"/>
      <c r="CH4" s="134"/>
    </row>
    <row r="5">
      <c r="A5" s="108" t="str">
        <f t="shared" ref="A5:S5" si="4">A1</f>
        <v>Product Code</v>
      </c>
      <c r="B5" s="108" t="str">
        <f t="shared" si="4"/>
        <v>Category</v>
      </c>
      <c r="C5" s="108" t="str">
        <f t="shared" si="4"/>
        <v>Sub Category</v>
      </c>
      <c r="D5" s="108" t="str">
        <f t="shared" si="4"/>
        <v>Specifications</v>
      </c>
      <c r="E5" s="108" t="str">
        <f t="shared" si="4"/>
        <v>No.  of Ups</v>
      </c>
      <c r="F5" s="108" t="str">
        <f t="shared" si="4"/>
        <v>Machine</v>
      </c>
      <c r="G5" s="108" t="str">
        <f t="shared" si="4"/>
        <v>GSM</v>
      </c>
      <c r="H5" s="108" t="str">
        <f t="shared" si="4"/>
        <v>Final Qty</v>
      </c>
      <c r="I5" s="108" t="str">
        <f t="shared" si="4"/>
        <v>Sheet Qty</v>
      </c>
      <c r="J5" s="108" t="str">
        <f t="shared" si="4"/>
        <v>SBS</v>
      </c>
      <c r="K5" s="108" t="str">
        <f t="shared" si="4"/>
        <v>WhiteBack</v>
      </c>
      <c r="L5" s="108" t="str">
        <f t="shared" si="4"/>
        <v>GreyBack</v>
      </c>
      <c r="M5" s="108" t="str">
        <f t="shared" si="4"/>
        <v>Art Card</v>
      </c>
      <c r="N5" s="108" t="str">
        <f t="shared" si="4"/>
        <v>Maplitho</v>
      </c>
      <c r="O5" s="108" t="str">
        <f t="shared" si="4"/>
        <v>Other Type</v>
      </c>
      <c r="P5" s="108" t="str">
        <f t="shared" si="4"/>
        <v/>
      </c>
      <c r="Q5" s="108" t="str">
        <f t="shared" si="4"/>
        <v/>
      </c>
      <c r="R5" s="108" t="str">
        <f t="shared" si="4"/>
        <v/>
      </c>
      <c r="S5" s="108" t="str">
        <f t="shared" si="4"/>
        <v/>
      </c>
      <c r="T5" s="193" t="s">
        <v>31</v>
      </c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17" t="s">
        <v>37</v>
      </c>
      <c r="AF5" s="114" t="s">
        <v>36</v>
      </c>
      <c r="AG5" s="108" t="str">
        <f t="shared" ref="AG5:AN5" si="5">AG1</f>
        <v/>
      </c>
      <c r="AH5" s="108" t="str">
        <f t="shared" si="5"/>
        <v>Lamination Thermal</v>
      </c>
      <c r="AI5" s="108" t="str">
        <f t="shared" si="5"/>
        <v>Lamination Normal Gloss</v>
      </c>
      <c r="AJ5" s="129" t="str">
        <f t="shared" si="5"/>
        <v>Lamination Normal Matt</v>
      </c>
      <c r="AK5" s="108" t="str">
        <f t="shared" si="5"/>
        <v>Varnish</v>
      </c>
      <c r="AL5" s="108" t="str">
        <f t="shared" si="5"/>
        <v>UV Hybrid</v>
      </c>
      <c r="AM5" s="108" t="str">
        <f t="shared" si="5"/>
        <v>Spot UV</v>
      </c>
      <c r="AN5" s="108" t="str">
        <f t="shared" si="5"/>
        <v>Plain</v>
      </c>
      <c r="AO5" s="117" t="s">
        <v>42</v>
      </c>
      <c r="AP5" s="111" t="s">
        <v>43</v>
      </c>
      <c r="AQ5" s="111" t="s">
        <v>44</v>
      </c>
      <c r="AR5" s="117" t="s">
        <v>92</v>
      </c>
      <c r="AS5" s="117" t="s">
        <v>94</v>
      </c>
      <c r="AT5" s="117" t="s">
        <v>47</v>
      </c>
      <c r="AU5" s="24" t="s">
        <v>48</v>
      </c>
      <c r="AV5" s="24" t="s">
        <v>49</v>
      </c>
      <c r="AW5" s="24" t="s">
        <v>50</v>
      </c>
      <c r="AX5" s="116" t="s">
        <v>74</v>
      </c>
      <c r="AY5" s="118" t="s">
        <v>51</v>
      </c>
      <c r="AZ5" s="119" t="s">
        <v>52</v>
      </c>
      <c r="BA5" s="119" t="s">
        <v>53</v>
      </c>
      <c r="BB5" s="73"/>
      <c r="BC5" s="73"/>
      <c r="BD5" s="118" t="s">
        <v>176</v>
      </c>
      <c r="BE5" s="80"/>
      <c r="BF5" s="118"/>
      <c r="BG5" s="118"/>
      <c r="BH5" s="118"/>
      <c r="BI5" s="88"/>
      <c r="BJ5" s="80" t="s">
        <v>74</v>
      </c>
      <c r="BK5" s="122"/>
      <c r="BL5" s="121"/>
      <c r="BM5" s="121"/>
      <c r="BN5" s="80"/>
      <c r="BO5" s="54"/>
      <c r="BP5" s="54" t="s">
        <v>74</v>
      </c>
      <c r="BQ5" s="54" t="s">
        <v>71</v>
      </c>
      <c r="BR5" s="121"/>
      <c r="BS5" s="73" t="s">
        <v>14</v>
      </c>
      <c r="BT5" s="134" t="s">
        <v>177</v>
      </c>
      <c r="BU5" s="73" t="s">
        <v>178</v>
      </c>
      <c r="BV5" s="136">
        <f>Price!$P$2</f>
        <v>85</v>
      </c>
      <c r="BW5" s="137" t="str">
        <f>IFERROR(__xludf.DUMMYFUNCTION("QUERY(BS5:BV60,BS3)"),"Custom Paper")</f>
        <v>Custom Paper</v>
      </c>
      <c r="BX5" s="121" t="str">
        <f>IFERROR(__xludf.DUMMYFUNCTION("""COMPUTED_VALUE"""),"Custom")</f>
        <v>Custom</v>
      </c>
      <c r="BY5" s="121"/>
      <c r="BZ5" s="138">
        <f>IFERROR(__xludf.DUMMYFUNCTION("""COMPUTED_VALUE"""),75.0)</f>
        <v>75</v>
      </c>
      <c r="CA5" s="137" t="str">
        <f>IFERROR(__xludf.DUMMYFUNCTION("(QUERY(BX5:BZ42,BZ3))"),"Custom")</f>
        <v>Custom</v>
      </c>
      <c r="CB5" s="121"/>
      <c r="CC5" s="138">
        <f>IFERROR(__xludf.DUMMYFUNCTION("""COMPUTED_VALUE"""),75.0)</f>
        <v>75</v>
      </c>
      <c r="CD5" s="121" t="str">
        <f t="shared" ref="CD5:CD42" si="6">BY5</f>
        <v/>
      </c>
      <c r="CE5" s="121" t="str">
        <f t="shared" ref="CE5:CE40" si="7">CD5</f>
        <v/>
      </c>
      <c r="CF5" s="120" t="str">
        <f>IFERROR(__xludf.DUMMYFUNCTION("QUERY(CD4:CE42,CD3)"),"GSM")</f>
        <v>GSM</v>
      </c>
      <c r="CG5" s="120" t="str">
        <f>IFERROR(__xludf.DUMMYFUNCTION("""COMPUTED_VALUE"""),"170")</f>
        <v>170</v>
      </c>
      <c r="CH5" s="120"/>
    </row>
    <row r="6">
      <c r="A6" s="80" t="str">
        <f>Main!A8</f>
        <v>#N/A</v>
      </c>
      <c r="B6" s="80" t="str">
        <f>Main!B8</f>
        <v/>
      </c>
      <c r="C6" s="80" t="str">
        <f>Main!C8</f>
        <v/>
      </c>
      <c r="D6" s="80" t="str">
        <f>Main!D8</f>
        <v/>
      </c>
      <c r="E6" s="124">
        <f>Main!E8</f>
        <v>2</v>
      </c>
      <c r="F6" s="80">
        <f>Main!F8</f>
        <v>2029</v>
      </c>
      <c r="G6" s="80" t="str">
        <f>G2</f>
        <v>Custom</v>
      </c>
      <c r="H6" s="80" t="str">
        <f>Quotation!E32</f>
        <v/>
      </c>
      <c r="I6" s="80">
        <f>Main!L8</f>
        <v>80</v>
      </c>
      <c r="J6" s="125" t="str">
        <f>Main!AG8</f>
        <v>#DIV/0!</v>
      </c>
      <c r="K6" s="125" t="str">
        <f>J6</f>
        <v>#DIV/0!</v>
      </c>
      <c r="L6" s="131" t="str">
        <f>J6</f>
        <v>#DIV/0!</v>
      </c>
      <c r="M6" s="131" t="str">
        <f>J6</f>
        <v>#DIV/0!</v>
      </c>
      <c r="N6" s="131" t="str">
        <f>J6</f>
        <v>#DIV/0!</v>
      </c>
      <c r="O6" s="125" t="str">
        <f>Main!AL8</f>
        <v>#DIV/0!</v>
      </c>
      <c r="P6" s="109" t="str">
        <f>Main!AN8</f>
        <v/>
      </c>
      <c r="Q6" s="125" t="str">
        <f>Main!AO8</f>
        <v/>
      </c>
      <c r="R6" s="125" t="str">
        <f>Main!AP8</f>
        <v/>
      </c>
      <c r="S6" s="125" t="str">
        <f>Main!AQ8</f>
        <v/>
      </c>
      <c r="T6" s="125" t="str">
        <f>Main!AM8</f>
        <v>#DIV/0!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25" t="str">
        <f>Main!BB8</f>
        <v>#DIV/0!</v>
      </c>
      <c r="AF6" s="125" t="str">
        <f>Main!BA8</f>
        <v>#DIV/0!</v>
      </c>
      <c r="AG6" s="125" t="str">
        <f>Main!AR8</f>
        <v/>
      </c>
      <c r="AH6" s="125" t="str">
        <f>Main!AW8</f>
        <v>#DIV/0!</v>
      </c>
      <c r="AI6" s="125" t="str">
        <f>Main!AX8</f>
        <v>#DIV/0!</v>
      </c>
      <c r="AJ6" s="126" t="str">
        <f>Main!AY8</f>
        <v>#DIV/0!</v>
      </c>
      <c r="AK6" s="125" t="str">
        <f>Main!AZ8</f>
        <v>#DIV/0!</v>
      </c>
      <c r="AL6" s="125" t="str">
        <f>Main!BC8</f>
        <v>#DIV/0!</v>
      </c>
      <c r="AM6" s="125" t="str">
        <f>Main!BD8</f>
        <v>#DIV/0!</v>
      </c>
      <c r="AN6" s="76">
        <v>0.0</v>
      </c>
      <c r="AO6" s="47" t="str">
        <f>Main!BI8</f>
        <v>#DIV/0!</v>
      </c>
      <c r="AP6" s="61" t="str">
        <f>Main!BJ8</f>
        <v>#VALUE!</v>
      </c>
      <c r="AQ6" s="61" t="str">
        <f>Main!BK8</f>
        <v>#VALUE!</v>
      </c>
      <c r="AR6" s="47" t="str">
        <f>Main!BL8</f>
        <v>#N/A</v>
      </c>
      <c r="AS6" s="47" t="str">
        <f>Main!BM8</f>
        <v>#DIV/0!</v>
      </c>
      <c r="AT6" s="47" t="str">
        <f>Main!BN8</f>
        <v>#DIV/0!</v>
      </c>
      <c r="AU6" s="47">
        <f>Main!BO8</f>
        <v>1.875</v>
      </c>
      <c r="AV6" s="47">
        <f>Main!BP8</f>
        <v>1.875</v>
      </c>
      <c r="AW6" s="47">
        <f>Main!BQ8</f>
        <v>1.875</v>
      </c>
      <c r="AX6" s="86">
        <v>0.0</v>
      </c>
      <c r="AY6" s="130" t="str">
        <f>Main!BR8</f>
        <v>#VALUE!</v>
      </c>
      <c r="AZ6" s="77" t="str">
        <f>Main!BS8</f>
        <v>#DIV/0!</v>
      </c>
      <c r="BA6" s="77" t="str">
        <f>Main!BT8</f>
        <v>#DIV/0!</v>
      </c>
      <c r="BB6" s="73"/>
      <c r="BC6" s="139" t="str">
        <f>IFERROR(__xludf.DUMMYFUNCTION("UNIQUE(QUERY(Item!M1:N2457,BG4))"),"Packaging")</f>
        <v>Packaging</v>
      </c>
      <c r="BD6" s="73" t="str">
        <f>IFERROR(__xludf.DUMMYFUNCTION("""COMPUTED_VALUE"""),"Agarbatti")</f>
        <v>Agarbatti</v>
      </c>
      <c r="BE6" s="139" t="str">
        <f>IFERROR(__xludf.DUMMYFUNCTION("UNIQUE(QUERY(Item!A2:B2457,BE4))"),"Offset")</f>
        <v>Offset</v>
      </c>
      <c r="BF6" s="88" t="str">
        <f>IFERROR(__xludf.DUMMYFUNCTION("""COMPUTED_VALUE"""),"Packaging")</f>
        <v>Packaging</v>
      </c>
      <c r="BG6" s="113" t="str">
        <f>IFERROR(__xludf.DUMMYFUNCTION("UNIQUE(QUERY(Item!A2:L2457,BF4))"),"Offset")</f>
        <v>Offset</v>
      </c>
      <c r="BH6" s="113" t="str">
        <f>IFERROR(__xludf.DUMMYFUNCTION("""COMPUTED_VALUE"""),"Packaging")</f>
        <v>Packaging</v>
      </c>
      <c r="BI6" s="73" t="str">
        <f>IFERROR(__xludf.DUMMYFUNCTION("""COMPUTED_VALUE"""),"SBS")</f>
        <v>SBS</v>
      </c>
      <c r="BJ6" s="73" t="str">
        <f>IFERROR(__xludf.DUMMYFUNCTION("""COMPUTED_VALUE"""),"Carry Bag Single Pasting")</f>
        <v>Carry Bag Single Pasting</v>
      </c>
      <c r="BK6" s="80" t="str">
        <f>IFERROR(__xludf.DUMMYFUNCTION("""COMPUTED_VALUE"""),"Lamination Thermal")</f>
        <v>Lamination Thermal</v>
      </c>
      <c r="BL6" s="80" t="str">
        <f>IFERROR(__xludf.DUMMYFUNCTION("""COMPUTED_VALUE"""),"Single Colour")</f>
        <v>Single Colour</v>
      </c>
      <c r="BM6" s="107">
        <f>IFERROR(__xludf.DUMMYFUNCTION("""COMPUTED_VALUE"""),1.0)</f>
        <v>1</v>
      </c>
      <c r="BN6" s="80">
        <f>IFERROR(__xludf.DUMMYFUNCTION("""COMPUTED_VALUE"""),1926.0)</f>
        <v>1926</v>
      </c>
      <c r="BO6" s="80" t="str">
        <f>IFERROR(__xludf.DUMMYFUNCTION("""COMPUTED_VALUE"""),"New Job")</f>
        <v>New Job</v>
      </c>
      <c r="BP6" s="80" t="str">
        <f>IFERROR(__xludf.DUMMYFUNCTION("""COMPUTED_VALUE"""),"Leafing")</f>
        <v>Leafing</v>
      </c>
      <c r="BQ6" s="80" t="str">
        <f>IFERROR(__xludf.DUMMYFUNCTION("""COMPUTED_VALUE"""),"Yes")</f>
        <v>Yes</v>
      </c>
      <c r="BR6" s="80" t="str">
        <f>IFERROR(__xludf.DUMMYFUNCTION("""COMPUTED_VALUE"""),"Normal")</f>
        <v>Normal</v>
      </c>
      <c r="BS6" s="73" t="s">
        <v>14</v>
      </c>
      <c r="BT6" s="88" t="s">
        <v>179</v>
      </c>
      <c r="BU6" s="73" t="s">
        <v>180</v>
      </c>
      <c r="BV6" s="77">
        <f>Price!$P$3</f>
        <v>80</v>
      </c>
      <c r="BW6" s="73"/>
      <c r="BX6" s="80"/>
      <c r="BY6" s="80"/>
      <c r="BZ6" s="107"/>
      <c r="CA6" s="80"/>
      <c r="CB6" s="80"/>
      <c r="CC6" s="107"/>
      <c r="CD6" s="80" t="str">
        <f t="shared" si="6"/>
        <v/>
      </c>
      <c r="CE6" s="80" t="str">
        <f t="shared" si="7"/>
        <v/>
      </c>
      <c r="CF6" s="80"/>
      <c r="CG6" s="80"/>
      <c r="CH6" s="80"/>
    </row>
    <row r="7">
      <c r="A7" s="73" t="s">
        <v>181</v>
      </c>
      <c r="B7" s="73" t="str">
        <f>Quotation!A29</f>
        <v>Offset</v>
      </c>
      <c r="C7" s="80"/>
      <c r="D7" s="73"/>
      <c r="E7" s="140"/>
      <c r="F7" s="128" t="str">
        <f>IF(B8="","","and Q = '"&amp;B8&amp;"'")</f>
        <v>and Q = 'Packaging'</v>
      </c>
      <c r="G7" s="80"/>
      <c r="H7" s="73"/>
      <c r="I7" s="73"/>
      <c r="J7" s="73"/>
      <c r="K7" s="73"/>
      <c r="L7" s="73"/>
      <c r="M7" s="73"/>
      <c r="N7" s="73"/>
      <c r="O7" s="73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15"/>
      <c r="AK7" s="80"/>
      <c r="AL7" s="80"/>
      <c r="AM7" s="73"/>
      <c r="AN7" s="73"/>
      <c r="AO7" s="73"/>
      <c r="AP7" s="73"/>
      <c r="AQ7" s="73"/>
      <c r="AR7" s="73"/>
      <c r="AS7" s="73"/>
      <c r="AT7" s="73"/>
      <c r="AU7" s="73"/>
      <c r="AV7" s="194" t="str">
        <f>Main!BP9</f>
        <v/>
      </c>
      <c r="AW7" s="73"/>
      <c r="AX7" s="73"/>
      <c r="AY7" s="73"/>
      <c r="AZ7" s="73"/>
      <c r="BA7" s="73"/>
      <c r="BB7" s="73"/>
      <c r="BC7" s="73" t="str">
        <f>IFERROR(__xludf.DUMMYFUNCTION("""COMPUTED_VALUE"""),"Packaging")</f>
        <v>Packaging</v>
      </c>
      <c r="BD7" s="73" t="str">
        <f>IFERROR(__xludf.DUMMYFUNCTION("""COMPUTED_VALUE"""),"Apparel")</f>
        <v>Apparel</v>
      </c>
      <c r="BE7" s="80" t="str">
        <f>IFERROR(__xludf.DUMMYFUNCTION("""COMPUTED_VALUE"""),"Offset")</f>
        <v>Offset</v>
      </c>
      <c r="BF7" s="88" t="str">
        <f>IFERROR(__xludf.DUMMYFUNCTION("""COMPUTED_VALUE"""),"Commercial")</f>
        <v>Commercial</v>
      </c>
      <c r="BG7" s="113" t="str">
        <f>IFERROR(__xludf.DUMMYFUNCTION("""COMPUTED_VALUE"""),"Offset")</f>
        <v>Offset</v>
      </c>
      <c r="BH7" s="113" t="str">
        <f>IFERROR(__xludf.DUMMYFUNCTION("""COMPUTED_VALUE"""),"Packaging")</f>
        <v>Packaging</v>
      </c>
      <c r="BI7" s="73" t="str">
        <f>IFERROR(__xludf.DUMMYFUNCTION("""COMPUTED_VALUE"""),"WhiteBack")</f>
        <v>WhiteBack</v>
      </c>
      <c r="BJ7" s="73" t="str">
        <f>IFERROR(__xludf.DUMMYFUNCTION("""COMPUTED_VALUE"""),"Carry Bag Double Pasting")</f>
        <v>Carry Bag Double Pasting</v>
      </c>
      <c r="BK7" s="80" t="str">
        <f>IFERROR(__xludf.DUMMYFUNCTION("""COMPUTED_VALUE"""),"Lamination Normal Gloss")</f>
        <v>Lamination Normal Gloss</v>
      </c>
      <c r="BL7" s="80" t="str">
        <f>IFERROR(__xludf.DUMMYFUNCTION("""COMPUTED_VALUE"""),"Double Colour")</f>
        <v>Double Colour</v>
      </c>
      <c r="BM7" s="107">
        <f>IFERROR(__xludf.DUMMYFUNCTION("""COMPUTED_VALUE"""),2.0)</f>
        <v>2</v>
      </c>
      <c r="BN7" s="80">
        <f>IFERROR(__xludf.DUMMYFUNCTION("""COMPUTED_VALUE"""),2029.0)</f>
        <v>2029</v>
      </c>
      <c r="BO7" s="80" t="str">
        <f>IFERROR(__xludf.DUMMYFUNCTION("""COMPUTED_VALUE"""),"Repeat Job")</f>
        <v>Repeat Job</v>
      </c>
      <c r="BP7" s="80" t="str">
        <f>IFERROR(__xludf.DUMMYFUNCTION("""COMPUTED_VALUE"""),"Leafing")</f>
        <v>Leafing</v>
      </c>
      <c r="BQ7" s="80" t="str">
        <f>IFERROR(__xludf.DUMMYFUNCTION("""COMPUTED_VALUE"""),"N/A")</f>
        <v>N/A</v>
      </c>
      <c r="BR7" s="80" t="str">
        <f>IFERROR(__xludf.DUMMYFUNCTION("""COMPUTED_VALUE"""),"Normal")</f>
        <v>Normal</v>
      </c>
      <c r="BS7" s="73" t="s">
        <v>14</v>
      </c>
      <c r="BT7" s="88" t="s">
        <v>68</v>
      </c>
      <c r="BU7" s="88" t="s">
        <v>182</v>
      </c>
      <c r="BV7" s="77">
        <f>Price!$P$4</f>
        <v>82</v>
      </c>
      <c r="BW7" s="73"/>
      <c r="BX7" s="80"/>
      <c r="BY7" s="80"/>
      <c r="BZ7" s="107"/>
      <c r="CA7" s="80"/>
      <c r="CB7" s="80"/>
      <c r="CC7" s="107"/>
      <c r="CD7" s="80" t="str">
        <f t="shared" si="6"/>
        <v/>
      </c>
      <c r="CE7" s="80" t="str">
        <f t="shared" si="7"/>
        <v/>
      </c>
      <c r="CF7" s="80"/>
      <c r="CG7" s="80"/>
      <c r="CH7" s="80"/>
    </row>
    <row r="8">
      <c r="A8" s="73" t="s">
        <v>183</v>
      </c>
      <c r="B8" s="73" t="str">
        <f>Quotation!B29</f>
        <v>Packaging</v>
      </c>
      <c r="C8" s="80"/>
      <c r="D8" s="73"/>
      <c r="E8" s="140"/>
      <c r="F8" s="128" t="str">
        <f>IF(B7="","","and P = '"&amp;B7&amp;"'")</f>
        <v>and P = 'Offset'</v>
      </c>
      <c r="G8" s="80"/>
      <c r="H8" s="73"/>
      <c r="I8" s="73"/>
      <c r="J8" s="73"/>
      <c r="K8" s="73"/>
      <c r="L8" s="73"/>
      <c r="M8" s="73"/>
      <c r="N8" s="73"/>
      <c r="O8" s="73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15"/>
      <c r="AK8" s="80"/>
      <c r="AL8" s="80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 t="str">
        <f>IFERROR(__xludf.DUMMYFUNCTION("""COMPUTED_VALUE"""),"Packaging")</f>
        <v>Packaging</v>
      </c>
      <c r="BD8" s="73" t="str">
        <f>IFERROR(__xludf.DUMMYFUNCTION("""COMPUTED_VALUE"""),"Artsbury")</f>
        <v>Artsbury</v>
      </c>
      <c r="BE8" s="80" t="str">
        <f>IFERROR(__xludf.DUMMYFUNCTION("""COMPUTED_VALUE"""),"Offset")</f>
        <v>Offset</v>
      </c>
      <c r="BF8" s="80" t="str">
        <f>IFERROR(__xludf.DUMMYFUNCTION("""COMPUTED_VALUE"""),"Booklet")</f>
        <v>Booklet</v>
      </c>
      <c r="BG8" s="113" t="str">
        <f>IFERROR(__xludf.DUMMYFUNCTION("""COMPUTED_VALUE"""),"Offset")</f>
        <v>Offset</v>
      </c>
      <c r="BH8" s="113" t="str">
        <f>IFERROR(__xludf.DUMMYFUNCTION("""COMPUTED_VALUE"""),"Packaging")</f>
        <v>Packaging</v>
      </c>
      <c r="BI8" s="118" t="str">
        <f>IFERROR(__xludf.DUMMYFUNCTION("""COMPUTED_VALUE"""),"GreyBack")</f>
        <v>GreyBack</v>
      </c>
      <c r="BJ8" s="73" t="str">
        <f>IFERROR(__xludf.DUMMYFUNCTION("""COMPUTED_VALUE"""),"Plain")</f>
        <v>Plain</v>
      </c>
      <c r="BK8" s="80" t="str">
        <f>IFERROR(__xludf.DUMMYFUNCTION("""COMPUTED_VALUE"""),"Lamination Normal Matt")</f>
        <v>Lamination Normal Matt</v>
      </c>
      <c r="BL8" s="80" t="str">
        <f>IFERROR(__xludf.DUMMYFUNCTION("""COMPUTED_VALUE"""),"Four Colour")</f>
        <v>Four Colour</v>
      </c>
      <c r="BM8" s="107">
        <f>IFERROR(__xludf.DUMMYFUNCTION("""COMPUTED_VALUE"""),4.0)</f>
        <v>4</v>
      </c>
      <c r="BN8" s="80">
        <f>IFERROR(__xludf.DUMMYFUNCTION("""COMPUTED_VALUE"""),2840.0)</f>
        <v>2840</v>
      </c>
      <c r="BO8" s="80" t="str">
        <f>IFERROR(__xludf.DUMMYFUNCTION("""COMPUTED_VALUE"""),"New Job")</f>
        <v>New Job</v>
      </c>
      <c r="BP8" s="80" t="str">
        <f>IFERROR(__xludf.DUMMYFUNCTION("""COMPUTED_VALUE"""),"Leafing")</f>
        <v>Leafing</v>
      </c>
      <c r="BQ8" s="80" t="str">
        <f>IFERROR(__xludf.DUMMYFUNCTION("""COMPUTED_VALUE"""),"Yes")</f>
        <v>Yes</v>
      </c>
      <c r="BR8" s="80" t="str">
        <f>IFERROR(__xludf.DUMMYFUNCTION("""COMPUTED_VALUE"""),"Normal")</f>
        <v>Normal</v>
      </c>
      <c r="BS8" s="73" t="s">
        <v>14</v>
      </c>
      <c r="BT8" s="88" t="s">
        <v>184</v>
      </c>
      <c r="BU8" s="73" t="s">
        <v>185</v>
      </c>
      <c r="BV8" s="77">
        <f>Quotation!$C$29</f>
        <v>75</v>
      </c>
      <c r="BW8" s="73"/>
      <c r="BX8" s="80"/>
      <c r="BY8" s="80"/>
      <c r="BZ8" s="107"/>
      <c r="CA8" s="80"/>
      <c r="CB8" s="80"/>
      <c r="CC8" s="107"/>
      <c r="CD8" s="80" t="str">
        <f t="shared" si="6"/>
        <v/>
      </c>
      <c r="CE8" s="80" t="str">
        <f t="shared" si="7"/>
        <v/>
      </c>
      <c r="CF8" s="80"/>
      <c r="CG8" s="80"/>
      <c r="CH8" s="80"/>
    </row>
    <row r="9">
      <c r="A9" s="141" t="s">
        <v>186</v>
      </c>
      <c r="B9" s="73" t="str">
        <f>Quotation!A30</f>
        <v>Food</v>
      </c>
      <c r="C9" s="73"/>
      <c r="D9" s="139" t="str">
        <f>IF(B12="All","","and B = '"&amp;B12&amp;"'")</f>
        <v>and B = ''</v>
      </c>
      <c r="E9" s="140"/>
      <c r="F9" s="73" t="str">
        <f>IF(B9="All","","and B = '"&amp;B9&amp;"'")</f>
        <v>and B = 'Food'</v>
      </c>
      <c r="G9" s="80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 t="str">
        <f>IFERROR(__xludf.DUMMYFUNCTION("""COMPUTED_VALUE"""),"Packaging")</f>
        <v>Packaging</v>
      </c>
      <c r="BD9" s="73" t="str">
        <f>IFERROR(__xludf.DUMMYFUNCTION("""COMPUTED_VALUE"""),"Aryan")</f>
        <v>Aryan</v>
      </c>
      <c r="BE9" s="80"/>
      <c r="BF9" s="80"/>
      <c r="BG9" s="113" t="str">
        <f>IFERROR(__xludf.DUMMYFUNCTION("""COMPUTED_VALUE"""),"Offset")</f>
        <v>Offset</v>
      </c>
      <c r="BH9" s="113" t="str">
        <f>IFERROR(__xludf.DUMMYFUNCTION("""COMPUTED_VALUE"""),"Packaging")</f>
        <v>Packaging</v>
      </c>
      <c r="BI9" s="118" t="str">
        <f>IFERROR(__xludf.DUMMYFUNCTION("""COMPUTED_VALUE"""),"Duplex")</f>
        <v>Duplex</v>
      </c>
      <c r="BJ9" s="73" t="str">
        <f>IFERROR(__xludf.DUMMYFUNCTION("""COMPUTED_VALUE"""),"Plain")</f>
        <v>Plain</v>
      </c>
      <c r="BK9" s="80" t="str">
        <f>IFERROR(__xludf.DUMMYFUNCTION("""COMPUTED_VALUE"""),"Varnish")</f>
        <v>Varnish</v>
      </c>
      <c r="BL9" s="80" t="str">
        <f>IFERROR(__xludf.DUMMYFUNCTION("""COMPUTED_VALUE"""),"Four + One Colour")</f>
        <v>Four + One Colour</v>
      </c>
      <c r="BM9" s="107">
        <f>IFERROR(__xludf.DUMMYFUNCTION("""COMPUTED_VALUE"""),6.75)</f>
        <v>6.75</v>
      </c>
      <c r="BN9" s="80">
        <f>IFERROR(__xludf.DUMMYFUNCTION("""COMPUTED_VALUE"""),1926.0)</f>
        <v>1926</v>
      </c>
      <c r="BO9" s="80" t="str">
        <f>IFERROR(__xludf.DUMMYFUNCTION("""COMPUTED_VALUE"""),"Repeat Job")</f>
        <v>Repeat Job</v>
      </c>
      <c r="BP9" s="80" t="str">
        <f>IFERROR(__xludf.DUMMYFUNCTION("""COMPUTED_VALUE"""),"Leafing")</f>
        <v>Leafing</v>
      </c>
      <c r="BQ9" s="80" t="str">
        <f>IFERROR(__xludf.DUMMYFUNCTION("""COMPUTED_VALUE"""),"N/A")</f>
        <v>N/A</v>
      </c>
      <c r="BR9" s="80" t="str">
        <f>IFERROR(__xludf.DUMMYFUNCTION("""COMPUTED_VALUE"""),"Normal")</f>
        <v>Normal</v>
      </c>
      <c r="BS9" s="73" t="s">
        <v>14</v>
      </c>
      <c r="BT9" s="88" t="s">
        <v>184</v>
      </c>
      <c r="BU9" s="73" t="s">
        <v>187</v>
      </c>
      <c r="BV9" s="77">
        <f>$BV$8</f>
        <v>75</v>
      </c>
      <c r="BW9" s="73"/>
      <c r="BX9" s="80"/>
      <c r="BY9" s="80"/>
      <c r="BZ9" s="107"/>
      <c r="CA9" s="80"/>
      <c r="CB9" s="80"/>
      <c r="CC9" s="107"/>
      <c r="CD9" s="80" t="str">
        <f t="shared" si="6"/>
        <v/>
      </c>
      <c r="CE9" s="80" t="str">
        <f t="shared" si="7"/>
        <v/>
      </c>
      <c r="CF9" s="80"/>
      <c r="CG9" s="80"/>
      <c r="CH9" s="80"/>
    </row>
    <row r="10">
      <c r="A10" s="141"/>
      <c r="B10" s="73" t="str">
        <f>Quotation!A31</f>
        <v>Wrap</v>
      </c>
      <c r="C10" s="73"/>
      <c r="D10" s="139" t="str">
        <f>IF(B10="","","and T = '"&amp;B10&amp;"'")</f>
        <v>and T = 'Wrap'</v>
      </c>
      <c r="E10" s="73"/>
      <c r="F10" s="139" t="str">
        <f>IF(B10="","","and C = '"&amp;B10&amp;"'")</f>
        <v>and C = 'Wrap'</v>
      </c>
      <c r="G10" s="73"/>
      <c r="H10" s="73"/>
      <c r="I10" s="128" t="str">
        <f>CONCATENATE("select * where 1=1",F9,F10,F11)</f>
        <v>select * where 1=1and B = 'Food'and C = 'Wrap'and D = '240*64*160 mm | 9.5*2.5*6.25 inch'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 t="str">
        <f>IFERROR(__xludf.DUMMYFUNCTION("""COMPUTED_VALUE"""),"Packaging")</f>
        <v>Packaging</v>
      </c>
      <c r="BD10" s="73" t="str">
        <f>IFERROR(__xludf.DUMMYFUNCTION("""COMPUTED_VALUE"""),"Atta")</f>
        <v>Atta</v>
      </c>
      <c r="BE10" s="80"/>
      <c r="BF10" s="80"/>
      <c r="BG10" s="113" t="str">
        <f>IFERROR(__xludf.DUMMYFUNCTION("""COMPUTED_VALUE"""),"Offset")</f>
        <v>Offset</v>
      </c>
      <c r="BH10" s="113" t="str">
        <f>IFERROR(__xludf.DUMMYFUNCTION("""COMPUTED_VALUE"""),"Packaging")</f>
        <v>Packaging</v>
      </c>
      <c r="BI10" s="118" t="str">
        <f>IFERROR(__xludf.DUMMYFUNCTION("""COMPUTED_VALUE"""),"Custom Paper")</f>
        <v>Custom Paper</v>
      </c>
      <c r="BJ10" s="73" t="str">
        <f>IFERROR(__xludf.DUMMYFUNCTION("""COMPUTED_VALUE"""),"Plain")</f>
        <v>Plain</v>
      </c>
      <c r="BK10" s="80" t="str">
        <f>IFERROR(__xludf.DUMMYFUNCTION("""COMPUTED_VALUE"""),"UV Hybrid")</f>
        <v>UV Hybrid</v>
      </c>
      <c r="BL10" s="80" t="str">
        <f>IFERROR(__xludf.DUMMYFUNCTION("""COMPUTED_VALUE"""),"Four + Two Colour")</f>
        <v>Four + Two Colour</v>
      </c>
      <c r="BM10" s="107">
        <f>IFERROR(__xludf.DUMMYFUNCTION("""COMPUTED_VALUE"""),7.75)</f>
        <v>7.75</v>
      </c>
      <c r="BN10" s="80">
        <f>IFERROR(__xludf.DUMMYFUNCTION("""COMPUTED_VALUE"""),1926.0)</f>
        <v>1926</v>
      </c>
      <c r="BO10" s="80" t="str">
        <f>IFERROR(__xludf.DUMMYFUNCTION("""COMPUTED_VALUE"""),"New Job")</f>
        <v>New Job</v>
      </c>
      <c r="BP10" s="80" t="str">
        <f>IFERROR(__xludf.DUMMYFUNCTION("""COMPUTED_VALUE"""),"Leafing")</f>
        <v>Leafing</v>
      </c>
      <c r="BQ10" s="80" t="str">
        <f>IFERROR(__xludf.DUMMYFUNCTION("""COMPUTED_VALUE"""),"Yes")</f>
        <v>Yes</v>
      </c>
      <c r="BR10" s="80" t="str">
        <f>IFERROR(__xludf.DUMMYFUNCTION("""COMPUTED_VALUE"""),"Normal")</f>
        <v>Normal</v>
      </c>
      <c r="BS10" s="73" t="s">
        <v>27</v>
      </c>
      <c r="BT10" s="88" t="s">
        <v>189</v>
      </c>
      <c r="BU10" s="73" t="s">
        <v>178</v>
      </c>
      <c r="BV10" s="77">
        <f>Price!$Q$2</f>
        <v>78</v>
      </c>
      <c r="BW10" s="73"/>
      <c r="BX10" s="80"/>
      <c r="BY10" s="80"/>
      <c r="BZ10" s="107"/>
      <c r="CA10" s="80"/>
      <c r="CB10" s="80"/>
      <c r="CC10" s="107"/>
      <c r="CD10" s="80" t="str">
        <f t="shared" si="6"/>
        <v/>
      </c>
      <c r="CE10" s="80" t="str">
        <f t="shared" si="7"/>
        <v/>
      </c>
      <c r="CF10" s="80"/>
      <c r="CG10" s="80"/>
      <c r="CH10" s="80"/>
    </row>
    <row r="11">
      <c r="A11" s="141" t="s">
        <v>190</v>
      </c>
      <c r="B11" s="73" t="str">
        <f>Quotation!B30</f>
        <v>240*64*160 mm | 9.5*2.5*6.25 inch</v>
      </c>
      <c r="C11" s="73"/>
      <c r="D11" s="143" t="str">
        <f>IF(B11="","","and AM = '"&amp;B11&amp;"'")</f>
        <v>and AM = '240*64*160 mm | 9.5*2.5*6.25 inch'</v>
      </c>
      <c r="E11" s="140"/>
      <c r="F11" s="143" t="str">
        <f>IF(B11="","","and D = '"&amp;B11&amp;"'")</f>
        <v>and D = '240*64*160 mm | 9.5*2.5*6.25 inch'</v>
      </c>
      <c r="G11" s="80"/>
      <c r="H11" s="73"/>
      <c r="I11" s="128" t="str">
        <f>CONCATENATE("select * where 1=1",F10)</f>
        <v>select * where 1=1and C = 'Wrap'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 t="str">
        <f>IFERROR(__xludf.DUMMYFUNCTION("""COMPUTED_VALUE"""),"Packaging")</f>
        <v>Packaging</v>
      </c>
      <c r="BD11" s="73" t="str">
        <f>IFERROR(__xludf.DUMMYFUNCTION("""COMPUTED_VALUE"""),"Bakery")</f>
        <v>Bakery</v>
      </c>
      <c r="BE11" s="80"/>
      <c r="BF11" s="88"/>
      <c r="BG11" s="113" t="str">
        <f>IFERROR(__xludf.DUMMYFUNCTION("""COMPUTED_VALUE"""),"Offset")</f>
        <v>Offset</v>
      </c>
      <c r="BH11" s="113" t="str">
        <f>IFERROR(__xludf.DUMMYFUNCTION("""COMPUTED_VALUE"""),"Packaging")</f>
        <v>Packaging</v>
      </c>
      <c r="BI11" s="88" t="str">
        <f>IFERROR(__xludf.DUMMYFUNCTION("""COMPUTED_VALUE"""),"Other Type")</f>
        <v>Other Type</v>
      </c>
      <c r="BJ11" s="73" t="str">
        <f>IFERROR(__xludf.DUMMYFUNCTION("""COMPUTED_VALUE"""),"Plain")</f>
        <v>Plain</v>
      </c>
      <c r="BK11" s="80" t="str">
        <f>IFERROR(__xludf.DUMMYFUNCTION("""COMPUTED_VALUE"""),"UV Flat")</f>
        <v>UV Flat</v>
      </c>
      <c r="BL11" s="80" t="str">
        <f>IFERROR(__xludf.DUMMYFUNCTION("""COMPUTED_VALUE"""),"Four + Four Colour")</f>
        <v>Four + Four Colour</v>
      </c>
      <c r="BM11" s="107">
        <f>IFERROR(__xludf.DUMMYFUNCTION("""COMPUTED_VALUE"""),9.75)</f>
        <v>9.75</v>
      </c>
      <c r="BN11" s="80">
        <f>IFERROR(__xludf.DUMMYFUNCTION("""COMPUTED_VALUE"""),1926.0)</f>
        <v>1926</v>
      </c>
      <c r="BO11" s="80" t="str">
        <f>IFERROR(__xludf.DUMMYFUNCTION("""COMPUTED_VALUE"""),"Repeat Job")</f>
        <v>Repeat Job</v>
      </c>
      <c r="BP11" s="80" t="str">
        <f>IFERROR(__xludf.DUMMYFUNCTION("""COMPUTED_VALUE"""),"Leafing")</f>
        <v>Leafing</v>
      </c>
      <c r="BQ11" s="80" t="str">
        <f>IFERROR(__xludf.DUMMYFUNCTION("""COMPUTED_VALUE"""),"N/A")</f>
        <v>N/A</v>
      </c>
      <c r="BR11" s="80" t="str">
        <f>IFERROR(__xludf.DUMMYFUNCTION("""COMPUTED_VALUE"""),"Normal")</f>
        <v>Normal</v>
      </c>
      <c r="BS11" s="73" t="s">
        <v>27</v>
      </c>
      <c r="BT11" s="113" t="s">
        <v>191</v>
      </c>
      <c r="BU11" s="73" t="s">
        <v>180</v>
      </c>
      <c r="BV11" s="77">
        <f>Price!$Q$3</f>
        <v>55</v>
      </c>
      <c r="BW11" s="73"/>
      <c r="BX11" s="80"/>
      <c r="BY11" s="80"/>
      <c r="BZ11" s="107"/>
      <c r="CA11" s="80"/>
      <c r="CB11" s="80"/>
      <c r="CC11" s="107"/>
      <c r="CD11" s="80" t="str">
        <f t="shared" si="6"/>
        <v/>
      </c>
      <c r="CE11" s="80" t="str">
        <f t="shared" si="7"/>
        <v/>
      </c>
      <c r="CF11" s="80"/>
      <c r="CG11" s="80"/>
      <c r="CH11" s="80"/>
    </row>
    <row r="12">
      <c r="A12" s="73"/>
      <c r="B12" s="73"/>
      <c r="C12" s="73"/>
      <c r="D12" s="143" t="str">
        <f>CONCATENATE("select * where 1=1",D11)</f>
        <v>select * where 1=1and AM = '240*64*160 mm | 9.5*2.5*6.25 inch'</v>
      </c>
      <c r="E12" s="140"/>
      <c r="F12" s="143" t="str">
        <f>CONCATENATE("select * where 1=1",F9,F8,F7)</f>
        <v>select * where 1=1and B = 'Food'and P = 'Offset'and Q = 'Packaging'</v>
      </c>
      <c r="G12" s="80"/>
      <c r="H12" s="73"/>
      <c r="I12" s="128" t="str">
        <f>CONCATENATE("select * where 1=1",F11,F10)</f>
        <v>select * where 1=1and D = '240*64*160 mm | 9.5*2.5*6.25 inch'and C = 'Wrap'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 t="str">
        <f>IFERROR(__xludf.DUMMYFUNCTION("""COMPUTED_VALUE"""),"Packaging")</f>
        <v>Packaging</v>
      </c>
      <c r="BD12" s="73" t="str">
        <f>IFERROR(__xludf.DUMMYFUNCTION("""COMPUTED_VALUE"""),"Bakery Online")</f>
        <v>Bakery Online</v>
      </c>
      <c r="BE12" s="80"/>
      <c r="BF12" s="54"/>
      <c r="BG12" s="113" t="str">
        <f>IFERROR(__xludf.DUMMYFUNCTION("""COMPUTED_VALUE"""),"Offset")</f>
        <v>Offset</v>
      </c>
      <c r="BH12" s="73" t="str">
        <f>IFERROR(__xludf.DUMMYFUNCTION("""COMPUTED_VALUE"""),"Packaging")</f>
        <v>Packaging</v>
      </c>
      <c r="BI12" s="54" t="str">
        <f>IFERROR(__xludf.DUMMYFUNCTION("""COMPUTED_VALUE"""),"Other Type")</f>
        <v>Other Type</v>
      </c>
      <c r="BJ12" s="73" t="str">
        <f>IFERROR(__xludf.DUMMYFUNCTION("""COMPUTED_VALUE"""),"Plain")</f>
        <v>Plain</v>
      </c>
      <c r="BK12" s="80" t="str">
        <f>IFERROR(__xludf.DUMMYFUNCTION("""COMPUTED_VALUE"""),"Spot UV")</f>
        <v>Spot UV</v>
      </c>
      <c r="BL12" s="80" t="str">
        <f>IFERROR(__xludf.DUMMYFUNCTION("""COMPUTED_VALUE"""),"Without Print")</f>
        <v>Without Print</v>
      </c>
      <c r="BM12" s="107">
        <f>IFERROR(__xludf.DUMMYFUNCTION("""COMPUTED_VALUE"""),0.0)</f>
        <v>0</v>
      </c>
      <c r="BN12" s="80">
        <f>IFERROR(__xludf.DUMMYFUNCTION("""COMPUTED_VALUE"""),1926.0)</f>
        <v>1926</v>
      </c>
      <c r="BO12" s="80" t="str">
        <f>IFERROR(__xludf.DUMMYFUNCTION("""COMPUTED_VALUE"""),"New Job")</f>
        <v>New Job</v>
      </c>
      <c r="BP12" s="80" t="str">
        <f>IFERROR(__xludf.DUMMYFUNCTION("""COMPUTED_VALUE"""),"Leafing")</f>
        <v>Leafing</v>
      </c>
      <c r="BQ12" s="80" t="str">
        <f>IFERROR(__xludf.DUMMYFUNCTION("""COMPUTED_VALUE"""),"Yes")</f>
        <v>Yes</v>
      </c>
      <c r="BR12" s="80" t="str">
        <f>IFERROR(__xludf.DUMMYFUNCTION("""COMPUTED_VALUE"""),"Normal")</f>
        <v>Normal</v>
      </c>
      <c r="BS12" s="73" t="s">
        <v>27</v>
      </c>
      <c r="BT12" s="113" t="s">
        <v>68</v>
      </c>
      <c r="BU12" s="73" t="s">
        <v>182</v>
      </c>
      <c r="BV12" s="77">
        <f>Price!$Q$4</f>
        <v>52</v>
      </c>
      <c r="BW12" s="73"/>
      <c r="BX12" s="80"/>
      <c r="BY12" s="80"/>
      <c r="BZ12" s="107"/>
      <c r="CA12" s="80"/>
      <c r="CB12" s="80"/>
      <c r="CC12" s="107"/>
      <c r="CD12" s="80" t="str">
        <f t="shared" si="6"/>
        <v/>
      </c>
      <c r="CE12" s="80" t="str">
        <f t="shared" si="7"/>
        <v/>
      </c>
      <c r="CF12" s="80"/>
      <c r="CG12" s="80"/>
      <c r="CH12" s="80"/>
    </row>
    <row r="13">
      <c r="A13" s="139" t="str">
        <f>IFERROR(__xludf.DUMMYFUNCTION("QUERY(AJ15:AY2457,$D$12,0)"),"#N/A")</f>
        <v>#N/A</v>
      </c>
      <c r="B13" s="73"/>
      <c r="C13" s="73"/>
      <c r="D13" s="73"/>
      <c r="E13" s="140"/>
      <c r="F13" s="107"/>
      <c r="G13" s="107"/>
      <c r="H13" s="77"/>
      <c r="I13" s="77"/>
      <c r="J13" s="77"/>
      <c r="K13" s="77"/>
      <c r="L13" s="77"/>
      <c r="M13" s="77"/>
      <c r="N13" s="77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 t="str">
        <f>IFERROR(__xludf.DUMMYFUNCTION("""COMPUTED_VALUE"""),"Packaging")</f>
        <v>Packaging</v>
      </c>
      <c r="BD13" s="143" t="str">
        <f>IFERROR(__xludf.DUMMYFUNCTION("""COMPUTED_VALUE"""),"Beverages")</f>
        <v>Beverages</v>
      </c>
      <c r="BE13" s="80"/>
      <c r="BF13" s="54"/>
      <c r="BG13" s="113" t="str">
        <f>IFERROR(__xludf.DUMMYFUNCTION("""COMPUTED_VALUE"""),"Offset")</f>
        <v>Offset</v>
      </c>
      <c r="BH13" s="73" t="str">
        <f>IFERROR(__xludf.DUMMYFUNCTION("""COMPUTED_VALUE"""),"Packaging")</f>
        <v>Packaging</v>
      </c>
      <c r="BI13" s="54" t="str">
        <f>IFERROR(__xludf.DUMMYFUNCTION("""COMPUTED_VALUE"""),"Other Type")</f>
        <v>Other Type</v>
      </c>
      <c r="BJ13" s="73" t="str">
        <f>IFERROR(__xludf.DUMMYFUNCTION("""COMPUTED_VALUE"""),"Plain")</f>
        <v>Plain</v>
      </c>
      <c r="BK13" s="80" t="str">
        <f>IFERROR(__xludf.DUMMYFUNCTION("""COMPUTED_VALUE"""),"UV Crystal")</f>
        <v>UV Crystal</v>
      </c>
      <c r="BL13" s="80" t="str">
        <f>IFERROR(__xludf.DUMMYFUNCTION("""COMPUTED_VALUE"""),"Without Print")</f>
        <v>Without Print</v>
      </c>
      <c r="BM13" s="107">
        <f>IFERROR(__xludf.DUMMYFUNCTION("""COMPUTED_VALUE"""),0.0)</f>
        <v>0</v>
      </c>
      <c r="BN13" s="107">
        <f>IFERROR(__xludf.DUMMYFUNCTION("""COMPUTED_VALUE"""),1926.0)</f>
        <v>1926</v>
      </c>
      <c r="BO13" s="80" t="str">
        <f>IFERROR(__xludf.DUMMYFUNCTION("""COMPUTED_VALUE"""),"Repeat Job")</f>
        <v>Repeat Job</v>
      </c>
      <c r="BP13" s="80" t="str">
        <f>IFERROR(__xludf.DUMMYFUNCTION("""COMPUTED_VALUE"""),"Leafing")</f>
        <v>Leafing</v>
      </c>
      <c r="BQ13" s="80" t="str">
        <f>IFERROR(__xludf.DUMMYFUNCTION("""COMPUTED_VALUE"""),"N/A")</f>
        <v>N/A</v>
      </c>
      <c r="BR13" s="80" t="str">
        <f>IFERROR(__xludf.DUMMYFUNCTION("""COMPUTED_VALUE"""),"Normal")</f>
        <v>Normal</v>
      </c>
      <c r="BS13" s="73" t="s">
        <v>27</v>
      </c>
      <c r="BT13" s="88" t="s">
        <v>184</v>
      </c>
      <c r="BU13" s="73" t="s">
        <v>185</v>
      </c>
      <c r="BV13" s="107">
        <f t="shared" ref="BV13:BV15" si="8">$BV$9</f>
        <v>75</v>
      </c>
      <c r="BW13" s="73"/>
      <c r="BX13" s="80"/>
      <c r="BY13" s="80"/>
      <c r="BZ13" s="107"/>
      <c r="CA13" s="80"/>
      <c r="CB13" s="80"/>
      <c r="CC13" s="107"/>
      <c r="CD13" s="80" t="str">
        <f t="shared" si="6"/>
        <v/>
      </c>
      <c r="CE13" s="80" t="str">
        <f t="shared" si="7"/>
        <v/>
      </c>
      <c r="CF13" s="80"/>
      <c r="CG13" s="80"/>
      <c r="CH13" s="80"/>
    </row>
    <row r="14">
      <c r="A14" s="144" t="s">
        <v>0</v>
      </c>
      <c r="B14" s="145" t="s">
        <v>1</v>
      </c>
      <c r="C14" s="146" t="s">
        <v>2</v>
      </c>
      <c r="D14" s="146" t="s">
        <v>3</v>
      </c>
      <c r="E14" s="147" t="s">
        <v>4</v>
      </c>
      <c r="F14" s="148" t="s">
        <v>5</v>
      </c>
      <c r="G14" s="149" t="s">
        <v>7</v>
      </c>
      <c r="H14" s="149" t="s">
        <v>8</v>
      </c>
      <c r="I14" s="150" t="s">
        <v>16</v>
      </c>
      <c r="J14" s="151" t="s">
        <v>193</v>
      </c>
      <c r="K14" s="151" t="s">
        <v>21</v>
      </c>
      <c r="L14" s="152" t="s">
        <v>22</v>
      </c>
      <c r="M14" s="152" t="s">
        <v>23</v>
      </c>
      <c r="N14" s="153" t="s">
        <v>194</v>
      </c>
      <c r="O14" s="154" t="s">
        <v>195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144" t="s">
        <v>0</v>
      </c>
      <c r="AK14" s="145" t="s">
        <v>1</v>
      </c>
      <c r="AL14" s="146" t="s">
        <v>2</v>
      </c>
      <c r="AM14" s="146" t="s">
        <v>3</v>
      </c>
      <c r="AN14" s="147" t="s">
        <v>4</v>
      </c>
      <c r="AO14" s="148" t="s">
        <v>5</v>
      </c>
      <c r="AP14" s="149" t="s">
        <v>7</v>
      </c>
      <c r="AQ14" s="149" t="s">
        <v>8</v>
      </c>
      <c r="AR14" s="150" t="s">
        <v>16</v>
      </c>
      <c r="AS14" s="151" t="s">
        <v>193</v>
      </c>
      <c r="AT14" s="151" t="s">
        <v>21</v>
      </c>
      <c r="AU14" s="152" t="s">
        <v>22</v>
      </c>
      <c r="AV14" s="152" t="s">
        <v>23</v>
      </c>
      <c r="AW14" s="153" t="s">
        <v>194</v>
      </c>
      <c r="AX14" s="154" t="s">
        <v>195</v>
      </c>
      <c r="AY14" s="73"/>
      <c r="AZ14" s="73"/>
      <c r="BA14" s="73"/>
      <c r="BB14" s="88" t="s">
        <v>62</v>
      </c>
      <c r="BC14" s="73" t="str">
        <f>IFERROR(__xludf.DUMMYFUNCTION("""COMPUTED_VALUE"""),"Packaging")</f>
        <v>Packaging</v>
      </c>
      <c r="BD14" s="73" t="str">
        <f>IFERROR(__xludf.DUMMYFUNCTION("""COMPUTED_VALUE"""),"BO")</f>
        <v>BO</v>
      </c>
      <c r="BE14" s="80"/>
      <c r="BF14" s="54"/>
      <c r="BG14" s="88" t="str">
        <f>IFERROR(__xludf.DUMMYFUNCTION("""COMPUTED_VALUE"""),"Offset")</f>
        <v>Offset</v>
      </c>
      <c r="BH14" s="73" t="str">
        <f>IFERROR(__xludf.DUMMYFUNCTION("""COMPUTED_VALUE"""),"Packaging")</f>
        <v>Packaging</v>
      </c>
      <c r="BI14" s="73" t="str">
        <f>IFERROR(__xludf.DUMMYFUNCTION("""COMPUTED_VALUE"""),"Other Type")</f>
        <v>Other Type</v>
      </c>
      <c r="BJ14" s="73" t="str">
        <f>IFERROR(__xludf.DUMMYFUNCTION("""COMPUTED_VALUE"""),"Plain")</f>
        <v>Plain</v>
      </c>
      <c r="BK14" s="80" t="str">
        <f>IFERROR(__xludf.DUMMYFUNCTION("""COMPUTED_VALUE"""),"Plain")</f>
        <v>Plain</v>
      </c>
      <c r="BL14" s="80" t="str">
        <f>IFERROR(__xludf.DUMMYFUNCTION("""COMPUTED_VALUE"""),"Without Print")</f>
        <v>Without Print</v>
      </c>
      <c r="BM14" s="107">
        <f>IFERROR(__xludf.DUMMYFUNCTION("""COMPUTED_VALUE"""),0.0)</f>
        <v>0</v>
      </c>
      <c r="BN14" s="107">
        <f>IFERROR(__xludf.DUMMYFUNCTION("""COMPUTED_VALUE"""),1926.0)</f>
        <v>1926</v>
      </c>
      <c r="BO14" s="80"/>
      <c r="BP14" s="80" t="str">
        <f>IFERROR(__xludf.DUMMYFUNCTION("""COMPUTED_VALUE"""),"Leafing")</f>
        <v>Leafing</v>
      </c>
      <c r="BQ14" s="80" t="str">
        <f>IFERROR(__xludf.DUMMYFUNCTION("""COMPUTED_VALUE"""),"N/A")</f>
        <v>N/A</v>
      </c>
      <c r="BR14" s="80" t="str">
        <f>IFERROR(__xludf.DUMMYFUNCTION("""COMPUTED_VALUE"""),"Normal")</f>
        <v>Normal</v>
      </c>
      <c r="BS14" s="73" t="s">
        <v>27</v>
      </c>
      <c r="BT14" s="88" t="s">
        <v>184</v>
      </c>
      <c r="BU14" s="73" t="s">
        <v>187</v>
      </c>
      <c r="BV14" s="107">
        <f t="shared" si="8"/>
        <v>75</v>
      </c>
      <c r="BW14" s="80"/>
      <c r="BX14" s="80"/>
      <c r="BY14" s="80"/>
      <c r="BZ14" s="107"/>
      <c r="CA14" s="80"/>
      <c r="CB14" s="80"/>
      <c r="CC14" s="107"/>
      <c r="CD14" s="80" t="str">
        <f t="shared" si="6"/>
        <v/>
      </c>
      <c r="CE14" s="80" t="str">
        <f t="shared" si="7"/>
        <v/>
      </c>
      <c r="CF14" s="80"/>
      <c r="CG14" s="80"/>
      <c r="CH14" s="80"/>
    </row>
    <row r="15">
      <c r="A15" s="73"/>
      <c r="B15" s="88" t="s">
        <v>176</v>
      </c>
      <c r="C15" s="88" t="str">
        <f>B10</f>
        <v>Wrap</v>
      </c>
      <c r="D15" s="88" t="s">
        <v>196</v>
      </c>
      <c r="E15" s="140" t="str">
        <f>Product6!E2</f>
        <v/>
      </c>
      <c r="F15" s="140" t="str">
        <f>Product6!F2</f>
        <v/>
      </c>
      <c r="G15" s="107" t="str">
        <f>Product6!W16</f>
        <v/>
      </c>
      <c r="H15" s="107" t="str">
        <f>Product6!X16</f>
        <v/>
      </c>
      <c r="I15" s="86">
        <v>100.0</v>
      </c>
      <c r="J15" s="73"/>
      <c r="K15" s="73"/>
      <c r="L15" s="73"/>
      <c r="M15" s="77"/>
      <c r="N15" s="86">
        <v>1.0</v>
      </c>
      <c r="O15" s="73" t="str">
        <f>Product6!Y16</f>
        <v/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80" t="str">
        <f>IFERROR(__xludf.DUMMYFUNCTION("ifna(QUERY(A15:O2457,$I$11))"),"")</f>
        <v/>
      </c>
      <c r="AK15" s="73" t="str">
        <f>IFERROR(__xludf.DUMMYFUNCTION("""COMPUTED_VALUE"""),"All")</f>
        <v>All</v>
      </c>
      <c r="AL15" s="73" t="str">
        <f>IFERROR(__xludf.DUMMYFUNCTION("""COMPUTED_VALUE"""),"Wrap")</f>
        <v>Wrap</v>
      </c>
      <c r="AM15" s="73" t="str">
        <f>IFERROR(__xludf.DUMMYFUNCTION("""COMPUTED_VALUE"""),"Custom Size")</f>
        <v>Custom Size</v>
      </c>
      <c r="AN15" s="77" t="str">
        <f>IFERROR(__xludf.DUMMYFUNCTION("""COMPUTED_VALUE"""),"")</f>
        <v/>
      </c>
      <c r="AO15" s="77" t="str">
        <f>IFERROR(__xludf.DUMMYFUNCTION("""COMPUTED_VALUE"""),"")</f>
        <v/>
      </c>
      <c r="AP15" s="77" t="str">
        <f>IFERROR(__xludf.DUMMYFUNCTION("""COMPUTED_VALUE"""),"")</f>
        <v/>
      </c>
      <c r="AQ15" s="77" t="str">
        <f>IFERROR(__xludf.DUMMYFUNCTION("""COMPUTED_VALUE"""),"")</f>
        <v/>
      </c>
      <c r="AR15" s="77" t="str">
        <f>IFERROR(__xludf.DUMMYFUNCTION("""COMPUTED_VALUE"""),"100")</f>
        <v>100</v>
      </c>
      <c r="AS15" s="73" t="str">
        <f>IFERROR(__xludf.DUMMYFUNCTION("""COMPUTED_VALUE"""),"")</f>
        <v/>
      </c>
      <c r="AT15" s="73" t="str">
        <f>IFERROR(__xludf.DUMMYFUNCTION("""COMPUTED_VALUE"""),"")</f>
        <v/>
      </c>
      <c r="AU15" s="73" t="str">
        <f>IFERROR(__xludf.DUMMYFUNCTION("""COMPUTED_VALUE"""),"")</f>
        <v/>
      </c>
      <c r="AV15" s="77" t="str">
        <f>IFERROR(__xludf.DUMMYFUNCTION("""COMPUTED_VALUE"""),"")</f>
        <v/>
      </c>
      <c r="AW15" s="77" t="str">
        <f>IFERROR(__xludf.DUMMYFUNCTION("""COMPUTED_VALUE"""),"1")</f>
        <v>1</v>
      </c>
      <c r="AX15" s="73" t="str">
        <f>IFERROR(__xludf.DUMMYFUNCTION("""COMPUTED_VALUE"""),"")</f>
        <v/>
      </c>
      <c r="AY15" s="73"/>
      <c r="AZ15" s="73"/>
      <c r="BA15" s="73"/>
      <c r="BB15" s="161">
        <f t="array" ref="BB15">INDEX(Item!G2:G2457,MATCH(Quotation!B33,Item!F2:F2457,FALSE),1)</f>
        <v>4</v>
      </c>
      <c r="BC15" s="73" t="str">
        <f>IFERROR(__xludf.DUMMYFUNCTION("""COMPUTED_VALUE"""),"Packaging")</f>
        <v>Packaging</v>
      </c>
      <c r="BD15" s="73" t="str">
        <f>IFERROR(__xludf.DUMMYFUNCTION("""COMPUTED_VALUE"""),"Boult")</f>
        <v>Boult</v>
      </c>
      <c r="BE15" s="80"/>
      <c r="BF15" s="54"/>
      <c r="BG15" s="88"/>
      <c r="BH15" s="73"/>
      <c r="BI15" s="73"/>
      <c r="BJ15" s="73"/>
      <c r="BK15" s="80"/>
      <c r="BL15" s="80"/>
      <c r="BM15" s="107"/>
      <c r="BN15" s="107"/>
      <c r="BO15" s="80"/>
      <c r="BP15" s="80"/>
      <c r="BQ15" s="80"/>
      <c r="BR15" s="80"/>
      <c r="BS15" s="73" t="s">
        <v>27</v>
      </c>
      <c r="BT15" s="88" t="s">
        <v>184</v>
      </c>
      <c r="BU15" s="73" t="s">
        <v>197</v>
      </c>
      <c r="BV15" s="107">
        <f t="shared" si="8"/>
        <v>75</v>
      </c>
      <c r="BW15" s="80"/>
      <c r="BX15" s="80"/>
      <c r="BY15" s="80"/>
      <c r="BZ15" s="107"/>
      <c r="CA15" s="80"/>
      <c r="CB15" s="80"/>
      <c r="CC15" s="107"/>
      <c r="CD15" s="80" t="str">
        <f t="shared" si="6"/>
        <v/>
      </c>
      <c r="CE15" s="80" t="str">
        <f t="shared" si="7"/>
        <v/>
      </c>
      <c r="CF15" s="80"/>
      <c r="CG15" s="80"/>
      <c r="CH15" s="80"/>
    </row>
    <row r="16">
      <c r="A16" s="155" t="str">
        <f>IFERROR(__xludf.DUMMYFUNCTION("QUERY(ALLDATA!$A2:$Q2457,$F$12)"),"https://drive.google.com/open?id=1RCVTOA7UAiI06kh64ajGkxHXq7kK4A7v&amp;authuser=jay.agg%40gmail.com&amp;usp=drive_fs")</f>
        <v>https://drive.google.com/open?id=1RCVTOA7UAiI06kh64ajGkxHXq7kK4A7v&amp;authuser=jay.agg%40gmail.com&amp;usp=drive_fs</v>
      </c>
      <c r="B16" s="88" t="str">
        <f>IFERROR(__xludf.DUMMYFUNCTION("""COMPUTED_VALUE"""),"Food")</f>
        <v>Food</v>
      </c>
      <c r="C16" s="73" t="str">
        <f>IFERROR(__xludf.DUMMYFUNCTION("""COMPUTED_VALUE"""),"Wrap")</f>
        <v>Wrap</v>
      </c>
      <c r="D16" s="88" t="str">
        <f>IFERROR(__xludf.DUMMYFUNCTION("""COMPUTED_VALUE"""),"15*74*217 mm")</f>
        <v>15*74*217 mm</v>
      </c>
      <c r="E16" s="124">
        <f>IFERROR(__xludf.DUMMYFUNCTION("""COMPUTED_VALUE"""),4.0)</f>
        <v>4</v>
      </c>
      <c r="F16" s="107">
        <f>IFERROR(__xludf.DUMMYFUNCTION("""COMPUTED_VALUE"""),1926.0)</f>
        <v>1926</v>
      </c>
      <c r="G16" s="107">
        <f>IFERROR(__xludf.DUMMYFUNCTION("""COMPUTED_VALUE"""),18.0)</f>
        <v>18</v>
      </c>
      <c r="H16" s="107">
        <f>IFERROR(__xludf.DUMMYFUNCTION("""COMPUTED_VALUE"""),23.0)</f>
        <v>23</v>
      </c>
      <c r="I16" s="107">
        <f>IFERROR(__xludf.DUMMYFUNCTION("""COMPUTED_VALUE"""),100.0)</f>
        <v>100</v>
      </c>
      <c r="J16" s="109"/>
      <c r="K16" s="109"/>
      <c r="L16" s="109"/>
      <c r="M16" s="109">
        <f>IFERROR(__xludf.DUMMYFUNCTION("""COMPUTED_VALUE"""),0.1)</f>
        <v>0.1</v>
      </c>
      <c r="N16" s="109">
        <f>IFERROR(__xludf.DUMMYFUNCTION("""COMPUTED_VALUE"""),1.0)</f>
        <v>1</v>
      </c>
      <c r="O16" s="109"/>
      <c r="P16" s="109" t="str">
        <f>IFERROR(__xludf.DUMMYFUNCTION("""COMPUTED_VALUE"""),"Offset")</f>
        <v>Offset</v>
      </c>
      <c r="Q16" s="109" t="str">
        <f>IFERROR(__xludf.DUMMYFUNCTION("""COMPUTED_VALUE"""),"Packaging")</f>
        <v>Packaging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95" t="str">
        <f>IFERROR(__xludf.DUMMYFUNCTION("""COMPUTED_VALUE"""),"https://drive.google.com/open?id=1RCVTOA7UAiI06kh64ajGkxHXq7kK4A7v&amp;authuser=jay.agg%40gmail.com&amp;usp=drive_fs")</f>
        <v>https://drive.google.com/open?id=1RCVTOA7UAiI06kh64ajGkxHXq7kK4A7v&amp;authuser=jay.agg%40gmail.com&amp;usp=drive_fs</v>
      </c>
      <c r="AK16" s="80" t="str">
        <f>IFERROR(__xludf.DUMMYFUNCTION("""COMPUTED_VALUE"""),"Food")</f>
        <v>Food</v>
      </c>
      <c r="AL16" s="80" t="str">
        <f>IFERROR(__xludf.DUMMYFUNCTION("""COMPUTED_VALUE"""),"Wrap")</f>
        <v>Wrap</v>
      </c>
      <c r="AM16" s="73" t="str">
        <f>IFERROR(__xludf.DUMMYFUNCTION("""COMPUTED_VALUE"""),"15*74*217 mm")</f>
        <v>15*74*217 mm</v>
      </c>
      <c r="AN16" s="77">
        <f>IFERROR(__xludf.DUMMYFUNCTION("""COMPUTED_VALUE"""),4.0)</f>
        <v>4</v>
      </c>
      <c r="AO16" s="77">
        <f>IFERROR(__xludf.DUMMYFUNCTION("""COMPUTED_VALUE"""),1926.0)</f>
        <v>1926</v>
      </c>
      <c r="AP16" s="77">
        <f>IFERROR(__xludf.DUMMYFUNCTION("""COMPUTED_VALUE"""),18.0)</f>
        <v>18</v>
      </c>
      <c r="AQ16" s="77">
        <f>IFERROR(__xludf.DUMMYFUNCTION("""COMPUTED_VALUE"""),23.0)</f>
        <v>23</v>
      </c>
      <c r="AR16" s="77">
        <f>IFERROR(__xludf.DUMMYFUNCTION("""COMPUTED_VALUE"""),100.0)</f>
        <v>100</v>
      </c>
      <c r="AS16" s="77"/>
      <c r="AT16" s="77"/>
      <c r="AU16" s="77"/>
      <c r="AV16" s="77">
        <f>IFERROR(__xludf.DUMMYFUNCTION("""COMPUTED_VALUE"""),0.1)</f>
        <v>0.1</v>
      </c>
      <c r="AW16" s="73">
        <f>IFERROR(__xludf.DUMMYFUNCTION("""COMPUTED_VALUE"""),1.0)</f>
        <v>1</v>
      </c>
      <c r="AX16" s="73"/>
      <c r="AY16" s="73"/>
      <c r="AZ16" s="73"/>
      <c r="BA16" s="73"/>
      <c r="BB16" s="73"/>
      <c r="BC16" s="73" t="str">
        <f>IFERROR(__xludf.DUMMYFUNCTION("""COMPUTED_VALUE"""),"Packaging")</f>
        <v>Packaging</v>
      </c>
      <c r="BD16" s="73" t="str">
        <f>IFERROR(__xludf.DUMMYFUNCTION("""COMPUTED_VALUE"""),"Camera")</f>
        <v>Camera</v>
      </c>
      <c r="BE16" s="80"/>
      <c r="BF16" s="54"/>
      <c r="BG16" s="88"/>
      <c r="BH16" s="73"/>
      <c r="BI16" s="73"/>
      <c r="BJ16" s="73"/>
      <c r="BK16" s="80"/>
      <c r="BL16" s="80"/>
      <c r="BM16" s="107"/>
      <c r="BN16" s="107"/>
      <c r="BO16" s="80"/>
      <c r="BP16" s="80"/>
      <c r="BQ16" s="80"/>
      <c r="BR16" s="80"/>
      <c r="BS16" s="139" t="s">
        <v>28</v>
      </c>
      <c r="BT16" s="73" t="s">
        <v>189</v>
      </c>
      <c r="BU16" s="73" t="s">
        <v>178</v>
      </c>
      <c r="BV16" s="107">
        <f>Price!$R$2</f>
        <v>70</v>
      </c>
      <c r="BW16" s="73"/>
      <c r="BX16" s="80"/>
      <c r="BY16" s="80"/>
      <c r="BZ16" s="80"/>
      <c r="CA16" s="80"/>
      <c r="CB16" s="80"/>
      <c r="CC16" s="80"/>
      <c r="CD16" s="80" t="str">
        <f t="shared" si="6"/>
        <v/>
      </c>
      <c r="CE16" s="80" t="str">
        <f t="shared" si="7"/>
        <v/>
      </c>
      <c r="CF16" s="80"/>
      <c r="CG16" s="80"/>
      <c r="CH16" s="80"/>
    </row>
    <row r="17">
      <c r="A17" s="123" t="str">
        <f>IFERROR(__xludf.DUMMYFUNCTION("""COMPUTED_VALUE"""),"https://drive.google.com/open?id=1RFhjQczaMAqJxxKHOOgWIUcetju9JHbB&amp;authuser=jay.agg%40gmail.com&amp;usp=drive_fs")</f>
        <v>https://drive.google.com/open?id=1RFhjQczaMAqJxxKHOOgWIUcetju9JHbB&amp;authuser=jay.agg%40gmail.com&amp;usp=drive_fs</v>
      </c>
      <c r="B17" s="80" t="str">
        <f>IFERROR(__xludf.DUMMYFUNCTION("""COMPUTED_VALUE"""),"Food")</f>
        <v>Food</v>
      </c>
      <c r="C17" s="80" t="str">
        <f>IFERROR(__xludf.DUMMYFUNCTION("""COMPUTED_VALUE"""),"Amla Candy")</f>
        <v>Amla Candy</v>
      </c>
      <c r="D17" s="80" t="str">
        <f>IFERROR(__xludf.DUMMYFUNCTION("""COMPUTED_VALUE"""),"2.5*4.2*4.9 inch LB")</f>
        <v>2.5*4.2*4.9 inch LB</v>
      </c>
      <c r="E17" s="124">
        <f>IFERROR(__xludf.DUMMYFUNCTION("""COMPUTED_VALUE"""),4.0)</f>
        <v>4</v>
      </c>
      <c r="F17" s="107">
        <f>IFERROR(__xludf.DUMMYFUNCTION("""COMPUTED_VALUE"""),2029.0)</f>
        <v>2029</v>
      </c>
      <c r="G17" s="107">
        <f>IFERROR(__xludf.DUMMYFUNCTION("""COMPUTED_VALUE"""),20.0)</f>
        <v>20</v>
      </c>
      <c r="H17" s="107">
        <f>IFERROR(__xludf.DUMMYFUNCTION("""COMPUTED_VALUE"""),28.0)</f>
        <v>28</v>
      </c>
      <c r="I17" s="107">
        <f>IFERROR(__xludf.DUMMYFUNCTION("""COMPUTED_VALUE"""),100.0)</f>
        <v>100</v>
      </c>
      <c r="J17" s="109"/>
      <c r="K17" s="109"/>
      <c r="L17" s="109"/>
      <c r="M17" s="109">
        <f>IFERROR(__xludf.DUMMYFUNCTION("""COMPUTED_VALUE"""),0.16)</f>
        <v>0.16</v>
      </c>
      <c r="N17" s="109">
        <f>IFERROR(__xludf.DUMMYFUNCTION("""COMPUTED_VALUE"""),1.0)</f>
        <v>1</v>
      </c>
      <c r="O17" s="109"/>
      <c r="P17" s="109" t="str">
        <f>IFERROR(__xludf.DUMMYFUNCTION("""COMPUTED_VALUE"""),"Offset")</f>
        <v>Offset</v>
      </c>
      <c r="Q17" s="109" t="str">
        <f>IFERROR(__xludf.DUMMYFUNCTION("""COMPUTED_VALUE"""),"Packaging")</f>
        <v>Packaging</v>
      </c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95" t="str">
        <f>IFERROR(__xludf.DUMMYFUNCTION("""COMPUTED_VALUE"""),"https://drive.google.com/open?id=1S0JoeVa-x8xAselnMXu64Vmh1ngS_Cud&amp;authuser=jay.agg%40gmail.com&amp;usp=drive_fs")</f>
        <v>https://drive.google.com/open?id=1S0JoeVa-x8xAselnMXu64Vmh1ngS_Cud&amp;authuser=jay.agg%40gmail.com&amp;usp=drive_fs</v>
      </c>
      <c r="AK17" s="80" t="str">
        <f>IFERROR(__xludf.DUMMYFUNCTION("""COMPUTED_VALUE"""),"Food")</f>
        <v>Food</v>
      </c>
      <c r="AL17" s="80" t="str">
        <f>IFERROR(__xludf.DUMMYFUNCTION("""COMPUTED_VALUE"""),"Wrap")</f>
        <v>Wrap</v>
      </c>
      <c r="AM17" s="73" t="str">
        <f>IFERROR(__xludf.DUMMYFUNCTION("""COMPUTED_VALUE"""),"97*255 mm | 3.8*10 inch")</f>
        <v>97*255 mm | 3.8*10 inch</v>
      </c>
      <c r="AN17" s="77">
        <f>IFERROR(__xludf.DUMMYFUNCTION("""COMPUTED_VALUE"""),4.0)</f>
        <v>4</v>
      </c>
      <c r="AO17" s="77">
        <f>IFERROR(__xludf.DUMMYFUNCTION("""COMPUTED_VALUE"""),2029.0)</f>
        <v>2029</v>
      </c>
      <c r="AP17" s="77">
        <f>IFERROR(__xludf.DUMMYFUNCTION("""COMPUTED_VALUE"""),18.0)</f>
        <v>18</v>
      </c>
      <c r="AQ17" s="77">
        <f>IFERROR(__xludf.DUMMYFUNCTION("""COMPUTED_VALUE"""),25.0)</f>
        <v>25</v>
      </c>
      <c r="AR17" s="77">
        <f>IFERROR(__xludf.DUMMYFUNCTION("""COMPUTED_VALUE"""),100.0)</f>
        <v>100</v>
      </c>
      <c r="AS17" s="77"/>
      <c r="AT17" s="77"/>
      <c r="AU17" s="77"/>
      <c r="AV17" s="77">
        <f>IFERROR(__xludf.DUMMYFUNCTION("""COMPUTED_VALUE"""),0.12)</f>
        <v>0.12</v>
      </c>
      <c r="AW17" s="73">
        <f>IFERROR(__xludf.DUMMYFUNCTION("""COMPUTED_VALUE"""),1.0)</f>
        <v>1</v>
      </c>
      <c r="AX17" s="73"/>
      <c r="AY17" s="73"/>
      <c r="AZ17" s="73"/>
      <c r="BA17" s="73"/>
      <c r="BB17" s="73"/>
      <c r="BC17" s="73" t="str">
        <f>IFERROR(__xludf.DUMMYFUNCTION("""COMPUTED_VALUE"""),"Packaging")</f>
        <v>Packaging</v>
      </c>
      <c r="BD17" s="73" t="str">
        <f>IFERROR(__xludf.DUMMYFUNCTION("""COMPUTED_VALUE"""),"Candle")</f>
        <v>Candle</v>
      </c>
      <c r="BE17" s="80"/>
      <c r="BF17" s="54"/>
      <c r="BG17" s="113"/>
      <c r="BH17" s="73"/>
      <c r="BI17" s="73"/>
      <c r="BJ17" s="73"/>
      <c r="BK17" s="80"/>
      <c r="BL17" s="80"/>
      <c r="BM17" s="107"/>
      <c r="BN17" s="107"/>
      <c r="BO17" s="80"/>
      <c r="BP17" s="80"/>
      <c r="BQ17" s="80"/>
      <c r="BR17" s="80"/>
      <c r="BS17" s="139" t="s">
        <v>28</v>
      </c>
      <c r="BT17" s="139" t="s">
        <v>191</v>
      </c>
      <c r="BU17" s="73" t="s">
        <v>180</v>
      </c>
      <c r="BV17" s="107">
        <f>Price!$R$3</f>
        <v>50</v>
      </c>
      <c r="BW17" s="73"/>
      <c r="BX17" s="80"/>
      <c r="BY17" s="80"/>
      <c r="BZ17" s="80"/>
      <c r="CA17" s="80"/>
      <c r="CB17" s="80"/>
      <c r="CC17" s="80"/>
      <c r="CD17" s="80" t="str">
        <f t="shared" si="6"/>
        <v/>
      </c>
      <c r="CE17" s="80" t="str">
        <f t="shared" si="7"/>
        <v/>
      </c>
      <c r="CF17" s="80"/>
      <c r="CG17" s="80"/>
      <c r="CH17" s="80"/>
    </row>
    <row r="18">
      <c r="A18" s="123" t="str">
        <f>IFERROR(__xludf.DUMMYFUNCTION("""COMPUTED_VALUE"""),"https://drive.google.com/open?id=1R-6x1155ykPUIHal2qHhsGUOhJ93l5nv&amp;authuser=jay.agg%40gmail.com&amp;usp=drive_fs")</f>
        <v>https://drive.google.com/open?id=1R-6x1155ykPUIHal2qHhsGUOhJ93l5nv&amp;authuser=jay.agg%40gmail.com&amp;usp=drive_fs</v>
      </c>
      <c r="B18" s="80" t="str">
        <f>IFERROR(__xludf.DUMMYFUNCTION("""COMPUTED_VALUE"""),"Food")</f>
        <v>Food</v>
      </c>
      <c r="C18" s="80" t="str">
        <f>IFERROR(__xludf.DUMMYFUNCTION("""COMPUTED_VALUE"""),"Dry Fruit")</f>
        <v>Dry Fruit</v>
      </c>
      <c r="D18" s="80" t="str">
        <f>IFERROR(__xludf.DUMMYFUNCTION("""COMPUTED_VALUE"""),"125*65*225 mm")</f>
        <v>125*65*225 mm</v>
      </c>
      <c r="E18" s="124">
        <f>IFERROR(__xludf.DUMMYFUNCTION("""COMPUTED_VALUE"""),2.0)</f>
        <v>2</v>
      </c>
      <c r="F18" s="80">
        <f>IFERROR(__xludf.DUMMYFUNCTION("""COMPUTED_VALUE"""),1926.0)</f>
        <v>1926</v>
      </c>
      <c r="G18" s="80">
        <f>IFERROR(__xludf.DUMMYFUNCTION("""COMPUTED_VALUE"""),18.0)</f>
        <v>18</v>
      </c>
      <c r="H18" s="80">
        <f>IFERROR(__xludf.DUMMYFUNCTION("""COMPUTED_VALUE"""),24.0)</f>
        <v>24</v>
      </c>
      <c r="I18" s="80">
        <f>IFERROR(__xludf.DUMMYFUNCTION("""COMPUTED_VALUE"""),100.0)</f>
        <v>100</v>
      </c>
      <c r="J18" s="109"/>
      <c r="K18" s="109"/>
      <c r="L18" s="109"/>
      <c r="M18" s="109">
        <f>IFERROR(__xludf.DUMMYFUNCTION("""COMPUTED_VALUE"""),0.16)</f>
        <v>0.16</v>
      </c>
      <c r="N18" s="109">
        <f>IFERROR(__xludf.DUMMYFUNCTION("""COMPUTED_VALUE"""),1.0)</f>
        <v>1</v>
      </c>
      <c r="O18" s="109"/>
      <c r="P18" s="109" t="str">
        <f>IFERROR(__xludf.DUMMYFUNCTION("""COMPUTED_VALUE"""),"Offset")</f>
        <v>Offset</v>
      </c>
      <c r="Q18" s="109" t="str">
        <f>IFERROR(__xludf.DUMMYFUNCTION("""COMPUTED_VALUE"""),"Packaging")</f>
        <v>Packaging</v>
      </c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15"/>
      <c r="AK18" s="80"/>
      <c r="AL18" s="80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 t="str">
        <f>IFERROR(__xludf.DUMMYFUNCTION("""COMPUTED_VALUE"""),"Packaging")</f>
        <v>Packaging</v>
      </c>
      <c r="BD18" s="73" t="str">
        <f>IFERROR(__xludf.DUMMYFUNCTION("""COMPUTED_VALUE"""),"Carry Bag")</f>
        <v>Carry Bag</v>
      </c>
      <c r="BE18" s="80"/>
      <c r="BF18" s="54"/>
      <c r="BG18" s="113"/>
      <c r="BH18" s="73"/>
      <c r="BI18" s="73"/>
      <c r="BJ18" s="73"/>
      <c r="BK18" s="80"/>
      <c r="BL18" s="80"/>
      <c r="BM18" s="80"/>
      <c r="BN18" s="80"/>
      <c r="BO18" s="80"/>
      <c r="BP18" s="80"/>
      <c r="BQ18" s="80"/>
      <c r="BR18" s="80"/>
      <c r="BS18" s="139" t="s">
        <v>28</v>
      </c>
      <c r="BT18" s="139" t="s">
        <v>68</v>
      </c>
      <c r="BU18" s="73" t="s">
        <v>182</v>
      </c>
      <c r="BV18" s="107">
        <f>Price!$R$4</f>
        <v>47</v>
      </c>
      <c r="BW18" s="73"/>
      <c r="BX18" s="80"/>
      <c r="BY18" s="80"/>
      <c r="BZ18" s="80"/>
      <c r="CA18" s="80"/>
      <c r="CB18" s="80"/>
      <c r="CC18" s="80"/>
      <c r="CD18" s="80" t="str">
        <f t="shared" si="6"/>
        <v/>
      </c>
      <c r="CE18" s="80" t="str">
        <f t="shared" si="7"/>
        <v/>
      </c>
      <c r="CF18" s="80"/>
      <c r="CG18" s="80"/>
      <c r="CH18" s="80"/>
    </row>
    <row r="19">
      <c r="A19" s="123" t="str">
        <f>IFERROR(__xludf.DUMMYFUNCTION("""COMPUTED_VALUE"""),"https://drive.google.com/open?id=1QvJB9MhtDcXsNtKIflALdqXkVyq8VOgJ&amp;authuser=jay.agg%40gmail.com&amp;usp=drive_fs")</f>
        <v>https://drive.google.com/open?id=1QvJB9MhtDcXsNtKIflALdqXkVyq8VOgJ&amp;authuser=jay.agg%40gmail.com&amp;usp=drive_fs</v>
      </c>
      <c r="B19" s="80" t="str">
        <f>IFERROR(__xludf.DUMMYFUNCTION("""COMPUTED_VALUE"""),"Food")</f>
        <v>Food</v>
      </c>
      <c r="C19" s="80" t="str">
        <f>IFERROR(__xludf.DUMMYFUNCTION("""COMPUTED_VALUE"""),"Dry Fruit")</f>
        <v>Dry Fruit</v>
      </c>
      <c r="D19" s="80" t="str">
        <f>IFERROR(__xludf.DUMMYFUNCTION("""COMPUTED_VALUE"""),"102*38*152 | 4*6*1.5 inch LB")</f>
        <v>102*38*152 | 4*6*1.5 inch LB</v>
      </c>
      <c r="E19" s="124">
        <f>IFERROR(__xludf.DUMMYFUNCTION("""COMPUTED_VALUE"""),4.0)</f>
        <v>4</v>
      </c>
      <c r="F19" s="80">
        <f>IFERROR(__xludf.DUMMYFUNCTION("""COMPUTED_VALUE"""),1926.0)</f>
        <v>1926</v>
      </c>
      <c r="G19" s="80">
        <f>IFERROR(__xludf.DUMMYFUNCTION("""COMPUTED_VALUE"""),18.0)</f>
        <v>18</v>
      </c>
      <c r="H19" s="80">
        <f>IFERROR(__xludf.DUMMYFUNCTION("""COMPUTED_VALUE"""),23.0)</f>
        <v>23</v>
      </c>
      <c r="I19" s="80">
        <f>IFERROR(__xludf.DUMMYFUNCTION("""COMPUTED_VALUE"""),100.0)</f>
        <v>100</v>
      </c>
      <c r="J19" s="109"/>
      <c r="K19" s="109"/>
      <c r="L19" s="109"/>
      <c r="M19" s="109">
        <f>IFERROR(__xludf.DUMMYFUNCTION("""COMPUTED_VALUE"""),0.16)</f>
        <v>0.16</v>
      </c>
      <c r="N19" s="109">
        <f>IFERROR(__xludf.DUMMYFUNCTION("""COMPUTED_VALUE"""),1.0)</f>
        <v>1</v>
      </c>
      <c r="O19" s="109"/>
      <c r="P19" s="109" t="str">
        <f>IFERROR(__xludf.DUMMYFUNCTION("""COMPUTED_VALUE"""),"Offset")</f>
        <v>Offset</v>
      </c>
      <c r="Q19" s="109" t="str">
        <f>IFERROR(__xludf.DUMMYFUNCTION("""COMPUTED_VALUE"""),"Packaging")</f>
        <v>Packaging</v>
      </c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15"/>
      <c r="AK19" s="80"/>
      <c r="AL19" s="80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 t="str">
        <f>IFERROR(__xludf.DUMMYFUNCTION("""COMPUTED_VALUE"""),"Packaging")</f>
        <v>Packaging</v>
      </c>
      <c r="BD19" s="73" t="str">
        <f>IFERROR(__xludf.DUMMYFUNCTION("""COMPUTED_VALUE"""),"Cerene")</f>
        <v>Cerene</v>
      </c>
      <c r="BE19" s="80"/>
      <c r="BF19" s="54"/>
      <c r="BG19" s="113"/>
      <c r="BH19" s="73"/>
      <c r="BI19" s="73"/>
      <c r="BJ19" s="73"/>
      <c r="BK19" s="80"/>
      <c r="BL19" s="80"/>
      <c r="BM19" s="80"/>
      <c r="BN19" s="80"/>
      <c r="BO19" s="80"/>
      <c r="BP19" s="80"/>
      <c r="BQ19" s="80"/>
      <c r="BR19" s="80"/>
      <c r="BS19" s="139" t="s">
        <v>28</v>
      </c>
      <c r="BT19" s="88" t="s">
        <v>184</v>
      </c>
      <c r="BU19" s="73" t="s">
        <v>185</v>
      </c>
      <c r="BV19" s="107">
        <f t="shared" ref="BV19:BV21" si="9">$BV$9</f>
        <v>75</v>
      </c>
      <c r="BW19" s="77"/>
      <c r="BX19" s="80"/>
      <c r="BY19" s="80"/>
      <c r="BZ19" s="80"/>
      <c r="CA19" s="80"/>
      <c r="CB19" s="80"/>
      <c r="CC19" s="80"/>
      <c r="CD19" s="80" t="str">
        <f t="shared" si="6"/>
        <v/>
      </c>
      <c r="CE19" s="80" t="str">
        <f t="shared" si="7"/>
        <v/>
      </c>
      <c r="CF19" s="80"/>
      <c r="CG19" s="80"/>
      <c r="CH19" s="80"/>
    </row>
    <row r="20">
      <c r="A20" s="123" t="str">
        <f>IFERROR(__xludf.DUMMYFUNCTION("""COMPUTED_VALUE"""),"https://drive.google.com/open?id=1Qvbr4-fdTQ4l4YcjYooE-rNrrYyvW8zx&amp;authuser=jay.agg%40gmail.com&amp;usp=drive_fs")</f>
        <v>https://drive.google.com/open?id=1Qvbr4-fdTQ4l4YcjYooE-rNrrYyvW8zx&amp;authuser=jay.agg%40gmail.com&amp;usp=drive_fs</v>
      </c>
      <c r="B20" s="80" t="str">
        <f>IFERROR(__xludf.DUMMYFUNCTION("""COMPUTED_VALUE"""),"Food")</f>
        <v>Food</v>
      </c>
      <c r="C20" s="80" t="str">
        <f>IFERROR(__xludf.DUMMYFUNCTION("""COMPUTED_VALUE"""),"Dry Fruit")</f>
        <v>Dry Fruit</v>
      </c>
      <c r="D20" s="80" t="str">
        <f>IFERROR(__xludf.DUMMYFUNCTION("""COMPUTED_VALUE"""),"127*38*203 mm | 5*8*1.5 inch LB")</f>
        <v>127*38*203 mm | 5*8*1.5 inch LB</v>
      </c>
      <c r="E20" s="124">
        <f>IFERROR(__xludf.DUMMYFUNCTION("""COMPUTED_VALUE"""),2.0)</f>
        <v>2</v>
      </c>
      <c r="F20" s="80">
        <f>IFERROR(__xludf.DUMMYFUNCTION("""COMPUTED_VALUE"""),1926.0)</f>
        <v>1926</v>
      </c>
      <c r="G20" s="80">
        <f>IFERROR(__xludf.DUMMYFUNCTION("""COMPUTED_VALUE"""),14.0)</f>
        <v>14</v>
      </c>
      <c r="H20" s="80">
        <f>IFERROR(__xludf.DUMMYFUNCTION("""COMPUTED_VALUE"""),22.0)</f>
        <v>22</v>
      </c>
      <c r="I20" s="80">
        <f>IFERROR(__xludf.DUMMYFUNCTION("""COMPUTED_VALUE"""),100.0)</f>
        <v>100</v>
      </c>
      <c r="J20" s="109"/>
      <c r="K20" s="109"/>
      <c r="L20" s="109"/>
      <c r="M20" s="109">
        <f>IFERROR(__xludf.DUMMYFUNCTION("""COMPUTED_VALUE"""),0.16)</f>
        <v>0.16</v>
      </c>
      <c r="N20" s="109">
        <f>IFERROR(__xludf.DUMMYFUNCTION("""COMPUTED_VALUE"""),1.0)</f>
        <v>1</v>
      </c>
      <c r="O20" s="109"/>
      <c r="P20" s="109" t="str">
        <f>IFERROR(__xludf.DUMMYFUNCTION("""COMPUTED_VALUE"""),"Offset")</f>
        <v>Offset</v>
      </c>
      <c r="Q20" s="109" t="str">
        <f>IFERROR(__xludf.DUMMYFUNCTION("""COMPUTED_VALUE"""),"Packaging")</f>
        <v>Packaging</v>
      </c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15"/>
      <c r="AK20" s="80"/>
      <c r="AL20" s="80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 t="str">
        <f>IFERROR(__xludf.DUMMYFUNCTION("""COMPUTED_VALUE"""),"Packaging")</f>
        <v>Packaging</v>
      </c>
      <c r="BD20" s="73" t="str">
        <f>IFERROR(__xludf.DUMMYFUNCTION("""COMPUTED_VALUE"""),"Computer Accessories")</f>
        <v>Computer Accessories</v>
      </c>
      <c r="BE20" s="80"/>
      <c r="BF20" s="54"/>
      <c r="BG20" s="113"/>
      <c r="BH20" s="73"/>
      <c r="BI20" s="73"/>
      <c r="BJ20" s="73"/>
      <c r="BK20" s="80"/>
      <c r="BL20" s="80"/>
      <c r="BM20" s="80"/>
      <c r="BN20" s="80"/>
      <c r="BO20" s="80"/>
      <c r="BP20" s="80"/>
      <c r="BQ20" s="80"/>
      <c r="BR20" s="80"/>
      <c r="BS20" s="139" t="s">
        <v>28</v>
      </c>
      <c r="BT20" s="88" t="s">
        <v>184</v>
      </c>
      <c r="BU20" s="73" t="s">
        <v>187</v>
      </c>
      <c r="BV20" s="107">
        <f t="shared" si="9"/>
        <v>75</v>
      </c>
      <c r="BW20" s="77"/>
      <c r="BX20" s="80"/>
      <c r="BY20" s="80"/>
      <c r="BZ20" s="80"/>
      <c r="CA20" s="80"/>
      <c r="CB20" s="80"/>
      <c r="CC20" s="80"/>
      <c r="CD20" s="80" t="str">
        <f t="shared" si="6"/>
        <v/>
      </c>
      <c r="CE20" s="80" t="str">
        <f t="shared" si="7"/>
        <v/>
      </c>
      <c r="CF20" s="80"/>
      <c r="CG20" s="80"/>
      <c r="CH20" s="80"/>
    </row>
    <row r="21">
      <c r="A21" s="123" t="str">
        <f>IFERROR(__xludf.DUMMYFUNCTION("""COMPUTED_VALUE"""),"https://drive.google.com/open?id=1Qwbp_CBztdhd4Oo6pQJ3VR0q6w7viL0j&amp;authuser=jay.agg%40gmail.com&amp;usp=drive_fs")</f>
        <v>https://drive.google.com/open?id=1Qwbp_CBztdhd4Oo6pQJ3VR0q6w7viL0j&amp;authuser=jay.agg%40gmail.com&amp;usp=drive_fs</v>
      </c>
      <c r="B21" s="80" t="str">
        <f>IFERROR(__xludf.DUMMYFUNCTION("""COMPUTED_VALUE"""),"Food")</f>
        <v>Food</v>
      </c>
      <c r="C21" s="80" t="str">
        <f>IFERROR(__xludf.DUMMYFUNCTION("""COMPUTED_VALUE"""),"Dry Fruit")</f>
        <v>Dry Fruit</v>
      </c>
      <c r="D21" s="80" t="str">
        <f>IFERROR(__xludf.DUMMYFUNCTION("""COMPUTED_VALUE"""),"140*38*216 mm | 5.5*8.5*1.5 inch LB")</f>
        <v>140*38*216 mm | 5.5*8.5*1.5 inch LB</v>
      </c>
      <c r="E21" s="124">
        <f>IFERROR(__xludf.DUMMYFUNCTION("""COMPUTED_VALUE"""),2.0)</f>
        <v>2</v>
      </c>
      <c r="F21" s="80">
        <f>IFERROR(__xludf.DUMMYFUNCTION("""COMPUTED_VALUE"""),1926.0)</f>
        <v>1926</v>
      </c>
      <c r="G21" s="80">
        <f>IFERROR(__xludf.DUMMYFUNCTION("""COMPUTED_VALUE"""),15.0)</f>
        <v>15</v>
      </c>
      <c r="H21" s="80">
        <f>IFERROR(__xludf.DUMMYFUNCTION("""COMPUTED_VALUE"""),25.0)</f>
        <v>25</v>
      </c>
      <c r="I21" s="80">
        <f>IFERROR(__xludf.DUMMYFUNCTION("""COMPUTED_VALUE"""),100.0)</f>
        <v>100</v>
      </c>
      <c r="J21" s="109"/>
      <c r="K21" s="109"/>
      <c r="L21" s="109"/>
      <c r="M21" s="109">
        <f>IFERROR(__xludf.DUMMYFUNCTION("""COMPUTED_VALUE"""),0.16)</f>
        <v>0.16</v>
      </c>
      <c r="N21" s="109">
        <f>IFERROR(__xludf.DUMMYFUNCTION("""COMPUTED_VALUE"""),1.0)</f>
        <v>1</v>
      </c>
      <c r="O21" s="109"/>
      <c r="P21" s="109" t="str">
        <f>IFERROR(__xludf.DUMMYFUNCTION("""COMPUTED_VALUE"""),"Offset")</f>
        <v>Offset</v>
      </c>
      <c r="Q21" s="109" t="str">
        <f>IFERROR(__xludf.DUMMYFUNCTION("""COMPUTED_VALUE"""),"Packaging")</f>
        <v>Packaging</v>
      </c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15"/>
      <c r="AK21" s="80"/>
      <c r="AL21" s="80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139" t="str">
        <f>IFERROR(__xludf.DUMMYFUNCTION("""COMPUTED_VALUE"""),"Packaging")</f>
        <v>Packaging</v>
      </c>
      <c r="BD21" s="139" t="str">
        <f>IFERROR(__xludf.DUMMYFUNCTION("""COMPUTED_VALUE"""),"Cones")</f>
        <v>Cones</v>
      </c>
      <c r="BE21" s="139"/>
      <c r="BF21" s="73"/>
      <c r="BG21" s="73"/>
      <c r="BH21" s="139"/>
      <c r="BI21" s="139"/>
      <c r="BJ21" s="139"/>
      <c r="BK21" s="139"/>
      <c r="BL21" s="73"/>
      <c r="BM21" s="80"/>
      <c r="BN21" s="80"/>
      <c r="BO21" s="80"/>
      <c r="BP21" s="80"/>
      <c r="BQ21" s="80"/>
      <c r="BR21" s="80"/>
      <c r="BS21" s="139" t="s">
        <v>28</v>
      </c>
      <c r="BT21" s="88" t="s">
        <v>184</v>
      </c>
      <c r="BU21" s="73" t="s">
        <v>197</v>
      </c>
      <c r="BV21" s="107">
        <f t="shared" si="9"/>
        <v>75</v>
      </c>
      <c r="BW21" s="73"/>
      <c r="BX21" s="80"/>
      <c r="BY21" s="80"/>
      <c r="BZ21" s="80"/>
      <c r="CA21" s="80"/>
      <c r="CB21" s="80"/>
      <c r="CC21" s="80"/>
      <c r="CD21" s="80" t="str">
        <f t="shared" si="6"/>
        <v/>
      </c>
      <c r="CE21" s="80" t="str">
        <f t="shared" si="7"/>
        <v/>
      </c>
      <c r="CF21" s="80"/>
      <c r="CG21" s="80"/>
      <c r="CH21" s="80"/>
    </row>
    <row r="22">
      <c r="A22" s="123" t="str">
        <f>IFERROR(__xludf.DUMMYFUNCTION("""COMPUTED_VALUE"""),"https://drive.google.com/open?id=1R0wA1QXQbAwYILUJUKO7z4Ci3IcHThXO&amp;authuser=jay.agg%40gmail.com&amp;usp=drive_fs")</f>
        <v>https://drive.google.com/open?id=1R0wA1QXQbAwYILUJUKO7z4Ci3IcHThXO&amp;authuser=jay.agg%40gmail.com&amp;usp=drive_fs</v>
      </c>
      <c r="B22" s="80" t="str">
        <f>IFERROR(__xludf.DUMMYFUNCTION("""COMPUTED_VALUE"""),"Food")</f>
        <v>Food</v>
      </c>
      <c r="C22" s="80" t="str">
        <f>IFERROR(__xludf.DUMMYFUNCTION("""COMPUTED_VALUE"""),"Dry Fruit")</f>
        <v>Dry Fruit</v>
      </c>
      <c r="D22" s="80" t="str">
        <f>IFERROR(__xludf.DUMMYFUNCTION("""COMPUTED_VALUE"""),"100gram 4*1.5*5 inch LB")</f>
        <v>100gram 4*1.5*5 inch LB</v>
      </c>
      <c r="E22" s="124">
        <f>IFERROR(__xludf.DUMMYFUNCTION("""COMPUTED_VALUE"""),4.0)</f>
        <v>4</v>
      </c>
      <c r="F22" s="80">
        <f>IFERROR(__xludf.DUMMYFUNCTION("""COMPUTED_VALUE"""),1926.0)</f>
        <v>1926</v>
      </c>
      <c r="G22" s="80">
        <f>IFERROR(__xludf.DUMMYFUNCTION("""COMPUTED_VALUE"""),15.0)</f>
        <v>15</v>
      </c>
      <c r="H22" s="80">
        <f>IFERROR(__xludf.DUMMYFUNCTION("""COMPUTED_VALUE"""),25.0)</f>
        <v>25</v>
      </c>
      <c r="I22" s="80">
        <f>IFERROR(__xludf.DUMMYFUNCTION("""COMPUTED_VALUE"""),100.0)</f>
        <v>100</v>
      </c>
      <c r="J22" s="109"/>
      <c r="K22" s="109"/>
      <c r="L22" s="109">
        <f>IFERROR(__xludf.DUMMYFUNCTION("""COMPUTED_VALUE"""),1.0)</f>
        <v>1</v>
      </c>
      <c r="M22" s="109">
        <f>IFERROR(__xludf.DUMMYFUNCTION("""COMPUTED_VALUE"""),0.16)</f>
        <v>0.16</v>
      </c>
      <c r="N22" s="109">
        <f>IFERROR(__xludf.DUMMYFUNCTION("""COMPUTED_VALUE"""),1.0)</f>
        <v>1</v>
      </c>
      <c r="O22" s="109"/>
      <c r="P22" s="109" t="str">
        <f>IFERROR(__xludf.DUMMYFUNCTION("""COMPUTED_VALUE"""),"Offset")</f>
        <v>Offset</v>
      </c>
      <c r="Q22" s="109" t="str">
        <f>IFERROR(__xludf.DUMMYFUNCTION("""COMPUTED_VALUE"""),"Packaging")</f>
        <v>Packaging</v>
      </c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15"/>
      <c r="AK22" s="80"/>
      <c r="AL22" s="80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 t="str">
        <f>IFERROR(__xludf.DUMMYFUNCTION("""COMPUTED_VALUE"""),"Packaging")</f>
        <v>Packaging</v>
      </c>
      <c r="BD22" s="73" t="str">
        <f>IFERROR(__xludf.DUMMYFUNCTION("""COMPUTED_VALUE"""),"Corrugation")</f>
        <v>Corrugation</v>
      </c>
      <c r="BE22" s="73"/>
      <c r="BF22" s="73"/>
      <c r="BG22" s="73"/>
      <c r="BH22" s="73"/>
      <c r="BI22" s="139"/>
      <c r="BJ22" s="73"/>
      <c r="BK22" s="73"/>
      <c r="BL22" s="139"/>
      <c r="BM22" s="80"/>
      <c r="BN22" s="73"/>
      <c r="BO22" s="80"/>
      <c r="BP22" s="80"/>
      <c r="BQ22" s="80"/>
      <c r="BR22" s="80"/>
      <c r="BS22" s="139" t="s">
        <v>30</v>
      </c>
      <c r="BT22" s="73" t="s">
        <v>68</v>
      </c>
      <c r="BU22" s="73" t="s">
        <v>198</v>
      </c>
      <c r="BV22" s="77">
        <f>Price!$Q$7</f>
        <v>78</v>
      </c>
      <c r="BW22" s="73"/>
      <c r="BX22" s="80"/>
      <c r="BY22" s="80"/>
      <c r="BZ22" s="80"/>
      <c r="CA22" s="80"/>
      <c r="CB22" s="80"/>
      <c r="CC22" s="80"/>
      <c r="CD22" s="80" t="str">
        <f t="shared" si="6"/>
        <v/>
      </c>
      <c r="CE22" s="80" t="str">
        <f t="shared" si="7"/>
        <v/>
      </c>
      <c r="CF22" s="80"/>
      <c r="CG22" s="80"/>
      <c r="CH22" s="80"/>
    </row>
    <row r="23">
      <c r="A23" s="123" t="str">
        <f>IFERROR(__xludf.DUMMYFUNCTION("""COMPUTED_VALUE"""),"https://drive.google.com/open?id=1R61V6cd_s3Pq01sfSW5K3t7WSGP_L0As&amp;authuser=jay.agg%40gmail.com&amp;usp=drive_fs")</f>
        <v>https://drive.google.com/open?id=1R61V6cd_s3Pq01sfSW5K3t7WSGP_L0As&amp;authuser=jay.agg%40gmail.com&amp;usp=drive_fs</v>
      </c>
      <c r="B23" s="80" t="str">
        <f>IFERROR(__xludf.DUMMYFUNCTION("""COMPUTED_VALUE"""),"Food")</f>
        <v>Food</v>
      </c>
      <c r="C23" s="80" t="str">
        <f>IFERROR(__xludf.DUMMYFUNCTION("""COMPUTED_VALUE"""),"Dry Fruit")</f>
        <v>Dry Fruit</v>
      </c>
      <c r="D23" s="80" t="str">
        <f>IFERROR(__xludf.DUMMYFUNCTION("""COMPUTED_VALUE"""),"200gram 4.5*1.5*7 inch LB")</f>
        <v>200gram 4.5*1.5*7 inch LB</v>
      </c>
      <c r="E23" s="124">
        <f>IFERROR(__xludf.DUMMYFUNCTION("""COMPUTED_VALUE"""),4.0)</f>
        <v>4</v>
      </c>
      <c r="F23" s="80">
        <f>IFERROR(__xludf.DUMMYFUNCTION("""COMPUTED_VALUE"""),1926.0)</f>
        <v>1926</v>
      </c>
      <c r="G23" s="80">
        <f>IFERROR(__xludf.DUMMYFUNCTION("""COMPUTED_VALUE"""),19.0)</f>
        <v>19</v>
      </c>
      <c r="H23" s="80">
        <f>IFERROR(__xludf.DUMMYFUNCTION("""COMPUTED_VALUE"""),26.0)</f>
        <v>26</v>
      </c>
      <c r="I23" s="80">
        <f>IFERROR(__xludf.DUMMYFUNCTION("""COMPUTED_VALUE"""),100.0)</f>
        <v>100</v>
      </c>
      <c r="J23" s="109"/>
      <c r="K23" s="109"/>
      <c r="L23" s="109">
        <f>IFERROR(__xludf.DUMMYFUNCTION("""COMPUTED_VALUE"""),1.0)</f>
        <v>1</v>
      </c>
      <c r="M23" s="109">
        <f>IFERROR(__xludf.DUMMYFUNCTION("""COMPUTED_VALUE"""),0.16)</f>
        <v>0.16</v>
      </c>
      <c r="N23" s="109">
        <f>IFERROR(__xludf.DUMMYFUNCTION("""COMPUTED_VALUE"""),1.0)</f>
        <v>1</v>
      </c>
      <c r="O23" s="109"/>
      <c r="P23" s="109" t="str">
        <f>IFERROR(__xludf.DUMMYFUNCTION("""COMPUTED_VALUE"""),"Offset")</f>
        <v>Offset</v>
      </c>
      <c r="Q23" s="109" t="str">
        <f>IFERROR(__xludf.DUMMYFUNCTION("""COMPUTED_VALUE"""),"Packaging")</f>
        <v>Packaging</v>
      </c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15"/>
      <c r="AK23" s="80"/>
      <c r="AL23" s="80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 t="str">
        <f>IFERROR(__xludf.DUMMYFUNCTION("""COMPUTED_VALUE"""),"Packaging")</f>
        <v>Packaging</v>
      </c>
      <c r="BD23" s="73" t="str">
        <f>IFERROR(__xludf.DUMMYFUNCTION("""COMPUTED_VALUE"""),"Cosmetic")</f>
        <v>Cosmetic</v>
      </c>
      <c r="BE23" s="73"/>
      <c r="BF23" s="73"/>
      <c r="BG23" s="73"/>
      <c r="BH23" s="73"/>
      <c r="BI23" s="139"/>
      <c r="BJ23" s="73"/>
      <c r="BK23" s="73"/>
      <c r="BL23" s="139"/>
      <c r="BM23" s="80"/>
      <c r="BN23" s="73"/>
      <c r="BO23" s="80"/>
      <c r="BP23" s="80"/>
      <c r="BQ23" s="80"/>
      <c r="BR23" s="80"/>
      <c r="BS23" s="139" t="s">
        <v>30</v>
      </c>
      <c r="BT23" s="88" t="s">
        <v>184</v>
      </c>
      <c r="BU23" s="73" t="s">
        <v>199</v>
      </c>
      <c r="BV23" s="77" t="str">
        <f>Quotation!$C$21</f>
        <v/>
      </c>
      <c r="BW23" s="73"/>
      <c r="BX23" s="80"/>
      <c r="BY23" s="80"/>
      <c r="BZ23" s="80"/>
      <c r="CA23" s="80"/>
      <c r="CB23" s="80"/>
      <c r="CC23" s="80"/>
      <c r="CD23" s="80" t="str">
        <f t="shared" si="6"/>
        <v/>
      </c>
      <c r="CE23" s="80" t="str">
        <f t="shared" si="7"/>
        <v/>
      </c>
      <c r="CF23" s="80"/>
      <c r="CG23" s="80"/>
      <c r="CH23" s="80"/>
    </row>
    <row r="24">
      <c r="A24" s="123" t="str">
        <f>IFERROR(__xludf.DUMMYFUNCTION("""COMPUTED_VALUE"""),"https://drive.google.com/open?id=1R69JTM091j0R6Hbk7JlIcmy1o0TJXQlC&amp;authuser=jay.agg%40gmail.com&amp;usp=drive_fs")</f>
        <v>https://drive.google.com/open?id=1R69JTM091j0R6Hbk7JlIcmy1o0TJXQlC&amp;authuser=jay.agg%40gmail.com&amp;usp=drive_fs</v>
      </c>
      <c r="B24" s="80" t="str">
        <f>IFERROR(__xludf.DUMMYFUNCTION("""COMPUTED_VALUE"""),"Food")</f>
        <v>Food</v>
      </c>
      <c r="C24" s="80" t="str">
        <f>IFERROR(__xludf.DUMMYFUNCTION("""COMPUTED_VALUE"""),"Dry Fruit")</f>
        <v>Dry Fruit</v>
      </c>
      <c r="D24" s="80" t="str">
        <f>IFERROR(__xludf.DUMMYFUNCTION("""COMPUTED_VALUE"""),"250gram 5*1.5*7 inch LB")</f>
        <v>250gram 5*1.5*7 inch LB</v>
      </c>
      <c r="E24" s="124">
        <f>IFERROR(__xludf.DUMMYFUNCTION("""COMPUTED_VALUE"""),2.0)</f>
        <v>2</v>
      </c>
      <c r="F24" s="80">
        <f>IFERROR(__xludf.DUMMYFUNCTION("""COMPUTED_VALUE"""),1926.0)</f>
        <v>1926</v>
      </c>
      <c r="G24" s="80">
        <f>IFERROR(__xludf.DUMMYFUNCTION("""COMPUTED_VALUE"""),14.0)</f>
        <v>14</v>
      </c>
      <c r="H24" s="80">
        <f>IFERROR(__xludf.DUMMYFUNCTION("""COMPUTED_VALUE"""),19.0)</f>
        <v>19</v>
      </c>
      <c r="I24" s="80">
        <f>IFERROR(__xludf.DUMMYFUNCTION("""COMPUTED_VALUE"""),100.0)</f>
        <v>100</v>
      </c>
      <c r="J24" s="109"/>
      <c r="K24" s="109"/>
      <c r="L24" s="109">
        <f>IFERROR(__xludf.DUMMYFUNCTION("""COMPUTED_VALUE"""),1.0)</f>
        <v>1</v>
      </c>
      <c r="M24" s="109">
        <f>IFERROR(__xludf.DUMMYFUNCTION("""COMPUTED_VALUE"""),0.16)</f>
        <v>0.16</v>
      </c>
      <c r="N24" s="109">
        <f>IFERROR(__xludf.DUMMYFUNCTION("""COMPUTED_VALUE"""),1.0)</f>
        <v>1</v>
      </c>
      <c r="O24" s="109"/>
      <c r="P24" s="109" t="str">
        <f>IFERROR(__xludf.DUMMYFUNCTION("""COMPUTED_VALUE"""),"Offset")</f>
        <v>Offset</v>
      </c>
      <c r="Q24" s="109" t="str">
        <f>IFERROR(__xludf.DUMMYFUNCTION("""COMPUTED_VALUE"""),"Packaging")</f>
        <v>Packaging</v>
      </c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15"/>
      <c r="AK24" s="80"/>
      <c r="AL24" s="80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 t="str">
        <f>IFERROR(__xludf.DUMMYFUNCTION("""COMPUTED_VALUE"""),"Packaging")</f>
        <v>Packaging</v>
      </c>
      <c r="BD24" s="73" t="str">
        <f>IFERROR(__xludf.DUMMYFUNCTION("""COMPUTED_VALUE"""),"Cup")</f>
        <v>Cup</v>
      </c>
      <c r="BE24" s="73"/>
      <c r="BF24" s="73"/>
      <c r="BG24" s="73"/>
      <c r="BH24" s="73"/>
      <c r="BI24" s="73"/>
      <c r="BJ24" s="73"/>
      <c r="BK24" s="73"/>
      <c r="BL24" s="80"/>
      <c r="BM24" s="80"/>
      <c r="BN24" s="73"/>
      <c r="BO24" s="80"/>
      <c r="BP24" s="80"/>
      <c r="BQ24" s="80"/>
      <c r="BR24" s="80"/>
      <c r="BS24" s="139" t="s">
        <v>30</v>
      </c>
      <c r="BT24" s="73" t="s">
        <v>68</v>
      </c>
      <c r="BU24" s="73" t="s">
        <v>200</v>
      </c>
      <c r="BV24" s="77">
        <f t="shared" ref="BV24:BV28" si="10">$BV$22</f>
        <v>78</v>
      </c>
      <c r="BW24" s="73"/>
      <c r="BX24" s="80"/>
      <c r="BY24" s="80"/>
      <c r="BZ24" s="80"/>
      <c r="CA24" s="80"/>
      <c r="CB24" s="80"/>
      <c r="CC24" s="80"/>
      <c r="CD24" s="80" t="str">
        <f t="shared" si="6"/>
        <v/>
      </c>
      <c r="CE24" s="80" t="str">
        <f t="shared" si="7"/>
        <v/>
      </c>
      <c r="CF24" s="80"/>
      <c r="CG24" s="80"/>
      <c r="CH24" s="80"/>
    </row>
    <row r="25">
      <c r="A25" s="123" t="str">
        <f>IFERROR(__xludf.DUMMYFUNCTION("""COMPUTED_VALUE"""),"https://drive.google.com/open?id=1QTWTuFZk9eNr_4lY0kX3TKgeYtsriRPs&amp;authuser=jay.agg%40gmail.com&amp;usp=drive_fs")</f>
        <v>https://drive.google.com/open?id=1QTWTuFZk9eNr_4lY0kX3TKgeYtsriRPs&amp;authuser=jay.agg%40gmail.com&amp;usp=drive_fs</v>
      </c>
      <c r="B25" s="80" t="str">
        <f>IFERROR(__xludf.DUMMYFUNCTION("""COMPUTED_VALUE"""),"Food")</f>
        <v>Food</v>
      </c>
      <c r="C25" s="80" t="str">
        <f>IFERROR(__xludf.DUMMYFUNCTION("""COMPUTED_VALUE"""),"Fast Food")</f>
        <v>Fast Food</v>
      </c>
      <c r="D25" s="80" t="str">
        <f>IFERROR(__xludf.DUMMYFUNCTION("""COMPUTED_VALUE"""),"8*7*2 inch")</f>
        <v>8*7*2 inch</v>
      </c>
      <c r="E25" s="124">
        <f>IFERROR(__xludf.DUMMYFUNCTION("""COMPUTED_VALUE"""),1.0)</f>
        <v>1</v>
      </c>
      <c r="F25" s="80">
        <f>IFERROR(__xludf.DUMMYFUNCTION("""COMPUTED_VALUE"""),1926.0)</f>
        <v>1926</v>
      </c>
      <c r="G25" s="80">
        <f>IFERROR(__xludf.DUMMYFUNCTION("""COMPUTED_VALUE"""),18.0)</f>
        <v>18</v>
      </c>
      <c r="H25" s="80">
        <f>IFERROR(__xludf.DUMMYFUNCTION("""COMPUTED_VALUE"""),19.0)</f>
        <v>19</v>
      </c>
      <c r="I25" s="80">
        <f>IFERROR(__xludf.DUMMYFUNCTION("""COMPUTED_VALUE"""),100.0)</f>
        <v>100</v>
      </c>
      <c r="J25" s="109"/>
      <c r="K25" s="109"/>
      <c r="L25" s="109"/>
      <c r="M25" s="109"/>
      <c r="N25" s="109">
        <f>IFERROR(__xludf.DUMMYFUNCTION("""COMPUTED_VALUE"""),1.0)</f>
        <v>1</v>
      </c>
      <c r="O25" s="109"/>
      <c r="P25" s="109" t="str">
        <f>IFERROR(__xludf.DUMMYFUNCTION("""COMPUTED_VALUE"""),"Offset")</f>
        <v>Offset</v>
      </c>
      <c r="Q25" s="109" t="str">
        <f>IFERROR(__xludf.DUMMYFUNCTION("""COMPUTED_VALUE"""),"Packaging")</f>
        <v>Packaging</v>
      </c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15"/>
      <c r="AK25" s="80"/>
      <c r="AL25" s="80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 t="str">
        <f>IFERROR(__xludf.DUMMYFUNCTION("""COMPUTED_VALUE"""),"Packaging")</f>
        <v>Packaging</v>
      </c>
      <c r="BD25" s="73" t="str">
        <f>IFERROR(__xludf.DUMMYFUNCTION("""COMPUTED_VALUE"""),"Daily Essential")</f>
        <v>Daily Essential</v>
      </c>
      <c r="BE25" s="73"/>
      <c r="BF25" s="73"/>
      <c r="BG25" s="73"/>
      <c r="BH25" s="73"/>
      <c r="BI25" s="139"/>
      <c r="BJ25" s="73"/>
      <c r="BK25" s="73"/>
      <c r="BL25" s="139"/>
      <c r="BM25" s="80"/>
      <c r="BN25" s="73"/>
      <c r="BO25" s="80"/>
      <c r="BP25" s="80"/>
      <c r="BQ25" s="80"/>
      <c r="BR25" s="80"/>
      <c r="BS25" s="139" t="s">
        <v>30</v>
      </c>
      <c r="BT25" s="73" t="s">
        <v>68</v>
      </c>
      <c r="BU25" s="73" t="s">
        <v>201</v>
      </c>
      <c r="BV25" s="77">
        <f t="shared" si="10"/>
        <v>78</v>
      </c>
      <c r="BW25" s="73"/>
      <c r="BX25" s="80"/>
      <c r="BY25" s="80"/>
      <c r="BZ25" s="80"/>
      <c r="CA25" s="80"/>
      <c r="CB25" s="80"/>
      <c r="CC25" s="80"/>
      <c r="CD25" s="80" t="str">
        <f t="shared" si="6"/>
        <v/>
      </c>
      <c r="CE25" s="80" t="str">
        <f t="shared" si="7"/>
        <v/>
      </c>
      <c r="CF25" s="80"/>
      <c r="CG25" s="80"/>
      <c r="CH25" s="80"/>
    </row>
    <row r="26">
      <c r="A26" s="123" t="str">
        <f>IFERROR(__xludf.DUMMYFUNCTION("""COMPUTED_VALUE"""),"https://drive.google.com/open?id=1QhZ36zVV0AY4GNL7jcG9woN0_jfH4vH2&amp;authuser=jay.agg%40gmail.com&amp;usp=drive_fs")</f>
        <v>https://drive.google.com/open?id=1QhZ36zVV0AY4GNL7jcG9woN0_jfH4vH2&amp;authuser=jay.agg%40gmail.com&amp;usp=drive_fs</v>
      </c>
      <c r="B26" s="80" t="str">
        <f>IFERROR(__xludf.DUMMYFUNCTION("""COMPUTED_VALUE"""),"Food")</f>
        <v>Food</v>
      </c>
      <c r="C26" s="80" t="str">
        <f>IFERROR(__xludf.DUMMYFUNCTION("""COMPUTED_VALUE"""),"Fast Food")</f>
        <v>Fast Food</v>
      </c>
      <c r="D26" s="80" t="str">
        <f>IFERROR(__xludf.DUMMYFUNCTION("""COMPUTED_VALUE"""),"5*5*4.5 inch")</f>
        <v>5*5*4.5 inch</v>
      </c>
      <c r="E26" s="124">
        <f>IFERROR(__xludf.DUMMYFUNCTION("""COMPUTED_VALUE"""),2.0)</f>
        <v>2</v>
      </c>
      <c r="F26" s="80">
        <f>IFERROR(__xludf.DUMMYFUNCTION("""COMPUTED_VALUE"""),1926.0)</f>
        <v>1926</v>
      </c>
      <c r="G26" s="80">
        <f>IFERROR(__xludf.DUMMYFUNCTION("""COMPUTED_VALUE"""),19.5)</f>
        <v>19.5</v>
      </c>
      <c r="H26" s="80">
        <f>IFERROR(__xludf.DUMMYFUNCTION("""COMPUTED_VALUE"""),23.0)</f>
        <v>23</v>
      </c>
      <c r="I26" s="80">
        <f>IFERROR(__xludf.DUMMYFUNCTION("""COMPUTED_VALUE"""),100.0)</f>
        <v>100</v>
      </c>
      <c r="J26" s="109"/>
      <c r="K26" s="109"/>
      <c r="L26" s="109"/>
      <c r="M26" s="109"/>
      <c r="N26" s="109">
        <f>IFERROR(__xludf.DUMMYFUNCTION("""COMPUTED_VALUE"""),1.0)</f>
        <v>1</v>
      </c>
      <c r="O26" s="109"/>
      <c r="P26" s="109" t="str">
        <f>IFERROR(__xludf.DUMMYFUNCTION("""COMPUTED_VALUE"""),"Offset")</f>
        <v>Offset</v>
      </c>
      <c r="Q26" s="109" t="str">
        <f>IFERROR(__xludf.DUMMYFUNCTION("""COMPUTED_VALUE"""),"Packaging")</f>
        <v>Packaging</v>
      </c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15"/>
      <c r="AK26" s="80"/>
      <c r="AL26" s="80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 t="str">
        <f>IFERROR(__xludf.DUMMYFUNCTION("""COMPUTED_VALUE"""),"Packaging")</f>
        <v>Packaging</v>
      </c>
      <c r="BD26" s="73" t="str">
        <f>IFERROR(__xludf.DUMMYFUNCTION("""COMPUTED_VALUE"""),"Dhoop")</f>
        <v>Dhoop</v>
      </c>
      <c r="BE26" s="73"/>
      <c r="BF26" s="73"/>
      <c r="BG26" s="73"/>
      <c r="BH26" s="73"/>
      <c r="BI26" s="139"/>
      <c r="BJ26" s="73"/>
      <c r="BK26" s="73"/>
      <c r="BL26" s="139"/>
      <c r="BM26" s="80"/>
      <c r="BN26" s="80"/>
      <c r="BO26" s="80"/>
      <c r="BP26" s="80"/>
      <c r="BQ26" s="80"/>
      <c r="BR26" s="80"/>
      <c r="BS26" s="139" t="s">
        <v>30</v>
      </c>
      <c r="BT26" s="73" t="s">
        <v>68</v>
      </c>
      <c r="BU26" s="73" t="s">
        <v>202</v>
      </c>
      <c r="BV26" s="77">
        <f t="shared" si="10"/>
        <v>78</v>
      </c>
      <c r="BW26" s="73"/>
      <c r="BX26" s="80"/>
      <c r="BY26" s="80"/>
      <c r="BZ26" s="80"/>
      <c r="CA26" s="80"/>
      <c r="CB26" s="80"/>
      <c r="CC26" s="80"/>
      <c r="CD26" s="80" t="str">
        <f t="shared" si="6"/>
        <v/>
      </c>
      <c r="CE26" s="80" t="str">
        <f t="shared" si="7"/>
        <v/>
      </c>
      <c r="CF26" s="80"/>
      <c r="CG26" s="80"/>
      <c r="CH26" s="80"/>
    </row>
    <row r="27">
      <c r="A27" s="123" t="str">
        <f>IFERROR(__xludf.DUMMYFUNCTION("""COMPUTED_VALUE"""),"https://drive.google.com/open?id=1Qhw5hCt6AslPxvpSURfZvOXwooNNK0lB&amp;authuser=jay.agg%40gmail.com&amp;usp=drive_fs")</f>
        <v>https://drive.google.com/open?id=1Qhw5hCt6AslPxvpSURfZvOXwooNNK0lB&amp;authuser=jay.agg%40gmail.com&amp;usp=drive_fs</v>
      </c>
      <c r="B27" s="80" t="str">
        <f>IFERROR(__xludf.DUMMYFUNCTION("""COMPUTED_VALUE"""),"Food")</f>
        <v>Food</v>
      </c>
      <c r="C27" s="80" t="str">
        <f>IFERROR(__xludf.DUMMYFUNCTION("""COMPUTED_VALUE"""),"Fast Food")</f>
        <v>Fast Food</v>
      </c>
      <c r="D27" s="80" t="str">
        <f>IFERROR(__xludf.DUMMYFUNCTION("""COMPUTED_VALUE"""),"100*150*45 mm")</f>
        <v>100*150*45 mm</v>
      </c>
      <c r="E27" s="124">
        <f>IFERROR(__xludf.DUMMYFUNCTION("""COMPUTED_VALUE"""),2.0)</f>
        <v>2</v>
      </c>
      <c r="F27" s="80">
        <f>IFERROR(__xludf.DUMMYFUNCTION("""COMPUTED_VALUE"""),1926.0)</f>
        <v>1926</v>
      </c>
      <c r="G27" s="80">
        <f>IFERROR(__xludf.DUMMYFUNCTION("""COMPUTED_VALUE"""),15.0)</f>
        <v>15</v>
      </c>
      <c r="H27" s="80">
        <f>IFERROR(__xludf.DUMMYFUNCTION("""COMPUTED_VALUE"""),20.0)</f>
        <v>20</v>
      </c>
      <c r="I27" s="80">
        <f>IFERROR(__xludf.DUMMYFUNCTION("""COMPUTED_VALUE"""),100.0)</f>
        <v>100</v>
      </c>
      <c r="J27" s="109"/>
      <c r="K27" s="109"/>
      <c r="L27" s="109"/>
      <c r="M27" s="109"/>
      <c r="N27" s="109">
        <f>IFERROR(__xludf.DUMMYFUNCTION("""COMPUTED_VALUE"""),1.0)</f>
        <v>1</v>
      </c>
      <c r="O27" s="109"/>
      <c r="P27" s="109" t="str">
        <f>IFERROR(__xludf.DUMMYFUNCTION("""COMPUTED_VALUE"""),"Offset")</f>
        <v>Offset</v>
      </c>
      <c r="Q27" s="109" t="str">
        <f>IFERROR(__xludf.DUMMYFUNCTION("""COMPUTED_VALUE"""),"Packaging")</f>
        <v>Packaging</v>
      </c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15"/>
      <c r="AK27" s="80"/>
      <c r="AL27" s="80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 t="str">
        <f>IFERROR(__xludf.DUMMYFUNCTION("""COMPUTED_VALUE"""),"Packaging")</f>
        <v>Packaging</v>
      </c>
      <c r="BD27" s="73" t="str">
        <f>IFERROR(__xludf.DUMMYFUNCTION("""COMPUTED_VALUE"""),"Dude Love")</f>
        <v>Dude Love</v>
      </c>
      <c r="BE27" s="73"/>
      <c r="BF27" s="73"/>
      <c r="BG27" s="73"/>
      <c r="BH27" s="73"/>
      <c r="BI27" s="73"/>
      <c r="BJ27" s="73"/>
      <c r="BK27" s="73"/>
      <c r="BL27" s="80"/>
      <c r="BM27" s="80"/>
      <c r="BN27" s="80"/>
      <c r="BO27" s="80"/>
      <c r="BP27" s="80"/>
      <c r="BQ27" s="80"/>
      <c r="BR27" s="80"/>
      <c r="BS27" s="139" t="s">
        <v>30</v>
      </c>
      <c r="BT27" s="73" t="s">
        <v>68</v>
      </c>
      <c r="BU27" s="73" t="s">
        <v>203</v>
      </c>
      <c r="BV27" s="77">
        <f t="shared" si="10"/>
        <v>78</v>
      </c>
      <c r="BW27" s="73"/>
      <c r="BX27" s="80"/>
      <c r="BY27" s="80"/>
      <c r="BZ27" s="80"/>
      <c r="CA27" s="80"/>
      <c r="CB27" s="80"/>
      <c r="CC27" s="80"/>
      <c r="CD27" s="80" t="str">
        <f t="shared" si="6"/>
        <v/>
      </c>
      <c r="CE27" s="80" t="str">
        <f t="shared" si="7"/>
        <v/>
      </c>
      <c r="CF27" s="80"/>
      <c r="CG27" s="80"/>
      <c r="CH27" s="80"/>
    </row>
    <row r="28">
      <c r="A28" s="123" t="str">
        <f>IFERROR(__xludf.DUMMYFUNCTION("""COMPUTED_VALUE"""),"https://drive.google.com/open?id=1QUlYw3yWCJ5eG6Uy83i49XImWyIv8ly_&amp;authuser=jay.agg%40gmail.com&amp;usp=drive_fs")</f>
        <v>https://drive.google.com/open?id=1QUlYw3yWCJ5eG6Uy83i49XImWyIv8ly_&amp;authuser=jay.agg%40gmail.com&amp;usp=drive_fs</v>
      </c>
      <c r="B28" s="80" t="str">
        <f>IFERROR(__xludf.DUMMYFUNCTION("""COMPUTED_VALUE"""),"Food")</f>
        <v>Food</v>
      </c>
      <c r="C28" s="80" t="str">
        <f>IFERROR(__xludf.DUMMYFUNCTION("""COMPUTED_VALUE"""),"Khakra")</f>
        <v>Khakra</v>
      </c>
      <c r="D28" s="80" t="str">
        <f>IFERROR(__xludf.DUMMYFUNCTION("""COMPUTED_VALUE"""),"220*220*30 mm")</f>
        <v>220*220*30 mm</v>
      </c>
      <c r="E28" s="124">
        <f>IFERROR(__xludf.DUMMYFUNCTION("""COMPUTED_VALUE"""),1.0)</f>
        <v>1</v>
      </c>
      <c r="F28" s="80">
        <f>IFERROR(__xludf.DUMMYFUNCTION("""COMPUTED_VALUE"""),1926.0)</f>
        <v>1926</v>
      </c>
      <c r="G28" s="80">
        <f>IFERROR(__xludf.DUMMYFUNCTION("""COMPUTED_VALUE"""),13.0)</f>
        <v>13</v>
      </c>
      <c r="H28" s="80">
        <f>IFERROR(__xludf.DUMMYFUNCTION("""COMPUTED_VALUE"""),21.0)</f>
        <v>21</v>
      </c>
      <c r="I28" s="80">
        <f>IFERROR(__xludf.DUMMYFUNCTION("""COMPUTED_VALUE"""),100.0)</f>
        <v>100</v>
      </c>
      <c r="J28" s="109"/>
      <c r="K28" s="109"/>
      <c r="L28" s="109"/>
      <c r="M28" s="109">
        <f>IFERROR(__xludf.DUMMYFUNCTION("""COMPUTED_VALUE"""),0.1)</f>
        <v>0.1</v>
      </c>
      <c r="N28" s="109">
        <f>IFERROR(__xludf.DUMMYFUNCTION("""COMPUTED_VALUE"""),1.0)</f>
        <v>1</v>
      </c>
      <c r="O28" s="109"/>
      <c r="P28" s="109" t="str">
        <f>IFERROR(__xludf.DUMMYFUNCTION("""COMPUTED_VALUE"""),"Offset")</f>
        <v>Offset</v>
      </c>
      <c r="Q28" s="109" t="str">
        <f>IFERROR(__xludf.DUMMYFUNCTION("""COMPUTED_VALUE"""),"Packaging")</f>
        <v>Packaging</v>
      </c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15"/>
      <c r="AK28" s="80"/>
      <c r="AL28" s="80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 t="str">
        <f>IFERROR(__xludf.DUMMYFUNCTION("""COMPUTED_VALUE"""),"Packaging")</f>
        <v>Packaging</v>
      </c>
      <c r="BD28" s="73" t="str">
        <f>IFERROR(__xludf.DUMMYFUNCTION("""COMPUTED_VALUE"""),"Electricity")</f>
        <v>Electricity</v>
      </c>
      <c r="BE28" s="73"/>
      <c r="BF28" s="73"/>
      <c r="BG28" s="73"/>
      <c r="BH28" s="73"/>
      <c r="BI28" s="73"/>
      <c r="BJ28" s="73"/>
      <c r="BK28" s="73"/>
      <c r="BL28" s="80"/>
      <c r="BM28" s="80"/>
      <c r="BN28" s="80"/>
      <c r="BO28" s="80"/>
      <c r="BP28" s="80"/>
      <c r="BQ28" s="80"/>
      <c r="BR28" s="80"/>
      <c r="BS28" s="139" t="s">
        <v>30</v>
      </c>
      <c r="BT28" s="73" t="s">
        <v>68</v>
      </c>
      <c r="BU28" s="73" t="s">
        <v>204</v>
      </c>
      <c r="BV28" s="77">
        <f t="shared" si="10"/>
        <v>78</v>
      </c>
      <c r="BW28" s="73"/>
      <c r="BX28" s="80"/>
      <c r="BY28" s="80"/>
      <c r="BZ28" s="80"/>
      <c r="CA28" s="80"/>
      <c r="CB28" s="80"/>
      <c r="CC28" s="80"/>
      <c r="CD28" s="80" t="str">
        <f t="shared" si="6"/>
        <v/>
      </c>
      <c r="CE28" s="80" t="str">
        <f t="shared" si="7"/>
        <v/>
      </c>
      <c r="CF28" s="80"/>
      <c r="CG28" s="80"/>
      <c r="CH28" s="80"/>
    </row>
    <row r="29">
      <c r="A29" s="123" t="str">
        <f>IFERROR(__xludf.DUMMYFUNCTION("""COMPUTED_VALUE"""),"https://drive.google.com/open?id=1QRiCFXEjTTmENEZKNbx8VjC2NioVX2p8&amp;authuser=jay.agg%40gmail.com&amp;usp=drive_fs")</f>
        <v>https://drive.google.com/open?id=1QRiCFXEjTTmENEZKNbx8VjC2NioVX2p8&amp;authuser=jay.agg%40gmail.com&amp;usp=drive_fs</v>
      </c>
      <c r="B29" s="80" t="str">
        <f>IFERROR(__xludf.DUMMYFUNCTION("""COMPUTED_VALUE"""),"Food")</f>
        <v>Food</v>
      </c>
      <c r="C29" s="80" t="str">
        <f>IFERROR(__xludf.DUMMYFUNCTION("""COMPUTED_VALUE"""),"Walnut")</f>
        <v>Walnut</v>
      </c>
      <c r="D29" s="80" t="str">
        <f>IFERROR(__xludf.DUMMYFUNCTION("""COMPUTED_VALUE"""),"24*46*161 mm")</f>
        <v>24*46*161 mm</v>
      </c>
      <c r="E29" s="124">
        <f>IFERROR(__xludf.DUMMYFUNCTION("""COMPUTED_VALUE"""),9.0)</f>
        <v>9</v>
      </c>
      <c r="F29" s="80">
        <f>IFERROR(__xludf.DUMMYFUNCTION("""COMPUTED_VALUE"""),1926.0)</f>
        <v>1926</v>
      </c>
      <c r="G29" s="80">
        <f>IFERROR(__xludf.DUMMYFUNCTION("""COMPUTED_VALUE"""),19.0)</f>
        <v>19</v>
      </c>
      <c r="H29" s="80">
        <f>IFERROR(__xludf.DUMMYFUNCTION("""COMPUTED_VALUE"""),26.0)</f>
        <v>26</v>
      </c>
      <c r="I29" s="80">
        <f>IFERROR(__xludf.DUMMYFUNCTION("""COMPUTED_VALUE"""),100.0)</f>
        <v>100</v>
      </c>
      <c r="J29" s="109"/>
      <c r="K29" s="109"/>
      <c r="L29" s="109"/>
      <c r="M29" s="109">
        <f>IFERROR(__xludf.DUMMYFUNCTION("""COMPUTED_VALUE"""),0.1)</f>
        <v>0.1</v>
      </c>
      <c r="N29" s="109">
        <f>IFERROR(__xludf.DUMMYFUNCTION("""COMPUTED_VALUE"""),1.0)</f>
        <v>1</v>
      </c>
      <c r="O29" s="109"/>
      <c r="P29" s="109" t="str">
        <f>IFERROR(__xludf.DUMMYFUNCTION("""COMPUTED_VALUE"""),"Offset")</f>
        <v>Offset</v>
      </c>
      <c r="Q29" s="109" t="str">
        <f>IFERROR(__xludf.DUMMYFUNCTION("""COMPUTED_VALUE"""),"Packaging")</f>
        <v>Packaging</v>
      </c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15"/>
      <c r="AK29" s="80"/>
      <c r="AL29" s="80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88" t="str">
        <f>IFERROR(__xludf.DUMMYFUNCTION("""COMPUTED_VALUE"""),"Packaging")</f>
        <v>Packaging</v>
      </c>
      <c r="BD29" s="88" t="str">
        <f>IFERROR(__xludf.DUMMYFUNCTION("""COMPUTED_VALUE"""),"Everstylish")</f>
        <v>Everstylish</v>
      </c>
      <c r="BE29" s="73"/>
      <c r="BF29" s="73"/>
      <c r="BG29" s="73"/>
      <c r="BH29" s="73"/>
      <c r="BI29" s="73"/>
      <c r="BJ29" s="73"/>
      <c r="BK29" s="73"/>
      <c r="BL29" s="80"/>
      <c r="BM29" s="80"/>
      <c r="BN29" s="80"/>
      <c r="BO29" s="80"/>
      <c r="BP29" s="80"/>
      <c r="BQ29" s="80"/>
      <c r="BR29" s="80"/>
      <c r="BS29" s="139"/>
      <c r="BT29" s="73"/>
      <c r="BU29" s="73"/>
      <c r="BV29" s="73"/>
      <c r="BW29" s="73"/>
      <c r="BX29" s="80"/>
      <c r="BY29" s="80"/>
      <c r="BZ29" s="80"/>
      <c r="CA29" s="80"/>
      <c r="CB29" s="80"/>
      <c r="CC29" s="80"/>
      <c r="CD29" s="80" t="str">
        <f t="shared" si="6"/>
        <v/>
      </c>
      <c r="CE29" s="80" t="str">
        <f t="shared" si="7"/>
        <v/>
      </c>
      <c r="CF29" s="80"/>
      <c r="CG29" s="80"/>
      <c r="CH29" s="80"/>
    </row>
    <row r="30">
      <c r="A30" s="123" t="str">
        <f>IFERROR(__xludf.DUMMYFUNCTION("""COMPUTED_VALUE"""),"https://drive.google.com/open?id=1QQdUxmlDOPkf9Hsc7uKFwvH0Xou6f57E&amp;authuser=jay.agg%40gmail.com&amp;usp=drive_fs")</f>
        <v>https://drive.google.com/open?id=1QQdUxmlDOPkf9Hsc7uKFwvH0Xou6f57E&amp;authuser=jay.agg%40gmail.com&amp;usp=drive_fs</v>
      </c>
      <c r="B30" s="80" t="str">
        <f>IFERROR(__xludf.DUMMYFUNCTION("""COMPUTED_VALUE"""),"Food")</f>
        <v>Food</v>
      </c>
      <c r="C30" s="80" t="str">
        <f>IFERROR(__xludf.DUMMYFUNCTION("""COMPUTED_VALUE"""),"Chocolate")</f>
        <v>Chocolate</v>
      </c>
      <c r="D30" s="80" t="str">
        <f>IFERROR(__xludf.DUMMYFUNCTION("""COMPUTED_VALUE"""),"50*50*100 mm")</f>
        <v>50*50*100 mm</v>
      </c>
      <c r="E30" s="124">
        <f>IFERROR(__xludf.DUMMYFUNCTION("""COMPUTED_VALUE"""),6.0)</f>
        <v>6</v>
      </c>
      <c r="F30" s="80">
        <f>IFERROR(__xludf.DUMMYFUNCTION("""COMPUTED_VALUE"""),1926.0)</f>
        <v>1926</v>
      </c>
      <c r="G30" s="80">
        <f>IFERROR(__xludf.DUMMYFUNCTION("""COMPUTED_VALUE"""),18.0)</f>
        <v>18</v>
      </c>
      <c r="H30" s="80">
        <f>IFERROR(__xludf.DUMMYFUNCTION("""COMPUTED_VALUE"""),25.0)</f>
        <v>25</v>
      </c>
      <c r="I30" s="80">
        <f>IFERROR(__xludf.DUMMYFUNCTION("""COMPUTED_VALUE"""),100.0)</f>
        <v>100</v>
      </c>
      <c r="J30" s="109"/>
      <c r="K30" s="109"/>
      <c r="L30" s="109"/>
      <c r="M30" s="109">
        <f>IFERROR(__xludf.DUMMYFUNCTION("""COMPUTED_VALUE"""),0.1)</f>
        <v>0.1</v>
      </c>
      <c r="N30" s="109">
        <f>IFERROR(__xludf.DUMMYFUNCTION("""COMPUTED_VALUE"""),1.0)</f>
        <v>1</v>
      </c>
      <c r="O30" s="109"/>
      <c r="P30" s="109" t="str">
        <f>IFERROR(__xludf.DUMMYFUNCTION("""COMPUTED_VALUE"""),"Offset")</f>
        <v>Offset</v>
      </c>
      <c r="Q30" s="109" t="str">
        <f>IFERROR(__xludf.DUMMYFUNCTION("""COMPUTED_VALUE"""),"Packaging")</f>
        <v>Packaging</v>
      </c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15"/>
      <c r="AK30" s="80"/>
      <c r="AL30" s="80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 t="str">
        <f>IFERROR(__xludf.DUMMYFUNCTION("""COMPUTED_VALUE"""),"Packaging")</f>
        <v>Packaging</v>
      </c>
      <c r="BD30" s="73" t="str">
        <f>IFERROR(__xludf.DUMMYFUNCTION("""COMPUTED_VALUE"""),"FMCG")</f>
        <v>FMCG</v>
      </c>
      <c r="BE30" s="73"/>
      <c r="BF30" s="73"/>
      <c r="BG30" s="73"/>
      <c r="BH30" s="73"/>
      <c r="BI30" s="73"/>
      <c r="BJ30" s="73"/>
      <c r="BK30" s="88"/>
      <c r="BL30" s="80"/>
      <c r="BM30" s="80"/>
      <c r="BN30" s="80"/>
      <c r="BO30" s="80"/>
      <c r="BP30" s="80"/>
      <c r="BQ30" s="80"/>
      <c r="BR30" s="80"/>
      <c r="BS30" s="73"/>
      <c r="BT30" s="73"/>
      <c r="BU30" s="73"/>
      <c r="BV30" s="73"/>
      <c r="BW30" s="73"/>
      <c r="BX30" s="80"/>
      <c r="BY30" s="80"/>
      <c r="BZ30" s="80"/>
      <c r="CA30" s="80"/>
      <c r="CB30" s="80"/>
      <c r="CC30" s="80"/>
      <c r="CD30" s="80" t="str">
        <f t="shared" si="6"/>
        <v/>
      </c>
      <c r="CE30" s="80" t="str">
        <f t="shared" si="7"/>
        <v/>
      </c>
      <c r="CF30" s="80"/>
      <c r="CG30" s="80"/>
      <c r="CH30" s="80"/>
    </row>
    <row r="31">
      <c r="A31" s="123" t="str">
        <f>IFERROR(__xludf.DUMMYFUNCTION("""COMPUTED_VALUE"""),"https://drive.google.com/open?id=1QtXn0evE-9VW4-ZQJmVDufU_5NTVKUY6&amp;authuser=jay.agg%40gmail.com&amp;usp=drive_fs")</f>
        <v>https://drive.google.com/open?id=1QtXn0evE-9VW4-ZQJmVDufU_5NTVKUY6&amp;authuser=jay.agg%40gmail.com&amp;usp=drive_fs</v>
      </c>
      <c r="B31" s="80" t="str">
        <f>IFERROR(__xludf.DUMMYFUNCTION("""COMPUTED_VALUE"""),"Food")</f>
        <v>Food</v>
      </c>
      <c r="C31" s="80" t="str">
        <f>IFERROR(__xludf.DUMMYFUNCTION("""COMPUTED_VALUE"""),"Butter")</f>
        <v>Butter</v>
      </c>
      <c r="D31" s="80" t="str">
        <f>IFERROR(__xludf.DUMMYFUNCTION("""COMPUTED_VALUE"""),"70*63*130 mm")</f>
        <v>70*63*130 mm</v>
      </c>
      <c r="E31" s="124">
        <f>IFERROR(__xludf.DUMMYFUNCTION("""COMPUTED_VALUE"""),2.0)</f>
        <v>2</v>
      </c>
      <c r="F31" s="80">
        <f>IFERROR(__xludf.DUMMYFUNCTION("""COMPUTED_VALUE"""),1926.0)</f>
        <v>1926</v>
      </c>
      <c r="G31" s="80">
        <f>IFERROR(__xludf.DUMMYFUNCTION("""COMPUTED_VALUE"""),12.0)</f>
        <v>12</v>
      </c>
      <c r="H31" s="80">
        <f>IFERROR(__xludf.DUMMYFUNCTION("""COMPUTED_VALUE"""),21.0)</f>
        <v>21</v>
      </c>
      <c r="I31" s="80">
        <f>IFERROR(__xludf.DUMMYFUNCTION("""COMPUTED_VALUE"""),100.0)</f>
        <v>100</v>
      </c>
      <c r="J31" s="109"/>
      <c r="K31" s="109"/>
      <c r="L31" s="109"/>
      <c r="M31" s="109">
        <f>IFERROR(__xludf.DUMMYFUNCTION("""COMPUTED_VALUE"""),0.1)</f>
        <v>0.1</v>
      </c>
      <c r="N31" s="109">
        <f>IFERROR(__xludf.DUMMYFUNCTION("""COMPUTED_VALUE"""),1.0)</f>
        <v>1</v>
      </c>
      <c r="O31" s="109"/>
      <c r="P31" s="109" t="str">
        <f>IFERROR(__xludf.DUMMYFUNCTION("""COMPUTED_VALUE"""),"Offset")</f>
        <v>Offset</v>
      </c>
      <c r="Q31" s="109" t="str">
        <f>IFERROR(__xludf.DUMMYFUNCTION("""COMPUTED_VALUE"""),"Packaging")</f>
        <v>Packaging</v>
      </c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15"/>
      <c r="AK31" s="80"/>
      <c r="AL31" s="80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 t="str">
        <f>IFERROR(__xludf.DUMMYFUNCTION("""COMPUTED_VALUE"""),"Packaging")</f>
        <v>Packaging</v>
      </c>
      <c r="BD31" s="73" t="str">
        <f>IFERROR(__xludf.DUMMYFUNCTION("""COMPUTED_VALUE"""),"Food")</f>
        <v>Food</v>
      </c>
      <c r="BE31" s="73"/>
      <c r="BF31" s="73"/>
      <c r="BG31" s="73"/>
      <c r="BH31" s="88"/>
      <c r="BI31" s="88"/>
      <c r="BJ31" s="80"/>
      <c r="BK31" s="73"/>
      <c r="BL31" s="80"/>
      <c r="BM31" s="80"/>
      <c r="BN31" s="80"/>
      <c r="BO31" s="80"/>
      <c r="BP31" s="80"/>
      <c r="BQ31" s="80"/>
      <c r="BR31" s="80"/>
      <c r="BS31" s="139" t="s">
        <v>29</v>
      </c>
      <c r="BT31" s="73" t="s">
        <v>68</v>
      </c>
      <c r="BU31" s="73" t="s">
        <v>200</v>
      </c>
      <c r="BV31" s="77">
        <f>Price!$P$7</f>
        <v>115</v>
      </c>
      <c r="BW31" s="73"/>
      <c r="BX31" s="80"/>
      <c r="BY31" s="80"/>
      <c r="BZ31" s="80"/>
      <c r="CA31" s="80"/>
      <c r="CB31" s="80"/>
      <c r="CC31" s="80"/>
      <c r="CD31" s="80" t="str">
        <f t="shared" si="6"/>
        <v/>
      </c>
      <c r="CE31" s="80" t="str">
        <f t="shared" si="7"/>
        <v/>
      </c>
      <c r="CF31" s="80"/>
      <c r="CG31" s="80"/>
      <c r="CH31" s="80"/>
    </row>
    <row r="32">
      <c r="A32" s="123" t="str">
        <f>IFERROR(__xludf.DUMMYFUNCTION("""COMPUTED_VALUE"""),"https://drive.google.com/open?id=1j2Ak7n2uIi0WIIJrDAWZ9xkRCHIeqUHe&amp;authuser=jay.agg%40gmail.com&amp;usp=drive_fs")</f>
        <v>https://drive.google.com/open?id=1j2Ak7n2uIi0WIIJrDAWZ9xkRCHIeqUHe&amp;authuser=jay.agg%40gmail.com&amp;usp=drive_fs</v>
      </c>
      <c r="B32" s="80" t="str">
        <f>IFERROR(__xludf.DUMMYFUNCTION("""COMPUTED_VALUE"""),"Food")</f>
        <v>Food</v>
      </c>
      <c r="C32" s="80" t="str">
        <f>IFERROR(__xludf.DUMMYFUNCTION("""COMPUTED_VALUE"""),"Fast Food")</f>
        <v>Fast Food</v>
      </c>
      <c r="D32" s="80" t="str">
        <f>IFERROR(__xludf.DUMMYFUNCTION("""COMPUTED_VALUE"""),"Sleeve 5.25*3.25*2.25 inch")</f>
        <v>Sleeve 5.25*3.25*2.25 inch</v>
      </c>
      <c r="E32" s="124">
        <f>IFERROR(__xludf.DUMMYFUNCTION("""COMPUTED_VALUE"""),6.0)</f>
        <v>6</v>
      </c>
      <c r="F32" s="80">
        <f>IFERROR(__xludf.DUMMYFUNCTION("""COMPUTED_VALUE"""),1926.0)</f>
        <v>1926</v>
      </c>
      <c r="G32" s="80">
        <f>IFERROR(__xludf.DUMMYFUNCTION("""COMPUTED_VALUE"""),18.0)</f>
        <v>18</v>
      </c>
      <c r="H32" s="80">
        <f>IFERROR(__xludf.DUMMYFUNCTION("""COMPUTED_VALUE"""),23.0)</f>
        <v>23</v>
      </c>
      <c r="I32" s="80">
        <f>IFERROR(__xludf.DUMMYFUNCTION("""COMPUTED_VALUE"""),100.0)</f>
        <v>100</v>
      </c>
      <c r="J32" s="109"/>
      <c r="K32" s="109"/>
      <c r="L32" s="109"/>
      <c r="M32" s="109">
        <f>IFERROR(__xludf.DUMMYFUNCTION("""COMPUTED_VALUE"""),0.1)</f>
        <v>0.1</v>
      </c>
      <c r="N32" s="109">
        <f>IFERROR(__xludf.DUMMYFUNCTION("""COMPUTED_VALUE"""),1.0)</f>
        <v>1</v>
      </c>
      <c r="O32" s="109"/>
      <c r="P32" s="109" t="str">
        <f>IFERROR(__xludf.DUMMYFUNCTION("""COMPUTED_VALUE"""),"Offset")</f>
        <v>Offset</v>
      </c>
      <c r="Q32" s="109" t="str">
        <f>IFERROR(__xludf.DUMMYFUNCTION("""COMPUTED_VALUE"""),"Packaging")</f>
        <v>Packaging</v>
      </c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15"/>
      <c r="AK32" s="80"/>
      <c r="AL32" s="80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 t="str">
        <f>IFERROR(__xludf.DUMMYFUNCTION("""COMPUTED_VALUE"""),"Packaging")</f>
        <v>Packaging</v>
      </c>
      <c r="BD32" s="73" t="str">
        <f>IFERROR(__xludf.DUMMYFUNCTION("""COMPUTED_VALUE"""),"Fratelli")</f>
        <v>Fratelli</v>
      </c>
      <c r="BE32" s="73"/>
      <c r="BF32" s="73"/>
      <c r="BG32" s="73"/>
      <c r="BH32" s="88"/>
      <c r="BI32" s="88"/>
      <c r="BJ32" s="73"/>
      <c r="BK32" s="73"/>
      <c r="BL32" s="80"/>
      <c r="BM32" s="80"/>
      <c r="BN32" s="73"/>
      <c r="BO32" s="80"/>
      <c r="BP32" s="80"/>
      <c r="BQ32" s="80"/>
      <c r="BR32" s="80"/>
      <c r="BS32" s="139" t="s">
        <v>29</v>
      </c>
      <c r="BT32" s="73" t="s">
        <v>68</v>
      </c>
      <c r="BU32" s="73" t="s">
        <v>201</v>
      </c>
      <c r="BV32" s="77">
        <f>Price!$P$7</f>
        <v>115</v>
      </c>
      <c r="BW32" s="73"/>
      <c r="BX32" s="80"/>
      <c r="BY32" s="80"/>
      <c r="BZ32" s="80"/>
      <c r="CA32" s="80"/>
      <c r="CB32" s="80"/>
      <c r="CC32" s="80"/>
      <c r="CD32" s="80" t="str">
        <f t="shared" si="6"/>
        <v/>
      </c>
      <c r="CE32" s="80" t="str">
        <f t="shared" si="7"/>
        <v/>
      </c>
      <c r="CF32" s="80"/>
      <c r="CG32" s="80"/>
      <c r="CH32" s="80"/>
    </row>
    <row r="33">
      <c r="A33" s="123" t="str">
        <f>IFERROR(__xludf.DUMMYFUNCTION("""COMPUTED_VALUE"""),"https://drive.google.com/open?id=1jIKxVpMBt0sYXYuHJ9pjoEVFnOlIpxpb&amp;authuser=jay.agg%40gmail.com&amp;usp=drive_fs")</f>
        <v>https://drive.google.com/open?id=1jIKxVpMBt0sYXYuHJ9pjoEVFnOlIpxpb&amp;authuser=jay.agg%40gmail.com&amp;usp=drive_fs</v>
      </c>
      <c r="B33" s="80" t="str">
        <f>IFERROR(__xludf.DUMMYFUNCTION("""COMPUTED_VALUE"""),"Food")</f>
        <v>Food</v>
      </c>
      <c r="C33" s="80" t="str">
        <f>IFERROR(__xludf.DUMMYFUNCTION("""COMPUTED_VALUE"""),"Fast Food")</f>
        <v>Fast Food</v>
      </c>
      <c r="D33" s="80" t="str">
        <f>IFERROR(__xludf.DUMMYFUNCTION("""COMPUTED_VALUE"""),"9.375*3.75*2 inch")</f>
        <v>9.375*3.75*2 inch</v>
      </c>
      <c r="E33" s="124">
        <f>IFERROR(__xludf.DUMMYFUNCTION("""COMPUTED_VALUE"""),2.0)</f>
        <v>2</v>
      </c>
      <c r="F33" s="80">
        <f>IFERROR(__xludf.DUMMYFUNCTION("""COMPUTED_VALUE"""),1926.0)</f>
        <v>1926</v>
      </c>
      <c r="G33" s="80">
        <f>IFERROR(__xludf.DUMMYFUNCTION("""COMPUTED_VALUE"""),18.0)</f>
        <v>18</v>
      </c>
      <c r="H33" s="80">
        <f>IFERROR(__xludf.DUMMYFUNCTION("""COMPUTED_VALUE"""),25.0)</f>
        <v>25</v>
      </c>
      <c r="I33" s="80">
        <f>IFERROR(__xludf.DUMMYFUNCTION("""COMPUTED_VALUE"""),100.0)</f>
        <v>100</v>
      </c>
      <c r="J33" s="109"/>
      <c r="K33" s="109"/>
      <c r="L33" s="109"/>
      <c r="M33" s="109"/>
      <c r="N33" s="109">
        <f>IFERROR(__xludf.DUMMYFUNCTION("""COMPUTED_VALUE"""),1.0)</f>
        <v>1</v>
      </c>
      <c r="O33" s="109"/>
      <c r="P33" s="109" t="str">
        <f>IFERROR(__xludf.DUMMYFUNCTION("""COMPUTED_VALUE"""),"Offset")</f>
        <v>Offset</v>
      </c>
      <c r="Q33" s="109" t="str">
        <f>IFERROR(__xludf.DUMMYFUNCTION("""COMPUTED_VALUE"""),"Packaging")</f>
        <v>Packaging</v>
      </c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15"/>
      <c r="AK33" s="80"/>
      <c r="AL33" s="80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 t="str">
        <f>IFERROR(__xludf.DUMMYFUNCTION("""COMPUTED_VALUE"""),"Packaging")</f>
        <v>Packaging</v>
      </c>
      <c r="BD33" s="73" t="str">
        <f>IFERROR(__xludf.DUMMYFUNCTION("""COMPUTED_VALUE"""),"Games")</f>
        <v>Games</v>
      </c>
      <c r="BE33" s="73"/>
      <c r="BF33" s="73"/>
      <c r="BG33" s="73"/>
      <c r="BH33" s="88"/>
      <c r="BI33" s="54"/>
      <c r="BJ33" s="73"/>
      <c r="BK33" s="73"/>
      <c r="BL33" s="80"/>
      <c r="BM33" s="80"/>
      <c r="BN33" s="73"/>
      <c r="BO33" s="80"/>
      <c r="BP33" s="80"/>
      <c r="BQ33" s="80"/>
      <c r="BR33" s="80"/>
      <c r="BS33" s="139" t="s">
        <v>29</v>
      </c>
      <c r="BT33" s="73" t="s">
        <v>68</v>
      </c>
      <c r="BU33" s="73" t="s">
        <v>202</v>
      </c>
      <c r="BV33" s="77">
        <f>Price!$P$7</f>
        <v>115</v>
      </c>
      <c r="BW33" s="73"/>
      <c r="BX33" s="80"/>
      <c r="BY33" s="80"/>
      <c r="BZ33" s="80"/>
      <c r="CA33" s="80"/>
      <c r="CB33" s="80"/>
      <c r="CC33" s="80"/>
      <c r="CD33" s="80" t="str">
        <f t="shared" si="6"/>
        <v/>
      </c>
      <c r="CE33" s="80" t="str">
        <f t="shared" si="7"/>
        <v/>
      </c>
      <c r="CF33" s="80"/>
      <c r="CG33" s="80"/>
      <c r="CH33" s="80"/>
    </row>
    <row r="34">
      <c r="A34" s="123" t="str">
        <f>IFERROR(__xludf.DUMMYFUNCTION("""COMPUTED_VALUE"""),"https://drive.google.com/open?id=1jPGlPvth33ow0BsuXPn_9Fd0aGa4tOR5&amp;authuser=jay.agg%40gmail.com&amp;usp=drive_fs")</f>
        <v>https://drive.google.com/open?id=1jPGlPvth33ow0BsuXPn_9Fd0aGa4tOR5&amp;authuser=jay.agg%40gmail.com&amp;usp=drive_fs</v>
      </c>
      <c r="B34" s="80" t="str">
        <f>IFERROR(__xludf.DUMMYFUNCTION("""COMPUTED_VALUE"""),"Food")</f>
        <v>Food</v>
      </c>
      <c r="C34" s="80" t="str">
        <f>IFERROR(__xludf.DUMMYFUNCTION("""COMPUTED_VALUE"""),"Fast Food")</f>
        <v>Fast Food</v>
      </c>
      <c r="D34" s="80" t="str">
        <f>IFERROR(__xludf.DUMMYFUNCTION("""COMPUTED_VALUE"""),"Momos 5.25*3.25*2.25 inch")</f>
        <v>Momos 5.25*3.25*2.25 inch</v>
      </c>
      <c r="E34" s="124">
        <f>IFERROR(__xludf.DUMMYFUNCTION("""COMPUTED_VALUE"""),2.0)</f>
        <v>2</v>
      </c>
      <c r="F34" s="80">
        <f>IFERROR(__xludf.DUMMYFUNCTION("""COMPUTED_VALUE"""),1926.0)</f>
        <v>1926</v>
      </c>
      <c r="G34" s="80">
        <f>IFERROR(__xludf.DUMMYFUNCTION("""COMPUTED_VALUE"""),15.0)</f>
        <v>15</v>
      </c>
      <c r="H34" s="80">
        <f>IFERROR(__xludf.DUMMYFUNCTION("""COMPUTED_VALUE"""),25.0)</f>
        <v>25</v>
      </c>
      <c r="I34" s="80">
        <f>IFERROR(__xludf.DUMMYFUNCTION("""COMPUTED_VALUE"""),100.0)</f>
        <v>100</v>
      </c>
      <c r="J34" s="109"/>
      <c r="K34" s="109"/>
      <c r="L34" s="109"/>
      <c r="M34" s="109"/>
      <c r="N34" s="109">
        <f>IFERROR(__xludf.DUMMYFUNCTION("""COMPUTED_VALUE"""),1.0)</f>
        <v>1</v>
      </c>
      <c r="O34" s="109"/>
      <c r="P34" s="109" t="str">
        <f>IFERROR(__xludf.DUMMYFUNCTION("""COMPUTED_VALUE"""),"Offset")</f>
        <v>Offset</v>
      </c>
      <c r="Q34" s="109" t="str">
        <f>IFERROR(__xludf.DUMMYFUNCTION("""COMPUTED_VALUE"""),"Packaging")</f>
        <v>Packaging</v>
      </c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15"/>
      <c r="AK34" s="80"/>
      <c r="AL34" s="80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 t="str">
        <f>IFERROR(__xludf.DUMMYFUNCTION("""COMPUTED_VALUE"""),"Packaging")</f>
        <v>Packaging</v>
      </c>
      <c r="BD34" s="73" t="str">
        <f>IFERROR(__xludf.DUMMYFUNCTION("""COMPUTED_VALUE"""),"Gugal Loban Cup")</f>
        <v>Gugal Loban Cup</v>
      </c>
      <c r="BE34" s="73"/>
      <c r="BF34" s="73"/>
      <c r="BG34" s="73"/>
      <c r="BH34" s="80"/>
      <c r="BI34" s="54"/>
      <c r="BJ34" s="73"/>
      <c r="BK34" s="73"/>
      <c r="BL34" s="80"/>
      <c r="BM34" s="80"/>
      <c r="BN34" s="73"/>
      <c r="BO34" s="80"/>
      <c r="BP34" s="80"/>
      <c r="BQ34" s="80"/>
      <c r="BR34" s="80"/>
      <c r="BS34" s="139" t="s">
        <v>29</v>
      </c>
      <c r="BT34" s="73" t="s">
        <v>68</v>
      </c>
      <c r="BU34" s="73" t="s">
        <v>203</v>
      </c>
      <c r="BV34" s="77">
        <f>Price!$P$7</f>
        <v>115</v>
      </c>
      <c r="BW34" s="73"/>
      <c r="BX34" s="80"/>
      <c r="BY34" s="80"/>
      <c r="BZ34" s="80"/>
      <c r="CA34" s="80"/>
      <c r="CB34" s="80"/>
      <c r="CC34" s="80"/>
      <c r="CD34" s="80" t="str">
        <f t="shared" si="6"/>
        <v/>
      </c>
      <c r="CE34" s="80" t="str">
        <f t="shared" si="7"/>
        <v/>
      </c>
      <c r="CF34" s="80"/>
      <c r="CG34" s="80"/>
      <c r="CH34" s="80"/>
    </row>
    <row r="35">
      <c r="A35" s="123" t="str">
        <f>IFERROR(__xludf.DUMMYFUNCTION("""COMPUTED_VALUE"""),"https://drive.google.com/open?id=1jPSj61Xjqqhp0yAUgpJijU3oteatln8h&amp;authuser=jay.agg%40gmail.com&amp;usp=drive_fs")</f>
        <v>https://drive.google.com/open?id=1jPSj61Xjqqhp0yAUgpJijU3oteatln8h&amp;authuser=jay.agg%40gmail.com&amp;usp=drive_fs</v>
      </c>
      <c r="B35" s="80" t="str">
        <f>IFERROR(__xludf.DUMMYFUNCTION("""COMPUTED_VALUE"""),"Food")</f>
        <v>Food</v>
      </c>
      <c r="C35" s="80" t="str">
        <f>IFERROR(__xludf.DUMMYFUNCTION("""COMPUTED_VALUE"""),"Fast Food")</f>
        <v>Fast Food</v>
      </c>
      <c r="D35" s="80" t="str">
        <f>IFERROR(__xludf.DUMMYFUNCTION("""COMPUTED_VALUE"""),"Kathi Roll 55*55*230 mm LB")</f>
        <v>Kathi Roll 55*55*230 mm LB</v>
      </c>
      <c r="E35" s="124">
        <f>IFERROR(__xludf.DUMMYFUNCTION("""COMPUTED_VALUE"""),4.0)</f>
        <v>4</v>
      </c>
      <c r="F35" s="80">
        <f>IFERROR(__xludf.DUMMYFUNCTION("""COMPUTED_VALUE"""),1926.0)</f>
        <v>1926</v>
      </c>
      <c r="G35" s="80">
        <f>IFERROR(__xludf.DUMMYFUNCTION("""COMPUTED_VALUE"""),19.0)</f>
        <v>19</v>
      </c>
      <c r="H35" s="80">
        <f>IFERROR(__xludf.DUMMYFUNCTION("""COMPUTED_VALUE"""),26.0)</f>
        <v>26</v>
      </c>
      <c r="I35" s="80">
        <f>IFERROR(__xludf.DUMMYFUNCTION("""COMPUTED_VALUE"""),100.0)</f>
        <v>100</v>
      </c>
      <c r="J35" s="109"/>
      <c r="K35" s="109"/>
      <c r="L35" s="109"/>
      <c r="M35" s="109">
        <f>IFERROR(__xludf.DUMMYFUNCTION("""COMPUTED_VALUE"""),0.4)</f>
        <v>0.4</v>
      </c>
      <c r="N35" s="109">
        <f>IFERROR(__xludf.DUMMYFUNCTION("""COMPUTED_VALUE"""),1.0)</f>
        <v>1</v>
      </c>
      <c r="O35" s="109"/>
      <c r="P35" s="109" t="str">
        <f>IFERROR(__xludf.DUMMYFUNCTION("""COMPUTED_VALUE"""),"Offset")</f>
        <v>Offset</v>
      </c>
      <c r="Q35" s="109" t="str">
        <f>IFERROR(__xludf.DUMMYFUNCTION("""COMPUTED_VALUE"""),"Packaging")</f>
        <v>Packaging</v>
      </c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15"/>
      <c r="AK35" s="80"/>
      <c r="AL35" s="80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 t="str">
        <f>IFERROR(__xludf.DUMMYFUNCTION("""COMPUTED_VALUE"""),"Packaging")</f>
        <v>Packaging</v>
      </c>
      <c r="BD35" s="73" t="str">
        <f>IFERROR(__xludf.DUMMYFUNCTION("""COMPUTED_VALUE"""),"Hard Bound")</f>
        <v>Hard Bound</v>
      </c>
      <c r="BE35" s="73"/>
      <c r="BF35" s="73"/>
      <c r="BG35" s="73"/>
      <c r="BH35" s="80"/>
      <c r="BI35" s="54"/>
      <c r="BJ35" s="73"/>
      <c r="BK35" s="73"/>
      <c r="BL35" s="80"/>
      <c r="BM35" s="80"/>
      <c r="BN35" s="73"/>
      <c r="BO35" s="80"/>
      <c r="BP35" s="80"/>
      <c r="BQ35" s="80"/>
      <c r="BR35" s="80"/>
      <c r="BS35" s="139" t="s">
        <v>29</v>
      </c>
      <c r="BT35" s="73" t="s">
        <v>68</v>
      </c>
      <c r="BU35" s="73" t="s">
        <v>204</v>
      </c>
      <c r="BV35" s="77">
        <f>Price!$P$7</f>
        <v>115</v>
      </c>
      <c r="BW35" s="73"/>
      <c r="BX35" s="80"/>
      <c r="BY35" s="80"/>
      <c r="BZ35" s="80"/>
      <c r="CA35" s="80"/>
      <c r="CB35" s="80"/>
      <c r="CC35" s="80"/>
      <c r="CD35" s="80" t="str">
        <f t="shared" si="6"/>
        <v/>
      </c>
      <c r="CE35" s="80" t="str">
        <f t="shared" si="7"/>
        <v/>
      </c>
      <c r="CF35" s="80"/>
      <c r="CG35" s="80"/>
      <c r="CH35" s="80"/>
    </row>
    <row r="36">
      <c r="A36" s="123" t="str">
        <f>IFERROR(__xludf.DUMMYFUNCTION("""COMPUTED_VALUE"""),"https://drive.google.com/open?id=1n4sM_hMizxMor4aS4-NffW1QEWkmmRaC&amp;authuser=jay.agg%40gmail.com&amp;usp=drive_fs")</f>
        <v>https://drive.google.com/open?id=1n4sM_hMizxMor4aS4-NffW1QEWkmmRaC&amp;authuser=jay.agg%40gmail.com&amp;usp=drive_fs</v>
      </c>
      <c r="B36" s="80" t="str">
        <f>IFERROR(__xludf.DUMMYFUNCTION("""COMPUTED_VALUE"""),"Food")</f>
        <v>Food</v>
      </c>
      <c r="C36" s="80" t="str">
        <f>IFERROR(__xludf.DUMMYFUNCTION("""COMPUTED_VALUE"""),"Dry Fruit")</f>
        <v>Dry Fruit</v>
      </c>
      <c r="D36" s="80" t="str">
        <f>IFERROR(__xludf.DUMMYFUNCTION("""COMPUTED_VALUE"""),"110*40*160 mm LB")</f>
        <v>110*40*160 mm LB</v>
      </c>
      <c r="E36" s="124">
        <f>IFERROR(__xludf.DUMMYFUNCTION("""COMPUTED_VALUE"""),4.0)</f>
        <v>4</v>
      </c>
      <c r="F36" s="80">
        <f>IFERROR(__xludf.DUMMYFUNCTION("""COMPUTED_VALUE"""),1926.0)</f>
        <v>1926</v>
      </c>
      <c r="G36" s="80">
        <f>IFERROR(__xludf.DUMMYFUNCTION("""COMPUTED_VALUE"""),18.0)</f>
        <v>18</v>
      </c>
      <c r="H36" s="80">
        <f>IFERROR(__xludf.DUMMYFUNCTION("""COMPUTED_VALUE"""),25.0)</f>
        <v>25</v>
      </c>
      <c r="I36" s="80">
        <f>IFERROR(__xludf.DUMMYFUNCTION("""COMPUTED_VALUE"""),100.0)</f>
        <v>100</v>
      </c>
      <c r="J36" s="109"/>
      <c r="K36" s="109"/>
      <c r="L36" s="109"/>
      <c r="M36" s="109">
        <f>IFERROR(__xludf.DUMMYFUNCTION("""COMPUTED_VALUE"""),0.16)</f>
        <v>0.16</v>
      </c>
      <c r="N36" s="109">
        <f>IFERROR(__xludf.DUMMYFUNCTION("""COMPUTED_VALUE"""),1.0)</f>
        <v>1</v>
      </c>
      <c r="O36" s="109"/>
      <c r="P36" s="109" t="str">
        <f>IFERROR(__xludf.DUMMYFUNCTION("""COMPUTED_VALUE"""),"Offset")</f>
        <v>Offset</v>
      </c>
      <c r="Q36" s="109" t="str">
        <f>IFERROR(__xludf.DUMMYFUNCTION("""COMPUTED_VALUE"""),"Packaging")</f>
        <v>Packaging</v>
      </c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15"/>
      <c r="AK36" s="80"/>
      <c r="AL36" s="80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 t="str">
        <f>IFERROR(__xludf.DUMMYFUNCTION("""COMPUTED_VALUE"""),"Packaging")</f>
        <v>Packaging</v>
      </c>
      <c r="BD36" s="73" t="str">
        <f>IFERROR(__xludf.DUMMYFUNCTION("""COMPUTED_VALUE"""),"Hardware")</f>
        <v>Hardware</v>
      </c>
      <c r="BE36" s="73"/>
      <c r="BF36" s="73"/>
      <c r="BG36" s="73"/>
      <c r="BH36" s="80"/>
      <c r="BI36" s="54"/>
      <c r="BJ36" s="73"/>
      <c r="BK36" s="73"/>
      <c r="BL36" s="80"/>
      <c r="BM36" s="80"/>
      <c r="BN36" s="80"/>
      <c r="BO36" s="80"/>
      <c r="BP36" s="80"/>
      <c r="BQ36" s="80"/>
      <c r="BR36" s="80"/>
      <c r="BS36" s="139" t="s">
        <v>29</v>
      </c>
      <c r="BT36" s="73" t="s">
        <v>68</v>
      </c>
      <c r="BU36" s="73" t="s">
        <v>205</v>
      </c>
      <c r="BV36" s="77">
        <f>Price!$P$7</f>
        <v>115</v>
      </c>
      <c r="BW36" s="73"/>
      <c r="BX36" s="80"/>
      <c r="BY36" s="80"/>
      <c r="BZ36" s="80"/>
      <c r="CA36" s="80"/>
      <c r="CB36" s="80"/>
      <c r="CC36" s="80"/>
      <c r="CD36" s="80" t="str">
        <f t="shared" si="6"/>
        <v/>
      </c>
      <c r="CE36" s="80" t="str">
        <f t="shared" si="7"/>
        <v/>
      </c>
      <c r="CF36" s="80"/>
      <c r="CG36" s="80"/>
      <c r="CH36" s="80"/>
    </row>
    <row r="37">
      <c r="A37" s="123" t="str">
        <f>IFERROR(__xludf.DUMMYFUNCTION("""COMPUTED_VALUE"""),"https://drive.google.com/open?id=1pIykPqoOxble5EREsGAMRPdA1QccQ1AJ&amp;authuser=jay.agg%40gmail.com&amp;usp=drive_fs")</f>
        <v>https://drive.google.com/open?id=1pIykPqoOxble5EREsGAMRPdA1QccQ1AJ&amp;authuser=jay.agg%40gmail.com&amp;usp=drive_fs</v>
      </c>
      <c r="B37" s="80" t="str">
        <f>IFERROR(__xludf.DUMMYFUNCTION("""COMPUTED_VALUE"""),"Food")</f>
        <v>Food</v>
      </c>
      <c r="C37" s="80" t="str">
        <f>IFERROR(__xludf.DUMMYFUNCTION("""COMPUTED_VALUE"""),"Cake Mix 500g")</f>
        <v>Cake Mix 500g</v>
      </c>
      <c r="D37" s="80" t="str">
        <f>IFERROR(__xludf.DUMMYFUNCTION("""COMPUTED_VALUE"""),"140*45*180 mm")</f>
        <v>140*45*180 mm</v>
      </c>
      <c r="E37" s="124">
        <f>IFERROR(__xludf.DUMMYFUNCTION("""COMPUTED_VALUE"""),2.0)</f>
        <v>2</v>
      </c>
      <c r="F37" s="80">
        <f>IFERROR(__xludf.DUMMYFUNCTION("""COMPUTED_VALUE"""),1926.0)</f>
        <v>1926</v>
      </c>
      <c r="G37" s="80">
        <f>IFERROR(__xludf.DUMMYFUNCTION("""COMPUTED_VALUE"""),15.75)</f>
        <v>15.75</v>
      </c>
      <c r="H37" s="80">
        <f>IFERROR(__xludf.DUMMYFUNCTION("""COMPUTED_VALUE"""),20.75)</f>
        <v>20.75</v>
      </c>
      <c r="I37" s="80">
        <f>IFERROR(__xludf.DUMMYFUNCTION("""COMPUTED_VALUE"""),100.0)</f>
        <v>100</v>
      </c>
      <c r="J37" s="109"/>
      <c r="K37" s="109"/>
      <c r="L37" s="109"/>
      <c r="M37" s="109">
        <f>IFERROR(__xludf.DUMMYFUNCTION("""COMPUTED_VALUE"""),0.1)</f>
        <v>0.1</v>
      </c>
      <c r="N37" s="109">
        <f>IFERROR(__xludf.DUMMYFUNCTION("""COMPUTED_VALUE"""),1.0)</f>
        <v>1</v>
      </c>
      <c r="O37" s="109"/>
      <c r="P37" s="109" t="str">
        <f>IFERROR(__xludf.DUMMYFUNCTION("""COMPUTED_VALUE"""),"Offset")</f>
        <v>Offset</v>
      </c>
      <c r="Q37" s="109" t="str">
        <f>IFERROR(__xludf.DUMMYFUNCTION("""COMPUTED_VALUE"""),"Packaging")</f>
        <v>Packaging</v>
      </c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15"/>
      <c r="AK37" s="80"/>
      <c r="AL37" s="80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 t="str">
        <f>IFERROR(__xludf.DUMMYFUNCTION("""COMPUTED_VALUE"""),"Packaging")</f>
        <v>Packaging</v>
      </c>
      <c r="BD37" s="73" t="str">
        <f>IFERROR(__xludf.DUMMYFUNCTION("""COMPUTED_VALUE"""),"Hawa Dhoop")</f>
        <v>Hawa Dhoop</v>
      </c>
      <c r="BE37" s="73"/>
      <c r="BF37" s="73"/>
      <c r="BG37" s="73"/>
      <c r="BH37" s="88"/>
      <c r="BI37" s="54"/>
      <c r="BJ37" s="73"/>
      <c r="BK37" s="73"/>
      <c r="BL37" s="80"/>
      <c r="BM37" s="54"/>
      <c r="BN37" s="80"/>
      <c r="BO37" s="80"/>
      <c r="BP37" s="80"/>
      <c r="BQ37" s="80"/>
      <c r="BR37" s="80"/>
      <c r="BS37" s="139" t="s">
        <v>29</v>
      </c>
      <c r="BT37" s="73" t="s">
        <v>68</v>
      </c>
      <c r="BU37" s="73" t="s">
        <v>206</v>
      </c>
      <c r="BV37" s="77">
        <f>Price!$P$7</f>
        <v>115</v>
      </c>
      <c r="BW37" s="73"/>
      <c r="BX37" s="80"/>
      <c r="BY37" s="80"/>
      <c r="BZ37" s="80"/>
      <c r="CA37" s="80"/>
      <c r="CB37" s="80"/>
      <c r="CC37" s="80"/>
      <c r="CD37" s="80" t="str">
        <f t="shared" si="6"/>
        <v/>
      </c>
      <c r="CE37" s="80" t="str">
        <f t="shared" si="7"/>
        <v/>
      </c>
      <c r="CF37" s="80"/>
      <c r="CG37" s="80"/>
      <c r="CH37" s="80"/>
    </row>
    <row r="38">
      <c r="A38" s="123" t="str">
        <f>IFERROR(__xludf.DUMMYFUNCTION("""COMPUTED_VALUE"""),"https://drive.google.com/open?id=1pOGW1xVCuMnUABRqNq-5cbJ_ByoO8G5w&amp;authuser=jay.agg%40gmail.com&amp;usp=drive_fs")</f>
        <v>https://drive.google.com/open?id=1pOGW1xVCuMnUABRqNq-5cbJ_ByoO8G5w&amp;authuser=jay.agg%40gmail.com&amp;usp=drive_fs</v>
      </c>
      <c r="B38" s="80" t="str">
        <f>IFERROR(__xludf.DUMMYFUNCTION("""COMPUTED_VALUE"""),"Food")</f>
        <v>Food</v>
      </c>
      <c r="C38" s="80" t="str">
        <f>IFERROR(__xludf.DUMMYFUNCTION("""COMPUTED_VALUE"""),"Cake Mix 1kg")</f>
        <v>Cake Mix 1kg</v>
      </c>
      <c r="D38" s="80" t="str">
        <f>IFERROR(__xludf.DUMMYFUNCTION("""COMPUTED_VALUE"""),"165*52*235 mm")</f>
        <v>165*52*235 mm</v>
      </c>
      <c r="E38" s="124">
        <f>IFERROR(__xludf.DUMMYFUNCTION("""COMPUTED_VALUE"""),2.0)</f>
        <v>2</v>
      </c>
      <c r="F38" s="80">
        <f>IFERROR(__xludf.DUMMYFUNCTION("""COMPUTED_VALUE"""),1926.0)</f>
        <v>1926</v>
      </c>
      <c r="G38" s="80">
        <f>IFERROR(__xludf.DUMMYFUNCTION("""COMPUTED_VALUE"""),19.0)</f>
        <v>19</v>
      </c>
      <c r="H38" s="80">
        <f>IFERROR(__xludf.DUMMYFUNCTION("""COMPUTED_VALUE"""),26.0)</f>
        <v>26</v>
      </c>
      <c r="I38" s="80">
        <f>IFERROR(__xludf.DUMMYFUNCTION("""COMPUTED_VALUE"""),100.0)</f>
        <v>100</v>
      </c>
      <c r="J38" s="109"/>
      <c r="K38" s="109"/>
      <c r="L38" s="109"/>
      <c r="M38" s="109">
        <f>IFERROR(__xludf.DUMMYFUNCTION("""COMPUTED_VALUE"""),0.1)</f>
        <v>0.1</v>
      </c>
      <c r="N38" s="109">
        <f>IFERROR(__xludf.DUMMYFUNCTION("""COMPUTED_VALUE"""),1.0)</f>
        <v>1</v>
      </c>
      <c r="O38" s="109"/>
      <c r="P38" s="109" t="str">
        <f>IFERROR(__xludf.DUMMYFUNCTION("""COMPUTED_VALUE"""),"Offset")</f>
        <v>Offset</v>
      </c>
      <c r="Q38" s="109" t="str">
        <f>IFERROR(__xludf.DUMMYFUNCTION("""COMPUTED_VALUE"""),"Packaging")</f>
        <v>Packaging</v>
      </c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15"/>
      <c r="AK38" s="80"/>
      <c r="AL38" s="80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 t="str">
        <f>IFERROR(__xludf.DUMMYFUNCTION("""COMPUTED_VALUE"""),"Packaging")</f>
        <v>Packaging</v>
      </c>
      <c r="BD38" s="73" t="str">
        <f>IFERROR(__xludf.DUMMYFUNCTION("""COMPUTED_VALUE"""),"Hawan Box")</f>
        <v>Hawan Box</v>
      </c>
      <c r="BE38" s="73"/>
      <c r="BF38" s="73"/>
      <c r="BG38" s="73"/>
      <c r="BH38" s="54"/>
      <c r="BI38" s="113"/>
      <c r="BJ38" s="73"/>
      <c r="BK38" s="73"/>
      <c r="BL38" s="80"/>
      <c r="BM38" s="54"/>
      <c r="BN38" s="80"/>
      <c r="BO38" s="80"/>
      <c r="BP38" s="80"/>
      <c r="BQ38" s="80"/>
      <c r="BR38" s="80"/>
      <c r="BS38" s="139" t="s">
        <v>29</v>
      </c>
      <c r="BT38" s="73" t="s">
        <v>68</v>
      </c>
      <c r="BU38" s="73" t="s">
        <v>180</v>
      </c>
      <c r="BV38" s="77">
        <f>Price!$P$7</f>
        <v>115</v>
      </c>
      <c r="BW38" s="73"/>
      <c r="BX38" s="80"/>
      <c r="BY38" s="80"/>
      <c r="BZ38" s="80"/>
      <c r="CA38" s="80"/>
      <c r="CB38" s="80"/>
      <c r="CC38" s="80"/>
      <c r="CD38" s="80" t="str">
        <f t="shared" si="6"/>
        <v/>
      </c>
      <c r="CE38" s="80" t="str">
        <f t="shared" si="7"/>
        <v/>
      </c>
      <c r="CF38" s="80"/>
      <c r="CG38" s="80"/>
      <c r="CH38" s="80"/>
    </row>
    <row r="39">
      <c r="A39" s="123" t="str">
        <f>IFERROR(__xludf.DUMMYFUNCTION("""COMPUTED_VALUE"""),"https://drive.google.com/open?id=1w7snRg3lAxc0KM66W8RpVqDwD0jEOGQk&amp;authuser=jay.agg%40gmail.com&amp;usp=drive_fs")</f>
        <v>https://drive.google.com/open?id=1w7snRg3lAxc0KM66W8RpVqDwD0jEOGQk&amp;authuser=jay.agg%40gmail.com&amp;usp=drive_fs</v>
      </c>
      <c r="B39" s="80" t="str">
        <f>IFERROR(__xludf.DUMMYFUNCTION("""COMPUTED_VALUE"""),"Food")</f>
        <v>Food</v>
      </c>
      <c r="C39" s="80" t="str">
        <f>IFERROR(__xludf.DUMMYFUNCTION("""COMPUTED_VALUE"""),"Dog Food")</f>
        <v>Dog Food</v>
      </c>
      <c r="D39" s="80" t="str">
        <f>IFERROR(__xludf.DUMMYFUNCTION("""COMPUTED_VALUE"""),"180*75*240 mm")</f>
        <v>180*75*240 mm</v>
      </c>
      <c r="E39" s="124">
        <f>IFERROR(__xludf.DUMMYFUNCTION("""COMPUTED_VALUE"""),1.0)</f>
        <v>1</v>
      </c>
      <c r="F39" s="80">
        <f>IFERROR(__xludf.DUMMYFUNCTION("""COMPUTED_VALUE"""),1926.0)</f>
        <v>1926</v>
      </c>
      <c r="G39" s="80">
        <f>IFERROR(__xludf.DUMMYFUNCTION("""COMPUTED_VALUE"""),15.75)</f>
        <v>15.75</v>
      </c>
      <c r="H39" s="80">
        <f>IFERROR(__xludf.DUMMYFUNCTION("""COMPUTED_VALUE"""),20.75)</f>
        <v>20.75</v>
      </c>
      <c r="I39" s="80">
        <f>IFERROR(__xludf.DUMMYFUNCTION("""COMPUTED_VALUE"""),100.0)</f>
        <v>100</v>
      </c>
      <c r="J39" s="109"/>
      <c r="K39" s="109"/>
      <c r="L39" s="109"/>
      <c r="M39" s="109">
        <f>IFERROR(__xludf.DUMMYFUNCTION("""COMPUTED_VALUE"""),0.1)</f>
        <v>0.1</v>
      </c>
      <c r="N39" s="109">
        <f>IFERROR(__xludf.DUMMYFUNCTION("""COMPUTED_VALUE"""),1.0)</f>
        <v>1</v>
      </c>
      <c r="O39" s="109"/>
      <c r="P39" s="109" t="str">
        <f>IFERROR(__xludf.DUMMYFUNCTION("""COMPUTED_VALUE"""),"Offset")</f>
        <v>Offset</v>
      </c>
      <c r="Q39" s="109" t="str">
        <f>IFERROR(__xludf.DUMMYFUNCTION("""COMPUTED_VALUE"""),"Packaging")</f>
        <v>Packaging</v>
      </c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15"/>
      <c r="AK39" s="80"/>
      <c r="AL39" s="80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 t="str">
        <f>IFERROR(__xludf.DUMMYFUNCTION("""COMPUTED_VALUE"""),"Packaging")</f>
        <v>Packaging</v>
      </c>
      <c r="BD39" s="73" t="str">
        <f>IFERROR(__xludf.DUMMYFUNCTION("""COMPUTED_VALUE"""),"Henna Raj")</f>
        <v>Henna Raj</v>
      </c>
      <c r="BE39" s="73"/>
      <c r="BF39" s="73"/>
      <c r="BG39" s="73"/>
      <c r="BH39" s="54"/>
      <c r="BI39" s="113"/>
      <c r="BJ39" s="73"/>
      <c r="BK39" s="73"/>
      <c r="BL39" s="73"/>
      <c r="BM39" s="73"/>
      <c r="BN39" s="73"/>
      <c r="BO39" s="73"/>
      <c r="BP39" s="73"/>
      <c r="BQ39" s="73"/>
      <c r="BR39" s="73"/>
      <c r="BS39" s="139" t="s">
        <v>29</v>
      </c>
      <c r="BT39" s="73" t="s">
        <v>68</v>
      </c>
      <c r="BU39" s="73" t="s">
        <v>185</v>
      </c>
      <c r="BV39" s="77">
        <f>Price!$P$7</f>
        <v>115</v>
      </c>
      <c r="BW39" s="73"/>
      <c r="BX39" s="73"/>
      <c r="BY39" s="73"/>
      <c r="BZ39" s="73"/>
      <c r="CA39" s="73"/>
      <c r="CB39" s="73"/>
      <c r="CC39" s="73"/>
      <c r="CD39" s="80" t="str">
        <f t="shared" si="6"/>
        <v/>
      </c>
      <c r="CE39" s="80" t="str">
        <f t="shared" si="7"/>
        <v/>
      </c>
      <c r="CF39" s="73"/>
      <c r="CG39" s="73"/>
      <c r="CH39" s="73"/>
    </row>
    <row r="40">
      <c r="A40" s="123" t="str">
        <f>IFERROR(__xludf.DUMMYFUNCTION("""COMPUTED_VALUE"""),"https://drive.google.com/open?id=1sp_9QJ74BN0EliJ8M8A64Pg3lvPXme-q&amp;authuser=jay.agg%40gmail.com&amp;usp=drive_fs")</f>
        <v>https://drive.google.com/open?id=1sp_9QJ74BN0EliJ8M8A64Pg3lvPXme-q&amp;authuser=jay.agg%40gmail.com&amp;usp=drive_fs</v>
      </c>
      <c r="B40" s="80" t="str">
        <f>IFERROR(__xludf.DUMMYFUNCTION("""COMPUTED_VALUE"""),"Food")</f>
        <v>Food</v>
      </c>
      <c r="C40" s="80" t="str">
        <f>IFERROR(__xludf.DUMMYFUNCTION("""COMPUTED_VALUE"""),"Gol Gappe")</f>
        <v>Gol Gappe</v>
      </c>
      <c r="D40" s="80" t="str">
        <f>IFERROR(__xludf.DUMMYFUNCTION("""COMPUTED_VALUE"""),"178*127*52 mm | 7*5*2 inch")</f>
        <v>178*127*52 mm | 7*5*2 inch</v>
      </c>
      <c r="E40" s="124">
        <f>IFERROR(__xludf.DUMMYFUNCTION("""COMPUTED_VALUE"""),2.0)</f>
        <v>2</v>
      </c>
      <c r="F40" s="80">
        <f>IFERROR(__xludf.DUMMYFUNCTION("""COMPUTED_VALUE"""),1926.0)</f>
        <v>1926</v>
      </c>
      <c r="G40" s="80">
        <f>IFERROR(__xludf.DUMMYFUNCTION("""COMPUTED_VALUE"""),15.0)</f>
        <v>15</v>
      </c>
      <c r="H40" s="80">
        <f>IFERROR(__xludf.DUMMYFUNCTION("""COMPUTED_VALUE"""),25.0)</f>
        <v>25</v>
      </c>
      <c r="I40" s="80">
        <f>IFERROR(__xludf.DUMMYFUNCTION("""COMPUTED_VALUE"""),100.0)</f>
        <v>100</v>
      </c>
      <c r="J40" s="109"/>
      <c r="K40" s="109"/>
      <c r="L40" s="109"/>
      <c r="M40" s="109"/>
      <c r="N40" s="109">
        <f>IFERROR(__xludf.DUMMYFUNCTION("""COMPUTED_VALUE"""),1.0)</f>
        <v>1</v>
      </c>
      <c r="O40" s="109"/>
      <c r="P40" s="109" t="str">
        <f>IFERROR(__xludf.DUMMYFUNCTION("""COMPUTED_VALUE"""),"Offset")</f>
        <v>Offset</v>
      </c>
      <c r="Q40" s="109" t="str">
        <f>IFERROR(__xludf.DUMMYFUNCTION("""COMPUTED_VALUE"""),"Packaging")</f>
        <v>Packaging</v>
      </c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15"/>
      <c r="AK40" s="80"/>
      <c r="AL40" s="80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 t="str">
        <f>IFERROR(__xludf.DUMMYFUNCTION("""COMPUTED_VALUE"""),"Packaging")</f>
        <v>Packaging</v>
      </c>
      <c r="BD40" s="73" t="str">
        <f>IFERROR(__xludf.DUMMYFUNCTION("""COMPUTED_VALUE"""),"HIT Chowk")</f>
        <v>HIT Chowk</v>
      </c>
      <c r="BE40" s="73"/>
      <c r="BF40" s="73"/>
      <c r="BG40" s="73"/>
      <c r="BH40" s="54"/>
      <c r="BI40" s="88"/>
      <c r="BJ40" s="73"/>
      <c r="BK40" s="73"/>
      <c r="BL40" s="73"/>
      <c r="BM40" s="73"/>
      <c r="BN40" s="73"/>
      <c r="BO40" s="73"/>
      <c r="BP40" s="73"/>
      <c r="BQ40" s="73"/>
      <c r="BR40" s="73"/>
      <c r="BS40" s="139" t="s">
        <v>29</v>
      </c>
      <c r="BT40" s="73" t="s">
        <v>68</v>
      </c>
      <c r="BU40" s="73" t="s">
        <v>197</v>
      </c>
      <c r="BV40" s="77">
        <f>Price!$P$7</f>
        <v>115</v>
      </c>
      <c r="BW40" s="73"/>
      <c r="BX40" s="73"/>
      <c r="BY40" s="73"/>
      <c r="BZ40" s="73"/>
      <c r="CA40" s="73"/>
      <c r="CB40" s="73"/>
      <c r="CC40" s="73"/>
      <c r="CD40" s="80" t="str">
        <f t="shared" si="6"/>
        <v/>
      </c>
      <c r="CE40" s="80" t="str">
        <f t="shared" si="7"/>
        <v/>
      </c>
      <c r="CF40" s="73"/>
      <c r="CG40" s="73"/>
      <c r="CH40" s="73"/>
    </row>
    <row r="41">
      <c r="A41" s="123" t="str">
        <f>IFERROR(__xludf.DUMMYFUNCTION("""COMPUTED_VALUE"""),"https://drive.google.com/open?id=1wtvYpY8aQ2dYsGMZNWZHepkN93W2bRIs&amp;authuser=jay.agg%40gmail.com&amp;usp=drive_fs")</f>
        <v>https://drive.google.com/open?id=1wtvYpY8aQ2dYsGMZNWZHepkN93W2bRIs&amp;authuser=jay.agg%40gmail.com&amp;usp=drive_fs</v>
      </c>
      <c r="B41" s="80" t="str">
        <f>IFERROR(__xludf.DUMMYFUNCTION("""COMPUTED_VALUE"""),"Food")</f>
        <v>Food</v>
      </c>
      <c r="C41" s="80" t="str">
        <f>IFERROR(__xludf.DUMMYFUNCTION("""COMPUTED_VALUE"""),"Egg Box")</f>
        <v>Egg Box</v>
      </c>
      <c r="D41" s="80" t="str">
        <f>IFERROR(__xludf.DUMMYFUNCTION("""COMPUTED_VALUE"""),"178*81*81 mm | 7*3.2*3.2 inch")</f>
        <v>178*81*81 mm | 7*3.2*3.2 inch</v>
      </c>
      <c r="E41" s="124">
        <f>IFERROR(__xludf.DUMMYFUNCTION("""COMPUTED_VALUE"""),3.0)</f>
        <v>3</v>
      </c>
      <c r="F41" s="80">
        <f>IFERROR(__xludf.DUMMYFUNCTION("""COMPUTED_VALUE"""),1926.0)</f>
        <v>1926</v>
      </c>
      <c r="G41" s="80">
        <f>IFERROR(__xludf.DUMMYFUNCTION("""COMPUTED_VALUE"""),14.0)</f>
        <v>14</v>
      </c>
      <c r="H41" s="80">
        <f>IFERROR(__xludf.DUMMYFUNCTION("""COMPUTED_VALUE"""),22.0)</f>
        <v>22</v>
      </c>
      <c r="I41" s="80">
        <f>IFERROR(__xludf.DUMMYFUNCTION("""COMPUTED_VALUE"""),100.0)</f>
        <v>100</v>
      </c>
      <c r="J41" s="109"/>
      <c r="K41" s="109"/>
      <c r="L41" s="109"/>
      <c r="M41" s="109">
        <f>IFERROR(__xludf.DUMMYFUNCTION("""COMPUTED_VALUE"""),0.1)</f>
        <v>0.1</v>
      </c>
      <c r="N41" s="109">
        <f>IFERROR(__xludf.DUMMYFUNCTION("""COMPUTED_VALUE"""),1.0)</f>
        <v>1</v>
      </c>
      <c r="O41" s="109"/>
      <c r="P41" s="109" t="str">
        <f>IFERROR(__xludf.DUMMYFUNCTION("""COMPUTED_VALUE"""),"Offset")</f>
        <v>Offset</v>
      </c>
      <c r="Q41" s="109" t="str">
        <f>IFERROR(__xludf.DUMMYFUNCTION("""COMPUTED_VALUE"""),"Packaging")</f>
        <v>Packaging</v>
      </c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15"/>
      <c r="AK41" s="80"/>
      <c r="AL41" s="80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 t="str">
        <f>IFERROR(__xludf.DUMMYFUNCTION("""COMPUTED_VALUE"""),"Packaging")</f>
        <v>Packaging</v>
      </c>
      <c r="BD41" s="73" t="str">
        <f>IFERROR(__xludf.DUMMYFUNCTION("""COMPUTED_VALUE"""),"HOB")</f>
        <v>HOB</v>
      </c>
      <c r="BE41" s="73"/>
      <c r="BF41" s="73"/>
      <c r="BG41" s="73"/>
      <c r="BH41" s="54"/>
      <c r="BI41" s="88"/>
      <c r="BJ41" s="73"/>
      <c r="BK41" s="73"/>
      <c r="BL41" s="73"/>
      <c r="BM41" s="73"/>
      <c r="BN41" s="73"/>
      <c r="BO41" s="73"/>
      <c r="BP41" s="73"/>
      <c r="BQ41" s="73"/>
      <c r="BR41" s="73"/>
      <c r="BS41" s="139" t="s">
        <v>29</v>
      </c>
      <c r="BT41" s="73" t="s">
        <v>68</v>
      </c>
      <c r="BU41" s="88" t="s">
        <v>199</v>
      </c>
      <c r="BV41" s="77">
        <f>Price!$P$7</f>
        <v>115</v>
      </c>
      <c r="BW41" s="73"/>
      <c r="BX41" s="73"/>
      <c r="BY41" s="73"/>
      <c r="BZ41" s="73"/>
      <c r="CA41" s="73"/>
      <c r="CB41" s="73"/>
      <c r="CC41" s="73"/>
      <c r="CD41" s="80" t="str">
        <f t="shared" si="6"/>
        <v/>
      </c>
      <c r="CE41" s="124" t="str">
        <f>Quotation!D24</f>
        <v/>
      </c>
      <c r="CF41" s="73"/>
      <c r="CG41" s="73"/>
      <c r="CH41" s="73"/>
    </row>
    <row r="42">
      <c r="A42" s="123" t="str">
        <f>IFERROR(__xludf.DUMMYFUNCTION("""COMPUTED_VALUE"""),"https://drive.google.com/open?id=1yW-6rS7DrydjnRfme_YMtpVLN0LPOEG3&amp;authuser=jay.agg%40gmail.com&amp;usp=drive_fs")</f>
        <v>https://drive.google.com/open?id=1yW-6rS7DrydjnRfme_YMtpVLN0LPOEG3&amp;authuser=jay.agg%40gmail.com&amp;usp=drive_fs</v>
      </c>
      <c r="B42" s="80" t="str">
        <f>IFERROR(__xludf.DUMMYFUNCTION("""COMPUTED_VALUE"""),"Food")</f>
        <v>Food</v>
      </c>
      <c r="C42" s="80" t="str">
        <f>IFERROR(__xludf.DUMMYFUNCTION("""COMPUTED_VALUE"""),"Chicken Envelop")</f>
        <v>Chicken Envelop</v>
      </c>
      <c r="D42" s="80" t="str">
        <f>IFERROR(__xludf.DUMMYFUNCTION("""COMPUTED_VALUE"""),"165*240 mm | 6.5*9.5 inch W 4*6 inch")</f>
        <v>165*240 mm | 6.5*9.5 inch W 4*6 inch</v>
      </c>
      <c r="E42" s="124">
        <f>IFERROR(__xludf.DUMMYFUNCTION("""COMPUTED_VALUE"""),2.0)</f>
        <v>2</v>
      </c>
      <c r="F42" s="80">
        <f>IFERROR(__xludf.DUMMYFUNCTION("""COMPUTED_VALUE"""),1926.0)</f>
        <v>1926</v>
      </c>
      <c r="G42" s="80">
        <f>IFERROR(__xludf.DUMMYFUNCTION("""COMPUTED_VALUE"""),15.0)</f>
        <v>15</v>
      </c>
      <c r="H42" s="80">
        <f>IFERROR(__xludf.DUMMYFUNCTION("""COMPUTED_VALUE"""),25.0)</f>
        <v>25</v>
      </c>
      <c r="I42" s="80">
        <f>IFERROR(__xludf.DUMMYFUNCTION("""COMPUTED_VALUE"""),100.0)</f>
        <v>100</v>
      </c>
      <c r="J42" s="109"/>
      <c r="K42" s="109"/>
      <c r="L42" s="109">
        <f>IFERROR(__xludf.DUMMYFUNCTION("""COMPUTED_VALUE"""),2.0)</f>
        <v>2</v>
      </c>
      <c r="M42" s="109">
        <f>IFERROR(__xludf.DUMMYFUNCTION("""COMPUTED_VALUE"""),0.2)</f>
        <v>0.2</v>
      </c>
      <c r="N42" s="109">
        <f>IFERROR(__xludf.DUMMYFUNCTION("""COMPUTED_VALUE"""),1.0)</f>
        <v>1</v>
      </c>
      <c r="O42" s="109"/>
      <c r="P42" s="109" t="str">
        <f>IFERROR(__xludf.DUMMYFUNCTION("""COMPUTED_VALUE"""),"Offset")</f>
        <v>Offset</v>
      </c>
      <c r="Q42" s="109" t="str">
        <f>IFERROR(__xludf.DUMMYFUNCTION("""COMPUTED_VALUE"""),"Packaging")</f>
        <v>Packaging</v>
      </c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15"/>
      <c r="AK42" s="80"/>
      <c r="AL42" s="80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 t="str">
        <f>IFERROR(__xludf.DUMMYFUNCTION("""COMPUTED_VALUE"""),"Packaging")</f>
        <v>Packaging</v>
      </c>
      <c r="BD42" s="73" t="str">
        <f>IFERROR(__xludf.DUMMYFUNCTION("""COMPUTED_VALUE"""),"Hosiery")</f>
        <v>Hosiery</v>
      </c>
      <c r="BE42" s="73"/>
      <c r="BF42" s="73"/>
      <c r="BG42" s="73"/>
      <c r="BH42" s="54"/>
      <c r="BI42" s="88"/>
      <c r="BJ42" s="73"/>
      <c r="BK42" s="73"/>
      <c r="BL42" s="73"/>
      <c r="BM42" s="73"/>
      <c r="BN42" s="73"/>
      <c r="BO42" s="73"/>
      <c r="BP42" s="73"/>
      <c r="BQ42" s="73"/>
      <c r="BR42" s="73"/>
      <c r="BS42" s="139" t="s">
        <v>15</v>
      </c>
      <c r="BT42" s="88" t="s">
        <v>68</v>
      </c>
      <c r="BU42" s="73"/>
      <c r="BV42" s="73" t="str">
        <f>Sheet2!$O$6</f>
        <v/>
      </c>
      <c r="BW42" s="73"/>
      <c r="BX42" s="73"/>
      <c r="BY42" s="73"/>
      <c r="BZ42" s="73"/>
      <c r="CA42" s="73"/>
      <c r="CB42" s="73"/>
      <c r="CC42" s="73"/>
      <c r="CD42" s="80" t="str">
        <f t="shared" si="6"/>
        <v/>
      </c>
      <c r="CE42" s="80" t="str">
        <f>CD42</f>
        <v/>
      </c>
      <c r="CF42" s="73"/>
      <c r="CG42" s="73"/>
      <c r="CH42" s="73"/>
    </row>
    <row r="43">
      <c r="A43" s="123" t="str">
        <f>IFERROR(__xludf.DUMMYFUNCTION("""COMPUTED_VALUE"""),"https://drive.google.com/open?id=16rGecGFRPqzZiav5oiujTYJBYkBawRPk&amp;authuser=jay.agg%40gmail.com&amp;usp=drive_fs")</f>
        <v>https://drive.google.com/open?id=16rGecGFRPqzZiav5oiujTYJBYkBawRPk&amp;authuser=jay.agg%40gmail.com&amp;usp=drive_fs</v>
      </c>
      <c r="B43" s="80" t="str">
        <f>IFERROR(__xludf.DUMMYFUNCTION("""COMPUTED_VALUE"""),"Food")</f>
        <v>Food</v>
      </c>
      <c r="C43" s="80" t="str">
        <f>IFERROR(__xludf.DUMMYFUNCTION("""COMPUTED_VALUE"""),"South Indian")</f>
        <v>South Indian</v>
      </c>
      <c r="D43" s="80" t="str">
        <f>IFERROR(__xludf.DUMMYFUNCTION("""COMPUTED_VALUE"""),"Dosa 406*152*51 mm | 16*6*2 inch")</f>
        <v>Dosa 406*152*51 mm | 16*6*2 inch</v>
      </c>
      <c r="E43" s="124">
        <f>IFERROR(__xludf.DUMMYFUNCTION("""COMPUTED_VALUE"""),1.0)</f>
        <v>1</v>
      </c>
      <c r="F43" s="80">
        <f>IFERROR(__xludf.DUMMYFUNCTION("""COMPUTED_VALUE"""),1926.0)</f>
        <v>1926</v>
      </c>
      <c r="G43" s="80">
        <f>IFERROR(__xludf.DUMMYFUNCTION("""COMPUTED_VALUE"""),18.0)</f>
        <v>18</v>
      </c>
      <c r="H43" s="80">
        <f>IFERROR(__xludf.DUMMYFUNCTION("""COMPUTED_VALUE"""),21.0)</f>
        <v>21</v>
      </c>
      <c r="I43" s="80">
        <f>IFERROR(__xludf.DUMMYFUNCTION("""COMPUTED_VALUE"""),100.0)</f>
        <v>100</v>
      </c>
      <c r="J43" s="109"/>
      <c r="K43" s="109"/>
      <c r="L43" s="109"/>
      <c r="M43" s="109"/>
      <c r="N43" s="109">
        <f>IFERROR(__xludf.DUMMYFUNCTION("""COMPUTED_VALUE"""),1.0)</f>
        <v>1</v>
      </c>
      <c r="O43" s="109"/>
      <c r="P43" s="109" t="str">
        <f>IFERROR(__xludf.DUMMYFUNCTION("""COMPUTED_VALUE"""),"Offset")</f>
        <v>Offset</v>
      </c>
      <c r="Q43" s="109" t="str">
        <f>IFERROR(__xludf.DUMMYFUNCTION("""COMPUTED_VALUE"""),"Packaging")</f>
        <v>Packaging</v>
      </c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15"/>
      <c r="AK43" s="80"/>
      <c r="AL43" s="80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 t="str">
        <f>IFERROR(__xludf.DUMMYFUNCTION("""COMPUTED_VALUE"""),"Packaging")</f>
        <v>Packaging</v>
      </c>
      <c r="BD43" s="73" t="str">
        <f>IFERROR(__xludf.DUMMYFUNCTION("""COMPUTED_VALUE"""),"Jwellery")</f>
        <v>Jwellery</v>
      </c>
      <c r="BE43" s="73"/>
      <c r="BF43" s="73"/>
      <c r="BG43" s="73"/>
      <c r="BH43" s="54"/>
      <c r="BI43" s="54"/>
      <c r="BJ43" s="73"/>
      <c r="BK43" s="73"/>
      <c r="BL43" s="73"/>
      <c r="BM43" s="73"/>
      <c r="BN43" s="73"/>
      <c r="BO43" s="73"/>
      <c r="BP43" s="73"/>
      <c r="BQ43" s="73"/>
      <c r="BR43" s="73"/>
      <c r="BS43" s="113" t="s">
        <v>15</v>
      </c>
      <c r="BT43" s="88" t="s">
        <v>184</v>
      </c>
      <c r="BU43" s="73"/>
      <c r="BV43" s="80">
        <f t="shared" ref="BV43:BV45" si="11">$BV$9</f>
        <v>75</v>
      </c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</row>
    <row r="44">
      <c r="A44" s="123" t="str">
        <f>IFERROR(__xludf.DUMMYFUNCTION("""COMPUTED_VALUE"""),"https://drive.google.com/open?id=1LnxmtJvvSGJY7VkJq3aAu_pl1Ts7X2OV&amp;authuser=jay.agg%40gmail.com&amp;usp=drive_fs")</f>
        <v>https://drive.google.com/open?id=1LnxmtJvvSGJY7VkJq3aAu_pl1Ts7X2OV&amp;authuser=jay.agg%40gmail.com&amp;usp=drive_fs</v>
      </c>
      <c r="B44" s="80" t="str">
        <f>IFERROR(__xludf.DUMMYFUNCTION("""COMPUTED_VALUE"""),"Food")</f>
        <v>Food</v>
      </c>
      <c r="C44" s="80" t="str">
        <f>IFERROR(__xludf.DUMMYFUNCTION("""COMPUTED_VALUE"""),"Flakes")</f>
        <v>Flakes</v>
      </c>
      <c r="D44" s="80" t="str">
        <f>IFERROR(__xludf.DUMMYFUNCTION("""COMPUTED_VALUE"""),"140*38*190 mm | 5.5*1.5*7.5 inch")</f>
        <v>140*38*190 mm | 5.5*1.5*7.5 inch</v>
      </c>
      <c r="E44" s="124">
        <f>IFERROR(__xludf.DUMMYFUNCTION("""COMPUTED_VALUE"""),2.0)</f>
        <v>2</v>
      </c>
      <c r="F44" s="80">
        <f>IFERROR(__xludf.DUMMYFUNCTION("""COMPUTED_VALUE"""),1926.0)</f>
        <v>1926</v>
      </c>
      <c r="G44" s="80">
        <f>IFERROR(__xludf.DUMMYFUNCTION("""COMPUTED_VALUE"""),15.75)</f>
        <v>15.75</v>
      </c>
      <c r="H44" s="80">
        <f>IFERROR(__xludf.DUMMYFUNCTION("""COMPUTED_VALUE"""),20.75)</f>
        <v>20.75</v>
      </c>
      <c r="I44" s="80">
        <f>IFERROR(__xludf.DUMMYFUNCTION("""COMPUTED_VALUE"""),100.0)</f>
        <v>100</v>
      </c>
      <c r="J44" s="109"/>
      <c r="K44" s="109"/>
      <c r="L44" s="109"/>
      <c r="M44" s="109">
        <f>IFERROR(__xludf.DUMMYFUNCTION("""COMPUTED_VALUE"""),0.1)</f>
        <v>0.1</v>
      </c>
      <c r="N44" s="109">
        <f>IFERROR(__xludf.DUMMYFUNCTION("""COMPUTED_VALUE"""),1.0)</f>
        <v>1</v>
      </c>
      <c r="O44" s="109"/>
      <c r="P44" s="109" t="str">
        <f>IFERROR(__xludf.DUMMYFUNCTION("""COMPUTED_VALUE"""),"Offset")</f>
        <v>Offset</v>
      </c>
      <c r="Q44" s="109" t="str">
        <f>IFERROR(__xludf.DUMMYFUNCTION("""COMPUTED_VALUE"""),"Packaging")</f>
        <v>Packaging</v>
      </c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15"/>
      <c r="AK44" s="80"/>
      <c r="AL44" s="80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 t="str">
        <f>IFERROR(__xludf.DUMMYFUNCTION("""COMPUTED_VALUE"""),"Packaging")</f>
        <v>Packaging</v>
      </c>
      <c r="BD44" s="73" t="str">
        <f>IFERROR(__xludf.DUMMYFUNCTION("""COMPUTED_VALUE"""),"Led")</f>
        <v>Led</v>
      </c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9"/>
      <c r="BQ44" s="159"/>
      <c r="BR44" s="159"/>
      <c r="BS44" s="113" t="s">
        <v>31</v>
      </c>
      <c r="BT44" s="88" t="s">
        <v>184</v>
      </c>
      <c r="BU44" s="88"/>
      <c r="BV44" s="54">
        <f t="shared" si="11"/>
        <v>75</v>
      </c>
      <c r="BW44" s="88"/>
      <c r="BX44" s="159"/>
      <c r="BY44" s="88" t="s">
        <v>9</v>
      </c>
      <c r="BZ44" s="159"/>
      <c r="CA44" s="159"/>
      <c r="CB44" s="159"/>
      <c r="CC44" s="159"/>
      <c r="CD44" s="159"/>
      <c r="CE44" s="159"/>
      <c r="CF44" s="159"/>
      <c r="CG44" s="159"/>
      <c r="CH44" s="159"/>
    </row>
    <row r="45">
      <c r="A45" s="123" t="str">
        <f>IFERROR(__xludf.DUMMYFUNCTION("""COMPUTED_VALUE"""),"https://drive.google.com/open?id=1MM1rWUjsBimB1oEX-BTeoKxBdLPyBOd8&amp;authuser=jay.agg%40gmail.com&amp;usp=drive_fs")</f>
        <v>https://drive.google.com/open?id=1MM1rWUjsBimB1oEX-BTeoKxBdLPyBOd8&amp;authuser=jay.agg%40gmail.com&amp;usp=drive_fs</v>
      </c>
      <c r="B45" s="80" t="str">
        <f>IFERROR(__xludf.DUMMYFUNCTION("""COMPUTED_VALUE"""),"Food")</f>
        <v>Food</v>
      </c>
      <c r="C45" s="80" t="str">
        <f>IFERROR(__xludf.DUMMYFUNCTION("""COMPUTED_VALUE"""),"Gulab Jamun")</f>
        <v>Gulab Jamun</v>
      </c>
      <c r="D45" s="80" t="str">
        <f>IFERROR(__xludf.DUMMYFUNCTION("""COMPUTED_VALUE"""),"146*40*190 mm | 5.7*1.5*7.5 inch")</f>
        <v>146*40*190 mm | 5.7*1.5*7.5 inch</v>
      </c>
      <c r="E45" s="124">
        <f>IFERROR(__xludf.DUMMYFUNCTION("""COMPUTED_VALUE"""),2.0)</f>
        <v>2</v>
      </c>
      <c r="F45" s="80">
        <f>IFERROR(__xludf.DUMMYFUNCTION("""COMPUTED_VALUE"""),1926.0)</f>
        <v>1926</v>
      </c>
      <c r="G45" s="80">
        <f>IFERROR(__xludf.DUMMYFUNCTION("""COMPUTED_VALUE"""),15.75)</f>
        <v>15.75</v>
      </c>
      <c r="H45" s="80">
        <f>IFERROR(__xludf.DUMMYFUNCTION("""COMPUTED_VALUE"""),20.75)</f>
        <v>20.75</v>
      </c>
      <c r="I45" s="80">
        <f>IFERROR(__xludf.DUMMYFUNCTION("""COMPUTED_VALUE"""),100.0)</f>
        <v>100</v>
      </c>
      <c r="J45" s="109"/>
      <c r="K45" s="109"/>
      <c r="L45" s="109"/>
      <c r="M45" s="109">
        <f>IFERROR(__xludf.DUMMYFUNCTION("""COMPUTED_VALUE"""),0.1)</f>
        <v>0.1</v>
      </c>
      <c r="N45" s="109">
        <f>IFERROR(__xludf.DUMMYFUNCTION("""COMPUTED_VALUE"""),1.0)</f>
        <v>1</v>
      </c>
      <c r="O45" s="109"/>
      <c r="P45" s="109" t="str">
        <f>IFERROR(__xludf.DUMMYFUNCTION("""COMPUTED_VALUE"""),"Offset")</f>
        <v>Offset</v>
      </c>
      <c r="Q45" s="109" t="str">
        <f>IFERROR(__xludf.DUMMYFUNCTION("""COMPUTED_VALUE"""),"Packaging")</f>
        <v>Packaging</v>
      </c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15"/>
      <c r="AK45" s="80"/>
      <c r="AL45" s="80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 t="str">
        <f>IFERROR(__xludf.DUMMYFUNCTION("""COMPUTED_VALUE"""),"Packaging")</f>
        <v>Packaging</v>
      </c>
      <c r="BD45" s="73" t="str">
        <f>IFERROR(__xludf.DUMMYFUNCTION("""COMPUTED_VALUE"""),"Lifespan")</f>
        <v>Lifespan</v>
      </c>
      <c r="BE45" s="80"/>
      <c r="BF45" s="73" t="s">
        <v>207</v>
      </c>
      <c r="BG45" s="77">
        <v>1001.0</v>
      </c>
      <c r="BH45" s="80" t="str">
        <f>IFERROR(__xludf.DUMMYFUNCTION("QUERY(BF45:BG51,BH4)"),"Packaging")</f>
        <v>Packaging</v>
      </c>
      <c r="BI45" s="77">
        <f>IFERROR(__xludf.DUMMYFUNCTION("""COMPUTED_VALUE"""),1926.0)</f>
        <v>1926</v>
      </c>
      <c r="BJ45" s="160" t="str">
        <f>IFERROR(__xludf.DUMMYFUNCTION("QUERY(Price!AY2:AZ50,BI4)"),"#N/A")</f>
        <v>#N/A</v>
      </c>
      <c r="BK45" s="54"/>
      <c r="BL45" s="160" t="str">
        <f>IFERROR(__xludf.DUMMYFUNCTION("QUERY(Price!BC2:BD8,BJ4)"),"#N/A")</f>
        <v>#N/A</v>
      </c>
      <c r="BM45" s="77"/>
      <c r="BN45" s="80" t="str">
        <f>IFERROR(__xludf.DUMMYFUNCTION("QUERY(Price!AW2:AX50,BK4)"),"#N/A")</f>
        <v>#N/A</v>
      </c>
      <c r="BO45" s="77"/>
      <c r="BP45" s="160" t="str">
        <f>IFERROR(__xludf.DUMMYFUNCTION("QUERY(Price!AU2:AV50,BL4)"),"Plain")</f>
        <v>Plain</v>
      </c>
      <c r="BQ45" s="54">
        <f>IFERROR(__xludf.DUMMYFUNCTION("""COMPUTED_VALUE"""),0.0)</f>
        <v>0</v>
      </c>
      <c r="BR45" s="139"/>
      <c r="BS45" s="139" t="s">
        <v>29</v>
      </c>
      <c r="BT45" s="88" t="s">
        <v>184</v>
      </c>
      <c r="BU45" s="73"/>
      <c r="BV45" s="80">
        <f t="shared" si="11"/>
        <v>75</v>
      </c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</row>
    <row r="46">
      <c r="A46" s="123" t="str">
        <f>IFERROR(__xludf.DUMMYFUNCTION("""COMPUTED_VALUE"""),"https://drive.google.com/open?id=18WtWUp82-bxe5E36yJ652kShQ0NBVp9t&amp;authuser=jay.agg%40gmail.com&amp;usp=drive_fs")</f>
        <v>https://drive.google.com/open?id=18WtWUp82-bxe5E36yJ652kShQ0NBVp9t&amp;authuser=jay.agg%40gmail.com&amp;usp=drive_fs</v>
      </c>
      <c r="B46" s="80" t="str">
        <f>IFERROR(__xludf.DUMMYFUNCTION("""COMPUTED_VALUE"""),"Food")</f>
        <v>Food</v>
      </c>
      <c r="C46" s="80" t="str">
        <f>IFERROR(__xludf.DUMMYFUNCTION("""COMPUTED_VALUE"""),"Cookies")</f>
        <v>Cookies</v>
      </c>
      <c r="D46" s="80" t="str">
        <f>IFERROR(__xludf.DUMMYFUNCTION("""COMPUTED_VALUE"""),"140*55*190 mm")</f>
        <v>140*55*190 mm</v>
      </c>
      <c r="E46" s="124">
        <f>IFERROR(__xludf.DUMMYFUNCTION("""COMPUTED_VALUE"""),2.0)</f>
        <v>2</v>
      </c>
      <c r="F46" s="80">
        <f>IFERROR(__xludf.DUMMYFUNCTION("""COMPUTED_VALUE"""),1926.0)</f>
        <v>1926</v>
      </c>
      <c r="G46" s="80">
        <f>IFERROR(__xludf.DUMMYFUNCTION("""COMPUTED_VALUE"""),18.0)</f>
        <v>18</v>
      </c>
      <c r="H46" s="80">
        <f>IFERROR(__xludf.DUMMYFUNCTION("""COMPUTED_VALUE"""),23.0)</f>
        <v>23</v>
      </c>
      <c r="I46" s="80">
        <f>IFERROR(__xludf.DUMMYFUNCTION("""COMPUTED_VALUE"""),100.0)</f>
        <v>100</v>
      </c>
      <c r="J46" s="109"/>
      <c r="K46" s="109"/>
      <c r="L46" s="109"/>
      <c r="M46" s="109">
        <f>IFERROR(__xludf.DUMMYFUNCTION("""COMPUTED_VALUE"""),0.1)</f>
        <v>0.1</v>
      </c>
      <c r="N46" s="109">
        <f>IFERROR(__xludf.DUMMYFUNCTION("""COMPUTED_VALUE"""),1.0)</f>
        <v>1</v>
      </c>
      <c r="O46" s="109"/>
      <c r="P46" s="109" t="str">
        <f>IFERROR(__xludf.DUMMYFUNCTION("""COMPUTED_VALUE"""),"Offset")</f>
        <v>Offset</v>
      </c>
      <c r="Q46" s="109" t="str">
        <f>IFERROR(__xludf.DUMMYFUNCTION("""COMPUTED_VALUE"""),"Packaging")</f>
        <v>Packaging</v>
      </c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15"/>
      <c r="AK46" s="80"/>
      <c r="AL46" s="80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 t="str">
        <f>IFERROR(__xludf.DUMMYFUNCTION("""COMPUTED_VALUE"""),"Packaging")</f>
        <v>Packaging</v>
      </c>
      <c r="BD46" s="73" t="str">
        <f>IFERROR(__xludf.DUMMYFUNCTION("""COMPUTED_VALUE"""),"Machine Parts")</f>
        <v>Machine Parts</v>
      </c>
      <c r="BE46" s="80"/>
      <c r="BF46" s="73" t="s">
        <v>208</v>
      </c>
      <c r="BG46" s="77">
        <v>1002.0</v>
      </c>
      <c r="BH46" s="73"/>
      <c r="BI46" s="139"/>
      <c r="BJ46" s="80"/>
      <c r="BK46" s="54"/>
      <c r="BL46" s="77"/>
      <c r="BM46" s="80"/>
      <c r="BN46" s="139"/>
      <c r="BO46" s="77"/>
      <c r="BP46" s="139"/>
      <c r="BQ46" s="80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</row>
    <row r="47">
      <c r="A47" s="123" t="str">
        <f>IFERROR(__xludf.DUMMYFUNCTION("""COMPUTED_VALUE"""),"https://drive.google.com/open?id=1sJOiUA7Cg8Dnqu2sHtqanOPoz9thjI2G&amp;authuser=jay.agg%40gmail.com&amp;usp=drive_fs")</f>
        <v>https://drive.google.com/open?id=1sJOiUA7Cg8Dnqu2sHtqanOPoz9thjI2G&amp;authuser=jay.agg%40gmail.com&amp;usp=drive_fs</v>
      </c>
      <c r="B47" s="80" t="str">
        <f>IFERROR(__xludf.DUMMYFUNCTION("""COMPUTED_VALUE"""),"Food")</f>
        <v>Food</v>
      </c>
      <c r="C47" s="80" t="str">
        <f>IFERROR(__xludf.DUMMYFUNCTION("""COMPUTED_VALUE"""),"Cookies")</f>
        <v>Cookies</v>
      </c>
      <c r="D47" s="80" t="str">
        <f>IFERROR(__xludf.DUMMYFUNCTION("""COMPUTED_VALUE"""),"165*76*330 mm")</f>
        <v>165*76*330 mm</v>
      </c>
      <c r="E47" s="124">
        <f>IFERROR(__xludf.DUMMYFUNCTION("""COMPUTED_VALUE"""),1.0)</f>
        <v>1</v>
      </c>
      <c r="F47" s="80">
        <f>IFERROR(__xludf.DUMMYFUNCTION("""COMPUTED_VALUE"""),1926.0)</f>
        <v>1926</v>
      </c>
      <c r="G47" s="80">
        <f>IFERROR(__xludf.DUMMYFUNCTION("""COMPUTED_VALUE"""),19.0)</f>
        <v>19</v>
      </c>
      <c r="H47" s="80">
        <f>IFERROR(__xludf.DUMMYFUNCTION("""COMPUTED_VALUE"""),20.0)</f>
        <v>20</v>
      </c>
      <c r="I47" s="80">
        <f>IFERROR(__xludf.DUMMYFUNCTION("""COMPUTED_VALUE"""),100.0)</f>
        <v>100</v>
      </c>
      <c r="J47" s="109"/>
      <c r="K47" s="109"/>
      <c r="L47" s="109"/>
      <c r="M47" s="109">
        <f>IFERROR(__xludf.DUMMYFUNCTION("""COMPUTED_VALUE"""),0.1)</f>
        <v>0.1</v>
      </c>
      <c r="N47" s="109">
        <f>IFERROR(__xludf.DUMMYFUNCTION("""COMPUTED_VALUE"""),1.0)</f>
        <v>1</v>
      </c>
      <c r="O47" s="109"/>
      <c r="P47" s="109" t="str">
        <f>IFERROR(__xludf.DUMMYFUNCTION("""COMPUTED_VALUE"""),"Offset")</f>
        <v>Offset</v>
      </c>
      <c r="Q47" s="109" t="str">
        <f>IFERROR(__xludf.DUMMYFUNCTION("""COMPUTED_VALUE"""),"Packaging")</f>
        <v>Packaging</v>
      </c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15"/>
      <c r="AK47" s="80"/>
      <c r="AL47" s="80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 t="str">
        <f>IFERROR(__xludf.DUMMYFUNCTION("""COMPUTED_VALUE"""),"Packaging")</f>
        <v>Packaging</v>
      </c>
      <c r="BD47" s="73" t="str">
        <f>IFERROR(__xludf.DUMMYFUNCTION("""COMPUTED_VALUE"""),"Masala")</f>
        <v>Masala</v>
      </c>
      <c r="BE47" s="80"/>
      <c r="BF47" s="73" t="s">
        <v>209</v>
      </c>
      <c r="BG47" s="77">
        <v>1004.0</v>
      </c>
      <c r="BH47" s="73"/>
      <c r="BI47" s="139"/>
      <c r="BJ47" s="73"/>
      <c r="BK47" s="86"/>
      <c r="BL47" s="77"/>
      <c r="BM47" s="80"/>
      <c r="BN47" s="139"/>
      <c r="BO47" s="77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</row>
    <row r="48">
      <c r="A48" s="123" t="str">
        <f>IFERROR(__xludf.DUMMYFUNCTION("""COMPUTED_VALUE"""),"https://drive.google.com/open?id=1Mk8KwkQiUvbHItBUpcNASorFhKK9mzY3&amp;authuser=jay.agg%40gmail.com&amp;usp=drive_fs")</f>
        <v>https://drive.google.com/open?id=1Mk8KwkQiUvbHItBUpcNASorFhKK9mzY3&amp;authuser=jay.agg%40gmail.com&amp;usp=drive_fs</v>
      </c>
      <c r="B48" s="80" t="str">
        <f>IFERROR(__xludf.DUMMYFUNCTION("""COMPUTED_VALUE"""),"Food")</f>
        <v>Food</v>
      </c>
      <c r="C48" s="80" t="str">
        <f>IFERROR(__xludf.DUMMYFUNCTION("""COMPUTED_VALUE"""),"Soyabean")</f>
        <v>Soyabean</v>
      </c>
      <c r="D48" s="80" t="str">
        <f>IFERROR(__xludf.DUMMYFUNCTION("""COMPUTED_VALUE"""),"125*55*195 mm | 5*2.1*7.7 inch")</f>
        <v>125*55*195 mm | 5*2.1*7.7 inch</v>
      </c>
      <c r="E48" s="124">
        <f>IFERROR(__xludf.DUMMYFUNCTION("""COMPUTED_VALUE"""),2.0)</f>
        <v>2</v>
      </c>
      <c r="F48" s="80">
        <f>IFERROR(__xludf.DUMMYFUNCTION("""COMPUTED_VALUE"""),1926.0)</f>
        <v>1926</v>
      </c>
      <c r="G48" s="80">
        <f>IFERROR(__xludf.DUMMYFUNCTION("""COMPUTED_VALUE"""),15.0)</f>
        <v>15</v>
      </c>
      <c r="H48" s="80">
        <f>IFERROR(__xludf.DUMMYFUNCTION("""COMPUTED_VALUE"""),25.0)</f>
        <v>25</v>
      </c>
      <c r="I48" s="80">
        <f>IFERROR(__xludf.DUMMYFUNCTION("""COMPUTED_VALUE"""),100.0)</f>
        <v>100</v>
      </c>
      <c r="J48" s="109"/>
      <c r="K48" s="109"/>
      <c r="L48" s="109"/>
      <c r="M48" s="109">
        <f>IFERROR(__xludf.DUMMYFUNCTION("""COMPUTED_VALUE"""),0.1)</f>
        <v>0.1</v>
      </c>
      <c r="N48" s="109">
        <f>IFERROR(__xludf.DUMMYFUNCTION("""COMPUTED_VALUE"""),1.0)</f>
        <v>1</v>
      </c>
      <c r="O48" s="109"/>
      <c r="P48" s="109" t="str">
        <f>IFERROR(__xludf.DUMMYFUNCTION("""COMPUTED_VALUE"""),"Offset")</f>
        <v>Offset</v>
      </c>
      <c r="Q48" s="109" t="str">
        <f>IFERROR(__xludf.DUMMYFUNCTION("""COMPUTED_VALUE"""),"Packaging")</f>
        <v>Packaging</v>
      </c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15"/>
      <c r="AK48" s="80"/>
      <c r="AL48" s="80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 t="str">
        <f>IFERROR(__xludf.DUMMYFUNCTION("""COMPUTED_VALUE"""),"Packaging")</f>
        <v>Packaging</v>
      </c>
      <c r="BD48" s="73" t="str">
        <f>IFERROR(__xludf.DUMMYFUNCTION("""COMPUTED_VALUE"""),"Maxobull")</f>
        <v>Maxobull</v>
      </c>
      <c r="BE48" s="80"/>
      <c r="BF48" s="73" t="s">
        <v>210</v>
      </c>
      <c r="BG48" s="77">
        <v>1003.0</v>
      </c>
      <c r="BH48" s="73"/>
      <c r="BI48" s="139"/>
      <c r="BJ48" s="80"/>
      <c r="BK48" s="54"/>
      <c r="BL48" s="77"/>
      <c r="BM48" s="80"/>
      <c r="BN48" s="139"/>
      <c r="BO48" s="77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</row>
    <row r="49">
      <c r="A49" s="123" t="str">
        <f>IFERROR(__xludf.DUMMYFUNCTION("""COMPUTED_VALUE"""),"https://drive.google.com/open?id=1NmrEWzL0jccCY3gRhr0OT_AIXLqaAYOX&amp;authuser=jay.agg%40gmail.com&amp;usp=drive_fs")</f>
        <v>https://drive.google.com/open?id=1NmrEWzL0jccCY3gRhr0OT_AIXLqaAYOX&amp;authuser=jay.agg%40gmail.com&amp;usp=drive_fs</v>
      </c>
      <c r="B49" s="80" t="str">
        <f>IFERROR(__xludf.DUMMYFUNCTION("""COMPUTED_VALUE"""),"Food")</f>
        <v>Food</v>
      </c>
      <c r="C49" s="80" t="str">
        <f>IFERROR(__xludf.DUMMYFUNCTION("""COMPUTED_VALUE"""),"Misc")</f>
        <v>Misc</v>
      </c>
      <c r="D49" s="80" t="str">
        <f>IFERROR(__xludf.DUMMYFUNCTION("""COMPUTED_VALUE"""),"127*51*203 mm | 5*2*8 inch")</f>
        <v>127*51*203 mm | 5*2*8 inch</v>
      </c>
      <c r="E49" s="124">
        <f>IFERROR(__xludf.DUMMYFUNCTION("""COMPUTED_VALUE"""),2.0)</f>
        <v>2</v>
      </c>
      <c r="F49" s="80">
        <f>IFERROR(__xludf.DUMMYFUNCTION("""COMPUTED_VALUE"""),1926.0)</f>
        <v>1926</v>
      </c>
      <c r="G49" s="80">
        <f>IFERROR(__xludf.DUMMYFUNCTION("""COMPUTED_VALUE"""),15.0)</f>
        <v>15</v>
      </c>
      <c r="H49" s="80">
        <f>IFERROR(__xludf.DUMMYFUNCTION("""COMPUTED_VALUE"""),25.0)</f>
        <v>25</v>
      </c>
      <c r="I49" s="80">
        <f>IFERROR(__xludf.DUMMYFUNCTION("""COMPUTED_VALUE"""),100.0)</f>
        <v>100</v>
      </c>
      <c r="J49" s="109"/>
      <c r="K49" s="109"/>
      <c r="L49" s="109"/>
      <c r="M49" s="109">
        <f>IFERROR(__xludf.DUMMYFUNCTION("""COMPUTED_VALUE"""),0.1)</f>
        <v>0.1</v>
      </c>
      <c r="N49" s="109">
        <f>IFERROR(__xludf.DUMMYFUNCTION("""COMPUTED_VALUE"""),1.0)</f>
        <v>1</v>
      </c>
      <c r="O49" s="109"/>
      <c r="P49" s="109" t="str">
        <f>IFERROR(__xludf.DUMMYFUNCTION("""COMPUTED_VALUE"""),"Offset")</f>
        <v>Offset</v>
      </c>
      <c r="Q49" s="109" t="str">
        <f>IFERROR(__xludf.DUMMYFUNCTION("""COMPUTED_VALUE"""),"Packaging")</f>
        <v>Packaging</v>
      </c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15"/>
      <c r="AK49" s="80"/>
      <c r="AL49" s="80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 t="str">
        <f>IFERROR(__xludf.DUMMYFUNCTION("""COMPUTED_VALUE"""),"Packaging")</f>
        <v>Packaging</v>
      </c>
      <c r="BD49" s="73" t="str">
        <f>IFERROR(__xludf.DUMMYFUNCTION("""COMPUTED_VALUE"""),"Medecine")</f>
        <v>Medecine</v>
      </c>
      <c r="BE49" s="80"/>
      <c r="BF49" s="88" t="s">
        <v>72</v>
      </c>
      <c r="BG49" s="161">
        <v>1926.0</v>
      </c>
      <c r="BH49" s="73"/>
      <c r="BI49" s="139"/>
      <c r="BJ49" s="73"/>
      <c r="BK49" s="86"/>
      <c r="BL49" s="77"/>
      <c r="BM49" s="80"/>
      <c r="BN49" s="139"/>
      <c r="BO49" s="77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</row>
    <row r="50">
      <c r="A50" s="123" t="str">
        <f>IFERROR(__xludf.DUMMYFUNCTION("""COMPUTED_VALUE"""),"https://drive.google.com/open?id=1O3DBsUn3E9JvBhXZN8erEkDTKD49qVs-&amp;authuser=jay.agg%40gmail.com&amp;usp=drive_fs")</f>
        <v>https://drive.google.com/open?id=1O3DBsUn3E9JvBhXZN8erEkDTKD49qVs-&amp;authuser=jay.agg%40gmail.com&amp;usp=drive_fs</v>
      </c>
      <c r="B50" s="80" t="str">
        <f>IFERROR(__xludf.DUMMYFUNCTION("""COMPUTED_VALUE"""),"Food")</f>
        <v>Food</v>
      </c>
      <c r="C50" s="80" t="str">
        <f>IFERROR(__xludf.DUMMYFUNCTION("""COMPUTED_VALUE"""),"Cookies")</f>
        <v>Cookies</v>
      </c>
      <c r="D50" s="80" t="str">
        <f>IFERROR(__xludf.DUMMYFUNCTION("""COMPUTED_VALUE"""),"60*60*150 mm | 2.3*2.3*5.9 inch")</f>
        <v>60*60*150 mm | 2.3*2.3*5.9 inch</v>
      </c>
      <c r="E50" s="124">
        <f>IFERROR(__xludf.DUMMYFUNCTION("""COMPUTED_VALUE"""),4.0)</f>
        <v>4</v>
      </c>
      <c r="F50" s="80">
        <f>IFERROR(__xludf.DUMMYFUNCTION("""COMPUTED_VALUE"""),2029.0)</f>
        <v>2029</v>
      </c>
      <c r="G50" s="80">
        <f>IFERROR(__xludf.DUMMYFUNCTION("""COMPUTED_VALUE"""),20.0)</f>
        <v>20</v>
      </c>
      <c r="H50" s="80">
        <f>IFERROR(__xludf.DUMMYFUNCTION("""COMPUTED_VALUE"""),28.0)</f>
        <v>28</v>
      </c>
      <c r="I50" s="80">
        <f>IFERROR(__xludf.DUMMYFUNCTION("""COMPUTED_VALUE"""),100.0)</f>
        <v>100</v>
      </c>
      <c r="J50" s="109"/>
      <c r="K50" s="109"/>
      <c r="L50" s="109"/>
      <c r="M50" s="109">
        <f>IFERROR(__xludf.DUMMYFUNCTION("""COMPUTED_VALUE"""),0.1)</f>
        <v>0.1</v>
      </c>
      <c r="N50" s="109">
        <f>IFERROR(__xludf.DUMMYFUNCTION("""COMPUTED_VALUE"""),1.0)</f>
        <v>1</v>
      </c>
      <c r="O50" s="109"/>
      <c r="P50" s="109" t="str">
        <f>IFERROR(__xludf.DUMMYFUNCTION("""COMPUTED_VALUE"""),"Offset")</f>
        <v>Offset</v>
      </c>
      <c r="Q50" s="109" t="str">
        <f>IFERROR(__xludf.DUMMYFUNCTION("""COMPUTED_VALUE"""),"Packaging")</f>
        <v>Packaging</v>
      </c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15"/>
      <c r="AK50" s="80"/>
      <c r="AL50" s="80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 t="str">
        <f>IFERROR(__xludf.DUMMYFUNCTION("""COMPUTED_VALUE"""),"Packaging")</f>
        <v>Packaging</v>
      </c>
      <c r="BD50" s="73" t="str">
        <f>IFERROR(__xludf.DUMMYFUNCTION("""COMPUTED_VALUE"""),"Meethai &amp; Cake")</f>
        <v>Meethai &amp; Cake</v>
      </c>
      <c r="BE50" s="80"/>
      <c r="BF50" s="88" t="s">
        <v>64</v>
      </c>
      <c r="BG50" s="161">
        <v>1926.0</v>
      </c>
      <c r="BH50" s="73"/>
      <c r="BI50" s="139"/>
      <c r="BJ50" s="80"/>
      <c r="BK50" s="86"/>
      <c r="BL50" s="77"/>
      <c r="BM50" s="80"/>
      <c r="BN50" s="139"/>
      <c r="BO50" s="77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</row>
    <row r="51">
      <c r="A51" s="123" t="str">
        <f>IFERROR(__xludf.DUMMYFUNCTION("""COMPUTED_VALUE"""),"https://drive.google.com/open?id=1OChsXdmJLOGgS9j_u_FIIbtfxgE_RFPu&amp;authuser=jay.agg%40gmail.com&amp;usp=drive_fs")</f>
        <v>https://drive.google.com/open?id=1OChsXdmJLOGgS9j_u_FIIbtfxgE_RFPu&amp;authuser=jay.agg%40gmail.com&amp;usp=drive_fs</v>
      </c>
      <c r="B51" s="80" t="str">
        <f>IFERROR(__xludf.DUMMYFUNCTION("""COMPUTED_VALUE"""),"Food")</f>
        <v>Food</v>
      </c>
      <c r="C51" s="80" t="str">
        <f>IFERROR(__xludf.DUMMYFUNCTION("""COMPUTED_VALUE"""),"Frozen")</f>
        <v>Frozen</v>
      </c>
      <c r="D51" s="80" t="str">
        <f>IFERROR(__xludf.DUMMYFUNCTION("""COMPUTED_VALUE"""),"190*140*51 mm | 7.5*5.5*2 inch")</f>
        <v>190*140*51 mm | 7.5*5.5*2 inch</v>
      </c>
      <c r="E51" s="124">
        <f>IFERROR(__xludf.DUMMYFUNCTION("""COMPUTED_VALUE"""),3.0)</f>
        <v>3</v>
      </c>
      <c r="F51" s="80">
        <f>IFERROR(__xludf.DUMMYFUNCTION("""COMPUTED_VALUE"""),1926.0)</f>
        <v>1926</v>
      </c>
      <c r="G51" s="80">
        <f>IFERROR(__xludf.DUMMYFUNCTION("""COMPUTED_VALUE"""),18.0)</f>
        <v>18</v>
      </c>
      <c r="H51" s="80">
        <f>IFERROR(__xludf.DUMMYFUNCTION("""COMPUTED_VALUE"""),23.0)</f>
        <v>23</v>
      </c>
      <c r="I51" s="80">
        <f>IFERROR(__xludf.DUMMYFUNCTION("""COMPUTED_VALUE"""),100.0)</f>
        <v>100</v>
      </c>
      <c r="J51" s="109"/>
      <c r="K51" s="109"/>
      <c r="L51" s="109"/>
      <c r="M51" s="109">
        <f>IFERROR(__xludf.DUMMYFUNCTION("""COMPUTED_VALUE"""),0.1)</f>
        <v>0.1</v>
      </c>
      <c r="N51" s="109">
        <f>IFERROR(__xludf.DUMMYFUNCTION("""COMPUTED_VALUE"""),1.0)</f>
        <v>1</v>
      </c>
      <c r="O51" s="109"/>
      <c r="P51" s="109" t="str">
        <f>IFERROR(__xludf.DUMMYFUNCTION("""COMPUTED_VALUE"""),"Offset")</f>
        <v>Offset</v>
      </c>
      <c r="Q51" s="109" t="str">
        <f>IFERROR(__xludf.DUMMYFUNCTION("""COMPUTED_VALUE"""),"Packaging")</f>
        <v>Packaging</v>
      </c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15"/>
      <c r="AK51" s="80"/>
      <c r="AL51" s="80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 t="str">
        <f>IFERROR(__xludf.DUMMYFUNCTION("""COMPUTED_VALUE"""),"Packaging")</f>
        <v>Packaging</v>
      </c>
      <c r="BD51" s="73" t="str">
        <f>IFERROR(__xludf.DUMMYFUNCTION("""COMPUTED_VALUE"""),"MFM")</f>
        <v>MFM</v>
      </c>
      <c r="BE51" s="80"/>
      <c r="BF51" s="88" t="s">
        <v>96</v>
      </c>
      <c r="BG51" s="161">
        <v>1005.0</v>
      </c>
      <c r="BH51" s="73"/>
      <c r="BI51" s="139"/>
      <c r="BJ51" s="80"/>
      <c r="BK51" s="77"/>
      <c r="BL51" s="77"/>
      <c r="BM51" s="80"/>
      <c r="BN51" s="139"/>
      <c r="BO51" s="77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</row>
    <row r="52">
      <c r="A52" s="123" t="str">
        <f>IFERROR(__xludf.DUMMYFUNCTION("""COMPUTED_VALUE"""),"https://drive.google.com/open?id=1Bnsb0frEED9Anr-37j2jzpXfxbfcoGZE&amp;authuser=jay.agg%40gmail.com&amp;usp=drive_fs")</f>
        <v>https://drive.google.com/open?id=1Bnsb0frEED9Anr-37j2jzpXfxbfcoGZE&amp;authuser=jay.agg%40gmail.com&amp;usp=drive_fs</v>
      </c>
      <c r="B52" s="80" t="str">
        <f>IFERROR(__xludf.DUMMYFUNCTION("""COMPUTED_VALUE"""),"Food")</f>
        <v>Food</v>
      </c>
      <c r="C52" s="80" t="str">
        <f>IFERROR(__xludf.DUMMYFUNCTION("""COMPUTED_VALUE"""),"Rusk")</f>
        <v>Rusk</v>
      </c>
      <c r="D52" s="80" t="str">
        <f>IFERROR(__xludf.DUMMYFUNCTION("""COMPUTED_VALUE"""),"130*80*155 mm | 5*3*6 inch")</f>
        <v>130*80*155 mm | 5*3*6 inch</v>
      </c>
      <c r="E52" s="124">
        <f>IFERROR(__xludf.DUMMYFUNCTION("""COMPUTED_VALUE"""),2.0)</f>
        <v>2</v>
      </c>
      <c r="F52" s="80">
        <f>IFERROR(__xludf.DUMMYFUNCTION("""COMPUTED_VALUE"""),1926.0)</f>
        <v>1926</v>
      </c>
      <c r="G52" s="80">
        <f>IFERROR(__xludf.DUMMYFUNCTION("""COMPUTED_VALUE"""),18.0)</f>
        <v>18</v>
      </c>
      <c r="H52" s="80">
        <f>IFERROR(__xludf.DUMMYFUNCTION("""COMPUTED_VALUE"""),25.0)</f>
        <v>25</v>
      </c>
      <c r="I52" s="80">
        <f>IFERROR(__xludf.DUMMYFUNCTION("""COMPUTED_VALUE"""),100.0)</f>
        <v>100</v>
      </c>
      <c r="J52" s="109"/>
      <c r="K52" s="109"/>
      <c r="L52" s="109"/>
      <c r="M52" s="109">
        <f>IFERROR(__xludf.DUMMYFUNCTION("""COMPUTED_VALUE"""),0.1)</f>
        <v>0.1</v>
      </c>
      <c r="N52" s="109">
        <f>IFERROR(__xludf.DUMMYFUNCTION("""COMPUTED_VALUE"""),1.0)</f>
        <v>1</v>
      </c>
      <c r="O52" s="109"/>
      <c r="P52" s="109" t="str">
        <f>IFERROR(__xludf.DUMMYFUNCTION("""COMPUTED_VALUE"""),"Offset")</f>
        <v>Offset</v>
      </c>
      <c r="Q52" s="109" t="str">
        <f>IFERROR(__xludf.DUMMYFUNCTION("""COMPUTED_VALUE"""),"Packaging")</f>
        <v>Packaging</v>
      </c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15"/>
      <c r="AK52" s="80"/>
      <c r="AL52" s="80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 t="str">
        <f>IFERROR(__xludf.DUMMYFUNCTION("""COMPUTED_VALUE"""),"Packaging")</f>
        <v>Packaging</v>
      </c>
      <c r="BD52" s="73" t="str">
        <f>IFERROR(__xludf.DUMMYFUNCTION("""COMPUTED_VALUE"""),"Misc")</f>
        <v>Misc</v>
      </c>
      <c r="BE52" s="80"/>
      <c r="BF52" s="73"/>
      <c r="BG52" s="139"/>
      <c r="BH52" s="73"/>
      <c r="BI52" s="73"/>
      <c r="BJ52" s="80"/>
      <c r="BK52" s="54"/>
      <c r="BL52" s="77"/>
      <c r="BM52" s="80"/>
      <c r="BN52" s="139"/>
      <c r="BO52" s="77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</row>
    <row r="53">
      <c r="A53" s="123" t="str">
        <f>IFERROR(__xludf.DUMMYFUNCTION("""COMPUTED_VALUE"""),"https://drive.google.com/open?id=1Brn9QCMkUjdGOnRuWsTH_LaeUOxtQZ9b&amp;authuser=jay.agg%40gmail.com&amp;usp=drive_fs")</f>
        <v>https://drive.google.com/open?id=1Brn9QCMkUjdGOnRuWsTH_LaeUOxtQZ9b&amp;authuser=jay.agg%40gmail.com&amp;usp=drive_fs</v>
      </c>
      <c r="B53" s="80" t="str">
        <f>IFERROR(__xludf.DUMMYFUNCTION("""COMPUTED_VALUE"""),"Food")</f>
        <v>Food</v>
      </c>
      <c r="C53" s="80" t="str">
        <f>IFERROR(__xludf.DUMMYFUNCTION("""COMPUTED_VALUE"""),"Burger Box")</f>
        <v>Burger Box</v>
      </c>
      <c r="D53" s="80" t="str">
        <f>IFERROR(__xludf.DUMMYFUNCTION("""COMPUTED_VALUE"""),"125*125*53 mm | 5*5*2 inch")</f>
        <v>125*125*53 mm | 5*5*2 inch</v>
      </c>
      <c r="E53" s="124">
        <f>IFERROR(__xludf.DUMMYFUNCTION("""COMPUTED_VALUE"""),3.0)</f>
        <v>3</v>
      </c>
      <c r="F53" s="80">
        <f>IFERROR(__xludf.DUMMYFUNCTION("""COMPUTED_VALUE"""),2029.0)</f>
        <v>2029</v>
      </c>
      <c r="G53" s="80">
        <f>IFERROR(__xludf.DUMMYFUNCTION("""COMPUTED_VALUE"""),20.0)</f>
        <v>20</v>
      </c>
      <c r="H53" s="80">
        <f>IFERROR(__xludf.DUMMYFUNCTION("""COMPUTED_VALUE"""),28.0)</f>
        <v>28</v>
      </c>
      <c r="I53" s="80">
        <f>IFERROR(__xludf.DUMMYFUNCTION("""COMPUTED_VALUE"""),100.0)</f>
        <v>100</v>
      </c>
      <c r="J53" s="109"/>
      <c r="K53" s="109"/>
      <c r="L53" s="109"/>
      <c r="M53" s="109">
        <f>IFERROR(__xludf.DUMMYFUNCTION("""COMPUTED_VALUE"""),1.0)</f>
        <v>1</v>
      </c>
      <c r="N53" s="109">
        <f>IFERROR(__xludf.DUMMYFUNCTION("""COMPUTED_VALUE"""),1.0)</f>
        <v>1</v>
      </c>
      <c r="O53" s="109"/>
      <c r="P53" s="109" t="str">
        <f>IFERROR(__xludf.DUMMYFUNCTION("""COMPUTED_VALUE"""),"Offset")</f>
        <v>Offset</v>
      </c>
      <c r="Q53" s="109" t="str">
        <f>IFERROR(__xludf.DUMMYFUNCTION("""COMPUTED_VALUE"""),"Packaging")</f>
        <v>Packaging</v>
      </c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15"/>
      <c r="AK53" s="80"/>
      <c r="AL53" s="80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 t="str">
        <f>IFERROR(__xludf.DUMMYFUNCTION("""COMPUTED_VALUE"""),"Packaging")</f>
        <v>Packaging</v>
      </c>
      <c r="BD53" s="73" t="str">
        <f>IFERROR(__xludf.DUMMYFUNCTION("""COMPUTED_VALUE"""),"Mobile")</f>
        <v>Mobile</v>
      </c>
      <c r="BE53" s="80"/>
      <c r="BF53" s="80"/>
      <c r="BG53" s="139"/>
      <c r="BH53" s="73"/>
      <c r="BI53" s="73"/>
      <c r="BJ53" s="139"/>
      <c r="BK53" s="139"/>
      <c r="BL53" s="77"/>
      <c r="BM53" s="73"/>
      <c r="BN53" s="80"/>
      <c r="BO53" s="77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</row>
    <row r="54">
      <c r="A54" s="123" t="str">
        <f>IFERROR(__xludf.DUMMYFUNCTION("""COMPUTED_VALUE"""),"https://drive.google.com/open?id=1OQZ-ePtmH2eRW6YsfL_Pau-Vk4pj3Ge2&amp;authuser=jay.agg%40gmail.com&amp;usp=drive_fs")</f>
        <v>https://drive.google.com/open?id=1OQZ-ePtmH2eRW6YsfL_Pau-Vk4pj3Ge2&amp;authuser=jay.agg%40gmail.com&amp;usp=drive_fs</v>
      </c>
      <c r="B54" s="80" t="str">
        <f>IFERROR(__xludf.DUMMYFUNCTION("""COMPUTED_VALUE"""),"Food")</f>
        <v>Food</v>
      </c>
      <c r="C54" s="80" t="str">
        <f>IFERROR(__xludf.DUMMYFUNCTION("""COMPUTED_VALUE"""),"Corn Flakes")</f>
        <v>Corn Flakes</v>
      </c>
      <c r="D54" s="80" t="str">
        <f>IFERROR(__xludf.DUMMYFUNCTION("""COMPUTED_VALUE"""),"230*70*295 mm | 9*2.7*11.6 inch")</f>
        <v>230*70*295 mm | 9*2.7*11.6 inch</v>
      </c>
      <c r="E54" s="124">
        <f>IFERROR(__xludf.DUMMYFUNCTION("""COMPUTED_VALUE"""),1.0)</f>
        <v>1</v>
      </c>
      <c r="F54" s="80">
        <f>IFERROR(__xludf.DUMMYFUNCTION("""COMPUTED_VALUE"""),1926.0)</f>
        <v>1926</v>
      </c>
      <c r="G54" s="80">
        <f>IFERROR(__xludf.DUMMYFUNCTION("""COMPUTED_VALUE"""),18.0)</f>
        <v>18</v>
      </c>
      <c r="H54" s="80">
        <f>IFERROR(__xludf.DUMMYFUNCTION("""COMPUTED_VALUE"""),25.0)</f>
        <v>25</v>
      </c>
      <c r="I54" s="80">
        <f>IFERROR(__xludf.DUMMYFUNCTION("""COMPUTED_VALUE"""),100.0)</f>
        <v>100</v>
      </c>
      <c r="J54" s="109"/>
      <c r="K54" s="109"/>
      <c r="L54" s="109"/>
      <c r="M54" s="109">
        <f>IFERROR(__xludf.DUMMYFUNCTION("""COMPUTED_VALUE"""),0.1)</f>
        <v>0.1</v>
      </c>
      <c r="N54" s="109">
        <f>IFERROR(__xludf.DUMMYFUNCTION("""COMPUTED_VALUE"""),1.0)</f>
        <v>1</v>
      </c>
      <c r="O54" s="109"/>
      <c r="P54" s="109" t="str">
        <f>IFERROR(__xludf.DUMMYFUNCTION("""COMPUTED_VALUE"""),"Offset")</f>
        <v>Offset</v>
      </c>
      <c r="Q54" s="109" t="str">
        <f>IFERROR(__xludf.DUMMYFUNCTION("""COMPUTED_VALUE"""),"Packaging")</f>
        <v>Packaging</v>
      </c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15"/>
      <c r="AK54" s="80"/>
      <c r="AL54" s="80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 t="str">
        <f>IFERROR(__xludf.DUMMYFUNCTION("""COMPUTED_VALUE"""),"Packaging")</f>
        <v>Packaging</v>
      </c>
      <c r="BD54" s="73" t="str">
        <f>IFERROR(__xludf.DUMMYFUNCTION("""COMPUTED_VALUE"""),"Mobile Accessories")</f>
        <v>Mobile Accessories</v>
      </c>
      <c r="BE54" s="80"/>
      <c r="BF54" s="80"/>
      <c r="BG54" s="139"/>
      <c r="BH54" s="73"/>
      <c r="BI54" s="139"/>
      <c r="BJ54" s="80"/>
      <c r="BK54" s="80"/>
      <c r="BL54" s="77"/>
      <c r="BM54" s="73"/>
      <c r="BN54" s="80"/>
      <c r="BO54" s="77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</row>
    <row r="55">
      <c r="A55" s="123" t="str">
        <f>IFERROR(__xludf.DUMMYFUNCTION("""COMPUTED_VALUE"""),"https://drive.google.com/open?id=1O_3sh0g_XSvMgDCFr3QaNGWrPCMmR6No&amp;authuser=jay.agg%40gmail.com&amp;usp=drive_fs")</f>
        <v>https://drive.google.com/open?id=1O_3sh0g_XSvMgDCFr3QaNGWrPCMmR6No&amp;authuser=jay.agg%40gmail.com&amp;usp=drive_fs</v>
      </c>
      <c r="B55" s="80" t="str">
        <f>IFERROR(__xludf.DUMMYFUNCTION("""COMPUTED_VALUE"""),"Food")</f>
        <v>Food</v>
      </c>
      <c r="C55" s="80" t="str">
        <f>IFERROR(__xludf.DUMMYFUNCTION("""COMPUTED_VALUE"""),"Corn Flakes")</f>
        <v>Corn Flakes</v>
      </c>
      <c r="D55" s="80" t="str">
        <f>IFERROR(__xludf.DUMMYFUNCTION("""COMPUTED_VALUE"""),"245*90*350 mm | 9.6*3.5*13.8 inch")</f>
        <v>245*90*350 mm | 9.6*3.5*13.8 inch</v>
      </c>
      <c r="E55" s="124">
        <f>IFERROR(__xludf.DUMMYFUNCTION("""COMPUTED_VALUE"""),1.0)</f>
        <v>1</v>
      </c>
      <c r="F55" s="80">
        <f>IFERROR(__xludf.DUMMYFUNCTION("""COMPUTED_VALUE"""),2029.0)</f>
        <v>2029</v>
      </c>
      <c r="G55" s="80">
        <f>IFERROR(__xludf.DUMMYFUNCTION("""COMPUTED_VALUE"""),20.0)</f>
        <v>20</v>
      </c>
      <c r="H55" s="80">
        <f>IFERROR(__xludf.DUMMYFUNCTION("""COMPUTED_VALUE"""),28.0)</f>
        <v>28</v>
      </c>
      <c r="I55" s="80">
        <f>IFERROR(__xludf.DUMMYFUNCTION("""COMPUTED_VALUE"""),100.0)</f>
        <v>100</v>
      </c>
      <c r="J55" s="109"/>
      <c r="K55" s="109"/>
      <c r="L55" s="109"/>
      <c r="M55" s="109">
        <f>IFERROR(__xludf.DUMMYFUNCTION("""COMPUTED_VALUE"""),0.1)</f>
        <v>0.1</v>
      </c>
      <c r="N55" s="109">
        <f>IFERROR(__xludf.DUMMYFUNCTION("""COMPUTED_VALUE"""),1.0)</f>
        <v>1</v>
      </c>
      <c r="O55" s="109"/>
      <c r="P55" s="109" t="str">
        <f>IFERROR(__xludf.DUMMYFUNCTION("""COMPUTED_VALUE"""),"Offset")</f>
        <v>Offset</v>
      </c>
      <c r="Q55" s="109" t="str">
        <f>IFERROR(__xludf.DUMMYFUNCTION("""COMPUTED_VALUE"""),"Packaging")</f>
        <v>Packaging</v>
      </c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15"/>
      <c r="AK55" s="80"/>
      <c r="AL55" s="80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 t="str">
        <f>IFERROR(__xludf.DUMMYFUNCTION("""COMPUTED_VALUE"""),"Packaging")</f>
        <v>Packaging</v>
      </c>
      <c r="BD55" s="73" t="str">
        <f>IFERROR(__xludf.DUMMYFUNCTION("""COMPUTED_VALUE"""),"Nathabit")</f>
        <v>Nathabit</v>
      </c>
      <c r="BE55" s="80"/>
      <c r="BF55" s="80"/>
      <c r="BG55" s="139"/>
      <c r="BH55" s="73"/>
      <c r="BI55" s="73"/>
      <c r="BJ55" s="139"/>
      <c r="BK55" s="54"/>
      <c r="BL55" s="77"/>
      <c r="BM55" s="77"/>
      <c r="BN55" s="139"/>
      <c r="BO55" s="77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</row>
    <row r="56">
      <c r="A56" s="123" t="str">
        <f>IFERROR(__xludf.DUMMYFUNCTION("""COMPUTED_VALUE"""),"https://drive.google.com/open?id=1OzRhqM1WSTTxUyiXmK-uo6qHSLFo1J6W&amp;authuser=jay.agg%40gmail.com&amp;usp=drive_fs")</f>
        <v>https://drive.google.com/open?id=1OzRhqM1WSTTxUyiXmK-uo6qHSLFo1J6W&amp;authuser=jay.agg%40gmail.com&amp;usp=drive_fs</v>
      </c>
      <c r="B56" s="80" t="str">
        <f>IFERROR(__xludf.DUMMYFUNCTION("""COMPUTED_VALUE"""),"Food")</f>
        <v>Food</v>
      </c>
      <c r="C56" s="80" t="str">
        <f>IFERROR(__xludf.DUMMYFUNCTION("""COMPUTED_VALUE"""),"Cookies")</f>
        <v>Cookies</v>
      </c>
      <c r="D56" s="80" t="str">
        <f>IFERROR(__xludf.DUMMYFUNCTION("""COMPUTED_VALUE"""),"60*60*130 mm | 2.3*2.3*5.1 inch")</f>
        <v>60*60*130 mm | 2.3*2.3*5.1 inch</v>
      </c>
      <c r="E56" s="124">
        <f>IFERROR(__xludf.DUMMYFUNCTION("""COMPUTED_VALUE"""),6.0)</f>
        <v>6</v>
      </c>
      <c r="F56" s="80">
        <f>IFERROR(__xludf.DUMMYFUNCTION("""COMPUTED_VALUE"""),2029.0)</f>
        <v>2029</v>
      </c>
      <c r="G56" s="80">
        <f>IFERROR(__xludf.DUMMYFUNCTION("""COMPUTED_VALUE"""),20.0)</f>
        <v>20</v>
      </c>
      <c r="H56" s="80">
        <f>IFERROR(__xludf.DUMMYFUNCTION("""COMPUTED_VALUE"""),28.0)</f>
        <v>28</v>
      </c>
      <c r="I56" s="80">
        <f>IFERROR(__xludf.DUMMYFUNCTION("""COMPUTED_VALUE"""),100.0)</f>
        <v>100</v>
      </c>
      <c r="J56" s="109"/>
      <c r="K56" s="109"/>
      <c r="L56" s="109"/>
      <c r="M56" s="109">
        <f>IFERROR(__xludf.DUMMYFUNCTION("""COMPUTED_VALUE"""),0.1)</f>
        <v>0.1</v>
      </c>
      <c r="N56" s="109">
        <f>IFERROR(__xludf.DUMMYFUNCTION("""COMPUTED_VALUE"""),1.0)</f>
        <v>1</v>
      </c>
      <c r="O56" s="109"/>
      <c r="P56" s="109" t="str">
        <f>IFERROR(__xludf.DUMMYFUNCTION("""COMPUTED_VALUE"""),"Offset")</f>
        <v>Offset</v>
      </c>
      <c r="Q56" s="109" t="str">
        <f>IFERROR(__xludf.DUMMYFUNCTION("""COMPUTED_VALUE"""),"Packaging")</f>
        <v>Packaging</v>
      </c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15"/>
      <c r="AK56" s="80"/>
      <c r="AL56" s="80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 t="str">
        <f>IFERROR(__xludf.DUMMYFUNCTION("""COMPUTED_VALUE"""),"Packaging")</f>
        <v>Packaging</v>
      </c>
      <c r="BD56" s="73" t="str">
        <f>IFERROR(__xludf.DUMMYFUNCTION("""COMPUTED_VALUE"""),"Pooja Kit")</f>
        <v>Pooja Kit</v>
      </c>
      <c r="BE56" s="80"/>
      <c r="BF56" s="80"/>
      <c r="BG56" s="139"/>
      <c r="BH56" s="73"/>
      <c r="BI56" s="139"/>
      <c r="BJ56" s="80"/>
      <c r="BK56" s="54"/>
      <c r="BL56" s="77"/>
      <c r="BM56" s="80"/>
      <c r="BN56" s="139"/>
      <c r="BO56" s="77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</row>
    <row r="57">
      <c r="A57" s="123" t="str">
        <f>IFERROR(__xludf.DUMMYFUNCTION("""COMPUTED_VALUE"""),"https://drive.google.com/open?id=1Oo0o_Uf6_P3cO3tp05t4Mu8X7X5OlgLf&amp;authuser=jay.agg%40gmail.com&amp;usp=drive_fs")</f>
        <v>https://drive.google.com/open?id=1Oo0o_Uf6_P3cO3tp05t4Mu8X7X5OlgLf&amp;authuser=jay.agg%40gmail.com&amp;usp=drive_fs</v>
      </c>
      <c r="B57" s="80" t="str">
        <f>IFERROR(__xludf.DUMMYFUNCTION("""COMPUTED_VALUE"""),"Food")</f>
        <v>Food</v>
      </c>
      <c r="C57" s="80" t="str">
        <f>IFERROR(__xludf.DUMMYFUNCTION("""COMPUTED_VALUE"""),"Chocolate")</f>
        <v>Chocolate</v>
      </c>
      <c r="D57" s="80" t="str">
        <f>IFERROR(__xludf.DUMMYFUNCTION("""COMPUTED_VALUE"""),"230*230*60 mm | 9*9*2.3 inch")</f>
        <v>230*230*60 mm | 9*9*2.3 inch</v>
      </c>
      <c r="E57" s="124">
        <f>IFERROR(__xludf.DUMMYFUNCTION("""COMPUTED_VALUE"""),1.0)</f>
        <v>1</v>
      </c>
      <c r="F57" s="80">
        <f>IFERROR(__xludf.DUMMYFUNCTION("""COMPUTED_VALUE"""),1926.0)</f>
        <v>1926</v>
      </c>
      <c r="G57" s="80">
        <f>IFERROR(__xludf.DUMMYFUNCTION("""COMPUTED_VALUE"""),15.0)</f>
        <v>15</v>
      </c>
      <c r="H57" s="80">
        <f>IFERROR(__xludf.DUMMYFUNCTION("""COMPUTED_VALUE"""),25.0)</f>
        <v>25</v>
      </c>
      <c r="I57" s="80">
        <f>IFERROR(__xludf.DUMMYFUNCTION("""COMPUTED_VALUE"""),100.0)</f>
        <v>100</v>
      </c>
      <c r="J57" s="109"/>
      <c r="K57" s="109"/>
      <c r="L57" s="109"/>
      <c r="M57" s="109">
        <f>IFERROR(__xludf.DUMMYFUNCTION("""COMPUTED_VALUE"""),0.12)</f>
        <v>0.12</v>
      </c>
      <c r="N57" s="109">
        <f>IFERROR(__xludf.DUMMYFUNCTION("""COMPUTED_VALUE"""),1.0)</f>
        <v>1</v>
      </c>
      <c r="O57" s="109"/>
      <c r="P57" s="109" t="str">
        <f>IFERROR(__xludf.DUMMYFUNCTION("""COMPUTED_VALUE"""),"Offset")</f>
        <v>Offset</v>
      </c>
      <c r="Q57" s="109" t="str">
        <f>IFERROR(__xludf.DUMMYFUNCTION("""COMPUTED_VALUE"""),"Packaging")</f>
        <v>Packaging</v>
      </c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15"/>
      <c r="AK57" s="80"/>
      <c r="AL57" s="80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 t="str">
        <f>IFERROR(__xludf.DUMMYFUNCTION("""COMPUTED_VALUE"""),"Packaging")</f>
        <v>Packaging</v>
      </c>
      <c r="BD57" s="73" t="str">
        <f>IFERROR(__xludf.DUMMYFUNCTION("""COMPUTED_VALUE"""),"Power Plus")</f>
        <v>Power Plus</v>
      </c>
      <c r="BE57" s="80"/>
      <c r="BF57" s="80"/>
      <c r="BG57" s="139"/>
      <c r="BH57" s="73"/>
      <c r="BI57" s="139"/>
      <c r="BJ57" s="80"/>
      <c r="BK57" s="54"/>
      <c r="BL57" s="77"/>
      <c r="BM57" s="80"/>
      <c r="BN57" s="139"/>
      <c r="BO57" s="77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</row>
    <row r="58">
      <c r="A58" s="123" t="str">
        <f>IFERROR(__xludf.DUMMYFUNCTION("""COMPUTED_VALUE"""),"https://drive.google.com/open?id=1PI4Qj-_AjnweI9SrJuQ8sE4p2KI5ldj8&amp;authuser=jay.agg%40gmail.com&amp;usp=drive_fs")</f>
        <v>https://drive.google.com/open?id=1PI4Qj-_AjnweI9SrJuQ8sE4p2KI5ldj8&amp;authuser=jay.agg%40gmail.com&amp;usp=drive_fs</v>
      </c>
      <c r="B58" s="80" t="str">
        <f>IFERROR(__xludf.DUMMYFUNCTION("""COMPUTED_VALUE"""),"Food")</f>
        <v>Food</v>
      </c>
      <c r="C58" s="80" t="str">
        <f>IFERROR(__xludf.DUMMYFUNCTION("""COMPUTED_VALUE"""),"Misc")</f>
        <v>Misc</v>
      </c>
      <c r="D58" s="80" t="str">
        <f>IFERROR(__xludf.DUMMYFUNCTION("""COMPUTED_VALUE"""),"140*55*215 mm | 5.5*2.1*8.5 inch")</f>
        <v>140*55*215 mm | 5.5*2.1*8.5 inch</v>
      </c>
      <c r="E58" s="124">
        <f>IFERROR(__xludf.DUMMYFUNCTION("""COMPUTED_VALUE"""),2.0)</f>
        <v>2</v>
      </c>
      <c r="F58" s="80">
        <f>IFERROR(__xludf.DUMMYFUNCTION("""COMPUTED_VALUE"""),1926.0)</f>
        <v>1926</v>
      </c>
      <c r="G58" s="80">
        <f>IFERROR(__xludf.DUMMYFUNCTION("""COMPUTED_VALUE"""),18.0)</f>
        <v>18</v>
      </c>
      <c r="H58" s="80">
        <f>IFERROR(__xludf.DUMMYFUNCTION("""COMPUTED_VALUE"""),23.0)</f>
        <v>23</v>
      </c>
      <c r="I58" s="80">
        <f>IFERROR(__xludf.DUMMYFUNCTION("""COMPUTED_VALUE"""),100.0)</f>
        <v>100</v>
      </c>
      <c r="J58" s="109"/>
      <c r="K58" s="109"/>
      <c r="L58" s="109"/>
      <c r="M58" s="109">
        <f>IFERROR(__xludf.DUMMYFUNCTION("""COMPUTED_VALUE"""),0.1)</f>
        <v>0.1</v>
      </c>
      <c r="N58" s="109">
        <f>IFERROR(__xludf.DUMMYFUNCTION("""COMPUTED_VALUE"""),1.0)</f>
        <v>1</v>
      </c>
      <c r="O58" s="109"/>
      <c r="P58" s="109" t="str">
        <f>IFERROR(__xludf.DUMMYFUNCTION("""COMPUTED_VALUE"""),"Offset")</f>
        <v>Offset</v>
      </c>
      <c r="Q58" s="109" t="str">
        <f>IFERROR(__xludf.DUMMYFUNCTION("""COMPUTED_VALUE"""),"Packaging")</f>
        <v>Packaging</v>
      </c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15"/>
      <c r="AK58" s="80"/>
      <c r="AL58" s="80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 t="str">
        <f>IFERROR(__xludf.DUMMYFUNCTION("""COMPUTED_VALUE"""),"Packaging")</f>
        <v>Packaging</v>
      </c>
      <c r="BD58" s="73" t="str">
        <f>IFERROR(__xludf.DUMMYFUNCTION("""COMPUTED_VALUE"""),"Purifier")</f>
        <v>Purifier</v>
      </c>
      <c r="BE58" s="80"/>
      <c r="BF58" s="80"/>
      <c r="BG58" s="139"/>
      <c r="BH58" s="160" t="str">
        <f>IFERROR(__xludf.DUMMYFUNCTION("QUERY(Price!BA2:BB50,BN4)"),"#N/A")</f>
        <v>#N/A</v>
      </c>
      <c r="BI58" s="139"/>
      <c r="BJ58" s="73"/>
      <c r="BK58" s="86"/>
      <c r="BL58" s="80" t="str">
        <f>IFERROR(__xludf.DUMMYFUNCTION("QUERY(Price!BC2:BD15,BM4)"),"Plain")</f>
        <v>Plain</v>
      </c>
      <c r="BM58" s="80">
        <f>IFERROR(__xludf.DUMMYFUNCTION("""COMPUTED_VALUE"""),0.0)</f>
        <v>0</v>
      </c>
      <c r="BN58" s="162" t="str">
        <f>IFERROR(__xludf.DUMMYFUNCTION("QUERY(Price!AW2:AX50,BO4)"),"#N/A")</f>
        <v>#N/A</v>
      </c>
      <c r="BO58" s="77"/>
      <c r="BP58" s="139"/>
      <c r="BQ58" s="139"/>
      <c r="BR58" s="139"/>
      <c r="BS58" s="139"/>
      <c r="BT58" s="139"/>
      <c r="BU58" s="139"/>
      <c r="BV58" s="139"/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</row>
    <row r="59">
      <c r="A59" s="123" t="str">
        <f>IFERROR(__xludf.DUMMYFUNCTION("""COMPUTED_VALUE"""),"https://drive.google.com/open?id=1PP_neZsWA5cyLtoIgy7kH8o3NIYpT0kG&amp;authuser=jay.agg%40gmail.com&amp;usp=drive_fs")</f>
        <v>https://drive.google.com/open?id=1PP_neZsWA5cyLtoIgy7kH8o3NIYpT0kG&amp;authuser=jay.agg%40gmail.com&amp;usp=drive_fs</v>
      </c>
      <c r="B59" s="80" t="str">
        <f>IFERROR(__xludf.DUMMYFUNCTION("""COMPUTED_VALUE"""),"Food")</f>
        <v>Food</v>
      </c>
      <c r="C59" s="80" t="str">
        <f>IFERROR(__xludf.DUMMYFUNCTION("""COMPUTED_VALUE"""),"Misc")</f>
        <v>Misc</v>
      </c>
      <c r="D59" s="80" t="str">
        <f>IFERROR(__xludf.DUMMYFUNCTION("""COMPUTED_VALUE"""),"115*55*180 mm | 4.5*2.1*7 inch")</f>
        <v>115*55*180 mm | 4.5*2.1*7 inch</v>
      </c>
      <c r="E59" s="124">
        <f>IFERROR(__xludf.DUMMYFUNCTION("""COMPUTED_VALUE"""),2.0)</f>
        <v>2</v>
      </c>
      <c r="F59" s="80">
        <f>IFERROR(__xludf.DUMMYFUNCTION("""COMPUTED_VALUE"""),1926.0)</f>
        <v>1926</v>
      </c>
      <c r="G59" s="80">
        <f>IFERROR(__xludf.DUMMYFUNCTION("""COMPUTED_VALUE"""),14.0)</f>
        <v>14</v>
      </c>
      <c r="H59" s="80">
        <f>IFERROR(__xludf.DUMMYFUNCTION("""COMPUTED_VALUE"""),22.0)</f>
        <v>22</v>
      </c>
      <c r="I59" s="80">
        <f>IFERROR(__xludf.DUMMYFUNCTION("""COMPUTED_VALUE"""),100.0)</f>
        <v>100</v>
      </c>
      <c r="J59" s="109"/>
      <c r="K59" s="109"/>
      <c r="L59" s="109"/>
      <c r="M59" s="109">
        <f>IFERROR(__xludf.DUMMYFUNCTION("""COMPUTED_VALUE"""),0.1)</f>
        <v>0.1</v>
      </c>
      <c r="N59" s="109">
        <f>IFERROR(__xludf.DUMMYFUNCTION("""COMPUTED_VALUE"""),1.0)</f>
        <v>1</v>
      </c>
      <c r="O59" s="109"/>
      <c r="P59" s="109" t="str">
        <f>IFERROR(__xludf.DUMMYFUNCTION("""COMPUTED_VALUE"""),"Offset")</f>
        <v>Offset</v>
      </c>
      <c r="Q59" s="109" t="str">
        <f>IFERROR(__xludf.DUMMYFUNCTION("""COMPUTED_VALUE"""),"Packaging")</f>
        <v>Packaging</v>
      </c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15"/>
      <c r="AK59" s="80"/>
      <c r="AL59" s="80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 t="str">
        <f>IFERROR(__xludf.DUMMYFUNCTION("""COMPUTED_VALUE"""),"Packaging")</f>
        <v>Packaging</v>
      </c>
      <c r="BD59" s="73" t="str">
        <f>IFERROR(__xludf.DUMMYFUNCTION("""COMPUTED_VALUE"""),"Readymer")</f>
        <v>Readymer</v>
      </c>
      <c r="BE59" s="80"/>
      <c r="BF59" s="80"/>
      <c r="BG59" s="139"/>
      <c r="BH59" s="73"/>
      <c r="BI59" s="139"/>
      <c r="BJ59" s="73"/>
      <c r="BK59" s="86"/>
      <c r="BL59" s="77"/>
      <c r="BM59" s="80"/>
      <c r="BN59" s="139"/>
      <c r="BO59" s="77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80"/>
      <c r="CD59" s="80" t="str">
        <f>Sheet2!CD46</f>
        <v/>
      </c>
      <c r="CE59" s="80"/>
      <c r="CF59" s="80"/>
      <c r="CG59" s="139"/>
      <c r="CH59" s="139"/>
    </row>
    <row r="60">
      <c r="A60" s="123" t="str">
        <f>IFERROR(__xludf.DUMMYFUNCTION("""COMPUTED_VALUE"""),"https://drive.google.com/open?id=1SB1fkOosvR_f90I2hjw3Mt7nTCrWfKpN&amp;authuser=jay.agg%40gmail.com&amp;usp=drive_fs")</f>
        <v>https://drive.google.com/open?id=1SB1fkOosvR_f90I2hjw3Mt7nTCrWfKpN&amp;authuser=jay.agg%40gmail.com&amp;usp=drive_fs</v>
      </c>
      <c r="B60" s="80" t="str">
        <f>IFERROR(__xludf.DUMMYFUNCTION("""COMPUTED_VALUE"""),"Food")</f>
        <v>Food</v>
      </c>
      <c r="C60" s="80" t="str">
        <f>IFERROR(__xludf.DUMMYFUNCTION("""COMPUTED_VALUE"""),"Pizza")</f>
        <v>Pizza</v>
      </c>
      <c r="D60" s="80" t="str">
        <f>IFERROR(__xludf.DUMMYFUNCTION("""COMPUTED_VALUE"""),"67*35*100 mm | 2.6*1.4*3.9 inch")</f>
        <v>67*35*100 mm | 2.6*1.4*3.9 inch</v>
      </c>
      <c r="E60" s="124">
        <f>IFERROR(__xludf.DUMMYFUNCTION("""COMPUTED_VALUE"""),8.0)</f>
        <v>8</v>
      </c>
      <c r="F60" s="80">
        <f>IFERROR(__xludf.DUMMYFUNCTION("""COMPUTED_VALUE"""),2029.0)</f>
        <v>2029</v>
      </c>
      <c r="G60" s="80">
        <f>IFERROR(__xludf.DUMMYFUNCTION("""COMPUTED_VALUE"""),19.0)</f>
        <v>19</v>
      </c>
      <c r="H60" s="80">
        <f>IFERROR(__xludf.DUMMYFUNCTION("""COMPUTED_VALUE"""),26.0)</f>
        <v>26</v>
      </c>
      <c r="I60" s="80">
        <f>IFERROR(__xludf.DUMMYFUNCTION("""COMPUTED_VALUE"""),100.0)</f>
        <v>100</v>
      </c>
      <c r="J60" s="109"/>
      <c r="K60" s="109"/>
      <c r="L60" s="109"/>
      <c r="M60" s="109">
        <f>IFERROR(__xludf.DUMMYFUNCTION("""COMPUTED_VALUE"""),0.1)</f>
        <v>0.1</v>
      </c>
      <c r="N60" s="109">
        <f>IFERROR(__xludf.DUMMYFUNCTION("""COMPUTED_VALUE"""),1.0)</f>
        <v>1</v>
      </c>
      <c r="O60" s="109"/>
      <c r="P60" s="109" t="str">
        <f>IFERROR(__xludf.DUMMYFUNCTION("""COMPUTED_VALUE"""),"Offset")</f>
        <v>Offset</v>
      </c>
      <c r="Q60" s="109" t="str">
        <f>IFERROR(__xludf.DUMMYFUNCTION("""COMPUTED_VALUE"""),"Packaging")</f>
        <v>Packaging</v>
      </c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15"/>
      <c r="AK60" s="80"/>
      <c r="AL60" s="80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 t="str">
        <f>IFERROR(__xludf.DUMMYFUNCTION("""COMPUTED_VALUE"""),"Packaging")</f>
        <v>Packaging</v>
      </c>
      <c r="BD60" s="73" t="str">
        <f>IFERROR(__xludf.DUMMYFUNCTION("""COMPUTED_VALUE"""),"Safety Product")</f>
        <v>Safety Product</v>
      </c>
      <c r="BE60" s="80"/>
      <c r="BF60" s="80"/>
      <c r="BG60" s="139"/>
      <c r="BH60" s="73"/>
      <c r="BI60" s="139"/>
      <c r="BJ60" s="80"/>
      <c r="BK60" s="86"/>
      <c r="BL60" s="77"/>
      <c r="BM60" s="80"/>
      <c r="BN60" s="139"/>
      <c r="BO60" s="77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01" t="s">
        <v>63</v>
      </c>
      <c r="CD60" s="88" t="s">
        <v>211</v>
      </c>
      <c r="CE60" s="163">
        <v>1926.0</v>
      </c>
      <c r="CF60" s="163">
        <v>2841.0</v>
      </c>
      <c r="CG60" s="161">
        <v>1.0</v>
      </c>
      <c r="CH60" s="161">
        <v>750.0</v>
      </c>
    </row>
    <row r="61">
      <c r="A61" s="123" t="str">
        <f>IFERROR(__xludf.DUMMYFUNCTION("""COMPUTED_VALUE"""),"https://drive.google.com/open?id=1TKLWete5--55wBRFs3xveb5fDxiB-I4-&amp;authuser=jay.agg%40gmail.com&amp;usp=drive_fs")</f>
        <v>https://drive.google.com/open?id=1TKLWete5--55wBRFs3xveb5fDxiB-I4-&amp;authuser=jay.agg%40gmail.com&amp;usp=drive_fs</v>
      </c>
      <c r="B61" s="80" t="str">
        <f>IFERROR(__xludf.DUMMYFUNCTION("""COMPUTED_VALUE"""),"Food")</f>
        <v>Food</v>
      </c>
      <c r="C61" s="80" t="str">
        <f>IFERROR(__xludf.DUMMYFUNCTION("""COMPUTED_VALUE"""),"Misc")</f>
        <v>Misc</v>
      </c>
      <c r="D61" s="80" t="str">
        <f>IFERROR(__xludf.DUMMYFUNCTION("""COMPUTED_VALUE"""),"127*38*165 mm | 5*1.5*6.5 inch")</f>
        <v>127*38*165 mm | 5*1.5*6.5 inch</v>
      </c>
      <c r="E61" s="124">
        <f>IFERROR(__xludf.DUMMYFUNCTION("""COMPUTED_VALUE"""),2.0)</f>
        <v>2</v>
      </c>
      <c r="F61" s="80">
        <f>IFERROR(__xludf.DUMMYFUNCTION("""COMPUTED_VALUE"""),1926.0)</f>
        <v>1926</v>
      </c>
      <c r="G61" s="80">
        <f>IFERROR(__xludf.DUMMYFUNCTION("""COMPUTED_VALUE"""),14.0)</f>
        <v>14</v>
      </c>
      <c r="H61" s="80">
        <f>IFERROR(__xludf.DUMMYFUNCTION("""COMPUTED_VALUE"""),19.0)</f>
        <v>19</v>
      </c>
      <c r="I61" s="80">
        <f>IFERROR(__xludf.DUMMYFUNCTION("""COMPUTED_VALUE"""),100.0)</f>
        <v>100</v>
      </c>
      <c r="J61" s="109"/>
      <c r="K61" s="109"/>
      <c r="L61" s="109"/>
      <c r="M61" s="109">
        <f>IFERROR(__xludf.DUMMYFUNCTION("""COMPUTED_VALUE"""),0.1)</f>
        <v>0.1</v>
      </c>
      <c r="N61" s="109">
        <f>IFERROR(__xludf.DUMMYFUNCTION("""COMPUTED_VALUE"""),1.0)</f>
        <v>1</v>
      </c>
      <c r="O61" s="109"/>
      <c r="P61" s="109" t="str">
        <f>IFERROR(__xludf.DUMMYFUNCTION("""COMPUTED_VALUE"""),"Offset")</f>
        <v>Offset</v>
      </c>
      <c r="Q61" s="109" t="str">
        <f>IFERROR(__xludf.DUMMYFUNCTION("""COMPUTED_VALUE"""),"Packaging")</f>
        <v>Packaging</v>
      </c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15"/>
      <c r="AK61" s="80"/>
      <c r="AL61" s="80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 t="str">
        <f>IFERROR(__xludf.DUMMYFUNCTION("""COMPUTED_VALUE"""),"Packaging")</f>
        <v>Packaging</v>
      </c>
      <c r="BD61" s="73" t="str">
        <f>IFERROR(__xludf.DUMMYFUNCTION("""COMPUTED_VALUE"""),"Sanitary")</f>
        <v>Sanitary</v>
      </c>
      <c r="BE61" s="80"/>
      <c r="BF61" s="80"/>
      <c r="BG61" s="139"/>
      <c r="BH61" s="73"/>
      <c r="BI61" s="139"/>
      <c r="BJ61" s="80"/>
      <c r="BK61" s="77"/>
      <c r="BL61" s="77"/>
      <c r="BM61" s="80"/>
      <c r="BN61" s="139"/>
      <c r="BO61" s="77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01" t="s">
        <v>63</v>
      </c>
      <c r="CD61" s="88" t="s">
        <v>211</v>
      </c>
      <c r="CE61" s="164">
        <v>2029.0</v>
      </c>
      <c r="CF61" s="163">
        <v>2841.0</v>
      </c>
      <c r="CG61" s="161">
        <v>1.0</v>
      </c>
      <c r="CH61" s="161">
        <v>750.0</v>
      </c>
    </row>
    <row r="62">
      <c r="A62" s="123" t="str">
        <f>IFERROR(__xludf.DUMMYFUNCTION("""COMPUTED_VALUE"""),"https://drive.google.com/open?id=1TQZw00wR5JvWtj5NG5OjZK3sXFWuSHo8&amp;authuser=jay.agg%40gmail.com&amp;usp=drive_fs")</f>
        <v>https://drive.google.com/open?id=1TQZw00wR5JvWtj5NG5OjZK3sXFWuSHo8&amp;authuser=jay.agg%40gmail.com&amp;usp=drive_fs</v>
      </c>
      <c r="B62" s="80" t="str">
        <f>IFERROR(__xludf.DUMMYFUNCTION("""COMPUTED_VALUE"""),"Food")</f>
        <v>Food</v>
      </c>
      <c r="C62" s="80" t="str">
        <f>IFERROR(__xludf.DUMMYFUNCTION("""COMPUTED_VALUE"""),"Misc")</f>
        <v>Misc</v>
      </c>
      <c r="D62" s="80" t="str">
        <f>IFERROR(__xludf.DUMMYFUNCTION("""COMPUTED_VALUE"""),"Food 90*38*140 mm | 3.5*1.5*5.5 inch")</f>
        <v>Food 90*38*140 mm | 3.5*1.5*5.5 inch</v>
      </c>
      <c r="E62" s="124">
        <f>IFERROR(__xludf.DUMMYFUNCTION("""COMPUTED_VALUE"""),4.0)</f>
        <v>4</v>
      </c>
      <c r="F62" s="80">
        <f>IFERROR(__xludf.DUMMYFUNCTION("""COMPUTED_VALUE"""),1926.0)</f>
        <v>1926</v>
      </c>
      <c r="G62" s="80">
        <f>IFERROR(__xludf.DUMMYFUNCTION("""COMPUTED_VALUE"""),18.0)</f>
        <v>18</v>
      </c>
      <c r="H62" s="80">
        <f>IFERROR(__xludf.DUMMYFUNCTION("""COMPUTED_VALUE"""),23.0)</f>
        <v>23</v>
      </c>
      <c r="I62" s="80">
        <f>IFERROR(__xludf.DUMMYFUNCTION("""COMPUTED_VALUE"""),100.0)</f>
        <v>100</v>
      </c>
      <c r="J62" s="109"/>
      <c r="K62" s="109"/>
      <c r="L62" s="109"/>
      <c r="M62" s="109">
        <f>IFERROR(__xludf.DUMMYFUNCTION("""COMPUTED_VALUE"""),0.1)</f>
        <v>0.1</v>
      </c>
      <c r="N62" s="109">
        <f>IFERROR(__xludf.DUMMYFUNCTION("""COMPUTED_VALUE"""),1.0)</f>
        <v>1</v>
      </c>
      <c r="O62" s="109"/>
      <c r="P62" s="109" t="str">
        <f>IFERROR(__xludf.DUMMYFUNCTION("""COMPUTED_VALUE"""),"Offset")</f>
        <v>Offset</v>
      </c>
      <c r="Q62" s="109" t="str">
        <f>IFERROR(__xludf.DUMMYFUNCTION("""COMPUTED_VALUE"""),"Packaging")</f>
        <v>Packaging</v>
      </c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15"/>
      <c r="AK62" s="80"/>
      <c r="AL62" s="80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 t="str">
        <f>IFERROR(__xludf.DUMMYFUNCTION("""COMPUTED_VALUE"""),"Packaging")</f>
        <v>Packaging</v>
      </c>
      <c r="BD62" s="73" t="str">
        <f>IFERROR(__xludf.DUMMYFUNCTION("""COMPUTED_VALUE"""),"Sanskriti")</f>
        <v>Sanskriti</v>
      </c>
      <c r="BE62" s="80"/>
      <c r="BF62" s="80"/>
      <c r="BG62" s="139"/>
      <c r="BH62" s="80"/>
      <c r="BI62" s="73"/>
      <c r="BJ62" s="80"/>
      <c r="BK62" s="77"/>
      <c r="BL62" s="77"/>
      <c r="BM62" s="77"/>
      <c r="BN62" s="139"/>
      <c r="BO62" s="77"/>
      <c r="BP62" s="139"/>
      <c r="BQ62" s="139"/>
      <c r="BR62" s="139"/>
      <c r="BS62" s="139"/>
      <c r="BT62" s="139"/>
      <c r="BU62" s="139"/>
      <c r="BV62" s="139"/>
      <c r="BW62" s="139"/>
      <c r="BX62" s="139"/>
      <c r="BY62" s="139"/>
      <c r="BZ62" s="180" t="str">
        <f>IF(BZ64="","","and BZ = '"&amp;BZ64&amp;"'")</f>
        <v>and BZ = 'Printing'</v>
      </c>
      <c r="CA62" s="139"/>
      <c r="CB62" s="139"/>
      <c r="CC62" s="101" t="s">
        <v>63</v>
      </c>
      <c r="CD62" s="88" t="s">
        <v>211</v>
      </c>
      <c r="CE62" s="163">
        <v>2840.0</v>
      </c>
      <c r="CF62" s="163">
        <v>2841.0</v>
      </c>
      <c r="CG62" s="161">
        <v>1.0</v>
      </c>
      <c r="CH62" s="161">
        <v>750.0</v>
      </c>
    </row>
    <row r="63">
      <c r="A63" s="123" t="str">
        <f>IFERROR(__xludf.DUMMYFUNCTION("""COMPUTED_VALUE"""),"https://drive.google.com/open?id=1X5PjIAZXIE8xlRMRcdx9A7o928ykZfZe&amp;authuser=jay.agg%40gmail.com&amp;usp=drive_fs")</f>
        <v>https://drive.google.com/open?id=1X5PjIAZXIE8xlRMRcdx9A7o928ykZfZe&amp;authuser=jay.agg%40gmail.com&amp;usp=drive_fs</v>
      </c>
      <c r="B63" s="80" t="str">
        <f>IFERROR(__xludf.DUMMYFUNCTION("""COMPUTED_VALUE"""),"Food")</f>
        <v>Food</v>
      </c>
      <c r="C63" s="80" t="str">
        <f>IFERROR(__xludf.DUMMYFUNCTION("""COMPUTED_VALUE"""),"Dog Food")</f>
        <v>Dog Food</v>
      </c>
      <c r="D63" s="80" t="str">
        <f>IFERROR(__xludf.DUMMYFUNCTION("""COMPUTED_VALUE"""),"178*76*254 mm | 7*3*10 inch")</f>
        <v>178*76*254 mm | 7*3*10 inch</v>
      </c>
      <c r="E63" s="124">
        <f>IFERROR(__xludf.DUMMYFUNCTION("""COMPUTED_VALUE"""),1.0)</f>
        <v>1</v>
      </c>
      <c r="F63" s="80">
        <f>IFERROR(__xludf.DUMMYFUNCTION("""COMPUTED_VALUE"""),1926.0)</f>
        <v>1926</v>
      </c>
      <c r="G63" s="80">
        <f>IFERROR(__xludf.DUMMYFUNCTION("""COMPUTED_VALUE"""),15.75)</f>
        <v>15.75</v>
      </c>
      <c r="H63" s="80">
        <f>IFERROR(__xludf.DUMMYFUNCTION("""COMPUTED_VALUE"""),20.75)</f>
        <v>20.75</v>
      </c>
      <c r="I63" s="80">
        <f>IFERROR(__xludf.DUMMYFUNCTION("""COMPUTED_VALUE"""),100.0)</f>
        <v>100</v>
      </c>
      <c r="J63" s="109"/>
      <c r="K63" s="109"/>
      <c r="L63" s="109"/>
      <c r="M63" s="109">
        <f>IFERROR(__xludf.DUMMYFUNCTION("""COMPUTED_VALUE"""),0.1)</f>
        <v>0.1</v>
      </c>
      <c r="N63" s="109">
        <f>IFERROR(__xludf.DUMMYFUNCTION("""COMPUTED_VALUE"""),1.0)</f>
        <v>1</v>
      </c>
      <c r="O63" s="109"/>
      <c r="P63" s="109" t="str">
        <f>IFERROR(__xludf.DUMMYFUNCTION("""COMPUTED_VALUE"""),"Offset")</f>
        <v>Offset</v>
      </c>
      <c r="Q63" s="109" t="str">
        <f>IFERROR(__xludf.DUMMYFUNCTION("""COMPUTED_VALUE"""),"Packaging")</f>
        <v>Packaging</v>
      </c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15"/>
      <c r="AK63" s="80"/>
      <c r="AL63" s="80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 t="str">
        <f>IFERROR(__xludf.DUMMYFUNCTION("""COMPUTED_VALUE"""),"Packaging")</f>
        <v>Packaging</v>
      </c>
      <c r="BD63" s="73" t="str">
        <f>IFERROR(__xludf.DUMMYFUNCTION("""COMPUTED_VALUE"""),"Sathwa")</f>
        <v>Sathwa</v>
      </c>
      <c r="BE63" s="80"/>
      <c r="BF63" s="80"/>
      <c r="BG63" s="139"/>
      <c r="BH63" s="80"/>
      <c r="BI63" s="73"/>
      <c r="BJ63" s="80"/>
      <c r="BK63" s="77"/>
      <c r="BL63" s="77"/>
      <c r="BM63" s="77"/>
      <c r="BN63" s="139"/>
      <c r="BO63" s="77"/>
      <c r="BP63" s="139"/>
      <c r="BQ63" s="139"/>
      <c r="BR63" s="139"/>
      <c r="BS63" s="139"/>
      <c r="BT63" s="139"/>
      <c r="BU63" s="139"/>
      <c r="BV63" s="139"/>
      <c r="BW63" s="139"/>
      <c r="BX63" s="139"/>
      <c r="BY63" s="139"/>
      <c r="BZ63" s="106" t="str">
        <f>CONCATENATE("select * where 1=1",BZ62)</f>
        <v>select * where 1=1and BZ = 'Printing'</v>
      </c>
      <c r="CA63" s="139"/>
      <c r="CB63" s="139"/>
      <c r="CC63" s="101" t="s">
        <v>63</v>
      </c>
      <c r="CD63" s="101" t="s">
        <v>18</v>
      </c>
      <c r="CE63" s="163">
        <v>1926.0</v>
      </c>
      <c r="CF63" s="163">
        <v>1926.0</v>
      </c>
      <c r="CG63" s="161">
        <v>0.0</v>
      </c>
      <c r="CH63" s="161">
        <f>Price!Y15</f>
        <v>250</v>
      </c>
    </row>
    <row r="64">
      <c r="A64" s="123" t="str">
        <f>IFERROR(__xludf.DUMMYFUNCTION("""COMPUTED_VALUE"""),"https://drive.google.com/open?id=1XRdxqvruzscLoyb9QY96v6kTiDz1KoV1&amp;authuser=jay.agg%40gmail.com&amp;usp=drive_fs")</f>
        <v>https://drive.google.com/open?id=1XRdxqvruzscLoyb9QY96v6kTiDz1KoV1&amp;authuser=jay.agg%40gmail.com&amp;usp=drive_fs</v>
      </c>
      <c r="B64" s="80" t="str">
        <f>IFERROR(__xludf.DUMMYFUNCTION("""COMPUTED_VALUE"""),"Food")</f>
        <v>Food</v>
      </c>
      <c r="C64" s="80" t="str">
        <f>IFERROR(__xludf.DUMMYFUNCTION("""COMPUTED_VALUE"""),"Dosa")</f>
        <v>Dosa</v>
      </c>
      <c r="D64" s="80" t="str">
        <f>IFERROR(__xludf.DUMMYFUNCTION("""COMPUTED_VALUE"""),"Dosa 220*130*50 mm | 9*5.1*2 inch")</f>
        <v>Dosa 220*130*50 mm | 9*5.1*2 inch</v>
      </c>
      <c r="E64" s="124">
        <f>IFERROR(__xludf.DUMMYFUNCTION("""COMPUTED_VALUE"""),1.0)</f>
        <v>1</v>
      </c>
      <c r="F64" s="80">
        <f>IFERROR(__xludf.DUMMYFUNCTION("""COMPUTED_VALUE"""),1926.0)</f>
        <v>1926</v>
      </c>
      <c r="G64" s="80">
        <f>IFERROR(__xludf.DUMMYFUNCTION("""COMPUTED_VALUE"""),13.7)</f>
        <v>13.7</v>
      </c>
      <c r="H64" s="80">
        <f>IFERROR(__xludf.DUMMYFUNCTION("""COMPUTED_VALUE"""),15.75)</f>
        <v>15.75</v>
      </c>
      <c r="I64" s="80">
        <f>IFERROR(__xludf.DUMMYFUNCTION("""COMPUTED_VALUE"""),100.0)</f>
        <v>100</v>
      </c>
      <c r="J64" s="109"/>
      <c r="K64" s="109"/>
      <c r="L64" s="109"/>
      <c r="M64" s="109">
        <f>IFERROR(__xludf.DUMMYFUNCTION("""COMPUTED_VALUE"""),0.1)</f>
        <v>0.1</v>
      </c>
      <c r="N64" s="109">
        <f>IFERROR(__xludf.DUMMYFUNCTION("""COMPUTED_VALUE"""),1.0)</f>
        <v>1</v>
      </c>
      <c r="O64" s="109"/>
      <c r="P64" s="109" t="str">
        <f>IFERROR(__xludf.DUMMYFUNCTION("""COMPUTED_VALUE"""),"Offset")</f>
        <v>Offset</v>
      </c>
      <c r="Q64" s="109" t="str">
        <f>IFERROR(__xludf.DUMMYFUNCTION("""COMPUTED_VALUE"""),"Packaging")</f>
        <v>Packaging</v>
      </c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15"/>
      <c r="AK64" s="80"/>
      <c r="AL64" s="80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 t="str">
        <f>IFERROR(__xludf.DUMMYFUNCTION("""COMPUTED_VALUE"""),"Packaging")</f>
        <v>Packaging</v>
      </c>
      <c r="BD64" s="73" t="str">
        <f>IFERROR(__xludf.DUMMYFUNCTION("""COMPUTED_VALUE"""),"Shipper")</f>
        <v>Shipper</v>
      </c>
      <c r="BE64" s="80"/>
      <c r="BF64" s="80"/>
      <c r="BG64" s="139"/>
      <c r="BH64" s="73"/>
      <c r="BI64" s="73"/>
      <c r="BJ64" s="80"/>
      <c r="BK64" s="77"/>
      <c r="BL64" s="77"/>
      <c r="BM64" s="77"/>
      <c r="BN64" s="139"/>
      <c r="BO64" s="77"/>
      <c r="BP64" s="139"/>
      <c r="BQ64" s="139"/>
      <c r="BR64" s="139"/>
      <c r="BS64" s="139"/>
      <c r="BT64" s="139"/>
      <c r="BU64" s="139"/>
      <c r="BV64" s="139"/>
      <c r="BW64" s="139"/>
      <c r="BX64" s="139"/>
      <c r="BY64" s="80" t="str">
        <f>Quotation!A29</f>
        <v>Offset</v>
      </c>
      <c r="BZ64" s="80" t="str">
        <f>Quotation!A33</f>
        <v>Printing</v>
      </c>
      <c r="CA64" s="130">
        <f>Quotation!F34</f>
        <v>2029</v>
      </c>
      <c r="CB64" s="80" t="str">
        <f>Quotation!A34</f>
        <v>New Job</v>
      </c>
      <c r="CC64" s="101" t="s">
        <v>63</v>
      </c>
      <c r="CD64" s="101" t="s">
        <v>18</v>
      </c>
      <c r="CE64" s="164">
        <v>2029.0</v>
      </c>
      <c r="CF64" s="164">
        <v>2029.0</v>
      </c>
      <c r="CG64" s="163">
        <v>0.0</v>
      </c>
      <c r="CH64" s="163">
        <f>Price!Z15</f>
        <v>275</v>
      </c>
    </row>
    <row r="65">
      <c r="A65" s="123" t="str">
        <f>IFERROR(__xludf.DUMMYFUNCTION("""COMPUTED_VALUE"""),"https://drive.google.com/open?id=1_aW6Kpq_ImJfWMyFKdVseB6BTAdKY3Mg&amp;authuser=jay.agg%40gmail.com&amp;usp=drive_fs")</f>
        <v>https://drive.google.com/open?id=1_aW6Kpq_ImJfWMyFKdVseB6BTAdKY3Mg&amp;authuser=jay.agg%40gmail.com&amp;usp=drive_fs</v>
      </c>
      <c r="B65" s="80" t="str">
        <f>IFERROR(__xludf.DUMMYFUNCTION("""COMPUTED_VALUE"""),"Food")</f>
        <v>Food</v>
      </c>
      <c r="C65" s="80" t="str">
        <f>IFERROR(__xludf.DUMMYFUNCTION("""COMPUTED_VALUE"""),"Butter")</f>
        <v>Butter</v>
      </c>
      <c r="D65" s="80" t="str">
        <f>IFERROR(__xludf.DUMMYFUNCTION("""COMPUTED_VALUE"""),"1kg 115*90*165 mm | 4.5*3.5*6.5 inch")</f>
        <v>1kg 115*90*165 mm | 4.5*3.5*6.5 inch</v>
      </c>
      <c r="E65" s="124">
        <f>IFERROR(__xludf.DUMMYFUNCTION("""COMPUTED_VALUE"""),2.0)</f>
        <v>2</v>
      </c>
      <c r="F65" s="80">
        <f>IFERROR(__xludf.DUMMYFUNCTION("""COMPUTED_VALUE"""),1926.0)</f>
        <v>1926</v>
      </c>
      <c r="G65" s="80">
        <f>IFERROR(__xludf.DUMMYFUNCTION("""COMPUTED_VALUE"""),19.0)</f>
        <v>19</v>
      </c>
      <c r="H65" s="80">
        <f>IFERROR(__xludf.DUMMYFUNCTION("""COMPUTED_VALUE"""),26.0)</f>
        <v>26</v>
      </c>
      <c r="I65" s="80">
        <f>IFERROR(__xludf.DUMMYFUNCTION("""COMPUTED_VALUE"""),100.0)</f>
        <v>100</v>
      </c>
      <c r="J65" s="109"/>
      <c r="K65" s="109"/>
      <c r="L65" s="109"/>
      <c r="M65" s="109">
        <f>IFERROR(__xludf.DUMMYFUNCTION("""COMPUTED_VALUE"""),0.1)</f>
        <v>0.1</v>
      </c>
      <c r="N65" s="109">
        <f>IFERROR(__xludf.DUMMYFUNCTION("""COMPUTED_VALUE"""),1.0)</f>
        <v>1</v>
      </c>
      <c r="O65" s="109"/>
      <c r="P65" s="109" t="str">
        <f>IFERROR(__xludf.DUMMYFUNCTION("""COMPUTED_VALUE"""),"Offset")</f>
        <v>Offset</v>
      </c>
      <c r="Q65" s="109" t="str">
        <f>IFERROR(__xludf.DUMMYFUNCTION("""COMPUTED_VALUE"""),"Packaging")</f>
        <v>Packaging</v>
      </c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15"/>
      <c r="AK65" s="80"/>
      <c r="AL65" s="80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 t="str">
        <f>IFERROR(__xludf.DUMMYFUNCTION("""COMPUTED_VALUE"""),"Packaging")</f>
        <v>Packaging</v>
      </c>
      <c r="BD65" s="73" t="str">
        <f>IFERROR(__xludf.DUMMYFUNCTION("""COMPUTED_VALUE"""),"Shoe")</f>
        <v>Shoe</v>
      </c>
      <c r="BE65" s="80"/>
      <c r="BF65" s="80"/>
      <c r="BG65" s="139"/>
      <c r="BH65" s="73"/>
      <c r="BI65" s="73"/>
      <c r="BJ65" s="80"/>
      <c r="BK65" s="77"/>
      <c r="BL65" s="77"/>
      <c r="BM65" s="77"/>
      <c r="BN65" s="139"/>
      <c r="BO65" s="77"/>
      <c r="BP65" s="139"/>
      <c r="BQ65" s="139"/>
      <c r="BR65" s="139"/>
      <c r="BS65" s="139"/>
      <c r="BT65" s="139"/>
      <c r="BU65" s="139"/>
      <c r="BV65" s="139"/>
      <c r="BW65" s="139"/>
      <c r="BX65" s="139"/>
      <c r="BY65" s="80" t="str">
        <f>IF(BY64="","","and CC = '"&amp;BY64&amp;"'")</f>
        <v>and CC = 'Offset'</v>
      </c>
      <c r="BZ65" s="80" t="str">
        <f>IF(BZ64="","","and CD = '"&amp;BZ64&amp;"'")</f>
        <v>and CD = 'Printing'</v>
      </c>
      <c r="CA65" s="80" t="str">
        <f>IF(CA64="","","and CA = "&amp;CA64&amp;"")</f>
        <v>and CA = 2029</v>
      </c>
      <c r="CB65" s="80" t="str">
        <f>IF(CB64="","","and CD = '"&amp;CB64&amp;"'")</f>
        <v>and CD = 'New Job'</v>
      </c>
      <c r="CC65" s="101" t="s">
        <v>63</v>
      </c>
      <c r="CD65" s="101" t="s">
        <v>18</v>
      </c>
      <c r="CE65" s="163">
        <v>2840.0</v>
      </c>
      <c r="CF65" s="163">
        <v>2840.0</v>
      </c>
      <c r="CG65" s="163">
        <v>0.0</v>
      </c>
      <c r="CH65" s="163">
        <f>Price!Y18</f>
        <v>650</v>
      </c>
    </row>
    <row r="66">
      <c r="A66" s="123" t="str">
        <f>IFERROR(__xludf.DUMMYFUNCTION("""COMPUTED_VALUE"""),"https://drive.google.com/open?id=12FIiLxoPpTrdQa5g9hjGPxPQQzXqY7NY&amp;authuser=jay.agg%40gmail.com&amp;usp=drive_fs")</f>
        <v>https://drive.google.com/open?id=12FIiLxoPpTrdQa5g9hjGPxPQQzXqY7NY&amp;authuser=jay.agg%40gmail.com&amp;usp=drive_fs</v>
      </c>
      <c r="B66" s="80" t="str">
        <f>IFERROR(__xludf.DUMMYFUNCTION("""COMPUTED_VALUE"""),"Food")</f>
        <v>Food</v>
      </c>
      <c r="C66" s="80" t="str">
        <f>IFERROR(__xludf.DUMMYFUNCTION("""COMPUTED_VALUE"""),"Fast Food")</f>
        <v>Fast Food</v>
      </c>
      <c r="D66" s="80" t="str">
        <f>IFERROR(__xludf.DUMMYFUNCTION("""COMPUTED_VALUE"""),"Shawrama 115*115*420 mm | 4.5*4.5*16.5 inch")</f>
        <v>Shawrama 115*115*420 mm | 4.5*4.5*16.5 inch</v>
      </c>
      <c r="E66" s="124">
        <f>IFERROR(__xludf.DUMMYFUNCTION("""COMPUTED_VALUE"""),1.0)</f>
        <v>1</v>
      </c>
      <c r="F66" s="80">
        <f>IFERROR(__xludf.DUMMYFUNCTION("""COMPUTED_VALUE"""),2029.0)</f>
        <v>2029</v>
      </c>
      <c r="G66" s="80">
        <f>IFERROR(__xludf.DUMMYFUNCTION("""COMPUTED_VALUE"""),19.0)</f>
        <v>19</v>
      </c>
      <c r="H66" s="80">
        <f>IFERROR(__xludf.DUMMYFUNCTION("""COMPUTED_VALUE"""),28.0)</f>
        <v>28</v>
      </c>
      <c r="I66" s="80">
        <f>IFERROR(__xludf.DUMMYFUNCTION("""COMPUTED_VALUE"""),100.0)</f>
        <v>100</v>
      </c>
      <c r="J66" s="109"/>
      <c r="K66" s="109"/>
      <c r="L66" s="109"/>
      <c r="M66" s="109">
        <f>IFERROR(__xludf.DUMMYFUNCTION("""COMPUTED_VALUE"""),0.1)</f>
        <v>0.1</v>
      </c>
      <c r="N66" s="109">
        <f>IFERROR(__xludf.DUMMYFUNCTION("""COMPUTED_VALUE"""),1.0)</f>
        <v>1</v>
      </c>
      <c r="O66" s="109"/>
      <c r="P66" s="109" t="str">
        <f>IFERROR(__xludf.DUMMYFUNCTION("""COMPUTED_VALUE"""),"Offset")</f>
        <v>Offset</v>
      </c>
      <c r="Q66" s="109" t="str">
        <f>IFERROR(__xludf.DUMMYFUNCTION("""COMPUTED_VALUE"""),"Packaging")</f>
        <v>Packaging</v>
      </c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15"/>
      <c r="AK66" s="80"/>
      <c r="AL66" s="80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 t="str">
        <f>IFERROR(__xludf.DUMMYFUNCTION("""COMPUTED_VALUE"""),"Packaging")</f>
        <v>Packaging</v>
      </c>
      <c r="BD66" s="73" t="str">
        <f>IFERROR(__xludf.DUMMYFUNCTION("""COMPUTED_VALUE"""),"Stationery")</f>
        <v>Stationery</v>
      </c>
      <c r="BE66" s="80"/>
      <c r="BF66" s="80"/>
      <c r="BG66" s="139"/>
      <c r="BH66" s="73"/>
      <c r="BI66" s="73"/>
      <c r="BJ66" s="80"/>
      <c r="BK66" s="77"/>
      <c r="BL66" s="77"/>
      <c r="BM66" s="77"/>
      <c r="BN66" s="139"/>
      <c r="BO66" s="77"/>
      <c r="BP66" s="139"/>
      <c r="BQ66" s="139"/>
      <c r="BR66" s="139"/>
      <c r="BS66" s="139"/>
      <c r="BT66" s="139"/>
      <c r="BU66" s="139"/>
      <c r="BV66" s="139"/>
      <c r="BW66" s="139"/>
      <c r="BX66" s="139"/>
      <c r="BY66" s="54" t="str">
        <f t="shared" ref="BY66:CB66" si="12">CONCATENATE("select * where 1=1",BY65)</f>
        <v>select * where 1=1and CC = 'Offset'</v>
      </c>
      <c r="BZ66" s="54" t="str">
        <f t="shared" si="12"/>
        <v>select * where 1=1and CD = 'Printing'</v>
      </c>
      <c r="CA66" s="54" t="str">
        <f t="shared" si="12"/>
        <v>select * where 1=1and CA = 2029</v>
      </c>
      <c r="CB66" s="54" t="str">
        <f t="shared" si="12"/>
        <v>select * where 1=1and CD = 'New Job'</v>
      </c>
      <c r="CC66" s="101" t="s">
        <v>212</v>
      </c>
      <c r="CD66" s="101" t="s">
        <v>18</v>
      </c>
      <c r="CE66" s="163">
        <v>1001.0</v>
      </c>
      <c r="CF66" s="163">
        <v>1001.0</v>
      </c>
      <c r="CG66" s="163">
        <v>0.0</v>
      </c>
      <c r="CH66" s="101"/>
    </row>
    <row r="67">
      <c r="A67" s="123" t="str">
        <f>IFERROR(__xludf.DUMMYFUNCTION("""COMPUTED_VALUE"""),"https://drive.google.com/open?id=17Cs2gXrf0bk_owVb5U8fSdi86T1r_Le4&amp;authuser=jay.agg%40gmail.com&amp;usp=drive_fs")</f>
        <v>https://drive.google.com/open?id=17Cs2gXrf0bk_owVb5U8fSdi86T1r_Le4&amp;authuser=jay.agg%40gmail.com&amp;usp=drive_fs</v>
      </c>
      <c r="B67" s="80" t="str">
        <f>IFERROR(__xludf.DUMMYFUNCTION("""COMPUTED_VALUE"""),"Food")</f>
        <v>Food</v>
      </c>
      <c r="C67" s="80" t="str">
        <f>IFERROR(__xludf.DUMMYFUNCTION("""COMPUTED_VALUE"""),"Rusk")</f>
        <v>Rusk</v>
      </c>
      <c r="D67" s="80" t="str">
        <f>IFERROR(__xludf.DUMMYFUNCTION("""COMPUTED_VALUE"""),"170*116*270 mm | 6.7*4.6*10.6 inch")</f>
        <v>170*116*270 mm | 6.7*4.6*10.6 inch</v>
      </c>
      <c r="E67" s="124">
        <f>IFERROR(__xludf.DUMMYFUNCTION("""COMPUTED_VALUE"""),1.0)</f>
        <v>1</v>
      </c>
      <c r="F67" s="80">
        <f>IFERROR(__xludf.DUMMYFUNCTION("""COMPUTED_VALUE"""),2029.0)</f>
        <v>2029</v>
      </c>
      <c r="G67" s="80">
        <f>IFERROR(__xludf.DUMMYFUNCTION("""COMPUTED_VALUE"""),19.5)</f>
        <v>19.5</v>
      </c>
      <c r="H67" s="80">
        <f>IFERROR(__xludf.DUMMYFUNCTION("""COMPUTED_VALUE"""),23.0)</f>
        <v>23</v>
      </c>
      <c r="I67" s="80">
        <f>IFERROR(__xludf.DUMMYFUNCTION("""COMPUTED_VALUE"""),100.0)</f>
        <v>100</v>
      </c>
      <c r="J67" s="109"/>
      <c r="K67" s="109"/>
      <c r="L67" s="109"/>
      <c r="M67" s="109">
        <f>IFERROR(__xludf.DUMMYFUNCTION("""COMPUTED_VALUE"""),0.1)</f>
        <v>0.1</v>
      </c>
      <c r="N67" s="109">
        <f>IFERROR(__xludf.DUMMYFUNCTION("""COMPUTED_VALUE"""),1.0)</f>
        <v>1</v>
      </c>
      <c r="O67" s="109"/>
      <c r="P67" s="109" t="str">
        <f>IFERROR(__xludf.DUMMYFUNCTION("""COMPUTED_VALUE"""),"Offset")</f>
        <v>Offset</v>
      </c>
      <c r="Q67" s="109" t="str">
        <f>IFERROR(__xludf.DUMMYFUNCTION("""COMPUTED_VALUE"""),"Packaging")</f>
        <v>Packaging</v>
      </c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15"/>
      <c r="AK67" s="80"/>
      <c r="AL67" s="80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 t="str">
        <f>IFERROR(__xludf.DUMMYFUNCTION("""COMPUTED_VALUE"""),"Packaging")</f>
        <v>Packaging</v>
      </c>
      <c r="BD67" s="73" t="str">
        <f>IFERROR(__xludf.DUMMYFUNCTION("""COMPUTED_VALUE"""),"The Man Company")</f>
        <v>The Man Company</v>
      </c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54" t="str">
        <f>IFERROR(__xludf.DUMMYFUNCTION("QUERY(CC60:CF71,BY66)"),"Offset")</f>
        <v>Offset</v>
      </c>
      <c r="BZ67" s="80" t="str">
        <f>IFERROR(__xludf.DUMMYFUNCTION("""COMPUTED_VALUE"""),"Met-Pet")</f>
        <v>Met-Pet</v>
      </c>
      <c r="CA67" s="166">
        <f>IFERROR(__xludf.DUMMYFUNCTION("""COMPUTED_VALUE"""),1926.0)</f>
        <v>1926</v>
      </c>
      <c r="CB67" s="129">
        <f>IFERROR(__xludf.DUMMYFUNCTION("""COMPUTED_VALUE"""),2841.0)</f>
        <v>2841</v>
      </c>
      <c r="CC67" s="101" t="s">
        <v>212</v>
      </c>
      <c r="CD67" s="101" t="s">
        <v>18</v>
      </c>
      <c r="CE67" s="163">
        <v>1002.0</v>
      </c>
      <c r="CF67" s="163">
        <v>1002.0</v>
      </c>
      <c r="CG67" s="163">
        <v>0.0</v>
      </c>
      <c r="CH67" s="101"/>
    </row>
    <row r="68">
      <c r="A68" s="123" t="str">
        <f>IFERROR(__xludf.DUMMYFUNCTION("""COMPUTED_VALUE"""),"https://drive.google.com/open?id=1Crzlye474h-9wF00fQsxJwyCqlOGjSD8&amp;authuser=jay.agg%40gmail.com&amp;usp=drive_fs")</f>
        <v>https://drive.google.com/open?id=1Crzlye474h-9wF00fQsxJwyCqlOGjSD8&amp;authuser=jay.agg%40gmail.com&amp;usp=drive_fs</v>
      </c>
      <c r="B68" s="80" t="str">
        <f>IFERROR(__xludf.DUMMYFUNCTION("""COMPUTED_VALUE"""),"Food")</f>
        <v>Food</v>
      </c>
      <c r="C68" s="80" t="str">
        <f>IFERROR(__xludf.DUMMYFUNCTION("""COMPUTED_VALUE"""),"Misc")</f>
        <v>Misc</v>
      </c>
      <c r="D68" s="80" t="str">
        <f>IFERROR(__xludf.DUMMYFUNCTION("""COMPUTED_VALUE"""),"127*25*203 mm | 5*1*8 inch")</f>
        <v>127*25*203 mm | 5*1*8 inch</v>
      </c>
      <c r="E68" s="124">
        <f>IFERROR(__xludf.DUMMYFUNCTION("""COMPUTED_VALUE"""),4.0)</f>
        <v>4</v>
      </c>
      <c r="F68" s="80">
        <f>IFERROR(__xludf.DUMMYFUNCTION("""COMPUTED_VALUE"""),2029.0)</f>
        <v>2029</v>
      </c>
      <c r="G68" s="80">
        <f>IFERROR(__xludf.DUMMYFUNCTION("""COMPUTED_VALUE"""),20.0)</f>
        <v>20</v>
      </c>
      <c r="H68" s="80">
        <f>IFERROR(__xludf.DUMMYFUNCTION("""COMPUTED_VALUE"""),28.0)</f>
        <v>28</v>
      </c>
      <c r="I68" s="80">
        <f>IFERROR(__xludf.DUMMYFUNCTION("""COMPUTED_VALUE"""),100.0)</f>
        <v>100</v>
      </c>
      <c r="J68" s="109"/>
      <c r="K68" s="109"/>
      <c r="L68" s="109"/>
      <c r="M68" s="109">
        <f>IFERROR(__xludf.DUMMYFUNCTION("""COMPUTED_VALUE"""),0.1)</f>
        <v>0.1</v>
      </c>
      <c r="N68" s="109">
        <f>IFERROR(__xludf.DUMMYFUNCTION("""COMPUTED_VALUE"""),1.0)</f>
        <v>1</v>
      </c>
      <c r="O68" s="109"/>
      <c r="P68" s="109" t="str">
        <f>IFERROR(__xludf.DUMMYFUNCTION("""COMPUTED_VALUE"""),"Offset")</f>
        <v>Offset</v>
      </c>
      <c r="Q68" s="109" t="str">
        <f>IFERROR(__xludf.DUMMYFUNCTION("""COMPUTED_VALUE"""),"Packaging")</f>
        <v>Packaging</v>
      </c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15"/>
      <c r="AK68" s="80"/>
      <c r="AL68" s="80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 t="str">
        <f>IFERROR(__xludf.DUMMYFUNCTION("""COMPUTED_VALUE"""),"Packaging")</f>
        <v>Packaging</v>
      </c>
      <c r="BD68" s="73" t="str">
        <f>IFERROR(__xludf.DUMMYFUNCTION("""COMPUTED_VALUE"""),"Toy")</f>
        <v>Toy</v>
      </c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80" t="str">
        <f>IFERROR(__xludf.DUMMYFUNCTION("""COMPUTED_VALUE"""),"Offset")</f>
        <v>Offset</v>
      </c>
      <c r="BZ68" s="80" t="str">
        <f>IFERROR(__xludf.DUMMYFUNCTION("""COMPUTED_VALUE"""),"Met-Pet")</f>
        <v>Met-Pet</v>
      </c>
      <c r="CA68" s="129">
        <f>IFERROR(__xludf.DUMMYFUNCTION("""COMPUTED_VALUE"""),2029.0)</f>
        <v>2029</v>
      </c>
      <c r="CB68" s="129">
        <f>IFERROR(__xludf.DUMMYFUNCTION("""COMPUTED_VALUE"""),2841.0)</f>
        <v>2841</v>
      </c>
      <c r="CC68" s="101" t="s">
        <v>212</v>
      </c>
      <c r="CD68" s="101" t="s">
        <v>18</v>
      </c>
      <c r="CE68" s="163">
        <v>1003.0</v>
      </c>
      <c r="CF68" s="163">
        <v>1003.0</v>
      </c>
      <c r="CG68" s="163">
        <v>0.0</v>
      </c>
      <c r="CH68" s="101"/>
    </row>
    <row r="69">
      <c r="A69" s="123" t="str">
        <f>IFERROR(__xludf.DUMMYFUNCTION("""COMPUTED_VALUE"""),"https://drive.google.com/open?id=1DDicBlFYcVtWEZF0YUdJ8f7l9y1UIKJw&amp;authuser=jay.agg%40gmail.com&amp;usp=drive_fs")</f>
        <v>https://drive.google.com/open?id=1DDicBlFYcVtWEZF0YUdJ8f7l9y1UIKJw&amp;authuser=jay.agg%40gmail.com&amp;usp=drive_fs</v>
      </c>
      <c r="B69" s="80" t="str">
        <f>IFERROR(__xludf.DUMMYFUNCTION("""COMPUTED_VALUE"""),"Food")</f>
        <v>Food</v>
      </c>
      <c r="C69" s="80" t="str">
        <f>IFERROR(__xludf.DUMMYFUNCTION("""COMPUTED_VALUE"""),"Dosa")</f>
        <v>Dosa</v>
      </c>
      <c r="D69" s="80" t="str">
        <f>IFERROR(__xludf.DUMMYFUNCTION("""COMPUTED_VALUE"""),"Dosa 305*76*38 mm | 12*3*1.5 inch")</f>
        <v>Dosa 305*76*38 mm | 12*3*1.5 inch</v>
      </c>
      <c r="E69" s="124">
        <f>IFERROR(__xludf.DUMMYFUNCTION("""COMPUTED_VALUE"""),2.0)</f>
        <v>2</v>
      </c>
      <c r="F69" s="80">
        <f>IFERROR(__xludf.DUMMYFUNCTION("""COMPUTED_VALUE"""),1926.0)</f>
        <v>1926</v>
      </c>
      <c r="G69" s="80">
        <f>IFERROR(__xludf.DUMMYFUNCTION("""COMPUTED_VALUE"""),15.75)</f>
        <v>15.75</v>
      </c>
      <c r="H69" s="80">
        <f>IFERROR(__xludf.DUMMYFUNCTION("""COMPUTED_VALUE"""),20.75)</f>
        <v>20.75</v>
      </c>
      <c r="I69" s="80">
        <f>IFERROR(__xludf.DUMMYFUNCTION("""COMPUTED_VALUE"""),100.0)</f>
        <v>100</v>
      </c>
      <c r="J69" s="109"/>
      <c r="K69" s="109"/>
      <c r="L69" s="109"/>
      <c r="M69" s="109">
        <f>IFERROR(__xludf.DUMMYFUNCTION("""COMPUTED_VALUE"""),0.1)</f>
        <v>0.1</v>
      </c>
      <c r="N69" s="109">
        <f>IFERROR(__xludf.DUMMYFUNCTION("""COMPUTED_VALUE"""),1.0)</f>
        <v>1</v>
      </c>
      <c r="O69" s="109"/>
      <c r="P69" s="109" t="str">
        <f>IFERROR(__xludf.DUMMYFUNCTION("""COMPUTED_VALUE"""),"Offset")</f>
        <v>Offset</v>
      </c>
      <c r="Q69" s="109" t="str">
        <f>IFERROR(__xludf.DUMMYFUNCTION("""COMPUTED_VALUE"""),"Packaging")</f>
        <v>Packaging</v>
      </c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15"/>
      <c r="AK69" s="80"/>
      <c r="AL69" s="80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 t="str">
        <f>IFERROR(__xludf.DUMMYFUNCTION("""COMPUTED_VALUE"""),"Packaging")</f>
        <v>Packaging</v>
      </c>
      <c r="BD69" s="73" t="str">
        <f>IFERROR(__xludf.DUMMYFUNCTION("""COMPUTED_VALUE"""),"Xpider")</f>
        <v>Xpider</v>
      </c>
      <c r="BE69" s="73"/>
      <c r="BF69" s="73"/>
      <c r="BG69" s="113"/>
      <c r="BH69" s="73"/>
      <c r="BI69" s="88"/>
      <c r="BJ69" s="73"/>
      <c r="BK69" s="73"/>
      <c r="BL69" s="86"/>
      <c r="BM69" s="73"/>
      <c r="BN69" s="73"/>
      <c r="BO69" s="77"/>
      <c r="BP69" s="139"/>
      <c r="BQ69" s="73"/>
      <c r="BR69" s="73"/>
      <c r="BS69" s="73"/>
      <c r="BT69" s="73"/>
      <c r="BU69" s="73"/>
      <c r="BV69" s="73"/>
      <c r="BW69" s="73"/>
      <c r="BX69" s="73"/>
      <c r="BY69" s="80" t="str">
        <f>IFERROR(__xludf.DUMMYFUNCTION("""COMPUTED_VALUE"""),"Offset")</f>
        <v>Offset</v>
      </c>
      <c r="BZ69" s="80" t="str">
        <f>IFERROR(__xludf.DUMMYFUNCTION("""COMPUTED_VALUE"""),"Met-Pet")</f>
        <v>Met-Pet</v>
      </c>
      <c r="CA69" s="129">
        <f>IFERROR(__xludf.DUMMYFUNCTION("""COMPUTED_VALUE"""),2840.0)</f>
        <v>2840</v>
      </c>
      <c r="CB69" s="129">
        <f>IFERROR(__xludf.DUMMYFUNCTION("""COMPUTED_VALUE"""),2841.0)</f>
        <v>2841</v>
      </c>
      <c r="CC69" s="101" t="s">
        <v>212</v>
      </c>
      <c r="CD69" s="101" t="s">
        <v>18</v>
      </c>
      <c r="CE69" s="163">
        <v>1004.0</v>
      </c>
      <c r="CF69" s="163">
        <v>1004.0</v>
      </c>
      <c r="CG69" s="163">
        <v>0.0</v>
      </c>
      <c r="CH69" s="101"/>
    </row>
    <row r="70">
      <c r="A70" s="123" t="str">
        <f>IFERROR(__xludf.DUMMYFUNCTION("""COMPUTED_VALUE"""),"https://drive.google.com/open?id=1S0JoeVa-x8xAselnMXu64Vmh1ngS_Cud&amp;authuser=jay.agg%40gmail.com&amp;usp=drive_fs")</f>
        <v>https://drive.google.com/open?id=1S0JoeVa-x8xAselnMXu64Vmh1ngS_Cud&amp;authuser=jay.agg%40gmail.com&amp;usp=drive_fs</v>
      </c>
      <c r="B70" s="80" t="str">
        <f>IFERROR(__xludf.DUMMYFUNCTION("""COMPUTED_VALUE"""),"Food")</f>
        <v>Food</v>
      </c>
      <c r="C70" s="80" t="str">
        <f>IFERROR(__xludf.DUMMYFUNCTION("""COMPUTED_VALUE"""),"Wrap")</f>
        <v>Wrap</v>
      </c>
      <c r="D70" s="80" t="str">
        <f>IFERROR(__xludf.DUMMYFUNCTION("""COMPUTED_VALUE"""),"97*255 mm | 3.8*10 inch")</f>
        <v>97*255 mm | 3.8*10 inch</v>
      </c>
      <c r="E70" s="124">
        <f>IFERROR(__xludf.DUMMYFUNCTION("""COMPUTED_VALUE"""),4.0)</f>
        <v>4</v>
      </c>
      <c r="F70" s="80">
        <f>IFERROR(__xludf.DUMMYFUNCTION("""COMPUTED_VALUE"""),2029.0)</f>
        <v>2029</v>
      </c>
      <c r="G70" s="80">
        <f>IFERROR(__xludf.DUMMYFUNCTION("""COMPUTED_VALUE"""),18.0)</f>
        <v>18</v>
      </c>
      <c r="H70" s="80">
        <f>IFERROR(__xludf.DUMMYFUNCTION("""COMPUTED_VALUE"""),25.0)</f>
        <v>25</v>
      </c>
      <c r="I70" s="80">
        <f>IFERROR(__xludf.DUMMYFUNCTION("""COMPUTED_VALUE"""),100.0)</f>
        <v>100</v>
      </c>
      <c r="J70" s="109"/>
      <c r="K70" s="109"/>
      <c r="L70" s="109"/>
      <c r="M70" s="109">
        <f>IFERROR(__xludf.DUMMYFUNCTION("""COMPUTED_VALUE"""),0.12)</f>
        <v>0.12</v>
      </c>
      <c r="N70" s="109">
        <f>IFERROR(__xludf.DUMMYFUNCTION("""COMPUTED_VALUE"""),1.0)</f>
        <v>1</v>
      </c>
      <c r="O70" s="109"/>
      <c r="P70" s="109" t="str">
        <f>IFERROR(__xludf.DUMMYFUNCTION("""COMPUTED_VALUE"""),"Offset")</f>
        <v>Offset</v>
      </c>
      <c r="Q70" s="109" t="str">
        <f>IFERROR(__xludf.DUMMYFUNCTION("""COMPUTED_VALUE"""),"Packaging")</f>
        <v>Packaging</v>
      </c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15"/>
      <c r="AK70" s="80"/>
      <c r="AL70" s="80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113"/>
      <c r="BH70" s="73"/>
      <c r="BI70" s="54"/>
      <c r="BJ70" s="73"/>
      <c r="BK70" s="73"/>
      <c r="BL70" s="86"/>
      <c r="BM70" s="73"/>
      <c r="BN70" s="73"/>
      <c r="BO70" s="77"/>
      <c r="BP70" s="139"/>
      <c r="BQ70" s="73"/>
      <c r="BR70" s="73"/>
      <c r="BS70" s="73"/>
      <c r="BT70" s="73"/>
      <c r="BU70" s="73"/>
      <c r="BV70" s="73"/>
      <c r="BW70" s="73"/>
      <c r="BX70" s="73"/>
      <c r="BY70" s="80" t="str">
        <f>IFERROR(__xludf.DUMMYFUNCTION("""COMPUTED_VALUE"""),"Offset")</f>
        <v>Offset</v>
      </c>
      <c r="BZ70" s="80" t="str">
        <f>IFERROR(__xludf.DUMMYFUNCTION("""COMPUTED_VALUE"""),"Printing")</f>
        <v>Printing</v>
      </c>
      <c r="CA70" s="129">
        <f>IFERROR(__xludf.DUMMYFUNCTION("""COMPUTED_VALUE"""),1926.0)</f>
        <v>1926</v>
      </c>
      <c r="CB70" s="129">
        <f>IFERROR(__xludf.DUMMYFUNCTION("""COMPUTED_VALUE"""),1926.0)</f>
        <v>1926</v>
      </c>
      <c r="CC70" s="101" t="s">
        <v>212</v>
      </c>
      <c r="CD70" s="101" t="s">
        <v>18</v>
      </c>
      <c r="CE70" s="163">
        <v>1005.0</v>
      </c>
      <c r="CF70" s="163">
        <v>1005.0</v>
      </c>
      <c r="CG70" s="163">
        <v>0.0</v>
      </c>
      <c r="CH70" s="101"/>
    </row>
    <row r="71">
      <c r="A71" s="123" t="str">
        <f>IFERROR(__xludf.DUMMYFUNCTION("""COMPUTED_VALUE"""),"https://drive.google.com/open?id=1AUtF9453AsscwlYGhU2_slTjqLRIF5-J&amp;authuser=jay.agg%40gmail.com&amp;usp=drive_fs")</f>
        <v>https://drive.google.com/open?id=1AUtF9453AsscwlYGhU2_slTjqLRIF5-J&amp;authuser=jay.agg%40gmail.com&amp;usp=drive_fs</v>
      </c>
      <c r="B71" s="80" t="str">
        <f>IFERROR(__xludf.DUMMYFUNCTION("""COMPUTED_VALUE"""),"Food")</f>
        <v>Food</v>
      </c>
      <c r="C71" s="80" t="str">
        <f>IFERROR(__xludf.DUMMYFUNCTION("""COMPUTED_VALUE"""),"Chocolate")</f>
        <v>Chocolate</v>
      </c>
      <c r="D71" s="80" t="str">
        <f>IFERROR(__xludf.DUMMYFUNCTION("""COMPUTED_VALUE"""),"200*100*40 mm | 7.8*3.9*1.6 inch W 2*3 inch")</f>
        <v>200*100*40 mm | 7.8*3.9*1.6 inch W 2*3 inch</v>
      </c>
      <c r="E71" s="124">
        <f>IFERROR(__xludf.DUMMYFUNCTION("""COMPUTED_VALUE"""),2.0)</f>
        <v>2</v>
      </c>
      <c r="F71" s="80">
        <f>IFERROR(__xludf.DUMMYFUNCTION("""COMPUTED_VALUE"""),2029.0)</f>
        <v>2029</v>
      </c>
      <c r="G71" s="80">
        <f>IFERROR(__xludf.DUMMYFUNCTION("""COMPUTED_VALUE"""),19.0)</f>
        <v>19</v>
      </c>
      <c r="H71" s="80">
        <f>IFERROR(__xludf.DUMMYFUNCTION("""COMPUTED_VALUE"""),26.0)</f>
        <v>26</v>
      </c>
      <c r="I71" s="80">
        <f>IFERROR(__xludf.DUMMYFUNCTION("""COMPUTED_VALUE"""),100.0)</f>
        <v>100</v>
      </c>
      <c r="J71" s="109"/>
      <c r="K71" s="109"/>
      <c r="L71" s="109">
        <f>IFERROR(__xludf.DUMMYFUNCTION("""COMPUTED_VALUE"""),1.2)</f>
        <v>1.2</v>
      </c>
      <c r="M71" s="109">
        <f>IFERROR(__xludf.DUMMYFUNCTION("""COMPUTED_VALUE"""),0.16)</f>
        <v>0.16</v>
      </c>
      <c r="N71" s="109">
        <f>IFERROR(__xludf.DUMMYFUNCTION("""COMPUTED_VALUE"""),1.0)</f>
        <v>1</v>
      </c>
      <c r="O71" s="109"/>
      <c r="P71" s="109" t="str">
        <f>IFERROR(__xludf.DUMMYFUNCTION("""COMPUTED_VALUE"""),"Offset")</f>
        <v>Offset</v>
      </c>
      <c r="Q71" s="109" t="str">
        <f>IFERROR(__xludf.DUMMYFUNCTION("""COMPUTED_VALUE"""),"Packaging")</f>
        <v>Packaging</v>
      </c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15"/>
      <c r="AK71" s="80"/>
      <c r="AL71" s="80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88"/>
      <c r="BH71" s="73"/>
      <c r="BI71" s="54"/>
      <c r="BJ71" s="73"/>
      <c r="BK71" s="73"/>
      <c r="BL71" s="86"/>
      <c r="BM71" s="73"/>
      <c r="BN71" s="73"/>
      <c r="BO71" s="77"/>
      <c r="BP71" s="139"/>
      <c r="BQ71" s="73"/>
      <c r="BR71" s="73"/>
      <c r="BS71" s="73"/>
      <c r="BT71" s="73"/>
      <c r="BU71" s="73"/>
      <c r="BV71" s="73"/>
      <c r="BW71" s="73"/>
      <c r="BX71" s="73"/>
      <c r="BY71" s="80" t="str">
        <f>IFERROR(__xludf.DUMMYFUNCTION("""COMPUTED_VALUE"""),"Offset")</f>
        <v>Offset</v>
      </c>
      <c r="BZ71" s="80" t="str">
        <f>IFERROR(__xludf.DUMMYFUNCTION("""COMPUTED_VALUE"""),"Printing")</f>
        <v>Printing</v>
      </c>
      <c r="CA71" s="129">
        <f>IFERROR(__xludf.DUMMYFUNCTION("""COMPUTED_VALUE"""),2029.0)</f>
        <v>2029</v>
      </c>
      <c r="CB71" s="129">
        <f>IFERROR(__xludf.DUMMYFUNCTION("""COMPUTED_VALUE"""),2029.0)</f>
        <v>2029</v>
      </c>
      <c r="CC71" s="101"/>
      <c r="CD71" s="101"/>
      <c r="CE71" s="80"/>
      <c r="CF71" s="80"/>
      <c r="CG71" s="73"/>
      <c r="CH71" s="73"/>
    </row>
    <row r="72">
      <c r="A72" s="123" t="str">
        <f>IFERROR(__xludf.DUMMYFUNCTION("""COMPUTED_VALUE"""),"https://drive.google.com/open?id=1BAIIhR_t7CFMjNdm29pTFbTOYqLj8-1N&amp;authuser=jay.agg%40gmail.com&amp;usp=drive_fs")</f>
        <v>https://drive.google.com/open?id=1BAIIhR_t7CFMjNdm29pTFbTOYqLj8-1N&amp;authuser=jay.agg%40gmail.com&amp;usp=drive_fs</v>
      </c>
      <c r="B72" s="80" t="str">
        <f>IFERROR(__xludf.DUMMYFUNCTION("""COMPUTED_VALUE"""),"Food")</f>
        <v>Food</v>
      </c>
      <c r="C72" s="80" t="str">
        <f>IFERROR(__xludf.DUMMYFUNCTION("""COMPUTED_VALUE"""),"Misc")</f>
        <v>Misc</v>
      </c>
      <c r="D72" s="80" t="str">
        <f>IFERROR(__xludf.DUMMYFUNCTION("""COMPUTED_VALUE"""),"90*90*90 mm | 3.5*3.5*3.5 inch")</f>
        <v>90*90*90 mm | 3.5*3.5*3.5 inch</v>
      </c>
      <c r="E72" s="124">
        <f>IFERROR(__xludf.DUMMYFUNCTION("""COMPUTED_VALUE"""),2.0)</f>
        <v>2</v>
      </c>
      <c r="F72" s="80">
        <f>IFERROR(__xludf.DUMMYFUNCTION("""COMPUTED_VALUE"""),2029.0)</f>
        <v>2029</v>
      </c>
      <c r="G72" s="80">
        <f>IFERROR(__xludf.DUMMYFUNCTION("""COMPUTED_VALUE"""),15.75)</f>
        <v>15.75</v>
      </c>
      <c r="H72" s="80">
        <f>IFERROR(__xludf.DUMMYFUNCTION("""COMPUTED_VALUE"""),20.75)</f>
        <v>20.75</v>
      </c>
      <c r="I72" s="80">
        <f>IFERROR(__xludf.DUMMYFUNCTION("""COMPUTED_VALUE"""),100.0)</f>
        <v>100</v>
      </c>
      <c r="J72" s="109"/>
      <c r="K72" s="109"/>
      <c r="L72" s="109"/>
      <c r="M72" s="109">
        <f>IFERROR(__xludf.DUMMYFUNCTION("""COMPUTED_VALUE"""),0.1)</f>
        <v>0.1</v>
      </c>
      <c r="N72" s="109">
        <f>IFERROR(__xludf.DUMMYFUNCTION("""COMPUTED_VALUE"""),1.0)</f>
        <v>1</v>
      </c>
      <c r="O72" s="109"/>
      <c r="P72" s="109" t="str">
        <f>IFERROR(__xludf.DUMMYFUNCTION("""COMPUTED_VALUE"""),"Offset")</f>
        <v>Offset</v>
      </c>
      <c r="Q72" s="109" t="str">
        <f>IFERROR(__xludf.DUMMYFUNCTION("""COMPUTED_VALUE"""),"Packaging")</f>
        <v>Packaging</v>
      </c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15"/>
      <c r="AK72" s="80"/>
      <c r="AL72" s="80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88"/>
      <c r="BH72" s="73"/>
      <c r="BI72" s="54"/>
      <c r="BJ72" s="73"/>
      <c r="BK72" s="73"/>
      <c r="BL72" s="86"/>
      <c r="BM72" s="73"/>
      <c r="BN72" s="73"/>
      <c r="BO72" s="77"/>
      <c r="BP72" s="139"/>
      <c r="BQ72" s="73"/>
      <c r="BR72" s="73"/>
      <c r="BS72" s="73"/>
      <c r="BT72" s="73"/>
      <c r="BU72" s="73"/>
      <c r="BV72" s="73"/>
      <c r="BW72" s="73"/>
      <c r="BX72" s="73"/>
      <c r="BY72" s="80" t="str">
        <f>IFERROR(__xludf.DUMMYFUNCTION("""COMPUTED_VALUE"""),"Offset")</f>
        <v>Offset</v>
      </c>
      <c r="BZ72" s="80" t="str">
        <f>IFERROR(__xludf.DUMMYFUNCTION("""COMPUTED_VALUE"""),"Printing")</f>
        <v>Printing</v>
      </c>
      <c r="CA72" s="129">
        <f>IFERROR(__xludf.DUMMYFUNCTION("""COMPUTED_VALUE"""),2840.0)</f>
        <v>2840</v>
      </c>
      <c r="CB72" s="129">
        <f>IFERROR(__xludf.DUMMYFUNCTION("""COMPUTED_VALUE"""),2840.0)</f>
        <v>2840</v>
      </c>
      <c r="CC72" s="80"/>
      <c r="CD72" s="80"/>
      <c r="CE72" s="80"/>
      <c r="CF72" s="80"/>
      <c r="CG72" s="73"/>
      <c r="CH72" s="73"/>
    </row>
    <row r="73">
      <c r="A73" s="123" t="str">
        <f>IFERROR(__xludf.DUMMYFUNCTION("""COMPUTED_VALUE"""),"https://drive.google.com/open?id=1ByfbDMn70rz3SfUWd9dftPugVYPyZXSX&amp;authuser=jay.agg%40gmail.com&amp;usp=drive_fs")</f>
        <v>https://drive.google.com/open?id=1ByfbDMn70rz3SfUWd9dftPugVYPyZXSX&amp;authuser=jay.agg%40gmail.com&amp;usp=drive_fs</v>
      </c>
      <c r="B73" s="80" t="str">
        <f>IFERROR(__xludf.DUMMYFUNCTION("""COMPUTED_VALUE"""),"Food")</f>
        <v>Food</v>
      </c>
      <c r="C73" s="80" t="str">
        <f>IFERROR(__xludf.DUMMYFUNCTION("""COMPUTED_VALUE"""),"Misc")</f>
        <v>Misc</v>
      </c>
      <c r="D73" s="80" t="str">
        <f>IFERROR(__xludf.DUMMYFUNCTION("""COMPUTED_VALUE"""),"73*30*70 mm | 2.8*1.2*2.75 inch")</f>
        <v>73*30*70 mm | 2.8*1.2*2.75 inch</v>
      </c>
      <c r="E73" s="124">
        <f>IFERROR(__xludf.DUMMYFUNCTION("""COMPUTED_VALUE"""),10.0)</f>
        <v>10</v>
      </c>
      <c r="F73" s="80">
        <f>IFERROR(__xludf.DUMMYFUNCTION("""COMPUTED_VALUE"""),2029.0)</f>
        <v>2029</v>
      </c>
      <c r="G73" s="80">
        <f>IFERROR(__xludf.DUMMYFUNCTION("""COMPUTED_VALUE"""),18.0)</f>
        <v>18</v>
      </c>
      <c r="H73" s="80">
        <f>IFERROR(__xludf.DUMMYFUNCTION("""COMPUTED_VALUE"""),23.0)</f>
        <v>23</v>
      </c>
      <c r="I73" s="80">
        <f>IFERROR(__xludf.DUMMYFUNCTION("""COMPUTED_VALUE"""),100.0)</f>
        <v>100</v>
      </c>
      <c r="J73" s="109"/>
      <c r="K73" s="109"/>
      <c r="L73" s="109"/>
      <c r="M73" s="109">
        <f>IFERROR(__xludf.DUMMYFUNCTION("""COMPUTED_VALUE"""),0.1)</f>
        <v>0.1</v>
      </c>
      <c r="N73" s="109">
        <f>IFERROR(__xludf.DUMMYFUNCTION("""COMPUTED_VALUE"""),1.0)</f>
        <v>1</v>
      </c>
      <c r="O73" s="109"/>
      <c r="P73" s="109" t="str">
        <f>IFERROR(__xludf.DUMMYFUNCTION("""COMPUTED_VALUE"""),"Offset")</f>
        <v>Offset</v>
      </c>
      <c r="Q73" s="109" t="str">
        <f>IFERROR(__xludf.DUMMYFUNCTION("""COMPUTED_VALUE"""),"Packaging")</f>
        <v>Packaging</v>
      </c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15"/>
      <c r="AK73" s="80"/>
      <c r="AL73" s="80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88"/>
      <c r="BH73" s="73"/>
      <c r="BI73" s="54"/>
      <c r="BJ73" s="73"/>
      <c r="BK73" s="73"/>
      <c r="BL73" s="86"/>
      <c r="BM73" s="73"/>
      <c r="BN73" s="73"/>
      <c r="BO73" s="77"/>
      <c r="BP73" s="139"/>
      <c r="BQ73" s="73"/>
      <c r="BR73" s="73"/>
      <c r="BS73" s="73"/>
      <c r="BT73" s="73"/>
      <c r="BU73" s="73"/>
      <c r="BV73" s="73"/>
      <c r="BW73" s="73"/>
      <c r="BX73" s="73"/>
      <c r="BY73" s="80"/>
      <c r="BZ73" s="80"/>
      <c r="CA73" s="80"/>
      <c r="CB73" s="80"/>
      <c r="CC73" s="80"/>
      <c r="CD73" s="80"/>
      <c r="CE73" s="80"/>
      <c r="CF73" s="80"/>
      <c r="CG73" s="73"/>
      <c r="CH73" s="73"/>
    </row>
    <row r="74">
      <c r="A74" s="123" t="str">
        <f>IFERROR(__xludf.DUMMYFUNCTION("""COMPUTED_VALUE"""),"https://drive.google.com/open?id=1C22Fmp-iikp8lJHK8I3Zzh_qgIItIU1e&amp;authuser=jay.agg%40gmail.com&amp;usp=drive_fs")</f>
        <v>https://drive.google.com/open?id=1C22Fmp-iikp8lJHK8I3Zzh_qgIItIU1e&amp;authuser=jay.agg%40gmail.com&amp;usp=drive_fs</v>
      </c>
      <c r="B74" s="80" t="str">
        <f>IFERROR(__xludf.DUMMYFUNCTION("""COMPUTED_VALUE"""),"Food")</f>
        <v>Food</v>
      </c>
      <c r="C74" s="80" t="str">
        <f>IFERROR(__xludf.DUMMYFUNCTION("""COMPUTED_VALUE"""),"Misc")</f>
        <v>Misc</v>
      </c>
      <c r="D74" s="80" t="str">
        <f>IFERROR(__xludf.DUMMYFUNCTION("""COMPUTED_VALUE"""),"168*84*220 mm | 6.6*3.3*8.6 inch")</f>
        <v>168*84*220 mm | 6.6*3.3*8.6 inch</v>
      </c>
      <c r="E74" s="124">
        <f>IFERROR(__xludf.DUMMYFUNCTION("""COMPUTED_VALUE"""),1.0)</f>
        <v>1</v>
      </c>
      <c r="F74" s="80">
        <f>IFERROR(__xludf.DUMMYFUNCTION("""COMPUTED_VALUE"""),2029.0)</f>
        <v>2029</v>
      </c>
      <c r="G74" s="80">
        <f>IFERROR(__xludf.DUMMYFUNCTION("""COMPUTED_VALUE"""),15.75)</f>
        <v>15.75</v>
      </c>
      <c r="H74" s="80">
        <f>IFERROR(__xludf.DUMMYFUNCTION("""COMPUTED_VALUE"""),20.75)</f>
        <v>20.75</v>
      </c>
      <c r="I74" s="80">
        <f>IFERROR(__xludf.DUMMYFUNCTION("""COMPUTED_VALUE"""),100.0)</f>
        <v>100</v>
      </c>
      <c r="J74" s="109"/>
      <c r="K74" s="109"/>
      <c r="L74" s="109"/>
      <c r="M74" s="109">
        <f>IFERROR(__xludf.DUMMYFUNCTION("""COMPUTED_VALUE"""),0.1)</f>
        <v>0.1</v>
      </c>
      <c r="N74" s="109">
        <f>IFERROR(__xludf.DUMMYFUNCTION("""COMPUTED_VALUE"""),1.0)</f>
        <v>1</v>
      </c>
      <c r="O74" s="109"/>
      <c r="P74" s="109" t="str">
        <f>IFERROR(__xludf.DUMMYFUNCTION("""COMPUTED_VALUE"""),"Offset")</f>
        <v>Offset</v>
      </c>
      <c r="Q74" s="109" t="str">
        <f>IFERROR(__xludf.DUMMYFUNCTION("""COMPUTED_VALUE"""),"Packaging")</f>
        <v>Packaging</v>
      </c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15"/>
      <c r="AK74" s="80"/>
      <c r="AL74" s="80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80" t="str">
        <f>IFERROR(__xludf.DUMMYFUNCTION("QUERY(CD60:CH70,BZ66)"),"Printing")</f>
        <v>Printing</v>
      </c>
      <c r="BZ74" s="129">
        <f>IFERROR(__xludf.DUMMYFUNCTION("""COMPUTED_VALUE"""),1926.0)</f>
        <v>1926</v>
      </c>
      <c r="CA74" s="129">
        <f>IFERROR(__xludf.DUMMYFUNCTION("""COMPUTED_VALUE"""),1926.0)</f>
        <v>1926</v>
      </c>
      <c r="CB74" s="166">
        <f>IFERROR(__xludf.DUMMYFUNCTION("""COMPUTED_VALUE"""),0.0)</f>
        <v>0</v>
      </c>
      <c r="CC74" s="166">
        <f>IFERROR(__xludf.DUMMYFUNCTION("""COMPUTED_VALUE"""),250.0)</f>
        <v>250</v>
      </c>
      <c r="CD74" s="166">
        <f>IFERROR(__xludf.DUMMYFUNCTION("QUERY(BZ74:CC80,CA66)"),2029.0)</f>
        <v>2029</v>
      </c>
      <c r="CE74" s="129">
        <f>IFERROR(__xludf.DUMMYFUNCTION("""COMPUTED_VALUE"""),2029.0)</f>
        <v>2029</v>
      </c>
      <c r="CF74" s="129">
        <f>IFERROR(__xludf.DUMMYFUNCTION("""COMPUTED_VALUE"""),0.0)</f>
        <v>0</v>
      </c>
      <c r="CG74" s="129">
        <f>IFERROR(__xludf.DUMMYFUNCTION("""COMPUTED_VALUE"""),275.0)</f>
        <v>275</v>
      </c>
      <c r="CH74" s="73"/>
    </row>
    <row r="75">
      <c r="A75" s="123" t="str">
        <f>IFERROR(__xludf.DUMMYFUNCTION("""COMPUTED_VALUE"""),"https://drive.google.com/open?id=1CKqQpvLGbMzH2O6QTTazvgUpvzQlllMB&amp;authuser=jay.agg%40gmail.com&amp;usp=drive_fs")</f>
        <v>https://drive.google.com/open?id=1CKqQpvLGbMzH2O6QTTazvgUpvzQlllMB&amp;authuser=jay.agg%40gmail.com&amp;usp=drive_fs</v>
      </c>
      <c r="B75" s="80" t="str">
        <f>IFERROR(__xludf.DUMMYFUNCTION("""COMPUTED_VALUE"""),"Food")</f>
        <v>Food</v>
      </c>
      <c r="C75" s="80" t="str">
        <f>IFERROR(__xludf.DUMMYFUNCTION("""COMPUTED_VALUE"""),"Millet")</f>
        <v>Millet</v>
      </c>
      <c r="D75" s="80" t="str">
        <f>IFERROR(__xludf.DUMMYFUNCTION("""COMPUTED_VALUE"""),"1KG 165*65*210 mm | 6.5*2.6*8.3 inch")</f>
        <v>1KG 165*65*210 mm | 6.5*2.6*8.3 inch</v>
      </c>
      <c r="E75" s="124">
        <f>IFERROR(__xludf.DUMMYFUNCTION("""COMPUTED_VALUE"""),2.0)</f>
        <v>2</v>
      </c>
      <c r="F75" s="80">
        <f>IFERROR(__xludf.DUMMYFUNCTION("""COMPUTED_VALUE"""),2029.0)</f>
        <v>2029</v>
      </c>
      <c r="G75" s="80">
        <f>IFERROR(__xludf.DUMMYFUNCTION("""COMPUTED_VALUE"""),19.0)</f>
        <v>19</v>
      </c>
      <c r="H75" s="80">
        <f>IFERROR(__xludf.DUMMYFUNCTION("""COMPUTED_VALUE"""),26.0)</f>
        <v>26</v>
      </c>
      <c r="I75" s="80">
        <f>IFERROR(__xludf.DUMMYFUNCTION("""COMPUTED_VALUE"""),100.0)</f>
        <v>100</v>
      </c>
      <c r="J75" s="109"/>
      <c r="K75" s="109"/>
      <c r="L75" s="109"/>
      <c r="M75" s="109">
        <f>IFERROR(__xludf.DUMMYFUNCTION("""COMPUTED_VALUE"""),0.1)</f>
        <v>0.1</v>
      </c>
      <c r="N75" s="109">
        <f>IFERROR(__xludf.DUMMYFUNCTION("""COMPUTED_VALUE"""),1.0)</f>
        <v>1</v>
      </c>
      <c r="O75" s="109"/>
      <c r="P75" s="109" t="str">
        <f>IFERROR(__xludf.DUMMYFUNCTION("""COMPUTED_VALUE"""),"Offset")</f>
        <v>Offset</v>
      </c>
      <c r="Q75" s="109" t="str">
        <f>IFERROR(__xludf.DUMMYFUNCTION("""COMPUTED_VALUE"""),"Packaging")</f>
        <v>Packaging</v>
      </c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15"/>
      <c r="AK75" s="80"/>
      <c r="AL75" s="80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0" t="str">
        <f>IFERROR(__xludf.DUMMYFUNCTION("""COMPUTED_VALUE"""),"Printing")</f>
        <v>Printing</v>
      </c>
      <c r="BZ75" s="129">
        <f>IFERROR(__xludf.DUMMYFUNCTION("""COMPUTED_VALUE"""),2029.0)</f>
        <v>2029</v>
      </c>
      <c r="CA75" s="129">
        <f>IFERROR(__xludf.DUMMYFUNCTION("""COMPUTED_VALUE"""),2029.0)</f>
        <v>2029</v>
      </c>
      <c r="CB75" s="129">
        <f>IFERROR(__xludf.DUMMYFUNCTION("""COMPUTED_VALUE"""),0.0)</f>
        <v>0</v>
      </c>
      <c r="CC75" s="129">
        <f>IFERROR(__xludf.DUMMYFUNCTION("""COMPUTED_VALUE"""),275.0)</f>
        <v>275</v>
      </c>
      <c r="CD75" s="80"/>
      <c r="CE75" s="80"/>
      <c r="CF75" s="80"/>
      <c r="CG75" s="80"/>
      <c r="CH75" s="88"/>
    </row>
    <row r="76">
      <c r="A76" s="123" t="str">
        <f>IFERROR(__xludf.DUMMYFUNCTION("""COMPUTED_VALUE"""),"https://drive.google.com/open?id=1D5PrDkRh5NSfwGGrMo9-8-3--WX3L0Ft&amp;authuser=jay.agg%40gmail.com&amp;usp=drive_fs")</f>
        <v>https://drive.google.com/open?id=1D5PrDkRh5NSfwGGrMo9-8-3--WX3L0Ft&amp;authuser=jay.agg%40gmail.com&amp;usp=drive_fs</v>
      </c>
      <c r="B76" s="80" t="str">
        <f>IFERROR(__xludf.DUMMYFUNCTION("""COMPUTED_VALUE"""),"Food")</f>
        <v>Food</v>
      </c>
      <c r="C76" s="80" t="str">
        <f>IFERROR(__xludf.DUMMYFUNCTION("""COMPUTED_VALUE"""),"Millet")</f>
        <v>Millet</v>
      </c>
      <c r="D76" s="80" t="str">
        <f>IFERROR(__xludf.DUMMYFUNCTION("""COMPUTED_VALUE"""),"500g145*64*160 mm | 5.7*2.5*6.3 inch")</f>
        <v>500g145*64*160 mm | 5.7*2.5*6.3 inch</v>
      </c>
      <c r="E76" s="124">
        <f>IFERROR(__xludf.DUMMYFUNCTION("""COMPUTED_VALUE"""),2.0)</f>
        <v>2</v>
      </c>
      <c r="F76" s="80">
        <f>IFERROR(__xludf.DUMMYFUNCTION("""COMPUTED_VALUE"""),2029.0)</f>
        <v>2029</v>
      </c>
      <c r="G76" s="80">
        <f>IFERROR(__xludf.DUMMYFUNCTION("""COMPUTED_VALUE"""),18.0)</f>
        <v>18</v>
      </c>
      <c r="H76" s="80">
        <f>IFERROR(__xludf.DUMMYFUNCTION("""COMPUTED_VALUE"""),23.0)</f>
        <v>23</v>
      </c>
      <c r="I76" s="80">
        <f>IFERROR(__xludf.DUMMYFUNCTION("""COMPUTED_VALUE"""),100.0)</f>
        <v>100</v>
      </c>
      <c r="J76" s="109"/>
      <c r="K76" s="109"/>
      <c r="L76" s="109"/>
      <c r="M76" s="109">
        <f>IFERROR(__xludf.DUMMYFUNCTION("""COMPUTED_VALUE"""),0.1)</f>
        <v>0.1</v>
      </c>
      <c r="N76" s="109">
        <f>IFERROR(__xludf.DUMMYFUNCTION("""COMPUTED_VALUE"""),1.0)</f>
        <v>1</v>
      </c>
      <c r="O76" s="109"/>
      <c r="P76" s="109" t="str">
        <f>IFERROR(__xludf.DUMMYFUNCTION("""COMPUTED_VALUE"""),"Offset")</f>
        <v>Offset</v>
      </c>
      <c r="Q76" s="109" t="str">
        <f>IFERROR(__xludf.DUMMYFUNCTION("""COMPUTED_VALUE"""),"Packaging")</f>
        <v>Packaging</v>
      </c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15"/>
      <c r="AK76" s="80"/>
      <c r="AL76" s="80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54"/>
      <c r="BM76" s="86"/>
      <c r="BN76" s="80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80" t="str">
        <f>IFERROR(__xludf.DUMMYFUNCTION("""COMPUTED_VALUE"""),"Printing")</f>
        <v>Printing</v>
      </c>
      <c r="BZ76" s="129">
        <f>IFERROR(__xludf.DUMMYFUNCTION("""COMPUTED_VALUE"""),2840.0)</f>
        <v>2840</v>
      </c>
      <c r="CA76" s="129">
        <f>IFERROR(__xludf.DUMMYFUNCTION("""COMPUTED_VALUE"""),2840.0)</f>
        <v>2840</v>
      </c>
      <c r="CB76" s="129">
        <f>IFERROR(__xludf.DUMMYFUNCTION("""COMPUTED_VALUE"""),0.0)</f>
        <v>0</v>
      </c>
      <c r="CC76" s="129">
        <f>IFERROR(__xludf.DUMMYFUNCTION("""COMPUTED_VALUE"""),650.0)</f>
        <v>650</v>
      </c>
      <c r="CD76" s="80"/>
      <c r="CE76" s="80"/>
      <c r="CF76" s="80"/>
      <c r="CG76" s="80"/>
      <c r="CH76" s="73"/>
    </row>
    <row r="77">
      <c r="A77" s="123" t="str">
        <f>IFERROR(__xludf.DUMMYFUNCTION("""COMPUTED_VALUE"""),"https://drive.google.com/open?id=1D6D48kO1Ul1ZLDDzrzde2t-VuNuOQ4v4&amp;authuser=jay.agg%40gmail.com&amp;usp=drive_fs")</f>
        <v>https://drive.google.com/open?id=1D6D48kO1Ul1ZLDDzrzde2t-VuNuOQ4v4&amp;authuser=jay.agg%40gmail.com&amp;usp=drive_fs</v>
      </c>
      <c r="B77" s="80" t="str">
        <f>IFERROR(__xludf.DUMMYFUNCTION("""COMPUTED_VALUE"""),"Food")</f>
        <v>Food</v>
      </c>
      <c r="C77" s="80" t="str">
        <f>IFERROR(__xludf.DUMMYFUNCTION("""COMPUTED_VALUE"""),"Peanut")</f>
        <v>Peanut</v>
      </c>
      <c r="D77" s="80" t="str">
        <f>IFERROR(__xludf.DUMMYFUNCTION("""COMPUTED_VALUE"""),"120*120*160 mm | 4.7*4.7*6.3 inch")</f>
        <v>120*120*160 mm | 4.7*4.7*6.3 inch</v>
      </c>
      <c r="E77" s="124">
        <f>IFERROR(__xludf.DUMMYFUNCTION("""COMPUTED_VALUE"""),2.0)</f>
        <v>2</v>
      </c>
      <c r="F77" s="80">
        <f>IFERROR(__xludf.DUMMYFUNCTION("""COMPUTED_VALUE"""),2029.0)</f>
        <v>2029</v>
      </c>
      <c r="G77" s="80">
        <f>IFERROR(__xludf.DUMMYFUNCTION("""COMPUTED_VALUE"""),20.0)</f>
        <v>20</v>
      </c>
      <c r="H77" s="80">
        <f>IFERROR(__xludf.DUMMYFUNCTION("""COMPUTED_VALUE"""),28.0)</f>
        <v>28</v>
      </c>
      <c r="I77" s="80">
        <f>IFERROR(__xludf.DUMMYFUNCTION("""COMPUTED_VALUE"""),100.0)</f>
        <v>100</v>
      </c>
      <c r="J77" s="109"/>
      <c r="K77" s="109"/>
      <c r="L77" s="109"/>
      <c r="M77" s="109">
        <f>IFERROR(__xludf.DUMMYFUNCTION("""COMPUTED_VALUE"""),0.1)</f>
        <v>0.1</v>
      </c>
      <c r="N77" s="109">
        <f>IFERROR(__xludf.DUMMYFUNCTION("""COMPUTED_VALUE"""),1.0)</f>
        <v>1</v>
      </c>
      <c r="O77" s="109"/>
      <c r="P77" s="109" t="str">
        <f>IFERROR(__xludf.DUMMYFUNCTION("""COMPUTED_VALUE"""),"Offset")</f>
        <v>Offset</v>
      </c>
      <c r="Q77" s="109" t="str">
        <f>IFERROR(__xludf.DUMMYFUNCTION("""COMPUTED_VALUE"""),"Packaging")</f>
        <v>Packaging</v>
      </c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15"/>
      <c r="AK77" s="80"/>
      <c r="AL77" s="80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54"/>
      <c r="BM77" s="86"/>
      <c r="BN77" s="77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 t="str">
        <f>IFERROR(__xludf.DUMMYFUNCTION("""COMPUTED_VALUE"""),"Printing")</f>
        <v>Printing</v>
      </c>
      <c r="BZ77" s="77">
        <f>IFERROR(__xludf.DUMMYFUNCTION("""COMPUTED_VALUE"""),1001.0)</f>
        <v>1001</v>
      </c>
      <c r="CA77" s="77">
        <f>IFERROR(__xludf.DUMMYFUNCTION("""COMPUTED_VALUE"""),1001.0)</f>
        <v>1001</v>
      </c>
      <c r="CB77" s="77">
        <f>IFERROR(__xludf.DUMMYFUNCTION("""COMPUTED_VALUE"""),0.0)</f>
        <v>0</v>
      </c>
      <c r="CC77" s="73"/>
      <c r="CD77" s="73"/>
      <c r="CE77" s="73"/>
      <c r="CF77" s="73"/>
      <c r="CG77" s="73"/>
      <c r="CH77" s="73"/>
    </row>
    <row r="78">
      <c r="A78" s="123" t="str">
        <f>IFERROR(__xludf.DUMMYFUNCTION("""COMPUTED_VALUE"""),"https://drive.google.com/open?id=1DH_jtAZrmS4oA_LljmC6xnetppeIi0w7&amp;authuser=jay.agg%40gmail.com&amp;usp=drive_fs")</f>
        <v>https://drive.google.com/open?id=1DH_jtAZrmS4oA_LljmC6xnetppeIi0w7&amp;authuser=jay.agg%40gmail.com&amp;usp=drive_fs</v>
      </c>
      <c r="B78" s="80" t="str">
        <f>IFERROR(__xludf.DUMMYFUNCTION("""COMPUTED_VALUE"""),"Food")</f>
        <v>Food</v>
      </c>
      <c r="C78" s="80" t="str">
        <f>IFERROR(__xludf.DUMMYFUNCTION("""COMPUTED_VALUE"""),"Chocolate")</f>
        <v>Chocolate</v>
      </c>
      <c r="D78" s="80" t="str">
        <f>IFERROR(__xludf.DUMMYFUNCTION("""COMPUTED_VALUE"""),"85*8.5*155 mm | 3.3*0.3*6.1 inch")</f>
        <v>85*8.5*155 mm | 3.3*0.3*6.1 inch</v>
      </c>
      <c r="E78" s="124">
        <f>IFERROR(__xludf.DUMMYFUNCTION("""COMPUTED_VALUE"""),6.0)</f>
        <v>6</v>
      </c>
      <c r="F78" s="80">
        <f>IFERROR(__xludf.DUMMYFUNCTION("""COMPUTED_VALUE"""),2029.0)</f>
        <v>2029</v>
      </c>
      <c r="G78" s="80">
        <f>IFERROR(__xludf.DUMMYFUNCTION("""COMPUTED_VALUE"""),18.0)</f>
        <v>18</v>
      </c>
      <c r="H78" s="80">
        <f>IFERROR(__xludf.DUMMYFUNCTION("""COMPUTED_VALUE"""),23.0)</f>
        <v>23</v>
      </c>
      <c r="I78" s="80">
        <f>IFERROR(__xludf.DUMMYFUNCTION("""COMPUTED_VALUE"""),100.0)</f>
        <v>100</v>
      </c>
      <c r="J78" s="109"/>
      <c r="K78" s="109"/>
      <c r="L78" s="109"/>
      <c r="M78" s="109">
        <f>IFERROR(__xludf.DUMMYFUNCTION("""COMPUTED_VALUE"""),0.12)</f>
        <v>0.12</v>
      </c>
      <c r="N78" s="109">
        <f>IFERROR(__xludf.DUMMYFUNCTION("""COMPUTED_VALUE"""),1.0)</f>
        <v>1</v>
      </c>
      <c r="O78" s="109"/>
      <c r="P78" s="109" t="str">
        <f>IFERROR(__xludf.DUMMYFUNCTION("""COMPUTED_VALUE"""),"Offset")</f>
        <v>Offset</v>
      </c>
      <c r="Q78" s="109" t="str">
        <f>IFERROR(__xludf.DUMMYFUNCTION("""COMPUTED_VALUE"""),"Packaging")</f>
        <v>Packaging</v>
      </c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15"/>
      <c r="AK78" s="80"/>
      <c r="AL78" s="80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54"/>
      <c r="BM78" s="86"/>
      <c r="BN78" s="77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 t="str">
        <f>IFERROR(__xludf.DUMMYFUNCTION("""COMPUTED_VALUE"""),"Printing")</f>
        <v>Printing</v>
      </c>
      <c r="BZ78" s="77">
        <f>IFERROR(__xludf.DUMMYFUNCTION("""COMPUTED_VALUE"""),1002.0)</f>
        <v>1002</v>
      </c>
      <c r="CA78" s="77">
        <f>IFERROR(__xludf.DUMMYFUNCTION("""COMPUTED_VALUE"""),1002.0)</f>
        <v>1002</v>
      </c>
      <c r="CB78" s="77">
        <f>IFERROR(__xludf.DUMMYFUNCTION("""COMPUTED_VALUE"""),0.0)</f>
        <v>0</v>
      </c>
      <c r="CC78" s="73"/>
      <c r="CD78" s="73"/>
      <c r="CE78" s="73"/>
      <c r="CF78" s="73"/>
      <c r="CG78" s="73"/>
      <c r="CH78" s="73"/>
    </row>
    <row r="79">
      <c r="A79" s="123" t="str">
        <f>IFERROR(__xludf.DUMMYFUNCTION("""COMPUTED_VALUE"""),"https://drive.google.com/open?id=1EDFHLal9OFKDcKtdrwzHrFcodX9TQmQF&amp;authuser=jay.agg%40gmail.com&amp;usp=drive_fs")</f>
        <v>https://drive.google.com/open?id=1EDFHLal9OFKDcKtdrwzHrFcodX9TQmQF&amp;authuser=jay.agg%40gmail.com&amp;usp=drive_fs</v>
      </c>
      <c r="B79" s="80" t="str">
        <f>IFERROR(__xludf.DUMMYFUNCTION("""COMPUTED_VALUE"""),"Food")</f>
        <v>Food</v>
      </c>
      <c r="C79" s="80" t="str">
        <f>IFERROR(__xludf.DUMMYFUNCTION("""COMPUTED_VALUE"""),"Sugar")</f>
        <v>Sugar</v>
      </c>
      <c r="D79" s="80" t="str">
        <f>IFERROR(__xludf.DUMMYFUNCTION("""COMPUTED_VALUE"""),"65*30*80 mm | 2.5*1.2*3.1 inch")</f>
        <v>65*30*80 mm | 2.5*1.2*3.1 inch</v>
      </c>
      <c r="E79" s="124">
        <f>IFERROR(__xludf.DUMMYFUNCTION("""COMPUTED_VALUE"""),8.0)</f>
        <v>8</v>
      </c>
      <c r="F79" s="80">
        <f>IFERROR(__xludf.DUMMYFUNCTION("""COMPUTED_VALUE"""),2029.0)</f>
        <v>2029</v>
      </c>
      <c r="G79" s="80">
        <f>IFERROR(__xludf.DUMMYFUNCTION("""COMPUTED_VALUE"""),18.0)</f>
        <v>18</v>
      </c>
      <c r="H79" s="80">
        <f>IFERROR(__xludf.DUMMYFUNCTION("""COMPUTED_VALUE"""),23.0)</f>
        <v>23</v>
      </c>
      <c r="I79" s="80">
        <f>IFERROR(__xludf.DUMMYFUNCTION("""COMPUTED_VALUE"""),100.0)</f>
        <v>100</v>
      </c>
      <c r="J79" s="109"/>
      <c r="K79" s="109"/>
      <c r="L79" s="109"/>
      <c r="M79" s="109">
        <f>IFERROR(__xludf.DUMMYFUNCTION("""COMPUTED_VALUE"""),0.1)</f>
        <v>0.1</v>
      </c>
      <c r="N79" s="109">
        <f>IFERROR(__xludf.DUMMYFUNCTION("""COMPUTED_VALUE"""),1.0)</f>
        <v>1</v>
      </c>
      <c r="O79" s="109"/>
      <c r="P79" s="109" t="str">
        <f>IFERROR(__xludf.DUMMYFUNCTION("""COMPUTED_VALUE"""),"Offset")</f>
        <v>Offset</v>
      </c>
      <c r="Q79" s="109" t="str">
        <f>IFERROR(__xludf.DUMMYFUNCTION("""COMPUTED_VALUE"""),"Packaging")</f>
        <v>Packaging</v>
      </c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15"/>
      <c r="AK79" s="80"/>
      <c r="AL79" s="80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88"/>
      <c r="BM79" s="86"/>
      <c r="BN79" s="77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 t="str">
        <f>IFERROR(__xludf.DUMMYFUNCTION("""COMPUTED_VALUE"""),"Printing")</f>
        <v>Printing</v>
      </c>
      <c r="BZ79" s="77">
        <f>IFERROR(__xludf.DUMMYFUNCTION("""COMPUTED_VALUE"""),1003.0)</f>
        <v>1003</v>
      </c>
      <c r="CA79" s="77">
        <f>IFERROR(__xludf.DUMMYFUNCTION("""COMPUTED_VALUE"""),1003.0)</f>
        <v>1003</v>
      </c>
      <c r="CB79" s="77">
        <f>IFERROR(__xludf.DUMMYFUNCTION("""COMPUTED_VALUE"""),0.0)</f>
        <v>0</v>
      </c>
      <c r="CC79" s="73"/>
      <c r="CD79" s="73"/>
      <c r="CE79" s="73"/>
      <c r="CF79" s="73"/>
      <c r="CG79" s="73"/>
      <c r="CH79" s="73"/>
    </row>
    <row r="80">
      <c r="A80" s="123" t="str">
        <f>IFERROR(__xludf.DUMMYFUNCTION("""COMPUTED_VALUE"""),"https://drive.google.com/open?id=1ECt9F1f6-PNDi3P7M8-WDLzuWoONz4Pm&amp;authuser=jay.agg%40gmail.com&amp;usp=drive_fs")</f>
        <v>https://drive.google.com/open?id=1ECt9F1f6-PNDi3P7M8-WDLzuWoONz4Pm&amp;authuser=jay.agg%40gmail.com&amp;usp=drive_fs</v>
      </c>
      <c r="B80" s="80" t="str">
        <f>IFERROR(__xludf.DUMMYFUNCTION("""COMPUTED_VALUE"""),"Food")</f>
        <v>Food</v>
      </c>
      <c r="C80" s="80" t="str">
        <f>IFERROR(__xludf.DUMMYFUNCTION("""COMPUTED_VALUE"""),"Sugar")</f>
        <v>Sugar</v>
      </c>
      <c r="D80" s="80" t="str">
        <f>IFERROR(__xludf.DUMMYFUNCTION("""COMPUTED_VALUE"""),"60*60*70 mm | 2.3*2.3*2.75 inch")</f>
        <v>60*60*70 mm | 2.3*2.3*2.75 inch</v>
      </c>
      <c r="E80" s="124">
        <f>IFERROR(__xludf.DUMMYFUNCTION("""COMPUTED_VALUE"""),8.0)</f>
        <v>8</v>
      </c>
      <c r="F80" s="80">
        <f>IFERROR(__xludf.DUMMYFUNCTION("""COMPUTED_VALUE"""),2029.0)</f>
        <v>2029</v>
      </c>
      <c r="G80" s="80">
        <f>IFERROR(__xludf.DUMMYFUNCTION("""COMPUTED_VALUE"""),20.0)</f>
        <v>20</v>
      </c>
      <c r="H80" s="80">
        <f>IFERROR(__xludf.DUMMYFUNCTION("""COMPUTED_VALUE"""),28.0)</f>
        <v>28</v>
      </c>
      <c r="I80" s="80">
        <f>IFERROR(__xludf.DUMMYFUNCTION("""COMPUTED_VALUE"""),100.0)</f>
        <v>100</v>
      </c>
      <c r="J80" s="109"/>
      <c r="K80" s="109"/>
      <c r="L80" s="109"/>
      <c r="M80" s="109">
        <f>IFERROR(__xludf.DUMMYFUNCTION("""COMPUTED_VALUE"""),0.1)</f>
        <v>0.1</v>
      </c>
      <c r="N80" s="109">
        <f>IFERROR(__xludf.DUMMYFUNCTION("""COMPUTED_VALUE"""),1.0)</f>
        <v>1</v>
      </c>
      <c r="O80" s="109"/>
      <c r="P80" s="109" t="str">
        <f>IFERROR(__xludf.DUMMYFUNCTION("""COMPUTED_VALUE"""),"Offset")</f>
        <v>Offset</v>
      </c>
      <c r="Q80" s="109" t="str">
        <f>IFERROR(__xludf.DUMMYFUNCTION("""COMPUTED_VALUE"""),"Packaging")</f>
        <v>Packaging</v>
      </c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15"/>
      <c r="AK80" s="80"/>
      <c r="AL80" s="80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88"/>
      <c r="BM80" s="86"/>
      <c r="BN80" s="77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 t="str">
        <f>IFERROR(__xludf.DUMMYFUNCTION("""COMPUTED_VALUE"""),"Printing")</f>
        <v>Printing</v>
      </c>
      <c r="BZ80" s="77">
        <f>IFERROR(__xludf.DUMMYFUNCTION("""COMPUTED_VALUE"""),1004.0)</f>
        <v>1004</v>
      </c>
      <c r="CA80" s="77">
        <f>IFERROR(__xludf.DUMMYFUNCTION("""COMPUTED_VALUE"""),1004.0)</f>
        <v>1004</v>
      </c>
      <c r="CB80" s="77">
        <f>IFERROR(__xludf.DUMMYFUNCTION("""COMPUTED_VALUE"""),0.0)</f>
        <v>0</v>
      </c>
      <c r="CC80" s="73"/>
      <c r="CD80" s="80"/>
      <c r="CE80" s="113"/>
      <c r="CF80" s="80"/>
      <c r="CG80" s="73"/>
      <c r="CH80" s="73"/>
    </row>
    <row r="81">
      <c r="A81" s="123" t="str">
        <f>IFERROR(__xludf.DUMMYFUNCTION("""COMPUTED_VALUE"""),"https://drive.google.com/open?id=1VnjDLGsZHYLMpIHTAPBXgjAaWeFFe8Co&amp;authuser=jay.agg%40gmail.com&amp;usp=drive_fs")</f>
        <v>https://drive.google.com/open?id=1VnjDLGsZHYLMpIHTAPBXgjAaWeFFe8Co&amp;authuser=jay.agg%40gmail.com&amp;usp=drive_fs</v>
      </c>
      <c r="B81" s="80" t="str">
        <f>IFERROR(__xludf.DUMMYFUNCTION("""COMPUTED_VALUE"""),"Food")</f>
        <v>Food</v>
      </c>
      <c r="C81" s="80" t="str">
        <f>IFERROR(__xludf.DUMMYFUNCTION("""COMPUTED_VALUE"""),"Misc")</f>
        <v>Misc</v>
      </c>
      <c r="D81" s="80" t="str">
        <f>IFERROR(__xludf.DUMMYFUNCTION("""COMPUTED_VALUE"""),"267*267*20 mm | 10.5*10.5*0.75 inch W 7*7 inch")</f>
        <v>267*267*20 mm | 10.5*10.5*0.75 inch W 7*7 inch</v>
      </c>
      <c r="E81" s="124">
        <f>IFERROR(__xludf.DUMMYFUNCTION("""COMPUTED_VALUE"""),1.0)</f>
        <v>1</v>
      </c>
      <c r="F81" s="80">
        <f>IFERROR(__xludf.DUMMYFUNCTION("""COMPUTED_VALUE"""),1926.0)</f>
        <v>1926</v>
      </c>
      <c r="G81" s="80">
        <f>IFERROR(__xludf.DUMMYFUNCTION("""COMPUTED_VALUE"""),15.0)</f>
        <v>15</v>
      </c>
      <c r="H81" s="80">
        <f>IFERROR(__xludf.DUMMYFUNCTION("""COMPUTED_VALUE"""),25.0)</f>
        <v>25</v>
      </c>
      <c r="I81" s="80">
        <f>IFERROR(__xludf.DUMMYFUNCTION("""COMPUTED_VALUE"""),100.0)</f>
        <v>100</v>
      </c>
      <c r="J81" s="109"/>
      <c r="K81" s="109"/>
      <c r="L81" s="109">
        <f>IFERROR(__xludf.DUMMYFUNCTION("""COMPUTED_VALUE"""),2.0)</f>
        <v>2</v>
      </c>
      <c r="M81" s="109">
        <f>IFERROR(__xludf.DUMMYFUNCTION("""COMPUTED_VALUE"""),0.1)</f>
        <v>0.1</v>
      </c>
      <c r="N81" s="109">
        <f>IFERROR(__xludf.DUMMYFUNCTION("""COMPUTED_VALUE"""),1.0)</f>
        <v>1</v>
      </c>
      <c r="O81" s="109"/>
      <c r="P81" s="109" t="str">
        <f>IFERROR(__xludf.DUMMYFUNCTION("""COMPUTED_VALUE"""),"Offset")</f>
        <v>Offset</v>
      </c>
      <c r="Q81" s="109" t="str">
        <f>IFERROR(__xludf.DUMMYFUNCTION("""COMPUTED_VALUE"""),"Packaging")</f>
        <v>Packaging</v>
      </c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15"/>
      <c r="AK81" s="80"/>
      <c r="AL81" s="80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88"/>
      <c r="BM81" s="86"/>
      <c r="BN81" s="77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 t="str">
        <f>IFERROR(__xludf.DUMMYFUNCTION("""COMPUTED_VALUE"""),"Printing")</f>
        <v>Printing</v>
      </c>
      <c r="BZ81" s="77">
        <f>IFERROR(__xludf.DUMMYFUNCTION("""COMPUTED_VALUE"""),1005.0)</f>
        <v>1005</v>
      </c>
      <c r="CA81" s="77">
        <f>IFERROR(__xludf.DUMMYFUNCTION("""COMPUTED_VALUE"""),1005.0)</f>
        <v>1005</v>
      </c>
      <c r="CB81" s="77">
        <f>IFERROR(__xludf.DUMMYFUNCTION("""COMPUTED_VALUE"""),0.0)</f>
        <v>0</v>
      </c>
      <c r="CC81" s="73"/>
      <c r="CD81" s="80"/>
      <c r="CE81" s="113"/>
      <c r="CF81" s="139"/>
      <c r="CG81" s="73"/>
      <c r="CH81" s="73"/>
    </row>
    <row r="82">
      <c r="A82" s="123" t="str">
        <f>IFERROR(__xludf.DUMMYFUNCTION("""COMPUTED_VALUE"""),"https://drive.google.com/open?id=1W8K3LGsxJqHIDtIbqdtppHLaxRx4D66i&amp;authuser=jay.agg%40gmail.com&amp;usp=drive_fs")</f>
        <v>https://drive.google.com/open?id=1W8K3LGsxJqHIDtIbqdtppHLaxRx4D66i&amp;authuser=jay.agg%40gmail.com&amp;usp=drive_fs</v>
      </c>
      <c r="B82" s="80" t="str">
        <f>IFERROR(__xludf.DUMMYFUNCTION("""COMPUTED_VALUE"""),"Food")</f>
        <v>Food</v>
      </c>
      <c r="C82" s="80" t="str">
        <f>IFERROR(__xludf.DUMMYFUNCTION("""COMPUTED_VALUE"""),"Sugar Free")</f>
        <v>Sugar Free</v>
      </c>
      <c r="D82" s="80" t="str">
        <f>IFERROR(__xludf.DUMMYFUNCTION("""COMPUTED_VALUE"""),"127*127*76 mm | 5*5*3 inch Flap")</f>
        <v>127*127*76 mm | 5*5*3 inch Flap</v>
      </c>
      <c r="E82" s="124">
        <f>IFERROR(__xludf.DUMMYFUNCTION("""COMPUTED_VALUE"""),2.0)</f>
        <v>2</v>
      </c>
      <c r="F82" s="80">
        <f>IFERROR(__xludf.DUMMYFUNCTION("""COMPUTED_VALUE"""),2029.0)</f>
        <v>2029</v>
      </c>
      <c r="G82" s="80">
        <f>IFERROR(__xludf.DUMMYFUNCTION("""COMPUTED_VALUE"""),18.0)</f>
        <v>18</v>
      </c>
      <c r="H82" s="80">
        <f>IFERROR(__xludf.DUMMYFUNCTION("""COMPUTED_VALUE"""),23.0)</f>
        <v>23</v>
      </c>
      <c r="I82" s="80">
        <f>IFERROR(__xludf.DUMMYFUNCTION("""COMPUTED_VALUE"""),100.0)</f>
        <v>100</v>
      </c>
      <c r="J82" s="109"/>
      <c r="K82" s="109"/>
      <c r="L82" s="109"/>
      <c r="M82" s="109">
        <f>IFERROR(__xludf.DUMMYFUNCTION("""COMPUTED_VALUE"""),0.1)</f>
        <v>0.1</v>
      </c>
      <c r="N82" s="109">
        <f>IFERROR(__xludf.DUMMYFUNCTION("""COMPUTED_VALUE"""),1.0)</f>
        <v>1</v>
      </c>
      <c r="O82" s="109"/>
      <c r="P82" s="109" t="str">
        <f>IFERROR(__xludf.DUMMYFUNCTION("""COMPUTED_VALUE"""),"Offset")</f>
        <v>Offset</v>
      </c>
      <c r="Q82" s="109" t="str">
        <f>IFERROR(__xludf.DUMMYFUNCTION("""COMPUTED_VALUE"""),"Packaging")</f>
        <v>Packaging</v>
      </c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15"/>
      <c r="AK82" s="80"/>
      <c r="AL82" s="80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88"/>
      <c r="BM82" s="86"/>
      <c r="BN82" s="77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</row>
    <row r="83">
      <c r="A83" s="123" t="str">
        <f>IFERROR(__xludf.DUMMYFUNCTION("""COMPUTED_VALUE"""),"https://drive.google.com/open?id=1MZcgRJR6eRn0bLxw4dJgnt1Z8c1PCcAl&amp;authuser=jay.agg%40gmail.com&amp;usp=drive_fs")</f>
        <v>https://drive.google.com/open?id=1MZcgRJR6eRn0bLxw4dJgnt1Z8c1PCcAl&amp;authuser=jay.agg%40gmail.com&amp;usp=drive_fs</v>
      </c>
      <c r="B83" s="80" t="str">
        <f>IFERROR(__xludf.DUMMYFUNCTION("""COMPUTED_VALUE"""),"Food")</f>
        <v>Food</v>
      </c>
      <c r="C83" s="80" t="str">
        <f>IFERROR(__xludf.DUMMYFUNCTION("""COMPUTED_VALUE"""),"Misc")</f>
        <v>Misc</v>
      </c>
      <c r="D83" s="80" t="str">
        <f>IFERROR(__xludf.DUMMYFUNCTION("""COMPUTED_VALUE"""),"102*51*152 mm | 4*2*6 inch")</f>
        <v>102*51*152 mm | 4*2*6 inch</v>
      </c>
      <c r="E83" s="124">
        <f>IFERROR(__xludf.DUMMYFUNCTION("""COMPUTED_VALUE"""),4.0)</f>
        <v>4</v>
      </c>
      <c r="F83" s="80">
        <f>IFERROR(__xludf.DUMMYFUNCTION("""COMPUTED_VALUE"""),2029.0)</f>
        <v>2029</v>
      </c>
      <c r="G83" s="80">
        <f>IFERROR(__xludf.DUMMYFUNCTION("""COMPUTED_VALUE"""),19.0)</f>
        <v>19</v>
      </c>
      <c r="H83" s="80">
        <f>IFERROR(__xludf.DUMMYFUNCTION("""COMPUTED_VALUE"""),26.0)</f>
        <v>26</v>
      </c>
      <c r="I83" s="80">
        <f>IFERROR(__xludf.DUMMYFUNCTION("""COMPUTED_VALUE"""),100.0)</f>
        <v>100</v>
      </c>
      <c r="J83" s="109"/>
      <c r="K83" s="109"/>
      <c r="L83" s="109"/>
      <c r="M83" s="109">
        <f>IFERROR(__xludf.DUMMYFUNCTION("""COMPUTED_VALUE"""),0.1)</f>
        <v>0.1</v>
      </c>
      <c r="N83" s="109">
        <f>IFERROR(__xludf.DUMMYFUNCTION("""COMPUTED_VALUE"""),1.0)</f>
        <v>1</v>
      </c>
      <c r="O83" s="109"/>
      <c r="P83" s="109" t="str">
        <f>IFERROR(__xludf.DUMMYFUNCTION("""COMPUTED_VALUE"""),"Offset")</f>
        <v>Offset</v>
      </c>
      <c r="Q83" s="109" t="str">
        <f>IFERROR(__xludf.DUMMYFUNCTION("""COMPUTED_VALUE"""),"Packaging")</f>
        <v>Packaging</v>
      </c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15"/>
      <c r="AK83" s="80"/>
      <c r="AL83" s="80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80"/>
      <c r="BM83" s="86"/>
      <c r="BN83" s="73"/>
      <c r="BO83" s="73"/>
      <c r="BP83" s="73"/>
      <c r="BQ83" s="73"/>
      <c r="BR83" s="73"/>
      <c r="BS83" s="73"/>
      <c r="BT83" s="86" t="str">
        <f>F13</f>
        <v/>
      </c>
      <c r="BU83" s="73"/>
      <c r="BV83" s="73"/>
      <c r="BW83" s="80" t="str">
        <f>IFERROR(__xludf.DUMMYFUNCTION("QUERY(BY67:CB72,BZ63)"),"Offset")</f>
        <v>Offset</v>
      </c>
      <c r="BX83" s="73" t="str">
        <f>IFERROR(__xludf.DUMMYFUNCTION("""COMPUTED_VALUE"""),"Printing")</f>
        <v>Printing</v>
      </c>
      <c r="BY83" s="77">
        <f>IFERROR(__xludf.DUMMYFUNCTION("""COMPUTED_VALUE"""),1926.0)</f>
        <v>1926</v>
      </c>
      <c r="BZ83" s="77">
        <f>IFERROR(__xludf.DUMMYFUNCTION("""COMPUTED_VALUE"""),1926.0)</f>
        <v>1926</v>
      </c>
      <c r="CA83" s="77">
        <f>BZ83*BY91</f>
        <v>1926</v>
      </c>
      <c r="CB83" s="130" t="str">
        <f>Sheet2!F6</f>
        <v/>
      </c>
      <c r="CC83" s="77">
        <f t="shared" ref="CC83:CC85" si="13">MAX(CA83,CB83)</f>
        <v>1926</v>
      </c>
      <c r="CD83" s="73"/>
      <c r="CE83" s="73"/>
      <c r="CF83" s="73"/>
      <c r="CG83" s="73"/>
      <c r="CH83" s="73"/>
    </row>
    <row r="84">
      <c r="A84" s="123" t="str">
        <f>IFERROR(__xludf.DUMMYFUNCTION("""COMPUTED_VALUE"""),"https://drive.google.com/open?id=1MfcBn_GQd5c1R_1f3A6p3lcJJN1Ro3F6&amp;authuser=jay.agg%40gmail.com&amp;usp=drive_fs")</f>
        <v>https://drive.google.com/open?id=1MfcBn_GQd5c1R_1f3A6p3lcJJN1Ro3F6&amp;authuser=jay.agg%40gmail.com&amp;usp=drive_fs</v>
      </c>
      <c r="B84" s="80" t="str">
        <f>IFERROR(__xludf.DUMMYFUNCTION("""COMPUTED_VALUE"""),"Food")</f>
        <v>Food</v>
      </c>
      <c r="C84" s="80" t="str">
        <f>IFERROR(__xludf.DUMMYFUNCTION("""COMPUTED_VALUE"""),"Misc")</f>
        <v>Misc</v>
      </c>
      <c r="D84" s="80" t="str">
        <f>IFERROR(__xludf.DUMMYFUNCTION("""COMPUTED_VALUE"""),"140*35*195 mm | 5.5*1.4*7.6 inch LB")</f>
        <v>140*35*195 mm | 5.5*1.4*7.6 inch LB</v>
      </c>
      <c r="E84" s="124">
        <f>IFERROR(__xludf.DUMMYFUNCTION("""COMPUTED_VALUE"""),8.0)</f>
        <v>8</v>
      </c>
      <c r="F84" s="80">
        <f>IFERROR(__xludf.DUMMYFUNCTION("""COMPUTED_VALUE"""),2840.0)</f>
        <v>2840</v>
      </c>
      <c r="G84" s="80">
        <f>IFERROR(__xludf.DUMMYFUNCTION("""COMPUTED_VALUE"""),31.5)</f>
        <v>31.5</v>
      </c>
      <c r="H84" s="80">
        <f>IFERROR(__xludf.DUMMYFUNCTION("""COMPUTED_VALUE"""),41.5)</f>
        <v>41.5</v>
      </c>
      <c r="I84" s="80">
        <f>IFERROR(__xludf.DUMMYFUNCTION("""COMPUTED_VALUE"""),100.0)</f>
        <v>100</v>
      </c>
      <c r="J84" s="109"/>
      <c r="K84" s="109"/>
      <c r="L84" s="109"/>
      <c r="M84" s="109">
        <f>IFERROR(__xludf.DUMMYFUNCTION("""COMPUTED_VALUE"""),0.24)</f>
        <v>0.24</v>
      </c>
      <c r="N84" s="109">
        <f>IFERROR(__xludf.DUMMYFUNCTION("""COMPUTED_VALUE"""),1.0)</f>
        <v>1</v>
      </c>
      <c r="O84" s="109"/>
      <c r="P84" s="109" t="str">
        <f>IFERROR(__xludf.DUMMYFUNCTION("""COMPUTED_VALUE"""),"Offset")</f>
        <v>Offset</v>
      </c>
      <c r="Q84" s="109" t="str">
        <f>IFERROR(__xludf.DUMMYFUNCTION("""COMPUTED_VALUE"""),"Packaging")</f>
        <v>Packaging</v>
      </c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15"/>
      <c r="AK84" s="80"/>
      <c r="AL84" s="80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80"/>
      <c r="BM84" s="86"/>
      <c r="BN84" s="73"/>
      <c r="BO84" s="73"/>
      <c r="BP84" s="73"/>
      <c r="BQ84" s="73"/>
      <c r="BR84" s="73"/>
      <c r="BS84" s="73"/>
      <c r="BT84" s="77" t="str">
        <f>BT83</f>
        <v/>
      </c>
      <c r="BU84" s="73"/>
      <c r="BV84" s="73"/>
      <c r="BW84" s="73" t="str">
        <f>IFERROR(__xludf.DUMMYFUNCTION("""COMPUTED_VALUE"""),"Offset")</f>
        <v>Offset</v>
      </c>
      <c r="BX84" s="73" t="str">
        <f>IFERROR(__xludf.DUMMYFUNCTION("""COMPUTED_VALUE"""),"Printing")</f>
        <v>Printing</v>
      </c>
      <c r="BY84" s="77">
        <f>IFERROR(__xludf.DUMMYFUNCTION("""COMPUTED_VALUE"""),2029.0)</f>
        <v>2029</v>
      </c>
      <c r="BZ84" s="77">
        <f>IFERROR(__xludf.DUMMYFUNCTION("""COMPUTED_VALUE"""),2029.0)</f>
        <v>2029</v>
      </c>
      <c r="CA84" s="77">
        <f>BZ84*BY91</f>
        <v>2029</v>
      </c>
      <c r="CB84" s="130" t="str">
        <f>Sheet2!F6</f>
        <v/>
      </c>
      <c r="CC84" s="77">
        <f t="shared" si="13"/>
        <v>2029</v>
      </c>
      <c r="CD84" s="80" t="str">
        <f>Quotation!C35</f>
        <v>Plain</v>
      </c>
      <c r="CE84" s="73"/>
      <c r="CF84" s="73"/>
      <c r="CG84" s="73"/>
      <c r="CH84" s="73"/>
    </row>
    <row r="85">
      <c r="A85" s="123" t="str">
        <f>IFERROR(__xludf.DUMMYFUNCTION("""COMPUTED_VALUE"""),"https://drive.google.com/open?id=1XbuBMiGIeJeLMlNdqinMKyIq2LAVN3Vo&amp;authuser=jay.agg%40gmail.com&amp;usp=drive_fs")</f>
        <v>https://drive.google.com/open?id=1XbuBMiGIeJeLMlNdqinMKyIq2LAVN3Vo&amp;authuser=jay.agg%40gmail.com&amp;usp=drive_fs</v>
      </c>
      <c r="B85" s="80" t="str">
        <f>IFERROR(__xludf.DUMMYFUNCTION("""COMPUTED_VALUE"""),"Food")</f>
        <v>Food</v>
      </c>
      <c r="C85" s="80" t="str">
        <f>IFERROR(__xludf.DUMMYFUNCTION("""COMPUTED_VALUE"""),"Cookies")</f>
        <v>Cookies</v>
      </c>
      <c r="D85" s="80" t="str">
        <f>IFERROR(__xludf.DUMMYFUNCTION("""COMPUTED_VALUE"""),"160*50*85 mm | 6.3*2*3.3 inch")</f>
        <v>160*50*85 mm | 6.3*2*3.3 inch</v>
      </c>
      <c r="E85" s="124">
        <f>IFERROR(__xludf.DUMMYFUNCTION("""COMPUTED_VALUE"""),4.0)</f>
        <v>4</v>
      </c>
      <c r="F85" s="80">
        <f>IFERROR(__xludf.DUMMYFUNCTION("""COMPUTED_VALUE"""),2029.0)</f>
        <v>2029</v>
      </c>
      <c r="G85" s="80">
        <f>IFERROR(__xludf.DUMMYFUNCTION("""COMPUTED_VALUE"""),20.0)</f>
        <v>20</v>
      </c>
      <c r="H85" s="80">
        <f>IFERROR(__xludf.DUMMYFUNCTION("""COMPUTED_VALUE"""),23.0)</f>
        <v>23</v>
      </c>
      <c r="I85" s="80">
        <f>IFERROR(__xludf.DUMMYFUNCTION("""COMPUTED_VALUE"""),100.0)</f>
        <v>100</v>
      </c>
      <c r="J85" s="109"/>
      <c r="K85" s="109"/>
      <c r="L85" s="109"/>
      <c r="M85" s="109">
        <f>IFERROR(__xludf.DUMMYFUNCTION("""COMPUTED_VALUE"""),0.1)</f>
        <v>0.1</v>
      </c>
      <c r="N85" s="109">
        <f>IFERROR(__xludf.DUMMYFUNCTION("""COMPUTED_VALUE"""),1.0)</f>
        <v>1</v>
      </c>
      <c r="O85" s="109"/>
      <c r="P85" s="109" t="str">
        <f>IFERROR(__xludf.DUMMYFUNCTION("""COMPUTED_VALUE"""),"Offset")</f>
        <v>Offset</v>
      </c>
      <c r="Q85" s="109" t="str">
        <f>IFERROR(__xludf.DUMMYFUNCTION("""COMPUTED_VALUE"""),"Packaging")</f>
        <v>Packaging</v>
      </c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15"/>
      <c r="AK85" s="80"/>
      <c r="AL85" s="80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80"/>
      <c r="BM85" s="86"/>
      <c r="BN85" s="73"/>
      <c r="BO85" s="73"/>
      <c r="BP85" s="73"/>
      <c r="BQ85" s="73"/>
      <c r="BR85" s="73"/>
      <c r="BS85" s="73"/>
      <c r="BT85" s="77" t="str">
        <f>BT83</f>
        <v/>
      </c>
      <c r="BU85" s="73"/>
      <c r="BV85" s="73"/>
      <c r="BW85" s="73" t="str">
        <f>IFERROR(__xludf.DUMMYFUNCTION("""COMPUTED_VALUE"""),"Offset")</f>
        <v>Offset</v>
      </c>
      <c r="BX85" s="73" t="str">
        <f>IFERROR(__xludf.DUMMYFUNCTION("""COMPUTED_VALUE"""),"Printing")</f>
        <v>Printing</v>
      </c>
      <c r="BY85" s="77">
        <f>IFERROR(__xludf.DUMMYFUNCTION("""COMPUTED_VALUE"""),2840.0)</f>
        <v>2840</v>
      </c>
      <c r="BZ85" s="77">
        <f>IFERROR(__xludf.DUMMYFUNCTION("""COMPUTED_VALUE"""),2840.0)</f>
        <v>2840</v>
      </c>
      <c r="CA85" s="77">
        <f>BZ85*BY91</f>
        <v>2840</v>
      </c>
      <c r="CB85" s="130" t="str">
        <f>Sheet2!F6</f>
        <v/>
      </c>
      <c r="CC85" s="77">
        <f t="shared" si="13"/>
        <v>2840</v>
      </c>
      <c r="CD85" s="180" t="str">
        <f>IF(CD84="","","and CC = '"&amp;CD84&amp;"'")</f>
        <v>and CC = 'Plain'</v>
      </c>
      <c r="CE85" s="73"/>
      <c r="CF85" s="73"/>
      <c r="CG85" s="73"/>
      <c r="CH85" s="73"/>
    </row>
    <row r="86">
      <c r="A86" s="123" t="str">
        <f>IFERROR(__xludf.DUMMYFUNCTION("""COMPUTED_VALUE"""),"https://drive.google.com/open?id=1Zs1KOwwl0A7lPwcA-lFX7Uz5eZHgcnOh&amp;authuser=jay.agg%40gmail.com&amp;usp=drive_fs")</f>
        <v>https://drive.google.com/open?id=1Zs1KOwwl0A7lPwcA-lFX7Uz5eZHgcnOh&amp;authuser=jay.agg%40gmail.com&amp;usp=drive_fs</v>
      </c>
      <c r="B86" s="80" t="str">
        <f>IFERROR(__xludf.DUMMYFUNCTION("""COMPUTED_VALUE"""),"Food")</f>
        <v>Food</v>
      </c>
      <c r="C86" s="80" t="str">
        <f>IFERROR(__xludf.DUMMYFUNCTION("""COMPUTED_VALUE"""),"Chocolate")</f>
        <v>Chocolate</v>
      </c>
      <c r="D86" s="80" t="str">
        <f>IFERROR(__xludf.DUMMYFUNCTION("""COMPUTED_VALUE"""),"75*15*150 mm | 2.9*0.6*5.9 inch")</f>
        <v>75*15*150 mm | 2.9*0.6*5.9 inch</v>
      </c>
      <c r="E86" s="124">
        <f>IFERROR(__xludf.DUMMYFUNCTION("""COMPUTED_VALUE"""),6.0)</f>
        <v>6</v>
      </c>
      <c r="F86" s="80">
        <f>IFERROR(__xludf.DUMMYFUNCTION("""COMPUTED_VALUE"""),1926.0)</f>
        <v>1926</v>
      </c>
      <c r="G86" s="80">
        <f>IFERROR(__xludf.DUMMYFUNCTION("""COMPUTED_VALUE"""),18.0)</f>
        <v>18</v>
      </c>
      <c r="H86" s="80">
        <f>IFERROR(__xludf.DUMMYFUNCTION("""COMPUTED_VALUE"""),23.0)</f>
        <v>23</v>
      </c>
      <c r="I86" s="80">
        <f>IFERROR(__xludf.DUMMYFUNCTION("""COMPUTED_VALUE"""),100.0)</f>
        <v>100</v>
      </c>
      <c r="J86" s="109"/>
      <c r="K86" s="109"/>
      <c r="L86" s="109"/>
      <c r="M86" s="109">
        <f>IFERROR(__xludf.DUMMYFUNCTION("""COMPUTED_VALUE"""),0.1)</f>
        <v>0.1</v>
      </c>
      <c r="N86" s="109">
        <f>IFERROR(__xludf.DUMMYFUNCTION("""COMPUTED_VALUE"""),1.0)</f>
        <v>1</v>
      </c>
      <c r="O86" s="109"/>
      <c r="P86" s="109" t="str">
        <f>IFERROR(__xludf.DUMMYFUNCTION("""COMPUTED_VALUE"""),"Offset")</f>
        <v>Offset</v>
      </c>
      <c r="Q86" s="109" t="str">
        <f>IFERROR(__xludf.DUMMYFUNCTION("""COMPUTED_VALUE"""),"Packaging")</f>
        <v>Packaging</v>
      </c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15"/>
      <c r="AK86" s="80"/>
      <c r="AL86" s="80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86" t="str">
        <f>BT83</f>
        <v/>
      </c>
      <c r="BU86" s="73"/>
      <c r="BV86" s="73"/>
      <c r="BW86" s="73"/>
      <c r="BX86" s="73"/>
      <c r="BY86" s="73"/>
      <c r="BZ86" s="73"/>
      <c r="CA86" s="73"/>
      <c r="CB86" s="73"/>
      <c r="CC86" s="73"/>
      <c r="CD86" s="106" t="str">
        <f>CONCATENATE("select * where 1=1",CD85)</f>
        <v>select * where 1=1and CC = 'Plain'</v>
      </c>
      <c r="CE86" s="73"/>
      <c r="CF86" s="73"/>
      <c r="CG86" s="73"/>
      <c r="CH86" s="73"/>
    </row>
    <row r="87">
      <c r="A87" s="123" t="str">
        <f>IFERROR(__xludf.DUMMYFUNCTION("""COMPUTED_VALUE"""),"https://drive.google.com/open?id=1OUeI1hjrKsYImhu02Q5Rv64yicLMPFRa&amp;authuser=jay.agg%40gmail.com&amp;usp=drive_fs")</f>
        <v>https://drive.google.com/open?id=1OUeI1hjrKsYImhu02Q5Rv64yicLMPFRa&amp;authuser=jay.agg%40gmail.com&amp;usp=drive_fs</v>
      </c>
      <c r="B87" s="80" t="str">
        <f>IFERROR(__xludf.DUMMYFUNCTION("""COMPUTED_VALUE"""),"Food")</f>
        <v>Food</v>
      </c>
      <c r="C87" s="80" t="str">
        <f>IFERROR(__xludf.DUMMYFUNCTION("""COMPUTED_VALUE"""),"Chocolate")</f>
        <v>Chocolate</v>
      </c>
      <c r="D87" s="80" t="str">
        <f>IFERROR(__xludf.DUMMYFUNCTION("""COMPUTED_VALUE"""),"75*15*150 mm | 2.9*0.6*5.9 inch Flat")</f>
        <v>75*15*150 mm | 2.9*0.6*5.9 inch Flat</v>
      </c>
      <c r="E87" s="124">
        <f>IFERROR(__xludf.DUMMYFUNCTION("""COMPUTED_VALUE"""),4.0)</f>
        <v>4</v>
      </c>
      <c r="F87" s="80">
        <f>IFERROR(__xludf.DUMMYFUNCTION("""COMPUTED_VALUE"""),2029.0)</f>
        <v>2029</v>
      </c>
      <c r="G87" s="80">
        <f>IFERROR(__xludf.DUMMYFUNCTION("""COMPUTED_VALUE"""),20.0)</f>
        <v>20</v>
      </c>
      <c r="H87" s="80">
        <f>IFERROR(__xludf.DUMMYFUNCTION("""COMPUTED_VALUE"""),21.0)</f>
        <v>21</v>
      </c>
      <c r="I87" s="80">
        <f>IFERROR(__xludf.DUMMYFUNCTION("""COMPUTED_VALUE"""),100.0)</f>
        <v>100</v>
      </c>
      <c r="J87" s="109"/>
      <c r="K87" s="109"/>
      <c r="L87" s="109"/>
      <c r="M87" s="109"/>
      <c r="N87" s="109">
        <f>IFERROR(__xludf.DUMMYFUNCTION("""COMPUTED_VALUE"""),1.0)</f>
        <v>1</v>
      </c>
      <c r="O87" s="109"/>
      <c r="P87" s="109" t="str">
        <f>IFERROR(__xludf.DUMMYFUNCTION("""COMPUTED_VALUE"""),"Offset")</f>
        <v>Offset</v>
      </c>
      <c r="Q87" s="109" t="str">
        <f>IFERROR(__xludf.DUMMYFUNCTION("""COMPUTED_VALUE"""),"Packaging")</f>
        <v>Packaging</v>
      </c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15"/>
      <c r="AK87" s="80"/>
      <c r="AL87" s="80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86" t="str">
        <f>BT83</f>
        <v/>
      </c>
      <c r="BU87" s="73"/>
      <c r="BV87" s="73"/>
      <c r="BW87" s="73"/>
      <c r="BX87" s="73"/>
      <c r="BY87" s="73"/>
      <c r="BZ87" s="73"/>
      <c r="CA87" s="73"/>
      <c r="CB87" s="73"/>
      <c r="CC87" s="88" t="s">
        <v>74</v>
      </c>
      <c r="CD87" s="86">
        <v>0.0</v>
      </c>
      <c r="CE87" s="80" t="str">
        <f>IFERROR(__xludf.DUMMYFUNCTION("QUERY(CC87:CD88,CD86)"),"Plain")</f>
        <v>Plain</v>
      </c>
      <c r="CF87" s="77">
        <f>IFERROR(__xludf.DUMMYFUNCTION("""COMPUTED_VALUE"""),0.0)</f>
        <v>0</v>
      </c>
      <c r="CG87" s="73"/>
      <c r="CH87" s="73"/>
    </row>
    <row r="88">
      <c r="A88" s="123" t="str">
        <f>IFERROR(__xludf.DUMMYFUNCTION("""COMPUTED_VALUE"""),"https://drive.google.com/open?id=1RbVA9G0GfOooAXiRtSrF3W27xwr7sRW5&amp;authuser=jay.agg%40gmail.com&amp;usp=drive_fs")</f>
        <v>https://drive.google.com/open?id=1RbVA9G0GfOooAXiRtSrF3W27xwr7sRW5&amp;authuser=jay.agg%40gmail.com&amp;usp=drive_fs</v>
      </c>
      <c r="B88" s="80" t="str">
        <f>IFERROR(__xludf.DUMMYFUNCTION("""COMPUTED_VALUE"""),"Food")</f>
        <v>Food</v>
      </c>
      <c r="C88" s="80" t="str">
        <f>IFERROR(__xludf.DUMMYFUNCTION("""COMPUTED_VALUE"""),"Chocolate")</f>
        <v>Chocolate</v>
      </c>
      <c r="D88" s="80" t="str">
        <f>IFERROR(__xludf.DUMMYFUNCTION("""COMPUTED_VALUE"""),"80*15*175 mm | 3.15*0.6*6.9 inch")</f>
        <v>80*15*175 mm | 3.15*0.6*6.9 inch</v>
      </c>
      <c r="E88" s="124">
        <f>IFERROR(__xludf.DUMMYFUNCTION("""COMPUTED_VALUE"""),6.0)</f>
        <v>6</v>
      </c>
      <c r="F88" s="80">
        <f>IFERROR(__xludf.DUMMYFUNCTION("""COMPUTED_VALUE"""),1926.0)</f>
        <v>1926</v>
      </c>
      <c r="G88" s="80">
        <f>IFERROR(__xludf.DUMMYFUNCTION("""COMPUTED_VALUE"""),18.0)</f>
        <v>18</v>
      </c>
      <c r="H88" s="80">
        <f>IFERROR(__xludf.DUMMYFUNCTION("""COMPUTED_VALUE"""),25.0)</f>
        <v>25</v>
      </c>
      <c r="I88" s="80">
        <f>IFERROR(__xludf.DUMMYFUNCTION("""COMPUTED_VALUE"""),100.0)</f>
        <v>100</v>
      </c>
      <c r="J88" s="109"/>
      <c r="K88" s="109"/>
      <c r="L88" s="109"/>
      <c r="M88" s="109">
        <f>IFERROR(__xludf.DUMMYFUNCTION("""COMPUTED_VALUE"""),0.1)</f>
        <v>0.1</v>
      </c>
      <c r="N88" s="109">
        <f>IFERROR(__xludf.DUMMYFUNCTION("""COMPUTED_VALUE"""),1.0)</f>
        <v>1</v>
      </c>
      <c r="O88" s="109"/>
      <c r="P88" s="109" t="str">
        <f>IFERROR(__xludf.DUMMYFUNCTION("""COMPUTED_VALUE"""),"Offset")</f>
        <v>Offset</v>
      </c>
      <c r="Q88" s="109" t="str">
        <f>IFERROR(__xludf.DUMMYFUNCTION("""COMPUTED_VALUE"""),"Packaging")</f>
        <v>Packaging</v>
      </c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15"/>
      <c r="AK88" s="80"/>
      <c r="AL88" s="80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88" t="s">
        <v>54</v>
      </c>
      <c r="CD88" s="86">
        <v>1.0</v>
      </c>
      <c r="CE88" s="73"/>
      <c r="CF88" s="73"/>
      <c r="CG88" s="73"/>
      <c r="CH88" s="73"/>
    </row>
    <row r="89">
      <c r="A89" s="123" t="str">
        <f>IFERROR(__xludf.DUMMYFUNCTION("""COMPUTED_VALUE"""),"https://drive.google.com/open?id=1SBLkVNmqnX4OYK4aJO7joLQzUcHSj3tX&amp;authuser=jay.agg%40gmail.com&amp;usp=drive_fs")</f>
        <v>https://drive.google.com/open?id=1SBLkVNmqnX4OYK4aJO7joLQzUcHSj3tX&amp;authuser=jay.agg%40gmail.com&amp;usp=drive_fs</v>
      </c>
      <c r="B89" s="80" t="str">
        <f>IFERROR(__xludf.DUMMYFUNCTION("""COMPUTED_VALUE"""),"Food")</f>
        <v>Food</v>
      </c>
      <c r="C89" s="80" t="str">
        <f>IFERROR(__xludf.DUMMYFUNCTION("""COMPUTED_VALUE"""),"Dog Food")</f>
        <v>Dog Food</v>
      </c>
      <c r="D89" s="80" t="str">
        <f>IFERROR(__xludf.DUMMYFUNCTION("""COMPUTED_VALUE"""),"127*15*178 mm | 5*0.6*7 inch")</f>
        <v>127*15*178 mm | 5*0.6*7 inch</v>
      </c>
      <c r="E89" s="124">
        <f>IFERROR(__xludf.DUMMYFUNCTION("""COMPUTED_VALUE"""),4.0)</f>
        <v>4</v>
      </c>
      <c r="F89" s="80">
        <f>IFERROR(__xludf.DUMMYFUNCTION("""COMPUTED_VALUE"""),1926.0)</f>
        <v>1926</v>
      </c>
      <c r="G89" s="80">
        <f>IFERROR(__xludf.DUMMYFUNCTION("""COMPUTED_VALUE"""),18.0)</f>
        <v>18</v>
      </c>
      <c r="H89" s="80">
        <f>IFERROR(__xludf.DUMMYFUNCTION("""COMPUTED_VALUE"""),25.0)</f>
        <v>25</v>
      </c>
      <c r="I89" s="80">
        <f>IFERROR(__xludf.DUMMYFUNCTION("""COMPUTED_VALUE"""),100.0)</f>
        <v>100</v>
      </c>
      <c r="J89" s="109"/>
      <c r="K89" s="109"/>
      <c r="L89" s="109"/>
      <c r="M89" s="109">
        <f>IFERROR(__xludf.DUMMYFUNCTION("""COMPUTED_VALUE"""),0.1)</f>
        <v>0.1</v>
      </c>
      <c r="N89" s="109">
        <f>IFERROR(__xludf.DUMMYFUNCTION("""COMPUTED_VALUE"""),1.0)</f>
        <v>1</v>
      </c>
      <c r="O89" s="109"/>
      <c r="P89" s="109" t="str">
        <f>IFERROR(__xludf.DUMMYFUNCTION("""COMPUTED_VALUE"""),"Offset")</f>
        <v>Offset</v>
      </c>
      <c r="Q89" s="109" t="str">
        <f>IFERROR(__xludf.DUMMYFUNCTION("""COMPUTED_VALUE"""),"Packaging")</f>
        <v>Packaging</v>
      </c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15"/>
      <c r="AK89" s="80"/>
      <c r="AL89" s="80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</row>
    <row r="90">
      <c r="A90" s="123" t="str">
        <f>IFERROR(__xludf.DUMMYFUNCTION("""COMPUTED_VALUE"""),"https://drive.google.com/open?id=1bZ1xCuANVfYF3FIC18rTJsMQhSFLnJNm&amp;authuser=jay.agg%40gmail.com&amp;usp=drive_fs")</f>
        <v>https://drive.google.com/open?id=1bZ1xCuANVfYF3FIC18rTJsMQhSFLnJNm&amp;authuser=jay.agg%40gmail.com&amp;usp=drive_fs</v>
      </c>
      <c r="B90" s="80" t="str">
        <f>IFERROR(__xludf.DUMMYFUNCTION("""COMPUTED_VALUE"""),"Food")</f>
        <v>Food</v>
      </c>
      <c r="C90" s="80" t="str">
        <f>IFERROR(__xludf.DUMMYFUNCTION("""COMPUTED_VALUE"""),"Chocolate")</f>
        <v>Chocolate</v>
      </c>
      <c r="D90" s="80" t="str">
        <f>IFERROR(__xludf.DUMMYFUNCTION("""COMPUTED_VALUE"""),"45*13*45 mm | 1.75*0.5*1.75 inch")</f>
        <v>45*13*45 mm | 1.75*0.5*1.75 inch</v>
      </c>
      <c r="E90" s="124">
        <f>IFERROR(__xludf.DUMMYFUNCTION("""COMPUTED_VALUE"""),20.0)</f>
        <v>20</v>
      </c>
      <c r="F90" s="80">
        <f>IFERROR(__xludf.DUMMYFUNCTION("""COMPUTED_VALUE"""),1926.0)</f>
        <v>1926</v>
      </c>
      <c r="G90" s="80">
        <f>IFERROR(__xludf.DUMMYFUNCTION("""COMPUTED_VALUE"""),15.75)</f>
        <v>15.75</v>
      </c>
      <c r="H90" s="80">
        <f>IFERROR(__xludf.DUMMYFUNCTION("""COMPUTED_VALUE"""),20.75)</f>
        <v>20.75</v>
      </c>
      <c r="I90" s="80">
        <f>IFERROR(__xludf.DUMMYFUNCTION("""COMPUTED_VALUE"""),100.0)</f>
        <v>100</v>
      </c>
      <c r="J90" s="109"/>
      <c r="K90" s="109"/>
      <c r="L90" s="109"/>
      <c r="M90" s="109">
        <f>IFERROR(__xludf.DUMMYFUNCTION("""COMPUTED_VALUE"""),0.1)</f>
        <v>0.1</v>
      </c>
      <c r="N90" s="109">
        <f>IFERROR(__xludf.DUMMYFUNCTION("""COMPUTED_VALUE"""),1.0)</f>
        <v>1</v>
      </c>
      <c r="O90" s="109"/>
      <c r="P90" s="109" t="str">
        <f>IFERROR(__xludf.DUMMYFUNCTION("""COMPUTED_VALUE"""),"Offset")</f>
        <v>Offset</v>
      </c>
      <c r="Q90" s="109" t="str">
        <f>IFERROR(__xludf.DUMMYFUNCTION("""COMPUTED_VALUE"""),"Packaging")</f>
        <v>Packaging</v>
      </c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15"/>
      <c r="AK90" s="80"/>
      <c r="AL90" s="80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80" t="str">
        <f>Quotation!B31</f>
        <v>Custom Paper</v>
      </c>
      <c r="CE90" s="73"/>
      <c r="CF90" s="73"/>
      <c r="CG90" s="73"/>
      <c r="CH90" s="73"/>
    </row>
    <row r="91">
      <c r="A91" s="123" t="str">
        <f>IFERROR(__xludf.DUMMYFUNCTION("""COMPUTED_VALUE"""),"https://drive.google.com/open?id=1bcZpGfPoMXDPTbSxzxMxjn7Rxt7adn7l&amp;authuser=jay.agg%40gmail.com&amp;usp=drive_fs")</f>
        <v>https://drive.google.com/open?id=1bcZpGfPoMXDPTbSxzxMxjn7Rxt7adn7l&amp;authuser=jay.agg%40gmail.com&amp;usp=drive_fs</v>
      </c>
      <c r="B91" s="80" t="str">
        <f>IFERROR(__xludf.DUMMYFUNCTION("""COMPUTED_VALUE"""),"Food")</f>
        <v>Food</v>
      </c>
      <c r="C91" s="80" t="str">
        <f>IFERROR(__xludf.DUMMYFUNCTION("""COMPUTED_VALUE"""),"Chocolate")</f>
        <v>Chocolate</v>
      </c>
      <c r="D91" s="80" t="str">
        <f>IFERROR(__xludf.DUMMYFUNCTION("""COMPUTED_VALUE"""),"46*19*46 mm | 1.8*0.75*1.8 inch")</f>
        <v>46*19*46 mm | 1.8*0.75*1.8 inch</v>
      </c>
      <c r="E91" s="124">
        <f>IFERROR(__xludf.DUMMYFUNCTION("""COMPUTED_VALUE"""),20.0)</f>
        <v>20</v>
      </c>
      <c r="F91" s="80">
        <f>IFERROR(__xludf.DUMMYFUNCTION("""COMPUTED_VALUE"""),1926.0)</f>
        <v>1926</v>
      </c>
      <c r="G91" s="80">
        <f>IFERROR(__xludf.DUMMYFUNCTION("""COMPUTED_VALUE"""),18.0)</f>
        <v>18</v>
      </c>
      <c r="H91" s="80">
        <f>IFERROR(__xludf.DUMMYFUNCTION("""COMPUTED_VALUE"""),23.0)</f>
        <v>23</v>
      </c>
      <c r="I91" s="80">
        <f>IFERROR(__xludf.DUMMYFUNCTION("""COMPUTED_VALUE"""),100.0)</f>
        <v>100</v>
      </c>
      <c r="J91" s="109"/>
      <c r="K91" s="109"/>
      <c r="L91" s="109"/>
      <c r="M91" s="109">
        <f>IFERROR(__xludf.DUMMYFUNCTION("""COMPUTED_VALUE"""),0.1)</f>
        <v>0.1</v>
      </c>
      <c r="N91" s="109">
        <f>IFERROR(__xludf.DUMMYFUNCTION("""COMPUTED_VALUE"""),1.0)</f>
        <v>1</v>
      </c>
      <c r="O91" s="109"/>
      <c r="P91" s="109" t="str">
        <f>IFERROR(__xludf.DUMMYFUNCTION("""COMPUTED_VALUE"""),"Offset")</f>
        <v>Offset</v>
      </c>
      <c r="Q91" s="109" t="str">
        <f>IFERROR(__xludf.DUMMYFUNCTION("""COMPUTED_VALUE"""),"Packaging")</f>
        <v>Packaging</v>
      </c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15"/>
      <c r="AK91" s="80"/>
      <c r="AL91" s="80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88" t="s">
        <v>213</v>
      </c>
      <c r="BX91" s="86">
        <v>1.0</v>
      </c>
      <c r="BY91" s="77">
        <f>MAX(BX91,BX92)</f>
        <v>1</v>
      </c>
      <c r="BZ91" s="73"/>
      <c r="CA91" s="73"/>
      <c r="CB91" s="73"/>
      <c r="CC91" s="73"/>
      <c r="CD91" s="180" t="str">
        <f>IF(CD90="","","and CC = '"&amp;CD90&amp;"'")</f>
        <v>and CC = 'Custom Paper'</v>
      </c>
      <c r="CE91" s="73"/>
      <c r="CF91" s="73"/>
      <c r="CG91" s="73"/>
      <c r="CH91" s="73"/>
    </row>
    <row r="92">
      <c r="A92" s="123" t="str">
        <f>IFERROR(__xludf.DUMMYFUNCTION("""COMPUTED_VALUE"""),"https://drive.google.com/open?id=1TdHmVW8TpujDIJ9hmo96hi9fIYAhzrOL&amp;authuser=jay.agg%40gmail.com&amp;usp=drive_fs")</f>
        <v>https://drive.google.com/open?id=1TdHmVW8TpujDIJ9hmo96hi9fIYAhzrOL&amp;authuser=jay.agg%40gmail.com&amp;usp=drive_fs</v>
      </c>
      <c r="B92" s="80" t="str">
        <f>IFERROR(__xludf.DUMMYFUNCTION("""COMPUTED_VALUE"""),"Food")</f>
        <v>Food</v>
      </c>
      <c r="C92" s="80" t="str">
        <f>IFERROR(__xludf.DUMMYFUNCTION("""COMPUTED_VALUE"""),"Chocolate")</f>
        <v>Chocolate</v>
      </c>
      <c r="D92" s="80" t="str">
        <f>IFERROR(__xludf.DUMMYFUNCTION("""COMPUTED_VALUE"""),"110*33*65 mm | 4.3*1.2*2.4 inch")</f>
        <v>110*33*65 mm | 4.3*1.2*2.4 inch</v>
      </c>
      <c r="E92" s="124">
        <f>IFERROR(__xludf.DUMMYFUNCTION("""COMPUTED_VALUE"""),6.0)</f>
        <v>6</v>
      </c>
      <c r="F92" s="80">
        <f>IFERROR(__xludf.DUMMYFUNCTION("""COMPUTED_VALUE"""),2029.0)</f>
        <v>2029</v>
      </c>
      <c r="G92" s="80">
        <f>IFERROR(__xludf.DUMMYFUNCTION("""COMPUTED_VALUE"""),20.0)</f>
        <v>20</v>
      </c>
      <c r="H92" s="80">
        <f>IFERROR(__xludf.DUMMYFUNCTION("""COMPUTED_VALUE"""),28.0)</f>
        <v>28</v>
      </c>
      <c r="I92" s="80">
        <f>IFERROR(__xludf.DUMMYFUNCTION("""COMPUTED_VALUE"""),100.0)</f>
        <v>100</v>
      </c>
      <c r="J92" s="109"/>
      <c r="K92" s="109"/>
      <c r="L92" s="109"/>
      <c r="M92" s="109">
        <f>IFERROR(__xludf.DUMMYFUNCTION("""COMPUTED_VALUE"""),0.16)</f>
        <v>0.16</v>
      </c>
      <c r="N92" s="109">
        <f>IFERROR(__xludf.DUMMYFUNCTION("""COMPUTED_VALUE"""),1.0)</f>
        <v>1</v>
      </c>
      <c r="O92" s="109"/>
      <c r="P92" s="109" t="str">
        <f>IFERROR(__xludf.DUMMYFUNCTION("""COMPUTED_VALUE"""),"Offset")</f>
        <v>Offset</v>
      </c>
      <c r="Q92" s="109" t="str">
        <f>IFERROR(__xludf.DUMMYFUNCTION("""COMPUTED_VALUE"""),"Packaging")</f>
        <v>Packaging</v>
      </c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15"/>
      <c r="AK92" s="80"/>
      <c r="AL92" s="80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 t="str">
        <f>Quotation!B30</f>
        <v>240*64*160 mm | 9.5*2.5*6.25 inch</v>
      </c>
      <c r="BX92" s="86">
        <v>0.0</v>
      </c>
      <c r="BY92" s="73"/>
      <c r="BZ92" s="73"/>
      <c r="CA92" s="73"/>
      <c r="CB92" s="73"/>
      <c r="CC92" s="73"/>
      <c r="CD92" s="106" t="str">
        <f>CONCATENATE("select * where 1=1",CD91)</f>
        <v>select * where 1=1and CC = 'Custom Paper'</v>
      </c>
      <c r="CE92" s="73"/>
      <c r="CF92" s="73"/>
      <c r="CG92" s="73"/>
      <c r="CH92" s="73"/>
    </row>
    <row r="93">
      <c r="A93" s="123" t="str">
        <f>IFERROR(__xludf.DUMMYFUNCTION("""COMPUTED_VALUE"""),"https://drive.google.com/open?id=1TeYHEy8TxqYIbPsxfxDa3-2Cc7CS_8AY&amp;authuser=jay.agg%40gmail.com&amp;usp=drive_fs")</f>
        <v>https://drive.google.com/open?id=1TeYHEy8TxqYIbPsxfxDa3-2Cc7CS_8AY&amp;authuser=jay.agg%40gmail.com&amp;usp=drive_fs</v>
      </c>
      <c r="B93" s="80" t="str">
        <f>IFERROR(__xludf.DUMMYFUNCTION("""COMPUTED_VALUE"""),"Food")</f>
        <v>Food</v>
      </c>
      <c r="C93" s="80" t="str">
        <f>IFERROR(__xludf.DUMMYFUNCTION("""COMPUTED_VALUE"""),"Chocolate")</f>
        <v>Chocolate</v>
      </c>
      <c r="D93" s="80" t="str">
        <f>IFERROR(__xludf.DUMMYFUNCTION("""COMPUTED_VALUE"""),"230*90*42 mm | 9*3.5*1.6 inch")</f>
        <v>230*90*42 mm | 9*3.5*1.6 inch</v>
      </c>
      <c r="E93" s="124">
        <f>IFERROR(__xludf.DUMMYFUNCTION("""COMPUTED_VALUE"""),2.0)</f>
        <v>2</v>
      </c>
      <c r="F93" s="80">
        <f>IFERROR(__xludf.DUMMYFUNCTION("""COMPUTED_VALUE"""),1926.0)</f>
        <v>1926</v>
      </c>
      <c r="G93" s="80">
        <f>IFERROR(__xludf.DUMMYFUNCTION("""COMPUTED_VALUE"""),18.0)</f>
        <v>18</v>
      </c>
      <c r="H93" s="80">
        <f>IFERROR(__xludf.DUMMYFUNCTION("""COMPUTED_VALUE"""),25.0)</f>
        <v>25</v>
      </c>
      <c r="I93" s="80">
        <f>IFERROR(__xludf.DUMMYFUNCTION("""COMPUTED_VALUE"""),100.0)</f>
        <v>100</v>
      </c>
      <c r="J93" s="109"/>
      <c r="K93" s="109"/>
      <c r="L93" s="109"/>
      <c r="M93" s="109">
        <f>IFERROR(__xludf.DUMMYFUNCTION("""COMPUTED_VALUE"""),0.12)</f>
        <v>0.12</v>
      </c>
      <c r="N93" s="109">
        <f>IFERROR(__xludf.DUMMYFUNCTION("""COMPUTED_VALUE"""),1.0)</f>
        <v>1</v>
      </c>
      <c r="O93" s="109"/>
      <c r="P93" s="109" t="str">
        <f>IFERROR(__xludf.DUMMYFUNCTION("""COMPUTED_VALUE"""),"Offset")</f>
        <v>Offset</v>
      </c>
      <c r="Q93" s="109" t="str">
        <f>IFERROR(__xludf.DUMMYFUNCTION("""COMPUTED_VALUE"""),"Packaging")</f>
        <v>Packaging</v>
      </c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15"/>
      <c r="AK93" s="80"/>
      <c r="AL93" s="80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88" t="s">
        <v>74</v>
      </c>
      <c r="CD93" s="86">
        <v>0.0</v>
      </c>
      <c r="CE93" s="73"/>
      <c r="CF93" s="80" t="str">
        <f>IFERROR(__xludf.DUMMYFUNCTION("QUERY(CC93:CE100,CD92)"),"Custom Paper")</f>
        <v>Custom Paper</v>
      </c>
      <c r="CG93" s="77">
        <f>IFERROR(__xludf.DUMMYFUNCTION("""COMPUTED_VALUE"""),0.0)</f>
        <v>0</v>
      </c>
      <c r="CH93" s="77">
        <f>IFERROR(__xludf.DUMMYFUNCTION("""COMPUTED_VALUE"""),1.0)</f>
        <v>1</v>
      </c>
    </row>
    <row r="94">
      <c r="A94" s="123" t="str">
        <f>IFERROR(__xludf.DUMMYFUNCTION("""COMPUTED_VALUE"""),"https://drive.google.com/open?id=1br_Bmmo5BouaDD0ySdIBxeB0Zho9elM9&amp;authuser=jay.agg%40gmail.com&amp;usp=drive_fs")</f>
        <v>https://drive.google.com/open?id=1br_Bmmo5BouaDD0ySdIBxeB0Zho9elM9&amp;authuser=jay.agg%40gmail.com&amp;usp=drive_fs</v>
      </c>
      <c r="B94" s="80" t="str">
        <f>IFERROR(__xludf.DUMMYFUNCTION("""COMPUTED_VALUE"""),"Food")</f>
        <v>Food</v>
      </c>
      <c r="C94" s="80" t="str">
        <f>IFERROR(__xludf.DUMMYFUNCTION("""COMPUTED_VALUE"""),"Chocolate")</f>
        <v>Chocolate</v>
      </c>
      <c r="D94" s="80" t="str">
        <f>IFERROR(__xludf.DUMMYFUNCTION("""COMPUTED_VALUE"""),"110*45*165 mm | 4.3*1.7*6.5 inch")</f>
        <v>110*45*165 mm | 4.3*1.7*6.5 inch</v>
      </c>
      <c r="E94" s="124">
        <f>IFERROR(__xludf.DUMMYFUNCTION("""COMPUTED_VALUE"""),4.0)</f>
        <v>4</v>
      </c>
      <c r="F94" s="80">
        <f>IFERROR(__xludf.DUMMYFUNCTION("""COMPUTED_VALUE"""),2029.0)</f>
        <v>2029</v>
      </c>
      <c r="G94" s="80">
        <f>IFERROR(__xludf.DUMMYFUNCTION("""COMPUTED_VALUE"""),20.0)</f>
        <v>20</v>
      </c>
      <c r="H94" s="80">
        <f>IFERROR(__xludf.DUMMYFUNCTION("""COMPUTED_VALUE"""),28.0)</f>
        <v>28</v>
      </c>
      <c r="I94" s="80">
        <f>IFERROR(__xludf.DUMMYFUNCTION("""COMPUTED_VALUE"""),100.0)</f>
        <v>100</v>
      </c>
      <c r="J94" s="109"/>
      <c r="K94" s="109"/>
      <c r="L94" s="109"/>
      <c r="M94" s="109">
        <f>IFERROR(__xludf.DUMMYFUNCTION("""COMPUTED_VALUE"""),0.1)</f>
        <v>0.1</v>
      </c>
      <c r="N94" s="109">
        <f>IFERROR(__xludf.DUMMYFUNCTION("""COMPUTED_VALUE"""),1.0)</f>
        <v>1</v>
      </c>
      <c r="O94" s="109"/>
      <c r="P94" s="109" t="str">
        <f>IFERROR(__xludf.DUMMYFUNCTION("""COMPUTED_VALUE"""),"Offset")</f>
        <v>Offset</v>
      </c>
      <c r="Q94" s="109" t="str">
        <f>IFERROR(__xludf.DUMMYFUNCTION("""COMPUTED_VALUE"""),"Packaging")</f>
        <v>Packaging</v>
      </c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15"/>
      <c r="AK94" s="80"/>
      <c r="AL94" s="80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182" t="s">
        <v>14</v>
      </c>
      <c r="CD94" s="86">
        <v>1.0</v>
      </c>
      <c r="CE94" s="86">
        <v>0.0</v>
      </c>
      <c r="CF94" s="73"/>
      <c r="CG94" s="73"/>
      <c r="CH94" s="73"/>
    </row>
    <row r="95">
      <c r="A95" s="123" t="str">
        <f>IFERROR(__xludf.DUMMYFUNCTION("""COMPUTED_VALUE"""),"https://drive.google.com/open?id=1btVQf7Al07HEYIVxn9NCb5ooWJnS6fi0&amp;authuser=jay.agg%40gmail.com&amp;usp=drive_fs")</f>
        <v>https://drive.google.com/open?id=1btVQf7Al07HEYIVxn9NCb5ooWJnS6fi0&amp;authuser=jay.agg%40gmail.com&amp;usp=drive_fs</v>
      </c>
      <c r="B95" s="80" t="str">
        <f>IFERROR(__xludf.DUMMYFUNCTION("""COMPUTED_VALUE"""),"Food")</f>
        <v>Food</v>
      </c>
      <c r="C95" s="80" t="str">
        <f>IFERROR(__xludf.DUMMYFUNCTION("""COMPUTED_VALUE"""),"Chocolate")</f>
        <v>Chocolate</v>
      </c>
      <c r="D95" s="80" t="str">
        <f>IFERROR(__xludf.DUMMYFUNCTION("""COMPUTED_VALUE"""),"67*53*190 mm | 2.6*2*7.5 inch")</f>
        <v>67*53*190 mm | 2.6*2*7.5 inch</v>
      </c>
      <c r="E95" s="124">
        <f>IFERROR(__xludf.DUMMYFUNCTION("""COMPUTED_VALUE"""),4.0)</f>
        <v>4</v>
      </c>
      <c r="F95" s="80">
        <f>IFERROR(__xludf.DUMMYFUNCTION("""COMPUTED_VALUE"""),2029.0)</f>
        <v>2029</v>
      </c>
      <c r="G95" s="80">
        <f>IFERROR(__xludf.DUMMYFUNCTION("""COMPUTED_VALUE"""),20.0)</f>
        <v>20</v>
      </c>
      <c r="H95" s="80">
        <f>IFERROR(__xludf.DUMMYFUNCTION("""COMPUTED_VALUE"""),25.0)</f>
        <v>25</v>
      </c>
      <c r="I95" s="80">
        <f>IFERROR(__xludf.DUMMYFUNCTION("""COMPUTED_VALUE"""),100.0)</f>
        <v>100</v>
      </c>
      <c r="J95" s="109"/>
      <c r="K95" s="109"/>
      <c r="L95" s="109"/>
      <c r="M95" s="109">
        <f>IFERROR(__xludf.DUMMYFUNCTION("""COMPUTED_VALUE"""),0.1)</f>
        <v>0.1</v>
      </c>
      <c r="N95" s="109">
        <f>IFERROR(__xludf.DUMMYFUNCTION("""COMPUTED_VALUE"""),1.0)</f>
        <v>1</v>
      </c>
      <c r="O95" s="109"/>
      <c r="P95" s="109" t="str">
        <f>IFERROR(__xludf.DUMMYFUNCTION("""COMPUTED_VALUE"""),"Offset")</f>
        <v>Offset</v>
      </c>
      <c r="Q95" s="109" t="str">
        <f>IFERROR(__xludf.DUMMYFUNCTION("""COMPUTED_VALUE"""),"Packaging")</f>
        <v>Packaging</v>
      </c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15"/>
      <c r="AK95" s="80"/>
      <c r="AL95" s="80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 t="s">
        <v>27</v>
      </c>
      <c r="CD95" s="86">
        <v>1.0</v>
      </c>
      <c r="CE95" s="86">
        <v>0.0</v>
      </c>
      <c r="CF95" s="73"/>
      <c r="CG95" s="73"/>
      <c r="CH95" s="73"/>
    </row>
    <row r="96">
      <c r="A96" s="123" t="str">
        <f>IFERROR(__xludf.DUMMYFUNCTION("""COMPUTED_VALUE"""),"https://drive.google.com/open?id=1bu696xsT3kcj5Rq3y0z5VaE0FRBzU4hJ&amp;authuser=jay.agg%40gmail.com&amp;usp=drive_fs")</f>
        <v>https://drive.google.com/open?id=1bu696xsT3kcj5Rq3y0z5VaE0FRBzU4hJ&amp;authuser=jay.agg%40gmail.com&amp;usp=drive_fs</v>
      </c>
      <c r="B96" s="80" t="str">
        <f>IFERROR(__xludf.DUMMYFUNCTION("""COMPUTED_VALUE"""),"Food")</f>
        <v>Food</v>
      </c>
      <c r="C96" s="80" t="str">
        <f>IFERROR(__xludf.DUMMYFUNCTION("""COMPUTED_VALUE"""),"Chocolate")</f>
        <v>Chocolate</v>
      </c>
      <c r="D96" s="80" t="str">
        <f>IFERROR(__xludf.DUMMYFUNCTION("""COMPUTED_VALUE"""),"100*60*198 mm | 3.9*2.4*7.8 inch")</f>
        <v>100*60*198 mm | 3.9*2.4*7.8 inch</v>
      </c>
      <c r="E96" s="124">
        <f>IFERROR(__xludf.DUMMYFUNCTION("""COMPUTED_VALUE"""),2.0)</f>
        <v>2</v>
      </c>
      <c r="F96" s="80">
        <f>IFERROR(__xludf.DUMMYFUNCTION("""COMPUTED_VALUE"""),1926.0)</f>
        <v>1926</v>
      </c>
      <c r="G96" s="80">
        <f>IFERROR(__xludf.DUMMYFUNCTION("""COMPUTED_VALUE"""),15.0)</f>
        <v>15</v>
      </c>
      <c r="H96" s="80">
        <f>IFERROR(__xludf.DUMMYFUNCTION("""COMPUTED_VALUE"""),25.0)</f>
        <v>25</v>
      </c>
      <c r="I96" s="80">
        <f>IFERROR(__xludf.DUMMYFUNCTION("""COMPUTED_VALUE"""),100.0)</f>
        <v>100</v>
      </c>
      <c r="J96" s="109"/>
      <c r="K96" s="109"/>
      <c r="L96" s="109"/>
      <c r="M96" s="109">
        <f>IFERROR(__xludf.DUMMYFUNCTION("""COMPUTED_VALUE"""),0.1)</f>
        <v>0.1</v>
      </c>
      <c r="N96" s="109">
        <f>IFERROR(__xludf.DUMMYFUNCTION("""COMPUTED_VALUE"""),1.0)</f>
        <v>1</v>
      </c>
      <c r="O96" s="109"/>
      <c r="P96" s="109" t="str">
        <f>IFERROR(__xludf.DUMMYFUNCTION("""COMPUTED_VALUE"""),"Offset")</f>
        <v>Offset</v>
      </c>
      <c r="Q96" s="109" t="str">
        <f>IFERROR(__xludf.DUMMYFUNCTION("""COMPUTED_VALUE"""),"Packaging")</f>
        <v>Packaging</v>
      </c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15"/>
      <c r="AK96" s="80"/>
      <c r="AL96" s="80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118" t="s">
        <v>28</v>
      </c>
      <c r="CD96" s="86">
        <v>1.0</v>
      </c>
      <c r="CE96" s="86">
        <v>0.0</v>
      </c>
      <c r="CF96" s="73"/>
      <c r="CG96" s="73"/>
      <c r="CH96" s="73"/>
    </row>
    <row r="97">
      <c r="A97" s="123" t="str">
        <f>IFERROR(__xludf.DUMMYFUNCTION("""COMPUTED_VALUE"""),"https://drive.google.com/open?id=1cQZ1nLDZbcrBAbbuejJB5gYu4UDh2ip4&amp;authuser=jay.agg%40gmail.com&amp;usp=drive_fs")</f>
        <v>https://drive.google.com/open?id=1cQZ1nLDZbcrBAbbuejJB5gYu4UDh2ip4&amp;authuser=jay.agg%40gmail.com&amp;usp=drive_fs</v>
      </c>
      <c r="B97" s="80" t="str">
        <f>IFERROR(__xludf.DUMMYFUNCTION("""COMPUTED_VALUE"""),"Food")</f>
        <v>Food</v>
      </c>
      <c r="C97" s="80" t="str">
        <f>IFERROR(__xludf.DUMMYFUNCTION("""COMPUTED_VALUE"""),"Pop Corn")</f>
        <v>Pop Corn</v>
      </c>
      <c r="D97" s="80" t="str">
        <f>IFERROR(__xludf.DUMMYFUNCTION("""COMPUTED_VALUE"""),"90*90*200 mm | 3.5*3.5*7.8 inch IL")</f>
        <v>90*90*200 mm | 3.5*3.5*7.8 inch IL</v>
      </c>
      <c r="E97" s="124">
        <f>IFERROR(__xludf.DUMMYFUNCTION("""COMPUTED_VALUE"""),2.0)</f>
        <v>2</v>
      </c>
      <c r="F97" s="80">
        <f>IFERROR(__xludf.DUMMYFUNCTION("""COMPUTED_VALUE"""),1926.0)</f>
        <v>1926</v>
      </c>
      <c r="G97" s="80">
        <f>IFERROR(__xludf.DUMMYFUNCTION("""COMPUTED_VALUE"""),18.0)</f>
        <v>18</v>
      </c>
      <c r="H97" s="80">
        <f>IFERROR(__xludf.DUMMYFUNCTION("""COMPUTED_VALUE"""),23.0)</f>
        <v>23</v>
      </c>
      <c r="I97" s="80">
        <f>IFERROR(__xludf.DUMMYFUNCTION("""COMPUTED_VALUE"""),100.0)</f>
        <v>100</v>
      </c>
      <c r="J97" s="109"/>
      <c r="K97" s="109"/>
      <c r="L97" s="109"/>
      <c r="M97" s="109">
        <f>IFERROR(__xludf.DUMMYFUNCTION("""COMPUTED_VALUE"""),0.23)</f>
        <v>0.23</v>
      </c>
      <c r="N97" s="109">
        <f>IFERROR(__xludf.DUMMYFUNCTION("""COMPUTED_VALUE"""),1.0)</f>
        <v>1</v>
      </c>
      <c r="O97" s="109"/>
      <c r="P97" s="109" t="str">
        <f>IFERROR(__xludf.DUMMYFUNCTION("""COMPUTED_VALUE"""),"Offset")</f>
        <v>Offset</v>
      </c>
      <c r="Q97" s="109" t="str">
        <f>IFERROR(__xludf.DUMMYFUNCTION("""COMPUTED_VALUE"""),"Packaging")</f>
        <v>Packaging</v>
      </c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15"/>
      <c r="AK97" s="80"/>
      <c r="AL97" s="80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113" t="s">
        <v>31</v>
      </c>
      <c r="CD97" s="86">
        <v>0.0</v>
      </c>
      <c r="CE97" s="86">
        <v>1.0</v>
      </c>
      <c r="CF97" s="73"/>
      <c r="CG97" s="73"/>
      <c r="CH97" s="73"/>
    </row>
    <row r="98">
      <c r="A98" s="123" t="str">
        <f>IFERROR(__xludf.DUMMYFUNCTION("""COMPUTED_VALUE"""),"https://drive.google.com/open?id=1cU17WcKhUy0IEwwgaJbbKg6a20l_eH8x&amp;authuser=jay.agg%40gmail.com&amp;usp=drive_fs")</f>
        <v>https://drive.google.com/open?id=1cU17WcKhUy0IEwwgaJbbKg6a20l_eH8x&amp;authuser=jay.agg%40gmail.com&amp;usp=drive_fs</v>
      </c>
      <c r="B98" s="80" t="str">
        <f>IFERROR(__xludf.DUMMYFUNCTION("""COMPUTED_VALUE"""),"Food")</f>
        <v>Food</v>
      </c>
      <c r="C98" s="80" t="str">
        <f>IFERROR(__xludf.DUMMYFUNCTION("""COMPUTED_VALUE"""),"Burger Box")</f>
        <v>Burger Box</v>
      </c>
      <c r="D98" s="80" t="str">
        <f>IFERROR(__xludf.DUMMYFUNCTION("""COMPUTED_VALUE"""),"105*105*48 mm 4*4*2 inch")</f>
        <v>105*105*48 mm 4*4*2 inch</v>
      </c>
      <c r="E98" s="124">
        <f>IFERROR(__xludf.DUMMYFUNCTION("""COMPUTED_VALUE"""),3.0)</f>
        <v>3</v>
      </c>
      <c r="F98" s="80">
        <f>IFERROR(__xludf.DUMMYFUNCTION("""COMPUTED_VALUE"""),1926.0)</f>
        <v>1926</v>
      </c>
      <c r="G98" s="80">
        <f>IFERROR(__xludf.DUMMYFUNCTION("""COMPUTED_VALUE"""),19.0)</f>
        <v>19</v>
      </c>
      <c r="H98" s="80">
        <f>IFERROR(__xludf.DUMMYFUNCTION("""COMPUTED_VALUE"""),26.0)</f>
        <v>26</v>
      </c>
      <c r="I98" s="80">
        <f>IFERROR(__xludf.DUMMYFUNCTION("""COMPUTED_VALUE"""),100.0)</f>
        <v>100</v>
      </c>
      <c r="J98" s="109"/>
      <c r="K98" s="109"/>
      <c r="L98" s="109"/>
      <c r="M98" s="109">
        <f>IFERROR(__xludf.DUMMYFUNCTION("""COMPUTED_VALUE"""),1.0)</f>
        <v>1</v>
      </c>
      <c r="N98" s="109">
        <f>IFERROR(__xludf.DUMMYFUNCTION("""COMPUTED_VALUE"""),1.0)</f>
        <v>1</v>
      </c>
      <c r="O98" s="109"/>
      <c r="P98" s="109" t="str">
        <f>IFERROR(__xludf.DUMMYFUNCTION("""COMPUTED_VALUE"""),"Offset")</f>
        <v>Offset</v>
      </c>
      <c r="Q98" s="109" t="str">
        <f>IFERROR(__xludf.DUMMYFUNCTION("""COMPUTED_VALUE"""),"Packaging")</f>
        <v>Packaging</v>
      </c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15"/>
      <c r="AK98" s="80"/>
      <c r="AL98" s="80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118" t="s">
        <v>15</v>
      </c>
      <c r="CD98" s="86">
        <v>1.0</v>
      </c>
      <c r="CE98" s="86">
        <v>0.0</v>
      </c>
      <c r="CF98" s="73"/>
      <c r="CG98" s="73"/>
      <c r="CH98" s="73"/>
    </row>
    <row r="99">
      <c r="A99" s="123" t="str">
        <f>IFERROR(__xludf.DUMMYFUNCTION("""COMPUTED_VALUE"""),"https://drive.google.com/open?id=1cVGC95lD8FILuv7GIGTUPf3N-ZfRx8MG&amp;authuser=jay.agg%40gmail.com&amp;usp=drive_fs")</f>
        <v>https://drive.google.com/open?id=1cVGC95lD8FILuv7GIGTUPf3N-ZfRx8MG&amp;authuser=jay.agg%40gmail.com&amp;usp=drive_fs</v>
      </c>
      <c r="B99" s="80" t="str">
        <f>IFERROR(__xludf.DUMMYFUNCTION("""COMPUTED_VALUE"""),"Food")</f>
        <v>Food</v>
      </c>
      <c r="C99" s="80" t="str">
        <f>IFERROR(__xludf.DUMMYFUNCTION("""COMPUTED_VALUE"""),"Burger Box")</f>
        <v>Burger Box</v>
      </c>
      <c r="D99" s="80" t="str">
        <f>IFERROR(__xludf.DUMMYFUNCTION("""COMPUTED_VALUE"""),"81*81*24 mm | 3.2*3.2*0.8 inch")</f>
        <v>81*81*24 mm | 3.2*3.2*0.8 inch</v>
      </c>
      <c r="E99" s="124">
        <f>IFERROR(__xludf.DUMMYFUNCTION("""COMPUTED_VALUE"""),6.0)</f>
        <v>6</v>
      </c>
      <c r="F99" s="80">
        <f>IFERROR(__xludf.DUMMYFUNCTION("""COMPUTED_VALUE"""),1926.0)</f>
        <v>1926</v>
      </c>
      <c r="G99" s="80">
        <f>IFERROR(__xludf.DUMMYFUNCTION("""COMPUTED_VALUE"""),18.0)</f>
        <v>18</v>
      </c>
      <c r="H99" s="80">
        <f>IFERROR(__xludf.DUMMYFUNCTION("""COMPUTED_VALUE"""),21.0)</f>
        <v>21</v>
      </c>
      <c r="I99" s="80">
        <f>IFERROR(__xludf.DUMMYFUNCTION("""COMPUTED_VALUE"""),100.0)</f>
        <v>100</v>
      </c>
      <c r="J99" s="109"/>
      <c r="K99" s="109"/>
      <c r="L99" s="109"/>
      <c r="M99" s="109">
        <f>IFERROR(__xludf.DUMMYFUNCTION("""COMPUTED_VALUE"""),1.0)</f>
        <v>1</v>
      </c>
      <c r="N99" s="109">
        <f>IFERROR(__xludf.DUMMYFUNCTION("""COMPUTED_VALUE"""),1.0)</f>
        <v>1</v>
      </c>
      <c r="O99" s="109"/>
      <c r="P99" s="109" t="str">
        <f>IFERROR(__xludf.DUMMYFUNCTION("""COMPUTED_VALUE"""),"Offset")</f>
        <v>Offset</v>
      </c>
      <c r="Q99" s="109" t="str">
        <f>IFERROR(__xludf.DUMMYFUNCTION("""COMPUTED_VALUE"""),"Packaging")</f>
        <v>Packaging</v>
      </c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15"/>
      <c r="AK99" s="80"/>
      <c r="AL99" s="80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182" t="s">
        <v>30</v>
      </c>
      <c r="CD99" s="86">
        <v>1.0</v>
      </c>
      <c r="CE99" s="86">
        <v>0.0</v>
      </c>
      <c r="CF99" s="73"/>
      <c r="CG99" s="73"/>
      <c r="CH99" s="73"/>
    </row>
    <row r="100">
      <c r="A100" s="123" t="str">
        <f>IFERROR(__xludf.DUMMYFUNCTION("""COMPUTED_VALUE"""),"https://drive.google.com/open?id=1c_uTwy3Lwk3r1OGpaY2ETWXZ6pjESZx3&amp;authuser=jay.agg%40gmail.com&amp;usp=drive_fs")</f>
        <v>https://drive.google.com/open?id=1c_uTwy3Lwk3r1OGpaY2ETWXZ6pjESZx3&amp;authuser=jay.agg%40gmail.com&amp;usp=drive_fs</v>
      </c>
      <c r="B100" s="80" t="str">
        <f>IFERROR(__xludf.DUMMYFUNCTION("""COMPUTED_VALUE"""),"Food")</f>
        <v>Food</v>
      </c>
      <c r="C100" s="80" t="str">
        <f>IFERROR(__xludf.DUMMYFUNCTION("""COMPUTED_VALUE"""),"Momo Box")</f>
        <v>Momo Box</v>
      </c>
      <c r="D100" s="80" t="str">
        <f>IFERROR(__xludf.DUMMYFUNCTION("""COMPUTED_VALUE"""),"150*90*35 mm | 5.9*3.5*1.4 inch")</f>
        <v>150*90*35 mm | 5.9*3.5*1.4 inch</v>
      </c>
      <c r="E100" s="124">
        <f>IFERROR(__xludf.DUMMYFUNCTION("""COMPUTED_VALUE"""),4.0)</f>
        <v>4</v>
      </c>
      <c r="F100" s="80">
        <f>IFERROR(__xludf.DUMMYFUNCTION("""COMPUTED_VALUE"""),2029.0)</f>
        <v>2029</v>
      </c>
      <c r="G100" s="80">
        <f>IFERROR(__xludf.DUMMYFUNCTION("""COMPUTED_VALUE"""),19.5)</f>
        <v>19.5</v>
      </c>
      <c r="H100" s="80">
        <f>IFERROR(__xludf.DUMMYFUNCTION("""COMPUTED_VALUE"""),23.0)</f>
        <v>23</v>
      </c>
      <c r="I100" s="80">
        <f>IFERROR(__xludf.DUMMYFUNCTION("""COMPUTED_VALUE"""),100.0)</f>
        <v>100</v>
      </c>
      <c r="J100" s="109"/>
      <c r="K100" s="109"/>
      <c r="L100" s="109"/>
      <c r="M100" s="109">
        <f>IFERROR(__xludf.DUMMYFUNCTION("""COMPUTED_VALUE"""),1.0)</f>
        <v>1</v>
      </c>
      <c r="N100" s="109">
        <f>IFERROR(__xludf.DUMMYFUNCTION("""COMPUTED_VALUE"""),1.0)</f>
        <v>1</v>
      </c>
      <c r="O100" s="109"/>
      <c r="P100" s="109" t="str">
        <f>IFERROR(__xludf.DUMMYFUNCTION("""COMPUTED_VALUE"""),"Offset")</f>
        <v>Offset</v>
      </c>
      <c r="Q100" s="109" t="str">
        <f>IFERROR(__xludf.DUMMYFUNCTION("""COMPUTED_VALUE"""),"Packaging")</f>
        <v>Packaging</v>
      </c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15"/>
      <c r="AK100" s="80"/>
      <c r="AL100" s="80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 t="s">
        <v>29</v>
      </c>
      <c r="CD100" s="86">
        <v>1.0</v>
      </c>
      <c r="CE100" s="86">
        <v>0.0</v>
      </c>
      <c r="CF100" s="73"/>
      <c r="CG100" s="73"/>
      <c r="CH100" s="73"/>
    </row>
    <row r="101">
      <c r="A101" s="123" t="str">
        <f>IFERROR(__xludf.DUMMYFUNCTION("""COMPUTED_VALUE"""),"https://drive.google.com/open?id=1cgh9z4ORVO42yzGP_A6xeqwU5VG2yogo&amp;authuser=jay.agg%40gmail.com&amp;usp=drive_fs")</f>
        <v>https://drive.google.com/open?id=1cgh9z4ORVO42yzGP_A6xeqwU5VG2yogo&amp;authuser=jay.agg%40gmail.com&amp;usp=drive_fs</v>
      </c>
      <c r="B101" s="80" t="str">
        <f>IFERROR(__xludf.DUMMYFUNCTION("""COMPUTED_VALUE"""),"Food")</f>
        <v>Food</v>
      </c>
      <c r="C101" s="80" t="str">
        <f>IFERROR(__xludf.DUMMYFUNCTION("""COMPUTED_VALUE"""),"Fries")</f>
        <v>Fries</v>
      </c>
      <c r="D101" s="80" t="str">
        <f>IFERROR(__xludf.DUMMYFUNCTION("""COMPUTED_VALUE"""),"75*100 mm | 3*3.5 inch")</f>
        <v>75*100 mm | 3*3.5 inch</v>
      </c>
      <c r="E101" s="124">
        <f>IFERROR(__xludf.DUMMYFUNCTION("""COMPUTED_VALUE"""),6.0)</f>
        <v>6</v>
      </c>
      <c r="F101" s="80">
        <f>IFERROR(__xludf.DUMMYFUNCTION("""COMPUTED_VALUE"""),2029.0)</f>
        <v>2029</v>
      </c>
      <c r="G101" s="80">
        <f>IFERROR(__xludf.DUMMYFUNCTION("""COMPUTED_VALUE"""),19.5)</f>
        <v>19.5</v>
      </c>
      <c r="H101" s="80">
        <f>IFERROR(__xludf.DUMMYFUNCTION("""COMPUTED_VALUE"""),23.0)</f>
        <v>23</v>
      </c>
      <c r="I101" s="80">
        <f>IFERROR(__xludf.DUMMYFUNCTION("""COMPUTED_VALUE"""),100.0)</f>
        <v>100</v>
      </c>
      <c r="J101" s="109"/>
      <c r="K101" s="109"/>
      <c r="L101" s="109"/>
      <c r="M101" s="109">
        <f>IFERROR(__xludf.DUMMYFUNCTION("""COMPUTED_VALUE"""),0.2)</f>
        <v>0.2</v>
      </c>
      <c r="N101" s="109">
        <f>IFERROR(__xludf.DUMMYFUNCTION("""COMPUTED_VALUE"""),1.0)</f>
        <v>1</v>
      </c>
      <c r="O101" s="109"/>
      <c r="P101" s="109" t="str">
        <f>IFERROR(__xludf.DUMMYFUNCTION("""COMPUTED_VALUE"""),"Offset")</f>
        <v>Offset</v>
      </c>
      <c r="Q101" s="109" t="str">
        <f>IFERROR(__xludf.DUMMYFUNCTION("""COMPUTED_VALUE"""),"Packaging")</f>
        <v>Packaging</v>
      </c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15"/>
      <c r="AK101" s="80"/>
      <c r="AL101" s="80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113"/>
      <c r="CD101" s="73"/>
      <c r="CE101" s="73"/>
      <c r="CF101" s="73"/>
      <c r="CG101" s="73"/>
      <c r="CH101" s="73"/>
    </row>
    <row r="102">
      <c r="A102" s="123" t="str">
        <f>IFERROR(__xludf.DUMMYFUNCTION("""COMPUTED_VALUE"""),"https://drive.google.com/open?id=1cheXIZj8gZYGfo0JH9ikCDkEiWzD2B8d&amp;authuser=jay.agg%40gmail.com&amp;usp=drive_fs")</f>
        <v>https://drive.google.com/open?id=1cheXIZj8gZYGfo0JH9ikCDkEiWzD2B8d&amp;authuser=jay.agg%40gmail.com&amp;usp=drive_fs</v>
      </c>
      <c r="B102" s="80" t="str">
        <f>IFERROR(__xludf.DUMMYFUNCTION("""COMPUTED_VALUE"""),"Food")</f>
        <v>Food</v>
      </c>
      <c r="C102" s="80" t="str">
        <f>IFERROR(__xludf.DUMMYFUNCTION("""COMPUTED_VALUE"""),"Pop Corn")</f>
        <v>Pop Corn</v>
      </c>
      <c r="D102" s="80" t="str">
        <f>IFERROR(__xludf.DUMMYFUNCTION("""COMPUTED_VALUE"""),"80*90*130 mm | 3.15*3.5*5.2 inch")</f>
        <v>80*90*130 mm | 3.15*3.5*5.2 inch</v>
      </c>
      <c r="E102" s="124">
        <f>IFERROR(__xludf.DUMMYFUNCTION("""COMPUTED_VALUE"""),4.0)</f>
        <v>4</v>
      </c>
      <c r="F102" s="80">
        <f>IFERROR(__xludf.DUMMYFUNCTION("""COMPUTED_VALUE"""),1926.0)</f>
        <v>1926</v>
      </c>
      <c r="G102" s="80">
        <f>IFERROR(__xludf.DUMMYFUNCTION("""COMPUTED_VALUE"""),19.0)</f>
        <v>19</v>
      </c>
      <c r="H102" s="80">
        <f>IFERROR(__xludf.DUMMYFUNCTION("""COMPUTED_VALUE"""),26.0)</f>
        <v>26</v>
      </c>
      <c r="I102" s="80">
        <f>IFERROR(__xludf.DUMMYFUNCTION("""COMPUTED_VALUE"""),100.0)</f>
        <v>100</v>
      </c>
      <c r="J102" s="109"/>
      <c r="K102" s="109"/>
      <c r="L102" s="109"/>
      <c r="M102" s="109">
        <f>IFERROR(__xludf.DUMMYFUNCTION("""COMPUTED_VALUE"""),0.23)</f>
        <v>0.23</v>
      </c>
      <c r="N102" s="109">
        <f>IFERROR(__xludf.DUMMYFUNCTION("""COMPUTED_VALUE"""),1.0)</f>
        <v>1</v>
      </c>
      <c r="O102" s="109"/>
      <c r="P102" s="109" t="str">
        <f>IFERROR(__xludf.DUMMYFUNCTION("""COMPUTED_VALUE"""),"Offset")</f>
        <v>Offset</v>
      </c>
      <c r="Q102" s="109" t="str">
        <f>IFERROR(__xludf.DUMMYFUNCTION("""COMPUTED_VALUE"""),"Packaging")</f>
        <v>Packaging</v>
      </c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15"/>
      <c r="AK102" s="80"/>
      <c r="AL102" s="80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</row>
    <row r="103">
      <c r="A103" s="123" t="str">
        <f>IFERROR(__xludf.DUMMYFUNCTION("""COMPUTED_VALUE"""),"https://drive.google.com/open?id=1coqzoSuTK3JrsByZL_VB8IvNQUgZ51b9&amp;authuser=jay.agg%40gmail.com&amp;usp=drive_fs")</f>
        <v>https://drive.google.com/open?id=1coqzoSuTK3JrsByZL_VB8IvNQUgZ51b9&amp;authuser=jay.agg%40gmail.com&amp;usp=drive_fs</v>
      </c>
      <c r="B103" s="80" t="str">
        <f>IFERROR(__xludf.DUMMYFUNCTION("""COMPUTED_VALUE"""),"Food")</f>
        <v>Food</v>
      </c>
      <c r="C103" s="80" t="str">
        <f>IFERROR(__xludf.DUMMYFUNCTION("""COMPUTED_VALUE"""),"Cookies")</f>
        <v>Cookies</v>
      </c>
      <c r="D103" s="80" t="str">
        <f>IFERROR(__xludf.DUMMYFUNCTION("""COMPUTED_VALUE"""),"160*42*230 mm | 6.3*1.6*9 inch")</f>
        <v>160*42*230 mm | 6.3*1.6*9 inch</v>
      </c>
      <c r="E103" s="124">
        <f>IFERROR(__xludf.DUMMYFUNCTION("""COMPUTED_VALUE"""),2.0)</f>
        <v>2</v>
      </c>
      <c r="F103" s="80">
        <f>IFERROR(__xludf.DUMMYFUNCTION("""COMPUTED_VALUE"""),2029.0)</f>
        <v>2029</v>
      </c>
      <c r="G103" s="80">
        <f>IFERROR(__xludf.DUMMYFUNCTION("""COMPUTED_VALUE"""),19.0)</f>
        <v>19</v>
      </c>
      <c r="H103" s="80">
        <f>IFERROR(__xludf.DUMMYFUNCTION("""COMPUTED_VALUE"""),26.0)</f>
        <v>26</v>
      </c>
      <c r="I103" s="80">
        <f>IFERROR(__xludf.DUMMYFUNCTION("""COMPUTED_VALUE"""),100.0)</f>
        <v>100</v>
      </c>
      <c r="J103" s="109"/>
      <c r="K103" s="109"/>
      <c r="L103" s="109"/>
      <c r="M103" s="109">
        <f>IFERROR(__xludf.DUMMYFUNCTION("""COMPUTED_VALUE"""),0.1)</f>
        <v>0.1</v>
      </c>
      <c r="N103" s="109">
        <f>IFERROR(__xludf.DUMMYFUNCTION("""COMPUTED_VALUE"""),1.0)</f>
        <v>1</v>
      </c>
      <c r="O103" s="109"/>
      <c r="P103" s="109" t="str">
        <f>IFERROR(__xludf.DUMMYFUNCTION("""COMPUTED_VALUE"""),"Offset")</f>
        <v>Offset</v>
      </c>
      <c r="Q103" s="109" t="str">
        <f>IFERROR(__xludf.DUMMYFUNCTION("""COMPUTED_VALUE"""),"Packaging")</f>
        <v>Packaging</v>
      </c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15"/>
      <c r="AK103" s="80"/>
      <c r="AL103" s="80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</row>
    <row r="104">
      <c r="A104" s="123" t="str">
        <f>IFERROR(__xludf.DUMMYFUNCTION("""COMPUTED_VALUE"""),"https://drive.google.com/open?id=1cvpcbF5qwI-PPHoARgSOxhXTkP9Gm6eJ&amp;authuser=jay.agg%40gmail.com&amp;usp=drive_fs")</f>
        <v>https://drive.google.com/open?id=1cvpcbF5qwI-PPHoARgSOxhXTkP9Gm6eJ&amp;authuser=jay.agg%40gmail.com&amp;usp=drive_fs</v>
      </c>
      <c r="B104" s="80" t="str">
        <f>IFERROR(__xludf.DUMMYFUNCTION("""COMPUTED_VALUE"""),"Food")</f>
        <v>Food</v>
      </c>
      <c r="C104" s="80" t="str">
        <f>IFERROR(__xludf.DUMMYFUNCTION("""COMPUTED_VALUE"""),"Cookies")</f>
        <v>Cookies</v>
      </c>
      <c r="D104" s="80" t="str">
        <f>IFERROR(__xludf.DUMMYFUNCTION("""COMPUTED_VALUE"""),"145*64*195 mm | 5.7*2.5*7.6 inch")</f>
        <v>145*64*195 mm | 5.7*2.5*7.6 inch</v>
      </c>
      <c r="E104" s="124">
        <f>IFERROR(__xludf.DUMMYFUNCTION("""COMPUTED_VALUE"""),2.0)</f>
        <v>2</v>
      </c>
      <c r="F104" s="80">
        <f>IFERROR(__xludf.DUMMYFUNCTION("""COMPUTED_VALUE"""),2029.0)</f>
        <v>2029</v>
      </c>
      <c r="G104" s="80">
        <f>IFERROR(__xludf.DUMMYFUNCTION("""COMPUTED_VALUE"""),19.0)</f>
        <v>19</v>
      </c>
      <c r="H104" s="80">
        <f>IFERROR(__xludf.DUMMYFUNCTION("""COMPUTED_VALUE"""),26.0)</f>
        <v>26</v>
      </c>
      <c r="I104" s="80">
        <f>IFERROR(__xludf.DUMMYFUNCTION("""COMPUTED_VALUE"""),100.0)</f>
        <v>100</v>
      </c>
      <c r="J104" s="109"/>
      <c r="K104" s="109"/>
      <c r="L104" s="109"/>
      <c r="M104" s="109">
        <f>IFERROR(__xludf.DUMMYFUNCTION("""COMPUTED_VALUE"""),0.1)</f>
        <v>0.1</v>
      </c>
      <c r="N104" s="109">
        <f>IFERROR(__xludf.DUMMYFUNCTION("""COMPUTED_VALUE"""),1.0)</f>
        <v>1</v>
      </c>
      <c r="O104" s="109"/>
      <c r="P104" s="109" t="str">
        <f>IFERROR(__xludf.DUMMYFUNCTION("""COMPUTED_VALUE"""),"Offset")</f>
        <v>Offset</v>
      </c>
      <c r="Q104" s="109" t="str">
        <f>IFERROR(__xludf.DUMMYFUNCTION("""COMPUTED_VALUE"""),"Packaging")</f>
        <v>Packaging</v>
      </c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15"/>
      <c r="AK104" s="80"/>
      <c r="AL104" s="80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</row>
    <row r="105">
      <c r="A105" s="123" t="str">
        <f>IFERROR(__xludf.DUMMYFUNCTION("""COMPUTED_VALUE"""),"https://drive.google.com/open?id=1cyGTlU0pHNOmNXVGjaNvbDo0aCMS1vZM&amp;authuser=jay.agg%40gmail.com&amp;usp=drive_fs")</f>
        <v>https://drive.google.com/open?id=1cyGTlU0pHNOmNXVGjaNvbDo0aCMS1vZM&amp;authuser=jay.agg%40gmail.com&amp;usp=drive_fs</v>
      </c>
      <c r="B105" s="80" t="str">
        <f>IFERROR(__xludf.DUMMYFUNCTION("""COMPUTED_VALUE"""),"Food")</f>
        <v>Food</v>
      </c>
      <c r="C105" s="80" t="str">
        <f>IFERROR(__xludf.DUMMYFUNCTION("""COMPUTED_VALUE"""),"Boat Tray")</f>
        <v>Boat Tray</v>
      </c>
      <c r="D105" s="80" t="str">
        <f>IFERROR(__xludf.DUMMYFUNCTION("""COMPUTED_VALUE"""),"85*100*40 mm | 3.9*3.3*1.5 inch")</f>
        <v>85*100*40 mm | 3.9*3.3*1.5 inch</v>
      </c>
      <c r="E105" s="124">
        <f>IFERROR(__xludf.DUMMYFUNCTION("""COMPUTED_VALUE"""),6.0)</f>
        <v>6</v>
      </c>
      <c r="F105" s="80">
        <f>IFERROR(__xludf.DUMMYFUNCTION("""COMPUTED_VALUE"""),1926.0)</f>
        <v>1926</v>
      </c>
      <c r="G105" s="80">
        <f>IFERROR(__xludf.DUMMYFUNCTION("""COMPUTED_VALUE"""),15.75)</f>
        <v>15.75</v>
      </c>
      <c r="H105" s="80">
        <f>IFERROR(__xludf.DUMMYFUNCTION("""COMPUTED_VALUE"""),20.75)</f>
        <v>20.75</v>
      </c>
      <c r="I105" s="80">
        <f>IFERROR(__xludf.DUMMYFUNCTION("""COMPUTED_VALUE"""),100.0)</f>
        <v>100</v>
      </c>
      <c r="J105" s="109"/>
      <c r="K105" s="109"/>
      <c r="L105" s="109"/>
      <c r="M105" s="109">
        <f>IFERROR(__xludf.DUMMYFUNCTION("""COMPUTED_VALUE"""),0.4)</f>
        <v>0.4</v>
      </c>
      <c r="N105" s="109">
        <f>IFERROR(__xludf.DUMMYFUNCTION("""COMPUTED_VALUE"""),1.0)</f>
        <v>1</v>
      </c>
      <c r="O105" s="109"/>
      <c r="P105" s="109" t="str">
        <f>IFERROR(__xludf.DUMMYFUNCTION("""COMPUTED_VALUE"""),"Offset")</f>
        <v>Offset</v>
      </c>
      <c r="Q105" s="109" t="str">
        <f>IFERROR(__xludf.DUMMYFUNCTION("""COMPUTED_VALUE"""),"Packaging")</f>
        <v>Packaging</v>
      </c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15"/>
      <c r="AK105" s="80"/>
      <c r="AL105" s="80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</row>
    <row r="106">
      <c r="A106" s="123" t="str">
        <f>IFERROR(__xludf.DUMMYFUNCTION("""COMPUTED_VALUE"""),"https://drive.google.com/open?id=1cyZ_XiAZLhYagFb1bazRwtzuWOf1UXXW&amp;authuser=jay.agg%40gmail.com&amp;usp=drive_fs")</f>
        <v>https://drive.google.com/open?id=1cyZ_XiAZLhYagFb1bazRwtzuWOf1UXXW&amp;authuser=jay.agg%40gmail.com&amp;usp=drive_fs</v>
      </c>
      <c r="B106" s="80" t="str">
        <f>IFERROR(__xludf.DUMMYFUNCTION("""COMPUTED_VALUE"""),"Food")</f>
        <v>Food</v>
      </c>
      <c r="C106" s="80" t="str">
        <f>IFERROR(__xludf.DUMMYFUNCTION("""COMPUTED_VALUE"""),"Boat Tray")</f>
        <v>Boat Tray</v>
      </c>
      <c r="D106" s="80" t="str">
        <f>IFERROR(__xludf.DUMMYFUNCTION("""COMPUTED_VALUE"""),"89*140*50 mm | 5.5*3.5*2 inch")</f>
        <v>89*140*50 mm | 5.5*3.5*2 inch</v>
      </c>
      <c r="E106" s="124">
        <f>IFERROR(__xludf.DUMMYFUNCTION("""COMPUTED_VALUE"""),4.0)</f>
        <v>4</v>
      </c>
      <c r="F106" s="80">
        <f>IFERROR(__xludf.DUMMYFUNCTION("""COMPUTED_VALUE"""),1926.0)</f>
        <v>1926</v>
      </c>
      <c r="G106" s="80">
        <f>IFERROR(__xludf.DUMMYFUNCTION("""COMPUTED_VALUE"""),15.75)</f>
        <v>15.75</v>
      </c>
      <c r="H106" s="80">
        <f>IFERROR(__xludf.DUMMYFUNCTION("""COMPUTED_VALUE"""),20.75)</f>
        <v>20.75</v>
      </c>
      <c r="I106" s="80">
        <f>IFERROR(__xludf.DUMMYFUNCTION("""COMPUTED_VALUE"""),100.0)</f>
        <v>100</v>
      </c>
      <c r="J106" s="109"/>
      <c r="K106" s="109"/>
      <c r="L106" s="109"/>
      <c r="M106" s="109">
        <f>IFERROR(__xludf.DUMMYFUNCTION("""COMPUTED_VALUE"""),0.4)</f>
        <v>0.4</v>
      </c>
      <c r="N106" s="109">
        <f>IFERROR(__xludf.DUMMYFUNCTION("""COMPUTED_VALUE"""),1.0)</f>
        <v>1</v>
      </c>
      <c r="O106" s="109"/>
      <c r="P106" s="109" t="str">
        <f>IFERROR(__xludf.DUMMYFUNCTION("""COMPUTED_VALUE"""),"Offset")</f>
        <v>Offset</v>
      </c>
      <c r="Q106" s="109" t="str">
        <f>IFERROR(__xludf.DUMMYFUNCTION("""COMPUTED_VALUE"""),"Packaging")</f>
        <v>Packaging</v>
      </c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15"/>
      <c r="AK106" s="80"/>
      <c r="AL106" s="80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</row>
    <row r="107">
      <c r="A107" s="123" t="str">
        <f>IFERROR(__xludf.DUMMYFUNCTION("""COMPUTED_VALUE"""),"https://drive.google.com/open?id=1d3eYz3LAr7hLrax7XlafVMCJHT3RpwI2&amp;authuser=jay.agg%40gmail.com&amp;usp=drive_fs")</f>
        <v>https://drive.google.com/open?id=1d3eYz3LAr7hLrax7XlafVMCJHT3RpwI2&amp;authuser=jay.agg%40gmail.com&amp;usp=drive_fs</v>
      </c>
      <c r="B107" s="80" t="str">
        <f>IFERROR(__xludf.DUMMYFUNCTION("""COMPUTED_VALUE"""),"Food")</f>
        <v>Food</v>
      </c>
      <c r="C107" s="80" t="str">
        <f>IFERROR(__xludf.DUMMYFUNCTION("""COMPUTED_VALUE"""),"Meal Box")</f>
        <v>Meal Box</v>
      </c>
      <c r="D107" s="80" t="str">
        <f>IFERROR(__xludf.DUMMYFUNCTION("""COMPUTED_VALUE"""),"208*130*47 mm | 8.2*5.1*1.8 inch")</f>
        <v>208*130*47 mm | 8.2*5.1*1.8 inch</v>
      </c>
      <c r="E107" s="124">
        <f>IFERROR(__xludf.DUMMYFUNCTION("""COMPUTED_VALUE"""),2.0)</f>
        <v>2</v>
      </c>
      <c r="F107" s="80">
        <f>IFERROR(__xludf.DUMMYFUNCTION("""COMPUTED_VALUE"""),1926.0)</f>
        <v>1926</v>
      </c>
      <c r="G107" s="80">
        <f>IFERROR(__xludf.DUMMYFUNCTION("""COMPUTED_VALUE"""),15.0)</f>
        <v>15</v>
      </c>
      <c r="H107" s="80">
        <f>IFERROR(__xludf.DUMMYFUNCTION("""COMPUTED_VALUE"""),25.0)</f>
        <v>25</v>
      </c>
      <c r="I107" s="80">
        <f>IFERROR(__xludf.DUMMYFUNCTION("""COMPUTED_VALUE"""),100.0)</f>
        <v>100</v>
      </c>
      <c r="J107" s="109"/>
      <c r="K107" s="109"/>
      <c r="L107" s="109"/>
      <c r="M107" s="109">
        <f>IFERROR(__xludf.DUMMYFUNCTION("""COMPUTED_VALUE"""),1.0)</f>
        <v>1</v>
      </c>
      <c r="N107" s="109">
        <f>IFERROR(__xludf.DUMMYFUNCTION("""COMPUTED_VALUE"""),1.0)</f>
        <v>1</v>
      </c>
      <c r="O107" s="109"/>
      <c r="P107" s="109" t="str">
        <f>IFERROR(__xludf.DUMMYFUNCTION("""COMPUTED_VALUE"""),"Offset")</f>
        <v>Offset</v>
      </c>
      <c r="Q107" s="109" t="str">
        <f>IFERROR(__xludf.DUMMYFUNCTION("""COMPUTED_VALUE"""),"Packaging")</f>
        <v>Packaging</v>
      </c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15"/>
      <c r="AK107" s="80"/>
      <c r="AL107" s="80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</row>
    <row r="108">
      <c r="A108" s="123" t="str">
        <f>IFERROR(__xludf.DUMMYFUNCTION("""COMPUTED_VALUE"""),"https://drive.google.com/open?id=1dVKLg_YohjAIv0buvuZM9lKt8Z6cwiYQ&amp;authuser=jay.agg%40gmail.com&amp;usp=drive_fs")</f>
        <v>https://drive.google.com/open?id=1dVKLg_YohjAIv0buvuZM9lKt8Z6cwiYQ&amp;authuser=jay.agg%40gmail.com&amp;usp=drive_fs</v>
      </c>
      <c r="B108" s="80" t="str">
        <f>IFERROR(__xludf.DUMMYFUNCTION("""COMPUTED_VALUE"""),"Food")</f>
        <v>Food</v>
      </c>
      <c r="C108" s="80" t="str">
        <f>IFERROR(__xludf.DUMMYFUNCTION("""COMPUTED_VALUE"""),"Chokidhani")</f>
        <v>Chokidhani</v>
      </c>
      <c r="D108" s="80" t="str">
        <f>IFERROR(__xludf.DUMMYFUNCTION("""COMPUTED_VALUE"""),"150*20*190 mm | 5.9*0.8*7.5 inch")</f>
        <v>150*20*190 mm | 5.9*0.8*7.5 inch</v>
      </c>
      <c r="E108" s="124">
        <f>IFERROR(__xludf.DUMMYFUNCTION("""COMPUTED_VALUE"""),4.0)</f>
        <v>4</v>
      </c>
      <c r="F108" s="80">
        <f>IFERROR(__xludf.DUMMYFUNCTION("""COMPUTED_VALUE"""),2029.0)</f>
        <v>2029</v>
      </c>
      <c r="G108" s="80">
        <f>IFERROR(__xludf.DUMMYFUNCTION("""COMPUTED_VALUE"""),20.0)</f>
        <v>20</v>
      </c>
      <c r="H108" s="80">
        <f>IFERROR(__xludf.DUMMYFUNCTION("""COMPUTED_VALUE"""),28.0)</f>
        <v>28</v>
      </c>
      <c r="I108" s="80">
        <f>IFERROR(__xludf.DUMMYFUNCTION("""COMPUTED_VALUE"""),100.0)</f>
        <v>100</v>
      </c>
      <c r="J108" s="109"/>
      <c r="K108" s="109"/>
      <c r="L108" s="109"/>
      <c r="M108" s="109">
        <f>IFERROR(__xludf.DUMMYFUNCTION("""COMPUTED_VALUE"""),0.1)</f>
        <v>0.1</v>
      </c>
      <c r="N108" s="109">
        <f>IFERROR(__xludf.DUMMYFUNCTION("""COMPUTED_VALUE"""),1.0)</f>
        <v>1</v>
      </c>
      <c r="O108" s="109"/>
      <c r="P108" s="109" t="str">
        <f>IFERROR(__xludf.DUMMYFUNCTION("""COMPUTED_VALUE"""),"Offset")</f>
        <v>Offset</v>
      </c>
      <c r="Q108" s="109" t="str">
        <f>IFERROR(__xludf.DUMMYFUNCTION("""COMPUTED_VALUE"""),"Packaging")</f>
        <v>Packaging</v>
      </c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15"/>
      <c r="AK108" s="80"/>
      <c r="AL108" s="80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</row>
    <row r="109">
      <c r="A109" s="123" t="str">
        <f>IFERROR(__xludf.DUMMYFUNCTION("""COMPUTED_VALUE"""),"https://drive.google.com/open?id=1dX3m8TvTFH5qpp5dMUIvG7gQBbLd6vBv&amp;authuser=jay.agg%40gmail.com&amp;usp=drive_fs")</f>
        <v>https://drive.google.com/open?id=1dX3m8TvTFH5qpp5dMUIvG7gQBbLd6vBv&amp;authuser=jay.agg%40gmail.com&amp;usp=drive_fs</v>
      </c>
      <c r="B109" s="80" t="str">
        <f>IFERROR(__xludf.DUMMYFUNCTION("""COMPUTED_VALUE"""),"Food")</f>
        <v>Food</v>
      </c>
      <c r="C109" s="80" t="str">
        <f>IFERROR(__xludf.DUMMYFUNCTION("""COMPUTED_VALUE"""),"Chokidhani")</f>
        <v>Chokidhani</v>
      </c>
      <c r="D109" s="80" t="str">
        <f>IFERROR(__xludf.DUMMYFUNCTION("""COMPUTED_VALUE"""),"150*30*200 mm | 5.9*1.2*7.9 inch")</f>
        <v>150*30*200 mm | 5.9*1.2*7.9 inch</v>
      </c>
      <c r="E109" s="124">
        <f>IFERROR(__xludf.DUMMYFUNCTION("""COMPUTED_VALUE"""),4.0)</f>
        <v>4</v>
      </c>
      <c r="F109" s="80">
        <f>IFERROR(__xludf.DUMMYFUNCTION("""COMPUTED_VALUE"""),2029.0)</f>
        <v>2029</v>
      </c>
      <c r="G109" s="80">
        <f>IFERROR(__xludf.DUMMYFUNCTION("""COMPUTED_VALUE"""),20.75)</f>
        <v>20.75</v>
      </c>
      <c r="H109" s="80">
        <f>IFERROR(__xludf.DUMMYFUNCTION("""COMPUTED_VALUE"""),31.5)</f>
        <v>31.5</v>
      </c>
      <c r="I109" s="80">
        <f>IFERROR(__xludf.DUMMYFUNCTION("""COMPUTED_VALUE"""),100.0)</f>
        <v>100</v>
      </c>
      <c r="J109" s="109"/>
      <c r="K109" s="109"/>
      <c r="L109" s="109"/>
      <c r="M109" s="109">
        <f>IFERROR(__xludf.DUMMYFUNCTION("""COMPUTED_VALUE"""),0.1)</f>
        <v>0.1</v>
      </c>
      <c r="N109" s="109">
        <f>IFERROR(__xludf.DUMMYFUNCTION("""COMPUTED_VALUE"""),1.0)</f>
        <v>1</v>
      </c>
      <c r="O109" s="109"/>
      <c r="P109" s="109" t="str">
        <f>IFERROR(__xludf.DUMMYFUNCTION("""COMPUTED_VALUE"""),"Offset")</f>
        <v>Offset</v>
      </c>
      <c r="Q109" s="109" t="str">
        <f>IFERROR(__xludf.DUMMYFUNCTION("""COMPUTED_VALUE"""),"Packaging")</f>
        <v>Packaging</v>
      </c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15"/>
      <c r="AK109" s="80"/>
      <c r="AL109" s="80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</row>
    <row r="110">
      <c r="A110" s="123" t="str">
        <f>IFERROR(__xludf.DUMMYFUNCTION("""COMPUTED_VALUE"""),"https://drive.google.com/open?id=1dYlC4gKu8fQYz-OomaO_kO_e0KKD_YSt&amp;authuser=jay.agg%40gmail.com&amp;usp=drive_fs")</f>
        <v>https://drive.google.com/open?id=1dYlC4gKu8fQYz-OomaO_kO_e0KKD_YSt&amp;authuser=jay.agg%40gmail.com&amp;usp=drive_fs</v>
      </c>
      <c r="B110" s="80" t="str">
        <f>IFERROR(__xludf.DUMMYFUNCTION("""COMPUTED_VALUE"""),"Food")</f>
        <v>Food</v>
      </c>
      <c r="C110" s="80" t="str">
        <f>IFERROR(__xludf.DUMMYFUNCTION("""COMPUTED_VALUE"""),"Chokidhani")</f>
        <v>Chokidhani</v>
      </c>
      <c r="D110" s="80" t="str">
        <f>IFERROR(__xludf.DUMMYFUNCTION("""COMPUTED_VALUE"""),"140*60*180 mm | 5.5*2.3*7 inch")</f>
        <v>140*60*180 mm | 5.5*2.3*7 inch</v>
      </c>
      <c r="E110" s="124">
        <f>IFERROR(__xludf.DUMMYFUNCTION("""COMPUTED_VALUE"""),2.0)</f>
        <v>2</v>
      </c>
      <c r="F110" s="80">
        <f>IFERROR(__xludf.DUMMYFUNCTION("""COMPUTED_VALUE"""),1926.0)</f>
        <v>1926</v>
      </c>
      <c r="G110" s="80">
        <f>IFERROR(__xludf.DUMMYFUNCTION("""COMPUTED_VALUE"""),18.0)</f>
        <v>18</v>
      </c>
      <c r="H110" s="80">
        <f>IFERROR(__xludf.DUMMYFUNCTION("""COMPUTED_VALUE"""),25.0)</f>
        <v>25</v>
      </c>
      <c r="I110" s="80">
        <f>IFERROR(__xludf.DUMMYFUNCTION("""COMPUTED_VALUE"""),100.0)</f>
        <v>100</v>
      </c>
      <c r="J110" s="109"/>
      <c r="K110" s="109"/>
      <c r="L110" s="109"/>
      <c r="M110" s="109">
        <f>IFERROR(__xludf.DUMMYFUNCTION("""COMPUTED_VALUE"""),0.1)</f>
        <v>0.1</v>
      </c>
      <c r="N110" s="109">
        <f>IFERROR(__xludf.DUMMYFUNCTION("""COMPUTED_VALUE"""),1.0)</f>
        <v>1</v>
      </c>
      <c r="O110" s="109"/>
      <c r="P110" s="109" t="str">
        <f>IFERROR(__xludf.DUMMYFUNCTION("""COMPUTED_VALUE"""),"Offset")</f>
        <v>Offset</v>
      </c>
      <c r="Q110" s="109" t="str">
        <f>IFERROR(__xludf.DUMMYFUNCTION("""COMPUTED_VALUE"""),"Packaging")</f>
        <v>Packaging</v>
      </c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15"/>
      <c r="AK110" s="80"/>
      <c r="AL110" s="80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80" t="s">
        <v>66</v>
      </c>
      <c r="CE110" s="161">
        <v>1.0</v>
      </c>
      <c r="CF110" s="80" t="str">
        <f>IFERROR(__xludf.DUMMYFUNCTION("QUERY(CD110:CE111,CB66)"),"New Job")</f>
        <v>New Job</v>
      </c>
      <c r="CG110" s="77">
        <f>IFERROR(__xludf.DUMMYFUNCTION("""COMPUTED_VALUE"""),1.0)</f>
        <v>1</v>
      </c>
      <c r="CH110" s="73"/>
    </row>
    <row r="111">
      <c r="A111" s="123" t="str">
        <f>IFERROR(__xludf.DUMMYFUNCTION("""COMPUTED_VALUE"""),"https://drive.google.com/open?id=1dj9J53lqqgX_yfNnMrzokWQVJ8a_QmSH&amp;authuser=jay.agg%40gmail.com&amp;usp=drive_fs")</f>
        <v>https://drive.google.com/open?id=1dj9J53lqqgX_yfNnMrzokWQVJ8a_QmSH&amp;authuser=jay.agg%40gmail.com&amp;usp=drive_fs</v>
      </c>
      <c r="B111" s="80" t="str">
        <f>IFERROR(__xludf.DUMMYFUNCTION("""COMPUTED_VALUE"""),"Food")</f>
        <v>Food</v>
      </c>
      <c r="C111" s="80" t="str">
        <f>IFERROR(__xludf.DUMMYFUNCTION("""COMPUTED_VALUE"""),"Chokidhani")</f>
        <v>Chokidhani</v>
      </c>
      <c r="D111" s="80" t="str">
        <f>IFERROR(__xludf.DUMMYFUNCTION("""COMPUTED_VALUE"""),"146.05*42*190.5 mm | 5.75*1.65*7.5 inch")</f>
        <v>146.05*42*190.5 mm | 5.75*1.65*7.5 inch</v>
      </c>
      <c r="E111" s="124">
        <f>IFERROR(__xludf.DUMMYFUNCTION("""COMPUTED_VALUE"""),2.0)</f>
        <v>2</v>
      </c>
      <c r="F111" s="80">
        <f>IFERROR(__xludf.DUMMYFUNCTION("""COMPUTED_VALUE"""),1926.0)</f>
        <v>1926</v>
      </c>
      <c r="G111" s="80">
        <f>IFERROR(__xludf.DUMMYFUNCTION("""COMPUTED_VALUE"""),18.0)</f>
        <v>18</v>
      </c>
      <c r="H111" s="80">
        <f>IFERROR(__xludf.DUMMYFUNCTION("""COMPUTED_VALUE"""),25.0)</f>
        <v>25</v>
      </c>
      <c r="I111" s="80">
        <f>IFERROR(__xludf.DUMMYFUNCTION("""COMPUTED_VALUE"""),100.0)</f>
        <v>100</v>
      </c>
      <c r="J111" s="109"/>
      <c r="K111" s="109"/>
      <c r="L111" s="109"/>
      <c r="M111" s="109">
        <f>IFERROR(__xludf.DUMMYFUNCTION("""COMPUTED_VALUE"""),0.1)</f>
        <v>0.1</v>
      </c>
      <c r="N111" s="109">
        <f>IFERROR(__xludf.DUMMYFUNCTION("""COMPUTED_VALUE"""),1.0)</f>
        <v>1</v>
      </c>
      <c r="O111" s="109"/>
      <c r="P111" s="109" t="str">
        <f>IFERROR(__xludf.DUMMYFUNCTION("""COMPUTED_VALUE"""),"Offset")</f>
        <v>Offset</v>
      </c>
      <c r="Q111" s="109" t="str">
        <f>IFERROR(__xludf.DUMMYFUNCTION("""COMPUTED_VALUE"""),"Packaging")</f>
        <v>Packaging</v>
      </c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5"/>
      <c r="AK111" s="80"/>
      <c r="AL111" s="80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80" t="s">
        <v>70</v>
      </c>
      <c r="CE111" s="161">
        <v>0.0</v>
      </c>
      <c r="CF111" s="139"/>
      <c r="CG111" s="73"/>
      <c r="CH111" s="73"/>
    </row>
    <row r="112">
      <c r="A112" s="123" t="str">
        <f>IFERROR(__xludf.DUMMYFUNCTION("""COMPUTED_VALUE"""),"https://drive.google.com/open?id=1dnD7qOP87fN098haHaUJfOFg2W3SStM7&amp;authuser=jay.agg%40gmail.com&amp;usp=drive_fs")</f>
        <v>https://drive.google.com/open?id=1dnD7qOP87fN098haHaUJfOFg2W3SStM7&amp;authuser=jay.agg%40gmail.com&amp;usp=drive_fs</v>
      </c>
      <c r="B112" s="80" t="str">
        <f>IFERROR(__xludf.DUMMYFUNCTION("""COMPUTED_VALUE"""),"Food")</f>
        <v>Food</v>
      </c>
      <c r="C112" s="80" t="str">
        <f>IFERROR(__xludf.DUMMYFUNCTION("""COMPUTED_VALUE"""),"Chokidhani")</f>
        <v>Chokidhani</v>
      </c>
      <c r="D112" s="80" t="str">
        <f>IFERROR(__xludf.DUMMYFUNCTION("""COMPUTED_VALUE"""),"145*100*110 mm | 5.7*3.9*4.3 inch LB")</f>
        <v>145*100*110 mm | 5.7*3.9*4.3 inch LB</v>
      </c>
      <c r="E112" s="124">
        <f>IFERROR(__xludf.DUMMYFUNCTION("""COMPUTED_VALUE"""),2.0)</f>
        <v>2</v>
      </c>
      <c r="F112" s="80">
        <f>IFERROR(__xludf.DUMMYFUNCTION("""COMPUTED_VALUE"""),2029.0)</f>
        <v>2029</v>
      </c>
      <c r="G112" s="80">
        <f>IFERROR(__xludf.DUMMYFUNCTION("""COMPUTED_VALUE"""),20.0)</f>
        <v>20</v>
      </c>
      <c r="H112" s="80">
        <f>IFERROR(__xludf.DUMMYFUNCTION("""COMPUTED_VALUE"""),21.0)</f>
        <v>21</v>
      </c>
      <c r="I112" s="80">
        <f>IFERROR(__xludf.DUMMYFUNCTION("""COMPUTED_VALUE"""),100.0)</f>
        <v>100</v>
      </c>
      <c r="J112" s="109"/>
      <c r="K112" s="109"/>
      <c r="L112" s="109"/>
      <c r="M112" s="109">
        <f>IFERROR(__xludf.DUMMYFUNCTION("""COMPUTED_VALUE"""),0.18)</f>
        <v>0.18</v>
      </c>
      <c r="N112" s="109">
        <f>IFERROR(__xludf.DUMMYFUNCTION("""COMPUTED_VALUE"""),1.0)</f>
        <v>1</v>
      </c>
      <c r="O112" s="109"/>
      <c r="P112" s="109" t="str">
        <f>IFERROR(__xludf.DUMMYFUNCTION("""COMPUTED_VALUE"""),"Offset")</f>
        <v>Offset</v>
      </c>
      <c r="Q112" s="109" t="str">
        <f>IFERROR(__xludf.DUMMYFUNCTION("""COMPUTED_VALUE"""),"Packaging")</f>
        <v>Packaging</v>
      </c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15"/>
      <c r="AK112" s="80"/>
      <c r="AL112" s="80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</row>
    <row r="113">
      <c r="A113" s="123" t="str">
        <f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13" s="80" t="str">
        <f>IFERROR(__xludf.DUMMYFUNCTION("""COMPUTED_VALUE"""),"Food")</f>
        <v>Food</v>
      </c>
      <c r="C113" s="80" t="str">
        <f>IFERROR(__xludf.DUMMYFUNCTION("""COMPUTED_VALUE"""),"Chocolate")</f>
        <v>Chocolate</v>
      </c>
      <c r="D113" s="80" t="str">
        <f>IFERROR(__xludf.DUMMYFUNCTION("""COMPUTED_VALUE"""),"325*225*30 mm | 12.8*8.9*1.2 inch Sleeve")</f>
        <v>325*225*30 mm | 12.8*8.9*1.2 inch Sleeve</v>
      </c>
      <c r="E113" s="124">
        <f>IFERROR(__xludf.DUMMYFUNCTION("""COMPUTED_VALUE"""),2.0)</f>
        <v>2</v>
      </c>
      <c r="F113" s="80">
        <f>IFERROR(__xludf.DUMMYFUNCTION("""COMPUTED_VALUE"""),2840.0)</f>
        <v>2840</v>
      </c>
      <c r="G113" s="80">
        <f>IFERROR(__xludf.DUMMYFUNCTION("""COMPUTED_VALUE"""),28.0)</f>
        <v>28</v>
      </c>
      <c r="H113" s="80">
        <f>IFERROR(__xludf.DUMMYFUNCTION("""COMPUTED_VALUE"""),40.0)</f>
        <v>40</v>
      </c>
      <c r="I113" s="80">
        <f>IFERROR(__xludf.DUMMYFUNCTION("""COMPUTED_VALUE"""),100.0)</f>
        <v>100</v>
      </c>
      <c r="J113" s="109"/>
      <c r="K113" s="109"/>
      <c r="L113" s="109"/>
      <c r="M113" s="109">
        <f>IFERROR(__xludf.DUMMYFUNCTION("""COMPUTED_VALUE"""),6.0)</f>
        <v>6</v>
      </c>
      <c r="N113" s="109">
        <f>IFERROR(__xludf.DUMMYFUNCTION("""COMPUTED_VALUE"""),1.0)</f>
        <v>1</v>
      </c>
      <c r="O113" s="109"/>
      <c r="P113" s="109" t="str">
        <f>IFERROR(__xludf.DUMMYFUNCTION("""COMPUTED_VALUE"""),"Offset")</f>
        <v>Offset</v>
      </c>
      <c r="Q113" s="109" t="str">
        <f>IFERROR(__xludf.DUMMYFUNCTION("""COMPUTED_VALUE"""),"Packaging")</f>
        <v>Packaging</v>
      </c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15"/>
      <c r="AK113" s="80"/>
      <c r="AL113" s="80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</row>
    <row r="114">
      <c r="A114" s="123" t="str">
        <f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14" s="80" t="str">
        <f>IFERROR(__xludf.DUMMYFUNCTION("""COMPUTED_VALUE"""),"Food")</f>
        <v>Food</v>
      </c>
      <c r="C114" s="80" t="str">
        <f>IFERROR(__xludf.DUMMYFUNCTION("""COMPUTED_VALUE"""),"Chocolate")</f>
        <v>Chocolate</v>
      </c>
      <c r="D114" s="80" t="str">
        <f>IFERROR(__xludf.DUMMYFUNCTION("""COMPUTED_VALUE"""),"325*225*30 mm | 12.8*8.9*1.2 inch  Tray")</f>
        <v>325*225*30 mm | 12.8*8.9*1.2 inch  Tray</v>
      </c>
      <c r="E114" s="124">
        <f>IFERROR(__xludf.DUMMYFUNCTION("""COMPUTED_VALUE"""),1.0)</f>
        <v>1</v>
      </c>
      <c r="F114" s="80">
        <f>IFERROR(__xludf.DUMMYFUNCTION("""COMPUTED_VALUE"""),1926.0)</f>
        <v>1926</v>
      </c>
      <c r="G114" s="80">
        <f>IFERROR(__xludf.DUMMYFUNCTION("""COMPUTED_VALUE"""),16.0)</f>
        <v>16</v>
      </c>
      <c r="H114" s="80">
        <f>IFERROR(__xludf.DUMMYFUNCTION("""COMPUTED_VALUE"""),21.0)</f>
        <v>21</v>
      </c>
      <c r="I114" s="80">
        <f>IFERROR(__xludf.DUMMYFUNCTION("""COMPUTED_VALUE"""),100.0)</f>
        <v>100</v>
      </c>
      <c r="J114" s="109"/>
      <c r="K114" s="109"/>
      <c r="L114" s="109"/>
      <c r="M114" s="109"/>
      <c r="N114" s="109">
        <f>IFERROR(__xludf.DUMMYFUNCTION("""COMPUTED_VALUE"""),1.0)</f>
        <v>1</v>
      </c>
      <c r="O114" s="109"/>
      <c r="P114" s="109" t="str">
        <f>IFERROR(__xludf.DUMMYFUNCTION("""COMPUTED_VALUE"""),"Offset")</f>
        <v>Offset</v>
      </c>
      <c r="Q114" s="109" t="str">
        <f>IFERROR(__xludf.DUMMYFUNCTION("""COMPUTED_VALUE"""),"Packaging")</f>
        <v>Packaging</v>
      </c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15"/>
      <c r="AK114" s="80"/>
      <c r="AL114" s="80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</row>
    <row r="115">
      <c r="A115" s="123" t="str">
        <f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15" s="80" t="str">
        <f>IFERROR(__xludf.DUMMYFUNCTION("""COMPUTED_VALUE"""),"Food")</f>
        <v>Food</v>
      </c>
      <c r="C115" s="80" t="str">
        <f>IFERROR(__xludf.DUMMYFUNCTION("""COMPUTED_VALUE"""),"Chocolate")</f>
        <v>Chocolate</v>
      </c>
      <c r="D115" s="80" t="str">
        <f>IFERROR(__xludf.DUMMYFUNCTION("""COMPUTED_VALUE"""),"322*180*32 mm | 12.6*7*1.2 inch Sleeve")</f>
        <v>322*180*32 mm | 12.6*7*1.2 inch Sleeve</v>
      </c>
      <c r="E115" s="124">
        <f>IFERROR(__xludf.DUMMYFUNCTION("""COMPUTED_VALUE"""),2.0)</f>
        <v>2</v>
      </c>
      <c r="F115" s="80">
        <f>IFERROR(__xludf.DUMMYFUNCTION("""COMPUTED_VALUE"""),2840.0)</f>
        <v>2840</v>
      </c>
      <c r="G115" s="80">
        <f>IFERROR(__xludf.DUMMYFUNCTION("""COMPUTED_VALUE"""),26.0)</f>
        <v>26</v>
      </c>
      <c r="H115" s="80">
        <f>IFERROR(__xludf.DUMMYFUNCTION("""COMPUTED_VALUE"""),38.0)</f>
        <v>38</v>
      </c>
      <c r="I115" s="80">
        <f>IFERROR(__xludf.DUMMYFUNCTION("""COMPUTED_VALUE"""),100.0)</f>
        <v>100</v>
      </c>
      <c r="J115" s="109"/>
      <c r="K115" s="109"/>
      <c r="L115" s="109"/>
      <c r="M115" s="109">
        <f>IFERROR(__xludf.DUMMYFUNCTION("""COMPUTED_VALUE"""),6.0)</f>
        <v>6</v>
      </c>
      <c r="N115" s="109">
        <f>IFERROR(__xludf.DUMMYFUNCTION("""COMPUTED_VALUE"""),1.0)</f>
        <v>1</v>
      </c>
      <c r="O115" s="109"/>
      <c r="P115" s="109" t="str">
        <f>IFERROR(__xludf.DUMMYFUNCTION("""COMPUTED_VALUE"""),"Offset")</f>
        <v>Offset</v>
      </c>
      <c r="Q115" s="109" t="str">
        <f>IFERROR(__xludf.DUMMYFUNCTION("""COMPUTED_VALUE"""),"Packaging")</f>
        <v>Packaging</v>
      </c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15"/>
      <c r="AK115" s="80"/>
      <c r="AL115" s="80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</row>
    <row r="116">
      <c r="A116" s="123" t="str">
        <f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16" s="80" t="str">
        <f>IFERROR(__xludf.DUMMYFUNCTION("""COMPUTED_VALUE"""),"Food")</f>
        <v>Food</v>
      </c>
      <c r="C116" s="80" t="str">
        <f>IFERROR(__xludf.DUMMYFUNCTION("""COMPUTED_VALUE"""),"Chocolate")</f>
        <v>Chocolate</v>
      </c>
      <c r="D116" s="80" t="str">
        <f>IFERROR(__xludf.DUMMYFUNCTION("""COMPUTED_VALUE"""),"322*180*32 mm | 12.6*7*1.2 inch Tray")</f>
        <v>322*180*32 mm | 12.6*7*1.2 inch Tray</v>
      </c>
      <c r="E116" s="124">
        <f>IFERROR(__xludf.DUMMYFUNCTION("""COMPUTED_VALUE"""),1.0)</f>
        <v>1</v>
      </c>
      <c r="F116" s="80">
        <f>IFERROR(__xludf.DUMMYFUNCTION("""COMPUTED_VALUE"""),1926.0)</f>
        <v>1926</v>
      </c>
      <c r="G116" s="80">
        <f>IFERROR(__xludf.DUMMYFUNCTION("""COMPUTED_VALUE"""),15.75)</f>
        <v>15.75</v>
      </c>
      <c r="H116" s="80">
        <f>IFERROR(__xludf.DUMMYFUNCTION("""COMPUTED_VALUE"""),20.75)</f>
        <v>20.75</v>
      </c>
      <c r="I116" s="80">
        <f>IFERROR(__xludf.DUMMYFUNCTION("""COMPUTED_VALUE"""),100.0)</f>
        <v>100</v>
      </c>
      <c r="J116" s="109"/>
      <c r="K116" s="109"/>
      <c r="L116" s="109"/>
      <c r="M116" s="109"/>
      <c r="N116" s="109">
        <f>IFERROR(__xludf.DUMMYFUNCTION("""COMPUTED_VALUE"""),1.0)</f>
        <v>1</v>
      </c>
      <c r="O116" s="109"/>
      <c r="P116" s="109" t="str">
        <f>IFERROR(__xludf.DUMMYFUNCTION("""COMPUTED_VALUE"""),"Offset")</f>
        <v>Offset</v>
      </c>
      <c r="Q116" s="109" t="str">
        <f>IFERROR(__xludf.DUMMYFUNCTION("""COMPUTED_VALUE"""),"Packaging")</f>
        <v>Packaging</v>
      </c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5"/>
      <c r="AK116" s="80"/>
      <c r="AL116" s="80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</row>
    <row r="117">
      <c r="A117" s="123" t="str">
        <f>IFERROR(__xludf.DUMMYFUNCTION("""COMPUTED_VALUE"""),"https://drive.google.com/open?id=1Zl-XEursFIe2qATwpKH2i0nMA27x05hp&amp;authuser=jay.agg%40gmail.com&amp;usp=drive_fs")</f>
        <v>https://drive.google.com/open?id=1Zl-XEursFIe2qATwpKH2i0nMA27x05hp&amp;authuser=jay.agg%40gmail.com&amp;usp=drive_fs</v>
      </c>
      <c r="B117" s="80" t="str">
        <f>IFERROR(__xludf.DUMMYFUNCTION("""COMPUTED_VALUE"""),"Food")</f>
        <v>Food</v>
      </c>
      <c r="C117" s="80" t="str">
        <f>IFERROR(__xludf.DUMMYFUNCTION("""COMPUTED_VALUE"""),"Chocolate")</f>
        <v>Chocolate</v>
      </c>
      <c r="D117" s="80" t="str">
        <f>IFERROR(__xludf.DUMMYFUNCTION("""COMPUTED_VALUE"""),"175*100*178 mm | 6.9*7*3.9 inch")</f>
        <v>175*100*178 mm | 6.9*7*3.9 inch</v>
      </c>
      <c r="E117" s="124">
        <f>IFERROR(__xludf.DUMMYFUNCTION("""COMPUTED_VALUE"""),1.0)</f>
        <v>1</v>
      </c>
      <c r="F117" s="80">
        <f>IFERROR(__xludf.DUMMYFUNCTION("""COMPUTED_VALUE"""),1926.0)</f>
        <v>1926</v>
      </c>
      <c r="G117" s="80">
        <f>IFERROR(__xludf.DUMMYFUNCTION("""COMPUTED_VALUE"""),18.0)</f>
        <v>18</v>
      </c>
      <c r="H117" s="80">
        <f>IFERROR(__xludf.DUMMYFUNCTION("""COMPUTED_VALUE"""),23.0)</f>
        <v>23</v>
      </c>
      <c r="I117" s="80">
        <f>IFERROR(__xludf.DUMMYFUNCTION("""COMPUTED_VALUE"""),100.0)</f>
        <v>100</v>
      </c>
      <c r="J117" s="109"/>
      <c r="K117" s="109"/>
      <c r="L117" s="109"/>
      <c r="M117" s="109">
        <f>IFERROR(__xludf.DUMMYFUNCTION("""COMPUTED_VALUE"""),0.1)</f>
        <v>0.1</v>
      </c>
      <c r="N117" s="109">
        <f>IFERROR(__xludf.DUMMYFUNCTION("""COMPUTED_VALUE"""),1.0)</f>
        <v>1</v>
      </c>
      <c r="O117" s="109"/>
      <c r="P117" s="109" t="str">
        <f>IFERROR(__xludf.DUMMYFUNCTION("""COMPUTED_VALUE"""),"Offset")</f>
        <v>Offset</v>
      </c>
      <c r="Q117" s="109" t="str">
        <f>IFERROR(__xludf.DUMMYFUNCTION("""COMPUTED_VALUE"""),"Packaging")</f>
        <v>Packaging</v>
      </c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15"/>
      <c r="AK117" s="80"/>
      <c r="AL117" s="80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</row>
    <row r="118">
      <c r="A118" s="123" t="str">
        <f>IFERROR(__xludf.DUMMYFUNCTION("""COMPUTED_VALUE"""),"https://drive.google.com/open?id=1_BYrh5PiI1PUa-jQ8mSQ_IwsCp6wLaef&amp;authuser=jay.agg%40gmail.com&amp;usp=drive_fs")</f>
        <v>https://drive.google.com/open?id=1_BYrh5PiI1PUa-jQ8mSQ_IwsCp6wLaef&amp;authuser=jay.agg%40gmail.com&amp;usp=drive_fs</v>
      </c>
      <c r="B118" s="80" t="str">
        <f>IFERROR(__xludf.DUMMYFUNCTION("""COMPUTED_VALUE"""),"Food")</f>
        <v>Food</v>
      </c>
      <c r="C118" s="80" t="str">
        <f>IFERROR(__xludf.DUMMYFUNCTION("""COMPUTED_VALUE"""),"Chocolate")</f>
        <v>Chocolate</v>
      </c>
      <c r="D118" s="80" t="str">
        <f>IFERROR(__xludf.DUMMYFUNCTION("""COMPUTED_VALUE"""),"255*175*90 mm | 10*6.9*3.5 inch IL")</f>
        <v>255*175*90 mm | 10*6.9*3.5 inch IL</v>
      </c>
      <c r="E118" s="124">
        <f>IFERROR(__xludf.DUMMYFUNCTION("""COMPUTED_VALUE"""),1.0)</f>
        <v>1</v>
      </c>
      <c r="F118" s="80">
        <f>IFERROR(__xludf.DUMMYFUNCTION("""COMPUTED_VALUE"""),2029.0)</f>
        <v>2029</v>
      </c>
      <c r="G118" s="80">
        <f>IFERROR(__xludf.DUMMYFUNCTION("""COMPUTED_VALUE"""),19.0)</f>
        <v>19</v>
      </c>
      <c r="H118" s="80">
        <f>IFERROR(__xludf.DUMMYFUNCTION("""COMPUTED_VALUE"""),26.0)</f>
        <v>26</v>
      </c>
      <c r="I118" s="80">
        <f>IFERROR(__xludf.DUMMYFUNCTION("""COMPUTED_VALUE"""),100.0)</f>
        <v>100</v>
      </c>
      <c r="J118" s="109"/>
      <c r="K118" s="109"/>
      <c r="L118" s="109"/>
      <c r="M118" s="109">
        <f>IFERROR(__xludf.DUMMYFUNCTION("""COMPUTED_VALUE"""),0.32)</f>
        <v>0.32</v>
      </c>
      <c r="N118" s="109">
        <f>IFERROR(__xludf.DUMMYFUNCTION("""COMPUTED_VALUE"""),1.0)</f>
        <v>1</v>
      </c>
      <c r="O118" s="109"/>
      <c r="P118" s="109" t="str">
        <f>IFERROR(__xludf.DUMMYFUNCTION("""COMPUTED_VALUE"""),"Offset")</f>
        <v>Offset</v>
      </c>
      <c r="Q118" s="109" t="str">
        <f>IFERROR(__xludf.DUMMYFUNCTION("""COMPUTED_VALUE"""),"Packaging")</f>
        <v>Packaging</v>
      </c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15"/>
      <c r="AK118" s="80"/>
      <c r="AL118" s="80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</row>
    <row r="119">
      <c r="A119" s="123" t="str">
        <f>IFERROR(__xludf.DUMMYFUNCTION("""COMPUTED_VALUE"""),"https://drive.google.com/open?id=1eQDLnmfEu_9K-BBzTK_pYkvtd57_WSjW&amp;authuser=jay.agg%40gmail.com&amp;usp=drive_fs")</f>
        <v>https://drive.google.com/open?id=1eQDLnmfEu_9K-BBzTK_pYkvtd57_WSjW&amp;authuser=jay.agg%40gmail.com&amp;usp=drive_fs</v>
      </c>
      <c r="B119" s="80" t="str">
        <f>IFERROR(__xludf.DUMMYFUNCTION("""COMPUTED_VALUE"""),"Food")</f>
        <v>Food</v>
      </c>
      <c r="C119" s="80" t="str">
        <f>IFERROR(__xludf.DUMMYFUNCTION("""COMPUTED_VALUE"""),"Misc")</f>
        <v>Misc</v>
      </c>
      <c r="D119" s="80" t="str">
        <f>IFERROR(__xludf.DUMMYFUNCTION("""COMPUTED_VALUE"""),"128*52*177 mm | 5*2*7 inch")</f>
        <v>128*52*177 mm | 5*2*7 inch</v>
      </c>
      <c r="E119" s="124">
        <f>IFERROR(__xludf.DUMMYFUNCTION("""COMPUTED_VALUE"""),2.0)</f>
        <v>2</v>
      </c>
      <c r="F119" s="80">
        <f>IFERROR(__xludf.DUMMYFUNCTION("""COMPUTED_VALUE"""),2029.0)</f>
        <v>2029</v>
      </c>
      <c r="G119" s="80">
        <f>IFERROR(__xludf.DUMMYFUNCTION("""COMPUTED_VALUE"""),18.0)</f>
        <v>18</v>
      </c>
      <c r="H119" s="80">
        <f>IFERROR(__xludf.DUMMYFUNCTION("""COMPUTED_VALUE"""),23.0)</f>
        <v>23</v>
      </c>
      <c r="I119" s="80">
        <f>IFERROR(__xludf.DUMMYFUNCTION("""COMPUTED_VALUE"""),100.0)</f>
        <v>100</v>
      </c>
      <c r="J119" s="109"/>
      <c r="K119" s="109"/>
      <c r="L119" s="109"/>
      <c r="M119" s="109">
        <f>IFERROR(__xludf.DUMMYFUNCTION("""COMPUTED_VALUE"""),0.1)</f>
        <v>0.1</v>
      </c>
      <c r="N119" s="109">
        <f>IFERROR(__xludf.DUMMYFUNCTION("""COMPUTED_VALUE"""),1.0)</f>
        <v>1</v>
      </c>
      <c r="O119" s="109"/>
      <c r="P119" s="109" t="str">
        <f>IFERROR(__xludf.DUMMYFUNCTION("""COMPUTED_VALUE"""),"Offset")</f>
        <v>Offset</v>
      </c>
      <c r="Q119" s="109" t="str">
        <f>IFERROR(__xludf.DUMMYFUNCTION("""COMPUTED_VALUE"""),"Packaging")</f>
        <v>Packaging</v>
      </c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15"/>
      <c r="AK119" s="80"/>
      <c r="AL119" s="80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</row>
    <row r="120">
      <c r="A120" s="123" t="str">
        <f>IFERROR(__xludf.DUMMYFUNCTION("""COMPUTED_VALUE"""),"https://drive.google.com/open?id=1eRLAo9d8DiVbvwNiRDComuYzDcqiCWJp&amp;authuser=jay.agg%40gmail.com&amp;usp=drive_fs")</f>
        <v>https://drive.google.com/open?id=1eRLAo9d8DiVbvwNiRDComuYzDcqiCWJp&amp;authuser=jay.agg%40gmail.com&amp;usp=drive_fs</v>
      </c>
      <c r="B120" s="80" t="str">
        <f>IFERROR(__xludf.DUMMYFUNCTION("""COMPUTED_VALUE"""),"Food")</f>
        <v>Food</v>
      </c>
      <c r="C120" s="80" t="str">
        <f>IFERROR(__xludf.DUMMYFUNCTION("""COMPUTED_VALUE"""),"Chocolate")</f>
        <v>Chocolate</v>
      </c>
      <c r="D120" s="80" t="str">
        <f>IFERROR(__xludf.DUMMYFUNCTION("""COMPUTED_VALUE"""),"82*14*161 mm | 3.2*0.5*6.3 inch")</f>
        <v>82*14*161 mm | 3.2*0.5*6.3 inch</v>
      </c>
      <c r="E120" s="124">
        <f>IFERROR(__xludf.DUMMYFUNCTION("""COMPUTED_VALUE"""),6.0)</f>
        <v>6</v>
      </c>
      <c r="F120" s="80">
        <f>IFERROR(__xludf.DUMMYFUNCTION("""COMPUTED_VALUE"""),1926.0)</f>
        <v>1926</v>
      </c>
      <c r="G120" s="80">
        <f>IFERROR(__xludf.DUMMYFUNCTION("""COMPUTED_VALUE"""),18.0)</f>
        <v>18</v>
      </c>
      <c r="H120" s="80">
        <f>IFERROR(__xludf.DUMMYFUNCTION("""COMPUTED_VALUE"""),25.0)</f>
        <v>25</v>
      </c>
      <c r="I120" s="80">
        <f>IFERROR(__xludf.DUMMYFUNCTION("""COMPUTED_VALUE"""),100.0)</f>
        <v>100</v>
      </c>
      <c r="J120" s="109"/>
      <c r="K120" s="109"/>
      <c r="L120" s="109"/>
      <c r="M120" s="109">
        <f>IFERROR(__xludf.DUMMYFUNCTION("""COMPUTED_VALUE"""),0.1)</f>
        <v>0.1</v>
      </c>
      <c r="N120" s="109">
        <f>IFERROR(__xludf.DUMMYFUNCTION("""COMPUTED_VALUE"""),1.0)</f>
        <v>1</v>
      </c>
      <c r="O120" s="109"/>
      <c r="P120" s="109" t="str">
        <f>IFERROR(__xludf.DUMMYFUNCTION("""COMPUTED_VALUE"""),"Offset")</f>
        <v>Offset</v>
      </c>
      <c r="Q120" s="109" t="str">
        <f>IFERROR(__xludf.DUMMYFUNCTION("""COMPUTED_VALUE"""),"Packaging")</f>
        <v>Packaging</v>
      </c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15"/>
      <c r="AK120" s="80"/>
      <c r="AL120" s="80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</row>
    <row r="121">
      <c r="A121" s="123" t="str">
        <f>IFERROR(__xludf.DUMMYFUNCTION("""COMPUTED_VALUE"""),"https://drive.google.com/open?id=1azlb0WzLVLWI56A9ao925_NavPqzLPO_&amp;authuser=jay.agg%40gmail.com&amp;usp=drive_fs")</f>
        <v>https://drive.google.com/open?id=1azlb0WzLVLWI56A9ao925_NavPqzLPO_&amp;authuser=jay.agg%40gmail.com&amp;usp=drive_fs</v>
      </c>
      <c r="B121" s="80" t="str">
        <f>IFERROR(__xludf.DUMMYFUNCTION("""COMPUTED_VALUE"""),"Food")</f>
        <v>Food</v>
      </c>
      <c r="C121" s="80" t="str">
        <f>IFERROR(__xludf.DUMMYFUNCTION("""COMPUTED_VALUE"""),"Colour")</f>
        <v>Colour</v>
      </c>
      <c r="D121" s="80" t="str">
        <f>IFERROR(__xludf.DUMMYFUNCTION("""COMPUTED_VALUE"""),"140*51*90 mm | 5.5*3.5*2 inch")</f>
        <v>140*51*90 mm | 5.5*3.5*2 inch</v>
      </c>
      <c r="E121" s="124">
        <f>IFERROR(__xludf.DUMMYFUNCTION("""COMPUTED_VALUE"""),3.0)</f>
        <v>3</v>
      </c>
      <c r="F121" s="80">
        <f>IFERROR(__xludf.DUMMYFUNCTION("""COMPUTED_VALUE"""),1926.0)</f>
        <v>1926</v>
      </c>
      <c r="G121" s="80">
        <f>IFERROR(__xludf.DUMMYFUNCTION("""COMPUTED_VALUE"""),18.0)</f>
        <v>18</v>
      </c>
      <c r="H121" s="80">
        <f>IFERROR(__xludf.DUMMYFUNCTION("""COMPUTED_VALUE"""),23.0)</f>
        <v>23</v>
      </c>
      <c r="I121" s="80">
        <f>IFERROR(__xludf.DUMMYFUNCTION("""COMPUTED_VALUE"""),100.0)</f>
        <v>100</v>
      </c>
      <c r="J121" s="109"/>
      <c r="K121" s="109"/>
      <c r="L121" s="109"/>
      <c r="M121" s="109">
        <f>IFERROR(__xludf.DUMMYFUNCTION("""COMPUTED_VALUE"""),0.1)</f>
        <v>0.1</v>
      </c>
      <c r="N121" s="109">
        <f>IFERROR(__xludf.DUMMYFUNCTION("""COMPUTED_VALUE"""),1.0)</f>
        <v>1</v>
      </c>
      <c r="O121" s="109"/>
      <c r="P121" s="109" t="str">
        <f>IFERROR(__xludf.DUMMYFUNCTION("""COMPUTED_VALUE"""),"Offset")</f>
        <v>Offset</v>
      </c>
      <c r="Q121" s="109" t="str">
        <f>IFERROR(__xludf.DUMMYFUNCTION("""COMPUTED_VALUE"""),"Packaging")</f>
        <v>Packaging</v>
      </c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15"/>
      <c r="AK121" s="80"/>
      <c r="AL121" s="80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</row>
    <row r="122">
      <c r="A122" s="123" t="str">
        <f>IFERROR(__xludf.DUMMYFUNCTION("""COMPUTED_VALUE"""),"https://drive.google.com/open?id=1gxqH9e07wdipxz5OxnfZfQHphLFA559y&amp;authuser=jay.agg%40gmail.com&amp;usp=drive_fs")</f>
        <v>https://drive.google.com/open?id=1gxqH9e07wdipxz5OxnfZfQHphLFA559y&amp;authuser=jay.agg%40gmail.com&amp;usp=drive_fs</v>
      </c>
      <c r="B122" s="80" t="str">
        <f>IFERROR(__xludf.DUMMYFUNCTION("""COMPUTED_VALUE"""),"Food")</f>
        <v>Food</v>
      </c>
      <c r="C122" s="80" t="str">
        <f>IFERROR(__xludf.DUMMYFUNCTION("""COMPUTED_VALUE"""),"Chokidhani")</f>
        <v>Chokidhani</v>
      </c>
      <c r="D122" s="80" t="str">
        <f>IFERROR(__xludf.DUMMYFUNCTION("""COMPUTED_VALUE"""),"165*90*245 mm | 6.5*3.5*9.6 inch LB")</f>
        <v>165*90*245 mm | 6.5*3.5*9.6 inch LB</v>
      </c>
      <c r="E122" s="124">
        <f>IFERROR(__xludf.DUMMYFUNCTION("""COMPUTED_VALUE"""),1.0)</f>
        <v>1</v>
      </c>
      <c r="F122" s="80">
        <f>IFERROR(__xludf.DUMMYFUNCTION("""COMPUTED_VALUE"""),1926.0)</f>
        <v>1926</v>
      </c>
      <c r="G122" s="80">
        <f>IFERROR(__xludf.DUMMYFUNCTION("""COMPUTED_VALUE"""),18.0)</f>
        <v>18</v>
      </c>
      <c r="H122" s="80">
        <f>IFERROR(__xludf.DUMMYFUNCTION("""COMPUTED_VALUE"""),23.0)</f>
        <v>23</v>
      </c>
      <c r="I122" s="80">
        <f>IFERROR(__xludf.DUMMYFUNCTION("""COMPUTED_VALUE"""),100.0)</f>
        <v>100</v>
      </c>
      <c r="J122" s="109"/>
      <c r="K122" s="109"/>
      <c r="L122" s="109"/>
      <c r="M122" s="109">
        <f>IFERROR(__xludf.DUMMYFUNCTION("""COMPUTED_VALUE"""),0.18)</f>
        <v>0.18</v>
      </c>
      <c r="N122" s="109">
        <f>IFERROR(__xludf.DUMMYFUNCTION("""COMPUTED_VALUE"""),1.0)</f>
        <v>1</v>
      </c>
      <c r="O122" s="109"/>
      <c r="P122" s="109" t="str">
        <f>IFERROR(__xludf.DUMMYFUNCTION("""COMPUTED_VALUE"""),"Offset")</f>
        <v>Offset</v>
      </c>
      <c r="Q122" s="109" t="str">
        <f>IFERROR(__xludf.DUMMYFUNCTION("""COMPUTED_VALUE"""),"Packaging")</f>
        <v>Packaging</v>
      </c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15"/>
      <c r="AK122" s="80"/>
      <c r="AL122" s="80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</row>
    <row r="123">
      <c r="A123" s="123" t="str">
        <f>IFERROR(__xludf.DUMMYFUNCTION("""COMPUTED_VALUE"""),"https://drive.google.com/open?id=1h1gMwsvCLe3Q3bOBRNVUEyzn8SVrFjon&amp;authuser=jay.agg%40gmail.com&amp;usp=drive_fs")</f>
        <v>https://drive.google.com/open?id=1h1gMwsvCLe3Q3bOBRNVUEyzn8SVrFjon&amp;authuser=jay.agg%40gmail.com&amp;usp=drive_fs</v>
      </c>
      <c r="B123" s="80" t="str">
        <f>IFERROR(__xludf.DUMMYFUNCTION("""COMPUTED_VALUE"""),"Food")</f>
        <v>Food</v>
      </c>
      <c r="C123" s="80" t="str">
        <f>IFERROR(__xludf.DUMMYFUNCTION("""COMPUTED_VALUE"""),"Chokidhani")</f>
        <v>Chokidhani</v>
      </c>
      <c r="D123" s="80" t="str">
        <f>IFERROR(__xludf.DUMMYFUNCTION("""COMPUTED_VALUE"""),"140*60*195 mm | 5.5*2.3*7.6 inch")</f>
        <v>140*60*195 mm | 5.5*2.3*7.6 inch</v>
      </c>
      <c r="E123" s="124">
        <f>IFERROR(__xludf.DUMMYFUNCTION("""COMPUTED_VALUE"""),2.0)</f>
        <v>2</v>
      </c>
      <c r="F123" s="80">
        <f>IFERROR(__xludf.DUMMYFUNCTION("""COMPUTED_VALUE"""),1926.0)</f>
        <v>1926</v>
      </c>
      <c r="G123" s="80">
        <f>IFERROR(__xludf.DUMMYFUNCTION("""COMPUTED_VALUE"""),18.0)</f>
        <v>18</v>
      </c>
      <c r="H123" s="80">
        <f>IFERROR(__xludf.DUMMYFUNCTION("""COMPUTED_VALUE"""),25.0)</f>
        <v>25</v>
      </c>
      <c r="I123" s="80">
        <f>IFERROR(__xludf.DUMMYFUNCTION("""COMPUTED_VALUE"""),100.0)</f>
        <v>100</v>
      </c>
      <c r="J123" s="109"/>
      <c r="K123" s="109"/>
      <c r="L123" s="109"/>
      <c r="M123" s="109">
        <f>IFERROR(__xludf.DUMMYFUNCTION("""COMPUTED_VALUE"""),0.1)</f>
        <v>0.1</v>
      </c>
      <c r="N123" s="109">
        <f>IFERROR(__xludf.DUMMYFUNCTION("""COMPUTED_VALUE"""),1.0)</f>
        <v>1</v>
      </c>
      <c r="O123" s="109"/>
      <c r="P123" s="109" t="str">
        <f>IFERROR(__xludf.DUMMYFUNCTION("""COMPUTED_VALUE"""),"Offset")</f>
        <v>Offset</v>
      </c>
      <c r="Q123" s="109" t="str">
        <f>IFERROR(__xludf.DUMMYFUNCTION("""COMPUTED_VALUE"""),"Packaging")</f>
        <v>Packaging</v>
      </c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5"/>
      <c r="AK123" s="80"/>
      <c r="AL123" s="80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</row>
    <row r="124">
      <c r="A124" s="123" t="str">
        <f>IFERROR(__xludf.DUMMYFUNCTION("""COMPUTED_VALUE"""),"https://drive.google.com/open?id=13JCSvpcyTWuEqioltHSap6PCWyZifsCV&amp;authuser=jay.agg%40gmail.com&amp;usp=drive_fs")</f>
        <v>https://drive.google.com/open?id=13JCSvpcyTWuEqioltHSap6PCWyZifsCV&amp;authuser=jay.agg%40gmail.com&amp;usp=drive_fs</v>
      </c>
      <c r="B124" s="80" t="str">
        <f>IFERROR(__xludf.DUMMYFUNCTION("""COMPUTED_VALUE"""),"Food")</f>
        <v>Food</v>
      </c>
      <c r="C124" s="80" t="str">
        <f>IFERROR(__xludf.DUMMYFUNCTION("""COMPUTED_VALUE"""),"Chocolate")</f>
        <v>Chocolate</v>
      </c>
      <c r="D124" s="80" t="str">
        <f>IFERROR(__xludf.DUMMYFUNCTION("""COMPUTED_VALUE"""),"150*115*91 mm | 5.9*4.5*3.5 inch LB")</f>
        <v>150*115*91 mm | 5.9*4.5*3.5 inch LB</v>
      </c>
      <c r="E124" s="124">
        <f>IFERROR(__xludf.DUMMYFUNCTION("""COMPUTED_VALUE"""),1.0)</f>
        <v>1</v>
      </c>
      <c r="F124" s="80">
        <f>IFERROR(__xludf.DUMMYFUNCTION("""COMPUTED_VALUE"""),1926.0)</f>
        <v>1926</v>
      </c>
      <c r="G124" s="80">
        <f>IFERROR(__xludf.DUMMYFUNCTION("""COMPUTED_VALUE"""),18.0)</f>
        <v>18</v>
      </c>
      <c r="H124" s="80">
        <f>IFERROR(__xludf.DUMMYFUNCTION("""COMPUTED_VALUE"""),23.0)</f>
        <v>23</v>
      </c>
      <c r="I124" s="80">
        <f>IFERROR(__xludf.DUMMYFUNCTION("""COMPUTED_VALUE"""),100.0)</f>
        <v>100</v>
      </c>
      <c r="J124" s="109"/>
      <c r="K124" s="109"/>
      <c r="L124" s="109"/>
      <c r="M124" s="109">
        <f>IFERROR(__xludf.DUMMYFUNCTION("""COMPUTED_VALUE"""),0.18)</f>
        <v>0.18</v>
      </c>
      <c r="N124" s="109">
        <f>IFERROR(__xludf.DUMMYFUNCTION("""COMPUTED_VALUE"""),1.0)</f>
        <v>1</v>
      </c>
      <c r="O124" s="109"/>
      <c r="P124" s="109" t="str">
        <f>IFERROR(__xludf.DUMMYFUNCTION("""COMPUTED_VALUE"""),"Offset")</f>
        <v>Offset</v>
      </c>
      <c r="Q124" s="109" t="str">
        <f>IFERROR(__xludf.DUMMYFUNCTION("""COMPUTED_VALUE"""),"Packaging")</f>
        <v>Packaging</v>
      </c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15"/>
      <c r="AK124" s="80"/>
      <c r="AL124" s="80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</row>
    <row r="125">
      <c r="A125" s="123" t="str">
        <f>IFERROR(__xludf.DUMMYFUNCTION("""COMPUTED_VALUE"""),"https://drive.google.com/open?id=13qseTC_P8kAqW7SosbkH3_BCEOUoHD0I&amp;authuser=jay.agg%40gmail.com&amp;usp=drive_fs")</f>
        <v>https://drive.google.com/open?id=13qseTC_P8kAqW7SosbkH3_BCEOUoHD0I&amp;authuser=jay.agg%40gmail.com&amp;usp=drive_fs</v>
      </c>
      <c r="B125" s="80" t="str">
        <f>IFERROR(__xludf.DUMMYFUNCTION("""COMPUTED_VALUE"""),"Food")</f>
        <v>Food</v>
      </c>
      <c r="C125" s="80" t="str">
        <f>IFERROR(__xludf.DUMMYFUNCTION("""COMPUTED_VALUE"""),"Paan")</f>
        <v>Paan</v>
      </c>
      <c r="D125" s="80" t="str">
        <f>IFERROR(__xludf.DUMMYFUNCTION("""COMPUTED_VALUE"""),"95*76*32 mm | 3.7*3*1.3 inch")</f>
        <v>95*76*32 mm | 3.7*3*1.3 inch</v>
      </c>
      <c r="E125" s="124">
        <f>IFERROR(__xludf.DUMMYFUNCTION("""COMPUTED_VALUE"""),4.0)</f>
        <v>4</v>
      </c>
      <c r="F125" s="80">
        <f>IFERROR(__xludf.DUMMYFUNCTION("""COMPUTED_VALUE"""),1926.0)</f>
        <v>1926</v>
      </c>
      <c r="G125" s="80">
        <f>IFERROR(__xludf.DUMMYFUNCTION("""COMPUTED_VALUE"""),15.75)</f>
        <v>15.75</v>
      </c>
      <c r="H125" s="80">
        <f>IFERROR(__xludf.DUMMYFUNCTION("""COMPUTED_VALUE"""),20.75)</f>
        <v>20.75</v>
      </c>
      <c r="I125" s="80">
        <f>IFERROR(__xludf.DUMMYFUNCTION("""COMPUTED_VALUE"""),100.0)</f>
        <v>100</v>
      </c>
      <c r="J125" s="109"/>
      <c r="K125" s="109"/>
      <c r="L125" s="109"/>
      <c r="M125" s="109"/>
      <c r="N125" s="109">
        <f>IFERROR(__xludf.DUMMYFUNCTION("""COMPUTED_VALUE"""),1.0)</f>
        <v>1</v>
      </c>
      <c r="O125" s="109"/>
      <c r="P125" s="109" t="str">
        <f>IFERROR(__xludf.DUMMYFUNCTION("""COMPUTED_VALUE"""),"Offset")</f>
        <v>Offset</v>
      </c>
      <c r="Q125" s="109" t="str">
        <f>IFERROR(__xludf.DUMMYFUNCTION("""COMPUTED_VALUE"""),"Packaging")</f>
        <v>Packaging</v>
      </c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15"/>
      <c r="AK125" s="80"/>
      <c r="AL125" s="80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</row>
    <row r="126">
      <c r="A126" s="123" t="str">
        <f>IFERROR(__xludf.DUMMYFUNCTION("""COMPUTED_VALUE"""),"https://drive.google.com/open?id=13sR1vnoNslQcY5qDCrD-_m_VrXyaCWj2&amp;authuser=jay.agg%40gmail.com&amp;usp=drive_fs")</f>
        <v>https://drive.google.com/open?id=13sR1vnoNslQcY5qDCrD-_m_VrXyaCWj2&amp;authuser=jay.agg%40gmail.com&amp;usp=drive_fs</v>
      </c>
      <c r="B126" s="80" t="str">
        <f>IFERROR(__xludf.DUMMYFUNCTION("""COMPUTED_VALUE"""),"Food")</f>
        <v>Food</v>
      </c>
      <c r="C126" s="80" t="str">
        <f>IFERROR(__xludf.DUMMYFUNCTION("""COMPUTED_VALUE"""),"Paan")</f>
        <v>Paan</v>
      </c>
      <c r="D126" s="80" t="str">
        <f>IFERROR(__xludf.DUMMYFUNCTION("""COMPUTED_VALUE"""),"75*60*35 mm | 3*2.4*1.4 inch")</f>
        <v>75*60*35 mm | 3*2.4*1.4 inch</v>
      </c>
      <c r="E126" s="124">
        <f>IFERROR(__xludf.DUMMYFUNCTION("""COMPUTED_VALUE"""),8.0)</f>
        <v>8</v>
      </c>
      <c r="F126" s="80">
        <f>IFERROR(__xludf.DUMMYFUNCTION("""COMPUTED_VALUE"""),1926.0)</f>
        <v>1926</v>
      </c>
      <c r="G126" s="80">
        <f>IFERROR(__xludf.DUMMYFUNCTION("""COMPUTED_VALUE"""),18.0)</f>
        <v>18</v>
      </c>
      <c r="H126" s="80">
        <f>IFERROR(__xludf.DUMMYFUNCTION("""COMPUTED_VALUE"""),23.0)</f>
        <v>23</v>
      </c>
      <c r="I126" s="80">
        <f>IFERROR(__xludf.DUMMYFUNCTION("""COMPUTED_VALUE"""),100.0)</f>
        <v>100</v>
      </c>
      <c r="J126" s="109"/>
      <c r="K126" s="109"/>
      <c r="L126" s="109"/>
      <c r="M126" s="109"/>
      <c r="N126" s="109">
        <f>IFERROR(__xludf.DUMMYFUNCTION("""COMPUTED_VALUE"""),1.0)</f>
        <v>1</v>
      </c>
      <c r="O126" s="109"/>
      <c r="P126" s="109" t="str">
        <f>IFERROR(__xludf.DUMMYFUNCTION("""COMPUTED_VALUE"""),"Offset")</f>
        <v>Offset</v>
      </c>
      <c r="Q126" s="109" t="str">
        <f>IFERROR(__xludf.DUMMYFUNCTION("""COMPUTED_VALUE"""),"Packaging")</f>
        <v>Packaging</v>
      </c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15"/>
      <c r="AK126" s="80"/>
      <c r="AL126" s="80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</row>
    <row r="127">
      <c r="A127" s="123" t="str">
        <f>IFERROR(__xludf.DUMMYFUNCTION("""COMPUTED_VALUE"""),"https://drive.google.com/open?id=167g4JlzR0We72-s-rJEFYsXfsoureruK&amp;authuser=jay.agg%40gmail.com&amp;usp=drive_fs")</f>
        <v>https://drive.google.com/open?id=167g4JlzR0We72-s-rJEFYsXfsoureruK&amp;authuser=jay.agg%40gmail.com&amp;usp=drive_fs</v>
      </c>
      <c r="B127" s="80" t="str">
        <f>IFERROR(__xludf.DUMMYFUNCTION("""COMPUTED_VALUE"""),"Food")</f>
        <v>Food</v>
      </c>
      <c r="C127" s="80" t="str">
        <f>IFERROR(__xludf.DUMMYFUNCTION("""COMPUTED_VALUE"""),"Pasta")</f>
        <v>Pasta</v>
      </c>
      <c r="D127" s="80" t="str">
        <f>IFERROR(__xludf.DUMMYFUNCTION("""COMPUTED_VALUE"""),"138*62*173 mm | 5.4*2.4*6.8 inch")</f>
        <v>138*62*173 mm | 5.4*2.4*6.8 inch</v>
      </c>
      <c r="E127" s="124">
        <f>IFERROR(__xludf.DUMMYFUNCTION("""COMPUTED_VALUE"""),2.0)</f>
        <v>2</v>
      </c>
      <c r="F127" s="80">
        <f>IFERROR(__xludf.DUMMYFUNCTION("""COMPUTED_VALUE"""),1926.0)</f>
        <v>1926</v>
      </c>
      <c r="G127" s="80">
        <f>IFERROR(__xludf.DUMMYFUNCTION("""COMPUTED_VALUE"""),18.0)</f>
        <v>18</v>
      </c>
      <c r="H127" s="80">
        <f>IFERROR(__xludf.DUMMYFUNCTION("""COMPUTED_VALUE"""),23.0)</f>
        <v>23</v>
      </c>
      <c r="I127" s="80">
        <f>IFERROR(__xludf.DUMMYFUNCTION("""COMPUTED_VALUE"""),100.0)</f>
        <v>100</v>
      </c>
      <c r="J127" s="109"/>
      <c r="K127" s="109"/>
      <c r="L127" s="109"/>
      <c r="M127" s="109">
        <f>IFERROR(__xludf.DUMMYFUNCTION("""COMPUTED_VALUE"""),0.1)</f>
        <v>0.1</v>
      </c>
      <c r="N127" s="109">
        <f>IFERROR(__xludf.DUMMYFUNCTION("""COMPUTED_VALUE"""),1.0)</f>
        <v>1</v>
      </c>
      <c r="O127" s="109"/>
      <c r="P127" s="109" t="str">
        <f>IFERROR(__xludf.DUMMYFUNCTION("""COMPUTED_VALUE"""),"Offset")</f>
        <v>Offset</v>
      </c>
      <c r="Q127" s="109" t="str">
        <f>IFERROR(__xludf.DUMMYFUNCTION("""COMPUTED_VALUE"""),"Packaging")</f>
        <v>Packaging</v>
      </c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15"/>
      <c r="AK127" s="80"/>
      <c r="AL127" s="80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</row>
    <row r="128">
      <c r="A128" s="123" t="str">
        <f>IFERROR(__xludf.DUMMYFUNCTION("""COMPUTED_VALUE"""),"https://drive.google.com/open?id=1ojxccNs17sS_hpoy0kJLnvahIDc5Ojpo&amp;authuser=jay.agg%40gmail.com&amp;usp=drive_fs")</f>
        <v>https://drive.google.com/open?id=1ojxccNs17sS_hpoy0kJLnvahIDc5Ojpo&amp;authuser=jay.agg%40gmail.com&amp;usp=drive_fs</v>
      </c>
      <c r="B128" s="80" t="str">
        <f>IFERROR(__xludf.DUMMYFUNCTION("""COMPUTED_VALUE"""),"Food")</f>
        <v>Food</v>
      </c>
      <c r="C128" s="80" t="str">
        <f>IFERROR(__xludf.DUMMYFUNCTION("""COMPUTED_VALUE"""),"Chocolate")</f>
        <v>Chocolate</v>
      </c>
      <c r="D128" s="80" t="str">
        <f>IFERROR(__xludf.DUMMYFUNCTION("""COMPUTED_VALUE"""),"42*12*89 mm | 1.6*0.5*3.5 inch")</f>
        <v>42*12*89 mm | 1.6*0.5*3.5 inch</v>
      </c>
      <c r="E128" s="124">
        <f>IFERROR(__xludf.DUMMYFUNCTION("""COMPUTED_VALUE"""),12.0)</f>
        <v>12</v>
      </c>
      <c r="F128" s="80">
        <f>IFERROR(__xludf.DUMMYFUNCTION("""COMPUTED_VALUE"""),1926.0)</f>
        <v>1926</v>
      </c>
      <c r="G128" s="80">
        <f>IFERROR(__xludf.DUMMYFUNCTION("""COMPUTED_VALUE"""),15.75)</f>
        <v>15.75</v>
      </c>
      <c r="H128" s="80">
        <f>IFERROR(__xludf.DUMMYFUNCTION("""COMPUTED_VALUE"""),20.75)</f>
        <v>20.75</v>
      </c>
      <c r="I128" s="80">
        <f>IFERROR(__xludf.DUMMYFUNCTION("""COMPUTED_VALUE"""),100.0)</f>
        <v>100</v>
      </c>
      <c r="J128" s="109"/>
      <c r="K128" s="109"/>
      <c r="L128" s="109"/>
      <c r="M128" s="109">
        <f>IFERROR(__xludf.DUMMYFUNCTION("""COMPUTED_VALUE"""),0.1)</f>
        <v>0.1</v>
      </c>
      <c r="N128" s="109">
        <f>IFERROR(__xludf.DUMMYFUNCTION("""COMPUTED_VALUE"""),1.0)</f>
        <v>1</v>
      </c>
      <c r="O128" s="109"/>
      <c r="P128" s="109" t="str">
        <f>IFERROR(__xludf.DUMMYFUNCTION("""COMPUTED_VALUE"""),"Offset")</f>
        <v>Offset</v>
      </c>
      <c r="Q128" s="109" t="str">
        <f>IFERROR(__xludf.DUMMYFUNCTION("""COMPUTED_VALUE"""),"Packaging")</f>
        <v>Packaging</v>
      </c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15"/>
      <c r="AK128" s="80"/>
      <c r="AL128" s="80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</row>
    <row r="129">
      <c r="A129" s="123" t="str">
        <f>IFERROR(__xludf.DUMMYFUNCTION("""COMPUTED_VALUE"""),"https://drive.google.com/open?id=1oroVxcUDNujmzKUqTL-wwmQSNBTee668&amp;authuser=jay.agg%40gmail.com&amp;usp=drive_fs")</f>
        <v>https://drive.google.com/open?id=1oroVxcUDNujmzKUqTL-wwmQSNBTee668&amp;authuser=jay.agg%40gmail.com&amp;usp=drive_fs</v>
      </c>
      <c r="B129" s="80" t="str">
        <f>IFERROR(__xludf.DUMMYFUNCTION("""COMPUTED_VALUE"""),"Food")</f>
        <v>Food</v>
      </c>
      <c r="C129" s="80" t="str">
        <f>IFERROR(__xludf.DUMMYFUNCTION("""COMPUTED_VALUE"""),"Chocolate")</f>
        <v>Chocolate</v>
      </c>
      <c r="D129" s="80" t="str">
        <f>IFERROR(__xludf.DUMMYFUNCTION("""COMPUTED_VALUE"""),"86*12*166 mm | 3.3*0.5*6.5 inch")</f>
        <v>86*12*166 mm | 3.3*0.5*6.5 inch</v>
      </c>
      <c r="E129" s="124">
        <f>IFERROR(__xludf.DUMMYFUNCTION("""COMPUTED_VALUE"""),6.0)</f>
        <v>6</v>
      </c>
      <c r="F129" s="80">
        <f>IFERROR(__xludf.DUMMYFUNCTION("""COMPUTED_VALUE"""),1926.0)</f>
        <v>1926</v>
      </c>
      <c r="G129" s="80">
        <f>IFERROR(__xludf.DUMMYFUNCTION("""COMPUTED_VALUE"""),18.0)</f>
        <v>18</v>
      </c>
      <c r="H129" s="80">
        <f>IFERROR(__xludf.DUMMYFUNCTION("""COMPUTED_VALUE"""),25.0)</f>
        <v>25</v>
      </c>
      <c r="I129" s="80">
        <f>IFERROR(__xludf.DUMMYFUNCTION("""COMPUTED_VALUE"""),100.0)</f>
        <v>100</v>
      </c>
      <c r="J129" s="109"/>
      <c r="K129" s="109"/>
      <c r="L129" s="109"/>
      <c r="M129" s="109">
        <f>IFERROR(__xludf.DUMMYFUNCTION("""COMPUTED_VALUE"""),0.1)</f>
        <v>0.1</v>
      </c>
      <c r="N129" s="109">
        <f>IFERROR(__xludf.DUMMYFUNCTION("""COMPUTED_VALUE"""),1.0)</f>
        <v>1</v>
      </c>
      <c r="O129" s="109"/>
      <c r="P129" s="109" t="str">
        <f>IFERROR(__xludf.DUMMYFUNCTION("""COMPUTED_VALUE"""),"Offset")</f>
        <v>Offset</v>
      </c>
      <c r="Q129" s="109" t="str">
        <f>IFERROR(__xludf.DUMMYFUNCTION("""COMPUTED_VALUE"""),"Packaging")</f>
        <v>Packaging</v>
      </c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15"/>
      <c r="AK129" s="80"/>
      <c r="AL129" s="80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</row>
    <row r="130">
      <c r="A130" s="123" t="str">
        <f>IFERROR(__xludf.DUMMYFUNCTION("""COMPUTED_VALUE"""),"https://drive.google.com/open?id=16JOlO9uJegkjlMHtkKbhnsDk3TfXug_s&amp;authuser=jay.agg%40gmail.com&amp;usp=drive_fs")</f>
        <v>https://drive.google.com/open?id=16JOlO9uJegkjlMHtkKbhnsDk3TfXug_s&amp;authuser=jay.agg%40gmail.com&amp;usp=drive_fs</v>
      </c>
      <c r="B130" s="80" t="str">
        <f>IFERROR(__xludf.DUMMYFUNCTION("""COMPUTED_VALUE"""),"Food")</f>
        <v>Food</v>
      </c>
      <c r="C130" s="80" t="str">
        <f>IFERROR(__xludf.DUMMYFUNCTION("""COMPUTED_VALUE"""),"Chokidhani")</f>
        <v>Chokidhani</v>
      </c>
      <c r="D130" s="80" t="str">
        <f>IFERROR(__xludf.DUMMYFUNCTION("""COMPUTED_VALUE"""),"140*45*210 mm | 5.5*1.7*8.2 inch")</f>
        <v>140*45*210 mm | 5.5*1.7*8.2 inch</v>
      </c>
      <c r="E130" s="124">
        <f>IFERROR(__xludf.DUMMYFUNCTION("""COMPUTED_VALUE"""),2.0)</f>
        <v>2</v>
      </c>
      <c r="F130" s="80">
        <f>IFERROR(__xludf.DUMMYFUNCTION("""COMPUTED_VALUE"""),1926.0)</f>
        <v>1926</v>
      </c>
      <c r="G130" s="80">
        <f>IFERROR(__xludf.DUMMYFUNCTION("""COMPUTED_VALUE"""),18.0)</f>
        <v>18</v>
      </c>
      <c r="H130" s="80">
        <f>IFERROR(__xludf.DUMMYFUNCTION("""COMPUTED_VALUE"""),25.0)</f>
        <v>25</v>
      </c>
      <c r="I130" s="80">
        <f>IFERROR(__xludf.DUMMYFUNCTION("""COMPUTED_VALUE"""),100.0)</f>
        <v>100</v>
      </c>
      <c r="J130" s="109"/>
      <c r="K130" s="109"/>
      <c r="L130" s="109"/>
      <c r="M130" s="109">
        <f>IFERROR(__xludf.DUMMYFUNCTION("""COMPUTED_VALUE"""),0.1)</f>
        <v>0.1</v>
      </c>
      <c r="N130" s="109">
        <f>IFERROR(__xludf.DUMMYFUNCTION("""COMPUTED_VALUE"""),1.0)</f>
        <v>1</v>
      </c>
      <c r="O130" s="109"/>
      <c r="P130" s="109" t="str">
        <f>IFERROR(__xludf.DUMMYFUNCTION("""COMPUTED_VALUE"""),"Offset")</f>
        <v>Offset</v>
      </c>
      <c r="Q130" s="109" t="str">
        <f>IFERROR(__xludf.DUMMYFUNCTION("""COMPUTED_VALUE"""),"Packaging")</f>
        <v>Packaging</v>
      </c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15"/>
      <c r="AK130" s="80"/>
      <c r="AL130" s="80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</row>
    <row r="131">
      <c r="A131" s="123" t="str">
        <f>IFERROR(__xludf.DUMMYFUNCTION("""COMPUTED_VALUE"""),"https://drive.google.com/open?id=185JJStzmKnmq6iEa5gsiDbI5gcwueh6H&amp;authuser=jay.agg%40gmail.com&amp;usp=drive_fs")</f>
        <v>https://drive.google.com/open?id=185JJStzmKnmq6iEa5gsiDbI5gcwueh6H&amp;authuser=jay.agg%40gmail.com&amp;usp=drive_fs</v>
      </c>
      <c r="B131" s="80" t="str">
        <f>IFERROR(__xludf.DUMMYFUNCTION("""COMPUTED_VALUE"""),"Food")</f>
        <v>Food</v>
      </c>
      <c r="C131" s="80" t="str">
        <f>IFERROR(__xludf.DUMMYFUNCTION("""COMPUTED_VALUE"""),"Dates")</f>
        <v>Dates</v>
      </c>
      <c r="D131" s="80" t="str">
        <f>IFERROR(__xludf.DUMMYFUNCTION("""COMPUTED_VALUE"""),"242*145*50 mm | 9.5*5.7*2 inch")</f>
        <v>242*145*50 mm | 9.5*5.7*2 inch</v>
      </c>
      <c r="E131" s="124">
        <f>IFERROR(__xludf.DUMMYFUNCTION("""COMPUTED_VALUE"""),2.0)</f>
        <v>2</v>
      </c>
      <c r="F131" s="80">
        <f>IFERROR(__xludf.DUMMYFUNCTION("""COMPUTED_VALUE"""),1926.0)</f>
        <v>1926</v>
      </c>
      <c r="G131" s="80">
        <f>IFERROR(__xludf.DUMMYFUNCTION("""COMPUTED_VALUE"""),15.75)</f>
        <v>15.75</v>
      </c>
      <c r="H131" s="80">
        <f>IFERROR(__xludf.DUMMYFUNCTION("""COMPUTED_VALUE"""),20.75)</f>
        <v>20.75</v>
      </c>
      <c r="I131" s="80">
        <f>IFERROR(__xludf.DUMMYFUNCTION("""COMPUTED_VALUE"""),100.0)</f>
        <v>100</v>
      </c>
      <c r="J131" s="109"/>
      <c r="K131" s="109"/>
      <c r="L131" s="109">
        <f>IFERROR(__xludf.DUMMYFUNCTION("""COMPUTED_VALUE"""),1.5)</f>
        <v>1.5</v>
      </c>
      <c r="M131" s="109"/>
      <c r="N131" s="109">
        <f>IFERROR(__xludf.DUMMYFUNCTION("""COMPUTED_VALUE"""),1.0)</f>
        <v>1</v>
      </c>
      <c r="O131" s="109"/>
      <c r="P131" s="109" t="str">
        <f>IFERROR(__xludf.DUMMYFUNCTION("""COMPUTED_VALUE"""),"Offset")</f>
        <v>Offset</v>
      </c>
      <c r="Q131" s="109" t="str">
        <f>IFERROR(__xludf.DUMMYFUNCTION("""COMPUTED_VALUE"""),"Packaging")</f>
        <v>Packaging</v>
      </c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15"/>
      <c r="AK131" s="80"/>
      <c r="AL131" s="80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</row>
    <row r="132">
      <c r="A132" s="123" t="str">
        <f>IFERROR(__xludf.DUMMYFUNCTION("""COMPUTED_VALUE"""),"https://drive.google.com/open?id=183Ob4cvJ9MHnezNeWn4my_m7xG5y_0kP&amp;authuser=jay.agg%40gmail.com&amp;usp=drive_fs")</f>
        <v>https://drive.google.com/open?id=183Ob4cvJ9MHnezNeWn4my_m7xG5y_0kP&amp;authuser=jay.agg%40gmail.com&amp;usp=drive_fs</v>
      </c>
      <c r="B132" s="80" t="str">
        <f>IFERROR(__xludf.DUMMYFUNCTION("""COMPUTED_VALUE"""),"Food")</f>
        <v>Food</v>
      </c>
      <c r="C132" s="80" t="str">
        <f>IFERROR(__xludf.DUMMYFUNCTION("""COMPUTED_VALUE"""),"Dates")</f>
        <v>Dates</v>
      </c>
      <c r="D132" s="80" t="str">
        <f>IFERROR(__xludf.DUMMYFUNCTION("""COMPUTED_VALUE"""),"Bottom 242*145*50 mm | 9.5*5.7*2 inch | 30*19")</f>
        <v>Bottom 242*145*50 mm | 9.5*5.7*2 inch | 30*19</v>
      </c>
      <c r="E132" s="124">
        <f>IFERROR(__xludf.DUMMYFUNCTION("""COMPUTED_VALUE"""),3.0)</f>
        <v>3</v>
      </c>
      <c r="F132" s="80">
        <f>IFERROR(__xludf.DUMMYFUNCTION("""COMPUTED_VALUE"""),2029.0)</f>
        <v>2029</v>
      </c>
      <c r="G132" s="80">
        <f>IFERROR(__xludf.DUMMYFUNCTION("""COMPUTED_VALUE"""),20.5)</f>
        <v>20.5</v>
      </c>
      <c r="H132" s="80">
        <f>IFERROR(__xludf.DUMMYFUNCTION("""COMPUTED_VALUE"""),31.0)</f>
        <v>31</v>
      </c>
      <c r="I132" s="80">
        <f>IFERROR(__xludf.DUMMYFUNCTION("""COMPUTED_VALUE"""),100.0)</f>
        <v>100</v>
      </c>
      <c r="J132" s="109"/>
      <c r="K132" s="109"/>
      <c r="L132" s="109"/>
      <c r="M132" s="109"/>
      <c r="N132" s="109">
        <f>IFERROR(__xludf.DUMMYFUNCTION("""COMPUTED_VALUE"""),1.0)</f>
        <v>1</v>
      </c>
      <c r="O132" s="109"/>
      <c r="P132" s="109" t="str">
        <f>IFERROR(__xludf.DUMMYFUNCTION("""COMPUTED_VALUE"""),"Offset")</f>
        <v>Offset</v>
      </c>
      <c r="Q132" s="109" t="str">
        <f>IFERROR(__xludf.DUMMYFUNCTION("""COMPUTED_VALUE"""),"Packaging")</f>
        <v>Packaging</v>
      </c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5"/>
      <c r="AK132" s="80"/>
      <c r="AL132" s="80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</row>
    <row r="133">
      <c r="A133" s="123" t="str">
        <f>IFERROR(__xludf.DUMMYFUNCTION("""COMPUTED_VALUE"""),"https://drive.google.com/open?id=1-fjyTecvivYJ7Pn-ktlhKoMzHFP0Nxdk&amp;authuser=jay.agg%40gmail.com&amp;usp=drive_fs")</f>
        <v>https://drive.google.com/open?id=1-fjyTecvivYJ7Pn-ktlhKoMzHFP0Nxdk&amp;authuser=jay.agg%40gmail.com&amp;usp=drive_fs</v>
      </c>
      <c r="B133" s="80" t="str">
        <f>IFERROR(__xludf.DUMMYFUNCTION("""COMPUTED_VALUE"""),"Food")</f>
        <v>Food</v>
      </c>
      <c r="C133" s="80" t="str">
        <f>IFERROR(__xludf.DUMMYFUNCTION("""COMPUTED_VALUE"""),"Pizza")</f>
        <v>Pizza</v>
      </c>
      <c r="D133" s="80" t="str">
        <f>IFERROR(__xludf.DUMMYFUNCTION("""COMPUTED_VALUE"""),"175*175*38 mm | 6.9*6.9*1.5 inch | 20*30")</f>
        <v>175*175*38 mm | 6.9*6.9*1.5 inch | 20*30</v>
      </c>
      <c r="E133" s="124">
        <f>IFERROR(__xludf.DUMMYFUNCTION("""COMPUTED_VALUE"""),3.0)</f>
        <v>3</v>
      </c>
      <c r="F133" s="80">
        <f>IFERROR(__xludf.DUMMYFUNCTION("""COMPUTED_VALUE"""),2029.0)</f>
        <v>2029</v>
      </c>
      <c r="G133" s="80">
        <f>IFERROR(__xludf.DUMMYFUNCTION("""COMPUTED_VALUE"""),20.75)</f>
        <v>20.75</v>
      </c>
      <c r="H133" s="80">
        <f>IFERROR(__xludf.DUMMYFUNCTION("""COMPUTED_VALUE"""),31.5)</f>
        <v>31.5</v>
      </c>
      <c r="I133" s="80">
        <f>IFERROR(__xludf.DUMMYFUNCTION("""COMPUTED_VALUE"""),100.0)</f>
        <v>100</v>
      </c>
      <c r="J133" s="109"/>
      <c r="K133" s="109"/>
      <c r="L133" s="109"/>
      <c r="M133" s="109"/>
      <c r="N133" s="109">
        <f>IFERROR(__xludf.DUMMYFUNCTION("""COMPUTED_VALUE"""),1.0)</f>
        <v>1</v>
      </c>
      <c r="O133" s="109"/>
      <c r="P133" s="109" t="str">
        <f>IFERROR(__xludf.DUMMYFUNCTION("""COMPUTED_VALUE"""),"Offset")</f>
        <v>Offset</v>
      </c>
      <c r="Q133" s="109" t="str">
        <f>IFERROR(__xludf.DUMMYFUNCTION("""COMPUTED_VALUE"""),"Packaging")</f>
        <v>Packaging</v>
      </c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15"/>
      <c r="AK133" s="80"/>
      <c r="AL133" s="80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</row>
    <row r="134">
      <c r="A134" s="123" t="str">
        <f>IFERROR(__xludf.DUMMYFUNCTION("""COMPUTED_VALUE"""),"https://drive.google.com/open?id=1-gJxWqC7qaIkNPtpzz6EhY1EBbwwMB8M&amp;authuser=jay.agg%40gmail.com&amp;usp=drive_fs")</f>
        <v>https://drive.google.com/open?id=1-gJxWqC7qaIkNPtpzz6EhY1EBbwwMB8M&amp;authuser=jay.agg%40gmail.com&amp;usp=drive_fs</v>
      </c>
      <c r="B134" s="80" t="str">
        <f>IFERROR(__xludf.DUMMYFUNCTION("""COMPUTED_VALUE"""),"Food")</f>
        <v>Food</v>
      </c>
      <c r="C134" s="80" t="str">
        <f>IFERROR(__xludf.DUMMYFUNCTION("""COMPUTED_VALUE"""),"Pizza")</f>
        <v>Pizza</v>
      </c>
      <c r="D134" s="80" t="str">
        <f>IFERROR(__xludf.DUMMYFUNCTION("""COMPUTED_VALUE"""),"225*225*40 mm | 8.9*8.9*1.5 inch | 24*36")</f>
        <v>225*225*40 mm | 8.9*8.9*1.5 inch | 24*36</v>
      </c>
      <c r="E134" s="124">
        <f>IFERROR(__xludf.DUMMYFUNCTION("""COMPUTED_VALUE"""),3.0)</f>
        <v>3</v>
      </c>
      <c r="F134" s="80">
        <f>IFERROR(__xludf.DUMMYFUNCTION("""COMPUTED_VALUE"""),2840.0)</f>
        <v>2840</v>
      </c>
      <c r="G134" s="80">
        <f>IFERROR(__xludf.DUMMYFUNCTION("""COMPUTED_VALUE"""),25.0)</f>
        <v>25</v>
      </c>
      <c r="H134" s="80">
        <f>IFERROR(__xludf.DUMMYFUNCTION("""COMPUTED_VALUE"""),36.0)</f>
        <v>36</v>
      </c>
      <c r="I134" s="80">
        <f>IFERROR(__xludf.DUMMYFUNCTION("""COMPUTED_VALUE"""),100.0)</f>
        <v>100</v>
      </c>
      <c r="J134" s="109"/>
      <c r="K134" s="109"/>
      <c r="L134" s="109"/>
      <c r="M134" s="109"/>
      <c r="N134" s="109">
        <f>IFERROR(__xludf.DUMMYFUNCTION("""COMPUTED_VALUE"""),1.0)</f>
        <v>1</v>
      </c>
      <c r="O134" s="109"/>
      <c r="P134" s="109" t="str">
        <f>IFERROR(__xludf.DUMMYFUNCTION("""COMPUTED_VALUE"""),"Offset")</f>
        <v>Offset</v>
      </c>
      <c r="Q134" s="109" t="str">
        <f>IFERROR(__xludf.DUMMYFUNCTION("""COMPUTED_VALUE"""),"Packaging")</f>
        <v>Packaging</v>
      </c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15"/>
      <c r="AK134" s="80"/>
      <c r="AL134" s="80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</row>
    <row r="135">
      <c r="A135" s="123" t="str">
        <f>IFERROR(__xludf.DUMMYFUNCTION("""COMPUTED_VALUE"""),"https://drive.google.com/open?id=19h_15EmyfzpSmK6eV00bAGEnKJIE7ZYY&amp;authuser=jay.agg%40gmail.com&amp;usp=drive_fs")</f>
        <v>https://drive.google.com/open?id=19h_15EmyfzpSmK6eV00bAGEnKJIE7ZYY&amp;authuser=jay.agg%40gmail.com&amp;usp=drive_fs</v>
      </c>
      <c r="B135" s="80" t="str">
        <f>IFERROR(__xludf.DUMMYFUNCTION("""COMPUTED_VALUE"""),"Food")</f>
        <v>Food</v>
      </c>
      <c r="C135" s="80" t="str">
        <f>IFERROR(__xludf.DUMMYFUNCTION("""COMPUTED_VALUE"""),"Rusk")</f>
        <v>Rusk</v>
      </c>
      <c r="D135" s="80" t="str">
        <f>IFERROR(__xludf.DUMMYFUNCTION("""COMPUTED_VALUE"""),"Tray 130*80*155 mm | 5*3*6 inch")</f>
        <v>Tray 130*80*155 mm | 5*3*6 inch</v>
      </c>
      <c r="E135" s="124">
        <f>IFERROR(__xludf.DUMMYFUNCTION("""COMPUTED_VALUE"""),1.0)</f>
        <v>1</v>
      </c>
      <c r="F135" s="80">
        <f>IFERROR(__xludf.DUMMYFUNCTION("""COMPUTED_VALUE"""),1926.0)</f>
        <v>1926</v>
      </c>
      <c r="G135" s="80">
        <f>IFERROR(__xludf.DUMMYFUNCTION("""COMPUTED_VALUE"""),19.5)</f>
        <v>19.5</v>
      </c>
      <c r="H135" s="80">
        <f>IFERROR(__xludf.DUMMYFUNCTION("""COMPUTED_VALUE"""),23.0)</f>
        <v>23</v>
      </c>
      <c r="I135" s="80">
        <f>IFERROR(__xludf.DUMMYFUNCTION("""COMPUTED_VALUE"""),100.0)</f>
        <v>100</v>
      </c>
      <c r="J135" s="109"/>
      <c r="K135" s="109"/>
      <c r="L135" s="109"/>
      <c r="M135" s="109"/>
      <c r="N135" s="109">
        <f>IFERROR(__xludf.DUMMYFUNCTION("""COMPUTED_VALUE"""),1.0)</f>
        <v>1</v>
      </c>
      <c r="O135" s="109"/>
      <c r="P135" s="109" t="str">
        <f>IFERROR(__xludf.DUMMYFUNCTION("""COMPUTED_VALUE"""),"Offset")</f>
        <v>Offset</v>
      </c>
      <c r="Q135" s="109" t="str">
        <f>IFERROR(__xludf.DUMMYFUNCTION("""COMPUTED_VALUE"""),"Packaging")</f>
        <v>Packaging</v>
      </c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15"/>
      <c r="AK135" s="80"/>
      <c r="AL135" s="80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</row>
    <row r="136">
      <c r="A136" s="123" t="str">
        <f>IFERROR(__xludf.DUMMYFUNCTION("""COMPUTED_VALUE"""),"https://drive.google.com/open?id=1-o8oI24Lqp8Fz_8I-wHi1aJ4e6WLRF04&amp;authuser=jay.agg%40gmail.com&amp;usp=drive_fs")</f>
        <v>https://drive.google.com/open?id=1-o8oI24Lqp8Fz_8I-wHi1aJ4e6WLRF04&amp;authuser=jay.agg%40gmail.com&amp;usp=drive_fs</v>
      </c>
      <c r="B136" s="80" t="str">
        <f>IFERROR(__xludf.DUMMYFUNCTION("""COMPUTED_VALUE"""),"Food")</f>
        <v>Food</v>
      </c>
      <c r="C136" s="80" t="str">
        <f>IFERROR(__xludf.DUMMYFUNCTION("""COMPUTED_VALUE"""),"Rusk")</f>
        <v>Rusk</v>
      </c>
      <c r="D136" s="80" t="str">
        <f>IFERROR(__xludf.DUMMYFUNCTION("""COMPUTED_VALUE"""),"162*44*232 mm | 6.4*1.7*9.1 inch")</f>
        <v>162*44*232 mm | 6.4*1.7*9.1 inch</v>
      </c>
      <c r="E136" s="124">
        <f>IFERROR(__xludf.DUMMYFUNCTION("""COMPUTED_VALUE"""),2.0)</f>
        <v>2</v>
      </c>
      <c r="F136" s="80">
        <f>IFERROR(__xludf.DUMMYFUNCTION("""COMPUTED_VALUE"""),1926.0)</f>
        <v>1926</v>
      </c>
      <c r="G136" s="80">
        <f>IFERROR(__xludf.DUMMYFUNCTION("""COMPUTED_VALUE"""),19.0)</f>
        <v>19</v>
      </c>
      <c r="H136" s="80">
        <f>IFERROR(__xludf.DUMMYFUNCTION("""COMPUTED_VALUE"""),26.0)</f>
        <v>26</v>
      </c>
      <c r="I136" s="80">
        <f>IFERROR(__xludf.DUMMYFUNCTION("""COMPUTED_VALUE"""),100.0)</f>
        <v>100</v>
      </c>
      <c r="J136" s="109"/>
      <c r="K136" s="109"/>
      <c r="L136" s="109"/>
      <c r="M136" s="109">
        <f>IFERROR(__xludf.DUMMYFUNCTION("""COMPUTED_VALUE"""),0.1)</f>
        <v>0.1</v>
      </c>
      <c r="N136" s="109">
        <f>IFERROR(__xludf.DUMMYFUNCTION("""COMPUTED_VALUE"""),1.0)</f>
        <v>1</v>
      </c>
      <c r="O136" s="109"/>
      <c r="P136" s="109" t="str">
        <f>IFERROR(__xludf.DUMMYFUNCTION("""COMPUTED_VALUE"""),"Offset")</f>
        <v>Offset</v>
      </c>
      <c r="Q136" s="109" t="str">
        <f>IFERROR(__xludf.DUMMYFUNCTION("""COMPUTED_VALUE"""),"Packaging")</f>
        <v>Packaging</v>
      </c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15"/>
      <c r="AK136" s="80"/>
      <c r="AL136" s="80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</row>
    <row r="137">
      <c r="A137" s="123" t="str">
        <f>IFERROR(__xludf.DUMMYFUNCTION("""COMPUTED_VALUE"""),"https://drive.google.com/open?id=1-oT6y8vhavi5PpfM4kP-BHY6_Ngd9_gI&amp;authuser=jay.agg%40gmail.com&amp;usp=drive_fs")</f>
        <v>https://drive.google.com/open?id=1-oT6y8vhavi5PpfM4kP-BHY6_Ngd9_gI&amp;authuser=jay.agg%40gmail.com&amp;usp=drive_fs</v>
      </c>
      <c r="B137" s="80" t="str">
        <f>IFERROR(__xludf.DUMMYFUNCTION("""COMPUTED_VALUE"""),"Food")</f>
        <v>Food</v>
      </c>
      <c r="C137" s="80" t="str">
        <f>IFERROR(__xludf.DUMMYFUNCTION("""COMPUTED_VALUE"""),"Cookies")</f>
        <v>Cookies</v>
      </c>
      <c r="D137" s="80" t="str">
        <f>IFERROR(__xludf.DUMMYFUNCTION("""COMPUTED_VALUE"""),"142*65*197 mm | 5.6*1.7*7.8 inch")</f>
        <v>142*65*197 mm | 5.6*1.7*7.8 inch</v>
      </c>
      <c r="E137" s="124">
        <f>IFERROR(__xludf.DUMMYFUNCTION("""COMPUTED_VALUE"""),2.0)</f>
        <v>2</v>
      </c>
      <c r="F137" s="80">
        <f>IFERROR(__xludf.DUMMYFUNCTION("""COMPUTED_VALUE"""),1926.0)</f>
        <v>1926</v>
      </c>
      <c r="G137" s="80">
        <f>IFERROR(__xludf.DUMMYFUNCTION("""COMPUTED_VALUE"""),18.0)</f>
        <v>18</v>
      </c>
      <c r="H137" s="80">
        <f>IFERROR(__xludf.DUMMYFUNCTION("""COMPUTED_VALUE"""),23.0)</f>
        <v>23</v>
      </c>
      <c r="I137" s="80">
        <f>IFERROR(__xludf.DUMMYFUNCTION("""COMPUTED_VALUE"""),100.0)</f>
        <v>100</v>
      </c>
      <c r="J137" s="109"/>
      <c r="K137" s="109"/>
      <c r="L137" s="109"/>
      <c r="M137" s="109">
        <f>IFERROR(__xludf.DUMMYFUNCTION("""COMPUTED_VALUE"""),0.1)</f>
        <v>0.1</v>
      </c>
      <c r="N137" s="109">
        <f>IFERROR(__xludf.DUMMYFUNCTION("""COMPUTED_VALUE"""),1.0)</f>
        <v>1</v>
      </c>
      <c r="O137" s="109"/>
      <c r="P137" s="109" t="str">
        <f>IFERROR(__xludf.DUMMYFUNCTION("""COMPUTED_VALUE"""),"Offset")</f>
        <v>Offset</v>
      </c>
      <c r="Q137" s="109" t="str">
        <f>IFERROR(__xludf.DUMMYFUNCTION("""COMPUTED_VALUE"""),"Packaging")</f>
        <v>Packaging</v>
      </c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15"/>
      <c r="AK137" s="80"/>
      <c r="AL137" s="80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</row>
    <row r="138">
      <c r="A138" s="123" t="str">
        <f>IFERROR(__xludf.DUMMYFUNCTION("""COMPUTED_VALUE"""),"https://drive.google.com/open?id=1AdqBigX6Pn_sAWYBwXiFcHUaw_tiHWuF&amp;authuser=jay.agg%40gmail.com&amp;usp=drive_fs")</f>
        <v>https://drive.google.com/open?id=1AdqBigX6Pn_sAWYBwXiFcHUaw_tiHWuF&amp;authuser=jay.agg%40gmail.com&amp;usp=drive_fs</v>
      </c>
      <c r="B138" s="80" t="str">
        <f>IFERROR(__xludf.DUMMYFUNCTION("""COMPUTED_VALUE"""),"Food")</f>
        <v>Food</v>
      </c>
      <c r="C138" s="80" t="str">
        <f>IFERROR(__xludf.DUMMYFUNCTION("""COMPUTED_VALUE"""),"Cake")</f>
        <v>Cake</v>
      </c>
      <c r="D138" s="80" t="str">
        <f>IFERROR(__xludf.DUMMYFUNCTION("""COMPUTED_VALUE"""),"102*76*178 mm | 4*3*7 inch")</f>
        <v>102*76*178 mm | 4*3*7 inch</v>
      </c>
      <c r="E138" s="124">
        <f>IFERROR(__xludf.DUMMYFUNCTION("""COMPUTED_VALUE"""),2.0)</f>
        <v>2</v>
      </c>
      <c r="F138" s="80">
        <f>IFERROR(__xludf.DUMMYFUNCTION("""COMPUTED_VALUE"""),1926.0)</f>
        <v>1926</v>
      </c>
      <c r="G138" s="80">
        <f>IFERROR(__xludf.DUMMYFUNCTION("""COMPUTED_VALUE"""),19.0)</f>
        <v>19</v>
      </c>
      <c r="H138" s="80">
        <f>IFERROR(__xludf.DUMMYFUNCTION("""COMPUTED_VALUE"""),26.0)</f>
        <v>26</v>
      </c>
      <c r="I138" s="80">
        <f>IFERROR(__xludf.DUMMYFUNCTION("""COMPUTED_VALUE"""),100.0)</f>
        <v>100</v>
      </c>
      <c r="J138" s="109"/>
      <c r="K138" s="109"/>
      <c r="L138" s="109"/>
      <c r="M138" s="109">
        <f>IFERROR(__xludf.DUMMYFUNCTION("""COMPUTED_VALUE"""),0.1)</f>
        <v>0.1</v>
      </c>
      <c r="N138" s="109">
        <f>IFERROR(__xludf.DUMMYFUNCTION("""COMPUTED_VALUE"""),1.0)</f>
        <v>1</v>
      </c>
      <c r="O138" s="109"/>
      <c r="P138" s="109" t="str">
        <f>IFERROR(__xludf.DUMMYFUNCTION("""COMPUTED_VALUE"""),"Offset")</f>
        <v>Offset</v>
      </c>
      <c r="Q138" s="109" t="str">
        <f>IFERROR(__xludf.DUMMYFUNCTION("""COMPUTED_VALUE"""),"Packaging")</f>
        <v>Packaging</v>
      </c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15"/>
      <c r="AK138" s="80"/>
      <c r="AL138" s="80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</row>
    <row r="139">
      <c r="A139" s="123" t="str">
        <f>IFERROR(__xludf.DUMMYFUNCTION("""COMPUTED_VALUE"""),"https://drive.google.com/open?id=1BYi6RVT0eoWigrpRqRCPROnVYKmhXiec&amp;authuser=jay.agg%40gmail.com&amp;usp=drive_fs")</f>
        <v>https://drive.google.com/open?id=1BYi6RVT0eoWigrpRqRCPROnVYKmhXiec&amp;authuser=jay.agg%40gmail.com&amp;usp=drive_fs</v>
      </c>
      <c r="B139" s="80" t="str">
        <f>IFERROR(__xludf.DUMMYFUNCTION("""COMPUTED_VALUE"""),"Food")</f>
        <v>Food</v>
      </c>
      <c r="C139" s="80" t="str">
        <f>IFERROR(__xludf.DUMMYFUNCTION("""COMPUTED_VALUE"""),"Cookies")</f>
        <v>Cookies</v>
      </c>
      <c r="D139" s="80" t="str">
        <f>IFERROR(__xludf.DUMMYFUNCTION("""COMPUTED_VALUE"""),"155*155*70 mm | 6.1*6.1*2.75 inch")</f>
        <v>155*155*70 mm | 6.1*6.1*2.75 inch</v>
      </c>
      <c r="E139" s="124">
        <f>IFERROR(__xludf.DUMMYFUNCTION("""COMPUTED_VALUE"""),2.0)</f>
        <v>2</v>
      </c>
      <c r="F139" s="80">
        <f>IFERROR(__xludf.DUMMYFUNCTION("""COMPUTED_VALUE"""),1926.0)</f>
        <v>1926</v>
      </c>
      <c r="G139" s="80">
        <f>IFERROR(__xludf.DUMMYFUNCTION("""COMPUTED_VALUE"""),19.5)</f>
        <v>19.5</v>
      </c>
      <c r="H139" s="80">
        <f>IFERROR(__xludf.DUMMYFUNCTION("""COMPUTED_VALUE"""),23.0)</f>
        <v>23</v>
      </c>
      <c r="I139" s="80">
        <f>IFERROR(__xludf.DUMMYFUNCTION("""COMPUTED_VALUE"""),100.0)</f>
        <v>100</v>
      </c>
      <c r="J139" s="109"/>
      <c r="K139" s="109"/>
      <c r="L139" s="109"/>
      <c r="M139" s="109">
        <f>IFERROR(__xludf.DUMMYFUNCTION("""COMPUTED_VALUE"""),0.1)</f>
        <v>0.1</v>
      </c>
      <c r="N139" s="109">
        <f>IFERROR(__xludf.DUMMYFUNCTION("""COMPUTED_VALUE"""),1.0)</f>
        <v>1</v>
      </c>
      <c r="O139" s="109"/>
      <c r="P139" s="109" t="str">
        <f>IFERROR(__xludf.DUMMYFUNCTION("""COMPUTED_VALUE"""),"Offset")</f>
        <v>Offset</v>
      </c>
      <c r="Q139" s="109" t="str">
        <f>IFERROR(__xludf.DUMMYFUNCTION("""COMPUTED_VALUE"""),"Packaging")</f>
        <v>Packaging</v>
      </c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15"/>
      <c r="AK139" s="80"/>
      <c r="AL139" s="80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</row>
    <row r="140">
      <c r="A140" s="123" t="str">
        <f>IFERROR(__xludf.DUMMYFUNCTION("""COMPUTED_VALUE"""),"https://drive.google.com/open?id=1B_xNu6ohe1QHqVncNRMjW5w6ogYyczx9&amp;authuser=jay.agg%40gmail.com&amp;usp=drive_fs")</f>
        <v>https://drive.google.com/open?id=1B_xNu6ohe1QHqVncNRMjW5w6ogYyczx9&amp;authuser=jay.agg%40gmail.com&amp;usp=drive_fs</v>
      </c>
      <c r="B140" s="80" t="str">
        <f>IFERROR(__xludf.DUMMYFUNCTION("""COMPUTED_VALUE"""),"Food")</f>
        <v>Food</v>
      </c>
      <c r="C140" s="80" t="str">
        <f>IFERROR(__xludf.DUMMYFUNCTION("""COMPUTED_VALUE"""),"Cookies")</f>
        <v>Cookies</v>
      </c>
      <c r="D140" s="80" t="str">
        <f>IFERROR(__xludf.DUMMYFUNCTION("""COMPUTED_VALUE"""),"Tray 155*155*70 mm | 6.1*6.1*2.75 inch")</f>
        <v>Tray 155*155*70 mm | 6.1*6.1*2.75 inch</v>
      </c>
      <c r="E140" s="124">
        <f>IFERROR(__xludf.DUMMYFUNCTION("""COMPUTED_VALUE"""),1.0)</f>
        <v>1</v>
      </c>
      <c r="F140" s="80">
        <f>IFERROR(__xludf.DUMMYFUNCTION("""COMPUTED_VALUE"""),1926.0)</f>
        <v>1926</v>
      </c>
      <c r="G140" s="80">
        <f>IFERROR(__xludf.DUMMYFUNCTION("""COMPUTED_VALUE"""),19.0)</f>
        <v>19</v>
      </c>
      <c r="H140" s="80">
        <f>IFERROR(__xludf.DUMMYFUNCTION("""COMPUTED_VALUE"""),20.0)</f>
        <v>20</v>
      </c>
      <c r="I140" s="80">
        <f>IFERROR(__xludf.DUMMYFUNCTION("""COMPUTED_VALUE"""),100.0)</f>
        <v>100</v>
      </c>
      <c r="J140" s="109"/>
      <c r="K140" s="109"/>
      <c r="L140" s="109"/>
      <c r="M140" s="109"/>
      <c r="N140" s="109">
        <f>IFERROR(__xludf.DUMMYFUNCTION("""COMPUTED_VALUE"""),1.0)</f>
        <v>1</v>
      </c>
      <c r="O140" s="109"/>
      <c r="P140" s="109" t="str">
        <f>IFERROR(__xludf.DUMMYFUNCTION("""COMPUTED_VALUE"""),"Offset")</f>
        <v>Offset</v>
      </c>
      <c r="Q140" s="109" t="str">
        <f>IFERROR(__xludf.DUMMYFUNCTION("""COMPUTED_VALUE"""),"Packaging")</f>
        <v>Packaging</v>
      </c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15"/>
      <c r="AK140" s="80"/>
      <c r="AL140" s="80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</row>
    <row r="141">
      <c r="A141" s="123" t="str">
        <f>IFERROR(__xludf.DUMMYFUNCTION("""COMPUTED_VALUE"""),"https://drive.google.com/open?id=1BxDmiNEIPSwpW9_10C_5j9fFG9Yo7vmz&amp;authuser=jay.agg%40gmail.com&amp;usp=drive_fs")</f>
        <v>https://drive.google.com/open?id=1BxDmiNEIPSwpW9_10C_5j9fFG9Yo7vmz&amp;authuser=jay.agg%40gmail.com&amp;usp=drive_fs</v>
      </c>
      <c r="B141" s="80" t="str">
        <f>IFERROR(__xludf.DUMMYFUNCTION("""COMPUTED_VALUE"""),"Food")</f>
        <v>Food</v>
      </c>
      <c r="C141" s="80" t="str">
        <f>IFERROR(__xludf.DUMMYFUNCTION("""COMPUTED_VALUE"""),"Chocolate")</f>
        <v>Chocolate</v>
      </c>
      <c r="D141" s="80" t="str">
        <f>IFERROR(__xludf.DUMMYFUNCTION("""COMPUTED_VALUE"""),"55*10*100 mm | 2.1*0.4*4 inch")</f>
        <v>55*10*100 mm | 2.1*0.4*4 inch</v>
      </c>
      <c r="E141" s="124">
        <f>IFERROR(__xludf.DUMMYFUNCTION("""COMPUTED_VALUE"""),12.0)</f>
        <v>12</v>
      </c>
      <c r="F141" s="80">
        <f>IFERROR(__xludf.DUMMYFUNCTION("""COMPUTED_VALUE"""),1926.0)</f>
        <v>1926</v>
      </c>
      <c r="G141" s="80">
        <f>IFERROR(__xludf.DUMMYFUNCTION("""COMPUTED_VALUE"""),18.0)</f>
        <v>18</v>
      </c>
      <c r="H141" s="80">
        <f>IFERROR(__xludf.DUMMYFUNCTION("""COMPUTED_VALUE"""),23.0)</f>
        <v>23</v>
      </c>
      <c r="I141" s="80">
        <f>IFERROR(__xludf.DUMMYFUNCTION("""COMPUTED_VALUE"""),100.0)</f>
        <v>100</v>
      </c>
      <c r="J141" s="109"/>
      <c r="K141" s="109"/>
      <c r="L141" s="109"/>
      <c r="M141" s="109">
        <f>IFERROR(__xludf.DUMMYFUNCTION("""COMPUTED_VALUE"""),0.1)</f>
        <v>0.1</v>
      </c>
      <c r="N141" s="109">
        <f>IFERROR(__xludf.DUMMYFUNCTION("""COMPUTED_VALUE"""),1.0)</f>
        <v>1</v>
      </c>
      <c r="O141" s="109"/>
      <c r="P141" s="109" t="str">
        <f>IFERROR(__xludf.DUMMYFUNCTION("""COMPUTED_VALUE"""),"Offset")</f>
        <v>Offset</v>
      </c>
      <c r="Q141" s="109" t="str">
        <f>IFERROR(__xludf.DUMMYFUNCTION("""COMPUTED_VALUE"""),"Packaging")</f>
        <v>Packaging</v>
      </c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15"/>
      <c r="AK141" s="80"/>
      <c r="AL141" s="80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</row>
    <row r="142">
      <c r="A142" s="123" t="str">
        <f>IFERROR(__xludf.DUMMYFUNCTION("""COMPUTED_VALUE"""),"https://drive.google.com/open?id=1Bz4sUWWZOHATSdDMf6kCEQpB_dsTmHMM&amp;authuser=jay.agg%40gmail.com&amp;usp=drive_fs")</f>
        <v>https://drive.google.com/open?id=1Bz4sUWWZOHATSdDMf6kCEQpB_dsTmHMM&amp;authuser=jay.agg%40gmail.com&amp;usp=drive_fs</v>
      </c>
      <c r="B142" s="80" t="str">
        <f>IFERROR(__xludf.DUMMYFUNCTION("""COMPUTED_VALUE"""),"Food")</f>
        <v>Food</v>
      </c>
      <c r="C142" s="80" t="str">
        <f>IFERROR(__xludf.DUMMYFUNCTION("""COMPUTED_VALUE"""),"Chocolate")</f>
        <v>Chocolate</v>
      </c>
      <c r="D142" s="80" t="str">
        <f>IFERROR(__xludf.DUMMYFUNCTION("""COMPUTED_VALUE"""),"33*12*65 mm | 1.2*0.5*2.6 inch")</f>
        <v>33*12*65 mm | 1.2*0.5*2.6 inch</v>
      </c>
      <c r="E142" s="124">
        <f>IFERROR(__xludf.DUMMYFUNCTION("""COMPUTED_VALUE"""),24.0)</f>
        <v>24</v>
      </c>
      <c r="F142" s="80">
        <f>IFERROR(__xludf.DUMMYFUNCTION("""COMPUTED_VALUE"""),1926.0)</f>
        <v>1926</v>
      </c>
      <c r="G142" s="80">
        <f>IFERROR(__xludf.DUMMYFUNCTION("""COMPUTED_VALUE"""),15.0)</f>
        <v>15</v>
      </c>
      <c r="H142" s="80">
        <f>IFERROR(__xludf.DUMMYFUNCTION("""COMPUTED_VALUE"""),25.0)</f>
        <v>25</v>
      </c>
      <c r="I142" s="80">
        <f>IFERROR(__xludf.DUMMYFUNCTION("""COMPUTED_VALUE"""),100.0)</f>
        <v>100</v>
      </c>
      <c r="J142" s="109"/>
      <c r="K142" s="109"/>
      <c r="L142" s="109"/>
      <c r="M142" s="109">
        <f>IFERROR(__xludf.DUMMYFUNCTION("""COMPUTED_VALUE"""),0.1)</f>
        <v>0.1</v>
      </c>
      <c r="N142" s="109">
        <f>IFERROR(__xludf.DUMMYFUNCTION("""COMPUTED_VALUE"""),1.0)</f>
        <v>1</v>
      </c>
      <c r="O142" s="109"/>
      <c r="P142" s="109" t="str">
        <f>IFERROR(__xludf.DUMMYFUNCTION("""COMPUTED_VALUE"""),"Offset")</f>
        <v>Offset</v>
      </c>
      <c r="Q142" s="109" t="str">
        <f>IFERROR(__xludf.DUMMYFUNCTION("""COMPUTED_VALUE"""),"Packaging")</f>
        <v>Packaging</v>
      </c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15"/>
      <c r="AK142" s="80"/>
      <c r="AL142" s="80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</row>
    <row r="143">
      <c r="A143" s="123" t="str">
        <f>IFERROR(__xludf.DUMMYFUNCTION("""COMPUTED_VALUE"""),"https://drive.google.com/open?id=1C-CRZiDnbDfI4lGQzqIferHB26ea_TYM&amp;authuser=jay.agg%40gmail.com&amp;usp=drive_fs")</f>
        <v>https://drive.google.com/open?id=1C-CRZiDnbDfI4lGQzqIferHB26ea_TYM&amp;authuser=jay.agg%40gmail.com&amp;usp=drive_fs</v>
      </c>
      <c r="B143" s="80" t="str">
        <f>IFERROR(__xludf.DUMMYFUNCTION("""COMPUTED_VALUE"""),"Food")</f>
        <v>Food</v>
      </c>
      <c r="C143" s="80" t="str">
        <f>IFERROR(__xludf.DUMMYFUNCTION("""COMPUTED_VALUE"""),"Chocolate")</f>
        <v>Chocolate</v>
      </c>
      <c r="D143" s="80" t="str">
        <f>IFERROR(__xludf.DUMMYFUNCTION("""COMPUTED_VALUE"""),"Tray 33*12*65 mm | 1.2*0.5*2.6 inch")</f>
        <v>Tray 33*12*65 mm | 1.2*0.5*2.6 inch</v>
      </c>
      <c r="E143" s="124">
        <f>IFERROR(__xludf.DUMMYFUNCTION("""COMPUTED_VALUE"""),84.0)</f>
        <v>84</v>
      </c>
      <c r="F143" s="80">
        <f>IFERROR(__xludf.DUMMYFUNCTION("""COMPUTED_VALUE"""),1926.0)</f>
        <v>1926</v>
      </c>
      <c r="G143" s="80">
        <f>IFERROR(__xludf.DUMMYFUNCTION("""COMPUTED_VALUE"""),18.0)</f>
        <v>18</v>
      </c>
      <c r="H143" s="80">
        <f>IFERROR(__xludf.DUMMYFUNCTION("""COMPUTED_VALUE"""),23.0)</f>
        <v>23</v>
      </c>
      <c r="I143" s="80">
        <f>IFERROR(__xludf.DUMMYFUNCTION("""COMPUTED_VALUE"""),100.0)</f>
        <v>100</v>
      </c>
      <c r="J143" s="109"/>
      <c r="K143" s="109"/>
      <c r="L143" s="109"/>
      <c r="M143" s="109"/>
      <c r="N143" s="109">
        <f>IFERROR(__xludf.DUMMYFUNCTION("""COMPUTED_VALUE"""),1.0)</f>
        <v>1</v>
      </c>
      <c r="O143" s="109"/>
      <c r="P143" s="109" t="str">
        <f>IFERROR(__xludf.DUMMYFUNCTION("""COMPUTED_VALUE"""),"Offset")</f>
        <v>Offset</v>
      </c>
      <c r="Q143" s="109" t="str">
        <f>IFERROR(__xludf.DUMMYFUNCTION("""COMPUTED_VALUE"""),"Packaging")</f>
        <v>Packaging</v>
      </c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15"/>
      <c r="AK143" s="80"/>
      <c r="AL143" s="80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</row>
    <row r="144">
      <c r="A144" s="123" t="str">
        <f>IFERROR(__xludf.DUMMYFUNCTION("""COMPUTED_VALUE"""),"https://drive.google.com/open?id=1C-hPAU7lZGI54aBv2jnwvWxEGtK8YQKH&amp;authuser=jay.agg%40gmail.com&amp;usp=drive_fs")</f>
        <v>https://drive.google.com/open?id=1C-hPAU7lZGI54aBv2jnwvWxEGtK8YQKH&amp;authuser=jay.agg%40gmail.com&amp;usp=drive_fs</v>
      </c>
      <c r="B144" s="80" t="str">
        <f>IFERROR(__xludf.DUMMYFUNCTION("""COMPUTED_VALUE"""),"Food")</f>
        <v>Food</v>
      </c>
      <c r="C144" s="80" t="str">
        <f>IFERROR(__xludf.DUMMYFUNCTION("""COMPUTED_VALUE"""),"Chocolate")</f>
        <v>Chocolate</v>
      </c>
      <c r="D144" s="80" t="str">
        <f>IFERROR(__xludf.DUMMYFUNCTION("""COMPUTED_VALUE"""),"Slider 33*12*65 mm | 1.2*0.5*2.6 inch")</f>
        <v>Slider 33*12*65 mm | 1.2*0.5*2.6 inch</v>
      </c>
      <c r="E144" s="124">
        <f>IFERROR(__xludf.DUMMYFUNCTION("""COMPUTED_VALUE"""),30.0)</f>
        <v>30</v>
      </c>
      <c r="F144" s="80">
        <f>IFERROR(__xludf.DUMMYFUNCTION("""COMPUTED_VALUE"""),1926.0)</f>
        <v>1926</v>
      </c>
      <c r="G144" s="80">
        <f>IFERROR(__xludf.DUMMYFUNCTION("""COMPUTED_VALUE"""),15.75)</f>
        <v>15.75</v>
      </c>
      <c r="H144" s="80">
        <f>IFERROR(__xludf.DUMMYFUNCTION("""COMPUTED_VALUE"""),20.75)</f>
        <v>20.75</v>
      </c>
      <c r="I144" s="80">
        <f>IFERROR(__xludf.DUMMYFUNCTION("""COMPUTED_VALUE"""),100.0)</f>
        <v>100</v>
      </c>
      <c r="J144" s="109"/>
      <c r="K144" s="109"/>
      <c r="L144" s="109"/>
      <c r="M144" s="109">
        <f>IFERROR(__xludf.DUMMYFUNCTION("""COMPUTED_VALUE"""),0.1)</f>
        <v>0.1</v>
      </c>
      <c r="N144" s="109">
        <f>IFERROR(__xludf.DUMMYFUNCTION("""COMPUTED_VALUE"""),1.0)</f>
        <v>1</v>
      </c>
      <c r="O144" s="109"/>
      <c r="P144" s="109" t="str">
        <f>IFERROR(__xludf.DUMMYFUNCTION("""COMPUTED_VALUE"""),"Offset")</f>
        <v>Offset</v>
      </c>
      <c r="Q144" s="109" t="str">
        <f>IFERROR(__xludf.DUMMYFUNCTION("""COMPUTED_VALUE"""),"Packaging")</f>
        <v>Packaging</v>
      </c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15"/>
      <c r="AK144" s="80"/>
      <c r="AL144" s="80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</row>
    <row r="145">
      <c r="A145" s="123" t="str">
        <f>IFERROR(__xludf.DUMMYFUNCTION("""COMPUTED_VALUE"""),"https://drive.google.com/open?id=1C1V8mEwIFOpLLkCO4rRHQP5zjhpBvFK1&amp;authuser=jay.agg%40gmail.com&amp;usp=drive_fs")</f>
        <v>https://drive.google.com/open?id=1C1V8mEwIFOpLLkCO4rRHQP5zjhpBvFK1&amp;authuser=jay.agg%40gmail.com&amp;usp=drive_fs</v>
      </c>
      <c r="B145" s="80" t="str">
        <f>IFERROR(__xludf.DUMMYFUNCTION("""COMPUTED_VALUE"""),"Food")</f>
        <v>Food</v>
      </c>
      <c r="C145" s="80" t="str">
        <f>IFERROR(__xludf.DUMMYFUNCTION("""COMPUTED_VALUE"""),"Chocolate")</f>
        <v>Chocolate</v>
      </c>
      <c r="D145" s="80" t="str">
        <f>IFERROR(__xludf.DUMMYFUNCTION("""COMPUTED_VALUE"""),"Slider Tray 33*12*65 mm | 1.2*0.5*2.6 inch")</f>
        <v>Slider Tray 33*12*65 mm | 1.2*0.5*2.6 inch</v>
      </c>
      <c r="E145" s="124">
        <f>IFERROR(__xludf.DUMMYFUNCTION("""COMPUTED_VALUE"""),20.0)</f>
        <v>20</v>
      </c>
      <c r="F145" s="80">
        <f>IFERROR(__xludf.DUMMYFUNCTION("""COMPUTED_VALUE"""),1926.0)</f>
        <v>1926</v>
      </c>
      <c r="G145" s="80">
        <f>IFERROR(__xludf.DUMMYFUNCTION("""COMPUTED_VALUE"""),12.0)</f>
        <v>12</v>
      </c>
      <c r="H145" s="80">
        <f>IFERROR(__xludf.DUMMYFUNCTION("""COMPUTED_VALUE"""),18.0)</f>
        <v>18</v>
      </c>
      <c r="I145" s="80">
        <f>IFERROR(__xludf.DUMMYFUNCTION("""COMPUTED_VALUE"""),100.0)</f>
        <v>100</v>
      </c>
      <c r="J145" s="109"/>
      <c r="K145" s="109"/>
      <c r="L145" s="109"/>
      <c r="M145" s="109"/>
      <c r="N145" s="109">
        <f>IFERROR(__xludf.DUMMYFUNCTION("""COMPUTED_VALUE"""),1.0)</f>
        <v>1</v>
      </c>
      <c r="O145" s="109"/>
      <c r="P145" s="109" t="str">
        <f>IFERROR(__xludf.DUMMYFUNCTION("""COMPUTED_VALUE"""),"Offset")</f>
        <v>Offset</v>
      </c>
      <c r="Q145" s="109" t="str">
        <f>IFERROR(__xludf.DUMMYFUNCTION("""COMPUTED_VALUE"""),"Packaging")</f>
        <v>Packaging</v>
      </c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5"/>
      <c r="AK145" s="80"/>
      <c r="AL145" s="80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</row>
    <row r="146">
      <c r="A146" s="123" t="str">
        <f>IFERROR(__xludf.DUMMYFUNCTION("""COMPUTED_VALUE"""),"https://drive.google.com/open?id=1CK8J3ZrX4YL__ZcN-JufPFpUUDftle7d&amp;authuser=jay.agg%40gmail.com&amp;usp=drive_fs")</f>
        <v>https://drive.google.com/open?id=1CK8J3ZrX4YL__ZcN-JufPFpUUDftle7d&amp;authuser=jay.agg%40gmail.com&amp;usp=drive_fs</v>
      </c>
      <c r="B146" s="80" t="str">
        <f>IFERROR(__xludf.DUMMYFUNCTION("""COMPUTED_VALUE"""),"Food")</f>
        <v>Food</v>
      </c>
      <c r="C146" s="80" t="str">
        <f>IFERROR(__xludf.DUMMYFUNCTION("""COMPUTED_VALUE"""),"Misc")</f>
        <v>Misc</v>
      </c>
      <c r="D146" s="80" t="str">
        <f>IFERROR(__xludf.DUMMYFUNCTION("""COMPUTED_VALUE"""),"178*76*260 mm | 7*3*10.25 inch LB")</f>
        <v>178*76*260 mm | 7*3*10.25 inch LB</v>
      </c>
      <c r="E146" s="124">
        <f>IFERROR(__xludf.DUMMYFUNCTION("""COMPUTED_VALUE"""),1.0)</f>
        <v>1</v>
      </c>
      <c r="F146" s="80">
        <f>IFERROR(__xludf.DUMMYFUNCTION("""COMPUTED_VALUE"""),1926.0)</f>
        <v>1926</v>
      </c>
      <c r="G146" s="80">
        <f>IFERROR(__xludf.DUMMYFUNCTION("""COMPUTED_VALUE"""),15.75)</f>
        <v>15.75</v>
      </c>
      <c r="H146" s="80">
        <f>IFERROR(__xludf.DUMMYFUNCTION("""COMPUTED_VALUE"""),20.75)</f>
        <v>20.75</v>
      </c>
      <c r="I146" s="80">
        <f>IFERROR(__xludf.DUMMYFUNCTION("""COMPUTED_VALUE"""),100.0)</f>
        <v>100</v>
      </c>
      <c r="J146" s="109"/>
      <c r="K146" s="109"/>
      <c r="L146" s="109"/>
      <c r="M146" s="109">
        <f>IFERROR(__xludf.DUMMYFUNCTION("""COMPUTED_VALUE"""),0.2)</f>
        <v>0.2</v>
      </c>
      <c r="N146" s="109">
        <f>IFERROR(__xludf.DUMMYFUNCTION("""COMPUTED_VALUE"""),1.0)</f>
        <v>1</v>
      </c>
      <c r="O146" s="109"/>
      <c r="P146" s="109" t="str">
        <f>IFERROR(__xludf.DUMMYFUNCTION("""COMPUTED_VALUE"""),"Offset")</f>
        <v>Offset</v>
      </c>
      <c r="Q146" s="109" t="str">
        <f>IFERROR(__xludf.DUMMYFUNCTION("""COMPUTED_VALUE"""),"Packaging")</f>
        <v>Packaging</v>
      </c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15"/>
      <c r="AK146" s="80"/>
      <c r="AL146" s="80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</row>
    <row r="147">
      <c r="A147" s="123" t="str">
        <f>IFERROR(__xludf.DUMMYFUNCTION("""COMPUTED_VALUE"""),"https://drive.google.com/open?id=1CMWjxufnzEIEc6MuQ-UB75qlK_zbJtdC&amp;authuser=jay.agg%40gmail.com&amp;usp=drive_fs")</f>
        <v>https://drive.google.com/open?id=1CMWjxufnzEIEc6MuQ-UB75qlK_zbJtdC&amp;authuser=jay.agg%40gmail.com&amp;usp=drive_fs</v>
      </c>
      <c r="B147" s="80" t="str">
        <f>IFERROR(__xludf.DUMMYFUNCTION("""COMPUTED_VALUE"""),"Food")</f>
        <v>Food</v>
      </c>
      <c r="C147" s="80" t="str">
        <f>IFERROR(__xludf.DUMMYFUNCTION("""COMPUTED_VALUE"""),"Misc")</f>
        <v>Misc</v>
      </c>
      <c r="D147" s="80" t="str">
        <f>IFERROR(__xludf.DUMMYFUNCTION("""COMPUTED_VALUE"""),"209*31*228 mm | 8.25*1.25*9 inch")</f>
        <v>209*31*228 mm | 8.25*1.25*9 inch</v>
      </c>
      <c r="E147" s="124">
        <f>IFERROR(__xludf.DUMMYFUNCTION("""COMPUTED_VALUE"""),2.0)</f>
        <v>2</v>
      </c>
      <c r="F147" s="80">
        <f>IFERROR(__xludf.DUMMYFUNCTION("""COMPUTED_VALUE"""),1926.0)</f>
        <v>1926</v>
      </c>
      <c r="G147" s="80">
        <f>IFERROR(__xludf.DUMMYFUNCTION("""COMPUTED_VALUE"""),19.5)</f>
        <v>19.5</v>
      </c>
      <c r="H147" s="80">
        <f>IFERROR(__xludf.DUMMYFUNCTION("""COMPUTED_VALUE"""),23.0)</f>
        <v>23</v>
      </c>
      <c r="I147" s="80">
        <f>IFERROR(__xludf.DUMMYFUNCTION("""COMPUTED_VALUE"""),100.0)</f>
        <v>100</v>
      </c>
      <c r="J147" s="109"/>
      <c r="K147" s="109"/>
      <c r="L147" s="109"/>
      <c r="M147" s="109">
        <f>IFERROR(__xludf.DUMMYFUNCTION("""COMPUTED_VALUE"""),0.1)</f>
        <v>0.1</v>
      </c>
      <c r="N147" s="109">
        <f>IFERROR(__xludf.DUMMYFUNCTION("""COMPUTED_VALUE"""),1.0)</f>
        <v>1</v>
      </c>
      <c r="O147" s="109"/>
      <c r="P147" s="109" t="str">
        <f>IFERROR(__xludf.DUMMYFUNCTION("""COMPUTED_VALUE"""),"Offset")</f>
        <v>Offset</v>
      </c>
      <c r="Q147" s="109" t="str">
        <f>IFERROR(__xludf.DUMMYFUNCTION("""COMPUTED_VALUE"""),"Packaging")</f>
        <v>Packaging</v>
      </c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15"/>
      <c r="AK147" s="80"/>
      <c r="AL147" s="80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</row>
    <row r="148">
      <c r="A148" s="123" t="str">
        <f>IFERROR(__xludf.DUMMYFUNCTION("""COMPUTED_VALUE"""),"https://drive.google.com/open?id=1CkZHA61S0kTLlqGA6hbNyHiOe8-WoNKw&amp;authuser=jay.agg%40gmail.com&amp;usp=drive_fs")</f>
        <v>https://drive.google.com/open?id=1CkZHA61S0kTLlqGA6hbNyHiOe8-WoNKw&amp;authuser=jay.agg%40gmail.com&amp;usp=drive_fs</v>
      </c>
      <c r="B148" s="80" t="str">
        <f>IFERROR(__xludf.DUMMYFUNCTION("""COMPUTED_VALUE"""),"Food")</f>
        <v>Food</v>
      </c>
      <c r="C148" s="80" t="str">
        <f>IFERROR(__xludf.DUMMYFUNCTION("""COMPUTED_VALUE"""),"Chocolate")</f>
        <v>Chocolate</v>
      </c>
      <c r="D148" s="80" t="str">
        <f>IFERROR(__xludf.DUMMYFUNCTION("""COMPUTED_VALUE"""),"225*120*40 mm | 8.9*4.7*1.6 inch")</f>
        <v>225*120*40 mm | 8.9*4.7*1.6 inch</v>
      </c>
      <c r="E148" s="124">
        <f>IFERROR(__xludf.DUMMYFUNCTION("""COMPUTED_VALUE"""),2.0)</f>
        <v>2</v>
      </c>
      <c r="F148" s="80">
        <f>IFERROR(__xludf.DUMMYFUNCTION("""COMPUTED_VALUE"""),2029.0)</f>
        <v>2029</v>
      </c>
      <c r="G148" s="80">
        <f>IFERROR(__xludf.DUMMYFUNCTION("""COMPUTED_VALUE"""),20.0)</f>
        <v>20</v>
      </c>
      <c r="H148" s="80">
        <f>IFERROR(__xludf.DUMMYFUNCTION("""COMPUTED_VALUE"""),28.0)</f>
        <v>28</v>
      </c>
      <c r="I148" s="80">
        <f>IFERROR(__xludf.DUMMYFUNCTION("""COMPUTED_VALUE"""),100.0)</f>
        <v>100</v>
      </c>
      <c r="J148" s="109"/>
      <c r="K148" s="109"/>
      <c r="L148" s="109"/>
      <c r="M148" s="109">
        <f>IFERROR(__xludf.DUMMYFUNCTION("""COMPUTED_VALUE"""),0.24)</f>
        <v>0.24</v>
      </c>
      <c r="N148" s="109">
        <f>IFERROR(__xludf.DUMMYFUNCTION("""COMPUTED_VALUE"""),1.0)</f>
        <v>1</v>
      </c>
      <c r="O148" s="109"/>
      <c r="P148" s="109" t="str">
        <f>IFERROR(__xludf.DUMMYFUNCTION("""COMPUTED_VALUE"""),"Offset")</f>
        <v>Offset</v>
      </c>
      <c r="Q148" s="109" t="str">
        <f>IFERROR(__xludf.DUMMYFUNCTION("""COMPUTED_VALUE"""),"Packaging")</f>
        <v>Packaging</v>
      </c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15"/>
      <c r="AK148" s="80"/>
      <c r="AL148" s="80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</row>
    <row r="149">
      <c r="A149" s="123" t="str">
        <f>IFERROR(__xludf.DUMMYFUNCTION("""COMPUTED_VALUE"""),"https://drive.google.com/open?id=10A4X1h2gJ16Jz3LA0SJ8drkzDJjnvHDX&amp;authuser=jay.agg%40gmail.com&amp;usp=drive_fs")</f>
        <v>https://drive.google.com/open?id=10A4X1h2gJ16Jz3LA0SJ8drkzDJjnvHDX&amp;authuser=jay.agg%40gmail.com&amp;usp=drive_fs</v>
      </c>
      <c r="B149" s="80" t="str">
        <f>IFERROR(__xludf.DUMMYFUNCTION("""COMPUTED_VALUE"""),"Food")</f>
        <v>Food</v>
      </c>
      <c r="C149" s="80" t="str">
        <f>IFERROR(__xludf.DUMMYFUNCTION("""COMPUTED_VALUE"""),"Pizza")</f>
        <v>Pizza</v>
      </c>
      <c r="D149" s="80" t="str">
        <f>IFERROR(__xludf.DUMMYFUNCTION("""COMPUTED_VALUE"""),"155*155*38 mm | 6*6*1.5 inch | 28*19")</f>
        <v>155*155*38 mm | 6*6*1.5 inch | 28*19</v>
      </c>
      <c r="E149" s="124">
        <f>IFERROR(__xludf.DUMMYFUNCTION("""COMPUTED_VALUE"""),3.0)</f>
        <v>3</v>
      </c>
      <c r="F149" s="80">
        <f>IFERROR(__xludf.DUMMYFUNCTION("""COMPUTED_VALUE"""),2029.0)</f>
        <v>2029</v>
      </c>
      <c r="G149" s="80">
        <f>IFERROR(__xludf.DUMMYFUNCTION("""COMPUTED_VALUE"""),20.0)</f>
        <v>20</v>
      </c>
      <c r="H149" s="80">
        <f>IFERROR(__xludf.DUMMYFUNCTION("""COMPUTED_VALUE"""),28.0)</f>
        <v>28</v>
      </c>
      <c r="I149" s="80">
        <f>IFERROR(__xludf.DUMMYFUNCTION("""COMPUTED_VALUE"""),100.0)</f>
        <v>100</v>
      </c>
      <c r="J149" s="109"/>
      <c r="K149" s="109"/>
      <c r="L149" s="109"/>
      <c r="M149" s="109"/>
      <c r="N149" s="109">
        <f>IFERROR(__xludf.DUMMYFUNCTION("""COMPUTED_VALUE"""),1.0)</f>
        <v>1</v>
      </c>
      <c r="O149" s="109"/>
      <c r="P149" s="109" t="str">
        <f>IFERROR(__xludf.DUMMYFUNCTION("""COMPUTED_VALUE"""),"Offset")</f>
        <v>Offset</v>
      </c>
      <c r="Q149" s="109" t="str">
        <f>IFERROR(__xludf.DUMMYFUNCTION("""COMPUTED_VALUE"""),"Packaging")</f>
        <v>Packaging</v>
      </c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15"/>
      <c r="AK149" s="80"/>
      <c r="AL149" s="80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</row>
    <row r="150">
      <c r="A150" s="123" t="str">
        <f>IFERROR(__xludf.DUMMYFUNCTION("""COMPUTED_VALUE"""),"https://drive.google.com/open?id=10A2WDSt2n4x8BmP8y_I_U99z0kqyKa9w&amp;authuser=jay.agg%40gmail.com&amp;usp=drive_fs")</f>
        <v>https://drive.google.com/open?id=10A2WDSt2n4x8BmP8y_I_U99z0kqyKa9w&amp;authuser=jay.agg%40gmail.com&amp;usp=drive_fs</v>
      </c>
      <c r="B150" s="80" t="str">
        <f>IFERROR(__xludf.DUMMYFUNCTION("""COMPUTED_VALUE"""),"Food")</f>
        <v>Food</v>
      </c>
      <c r="C150" s="80" t="str">
        <f>IFERROR(__xludf.DUMMYFUNCTION("""COMPUTED_VALUE"""),"Pizza")</f>
        <v>Pizza</v>
      </c>
      <c r="D150" s="80" t="str">
        <f>IFERROR(__xludf.DUMMYFUNCTION("""COMPUTED_VALUE"""),"105*105*38 mm | 4.5*4.5*1.5 inch | 28*15")</f>
        <v>105*105*38 mm | 4.5*4.5*1.5 inch | 28*15</v>
      </c>
      <c r="E150" s="124">
        <f>IFERROR(__xludf.DUMMYFUNCTION("""COMPUTED_VALUE"""),4.0)</f>
        <v>4</v>
      </c>
      <c r="F150" s="80">
        <f>IFERROR(__xludf.DUMMYFUNCTION("""COMPUTED_VALUE"""),2029.0)</f>
        <v>2029</v>
      </c>
      <c r="G150" s="80">
        <f>IFERROR(__xludf.DUMMYFUNCTION("""COMPUTED_VALUE"""),15.0)</f>
        <v>15</v>
      </c>
      <c r="H150" s="80">
        <f>IFERROR(__xludf.DUMMYFUNCTION("""COMPUTED_VALUE"""),28.0)</f>
        <v>28</v>
      </c>
      <c r="I150" s="80">
        <f>IFERROR(__xludf.DUMMYFUNCTION("""COMPUTED_VALUE"""),100.0)</f>
        <v>100</v>
      </c>
      <c r="J150" s="109"/>
      <c r="K150" s="109"/>
      <c r="L150" s="109"/>
      <c r="M150" s="109"/>
      <c r="N150" s="109">
        <f>IFERROR(__xludf.DUMMYFUNCTION("""COMPUTED_VALUE"""),1.0)</f>
        <v>1</v>
      </c>
      <c r="O150" s="109"/>
      <c r="P150" s="109" t="str">
        <f>IFERROR(__xludf.DUMMYFUNCTION("""COMPUTED_VALUE"""),"Offset")</f>
        <v>Offset</v>
      </c>
      <c r="Q150" s="109" t="str">
        <f>IFERROR(__xludf.DUMMYFUNCTION("""COMPUTED_VALUE"""),"Packaging")</f>
        <v>Packaging</v>
      </c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15"/>
      <c r="AK150" s="80"/>
      <c r="AL150" s="80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</row>
    <row r="151">
      <c r="A151" s="123" t="str">
        <f>IFERROR(__xludf.DUMMYFUNCTION("""COMPUTED_VALUE"""),"https://drive.google.com/open?id=109_tJWIB9rGPhzUrkGJj1s7wwUjYpEyX&amp;authuser=jay.agg%40gmail.com&amp;usp=drive_fs")</f>
        <v>https://drive.google.com/open?id=109_tJWIB9rGPhzUrkGJj1s7wwUjYpEyX&amp;authuser=jay.agg%40gmail.com&amp;usp=drive_fs</v>
      </c>
      <c r="B151" s="80" t="str">
        <f>IFERROR(__xludf.DUMMYFUNCTION("""COMPUTED_VALUE"""),"Food")</f>
        <v>Food</v>
      </c>
      <c r="C151" s="80" t="str">
        <f>IFERROR(__xludf.DUMMYFUNCTION("""COMPUTED_VALUE"""),"Pizza")</f>
        <v>Pizza</v>
      </c>
      <c r="D151" s="80" t="str">
        <f>IFERROR(__xludf.DUMMYFUNCTION("""COMPUTED_VALUE"""),"308*308*38 mm | 12*12*1.5 inch | 32*16")</f>
        <v>308*308*38 mm | 12*12*1.5 inch | 32*16</v>
      </c>
      <c r="E151" s="124">
        <f>IFERROR(__xludf.DUMMYFUNCTION("""COMPUTED_VALUE"""),1.0)</f>
        <v>1</v>
      </c>
      <c r="F151" s="80">
        <f>IFERROR(__xludf.DUMMYFUNCTION("""COMPUTED_VALUE"""),2840.0)</f>
        <v>2840</v>
      </c>
      <c r="G151" s="80">
        <f>IFERROR(__xludf.DUMMYFUNCTION("""COMPUTED_VALUE"""),16.0)</f>
        <v>16</v>
      </c>
      <c r="H151" s="80">
        <f>IFERROR(__xludf.DUMMYFUNCTION("""COMPUTED_VALUE"""),32.0)</f>
        <v>32</v>
      </c>
      <c r="I151" s="80">
        <f>IFERROR(__xludf.DUMMYFUNCTION("""COMPUTED_VALUE"""),100.0)</f>
        <v>100</v>
      </c>
      <c r="J151" s="109"/>
      <c r="K151" s="109"/>
      <c r="L151" s="109"/>
      <c r="M151" s="109"/>
      <c r="N151" s="109">
        <f>IFERROR(__xludf.DUMMYFUNCTION("""COMPUTED_VALUE"""),1.0)</f>
        <v>1</v>
      </c>
      <c r="O151" s="109"/>
      <c r="P151" s="109" t="str">
        <f>IFERROR(__xludf.DUMMYFUNCTION("""COMPUTED_VALUE"""),"Offset")</f>
        <v>Offset</v>
      </c>
      <c r="Q151" s="109" t="str">
        <f>IFERROR(__xludf.DUMMYFUNCTION("""COMPUTED_VALUE"""),"Packaging")</f>
        <v>Packaging</v>
      </c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15"/>
      <c r="AK151" s="80"/>
      <c r="AL151" s="80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</row>
    <row r="152">
      <c r="A152" s="123" t="str">
        <f>IFERROR(__xludf.DUMMYFUNCTION("""COMPUTED_VALUE"""),"https://drive.google.com/open?id=10DWOfQFgNO7twHPpeQFD8uJC_bYu_fDO&amp;authuser=jay.agg%40gmail.com&amp;usp=drive_fs")</f>
        <v>https://drive.google.com/open?id=10DWOfQFgNO7twHPpeQFD8uJC_bYu_fDO&amp;authuser=jay.agg%40gmail.com&amp;usp=drive_fs</v>
      </c>
      <c r="B152" s="80" t="str">
        <f>IFERROR(__xludf.DUMMYFUNCTION("""COMPUTED_VALUE"""),"Food")</f>
        <v>Food</v>
      </c>
      <c r="C152" s="80" t="str">
        <f>IFERROR(__xludf.DUMMYFUNCTION("""COMPUTED_VALUE"""),"Chocolate")</f>
        <v>Chocolate</v>
      </c>
      <c r="D152" s="80" t="str">
        <f>IFERROR(__xludf.DUMMYFUNCTION("""COMPUTED_VALUE"""),"140*120*40 mm | 5.5*4.7*1.6 inch")</f>
        <v>140*120*40 mm | 5.5*4.7*1.6 inch</v>
      </c>
      <c r="E152" s="124">
        <f>IFERROR(__xludf.DUMMYFUNCTION("""COMPUTED_VALUE"""),2.0)</f>
        <v>2</v>
      </c>
      <c r="F152" s="80">
        <f>IFERROR(__xludf.DUMMYFUNCTION("""COMPUTED_VALUE"""),1926.0)</f>
        <v>1926</v>
      </c>
      <c r="G152" s="80">
        <f>IFERROR(__xludf.DUMMYFUNCTION("""COMPUTED_VALUE"""),20.0)</f>
        <v>20</v>
      </c>
      <c r="H152" s="80">
        <f>IFERROR(__xludf.DUMMYFUNCTION("""COMPUTED_VALUE"""),21.0)</f>
        <v>21</v>
      </c>
      <c r="I152" s="80">
        <f>IFERROR(__xludf.DUMMYFUNCTION("""COMPUTED_VALUE"""),100.0)</f>
        <v>100</v>
      </c>
      <c r="J152" s="109"/>
      <c r="K152" s="109"/>
      <c r="L152" s="109"/>
      <c r="M152" s="109">
        <f>IFERROR(__xludf.DUMMYFUNCTION("""COMPUTED_VALUE"""),0.24)</f>
        <v>0.24</v>
      </c>
      <c r="N152" s="109">
        <f>IFERROR(__xludf.DUMMYFUNCTION("""COMPUTED_VALUE"""),1.0)</f>
        <v>1</v>
      </c>
      <c r="O152" s="109"/>
      <c r="P152" s="109" t="str">
        <f>IFERROR(__xludf.DUMMYFUNCTION("""COMPUTED_VALUE"""),"Offset")</f>
        <v>Offset</v>
      </c>
      <c r="Q152" s="109" t="str">
        <f>IFERROR(__xludf.DUMMYFUNCTION("""COMPUTED_VALUE"""),"Packaging")</f>
        <v>Packaging</v>
      </c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15"/>
      <c r="AK152" s="80"/>
      <c r="AL152" s="80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</row>
    <row r="153">
      <c r="A153" s="123" t="str">
        <f>IFERROR(__xludf.DUMMYFUNCTION("""COMPUTED_VALUE"""),"https://drive.google.com/open?id=1D88rBIIrHVq4Ky7DjmXeB-X-2I47xUeM&amp;authuser=jay.agg%40gmail.com&amp;usp=drive_fs")</f>
        <v>https://drive.google.com/open?id=1D88rBIIrHVq4Ky7DjmXeB-X-2I47xUeM&amp;authuser=jay.agg%40gmail.com&amp;usp=drive_fs</v>
      </c>
      <c r="B153" s="80" t="str">
        <f>IFERROR(__xludf.DUMMYFUNCTION("""COMPUTED_VALUE"""),"Food")</f>
        <v>Food</v>
      </c>
      <c r="C153" s="80" t="str">
        <f>IFERROR(__xludf.DUMMYFUNCTION("""COMPUTED_VALUE"""),"Chocolate")</f>
        <v>Chocolate</v>
      </c>
      <c r="D153" s="80" t="str">
        <f>IFERROR(__xludf.DUMMYFUNCTION("""COMPUTED_VALUE""")," 80*40*20 mm | 3.15*1.5*0.8 inch")</f>
        <v> 80*40*20 mm | 3.15*1.5*0.8 inch</v>
      </c>
      <c r="E153" s="124">
        <f>IFERROR(__xludf.DUMMYFUNCTION("""COMPUTED_VALUE"""),8.0)</f>
        <v>8</v>
      </c>
      <c r="F153" s="80">
        <f>IFERROR(__xludf.DUMMYFUNCTION("""COMPUTED_VALUE"""),1926.0)</f>
        <v>1926</v>
      </c>
      <c r="G153" s="80">
        <f>IFERROR(__xludf.DUMMYFUNCTION("""COMPUTED_VALUE"""),14.0)</f>
        <v>14</v>
      </c>
      <c r="H153" s="80">
        <f>IFERROR(__xludf.DUMMYFUNCTION("""COMPUTED_VALUE"""),22.0)</f>
        <v>22</v>
      </c>
      <c r="I153" s="80">
        <f>IFERROR(__xludf.DUMMYFUNCTION("""COMPUTED_VALUE"""),100.0)</f>
        <v>100</v>
      </c>
      <c r="J153" s="109"/>
      <c r="K153" s="109"/>
      <c r="L153" s="109"/>
      <c r="M153" s="109">
        <f>IFERROR(__xludf.DUMMYFUNCTION("""COMPUTED_VALUE"""),0.18)</f>
        <v>0.18</v>
      </c>
      <c r="N153" s="109">
        <f>IFERROR(__xludf.DUMMYFUNCTION("""COMPUTED_VALUE"""),1.0)</f>
        <v>1</v>
      </c>
      <c r="O153" s="109"/>
      <c r="P153" s="109" t="str">
        <f>IFERROR(__xludf.DUMMYFUNCTION("""COMPUTED_VALUE"""),"Offset")</f>
        <v>Offset</v>
      </c>
      <c r="Q153" s="109" t="str">
        <f>IFERROR(__xludf.DUMMYFUNCTION("""COMPUTED_VALUE"""),"Packaging")</f>
        <v>Packaging</v>
      </c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5"/>
      <c r="AK153" s="80"/>
      <c r="AL153" s="80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</row>
    <row r="154">
      <c r="A154" s="123" t="str">
        <f>IFERROR(__xludf.DUMMYFUNCTION("""COMPUTED_VALUE"""),"https://drive.google.com/open?id=1DhrExbNS8AvSeGQo5qvKtthB-kzJQdq3&amp;authuser=jay.agg%40gmail.com&amp;usp=drive_fs")</f>
        <v>https://drive.google.com/open?id=1DhrExbNS8AvSeGQo5qvKtthB-kzJQdq3&amp;authuser=jay.agg%40gmail.com&amp;usp=drive_fs</v>
      </c>
      <c r="B154" s="80" t="str">
        <f>IFERROR(__xludf.DUMMYFUNCTION("""COMPUTED_VALUE"""),"Food")</f>
        <v>Food</v>
      </c>
      <c r="C154" s="80" t="str">
        <f>IFERROR(__xludf.DUMMYFUNCTION("""COMPUTED_VALUE"""),"Pizza")</f>
        <v>Pizza</v>
      </c>
      <c r="D154" s="80" t="str">
        <f>IFERROR(__xludf.DUMMYFUNCTION("""COMPUTED_VALUE"""),"203*203*39 mm | 8*8*1.5 inch | 34*23")</f>
        <v>203*203*39 mm | 8*8*1.5 inch | 34*23</v>
      </c>
      <c r="E154" s="124">
        <f>IFERROR(__xludf.DUMMYFUNCTION("""COMPUTED_VALUE"""),3.0)</f>
        <v>3</v>
      </c>
      <c r="F154" s="80">
        <f>IFERROR(__xludf.DUMMYFUNCTION("""COMPUTED_VALUE"""),2840.0)</f>
        <v>2840</v>
      </c>
      <c r="G154" s="80">
        <f>IFERROR(__xludf.DUMMYFUNCTION("""COMPUTED_VALUE"""),34.0)</f>
        <v>34</v>
      </c>
      <c r="H154" s="80">
        <f>IFERROR(__xludf.DUMMYFUNCTION("""COMPUTED_VALUE"""),23.0)</f>
        <v>23</v>
      </c>
      <c r="I154" s="80">
        <f>IFERROR(__xludf.DUMMYFUNCTION("""COMPUTED_VALUE"""),100.0)</f>
        <v>100</v>
      </c>
      <c r="J154" s="109"/>
      <c r="K154" s="109"/>
      <c r="L154" s="109"/>
      <c r="M154" s="109"/>
      <c r="N154" s="109">
        <f>IFERROR(__xludf.DUMMYFUNCTION("""COMPUTED_VALUE"""),1.0)</f>
        <v>1</v>
      </c>
      <c r="O154" s="109"/>
      <c r="P154" s="109" t="str">
        <f>IFERROR(__xludf.DUMMYFUNCTION("""COMPUTED_VALUE"""),"Offset")</f>
        <v>Offset</v>
      </c>
      <c r="Q154" s="109" t="str">
        <f>IFERROR(__xludf.DUMMYFUNCTION("""COMPUTED_VALUE"""),"Packaging")</f>
        <v>Packaging</v>
      </c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15"/>
      <c r="AK154" s="80"/>
      <c r="AL154" s="80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</row>
    <row r="155">
      <c r="A155" s="123" t="str">
        <f>IFERROR(__xludf.DUMMYFUNCTION("""COMPUTED_VALUE"""),"https://drive.google.com/open?id=1Dk55LI1DwN4UeS2nebqj1Z6iQs6z78Qo&amp;authuser=jay.agg%40gmail.com&amp;usp=drive_fs")</f>
        <v>https://drive.google.com/open?id=1Dk55LI1DwN4UeS2nebqj1Z6iQs6z78Qo&amp;authuser=jay.agg%40gmail.com&amp;usp=drive_fs</v>
      </c>
      <c r="B155" s="80" t="str">
        <f>IFERROR(__xludf.DUMMYFUNCTION("""COMPUTED_VALUE"""),"Food")</f>
        <v>Food</v>
      </c>
      <c r="C155" s="80" t="str">
        <f>IFERROR(__xludf.DUMMYFUNCTION("""COMPUTED_VALUE"""),"Pizza")</f>
        <v>Pizza</v>
      </c>
      <c r="D155" s="80" t="str">
        <f>IFERROR(__xludf.DUMMYFUNCTION("""COMPUTED_VALUE"""),"254*254*40 mm | 10*10*1.5 inch | 28*40")</f>
        <v>254*254*40 mm | 10*10*1.5 inch | 28*40</v>
      </c>
      <c r="E155" s="124">
        <f>IFERROR(__xludf.DUMMYFUNCTION("""COMPUTED_VALUE"""),3.0)</f>
        <v>3</v>
      </c>
      <c r="F155" s="80">
        <f>IFERROR(__xludf.DUMMYFUNCTION("""COMPUTED_VALUE"""),2840.0)</f>
        <v>2840</v>
      </c>
      <c r="G155" s="80">
        <f>IFERROR(__xludf.DUMMYFUNCTION("""COMPUTED_VALUE"""),28.0)</f>
        <v>28</v>
      </c>
      <c r="H155" s="80">
        <f>IFERROR(__xludf.DUMMYFUNCTION("""COMPUTED_VALUE"""),40.0)</f>
        <v>40</v>
      </c>
      <c r="I155" s="80">
        <f>IFERROR(__xludf.DUMMYFUNCTION("""COMPUTED_VALUE"""),100.0)</f>
        <v>100</v>
      </c>
      <c r="J155" s="109"/>
      <c r="K155" s="109"/>
      <c r="L155" s="109"/>
      <c r="M155" s="109"/>
      <c r="N155" s="109">
        <f>IFERROR(__xludf.DUMMYFUNCTION("""COMPUTED_VALUE"""),1.0)</f>
        <v>1</v>
      </c>
      <c r="O155" s="109"/>
      <c r="P155" s="109" t="str">
        <f>IFERROR(__xludf.DUMMYFUNCTION("""COMPUTED_VALUE"""),"Offset")</f>
        <v>Offset</v>
      </c>
      <c r="Q155" s="109" t="str">
        <f>IFERROR(__xludf.DUMMYFUNCTION("""COMPUTED_VALUE"""),"Packaging")</f>
        <v>Packaging</v>
      </c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15"/>
      <c r="AK155" s="80"/>
      <c r="AL155" s="80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</row>
    <row r="156">
      <c r="A156" s="123" t="str">
        <f>IFERROR(__xludf.DUMMYFUNCTION("""COMPUTED_VALUE"""),"https://drive.google.com/open?id=10jigd_uY9YVzFCB8NG_UWKI39OS2O90Q&amp;authuser=jay.agg%40gmail.com&amp;usp=drive_fs")</f>
        <v>https://drive.google.com/open?id=10jigd_uY9YVzFCB8NG_UWKI39OS2O90Q&amp;authuser=jay.agg%40gmail.com&amp;usp=drive_fs</v>
      </c>
      <c r="B156" s="80" t="str">
        <f>IFERROR(__xludf.DUMMYFUNCTION("""COMPUTED_VALUE"""),"Food")</f>
        <v>Food</v>
      </c>
      <c r="C156" s="80" t="str">
        <f>IFERROR(__xludf.DUMMYFUNCTION("""COMPUTED_VALUE"""),"Food")</f>
        <v>Food</v>
      </c>
      <c r="D156" s="80" t="str">
        <f>IFERROR(__xludf.DUMMYFUNCTION("""COMPUTED_VALUE"""),"102*102*89 mm | 4*4*3.5 inch")</f>
        <v>102*102*89 mm | 4*4*3.5 inch</v>
      </c>
      <c r="E156" s="124">
        <f>IFERROR(__xludf.DUMMYFUNCTION("""COMPUTED_VALUE"""),2.0)</f>
        <v>2</v>
      </c>
      <c r="F156" s="80">
        <f>IFERROR(__xludf.DUMMYFUNCTION("""COMPUTED_VALUE"""),1926.0)</f>
        <v>1926</v>
      </c>
      <c r="G156" s="80">
        <f>IFERROR(__xludf.DUMMYFUNCTION("""COMPUTED_VALUE"""),15.75)</f>
        <v>15.75</v>
      </c>
      <c r="H156" s="80">
        <f>IFERROR(__xludf.DUMMYFUNCTION("""COMPUTED_VALUE"""),20.75)</f>
        <v>20.75</v>
      </c>
      <c r="I156" s="80">
        <f>IFERROR(__xludf.DUMMYFUNCTION("""COMPUTED_VALUE"""),100.0)</f>
        <v>100</v>
      </c>
      <c r="J156" s="109"/>
      <c r="K156" s="109"/>
      <c r="L156" s="109"/>
      <c r="M156" s="109"/>
      <c r="N156" s="109">
        <f>IFERROR(__xludf.DUMMYFUNCTION("""COMPUTED_VALUE"""),1.0)</f>
        <v>1</v>
      </c>
      <c r="O156" s="109"/>
      <c r="P156" s="109" t="str">
        <f>IFERROR(__xludf.DUMMYFUNCTION("""COMPUTED_VALUE"""),"Offset")</f>
        <v>Offset</v>
      </c>
      <c r="Q156" s="109" t="str">
        <f>IFERROR(__xludf.DUMMYFUNCTION("""COMPUTED_VALUE"""),"Packaging")</f>
        <v>Packaging</v>
      </c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15"/>
      <c r="AK156" s="80"/>
      <c r="AL156" s="80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</row>
    <row r="157">
      <c r="A157" s="123" t="str">
        <f>IFERROR(__xludf.DUMMYFUNCTION("""COMPUTED_VALUE"""),"https://drive.google.com/open?id=1Jy0IGyE8jXMI5kkXDu2ihZKU4bQc5Eix&amp;authuser=jay.agg%40gmail.com&amp;usp=drive_fs")</f>
        <v>https://drive.google.com/open?id=1Jy0IGyE8jXMI5kkXDu2ihZKU4bQc5Eix&amp;authuser=jay.agg%40gmail.com&amp;usp=drive_fs</v>
      </c>
      <c r="B157" s="80" t="str">
        <f>IFERROR(__xludf.DUMMYFUNCTION("""COMPUTED_VALUE"""),"Food")</f>
        <v>Food</v>
      </c>
      <c r="C157" s="80" t="str">
        <f>IFERROR(__xludf.DUMMYFUNCTION("""COMPUTED_VALUE"""),"Food")</f>
        <v>Food</v>
      </c>
      <c r="D157" s="80" t="str">
        <f>IFERROR(__xludf.DUMMYFUNCTION("""COMPUTED_VALUE"""),"280*140*83 mm |  11*5.5*3.25 inch W 9.5*2.75 inch")</f>
        <v>280*140*83 mm |  11*5.5*3.25 inch W 9.5*2.75 inch</v>
      </c>
      <c r="E157" s="124">
        <f>IFERROR(__xludf.DUMMYFUNCTION("""COMPUTED_VALUE"""),1.0)</f>
        <v>1</v>
      </c>
      <c r="F157" s="80">
        <f>IFERROR(__xludf.DUMMYFUNCTION("""COMPUTED_VALUE"""),1926.0)</f>
        <v>1926</v>
      </c>
      <c r="G157" s="80">
        <f>IFERROR(__xludf.DUMMYFUNCTION("""COMPUTED_VALUE"""),18.0)</f>
        <v>18</v>
      </c>
      <c r="H157" s="80">
        <f>IFERROR(__xludf.DUMMYFUNCTION("""COMPUTED_VALUE"""),23.0)</f>
        <v>23</v>
      </c>
      <c r="I157" s="80">
        <f>IFERROR(__xludf.DUMMYFUNCTION("""COMPUTED_VALUE"""),100.0)</f>
        <v>100</v>
      </c>
      <c r="J157" s="109"/>
      <c r="K157" s="109"/>
      <c r="L157" s="109">
        <f>IFERROR(__xludf.DUMMYFUNCTION("""COMPUTED_VALUE"""),1.5)</f>
        <v>1.5</v>
      </c>
      <c r="M157" s="109">
        <f>IFERROR(__xludf.DUMMYFUNCTION("""COMPUTED_VALUE"""),0.14)</f>
        <v>0.14</v>
      </c>
      <c r="N157" s="109">
        <f>IFERROR(__xludf.DUMMYFUNCTION("""COMPUTED_VALUE"""),1.0)</f>
        <v>1</v>
      </c>
      <c r="O157" s="109"/>
      <c r="P157" s="109" t="str">
        <f>IFERROR(__xludf.DUMMYFUNCTION("""COMPUTED_VALUE"""),"Offset")</f>
        <v>Offset</v>
      </c>
      <c r="Q157" s="109" t="str">
        <f>IFERROR(__xludf.DUMMYFUNCTION("""COMPUTED_VALUE"""),"Packaging")</f>
        <v>Packaging</v>
      </c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15"/>
      <c r="AK157" s="80"/>
      <c r="AL157" s="80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</row>
    <row r="158">
      <c r="A158" s="123" t="str">
        <f>IFERROR(__xludf.DUMMYFUNCTION("""COMPUTED_VALUE"""),"https://drive.google.com/open?id=1KVTCi5VQjWZR6035WK4CRodcaIefGoQL&amp;authuser=jay.agg%40gmail.com&amp;usp=drive_fs")</f>
        <v>https://drive.google.com/open?id=1KVTCi5VQjWZR6035WK4CRodcaIefGoQL&amp;authuser=jay.agg%40gmail.com&amp;usp=drive_fs</v>
      </c>
      <c r="B158" s="80" t="str">
        <f>IFERROR(__xludf.DUMMYFUNCTION("""COMPUTED_VALUE"""),"Food")</f>
        <v>Food</v>
      </c>
      <c r="C158" s="80" t="str">
        <f>IFERROR(__xludf.DUMMYFUNCTION("""COMPUTED_VALUE"""),"Food")</f>
        <v>Food</v>
      </c>
      <c r="D158" s="80" t="str">
        <f>IFERROR(__xludf.DUMMYFUNCTION("""COMPUTED_VALUE"""),"114*114*127 mm | 4.5*4.5*5 inch IL | 22*19")</f>
        <v>114*114*127 mm | 4.5*4.5*5 inch IL | 22*19</v>
      </c>
      <c r="E158" s="124">
        <f>IFERROR(__xludf.DUMMYFUNCTION("""COMPUTED_VALUE"""),2.0)</f>
        <v>2</v>
      </c>
      <c r="F158" s="80">
        <f>IFERROR(__xludf.DUMMYFUNCTION("""COMPUTED_VALUE"""),1926.0)</f>
        <v>1926</v>
      </c>
      <c r="G158" s="80">
        <f>IFERROR(__xludf.DUMMYFUNCTION("""COMPUTED_VALUE"""),19.5)</f>
        <v>19.5</v>
      </c>
      <c r="H158" s="80">
        <f>IFERROR(__xludf.DUMMYFUNCTION("""COMPUTED_VALUE"""),23.0)</f>
        <v>23</v>
      </c>
      <c r="I158" s="80">
        <f>IFERROR(__xludf.DUMMYFUNCTION("""COMPUTED_VALUE"""),100.0)</f>
        <v>100</v>
      </c>
      <c r="J158" s="109"/>
      <c r="K158" s="109"/>
      <c r="L158" s="109"/>
      <c r="M158" s="109"/>
      <c r="N158" s="109">
        <f>IFERROR(__xludf.DUMMYFUNCTION("""COMPUTED_VALUE"""),1.0)</f>
        <v>1</v>
      </c>
      <c r="O158" s="109"/>
      <c r="P158" s="109" t="str">
        <f>IFERROR(__xludf.DUMMYFUNCTION("""COMPUTED_VALUE"""),"Offset")</f>
        <v>Offset</v>
      </c>
      <c r="Q158" s="109" t="str">
        <f>IFERROR(__xludf.DUMMYFUNCTION("""COMPUTED_VALUE"""),"Packaging")</f>
        <v>Packaging</v>
      </c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15"/>
      <c r="AK158" s="80"/>
      <c r="AL158" s="80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</row>
    <row r="159">
      <c r="A159" s="123" t="str">
        <f>IFERROR(__xludf.DUMMYFUNCTION("""COMPUTED_VALUE"""),"https://drive.google.com/open?id=1LePyOCyeOrtyssU-5qPjC4ID7YN--4e9&amp;authuser=jay.agg%40gmail.com&amp;usp=drive_fs")</f>
        <v>https://drive.google.com/open?id=1LePyOCyeOrtyssU-5qPjC4ID7YN--4e9&amp;authuser=jay.agg%40gmail.com&amp;usp=drive_fs</v>
      </c>
      <c r="B159" s="80" t="str">
        <f>IFERROR(__xludf.DUMMYFUNCTION("""COMPUTED_VALUE"""),"Food")</f>
        <v>Food</v>
      </c>
      <c r="C159" s="80" t="str">
        <f>IFERROR(__xludf.DUMMYFUNCTION("""COMPUTED_VALUE"""),"Dhaba")</f>
        <v>Dhaba</v>
      </c>
      <c r="D159" s="80" t="str">
        <f>IFERROR(__xludf.DUMMYFUNCTION("""COMPUTED_VALUE"""),"95*31*137 mm | 3.74*1.22*5.4 inch")</f>
        <v>95*31*137 mm | 3.74*1.22*5.4 inch</v>
      </c>
      <c r="E159" s="124">
        <f>IFERROR(__xludf.DUMMYFUNCTION("""COMPUTED_VALUE"""),4.0)</f>
        <v>4</v>
      </c>
      <c r="F159" s="80">
        <f>IFERROR(__xludf.DUMMYFUNCTION("""COMPUTED_VALUE"""),1926.0)</f>
        <v>1926</v>
      </c>
      <c r="G159" s="80">
        <f>IFERROR(__xludf.DUMMYFUNCTION("""COMPUTED_VALUE"""),18.0)</f>
        <v>18</v>
      </c>
      <c r="H159" s="80">
        <f>IFERROR(__xludf.DUMMYFUNCTION("""COMPUTED_VALUE"""),23.0)</f>
        <v>23</v>
      </c>
      <c r="I159" s="80">
        <f>IFERROR(__xludf.DUMMYFUNCTION("""COMPUTED_VALUE"""),100.0)</f>
        <v>100</v>
      </c>
      <c r="J159" s="109"/>
      <c r="K159" s="109"/>
      <c r="L159" s="109"/>
      <c r="M159" s="109">
        <f>IFERROR(__xludf.DUMMYFUNCTION("""COMPUTED_VALUE"""),0.1)</f>
        <v>0.1</v>
      </c>
      <c r="N159" s="109">
        <f>IFERROR(__xludf.DUMMYFUNCTION("""COMPUTED_VALUE"""),1.0)</f>
        <v>1</v>
      </c>
      <c r="O159" s="109"/>
      <c r="P159" s="109" t="str">
        <f>IFERROR(__xludf.DUMMYFUNCTION("""COMPUTED_VALUE"""),"Offset")</f>
        <v>Offset</v>
      </c>
      <c r="Q159" s="109" t="str">
        <f>IFERROR(__xludf.DUMMYFUNCTION("""COMPUTED_VALUE"""),"Packaging")</f>
        <v>Packaging</v>
      </c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15"/>
      <c r="AK159" s="80"/>
      <c r="AL159" s="80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</row>
    <row r="160">
      <c r="A160" s="123" t="str">
        <f>IFERROR(__xludf.DUMMYFUNCTION("""COMPUTED_VALUE"""),"https://drive.google.com/open?id=113wK8dUd60uG8PzOUXaeRqAXPkRfcpy6&amp;authuser=jay.agg%40gmail.com&amp;usp=drive_fs")</f>
        <v>https://drive.google.com/open?id=113wK8dUd60uG8PzOUXaeRqAXPkRfcpy6&amp;authuser=jay.agg%40gmail.com&amp;usp=drive_fs</v>
      </c>
      <c r="B160" s="80" t="str">
        <f>IFERROR(__xludf.DUMMYFUNCTION("""COMPUTED_VALUE"""),"Food")</f>
        <v>Food</v>
      </c>
      <c r="C160" s="80" t="str">
        <f>IFERROR(__xludf.DUMMYFUNCTION("""COMPUTED_VALUE"""),"Dry Fruit")</f>
        <v>Dry Fruit</v>
      </c>
      <c r="D160" s="80" t="str">
        <f>IFERROR(__xludf.DUMMYFUNCTION("""COMPUTED_VALUE"""),"127*51*178 mm | 5*2*7 inch LB")</f>
        <v>127*51*178 mm | 5*2*7 inch LB</v>
      </c>
      <c r="E160" s="124">
        <f>IFERROR(__xludf.DUMMYFUNCTION("""COMPUTED_VALUE"""),2.0)</f>
        <v>2</v>
      </c>
      <c r="F160" s="80">
        <f>IFERROR(__xludf.DUMMYFUNCTION("""COMPUTED_VALUE"""),1926.0)</f>
        <v>1926</v>
      </c>
      <c r="G160" s="80">
        <f>IFERROR(__xludf.DUMMYFUNCTION("""COMPUTED_VALUE"""),15.75)</f>
        <v>15.75</v>
      </c>
      <c r="H160" s="80">
        <f>IFERROR(__xludf.DUMMYFUNCTION("""COMPUTED_VALUE"""),20.75)</f>
        <v>20.75</v>
      </c>
      <c r="I160" s="80">
        <f>IFERROR(__xludf.DUMMYFUNCTION("""COMPUTED_VALUE"""),100.0)</f>
        <v>100</v>
      </c>
      <c r="J160" s="109"/>
      <c r="K160" s="109"/>
      <c r="L160" s="109"/>
      <c r="M160" s="109">
        <f>IFERROR(__xludf.DUMMYFUNCTION("""COMPUTED_VALUE"""),0.18)</f>
        <v>0.18</v>
      </c>
      <c r="N160" s="109">
        <f>IFERROR(__xludf.DUMMYFUNCTION("""COMPUTED_VALUE"""),1.0)</f>
        <v>1</v>
      </c>
      <c r="O160" s="109"/>
      <c r="P160" s="109" t="str">
        <f>IFERROR(__xludf.DUMMYFUNCTION("""COMPUTED_VALUE"""),"Offset")</f>
        <v>Offset</v>
      </c>
      <c r="Q160" s="109" t="str">
        <f>IFERROR(__xludf.DUMMYFUNCTION("""COMPUTED_VALUE"""),"Packaging")</f>
        <v>Packaging</v>
      </c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15"/>
      <c r="AK160" s="80"/>
      <c r="AL160" s="80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</row>
    <row r="161">
      <c r="A161" s="123" t="str">
        <f>IFERROR(__xludf.DUMMYFUNCTION("""COMPUTED_VALUE"""),"https://drive.google.com/open?id=1McKTHyNWoXxF0G8hIHpHO7egFGvmlqg4&amp;authuser=jay.agg%40gmail.com&amp;usp=drive_fs")</f>
        <v>https://drive.google.com/open?id=1McKTHyNWoXxF0G8hIHpHO7egFGvmlqg4&amp;authuser=jay.agg%40gmail.com&amp;usp=drive_fs</v>
      </c>
      <c r="B161" s="80" t="str">
        <f>IFERROR(__xludf.DUMMYFUNCTION("""COMPUTED_VALUE"""),"Food")</f>
        <v>Food</v>
      </c>
      <c r="C161" s="80" t="str">
        <f>IFERROR(__xludf.DUMMYFUNCTION("""COMPUTED_VALUE"""),"Dry Fruit")</f>
        <v>Dry Fruit</v>
      </c>
      <c r="D161" s="80" t="str">
        <f>IFERROR(__xludf.DUMMYFUNCTION("""COMPUTED_VALUE"""),"125*40*190 mm | 4.9*1.5*7.5 inch")</f>
        <v>125*40*190 mm | 4.9*1.5*7.5 inch</v>
      </c>
      <c r="E161" s="124">
        <f>IFERROR(__xludf.DUMMYFUNCTION("""COMPUTED_VALUE"""),2.0)</f>
        <v>2</v>
      </c>
      <c r="F161" s="80">
        <f>IFERROR(__xludf.DUMMYFUNCTION("""COMPUTED_VALUE"""),1926.0)</f>
        <v>1926</v>
      </c>
      <c r="G161" s="80">
        <f>IFERROR(__xludf.DUMMYFUNCTION("""COMPUTED_VALUE"""),15.75)</f>
        <v>15.75</v>
      </c>
      <c r="H161" s="80">
        <f>IFERROR(__xludf.DUMMYFUNCTION("""COMPUTED_VALUE"""),20.75)</f>
        <v>20.75</v>
      </c>
      <c r="I161" s="80">
        <f>IFERROR(__xludf.DUMMYFUNCTION("""COMPUTED_VALUE"""),100.0)</f>
        <v>100</v>
      </c>
      <c r="J161" s="109"/>
      <c r="K161" s="109"/>
      <c r="L161" s="109"/>
      <c r="M161" s="109">
        <f>IFERROR(__xludf.DUMMYFUNCTION("""COMPUTED_VALUE"""),0.1)</f>
        <v>0.1</v>
      </c>
      <c r="N161" s="109">
        <f>IFERROR(__xludf.DUMMYFUNCTION("""COMPUTED_VALUE"""),1.0)</f>
        <v>1</v>
      </c>
      <c r="O161" s="109"/>
      <c r="P161" s="109" t="str">
        <f>IFERROR(__xludf.DUMMYFUNCTION("""COMPUTED_VALUE"""),"Offset")</f>
        <v>Offset</v>
      </c>
      <c r="Q161" s="109" t="str">
        <f>IFERROR(__xludf.DUMMYFUNCTION("""COMPUTED_VALUE"""),"Packaging")</f>
        <v>Packaging</v>
      </c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15"/>
      <c r="AK161" s="80"/>
      <c r="AL161" s="80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</row>
    <row r="162">
      <c r="A162" s="123" t="str">
        <f>IFERROR(__xludf.DUMMYFUNCTION("""COMPUTED_VALUE"""),"https://drive.google.com/open?id=1Me9FQd1ys1KeHQ0A1Jx7KZH2JDdcTkiS&amp;authuser=jay.agg%40gmail.com&amp;usp=drive_fs")</f>
        <v>https://drive.google.com/open?id=1Me9FQd1ys1KeHQ0A1Jx7KZH2JDdcTkiS&amp;authuser=jay.agg%40gmail.com&amp;usp=drive_fs</v>
      </c>
      <c r="B162" s="80" t="str">
        <f>IFERROR(__xludf.DUMMYFUNCTION("""COMPUTED_VALUE"""),"Food")</f>
        <v>Food</v>
      </c>
      <c r="C162" s="80" t="str">
        <f>IFERROR(__xludf.DUMMYFUNCTION("""COMPUTED_VALUE"""),"Chocolate")</f>
        <v>Chocolate</v>
      </c>
      <c r="D162" s="80" t="str">
        <f>IFERROR(__xludf.DUMMYFUNCTION("""COMPUTED_VALUE"""),"186*94*30 mm | 7.3*3.7*1.2 inch")</f>
        <v>186*94*30 mm | 7.3*3.7*1.2 inch</v>
      </c>
      <c r="E162" s="124">
        <f>IFERROR(__xludf.DUMMYFUNCTION("""COMPUTED_VALUE"""),1.0)</f>
        <v>1</v>
      </c>
      <c r="F162" s="80">
        <f>IFERROR(__xludf.DUMMYFUNCTION("""COMPUTED_VALUE"""),1926.0)</f>
        <v>1926</v>
      </c>
      <c r="G162" s="80">
        <f>IFERROR(__xludf.DUMMYFUNCTION("""COMPUTED_VALUE"""),18.0)</f>
        <v>18</v>
      </c>
      <c r="H162" s="80">
        <f>IFERROR(__xludf.DUMMYFUNCTION("""COMPUTED_VALUE"""),23.0)</f>
        <v>23</v>
      </c>
      <c r="I162" s="80">
        <f>IFERROR(__xludf.DUMMYFUNCTION("""COMPUTED_VALUE"""),100.0)</f>
        <v>100</v>
      </c>
      <c r="J162" s="109"/>
      <c r="K162" s="109"/>
      <c r="L162" s="109"/>
      <c r="M162" s="109">
        <f>IFERROR(__xludf.DUMMYFUNCTION("""COMPUTED_VALUE"""),0.18)</f>
        <v>0.18</v>
      </c>
      <c r="N162" s="109">
        <f>IFERROR(__xludf.DUMMYFUNCTION("""COMPUTED_VALUE"""),1.0)</f>
        <v>1</v>
      </c>
      <c r="O162" s="109"/>
      <c r="P162" s="109" t="str">
        <f>IFERROR(__xludf.DUMMYFUNCTION("""COMPUTED_VALUE"""),"Offset")</f>
        <v>Offset</v>
      </c>
      <c r="Q162" s="109" t="str">
        <f>IFERROR(__xludf.DUMMYFUNCTION("""COMPUTED_VALUE"""),"Packaging")</f>
        <v>Packaging</v>
      </c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15"/>
      <c r="AK162" s="80"/>
      <c r="AL162" s="80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</row>
    <row r="163">
      <c r="A163" s="123" t="str">
        <f>IFERROR(__xludf.DUMMYFUNCTION("""COMPUTED_VALUE"""),"https://drive.google.com/open?id=1O-W2xh1yhrWCisjwnh9_upXi7VCecSHh&amp;authuser=jay.agg%40gmail.com&amp;usp=drive_fs")</f>
        <v>https://drive.google.com/open?id=1O-W2xh1yhrWCisjwnh9_upXi7VCecSHh&amp;authuser=jay.agg%40gmail.com&amp;usp=drive_fs</v>
      </c>
      <c r="B163" s="80" t="str">
        <f>IFERROR(__xludf.DUMMYFUNCTION("""COMPUTED_VALUE"""),"Food")</f>
        <v>Food</v>
      </c>
      <c r="C163" s="80" t="str">
        <f>IFERROR(__xludf.DUMMYFUNCTION("""COMPUTED_VALUE"""),"Chocolate")</f>
        <v>Chocolate</v>
      </c>
      <c r="D163" s="80" t="str">
        <f>IFERROR(__xludf.DUMMYFUNCTION("""COMPUTED_VALUE"""),"Tray 330*185*35 mm | 13*7.2*1.4 inch")</f>
        <v>Tray 330*185*35 mm | 13*7.2*1.4 inch</v>
      </c>
      <c r="E163" s="124">
        <f>IFERROR(__xludf.DUMMYFUNCTION("""COMPUTED_VALUE"""),1.0)</f>
        <v>1</v>
      </c>
      <c r="F163" s="80">
        <f>IFERROR(__xludf.DUMMYFUNCTION("""COMPUTED_VALUE"""),1926.0)</f>
        <v>1926</v>
      </c>
      <c r="G163" s="80">
        <f>IFERROR(__xludf.DUMMYFUNCTION("""COMPUTED_VALUE"""),18.0)</f>
        <v>18</v>
      </c>
      <c r="H163" s="80">
        <f>IFERROR(__xludf.DUMMYFUNCTION("""COMPUTED_VALUE"""),25.0)</f>
        <v>25</v>
      </c>
      <c r="I163" s="80">
        <f>IFERROR(__xludf.DUMMYFUNCTION("""COMPUTED_VALUE"""),100.0)</f>
        <v>100</v>
      </c>
      <c r="J163" s="109"/>
      <c r="K163" s="109"/>
      <c r="L163" s="109"/>
      <c r="M163" s="109"/>
      <c r="N163" s="109">
        <f>IFERROR(__xludf.DUMMYFUNCTION("""COMPUTED_VALUE"""),1.0)</f>
        <v>1</v>
      </c>
      <c r="O163" s="109"/>
      <c r="P163" s="109" t="str">
        <f>IFERROR(__xludf.DUMMYFUNCTION("""COMPUTED_VALUE"""),"Offset")</f>
        <v>Offset</v>
      </c>
      <c r="Q163" s="109" t="str">
        <f>IFERROR(__xludf.DUMMYFUNCTION("""COMPUTED_VALUE"""),"Packaging")</f>
        <v>Packaging</v>
      </c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5"/>
      <c r="AK163" s="80"/>
      <c r="AL163" s="80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</row>
    <row r="164">
      <c r="A164" s="123" t="str">
        <f>IFERROR(__xludf.DUMMYFUNCTION("""COMPUTED_VALUE"""),"https://drive.google.com/open?id=1Nz3utm_QH5ZDA8upBnLT9hUAljy1zUEo&amp;authuser=jay.agg%40gmail.com&amp;usp=drive_fs")</f>
        <v>https://drive.google.com/open?id=1Nz3utm_QH5ZDA8upBnLT9hUAljy1zUEo&amp;authuser=jay.agg%40gmail.com&amp;usp=drive_fs</v>
      </c>
      <c r="B164" s="80" t="str">
        <f>IFERROR(__xludf.DUMMYFUNCTION("""COMPUTED_VALUE"""),"Food")</f>
        <v>Food</v>
      </c>
      <c r="C164" s="80" t="str">
        <f>IFERROR(__xludf.DUMMYFUNCTION("""COMPUTED_VALUE"""),"Chocolate")</f>
        <v>Chocolate</v>
      </c>
      <c r="D164" s="80" t="str">
        <f>IFERROR(__xludf.DUMMYFUNCTION("""COMPUTED_VALUE"""),"Sleeve 330*185*35 mm | 13*7.2*1.4 inch")</f>
        <v>Sleeve 330*185*35 mm | 13*7.2*1.4 inch</v>
      </c>
      <c r="E164" s="124">
        <f>IFERROR(__xludf.DUMMYFUNCTION("""COMPUTED_VALUE"""),1.0)</f>
        <v>1</v>
      </c>
      <c r="F164" s="80">
        <f>IFERROR(__xludf.DUMMYFUNCTION("""COMPUTED_VALUE"""),1926.0)</f>
        <v>1926</v>
      </c>
      <c r="G164" s="80">
        <f>IFERROR(__xludf.DUMMYFUNCTION("""COMPUTED_VALUE"""),18.0)</f>
        <v>18</v>
      </c>
      <c r="H164" s="80">
        <f>IFERROR(__xludf.DUMMYFUNCTION("""COMPUTED_VALUE"""),23.0)</f>
        <v>23</v>
      </c>
      <c r="I164" s="80">
        <f>IFERROR(__xludf.DUMMYFUNCTION("""COMPUTED_VALUE"""),100.0)</f>
        <v>100</v>
      </c>
      <c r="J164" s="109"/>
      <c r="K164" s="109"/>
      <c r="L164" s="109">
        <f>IFERROR(__xludf.DUMMYFUNCTION("""COMPUTED_VALUE"""),2.0)</f>
        <v>2</v>
      </c>
      <c r="M164" s="109">
        <f>IFERROR(__xludf.DUMMYFUNCTION("""COMPUTED_VALUE"""),0.14)</f>
        <v>0.14</v>
      </c>
      <c r="N164" s="109">
        <f>IFERROR(__xludf.DUMMYFUNCTION("""COMPUTED_VALUE"""),1.0)</f>
        <v>1</v>
      </c>
      <c r="O164" s="109"/>
      <c r="P164" s="109" t="str">
        <f>IFERROR(__xludf.DUMMYFUNCTION("""COMPUTED_VALUE"""),"Offset")</f>
        <v>Offset</v>
      </c>
      <c r="Q164" s="109" t="str">
        <f>IFERROR(__xludf.DUMMYFUNCTION("""COMPUTED_VALUE"""),"Packaging")</f>
        <v>Packaging</v>
      </c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15"/>
      <c r="AK164" s="80"/>
      <c r="AL164" s="80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</row>
    <row r="165">
      <c r="A165" s="123" t="str">
        <f>IFERROR(__xludf.DUMMYFUNCTION("""COMPUTED_VALUE"""),"https://drive.google.com/open?id=1OcBosxL0fggx1qyLgXXE4tDQ8PF9N-iv&amp;authuser=jay.agg%40gmail.com&amp;usp=drive_fs")</f>
        <v>https://drive.google.com/open?id=1OcBosxL0fggx1qyLgXXE4tDQ8PF9N-iv&amp;authuser=jay.agg%40gmail.com&amp;usp=drive_fs</v>
      </c>
      <c r="B165" s="80" t="str">
        <f>IFERROR(__xludf.DUMMYFUNCTION("""COMPUTED_VALUE"""),"Food")</f>
        <v>Food</v>
      </c>
      <c r="C165" s="80" t="str">
        <f>IFERROR(__xludf.DUMMYFUNCTION("""COMPUTED_VALUE"""),"Cookies")</f>
        <v>Cookies</v>
      </c>
      <c r="D165" s="80" t="str">
        <f>IFERROR(__xludf.DUMMYFUNCTION("""COMPUTED_VALUE"""),"160*50*60 mm | 2.3*2*6.3 inch")</f>
        <v>160*50*60 mm | 2.3*2*6.3 inch</v>
      </c>
      <c r="E165" s="124">
        <f>IFERROR(__xludf.DUMMYFUNCTION("""COMPUTED_VALUE"""),4.0)</f>
        <v>4</v>
      </c>
      <c r="F165" s="80">
        <f>IFERROR(__xludf.DUMMYFUNCTION("""COMPUTED_VALUE"""),1926.0)</f>
        <v>1926</v>
      </c>
      <c r="G165" s="80">
        <f>IFERROR(__xludf.DUMMYFUNCTION("""COMPUTED_VALUE"""),19.5)</f>
        <v>19.5</v>
      </c>
      <c r="H165" s="80">
        <f>IFERROR(__xludf.DUMMYFUNCTION("""COMPUTED_VALUE"""),23.0)</f>
        <v>23</v>
      </c>
      <c r="I165" s="80">
        <f>IFERROR(__xludf.DUMMYFUNCTION("""COMPUTED_VALUE"""),100.0)</f>
        <v>100</v>
      </c>
      <c r="J165" s="109"/>
      <c r="K165" s="109"/>
      <c r="L165" s="109"/>
      <c r="M165" s="109">
        <f>IFERROR(__xludf.DUMMYFUNCTION("""COMPUTED_VALUE"""),0.1)</f>
        <v>0.1</v>
      </c>
      <c r="N165" s="109">
        <f>IFERROR(__xludf.DUMMYFUNCTION("""COMPUTED_VALUE"""),1.0)</f>
        <v>1</v>
      </c>
      <c r="O165" s="109"/>
      <c r="P165" s="109" t="str">
        <f>IFERROR(__xludf.DUMMYFUNCTION("""COMPUTED_VALUE"""),"Offset")</f>
        <v>Offset</v>
      </c>
      <c r="Q165" s="109" t="str">
        <f>IFERROR(__xludf.DUMMYFUNCTION("""COMPUTED_VALUE"""),"Packaging")</f>
        <v>Packaging</v>
      </c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15"/>
      <c r="AK165" s="80"/>
      <c r="AL165" s="80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</row>
    <row r="166">
      <c r="A166" s="123" t="str">
        <f>IFERROR(__xludf.DUMMYFUNCTION("""COMPUTED_VALUE"""),"https://drive.google.com/open?id=1QtJky2CoK2viBm-q9JnI2yzxDyOa34yI&amp;authuser=jay.agg%40gmail.com&amp;usp=drive_fs")</f>
        <v>https://drive.google.com/open?id=1QtJky2CoK2viBm-q9JnI2yzxDyOa34yI&amp;authuser=jay.agg%40gmail.com&amp;usp=drive_fs</v>
      </c>
      <c r="B166" s="80" t="str">
        <f>IFERROR(__xludf.DUMMYFUNCTION("""COMPUTED_VALUE"""),"Food")</f>
        <v>Food</v>
      </c>
      <c r="C166" s="80" t="str">
        <f>IFERROR(__xludf.DUMMYFUNCTION("""COMPUTED_VALUE"""),"Chocolate")</f>
        <v>Chocolate</v>
      </c>
      <c r="D166" s="80" t="str">
        <f>IFERROR(__xludf.DUMMYFUNCTION("""COMPUTED_VALUE"""),"4 pcs 103*35*138 mm | 4*1.5*5.5 inch")</f>
        <v>4 pcs 103*35*138 mm | 4*1.5*5.5 inch</v>
      </c>
      <c r="E166" s="124">
        <f>IFERROR(__xludf.DUMMYFUNCTION("""COMPUTED_VALUE"""),1.0)</f>
        <v>1</v>
      </c>
      <c r="F166" s="80">
        <f>IFERROR(__xludf.DUMMYFUNCTION("""COMPUTED_VALUE"""),1926.0)</f>
        <v>1926</v>
      </c>
      <c r="G166" s="80">
        <f>IFERROR(__xludf.DUMMYFUNCTION("""COMPUTED_VALUE"""),15.75)</f>
        <v>15.75</v>
      </c>
      <c r="H166" s="80">
        <f>IFERROR(__xludf.DUMMYFUNCTION("""COMPUTED_VALUE"""),20.75)</f>
        <v>20.75</v>
      </c>
      <c r="I166" s="80">
        <f>IFERROR(__xludf.DUMMYFUNCTION("""COMPUTED_VALUE"""),100.0)</f>
        <v>100</v>
      </c>
      <c r="J166" s="109"/>
      <c r="K166" s="109"/>
      <c r="L166" s="109"/>
      <c r="M166" s="109">
        <f>IFERROR(__xludf.DUMMYFUNCTION("""COMPUTED_VALUE"""),0.1)</f>
        <v>0.1</v>
      </c>
      <c r="N166" s="109">
        <f>IFERROR(__xludf.DUMMYFUNCTION("""COMPUTED_VALUE"""),1.0)</f>
        <v>1</v>
      </c>
      <c r="O166" s="109"/>
      <c r="P166" s="109" t="str">
        <f>IFERROR(__xludf.DUMMYFUNCTION("""COMPUTED_VALUE"""),"Offset")</f>
        <v>Offset</v>
      </c>
      <c r="Q166" s="109" t="str">
        <f>IFERROR(__xludf.DUMMYFUNCTION("""COMPUTED_VALUE"""),"Packaging")</f>
        <v>Packaging</v>
      </c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15"/>
      <c r="AK166" s="80"/>
      <c r="AL166" s="80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</row>
    <row r="167">
      <c r="A167" s="123" t="str">
        <f>IFERROR(__xludf.DUMMYFUNCTION("""COMPUTED_VALUE"""),"https://drive.google.com/open?id=1Qu8ubF-2d1gbzCam5dOxqLYJi0vaDiX-&amp;authuser=jay.agg%40gmail.com&amp;usp=drive_fs")</f>
        <v>https://drive.google.com/open?id=1Qu8ubF-2d1gbzCam5dOxqLYJi0vaDiX-&amp;authuser=jay.agg%40gmail.com&amp;usp=drive_fs</v>
      </c>
      <c r="B167" s="80" t="str">
        <f>IFERROR(__xludf.DUMMYFUNCTION("""COMPUTED_VALUE"""),"Food")</f>
        <v>Food</v>
      </c>
      <c r="C167" s="80" t="str">
        <f>IFERROR(__xludf.DUMMYFUNCTION("""COMPUTED_VALUE"""),"Chocolate")</f>
        <v>Chocolate</v>
      </c>
      <c r="D167" s="80" t="str">
        <f>IFERROR(__xludf.DUMMYFUNCTION("""COMPUTED_VALUE"""),"8pcs 215*121*32 mm | 4.8*1.3*8.5 inch")</f>
        <v>8pcs 215*121*32 mm | 4.8*1.3*8.5 inch</v>
      </c>
      <c r="E167" s="124">
        <f>IFERROR(__xludf.DUMMYFUNCTION("""COMPUTED_VALUE"""),1.0)</f>
        <v>1</v>
      </c>
      <c r="F167" s="80">
        <f>IFERROR(__xludf.DUMMYFUNCTION("""COMPUTED_VALUE"""),2029.0)</f>
        <v>2029</v>
      </c>
      <c r="G167" s="80">
        <f>IFERROR(__xludf.DUMMYFUNCTION("""COMPUTED_VALUE"""),18.0)</f>
        <v>18</v>
      </c>
      <c r="H167" s="80">
        <f>IFERROR(__xludf.DUMMYFUNCTION("""COMPUTED_VALUE"""),25.0)</f>
        <v>25</v>
      </c>
      <c r="I167" s="80">
        <f>IFERROR(__xludf.DUMMYFUNCTION("""COMPUTED_VALUE"""),100.0)</f>
        <v>100</v>
      </c>
      <c r="J167" s="109"/>
      <c r="K167" s="109"/>
      <c r="L167" s="109"/>
      <c r="M167" s="109">
        <f>IFERROR(__xludf.DUMMYFUNCTION("""COMPUTED_VALUE"""),0.1)</f>
        <v>0.1</v>
      </c>
      <c r="N167" s="109">
        <f>IFERROR(__xludf.DUMMYFUNCTION("""COMPUTED_VALUE"""),1.0)</f>
        <v>1</v>
      </c>
      <c r="O167" s="109"/>
      <c r="P167" s="109" t="str">
        <f>IFERROR(__xludf.DUMMYFUNCTION("""COMPUTED_VALUE"""),"Offset")</f>
        <v>Offset</v>
      </c>
      <c r="Q167" s="109" t="str">
        <f>IFERROR(__xludf.DUMMYFUNCTION("""COMPUTED_VALUE"""),"Packaging")</f>
        <v>Packaging</v>
      </c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15"/>
      <c r="AK167" s="80"/>
      <c r="AL167" s="80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</row>
    <row r="168">
      <c r="A168" s="123" t="str">
        <f>IFERROR(__xludf.DUMMYFUNCTION("""COMPUTED_VALUE"""),"https://drive.google.com/open?id=1T4472d4EPtR_7r6q3g95g8WQTId21WGn&amp;authuser=jay.agg%40gmail.com&amp;usp=drive_fs")</f>
        <v>https://drive.google.com/open?id=1T4472d4EPtR_7r6q3g95g8WQTId21WGn&amp;authuser=jay.agg%40gmail.com&amp;usp=drive_fs</v>
      </c>
      <c r="B168" s="80" t="str">
        <f>IFERROR(__xludf.DUMMYFUNCTION("""COMPUTED_VALUE"""),"Food")</f>
        <v>Food</v>
      </c>
      <c r="C168" s="80" t="str">
        <f>IFERROR(__xludf.DUMMYFUNCTION("""COMPUTED_VALUE"""),"Dry Fruit")</f>
        <v>Dry Fruit</v>
      </c>
      <c r="D168" s="80" t="str">
        <f>IFERROR(__xludf.DUMMYFUNCTION("""COMPUTED_VALUE"""),"115*42*150 mm |  4.5*1.6*5.9 inch")</f>
        <v>115*42*150 mm |  4.5*1.6*5.9 inch</v>
      </c>
      <c r="E168" s="124">
        <f>IFERROR(__xludf.DUMMYFUNCTION("""COMPUTED_VALUE"""),4.0)</f>
        <v>4</v>
      </c>
      <c r="F168" s="80">
        <f>IFERROR(__xludf.DUMMYFUNCTION("""COMPUTED_VALUE"""),2029.0)</f>
        <v>2029</v>
      </c>
      <c r="G168" s="80">
        <f>IFERROR(__xludf.DUMMYFUNCTION("""COMPUTED_VALUE"""),20.0)</f>
        <v>20</v>
      </c>
      <c r="H168" s="80">
        <f>IFERROR(__xludf.DUMMYFUNCTION("""COMPUTED_VALUE"""),28.0)</f>
        <v>28</v>
      </c>
      <c r="I168" s="80">
        <f>IFERROR(__xludf.DUMMYFUNCTION("""COMPUTED_VALUE"""),100.0)</f>
        <v>100</v>
      </c>
      <c r="J168" s="109"/>
      <c r="K168" s="109"/>
      <c r="L168" s="109"/>
      <c r="M168" s="109">
        <f>IFERROR(__xludf.DUMMYFUNCTION("""COMPUTED_VALUE"""),0.1)</f>
        <v>0.1</v>
      </c>
      <c r="N168" s="109">
        <f>IFERROR(__xludf.DUMMYFUNCTION("""COMPUTED_VALUE"""),1.0)</f>
        <v>1</v>
      </c>
      <c r="O168" s="109"/>
      <c r="P168" s="109" t="str">
        <f>IFERROR(__xludf.DUMMYFUNCTION("""COMPUTED_VALUE"""),"Offset")</f>
        <v>Offset</v>
      </c>
      <c r="Q168" s="109" t="str">
        <f>IFERROR(__xludf.DUMMYFUNCTION("""COMPUTED_VALUE"""),"Packaging")</f>
        <v>Packaging</v>
      </c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15"/>
      <c r="AK168" s="80"/>
      <c r="AL168" s="80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</row>
    <row r="169">
      <c r="A169" s="123" t="str">
        <f>IFERROR(__xludf.DUMMYFUNCTION("""COMPUTED_VALUE"""),"https://drive.google.com/open?id=1Tdo-O3f-fQtFix5vjW5eC61G1X3QOUAO&amp;authuser=jay.agg%40gmail.com&amp;usp=drive_fs")</f>
        <v>https://drive.google.com/open?id=1Tdo-O3f-fQtFix5vjW5eC61G1X3QOUAO&amp;authuser=jay.agg%40gmail.com&amp;usp=drive_fs</v>
      </c>
      <c r="B169" s="80" t="str">
        <f>IFERROR(__xludf.DUMMYFUNCTION("""COMPUTED_VALUE"""),"Food")</f>
        <v>Food</v>
      </c>
      <c r="C169" s="80" t="str">
        <f>IFERROR(__xludf.DUMMYFUNCTION("""COMPUTED_VALUE"""),"Chocolate")</f>
        <v>Chocolate</v>
      </c>
      <c r="D169" s="80" t="str">
        <f>IFERROR(__xludf.DUMMYFUNCTION("""COMPUTED_VALUE"""),"16 pcs Sleeve 214*214*32 mm | 8.4*8.4*1.2 inch")</f>
        <v>16 pcs Sleeve 214*214*32 mm | 8.4*8.4*1.2 inch</v>
      </c>
      <c r="E169" s="124">
        <f>IFERROR(__xludf.DUMMYFUNCTION("""COMPUTED_VALUE"""),1.0)</f>
        <v>1</v>
      </c>
      <c r="F169" s="80">
        <f>IFERROR(__xludf.DUMMYFUNCTION("""COMPUTED_VALUE"""),1926.0)</f>
        <v>1926</v>
      </c>
      <c r="G169" s="80">
        <f>IFERROR(__xludf.DUMMYFUNCTION("""COMPUTED_VALUE"""),14.0)</f>
        <v>14</v>
      </c>
      <c r="H169" s="80">
        <f>IFERROR(__xludf.DUMMYFUNCTION("""COMPUTED_VALUE"""),22.0)</f>
        <v>22</v>
      </c>
      <c r="I169" s="80">
        <f>IFERROR(__xludf.DUMMYFUNCTION("""COMPUTED_VALUE"""),100.0)</f>
        <v>100</v>
      </c>
      <c r="J169" s="109"/>
      <c r="K169" s="109"/>
      <c r="L169" s="109"/>
      <c r="M169" s="109">
        <f>IFERROR(__xludf.DUMMYFUNCTION("""COMPUTED_VALUE"""),0.1)</f>
        <v>0.1</v>
      </c>
      <c r="N169" s="109">
        <f>IFERROR(__xludf.DUMMYFUNCTION("""COMPUTED_VALUE"""),1.0)</f>
        <v>1</v>
      </c>
      <c r="O169" s="109"/>
      <c r="P169" s="109" t="str">
        <f>IFERROR(__xludf.DUMMYFUNCTION("""COMPUTED_VALUE"""),"Offset")</f>
        <v>Offset</v>
      </c>
      <c r="Q169" s="109" t="str">
        <f>IFERROR(__xludf.DUMMYFUNCTION("""COMPUTED_VALUE"""),"Packaging")</f>
        <v>Packaging</v>
      </c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15"/>
      <c r="AK169" s="80"/>
      <c r="AL169" s="80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</row>
    <row r="170">
      <c r="A170" s="123" t="str">
        <f>IFERROR(__xludf.DUMMYFUNCTION("""COMPUTED_VALUE"""),"https://drive.google.com/open?id=1TbqT-0UAqm3f3AdE7H4MZOvOs0QV4nJL&amp;authuser=jay.agg%40gmail.com&amp;usp=drive_fs")</f>
        <v>https://drive.google.com/open?id=1TbqT-0UAqm3f3AdE7H4MZOvOs0QV4nJL&amp;authuser=jay.agg%40gmail.com&amp;usp=drive_fs</v>
      </c>
      <c r="B170" s="80" t="str">
        <f>IFERROR(__xludf.DUMMYFUNCTION("""COMPUTED_VALUE"""),"Food")</f>
        <v>Food</v>
      </c>
      <c r="C170" s="80" t="str">
        <f>IFERROR(__xludf.DUMMYFUNCTION("""COMPUTED_VALUE"""),"Chocolate")</f>
        <v>Chocolate</v>
      </c>
      <c r="D170" s="80" t="str">
        <f>IFERROR(__xludf.DUMMYFUNCTION("""COMPUTED_VALUE"""),"16 pcs Tray 214*214*32 mm | 8.4*8.4*1.2 inch")</f>
        <v>16 pcs Tray 214*214*32 mm | 8.4*8.4*1.2 inch</v>
      </c>
      <c r="E170" s="124">
        <f>IFERROR(__xludf.DUMMYFUNCTION("""COMPUTED_VALUE"""),1.0)</f>
        <v>1</v>
      </c>
      <c r="F170" s="80">
        <f>IFERROR(__xludf.DUMMYFUNCTION("""COMPUTED_VALUE"""),1926.0)</f>
        <v>1926</v>
      </c>
      <c r="G170" s="80">
        <f>IFERROR(__xludf.DUMMYFUNCTION("""COMPUTED_VALUE"""),18.0)</f>
        <v>18</v>
      </c>
      <c r="H170" s="80">
        <f>IFERROR(__xludf.DUMMYFUNCTION("""COMPUTED_VALUE"""),19.0)</f>
        <v>19</v>
      </c>
      <c r="I170" s="80">
        <f>IFERROR(__xludf.DUMMYFUNCTION("""COMPUTED_VALUE"""),100.0)</f>
        <v>100</v>
      </c>
      <c r="J170" s="109"/>
      <c r="K170" s="109"/>
      <c r="L170" s="109"/>
      <c r="M170" s="109"/>
      <c r="N170" s="109">
        <f>IFERROR(__xludf.DUMMYFUNCTION("""COMPUTED_VALUE"""),1.0)</f>
        <v>1</v>
      </c>
      <c r="O170" s="109"/>
      <c r="P170" s="109" t="str">
        <f>IFERROR(__xludf.DUMMYFUNCTION("""COMPUTED_VALUE"""),"Offset")</f>
        <v>Offset</v>
      </c>
      <c r="Q170" s="109" t="str">
        <f>IFERROR(__xludf.DUMMYFUNCTION("""COMPUTED_VALUE"""),"Packaging")</f>
        <v>Packaging</v>
      </c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15"/>
      <c r="AK170" s="80"/>
      <c r="AL170" s="80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</row>
    <row r="171">
      <c r="A171" s="123" t="str">
        <f>IFERROR(__xludf.DUMMYFUNCTION("""COMPUTED_VALUE"""),"https://drive.google.com/open?id=11jYZmuAyNiyAARBjkGEIqU8WM_NykyMj&amp;authuser=jay.agg%40gmail.com&amp;usp=drive_fs")</f>
        <v>https://drive.google.com/open?id=11jYZmuAyNiyAARBjkGEIqU8WM_NykyMj&amp;authuser=jay.agg%40gmail.com&amp;usp=drive_fs</v>
      </c>
      <c r="B171" s="80" t="str">
        <f>IFERROR(__xludf.DUMMYFUNCTION("""COMPUTED_VALUE"""),"Food")</f>
        <v>Food</v>
      </c>
      <c r="C171" s="80" t="str">
        <f>IFERROR(__xludf.DUMMYFUNCTION("""COMPUTED_VALUE"""),"Dates")</f>
        <v>Dates</v>
      </c>
      <c r="D171" s="80" t="str">
        <f>IFERROR(__xludf.DUMMYFUNCTION("""COMPUTED_VALUE"""),"Top 160*130*50 mm | 6.3*5.1*2 inch")</f>
        <v>Top 160*130*50 mm | 6.3*5.1*2 inch</v>
      </c>
      <c r="E171" s="124">
        <f>IFERROR(__xludf.DUMMYFUNCTION("""COMPUTED_VALUE"""),4.0)</f>
        <v>4</v>
      </c>
      <c r="F171" s="80">
        <f>IFERROR(__xludf.DUMMYFUNCTION("""COMPUTED_VALUE"""),2029.0)</f>
        <v>2029</v>
      </c>
      <c r="G171" s="80">
        <f>IFERROR(__xludf.DUMMYFUNCTION("""COMPUTED_VALUE"""),19.5)</f>
        <v>19.5</v>
      </c>
      <c r="H171" s="80">
        <f>IFERROR(__xludf.DUMMYFUNCTION("""COMPUTED_VALUE"""),23.0)</f>
        <v>23</v>
      </c>
      <c r="I171" s="80">
        <f>IFERROR(__xludf.DUMMYFUNCTION("""COMPUTED_VALUE"""),100.0)</f>
        <v>100</v>
      </c>
      <c r="J171" s="109"/>
      <c r="K171" s="109"/>
      <c r="L171" s="109">
        <f>IFERROR(__xludf.DUMMYFUNCTION("""COMPUTED_VALUE"""),1.25)</f>
        <v>1.25</v>
      </c>
      <c r="M171" s="109"/>
      <c r="N171" s="109">
        <f>IFERROR(__xludf.DUMMYFUNCTION("""COMPUTED_VALUE"""),1.0)</f>
        <v>1</v>
      </c>
      <c r="O171" s="109"/>
      <c r="P171" s="109" t="str">
        <f>IFERROR(__xludf.DUMMYFUNCTION("""COMPUTED_VALUE"""),"Offset")</f>
        <v>Offset</v>
      </c>
      <c r="Q171" s="109" t="str">
        <f>IFERROR(__xludf.DUMMYFUNCTION("""COMPUTED_VALUE"""),"Packaging")</f>
        <v>Packaging</v>
      </c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15"/>
      <c r="AK171" s="80"/>
      <c r="AL171" s="80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</row>
    <row r="172">
      <c r="A172" s="123" t="str">
        <f>IFERROR(__xludf.DUMMYFUNCTION("""COMPUTED_VALUE"""),"https://drive.google.com/open?id=11kDeF-pXyau2Akghg6wU4Wp7VJTKno76&amp;authuser=jay.agg%40gmail.com&amp;usp=drive_fs")</f>
        <v>https://drive.google.com/open?id=11kDeF-pXyau2Akghg6wU4Wp7VJTKno76&amp;authuser=jay.agg%40gmail.com&amp;usp=drive_fs</v>
      </c>
      <c r="B172" s="80" t="str">
        <f>IFERROR(__xludf.DUMMYFUNCTION("""COMPUTED_VALUE"""),"Food")</f>
        <v>Food</v>
      </c>
      <c r="C172" s="80" t="str">
        <f>IFERROR(__xludf.DUMMYFUNCTION("""COMPUTED_VALUE"""),"Dates")</f>
        <v>Dates</v>
      </c>
      <c r="D172" s="80" t="str">
        <f>IFERROR(__xludf.DUMMYFUNCTION("""COMPUTED_VALUE"""),"Bottom 160*130*50 mm | 6.3*5.1*2 inch | 30*19")</f>
        <v>Bottom 160*130*50 mm | 6.3*5.1*2 inch | 30*19</v>
      </c>
      <c r="E172" s="124">
        <f>IFERROR(__xludf.DUMMYFUNCTION("""COMPUTED_VALUE"""),4.0)</f>
        <v>4</v>
      </c>
      <c r="F172" s="80">
        <f>IFERROR(__xludf.DUMMYFUNCTION("""COMPUTED_VALUE"""),2840.0)</f>
        <v>2840</v>
      </c>
      <c r="G172" s="80">
        <f>IFERROR(__xludf.DUMMYFUNCTION("""COMPUTED_VALUE"""),20.0)</f>
        <v>20</v>
      </c>
      <c r="H172" s="80">
        <f>IFERROR(__xludf.DUMMYFUNCTION("""COMPUTED_VALUE"""),30.0)</f>
        <v>30</v>
      </c>
      <c r="I172" s="80">
        <f>IFERROR(__xludf.DUMMYFUNCTION("""COMPUTED_VALUE"""),100.0)</f>
        <v>100</v>
      </c>
      <c r="J172" s="109"/>
      <c r="K172" s="109"/>
      <c r="L172" s="109"/>
      <c r="M172" s="109"/>
      <c r="N172" s="109">
        <f>IFERROR(__xludf.DUMMYFUNCTION("""COMPUTED_VALUE"""),1.0)</f>
        <v>1</v>
      </c>
      <c r="O172" s="109"/>
      <c r="P172" s="109" t="str">
        <f>IFERROR(__xludf.DUMMYFUNCTION("""COMPUTED_VALUE"""),"Offset")</f>
        <v>Offset</v>
      </c>
      <c r="Q172" s="109" t="str">
        <f>IFERROR(__xludf.DUMMYFUNCTION("""COMPUTED_VALUE"""),"Packaging")</f>
        <v>Packaging</v>
      </c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15"/>
      <c r="AK172" s="80"/>
      <c r="AL172" s="80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</row>
    <row r="173">
      <c r="A173" s="123" t="str">
        <f>IFERROR(__xludf.DUMMYFUNCTION("""COMPUTED_VALUE"""),"https://drive.google.com/open?id=1UXq4aYbOvZBtHFfL1uV-0Y9CRhvlg0lM&amp;authuser=jay.agg%40gmail.com&amp;usp=drive_fs")</f>
        <v>https://drive.google.com/open?id=1UXq4aYbOvZBtHFfL1uV-0Y9CRhvlg0lM&amp;authuser=jay.agg%40gmail.com&amp;usp=drive_fs</v>
      </c>
      <c r="B173" s="80" t="str">
        <f>IFERROR(__xludf.DUMMYFUNCTION("""COMPUTED_VALUE"""),"Food")</f>
        <v>Food</v>
      </c>
      <c r="C173" s="80" t="str">
        <f>IFERROR(__xludf.DUMMYFUNCTION("""COMPUTED_VALUE"""),"Chocolate")</f>
        <v>Chocolate</v>
      </c>
      <c r="D173" s="80" t="str">
        <f>IFERROR(__xludf.DUMMYFUNCTION("""COMPUTED_VALUE"""),"Sleeve 335*185*35 mm | 13.2*7.3*1.4 inch")</f>
        <v>Sleeve 335*185*35 mm | 13.2*7.3*1.4 inch</v>
      </c>
      <c r="E173" s="124">
        <f>IFERROR(__xludf.DUMMYFUNCTION("""COMPUTED_VALUE"""),2.0)</f>
        <v>2</v>
      </c>
      <c r="F173" s="80">
        <f>IFERROR(__xludf.DUMMYFUNCTION("""COMPUTED_VALUE"""),2029.0)</f>
        <v>2029</v>
      </c>
      <c r="G173" s="80">
        <f>IFERROR(__xludf.DUMMYFUNCTION("""COMPUTED_VALUE"""),20.0)</f>
        <v>20</v>
      </c>
      <c r="H173" s="80">
        <f>IFERROR(__xludf.DUMMYFUNCTION("""COMPUTED_VALUE"""),28.0)</f>
        <v>28</v>
      </c>
      <c r="I173" s="80">
        <f>IFERROR(__xludf.DUMMYFUNCTION("""COMPUTED_VALUE"""),100.0)</f>
        <v>100</v>
      </c>
      <c r="J173" s="109"/>
      <c r="K173" s="109"/>
      <c r="L173" s="109">
        <f>IFERROR(__xludf.DUMMYFUNCTION("""COMPUTED_VALUE"""),2.75)</f>
        <v>2.75</v>
      </c>
      <c r="M173" s="109">
        <f>IFERROR(__xludf.DUMMYFUNCTION("""COMPUTED_VALUE"""),0.5)</f>
        <v>0.5</v>
      </c>
      <c r="N173" s="109">
        <f>IFERROR(__xludf.DUMMYFUNCTION("""COMPUTED_VALUE"""),1.0)</f>
        <v>1</v>
      </c>
      <c r="O173" s="109"/>
      <c r="P173" s="109" t="str">
        <f>IFERROR(__xludf.DUMMYFUNCTION("""COMPUTED_VALUE"""),"Offset")</f>
        <v>Offset</v>
      </c>
      <c r="Q173" s="109" t="str">
        <f>IFERROR(__xludf.DUMMYFUNCTION("""COMPUTED_VALUE"""),"Packaging")</f>
        <v>Packaging</v>
      </c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15"/>
      <c r="AK173" s="80"/>
      <c r="AL173" s="80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</row>
    <row r="174">
      <c r="A174" s="123" t="str">
        <f>IFERROR(__xludf.DUMMYFUNCTION("""COMPUTED_VALUE"""),"https://drive.google.com/open?id=11ufCv9M6ujNVks21kFmWgNRtFiYJJKWp&amp;authuser=jay.agg%40gmail.com&amp;usp=drive_fs")</f>
        <v>https://drive.google.com/open?id=11ufCv9M6ujNVks21kFmWgNRtFiYJJKWp&amp;authuser=jay.agg%40gmail.com&amp;usp=drive_fs</v>
      </c>
      <c r="B174" s="80" t="str">
        <f>IFERROR(__xludf.DUMMYFUNCTION("""COMPUTED_VALUE"""),"Food")</f>
        <v>Food</v>
      </c>
      <c r="C174" s="80" t="str">
        <f>IFERROR(__xludf.DUMMYFUNCTION("""COMPUTED_VALUE"""),"Cerelac")</f>
        <v>Cerelac</v>
      </c>
      <c r="D174" s="80" t="str">
        <f>IFERROR(__xludf.DUMMYFUNCTION("""COMPUTED_VALUE"""),"155*45*190 mm | 6.1*1.8*7.5 inch")</f>
        <v>155*45*190 mm | 6.1*1.8*7.5 inch</v>
      </c>
      <c r="E174" s="124">
        <f>IFERROR(__xludf.DUMMYFUNCTION("""COMPUTED_VALUE"""),2.0)</f>
        <v>2</v>
      </c>
      <c r="F174" s="80">
        <f>IFERROR(__xludf.DUMMYFUNCTION("""COMPUTED_VALUE"""),2029.0)</f>
        <v>2029</v>
      </c>
      <c r="G174" s="80">
        <f>IFERROR(__xludf.DUMMYFUNCTION("""COMPUTED_VALUE"""),18.0)</f>
        <v>18</v>
      </c>
      <c r="H174" s="80">
        <f>IFERROR(__xludf.DUMMYFUNCTION("""COMPUTED_VALUE"""),23.0)</f>
        <v>23</v>
      </c>
      <c r="I174" s="80">
        <f>IFERROR(__xludf.DUMMYFUNCTION("""COMPUTED_VALUE"""),100.0)</f>
        <v>100</v>
      </c>
      <c r="J174" s="109"/>
      <c r="K174" s="109"/>
      <c r="L174" s="109"/>
      <c r="M174" s="109">
        <f>IFERROR(__xludf.DUMMYFUNCTION("""COMPUTED_VALUE"""),0.1)</f>
        <v>0.1</v>
      </c>
      <c r="N174" s="109">
        <f>IFERROR(__xludf.DUMMYFUNCTION("""COMPUTED_VALUE"""),1.0)</f>
        <v>1</v>
      </c>
      <c r="O174" s="109"/>
      <c r="P174" s="109" t="str">
        <f>IFERROR(__xludf.DUMMYFUNCTION("""COMPUTED_VALUE"""),"Offset")</f>
        <v>Offset</v>
      </c>
      <c r="Q174" s="109" t="str">
        <f>IFERROR(__xludf.DUMMYFUNCTION("""COMPUTED_VALUE"""),"Packaging")</f>
        <v>Packaging</v>
      </c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15"/>
      <c r="AK174" s="80"/>
      <c r="AL174" s="80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</row>
    <row r="175">
      <c r="A175" s="123" t="str">
        <f>IFERROR(__xludf.DUMMYFUNCTION("""COMPUTED_VALUE"""),"https://drive.google.com/open?id=1Us1ElEj4PonyN7j71xJf_f61UC8csGlv&amp;authuser=jay.agg%40gmail.com&amp;usp=drive_fs")</f>
        <v>https://drive.google.com/open?id=1Us1ElEj4PonyN7j71xJf_f61UC8csGlv&amp;authuser=jay.agg%40gmail.com&amp;usp=drive_fs</v>
      </c>
      <c r="B175" s="80" t="str">
        <f>IFERROR(__xludf.DUMMYFUNCTION("""COMPUTED_VALUE"""),"Food")</f>
        <v>Food</v>
      </c>
      <c r="C175" s="80" t="str">
        <f>IFERROR(__xludf.DUMMYFUNCTION("""COMPUTED_VALUE"""),"Chocolate")</f>
        <v>Chocolate</v>
      </c>
      <c r="D175" s="80" t="str">
        <f>IFERROR(__xludf.DUMMYFUNCTION("""COMPUTED_VALUE"""),"Tray 335*185*35 mm | 13.2*7.3*1.4 inch")</f>
        <v>Tray 335*185*35 mm | 13.2*7.3*1.4 inch</v>
      </c>
      <c r="E175" s="124">
        <f>IFERROR(__xludf.DUMMYFUNCTION("""COMPUTED_VALUE"""),1.0)</f>
        <v>1</v>
      </c>
      <c r="F175" s="80">
        <f>IFERROR(__xludf.DUMMYFUNCTION("""COMPUTED_VALUE"""),2029.0)</f>
        <v>2029</v>
      </c>
      <c r="G175" s="80">
        <f>IFERROR(__xludf.DUMMYFUNCTION("""COMPUTED_VALUE"""),20.0)</f>
        <v>20</v>
      </c>
      <c r="H175" s="80">
        <f>IFERROR(__xludf.DUMMYFUNCTION("""COMPUTED_VALUE"""),28.0)</f>
        <v>28</v>
      </c>
      <c r="I175" s="80">
        <f>IFERROR(__xludf.DUMMYFUNCTION("""COMPUTED_VALUE"""),100.0)</f>
        <v>100</v>
      </c>
      <c r="J175" s="109"/>
      <c r="K175" s="109"/>
      <c r="L175" s="109"/>
      <c r="M175" s="109"/>
      <c r="N175" s="109">
        <f>IFERROR(__xludf.DUMMYFUNCTION("""COMPUTED_VALUE"""),1.0)</f>
        <v>1</v>
      </c>
      <c r="O175" s="109"/>
      <c r="P175" s="109" t="str">
        <f>IFERROR(__xludf.DUMMYFUNCTION("""COMPUTED_VALUE"""),"Offset")</f>
        <v>Offset</v>
      </c>
      <c r="Q175" s="109" t="str">
        <f>IFERROR(__xludf.DUMMYFUNCTION("""COMPUTED_VALUE"""),"Packaging")</f>
        <v>Packaging</v>
      </c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15"/>
      <c r="AK175" s="80"/>
      <c r="AL175" s="80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</row>
    <row r="176">
      <c r="A176" s="123" t="str">
        <f>IFERROR(__xludf.DUMMYFUNCTION("""COMPUTED_VALUE"""),"https://drive.google.com/open?id=11z7nb5UTvxnWAHYOT3zsexzEJQtwjMIf&amp;authuser=jay.agg%40gmail.com&amp;usp=drive_fs")</f>
        <v>https://drive.google.com/open?id=11z7nb5UTvxnWAHYOT3zsexzEJQtwjMIf&amp;authuser=jay.agg%40gmail.com&amp;usp=drive_fs</v>
      </c>
      <c r="B176" s="80" t="str">
        <f>IFERROR(__xludf.DUMMYFUNCTION("""COMPUTED_VALUE"""),"Food")</f>
        <v>Food</v>
      </c>
      <c r="C176" s="80" t="str">
        <f>IFERROR(__xludf.DUMMYFUNCTION("""COMPUTED_VALUE"""),"Cerelac")</f>
        <v>Cerelac</v>
      </c>
      <c r="D176" s="80" t="str">
        <f>IFERROR(__xludf.DUMMYFUNCTION("""COMPUTED_VALUE"""),"160*35*200 mm | 6.3*1.4*7.9 inch")</f>
        <v>160*35*200 mm | 6.3*1.4*7.9 inch</v>
      </c>
      <c r="E176" s="124">
        <f>IFERROR(__xludf.DUMMYFUNCTION("""COMPUTED_VALUE"""),2.0)</f>
        <v>2</v>
      </c>
      <c r="F176" s="80">
        <f>IFERROR(__xludf.DUMMYFUNCTION("""COMPUTED_VALUE"""),1926.0)</f>
        <v>1926</v>
      </c>
      <c r="G176" s="80">
        <f>IFERROR(__xludf.DUMMYFUNCTION("""COMPUTED_VALUE"""),18.0)</f>
        <v>18</v>
      </c>
      <c r="H176" s="80">
        <f>IFERROR(__xludf.DUMMYFUNCTION("""COMPUTED_VALUE"""),23.0)</f>
        <v>23</v>
      </c>
      <c r="I176" s="80">
        <f>IFERROR(__xludf.DUMMYFUNCTION("""COMPUTED_VALUE"""),100.0)</f>
        <v>100</v>
      </c>
      <c r="J176" s="109"/>
      <c r="K176" s="109"/>
      <c r="L176" s="109"/>
      <c r="M176" s="109">
        <f>IFERROR(__xludf.DUMMYFUNCTION("""COMPUTED_VALUE"""),0.1)</f>
        <v>0.1</v>
      </c>
      <c r="N176" s="109">
        <f>IFERROR(__xludf.DUMMYFUNCTION("""COMPUTED_VALUE"""),1.0)</f>
        <v>1</v>
      </c>
      <c r="O176" s="109"/>
      <c r="P176" s="109" t="str">
        <f>IFERROR(__xludf.DUMMYFUNCTION("""COMPUTED_VALUE"""),"Offset")</f>
        <v>Offset</v>
      </c>
      <c r="Q176" s="109" t="str">
        <f>IFERROR(__xludf.DUMMYFUNCTION("""COMPUTED_VALUE"""),"Packaging")</f>
        <v>Packaging</v>
      </c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15"/>
      <c r="AK176" s="80"/>
      <c r="AL176" s="80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</row>
    <row r="177">
      <c r="A177" s="123" t="str">
        <f>IFERROR(__xludf.DUMMYFUNCTION("""COMPUTED_VALUE"""),"https://drive.google.com/open?id=1VMl9jjOG0y0CEXPVIbbJYqnllpYngwd5&amp;authuser=jay.agg%40gmail.com&amp;usp=drive_fs")</f>
        <v>https://drive.google.com/open?id=1VMl9jjOG0y0CEXPVIbbJYqnllpYngwd5&amp;authuser=jay.agg%40gmail.com&amp;usp=drive_fs</v>
      </c>
      <c r="B177" s="80" t="str">
        <f>IFERROR(__xludf.DUMMYFUNCTION("""COMPUTED_VALUE"""),"Food")</f>
        <v>Food</v>
      </c>
      <c r="C177" s="80" t="str">
        <f>IFERROR(__xludf.DUMMYFUNCTION("""COMPUTED_VALUE"""),"Dates")</f>
        <v>Dates</v>
      </c>
      <c r="D177" s="80" t="str">
        <f>IFERROR(__xludf.DUMMYFUNCTION("""COMPUTED_VALUE"""),"80*58*200 mm | 3.1*2.3*7.9 inch LB")</f>
        <v>80*58*200 mm | 3.1*2.3*7.9 inch LB</v>
      </c>
      <c r="E177" s="124">
        <f>IFERROR(__xludf.DUMMYFUNCTION("""COMPUTED_VALUE"""),2.0)</f>
        <v>2</v>
      </c>
      <c r="F177" s="80">
        <f>IFERROR(__xludf.DUMMYFUNCTION("""COMPUTED_VALUE"""),1926.0)</f>
        <v>1926</v>
      </c>
      <c r="G177" s="80">
        <f>IFERROR(__xludf.DUMMYFUNCTION("""COMPUTED_VALUE"""),13.0)</f>
        <v>13</v>
      </c>
      <c r="H177" s="80">
        <f>IFERROR(__xludf.DUMMYFUNCTION("""COMPUTED_VALUE"""),23.0)</f>
        <v>23</v>
      </c>
      <c r="I177" s="80">
        <f>IFERROR(__xludf.DUMMYFUNCTION("""COMPUTED_VALUE"""),100.0)</f>
        <v>100</v>
      </c>
      <c r="J177" s="109"/>
      <c r="K177" s="109"/>
      <c r="L177" s="109">
        <f>IFERROR(__xludf.DUMMYFUNCTION("""COMPUTED_VALUE"""),2.4)</f>
        <v>2.4</v>
      </c>
      <c r="M177" s="109">
        <f>IFERROR(__xludf.DUMMYFUNCTION("""COMPUTED_VALUE"""),0.24)</f>
        <v>0.24</v>
      </c>
      <c r="N177" s="109">
        <f>IFERROR(__xludf.DUMMYFUNCTION("""COMPUTED_VALUE"""),1.0)</f>
        <v>1</v>
      </c>
      <c r="O177" s="109"/>
      <c r="P177" s="109" t="str">
        <f>IFERROR(__xludf.DUMMYFUNCTION("""COMPUTED_VALUE"""),"Offset")</f>
        <v>Offset</v>
      </c>
      <c r="Q177" s="109" t="str">
        <f>IFERROR(__xludf.DUMMYFUNCTION("""COMPUTED_VALUE"""),"Packaging")</f>
        <v>Packaging</v>
      </c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15"/>
      <c r="AK177" s="80"/>
      <c r="AL177" s="80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</row>
    <row r="178">
      <c r="A178" s="123" t="str">
        <f>IFERROR(__xludf.DUMMYFUNCTION("""COMPUTED_VALUE"""),"https://drive.google.com/open?id=1VV6-_xXxlfUNALNcR6FpeQW3DbsiAdi4&amp;authuser=jay.agg%40gmail.com&amp;usp=drive_fs")</f>
        <v>https://drive.google.com/open?id=1VV6-_xXxlfUNALNcR6FpeQW3DbsiAdi4&amp;authuser=jay.agg%40gmail.com&amp;usp=drive_fs</v>
      </c>
      <c r="B178" s="80" t="str">
        <f>IFERROR(__xludf.DUMMYFUNCTION("""COMPUTED_VALUE"""),"Food")</f>
        <v>Food</v>
      </c>
      <c r="C178" s="80" t="str">
        <f>IFERROR(__xludf.DUMMYFUNCTION("""COMPUTED_VALUE"""),"Pink Harvest")</f>
        <v>Pink Harvest</v>
      </c>
      <c r="D178" s="80" t="str">
        <f>IFERROR(__xludf.DUMMYFUNCTION("""COMPUTED_VALUE"""),"130*52*180 mm | 5.1*2*7 inch IL")</f>
        <v>130*52*180 mm | 5.1*2*7 inch IL</v>
      </c>
      <c r="E178" s="124">
        <f>IFERROR(__xludf.DUMMYFUNCTION("""COMPUTED_VALUE"""),2.0)</f>
        <v>2</v>
      </c>
      <c r="F178" s="80">
        <f>IFERROR(__xludf.DUMMYFUNCTION("""COMPUTED_VALUE"""),1926.0)</f>
        <v>1926</v>
      </c>
      <c r="G178" s="80">
        <f>IFERROR(__xludf.DUMMYFUNCTION("""COMPUTED_VALUE"""),18.0)</f>
        <v>18</v>
      </c>
      <c r="H178" s="80">
        <f>IFERROR(__xludf.DUMMYFUNCTION("""COMPUTED_VALUE"""),23.0)</f>
        <v>23</v>
      </c>
      <c r="I178" s="80">
        <f>IFERROR(__xludf.DUMMYFUNCTION("""COMPUTED_VALUE"""),100.0)</f>
        <v>100</v>
      </c>
      <c r="J178" s="109"/>
      <c r="K178" s="109"/>
      <c r="L178" s="109"/>
      <c r="M178" s="109">
        <f>IFERROR(__xludf.DUMMYFUNCTION("""COMPUTED_VALUE"""),0.1)</f>
        <v>0.1</v>
      </c>
      <c r="N178" s="109">
        <f>IFERROR(__xludf.DUMMYFUNCTION("""COMPUTED_VALUE"""),1.0)</f>
        <v>1</v>
      </c>
      <c r="O178" s="109"/>
      <c r="P178" s="109" t="str">
        <f>IFERROR(__xludf.DUMMYFUNCTION("""COMPUTED_VALUE"""),"Offset")</f>
        <v>Offset</v>
      </c>
      <c r="Q178" s="109" t="str">
        <f>IFERROR(__xludf.DUMMYFUNCTION("""COMPUTED_VALUE"""),"Packaging")</f>
        <v>Packaging</v>
      </c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15"/>
      <c r="AK178" s="80"/>
      <c r="AL178" s="80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</row>
    <row r="179">
      <c r="A179" s="123" t="str">
        <f>IFERROR(__xludf.DUMMYFUNCTION("""COMPUTED_VALUE"""),"https://drive.google.com/open?id=12AbeDa6erfPhtfJ9kOKWsBpFapsdq6ND&amp;authuser=jay.agg%40gmail.com&amp;usp=drive_fs")</f>
        <v>https://drive.google.com/open?id=12AbeDa6erfPhtfJ9kOKWsBpFapsdq6ND&amp;authuser=jay.agg%40gmail.com&amp;usp=drive_fs</v>
      </c>
      <c r="B179" s="80" t="str">
        <f>IFERROR(__xludf.DUMMYFUNCTION("""COMPUTED_VALUE"""),"Food")</f>
        <v>Food</v>
      </c>
      <c r="C179" s="80" t="str">
        <f>IFERROR(__xludf.DUMMYFUNCTION("""COMPUTED_VALUE"""),"Dosa")</f>
        <v>Dosa</v>
      </c>
      <c r="D179" s="80" t="str">
        <f>IFERROR(__xludf.DUMMYFUNCTION("""COMPUTED_VALUE"""),"305*89*76 mm | 12*3.5*3 inch")</f>
        <v>305*89*76 mm | 12*3.5*3 inch</v>
      </c>
      <c r="E179" s="124">
        <f>IFERROR(__xludf.DUMMYFUNCTION("""COMPUTED_VALUE"""),2.0)</f>
        <v>2</v>
      </c>
      <c r="F179" s="80">
        <f>IFERROR(__xludf.DUMMYFUNCTION("""COMPUTED_VALUE"""),2029.0)</f>
        <v>2029</v>
      </c>
      <c r="G179" s="80">
        <f>IFERROR(__xludf.DUMMYFUNCTION("""COMPUTED_VALUE"""),20.0)</f>
        <v>20</v>
      </c>
      <c r="H179" s="80">
        <f>IFERROR(__xludf.DUMMYFUNCTION("""COMPUTED_VALUE"""),28.0)</f>
        <v>28</v>
      </c>
      <c r="I179" s="80">
        <f>IFERROR(__xludf.DUMMYFUNCTION("""COMPUTED_VALUE"""),100.0)</f>
        <v>100</v>
      </c>
      <c r="J179" s="109"/>
      <c r="K179" s="109"/>
      <c r="L179" s="109"/>
      <c r="M179" s="109"/>
      <c r="N179" s="109">
        <f>IFERROR(__xludf.DUMMYFUNCTION("""COMPUTED_VALUE"""),1.0)</f>
        <v>1</v>
      </c>
      <c r="O179" s="109"/>
      <c r="P179" s="109" t="str">
        <f>IFERROR(__xludf.DUMMYFUNCTION("""COMPUTED_VALUE"""),"Offset")</f>
        <v>Offset</v>
      </c>
      <c r="Q179" s="109" t="str">
        <f>IFERROR(__xludf.DUMMYFUNCTION("""COMPUTED_VALUE"""),"Packaging")</f>
        <v>Packaging</v>
      </c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15"/>
      <c r="AK179" s="80"/>
      <c r="AL179" s="80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</row>
    <row r="180">
      <c r="A180" s="123" t="str">
        <f>IFERROR(__xludf.DUMMYFUNCTION("""COMPUTED_VALUE"""),"https://drive.google.com/open?id=12AmYyGgvcGTgd6E6GsA7YzY0Cn0TbuoR&amp;authuser=jay.agg%40gmail.com&amp;usp=drive_fs")</f>
        <v>https://drive.google.com/open?id=12AmYyGgvcGTgd6E6GsA7YzY0Cn0TbuoR&amp;authuser=jay.agg%40gmail.com&amp;usp=drive_fs</v>
      </c>
      <c r="B180" s="80" t="str">
        <f>IFERROR(__xludf.DUMMYFUNCTION("""COMPUTED_VALUE"""),"Food")</f>
        <v>Food</v>
      </c>
      <c r="C180" s="80" t="str">
        <f>IFERROR(__xludf.DUMMYFUNCTION("""COMPUTED_VALUE"""),"Dosa")</f>
        <v>Dosa</v>
      </c>
      <c r="D180" s="80" t="str">
        <f>IFERROR(__xludf.DUMMYFUNCTION("""COMPUTED_VALUE"""),"216*76*68 mm | 8.5*2.7*3 inch")</f>
        <v>216*76*68 mm | 8.5*2.7*3 inch</v>
      </c>
      <c r="E180" s="124">
        <f>IFERROR(__xludf.DUMMYFUNCTION("""COMPUTED_VALUE"""),2.0)</f>
        <v>2</v>
      </c>
      <c r="F180" s="80">
        <f>IFERROR(__xludf.DUMMYFUNCTION("""COMPUTED_VALUE"""),1926.0)</f>
        <v>1926</v>
      </c>
      <c r="G180" s="80">
        <f>IFERROR(__xludf.DUMMYFUNCTION("""COMPUTED_VALUE"""),15.0)</f>
        <v>15</v>
      </c>
      <c r="H180" s="80">
        <f>IFERROR(__xludf.DUMMYFUNCTION("""COMPUTED_VALUE"""),25.0)</f>
        <v>25</v>
      </c>
      <c r="I180" s="80">
        <f>IFERROR(__xludf.DUMMYFUNCTION("""COMPUTED_VALUE"""),100.0)</f>
        <v>100</v>
      </c>
      <c r="J180" s="109"/>
      <c r="K180" s="109"/>
      <c r="L180" s="109"/>
      <c r="M180" s="109"/>
      <c r="N180" s="109">
        <f>IFERROR(__xludf.DUMMYFUNCTION("""COMPUTED_VALUE"""),1.0)</f>
        <v>1</v>
      </c>
      <c r="O180" s="109"/>
      <c r="P180" s="109" t="str">
        <f>IFERROR(__xludf.DUMMYFUNCTION("""COMPUTED_VALUE"""),"Offset")</f>
        <v>Offset</v>
      </c>
      <c r="Q180" s="109" t="str">
        <f>IFERROR(__xludf.DUMMYFUNCTION("""COMPUTED_VALUE"""),"Packaging")</f>
        <v>Packaging</v>
      </c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5"/>
      <c r="AK180" s="80"/>
      <c r="AL180" s="80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</row>
    <row r="181">
      <c r="A181" s="123" t="str">
        <f>IFERROR(__xludf.DUMMYFUNCTION("""COMPUTED_VALUE"""),"https://drive.google.com/open?id=1WtkhXZajw8MnRT7b89jNmX4llkq0a5Rl&amp;authuser=jay.agg%40gmail.com&amp;usp=drive_fs")</f>
        <v>https://drive.google.com/open?id=1WtkhXZajw8MnRT7b89jNmX4llkq0a5Rl&amp;authuser=jay.agg%40gmail.com&amp;usp=drive_fs</v>
      </c>
      <c r="B181" s="80" t="str">
        <f>IFERROR(__xludf.DUMMYFUNCTION("""COMPUTED_VALUE"""),"Food")</f>
        <v>Food</v>
      </c>
      <c r="C181" s="80" t="str">
        <f>IFERROR(__xludf.DUMMYFUNCTION("""COMPUTED_VALUE"""),"Dates")</f>
        <v>Dates</v>
      </c>
      <c r="D181" s="80" t="str">
        <f>IFERROR(__xludf.DUMMYFUNCTION("""COMPUTED_VALUE"""),"158*58*254 mm | 6.2*2.3*10 inch LB")</f>
        <v>158*58*254 mm | 6.2*2.3*10 inch LB</v>
      </c>
      <c r="E181" s="124">
        <f>IFERROR(__xludf.DUMMYFUNCTION("""COMPUTED_VALUE"""),1.0)</f>
        <v>1</v>
      </c>
      <c r="F181" s="80">
        <f>IFERROR(__xludf.DUMMYFUNCTION("""COMPUTED_VALUE"""),1926.0)</f>
        <v>1926</v>
      </c>
      <c r="G181" s="80">
        <f>IFERROR(__xludf.DUMMYFUNCTION("""COMPUTED_VALUE"""),15.75)</f>
        <v>15.75</v>
      </c>
      <c r="H181" s="80">
        <f>IFERROR(__xludf.DUMMYFUNCTION("""COMPUTED_VALUE"""),20.75)</f>
        <v>20.75</v>
      </c>
      <c r="I181" s="80">
        <f>IFERROR(__xludf.DUMMYFUNCTION("""COMPUTED_VALUE"""),100.0)</f>
        <v>100</v>
      </c>
      <c r="J181" s="109"/>
      <c r="K181" s="109"/>
      <c r="L181" s="109">
        <f>IFERROR(__xludf.DUMMYFUNCTION("""COMPUTED_VALUE"""),2.4)</f>
        <v>2.4</v>
      </c>
      <c r="M181" s="109">
        <f>IFERROR(__xludf.DUMMYFUNCTION("""COMPUTED_VALUE"""),0.24)</f>
        <v>0.24</v>
      </c>
      <c r="N181" s="109">
        <f>IFERROR(__xludf.DUMMYFUNCTION("""COMPUTED_VALUE"""),1.0)</f>
        <v>1</v>
      </c>
      <c r="O181" s="109"/>
      <c r="P181" s="109" t="str">
        <f>IFERROR(__xludf.DUMMYFUNCTION("""COMPUTED_VALUE"""),"Offset")</f>
        <v>Offset</v>
      </c>
      <c r="Q181" s="109" t="str">
        <f>IFERROR(__xludf.DUMMYFUNCTION("""COMPUTED_VALUE"""),"Packaging")</f>
        <v>Packaging</v>
      </c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15"/>
      <c r="AK181" s="80"/>
      <c r="AL181" s="80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</row>
    <row r="182">
      <c r="A182" s="123" t="str">
        <f>IFERROR(__xludf.DUMMYFUNCTION("""COMPUTED_VALUE"""),"https://drive.google.com/open?id=1Y-rhez72TWoWfZBDirF-IZVtMudYCA91&amp;authuser=jay.agg%40gmail.com&amp;usp=drive_fs")</f>
        <v>https://drive.google.com/open?id=1Y-rhez72TWoWfZBDirF-IZVtMudYCA91&amp;authuser=jay.agg%40gmail.com&amp;usp=drive_fs</v>
      </c>
      <c r="B182" s="80" t="str">
        <f>IFERROR(__xludf.DUMMYFUNCTION("""COMPUTED_VALUE"""),"Food")</f>
        <v>Food</v>
      </c>
      <c r="C182" s="80" t="str">
        <f>IFERROR(__xludf.DUMMYFUNCTION("""COMPUTED_VALUE"""),"Butter")</f>
        <v>Butter</v>
      </c>
      <c r="D182" s="80" t="str">
        <f>IFERROR(__xludf.DUMMYFUNCTION("""COMPUTED_VALUE"""),"88*64*95 mm | 3.5*2.5*3.75 inch IL")</f>
        <v>88*64*95 mm | 3.5*2.5*3.75 inch IL</v>
      </c>
      <c r="E182" s="124">
        <f>IFERROR(__xludf.DUMMYFUNCTION("""COMPUTED_VALUE"""),12.0)</f>
        <v>12</v>
      </c>
      <c r="F182" s="80">
        <f>IFERROR(__xludf.DUMMYFUNCTION("""COMPUTED_VALUE"""),2840.0)</f>
        <v>2840</v>
      </c>
      <c r="G182" s="80">
        <f>IFERROR(__xludf.DUMMYFUNCTION("""COMPUTED_VALUE"""),28.0)</f>
        <v>28</v>
      </c>
      <c r="H182" s="80">
        <f>IFERROR(__xludf.DUMMYFUNCTION("""COMPUTED_VALUE"""),40.0)</f>
        <v>40</v>
      </c>
      <c r="I182" s="80">
        <f>IFERROR(__xludf.DUMMYFUNCTION("""COMPUTED_VALUE"""),100.0)</f>
        <v>100</v>
      </c>
      <c r="J182" s="109"/>
      <c r="K182" s="109"/>
      <c r="L182" s="109"/>
      <c r="M182" s="109">
        <f>IFERROR(__xludf.DUMMYFUNCTION("""COMPUTED_VALUE"""),0.1)</f>
        <v>0.1</v>
      </c>
      <c r="N182" s="109">
        <f>IFERROR(__xludf.DUMMYFUNCTION("""COMPUTED_VALUE"""),1.0)</f>
        <v>1</v>
      </c>
      <c r="O182" s="109"/>
      <c r="P182" s="109" t="str">
        <f>IFERROR(__xludf.DUMMYFUNCTION("""COMPUTED_VALUE"""),"Offset")</f>
        <v>Offset</v>
      </c>
      <c r="Q182" s="109" t="str">
        <f>IFERROR(__xludf.DUMMYFUNCTION("""COMPUTED_VALUE"""),"Packaging")</f>
        <v>Packaging</v>
      </c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15"/>
      <c r="AK182" s="80"/>
      <c r="AL182" s="80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</row>
    <row r="183">
      <c r="A183" s="123" t="str">
        <f>IFERROR(__xludf.DUMMYFUNCTION("""COMPUTED_VALUE"""),"https://drive.google.com/open?id=1YO2XZhcwTKKHcGDJ7IJJr_usHDUwe1ys&amp;authuser=jay.agg%40gmail.com&amp;usp=drive_fs")</f>
        <v>https://drive.google.com/open?id=1YO2XZhcwTKKHcGDJ7IJJr_usHDUwe1ys&amp;authuser=jay.agg%40gmail.com&amp;usp=drive_fs</v>
      </c>
      <c r="B183" s="80" t="str">
        <f>IFERROR(__xludf.DUMMYFUNCTION("""COMPUTED_VALUE"""),"Food")</f>
        <v>Food</v>
      </c>
      <c r="C183" s="80" t="str">
        <f>IFERROR(__xludf.DUMMYFUNCTION("""COMPUTED_VALUE"""),"Misc")</f>
        <v>Misc</v>
      </c>
      <c r="D183" s="80" t="str">
        <f>IFERROR(__xludf.DUMMYFUNCTION("""COMPUTED_VALUE"""),"140*25*180 mm | 5.5*1*7 inch")</f>
        <v>140*25*180 mm | 5.5*1*7 inch</v>
      </c>
      <c r="E183" s="124">
        <f>IFERROR(__xludf.DUMMYFUNCTION("""COMPUTED_VALUE"""),4.0)</f>
        <v>4</v>
      </c>
      <c r="F183" s="80">
        <f>IFERROR(__xludf.DUMMYFUNCTION("""COMPUTED_VALUE"""),2029.0)</f>
        <v>2029</v>
      </c>
      <c r="G183" s="80">
        <f>IFERROR(__xludf.DUMMYFUNCTION("""COMPUTED_VALUE"""),20.0)</f>
        <v>20</v>
      </c>
      <c r="H183" s="80">
        <f>IFERROR(__xludf.DUMMYFUNCTION("""COMPUTED_VALUE"""),28.0)</f>
        <v>28</v>
      </c>
      <c r="I183" s="80">
        <f>IFERROR(__xludf.DUMMYFUNCTION("""COMPUTED_VALUE"""),100.0)</f>
        <v>100</v>
      </c>
      <c r="J183" s="109"/>
      <c r="K183" s="109"/>
      <c r="L183" s="109"/>
      <c r="M183" s="109">
        <f>IFERROR(__xludf.DUMMYFUNCTION("""COMPUTED_VALUE"""),0.1)</f>
        <v>0.1</v>
      </c>
      <c r="N183" s="109">
        <f>IFERROR(__xludf.DUMMYFUNCTION("""COMPUTED_VALUE"""),1.0)</f>
        <v>1</v>
      </c>
      <c r="O183" s="109"/>
      <c r="P183" s="109" t="str">
        <f>IFERROR(__xludf.DUMMYFUNCTION("""COMPUTED_VALUE"""),"Offset")</f>
        <v>Offset</v>
      </c>
      <c r="Q183" s="109" t="str">
        <f>IFERROR(__xludf.DUMMYFUNCTION("""COMPUTED_VALUE"""),"Packaging")</f>
        <v>Packaging</v>
      </c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15"/>
      <c r="AK183" s="80"/>
      <c r="AL183" s="80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</row>
    <row r="184">
      <c r="A184" s="123" t="str">
        <f>IFERROR(__xludf.DUMMYFUNCTION("""COMPUTED_VALUE"""),"https://drive.google.com/open?id=1YRjWSq0GBSuWENEWOH_TB2uYNJg-tnLj&amp;authuser=jay.agg%40gmail.com&amp;usp=drive_fs")</f>
        <v>https://drive.google.com/open?id=1YRjWSq0GBSuWENEWOH_TB2uYNJg-tnLj&amp;authuser=jay.agg%40gmail.com&amp;usp=drive_fs</v>
      </c>
      <c r="B184" s="80" t="str">
        <f>IFERROR(__xludf.DUMMYFUNCTION("""COMPUTED_VALUE"""),"Food")</f>
        <v>Food</v>
      </c>
      <c r="C184" s="80" t="str">
        <f>IFERROR(__xludf.DUMMYFUNCTION("""COMPUTED_VALUE"""),"Creme")</f>
        <v>Creme</v>
      </c>
      <c r="D184" s="80" t="str">
        <f>IFERROR(__xludf.DUMMYFUNCTION("""COMPUTED_VALUE"""),"100*70*203 mm | 4*2.75*8 inch IL | 24*15")</f>
        <v>100*70*203 mm | 4*2.75*8 inch IL | 24*15</v>
      </c>
      <c r="E184" s="124">
        <f>IFERROR(__xludf.DUMMYFUNCTION("""COMPUTED_VALUE"""),2.0)</f>
        <v>2</v>
      </c>
      <c r="F184" s="80">
        <f>IFERROR(__xludf.DUMMYFUNCTION("""COMPUTED_VALUE"""),1926.0)</f>
        <v>1926</v>
      </c>
      <c r="G184" s="80">
        <f>IFERROR(__xludf.DUMMYFUNCTION("""COMPUTED_VALUE"""),15.0)</f>
        <v>15</v>
      </c>
      <c r="H184" s="80">
        <f>IFERROR(__xludf.DUMMYFUNCTION("""COMPUTED_VALUE"""),25.0)</f>
        <v>25</v>
      </c>
      <c r="I184" s="80">
        <f>IFERROR(__xludf.DUMMYFUNCTION("""COMPUTED_VALUE"""),100.0)</f>
        <v>100</v>
      </c>
      <c r="J184" s="109"/>
      <c r="K184" s="109"/>
      <c r="L184" s="109"/>
      <c r="M184" s="109">
        <f>IFERROR(__xludf.DUMMYFUNCTION("""COMPUTED_VALUE"""),0.1)</f>
        <v>0.1</v>
      </c>
      <c r="N184" s="109">
        <f>IFERROR(__xludf.DUMMYFUNCTION("""COMPUTED_VALUE"""),1.0)</f>
        <v>1</v>
      </c>
      <c r="O184" s="109"/>
      <c r="P184" s="109" t="str">
        <f>IFERROR(__xludf.DUMMYFUNCTION("""COMPUTED_VALUE"""),"Offset")</f>
        <v>Offset</v>
      </c>
      <c r="Q184" s="109" t="str">
        <f>IFERROR(__xludf.DUMMYFUNCTION("""COMPUTED_VALUE"""),"Packaging")</f>
        <v>Packaging</v>
      </c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15"/>
      <c r="AK184" s="80"/>
      <c r="AL184" s="80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</row>
    <row r="185">
      <c r="A185" s="123" t="str">
        <f>IFERROR(__xludf.DUMMYFUNCTION("""COMPUTED_VALUE"""),"https://drive.google.com/open?id=16VbhqNAZCEmxcSqUdLZMo8kJ07F4D0dx&amp;authuser=jay.agg%40gmail.com&amp;usp=drive_fs")</f>
        <v>https://drive.google.com/open?id=16VbhqNAZCEmxcSqUdLZMo8kJ07F4D0dx&amp;authuser=jay.agg%40gmail.com&amp;usp=drive_fs</v>
      </c>
      <c r="B185" s="80" t="str">
        <f>IFERROR(__xludf.DUMMYFUNCTION("""COMPUTED_VALUE"""),"Food")</f>
        <v>Food</v>
      </c>
      <c r="C185" s="80" t="str">
        <f>IFERROR(__xludf.DUMMYFUNCTION("""COMPUTED_VALUE"""),"Misc")</f>
        <v>Misc</v>
      </c>
      <c r="D185" s="80" t="str">
        <f>IFERROR(__xludf.DUMMYFUNCTION("""COMPUTED_VALUE"""),"170*50*240 mm | 6.7*2*9.5 inch")</f>
        <v>170*50*240 mm | 6.7*2*9.5 inch</v>
      </c>
      <c r="E185" s="124">
        <f>IFERROR(__xludf.DUMMYFUNCTION("""COMPUTED_VALUE"""),2.0)</f>
        <v>2</v>
      </c>
      <c r="F185" s="80">
        <f>IFERROR(__xludf.DUMMYFUNCTION("""COMPUTED_VALUE"""),2029.0)</f>
        <v>2029</v>
      </c>
      <c r="G185" s="80">
        <f>IFERROR(__xludf.DUMMYFUNCTION("""COMPUTED_VALUE"""),19.0)</f>
        <v>19</v>
      </c>
      <c r="H185" s="80">
        <f>IFERROR(__xludf.DUMMYFUNCTION("""COMPUTED_VALUE"""),26.0)</f>
        <v>26</v>
      </c>
      <c r="I185" s="80">
        <f>IFERROR(__xludf.DUMMYFUNCTION("""COMPUTED_VALUE"""),100.0)</f>
        <v>100</v>
      </c>
      <c r="J185" s="109"/>
      <c r="K185" s="109"/>
      <c r="L185" s="109"/>
      <c r="M185" s="109">
        <f>IFERROR(__xludf.DUMMYFUNCTION("""COMPUTED_VALUE"""),0.1)</f>
        <v>0.1</v>
      </c>
      <c r="N185" s="109">
        <f>IFERROR(__xludf.DUMMYFUNCTION("""COMPUTED_VALUE"""),1.0)</f>
        <v>1</v>
      </c>
      <c r="O185" s="109"/>
      <c r="P185" s="109" t="str">
        <f>IFERROR(__xludf.DUMMYFUNCTION("""COMPUTED_VALUE"""),"Offset")</f>
        <v>Offset</v>
      </c>
      <c r="Q185" s="109" t="str">
        <f>IFERROR(__xludf.DUMMYFUNCTION("""COMPUTED_VALUE"""),"Packaging")</f>
        <v>Packaging</v>
      </c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15"/>
      <c r="AK185" s="80"/>
      <c r="AL185" s="80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</row>
    <row r="186">
      <c r="A186" s="123" t="str">
        <f>IFERROR(__xludf.DUMMYFUNCTION("""COMPUTED_VALUE"""),"https://drive.google.com/open?id=178ZR2LM7Wd0FhqR84Cx7gA2nv-UyQIf8&amp;authuser=jay.agg%40gmail.com&amp;usp=drive_fs")</f>
        <v>https://drive.google.com/open?id=178ZR2LM7Wd0FhqR84Cx7gA2nv-UyQIf8&amp;authuser=jay.agg%40gmail.com&amp;usp=drive_fs</v>
      </c>
      <c r="B186" s="80" t="str">
        <f>IFERROR(__xludf.DUMMYFUNCTION("""COMPUTED_VALUE"""),"Food")</f>
        <v>Food</v>
      </c>
      <c r="C186" s="80" t="str">
        <f>IFERROR(__xludf.DUMMYFUNCTION("""COMPUTED_VALUE"""),"Coffee")</f>
        <v>Coffee</v>
      </c>
      <c r="D186" s="80" t="str">
        <f>IFERROR(__xludf.DUMMYFUNCTION("""COMPUTED_VALUE"""),"78*24*155 mm | 3*1*6.1 inch")</f>
        <v>78*24*155 mm | 3*1*6.1 inch</v>
      </c>
      <c r="E186" s="124">
        <f>IFERROR(__xludf.DUMMYFUNCTION("""COMPUTED_VALUE"""),6.0)</f>
        <v>6</v>
      </c>
      <c r="F186" s="80">
        <f>IFERROR(__xludf.DUMMYFUNCTION("""COMPUTED_VALUE"""),1926.0)</f>
        <v>1926</v>
      </c>
      <c r="G186" s="80">
        <f>IFERROR(__xludf.DUMMYFUNCTION("""COMPUTED_VALUE"""),18.0)</f>
        <v>18</v>
      </c>
      <c r="H186" s="80">
        <f>IFERROR(__xludf.DUMMYFUNCTION("""COMPUTED_VALUE"""),23.0)</f>
        <v>23</v>
      </c>
      <c r="I186" s="80">
        <f>IFERROR(__xludf.DUMMYFUNCTION("""COMPUTED_VALUE"""),100.0)</f>
        <v>100</v>
      </c>
      <c r="J186" s="109"/>
      <c r="K186" s="109"/>
      <c r="L186" s="109"/>
      <c r="M186" s="109">
        <f>IFERROR(__xludf.DUMMYFUNCTION("""COMPUTED_VALUE"""),0.1)</f>
        <v>0.1</v>
      </c>
      <c r="N186" s="109">
        <f>IFERROR(__xludf.DUMMYFUNCTION("""COMPUTED_VALUE"""),1.0)</f>
        <v>1</v>
      </c>
      <c r="O186" s="109"/>
      <c r="P186" s="109" t="str">
        <f>IFERROR(__xludf.DUMMYFUNCTION("""COMPUTED_VALUE"""),"Offset")</f>
        <v>Offset</v>
      </c>
      <c r="Q186" s="109" t="str">
        <f>IFERROR(__xludf.DUMMYFUNCTION("""COMPUTED_VALUE"""),"Packaging")</f>
        <v>Packaging</v>
      </c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15"/>
      <c r="AK186" s="80"/>
      <c r="AL186" s="80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</row>
    <row r="187">
      <c r="A187" s="123" t="str">
        <f>IFERROR(__xludf.DUMMYFUNCTION("""COMPUTED_VALUE"""),"https://drive.google.com/open?id=17BGlK5WNvxgl2D7j-sH5Y4C4eS5MVXcb&amp;authuser=jay.agg%40gmail.com&amp;usp=drive_fs")</f>
        <v>https://drive.google.com/open?id=17BGlK5WNvxgl2D7j-sH5Y4C4eS5MVXcb&amp;authuser=jay.agg%40gmail.com&amp;usp=drive_fs</v>
      </c>
      <c r="B187" s="80" t="str">
        <f>IFERROR(__xludf.DUMMYFUNCTION("""COMPUTED_VALUE"""),"Food")</f>
        <v>Food</v>
      </c>
      <c r="C187" s="80" t="str">
        <f>IFERROR(__xludf.DUMMYFUNCTION("""COMPUTED_VALUE"""),"Coffee")</f>
        <v>Coffee</v>
      </c>
      <c r="D187" s="80" t="str">
        <f>IFERROR(__xludf.DUMMYFUNCTION("""COMPUTED_VALUE"""),"100*34*190 mm | 3.9*1.4*7.5 inch")</f>
        <v>100*34*190 mm | 3.9*1.4*7.5 inch</v>
      </c>
      <c r="E187" s="124">
        <f>IFERROR(__xludf.DUMMYFUNCTION("""COMPUTED_VALUE"""),2.0)</f>
        <v>2</v>
      </c>
      <c r="F187" s="80">
        <f>IFERROR(__xludf.DUMMYFUNCTION("""COMPUTED_VALUE"""),1926.0)</f>
        <v>1926</v>
      </c>
      <c r="G187" s="80">
        <f>IFERROR(__xludf.DUMMYFUNCTION("""COMPUTED_VALUE"""),12.0)</f>
        <v>12</v>
      </c>
      <c r="H187" s="80">
        <f>IFERROR(__xludf.DUMMYFUNCTION("""COMPUTED_VALUE"""),23.0)</f>
        <v>23</v>
      </c>
      <c r="I187" s="80">
        <f>IFERROR(__xludf.DUMMYFUNCTION("""COMPUTED_VALUE"""),100.0)</f>
        <v>100</v>
      </c>
      <c r="J187" s="109"/>
      <c r="K187" s="109"/>
      <c r="L187" s="109"/>
      <c r="M187" s="109">
        <f>IFERROR(__xludf.DUMMYFUNCTION("""COMPUTED_VALUE"""),0.1)</f>
        <v>0.1</v>
      </c>
      <c r="N187" s="109">
        <f>IFERROR(__xludf.DUMMYFUNCTION("""COMPUTED_VALUE"""),1.0)</f>
        <v>1</v>
      </c>
      <c r="O187" s="109"/>
      <c r="P187" s="109" t="str">
        <f>IFERROR(__xludf.DUMMYFUNCTION("""COMPUTED_VALUE"""),"Offset")</f>
        <v>Offset</v>
      </c>
      <c r="Q187" s="109" t="str">
        <f>IFERROR(__xludf.DUMMYFUNCTION("""COMPUTED_VALUE"""),"Packaging")</f>
        <v>Packaging</v>
      </c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15"/>
      <c r="AK187" s="80"/>
      <c r="AL187" s="80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</row>
    <row r="188">
      <c r="A188" s="123" t="str">
        <f>IFERROR(__xludf.DUMMYFUNCTION("""COMPUTED_VALUE"""),"https://drive.google.com/open?id=17DOlrTtJpAnMh9wurUpiomk0CBIXkTQ3&amp;authuser=jay.agg%40gmail.com&amp;usp=drive_fs")</f>
        <v>https://drive.google.com/open?id=17DOlrTtJpAnMh9wurUpiomk0CBIXkTQ3&amp;authuser=jay.agg%40gmail.com&amp;usp=drive_fs</v>
      </c>
      <c r="B188" s="80" t="str">
        <f>IFERROR(__xludf.DUMMYFUNCTION("""COMPUTED_VALUE"""),"Food")</f>
        <v>Food</v>
      </c>
      <c r="C188" s="80" t="str">
        <f>IFERROR(__xludf.DUMMYFUNCTION("""COMPUTED_VALUE"""),"Coffee")</f>
        <v>Coffee</v>
      </c>
      <c r="D188" s="80" t="str">
        <f>IFERROR(__xludf.DUMMYFUNCTION("""COMPUTED_VALUE"""),"100*64*235 mm | 4*2.5*9.25 inch")</f>
        <v>100*64*235 mm | 4*2.5*9.25 inch</v>
      </c>
      <c r="E188" s="124">
        <f>IFERROR(__xludf.DUMMYFUNCTION("""COMPUTED_VALUE"""),2.0)</f>
        <v>2</v>
      </c>
      <c r="F188" s="80">
        <f>IFERROR(__xludf.DUMMYFUNCTION("""COMPUTED_VALUE"""),2029.0)</f>
        <v>2029</v>
      </c>
      <c r="G188" s="80">
        <f>IFERROR(__xludf.DUMMYFUNCTION("""COMPUTED_VALUE"""),20.0)</f>
        <v>20</v>
      </c>
      <c r="H188" s="80">
        <f>IFERROR(__xludf.DUMMYFUNCTION("""COMPUTED_VALUE"""),28.0)</f>
        <v>28</v>
      </c>
      <c r="I188" s="80">
        <f>IFERROR(__xludf.DUMMYFUNCTION("""COMPUTED_VALUE"""),100.0)</f>
        <v>100</v>
      </c>
      <c r="J188" s="109"/>
      <c r="K188" s="109"/>
      <c r="L188" s="109"/>
      <c r="M188" s="109">
        <f>IFERROR(__xludf.DUMMYFUNCTION("""COMPUTED_VALUE"""),0.1)</f>
        <v>0.1</v>
      </c>
      <c r="N188" s="109">
        <f>IFERROR(__xludf.DUMMYFUNCTION("""COMPUTED_VALUE"""),1.0)</f>
        <v>1</v>
      </c>
      <c r="O188" s="109"/>
      <c r="P188" s="109" t="str">
        <f>IFERROR(__xludf.DUMMYFUNCTION("""COMPUTED_VALUE"""),"Offset")</f>
        <v>Offset</v>
      </c>
      <c r="Q188" s="109" t="str">
        <f>IFERROR(__xludf.DUMMYFUNCTION("""COMPUTED_VALUE"""),"Packaging")</f>
        <v>Packaging</v>
      </c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15"/>
      <c r="AK188" s="80"/>
      <c r="AL188" s="80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</row>
    <row r="189">
      <c r="A189" s="123" t="str">
        <f>IFERROR(__xludf.DUMMYFUNCTION("""COMPUTED_VALUE"""),"https://drive.google.com/open?id=1d4LH8thoMWnrJlwLXN7kuC9mMxrUBnkU&amp;authuser=jay.agg%40gmail.com&amp;usp=drive_fs")</f>
        <v>https://drive.google.com/open?id=1d4LH8thoMWnrJlwLXN7kuC9mMxrUBnkU&amp;authuser=jay.agg%40gmail.com&amp;usp=drive_fs</v>
      </c>
      <c r="B189" s="80" t="str">
        <f>IFERROR(__xludf.DUMMYFUNCTION("""COMPUTED_VALUE"""),"Food")</f>
        <v>Food</v>
      </c>
      <c r="C189" s="80" t="str">
        <f>IFERROR(__xludf.DUMMYFUNCTION("""COMPUTED_VALUE"""),"Misc")</f>
        <v>Misc</v>
      </c>
      <c r="D189" s="80" t="str">
        <f>IFERROR(__xludf.DUMMYFUNCTION("""COMPUTED_VALUE"""),"148*80*175 mm | 5.8*3.1*6.9 inch")</f>
        <v>148*80*175 mm | 5.8*3.1*6.9 inch</v>
      </c>
      <c r="E189" s="124">
        <f>IFERROR(__xludf.DUMMYFUNCTION("""COMPUTED_VALUE"""),2.0)</f>
        <v>2</v>
      </c>
      <c r="F189" s="80">
        <f>IFERROR(__xludf.DUMMYFUNCTION("""COMPUTED_VALUE"""),1926.0)</f>
        <v>1926</v>
      </c>
      <c r="G189" s="80">
        <f>IFERROR(__xludf.DUMMYFUNCTION("""COMPUTED_VALUE"""),19.0)</f>
        <v>19</v>
      </c>
      <c r="H189" s="80">
        <f>IFERROR(__xludf.DUMMYFUNCTION("""COMPUTED_VALUE"""),26.0)</f>
        <v>26</v>
      </c>
      <c r="I189" s="80">
        <f>IFERROR(__xludf.DUMMYFUNCTION("""COMPUTED_VALUE"""),100.0)</f>
        <v>100</v>
      </c>
      <c r="J189" s="109"/>
      <c r="K189" s="109"/>
      <c r="L189" s="109"/>
      <c r="M189" s="109">
        <f>IFERROR(__xludf.DUMMYFUNCTION("""COMPUTED_VALUE"""),0.1)</f>
        <v>0.1</v>
      </c>
      <c r="N189" s="109">
        <f>IFERROR(__xludf.DUMMYFUNCTION("""COMPUTED_VALUE"""),1.0)</f>
        <v>1</v>
      </c>
      <c r="O189" s="109"/>
      <c r="P189" s="109" t="str">
        <f>IFERROR(__xludf.DUMMYFUNCTION("""COMPUTED_VALUE"""),"Offset")</f>
        <v>Offset</v>
      </c>
      <c r="Q189" s="109" t="str">
        <f>IFERROR(__xludf.DUMMYFUNCTION("""COMPUTED_VALUE"""),"Packaging")</f>
        <v>Packaging</v>
      </c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15"/>
      <c r="AK189" s="80"/>
      <c r="AL189" s="80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</row>
    <row r="190">
      <c r="A190" s="123" t="str">
        <f>IFERROR(__xludf.DUMMYFUNCTION("""COMPUTED_VALUE"""),"https://drive.google.com/open?id=1ekFCXf4uF2EOTPUCm-oziHk6Qedd-FgN&amp;authuser=jay.agg%40gmail.com&amp;usp=drive_fs")</f>
        <v>https://drive.google.com/open?id=1ekFCXf4uF2EOTPUCm-oziHk6Qedd-FgN&amp;authuser=jay.agg%40gmail.com&amp;usp=drive_fs</v>
      </c>
      <c r="B190" s="80" t="str">
        <f>IFERROR(__xludf.DUMMYFUNCTION("""COMPUTED_VALUE"""),"Food")</f>
        <v>Food</v>
      </c>
      <c r="C190" s="80" t="str">
        <f>IFERROR(__xludf.DUMMYFUNCTION("""COMPUTED_VALUE"""),"Dry Fruit")</f>
        <v>Dry Fruit</v>
      </c>
      <c r="D190" s="80" t="str">
        <f>IFERROR(__xludf.DUMMYFUNCTION("""COMPUTED_VALUE"""),"110*48*152 mm | 4.3*1.9*6 inch IL")</f>
        <v>110*48*152 mm | 4.3*1.9*6 inch IL</v>
      </c>
      <c r="E190" s="124">
        <f>IFERROR(__xludf.DUMMYFUNCTION("""COMPUTED_VALUE"""),4.0)</f>
        <v>4</v>
      </c>
      <c r="F190" s="80">
        <f>IFERROR(__xludf.DUMMYFUNCTION("""COMPUTED_VALUE"""),2029.0)</f>
        <v>2029</v>
      </c>
      <c r="G190" s="80">
        <f>IFERROR(__xludf.DUMMYFUNCTION("""COMPUTED_VALUE"""),19.0)</f>
        <v>19</v>
      </c>
      <c r="H190" s="80">
        <f>IFERROR(__xludf.DUMMYFUNCTION("""COMPUTED_VALUE"""),26.0)</f>
        <v>26</v>
      </c>
      <c r="I190" s="80">
        <f>IFERROR(__xludf.DUMMYFUNCTION("""COMPUTED_VALUE"""),100.0)</f>
        <v>100</v>
      </c>
      <c r="J190" s="109"/>
      <c r="K190" s="109"/>
      <c r="L190" s="109"/>
      <c r="M190" s="109">
        <f>IFERROR(__xludf.DUMMYFUNCTION("""COMPUTED_VALUE"""),0.1)</f>
        <v>0.1</v>
      </c>
      <c r="N190" s="109">
        <f>IFERROR(__xludf.DUMMYFUNCTION("""COMPUTED_VALUE"""),1.0)</f>
        <v>1</v>
      </c>
      <c r="O190" s="109"/>
      <c r="P190" s="109" t="str">
        <f>IFERROR(__xludf.DUMMYFUNCTION("""COMPUTED_VALUE"""),"Offset")</f>
        <v>Offset</v>
      </c>
      <c r="Q190" s="109" t="str">
        <f>IFERROR(__xludf.DUMMYFUNCTION("""COMPUTED_VALUE"""),"Packaging")</f>
        <v>Packaging</v>
      </c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5"/>
      <c r="AK190" s="80"/>
      <c r="AL190" s="80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</row>
    <row r="191">
      <c r="A191" s="123" t="str">
        <f>IFERROR(__xludf.DUMMYFUNCTION("""COMPUTED_VALUE"""),"https://drive.google.com/open?id=1DahvWI_S0KPujPMDEft9OYzMQHr5bBC2&amp;authuser=jay.agg%40gmail.com&amp;usp=drive_fs")</f>
        <v>https://drive.google.com/open?id=1DahvWI_S0KPujPMDEft9OYzMQHr5bBC2&amp;authuser=jay.agg%40gmail.com&amp;usp=drive_fs</v>
      </c>
      <c r="B191" s="80" t="str">
        <f>IFERROR(__xludf.DUMMYFUNCTION("""COMPUTED_VALUE"""),"Food")</f>
        <v>Food</v>
      </c>
      <c r="C191" s="80" t="str">
        <f>IFERROR(__xludf.DUMMYFUNCTION("""COMPUTED_VALUE"""),"Ice Cream")</f>
        <v>Ice Cream</v>
      </c>
      <c r="D191" s="80" t="str">
        <f>IFERROR(__xludf.DUMMYFUNCTION("""COMPUTED_VALUE"""),"35*35*130 mm | 1.4*1.4*5.1 inch")</f>
        <v>35*35*130 mm | 1.4*1.4*5.1 inch</v>
      </c>
      <c r="E191" s="124">
        <f>IFERROR(__xludf.DUMMYFUNCTION("""COMPUTED_VALUE"""),8.0)</f>
        <v>8</v>
      </c>
      <c r="F191" s="80">
        <f>IFERROR(__xludf.DUMMYFUNCTION("""COMPUTED_VALUE"""),1926.0)</f>
        <v>1926</v>
      </c>
      <c r="G191" s="80">
        <f>IFERROR(__xludf.DUMMYFUNCTION("""COMPUTED_VALUE"""),18.0)</f>
        <v>18</v>
      </c>
      <c r="H191" s="80">
        <f>IFERROR(__xludf.DUMMYFUNCTION("""COMPUTED_VALUE"""),25.0)</f>
        <v>25</v>
      </c>
      <c r="I191" s="80">
        <f>IFERROR(__xludf.DUMMYFUNCTION("""COMPUTED_VALUE"""),100.0)</f>
        <v>100</v>
      </c>
      <c r="J191" s="109"/>
      <c r="K191" s="109"/>
      <c r="L191" s="109"/>
      <c r="M191" s="109">
        <f>IFERROR(__xludf.DUMMYFUNCTION("""COMPUTED_VALUE"""),0.1)</f>
        <v>0.1</v>
      </c>
      <c r="N191" s="109">
        <f>IFERROR(__xludf.DUMMYFUNCTION("""COMPUTED_VALUE"""),1.0)</f>
        <v>1</v>
      </c>
      <c r="O191" s="109"/>
      <c r="P191" s="109" t="str">
        <f>IFERROR(__xludf.DUMMYFUNCTION("""COMPUTED_VALUE"""),"Offset")</f>
        <v>Offset</v>
      </c>
      <c r="Q191" s="109" t="str">
        <f>IFERROR(__xludf.DUMMYFUNCTION("""COMPUTED_VALUE"""),"Packaging")</f>
        <v>Packaging</v>
      </c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15"/>
      <c r="AK191" s="80"/>
      <c r="AL191" s="80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</row>
    <row r="192">
      <c r="A192" s="123" t="str">
        <f>IFERROR(__xludf.DUMMYFUNCTION("""COMPUTED_VALUE"""),"https://drive.google.com/open?id=1-LL_YnjOk-IwXLlRYhmC95bTW-RLah6x&amp;authuser=jay.agg%40gmail.com&amp;usp=drive_fs")</f>
        <v>https://drive.google.com/open?id=1-LL_YnjOk-IwXLlRYhmC95bTW-RLah6x&amp;authuser=jay.agg%40gmail.com&amp;usp=drive_fs</v>
      </c>
      <c r="B192" s="80" t="str">
        <f>IFERROR(__xludf.DUMMYFUNCTION("""COMPUTED_VALUE"""),"Food")</f>
        <v>Food</v>
      </c>
      <c r="C192" s="80" t="str">
        <f>IFERROR(__xludf.DUMMYFUNCTION("""COMPUTED_VALUE"""),"Cookies")</f>
        <v>Cookies</v>
      </c>
      <c r="D192" s="80" t="str">
        <f>IFERROR(__xludf.DUMMYFUNCTION("""COMPUTED_VALUE"""),"200*150*55 mm | 5.9*2.1*7.9 inch")</f>
        <v>200*150*55 mm | 5.9*2.1*7.9 inch</v>
      </c>
      <c r="E192" s="124">
        <f>IFERROR(__xludf.DUMMYFUNCTION("""COMPUTED_VALUE"""),2.0)</f>
        <v>2</v>
      </c>
      <c r="F192" s="80">
        <f>IFERROR(__xludf.DUMMYFUNCTION("""COMPUTED_VALUE"""),1926.0)</f>
        <v>1926</v>
      </c>
      <c r="G192" s="80">
        <f>IFERROR(__xludf.DUMMYFUNCTION("""COMPUTED_VALUE"""),18.0)</f>
        <v>18</v>
      </c>
      <c r="H192" s="80">
        <f>IFERROR(__xludf.DUMMYFUNCTION("""COMPUTED_VALUE"""),25.0)</f>
        <v>25</v>
      </c>
      <c r="I192" s="80">
        <f>IFERROR(__xludf.DUMMYFUNCTION("""COMPUTED_VALUE"""),100.0)</f>
        <v>100</v>
      </c>
      <c r="J192" s="109"/>
      <c r="K192" s="109"/>
      <c r="L192" s="109"/>
      <c r="M192" s="109">
        <f>IFERROR(__xludf.DUMMYFUNCTION("""COMPUTED_VALUE"""),0.1)</f>
        <v>0.1</v>
      </c>
      <c r="N192" s="109">
        <f>IFERROR(__xludf.DUMMYFUNCTION("""COMPUTED_VALUE"""),1.0)</f>
        <v>1</v>
      </c>
      <c r="O192" s="109"/>
      <c r="P192" s="109" t="str">
        <f>IFERROR(__xludf.DUMMYFUNCTION("""COMPUTED_VALUE"""),"Offset")</f>
        <v>Offset</v>
      </c>
      <c r="Q192" s="109" t="str">
        <f>IFERROR(__xludf.DUMMYFUNCTION("""COMPUTED_VALUE"""),"Packaging")</f>
        <v>Packaging</v>
      </c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15"/>
      <c r="AK192" s="80"/>
      <c r="AL192" s="80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</row>
    <row r="193">
      <c r="A193" s="123" t="str">
        <f>IFERROR(__xludf.DUMMYFUNCTION("""COMPUTED_VALUE"""),"https://drive.google.com/open?id=1H98Dr42-xGZpIY9CPjKuPJ4gxZthXnp6&amp;authuser=jay.agg%40gmail.com&amp;usp=drive_fs")</f>
        <v>https://drive.google.com/open?id=1H98Dr42-xGZpIY9CPjKuPJ4gxZthXnp6&amp;authuser=jay.agg%40gmail.com&amp;usp=drive_fs</v>
      </c>
      <c r="B193" s="80" t="str">
        <f>IFERROR(__xludf.DUMMYFUNCTION("""COMPUTED_VALUE"""),"Food")</f>
        <v>Food</v>
      </c>
      <c r="C193" s="80" t="str">
        <f>IFERROR(__xludf.DUMMYFUNCTION("""COMPUTED_VALUE"""),"Ice Cream")</f>
        <v>Ice Cream</v>
      </c>
      <c r="D193" s="80" t="str">
        <f>IFERROR(__xludf.DUMMYFUNCTION("""COMPUTED_VALUE"""),"102*67*264 mm | 4*2.62*10.37 inch")</f>
        <v>102*67*264 mm | 4*2.62*10.37 inch</v>
      </c>
      <c r="E193" s="124">
        <f>IFERROR(__xludf.DUMMYFUNCTION("""COMPUTED_VALUE"""),2.0)</f>
        <v>2</v>
      </c>
      <c r="F193" s="80">
        <f>IFERROR(__xludf.DUMMYFUNCTION("""COMPUTED_VALUE"""),2029.0)</f>
        <v>2029</v>
      </c>
      <c r="G193" s="80">
        <f>IFERROR(__xludf.DUMMYFUNCTION("""COMPUTED_VALUE"""),20.0)</f>
        <v>20</v>
      </c>
      <c r="H193" s="80">
        <f>IFERROR(__xludf.DUMMYFUNCTION("""COMPUTED_VALUE"""),28.0)</f>
        <v>28</v>
      </c>
      <c r="I193" s="80">
        <f>IFERROR(__xludf.DUMMYFUNCTION("""COMPUTED_VALUE"""),100.0)</f>
        <v>100</v>
      </c>
      <c r="J193" s="109"/>
      <c r="K193" s="109"/>
      <c r="L193" s="109"/>
      <c r="M193" s="109">
        <f>IFERROR(__xludf.DUMMYFUNCTION("""COMPUTED_VALUE"""),0.1)</f>
        <v>0.1</v>
      </c>
      <c r="N193" s="109">
        <f>IFERROR(__xludf.DUMMYFUNCTION("""COMPUTED_VALUE"""),1.0)</f>
        <v>1</v>
      </c>
      <c r="O193" s="109"/>
      <c r="P193" s="109" t="str">
        <f>IFERROR(__xludf.DUMMYFUNCTION("""COMPUTED_VALUE"""),"Offset")</f>
        <v>Offset</v>
      </c>
      <c r="Q193" s="109" t="str">
        <f>IFERROR(__xludf.DUMMYFUNCTION("""COMPUTED_VALUE"""),"Packaging")</f>
        <v>Packaging</v>
      </c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15"/>
      <c r="AK193" s="80"/>
      <c r="AL193" s="80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</row>
    <row r="194">
      <c r="A194" s="123" t="str">
        <f>IFERROR(__xludf.DUMMYFUNCTION("""COMPUTED_VALUE"""),"https://drive.google.com/open?id=1-Q7O4YHcnZBMcNpBb_F605zC5VlEkgCN&amp;usp=drive_fs")</f>
        <v>https://drive.google.com/open?id=1-Q7O4YHcnZBMcNpBb_F605zC5VlEkgCN&amp;usp=drive_fs</v>
      </c>
      <c r="B194" s="80" t="str">
        <f>IFERROR(__xludf.DUMMYFUNCTION("""COMPUTED_VALUE"""),"Food")</f>
        <v>Food</v>
      </c>
      <c r="C194" s="80" t="str">
        <f>IFERROR(__xludf.DUMMYFUNCTION("""COMPUTED_VALUE"""),"Misc")</f>
        <v>Misc</v>
      </c>
      <c r="D194" s="80" t="str">
        <f>IFERROR(__xludf.DUMMYFUNCTION("""COMPUTED_VALUE"""),"90*90*45 mm | 3.5*3.5*1.75 inch | 24*15")</f>
        <v>90*90*45 mm | 3.5*3.5*1.75 inch | 24*15</v>
      </c>
      <c r="E194" s="124">
        <f>IFERROR(__xludf.DUMMYFUNCTION("""COMPUTED_VALUE"""),4.0)</f>
        <v>4</v>
      </c>
      <c r="F194" s="80">
        <f>IFERROR(__xludf.DUMMYFUNCTION("""COMPUTED_VALUE"""),1926.0)</f>
        <v>1926</v>
      </c>
      <c r="G194" s="80">
        <f>IFERROR(__xludf.DUMMYFUNCTION("""COMPUTED_VALUE"""),15.0)</f>
        <v>15</v>
      </c>
      <c r="H194" s="80">
        <f>IFERROR(__xludf.DUMMYFUNCTION("""COMPUTED_VALUE"""),25.0)</f>
        <v>25</v>
      </c>
      <c r="I194" s="80">
        <f>IFERROR(__xludf.DUMMYFUNCTION("""COMPUTED_VALUE"""),100.0)</f>
        <v>100</v>
      </c>
      <c r="J194" s="109"/>
      <c r="K194" s="109"/>
      <c r="L194" s="109"/>
      <c r="M194" s="109">
        <f>IFERROR(__xludf.DUMMYFUNCTION("""COMPUTED_VALUE"""),0.12)</f>
        <v>0.12</v>
      </c>
      <c r="N194" s="109">
        <f>IFERROR(__xludf.DUMMYFUNCTION("""COMPUTED_VALUE"""),1.0)</f>
        <v>1</v>
      </c>
      <c r="O194" s="109"/>
      <c r="P194" s="109" t="str">
        <f>IFERROR(__xludf.DUMMYFUNCTION("""COMPUTED_VALUE"""),"Offset")</f>
        <v>Offset</v>
      </c>
      <c r="Q194" s="109" t="str">
        <f>IFERROR(__xludf.DUMMYFUNCTION("""COMPUTED_VALUE"""),"Packaging")</f>
        <v>Packaging</v>
      </c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15"/>
      <c r="AK194" s="80"/>
      <c r="AL194" s="80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</row>
    <row r="195">
      <c r="A195" s="123" t="str">
        <f>IFERROR(__xludf.DUMMYFUNCTION("""COMPUTED_VALUE"""),"https://drive.google.com/open?id=1-dnkaE3JqGRCoaXhHXd-SsVffqLLplpu&amp;usp=drive_fs")</f>
        <v>https://drive.google.com/open?id=1-dnkaE3JqGRCoaXhHXd-SsVffqLLplpu&amp;usp=drive_fs</v>
      </c>
      <c r="B195" s="80" t="str">
        <f>IFERROR(__xludf.DUMMYFUNCTION("""COMPUTED_VALUE"""),"Food")</f>
        <v>Food</v>
      </c>
      <c r="C195" s="80" t="str">
        <f>IFERROR(__xludf.DUMMYFUNCTION("""COMPUTED_VALUE"""),"Misc")</f>
        <v>Misc</v>
      </c>
      <c r="D195" s="80" t="str">
        <f>IFERROR(__xludf.DUMMYFUNCTION("""COMPUTED_VALUE"""),"102*25*152 mm | 4*1*6 inch | W 2*4.5 inch | 24*18")</f>
        <v>102*25*152 mm | 4*1*6 inch | W 2*4.5 inch | 24*18</v>
      </c>
      <c r="E195" s="124">
        <f>IFERROR(__xludf.DUMMYFUNCTION("""COMPUTED_VALUE"""),4.0)</f>
        <v>4</v>
      </c>
      <c r="F195" s="80">
        <f>IFERROR(__xludf.DUMMYFUNCTION("""COMPUTED_VALUE"""),1926.0)</f>
        <v>1926</v>
      </c>
      <c r="G195" s="80">
        <f>IFERROR(__xludf.DUMMYFUNCTION("""COMPUTED_VALUE"""),18.0)</f>
        <v>18</v>
      </c>
      <c r="H195" s="80">
        <f>IFERROR(__xludf.DUMMYFUNCTION("""COMPUTED_VALUE"""),23.0)</f>
        <v>23</v>
      </c>
      <c r="I195" s="80">
        <f>IFERROR(__xludf.DUMMYFUNCTION("""COMPUTED_VALUE"""),100.0)</f>
        <v>100</v>
      </c>
      <c r="J195" s="109"/>
      <c r="K195" s="109"/>
      <c r="L195" s="109">
        <f>IFERROR(__xludf.DUMMYFUNCTION("""COMPUTED_VALUE"""),1.0)</f>
        <v>1</v>
      </c>
      <c r="M195" s="109">
        <f>IFERROR(__xludf.DUMMYFUNCTION("""COMPUTED_VALUE"""),0.12)</f>
        <v>0.12</v>
      </c>
      <c r="N195" s="109">
        <f>IFERROR(__xludf.DUMMYFUNCTION("""COMPUTED_VALUE"""),1.0)</f>
        <v>1</v>
      </c>
      <c r="O195" s="109"/>
      <c r="P195" s="109" t="str">
        <f>IFERROR(__xludf.DUMMYFUNCTION("""COMPUTED_VALUE"""),"Offset")</f>
        <v>Offset</v>
      </c>
      <c r="Q195" s="109" t="str">
        <f>IFERROR(__xludf.DUMMYFUNCTION("""COMPUTED_VALUE"""),"Packaging")</f>
        <v>Packaging</v>
      </c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15"/>
      <c r="AK195" s="80"/>
      <c r="AL195" s="80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</row>
    <row r="196">
      <c r="A196" s="123" t="str">
        <f>IFERROR(__xludf.DUMMYFUNCTION("""COMPUTED_VALUE"""),"https://drive.google.com/open?id=160nMxST03MeYTvCOCyVror80KMBQeeR2&amp;usp=drive_fs")</f>
        <v>https://drive.google.com/open?id=160nMxST03MeYTvCOCyVror80KMBQeeR2&amp;usp=drive_fs</v>
      </c>
      <c r="B196" s="80" t="str">
        <f>IFERROR(__xludf.DUMMYFUNCTION("""COMPUTED_VALUE"""),"Food")</f>
        <v>Food</v>
      </c>
      <c r="C196" s="80" t="str">
        <f>IFERROR(__xludf.DUMMYFUNCTION("""COMPUTED_VALUE"""),"Dates")</f>
        <v>Dates</v>
      </c>
      <c r="D196" s="80" t="str">
        <f>IFERROR(__xludf.DUMMYFUNCTION("""COMPUTED_VALUE"""),"Top 340*220*65 mm | 14*9*2.75 inch | 26*15")</f>
        <v>Top 340*220*65 mm | 14*9*2.75 inch | 26*15</v>
      </c>
      <c r="E196" s="124">
        <f>IFERROR(__xludf.DUMMYFUNCTION("""COMPUTED_VALUE"""),1.0)</f>
        <v>1</v>
      </c>
      <c r="F196" s="80">
        <f>IFERROR(__xludf.DUMMYFUNCTION("""COMPUTED_VALUE"""),2029.0)</f>
        <v>2029</v>
      </c>
      <c r="G196" s="80">
        <f>IFERROR(__xludf.DUMMYFUNCTION("""COMPUTED_VALUE"""),16.0)</f>
        <v>16</v>
      </c>
      <c r="H196" s="80">
        <f>IFERROR(__xludf.DUMMYFUNCTION("""COMPUTED_VALUE"""),26.0)</f>
        <v>26</v>
      </c>
      <c r="I196" s="80">
        <f>IFERROR(__xludf.DUMMYFUNCTION("""COMPUTED_VALUE"""),100.0)</f>
        <v>100</v>
      </c>
      <c r="J196" s="109"/>
      <c r="K196" s="109"/>
      <c r="L196" s="109"/>
      <c r="M196" s="109"/>
      <c r="N196" s="109">
        <f>IFERROR(__xludf.DUMMYFUNCTION("""COMPUTED_VALUE"""),1.0)</f>
        <v>1</v>
      </c>
      <c r="O196" s="109"/>
      <c r="P196" s="109" t="str">
        <f>IFERROR(__xludf.DUMMYFUNCTION("""COMPUTED_VALUE"""),"Offset")</f>
        <v>Offset</v>
      </c>
      <c r="Q196" s="109" t="str">
        <f>IFERROR(__xludf.DUMMYFUNCTION("""COMPUTED_VALUE"""),"Packaging")</f>
        <v>Packaging</v>
      </c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15"/>
      <c r="AK196" s="80"/>
      <c r="AL196" s="80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</row>
    <row r="197">
      <c r="A197" s="123" t="str">
        <f>IFERROR(__xludf.DUMMYFUNCTION("""COMPUTED_VALUE"""),"https://drive.google.com/open?id=163DP4gNBjXvtp1PIwgI-x12dSCihcgMB&amp;usp=drive_fs")</f>
        <v>https://drive.google.com/open?id=163DP4gNBjXvtp1PIwgI-x12dSCihcgMB&amp;usp=drive_fs</v>
      </c>
      <c r="B197" s="80" t="str">
        <f>IFERROR(__xludf.DUMMYFUNCTION("""COMPUTED_VALUE"""),"Food")</f>
        <v>Food</v>
      </c>
      <c r="C197" s="80" t="str">
        <f>IFERROR(__xludf.DUMMYFUNCTION("""COMPUTED_VALUE"""),"Dates")</f>
        <v>Dates</v>
      </c>
      <c r="D197" s="80" t="str">
        <f>IFERROR(__xludf.DUMMYFUNCTION("""COMPUTED_VALUE"""),"Bottom 340*220*65 mm | 14*9*2.75 inch | 26*14")</f>
        <v>Bottom 340*220*65 mm | 14*9*2.75 inch | 26*14</v>
      </c>
      <c r="E197" s="124">
        <f>IFERROR(__xludf.DUMMYFUNCTION("""COMPUTED_VALUE"""),1.0)</f>
        <v>1</v>
      </c>
      <c r="F197" s="80">
        <f>IFERROR(__xludf.DUMMYFUNCTION("""COMPUTED_VALUE"""),2029.0)</f>
        <v>2029</v>
      </c>
      <c r="G197" s="80">
        <f>IFERROR(__xludf.DUMMYFUNCTION("""COMPUTED_VALUE"""),26.0)</f>
        <v>26</v>
      </c>
      <c r="H197" s="80">
        <f>IFERROR(__xludf.DUMMYFUNCTION("""COMPUTED_VALUE"""),14.0)</f>
        <v>14</v>
      </c>
      <c r="I197" s="80">
        <f>IFERROR(__xludf.DUMMYFUNCTION("""COMPUTED_VALUE"""),100.0)</f>
        <v>100</v>
      </c>
      <c r="J197" s="109"/>
      <c r="K197" s="109"/>
      <c r="L197" s="109"/>
      <c r="M197" s="109"/>
      <c r="N197" s="109">
        <f>IFERROR(__xludf.DUMMYFUNCTION("""COMPUTED_VALUE"""),1.0)</f>
        <v>1</v>
      </c>
      <c r="O197" s="109"/>
      <c r="P197" s="109" t="str">
        <f>IFERROR(__xludf.DUMMYFUNCTION("""COMPUTED_VALUE"""),"Offset")</f>
        <v>Offset</v>
      </c>
      <c r="Q197" s="109" t="str">
        <f>IFERROR(__xludf.DUMMYFUNCTION("""COMPUTED_VALUE"""),"Packaging")</f>
        <v>Packaging</v>
      </c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15"/>
      <c r="AK197" s="80"/>
      <c r="AL197" s="80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</row>
    <row r="198">
      <c r="A198" s="123" t="str">
        <f>IFERROR(__xludf.DUMMYFUNCTION("""COMPUTED_VALUE"""),"https://drive.google.com/open?id=1OiBMBd6pWhGa6xIf_fNu5zGQo7s1CCLF&amp;usp=drive_fs")</f>
        <v>https://drive.google.com/open?id=1OiBMBd6pWhGa6xIf_fNu5zGQo7s1CCLF&amp;usp=drive_fs</v>
      </c>
      <c r="B198" s="80" t="str">
        <f>IFERROR(__xludf.DUMMYFUNCTION("""COMPUTED_VALUE"""),"Food")</f>
        <v>Food</v>
      </c>
      <c r="C198" s="80" t="str">
        <f>IFERROR(__xludf.DUMMYFUNCTION("""COMPUTED_VALUE"""),"Chocolate")</f>
        <v>Chocolate</v>
      </c>
      <c r="D198" s="80" t="str">
        <f>IFERROR(__xludf.DUMMYFUNCTION("""COMPUTED_VALUE"""),"180*109*56 mm | 7*4.3*2.2 inch IL")</f>
        <v>180*109*56 mm | 7*4.3*2.2 inch IL</v>
      </c>
      <c r="E198" s="124">
        <f>IFERROR(__xludf.DUMMYFUNCTION("""COMPUTED_VALUE"""),2.0)</f>
        <v>2</v>
      </c>
      <c r="F198" s="80">
        <f>IFERROR(__xludf.DUMMYFUNCTION("""COMPUTED_VALUE"""),1926.0)</f>
        <v>1926</v>
      </c>
      <c r="G198" s="80">
        <f>IFERROR(__xludf.DUMMYFUNCTION("""COMPUTED_VALUE"""),18.0)</f>
        <v>18</v>
      </c>
      <c r="H198" s="80">
        <f>IFERROR(__xludf.DUMMYFUNCTION("""COMPUTED_VALUE"""),25.0)</f>
        <v>25</v>
      </c>
      <c r="I198" s="80">
        <f>IFERROR(__xludf.DUMMYFUNCTION("""COMPUTED_VALUE"""),100.0)</f>
        <v>100</v>
      </c>
      <c r="J198" s="109"/>
      <c r="K198" s="109"/>
      <c r="L198" s="109"/>
      <c r="M198" s="109">
        <f>IFERROR(__xludf.DUMMYFUNCTION("""COMPUTED_VALUE"""),0.1)</f>
        <v>0.1</v>
      </c>
      <c r="N198" s="109">
        <f>IFERROR(__xludf.DUMMYFUNCTION("""COMPUTED_VALUE"""),1.0)</f>
        <v>1</v>
      </c>
      <c r="O198" s="109"/>
      <c r="P198" s="109" t="str">
        <f>IFERROR(__xludf.DUMMYFUNCTION("""COMPUTED_VALUE"""),"Offset")</f>
        <v>Offset</v>
      </c>
      <c r="Q198" s="109" t="str">
        <f>IFERROR(__xludf.DUMMYFUNCTION("""COMPUTED_VALUE"""),"Packaging")</f>
        <v>Packaging</v>
      </c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15"/>
      <c r="AK198" s="80"/>
      <c r="AL198" s="80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</row>
    <row r="199">
      <c r="A199" s="123" t="str">
        <f>IFERROR(__xludf.DUMMYFUNCTION("""COMPUTED_VALUE"""),"https://drive.google.com/open?id=1P-GuKFaajpLVtPs_ZqCl5l79jYnLZt0Y&amp;usp=drive_fs")</f>
        <v>https://drive.google.com/open?id=1P-GuKFaajpLVtPs_ZqCl5l79jYnLZt0Y&amp;usp=drive_fs</v>
      </c>
      <c r="B199" s="80" t="str">
        <f>IFERROR(__xludf.DUMMYFUNCTION("""COMPUTED_VALUE"""),"Food")</f>
        <v>Food</v>
      </c>
      <c r="C199" s="80" t="str">
        <f>IFERROR(__xludf.DUMMYFUNCTION("""COMPUTED_VALUE"""),"Dates")</f>
        <v>Dates</v>
      </c>
      <c r="D199" s="80" t="str">
        <f>IFERROR(__xludf.DUMMYFUNCTION("""COMPUTED_VALUE"""),"210*148*40 mm | 8.3*5.8*1.6 inch")</f>
        <v>210*148*40 mm | 8.3*5.8*1.6 inch</v>
      </c>
      <c r="E199" s="124">
        <f>IFERROR(__xludf.DUMMYFUNCTION("""COMPUTED_VALUE"""),1.0)</f>
        <v>1</v>
      </c>
      <c r="F199" s="80">
        <f>IFERROR(__xludf.DUMMYFUNCTION("""COMPUTED_VALUE"""),1926.0)</f>
        <v>1926</v>
      </c>
      <c r="G199" s="80">
        <f>IFERROR(__xludf.DUMMYFUNCTION("""COMPUTED_VALUE"""),18.0)</f>
        <v>18</v>
      </c>
      <c r="H199" s="80">
        <f>IFERROR(__xludf.DUMMYFUNCTION("""COMPUTED_VALUE"""),23.0)</f>
        <v>23</v>
      </c>
      <c r="I199" s="80">
        <f>IFERROR(__xludf.DUMMYFUNCTION("""COMPUTED_VALUE"""),100.0)</f>
        <v>100</v>
      </c>
      <c r="J199" s="109"/>
      <c r="K199" s="109"/>
      <c r="L199" s="109">
        <f>IFERROR(__xludf.DUMMYFUNCTION("""COMPUTED_VALUE"""),1.5)</f>
        <v>1.5</v>
      </c>
      <c r="M199" s="109">
        <f>IFERROR(__xludf.DUMMYFUNCTION("""COMPUTED_VALUE"""),0.1)</f>
        <v>0.1</v>
      </c>
      <c r="N199" s="109">
        <f>IFERROR(__xludf.DUMMYFUNCTION("""COMPUTED_VALUE"""),1.0)</f>
        <v>1</v>
      </c>
      <c r="O199" s="109"/>
      <c r="P199" s="109" t="str">
        <f>IFERROR(__xludf.DUMMYFUNCTION("""COMPUTED_VALUE"""),"Offset")</f>
        <v>Offset</v>
      </c>
      <c r="Q199" s="109" t="str">
        <f>IFERROR(__xludf.DUMMYFUNCTION("""COMPUTED_VALUE"""),"Packaging")</f>
        <v>Packaging</v>
      </c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15"/>
      <c r="AK199" s="80"/>
      <c r="AL199" s="80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</row>
    <row r="200">
      <c r="A200" s="123" t="str">
        <f>IFERROR(__xludf.DUMMYFUNCTION("""COMPUTED_VALUE"""),"https://drive.google.com/open?id=18Ma5SHED7b_vXPW8I4nplHA3s3zCJ3zo&amp;usp=drive_fs")</f>
        <v>https://drive.google.com/open?id=18Ma5SHED7b_vXPW8I4nplHA3s3zCJ3zo&amp;usp=drive_fs</v>
      </c>
      <c r="B200" s="80" t="str">
        <f>IFERROR(__xludf.DUMMYFUNCTION("""COMPUTED_VALUE"""),"Food")</f>
        <v>Food</v>
      </c>
      <c r="C200" s="80" t="str">
        <f>IFERROR(__xludf.DUMMYFUNCTION("""COMPUTED_VALUE"""),"Chocolate")</f>
        <v>Chocolate</v>
      </c>
      <c r="D200" s="80" t="str">
        <f>IFERROR(__xludf.DUMMYFUNCTION("""COMPUTED_VALUE"""),"100*10*170 mm | 3.9*0.4*6.7 inch")</f>
        <v>100*10*170 mm | 3.9*0.4*6.7 inch</v>
      </c>
      <c r="E200" s="124">
        <f>IFERROR(__xludf.DUMMYFUNCTION("""COMPUTED_VALUE"""),6.0)</f>
        <v>6</v>
      </c>
      <c r="F200" s="80">
        <f>IFERROR(__xludf.DUMMYFUNCTION("""COMPUTED_VALUE"""),1926.0)</f>
        <v>1926</v>
      </c>
      <c r="G200" s="80">
        <f>IFERROR(__xludf.DUMMYFUNCTION("""COMPUTED_VALUE"""),19.0)</f>
        <v>19</v>
      </c>
      <c r="H200" s="80">
        <f>IFERROR(__xludf.DUMMYFUNCTION("""COMPUTED_VALUE"""),26.0)</f>
        <v>26</v>
      </c>
      <c r="I200" s="80">
        <f>IFERROR(__xludf.DUMMYFUNCTION("""COMPUTED_VALUE"""),100.0)</f>
        <v>100</v>
      </c>
      <c r="J200" s="109"/>
      <c r="K200" s="109"/>
      <c r="L200" s="109"/>
      <c r="M200" s="109">
        <f>IFERROR(__xludf.DUMMYFUNCTION("""COMPUTED_VALUE"""),0.11)</f>
        <v>0.11</v>
      </c>
      <c r="N200" s="109">
        <f>IFERROR(__xludf.DUMMYFUNCTION("""COMPUTED_VALUE"""),1.0)</f>
        <v>1</v>
      </c>
      <c r="O200" s="109"/>
      <c r="P200" s="109" t="str">
        <f>IFERROR(__xludf.DUMMYFUNCTION("""COMPUTED_VALUE"""),"Offset")</f>
        <v>Offset</v>
      </c>
      <c r="Q200" s="109" t="str">
        <f>IFERROR(__xludf.DUMMYFUNCTION("""COMPUTED_VALUE"""),"Packaging")</f>
        <v>Packaging</v>
      </c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15"/>
      <c r="AK200" s="80"/>
      <c r="AL200" s="80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</row>
    <row r="201">
      <c r="A201" s="123" t="str">
        <f>IFERROR(__xludf.DUMMYFUNCTION("""COMPUTED_VALUE"""),"https://drive.google.com/open?id=18iEGCjSalqmRpvU1Y7mkHW3XFLZy9Se4&amp;usp=drive_fs")</f>
        <v>https://drive.google.com/open?id=18iEGCjSalqmRpvU1Y7mkHW3XFLZy9Se4&amp;usp=drive_fs</v>
      </c>
      <c r="B201" s="80" t="str">
        <f>IFERROR(__xludf.DUMMYFUNCTION("""COMPUTED_VALUE"""),"Food")</f>
        <v>Food</v>
      </c>
      <c r="C201" s="80" t="str">
        <f>IFERROR(__xludf.DUMMYFUNCTION("""COMPUTED_VALUE"""),"Dates")</f>
        <v>Dates</v>
      </c>
      <c r="D201" s="80" t="str">
        <f>IFERROR(__xludf.DUMMYFUNCTION("""COMPUTED_VALUE"""),"1kg 310*182*40 mm | 12.2*7.1*1.6 inch | 22*20")</f>
        <v>1kg 310*182*40 mm | 12.2*7.1*1.6 inch | 22*20</v>
      </c>
      <c r="E201" s="124">
        <f>IFERROR(__xludf.DUMMYFUNCTION("""COMPUTED_VALUE"""),1.0)</f>
        <v>1</v>
      </c>
      <c r="F201" s="80">
        <f>IFERROR(__xludf.DUMMYFUNCTION("""COMPUTED_VALUE"""),1926.0)</f>
        <v>1926</v>
      </c>
      <c r="G201" s="80">
        <f>IFERROR(__xludf.DUMMYFUNCTION("""COMPUTED_VALUE"""),20.0)</f>
        <v>20</v>
      </c>
      <c r="H201" s="80">
        <f>IFERROR(__xludf.DUMMYFUNCTION("""COMPUTED_VALUE"""),22.0)</f>
        <v>22</v>
      </c>
      <c r="I201" s="80">
        <f>IFERROR(__xludf.DUMMYFUNCTION("""COMPUTED_VALUE"""),100.0)</f>
        <v>100</v>
      </c>
      <c r="J201" s="109"/>
      <c r="K201" s="109"/>
      <c r="L201" s="109"/>
      <c r="M201" s="109"/>
      <c r="N201" s="109">
        <f>IFERROR(__xludf.DUMMYFUNCTION("""COMPUTED_VALUE"""),1.0)</f>
        <v>1</v>
      </c>
      <c r="O201" s="109"/>
      <c r="P201" s="109" t="str">
        <f>IFERROR(__xludf.DUMMYFUNCTION("""COMPUTED_VALUE"""),"Offset")</f>
        <v>Offset</v>
      </c>
      <c r="Q201" s="109" t="str">
        <f>IFERROR(__xludf.DUMMYFUNCTION("""COMPUTED_VALUE"""),"Packaging")</f>
        <v>Packaging</v>
      </c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15"/>
      <c r="AK201" s="80"/>
      <c r="AL201" s="80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</row>
    <row r="202">
      <c r="A202" s="123" t="str">
        <f>IFERROR(__xludf.DUMMYFUNCTION("""COMPUTED_VALUE"""),"https://drive.google.com/open?id=18prqDHDovH5hRQGsnysleHbFmVLs25rI&amp;usp=drive_fs")</f>
        <v>https://drive.google.com/open?id=18prqDHDovH5hRQGsnysleHbFmVLs25rI&amp;usp=drive_fs</v>
      </c>
      <c r="B202" s="80" t="str">
        <f>IFERROR(__xludf.DUMMYFUNCTION("""COMPUTED_VALUE"""),"Food")</f>
        <v>Food</v>
      </c>
      <c r="C202" s="80" t="str">
        <f>IFERROR(__xludf.DUMMYFUNCTION("""COMPUTED_VALUE"""),"Dates")</f>
        <v>Dates</v>
      </c>
      <c r="D202" s="80" t="str">
        <f>IFERROR(__xludf.DUMMYFUNCTION("""COMPUTED_VALUE"""),"500g 240*150*40 mm | 9.5*6*1.6 inch |  22*17")</f>
        <v>500g 240*150*40 mm | 9.5*6*1.6 inch |  22*17</v>
      </c>
      <c r="E202" s="124">
        <f>IFERROR(__xludf.DUMMYFUNCTION("""COMPUTED_VALUE"""),1.0)</f>
        <v>1</v>
      </c>
      <c r="F202" s="80">
        <f>IFERROR(__xludf.DUMMYFUNCTION("""COMPUTED_VALUE"""),1926.0)</f>
        <v>1926</v>
      </c>
      <c r="G202" s="80">
        <f>IFERROR(__xludf.DUMMYFUNCTION("""COMPUTED_VALUE"""),17.0)</f>
        <v>17</v>
      </c>
      <c r="H202" s="80">
        <f>IFERROR(__xludf.DUMMYFUNCTION("""COMPUTED_VALUE"""),18.0)</f>
        <v>18</v>
      </c>
      <c r="I202" s="80">
        <f>IFERROR(__xludf.DUMMYFUNCTION("""COMPUTED_VALUE"""),100.0)</f>
        <v>100</v>
      </c>
      <c r="J202" s="109"/>
      <c r="K202" s="109"/>
      <c r="L202" s="109"/>
      <c r="M202" s="109"/>
      <c r="N202" s="109">
        <f>IFERROR(__xludf.DUMMYFUNCTION("""COMPUTED_VALUE"""),1.0)</f>
        <v>1</v>
      </c>
      <c r="O202" s="109"/>
      <c r="P202" s="109" t="str">
        <f>IFERROR(__xludf.DUMMYFUNCTION("""COMPUTED_VALUE"""),"Offset")</f>
        <v>Offset</v>
      </c>
      <c r="Q202" s="109" t="str">
        <f>IFERROR(__xludf.DUMMYFUNCTION("""COMPUTED_VALUE"""),"Packaging")</f>
        <v>Packaging</v>
      </c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15"/>
      <c r="AK202" s="80"/>
      <c r="AL202" s="80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</row>
    <row r="203">
      <c r="A203" s="123" t="str">
        <f>IFERROR(__xludf.DUMMYFUNCTION("""COMPUTED_VALUE"""),"https://drive.google.com/open?id=1QgXRVjAYlCNjeZLpw4F1-6rKvuLi6TdH&amp;usp=drive_fs")</f>
        <v>https://drive.google.com/open?id=1QgXRVjAYlCNjeZLpw4F1-6rKvuLi6TdH&amp;usp=drive_fs</v>
      </c>
      <c r="B203" s="80" t="str">
        <f>IFERROR(__xludf.DUMMYFUNCTION("""COMPUTED_VALUE"""),"Food")</f>
        <v>Food</v>
      </c>
      <c r="C203" s="80" t="str">
        <f>IFERROR(__xludf.DUMMYFUNCTION("""COMPUTED_VALUE"""),"Dog Food")</f>
        <v>Dog Food</v>
      </c>
      <c r="D203" s="80" t="str">
        <f>IFERROR(__xludf.DUMMYFUNCTION("""COMPUTED_VALUE"""),"102*27*160 mm | 4*1*6.3 inch")</f>
        <v>102*27*160 mm | 4*1*6.3 inch</v>
      </c>
      <c r="E203" s="124">
        <f>IFERROR(__xludf.DUMMYFUNCTION("""COMPUTED_VALUE"""),4.0)</f>
        <v>4</v>
      </c>
      <c r="F203" s="80">
        <f>IFERROR(__xludf.DUMMYFUNCTION("""COMPUTED_VALUE"""),1926.0)</f>
        <v>1926</v>
      </c>
      <c r="G203" s="80">
        <f>IFERROR(__xludf.DUMMYFUNCTION("""COMPUTED_VALUE"""),18.0)</f>
        <v>18</v>
      </c>
      <c r="H203" s="80">
        <f>IFERROR(__xludf.DUMMYFUNCTION("""COMPUTED_VALUE"""),23.0)</f>
        <v>23</v>
      </c>
      <c r="I203" s="80">
        <f>IFERROR(__xludf.DUMMYFUNCTION("""COMPUTED_VALUE"""),100.0)</f>
        <v>100</v>
      </c>
      <c r="J203" s="109"/>
      <c r="K203" s="109"/>
      <c r="L203" s="109"/>
      <c r="M203" s="109">
        <f>IFERROR(__xludf.DUMMYFUNCTION("""COMPUTED_VALUE"""),0.12)</f>
        <v>0.12</v>
      </c>
      <c r="N203" s="109">
        <f>IFERROR(__xludf.DUMMYFUNCTION("""COMPUTED_VALUE"""),1.0)</f>
        <v>1</v>
      </c>
      <c r="O203" s="109"/>
      <c r="P203" s="109" t="str">
        <f>IFERROR(__xludf.DUMMYFUNCTION("""COMPUTED_VALUE"""),"Offset")</f>
        <v>Offset</v>
      </c>
      <c r="Q203" s="109" t="str">
        <f>IFERROR(__xludf.DUMMYFUNCTION("""COMPUTED_VALUE"""),"Packaging")</f>
        <v>Packaging</v>
      </c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15"/>
      <c r="AK203" s="80"/>
      <c r="AL203" s="80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</row>
    <row r="204">
      <c r="A204" s="123" t="str">
        <f>IFERROR(__xludf.DUMMYFUNCTION("""COMPUTED_VALUE"""),"https://drive.google.com/open?id=196iwhfptVeDMjR7bnMOEjTzEVh1Wx8bE&amp;usp=drive_fs")</f>
        <v>https://drive.google.com/open?id=196iwhfptVeDMjR7bnMOEjTzEVh1Wx8bE&amp;usp=drive_fs</v>
      </c>
      <c r="B204" s="80" t="str">
        <f>IFERROR(__xludf.DUMMYFUNCTION("""COMPUTED_VALUE"""),"Food")</f>
        <v>Food</v>
      </c>
      <c r="C204" s="80" t="str">
        <f>IFERROR(__xludf.DUMMYFUNCTION("""COMPUTED_VALUE"""),"Chocolate")</f>
        <v>Chocolate</v>
      </c>
      <c r="D204" s="80" t="str">
        <f>IFERROR(__xludf.DUMMYFUNCTION("""COMPUTED_VALUE"""),"225*184*28 mm | 8.9*7.3*1.2 inch")</f>
        <v>225*184*28 mm | 8.9*7.3*1.2 inch</v>
      </c>
      <c r="E204" s="124">
        <f>IFERROR(__xludf.DUMMYFUNCTION("""COMPUTED_VALUE"""),1.0)</f>
        <v>1</v>
      </c>
      <c r="F204" s="80">
        <f>IFERROR(__xludf.DUMMYFUNCTION("""COMPUTED_VALUE"""),2029.0)</f>
        <v>2029</v>
      </c>
      <c r="G204" s="80">
        <f>IFERROR(__xludf.DUMMYFUNCTION("""COMPUTED_VALUE"""),18.0)</f>
        <v>18</v>
      </c>
      <c r="H204" s="80">
        <f>IFERROR(__xludf.DUMMYFUNCTION("""COMPUTED_VALUE"""),25.0)</f>
        <v>25</v>
      </c>
      <c r="I204" s="80">
        <f>IFERROR(__xludf.DUMMYFUNCTION("""COMPUTED_VALUE"""),100.0)</f>
        <v>100</v>
      </c>
      <c r="J204" s="109"/>
      <c r="K204" s="109"/>
      <c r="L204" s="109">
        <f>IFERROR(__xludf.DUMMYFUNCTION("""COMPUTED_VALUE"""),1.5)</f>
        <v>1.5</v>
      </c>
      <c r="M204" s="109">
        <f>IFERROR(__xludf.DUMMYFUNCTION("""COMPUTED_VALUE"""),0.15)</f>
        <v>0.15</v>
      </c>
      <c r="N204" s="109">
        <f>IFERROR(__xludf.DUMMYFUNCTION("""COMPUTED_VALUE"""),1.0)</f>
        <v>1</v>
      </c>
      <c r="O204" s="109"/>
      <c r="P204" s="109" t="str">
        <f>IFERROR(__xludf.DUMMYFUNCTION("""COMPUTED_VALUE"""),"Offset")</f>
        <v>Offset</v>
      </c>
      <c r="Q204" s="109" t="str">
        <f>IFERROR(__xludf.DUMMYFUNCTION("""COMPUTED_VALUE"""),"Packaging")</f>
        <v>Packaging</v>
      </c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15"/>
      <c r="AK204" s="80"/>
      <c r="AL204" s="80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</row>
    <row r="205">
      <c r="A205" s="123" t="str">
        <f>IFERROR(__xludf.DUMMYFUNCTION("""COMPUTED_VALUE"""),"https://drive.google.com/open?id=1CK-CrDZ7SlWu1RDyIdTKgOn1eXU5e_cg&amp;usp=drive_fs")</f>
        <v>https://drive.google.com/open?id=1CK-CrDZ7SlWu1RDyIdTKgOn1eXU5e_cg&amp;usp=drive_fs</v>
      </c>
      <c r="B205" s="80" t="str">
        <f>IFERROR(__xludf.DUMMYFUNCTION("""COMPUTED_VALUE"""),"Food")</f>
        <v>Food</v>
      </c>
      <c r="C205" s="80" t="str">
        <f>IFERROR(__xludf.DUMMYFUNCTION("""COMPUTED_VALUE"""),"Chocolate")</f>
        <v>Chocolate</v>
      </c>
      <c r="D205" s="80" t="str">
        <f>IFERROR(__xludf.DUMMYFUNCTION("""COMPUTED_VALUE"""),"65*10*135 mm | 2.5*0.4*5.3 inch")</f>
        <v>65*10*135 mm | 2.5*0.4*5.3 inch</v>
      </c>
      <c r="E205" s="124">
        <f>IFERROR(__xludf.DUMMYFUNCTION("""COMPUTED_VALUE"""),6.0)</f>
        <v>6</v>
      </c>
      <c r="F205" s="80">
        <f>IFERROR(__xludf.DUMMYFUNCTION("""COMPUTED_VALUE"""),1926.0)</f>
        <v>1926</v>
      </c>
      <c r="G205" s="80">
        <f>IFERROR(__xludf.DUMMYFUNCTION("""COMPUTED_VALUE"""),14.0)</f>
        <v>14</v>
      </c>
      <c r="H205" s="80">
        <f>IFERROR(__xludf.DUMMYFUNCTION("""COMPUTED_VALUE"""),22.0)</f>
        <v>22</v>
      </c>
      <c r="I205" s="80">
        <f>IFERROR(__xludf.DUMMYFUNCTION("""COMPUTED_VALUE"""),100.0)</f>
        <v>100</v>
      </c>
      <c r="J205" s="109"/>
      <c r="K205" s="109"/>
      <c r="L205" s="109"/>
      <c r="M205" s="109">
        <f>IFERROR(__xludf.DUMMYFUNCTION("""COMPUTED_VALUE"""),0.1)</f>
        <v>0.1</v>
      </c>
      <c r="N205" s="109">
        <f>IFERROR(__xludf.DUMMYFUNCTION("""COMPUTED_VALUE"""),1.0)</f>
        <v>1</v>
      </c>
      <c r="O205" s="109"/>
      <c r="P205" s="109" t="str">
        <f>IFERROR(__xludf.DUMMYFUNCTION("""COMPUTED_VALUE"""),"Offset")</f>
        <v>Offset</v>
      </c>
      <c r="Q205" s="109" t="str">
        <f>IFERROR(__xludf.DUMMYFUNCTION("""COMPUTED_VALUE"""),"Packaging")</f>
        <v>Packaging</v>
      </c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15"/>
      <c r="AK205" s="80"/>
      <c r="AL205" s="80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</row>
    <row r="206">
      <c r="A206" s="123" t="str">
        <f>IFERROR(__xludf.DUMMYFUNCTION("""COMPUTED_VALUE"""),"https://drive.google.com/open?id=1HF-0qCi2yykJ81PPp-XWVC4NEQz38xps&amp;usp=drive_fs")</f>
        <v>https://drive.google.com/open?id=1HF-0qCi2yykJ81PPp-XWVC4NEQz38xps&amp;usp=drive_fs</v>
      </c>
      <c r="B206" s="80" t="str">
        <f>IFERROR(__xludf.DUMMYFUNCTION("""COMPUTED_VALUE"""),"Food")</f>
        <v>Food</v>
      </c>
      <c r="C206" s="80" t="str">
        <f>IFERROR(__xludf.DUMMYFUNCTION("""COMPUTED_VALUE"""),"Chocolate")</f>
        <v>Chocolate</v>
      </c>
      <c r="D206" s="80" t="str">
        <f>IFERROR(__xludf.DUMMYFUNCTION("""COMPUTED_VALUE"""),"65*10*140 mm | 2.5*0.4*5.5 inch")</f>
        <v>65*10*140 mm | 2.5*0.4*5.5 inch</v>
      </c>
      <c r="E206" s="124">
        <f>IFERROR(__xludf.DUMMYFUNCTION("""COMPUTED_VALUE"""),12.0)</f>
        <v>12</v>
      </c>
      <c r="F206" s="80">
        <f>IFERROR(__xludf.DUMMYFUNCTION("""COMPUTED_VALUE"""),2029.0)</f>
        <v>2029</v>
      </c>
      <c r="G206" s="80">
        <f>IFERROR(__xludf.DUMMYFUNCTION("""COMPUTED_VALUE"""),20.0)</f>
        <v>20</v>
      </c>
      <c r="H206" s="80">
        <f>IFERROR(__xludf.DUMMYFUNCTION("""COMPUTED_VALUE"""),28.0)</f>
        <v>28</v>
      </c>
      <c r="I206" s="80">
        <f>IFERROR(__xludf.DUMMYFUNCTION("""COMPUTED_VALUE"""),100.0)</f>
        <v>100</v>
      </c>
      <c r="J206" s="109"/>
      <c r="K206" s="109"/>
      <c r="L206" s="109"/>
      <c r="M206" s="109">
        <f>IFERROR(__xludf.DUMMYFUNCTION("""COMPUTED_VALUE"""),0.1)</f>
        <v>0.1</v>
      </c>
      <c r="N206" s="109">
        <f>IFERROR(__xludf.DUMMYFUNCTION("""COMPUTED_VALUE"""),1.0)</f>
        <v>1</v>
      </c>
      <c r="O206" s="109"/>
      <c r="P206" s="109" t="str">
        <f>IFERROR(__xludf.DUMMYFUNCTION("""COMPUTED_VALUE"""),"Offset")</f>
        <v>Offset</v>
      </c>
      <c r="Q206" s="109" t="str">
        <f>IFERROR(__xludf.DUMMYFUNCTION("""COMPUTED_VALUE"""),"Packaging")</f>
        <v>Packaging</v>
      </c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15"/>
      <c r="AK206" s="80"/>
      <c r="AL206" s="80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</row>
    <row r="207">
      <c r="A207" s="123" t="str">
        <f>IFERROR(__xludf.DUMMYFUNCTION("""COMPUTED_VALUE"""),"https://drive.google.com/open?id=1T7HzJHssetYB7zg4wp6q_AlMMqt2bKqd&amp;usp=drive_fs")</f>
        <v>https://drive.google.com/open?id=1T7HzJHssetYB7zg4wp6q_AlMMqt2bKqd&amp;usp=drive_fs</v>
      </c>
      <c r="B207" s="80" t="str">
        <f>IFERROR(__xludf.DUMMYFUNCTION("""COMPUTED_VALUE"""),"Food")</f>
        <v>Food</v>
      </c>
      <c r="C207" s="80" t="str">
        <f>IFERROR(__xludf.DUMMYFUNCTION("""COMPUTED_VALUE"""),"Chocolate")</f>
        <v>Chocolate</v>
      </c>
      <c r="D207" s="80" t="str">
        <f>IFERROR(__xludf.DUMMYFUNCTION("""COMPUTED_VALUE"""),"142*91.5*28 mm | 5.6*3.6*1.1 inch")</f>
        <v>142*91.5*28 mm | 5.6*3.6*1.1 inch</v>
      </c>
      <c r="E207" s="124">
        <f>IFERROR(__xludf.DUMMYFUNCTION("""COMPUTED_VALUE"""),2.0)</f>
        <v>2</v>
      </c>
      <c r="F207" s="80">
        <f>IFERROR(__xludf.DUMMYFUNCTION("""COMPUTED_VALUE"""),1926.0)</f>
        <v>1926</v>
      </c>
      <c r="G207" s="80">
        <f>IFERROR(__xludf.DUMMYFUNCTION("""COMPUTED_VALUE"""),18.0)</f>
        <v>18</v>
      </c>
      <c r="H207" s="80">
        <f>IFERROR(__xludf.DUMMYFUNCTION("""COMPUTED_VALUE"""),25.0)</f>
        <v>25</v>
      </c>
      <c r="I207" s="80">
        <f>IFERROR(__xludf.DUMMYFUNCTION("""COMPUTED_VALUE"""),100.0)</f>
        <v>100</v>
      </c>
      <c r="J207" s="109"/>
      <c r="K207" s="109"/>
      <c r="L207" s="109"/>
      <c r="M207" s="109">
        <f>IFERROR(__xludf.DUMMYFUNCTION("""COMPUTED_VALUE"""),0.15)</f>
        <v>0.15</v>
      </c>
      <c r="N207" s="109">
        <f>IFERROR(__xludf.DUMMYFUNCTION("""COMPUTED_VALUE"""),1.0)</f>
        <v>1</v>
      </c>
      <c r="O207" s="109"/>
      <c r="P207" s="109" t="str">
        <f>IFERROR(__xludf.DUMMYFUNCTION("""COMPUTED_VALUE"""),"Offset")</f>
        <v>Offset</v>
      </c>
      <c r="Q207" s="109" t="str">
        <f>IFERROR(__xludf.DUMMYFUNCTION("""COMPUTED_VALUE"""),"Packaging")</f>
        <v>Packaging</v>
      </c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15"/>
      <c r="AK207" s="80"/>
      <c r="AL207" s="80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</row>
    <row r="208">
      <c r="A208" s="123" t="str">
        <f>IFERROR(__xludf.DUMMYFUNCTION("""COMPUTED_VALUE"""),"https://drive.google.com/open?id=1TBZ3bH_2LByQpoUh-4q1lZHVYmkK7MCE&amp;usp=drive_fs")</f>
        <v>https://drive.google.com/open?id=1TBZ3bH_2LByQpoUh-4q1lZHVYmkK7MCE&amp;usp=drive_fs</v>
      </c>
      <c r="B208" s="80" t="str">
        <f>IFERROR(__xludf.DUMMYFUNCTION("""COMPUTED_VALUE"""),"Food")</f>
        <v>Food</v>
      </c>
      <c r="C208" s="80" t="str">
        <f>IFERROR(__xludf.DUMMYFUNCTION("""COMPUTED_VALUE"""),"Chocolate")</f>
        <v>Chocolate</v>
      </c>
      <c r="D208" s="80" t="str">
        <f>IFERROR(__xludf.DUMMYFUNCTION("""COMPUTED_VALUE"""),"185*145*30 mm | 7.2*5.7*1.2 inch")</f>
        <v>185*145*30 mm | 7.2*5.7*1.2 inch</v>
      </c>
      <c r="E208" s="124">
        <f>IFERROR(__xludf.DUMMYFUNCTION("""COMPUTED_VALUE"""),2.0)</f>
        <v>2</v>
      </c>
      <c r="F208" s="80">
        <f>IFERROR(__xludf.DUMMYFUNCTION("""COMPUTED_VALUE"""),2029.0)</f>
        <v>2029</v>
      </c>
      <c r="G208" s="80">
        <f>IFERROR(__xludf.DUMMYFUNCTION("""COMPUTED_VALUE"""),20.0)</f>
        <v>20</v>
      </c>
      <c r="H208" s="80">
        <f>IFERROR(__xludf.DUMMYFUNCTION("""COMPUTED_VALUE"""),28.0)</f>
        <v>28</v>
      </c>
      <c r="I208" s="80">
        <f>IFERROR(__xludf.DUMMYFUNCTION("""COMPUTED_VALUE"""),100.0)</f>
        <v>100</v>
      </c>
      <c r="J208" s="109"/>
      <c r="K208" s="109"/>
      <c r="L208" s="109"/>
      <c r="M208" s="109">
        <f>IFERROR(__xludf.DUMMYFUNCTION("""COMPUTED_VALUE"""),0.35)</f>
        <v>0.35</v>
      </c>
      <c r="N208" s="109">
        <f>IFERROR(__xludf.DUMMYFUNCTION("""COMPUTED_VALUE"""),1.0)</f>
        <v>1</v>
      </c>
      <c r="O208" s="109"/>
      <c r="P208" s="109" t="str">
        <f>IFERROR(__xludf.DUMMYFUNCTION("""COMPUTED_VALUE"""),"Offset")</f>
        <v>Offset</v>
      </c>
      <c r="Q208" s="109" t="str">
        <f>IFERROR(__xludf.DUMMYFUNCTION("""COMPUTED_VALUE"""),"Packaging")</f>
        <v>Packaging</v>
      </c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15"/>
      <c r="AK208" s="80"/>
      <c r="AL208" s="80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</row>
    <row r="209">
      <c r="A209" s="123" t="str">
        <f>IFERROR(__xludf.DUMMYFUNCTION("""COMPUTED_VALUE"""),"https://drive.google.com/open?id=1TZZ2hHKKC59-SZn3f6kQmLr2dpcNuO3d&amp;usp=drive_fs")</f>
        <v>https://drive.google.com/open?id=1TZZ2hHKKC59-SZn3f6kQmLr2dpcNuO3d&amp;usp=drive_fs</v>
      </c>
      <c r="B209" s="80" t="str">
        <f>IFERROR(__xludf.DUMMYFUNCTION("""COMPUTED_VALUE"""),"Food")</f>
        <v>Food</v>
      </c>
      <c r="C209" s="80" t="str">
        <f>IFERROR(__xludf.DUMMYFUNCTION("""COMPUTED_VALUE"""),"Chocolate")</f>
        <v>Chocolate</v>
      </c>
      <c r="D209" s="80" t="str">
        <f>IFERROR(__xludf.DUMMYFUNCTION("""COMPUTED_VALUE"""),"88*12*165 mm | 3.5*0.5*6.5 inch")</f>
        <v>88*12*165 mm | 3.5*0.5*6.5 inch</v>
      </c>
      <c r="E209" s="124">
        <f>IFERROR(__xludf.DUMMYFUNCTION("""COMPUTED_VALUE"""),4.0)</f>
        <v>4</v>
      </c>
      <c r="F209" s="80">
        <f>IFERROR(__xludf.DUMMYFUNCTION("""COMPUTED_VALUE"""),1926.0)</f>
        <v>1926</v>
      </c>
      <c r="G209" s="80">
        <f>IFERROR(__xludf.DUMMYFUNCTION("""COMPUTED_VALUE"""),19.5)</f>
        <v>19.5</v>
      </c>
      <c r="H209" s="80">
        <f>IFERROR(__xludf.DUMMYFUNCTION("""COMPUTED_VALUE"""),23.0)</f>
        <v>23</v>
      </c>
      <c r="I209" s="80">
        <f>IFERROR(__xludf.DUMMYFUNCTION("""COMPUTED_VALUE"""),100.0)</f>
        <v>100</v>
      </c>
      <c r="J209" s="109"/>
      <c r="K209" s="109"/>
      <c r="L209" s="109"/>
      <c r="M209" s="109"/>
      <c r="N209" s="109">
        <f>IFERROR(__xludf.DUMMYFUNCTION("""COMPUTED_VALUE"""),1.0)</f>
        <v>1</v>
      </c>
      <c r="O209" s="109"/>
      <c r="P209" s="109" t="str">
        <f>IFERROR(__xludf.DUMMYFUNCTION("""COMPUTED_VALUE"""),"Offset")</f>
        <v>Offset</v>
      </c>
      <c r="Q209" s="109" t="str">
        <f>IFERROR(__xludf.DUMMYFUNCTION("""COMPUTED_VALUE"""),"Packaging")</f>
        <v>Packaging</v>
      </c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15"/>
      <c r="AK209" s="80"/>
      <c r="AL209" s="80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</row>
    <row r="210">
      <c r="A210" s="123" t="str">
        <f>IFERROR(__xludf.DUMMYFUNCTION("""COMPUTED_VALUE"""),"https://drive.google.com/open?id=1KkeFiNYg6uqGgov5SB0woAVKHAHI2hc5&amp;usp=drive_fs")</f>
        <v>https://drive.google.com/open?id=1KkeFiNYg6uqGgov5SB0woAVKHAHI2hc5&amp;usp=drive_fs</v>
      </c>
      <c r="B210" s="80" t="str">
        <f>IFERROR(__xludf.DUMMYFUNCTION("""COMPUTED_VALUE"""),"Food")</f>
        <v>Food</v>
      </c>
      <c r="C210" s="80" t="str">
        <f>IFERROR(__xludf.DUMMYFUNCTION("""COMPUTED_VALUE"""),"Dates")</f>
        <v>Dates</v>
      </c>
      <c r="D210" s="80" t="str">
        <f>IFERROR(__xludf.DUMMYFUNCTION("""COMPUTED_VALUE"""),"240*150*40 mm | 9.5*6*1.5 inch")</f>
        <v>240*150*40 mm | 9.5*6*1.5 inch</v>
      </c>
      <c r="E210" s="124">
        <f>IFERROR(__xludf.DUMMYFUNCTION("""COMPUTED_VALUE"""),1.0)</f>
        <v>1</v>
      </c>
      <c r="F210" s="80">
        <f>IFERROR(__xludf.DUMMYFUNCTION("""COMPUTED_VALUE"""),1926.0)</f>
        <v>1926</v>
      </c>
      <c r="G210" s="80">
        <f>IFERROR(__xludf.DUMMYFUNCTION("""COMPUTED_VALUE"""),19.0)</f>
        <v>19</v>
      </c>
      <c r="H210" s="80">
        <f>IFERROR(__xludf.DUMMYFUNCTION("""COMPUTED_VALUE"""),26.0)</f>
        <v>26</v>
      </c>
      <c r="I210" s="80">
        <f>IFERROR(__xludf.DUMMYFUNCTION("""COMPUTED_VALUE"""),100.0)</f>
        <v>100</v>
      </c>
      <c r="J210" s="109"/>
      <c r="K210" s="109"/>
      <c r="L210" s="109">
        <f>IFERROR(__xludf.DUMMYFUNCTION("""COMPUTED_VALUE"""),1.5)</f>
        <v>1.5</v>
      </c>
      <c r="M210" s="109">
        <f>IFERROR(__xludf.DUMMYFUNCTION("""COMPUTED_VALUE"""),0.15)</f>
        <v>0.15</v>
      </c>
      <c r="N210" s="109">
        <f>IFERROR(__xludf.DUMMYFUNCTION("""COMPUTED_VALUE"""),1.0)</f>
        <v>1</v>
      </c>
      <c r="O210" s="109"/>
      <c r="P210" s="109" t="str">
        <f>IFERROR(__xludf.DUMMYFUNCTION("""COMPUTED_VALUE"""),"Offset")</f>
        <v>Offset</v>
      </c>
      <c r="Q210" s="109" t="str">
        <f>IFERROR(__xludf.DUMMYFUNCTION("""COMPUTED_VALUE"""),"Packaging")</f>
        <v>Packaging</v>
      </c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5"/>
      <c r="AK210" s="80"/>
      <c r="AL210" s="80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</row>
    <row r="211">
      <c r="A211" s="123" t="str">
        <f>IFERROR(__xludf.DUMMYFUNCTION("""COMPUTED_VALUE"""),"https://drive.google.com/open?id=1Kv597v7WsF3ZgMrFsLEHGe31_66-i-2H&amp;usp=drive_fs")</f>
        <v>https://drive.google.com/open?id=1Kv597v7WsF3ZgMrFsLEHGe31_66-i-2H&amp;usp=drive_fs</v>
      </c>
      <c r="B211" s="80" t="str">
        <f>IFERROR(__xludf.DUMMYFUNCTION("""COMPUTED_VALUE"""),"Food")</f>
        <v>Food</v>
      </c>
      <c r="C211" s="80" t="str">
        <f>IFERROR(__xludf.DUMMYFUNCTION("""COMPUTED_VALUE"""),"Dates")</f>
        <v>Dates</v>
      </c>
      <c r="D211" s="80" t="str">
        <f>IFERROR(__xludf.DUMMYFUNCTION("""COMPUTED_VALUE"""),"322*188*40 mm | 12.6*7.4*1.5 inch")</f>
        <v>322*188*40 mm | 12.6*7.4*1.5 inch</v>
      </c>
      <c r="E211" s="124">
        <f>IFERROR(__xludf.DUMMYFUNCTION("""COMPUTED_VALUE"""),1.0)</f>
        <v>1</v>
      </c>
      <c r="F211" s="80">
        <f>IFERROR(__xludf.DUMMYFUNCTION("""COMPUTED_VALUE"""),2840.0)</f>
        <v>2840</v>
      </c>
      <c r="G211" s="80">
        <f>IFERROR(__xludf.DUMMYFUNCTION("""COMPUTED_VALUE"""),25.0)</f>
        <v>25</v>
      </c>
      <c r="H211" s="80">
        <f>IFERROR(__xludf.DUMMYFUNCTION("""COMPUTED_VALUE"""),30.0)</f>
        <v>30</v>
      </c>
      <c r="I211" s="80">
        <f>IFERROR(__xludf.DUMMYFUNCTION("""COMPUTED_VALUE"""),100.0)</f>
        <v>100</v>
      </c>
      <c r="J211" s="109"/>
      <c r="K211" s="109"/>
      <c r="L211" s="109">
        <f>IFERROR(__xludf.DUMMYFUNCTION("""COMPUTED_VALUE"""),2.0)</f>
        <v>2</v>
      </c>
      <c r="M211" s="109">
        <f>IFERROR(__xludf.DUMMYFUNCTION("""COMPUTED_VALUE"""),0.18)</f>
        <v>0.18</v>
      </c>
      <c r="N211" s="109">
        <f>IFERROR(__xludf.DUMMYFUNCTION("""COMPUTED_VALUE"""),1.0)</f>
        <v>1</v>
      </c>
      <c r="O211" s="109"/>
      <c r="P211" s="109" t="str">
        <f>IFERROR(__xludf.DUMMYFUNCTION("""COMPUTED_VALUE"""),"Offset")</f>
        <v>Offset</v>
      </c>
      <c r="Q211" s="109" t="str">
        <f>IFERROR(__xludf.DUMMYFUNCTION("""COMPUTED_VALUE"""),"Packaging")</f>
        <v>Packaging</v>
      </c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15"/>
      <c r="AK211" s="80"/>
      <c r="AL211" s="80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</row>
    <row r="212">
      <c r="A212" s="123" t="str">
        <f>IFERROR(__xludf.DUMMYFUNCTION("""COMPUTED_VALUE"""),"https://drive.google.com/open?id=1-tYOanmmgWUQeAjR5yhb4mufS1Up8igb&amp;usp=drive_fs")</f>
        <v>https://drive.google.com/open?id=1-tYOanmmgWUQeAjR5yhb4mufS1Up8igb&amp;usp=drive_fs</v>
      </c>
      <c r="B212" s="80" t="str">
        <f>IFERROR(__xludf.DUMMYFUNCTION("""COMPUTED_VALUE"""),"Food")</f>
        <v>Food</v>
      </c>
      <c r="C212" s="80" t="str">
        <f>IFERROR(__xludf.DUMMYFUNCTION("""COMPUTED_VALUE"""),"Cookies")</f>
        <v>Cookies</v>
      </c>
      <c r="D212" s="80" t="str">
        <f>IFERROR(__xludf.DUMMYFUNCTION("""COMPUTED_VALUE"""),"145*45*195 mm | 5.7*1.7*7.7 inch")</f>
        <v>145*45*195 mm | 5.7*1.7*7.7 inch</v>
      </c>
      <c r="E212" s="124">
        <f>IFERROR(__xludf.DUMMYFUNCTION("""COMPUTED_VALUE"""),2.0)</f>
        <v>2</v>
      </c>
      <c r="F212" s="80">
        <f>IFERROR(__xludf.DUMMYFUNCTION("""COMPUTED_VALUE"""),1926.0)</f>
        <v>1926</v>
      </c>
      <c r="G212" s="80">
        <f>IFERROR(__xludf.DUMMYFUNCTION("""COMPUTED_VALUE"""),18.0)</f>
        <v>18</v>
      </c>
      <c r="H212" s="80">
        <f>IFERROR(__xludf.DUMMYFUNCTION("""COMPUTED_VALUE"""),23.0)</f>
        <v>23</v>
      </c>
      <c r="I212" s="80">
        <f>IFERROR(__xludf.DUMMYFUNCTION("""COMPUTED_VALUE"""),100.0)</f>
        <v>100</v>
      </c>
      <c r="J212" s="109"/>
      <c r="K212" s="109"/>
      <c r="L212" s="109"/>
      <c r="M212" s="109">
        <f>IFERROR(__xludf.DUMMYFUNCTION("""COMPUTED_VALUE"""),0.1)</f>
        <v>0.1</v>
      </c>
      <c r="N212" s="109">
        <f>IFERROR(__xludf.DUMMYFUNCTION("""COMPUTED_VALUE"""),1.0)</f>
        <v>1</v>
      </c>
      <c r="O212" s="109"/>
      <c r="P212" s="109" t="str">
        <f>IFERROR(__xludf.DUMMYFUNCTION("""COMPUTED_VALUE"""),"Offset")</f>
        <v>Offset</v>
      </c>
      <c r="Q212" s="109" t="str">
        <f>IFERROR(__xludf.DUMMYFUNCTION("""COMPUTED_VALUE"""),"Packaging")</f>
        <v>Packaging</v>
      </c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15"/>
      <c r="AK212" s="80"/>
      <c r="AL212" s="80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</row>
    <row r="213">
      <c r="A213" s="123" t="str">
        <f>IFERROR(__xludf.DUMMYFUNCTION("""COMPUTED_VALUE"""),"https://drive.google.com/open?id=13KbV0afuPYgDjMP1RAdPJfZ8H3Sisl_p&amp;usp=drive_fs")</f>
        <v>https://drive.google.com/open?id=13KbV0afuPYgDjMP1RAdPJfZ8H3Sisl_p&amp;usp=drive_fs</v>
      </c>
      <c r="B213" s="80" t="str">
        <f>IFERROR(__xludf.DUMMYFUNCTION("""COMPUTED_VALUE"""),"Food")</f>
        <v>Food</v>
      </c>
      <c r="C213" s="80" t="str">
        <f>IFERROR(__xludf.DUMMYFUNCTION("""COMPUTED_VALUE"""),"Dates")</f>
        <v>Dates</v>
      </c>
      <c r="D213" s="80" t="str">
        <f>IFERROR(__xludf.DUMMYFUNCTION("""COMPUTED_VALUE"""),"280*203*64 mm | 11*8*2.5 inch")</f>
        <v>280*203*64 mm | 11*8*2.5 inch</v>
      </c>
      <c r="E213" s="124">
        <f>IFERROR(__xludf.DUMMYFUNCTION("""COMPUTED_VALUE"""),2.0)</f>
        <v>2</v>
      </c>
      <c r="F213" s="80">
        <f>IFERROR(__xludf.DUMMYFUNCTION("""COMPUTED_VALUE"""),2029.0)</f>
        <v>2029</v>
      </c>
      <c r="G213" s="80">
        <f>IFERROR(__xludf.DUMMYFUNCTION("""COMPUTED_VALUE"""),20.0)</f>
        <v>20</v>
      </c>
      <c r="H213" s="80">
        <f>IFERROR(__xludf.DUMMYFUNCTION("""COMPUTED_VALUE"""),28.0)</f>
        <v>28</v>
      </c>
      <c r="I213" s="80">
        <f>IFERROR(__xludf.DUMMYFUNCTION("""COMPUTED_VALUE"""),100.0)</f>
        <v>100</v>
      </c>
      <c r="J213" s="109"/>
      <c r="K213" s="109"/>
      <c r="L213" s="109">
        <f>IFERROR(__xludf.DUMMYFUNCTION("""COMPUTED_VALUE"""),1.0)</f>
        <v>1</v>
      </c>
      <c r="M213" s="109"/>
      <c r="N213" s="109">
        <f>IFERROR(__xludf.DUMMYFUNCTION("""COMPUTED_VALUE"""),1.0)</f>
        <v>1</v>
      </c>
      <c r="O213" s="109"/>
      <c r="P213" s="109" t="str">
        <f>IFERROR(__xludf.DUMMYFUNCTION("""COMPUTED_VALUE"""),"Offset")</f>
        <v>Offset</v>
      </c>
      <c r="Q213" s="109" t="str">
        <f>IFERROR(__xludf.DUMMYFUNCTION("""COMPUTED_VALUE"""),"Packaging")</f>
        <v>Packaging</v>
      </c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15"/>
      <c r="AK213" s="80"/>
      <c r="AL213" s="80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</row>
    <row r="214">
      <c r="A214" s="123" t="str">
        <f>IFERROR(__xludf.DUMMYFUNCTION("""COMPUTED_VALUE"""),"https://drive.google.com/open?id=13KbV0afuPYgDjMP1RAdPJfZ8H3Sisl_p&amp;usp=drive_fs")</f>
        <v>https://drive.google.com/open?id=13KbV0afuPYgDjMP1RAdPJfZ8H3Sisl_p&amp;usp=drive_fs</v>
      </c>
      <c r="B214" s="80" t="str">
        <f>IFERROR(__xludf.DUMMYFUNCTION("""COMPUTED_VALUE"""),"Food")</f>
        <v>Food</v>
      </c>
      <c r="C214" s="80" t="str">
        <f>IFERROR(__xludf.DUMMYFUNCTION("""COMPUTED_VALUE"""),"Dates")</f>
        <v>Dates</v>
      </c>
      <c r="D214" s="80" t="str">
        <f>IFERROR(__xludf.DUMMYFUNCTION("""COMPUTED_VALUE"""),"280*203*64 mm | 11*8*2.5 inch | 22*14")</f>
        <v>280*203*64 mm | 11*8*2.5 inch | 22*14</v>
      </c>
      <c r="E214" s="124">
        <f>IFERROR(__xludf.DUMMYFUNCTION("""COMPUTED_VALUE"""),1.0)</f>
        <v>1</v>
      </c>
      <c r="F214" s="80">
        <f>IFERROR(__xludf.DUMMYFUNCTION("""COMPUTED_VALUE"""),1926.0)</f>
        <v>1926</v>
      </c>
      <c r="G214" s="80">
        <f>IFERROR(__xludf.DUMMYFUNCTION("""COMPUTED_VALUE"""),14.0)</f>
        <v>14</v>
      </c>
      <c r="H214" s="80">
        <f>IFERROR(__xludf.DUMMYFUNCTION("""COMPUTED_VALUE"""),22.0)</f>
        <v>22</v>
      </c>
      <c r="I214" s="80">
        <f>IFERROR(__xludf.DUMMYFUNCTION("""COMPUTED_VALUE"""),100.0)</f>
        <v>100</v>
      </c>
      <c r="J214" s="109"/>
      <c r="K214" s="109"/>
      <c r="L214" s="109"/>
      <c r="M214" s="109"/>
      <c r="N214" s="109">
        <f>IFERROR(__xludf.DUMMYFUNCTION("""COMPUTED_VALUE"""),1.0)</f>
        <v>1</v>
      </c>
      <c r="O214" s="109"/>
      <c r="P214" s="109" t="str">
        <f>IFERROR(__xludf.DUMMYFUNCTION("""COMPUTED_VALUE"""),"Offset")</f>
        <v>Offset</v>
      </c>
      <c r="Q214" s="109" t="str">
        <f>IFERROR(__xludf.DUMMYFUNCTION("""COMPUTED_VALUE"""),"Packaging")</f>
        <v>Packaging</v>
      </c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15"/>
      <c r="AK214" s="80"/>
      <c r="AL214" s="80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</row>
    <row r="215">
      <c r="A215" s="123" t="str">
        <f>IFERROR(__xludf.DUMMYFUNCTION("""COMPUTED_VALUE"""),"https://drive.google.com/open?id=1a9gsZC63HaCI-X3ih2w00s-7DUIMJJBe&amp;usp=drive_fs")</f>
        <v>https://drive.google.com/open?id=1a9gsZC63HaCI-X3ih2w00s-7DUIMJJBe&amp;usp=drive_fs</v>
      </c>
      <c r="B215" s="80" t="str">
        <f>IFERROR(__xludf.DUMMYFUNCTION("""COMPUTED_VALUE"""),"Food")</f>
        <v>Food</v>
      </c>
      <c r="C215" s="80" t="str">
        <f>IFERROR(__xludf.DUMMYFUNCTION("""COMPUTED_VALUE"""),"Cookies")</f>
        <v>Cookies</v>
      </c>
      <c r="D215" s="80" t="str">
        <f>IFERROR(__xludf.DUMMYFUNCTION("""COMPUTED_VALUE"""),"120*50*200 mm | 5*2*8 inch")</f>
        <v>120*50*200 mm | 5*2*8 inch</v>
      </c>
      <c r="E215" s="124">
        <f>IFERROR(__xludf.DUMMYFUNCTION("""COMPUTED_VALUE"""),2.0)</f>
        <v>2</v>
      </c>
      <c r="F215" s="80">
        <f>IFERROR(__xludf.DUMMYFUNCTION("""COMPUTED_VALUE"""),1926.0)</f>
        <v>1926</v>
      </c>
      <c r="G215" s="80">
        <f>IFERROR(__xludf.DUMMYFUNCTION("""COMPUTED_VALUE"""),15.0)</f>
        <v>15</v>
      </c>
      <c r="H215" s="80">
        <f>IFERROR(__xludf.DUMMYFUNCTION("""COMPUTED_VALUE"""),25.0)</f>
        <v>25</v>
      </c>
      <c r="I215" s="80">
        <f>IFERROR(__xludf.DUMMYFUNCTION("""COMPUTED_VALUE"""),100.0)</f>
        <v>100</v>
      </c>
      <c r="J215" s="109"/>
      <c r="K215" s="109"/>
      <c r="L215" s="109"/>
      <c r="M215" s="109">
        <f>IFERROR(__xludf.DUMMYFUNCTION("""COMPUTED_VALUE"""),0.1)</f>
        <v>0.1</v>
      </c>
      <c r="N215" s="109">
        <f>IFERROR(__xludf.DUMMYFUNCTION("""COMPUTED_VALUE"""),1.0)</f>
        <v>1</v>
      </c>
      <c r="O215" s="109"/>
      <c r="P215" s="109" t="str">
        <f>IFERROR(__xludf.DUMMYFUNCTION("""COMPUTED_VALUE"""),"Offset")</f>
        <v>Offset</v>
      </c>
      <c r="Q215" s="109" t="str">
        <f>IFERROR(__xludf.DUMMYFUNCTION("""COMPUTED_VALUE"""),"Packaging")</f>
        <v>Packaging</v>
      </c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15"/>
      <c r="AK215" s="80"/>
      <c r="AL215" s="80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</row>
    <row r="216">
      <c r="A216" s="123" t="str">
        <f>IFERROR(__xludf.DUMMYFUNCTION("""COMPUTED_VALUE"""),"https://drive.google.com/open?id=1bk7ngFpS_OMyhaj5M4fAEytb26akAKZV&amp;usp=drive_fs")</f>
        <v>https://drive.google.com/open?id=1bk7ngFpS_OMyhaj5M4fAEytb26akAKZV&amp;usp=drive_fs</v>
      </c>
      <c r="B216" s="80" t="str">
        <f>IFERROR(__xludf.DUMMYFUNCTION("""COMPUTED_VALUE"""),"Food")</f>
        <v>Food</v>
      </c>
      <c r="C216" s="80" t="str">
        <f>IFERROR(__xludf.DUMMYFUNCTION("""COMPUTED_VALUE"""),"Chocolate")</f>
        <v>Chocolate</v>
      </c>
      <c r="D216" s="80" t="str">
        <f>IFERROR(__xludf.DUMMYFUNCTION("""COMPUTED_VALUE"""),"183*134*28 mm | 7.2*5.2*1.1 inch")</f>
        <v>183*134*28 mm | 7.2*5.2*1.1 inch</v>
      </c>
      <c r="E216" s="124">
        <f>IFERROR(__xludf.DUMMYFUNCTION("""COMPUTED_VALUE"""),1.0)</f>
        <v>1</v>
      </c>
      <c r="F216" s="80">
        <f>IFERROR(__xludf.DUMMYFUNCTION("""COMPUTED_VALUE"""),2029.0)</f>
        <v>2029</v>
      </c>
      <c r="G216" s="80">
        <f>IFERROR(__xludf.DUMMYFUNCTION("""COMPUTED_VALUE"""),15.75)</f>
        <v>15.75</v>
      </c>
      <c r="H216" s="80">
        <f>IFERROR(__xludf.DUMMYFUNCTION("""COMPUTED_VALUE"""),20.75)</f>
        <v>20.75</v>
      </c>
      <c r="I216" s="80">
        <f>IFERROR(__xludf.DUMMYFUNCTION("""COMPUTED_VALUE"""),100.0)</f>
        <v>100</v>
      </c>
      <c r="J216" s="109"/>
      <c r="K216" s="109"/>
      <c r="L216" s="109">
        <f>IFERROR(__xludf.DUMMYFUNCTION("""COMPUTED_VALUE"""),0.95)</f>
        <v>0.95</v>
      </c>
      <c r="M216" s="109">
        <f>IFERROR(__xludf.DUMMYFUNCTION("""COMPUTED_VALUE"""),0.1)</f>
        <v>0.1</v>
      </c>
      <c r="N216" s="109">
        <f>IFERROR(__xludf.DUMMYFUNCTION("""COMPUTED_VALUE"""),1.0)</f>
        <v>1</v>
      </c>
      <c r="O216" s="109"/>
      <c r="P216" s="109" t="str">
        <f>IFERROR(__xludf.DUMMYFUNCTION("""COMPUTED_VALUE"""),"Offset")</f>
        <v>Offset</v>
      </c>
      <c r="Q216" s="109" t="str">
        <f>IFERROR(__xludf.DUMMYFUNCTION("""COMPUTED_VALUE"""),"Packaging")</f>
        <v>Packaging</v>
      </c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15"/>
      <c r="AK216" s="80"/>
      <c r="AL216" s="80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</row>
    <row r="217">
      <c r="A217" s="123" t="str">
        <f>IFERROR(__xludf.DUMMYFUNCTION("""COMPUTED_VALUE"""),"https://drive.google.com/open?id=1KkeFiNYg6uqGgov5SB0woAVKHAHI2hc5&amp;usp=drive_fs")</f>
        <v>https://drive.google.com/open?id=1KkeFiNYg6uqGgov5SB0woAVKHAHI2hc5&amp;usp=drive_fs</v>
      </c>
      <c r="B217" s="80" t="str">
        <f>IFERROR(__xludf.DUMMYFUNCTION("""COMPUTED_VALUE"""),"Food")</f>
        <v>Food</v>
      </c>
      <c r="C217" s="80" t="str">
        <f>IFERROR(__xludf.DUMMYFUNCTION("""COMPUTED_VALUE"""),"Dates")</f>
        <v>Dates</v>
      </c>
      <c r="D217" s="80" t="str">
        <f>IFERROR(__xludf.DUMMYFUNCTION("""COMPUTED_VALUE"""),"220*150*40 mm | 8.5*6*1.5 inch")</f>
        <v>220*150*40 mm | 8.5*6*1.5 inch</v>
      </c>
      <c r="E217" s="124">
        <f>IFERROR(__xludf.DUMMYFUNCTION("""COMPUTED_VALUE"""),3.0)</f>
        <v>3</v>
      </c>
      <c r="F217" s="80">
        <f>IFERROR(__xludf.DUMMYFUNCTION("""COMPUTED_VALUE"""),2029.0)</f>
        <v>2029</v>
      </c>
      <c r="G217" s="80">
        <f>IFERROR(__xludf.DUMMYFUNCTION("""COMPUTED_VALUE"""),20.0)</f>
        <v>20</v>
      </c>
      <c r="H217" s="80">
        <f>IFERROR(__xludf.DUMMYFUNCTION("""COMPUTED_VALUE"""),28.0)</f>
        <v>28</v>
      </c>
      <c r="I217" s="80">
        <f>IFERROR(__xludf.DUMMYFUNCTION("""COMPUTED_VALUE"""),100.0)</f>
        <v>100</v>
      </c>
      <c r="J217" s="109"/>
      <c r="K217" s="109"/>
      <c r="L217" s="109"/>
      <c r="M217" s="109">
        <f>IFERROR(__xludf.DUMMYFUNCTION("""COMPUTED_VALUE"""),0.15)</f>
        <v>0.15</v>
      </c>
      <c r="N217" s="109">
        <f>IFERROR(__xludf.DUMMYFUNCTION("""COMPUTED_VALUE"""),1.0)</f>
        <v>1</v>
      </c>
      <c r="O217" s="109"/>
      <c r="P217" s="109" t="str">
        <f>IFERROR(__xludf.DUMMYFUNCTION("""COMPUTED_VALUE"""),"Offset")</f>
        <v>Offset</v>
      </c>
      <c r="Q217" s="109" t="str">
        <f>IFERROR(__xludf.DUMMYFUNCTION("""COMPUTED_VALUE"""),"Packaging")</f>
        <v>Packaging</v>
      </c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15"/>
      <c r="AK217" s="80"/>
      <c r="AL217" s="80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</row>
    <row r="218">
      <c r="A218" s="80"/>
      <c r="B218" s="80" t="str">
        <f>IFERROR(__xludf.DUMMYFUNCTION("""COMPUTED_VALUE"""),"Food")</f>
        <v>Food</v>
      </c>
      <c r="C218" s="80" t="str">
        <f>IFERROR(__xludf.DUMMYFUNCTION("""COMPUTED_VALUE"""),"Dates")</f>
        <v>Dates</v>
      </c>
      <c r="D218" s="80" t="str">
        <f>IFERROR(__xludf.DUMMYFUNCTION("""COMPUTED_VALUE"""),"Tray 220*150*40 mm | 8.5*6*1.5 inch")</f>
        <v>Tray 220*150*40 mm | 8.5*6*1.5 inch</v>
      </c>
      <c r="E218" s="124">
        <f>IFERROR(__xludf.DUMMYFUNCTION("""COMPUTED_VALUE"""),1.0)</f>
        <v>1</v>
      </c>
      <c r="F218" s="80">
        <f>IFERROR(__xludf.DUMMYFUNCTION("""COMPUTED_VALUE"""),1926.0)</f>
        <v>1926</v>
      </c>
      <c r="G218" s="80">
        <f>IFERROR(__xludf.DUMMYFUNCTION("""COMPUTED_VALUE"""),15.75)</f>
        <v>15.75</v>
      </c>
      <c r="H218" s="80">
        <f>IFERROR(__xludf.DUMMYFUNCTION("""COMPUTED_VALUE"""),20.75)</f>
        <v>20.75</v>
      </c>
      <c r="I218" s="80">
        <f>IFERROR(__xludf.DUMMYFUNCTION("""COMPUTED_VALUE"""),100.0)</f>
        <v>100</v>
      </c>
      <c r="J218" s="109"/>
      <c r="K218" s="109"/>
      <c r="L218" s="109"/>
      <c r="M218" s="109"/>
      <c r="N218" s="109">
        <f>IFERROR(__xludf.DUMMYFUNCTION("""COMPUTED_VALUE"""),1.0)</f>
        <v>1</v>
      </c>
      <c r="O218" s="109"/>
      <c r="P218" s="109" t="str">
        <f>IFERROR(__xludf.DUMMYFUNCTION("""COMPUTED_VALUE"""),"Offset")</f>
        <v>Offset</v>
      </c>
      <c r="Q218" s="109" t="str">
        <f>IFERROR(__xludf.DUMMYFUNCTION("""COMPUTED_VALUE"""),"Packaging")</f>
        <v>Packaging</v>
      </c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5"/>
      <c r="AK218" s="80"/>
      <c r="AL218" s="80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</row>
    <row r="219">
      <c r="A219" s="123" t="str">
        <f>IFERROR(__xludf.DUMMYFUNCTION("""COMPUTED_VALUE"""),"https://drive.google.com/open?id=14i9hRmI4QzF0Jyn5nV1HE0o21AsR7gO9&amp;usp=drive_fs")</f>
        <v>https://drive.google.com/open?id=14i9hRmI4QzF0Jyn5nV1HE0o21AsR7gO9&amp;usp=drive_fs</v>
      </c>
      <c r="B219" s="80" t="str">
        <f>IFERROR(__xludf.DUMMYFUNCTION("""COMPUTED_VALUE"""),"Food")</f>
        <v>Food</v>
      </c>
      <c r="C219" s="80" t="str">
        <f>IFERROR(__xludf.DUMMYFUNCTION("""COMPUTED_VALUE"""),"Dates")</f>
        <v>Dates</v>
      </c>
      <c r="D219" s="80" t="str">
        <f>IFERROR(__xludf.DUMMYFUNCTION("""COMPUTED_VALUE"""),"110*50*120 mm | 4.3*1.9*4.7 inch")</f>
        <v>110*50*120 mm | 4.3*1.9*4.7 inch</v>
      </c>
      <c r="E219" s="124">
        <f>IFERROR(__xludf.DUMMYFUNCTION("""COMPUTED_VALUE"""),4.0)</f>
        <v>4</v>
      </c>
      <c r="F219" s="80">
        <f>IFERROR(__xludf.DUMMYFUNCTION("""COMPUTED_VALUE"""),2029.0)</f>
        <v>2029</v>
      </c>
      <c r="G219" s="80">
        <f>IFERROR(__xludf.DUMMYFUNCTION("""COMPUTED_VALUE"""),20.0)</f>
        <v>20</v>
      </c>
      <c r="H219" s="80">
        <f>IFERROR(__xludf.DUMMYFUNCTION("""COMPUTED_VALUE"""),28.0)</f>
        <v>28</v>
      </c>
      <c r="I219" s="80">
        <f>IFERROR(__xludf.DUMMYFUNCTION("""COMPUTED_VALUE"""),100.0)</f>
        <v>100</v>
      </c>
      <c r="J219" s="109"/>
      <c r="K219" s="109"/>
      <c r="L219" s="109"/>
      <c r="M219" s="109">
        <f>IFERROR(__xludf.DUMMYFUNCTION("""COMPUTED_VALUE"""),0.1)</f>
        <v>0.1</v>
      </c>
      <c r="N219" s="109">
        <f>IFERROR(__xludf.DUMMYFUNCTION("""COMPUTED_VALUE"""),1.0)</f>
        <v>1</v>
      </c>
      <c r="O219" s="109"/>
      <c r="P219" s="109" t="str">
        <f>IFERROR(__xludf.DUMMYFUNCTION("""COMPUTED_VALUE"""),"Offset")</f>
        <v>Offset</v>
      </c>
      <c r="Q219" s="109" t="str">
        <f>IFERROR(__xludf.DUMMYFUNCTION("""COMPUTED_VALUE"""),"Packaging")</f>
        <v>Packaging</v>
      </c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15"/>
      <c r="AK219" s="80"/>
      <c r="AL219" s="80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</row>
    <row r="220">
      <c r="A220" s="80"/>
      <c r="B220" s="80" t="str">
        <f>IFERROR(__xludf.DUMMYFUNCTION("""COMPUTED_VALUE"""),"Food")</f>
        <v>Food</v>
      </c>
      <c r="C220" s="80" t="str">
        <f>IFERROR(__xludf.DUMMYFUNCTION("""COMPUTED_VALUE"""),"Dry Fruit")</f>
        <v>Dry Fruit</v>
      </c>
      <c r="D220" s="80" t="str">
        <f>IFERROR(__xludf.DUMMYFUNCTION("""COMPUTED_VALUE"""),"246*276*50 mm | 9.6*10.9*2 inch")</f>
        <v>246*276*50 mm | 9.6*10.9*2 inch</v>
      </c>
      <c r="E220" s="124">
        <f>IFERROR(__xludf.DUMMYFUNCTION("""COMPUTED_VALUE"""),1.0)</f>
        <v>1</v>
      </c>
      <c r="F220" s="80">
        <f>IFERROR(__xludf.DUMMYFUNCTION("""COMPUTED_VALUE"""),2029.0)</f>
        <v>2029</v>
      </c>
      <c r="G220" s="80">
        <f>IFERROR(__xludf.DUMMYFUNCTION("""COMPUTED_VALUE"""),20.75)</f>
        <v>20.75</v>
      </c>
      <c r="H220" s="80">
        <f>IFERROR(__xludf.DUMMYFUNCTION("""COMPUTED_VALUE"""),31.5)</f>
        <v>31.5</v>
      </c>
      <c r="I220" s="80">
        <f>IFERROR(__xludf.DUMMYFUNCTION("""COMPUTED_VALUE"""),100.0)</f>
        <v>100</v>
      </c>
      <c r="J220" s="109"/>
      <c r="K220" s="109"/>
      <c r="L220" s="109"/>
      <c r="M220" s="109">
        <f>IFERROR(__xludf.DUMMYFUNCTION("""COMPUTED_VALUE"""),2.0)</f>
        <v>2</v>
      </c>
      <c r="N220" s="109">
        <f>IFERROR(__xludf.DUMMYFUNCTION("""COMPUTED_VALUE"""),1.0)</f>
        <v>1</v>
      </c>
      <c r="O220" s="109"/>
      <c r="P220" s="109" t="str">
        <f>IFERROR(__xludf.DUMMYFUNCTION("""COMPUTED_VALUE"""),"Offset")</f>
        <v>Offset</v>
      </c>
      <c r="Q220" s="109" t="str">
        <f>IFERROR(__xludf.DUMMYFUNCTION("""COMPUTED_VALUE"""),"Packaging")</f>
        <v>Packaging</v>
      </c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15"/>
      <c r="AK220" s="80"/>
      <c r="AL220" s="80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</row>
    <row r="221">
      <c r="A221" s="80"/>
      <c r="B221" s="80" t="str">
        <f>IFERROR(__xludf.DUMMYFUNCTION("""COMPUTED_VALUE"""),"Food")</f>
        <v>Food</v>
      </c>
      <c r="C221" s="80" t="str">
        <f>IFERROR(__xludf.DUMMYFUNCTION("""COMPUTED_VALUE"""),"Dry Fruit")</f>
        <v>Dry Fruit</v>
      </c>
      <c r="D221" s="80" t="str">
        <f>IFERROR(__xludf.DUMMYFUNCTION("""COMPUTED_VALUE"""),"105*47*120 mm | 4.1*1.8*4.7 inch")</f>
        <v>105*47*120 mm | 4.1*1.8*4.7 inch</v>
      </c>
      <c r="E221" s="124">
        <f>IFERROR(__xludf.DUMMYFUNCTION("""COMPUTED_VALUE"""),4.0)</f>
        <v>4</v>
      </c>
      <c r="F221" s="80">
        <f>IFERROR(__xludf.DUMMYFUNCTION("""COMPUTED_VALUE"""),1926.0)</f>
        <v>1926</v>
      </c>
      <c r="G221" s="80">
        <f>IFERROR(__xludf.DUMMYFUNCTION("""COMPUTED_VALUE"""),18.0)</f>
        <v>18</v>
      </c>
      <c r="H221" s="80">
        <f>IFERROR(__xludf.DUMMYFUNCTION("""COMPUTED_VALUE"""),25.0)</f>
        <v>25</v>
      </c>
      <c r="I221" s="80">
        <f>IFERROR(__xludf.DUMMYFUNCTION("""COMPUTED_VALUE"""),100.0)</f>
        <v>100</v>
      </c>
      <c r="J221" s="109"/>
      <c r="K221" s="109"/>
      <c r="L221" s="109"/>
      <c r="M221" s="109">
        <f>IFERROR(__xludf.DUMMYFUNCTION("""COMPUTED_VALUE"""),0.1)</f>
        <v>0.1</v>
      </c>
      <c r="N221" s="109">
        <f>IFERROR(__xludf.DUMMYFUNCTION("""COMPUTED_VALUE"""),1.0)</f>
        <v>1</v>
      </c>
      <c r="O221" s="109"/>
      <c r="P221" s="109" t="str">
        <f>IFERROR(__xludf.DUMMYFUNCTION("""COMPUTED_VALUE"""),"Offset")</f>
        <v>Offset</v>
      </c>
      <c r="Q221" s="109" t="str">
        <f>IFERROR(__xludf.DUMMYFUNCTION("""COMPUTED_VALUE"""),"Packaging")</f>
        <v>Packaging</v>
      </c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15"/>
      <c r="AK221" s="80"/>
      <c r="AL221" s="80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</row>
    <row r="222">
      <c r="A222" s="80"/>
      <c r="B222" s="80" t="str">
        <f>IFERROR(__xludf.DUMMYFUNCTION("""COMPUTED_VALUE"""),"Food")</f>
        <v>Food</v>
      </c>
      <c r="C222" s="80" t="str">
        <f>IFERROR(__xludf.DUMMYFUNCTION("""COMPUTED_VALUE"""),"Dry Fruit")</f>
        <v>Dry Fruit</v>
      </c>
      <c r="D222" s="80" t="str">
        <f>IFERROR(__xludf.DUMMYFUNCTION("""COMPUTED_VALUE"""),"175*40*385 mm | 6.9*1.7*15.2 inch")</f>
        <v>175*40*385 mm | 6.9*1.7*15.2 inch</v>
      </c>
      <c r="E222" s="124">
        <f>IFERROR(__xludf.DUMMYFUNCTION("""COMPUTED_VALUE"""),1.0)</f>
        <v>1</v>
      </c>
      <c r="F222" s="80">
        <f>IFERROR(__xludf.DUMMYFUNCTION("""COMPUTED_VALUE"""),1926.0)</f>
        <v>1926</v>
      </c>
      <c r="G222" s="80">
        <f>IFERROR(__xludf.DUMMYFUNCTION("""COMPUTED_VALUE"""),23.0)</f>
        <v>23</v>
      </c>
      <c r="H222" s="80">
        <f>IFERROR(__xludf.DUMMYFUNCTION("""COMPUTED_VALUE"""),18.0)</f>
        <v>18</v>
      </c>
      <c r="I222" s="80">
        <f>IFERROR(__xludf.DUMMYFUNCTION("""COMPUTED_VALUE"""),100.0)</f>
        <v>100</v>
      </c>
      <c r="J222" s="109"/>
      <c r="K222" s="109"/>
      <c r="L222" s="109"/>
      <c r="M222" s="109">
        <f>IFERROR(__xludf.DUMMYFUNCTION("""COMPUTED_VALUE"""),0.2)</f>
        <v>0.2</v>
      </c>
      <c r="N222" s="109">
        <f>IFERROR(__xludf.DUMMYFUNCTION("""COMPUTED_VALUE"""),1.0)</f>
        <v>1</v>
      </c>
      <c r="O222" s="109"/>
      <c r="P222" s="109" t="str">
        <f>IFERROR(__xludf.DUMMYFUNCTION("""COMPUTED_VALUE"""),"Offset")</f>
        <v>Offset</v>
      </c>
      <c r="Q222" s="109" t="str">
        <f>IFERROR(__xludf.DUMMYFUNCTION("""COMPUTED_VALUE"""),"Packaging")</f>
        <v>Packaging</v>
      </c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15"/>
      <c r="AK222" s="80"/>
      <c r="AL222" s="80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</row>
    <row r="223">
      <c r="A223" s="80"/>
      <c r="B223" s="80" t="str">
        <f>IFERROR(__xludf.DUMMYFUNCTION("""COMPUTED_VALUE"""),"Food")</f>
        <v>Food</v>
      </c>
      <c r="C223" s="80" t="str">
        <f>IFERROR(__xludf.DUMMYFUNCTION("""COMPUTED_VALUE"""),"Dry Fruit")</f>
        <v>Dry Fruit</v>
      </c>
      <c r="D223" s="80" t="str">
        <f>IFERROR(__xludf.DUMMYFUNCTION("""COMPUTED_VALUE"""),"90*40*130 mm | 3.5*1.5*5.2 inch")</f>
        <v>90*40*130 mm | 3.5*1.5*5.2 inch</v>
      </c>
      <c r="E223" s="124">
        <f>IFERROR(__xludf.DUMMYFUNCTION("""COMPUTED_VALUE"""),3.0)</f>
        <v>3</v>
      </c>
      <c r="F223" s="80">
        <f>IFERROR(__xludf.DUMMYFUNCTION("""COMPUTED_VALUE"""),1926.0)</f>
        <v>1926</v>
      </c>
      <c r="G223" s="80">
        <f>IFERROR(__xludf.DUMMYFUNCTION("""COMPUTED_VALUE"""),15.0)</f>
        <v>15</v>
      </c>
      <c r="H223" s="80">
        <f>IFERROR(__xludf.DUMMYFUNCTION("""COMPUTED_VALUE"""),25.0)</f>
        <v>25</v>
      </c>
      <c r="I223" s="80">
        <f>IFERROR(__xludf.DUMMYFUNCTION("""COMPUTED_VALUE"""),100.0)</f>
        <v>100</v>
      </c>
      <c r="J223" s="109"/>
      <c r="K223" s="109"/>
      <c r="L223" s="109"/>
      <c r="M223" s="109">
        <f>IFERROR(__xludf.DUMMYFUNCTION("""COMPUTED_VALUE"""),0.1)</f>
        <v>0.1</v>
      </c>
      <c r="N223" s="109">
        <f>IFERROR(__xludf.DUMMYFUNCTION("""COMPUTED_VALUE"""),1.0)</f>
        <v>1</v>
      </c>
      <c r="O223" s="109"/>
      <c r="P223" s="109" t="str">
        <f>IFERROR(__xludf.DUMMYFUNCTION("""COMPUTED_VALUE"""),"Offset")</f>
        <v>Offset</v>
      </c>
      <c r="Q223" s="109" t="str">
        <f>IFERROR(__xludf.DUMMYFUNCTION("""COMPUTED_VALUE"""),"Packaging")</f>
        <v>Packaging</v>
      </c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15"/>
      <c r="AK223" s="80"/>
      <c r="AL223" s="80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</row>
    <row r="224">
      <c r="A224" s="123" t="str">
        <f>IFERROR(__xludf.DUMMYFUNCTION("""COMPUTED_VALUE"""),"https://drive.google.com/open?id=1-16c5viRDTAozDTnHrPsfgXdZhFQ6nyf&amp;usp=drive_fs")</f>
        <v>https://drive.google.com/open?id=1-16c5viRDTAozDTnHrPsfgXdZhFQ6nyf&amp;usp=drive_fs</v>
      </c>
      <c r="B224" s="80" t="str">
        <f>IFERROR(__xludf.DUMMYFUNCTION("""COMPUTED_VALUE"""),"Food")</f>
        <v>Food</v>
      </c>
      <c r="C224" s="80" t="str">
        <f>IFERROR(__xludf.DUMMYFUNCTION("""COMPUTED_VALUE"""),"Dry Fruit")</f>
        <v>Dry Fruit</v>
      </c>
      <c r="D224" s="80" t="str">
        <f>IFERROR(__xludf.DUMMYFUNCTION("""COMPUTED_VALUE"""),"75*38*129 mm | 2.9*1.5*5 inch")</f>
        <v>75*38*129 mm | 2.9*1.5*5 inch</v>
      </c>
      <c r="E224" s="124">
        <f>IFERROR(__xludf.DUMMYFUNCTION("""COMPUTED_VALUE"""),3.0)</f>
        <v>3</v>
      </c>
      <c r="F224" s="80">
        <f>IFERROR(__xludf.DUMMYFUNCTION("""COMPUTED_VALUE"""),1926.0)</f>
        <v>1926</v>
      </c>
      <c r="G224" s="80">
        <f>IFERROR(__xludf.DUMMYFUNCTION("""COMPUTED_VALUE"""),12.0)</f>
        <v>12</v>
      </c>
      <c r="H224" s="80">
        <f>IFERROR(__xludf.DUMMYFUNCTION("""COMPUTED_VALUE"""),25.0)</f>
        <v>25</v>
      </c>
      <c r="I224" s="80">
        <f>IFERROR(__xludf.DUMMYFUNCTION("""COMPUTED_VALUE"""),100.0)</f>
        <v>100</v>
      </c>
      <c r="J224" s="109"/>
      <c r="K224" s="109"/>
      <c r="L224" s="109"/>
      <c r="M224" s="109">
        <f>IFERROR(__xludf.DUMMYFUNCTION("""COMPUTED_VALUE"""),0.1)</f>
        <v>0.1</v>
      </c>
      <c r="N224" s="109">
        <f>IFERROR(__xludf.DUMMYFUNCTION("""COMPUTED_VALUE"""),1.0)</f>
        <v>1</v>
      </c>
      <c r="O224" s="109"/>
      <c r="P224" s="109" t="str">
        <f>IFERROR(__xludf.DUMMYFUNCTION("""COMPUTED_VALUE"""),"Offset")</f>
        <v>Offset</v>
      </c>
      <c r="Q224" s="109" t="str">
        <f>IFERROR(__xludf.DUMMYFUNCTION("""COMPUTED_VALUE"""),"Packaging")</f>
        <v>Packaging</v>
      </c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15"/>
      <c r="AK224" s="80"/>
      <c r="AL224" s="80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</row>
    <row r="225">
      <c r="A225" s="80"/>
      <c r="B225" s="80" t="str">
        <f>IFERROR(__xludf.DUMMYFUNCTION("""COMPUTED_VALUE"""),"Food")</f>
        <v>Food</v>
      </c>
      <c r="C225" s="80" t="str">
        <f>IFERROR(__xludf.DUMMYFUNCTION("""COMPUTED_VALUE"""),"Dry Fruit")</f>
        <v>Dry Fruit</v>
      </c>
      <c r="D225" s="80" t="str">
        <f>IFERROR(__xludf.DUMMYFUNCTION("""COMPUTED_VALUE"""),"319*177*40 mm | 12.5*6.9*1.5 inch")</f>
        <v>319*177*40 mm | 12.5*6.9*1.5 inch</v>
      </c>
      <c r="E225" s="124">
        <f>IFERROR(__xludf.DUMMYFUNCTION("""COMPUTED_VALUE"""),1.0)</f>
        <v>1</v>
      </c>
      <c r="F225" s="80">
        <f>IFERROR(__xludf.DUMMYFUNCTION("""COMPUTED_VALUE"""),1926.0)</f>
        <v>1926</v>
      </c>
      <c r="G225" s="80">
        <f>IFERROR(__xludf.DUMMYFUNCTION("""COMPUTED_VALUE"""),18.0)</f>
        <v>18</v>
      </c>
      <c r="H225" s="80">
        <f>IFERROR(__xludf.DUMMYFUNCTION("""COMPUTED_VALUE"""),23.0)</f>
        <v>23</v>
      </c>
      <c r="I225" s="80">
        <f>IFERROR(__xludf.DUMMYFUNCTION("""COMPUTED_VALUE"""),100.0)</f>
        <v>100</v>
      </c>
      <c r="J225" s="109"/>
      <c r="K225" s="109"/>
      <c r="L225" s="109"/>
      <c r="M225" s="109">
        <f>IFERROR(__xludf.DUMMYFUNCTION("""COMPUTED_VALUE"""),0.2)</f>
        <v>0.2</v>
      </c>
      <c r="N225" s="109">
        <f>IFERROR(__xludf.DUMMYFUNCTION("""COMPUTED_VALUE"""),1.0)</f>
        <v>1</v>
      </c>
      <c r="O225" s="109"/>
      <c r="P225" s="109" t="str">
        <f>IFERROR(__xludf.DUMMYFUNCTION("""COMPUTED_VALUE"""),"Offset")</f>
        <v>Offset</v>
      </c>
      <c r="Q225" s="109" t="str">
        <f>IFERROR(__xludf.DUMMYFUNCTION("""COMPUTED_VALUE"""),"Packaging")</f>
        <v>Packaging</v>
      </c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15"/>
      <c r="AK225" s="80"/>
      <c r="AL225" s="80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</row>
    <row r="226">
      <c r="A226" s="80"/>
      <c r="B226" s="80" t="str">
        <f>IFERROR(__xludf.DUMMYFUNCTION("""COMPUTED_VALUE"""),"Food")</f>
        <v>Food</v>
      </c>
      <c r="C226" s="80" t="str">
        <f>IFERROR(__xludf.DUMMYFUNCTION("""COMPUTED_VALUE"""),"Dates")</f>
        <v>Dates</v>
      </c>
      <c r="D226" s="80" t="str">
        <f>IFERROR(__xludf.DUMMYFUNCTION("""COMPUTED_VALUE""")," Sleeve 160*95*40mm | 6.8*4.4*1.6 inch")</f>
        <v> Sleeve 160*95*40mm | 6.8*4.4*1.6 inch</v>
      </c>
      <c r="E226" s="124">
        <f>IFERROR(__xludf.DUMMYFUNCTION("""COMPUTED_VALUE"""),3.0)</f>
        <v>3</v>
      </c>
      <c r="F226" s="80">
        <f>IFERROR(__xludf.DUMMYFUNCTION("""COMPUTED_VALUE"""),1926.0)</f>
        <v>1926</v>
      </c>
      <c r="G226" s="80">
        <f>IFERROR(__xludf.DUMMYFUNCTION("""COMPUTED_VALUE"""),13.0)</f>
        <v>13</v>
      </c>
      <c r="H226" s="80">
        <f>IFERROR(__xludf.DUMMYFUNCTION("""COMPUTED_VALUE"""),19.0)</f>
        <v>19</v>
      </c>
      <c r="I226" s="80">
        <f>IFERROR(__xludf.DUMMYFUNCTION("""COMPUTED_VALUE"""),100.0)</f>
        <v>100</v>
      </c>
      <c r="J226" s="109"/>
      <c r="K226" s="109"/>
      <c r="L226" s="109"/>
      <c r="M226" s="109">
        <f>IFERROR(__xludf.DUMMYFUNCTION("""COMPUTED_VALUE"""),0.13)</f>
        <v>0.13</v>
      </c>
      <c r="N226" s="109">
        <f>IFERROR(__xludf.DUMMYFUNCTION("""COMPUTED_VALUE"""),1.0)</f>
        <v>1</v>
      </c>
      <c r="O226" s="109"/>
      <c r="P226" s="109" t="str">
        <f>IFERROR(__xludf.DUMMYFUNCTION("""COMPUTED_VALUE"""),"Offset")</f>
        <v>Offset</v>
      </c>
      <c r="Q226" s="109" t="str">
        <f>IFERROR(__xludf.DUMMYFUNCTION("""COMPUTED_VALUE"""),"Packaging")</f>
        <v>Packaging</v>
      </c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15"/>
      <c r="AK226" s="80"/>
      <c r="AL226" s="80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</row>
    <row r="227">
      <c r="A227" s="80"/>
      <c r="B227" s="80" t="str">
        <f>IFERROR(__xludf.DUMMYFUNCTION("""COMPUTED_VALUE"""),"Food")</f>
        <v>Food</v>
      </c>
      <c r="C227" s="80" t="str">
        <f>IFERROR(__xludf.DUMMYFUNCTION("""COMPUTED_VALUE"""),"Dates")</f>
        <v>Dates</v>
      </c>
      <c r="D227" s="80" t="str">
        <f>IFERROR(__xludf.DUMMYFUNCTION("""COMPUTED_VALUE"""),"Tray 160*95*40mm | 6.8*4.4*1.6 inch")</f>
        <v>Tray 160*95*40mm | 6.8*4.4*1.6 inch</v>
      </c>
      <c r="E227" s="124">
        <f>IFERROR(__xludf.DUMMYFUNCTION("""COMPUTED_VALUE"""),2.0)</f>
        <v>2</v>
      </c>
      <c r="F227" s="80">
        <f>IFERROR(__xludf.DUMMYFUNCTION("""COMPUTED_VALUE"""),1926.0)</f>
        <v>1926</v>
      </c>
      <c r="G227" s="80">
        <f>IFERROR(__xludf.DUMMYFUNCTION("""COMPUTED_VALUE"""),15.0)</f>
        <v>15</v>
      </c>
      <c r="H227" s="80">
        <f>IFERROR(__xludf.DUMMYFUNCTION("""COMPUTED_VALUE"""),25.0)</f>
        <v>25</v>
      </c>
      <c r="I227" s="80">
        <f>IFERROR(__xludf.DUMMYFUNCTION("""COMPUTED_VALUE"""),100.0)</f>
        <v>100</v>
      </c>
      <c r="J227" s="109"/>
      <c r="K227" s="109"/>
      <c r="L227" s="109"/>
      <c r="M227" s="109"/>
      <c r="N227" s="109">
        <f>IFERROR(__xludf.DUMMYFUNCTION("""COMPUTED_VALUE"""),1.0)</f>
        <v>1</v>
      </c>
      <c r="O227" s="109"/>
      <c r="P227" s="109" t="str">
        <f>IFERROR(__xludf.DUMMYFUNCTION("""COMPUTED_VALUE"""),"Offset")</f>
        <v>Offset</v>
      </c>
      <c r="Q227" s="109" t="str">
        <f>IFERROR(__xludf.DUMMYFUNCTION("""COMPUTED_VALUE"""),"Packaging")</f>
        <v>Packaging</v>
      </c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15"/>
      <c r="AK227" s="80"/>
      <c r="AL227" s="80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</row>
    <row r="228">
      <c r="A228" s="80"/>
      <c r="B228" s="80" t="str">
        <f>IFERROR(__xludf.DUMMYFUNCTION("""COMPUTED_VALUE"""),"Food")</f>
        <v>Food</v>
      </c>
      <c r="C228" s="80" t="str">
        <f>IFERROR(__xludf.DUMMYFUNCTION("""COMPUTED_VALUE"""),"Sugar Drop")</f>
        <v>Sugar Drop</v>
      </c>
      <c r="D228" s="80" t="str">
        <f>IFERROR(__xludf.DUMMYFUNCTION("""COMPUTED_VALUE"""),"85*40*105 mm | 3.3*1.5*4.2 inch | 22*15")</f>
        <v>85*40*105 mm | 3.3*1.5*4.2 inch | 22*15</v>
      </c>
      <c r="E228" s="124">
        <f>IFERROR(__xludf.DUMMYFUNCTION("""COMPUTED_VALUE"""),4.0)</f>
        <v>4</v>
      </c>
      <c r="F228" s="80">
        <f>IFERROR(__xludf.DUMMYFUNCTION("""COMPUTED_VALUE"""),1926.0)</f>
        <v>1926</v>
      </c>
      <c r="G228" s="80">
        <f>IFERROR(__xludf.DUMMYFUNCTION("""COMPUTED_VALUE"""),18.0)</f>
        <v>18</v>
      </c>
      <c r="H228" s="80">
        <f>IFERROR(__xludf.DUMMYFUNCTION("""COMPUTED_VALUE"""),23.0)</f>
        <v>23</v>
      </c>
      <c r="I228" s="80">
        <f>IFERROR(__xludf.DUMMYFUNCTION("""COMPUTED_VALUE"""),100.0)</f>
        <v>100</v>
      </c>
      <c r="J228" s="109"/>
      <c r="K228" s="109"/>
      <c r="L228" s="109"/>
      <c r="M228" s="109">
        <f>IFERROR(__xludf.DUMMYFUNCTION("""COMPUTED_VALUE"""),0.15)</f>
        <v>0.15</v>
      </c>
      <c r="N228" s="109">
        <f>IFERROR(__xludf.DUMMYFUNCTION("""COMPUTED_VALUE"""),1.0)</f>
        <v>1</v>
      </c>
      <c r="O228" s="109"/>
      <c r="P228" s="109" t="str">
        <f>IFERROR(__xludf.DUMMYFUNCTION("""COMPUTED_VALUE"""),"Offset")</f>
        <v>Offset</v>
      </c>
      <c r="Q228" s="109" t="str">
        <f>IFERROR(__xludf.DUMMYFUNCTION("""COMPUTED_VALUE"""),"Packaging")</f>
        <v>Packaging</v>
      </c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15"/>
      <c r="AK228" s="80"/>
      <c r="AL228" s="80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</row>
    <row r="229">
      <c r="A229" s="123" t="str">
        <f>IFERROR(__xludf.DUMMYFUNCTION("""COMPUTED_VALUE"""),"https://drive.google.com/open?id=10TdVob68TA08qHvPOTrFUTFm1J7USNBq&amp;usp=drive_fs")</f>
        <v>https://drive.google.com/open?id=10TdVob68TA08qHvPOTrFUTFm1J7USNBq&amp;usp=drive_fs</v>
      </c>
      <c r="B229" s="80" t="str">
        <f>IFERROR(__xludf.DUMMYFUNCTION("""COMPUTED_VALUE"""),"Food")</f>
        <v>Food</v>
      </c>
      <c r="C229" s="80" t="str">
        <f>IFERROR(__xludf.DUMMYFUNCTION("""COMPUTED_VALUE"""),"Chilgoza")</f>
        <v>Chilgoza</v>
      </c>
      <c r="D229" s="80" t="str">
        <f>IFERROR(__xludf.DUMMYFUNCTION("""COMPUTED_VALUE"""),"120*40*165 mm | 4.7*1.7*6.5 inch")</f>
        <v>120*40*165 mm | 4.7*1.7*6.5 inch</v>
      </c>
      <c r="E229" s="124">
        <f>IFERROR(__xludf.DUMMYFUNCTION("""COMPUTED_VALUE"""),4.0)</f>
        <v>4</v>
      </c>
      <c r="F229" s="80">
        <f>IFERROR(__xludf.DUMMYFUNCTION("""COMPUTED_VALUE"""),2029.0)</f>
        <v>2029</v>
      </c>
      <c r="G229" s="80">
        <f>IFERROR(__xludf.DUMMYFUNCTION("""COMPUTED_VALUE"""),20.0)</f>
        <v>20</v>
      </c>
      <c r="H229" s="80">
        <f>IFERROR(__xludf.DUMMYFUNCTION("""COMPUTED_VALUE"""),28.0)</f>
        <v>28</v>
      </c>
      <c r="I229" s="80">
        <f>IFERROR(__xludf.DUMMYFUNCTION("""COMPUTED_VALUE"""),100.0)</f>
        <v>100</v>
      </c>
      <c r="J229" s="109"/>
      <c r="K229" s="109"/>
      <c r="L229" s="109"/>
      <c r="M229" s="109">
        <f>IFERROR(__xludf.DUMMYFUNCTION("""COMPUTED_VALUE"""),0.1)</f>
        <v>0.1</v>
      </c>
      <c r="N229" s="109">
        <f>IFERROR(__xludf.DUMMYFUNCTION("""COMPUTED_VALUE"""),1.0)</f>
        <v>1</v>
      </c>
      <c r="O229" s="109"/>
      <c r="P229" s="109" t="str">
        <f>IFERROR(__xludf.DUMMYFUNCTION("""COMPUTED_VALUE"""),"Offset")</f>
        <v>Offset</v>
      </c>
      <c r="Q229" s="109" t="str">
        <f>IFERROR(__xludf.DUMMYFUNCTION("""COMPUTED_VALUE"""),"Packaging")</f>
        <v>Packaging</v>
      </c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15"/>
      <c r="AK229" s="80"/>
      <c r="AL229" s="80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</row>
    <row r="230">
      <c r="A230" s="123" t="str">
        <f>IFERROR(__xludf.DUMMYFUNCTION("""COMPUTED_VALUE"""),"https://drive.google.com/open?id=10hz4BWKLk-weRC6GND1qwbz0WSrKMB5i&amp;usp=drive_fs")</f>
        <v>https://drive.google.com/open?id=10hz4BWKLk-weRC6GND1qwbz0WSrKMB5i&amp;usp=drive_fs</v>
      </c>
      <c r="B230" s="80" t="str">
        <f>IFERROR(__xludf.DUMMYFUNCTION("""COMPUTED_VALUE"""),"Food")</f>
        <v>Food</v>
      </c>
      <c r="C230" s="80" t="str">
        <f>IFERROR(__xludf.DUMMYFUNCTION("""COMPUTED_VALUE"""),"Patasa")</f>
        <v>Patasa</v>
      </c>
      <c r="D230" s="80" t="str">
        <f>IFERROR(__xludf.DUMMYFUNCTION("""COMPUTED_VALUE"""),"120*45*120 mm | 4.7*1.7*4.7 inch | 22*28")</f>
        <v>120*45*120 mm | 4.7*1.7*4.7 inch | 22*28</v>
      </c>
      <c r="E230" s="124">
        <f>IFERROR(__xludf.DUMMYFUNCTION("""COMPUTED_VALUE"""),4.0)</f>
        <v>4</v>
      </c>
      <c r="F230" s="80">
        <f>IFERROR(__xludf.DUMMYFUNCTION("""COMPUTED_VALUE"""),2029.0)</f>
        <v>2029</v>
      </c>
      <c r="G230" s="80">
        <f>IFERROR(__xludf.DUMMYFUNCTION("""COMPUTED_VALUE"""),20.0)</f>
        <v>20</v>
      </c>
      <c r="H230" s="80">
        <f>IFERROR(__xludf.DUMMYFUNCTION("""COMPUTED_VALUE"""),28.0)</f>
        <v>28</v>
      </c>
      <c r="I230" s="80">
        <f>IFERROR(__xludf.DUMMYFUNCTION("""COMPUTED_VALUE"""),100.0)</f>
        <v>100</v>
      </c>
      <c r="J230" s="109"/>
      <c r="K230" s="109"/>
      <c r="L230" s="109"/>
      <c r="M230" s="109">
        <f>IFERROR(__xludf.DUMMYFUNCTION("""COMPUTED_VALUE"""),0.1)</f>
        <v>0.1</v>
      </c>
      <c r="N230" s="109">
        <f>IFERROR(__xludf.DUMMYFUNCTION("""COMPUTED_VALUE"""),1.0)</f>
        <v>1</v>
      </c>
      <c r="O230" s="109"/>
      <c r="P230" s="109" t="str">
        <f>IFERROR(__xludf.DUMMYFUNCTION("""COMPUTED_VALUE"""),"Offset")</f>
        <v>Offset</v>
      </c>
      <c r="Q230" s="109" t="str">
        <f>IFERROR(__xludf.DUMMYFUNCTION("""COMPUTED_VALUE"""),"Packaging")</f>
        <v>Packaging</v>
      </c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15"/>
      <c r="AK230" s="80"/>
      <c r="AL230" s="80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</row>
    <row r="231">
      <c r="A231" s="123" t="str">
        <f>IFERROR(__xludf.DUMMYFUNCTION("""COMPUTED_VALUE"""),"https://drive.google.com/open?id=10oPuzGTFkTPT4jhRFCWOBwtCuMO0XTMV&amp;usp=drive_fs")</f>
        <v>https://drive.google.com/open?id=10oPuzGTFkTPT4jhRFCWOBwtCuMO0XTMV&amp;usp=drive_fs</v>
      </c>
      <c r="B231" s="80" t="str">
        <f>IFERROR(__xludf.DUMMYFUNCTION("""COMPUTED_VALUE"""),"Food")</f>
        <v>Food</v>
      </c>
      <c r="C231" s="80" t="str">
        <f>IFERROR(__xludf.DUMMYFUNCTION("""COMPUTED_VALUE"""),"Roll")</f>
        <v>Roll</v>
      </c>
      <c r="D231" s="80" t="str">
        <f>IFERROR(__xludf.DUMMYFUNCTION("""COMPUTED_VALUE"""),"280*280*76 mm | 11*11*3 inch")</f>
        <v>280*280*76 mm | 11*11*3 inch</v>
      </c>
      <c r="E231" s="124">
        <f>IFERROR(__xludf.DUMMYFUNCTION("""COMPUTED_VALUE"""),2.0)</f>
        <v>2</v>
      </c>
      <c r="F231" s="80">
        <f>IFERROR(__xludf.DUMMYFUNCTION("""COMPUTED_VALUE"""),2029.0)</f>
        <v>2029</v>
      </c>
      <c r="G231" s="80">
        <f>IFERROR(__xludf.DUMMYFUNCTION("""COMPUTED_VALUE"""),19.0)</f>
        <v>19</v>
      </c>
      <c r="H231" s="80">
        <f>IFERROR(__xludf.DUMMYFUNCTION("""COMPUTED_VALUE"""),26.0)</f>
        <v>26</v>
      </c>
      <c r="I231" s="80">
        <f>IFERROR(__xludf.DUMMYFUNCTION("""COMPUTED_VALUE"""),100.0)</f>
        <v>100</v>
      </c>
      <c r="J231" s="109"/>
      <c r="K231" s="109"/>
      <c r="L231" s="109"/>
      <c r="M231" s="109"/>
      <c r="N231" s="109">
        <f>IFERROR(__xludf.DUMMYFUNCTION("""COMPUTED_VALUE"""),1.0)</f>
        <v>1</v>
      </c>
      <c r="O231" s="109"/>
      <c r="P231" s="109" t="str">
        <f>IFERROR(__xludf.DUMMYFUNCTION("""COMPUTED_VALUE"""),"Offset")</f>
        <v>Offset</v>
      </c>
      <c r="Q231" s="109" t="str">
        <f>IFERROR(__xludf.DUMMYFUNCTION("""COMPUTED_VALUE"""),"Packaging")</f>
        <v>Packaging</v>
      </c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15"/>
      <c r="AK231" s="80"/>
      <c r="AL231" s="80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</row>
    <row r="232">
      <c r="A232" s="80"/>
      <c r="B232" s="80" t="str">
        <f>IFERROR(__xludf.DUMMYFUNCTION("""COMPUTED_VALUE"""),"Food")</f>
        <v>Food</v>
      </c>
      <c r="C232" s="80" t="str">
        <f>IFERROR(__xludf.DUMMYFUNCTION("""COMPUTED_VALUE"""),"Iipsita")</f>
        <v>Iipsita</v>
      </c>
      <c r="D232" s="80" t="str">
        <f>IFERROR(__xludf.DUMMYFUNCTION("""COMPUTED_VALUE"""),"Coockie 152*97*97 mm | 6*3.8*3.8 inch ")</f>
        <v>Coockie 152*97*97 mm | 6*3.8*3.8 inch </v>
      </c>
      <c r="E232" s="124">
        <f>IFERROR(__xludf.DUMMYFUNCTION("""COMPUTED_VALUE"""),1.0)</f>
        <v>1</v>
      </c>
      <c r="F232" s="80">
        <f>IFERROR(__xludf.DUMMYFUNCTION("""COMPUTED_VALUE"""),1926.0)</f>
        <v>1926</v>
      </c>
      <c r="G232" s="80">
        <f>IFERROR(__xludf.DUMMYFUNCTION("""COMPUTED_VALUE"""),19.5)</f>
        <v>19.5</v>
      </c>
      <c r="H232" s="80">
        <f>IFERROR(__xludf.DUMMYFUNCTION("""COMPUTED_VALUE"""),23.0)</f>
        <v>23</v>
      </c>
      <c r="I232" s="80">
        <f>IFERROR(__xludf.DUMMYFUNCTION("""COMPUTED_VALUE"""),100.0)</f>
        <v>100</v>
      </c>
      <c r="J232" s="109"/>
      <c r="K232" s="109"/>
      <c r="L232" s="109"/>
      <c r="M232" s="109"/>
      <c r="N232" s="109">
        <f>IFERROR(__xludf.DUMMYFUNCTION("""COMPUTED_VALUE"""),1.0)</f>
        <v>1</v>
      </c>
      <c r="O232" s="109"/>
      <c r="P232" s="109" t="str">
        <f>IFERROR(__xludf.DUMMYFUNCTION("""COMPUTED_VALUE"""),"Offset")</f>
        <v>Offset</v>
      </c>
      <c r="Q232" s="109" t="str">
        <f>IFERROR(__xludf.DUMMYFUNCTION("""COMPUTED_VALUE"""),"Packaging")</f>
        <v>Packaging</v>
      </c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15"/>
      <c r="AK232" s="80"/>
      <c r="AL232" s="80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</row>
    <row r="233">
      <c r="A233" s="123" t="str">
        <f>IFERROR(__xludf.DUMMYFUNCTION("""COMPUTED_VALUE"""),"https://drive.google.com/open?id=1d_mDqe4Y6-QGkTSvZyKD_DApDIqvX1Vu&amp;usp=drive_fs")</f>
        <v>https://drive.google.com/open?id=1d_mDqe4Y6-QGkTSvZyKD_DApDIqvX1Vu&amp;usp=drive_fs</v>
      </c>
      <c r="B233" s="80" t="str">
        <f>IFERROR(__xludf.DUMMYFUNCTION("""COMPUTED_VALUE"""),"Food")</f>
        <v>Food</v>
      </c>
      <c r="C233" s="80" t="str">
        <f>IFERROR(__xludf.DUMMYFUNCTION("""COMPUTED_VALUE"""),"Dates")</f>
        <v>Dates</v>
      </c>
      <c r="D233" s="80" t="str">
        <f>IFERROR(__xludf.DUMMYFUNCTION("""COMPUTED_VALUE"""),"TMI KIMIA 190*145*42 mm | 5.7*1.6*7.5 inch")</f>
        <v>TMI KIMIA 190*145*42 mm | 5.7*1.6*7.5 inch</v>
      </c>
      <c r="E233" s="124">
        <f>IFERROR(__xludf.DUMMYFUNCTION("""COMPUTED_VALUE"""),2.0)</f>
        <v>2</v>
      </c>
      <c r="F233" s="80">
        <f>IFERROR(__xludf.DUMMYFUNCTION("""COMPUTED_VALUE"""),1926.0)</f>
        <v>1926</v>
      </c>
      <c r="G233" s="80">
        <f>IFERROR(__xludf.DUMMYFUNCTION("""COMPUTED_VALUE"""),18.0)</f>
        <v>18</v>
      </c>
      <c r="H233" s="80">
        <f>IFERROR(__xludf.DUMMYFUNCTION("""COMPUTED_VALUE"""),23.0)</f>
        <v>23</v>
      </c>
      <c r="I233" s="80">
        <f>IFERROR(__xludf.DUMMYFUNCTION("""COMPUTED_VALUE"""),100.0)</f>
        <v>100</v>
      </c>
      <c r="J233" s="109"/>
      <c r="K233" s="109"/>
      <c r="L233" s="109"/>
      <c r="M233" s="109">
        <f>IFERROR(__xludf.DUMMYFUNCTION("""COMPUTED_VALUE"""),0.15)</f>
        <v>0.15</v>
      </c>
      <c r="N233" s="109">
        <f>IFERROR(__xludf.DUMMYFUNCTION("""COMPUTED_VALUE"""),1.0)</f>
        <v>1</v>
      </c>
      <c r="O233" s="109"/>
      <c r="P233" s="109" t="str">
        <f>IFERROR(__xludf.DUMMYFUNCTION("""COMPUTED_VALUE"""),"Offset")</f>
        <v>Offset</v>
      </c>
      <c r="Q233" s="109" t="str">
        <f>IFERROR(__xludf.DUMMYFUNCTION("""COMPUTED_VALUE"""),"Packaging")</f>
        <v>Packaging</v>
      </c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15"/>
      <c r="AK233" s="80"/>
      <c r="AL233" s="80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</row>
    <row r="234">
      <c r="A234" s="123" t="str">
        <f>IFERROR(__xludf.DUMMYFUNCTION("""COMPUTED_VALUE"""),"https://drive.google.com/open?id=1hXYsZDpW2jiQGmuawjFB_viq2zn_XJEe&amp;usp=drive_fs")</f>
        <v>https://drive.google.com/open?id=1hXYsZDpW2jiQGmuawjFB_viq2zn_XJEe&amp;usp=drive_fs</v>
      </c>
      <c r="B234" s="80" t="str">
        <f>IFERROR(__xludf.DUMMYFUNCTION("""COMPUTED_VALUE"""),"Food")</f>
        <v>Food</v>
      </c>
      <c r="C234" s="80" t="str">
        <f>IFERROR(__xludf.DUMMYFUNCTION("""COMPUTED_VALUE"""),"Dosa")</f>
        <v>Dosa</v>
      </c>
      <c r="D234" s="80" t="str">
        <f>IFERROR(__xludf.DUMMYFUNCTION("""COMPUTED_VALUE"""),"89*51*343 mm | 13.5*3.5*2 inch")</f>
        <v>89*51*343 mm | 13.5*3.5*2 inch</v>
      </c>
      <c r="E234" s="124">
        <f>IFERROR(__xludf.DUMMYFUNCTION("""COMPUTED_VALUE"""),2.0)</f>
        <v>2</v>
      </c>
      <c r="F234" s="80">
        <f>IFERROR(__xludf.DUMMYFUNCTION("""COMPUTED_VALUE"""),1926.0)</f>
        <v>1926</v>
      </c>
      <c r="G234" s="80">
        <f>IFERROR(__xludf.DUMMYFUNCTION("""COMPUTED_VALUE"""),19.0)</f>
        <v>19</v>
      </c>
      <c r="H234" s="80">
        <f>IFERROR(__xludf.DUMMYFUNCTION("""COMPUTED_VALUE"""),26.0)</f>
        <v>26</v>
      </c>
      <c r="I234" s="80">
        <f>IFERROR(__xludf.DUMMYFUNCTION("""COMPUTED_VALUE"""),100.0)</f>
        <v>100</v>
      </c>
      <c r="J234" s="109"/>
      <c r="K234" s="109"/>
      <c r="L234" s="109"/>
      <c r="M234" s="109">
        <f>IFERROR(__xludf.DUMMYFUNCTION("""COMPUTED_VALUE"""),0.2)</f>
        <v>0.2</v>
      </c>
      <c r="N234" s="109">
        <f>IFERROR(__xludf.DUMMYFUNCTION("""COMPUTED_VALUE"""),1.0)</f>
        <v>1</v>
      </c>
      <c r="O234" s="109"/>
      <c r="P234" s="109" t="str">
        <f>IFERROR(__xludf.DUMMYFUNCTION("""COMPUTED_VALUE"""),"Offset")</f>
        <v>Offset</v>
      </c>
      <c r="Q234" s="109" t="str">
        <f>IFERROR(__xludf.DUMMYFUNCTION("""COMPUTED_VALUE"""),"Packaging")</f>
        <v>Packaging</v>
      </c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5"/>
      <c r="AK234" s="80"/>
      <c r="AL234" s="80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</row>
    <row r="235">
      <c r="A235" s="123" t="str">
        <f>IFERROR(__xludf.DUMMYFUNCTION("""COMPUTED_VALUE"""),"https://drive.google.com/open?id=1ElNmuZgjfXk_oQuxqKo6JsAGQr3toI8J&amp;usp=drive_fs")</f>
        <v>https://drive.google.com/open?id=1ElNmuZgjfXk_oQuxqKo6JsAGQr3toI8J&amp;usp=drive_fs</v>
      </c>
      <c r="B235" s="80" t="str">
        <f>IFERROR(__xludf.DUMMYFUNCTION("""COMPUTED_VALUE"""),"Food")</f>
        <v>Food</v>
      </c>
      <c r="C235" s="80" t="str">
        <f>IFERROR(__xludf.DUMMYFUNCTION("""COMPUTED_VALUE"""),"Kamil")</f>
        <v>Kamil</v>
      </c>
      <c r="D235" s="80" t="str">
        <f>IFERROR(__xludf.DUMMYFUNCTION("""COMPUTED_VALUE"""),"Chicken Roll 145*57*195 mm | 5.7*2.2*7.6 inch")</f>
        <v>Chicken Roll 145*57*195 mm | 5.7*2.2*7.6 inch</v>
      </c>
      <c r="E235" s="124">
        <f>IFERROR(__xludf.DUMMYFUNCTION("""COMPUTED_VALUE"""),2.0)</f>
        <v>2</v>
      </c>
      <c r="F235" s="80">
        <f>IFERROR(__xludf.DUMMYFUNCTION("""COMPUTED_VALUE"""),1926.0)</f>
        <v>1926</v>
      </c>
      <c r="G235" s="80">
        <f>IFERROR(__xludf.DUMMYFUNCTION("""COMPUTED_VALUE"""),18.0)</f>
        <v>18</v>
      </c>
      <c r="H235" s="80">
        <f>IFERROR(__xludf.DUMMYFUNCTION("""COMPUTED_VALUE"""),23.0)</f>
        <v>23</v>
      </c>
      <c r="I235" s="80">
        <f>IFERROR(__xludf.DUMMYFUNCTION("""COMPUTED_VALUE"""),100.0)</f>
        <v>100</v>
      </c>
      <c r="J235" s="109"/>
      <c r="K235" s="109"/>
      <c r="L235" s="109"/>
      <c r="M235" s="109">
        <f>IFERROR(__xludf.DUMMYFUNCTION("""COMPUTED_VALUE"""),0.14)</f>
        <v>0.14</v>
      </c>
      <c r="N235" s="109">
        <f>IFERROR(__xludf.DUMMYFUNCTION("""COMPUTED_VALUE"""),1.0)</f>
        <v>1</v>
      </c>
      <c r="O235" s="109"/>
      <c r="P235" s="109" t="str">
        <f>IFERROR(__xludf.DUMMYFUNCTION("""COMPUTED_VALUE"""),"Offset")</f>
        <v>Offset</v>
      </c>
      <c r="Q235" s="109" t="str">
        <f>IFERROR(__xludf.DUMMYFUNCTION("""COMPUTED_VALUE"""),"Packaging")</f>
        <v>Packaging</v>
      </c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15"/>
      <c r="AK235" s="80"/>
      <c r="AL235" s="80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</row>
    <row r="236">
      <c r="A236" s="80"/>
      <c r="B236" s="80"/>
      <c r="C236" s="80"/>
      <c r="D236" s="80"/>
      <c r="E236" s="124"/>
      <c r="F236" s="80"/>
      <c r="G236" s="80"/>
      <c r="H236" s="80"/>
      <c r="I236" s="80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15"/>
      <c r="AK236" s="80"/>
      <c r="AL236" s="80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</row>
    <row r="237">
      <c r="A237" s="80"/>
      <c r="B237" s="80"/>
      <c r="C237" s="80"/>
      <c r="D237" s="80"/>
      <c r="E237" s="124"/>
      <c r="F237" s="80"/>
      <c r="G237" s="80"/>
      <c r="H237" s="80"/>
      <c r="I237" s="80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15"/>
      <c r="AK237" s="80"/>
      <c r="AL237" s="80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</row>
    <row r="238">
      <c r="A238" s="80"/>
      <c r="B238" s="80"/>
      <c r="C238" s="80"/>
      <c r="D238" s="80"/>
      <c r="E238" s="124"/>
      <c r="F238" s="80"/>
      <c r="G238" s="80"/>
      <c r="H238" s="80"/>
      <c r="I238" s="80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15"/>
      <c r="AK238" s="80"/>
      <c r="AL238" s="80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</row>
    <row r="239">
      <c r="A239" s="80"/>
      <c r="B239" s="80"/>
      <c r="C239" s="80"/>
      <c r="D239" s="80"/>
      <c r="E239" s="124"/>
      <c r="F239" s="80"/>
      <c r="G239" s="80"/>
      <c r="H239" s="80"/>
      <c r="I239" s="80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15"/>
      <c r="AK239" s="80"/>
      <c r="AL239" s="80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</row>
    <row r="240">
      <c r="A240" s="80"/>
      <c r="B240" s="80"/>
      <c r="C240" s="80"/>
      <c r="D240" s="80"/>
      <c r="E240" s="124"/>
      <c r="F240" s="80"/>
      <c r="G240" s="80"/>
      <c r="H240" s="80"/>
      <c r="I240" s="80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15"/>
      <c r="AK240" s="80"/>
      <c r="AL240" s="80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</row>
    <row r="241">
      <c r="A241" s="80"/>
      <c r="B241" s="80"/>
      <c r="C241" s="80"/>
      <c r="D241" s="80"/>
      <c r="E241" s="124"/>
      <c r="F241" s="80"/>
      <c r="G241" s="80"/>
      <c r="H241" s="80"/>
      <c r="I241" s="80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15"/>
      <c r="AK241" s="80"/>
      <c r="AL241" s="80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</row>
    <row r="242">
      <c r="A242" s="80"/>
      <c r="B242" s="80"/>
      <c r="C242" s="80"/>
      <c r="D242" s="80"/>
      <c r="E242" s="124"/>
      <c r="F242" s="80"/>
      <c r="G242" s="80"/>
      <c r="H242" s="80"/>
      <c r="I242" s="80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15"/>
      <c r="AK242" s="80"/>
      <c r="AL242" s="80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</row>
    <row r="243">
      <c r="A243" s="80"/>
      <c r="B243" s="80"/>
      <c r="C243" s="80"/>
      <c r="D243" s="80"/>
      <c r="E243" s="124"/>
      <c r="F243" s="80"/>
      <c r="G243" s="80"/>
      <c r="H243" s="80"/>
      <c r="I243" s="80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15"/>
      <c r="AK243" s="80"/>
      <c r="AL243" s="80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</row>
    <row r="244">
      <c r="A244" s="80"/>
      <c r="B244" s="80"/>
      <c r="C244" s="80"/>
      <c r="D244" s="80"/>
      <c r="E244" s="124"/>
      <c r="F244" s="80"/>
      <c r="G244" s="80"/>
      <c r="H244" s="80"/>
      <c r="I244" s="80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15"/>
      <c r="AK244" s="80"/>
      <c r="AL244" s="80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</row>
    <row r="245">
      <c r="A245" s="80"/>
      <c r="B245" s="80"/>
      <c r="C245" s="80"/>
      <c r="D245" s="80"/>
      <c r="E245" s="124"/>
      <c r="F245" s="80"/>
      <c r="G245" s="80"/>
      <c r="H245" s="80"/>
      <c r="I245" s="80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15"/>
      <c r="AK245" s="80"/>
      <c r="AL245" s="80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</row>
    <row r="246">
      <c r="A246" s="80"/>
      <c r="B246" s="80"/>
      <c r="C246" s="80"/>
      <c r="D246" s="80"/>
      <c r="E246" s="124"/>
      <c r="F246" s="80"/>
      <c r="G246" s="80"/>
      <c r="H246" s="80"/>
      <c r="I246" s="80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15"/>
      <c r="AK246" s="80"/>
      <c r="AL246" s="80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</row>
    <row r="247">
      <c r="A247" s="80"/>
      <c r="B247" s="80"/>
      <c r="C247" s="80"/>
      <c r="D247" s="80"/>
      <c r="E247" s="124"/>
      <c r="F247" s="80"/>
      <c r="G247" s="80"/>
      <c r="H247" s="80"/>
      <c r="I247" s="80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15"/>
      <c r="AK247" s="80"/>
      <c r="AL247" s="80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</row>
    <row r="248">
      <c r="A248" s="80"/>
      <c r="B248" s="80"/>
      <c r="C248" s="80"/>
      <c r="D248" s="80"/>
      <c r="E248" s="124"/>
      <c r="F248" s="80"/>
      <c r="G248" s="80"/>
      <c r="H248" s="80"/>
      <c r="I248" s="80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15"/>
      <c r="AK248" s="80"/>
      <c r="AL248" s="80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</row>
    <row r="249">
      <c r="A249" s="80"/>
      <c r="B249" s="80"/>
      <c r="C249" s="80"/>
      <c r="D249" s="80"/>
      <c r="E249" s="124"/>
      <c r="F249" s="80"/>
      <c r="G249" s="80"/>
      <c r="H249" s="80"/>
      <c r="I249" s="80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15"/>
      <c r="AK249" s="80"/>
      <c r="AL249" s="80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</row>
    <row r="250">
      <c r="A250" s="80"/>
      <c r="B250" s="80"/>
      <c r="C250" s="80"/>
      <c r="D250" s="80"/>
      <c r="E250" s="124"/>
      <c r="F250" s="80"/>
      <c r="G250" s="80"/>
      <c r="H250" s="80"/>
      <c r="I250" s="80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15"/>
      <c r="AK250" s="80"/>
      <c r="AL250" s="80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</row>
    <row r="251">
      <c r="A251" s="80"/>
      <c r="B251" s="80"/>
      <c r="C251" s="80"/>
      <c r="D251" s="80"/>
      <c r="E251" s="124"/>
      <c r="F251" s="80"/>
      <c r="G251" s="80"/>
      <c r="H251" s="80"/>
      <c r="I251" s="80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15"/>
      <c r="AK251" s="80"/>
      <c r="AL251" s="80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</row>
    <row r="252">
      <c r="A252" s="80"/>
      <c r="B252" s="80"/>
      <c r="C252" s="80"/>
      <c r="D252" s="80"/>
      <c r="E252" s="124"/>
      <c r="F252" s="80"/>
      <c r="G252" s="80"/>
      <c r="H252" s="80"/>
      <c r="I252" s="80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15"/>
      <c r="AK252" s="80"/>
      <c r="AL252" s="80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</row>
    <row r="253">
      <c r="A253" s="80"/>
      <c r="B253" s="80"/>
      <c r="C253" s="80"/>
      <c r="D253" s="80"/>
      <c r="E253" s="124"/>
      <c r="F253" s="80"/>
      <c r="G253" s="80"/>
      <c r="H253" s="80"/>
      <c r="I253" s="80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15"/>
      <c r="AK253" s="80"/>
      <c r="AL253" s="80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</row>
    <row r="254">
      <c r="A254" s="80"/>
      <c r="B254" s="80"/>
      <c r="C254" s="80"/>
      <c r="D254" s="80"/>
      <c r="E254" s="124"/>
      <c r="F254" s="80"/>
      <c r="G254" s="80"/>
      <c r="H254" s="80"/>
      <c r="I254" s="80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15"/>
      <c r="AK254" s="80"/>
      <c r="AL254" s="80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</row>
    <row r="255">
      <c r="A255" s="80"/>
      <c r="B255" s="80"/>
      <c r="C255" s="80"/>
      <c r="D255" s="80"/>
      <c r="E255" s="124"/>
      <c r="F255" s="80"/>
      <c r="G255" s="80"/>
      <c r="H255" s="80"/>
      <c r="I255" s="80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15"/>
      <c r="AK255" s="80"/>
      <c r="AL255" s="80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</row>
    <row r="256">
      <c r="A256" s="80"/>
      <c r="B256" s="80"/>
      <c r="C256" s="80"/>
      <c r="D256" s="80"/>
      <c r="E256" s="124"/>
      <c r="F256" s="80"/>
      <c r="G256" s="80"/>
      <c r="H256" s="80"/>
      <c r="I256" s="80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15"/>
      <c r="AK256" s="80"/>
      <c r="AL256" s="80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</row>
    <row r="257">
      <c r="A257" s="80"/>
      <c r="B257" s="80"/>
      <c r="C257" s="80"/>
      <c r="D257" s="80"/>
      <c r="E257" s="124"/>
      <c r="F257" s="80"/>
      <c r="G257" s="80"/>
      <c r="H257" s="80"/>
      <c r="I257" s="80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15"/>
      <c r="AK257" s="80"/>
      <c r="AL257" s="80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</row>
    <row r="258">
      <c r="A258" s="80"/>
      <c r="B258" s="80"/>
      <c r="C258" s="80"/>
      <c r="D258" s="80"/>
      <c r="E258" s="124"/>
      <c r="F258" s="80"/>
      <c r="G258" s="80"/>
      <c r="H258" s="80"/>
      <c r="I258" s="80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15"/>
      <c r="AK258" s="80"/>
      <c r="AL258" s="80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</row>
    <row r="259">
      <c r="A259" s="80"/>
      <c r="B259" s="80"/>
      <c r="C259" s="80"/>
      <c r="D259" s="80"/>
      <c r="E259" s="124"/>
      <c r="F259" s="80"/>
      <c r="G259" s="80"/>
      <c r="H259" s="80"/>
      <c r="I259" s="80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15"/>
      <c r="AK259" s="80"/>
      <c r="AL259" s="80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</row>
    <row r="260">
      <c r="A260" s="80"/>
      <c r="B260" s="80"/>
      <c r="C260" s="80"/>
      <c r="D260" s="80"/>
      <c r="E260" s="124"/>
      <c r="F260" s="80"/>
      <c r="G260" s="80"/>
      <c r="H260" s="80"/>
      <c r="I260" s="80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15"/>
      <c r="AK260" s="80"/>
      <c r="AL260" s="80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</row>
    <row r="261">
      <c r="A261" s="80"/>
      <c r="B261" s="80"/>
      <c r="C261" s="80"/>
      <c r="D261" s="80"/>
      <c r="E261" s="124"/>
      <c r="F261" s="80"/>
      <c r="G261" s="80"/>
      <c r="H261" s="80"/>
      <c r="I261" s="80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15"/>
      <c r="AK261" s="80"/>
      <c r="AL261" s="80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</row>
    <row r="262">
      <c r="A262" s="80"/>
      <c r="B262" s="80"/>
      <c r="C262" s="80"/>
      <c r="D262" s="80"/>
      <c r="E262" s="124"/>
      <c r="F262" s="80"/>
      <c r="G262" s="80"/>
      <c r="H262" s="80"/>
      <c r="I262" s="80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15"/>
      <c r="AK262" s="80"/>
      <c r="AL262" s="80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</row>
    <row r="263">
      <c r="A263" s="80"/>
      <c r="B263" s="80"/>
      <c r="C263" s="80"/>
      <c r="D263" s="80"/>
      <c r="E263" s="124"/>
      <c r="F263" s="80"/>
      <c r="G263" s="80"/>
      <c r="H263" s="80"/>
      <c r="I263" s="80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15"/>
      <c r="AK263" s="80"/>
      <c r="AL263" s="80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</row>
    <row r="264">
      <c r="A264" s="80"/>
      <c r="B264" s="80"/>
      <c r="C264" s="80"/>
      <c r="D264" s="80"/>
      <c r="E264" s="124"/>
      <c r="F264" s="80"/>
      <c r="G264" s="80"/>
      <c r="H264" s="80"/>
      <c r="I264" s="80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15"/>
      <c r="AK264" s="80"/>
      <c r="AL264" s="80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</row>
    <row r="265">
      <c r="A265" s="80"/>
      <c r="B265" s="80"/>
      <c r="C265" s="80"/>
      <c r="D265" s="80"/>
      <c r="E265" s="124"/>
      <c r="F265" s="80"/>
      <c r="G265" s="80"/>
      <c r="H265" s="80"/>
      <c r="I265" s="80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15"/>
      <c r="AK265" s="80"/>
      <c r="AL265" s="80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</row>
    <row r="266">
      <c r="A266" s="80"/>
      <c r="B266" s="80"/>
      <c r="C266" s="80"/>
      <c r="D266" s="80"/>
      <c r="E266" s="124"/>
      <c r="F266" s="80"/>
      <c r="G266" s="80"/>
      <c r="H266" s="80"/>
      <c r="I266" s="80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15"/>
      <c r="AK266" s="80"/>
      <c r="AL266" s="80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</row>
    <row r="267">
      <c r="A267" s="80"/>
      <c r="B267" s="80"/>
      <c r="C267" s="80"/>
      <c r="D267" s="80"/>
      <c r="E267" s="124"/>
      <c r="F267" s="80"/>
      <c r="G267" s="80"/>
      <c r="H267" s="80"/>
      <c r="I267" s="80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15"/>
      <c r="AK267" s="80"/>
      <c r="AL267" s="80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</row>
    <row r="268">
      <c r="A268" s="80"/>
      <c r="B268" s="80"/>
      <c r="C268" s="80"/>
      <c r="D268" s="80"/>
      <c r="E268" s="124"/>
      <c r="F268" s="80"/>
      <c r="G268" s="80"/>
      <c r="H268" s="80"/>
      <c r="I268" s="80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15"/>
      <c r="AK268" s="80"/>
      <c r="AL268" s="80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</row>
    <row r="269">
      <c r="A269" s="80"/>
      <c r="B269" s="80"/>
      <c r="C269" s="80"/>
      <c r="D269" s="80"/>
      <c r="E269" s="124"/>
      <c r="F269" s="80"/>
      <c r="G269" s="80"/>
      <c r="H269" s="80"/>
      <c r="I269" s="80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15"/>
      <c r="AK269" s="80"/>
      <c r="AL269" s="80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</row>
    <row r="270">
      <c r="A270" s="80"/>
      <c r="B270" s="80"/>
      <c r="C270" s="80"/>
      <c r="D270" s="80"/>
      <c r="E270" s="124"/>
      <c r="F270" s="80"/>
      <c r="G270" s="80"/>
      <c r="H270" s="80"/>
      <c r="I270" s="80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15"/>
      <c r="AK270" s="80"/>
      <c r="AL270" s="80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</row>
    <row r="271">
      <c r="A271" s="80"/>
      <c r="B271" s="80"/>
      <c r="C271" s="80"/>
      <c r="D271" s="80"/>
      <c r="E271" s="124"/>
      <c r="F271" s="80"/>
      <c r="G271" s="80"/>
      <c r="H271" s="80"/>
      <c r="I271" s="80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15"/>
      <c r="AK271" s="80"/>
      <c r="AL271" s="80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</row>
    <row r="272">
      <c r="A272" s="80"/>
      <c r="B272" s="80"/>
      <c r="C272" s="80"/>
      <c r="D272" s="80"/>
      <c r="E272" s="124"/>
      <c r="F272" s="80"/>
      <c r="G272" s="80"/>
      <c r="H272" s="80"/>
      <c r="I272" s="80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15"/>
      <c r="AK272" s="80"/>
      <c r="AL272" s="80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</row>
    <row r="273">
      <c r="A273" s="80"/>
      <c r="B273" s="80"/>
      <c r="C273" s="80"/>
      <c r="D273" s="80"/>
      <c r="E273" s="124"/>
      <c r="F273" s="80"/>
      <c r="G273" s="80"/>
      <c r="H273" s="80"/>
      <c r="I273" s="80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15"/>
      <c r="AK273" s="80"/>
      <c r="AL273" s="80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</row>
    <row r="274">
      <c r="A274" s="80"/>
      <c r="B274" s="80"/>
      <c r="C274" s="80"/>
      <c r="D274" s="80"/>
      <c r="E274" s="124"/>
      <c r="F274" s="80"/>
      <c r="G274" s="80"/>
      <c r="H274" s="80"/>
      <c r="I274" s="80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15"/>
      <c r="AK274" s="80"/>
      <c r="AL274" s="80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</row>
    <row r="275">
      <c r="A275" s="80"/>
      <c r="B275" s="80"/>
      <c r="C275" s="80"/>
      <c r="D275" s="80"/>
      <c r="E275" s="124"/>
      <c r="F275" s="80"/>
      <c r="G275" s="80"/>
      <c r="H275" s="80"/>
      <c r="I275" s="80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15"/>
      <c r="AK275" s="80"/>
      <c r="AL275" s="80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</row>
    <row r="276">
      <c r="A276" s="80"/>
      <c r="B276" s="80"/>
      <c r="C276" s="80"/>
      <c r="D276" s="80"/>
      <c r="E276" s="124"/>
      <c r="F276" s="80"/>
      <c r="G276" s="80"/>
      <c r="H276" s="80"/>
      <c r="I276" s="80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15"/>
      <c r="AK276" s="80"/>
      <c r="AL276" s="80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</row>
    <row r="277">
      <c r="A277" s="80"/>
      <c r="B277" s="80"/>
      <c r="C277" s="80"/>
      <c r="D277" s="80"/>
      <c r="E277" s="124"/>
      <c r="F277" s="80"/>
      <c r="G277" s="80"/>
      <c r="H277" s="80"/>
      <c r="I277" s="80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15"/>
      <c r="AK277" s="80"/>
      <c r="AL277" s="80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</row>
    <row r="278">
      <c r="A278" s="80"/>
      <c r="B278" s="80"/>
      <c r="C278" s="80"/>
      <c r="D278" s="80"/>
      <c r="E278" s="124"/>
      <c r="F278" s="80"/>
      <c r="G278" s="80"/>
      <c r="H278" s="80"/>
      <c r="I278" s="80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15"/>
      <c r="AK278" s="80"/>
      <c r="AL278" s="80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</row>
    <row r="279">
      <c r="A279" s="80"/>
      <c r="B279" s="80"/>
      <c r="C279" s="80"/>
      <c r="D279" s="80"/>
      <c r="E279" s="124"/>
      <c r="F279" s="80"/>
      <c r="G279" s="80"/>
      <c r="H279" s="80"/>
      <c r="I279" s="80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15"/>
      <c r="AK279" s="80"/>
      <c r="AL279" s="80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</row>
    <row r="280">
      <c r="A280" s="80"/>
      <c r="B280" s="80"/>
      <c r="C280" s="80"/>
      <c r="D280" s="80"/>
      <c r="E280" s="124"/>
      <c r="F280" s="80"/>
      <c r="G280" s="80"/>
      <c r="H280" s="80"/>
      <c r="I280" s="80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15"/>
      <c r="AK280" s="80"/>
      <c r="AL280" s="80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</row>
    <row r="281">
      <c r="A281" s="80"/>
      <c r="B281" s="80"/>
      <c r="C281" s="80"/>
      <c r="D281" s="80"/>
      <c r="E281" s="124"/>
      <c r="F281" s="80"/>
      <c r="G281" s="80"/>
      <c r="H281" s="80"/>
      <c r="I281" s="80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15"/>
      <c r="AK281" s="80"/>
      <c r="AL281" s="80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</row>
    <row r="282">
      <c r="A282" s="80"/>
      <c r="B282" s="80"/>
      <c r="C282" s="80"/>
      <c r="D282" s="80"/>
      <c r="E282" s="124"/>
      <c r="F282" s="80"/>
      <c r="G282" s="80"/>
      <c r="H282" s="80"/>
      <c r="I282" s="80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15"/>
      <c r="AK282" s="80"/>
      <c r="AL282" s="80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</row>
    <row r="283">
      <c r="A283" s="80"/>
      <c r="B283" s="80"/>
      <c r="C283" s="80"/>
      <c r="D283" s="80"/>
      <c r="E283" s="124"/>
      <c r="F283" s="80"/>
      <c r="G283" s="80"/>
      <c r="H283" s="80"/>
      <c r="I283" s="80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15"/>
      <c r="AK283" s="80"/>
      <c r="AL283" s="80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</row>
    <row r="284">
      <c r="A284" s="80"/>
      <c r="B284" s="80"/>
      <c r="C284" s="80"/>
      <c r="D284" s="80"/>
      <c r="E284" s="124"/>
      <c r="F284" s="80"/>
      <c r="G284" s="80"/>
      <c r="H284" s="80"/>
      <c r="I284" s="80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15"/>
      <c r="AK284" s="80"/>
      <c r="AL284" s="80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</row>
    <row r="285">
      <c r="A285" s="80"/>
      <c r="B285" s="80"/>
      <c r="C285" s="80"/>
      <c r="D285" s="80"/>
      <c r="E285" s="124"/>
      <c r="F285" s="80"/>
      <c r="G285" s="80"/>
      <c r="H285" s="80"/>
      <c r="I285" s="80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15"/>
      <c r="AK285" s="80"/>
      <c r="AL285" s="80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</row>
    <row r="286">
      <c r="A286" s="80"/>
      <c r="B286" s="80"/>
      <c r="C286" s="80"/>
      <c r="D286" s="80"/>
      <c r="E286" s="124"/>
      <c r="F286" s="80"/>
      <c r="G286" s="80"/>
      <c r="H286" s="80"/>
      <c r="I286" s="80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15"/>
      <c r="AK286" s="80"/>
      <c r="AL286" s="80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</row>
    <row r="287">
      <c r="A287" s="80"/>
      <c r="B287" s="80"/>
      <c r="C287" s="80"/>
      <c r="D287" s="80"/>
      <c r="E287" s="124"/>
      <c r="F287" s="80"/>
      <c r="G287" s="80"/>
      <c r="H287" s="80"/>
      <c r="I287" s="80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15"/>
      <c r="AK287" s="80"/>
      <c r="AL287" s="80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</row>
    <row r="288">
      <c r="A288" s="80"/>
      <c r="B288" s="80"/>
      <c r="C288" s="80"/>
      <c r="D288" s="80"/>
      <c r="E288" s="124"/>
      <c r="F288" s="80"/>
      <c r="G288" s="80"/>
      <c r="H288" s="80"/>
      <c r="I288" s="80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15"/>
      <c r="AK288" s="80"/>
      <c r="AL288" s="80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</row>
    <row r="289">
      <c r="A289" s="80"/>
      <c r="B289" s="80"/>
      <c r="C289" s="80"/>
      <c r="D289" s="80"/>
      <c r="E289" s="124"/>
      <c r="F289" s="80"/>
      <c r="G289" s="80"/>
      <c r="H289" s="80"/>
      <c r="I289" s="80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15"/>
      <c r="AK289" s="80"/>
      <c r="AL289" s="80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</row>
    <row r="290">
      <c r="A290" s="80"/>
      <c r="B290" s="80"/>
      <c r="C290" s="80"/>
      <c r="D290" s="80"/>
      <c r="E290" s="124"/>
      <c r="F290" s="80"/>
      <c r="G290" s="80"/>
      <c r="H290" s="80"/>
      <c r="I290" s="80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15"/>
      <c r="AK290" s="80"/>
      <c r="AL290" s="80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</row>
    <row r="291">
      <c r="A291" s="80"/>
      <c r="B291" s="80"/>
      <c r="C291" s="80"/>
      <c r="D291" s="80"/>
      <c r="E291" s="124"/>
      <c r="F291" s="80"/>
      <c r="G291" s="80"/>
      <c r="H291" s="80"/>
      <c r="I291" s="80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15"/>
      <c r="AK291" s="80"/>
      <c r="AL291" s="80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</row>
    <row r="292">
      <c r="A292" s="80"/>
      <c r="B292" s="80"/>
      <c r="C292" s="80"/>
      <c r="D292" s="80"/>
      <c r="E292" s="124"/>
      <c r="F292" s="80"/>
      <c r="G292" s="80"/>
      <c r="H292" s="80"/>
      <c r="I292" s="80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15"/>
      <c r="AK292" s="80"/>
      <c r="AL292" s="80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</row>
    <row r="293">
      <c r="A293" s="80"/>
      <c r="B293" s="80"/>
      <c r="C293" s="80"/>
      <c r="D293" s="80"/>
      <c r="E293" s="124"/>
      <c r="F293" s="80"/>
      <c r="G293" s="80"/>
      <c r="H293" s="80"/>
      <c r="I293" s="80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15"/>
      <c r="AK293" s="80"/>
      <c r="AL293" s="80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</row>
    <row r="294">
      <c r="A294" s="80"/>
      <c r="B294" s="80"/>
      <c r="C294" s="80"/>
      <c r="D294" s="80"/>
      <c r="E294" s="124"/>
      <c r="F294" s="80"/>
      <c r="G294" s="80"/>
      <c r="H294" s="80"/>
      <c r="I294" s="80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15"/>
      <c r="AK294" s="80"/>
      <c r="AL294" s="80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</row>
    <row r="295">
      <c r="A295" s="80"/>
      <c r="B295" s="80"/>
      <c r="C295" s="80"/>
      <c r="D295" s="80"/>
      <c r="E295" s="124"/>
      <c r="F295" s="80"/>
      <c r="G295" s="80"/>
      <c r="H295" s="80"/>
      <c r="I295" s="80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15"/>
      <c r="AK295" s="80"/>
      <c r="AL295" s="80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</row>
    <row r="296">
      <c r="A296" s="80"/>
      <c r="B296" s="80"/>
      <c r="C296" s="80"/>
      <c r="D296" s="80"/>
      <c r="E296" s="124"/>
      <c r="F296" s="80"/>
      <c r="G296" s="80"/>
      <c r="H296" s="80"/>
      <c r="I296" s="80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15"/>
      <c r="AK296" s="80"/>
      <c r="AL296" s="80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</row>
    <row r="297">
      <c r="A297" s="80"/>
      <c r="B297" s="80"/>
      <c r="C297" s="80"/>
      <c r="D297" s="80"/>
      <c r="E297" s="124"/>
      <c r="F297" s="80"/>
      <c r="G297" s="80"/>
      <c r="H297" s="80"/>
      <c r="I297" s="80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15"/>
      <c r="AK297" s="80"/>
      <c r="AL297" s="80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</row>
    <row r="298">
      <c r="A298" s="80"/>
      <c r="B298" s="80"/>
      <c r="C298" s="80"/>
      <c r="D298" s="80"/>
      <c r="E298" s="124"/>
      <c r="F298" s="80"/>
      <c r="G298" s="80"/>
      <c r="H298" s="80"/>
      <c r="I298" s="80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15"/>
      <c r="AK298" s="80"/>
      <c r="AL298" s="80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</row>
    <row r="299">
      <c r="A299" s="80"/>
      <c r="B299" s="80"/>
      <c r="C299" s="80"/>
      <c r="D299" s="80"/>
      <c r="E299" s="124"/>
      <c r="F299" s="80"/>
      <c r="G299" s="80"/>
      <c r="H299" s="80"/>
      <c r="I299" s="80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15"/>
      <c r="AK299" s="80"/>
      <c r="AL299" s="80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</row>
    <row r="300">
      <c r="A300" s="80"/>
      <c r="B300" s="80"/>
      <c r="C300" s="80"/>
      <c r="D300" s="80"/>
      <c r="E300" s="124"/>
      <c r="F300" s="80"/>
      <c r="G300" s="80"/>
      <c r="H300" s="80"/>
      <c r="I300" s="80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15"/>
      <c r="AK300" s="80"/>
      <c r="AL300" s="80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</row>
    <row r="301">
      <c r="A301" s="80"/>
      <c r="B301" s="80"/>
      <c r="C301" s="80"/>
      <c r="D301" s="80"/>
      <c r="E301" s="124"/>
      <c r="F301" s="80"/>
      <c r="G301" s="80"/>
      <c r="H301" s="80"/>
      <c r="I301" s="80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15"/>
      <c r="AK301" s="80"/>
      <c r="AL301" s="80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</row>
    <row r="302">
      <c r="A302" s="80"/>
      <c r="B302" s="80"/>
      <c r="C302" s="80"/>
      <c r="D302" s="80"/>
      <c r="E302" s="124"/>
      <c r="F302" s="80"/>
      <c r="G302" s="80"/>
      <c r="H302" s="80"/>
      <c r="I302" s="80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15"/>
      <c r="AK302" s="80"/>
      <c r="AL302" s="80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</row>
    <row r="303">
      <c r="A303" s="80"/>
      <c r="B303" s="80"/>
      <c r="C303" s="80"/>
      <c r="D303" s="80"/>
      <c r="E303" s="124"/>
      <c r="F303" s="80"/>
      <c r="G303" s="80"/>
      <c r="H303" s="80"/>
      <c r="I303" s="80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15"/>
      <c r="AK303" s="80"/>
      <c r="AL303" s="80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</row>
    <row r="304">
      <c r="A304" s="80"/>
      <c r="B304" s="80"/>
      <c r="C304" s="80"/>
      <c r="D304" s="80"/>
      <c r="E304" s="124"/>
      <c r="F304" s="80"/>
      <c r="G304" s="80"/>
      <c r="H304" s="80"/>
      <c r="I304" s="80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15"/>
      <c r="AK304" s="80"/>
      <c r="AL304" s="80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</row>
    <row r="305">
      <c r="A305" s="80"/>
      <c r="B305" s="80"/>
      <c r="C305" s="80"/>
      <c r="D305" s="80"/>
      <c r="E305" s="124"/>
      <c r="F305" s="80"/>
      <c r="G305" s="80"/>
      <c r="H305" s="80"/>
      <c r="I305" s="80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15"/>
      <c r="AK305" s="80"/>
      <c r="AL305" s="80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</row>
    <row r="306">
      <c r="A306" s="80"/>
      <c r="B306" s="80"/>
      <c r="C306" s="80"/>
      <c r="D306" s="80"/>
      <c r="E306" s="124"/>
      <c r="F306" s="80"/>
      <c r="G306" s="80"/>
      <c r="H306" s="80"/>
      <c r="I306" s="80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15"/>
      <c r="AK306" s="80"/>
      <c r="AL306" s="80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</row>
    <row r="307">
      <c r="A307" s="80"/>
      <c r="B307" s="80"/>
      <c r="C307" s="80"/>
      <c r="D307" s="80"/>
      <c r="E307" s="124"/>
      <c r="F307" s="80"/>
      <c r="G307" s="80"/>
      <c r="H307" s="80"/>
      <c r="I307" s="80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15"/>
      <c r="AK307" s="80"/>
      <c r="AL307" s="80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</row>
    <row r="308">
      <c r="A308" s="80"/>
      <c r="B308" s="80"/>
      <c r="C308" s="80"/>
      <c r="D308" s="80"/>
      <c r="E308" s="124"/>
      <c r="F308" s="80"/>
      <c r="G308" s="80"/>
      <c r="H308" s="80"/>
      <c r="I308" s="80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15"/>
      <c r="AK308" s="80"/>
      <c r="AL308" s="80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</row>
    <row r="309">
      <c r="A309" s="80"/>
      <c r="B309" s="80"/>
      <c r="C309" s="80"/>
      <c r="D309" s="80"/>
      <c r="E309" s="124"/>
      <c r="F309" s="80"/>
      <c r="G309" s="80"/>
      <c r="H309" s="80"/>
      <c r="I309" s="80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15"/>
      <c r="AK309" s="80"/>
      <c r="AL309" s="80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</row>
    <row r="310">
      <c r="A310" s="80"/>
      <c r="B310" s="80"/>
      <c r="C310" s="80"/>
      <c r="D310" s="80"/>
      <c r="E310" s="124"/>
      <c r="F310" s="80"/>
      <c r="G310" s="80"/>
      <c r="H310" s="80"/>
      <c r="I310" s="80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15"/>
      <c r="AK310" s="80"/>
      <c r="AL310" s="80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</row>
    <row r="311">
      <c r="A311" s="80"/>
      <c r="B311" s="80"/>
      <c r="C311" s="80"/>
      <c r="D311" s="80"/>
      <c r="E311" s="124"/>
      <c r="F311" s="80"/>
      <c r="G311" s="80"/>
      <c r="H311" s="80"/>
      <c r="I311" s="80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15"/>
      <c r="AK311" s="80"/>
      <c r="AL311" s="80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</row>
    <row r="312">
      <c r="A312" s="80"/>
      <c r="B312" s="80"/>
      <c r="C312" s="80"/>
      <c r="D312" s="80"/>
      <c r="E312" s="124"/>
      <c r="F312" s="80"/>
      <c r="G312" s="80"/>
      <c r="H312" s="80"/>
      <c r="I312" s="80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15"/>
      <c r="AK312" s="80"/>
      <c r="AL312" s="80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</row>
    <row r="313">
      <c r="A313" s="80"/>
      <c r="B313" s="80"/>
      <c r="C313" s="80"/>
      <c r="D313" s="80"/>
      <c r="E313" s="124"/>
      <c r="F313" s="80"/>
      <c r="G313" s="80"/>
      <c r="H313" s="80"/>
      <c r="I313" s="80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15"/>
      <c r="AK313" s="80"/>
      <c r="AL313" s="80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</row>
    <row r="314">
      <c r="A314" s="80"/>
      <c r="B314" s="80"/>
      <c r="C314" s="80"/>
      <c r="D314" s="80"/>
      <c r="E314" s="124"/>
      <c r="F314" s="80"/>
      <c r="G314" s="80"/>
      <c r="H314" s="80"/>
      <c r="I314" s="80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15"/>
      <c r="AK314" s="80"/>
      <c r="AL314" s="80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</row>
    <row r="315">
      <c r="A315" s="80"/>
      <c r="B315" s="80"/>
      <c r="C315" s="80"/>
      <c r="D315" s="80"/>
      <c r="E315" s="124"/>
      <c r="F315" s="80"/>
      <c r="G315" s="80"/>
      <c r="H315" s="80"/>
      <c r="I315" s="80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15"/>
      <c r="AK315" s="80"/>
      <c r="AL315" s="80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</row>
    <row r="316">
      <c r="A316" s="80"/>
      <c r="B316" s="80"/>
      <c r="C316" s="80"/>
      <c r="D316" s="80"/>
      <c r="E316" s="124"/>
      <c r="F316" s="80"/>
      <c r="G316" s="80"/>
      <c r="H316" s="80"/>
      <c r="I316" s="80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15"/>
      <c r="AK316" s="80"/>
      <c r="AL316" s="80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</row>
    <row r="317">
      <c r="A317" s="80"/>
      <c r="B317" s="80"/>
      <c r="C317" s="80"/>
      <c r="D317" s="80"/>
      <c r="E317" s="124"/>
      <c r="F317" s="80"/>
      <c r="G317" s="80"/>
      <c r="H317" s="80"/>
      <c r="I317" s="80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15"/>
      <c r="AK317" s="80"/>
      <c r="AL317" s="80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</row>
    <row r="318">
      <c r="A318" s="80"/>
      <c r="B318" s="80"/>
      <c r="C318" s="80"/>
      <c r="D318" s="80"/>
      <c r="E318" s="124"/>
      <c r="F318" s="80"/>
      <c r="G318" s="80"/>
      <c r="H318" s="80"/>
      <c r="I318" s="80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15"/>
      <c r="AK318" s="80"/>
      <c r="AL318" s="80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</row>
    <row r="319">
      <c r="A319" s="80"/>
      <c r="B319" s="80"/>
      <c r="C319" s="80"/>
      <c r="D319" s="80"/>
      <c r="E319" s="124"/>
      <c r="F319" s="80"/>
      <c r="G319" s="80"/>
      <c r="H319" s="80"/>
      <c r="I319" s="80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15"/>
      <c r="AK319" s="80"/>
      <c r="AL319" s="80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</row>
    <row r="320">
      <c r="A320" s="80"/>
      <c r="B320" s="80"/>
      <c r="C320" s="80"/>
      <c r="D320" s="80"/>
      <c r="E320" s="124"/>
      <c r="F320" s="80"/>
      <c r="G320" s="80"/>
      <c r="H320" s="80"/>
      <c r="I320" s="80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15"/>
      <c r="AK320" s="80"/>
      <c r="AL320" s="80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</row>
    <row r="321">
      <c r="A321" s="80"/>
      <c r="B321" s="80"/>
      <c r="C321" s="80"/>
      <c r="D321" s="80"/>
      <c r="E321" s="124"/>
      <c r="F321" s="80"/>
      <c r="G321" s="80"/>
      <c r="H321" s="80"/>
      <c r="I321" s="80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15"/>
      <c r="AK321" s="80"/>
      <c r="AL321" s="80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</row>
    <row r="322">
      <c r="A322" s="80"/>
      <c r="B322" s="80"/>
      <c r="C322" s="80"/>
      <c r="D322" s="80"/>
      <c r="E322" s="124"/>
      <c r="F322" s="80"/>
      <c r="G322" s="80"/>
      <c r="H322" s="80"/>
      <c r="I322" s="80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15"/>
      <c r="AK322" s="80"/>
      <c r="AL322" s="80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</row>
    <row r="323">
      <c r="A323" s="80"/>
      <c r="B323" s="80"/>
      <c r="C323" s="80"/>
      <c r="D323" s="80"/>
      <c r="E323" s="124"/>
      <c r="F323" s="80"/>
      <c r="G323" s="80"/>
      <c r="H323" s="80"/>
      <c r="I323" s="80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15"/>
      <c r="AK323" s="80"/>
      <c r="AL323" s="80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</row>
    <row r="324">
      <c r="A324" s="80"/>
      <c r="B324" s="80"/>
      <c r="C324" s="80"/>
      <c r="D324" s="80"/>
      <c r="E324" s="124"/>
      <c r="F324" s="80"/>
      <c r="G324" s="80"/>
      <c r="H324" s="80"/>
      <c r="I324" s="80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15"/>
      <c r="AK324" s="80"/>
      <c r="AL324" s="80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</row>
    <row r="325">
      <c r="A325" s="80"/>
      <c r="B325" s="80"/>
      <c r="C325" s="80"/>
      <c r="D325" s="80"/>
      <c r="E325" s="124"/>
      <c r="F325" s="80"/>
      <c r="G325" s="80"/>
      <c r="H325" s="80"/>
      <c r="I325" s="80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15"/>
      <c r="AK325" s="80"/>
      <c r="AL325" s="80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</row>
    <row r="326">
      <c r="A326" s="80"/>
      <c r="B326" s="80"/>
      <c r="C326" s="80"/>
      <c r="D326" s="80"/>
      <c r="E326" s="124"/>
      <c r="F326" s="80"/>
      <c r="G326" s="80"/>
      <c r="H326" s="80"/>
      <c r="I326" s="80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15"/>
      <c r="AK326" s="80"/>
      <c r="AL326" s="80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</row>
    <row r="327">
      <c r="A327" s="80"/>
      <c r="B327" s="80"/>
      <c r="C327" s="80"/>
      <c r="D327" s="80"/>
      <c r="E327" s="124"/>
      <c r="F327" s="80"/>
      <c r="G327" s="80"/>
      <c r="H327" s="80"/>
      <c r="I327" s="80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15"/>
      <c r="AK327" s="80"/>
      <c r="AL327" s="80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</row>
    <row r="328">
      <c r="A328" s="80"/>
      <c r="B328" s="80"/>
      <c r="C328" s="80"/>
      <c r="D328" s="80"/>
      <c r="E328" s="124"/>
      <c r="F328" s="80"/>
      <c r="G328" s="80"/>
      <c r="H328" s="80"/>
      <c r="I328" s="80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15"/>
      <c r="AK328" s="80"/>
      <c r="AL328" s="80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</row>
    <row r="329">
      <c r="A329" s="80"/>
      <c r="B329" s="80"/>
      <c r="C329" s="80"/>
      <c r="D329" s="80"/>
      <c r="E329" s="124"/>
      <c r="F329" s="80"/>
      <c r="G329" s="80"/>
      <c r="H329" s="80"/>
      <c r="I329" s="80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15"/>
      <c r="AK329" s="80"/>
      <c r="AL329" s="80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</row>
    <row r="330">
      <c r="A330" s="80"/>
      <c r="B330" s="80"/>
      <c r="C330" s="80"/>
      <c r="D330" s="80"/>
      <c r="E330" s="124"/>
      <c r="F330" s="80"/>
      <c r="G330" s="80"/>
      <c r="H330" s="80"/>
      <c r="I330" s="80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15"/>
      <c r="AK330" s="80"/>
      <c r="AL330" s="80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</row>
    <row r="331">
      <c r="A331" s="80"/>
      <c r="B331" s="80"/>
      <c r="C331" s="80"/>
      <c r="D331" s="80"/>
      <c r="E331" s="124"/>
      <c r="F331" s="80"/>
      <c r="G331" s="80"/>
      <c r="H331" s="80"/>
      <c r="I331" s="80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15"/>
      <c r="AK331" s="80"/>
      <c r="AL331" s="80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</row>
    <row r="332">
      <c r="A332" s="80"/>
      <c r="B332" s="80"/>
      <c r="C332" s="80"/>
      <c r="D332" s="80"/>
      <c r="E332" s="124"/>
      <c r="F332" s="80"/>
      <c r="G332" s="80"/>
      <c r="H332" s="80"/>
      <c r="I332" s="80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15"/>
      <c r="AK332" s="80"/>
      <c r="AL332" s="80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</row>
    <row r="333">
      <c r="A333" s="80"/>
      <c r="B333" s="80"/>
      <c r="C333" s="80"/>
      <c r="D333" s="80"/>
      <c r="E333" s="124"/>
      <c r="F333" s="80"/>
      <c r="G333" s="80"/>
      <c r="H333" s="80"/>
      <c r="I333" s="80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15"/>
      <c r="AK333" s="80"/>
      <c r="AL333" s="80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</row>
    <row r="334">
      <c r="A334" s="80"/>
      <c r="B334" s="80"/>
      <c r="C334" s="80"/>
      <c r="D334" s="80"/>
      <c r="E334" s="124"/>
      <c r="F334" s="80"/>
      <c r="G334" s="80"/>
      <c r="H334" s="80"/>
      <c r="I334" s="80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15"/>
      <c r="AK334" s="80"/>
      <c r="AL334" s="80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</row>
    <row r="335">
      <c r="A335" s="80"/>
      <c r="B335" s="80"/>
      <c r="C335" s="80"/>
      <c r="D335" s="80"/>
      <c r="E335" s="124"/>
      <c r="F335" s="80"/>
      <c r="G335" s="80"/>
      <c r="H335" s="80"/>
      <c r="I335" s="80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15"/>
      <c r="AK335" s="80"/>
      <c r="AL335" s="80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</row>
    <row r="336">
      <c r="A336" s="80"/>
      <c r="B336" s="80"/>
      <c r="C336" s="80"/>
      <c r="D336" s="80"/>
      <c r="E336" s="124"/>
      <c r="F336" s="80"/>
      <c r="G336" s="80"/>
      <c r="H336" s="80"/>
      <c r="I336" s="80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15"/>
      <c r="AK336" s="80"/>
      <c r="AL336" s="80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</row>
    <row r="337">
      <c r="A337" s="80"/>
      <c r="B337" s="80"/>
      <c r="C337" s="80"/>
      <c r="D337" s="80"/>
      <c r="E337" s="124"/>
      <c r="F337" s="80"/>
      <c r="G337" s="80"/>
      <c r="H337" s="80"/>
      <c r="I337" s="80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15"/>
      <c r="AK337" s="80"/>
      <c r="AL337" s="80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</row>
    <row r="338">
      <c r="A338" s="80"/>
      <c r="B338" s="80"/>
      <c r="C338" s="80"/>
      <c r="D338" s="80"/>
      <c r="E338" s="124"/>
      <c r="F338" s="80"/>
      <c r="G338" s="80"/>
      <c r="H338" s="80"/>
      <c r="I338" s="80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15"/>
      <c r="AK338" s="80"/>
      <c r="AL338" s="80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</row>
    <row r="339">
      <c r="A339" s="80"/>
      <c r="B339" s="80"/>
      <c r="C339" s="80"/>
      <c r="D339" s="80"/>
      <c r="E339" s="124"/>
      <c r="F339" s="80"/>
      <c r="G339" s="80"/>
      <c r="H339" s="80"/>
      <c r="I339" s="80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15"/>
      <c r="AK339" s="80"/>
      <c r="AL339" s="80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</row>
    <row r="340">
      <c r="A340" s="80"/>
      <c r="B340" s="80"/>
      <c r="C340" s="80"/>
      <c r="D340" s="80"/>
      <c r="E340" s="124"/>
      <c r="F340" s="80"/>
      <c r="G340" s="80"/>
      <c r="H340" s="80"/>
      <c r="I340" s="80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15"/>
      <c r="AK340" s="80"/>
      <c r="AL340" s="80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</row>
    <row r="341">
      <c r="A341" s="80"/>
      <c r="B341" s="80"/>
      <c r="C341" s="80"/>
      <c r="D341" s="80"/>
      <c r="E341" s="124"/>
      <c r="F341" s="80"/>
      <c r="G341" s="80"/>
      <c r="H341" s="80"/>
      <c r="I341" s="80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15"/>
      <c r="AK341" s="80"/>
      <c r="AL341" s="80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</row>
    <row r="342">
      <c r="A342" s="80"/>
      <c r="B342" s="80"/>
      <c r="C342" s="80"/>
      <c r="D342" s="80"/>
      <c r="E342" s="124"/>
      <c r="F342" s="80"/>
      <c r="G342" s="80"/>
      <c r="H342" s="80"/>
      <c r="I342" s="80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15"/>
      <c r="AK342" s="80"/>
      <c r="AL342" s="80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</row>
    <row r="343">
      <c r="A343" s="80"/>
      <c r="B343" s="80"/>
      <c r="C343" s="80"/>
      <c r="D343" s="80"/>
      <c r="E343" s="124"/>
      <c r="F343" s="80"/>
      <c r="G343" s="80"/>
      <c r="H343" s="80"/>
      <c r="I343" s="80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15"/>
      <c r="AK343" s="80"/>
      <c r="AL343" s="80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</row>
    <row r="344">
      <c r="A344" s="80"/>
      <c r="B344" s="80"/>
      <c r="C344" s="80"/>
      <c r="D344" s="80"/>
      <c r="E344" s="124"/>
      <c r="F344" s="80"/>
      <c r="G344" s="80"/>
      <c r="H344" s="80"/>
      <c r="I344" s="80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15"/>
      <c r="AK344" s="80"/>
      <c r="AL344" s="80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</row>
    <row r="345">
      <c r="A345" s="80"/>
      <c r="B345" s="80"/>
      <c r="C345" s="80"/>
      <c r="D345" s="80"/>
      <c r="E345" s="124"/>
      <c r="F345" s="80"/>
      <c r="G345" s="80"/>
      <c r="H345" s="80"/>
      <c r="I345" s="80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15"/>
      <c r="AK345" s="80"/>
      <c r="AL345" s="80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</row>
    <row r="346">
      <c r="A346" s="80"/>
      <c r="B346" s="80"/>
      <c r="C346" s="80"/>
      <c r="D346" s="80"/>
      <c r="E346" s="124"/>
      <c r="F346" s="80"/>
      <c r="G346" s="80"/>
      <c r="H346" s="80"/>
      <c r="I346" s="80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15"/>
      <c r="AK346" s="80"/>
      <c r="AL346" s="80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</row>
    <row r="347">
      <c r="A347" s="80"/>
      <c r="B347" s="80"/>
      <c r="C347" s="80"/>
      <c r="D347" s="80"/>
      <c r="E347" s="124"/>
      <c r="F347" s="80"/>
      <c r="G347" s="80"/>
      <c r="H347" s="80"/>
      <c r="I347" s="80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15"/>
      <c r="AK347" s="80"/>
      <c r="AL347" s="80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</row>
    <row r="348">
      <c r="A348" s="80"/>
      <c r="B348" s="80"/>
      <c r="C348" s="80"/>
      <c r="D348" s="80"/>
      <c r="E348" s="124"/>
      <c r="F348" s="80"/>
      <c r="G348" s="80"/>
      <c r="H348" s="80"/>
      <c r="I348" s="80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15"/>
      <c r="AK348" s="80"/>
      <c r="AL348" s="80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</row>
    <row r="349">
      <c r="A349" s="80"/>
      <c r="B349" s="80"/>
      <c r="C349" s="80"/>
      <c r="D349" s="80"/>
      <c r="E349" s="124"/>
      <c r="F349" s="80"/>
      <c r="G349" s="80"/>
      <c r="H349" s="80"/>
      <c r="I349" s="80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15"/>
      <c r="AK349" s="80"/>
      <c r="AL349" s="80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</row>
    <row r="350">
      <c r="A350" s="80"/>
      <c r="B350" s="80"/>
      <c r="C350" s="80"/>
      <c r="D350" s="80"/>
      <c r="E350" s="124"/>
      <c r="F350" s="80"/>
      <c r="G350" s="80"/>
      <c r="H350" s="80"/>
      <c r="I350" s="80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15"/>
      <c r="AK350" s="80"/>
      <c r="AL350" s="80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</row>
    <row r="351">
      <c r="A351" s="80"/>
      <c r="B351" s="80"/>
      <c r="C351" s="80"/>
      <c r="D351" s="80"/>
      <c r="E351" s="124"/>
      <c r="F351" s="80"/>
      <c r="G351" s="80"/>
      <c r="H351" s="80"/>
      <c r="I351" s="80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15"/>
      <c r="AK351" s="80"/>
      <c r="AL351" s="80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</row>
    <row r="352">
      <c r="A352" s="80"/>
      <c r="B352" s="80"/>
      <c r="C352" s="80"/>
      <c r="D352" s="80"/>
      <c r="E352" s="124"/>
      <c r="F352" s="80"/>
      <c r="G352" s="80"/>
      <c r="H352" s="80"/>
      <c r="I352" s="80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15"/>
      <c r="AK352" s="80"/>
      <c r="AL352" s="80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</row>
    <row r="353">
      <c r="A353" s="80"/>
      <c r="B353" s="80"/>
      <c r="C353" s="80"/>
      <c r="D353" s="80"/>
      <c r="E353" s="124"/>
      <c r="F353" s="80"/>
      <c r="G353" s="80"/>
      <c r="H353" s="80"/>
      <c r="I353" s="80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15"/>
      <c r="AK353" s="80"/>
      <c r="AL353" s="80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</row>
    <row r="354">
      <c r="A354" s="80"/>
      <c r="B354" s="80"/>
      <c r="C354" s="80"/>
      <c r="D354" s="80"/>
      <c r="E354" s="124"/>
      <c r="F354" s="80"/>
      <c r="G354" s="80"/>
      <c r="H354" s="80"/>
      <c r="I354" s="80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15"/>
      <c r="AK354" s="80"/>
      <c r="AL354" s="80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</row>
    <row r="355">
      <c r="A355" s="80"/>
      <c r="B355" s="80"/>
      <c r="C355" s="80"/>
      <c r="D355" s="80"/>
      <c r="E355" s="124"/>
      <c r="F355" s="80"/>
      <c r="G355" s="80"/>
      <c r="H355" s="80"/>
      <c r="I355" s="80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15"/>
      <c r="AK355" s="80"/>
      <c r="AL355" s="80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</row>
    <row r="356">
      <c r="A356" s="80"/>
      <c r="B356" s="80"/>
      <c r="C356" s="80"/>
      <c r="D356" s="80"/>
      <c r="E356" s="124"/>
      <c r="F356" s="80"/>
      <c r="G356" s="80"/>
      <c r="H356" s="80"/>
      <c r="I356" s="80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15"/>
      <c r="AK356" s="80"/>
      <c r="AL356" s="80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</row>
    <row r="357">
      <c r="A357" s="80"/>
      <c r="B357" s="80"/>
      <c r="C357" s="80"/>
      <c r="D357" s="80"/>
      <c r="E357" s="124"/>
      <c r="F357" s="80"/>
      <c r="G357" s="80"/>
      <c r="H357" s="80"/>
      <c r="I357" s="80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15"/>
      <c r="AK357" s="80"/>
      <c r="AL357" s="80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</row>
    <row r="358">
      <c r="A358" s="80"/>
      <c r="B358" s="80"/>
      <c r="C358" s="80"/>
      <c r="D358" s="80"/>
      <c r="E358" s="124"/>
      <c r="F358" s="80"/>
      <c r="G358" s="80"/>
      <c r="H358" s="80"/>
      <c r="I358" s="80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15"/>
      <c r="AK358" s="80"/>
      <c r="AL358" s="80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</row>
    <row r="359">
      <c r="A359" s="80"/>
      <c r="B359" s="80"/>
      <c r="C359" s="80"/>
      <c r="D359" s="80"/>
      <c r="E359" s="124"/>
      <c r="F359" s="80"/>
      <c r="G359" s="80"/>
      <c r="H359" s="80"/>
      <c r="I359" s="80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15"/>
      <c r="AK359" s="80"/>
      <c r="AL359" s="80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</row>
    <row r="360">
      <c r="A360" s="80"/>
      <c r="B360" s="80"/>
      <c r="C360" s="80"/>
      <c r="D360" s="80"/>
      <c r="E360" s="124"/>
      <c r="F360" s="80"/>
      <c r="G360" s="80"/>
      <c r="H360" s="80"/>
      <c r="I360" s="80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15"/>
      <c r="AK360" s="80"/>
      <c r="AL360" s="80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</row>
    <row r="361">
      <c r="A361" s="80"/>
      <c r="B361" s="80"/>
      <c r="C361" s="80"/>
      <c r="D361" s="80"/>
      <c r="E361" s="124"/>
      <c r="F361" s="80"/>
      <c r="G361" s="80"/>
      <c r="H361" s="80"/>
      <c r="I361" s="80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15"/>
      <c r="AK361" s="80"/>
      <c r="AL361" s="80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</row>
    <row r="362">
      <c r="A362" s="80"/>
      <c r="B362" s="80"/>
      <c r="C362" s="80"/>
      <c r="D362" s="80"/>
      <c r="E362" s="124"/>
      <c r="F362" s="80"/>
      <c r="G362" s="80"/>
      <c r="H362" s="80"/>
      <c r="I362" s="80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15"/>
      <c r="AK362" s="80"/>
      <c r="AL362" s="80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</row>
    <row r="363">
      <c r="A363" s="80"/>
      <c r="B363" s="80"/>
      <c r="C363" s="80"/>
      <c r="D363" s="80"/>
      <c r="E363" s="124"/>
      <c r="F363" s="80"/>
      <c r="G363" s="80"/>
      <c r="H363" s="80"/>
      <c r="I363" s="80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15"/>
      <c r="AK363" s="80"/>
      <c r="AL363" s="80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</row>
    <row r="364">
      <c r="A364" s="80"/>
      <c r="B364" s="80"/>
      <c r="C364" s="80"/>
      <c r="D364" s="80"/>
      <c r="E364" s="124"/>
      <c r="F364" s="80"/>
      <c r="G364" s="80"/>
      <c r="H364" s="80"/>
      <c r="I364" s="80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15"/>
      <c r="AK364" s="80"/>
      <c r="AL364" s="80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</row>
    <row r="365">
      <c r="A365" s="80"/>
      <c r="B365" s="80"/>
      <c r="C365" s="80"/>
      <c r="D365" s="80"/>
      <c r="E365" s="124"/>
      <c r="F365" s="80"/>
      <c r="G365" s="80"/>
      <c r="H365" s="80"/>
      <c r="I365" s="80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15"/>
      <c r="AK365" s="80"/>
      <c r="AL365" s="80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</row>
    <row r="366">
      <c r="A366" s="80"/>
      <c r="B366" s="80"/>
      <c r="C366" s="80"/>
      <c r="D366" s="80"/>
      <c r="E366" s="124"/>
      <c r="F366" s="80"/>
      <c r="G366" s="80"/>
      <c r="H366" s="80"/>
      <c r="I366" s="80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15"/>
      <c r="AK366" s="80"/>
      <c r="AL366" s="80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</row>
    <row r="367">
      <c r="A367" s="80"/>
      <c r="B367" s="80"/>
      <c r="C367" s="80"/>
      <c r="D367" s="80"/>
      <c r="E367" s="124"/>
      <c r="F367" s="80"/>
      <c r="G367" s="80"/>
      <c r="H367" s="80"/>
      <c r="I367" s="80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15"/>
      <c r="AK367" s="80"/>
      <c r="AL367" s="80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</row>
    <row r="368">
      <c r="A368" s="80"/>
      <c r="B368" s="80"/>
      <c r="C368" s="80"/>
      <c r="D368" s="80"/>
      <c r="E368" s="124"/>
      <c r="F368" s="80"/>
      <c r="G368" s="80"/>
      <c r="H368" s="80"/>
      <c r="I368" s="80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15"/>
      <c r="AK368" s="80"/>
      <c r="AL368" s="80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</row>
    <row r="369">
      <c r="A369" s="80"/>
      <c r="B369" s="80"/>
      <c r="C369" s="80"/>
      <c r="D369" s="80"/>
      <c r="E369" s="124"/>
      <c r="F369" s="80"/>
      <c r="G369" s="80"/>
      <c r="H369" s="80"/>
      <c r="I369" s="80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15"/>
      <c r="AK369" s="80"/>
      <c r="AL369" s="80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</row>
    <row r="370">
      <c r="A370" s="80"/>
      <c r="B370" s="80"/>
      <c r="C370" s="80"/>
      <c r="D370" s="80"/>
      <c r="E370" s="124"/>
      <c r="F370" s="80"/>
      <c r="G370" s="80"/>
      <c r="H370" s="80"/>
      <c r="I370" s="80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15"/>
      <c r="AK370" s="80"/>
      <c r="AL370" s="80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</row>
    <row r="371">
      <c r="A371" s="80"/>
      <c r="B371" s="80"/>
      <c r="C371" s="80"/>
      <c r="D371" s="80"/>
      <c r="E371" s="124"/>
      <c r="F371" s="80"/>
      <c r="G371" s="80"/>
      <c r="H371" s="80"/>
      <c r="I371" s="80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15"/>
      <c r="AK371" s="80"/>
      <c r="AL371" s="80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</row>
    <row r="372">
      <c r="A372" s="80"/>
      <c r="B372" s="80"/>
      <c r="C372" s="80"/>
      <c r="D372" s="80"/>
      <c r="E372" s="124"/>
      <c r="F372" s="80"/>
      <c r="G372" s="80"/>
      <c r="H372" s="80"/>
      <c r="I372" s="80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15"/>
      <c r="AK372" s="80"/>
      <c r="AL372" s="80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</row>
    <row r="373">
      <c r="A373" s="80"/>
      <c r="B373" s="80"/>
      <c r="C373" s="80"/>
      <c r="D373" s="80"/>
      <c r="E373" s="124"/>
      <c r="F373" s="80"/>
      <c r="G373" s="80"/>
      <c r="H373" s="80"/>
      <c r="I373" s="80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15"/>
      <c r="AK373" s="80"/>
      <c r="AL373" s="80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</row>
    <row r="374">
      <c r="A374" s="80"/>
      <c r="B374" s="80"/>
      <c r="C374" s="80"/>
      <c r="D374" s="80"/>
      <c r="E374" s="124"/>
      <c r="F374" s="80"/>
      <c r="G374" s="80"/>
      <c r="H374" s="80"/>
      <c r="I374" s="80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15"/>
      <c r="AK374" s="80"/>
      <c r="AL374" s="80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</row>
    <row r="375">
      <c r="A375" s="80"/>
      <c r="B375" s="80"/>
      <c r="C375" s="80"/>
      <c r="D375" s="80"/>
      <c r="E375" s="124"/>
      <c r="F375" s="80"/>
      <c r="G375" s="80"/>
      <c r="H375" s="80"/>
      <c r="I375" s="80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15"/>
      <c r="AK375" s="80"/>
      <c r="AL375" s="80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</row>
    <row r="376">
      <c r="A376" s="80"/>
      <c r="B376" s="80"/>
      <c r="C376" s="80"/>
      <c r="D376" s="80"/>
      <c r="E376" s="124"/>
      <c r="F376" s="80"/>
      <c r="G376" s="80"/>
      <c r="H376" s="80"/>
      <c r="I376" s="80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15"/>
      <c r="AK376" s="80"/>
      <c r="AL376" s="80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</row>
    <row r="377">
      <c r="A377" s="80"/>
      <c r="B377" s="80"/>
      <c r="C377" s="80"/>
      <c r="D377" s="80"/>
      <c r="E377" s="124"/>
      <c r="F377" s="80"/>
      <c r="G377" s="80"/>
      <c r="H377" s="80"/>
      <c r="I377" s="80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15"/>
      <c r="AK377" s="80"/>
      <c r="AL377" s="80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</row>
    <row r="378">
      <c r="A378" s="80"/>
      <c r="B378" s="80"/>
      <c r="C378" s="80"/>
      <c r="D378" s="80"/>
      <c r="E378" s="124"/>
      <c r="F378" s="80"/>
      <c r="G378" s="80"/>
      <c r="H378" s="80"/>
      <c r="I378" s="80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15"/>
      <c r="AK378" s="80"/>
      <c r="AL378" s="80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</row>
    <row r="379">
      <c r="A379" s="80"/>
      <c r="B379" s="80"/>
      <c r="C379" s="80"/>
      <c r="D379" s="80"/>
      <c r="E379" s="124"/>
      <c r="F379" s="80"/>
      <c r="G379" s="80"/>
      <c r="H379" s="80"/>
      <c r="I379" s="80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15"/>
      <c r="AK379" s="80"/>
      <c r="AL379" s="80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</row>
    <row r="380">
      <c r="A380" s="80"/>
      <c r="B380" s="80"/>
      <c r="C380" s="80"/>
      <c r="D380" s="80"/>
      <c r="E380" s="124"/>
      <c r="F380" s="80"/>
      <c r="G380" s="80"/>
      <c r="H380" s="80"/>
      <c r="I380" s="80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15"/>
      <c r="AK380" s="80"/>
      <c r="AL380" s="80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</row>
    <row r="381">
      <c r="A381" s="80"/>
      <c r="B381" s="80"/>
      <c r="C381" s="80"/>
      <c r="D381" s="80"/>
      <c r="E381" s="124"/>
      <c r="F381" s="80"/>
      <c r="G381" s="80"/>
      <c r="H381" s="80"/>
      <c r="I381" s="80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15"/>
      <c r="AK381" s="80"/>
      <c r="AL381" s="80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</row>
    <row r="382">
      <c r="A382" s="80"/>
      <c r="B382" s="80"/>
      <c r="C382" s="80"/>
      <c r="D382" s="80"/>
      <c r="E382" s="124"/>
      <c r="F382" s="80"/>
      <c r="G382" s="80"/>
      <c r="H382" s="80"/>
      <c r="I382" s="80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15"/>
      <c r="AK382" s="80"/>
      <c r="AL382" s="80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</row>
    <row r="383">
      <c r="A383" s="80"/>
      <c r="B383" s="80"/>
      <c r="C383" s="80"/>
      <c r="D383" s="80"/>
      <c r="E383" s="124"/>
      <c r="F383" s="80"/>
      <c r="G383" s="80"/>
      <c r="H383" s="80"/>
      <c r="I383" s="80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15"/>
      <c r="AK383" s="80"/>
      <c r="AL383" s="80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</row>
    <row r="384">
      <c r="A384" s="80"/>
      <c r="B384" s="80"/>
      <c r="C384" s="80"/>
      <c r="D384" s="80"/>
      <c r="E384" s="124"/>
      <c r="F384" s="80"/>
      <c r="G384" s="80"/>
      <c r="H384" s="80"/>
      <c r="I384" s="80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15"/>
      <c r="AK384" s="80"/>
      <c r="AL384" s="80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</row>
    <row r="385">
      <c r="A385" s="80"/>
      <c r="B385" s="80"/>
      <c r="C385" s="80"/>
      <c r="D385" s="80"/>
      <c r="E385" s="124"/>
      <c r="F385" s="80"/>
      <c r="G385" s="80"/>
      <c r="H385" s="80"/>
      <c r="I385" s="80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15"/>
      <c r="AK385" s="80"/>
      <c r="AL385" s="80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</row>
    <row r="386">
      <c r="A386" s="80"/>
      <c r="B386" s="80"/>
      <c r="C386" s="80"/>
      <c r="D386" s="80"/>
      <c r="E386" s="124"/>
      <c r="F386" s="80"/>
      <c r="G386" s="80"/>
      <c r="H386" s="80"/>
      <c r="I386" s="80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15"/>
      <c r="AK386" s="80"/>
      <c r="AL386" s="80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</row>
    <row r="387">
      <c r="A387" s="80"/>
      <c r="B387" s="80"/>
      <c r="C387" s="80"/>
      <c r="D387" s="80"/>
      <c r="E387" s="124"/>
      <c r="F387" s="80"/>
      <c r="G387" s="80"/>
      <c r="H387" s="80"/>
      <c r="I387" s="80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15"/>
      <c r="AK387" s="80"/>
      <c r="AL387" s="80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</row>
    <row r="388">
      <c r="A388" s="80"/>
      <c r="B388" s="80"/>
      <c r="C388" s="80"/>
      <c r="D388" s="80"/>
      <c r="E388" s="124"/>
      <c r="F388" s="80"/>
      <c r="G388" s="80"/>
      <c r="H388" s="80"/>
      <c r="I388" s="80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15"/>
      <c r="AK388" s="80"/>
      <c r="AL388" s="80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</row>
    <row r="389">
      <c r="A389" s="80"/>
      <c r="B389" s="80"/>
      <c r="C389" s="80"/>
      <c r="D389" s="80"/>
      <c r="E389" s="124"/>
      <c r="F389" s="80"/>
      <c r="G389" s="80"/>
      <c r="H389" s="80"/>
      <c r="I389" s="80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15"/>
      <c r="AK389" s="80"/>
      <c r="AL389" s="80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</row>
    <row r="390">
      <c r="A390" s="80"/>
      <c r="B390" s="80"/>
      <c r="C390" s="80"/>
      <c r="D390" s="80"/>
      <c r="E390" s="124"/>
      <c r="F390" s="80"/>
      <c r="G390" s="80"/>
      <c r="H390" s="80"/>
      <c r="I390" s="80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15"/>
      <c r="AK390" s="80"/>
      <c r="AL390" s="80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</row>
    <row r="391">
      <c r="A391" s="80"/>
      <c r="B391" s="80"/>
      <c r="C391" s="80"/>
      <c r="D391" s="80"/>
      <c r="E391" s="124"/>
      <c r="F391" s="80"/>
      <c r="G391" s="80"/>
      <c r="H391" s="80"/>
      <c r="I391" s="80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15"/>
      <c r="AK391" s="80"/>
      <c r="AL391" s="80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</row>
    <row r="392">
      <c r="A392" s="80"/>
      <c r="B392" s="80"/>
      <c r="C392" s="80"/>
      <c r="D392" s="80"/>
      <c r="E392" s="124"/>
      <c r="F392" s="80"/>
      <c r="G392" s="80"/>
      <c r="H392" s="80"/>
      <c r="I392" s="80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15"/>
      <c r="AK392" s="80"/>
      <c r="AL392" s="80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</row>
    <row r="393">
      <c r="A393" s="80"/>
      <c r="B393" s="80"/>
      <c r="C393" s="80"/>
      <c r="D393" s="80"/>
      <c r="E393" s="124"/>
      <c r="F393" s="80"/>
      <c r="G393" s="80"/>
      <c r="H393" s="80"/>
      <c r="I393" s="80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15"/>
      <c r="AK393" s="80"/>
      <c r="AL393" s="80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</row>
    <row r="394">
      <c r="A394" s="80"/>
      <c r="B394" s="80"/>
      <c r="C394" s="80"/>
      <c r="D394" s="80"/>
      <c r="E394" s="124"/>
      <c r="F394" s="80"/>
      <c r="G394" s="80"/>
      <c r="H394" s="80"/>
      <c r="I394" s="80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15"/>
      <c r="AK394" s="80"/>
      <c r="AL394" s="80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</row>
    <row r="395">
      <c r="A395" s="80"/>
      <c r="B395" s="80"/>
      <c r="C395" s="80"/>
      <c r="D395" s="80"/>
      <c r="E395" s="124"/>
      <c r="F395" s="80"/>
      <c r="G395" s="80"/>
      <c r="H395" s="80"/>
      <c r="I395" s="80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15"/>
      <c r="AK395" s="80"/>
      <c r="AL395" s="80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</row>
    <row r="396">
      <c r="A396" s="80"/>
      <c r="B396" s="80"/>
      <c r="C396" s="80"/>
      <c r="D396" s="80"/>
      <c r="E396" s="124"/>
      <c r="F396" s="80"/>
      <c r="G396" s="80"/>
      <c r="H396" s="80"/>
      <c r="I396" s="80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15"/>
      <c r="AK396" s="80"/>
      <c r="AL396" s="80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</row>
    <row r="397">
      <c r="A397" s="80"/>
      <c r="B397" s="80"/>
      <c r="C397" s="80"/>
      <c r="D397" s="80"/>
      <c r="E397" s="124"/>
      <c r="F397" s="80"/>
      <c r="G397" s="80"/>
      <c r="H397" s="80"/>
      <c r="I397" s="80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15"/>
      <c r="AK397" s="80"/>
      <c r="AL397" s="80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</row>
    <row r="398">
      <c r="A398" s="80"/>
      <c r="B398" s="80"/>
      <c r="C398" s="80"/>
      <c r="D398" s="80"/>
      <c r="E398" s="124"/>
      <c r="F398" s="80"/>
      <c r="G398" s="80"/>
      <c r="H398" s="80"/>
      <c r="I398" s="80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15"/>
      <c r="AK398" s="80"/>
      <c r="AL398" s="80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</row>
    <row r="399">
      <c r="A399" s="80"/>
      <c r="B399" s="80"/>
      <c r="C399" s="80"/>
      <c r="D399" s="80"/>
      <c r="E399" s="124"/>
      <c r="F399" s="80"/>
      <c r="G399" s="80"/>
      <c r="H399" s="80"/>
      <c r="I399" s="80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15"/>
      <c r="AK399" s="80"/>
      <c r="AL399" s="80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</row>
    <row r="400">
      <c r="A400" s="80"/>
      <c r="B400" s="80"/>
      <c r="C400" s="80"/>
      <c r="D400" s="80"/>
      <c r="E400" s="124"/>
      <c r="F400" s="80"/>
      <c r="G400" s="80"/>
      <c r="H400" s="80"/>
      <c r="I400" s="80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15"/>
      <c r="AK400" s="80"/>
      <c r="AL400" s="80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</row>
    <row r="401">
      <c r="A401" s="80"/>
      <c r="B401" s="80"/>
      <c r="C401" s="80"/>
      <c r="D401" s="80"/>
      <c r="E401" s="124"/>
      <c r="F401" s="80"/>
      <c r="G401" s="80"/>
      <c r="H401" s="80"/>
      <c r="I401" s="80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15"/>
      <c r="AK401" s="80"/>
      <c r="AL401" s="80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</row>
    <row r="402">
      <c r="A402" s="80"/>
      <c r="B402" s="80"/>
      <c r="C402" s="80"/>
      <c r="D402" s="80"/>
      <c r="E402" s="124"/>
      <c r="F402" s="80"/>
      <c r="G402" s="80"/>
      <c r="H402" s="80"/>
      <c r="I402" s="80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15"/>
      <c r="AK402" s="80"/>
      <c r="AL402" s="80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</row>
    <row r="403">
      <c r="A403" s="80"/>
      <c r="B403" s="80"/>
      <c r="C403" s="80"/>
      <c r="D403" s="80"/>
      <c r="E403" s="124"/>
      <c r="F403" s="80"/>
      <c r="G403" s="80"/>
      <c r="H403" s="80"/>
      <c r="I403" s="80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15"/>
      <c r="AK403" s="80"/>
      <c r="AL403" s="80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</row>
    <row r="404">
      <c r="A404" s="80"/>
      <c r="B404" s="80"/>
      <c r="C404" s="80"/>
      <c r="D404" s="80"/>
      <c r="E404" s="124"/>
      <c r="F404" s="80"/>
      <c r="G404" s="80"/>
      <c r="H404" s="80"/>
      <c r="I404" s="80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15"/>
      <c r="AK404" s="80"/>
      <c r="AL404" s="80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</row>
    <row r="405">
      <c r="A405" s="80"/>
      <c r="B405" s="80"/>
      <c r="C405" s="80"/>
      <c r="D405" s="80"/>
      <c r="E405" s="124"/>
      <c r="F405" s="80"/>
      <c r="G405" s="80"/>
      <c r="H405" s="80"/>
      <c r="I405" s="80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15"/>
      <c r="AK405" s="80"/>
      <c r="AL405" s="80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</row>
    <row r="406">
      <c r="A406" s="80"/>
      <c r="B406" s="80"/>
      <c r="C406" s="80"/>
      <c r="D406" s="80"/>
      <c r="E406" s="124"/>
      <c r="F406" s="80"/>
      <c r="G406" s="80"/>
      <c r="H406" s="80"/>
      <c r="I406" s="80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15"/>
      <c r="AK406" s="80"/>
      <c r="AL406" s="80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</row>
    <row r="407">
      <c r="A407" s="80"/>
      <c r="B407" s="80"/>
      <c r="C407" s="80"/>
      <c r="D407" s="80"/>
      <c r="E407" s="124"/>
      <c r="F407" s="80"/>
      <c r="G407" s="80"/>
      <c r="H407" s="80"/>
      <c r="I407" s="80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15"/>
      <c r="AK407" s="80"/>
      <c r="AL407" s="80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</row>
    <row r="408">
      <c r="A408" s="80"/>
      <c r="B408" s="80"/>
      <c r="C408" s="80"/>
      <c r="D408" s="80"/>
      <c r="E408" s="124"/>
      <c r="F408" s="80"/>
      <c r="G408" s="80"/>
      <c r="H408" s="80"/>
      <c r="I408" s="80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15"/>
      <c r="AK408" s="80"/>
      <c r="AL408" s="80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</row>
    <row r="409">
      <c r="A409" s="80"/>
      <c r="B409" s="80"/>
      <c r="C409" s="80"/>
      <c r="D409" s="80"/>
      <c r="E409" s="124"/>
      <c r="F409" s="80"/>
      <c r="G409" s="80"/>
      <c r="H409" s="80"/>
      <c r="I409" s="80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15"/>
      <c r="AK409" s="80"/>
      <c r="AL409" s="80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</row>
    <row r="410">
      <c r="A410" s="80"/>
      <c r="B410" s="80"/>
      <c r="C410" s="80"/>
      <c r="D410" s="80"/>
      <c r="E410" s="124"/>
      <c r="F410" s="80"/>
      <c r="G410" s="80"/>
      <c r="H410" s="80"/>
      <c r="I410" s="80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15"/>
      <c r="AK410" s="80"/>
      <c r="AL410" s="80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</row>
    <row r="411">
      <c r="A411" s="80"/>
      <c r="B411" s="80"/>
      <c r="C411" s="80"/>
      <c r="D411" s="80"/>
      <c r="E411" s="124"/>
      <c r="F411" s="80"/>
      <c r="G411" s="80"/>
      <c r="H411" s="80"/>
      <c r="I411" s="80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15"/>
      <c r="AK411" s="80"/>
      <c r="AL411" s="80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</row>
    <row r="412">
      <c r="A412" s="80"/>
      <c r="B412" s="80"/>
      <c r="C412" s="80"/>
      <c r="D412" s="80"/>
      <c r="E412" s="124"/>
      <c r="F412" s="80"/>
      <c r="G412" s="80"/>
      <c r="H412" s="80"/>
      <c r="I412" s="80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15"/>
      <c r="AK412" s="80"/>
      <c r="AL412" s="80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</row>
    <row r="413">
      <c r="A413" s="80"/>
      <c r="B413" s="80"/>
      <c r="C413" s="80"/>
      <c r="D413" s="80"/>
      <c r="E413" s="124"/>
      <c r="F413" s="80"/>
      <c r="G413" s="80"/>
      <c r="H413" s="80"/>
      <c r="I413" s="80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15"/>
      <c r="AK413" s="80"/>
      <c r="AL413" s="80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</row>
    <row r="414">
      <c r="A414" s="80"/>
      <c r="B414" s="80"/>
      <c r="C414" s="80"/>
      <c r="D414" s="80"/>
      <c r="E414" s="124"/>
      <c r="F414" s="80"/>
      <c r="G414" s="80"/>
      <c r="H414" s="80"/>
      <c r="I414" s="80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15"/>
      <c r="AK414" s="80"/>
      <c r="AL414" s="80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</row>
    <row r="415">
      <c r="A415" s="80"/>
      <c r="B415" s="80"/>
      <c r="C415" s="80"/>
      <c r="D415" s="80"/>
      <c r="E415" s="124"/>
      <c r="F415" s="80"/>
      <c r="G415" s="80"/>
      <c r="H415" s="80"/>
      <c r="I415" s="80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15"/>
      <c r="AK415" s="80"/>
      <c r="AL415" s="80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</row>
    <row r="416">
      <c r="A416" s="80"/>
      <c r="B416" s="80"/>
      <c r="C416" s="80"/>
      <c r="D416" s="80"/>
      <c r="E416" s="124"/>
      <c r="F416" s="80"/>
      <c r="G416" s="80"/>
      <c r="H416" s="80"/>
      <c r="I416" s="80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15"/>
      <c r="AK416" s="80"/>
      <c r="AL416" s="80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</row>
    <row r="417">
      <c r="A417" s="80"/>
      <c r="B417" s="80"/>
      <c r="C417" s="80"/>
      <c r="D417" s="80"/>
      <c r="E417" s="124"/>
      <c r="F417" s="80"/>
      <c r="G417" s="80"/>
      <c r="H417" s="80"/>
      <c r="I417" s="80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15"/>
      <c r="AK417" s="80"/>
      <c r="AL417" s="80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</row>
    <row r="418">
      <c r="A418" s="80"/>
      <c r="B418" s="80"/>
      <c r="C418" s="80"/>
      <c r="D418" s="80"/>
      <c r="E418" s="124"/>
      <c r="F418" s="80"/>
      <c r="G418" s="80"/>
      <c r="H418" s="80"/>
      <c r="I418" s="80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15"/>
      <c r="AK418" s="80"/>
      <c r="AL418" s="80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</row>
    <row r="419">
      <c r="A419" s="80"/>
      <c r="B419" s="80"/>
      <c r="C419" s="80"/>
      <c r="D419" s="80"/>
      <c r="E419" s="124"/>
      <c r="F419" s="80"/>
      <c r="G419" s="80"/>
      <c r="H419" s="80"/>
      <c r="I419" s="80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15"/>
      <c r="AK419" s="80"/>
      <c r="AL419" s="80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</row>
    <row r="420">
      <c r="A420" s="80"/>
      <c r="B420" s="80"/>
      <c r="C420" s="80"/>
      <c r="D420" s="80"/>
      <c r="E420" s="124"/>
      <c r="F420" s="80"/>
      <c r="G420" s="80"/>
      <c r="H420" s="80"/>
      <c r="I420" s="80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15"/>
      <c r="AK420" s="80"/>
      <c r="AL420" s="80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</row>
    <row r="421">
      <c r="A421" s="80"/>
      <c r="B421" s="80"/>
      <c r="C421" s="80"/>
      <c r="D421" s="80"/>
      <c r="E421" s="124"/>
      <c r="F421" s="80"/>
      <c r="G421" s="80"/>
      <c r="H421" s="80"/>
      <c r="I421" s="80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15"/>
      <c r="AK421" s="80"/>
      <c r="AL421" s="80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</row>
    <row r="422">
      <c r="A422" s="80"/>
      <c r="B422" s="80"/>
      <c r="C422" s="80"/>
      <c r="D422" s="80"/>
      <c r="E422" s="124"/>
      <c r="F422" s="80"/>
      <c r="G422" s="80"/>
      <c r="H422" s="80"/>
      <c r="I422" s="80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15"/>
      <c r="AK422" s="80"/>
      <c r="AL422" s="80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</row>
    <row r="423">
      <c r="A423" s="80"/>
      <c r="B423" s="80"/>
      <c r="C423" s="80"/>
      <c r="D423" s="80"/>
      <c r="E423" s="124"/>
      <c r="F423" s="80"/>
      <c r="G423" s="80"/>
      <c r="H423" s="80"/>
      <c r="I423" s="80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15"/>
      <c r="AK423" s="80"/>
      <c r="AL423" s="80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</row>
    <row r="424">
      <c r="A424" s="80"/>
      <c r="B424" s="80"/>
      <c r="C424" s="80"/>
      <c r="D424" s="80"/>
      <c r="E424" s="124"/>
      <c r="F424" s="80"/>
      <c r="G424" s="80"/>
      <c r="H424" s="80"/>
      <c r="I424" s="80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15"/>
      <c r="AK424" s="80"/>
      <c r="AL424" s="80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</row>
    <row r="425">
      <c r="A425" s="80"/>
      <c r="B425" s="80"/>
      <c r="C425" s="80"/>
      <c r="D425" s="80"/>
      <c r="E425" s="124"/>
      <c r="F425" s="80"/>
      <c r="G425" s="80"/>
      <c r="H425" s="80"/>
      <c r="I425" s="80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15"/>
      <c r="AK425" s="80"/>
      <c r="AL425" s="80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</row>
    <row r="426">
      <c r="A426" s="80"/>
      <c r="B426" s="80"/>
      <c r="C426" s="80"/>
      <c r="D426" s="80"/>
      <c r="E426" s="124"/>
      <c r="F426" s="80"/>
      <c r="G426" s="80"/>
      <c r="H426" s="80"/>
      <c r="I426" s="80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15"/>
      <c r="AK426" s="80"/>
      <c r="AL426" s="80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</row>
    <row r="427">
      <c r="A427" s="80"/>
      <c r="B427" s="80"/>
      <c r="C427" s="80"/>
      <c r="D427" s="80"/>
      <c r="E427" s="124"/>
      <c r="F427" s="80"/>
      <c r="G427" s="80"/>
      <c r="H427" s="80"/>
      <c r="I427" s="80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15"/>
      <c r="AK427" s="80"/>
      <c r="AL427" s="80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</row>
    <row r="428">
      <c r="A428" s="80"/>
      <c r="B428" s="80"/>
      <c r="C428" s="80"/>
      <c r="D428" s="80"/>
      <c r="E428" s="124"/>
      <c r="F428" s="80"/>
      <c r="G428" s="80"/>
      <c r="H428" s="80"/>
      <c r="I428" s="80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15"/>
      <c r="AK428" s="80"/>
      <c r="AL428" s="80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</row>
    <row r="429">
      <c r="A429" s="80"/>
      <c r="B429" s="80"/>
      <c r="C429" s="80"/>
      <c r="D429" s="80"/>
      <c r="E429" s="124"/>
      <c r="F429" s="80"/>
      <c r="G429" s="80"/>
      <c r="H429" s="80"/>
      <c r="I429" s="80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15"/>
      <c r="AK429" s="80"/>
      <c r="AL429" s="80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</row>
    <row r="430">
      <c r="A430" s="80"/>
      <c r="B430" s="80"/>
      <c r="C430" s="80"/>
      <c r="D430" s="80"/>
      <c r="E430" s="124"/>
      <c r="F430" s="80"/>
      <c r="G430" s="80"/>
      <c r="H430" s="80"/>
      <c r="I430" s="80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15"/>
      <c r="AK430" s="80"/>
      <c r="AL430" s="80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</row>
    <row r="431">
      <c r="A431" s="80"/>
      <c r="B431" s="80"/>
      <c r="C431" s="80"/>
      <c r="D431" s="80"/>
      <c r="E431" s="124"/>
      <c r="F431" s="80"/>
      <c r="G431" s="80"/>
      <c r="H431" s="80"/>
      <c r="I431" s="80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15"/>
      <c r="AK431" s="80"/>
      <c r="AL431" s="80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</row>
    <row r="432">
      <c r="A432" s="80"/>
      <c r="B432" s="80"/>
      <c r="C432" s="80"/>
      <c r="D432" s="80"/>
      <c r="E432" s="124"/>
      <c r="F432" s="80"/>
      <c r="G432" s="80"/>
      <c r="H432" s="80"/>
      <c r="I432" s="80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15"/>
      <c r="AK432" s="80"/>
      <c r="AL432" s="80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</row>
    <row r="433">
      <c r="A433" s="80"/>
      <c r="B433" s="80"/>
      <c r="C433" s="80"/>
      <c r="D433" s="80"/>
      <c r="E433" s="124"/>
      <c r="F433" s="80"/>
      <c r="G433" s="80"/>
      <c r="H433" s="80"/>
      <c r="I433" s="80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15"/>
      <c r="AK433" s="80"/>
      <c r="AL433" s="80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</row>
    <row r="434">
      <c r="A434" s="80"/>
      <c r="B434" s="80"/>
      <c r="C434" s="80"/>
      <c r="D434" s="80"/>
      <c r="E434" s="124"/>
      <c r="F434" s="80"/>
      <c r="G434" s="80"/>
      <c r="H434" s="80"/>
      <c r="I434" s="80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15"/>
      <c r="AK434" s="80"/>
      <c r="AL434" s="80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</row>
    <row r="435">
      <c r="A435" s="80"/>
      <c r="B435" s="80"/>
      <c r="C435" s="80"/>
      <c r="D435" s="80"/>
      <c r="E435" s="124"/>
      <c r="F435" s="80"/>
      <c r="G435" s="80"/>
      <c r="H435" s="80"/>
      <c r="I435" s="80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15"/>
      <c r="AK435" s="80"/>
      <c r="AL435" s="80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</row>
    <row r="436">
      <c r="A436" s="80"/>
      <c r="B436" s="80"/>
      <c r="C436" s="80"/>
      <c r="D436" s="80"/>
      <c r="E436" s="124"/>
      <c r="F436" s="80"/>
      <c r="G436" s="80"/>
      <c r="H436" s="80"/>
      <c r="I436" s="80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15"/>
      <c r="AK436" s="80"/>
      <c r="AL436" s="80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</row>
    <row r="437">
      <c r="A437" s="80"/>
      <c r="B437" s="80"/>
      <c r="C437" s="80"/>
      <c r="D437" s="80"/>
      <c r="E437" s="124"/>
      <c r="F437" s="80"/>
      <c r="G437" s="80"/>
      <c r="H437" s="80"/>
      <c r="I437" s="80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15"/>
      <c r="AK437" s="80"/>
      <c r="AL437" s="80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</row>
    <row r="438">
      <c r="A438" s="80"/>
      <c r="B438" s="80"/>
      <c r="C438" s="80"/>
      <c r="D438" s="80"/>
      <c r="E438" s="124"/>
      <c r="F438" s="80"/>
      <c r="G438" s="80"/>
      <c r="H438" s="80"/>
      <c r="I438" s="80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15"/>
      <c r="AK438" s="80"/>
      <c r="AL438" s="80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</row>
    <row r="439">
      <c r="A439" s="80"/>
      <c r="B439" s="80"/>
      <c r="C439" s="80"/>
      <c r="D439" s="80"/>
      <c r="E439" s="124"/>
      <c r="F439" s="80"/>
      <c r="G439" s="80"/>
      <c r="H439" s="80"/>
      <c r="I439" s="80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15"/>
      <c r="AK439" s="80"/>
      <c r="AL439" s="80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</row>
    <row r="440">
      <c r="A440" s="80"/>
      <c r="B440" s="80"/>
      <c r="C440" s="80"/>
      <c r="D440" s="80"/>
      <c r="E440" s="124"/>
      <c r="F440" s="80"/>
      <c r="G440" s="80"/>
      <c r="H440" s="80"/>
      <c r="I440" s="80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15"/>
      <c r="AK440" s="80"/>
      <c r="AL440" s="80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</row>
    <row r="441">
      <c r="A441" s="80"/>
      <c r="B441" s="80"/>
      <c r="C441" s="80"/>
      <c r="D441" s="80"/>
      <c r="E441" s="124"/>
      <c r="F441" s="80"/>
      <c r="G441" s="80"/>
      <c r="H441" s="80"/>
      <c r="I441" s="80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15"/>
      <c r="AK441" s="80"/>
      <c r="AL441" s="80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</row>
    <row r="442">
      <c r="A442" s="80"/>
      <c r="B442" s="80"/>
      <c r="C442" s="80"/>
      <c r="D442" s="80"/>
      <c r="E442" s="124"/>
      <c r="F442" s="80"/>
      <c r="G442" s="80"/>
      <c r="H442" s="80"/>
      <c r="I442" s="80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15"/>
      <c r="AK442" s="80"/>
      <c r="AL442" s="80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</row>
    <row r="443">
      <c r="A443" s="80"/>
      <c r="B443" s="80"/>
      <c r="C443" s="80"/>
      <c r="D443" s="80"/>
      <c r="E443" s="124"/>
      <c r="F443" s="80"/>
      <c r="G443" s="80"/>
      <c r="H443" s="80"/>
      <c r="I443" s="80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15"/>
      <c r="AK443" s="80"/>
      <c r="AL443" s="80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</row>
    <row r="444">
      <c r="A444" s="80"/>
      <c r="B444" s="80"/>
      <c r="C444" s="80"/>
      <c r="D444" s="80"/>
      <c r="E444" s="124"/>
      <c r="F444" s="80"/>
      <c r="G444" s="80"/>
      <c r="H444" s="80"/>
      <c r="I444" s="80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15"/>
      <c r="AK444" s="80"/>
      <c r="AL444" s="80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</row>
    <row r="445">
      <c r="A445" s="80"/>
      <c r="B445" s="80"/>
      <c r="C445" s="80"/>
      <c r="D445" s="80"/>
      <c r="E445" s="124"/>
      <c r="F445" s="80"/>
      <c r="G445" s="80"/>
      <c r="H445" s="80"/>
      <c r="I445" s="80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15"/>
      <c r="AK445" s="80"/>
      <c r="AL445" s="80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</row>
    <row r="446">
      <c r="A446" s="80"/>
      <c r="B446" s="80"/>
      <c r="C446" s="80"/>
      <c r="D446" s="80"/>
      <c r="E446" s="124"/>
      <c r="F446" s="80"/>
      <c r="G446" s="80"/>
      <c r="H446" s="80"/>
      <c r="I446" s="80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15"/>
      <c r="AK446" s="80"/>
      <c r="AL446" s="80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</row>
    <row r="447">
      <c r="A447" s="80"/>
      <c r="B447" s="80"/>
      <c r="C447" s="80"/>
      <c r="D447" s="80"/>
      <c r="E447" s="124"/>
      <c r="F447" s="80"/>
      <c r="G447" s="80"/>
      <c r="H447" s="80"/>
      <c r="I447" s="80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15"/>
      <c r="AK447" s="80"/>
      <c r="AL447" s="80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</row>
    <row r="448">
      <c r="A448" s="80"/>
      <c r="B448" s="80"/>
      <c r="C448" s="80"/>
      <c r="D448" s="80"/>
      <c r="E448" s="124"/>
      <c r="F448" s="80"/>
      <c r="G448" s="80"/>
      <c r="H448" s="80"/>
      <c r="I448" s="80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15"/>
      <c r="AK448" s="80"/>
      <c r="AL448" s="80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</row>
    <row r="449">
      <c r="A449" s="80"/>
      <c r="B449" s="80"/>
      <c r="C449" s="80"/>
      <c r="D449" s="80"/>
      <c r="E449" s="124"/>
      <c r="F449" s="80"/>
      <c r="G449" s="80"/>
      <c r="H449" s="80"/>
      <c r="I449" s="80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15"/>
      <c r="AK449" s="80"/>
      <c r="AL449" s="80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</row>
    <row r="450">
      <c r="A450" s="80"/>
      <c r="B450" s="80"/>
      <c r="C450" s="80"/>
      <c r="D450" s="80"/>
      <c r="E450" s="124"/>
      <c r="F450" s="80"/>
      <c r="G450" s="80"/>
      <c r="H450" s="80"/>
      <c r="I450" s="80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15"/>
      <c r="AK450" s="80"/>
      <c r="AL450" s="80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</row>
    <row r="451">
      <c r="A451" s="80"/>
      <c r="B451" s="80"/>
      <c r="C451" s="80"/>
      <c r="D451" s="80"/>
      <c r="E451" s="124"/>
      <c r="F451" s="80"/>
      <c r="G451" s="80"/>
      <c r="H451" s="80"/>
      <c r="I451" s="80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15"/>
      <c r="AK451" s="80"/>
      <c r="AL451" s="80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</row>
    <row r="452">
      <c r="A452" s="80"/>
      <c r="B452" s="80"/>
      <c r="C452" s="80"/>
      <c r="D452" s="80"/>
      <c r="E452" s="124"/>
      <c r="F452" s="80"/>
      <c r="G452" s="80"/>
      <c r="H452" s="80"/>
      <c r="I452" s="80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15"/>
      <c r="AK452" s="80"/>
      <c r="AL452" s="80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</row>
    <row r="453">
      <c r="A453" s="80"/>
      <c r="B453" s="80"/>
      <c r="C453" s="80"/>
      <c r="D453" s="80"/>
      <c r="E453" s="124"/>
      <c r="F453" s="80"/>
      <c r="G453" s="80"/>
      <c r="H453" s="80"/>
      <c r="I453" s="80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15"/>
      <c r="AK453" s="80"/>
      <c r="AL453" s="80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</row>
    <row r="454">
      <c r="A454" s="80"/>
      <c r="B454" s="80"/>
      <c r="C454" s="80"/>
      <c r="D454" s="80"/>
      <c r="E454" s="124"/>
      <c r="F454" s="80"/>
      <c r="G454" s="80"/>
      <c r="H454" s="80"/>
      <c r="I454" s="80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15"/>
      <c r="AK454" s="80"/>
      <c r="AL454" s="80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</row>
    <row r="455">
      <c r="A455" s="80"/>
      <c r="B455" s="80"/>
      <c r="C455" s="80"/>
      <c r="D455" s="80"/>
      <c r="E455" s="124"/>
      <c r="F455" s="80"/>
      <c r="G455" s="80"/>
      <c r="H455" s="80"/>
      <c r="I455" s="80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15"/>
      <c r="AK455" s="80"/>
      <c r="AL455" s="80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</row>
    <row r="456">
      <c r="A456" s="80"/>
      <c r="B456" s="80"/>
      <c r="C456" s="80"/>
      <c r="D456" s="80"/>
      <c r="E456" s="124"/>
      <c r="F456" s="80"/>
      <c r="G456" s="80"/>
      <c r="H456" s="80"/>
      <c r="I456" s="80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15"/>
      <c r="AK456" s="80"/>
      <c r="AL456" s="80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</row>
    <row r="457">
      <c r="A457" s="80"/>
      <c r="B457" s="80"/>
      <c r="C457" s="80"/>
      <c r="D457" s="80"/>
      <c r="E457" s="124"/>
      <c r="F457" s="80"/>
      <c r="G457" s="80"/>
      <c r="H457" s="80"/>
      <c r="I457" s="80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15"/>
      <c r="AK457" s="80"/>
      <c r="AL457" s="80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</row>
    <row r="458">
      <c r="A458" s="80"/>
      <c r="B458" s="80"/>
      <c r="C458" s="80"/>
      <c r="D458" s="80"/>
      <c r="E458" s="124"/>
      <c r="F458" s="80"/>
      <c r="G458" s="80"/>
      <c r="H458" s="80"/>
      <c r="I458" s="80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15"/>
      <c r="AK458" s="80"/>
      <c r="AL458" s="80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</row>
    <row r="459">
      <c r="A459" s="80"/>
      <c r="B459" s="80"/>
      <c r="C459" s="80"/>
      <c r="D459" s="80"/>
      <c r="E459" s="124"/>
      <c r="F459" s="80"/>
      <c r="G459" s="80"/>
      <c r="H459" s="80"/>
      <c r="I459" s="80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15"/>
      <c r="AK459" s="80"/>
      <c r="AL459" s="80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</row>
    <row r="460">
      <c r="A460" s="80"/>
      <c r="B460" s="80"/>
      <c r="C460" s="80"/>
      <c r="D460" s="80"/>
      <c r="E460" s="124"/>
      <c r="F460" s="80"/>
      <c r="G460" s="80"/>
      <c r="H460" s="80"/>
      <c r="I460" s="80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15"/>
      <c r="AK460" s="80"/>
      <c r="AL460" s="80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</row>
    <row r="461">
      <c r="A461" s="80"/>
      <c r="B461" s="80"/>
      <c r="C461" s="80"/>
      <c r="D461" s="80"/>
      <c r="E461" s="124"/>
      <c r="F461" s="80"/>
      <c r="G461" s="80"/>
      <c r="H461" s="80"/>
      <c r="I461" s="80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15"/>
      <c r="AK461" s="80"/>
      <c r="AL461" s="80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</row>
    <row r="462">
      <c r="A462" s="80"/>
      <c r="B462" s="80"/>
      <c r="C462" s="80"/>
      <c r="D462" s="80"/>
      <c r="E462" s="124"/>
      <c r="F462" s="80"/>
      <c r="G462" s="80"/>
      <c r="H462" s="80"/>
      <c r="I462" s="80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15"/>
      <c r="AK462" s="80"/>
      <c r="AL462" s="80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</row>
    <row r="463">
      <c r="A463" s="80"/>
      <c r="B463" s="80"/>
      <c r="C463" s="80"/>
      <c r="D463" s="80"/>
      <c r="E463" s="124"/>
      <c r="F463" s="80"/>
      <c r="G463" s="80"/>
      <c r="H463" s="80"/>
      <c r="I463" s="80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15"/>
      <c r="AK463" s="80"/>
      <c r="AL463" s="80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</row>
    <row r="464">
      <c r="A464" s="80"/>
      <c r="B464" s="80"/>
      <c r="C464" s="80"/>
      <c r="D464" s="80"/>
      <c r="E464" s="124"/>
      <c r="F464" s="80"/>
      <c r="G464" s="80"/>
      <c r="H464" s="80"/>
      <c r="I464" s="80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15"/>
      <c r="AK464" s="80"/>
      <c r="AL464" s="80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</row>
    <row r="465">
      <c r="A465" s="80"/>
      <c r="B465" s="80"/>
      <c r="C465" s="80"/>
      <c r="D465" s="80"/>
      <c r="E465" s="124"/>
      <c r="F465" s="80"/>
      <c r="G465" s="80"/>
      <c r="H465" s="80"/>
      <c r="I465" s="80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15"/>
      <c r="AK465" s="80"/>
      <c r="AL465" s="80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</row>
    <row r="466">
      <c r="A466" s="80"/>
      <c r="B466" s="80"/>
      <c r="C466" s="80"/>
      <c r="D466" s="80"/>
      <c r="E466" s="124"/>
      <c r="F466" s="80"/>
      <c r="G466" s="80"/>
      <c r="H466" s="80"/>
      <c r="I466" s="80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15"/>
      <c r="AK466" s="80"/>
      <c r="AL466" s="80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</row>
    <row r="467">
      <c r="A467" s="80"/>
      <c r="B467" s="80"/>
      <c r="C467" s="80"/>
      <c r="D467" s="80"/>
      <c r="E467" s="124"/>
      <c r="F467" s="80"/>
      <c r="G467" s="80"/>
      <c r="H467" s="80"/>
      <c r="I467" s="80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15"/>
      <c r="AK467" s="80"/>
      <c r="AL467" s="80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</row>
    <row r="468">
      <c r="A468" s="80"/>
      <c r="B468" s="80"/>
      <c r="C468" s="80"/>
      <c r="D468" s="80"/>
      <c r="E468" s="124"/>
      <c r="F468" s="80"/>
      <c r="G468" s="80"/>
      <c r="H468" s="80"/>
      <c r="I468" s="80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15"/>
      <c r="AK468" s="80"/>
      <c r="AL468" s="80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</row>
    <row r="469">
      <c r="A469" s="80"/>
      <c r="B469" s="80"/>
      <c r="C469" s="80"/>
      <c r="D469" s="80"/>
      <c r="E469" s="124"/>
      <c r="F469" s="80"/>
      <c r="G469" s="80"/>
      <c r="H469" s="80"/>
      <c r="I469" s="80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15"/>
      <c r="AK469" s="80"/>
      <c r="AL469" s="80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</row>
    <row r="470">
      <c r="A470" s="80"/>
      <c r="B470" s="80"/>
      <c r="C470" s="80"/>
      <c r="D470" s="80"/>
      <c r="E470" s="124"/>
      <c r="F470" s="80"/>
      <c r="G470" s="80"/>
      <c r="H470" s="80"/>
      <c r="I470" s="80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15"/>
      <c r="AK470" s="80"/>
      <c r="AL470" s="80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</row>
    <row r="471">
      <c r="A471" s="80"/>
      <c r="B471" s="80"/>
      <c r="C471" s="80"/>
      <c r="D471" s="80"/>
      <c r="E471" s="124"/>
      <c r="F471" s="80"/>
      <c r="G471" s="80"/>
      <c r="H471" s="80"/>
      <c r="I471" s="80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15"/>
      <c r="AK471" s="80"/>
      <c r="AL471" s="80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</row>
    <row r="472">
      <c r="A472" s="80"/>
      <c r="B472" s="80"/>
      <c r="C472" s="80"/>
      <c r="D472" s="80"/>
      <c r="E472" s="124"/>
      <c r="F472" s="80"/>
      <c r="G472" s="80"/>
      <c r="H472" s="80"/>
      <c r="I472" s="80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15"/>
      <c r="AK472" s="80"/>
      <c r="AL472" s="80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</row>
    <row r="473">
      <c r="A473" s="80"/>
      <c r="B473" s="80"/>
      <c r="C473" s="80"/>
      <c r="D473" s="80"/>
      <c r="E473" s="124"/>
      <c r="F473" s="80"/>
      <c r="G473" s="80"/>
      <c r="H473" s="80"/>
      <c r="I473" s="80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15"/>
      <c r="AK473" s="80"/>
      <c r="AL473" s="80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</row>
    <row r="474">
      <c r="A474" s="80"/>
      <c r="B474" s="80"/>
      <c r="C474" s="80"/>
      <c r="D474" s="80"/>
      <c r="E474" s="124"/>
      <c r="F474" s="80"/>
      <c r="G474" s="80"/>
      <c r="H474" s="80"/>
      <c r="I474" s="80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15"/>
      <c r="AK474" s="80"/>
      <c r="AL474" s="80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</row>
    <row r="475">
      <c r="A475" s="80"/>
      <c r="B475" s="80"/>
      <c r="C475" s="80"/>
      <c r="D475" s="80"/>
      <c r="E475" s="124"/>
      <c r="F475" s="80"/>
      <c r="G475" s="80"/>
      <c r="H475" s="80"/>
      <c r="I475" s="80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15"/>
      <c r="AK475" s="80"/>
      <c r="AL475" s="80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</row>
    <row r="476">
      <c r="A476" s="80"/>
      <c r="B476" s="80"/>
      <c r="C476" s="80"/>
      <c r="D476" s="80"/>
      <c r="E476" s="124"/>
      <c r="F476" s="80"/>
      <c r="G476" s="80"/>
      <c r="H476" s="80"/>
      <c r="I476" s="80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15"/>
      <c r="AK476" s="80"/>
      <c r="AL476" s="80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</row>
    <row r="477">
      <c r="A477" s="80"/>
      <c r="B477" s="80"/>
      <c r="C477" s="80"/>
      <c r="D477" s="80"/>
      <c r="E477" s="124"/>
      <c r="F477" s="80"/>
      <c r="G477" s="80"/>
      <c r="H477" s="80"/>
      <c r="I477" s="80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15"/>
      <c r="AK477" s="80"/>
      <c r="AL477" s="80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</row>
    <row r="478">
      <c r="A478" s="80"/>
      <c r="B478" s="80"/>
      <c r="C478" s="80"/>
      <c r="D478" s="80"/>
      <c r="E478" s="124"/>
      <c r="F478" s="80"/>
      <c r="G478" s="80"/>
      <c r="H478" s="80"/>
      <c r="I478" s="80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15"/>
      <c r="AK478" s="80"/>
      <c r="AL478" s="80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</row>
    <row r="479">
      <c r="A479" s="80"/>
      <c r="B479" s="80"/>
      <c r="C479" s="80"/>
      <c r="D479" s="80"/>
      <c r="E479" s="124"/>
      <c r="F479" s="80"/>
      <c r="G479" s="80"/>
      <c r="H479" s="80"/>
      <c r="I479" s="80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15"/>
      <c r="AK479" s="80"/>
      <c r="AL479" s="80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</row>
    <row r="480">
      <c r="A480" s="80"/>
      <c r="B480" s="80"/>
      <c r="C480" s="80"/>
      <c r="D480" s="80"/>
      <c r="E480" s="124"/>
      <c r="F480" s="80"/>
      <c r="G480" s="80"/>
      <c r="H480" s="80"/>
      <c r="I480" s="80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15"/>
      <c r="AK480" s="80"/>
      <c r="AL480" s="80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</row>
    <row r="481">
      <c r="A481" s="80"/>
      <c r="B481" s="80"/>
      <c r="C481" s="80"/>
      <c r="D481" s="80"/>
      <c r="E481" s="124"/>
      <c r="F481" s="80"/>
      <c r="G481" s="80"/>
      <c r="H481" s="80"/>
      <c r="I481" s="80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15"/>
      <c r="AK481" s="80"/>
      <c r="AL481" s="80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</row>
    <row r="482">
      <c r="A482" s="80"/>
      <c r="B482" s="80"/>
      <c r="C482" s="80"/>
      <c r="D482" s="80"/>
      <c r="E482" s="124"/>
      <c r="F482" s="80"/>
      <c r="G482" s="80"/>
      <c r="H482" s="80"/>
      <c r="I482" s="80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15"/>
      <c r="AK482" s="80"/>
      <c r="AL482" s="80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</row>
    <row r="483">
      <c r="A483" s="80"/>
      <c r="B483" s="80"/>
      <c r="C483" s="80"/>
      <c r="D483" s="80"/>
      <c r="E483" s="124"/>
      <c r="F483" s="80"/>
      <c r="G483" s="80"/>
      <c r="H483" s="80"/>
      <c r="I483" s="80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15"/>
      <c r="AK483" s="80"/>
      <c r="AL483" s="80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</row>
    <row r="484">
      <c r="A484" s="80"/>
      <c r="B484" s="80"/>
      <c r="C484" s="80"/>
      <c r="D484" s="80"/>
      <c r="E484" s="124"/>
      <c r="F484" s="80"/>
      <c r="G484" s="80"/>
      <c r="H484" s="80"/>
      <c r="I484" s="80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15"/>
      <c r="AK484" s="80"/>
      <c r="AL484" s="80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</row>
    <row r="485">
      <c r="A485" s="80"/>
      <c r="B485" s="80"/>
      <c r="C485" s="80"/>
      <c r="D485" s="80"/>
      <c r="E485" s="124"/>
      <c r="F485" s="80"/>
      <c r="G485" s="80"/>
      <c r="H485" s="80"/>
      <c r="I485" s="80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15"/>
      <c r="AK485" s="80"/>
      <c r="AL485" s="80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</row>
    <row r="486">
      <c r="A486" s="80"/>
      <c r="B486" s="80"/>
      <c r="C486" s="80"/>
      <c r="D486" s="80"/>
      <c r="E486" s="124"/>
      <c r="F486" s="80"/>
      <c r="G486" s="80"/>
      <c r="H486" s="80"/>
      <c r="I486" s="80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15"/>
      <c r="AK486" s="80"/>
      <c r="AL486" s="80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</row>
    <row r="487">
      <c r="A487" s="80"/>
      <c r="B487" s="80"/>
      <c r="C487" s="80"/>
      <c r="D487" s="80"/>
      <c r="E487" s="124"/>
      <c r="F487" s="80"/>
      <c r="G487" s="80"/>
      <c r="H487" s="80"/>
      <c r="I487" s="80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15"/>
      <c r="AK487" s="80"/>
      <c r="AL487" s="80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</row>
    <row r="488">
      <c r="A488" s="80"/>
      <c r="B488" s="80"/>
      <c r="C488" s="80"/>
      <c r="D488" s="80"/>
      <c r="E488" s="124"/>
      <c r="F488" s="80"/>
      <c r="G488" s="80"/>
      <c r="H488" s="80"/>
      <c r="I488" s="80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15"/>
      <c r="AK488" s="80"/>
      <c r="AL488" s="80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</row>
    <row r="489">
      <c r="A489" s="80"/>
      <c r="B489" s="80"/>
      <c r="C489" s="80"/>
      <c r="D489" s="80"/>
      <c r="E489" s="124"/>
      <c r="F489" s="80"/>
      <c r="G489" s="80"/>
      <c r="H489" s="80"/>
      <c r="I489" s="80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15"/>
      <c r="AK489" s="80"/>
      <c r="AL489" s="80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</row>
    <row r="490">
      <c r="A490" s="80"/>
      <c r="B490" s="80"/>
      <c r="C490" s="80"/>
      <c r="D490" s="80"/>
      <c r="E490" s="124"/>
      <c r="F490" s="80"/>
      <c r="G490" s="80"/>
      <c r="H490" s="80"/>
      <c r="I490" s="80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15"/>
      <c r="AK490" s="80"/>
      <c r="AL490" s="80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</row>
    <row r="491">
      <c r="A491" s="80"/>
      <c r="B491" s="80"/>
      <c r="C491" s="80"/>
      <c r="D491" s="80"/>
      <c r="E491" s="124"/>
      <c r="F491" s="80"/>
      <c r="G491" s="80"/>
      <c r="H491" s="80"/>
      <c r="I491" s="80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15"/>
      <c r="AK491" s="80"/>
      <c r="AL491" s="80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</row>
    <row r="492">
      <c r="A492" s="80"/>
      <c r="B492" s="80"/>
      <c r="C492" s="80"/>
      <c r="D492" s="80"/>
      <c r="E492" s="124"/>
      <c r="F492" s="80"/>
      <c r="G492" s="80"/>
      <c r="H492" s="80"/>
      <c r="I492" s="80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15"/>
      <c r="AK492" s="80"/>
      <c r="AL492" s="80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</row>
    <row r="493">
      <c r="A493" s="80"/>
      <c r="B493" s="80"/>
      <c r="C493" s="80"/>
      <c r="D493" s="80"/>
      <c r="E493" s="124"/>
      <c r="F493" s="80"/>
      <c r="G493" s="80"/>
      <c r="H493" s="80"/>
      <c r="I493" s="80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15"/>
      <c r="AK493" s="80"/>
      <c r="AL493" s="80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</row>
    <row r="494">
      <c r="A494" s="80"/>
      <c r="B494" s="80"/>
      <c r="C494" s="80"/>
      <c r="D494" s="80"/>
      <c r="E494" s="124"/>
      <c r="F494" s="80"/>
      <c r="G494" s="80"/>
      <c r="H494" s="80"/>
      <c r="I494" s="80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15"/>
      <c r="AK494" s="80"/>
      <c r="AL494" s="80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</row>
    <row r="495">
      <c r="A495" s="80"/>
      <c r="B495" s="80"/>
      <c r="C495" s="80"/>
      <c r="D495" s="80"/>
      <c r="E495" s="124"/>
      <c r="F495" s="80"/>
      <c r="G495" s="80"/>
      <c r="H495" s="80"/>
      <c r="I495" s="80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15"/>
      <c r="AK495" s="80"/>
      <c r="AL495" s="80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</row>
    <row r="496">
      <c r="A496" s="80"/>
      <c r="B496" s="80"/>
      <c r="C496" s="80"/>
      <c r="D496" s="80"/>
      <c r="E496" s="124"/>
      <c r="F496" s="80"/>
      <c r="G496" s="80"/>
      <c r="H496" s="80"/>
      <c r="I496" s="80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15"/>
      <c r="AK496" s="80"/>
      <c r="AL496" s="80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</row>
    <row r="497">
      <c r="A497" s="80"/>
      <c r="B497" s="80"/>
      <c r="C497" s="80"/>
      <c r="D497" s="80"/>
      <c r="E497" s="124"/>
      <c r="F497" s="80"/>
      <c r="G497" s="80"/>
      <c r="H497" s="80"/>
      <c r="I497" s="80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15"/>
      <c r="AK497" s="80"/>
      <c r="AL497" s="80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</row>
    <row r="498">
      <c r="A498" s="80"/>
      <c r="B498" s="80"/>
      <c r="C498" s="80"/>
      <c r="D498" s="80"/>
      <c r="E498" s="124"/>
      <c r="F498" s="80"/>
      <c r="G498" s="80"/>
      <c r="H498" s="80"/>
      <c r="I498" s="80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15"/>
      <c r="AK498" s="80"/>
      <c r="AL498" s="80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</row>
    <row r="499">
      <c r="A499" s="80"/>
      <c r="B499" s="80"/>
      <c r="C499" s="80"/>
      <c r="D499" s="80"/>
      <c r="E499" s="124"/>
      <c r="F499" s="80"/>
      <c r="G499" s="80"/>
      <c r="H499" s="80"/>
      <c r="I499" s="80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15"/>
      <c r="AK499" s="80"/>
      <c r="AL499" s="80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</row>
    <row r="500">
      <c r="A500" s="80"/>
      <c r="B500" s="80"/>
      <c r="C500" s="80"/>
      <c r="D500" s="80"/>
      <c r="E500" s="124"/>
      <c r="F500" s="80"/>
      <c r="G500" s="80"/>
      <c r="H500" s="80"/>
      <c r="I500" s="80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15"/>
      <c r="AK500" s="80"/>
      <c r="AL500" s="80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</row>
    <row r="501">
      <c r="A501" s="80"/>
      <c r="B501" s="80"/>
      <c r="C501" s="80"/>
      <c r="D501" s="80"/>
      <c r="E501" s="124"/>
      <c r="F501" s="80"/>
      <c r="G501" s="80"/>
      <c r="H501" s="80"/>
      <c r="I501" s="80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7"/>
      <c r="AK501" s="80"/>
      <c r="AL501" s="80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</row>
    <row r="502">
      <c r="A502" s="80"/>
      <c r="B502" s="80"/>
      <c r="C502" s="80"/>
      <c r="D502" s="80"/>
      <c r="E502" s="124"/>
      <c r="F502" s="80"/>
      <c r="G502" s="80"/>
      <c r="H502" s="80"/>
      <c r="I502" s="80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7"/>
      <c r="AK502" s="80"/>
      <c r="AL502" s="80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</row>
    <row r="503">
      <c r="A503" s="80"/>
      <c r="B503" s="80"/>
      <c r="C503" s="80"/>
      <c r="D503" s="80"/>
      <c r="E503" s="124"/>
      <c r="F503" s="80"/>
      <c r="G503" s="80"/>
      <c r="H503" s="80"/>
      <c r="I503" s="80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7"/>
      <c r="AK503" s="80"/>
      <c r="AL503" s="80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</row>
    <row r="504">
      <c r="A504" s="80"/>
      <c r="B504" s="80"/>
      <c r="C504" s="80"/>
      <c r="D504" s="80"/>
      <c r="E504" s="124"/>
      <c r="F504" s="80"/>
      <c r="G504" s="80"/>
      <c r="H504" s="80"/>
      <c r="I504" s="80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7"/>
      <c r="AK504" s="80"/>
      <c r="AL504" s="80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</row>
    <row r="505">
      <c r="A505" s="80"/>
      <c r="B505" s="80"/>
      <c r="C505" s="80"/>
      <c r="D505" s="80"/>
      <c r="E505" s="124"/>
      <c r="F505" s="80"/>
      <c r="G505" s="80"/>
      <c r="H505" s="80"/>
      <c r="I505" s="80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7"/>
      <c r="AK505" s="80"/>
      <c r="AL505" s="80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</row>
    <row r="506">
      <c r="A506" s="80"/>
      <c r="B506" s="80"/>
      <c r="C506" s="80"/>
      <c r="D506" s="80"/>
      <c r="E506" s="124"/>
      <c r="F506" s="80"/>
      <c r="G506" s="80"/>
      <c r="H506" s="80"/>
      <c r="I506" s="80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7"/>
      <c r="AK506" s="80"/>
      <c r="AL506" s="80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</row>
    <row r="507">
      <c r="A507" s="80"/>
      <c r="B507" s="80"/>
      <c r="C507" s="80"/>
      <c r="D507" s="80"/>
      <c r="E507" s="124"/>
      <c r="F507" s="80"/>
      <c r="G507" s="80"/>
      <c r="H507" s="80"/>
      <c r="I507" s="80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7"/>
      <c r="AK507" s="80"/>
      <c r="AL507" s="80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</row>
    <row r="508">
      <c r="A508" s="80"/>
      <c r="B508" s="80"/>
      <c r="C508" s="80"/>
      <c r="D508" s="80"/>
      <c r="E508" s="124"/>
      <c r="F508" s="80"/>
      <c r="G508" s="80"/>
      <c r="H508" s="80"/>
      <c r="I508" s="80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7"/>
      <c r="AK508" s="80"/>
      <c r="AL508" s="80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</row>
    <row r="509">
      <c r="A509" s="80"/>
      <c r="B509" s="80"/>
      <c r="C509" s="80"/>
      <c r="D509" s="80"/>
      <c r="E509" s="124"/>
      <c r="F509" s="80"/>
      <c r="G509" s="80"/>
      <c r="H509" s="80"/>
      <c r="I509" s="80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7"/>
      <c r="AK509" s="80"/>
      <c r="AL509" s="80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</row>
    <row r="510">
      <c r="A510" s="80"/>
      <c r="B510" s="80"/>
      <c r="C510" s="80"/>
      <c r="D510" s="80"/>
      <c r="E510" s="124"/>
      <c r="F510" s="80"/>
      <c r="G510" s="80"/>
      <c r="H510" s="80"/>
      <c r="I510" s="80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7"/>
      <c r="AK510" s="80"/>
      <c r="AL510" s="80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</row>
    <row r="511">
      <c r="A511" s="80"/>
      <c r="B511" s="80"/>
      <c r="C511" s="80"/>
      <c r="D511" s="80"/>
      <c r="E511" s="124"/>
      <c r="F511" s="80"/>
      <c r="G511" s="80"/>
      <c r="H511" s="80"/>
      <c r="I511" s="80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7"/>
      <c r="AK511" s="80"/>
      <c r="AL511" s="80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</row>
    <row r="512">
      <c r="A512" s="80"/>
      <c r="B512" s="80"/>
      <c r="C512" s="80"/>
      <c r="D512" s="80"/>
      <c r="E512" s="124"/>
      <c r="F512" s="80"/>
      <c r="G512" s="80"/>
      <c r="H512" s="80"/>
      <c r="I512" s="80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7"/>
      <c r="AK512" s="80"/>
      <c r="AL512" s="80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</row>
    <row r="513">
      <c r="A513" s="80"/>
      <c r="B513" s="80"/>
      <c r="C513" s="80"/>
      <c r="D513" s="80"/>
      <c r="E513" s="124"/>
      <c r="F513" s="80"/>
      <c r="G513" s="80"/>
      <c r="H513" s="80"/>
      <c r="I513" s="80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7"/>
      <c r="AK513" s="80"/>
      <c r="AL513" s="80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</row>
    <row r="514">
      <c r="A514" s="80"/>
      <c r="B514" s="80"/>
      <c r="C514" s="80"/>
      <c r="D514" s="80"/>
      <c r="E514" s="124"/>
      <c r="F514" s="80"/>
      <c r="G514" s="80"/>
      <c r="H514" s="80"/>
      <c r="I514" s="80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7"/>
      <c r="AK514" s="80"/>
      <c r="AL514" s="80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</row>
    <row r="515">
      <c r="A515" s="80"/>
      <c r="B515" s="80"/>
      <c r="C515" s="80"/>
      <c r="D515" s="80"/>
      <c r="E515" s="124"/>
      <c r="F515" s="80"/>
      <c r="G515" s="80"/>
      <c r="H515" s="80"/>
      <c r="I515" s="80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7"/>
      <c r="AK515" s="80"/>
      <c r="AL515" s="80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</row>
    <row r="516">
      <c r="A516" s="80"/>
      <c r="B516" s="80"/>
      <c r="C516" s="80"/>
      <c r="D516" s="80"/>
      <c r="E516" s="124"/>
      <c r="F516" s="80"/>
      <c r="G516" s="80"/>
      <c r="H516" s="80"/>
      <c r="I516" s="80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7"/>
      <c r="AK516" s="80"/>
      <c r="AL516" s="80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</row>
    <row r="517">
      <c r="A517" s="80"/>
      <c r="B517" s="80"/>
      <c r="C517" s="80"/>
      <c r="D517" s="80"/>
      <c r="E517" s="124"/>
      <c r="F517" s="80"/>
      <c r="G517" s="80"/>
      <c r="H517" s="80"/>
      <c r="I517" s="80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7"/>
      <c r="AK517" s="80"/>
      <c r="AL517" s="80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</row>
    <row r="518">
      <c r="A518" s="80"/>
      <c r="B518" s="80"/>
      <c r="C518" s="80"/>
      <c r="D518" s="80"/>
      <c r="E518" s="124"/>
      <c r="F518" s="80"/>
      <c r="G518" s="80"/>
      <c r="H518" s="80"/>
      <c r="I518" s="80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7"/>
      <c r="AK518" s="80"/>
      <c r="AL518" s="80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</row>
    <row r="519">
      <c r="A519" s="80"/>
      <c r="B519" s="80"/>
      <c r="C519" s="80"/>
      <c r="D519" s="80"/>
      <c r="E519" s="124"/>
      <c r="F519" s="80"/>
      <c r="G519" s="80"/>
      <c r="H519" s="80"/>
      <c r="I519" s="80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7"/>
      <c r="AK519" s="80"/>
      <c r="AL519" s="80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</row>
    <row r="520">
      <c r="A520" s="80"/>
      <c r="B520" s="80"/>
      <c r="C520" s="80"/>
      <c r="D520" s="80"/>
      <c r="E520" s="124"/>
      <c r="F520" s="80"/>
      <c r="G520" s="80"/>
      <c r="H520" s="80"/>
      <c r="I520" s="80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7"/>
      <c r="AK520" s="80"/>
      <c r="AL520" s="80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</row>
    <row r="521">
      <c r="A521" s="80"/>
      <c r="B521" s="80"/>
      <c r="C521" s="80"/>
      <c r="D521" s="80"/>
      <c r="E521" s="124"/>
      <c r="F521" s="80"/>
      <c r="G521" s="80"/>
      <c r="H521" s="80"/>
      <c r="I521" s="80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7"/>
      <c r="AK521" s="80"/>
      <c r="AL521" s="80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</row>
    <row r="522">
      <c r="A522" s="80"/>
      <c r="B522" s="80"/>
      <c r="C522" s="80"/>
      <c r="D522" s="80"/>
      <c r="E522" s="124"/>
      <c r="F522" s="80"/>
      <c r="G522" s="80"/>
      <c r="H522" s="80"/>
      <c r="I522" s="80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7"/>
      <c r="AK522" s="80"/>
      <c r="AL522" s="80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</row>
    <row r="523">
      <c r="A523" s="80"/>
      <c r="B523" s="80"/>
      <c r="C523" s="80"/>
      <c r="D523" s="80"/>
      <c r="E523" s="124"/>
      <c r="F523" s="80"/>
      <c r="G523" s="80"/>
      <c r="H523" s="80"/>
      <c r="I523" s="80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7"/>
      <c r="AK523" s="80"/>
      <c r="AL523" s="80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</row>
    <row r="524">
      <c r="A524" s="80"/>
      <c r="B524" s="80"/>
      <c r="C524" s="80"/>
      <c r="D524" s="80"/>
      <c r="E524" s="124"/>
      <c r="F524" s="80"/>
      <c r="G524" s="80"/>
      <c r="H524" s="80"/>
      <c r="I524" s="80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7"/>
      <c r="AK524" s="80"/>
      <c r="AL524" s="80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</row>
    <row r="525">
      <c r="A525" s="80"/>
      <c r="B525" s="80"/>
      <c r="C525" s="80"/>
      <c r="D525" s="80"/>
      <c r="E525" s="124"/>
      <c r="F525" s="80"/>
      <c r="G525" s="80"/>
      <c r="H525" s="80"/>
      <c r="I525" s="80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7"/>
      <c r="AK525" s="80"/>
      <c r="AL525" s="80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</row>
    <row r="526">
      <c r="A526" s="80"/>
      <c r="B526" s="80"/>
      <c r="C526" s="80"/>
      <c r="D526" s="80"/>
      <c r="E526" s="124"/>
      <c r="F526" s="80"/>
      <c r="G526" s="80"/>
      <c r="H526" s="80"/>
      <c r="I526" s="80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7"/>
      <c r="AK526" s="80"/>
      <c r="AL526" s="80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</row>
    <row r="527">
      <c r="A527" s="80"/>
      <c r="B527" s="80"/>
      <c r="C527" s="80"/>
      <c r="D527" s="80"/>
      <c r="E527" s="124"/>
      <c r="F527" s="80"/>
      <c r="G527" s="80"/>
      <c r="H527" s="80"/>
      <c r="I527" s="80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7"/>
      <c r="AK527" s="80"/>
      <c r="AL527" s="80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</row>
    <row r="528">
      <c r="A528" s="80"/>
      <c r="B528" s="80"/>
      <c r="C528" s="80"/>
      <c r="D528" s="80"/>
      <c r="E528" s="124"/>
      <c r="F528" s="80"/>
      <c r="G528" s="80"/>
      <c r="H528" s="80"/>
      <c r="I528" s="80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7"/>
      <c r="AK528" s="80"/>
      <c r="AL528" s="80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</row>
    <row r="529">
      <c r="A529" s="80"/>
      <c r="B529" s="80"/>
      <c r="C529" s="80"/>
      <c r="D529" s="80"/>
      <c r="E529" s="124"/>
      <c r="F529" s="80"/>
      <c r="G529" s="80"/>
      <c r="H529" s="80"/>
      <c r="I529" s="80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7"/>
      <c r="AK529" s="80"/>
      <c r="AL529" s="80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</row>
    <row r="530">
      <c r="A530" s="80"/>
      <c r="B530" s="80"/>
      <c r="C530" s="80"/>
      <c r="D530" s="80"/>
      <c r="E530" s="124"/>
      <c r="F530" s="80"/>
      <c r="G530" s="80"/>
      <c r="H530" s="80"/>
      <c r="I530" s="80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7"/>
      <c r="AK530" s="80"/>
      <c r="AL530" s="80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</row>
    <row r="531">
      <c r="A531" s="80"/>
      <c r="B531" s="80"/>
      <c r="C531" s="80"/>
      <c r="D531" s="80"/>
      <c r="E531" s="124"/>
      <c r="F531" s="80"/>
      <c r="G531" s="80"/>
      <c r="H531" s="80"/>
      <c r="I531" s="80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7"/>
      <c r="AK531" s="80"/>
      <c r="AL531" s="80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</row>
    <row r="532">
      <c r="A532" s="80"/>
      <c r="B532" s="80"/>
      <c r="C532" s="80"/>
      <c r="D532" s="80"/>
      <c r="E532" s="124"/>
      <c r="F532" s="80"/>
      <c r="G532" s="80"/>
      <c r="H532" s="80"/>
      <c r="I532" s="80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7"/>
      <c r="AK532" s="80"/>
      <c r="AL532" s="80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</row>
    <row r="533">
      <c r="A533" s="80"/>
      <c r="B533" s="80"/>
      <c r="C533" s="80"/>
      <c r="D533" s="80"/>
      <c r="E533" s="124"/>
      <c r="F533" s="80"/>
      <c r="G533" s="80"/>
      <c r="H533" s="80"/>
      <c r="I533" s="80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7"/>
      <c r="AK533" s="80"/>
      <c r="AL533" s="80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</row>
    <row r="534">
      <c r="A534" s="80"/>
      <c r="B534" s="80"/>
      <c r="C534" s="80"/>
      <c r="D534" s="80"/>
      <c r="E534" s="124"/>
      <c r="F534" s="80"/>
      <c r="G534" s="80"/>
      <c r="H534" s="80"/>
      <c r="I534" s="80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7"/>
      <c r="AK534" s="80"/>
      <c r="AL534" s="80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</row>
    <row r="535">
      <c r="A535" s="80"/>
      <c r="B535" s="80"/>
      <c r="C535" s="80"/>
      <c r="D535" s="80"/>
      <c r="E535" s="124"/>
      <c r="F535" s="80"/>
      <c r="G535" s="80"/>
      <c r="H535" s="80"/>
      <c r="I535" s="80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7"/>
      <c r="AK535" s="80"/>
      <c r="AL535" s="80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</row>
    <row r="536">
      <c r="A536" s="80"/>
      <c r="B536" s="80"/>
      <c r="C536" s="80"/>
      <c r="D536" s="80"/>
      <c r="E536" s="124"/>
      <c r="F536" s="80"/>
      <c r="G536" s="80"/>
      <c r="H536" s="80"/>
      <c r="I536" s="80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7"/>
      <c r="AK536" s="80"/>
      <c r="AL536" s="80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</row>
    <row r="537">
      <c r="A537" s="80"/>
      <c r="B537" s="80"/>
      <c r="C537" s="80"/>
      <c r="D537" s="80"/>
      <c r="E537" s="124"/>
      <c r="F537" s="80"/>
      <c r="G537" s="80"/>
      <c r="H537" s="80"/>
      <c r="I537" s="80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7"/>
      <c r="AK537" s="80"/>
      <c r="AL537" s="80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</row>
    <row r="538">
      <c r="A538" s="80"/>
      <c r="B538" s="80"/>
      <c r="C538" s="80"/>
      <c r="D538" s="80"/>
      <c r="E538" s="124"/>
      <c r="F538" s="80"/>
      <c r="G538" s="80"/>
      <c r="H538" s="80"/>
      <c r="I538" s="80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7"/>
      <c r="AK538" s="80"/>
      <c r="AL538" s="80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</row>
    <row r="539">
      <c r="A539" s="80"/>
      <c r="B539" s="80"/>
      <c r="C539" s="80"/>
      <c r="D539" s="80"/>
      <c r="E539" s="124"/>
      <c r="F539" s="80"/>
      <c r="G539" s="80"/>
      <c r="H539" s="80"/>
      <c r="I539" s="80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7"/>
      <c r="AK539" s="80"/>
      <c r="AL539" s="80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</row>
    <row r="540">
      <c r="A540" s="80"/>
      <c r="B540" s="80"/>
      <c r="C540" s="80"/>
      <c r="D540" s="80"/>
      <c r="E540" s="124"/>
      <c r="F540" s="80"/>
      <c r="G540" s="80"/>
      <c r="H540" s="80"/>
      <c r="I540" s="80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7"/>
      <c r="AK540" s="80"/>
      <c r="AL540" s="80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</row>
    <row r="541">
      <c r="A541" s="80"/>
      <c r="B541" s="80"/>
      <c r="C541" s="80"/>
      <c r="D541" s="80"/>
      <c r="E541" s="124"/>
      <c r="F541" s="80"/>
      <c r="G541" s="80"/>
      <c r="H541" s="80"/>
      <c r="I541" s="80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7"/>
      <c r="AK541" s="80"/>
      <c r="AL541" s="80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</row>
    <row r="542">
      <c r="A542" s="80"/>
      <c r="B542" s="80"/>
      <c r="C542" s="80"/>
      <c r="D542" s="80"/>
      <c r="E542" s="124"/>
      <c r="F542" s="80"/>
      <c r="G542" s="80"/>
      <c r="H542" s="80"/>
      <c r="I542" s="80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7"/>
      <c r="AK542" s="80"/>
      <c r="AL542" s="80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</row>
    <row r="543">
      <c r="A543" s="80"/>
      <c r="B543" s="80"/>
      <c r="C543" s="80"/>
      <c r="D543" s="80"/>
      <c r="E543" s="124"/>
      <c r="F543" s="80"/>
      <c r="G543" s="80"/>
      <c r="H543" s="80"/>
      <c r="I543" s="80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7"/>
      <c r="AK543" s="80"/>
      <c r="AL543" s="80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</row>
    <row r="544">
      <c r="A544" s="80"/>
      <c r="B544" s="80"/>
      <c r="C544" s="80"/>
      <c r="D544" s="80"/>
      <c r="E544" s="124"/>
      <c r="F544" s="80"/>
      <c r="G544" s="80"/>
      <c r="H544" s="80"/>
      <c r="I544" s="80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7"/>
      <c r="AK544" s="80"/>
      <c r="AL544" s="80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</row>
    <row r="545">
      <c r="A545" s="80"/>
      <c r="B545" s="80"/>
      <c r="C545" s="80"/>
      <c r="D545" s="80"/>
      <c r="E545" s="124"/>
      <c r="F545" s="80"/>
      <c r="G545" s="80"/>
      <c r="H545" s="80"/>
      <c r="I545" s="80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7"/>
      <c r="AK545" s="80"/>
      <c r="AL545" s="80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</row>
    <row r="546">
      <c r="A546" s="80"/>
      <c r="B546" s="80"/>
      <c r="C546" s="80"/>
      <c r="D546" s="80"/>
      <c r="E546" s="124"/>
      <c r="F546" s="80"/>
      <c r="G546" s="80"/>
      <c r="H546" s="80"/>
      <c r="I546" s="80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7"/>
      <c r="AK546" s="80"/>
      <c r="AL546" s="80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</row>
    <row r="547">
      <c r="A547" s="80"/>
      <c r="B547" s="80"/>
      <c r="C547" s="80"/>
      <c r="D547" s="80"/>
      <c r="E547" s="124"/>
      <c r="F547" s="80"/>
      <c r="G547" s="80"/>
      <c r="H547" s="80"/>
      <c r="I547" s="80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7"/>
      <c r="AK547" s="80"/>
      <c r="AL547" s="80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</row>
    <row r="548">
      <c r="A548" s="80"/>
      <c r="B548" s="80"/>
      <c r="C548" s="80"/>
      <c r="D548" s="80"/>
      <c r="E548" s="124"/>
      <c r="F548" s="80"/>
      <c r="G548" s="80"/>
      <c r="H548" s="80"/>
      <c r="I548" s="80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7"/>
      <c r="AK548" s="80"/>
      <c r="AL548" s="80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</row>
    <row r="549">
      <c r="A549" s="80"/>
      <c r="B549" s="80"/>
      <c r="C549" s="80"/>
      <c r="D549" s="80"/>
      <c r="E549" s="124"/>
      <c r="F549" s="80"/>
      <c r="G549" s="80"/>
      <c r="H549" s="80"/>
      <c r="I549" s="80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7"/>
      <c r="AK549" s="80"/>
      <c r="AL549" s="80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</row>
    <row r="550">
      <c r="A550" s="80"/>
      <c r="B550" s="80"/>
      <c r="C550" s="80"/>
      <c r="D550" s="80"/>
      <c r="E550" s="124"/>
      <c r="F550" s="80"/>
      <c r="G550" s="80"/>
      <c r="H550" s="80"/>
      <c r="I550" s="80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7"/>
      <c r="AK550" s="80"/>
      <c r="AL550" s="80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</row>
    <row r="551">
      <c r="A551" s="80"/>
      <c r="B551" s="80"/>
      <c r="C551" s="80"/>
      <c r="D551" s="80"/>
      <c r="E551" s="124"/>
      <c r="F551" s="80"/>
      <c r="G551" s="80"/>
      <c r="H551" s="80"/>
      <c r="I551" s="80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7"/>
      <c r="AK551" s="80"/>
      <c r="AL551" s="80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</row>
    <row r="552">
      <c r="A552" s="80"/>
      <c r="B552" s="80"/>
      <c r="C552" s="80"/>
      <c r="D552" s="80"/>
      <c r="E552" s="124"/>
      <c r="F552" s="80"/>
      <c r="G552" s="80"/>
      <c r="H552" s="80"/>
      <c r="I552" s="80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7"/>
      <c r="AK552" s="80"/>
      <c r="AL552" s="80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</row>
    <row r="553">
      <c r="A553" s="80"/>
      <c r="B553" s="80"/>
      <c r="C553" s="80"/>
      <c r="D553" s="80"/>
      <c r="E553" s="124"/>
      <c r="F553" s="80"/>
      <c r="G553" s="80"/>
      <c r="H553" s="80"/>
      <c r="I553" s="80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7"/>
      <c r="AK553" s="80"/>
      <c r="AL553" s="80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</row>
    <row r="554">
      <c r="A554" s="80"/>
      <c r="B554" s="80"/>
      <c r="C554" s="80"/>
      <c r="D554" s="80"/>
      <c r="E554" s="124"/>
      <c r="F554" s="80"/>
      <c r="G554" s="80"/>
      <c r="H554" s="80"/>
      <c r="I554" s="80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7"/>
      <c r="AK554" s="80"/>
      <c r="AL554" s="80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</row>
    <row r="555">
      <c r="A555" s="80"/>
      <c r="B555" s="80"/>
      <c r="C555" s="80"/>
      <c r="D555" s="80"/>
      <c r="E555" s="124"/>
      <c r="F555" s="80"/>
      <c r="G555" s="80"/>
      <c r="H555" s="80"/>
      <c r="I555" s="80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7"/>
      <c r="AK555" s="80"/>
      <c r="AL555" s="80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</row>
    <row r="556">
      <c r="A556" s="80"/>
      <c r="B556" s="80"/>
      <c r="C556" s="80"/>
      <c r="D556" s="80"/>
      <c r="E556" s="124"/>
      <c r="F556" s="80"/>
      <c r="G556" s="80"/>
      <c r="H556" s="80"/>
      <c r="I556" s="80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7"/>
      <c r="AK556" s="80"/>
      <c r="AL556" s="80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</row>
    <row r="557">
      <c r="A557" s="80"/>
      <c r="B557" s="80"/>
      <c r="C557" s="80"/>
      <c r="D557" s="80"/>
      <c r="E557" s="124"/>
      <c r="F557" s="80"/>
      <c r="G557" s="80"/>
      <c r="H557" s="80"/>
      <c r="I557" s="80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7"/>
      <c r="AK557" s="80"/>
      <c r="AL557" s="80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</row>
    <row r="558">
      <c r="A558" s="80"/>
      <c r="B558" s="80"/>
      <c r="C558" s="80"/>
      <c r="D558" s="80"/>
      <c r="E558" s="124"/>
      <c r="F558" s="80"/>
      <c r="G558" s="80"/>
      <c r="H558" s="80"/>
      <c r="I558" s="80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7"/>
      <c r="AK558" s="80"/>
      <c r="AL558" s="80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</row>
    <row r="559">
      <c r="A559" s="80"/>
      <c r="B559" s="80"/>
      <c r="C559" s="80"/>
      <c r="D559" s="80"/>
      <c r="E559" s="124"/>
      <c r="F559" s="80"/>
      <c r="G559" s="80"/>
      <c r="H559" s="80"/>
      <c r="I559" s="80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7"/>
      <c r="AK559" s="80"/>
      <c r="AL559" s="80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</row>
    <row r="560">
      <c r="A560" s="80"/>
      <c r="B560" s="80"/>
      <c r="C560" s="80"/>
      <c r="D560" s="80"/>
      <c r="E560" s="124"/>
      <c r="F560" s="80"/>
      <c r="G560" s="80"/>
      <c r="H560" s="80"/>
      <c r="I560" s="80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7"/>
      <c r="AK560" s="80"/>
      <c r="AL560" s="80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</row>
    <row r="561">
      <c r="A561" s="80"/>
      <c r="B561" s="80"/>
      <c r="C561" s="80"/>
      <c r="D561" s="80"/>
      <c r="E561" s="124"/>
      <c r="F561" s="80"/>
      <c r="G561" s="80"/>
      <c r="H561" s="80"/>
      <c r="I561" s="80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7"/>
      <c r="AK561" s="80"/>
      <c r="AL561" s="80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</row>
    <row r="562">
      <c r="A562" s="80"/>
      <c r="B562" s="80"/>
      <c r="C562" s="80"/>
      <c r="D562" s="80"/>
      <c r="E562" s="124"/>
      <c r="F562" s="80"/>
      <c r="G562" s="80"/>
      <c r="H562" s="80"/>
      <c r="I562" s="80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7"/>
      <c r="AK562" s="80"/>
      <c r="AL562" s="80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</row>
    <row r="563">
      <c r="A563" s="80"/>
      <c r="B563" s="80"/>
      <c r="C563" s="80"/>
      <c r="D563" s="80"/>
      <c r="E563" s="124"/>
      <c r="F563" s="80"/>
      <c r="G563" s="80"/>
      <c r="H563" s="80"/>
      <c r="I563" s="80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7"/>
      <c r="AK563" s="80"/>
      <c r="AL563" s="80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</row>
    <row r="564">
      <c r="A564" s="80"/>
      <c r="B564" s="80"/>
      <c r="C564" s="80"/>
      <c r="D564" s="80"/>
      <c r="E564" s="124"/>
      <c r="F564" s="80"/>
      <c r="G564" s="80"/>
      <c r="H564" s="80"/>
      <c r="I564" s="80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7"/>
      <c r="AK564" s="80"/>
      <c r="AL564" s="80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</row>
    <row r="565">
      <c r="A565" s="80"/>
      <c r="B565" s="80"/>
      <c r="C565" s="80"/>
      <c r="D565" s="80"/>
      <c r="E565" s="124"/>
      <c r="F565" s="80"/>
      <c r="G565" s="80"/>
      <c r="H565" s="80"/>
      <c r="I565" s="80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7"/>
      <c r="AK565" s="80"/>
      <c r="AL565" s="80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</row>
    <row r="566">
      <c r="A566" s="80"/>
      <c r="B566" s="80"/>
      <c r="C566" s="80"/>
      <c r="D566" s="80"/>
      <c r="E566" s="124"/>
      <c r="F566" s="80"/>
      <c r="G566" s="80"/>
      <c r="H566" s="80"/>
      <c r="I566" s="80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7"/>
      <c r="AK566" s="80"/>
      <c r="AL566" s="80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</row>
    <row r="567">
      <c r="A567" s="80"/>
      <c r="B567" s="80"/>
      <c r="C567" s="80"/>
      <c r="D567" s="80"/>
      <c r="E567" s="124"/>
      <c r="F567" s="80"/>
      <c r="G567" s="80"/>
      <c r="H567" s="80"/>
      <c r="I567" s="80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7"/>
      <c r="AK567" s="80"/>
      <c r="AL567" s="80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</row>
    <row r="568">
      <c r="A568" s="80"/>
      <c r="B568" s="80"/>
      <c r="C568" s="80"/>
      <c r="D568" s="80"/>
      <c r="E568" s="124"/>
      <c r="F568" s="80"/>
      <c r="G568" s="80"/>
      <c r="H568" s="80"/>
      <c r="I568" s="80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7"/>
      <c r="AK568" s="80"/>
      <c r="AL568" s="80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</row>
    <row r="569">
      <c r="A569" s="80"/>
      <c r="B569" s="80"/>
      <c r="C569" s="80"/>
      <c r="D569" s="80"/>
      <c r="E569" s="124"/>
      <c r="F569" s="80"/>
      <c r="G569" s="80"/>
      <c r="H569" s="80"/>
      <c r="I569" s="80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7"/>
      <c r="AK569" s="80"/>
      <c r="AL569" s="80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</row>
    <row r="570">
      <c r="A570" s="80"/>
      <c r="B570" s="80"/>
      <c r="C570" s="80"/>
      <c r="D570" s="80"/>
      <c r="E570" s="124"/>
      <c r="F570" s="80"/>
      <c r="G570" s="80"/>
      <c r="H570" s="80"/>
      <c r="I570" s="80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7"/>
      <c r="AK570" s="80"/>
      <c r="AL570" s="80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</row>
    <row r="571">
      <c r="A571" s="80"/>
      <c r="B571" s="80"/>
      <c r="C571" s="80"/>
      <c r="D571" s="80"/>
      <c r="E571" s="124"/>
      <c r="F571" s="80"/>
      <c r="G571" s="80"/>
      <c r="H571" s="80"/>
      <c r="I571" s="80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7"/>
      <c r="AK571" s="80"/>
      <c r="AL571" s="80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</row>
    <row r="572">
      <c r="A572" s="80"/>
      <c r="B572" s="80"/>
      <c r="C572" s="80"/>
      <c r="D572" s="80"/>
      <c r="E572" s="124"/>
      <c r="F572" s="80"/>
      <c r="G572" s="80"/>
      <c r="H572" s="80"/>
      <c r="I572" s="80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7"/>
      <c r="AK572" s="80"/>
      <c r="AL572" s="80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</row>
    <row r="573">
      <c r="A573" s="80"/>
      <c r="B573" s="80"/>
      <c r="C573" s="80"/>
      <c r="D573" s="80"/>
      <c r="E573" s="124"/>
      <c r="F573" s="80"/>
      <c r="G573" s="80"/>
      <c r="H573" s="80"/>
      <c r="I573" s="80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7"/>
      <c r="AK573" s="80"/>
      <c r="AL573" s="80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</row>
    <row r="574">
      <c r="A574" s="80"/>
      <c r="B574" s="80"/>
      <c r="C574" s="80"/>
      <c r="D574" s="80"/>
      <c r="E574" s="124"/>
      <c r="F574" s="80"/>
      <c r="G574" s="80"/>
      <c r="H574" s="80"/>
      <c r="I574" s="80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7"/>
      <c r="AK574" s="80"/>
      <c r="AL574" s="80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</row>
    <row r="575">
      <c r="A575" s="80"/>
      <c r="B575" s="80"/>
      <c r="C575" s="80"/>
      <c r="D575" s="80"/>
      <c r="E575" s="124"/>
      <c r="F575" s="80"/>
      <c r="G575" s="80"/>
      <c r="H575" s="80"/>
      <c r="I575" s="80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7"/>
      <c r="AK575" s="80"/>
      <c r="AL575" s="80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</row>
    <row r="576">
      <c r="A576" s="80"/>
      <c r="B576" s="80"/>
      <c r="C576" s="80"/>
      <c r="D576" s="80"/>
      <c r="E576" s="124"/>
      <c r="F576" s="80"/>
      <c r="G576" s="80"/>
      <c r="H576" s="80"/>
      <c r="I576" s="80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7"/>
      <c r="AK576" s="80"/>
      <c r="AL576" s="80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</row>
    <row r="577">
      <c r="A577" s="80"/>
      <c r="B577" s="80"/>
      <c r="C577" s="80"/>
      <c r="D577" s="80"/>
      <c r="E577" s="124"/>
      <c r="F577" s="80"/>
      <c r="G577" s="80"/>
      <c r="H577" s="80"/>
      <c r="I577" s="80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7"/>
      <c r="AK577" s="80"/>
      <c r="AL577" s="80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</row>
    <row r="578">
      <c r="A578" s="80"/>
      <c r="B578" s="80"/>
      <c r="C578" s="80"/>
      <c r="D578" s="80"/>
      <c r="E578" s="124"/>
      <c r="F578" s="80"/>
      <c r="G578" s="80"/>
      <c r="H578" s="80"/>
      <c r="I578" s="80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7"/>
      <c r="AK578" s="80"/>
      <c r="AL578" s="80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</row>
    <row r="579">
      <c r="A579" s="80"/>
      <c r="B579" s="80"/>
      <c r="C579" s="80"/>
      <c r="D579" s="80"/>
      <c r="E579" s="124"/>
      <c r="F579" s="80"/>
      <c r="G579" s="80"/>
      <c r="H579" s="80"/>
      <c r="I579" s="80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7"/>
      <c r="AK579" s="80"/>
      <c r="AL579" s="80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</row>
    <row r="580">
      <c r="A580" s="80"/>
      <c r="B580" s="80"/>
      <c r="C580" s="80"/>
      <c r="D580" s="80"/>
      <c r="E580" s="124"/>
      <c r="F580" s="80"/>
      <c r="G580" s="80"/>
      <c r="H580" s="80"/>
      <c r="I580" s="80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7"/>
      <c r="AK580" s="80"/>
      <c r="AL580" s="80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</row>
    <row r="581">
      <c r="A581" s="80"/>
      <c r="B581" s="80"/>
      <c r="C581" s="80"/>
      <c r="D581" s="80"/>
      <c r="E581" s="124"/>
      <c r="F581" s="80"/>
      <c r="G581" s="80"/>
      <c r="H581" s="80"/>
      <c r="I581" s="80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7"/>
      <c r="AK581" s="80"/>
      <c r="AL581" s="80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</row>
    <row r="582">
      <c r="A582" s="80"/>
      <c r="B582" s="80"/>
      <c r="C582" s="80"/>
      <c r="D582" s="80"/>
      <c r="E582" s="124"/>
      <c r="F582" s="80"/>
      <c r="G582" s="80"/>
      <c r="H582" s="80"/>
      <c r="I582" s="80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7"/>
      <c r="AK582" s="80"/>
      <c r="AL582" s="80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</row>
    <row r="583">
      <c r="A583" s="80"/>
      <c r="B583" s="80"/>
      <c r="C583" s="80"/>
      <c r="D583" s="80"/>
      <c r="E583" s="124"/>
      <c r="F583" s="80"/>
      <c r="G583" s="80"/>
      <c r="H583" s="80"/>
      <c r="I583" s="80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7"/>
      <c r="AK583" s="80"/>
      <c r="AL583" s="80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</row>
    <row r="584">
      <c r="A584" s="80"/>
      <c r="B584" s="80"/>
      <c r="C584" s="80"/>
      <c r="D584" s="80"/>
      <c r="E584" s="124"/>
      <c r="F584" s="80"/>
      <c r="G584" s="80"/>
      <c r="H584" s="80"/>
      <c r="I584" s="80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7"/>
      <c r="AK584" s="80"/>
      <c r="AL584" s="80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</row>
    <row r="585">
      <c r="A585" s="80"/>
      <c r="B585" s="80"/>
      <c r="C585" s="80"/>
      <c r="D585" s="80"/>
      <c r="E585" s="124"/>
      <c r="F585" s="80"/>
      <c r="G585" s="80"/>
      <c r="H585" s="80"/>
      <c r="I585" s="80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7"/>
      <c r="AK585" s="80"/>
      <c r="AL585" s="80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</row>
    <row r="586">
      <c r="A586" s="80"/>
      <c r="B586" s="80"/>
      <c r="C586" s="80"/>
      <c r="D586" s="80"/>
      <c r="E586" s="124"/>
      <c r="F586" s="80"/>
      <c r="G586" s="80"/>
      <c r="H586" s="80"/>
      <c r="I586" s="80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7"/>
      <c r="AK586" s="80"/>
      <c r="AL586" s="80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</row>
    <row r="587">
      <c r="A587" s="80"/>
      <c r="B587" s="80"/>
      <c r="C587" s="80"/>
      <c r="D587" s="80"/>
      <c r="E587" s="124"/>
      <c r="F587" s="80"/>
      <c r="G587" s="80"/>
      <c r="H587" s="80"/>
      <c r="I587" s="80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7"/>
      <c r="AK587" s="80"/>
      <c r="AL587" s="80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</row>
    <row r="588">
      <c r="A588" s="80"/>
      <c r="B588" s="80"/>
      <c r="C588" s="80"/>
      <c r="D588" s="80"/>
      <c r="E588" s="124"/>
      <c r="F588" s="80"/>
      <c r="G588" s="80"/>
      <c r="H588" s="80"/>
      <c r="I588" s="80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7"/>
      <c r="AK588" s="80"/>
      <c r="AL588" s="80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</row>
    <row r="589">
      <c r="A589" s="80"/>
      <c r="B589" s="80"/>
      <c r="C589" s="80"/>
      <c r="D589" s="80"/>
      <c r="E589" s="124"/>
      <c r="F589" s="80"/>
      <c r="G589" s="80"/>
      <c r="H589" s="80"/>
      <c r="I589" s="80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7"/>
      <c r="AK589" s="80"/>
      <c r="AL589" s="80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</row>
    <row r="590">
      <c r="A590" s="80"/>
      <c r="B590" s="80"/>
      <c r="C590" s="80"/>
      <c r="D590" s="80"/>
      <c r="E590" s="124"/>
      <c r="F590" s="80"/>
      <c r="G590" s="80"/>
      <c r="H590" s="80"/>
      <c r="I590" s="80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7"/>
      <c r="AK590" s="80"/>
      <c r="AL590" s="80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</row>
    <row r="591">
      <c r="A591" s="80"/>
      <c r="B591" s="80"/>
      <c r="C591" s="80"/>
      <c r="D591" s="80"/>
      <c r="E591" s="124"/>
      <c r="F591" s="80"/>
      <c r="G591" s="80"/>
      <c r="H591" s="80"/>
      <c r="I591" s="80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7"/>
      <c r="AK591" s="80"/>
      <c r="AL591" s="80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</row>
    <row r="592">
      <c r="A592" s="80"/>
      <c r="B592" s="80"/>
      <c r="C592" s="80"/>
      <c r="D592" s="80"/>
      <c r="E592" s="124"/>
      <c r="F592" s="80"/>
      <c r="G592" s="80"/>
      <c r="H592" s="80"/>
      <c r="I592" s="80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7"/>
      <c r="AK592" s="80"/>
      <c r="AL592" s="80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</row>
    <row r="593">
      <c r="A593" s="80"/>
      <c r="B593" s="80"/>
      <c r="C593" s="80"/>
      <c r="D593" s="80"/>
      <c r="E593" s="124"/>
      <c r="F593" s="80"/>
      <c r="G593" s="80"/>
      <c r="H593" s="80"/>
      <c r="I593" s="80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7"/>
      <c r="AK593" s="80"/>
      <c r="AL593" s="80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</row>
    <row r="594">
      <c r="A594" s="80"/>
      <c r="B594" s="80"/>
      <c r="C594" s="80"/>
      <c r="D594" s="80"/>
      <c r="E594" s="124"/>
      <c r="F594" s="80"/>
      <c r="G594" s="80"/>
      <c r="H594" s="80"/>
      <c r="I594" s="80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7"/>
      <c r="AK594" s="80"/>
      <c r="AL594" s="80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</row>
    <row r="595">
      <c r="A595" s="80"/>
      <c r="B595" s="80"/>
      <c r="C595" s="80"/>
      <c r="D595" s="80"/>
      <c r="E595" s="124"/>
      <c r="F595" s="80"/>
      <c r="G595" s="80"/>
      <c r="H595" s="80"/>
      <c r="I595" s="80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7"/>
      <c r="AK595" s="80"/>
      <c r="AL595" s="80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</row>
    <row r="596">
      <c r="A596" s="80"/>
      <c r="B596" s="80"/>
      <c r="C596" s="80"/>
      <c r="D596" s="80"/>
      <c r="E596" s="124"/>
      <c r="F596" s="80"/>
      <c r="G596" s="80"/>
      <c r="H596" s="80"/>
      <c r="I596" s="80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7"/>
      <c r="AK596" s="80"/>
      <c r="AL596" s="80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</row>
    <row r="597">
      <c r="A597" s="80"/>
      <c r="B597" s="80"/>
      <c r="C597" s="80"/>
      <c r="D597" s="80"/>
      <c r="E597" s="124"/>
      <c r="F597" s="80"/>
      <c r="G597" s="80"/>
      <c r="H597" s="80"/>
      <c r="I597" s="80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7"/>
      <c r="AK597" s="80"/>
      <c r="AL597" s="80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</row>
    <row r="598">
      <c r="A598" s="80"/>
      <c r="B598" s="80"/>
      <c r="C598" s="80"/>
      <c r="D598" s="80"/>
      <c r="E598" s="124"/>
      <c r="F598" s="80"/>
      <c r="G598" s="80"/>
      <c r="H598" s="80"/>
      <c r="I598" s="80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7"/>
      <c r="AK598" s="80"/>
      <c r="AL598" s="80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</row>
    <row r="599">
      <c r="A599" s="80"/>
      <c r="B599" s="80"/>
      <c r="C599" s="80"/>
      <c r="D599" s="80"/>
      <c r="E599" s="124"/>
      <c r="F599" s="80"/>
      <c r="G599" s="80"/>
      <c r="H599" s="80"/>
      <c r="I599" s="80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7"/>
      <c r="AK599" s="80"/>
      <c r="AL599" s="80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</row>
    <row r="600">
      <c r="A600" s="80"/>
      <c r="B600" s="80"/>
      <c r="C600" s="80"/>
      <c r="D600" s="80"/>
      <c r="E600" s="124"/>
      <c r="F600" s="80"/>
      <c r="G600" s="80"/>
      <c r="H600" s="80"/>
      <c r="I600" s="80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7"/>
      <c r="AK600" s="80"/>
      <c r="AL600" s="80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</row>
    <row r="601">
      <c r="A601" s="80"/>
      <c r="B601" s="80"/>
      <c r="C601" s="80"/>
      <c r="D601" s="80"/>
      <c r="E601" s="124"/>
      <c r="F601" s="80"/>
      <c r="G601" s="80"/>
      <c r="H601" s="80"/>
      <c r="I601" s="80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7"/>
      <c r="AK601" s="80"/>
      <c r="AL601" s="80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</row>
    <row r="602">
      <c r="A602" s="80"/>
      <c r="B602" s="80"/>
      <c r="C602" s="80"/>
      <c r="D602" s="80"/>
      <c r="E602" s="124"/>
      <c r="F602" s="80"/>
      <c r="G602" s="80"/>
      <c r="H602" s="80"/>
      <c r="I602" s="80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7"/>
      <c r="AK602" s="80"/>
      <c r="AL602" s="80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</row>
    <row r="603">
      <c r="A603" s="80"/>
      <c r="B603" s="80"/>
      <c r="C603" s="80"/>
      <c r="D603" s="80"/>
      <c r="E603" s="124"/>
      <c r="F603" s="80"/>
      <c r="G603" s="80"/>
      <c r="H603" s="80"/>
      <c r="I603" s="80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7"/>
      <c r="AK603" s="80"/>
      <c r="AL603" s="80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</row>
    <row r="604">
      <c r="A604" s="80"/>
      <c r="B604" s="80"/>
      <c r="C604" s="80"/>
      <c r="D604" s="80"/>
      <c r="E604" s="124"/>
      <c r="F604" s="80"/>
      <c r="G604" s="80"/>
      <c r="H604" s="80"/>
      <c r="I604" s="80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7"/>
      <c r="AK604" s="80"/>
      <c r="AL604" s="80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</row>
    <row r="605">
      <c r="A605" s="80"/>
      <c r="B605" s="80"/>
      <c r="C605" s="80"/>
      <c r="D605" s="80"/>
      <c r="E605" s="124"/>
      <c r="F605" s="80"/>
      <c r="G605" s="80"/>
      <c r="H605" s="80"/>
      <c r="I605" s="80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7"/>
      <c r="AK605" s="80"/>
      <c r="AL605" s="80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</row>
    <row r="606">
      <c r="A606" s="80"/>
      <c r="B606" s="80"/>
      <c r="C606" s="80"/>
      <c r="D606" s="80"/>
      <c r="E606" s="124"/>
      <c r="F606" s="80"/>
      <c r="G606" s="80"/>
      <c r="H606" s="80"/>
      <c r="I606" s="80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7"/>
      <c r="AK606" s="80"/>
      <c r="AL606" s="80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</row>
    <row r="607">
      <c r="A607" s="80"/>
      <c r="B607" s="80"/>
      <c r="C607" s="80"/>
      <c r="D607" s="80"/>
      <c r="E607" s="124"/>
      <c r="F607" s="80"/>
      <c r="G607" s="80"/>
      <c r="H607" s="80"/>
      <c r="I607" s="80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7"/>
      <c r="AK607" s="80"/>
      <c r="AL607" s="80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</row>
    <row r="608">
      <c r="A608" s="80"/>
      <c r="B608" s="80"/>
      <c r="C608" s="80"/>
      <c r="D608" s="80"/>
      <c r="E608" s="124"/>
      <c r="F608" s="80"/>
      <c r="G608" s="80"/>
      <c r="H608" s="80"/>
      <c r="I608" s="80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7"/>
      <c r="AK608" s="80"/>
      <c r="AL608" s="80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</row>
    <row r="609">
      <c r="A609" s="80"/>
      <c r="B609" s="80"/>
      <c r="C609" s="80"/>
      <c r="D609" s="80"/>
      <c r="E609" s="124"/>
      <c r="F609" s="80"/>
      <c r="G609" s="80"/>
      <c r="H609" s="80"/>
      <c r="I609" s="80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7"/>
      <c r="AK609" s="80"/>
      <c r="AL609" s="80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</row>
    <row r="610">
      <c r="A610" s="80"/>
      <c r="B610" s="80"/>
      <c r="C610" s="80"/>
      <c r="D610" s="80"/>
      <c r="E610" s="124"/>
      <c r="F610" s="80"/>
      <c r="G610" s="80"/>
      <c r="H610" s="80"/>
      <c r="I610" s="80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7"/>
      <c r="AK610" s="80"/>
      <c r="AL610" s="80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</row>
    <row r="611">
      <c r="A611" s="80"/>
      <c r="B611" s="80"/>
      <c r="C611" s="80"/>
      <c r="D611" s="80"/>
      <c r="E611" s="124"/>
      <c r="F611" s="80"/>
      <c r="G611" s="80"/>
      <c r="H611" s="80"/>
      <c r="I611" s="80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7"/>
      <c r="AK611" s="80"/>
      <c r="AL611" s="80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</row>
    <row r="612">
      <c r="A612" s="80"/>
      <c r="B612" s="80"/>
      <c r="C612" s="80"/>
      <c r="D612" s="80"/>
      <c r="E612" s="124"/>
      <c r="F612" s="80"/>
      <c r="G612" s="80"/>
      <c r="H612" s="80"/>
      <c r="I612" s="80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7"/>
      <c r="AK612" s="80"/>
      <c r="AL612" s="80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</row>
    <row r="613">
      <c r="A613" s="80"/>
      <c r="B613" s="80"/>
      <c r="C613" s="80"/>
      <c r="D613" s="80"/>
      <c r="E613" s="124"/>
      <c r="F613" s="80"/>
      <c r="G613" s="80"/>
      <c r="H613" s="80"/>
      <c r="I613" s="80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7"/>
      <c r="AK613" s="80"/>
      <c r="AL613" s="80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</row>
    <row r="614">
      <c r="A614" s="80"/>
      <c r="B614" s="80"/>
      <c r="C614" s="80"/>
      <c r="D614" s="80"/>
      <c r="E614" s="124"/>
      <c r="F614" s="80"/>
      <c r="G614" s="80"/>
      <c r="H614" s="80"/>
      <c r="I614" s="80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7"/>
      <c r="AK614" s="80"/>
      <c r="AL614" s="80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</row>
    <row r="615">
      <c r="A615" s="80"/>
      <c r="B615" s="80"/>
      <c r="C615" s="80"/>
      <c r="D615" s="80"/>
      <c r="E615" s="124"/>
      <c r="F615" s="80"/>
      <c r="G615" s="80"/>
      <c r="H615" s="80"/>
      <c r="I615" s="80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7"/>
      <c r="AK615" s="80"/>
      <c r="AL615" s="80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</row>
    <row r="616">
      <c r="A616" s="80"/>
      <c r="B616" s="80"/>
      <c r="C616" s="80"/>
      <c r="D616" s="80"/>
      <c r="E616" s="124"/>
      <c r="F616" s="80"/>
      <c r="G616" s="80"/>
      <c r="H616" s="80"/>
      <c r="I616" s="80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7"/>
      <c r="AK616" s="80"/>
      <c r="AL616" s="80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</row>
    <row r="617">
      <c r="A617" s="80"/>
      <c r="B617" s="80"/>
      <c r="C617" s="80"/>
      <c r="D617" s="80"/>
      <c r="E617" s="124"/>
      <c r="F617" s="80"/>
      <c r="G617" s="80"/>
      <c r="H617" s="80"/>
      <c r="I617" s="80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7"/>
      <c r="AK617" s="80"/>
      <c r="AL617" s="80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</row>
    <row r="618">
      <c r="A618" s="80"/>
      <c r="B618" s="80"/>
      <c r="C618" s="80"/>
      <c r="D618" s="80"/>
      <c r="E618" s="124"/>
      <c r="F618" s="80"/>
      <c r="G618" s="80"/>
      <c r="H618" s="80"/>
      <c r="I618" s="80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7"/>
      <c r="AK618" s="80"/>
      <c r="AL618" s="80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</row>
    <row r="619">
      <c r="A619" s="80"/>
      <c r="B619" s="80"/>
      <c r="C619" s="80"/>
      <c r="D619" s="80"/>
      <c r="E619" s="124"/>
      <c r="F619" s="80"/>
      <c r="G619" s="80"/>
      <c r="H619" s="80"/>
      <c r="I619" s="80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7"/>
      <c r="AK619" s="80"/>
      <c r="AL619" s="80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</row>
    <row r="620">
      <c r="A620" s="80"/>
      <c r="B620" s="80"/>
      <c r="C620" s="80"/>
      <c r="D620" s="80"/>
      <c r="E620" s="124"/>
      <c r="F620" s="80"/>
      <c r="G620" s="80"/>
      <c r="H620" s="80"/>
      <c r="I620" s="80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7"/>
      <c r="AK620" s="80"/>
      <c r="AL620" s="80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</row>
    <row r="621">
      <c r="A621" s="80"/>
      <c r="B621" s="80"/>
      <c r="C621" s="80"/>
      <c r="D621" s="80"/>
      <c r="E621" s="124"/>
      <c r="F621" s="80"/>
      <c r="G621" s="80"/>
      <c r="H621" s="80"/>
      <c r="I621" s="80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7"/>
      <c r="AK621" s="80"/>
      <c r="AL621" s="80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</row>
    <row r="622">
      <c r="A622" s="80"/>
      <c r="B622" s="80"/>
      <c r="C622" s="80"/>
      <c r="D622" s="80"/>
      <c r="E622" s="124"/>
      <c r="F622" s="80"/>
      <c r="G622" s="80"/>
      <c r="H622" s="80"/>
      <c r="I622" s="80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7"/>
      <c r="AK622" s="80"/>
      <c r="AL622" s="80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</row>
    <row r="623">
      <c r="A623" s="80"/>
      <c r="B623" s="80"/>
      <c r="C623" s="80"/>
      <c r="D623" s="80"/>
      <c r="E623" s="124"/>
      <c r="F623" s="80"/>
      <c r="G623" s="80"/>
      <c r="H623" s="80"/>
      <c r="I623" s="80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7"/>
      <c r="AK623" s="80"/>
      <c r="AL623" s="80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</row>
    <row r="624">
      <c r="A624" s="80"/>
      <c r="B624" s="80"/>
      <c r="C624" s="80"/>
      <c r="D624" s="80"/>
      <c r="E624" s="124"/>
      <c r="F624" s="80"/>
      <c r="G624" s="80"/>
      <c r="H624" s="80"/>
      <c r="I624" s="80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7"/>
      <c r="AK624" s="80"/>
      <c r="AL624" s="80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</row>
    <row r="625">
      <c r="A625" s="80"/>
      <c r="B625" s="80"/>
      <c r="C625" s="80"/>
      <c r="D625" s="80"/>
      <c r="E625" s="124"/>
      <c r="F625" s="80"/>
      <c r="G625" s="80"/>
      <c r="H625" s="80"/>
      <c r="I625" s="80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7"/>
      <c r="AK625" s="80"/>
      <c r="AL625" s="80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</row>
    <row r="626">
      <c r="A626" s="80"/>
      <c r="B626" s="80"/>
      <c r="C626" s="80"/>
      <c r="D626" s="80"/>
      <c r="E626" s="124"/>
      <c r="F626" s="80"/>
      <c r="G626" s="80"/>
      <c r="H626" s="80"/>
      <c r="I626" s="80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7"/>
      <c r="AK626" s="80"/>
      <c r="AL626" s="80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</row>
    <row r="627">
      <c r="A627" s="80"/>
      <c r="B627" s="80"/>
      <c r="C627" s="80"/>
      <c r="D627" s="80"/>
      <c r="E627" s="124"/>
      <c r="F627" s="80"/>
      <c r="G627" s="80"/>
      <c r="H627" s="80"/>
      <c r="I627" s="80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7"/>
      <c r="AK627" s="80"/>
      <c r="AL627" s="80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</row>
    <row r="628">
      <c r="A628" s="80"/>
      <c r="B628" s="80"/>
      <c r="C628" s="80"/>
      <c r="D628" s="80"/>
      <c r="E628" s="124"/>
      <c r="F628" s="80"/>
      <c r="G628" s="80"/>
      <c r="H628" s="80"/>
      <c r="I628" s="80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7"/>
      <c r="AK628" s="80"/>
      <c r="AL628" s="80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</row>
    <row r="629">
      <c r="A629" s="80"/>
      <c r="B629" s="80"/>
      <c r="C629" s="80"/>
      <c r="D629" s="80"/>
      <c r="E629" s="124"/>
      <c r="F629" s="80"/>
      <c r="G629" s="80"/>
      <c r="H629" s="80"/>
      <c r="I629" s="80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7"/>
      <c r="AK629" s="80"/>
      <c r="AL629" s="80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</row>
    <row r="630">
      <c r="A630" s="80"/>
      <c r="B630" s="80"/>
      <c r="C630" s="80"/>
      <c r="D630" s="80"/>
      <c r="E630" s="124"/>
      <c r="F630" s="80"/>
      <c r="G630" s="80"/>
      <c r="H630" s="80"/>
      <c r="I630" s="80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7"/>
      <c r="AK630" s="80"/>
      <c r="AL630" s="80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</row>
    <row r="631">
      <c r="A631" s="80"/>
      <c r="B631" s="80"/>
      <c r="C631" s="80"/>
      <c r="D631" s="80"/>
      <c r="E631" s="124"/>
      <c r="F631" s="80"/>
      <c r="G631" s="80"/>
      <c r="H631" s="80"/>
      <c r="I631" s="80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7"/>
      <c r="AK631" s="80"/>
      <c r="AL631" s="80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</row>
    <row r="632">
      <c r="A632" s="80"/>
      <c r="B632" s="80"/>
      <c r="C632" s="80"/>
      <c r="D632" s="80"/>
      <c r="E632" s="124"/>
      <c r="F632" s="80"/>
      <c r="G632" s="80"/>
      <c r="H632" s="80"/>
      <c r="I632" s="80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7"/>
      <c r="AK632" s="80"/>
      <c r="AL632" s="80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</row>
    <row r="633">
      <c r="A633" s="80"/>
      <c r="B633" s="80"/>
      <c r="C633" s="80"/>
      <c r="D633" s="80"/>
      <c r="E633" s="124"/>
      <c r="F633" s="80"/>
      <c r="G633" s="80"/>
      <c r="H633" s="80"/>
      <c r="I633" s="80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7"/>
      <c r="AK633" s="80"/>
      <c r="AL633" s="80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</row>
    <row r="634">
      <c r="A634" s="80"/>
      <c r="B634" s="80"/>
      <c r="C634" s="80"/>
      <c r="D634" s="80"/>
      <c r="E634" s="124"/>
      <c r="F634" s="80"/>
      <c r="G634" s="80"/>
      <c r="H634" s="80"/>
      <c r="I634" s="80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7"/>
      <c r="AK634" s="80"/>
      <c r="AL634" s="80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</row>
    <row r="635">
      <c r="A635" s="80"/>
      <c r="B635" s="80"/>
      <c r="C635" s="80"/>
      <c r="D635" s="80"/>
      <c r="E635" s="124"/>
      <c r="F635" s="80"/>
      <c r="G635" s="80"/>
      <c r="H635" s="80"/>
      <c r="I635" s="80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7"/>
      <c r="AK635" s="80"/>
      <c r="AL635" s="80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</row>
    <row r="636">
      <c r="A636" s="80"/>
      <c r="B636" s="80"/>
      <c r="C636" s="80"/>
      <c r="D636" s="80"/>
      <c r="E636" s="124"/>
      <c r="F636" s="80"/>
      <c r="G636" s="80"/>
      <c r="H636" s="80"/>
      <c r="I636" s="80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7"/>
      <c r="AK636" s="80"/>
      <c r="AL636" s="80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</row>
    <row r="637">
      <c r="A637" s="80"/>
      <c r="B637" s="80"/>
      <c r="C637" s="80"/>
      <c r="D637" s="80"/>
      <c r="E637" s="124"/>
      <c r="F637" s="80"/>
      <c r="G637" s="80"/>
      <c r="H637" s="80"/>
      <c r="I637" s="80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7"/>
      <c r="AK637" s="80"/>
      <c r="AL637" s="80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</row>
    <row r="638">
      <c r="A638" s="80"/>
      <c r="B638" s="80"/>
      <c r="C638" s="80"/>
      <c r="D638" s="80"/>
      <c r="E638" s="124"/>
      <c r="F638" s="80"/>
      <c r="G638" s="80"/>
      <c r="H638" s="80"/>
      <c r="I638" s="80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7"/>
      <c r="AK638" s="80"/>
      <c r="AL638" s="80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</row>
    <row r="639">
      <c r="A639" s="80"/>
      <c r="B639" s="80"/>
      <c r="C639" s="80"/>
      <c r="D639" s="80"/>
      <c r="E639" s="124"/>
      <c r="F639" s="80"/>
      <c r="G639" s="80"/>
      <c r="H639" s="80"/>
      <c r="I639" s="80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7"/>
      <c r="AK639" s="80"/>
      <c r="AL639" s="80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</row>
    <row r="640">
      <c r="A640" s="80"/>
      <c r="B640" s="80"/>
      <c r="C640" s="80"/>
      <c r="D640" s="80"/>
      <c r="E640" s="124"/>
      <c r="F640" s="80"/>
      <c r="G640" s="80"/>
      <c r="H640" s="80"/>
      <c r="I640" s="80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7"/>
      <c r="AK640" s="80"/>
      <c r="AL640" s="80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</row>
    <row r="641">
      <c r="A641" s="80"/>
      <c r="B641" s="80"/>
      <c r="C641" s="80"/>
      <c r="D641" s="80"/>
      <c r="E641" s="124"/>
      <c r="F641" s="80"/>
      <c r="G641" s="80"/>
      <c r="H641" s="80"/>
      <c r="I641" s="80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7"/>
      <c r="AK641" s="80"/>
      <c r="AL641" s="80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</row>
    <row r="642">
      <c r="A642" s="80"/>
      <c r="B642" s="80"/>
      <c r="C642" s="80"/>
      <c r="D642" s="80"/>
      <c r="E642" s="124"/>
      <c r="F642" s="80"/>
      <c r="G642" s="80"/>
      <c r="H642" s="80"/>
      <c r="I642" s="80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7"/>
      <c r="AK642" s="80"/>
      <c r="AL642" s="80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</row>
    <row r="643">
      <c r="A643" s="80"/>
      <c r="B643" s="80"/>
      <c r="C643" s="80"/>
      <c r="D643" s="80"/>
      <c r="E643" s="124"/>
      <c r="F643" s="80"/>
      <c r="G643" s="80"/>
      <c r="H643" s="80"/>
      <c r="I643" s="80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7"/>
      <c r="AK643" s="80"/>
      <c r="AL643" s="80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</row>
    <row r="644">
      <c r="A644" s="80"/>
      <c r="B644" s="80"/>
      <c r="C644" s="80"/>
      <c r="D644" s="80"/>
      <c r="E644" s="124"/>
      <c r="F644" s="80"/>
      <c r="G644" s="80"/>
      <c r="H644" s="80"/>
      <c r="I644" s="80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7"/>
      <c r="AK644" s="80"/>
      <c r="AL644" s="80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</row>
    <row r="645">
      <c r="A645" s="80"/>
      <c r="B645" s="80"/>
      <c r="C645" s="80"/>
      <c r="D645" s="80"/>
      <c r="E645" s="124"/>
      <c r="F645" s="80"/>
      <c r="G645" s="80"/>
      <c r="H645" s="80"/>
      <c r="I645" s="80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7"/>
      <c r="AK645" s="80"/>
      <c r="AL645" s="80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</row>
    <row r="646">
      <c r="A646" s="80"/>
      <c r="B646" s="80"/>
      <c r="C646" s="80"/>
      <c r="D646" s="80"/>
      <c r="E646" s="124"/>
      <c r="F646" s="80"/>
      <c r="G646" s="80"/>
      <c r="H646" s="80"/>
      <c r="I646" s="80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7"/>
      <c r="AK646" s="80"/>
      <c r="AL646" s="80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</row>
    <row r="647">
      <c r="A647" s="80"/>
      <c r="B647" s="80"/>
      <c r="C647" s="80"/>
      <c r="D647" s="80"/>
      <c r="E647" s="124"/>
      <c r="F647" s="80"/>
      <c r="G647" s="80"/>
      <c r="H647" s="80"/>
      <c r="I647" s="80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7"/>
      <c r="AK647" s="80"/>
      <c r="AL647" s="80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</row>
    <row r="648">
      <c r="A648" s="80"/>
      <c r="B648" s="80"/>
      <c r="C648" s="80"/>
      <c r="D648" s="80"/>
      <c r="E648" s="124"/>
      <c r="F648" s="80"/>
      <c r="G648" s="80"/>
      <c r="H648" s="80"/>
      <c r="I648" s="80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7"/>
      <c r="AK648" s="80"/>
      <c r="AL648" s="80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</row>
    <row r="649">
      <c r="A649" s="80"/>
      <c r="B649" s="80"/>
      <c r="C649" s="80"/>
      <c r="D649" s="80"/>
      <c r="E649" s="124"/>
      <c r="F649" s="80"/>
      <c r="G649" s="80"/>
      <c r="H649" s="80"/>
      <c r="I649" s="80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7"/>
      <c r="AK649" s="80"/>
      <c r="AL649" s="80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</row>
    <row r="650">
      <c r="A650" s="80"/>
      <c r="B650" s="80"/>
      <c r="C650" s="80"/>
      <c r="D650" s="80"/>
      <c r="E650" s="124"/>
      <c r="F650" s="80"/>
      <c r="G650" s="80"/>
      <c r="H650" s="80"/>
      <c r="I650" s="80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7"/>
      <c r="AK650" s="80"/>
      <c r="AL650" s="80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</row>
    <row r="651">
      <c r="A651" s="80"/>
      <c r="B651" s="80"/>
      <c r="C651" s="80"/>
      <c r="D651" s="80"/>
      <c r="E651" s="124"/>
      <c r="F651" s="80"/>
      <c r="G651" s="80"/>
      <c r="H651" s="80"/>
      <c r="I651" s="80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7"/>
      <c r="AK651" s="80"/>
      <c r="AL651" s="80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</row>
    <row r="652">
      <c r="A652" s="80"/>
      <c r="B652" s="80"/>
      <c r="C652" s="80"/>
      <c r="D652" s="80"/>
      <c r="E652" s="124"/>
      <c r="F652" s="80"/>
      <c r="G652" s="80"/>
      <c r="H652" s="80"/>
      <c r="I652" s="80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7"/>
      <c r="AK652" s="80"/>
      <c r="AL652" s="80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</row>
    <row r="653">
      <c r="A653" s="80"/>
      <c r="B653" s="80"/>
      <c r="C653" s="80"/>
      <c r="D653" s="80"/>
      <c r="E653" s="124"/>
      <c r="F653" s="80"/>
      <c r="G653" s="80"/>
      <c r="H653" s="80"/>
      <c r="I653" s="80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7"/>
      <c r="AK653" s="80"/>
      <c r="AL653" s="80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</row>
    <row r="654">
      <c r="A654" s="80"/>
      <c r="B654" s="80"/>
      <c r="C654" s="80"/>
      <c r="D654" s="80"/>
      <c r="E654" s="124"/>
      <c r="F654" s="80"/>
      <c r="G654" s="80"/>
      <c r="H654" s="80"/>
      <c r="I654" s="80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7"/>
      <c r="AK654" s="80"/>
      <c r="AL654" s="80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</row>
    <row r="655">
      <c r="A655" s="80"/>
      <c r="B655" s="80"/>
      <c r="C655" s="80"/>
      <c r="D655" s="80"/>
      <c r="E655" s="124"/>
      <c r="F655" s="80"/>
      <c r="G655" s="80"/>
      <c r="H655" s="80"/>
      <c r="I655" s="80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7"/>
      <c r="AK655" s="80"/>
      <c r="AL655" s="80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</row>
    <row r="656">
      <c r="A656" s="80"/>
      <c r="B656" s="80"/>
      <c r="C656" s="80"/>
      <c r="D656" s="80"/>
      <c r="E656" s="124"/>
      <c r="F656" s="80"/>
      <c r="G656" s="80"/>
      <c r="H656" s="80"/>
      <c r="I656" s="80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7"/>
      <c r="AK656" s="80"/>
      <c r="AL656" s="80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</row>
    <row r="657">
      <c r="A657" s="80"/>
      <c r="B657" s="80"/>
      <c r="C657" s="80"/>
      <c r="D657" s="80"/>
      <c r="E657" s="124"/>
      <c r="F657" s="80"/>
      <c r="G657" s="80"/>
      <c r="H657" s="80"/>
      <c r="I657" s="80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7"/>
      <c r="AK657" s="80"/>
      <c r="AL657" s="80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</row>
    <row r="658">
      <c r="A658" s="80"/>
      <c r="B658" s="80"/>
      <c r="C658" s="80"/>
      <c r="D658" s="80"/>
      <c r="E658" s="124"/>
      <c r="F658" s="80"/>
      <c r="G658" s="80"/>
      <c r="H658" s="80"/>
      <c r="I658" s="80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7"/>
      <c r="AK658" s="80"/>
      <c r="AL658" s="80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</row>
    <row r="659">
      <c r="A659" s="80"/>
      <c r="B659" s="80"/>
      <c r="C659" s="80"/>
      <c r="D659" s="80"/>
      <c r="E659" s="124"/>
      <c r="F659" s="80"/>
      <c r="G659" s="80"/>
      <c r="H659" s="80"/>
      <c r="I659" s="80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7"/>
      <c r="AK659" s="80"/>
      <c r="AL659" s="80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</row>
    <row r="660">
      <c r="A660" s="80"/>
      <c r="B660" s="80"/>
      <c r="C660" s="80"/>
      <c r="D660" s="80"/>
      <c r="E660" s="124"/>
      <c r="F660" s="80"/>
      <c r="G660" s="80"/>
      <c r="H660" s="80"/>
      <c r="I660" s="80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7"/>
      <c r="AK660" s="80"/>
      <c r="AL660" s="80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</row>
    <row r="661">
      <c r="A661" s="80"/>
      <c r="B661" s="80"/>
      <c r="C661" s="80"/>
      <c r="D661" s="80"/>
      <c r="E661" s="124"/>
      <c r="F661" s="80"/>
      <c r="G661" s="80"/>
      <c r="H661" s="80"/>
      <c r="I661" s="80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7"/>
      <c r="AK661" s="80"/>
      <c r="AL661" s="80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</row>
    <row r="662">
      <c r="A662" s="80"/>
      <c r="B662" s="80"/>
      <c r="C662" s="80"/>
      <c r="D662" s="80"/>
      <c r="E662" s="124"/>
      <c r="F662" s="80"/>
      <c r="G662" s="80"/>
      <c r="H662" s="80"/>
      <c r="I662" s="80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7"/>
      <c r="AK662" s="80"/>
      <c r="AL662" s="80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</row>
    <row r="663">
      <c r="A663" s="80"/>
      <c r="B663" s="80"/>
      <c r="C663" s="80"/>
      <c r="D663" s="80"/>
      <c r="E663" s="124"/>
      <c r="F663" s="80"/>
      <c r="G663" s="80"/>
      <c r="H663" s="80"/>
      <c r="I663" s="80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7"/>
      <c r="AK663" s="80"/>
      <c r="AL663" s="80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</row>
    <row r="664">
      <c r="A664" s="80"/>
      <c r="B664" s="80"/>
      <c r="C664" s="80"/>
      <c r="D664" s="80"/>
      <c r="E664" s="124"/>
      <c r="F664" s="80"/>
      <c r="G664" s="80"/>
      <c r="H664" s="80"/>
      <c r="I664" s="80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7"/>
      <c r="AK664" s="80"/>
      <c r="AL664" s="80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</row>
    <row r="665">
      <c r="A665" s="80"/>
      <c r="B665" s="80"/>
      <c r="C665" s="80"/>
      <c r="D665" s="80"/>
      <c r="E665" s="124"/>
      <c r="F665" s="80"/>
      <c r="G665" s="80"/>
      <c r="H665" s="80"/>
      <c r="I665" s="80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7"/>
      <c r="AK665" s="80"/>
      <c r="AL665" s="80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</row>
    <row r="666">
      <c r="A666" s="80"/>
      <c r="B666" s="80"/>
      <c r="C666" s="80"/>
      <c r="D666" s="80"/>
      <c r="E666" s="124"/>
      <c r="F666" s="80"/>
      <c r="G666" s="80"/>
      <c r="H666" s="80"/>
      <c r="I666" s="80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7"/>
      <c r="AK666" s="80"/>
      <c r="AL666" s="80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</row>
    <row r="667">
      <c r="A667" s="80"/>
      <c r="B667" s="80"/>
      <c r="C667" s="80"/>
      <c r="D667" s="80"/>
      <c r="E667" s="124"/>
      <c r="F667" s="80"/>
      <c r="G667" s="80"/>
      <c r="H667" s="80"/>
      <c r="I667" s="80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7"/>
      <c r="AK667" s="80"/>
      <c r="AL667" s="80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</row>
    <row r="668">
      <c r="A668" s="80"/>
      <c r="B668" s="80"/>
      <c r="C668" s="80"/>
      <c r="D668" s="80"/>
      <c r="E668" s="124"/>
      <c r="F668" s="80"/>
      <c r="G668" s="80"/>
      <c r="H668" s="80"/>
      <c r="I668" s="80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7"/>
      <c r="AK668" s="80"/>
      <c r="AL668" s="80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</row>
    <row r="669">
      <c r="A669" s="80"/>
      <c r="B669" s="80"/>
      <c r="C669" s="80"/>
      <c r="D669" s="80"/>
      <c r="E669" s="124"/>
      <c r="F669" s="80"/>
      <c r="G669" s="80"/>
      <c r="H669" s="80"/>
      <c r="I669" s="80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7"/>
      <c r="AK669" s="80"/>
      <c r="AL669" s="80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</row>
    <row r="670">
      <c r="A670" s="80"/>
      <c r="B670" s="80"/>
      <c r="C670" s="80"/>
      <c r="D670" s="80"/>
      <c r="E670" s="124"/>
      <c r="F670" s="80"/>
      <c r="G670" s="80"/>
      <c r="H670" s="80"/>
      <c r="I670" s="80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7"/>
      <c r="AK670" s="80"/>
      <c r="AL670" s="80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</row>
    <row r="671">
      <c r="A671" s="80"/>
      <c r="B671" s="80"/>
      <c r="C671" s="80"/>
      <c r="D671" s="80"/>
      <c r="E671" s="124"/>
      <c r="F671" s="80"/>
      <c r="G671" s="80"/>
      <c r="H671" s="80"/>
      <c r="I671" s="80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7"/>
      <c r="AK671" s="80"/>
      <c r="AL671" s="80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</row>
    <row r="672">
      <c r="A672" s="80"/>
      <c r="B672" s="80"/>
      <c r="C672" s="80"/>
      <c r="D672" s="80"/>
      <c r="E672" s="124"/>
      <c r="F672" s="80"/>
      <c r="G672" s="80"/>
      <c r="H672" s="80"/>
      <c r="I672" s="80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7"/>
      <c r="AK672" s="80"/>
      <c r="AL672" s="80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</row>
    <row r="673">
      <c r="A673" s="80"/>
      <c r="B673" s="80"/>
      <c r="C673" s="80"/>
      <c r="D673" s="80"/>
      <c r="E673" s="124"/>
      <c r="F673" s="80"/>
      <c r="G673" s="80"/>
      <c r="H673" s="80"/>
      <c r="I673" s="80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7"/>
      <c r="AK673" s="80"/>
      <c r="AL673" s="80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</row>
    <row r="674">
      <c r="A674" s="80"/>
      <c r="B674" s="80"/>
      <c r="C674" s="80"/>
      <c r="D674" s="80"/>
      <c r="E674" s="124"/>
      <c r="F674" s="80"/>
      <c r="G674" s="80"/>
      <c r="H674" s="80"/>
      <c r="I674" s="80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7"/>
      <c r="AK674" s="80"/>
      <c r="AL674" s="80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</row>
    <row r="675">
      <c r="A675" s="80"/>
      <c r="B675" s="80"/>
      <c r="C675" s="80"/>
      <c r="D675" s="80"/>
      <c r="E675" s="124"/>
      <c r="F675" s="80"/>
      <c r="G675" s="80"/>
      <c r="H675" s="80"/>
      <c r="I675" s="80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7"/>
      <c r="AK675" s="80"/>
      <c r="AL675" s="80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</row>
    <row r="676">
      <c r="A676" s="80"/>
      <c r="B676" s="80"/>
      <c r="C676" s="80"/>
      <c r="D676" s="80"/>
      <c r="E676" s="124"/>
      <c r="F676" s="80"/>
      <c r="G676" s="80"/>
      <c r="H676" s="80"/>
      <c r="I676" s="80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7"/>
      <c r="AK676" s="80"/>
      <c r="AL676" s="80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</row>
    <row r="677">
      <c r="A677" s="80"/>
      <c r="B677" s="80"/>
      <c r="C677" s="80"/>
      <c r="D677" s="80"/>
      <c r="E677" s="124"/>
      <c r="F677" s="80"/>
      <c r="G677" s="80"/>
      <c r="H677" s="80"/>
      <c r="I677" s="80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7"/>
      <c r="AK677" s="80"/>
      <c r="AL677" s="80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</row>
    <row r="678">
      <c r="A678" s="80"/>
      <c r="B678" s="80"/>
      <c r="C678" s="80"/>
      <c r="D678" s="80"/>
      <c r="E678" s="124"/>
      <c r="F678" s="80"/>
      <c r="G678" s="80"/>
      <c r="H678" s="80"/>
      <c r="I678" s="80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7"/>
      <c r="AK678" s="80"/>
      <c r="AL678" s="80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</row>
    <row r="679">
      <c r="A679" s="80"/>
      <c r="B679" s="80"/>
      <c r="C679" s="80"/>
      <c r="D679" s="80"/>
      <c r="E679" s="124"/>
      <c r="F679" s="80"/>
      <c r="G679" s="80"/>
      <c r="H679" s="80"/>
      <c r="I679" s="80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7"/>
      <c r="AK679" s="80"/>
      <c r="AL679" s="80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</row>
    <row r="680">
      <c r="A680" s="80"/>
      <c r="B680" s="80"/>
      <c r="C680" s="80"/>
      <c r="D680" s="80"/>
      <c r="E680" s="124"/>
      <c r="F680" s="80"/>
      <c r="G680" s="80"/>
      <c r="H680" s="80"/>
      <c r="I680" s="80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7"/>
      <c r="AK680" s="80"/>
      <c r="AL680" s="80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</row>
    <row r="681">
      <c r="A681" s="80"/>
      <c r="B681" s="80"/>
      <c r="C681" s="80"/>
      <c r="D681" s="80"/>
      <c r="E681" s="124"/>
      <c r="F681" s="80"/>
      <c r="G681" s="80"/>
      <c r="H681" s="80"/>
      <c r="I681" s="80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7"/>
      <c r="AK681" s="80"/>
      <c r="AL681" s="80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</row>
    <row r="682">
      <c r="A682" s="80"/>
      <c r="B682" s="80"/>
      <c r="C682" s="80"/>
      <c r="D682" s="80"/>
      <c r="E682" s="124"/>
      <c r="F682" s="80"/>
      <c r="G682" s="80"/>
      <c r="H682" s="80"/>
      <c r="I682" s="80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7"/>
      <c r="AK682" s="80"/>
      <c r="AL682" s="80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</row>
    <row r="683">
      <c r="A683" s="80"/>
      <c r="B683" s="80"/>
      <c r="C683" s="80"/>
      <c r="D683" s="80"/>
      <c r="E683" s="124"/>
      <c r="F683" s="80"/>
      <c r="G683" s="80"/>
      <c r="H683" s="80"/>
      <c r="I683" s="80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7"/>
      <c r="AK683" s="80"/>
      <c r="AL683" s="80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</row>
    <row r="684">
      <c r="A684" s="80"/>
      <c r="B684" s="80"/>
      <c r="C684" s="80"/>
      <c r="D684" s="80"/>
      <c r="E684" s="124"/>
      <c r="F684" s="80"/>
      <c r="G684" s="80"/>
      <c r="H684" s="80"/>
      <c r="I684" s="80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7"/>
      <c r="AK684" s="80"/>
      <c r="AL684" s="80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</row>
    <row r="685">
      <c r="A685" s="80"/>
      <c r="B685" s="80"/>
      <c r="C685" s="80"/>
      <c r="D685" s="80"/>
      <c r="E685" s="124"/>
      <c r="F685" s="80"/>
      <c r="G685" s="80"/>
      <c r="H685" s="80"/>
      <c r="I685" s="80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7"/>
      <c r="AK685" s="80"/>
      <c r="AL685" s="80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</row>
    <row r="686">
      <c r="A686" s="80"/>
      <c r="B686" s="80"/>
      <c r="C686" s="80"/>
      <c r="D686" s="80"/>
      <c r="E686" s="124"/>
      <c r="F686" s="80"/>
      <c r="G686" s="80"/>
      <c r="H686" s="80"/>
      <c r="I686" s="80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7"/>
      <c r="AK686" s="80"/>
      <c r="AL686" s="80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</row>
    <row r="687">
      <c r="A687" s="80"/>
      <c r="B687" s="80"/>
      <c r="C687" s="80"/>
      <c r="D687" s="80"/>
      <c r="E687" s="124"/>
      <c r="F687" s="80"/>
      <c r="G687" s="80"/>
      <c r="H687" s="80"/>
      <c r="I687" s="80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7"/>
      <c r="AK687" s="80"/>
      <c r="AL687" s="80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</row>
    <row r="688">
      <c r="A688" s="80"/>
      <c r="B688" s="80"/>
      <c r="C688" s="80"/>
      <c r="D688" s="80"/>
      <c r="E688" s="124"/>
      <c r="F688" s="80"/>
      <c r="G688" s="80"/>
      <c r="H688" s="80"/>
      <c r="I688" s="80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7"/>
      <c r="AK688" s="80"/>
      <c r="AL688" s="80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</row>
    <row r="689">
      <c r="A689" s="80"/>
      <c r="B689" s="80"/>
      <c r="C689" s="80"/>
      <c r="D689" s="80"/>
      <c r="E689" s="124"/>
      <c r="F689" s="80"/>
      <c r="G689" s="80"/>
      <c r="H689" s="80"/>
      <c r="I689" s="80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7"/>
      <c r="AK689" s="80"/>
      <c r="AL689" s="80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</row>
    <row r="690">
      <c r="A690" s="80"/>
      <c r="B690" s="80"/>
      <c r="C690" s="80"/>
      <c r="D690" s="80"/>
      <c r="E690" s="124"/>
      <c r="F690" s="80"/>
      <c r="G690" s="80"/>
      <c r="H690" s="80"/>
      <c r="I690" s="80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7"/>
      <c r="AK690" s="80"/>
      <c r="AL690" s="80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</row>
    <row r="691">
      <c r="A691" s="80"/>
      <c r="B691" s="80"/>
      <c r="C691" s="80"/>
      <c r="D691" s="80"/>
      <c r="E691" s="124"/>
      <c r="F691" s="80"/>
      <c r="G691" s="80"/>
      <c r="H691" s="80"/>
      <c r="I691" s="80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7"/>
      <c r="AK691" s="80"/>
      <c r="AL691" s="80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</row>
    <row r="692">
      <c r="A692" s="80"/>
      <c r="B692" s="80"/>
      <c r="C692" s="80"/>
      <c r="D692" s="80"/>
      <c r="E692" s="124"/>
      <c r="F692" s="80"/>
      <c r="G692" s="80"/>
      <c r="H692" s="80"/>
      <c r="I692" s="80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7"/>
      <c r="AK692" s="80"/>
      <c r="AL692" s="80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</row>
    <row r="693">
      <c r="A693" s="80"/>
      <c r="B693" s="80"/>
      <c r="C693" s="80"/>
      <c r="D693" s="80"/>
      <c r="E693" s="124"/>
      <c r="F693" s="80"/>
      <c r="G693" s="80"/>
      <c r="H693" s="80"/>
      <c r="I693" s="80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7"/>
      <c r="AK693" s="80"/>
      <c r="AL693" s="80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</row>
    <row r="694">
      <c r="A694" s="80"/>
      <c r="B694" s="80"/>
      <c r="C694" s="80"/>
      <c r="D694" s="80"/>
      <c r="E694" s="124"/>
      <c r="F694" s="80"/>
      <c r="G694" s="80"/>
      <c r="H694" s="80"/>
      <c r="I694" s="80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7"/>
      <c r="AK694" s="80"/>
      <c r="AL694" s="80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</row>
    <row r="695">
      <c r="A695" s="80"/>
      <c r="B695" s="80"/>
      <c r="C695" s="80"/>
      <c r="D695" s="80"/>
      <c r="E695" s="124"/>
      <c r="F695" s="80"/>
      <c r="G695" s="80"/>
      <c r="H695" s="80"/>
      <c r="I695" s="80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7"/>
      <c r="AK695" s="80"/>
      <c r="AL695" s="80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</row>
    <row r="696">
      <c r="A696" s="80"/>
      <c r="B696" s="80"/>
      <c r="C696" s="80"/>
      <c r="D696" s="80"/>
      <c r="E696" s="124"/>
      <c r="F696" s="80"/>
      <c r="G696" s="80"/>
      <c r="H696" s="80"/>
      <c r="I696" s="80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7"/>
      <c r="AK696" s="80"/>
      <c r="AL696" s="80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</row>
    <row r="697">
      <c r="A697" s="80"/>
      <c r="B697" s="80"/>
      <c r="C697" s="80"/>
      <c r="D697" s="80"/>
      <c r="E697" s="124"/>
      <c r="F697" s="80"/>
      <c r="G697" s="80"/>
      <c r="H697" s="80"/>
      <c r="I697" s="80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7"/>
      <c r="AK697" s="80"/>
      <c r="AL697" s="80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</row>
    <row r="698">
      <c r="A698" s="80"/>
      <c r="B698" s="80"/>
      <c r="C698" s="80"/>
      <c r="D698" s="80"/>
      <c r="E698" s="124"/>
      <c r="F698" s="80"/>
      <c r="G698" s="80"/>
      <c r="H698" s="80"/>
      <c r="I698" s="80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7"/>
      <c r="AK698" s="80"/>
      <c r="AL698" s="80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</row>
    <row r="699">
      <c r="A699" s="80"/>
      <c r="B699" s="80"/>
      <c r="C699" s="80"/>
      <c r="D699" s="80"/>
      <c r="E699" s="124"/>
      <c r="F699" s="80"/>
      <c r="G699" s="80"/>
      <c r="H699" s="80"/>
      <c r="I699" s="80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7"/>
      <c r="AK699" s="80"/>
      <c r="AL699" s="80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</row>
    <row r="700">
      <c r="A700" s="80"/>
      <c r="B700" s="80"/>
      <c r="C700" s="80"/>
      <c r="D700" s="80"/>
      <c r="E700" s="124"/>
      <c r="F700" s="80"/>
      <c r="G700" s="80"/>
      <c r="H700" s="80"/>
      <c r="I700" s="80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7"/>
      <c r="AK700" s="80"/>
      <c r="AL700" s="80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</row>
    <row r="701">
      <c r="A701" s="80"/>
      <c r="B701" s="80"/>
      <c r="C701" s="80"/>
      <c r="D701" s="80"/>
      <c r="E701" s="124"/>
      <c r="F701" s="80"/>
      <c r="G701" s="80"/>
      <c r="H701" s="80"/>
      <c r="I701" s="80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7"/>
      <c r="AK701" s="80"/>
      <c r="AL701" s="80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</row>
    <row r="702">
      <c r="A702" s="80"/>
      <c r="B702" s="80"/>
      <c r="C702" s="80"/>
      <c r="D702" s="80"/>
      <c r="E702" s="124"/>
      <c r="F702" s="80"/>
      <c r="G702" s="80"/>
      <c r="H702" s="80"/>
      <c r="I702" s="80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7"/>
      <c r="AK702" s="80"/>
      <c r="AL702" s="80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</row>
    <row r="703">
      <c r="A703" s="80"/>
      <c r="B703" s="80"/>
      <c r="C703" s="80"/>
      <c r="D703" s="80"/>
      <c r="E703" s="124"/>
      <c r="F703" s="80"/>
      <c r="G703" s="80"/>
      <c r="H703" s="80"/>
      <c r="I703" s="80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7"/>
      <c r="AK703" s="80"/>
      <c r="AL703" s="80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</row>
    <row r="704">
      <c r="A704" s="80"/>
      <c r="B704" s="80"/>
      <c r="C704" s="80"/>
      <c r="D704" s="80"/>
      <c r="E704" s="124"/>
      <c r="F704" s="80"/>
      <c r="G704" s="80"/>
      <c r="H704" s="80"/>
      <c r="I704" s="80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7"/>
      <c r="AK704" s="80"/>
      <c r="AL704" s="80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</row>
    <row r="705">
      <c r="A705" s="80"/>
      <c r="B705" s="80"/>
      <c r="C705" s="80"/>
      <c r="D705" s="80"/>
      <c r="E705" s="124"/>
      <c r="F705" s="80"/>
      <c r="G705" s="80"/>
      <c r="H705" s="80"/>
      <c r="I705" s="80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7"/>
      <c r="AK705" s="80"/>
      <c r="AL705" s="80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</row>
    <row r="706">
      <c r="A706" s="80"/>
      <c r="B706" s="80"/>
      <c r="C706" s="80"/>
      <c r="D706" s="80"/>
      <c r="E706" s="124"/>
      <c r="F706" s="80"/>
      <c r="G706" s="80"/>
      <c r="H706" s="80"/>
      <c r="I706" s="80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7"/>
      <c r="AK706" s="80"/>
      <c r="AL706" s="80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</row>
    <row r="707">
      <c r="A707" s="80"/>
      <c r="B707" s="80"/>
      <c r="C707" s="80"/>
      <c r="D707" s="80"/>
      <c r="E707" s="124"/>
      <c r="F707" s="80"/>
      <c r="G707" s="80"/>
      <c r="H707" s="80"/>
      <c r="I707" s="80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7"/>
      <c r="AK707" s="80"/>
      <c r="AL707" s="80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</row>
    <row r="708">
      <c r="A708" s="80"/>
      <c r="B708" s="80"/>
      <c r="C708" s="80"/>
      <c r="D708" s="80"/>
      <c r="E708" s="124"/>
      <c r="F708" s="80"/>
      <c r="G708" s="80"/>
      <c r="H708" s="80"/>
      <c r="I708" s="80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7"/>
      <c r="AK708" s="80"/>
      <c r="AL708" s="80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</row>
    <row r="709">
      <c r="A709" s="80"/>
      <c r="B709" s="80"/>
      <c r="C709" s="80"/>
      <c r="D709" s="80"/>
      <c r="E709" s="124"/>
      <c r="F709" s="80"/>
      <c r="G709" s="80"/>
      <c r="H709" s="80"/>
      <c r="I709" s="80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7"/>
      <c r="AK709" s="80"/>
      <c r="AL709" s="80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</row>
    <row r="710">
      <c r="A710" s="80"/>
      <c r="B710" s="80"/>
      <c r="C710" s="80"/>
      <c r="D710" s="80"/>
      <c r="E710" s="124"/>
      <c r="F710" s="80"/>
      <c r="G710" s="80"/>
      <c r="H710" s="80"/>
      <c r="I710" s="80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7"/>
      <c r="AK710" s="80"/>
      <c r="AL710" s="80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</row>
    <row r="711">
      <c r="A711" s="80"/>
      <c r="B711" s="80"/>
      <c r="C711" s="80"/>
      <c r="D711" s="80"/>
      <c r="E711" s="124"/>
      <c r="F711" s="80"/>
      <c r="G711" s="80"/>
      <c r="H711" s="80"/>
      <c r="I711" s="80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7"/>
      <c r="AK711" s="80"/>
      <c r="AL711" s="80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</row>
    <row r="712">
      <c r="A712" s="80"/>
      <c r="B712" s="80"/>
      <c r="C712" s="80"/>
      <c r="D712" s="80"/>
      <c r="E712" s="124"/>
      <c r="F712" s="80"/>
      <c r="G712" s="80"/>
      <c r="H712" s="80"/>
      <c r="I712" s="80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7"/>
      <c r="AK712" s="80"/>
      <c r="AL712" s="80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</row>
    <row r="713">
      <c r="A713" s="80"/>
      <c r="B713" s="80"/>
      <c r="C713" s="80"/>
      <c r="D713" s="80"/>
      <c r="E713" s="124"/>
      <c r="F713" s="80"/>
      <c r="G713" s="80"/>
      <c r="H713" s="80"/>
      <c r="I713" s="80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7"/>
      <c r="AK713" s="80"/>
      <c r="AL713" s="80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</row>
    <row r="714">
      <c r="A714" s="80"/>
      <c r="B714" s="80"/>
      <c r="C714" s="80"/>
      <c r="D714" s="80"/>
      <c r="E714" s="124"/>
      <c r="F714" s="80"/>
      <c r="G714" s="80"/>
      <c r="H714" s="80"/>
      <c r="I714" s="80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7"/>
      <c r="AK714" s="80"/>
      <c r="AL714" s="80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</row>
    <row r="715">
      <c r="A715" s="80"/>
      <c r="B715" s="80"/>
      <c r="C715" s="80"/>
      <c r="D715" s="80"/>
      <c r="E715" s="124"/>
      <c r="F715" s="80"/>
      <c r="G715" s="80"/>
      <c r="H715" s="80"/>
      <c r="I715" s="80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7"/>
      <c r="AK715" s="80"/>
      <c r="AL715" s="80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</row>
    <row r="716">
      <c r="A716" s="80"/>
      <c r="B716" s="80"/>
      <c r="C716" s="80"/>
      <c r="D716" s="80"/>
      <c r="E716" s="124"/>
      <c r="F716" s="80"/>
      <c r="G716" s="80"/>
      <c r="H716" s="80"/>
      <c r="I716" s="80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7"/>
      <c r="AK716" s="80"/>
      <c r="AL716" s="80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</row>
    <row r="717">
      <c r="A717" s="80"/>
      <c r="B717" s="80"/>
      <c r="C717" s="80"/>
      <c r="D717" s="80"/>
      <c r="E717" s="124"/>
      <c r="F717" s="80"/>
      <c r="G717" s="80"/>
      <c r="H717" s="80"/>
      <c r="I717" s="80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7"/>
      <c r="AK717" s="80"/>
      <c r="AL717" s="80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</row>
    <row r="718">
      <c r="A718" s="80"/>
      <c r="B718" s="80"/>
      <c r="C718" s="80"/>
      <c r="D718" s="80"/>
      <c r="E718" s="124"/>
      <c r="F718" s="80"/>
      <c r="G718" s="80"/>
      <c r="H718" s="80"/>
      <c r="I718" s="80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7"/>
      <c r="AK718" s="80"/>
      <c r="AL718" s="80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</row>
    <row r="719">
      <c r="A719" s="80"/>
      <c r="B719" s="80"/>
      <c r="C719" s="80"/>
      <c r="D719" s="80"/>
      <c r="E719" s="124"/>
      <c r="F719" s="80"/>
      <c r="G719" s="80"/>
      <c r="H719" s="80"/>
      <c r="I719" s="80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7"/>
      <c r="AK719" s="80"/>
      <c r="AL719" s="80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</row>
    <row r="720">
      <c r="A720" s="80"/>
      <c r="B720" s="80"/>
      <c r="C720" s="80"/>
      <c r="D720" s="80"/>
      <c r="E720" s="124"/>
      <c r="F720" s="80"/>
      <c r="G720" s="80"/>
      <c r="H720" s="80"/>
      <c r="I720" s="80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7"/>
      <c r="AK720" s="80"/>
      <c r="AL720" s="80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</row>
    <row r="721">
      <c r="A721" s="80"/>
      <c r="B721" s="80"/>
      <c r="C721" s="80"/>
      <c r="D721" s="80"/>
      <c r="E721" s="124"/>
      <c r="F721" s="80"/>
      <c r="G721" s="80"/>
      <c r="H721" s="80"/>
      <c r="I721" s="80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7"/>
      <c r="AK721" s="80"/>
      <c r="AL721" s="80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</row>
    <row r="722">
      <c r="A722" s="80"/>
      <c r="B722" s="80"/>
      <c r="C722" s="80"/>
      <c r="D722" s="80"/>
      <c r="E722" s="124"/>
      <c r="F722" s="80"/>
      <c r="G722" s="80"/>
      <c r="H722" s="80"/>
      <c r="I722" s="80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7"/>
      <c r="AK722" s="80"/>
      <c r="AL722" s="80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</row>
    <row r="723">
      <c r="A723" s="80"/>
      <c r="B723" s="80"/>
      <c r="C723" s="80"/>
      <c r="D723" s="80"/>
      <c r="E723" s="124"/>
      <c r="F723" s="80"/>
      <c r="G723" s="80"/>
      <c r="H723" s="80"/>
      <c r="I723" s="80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7"/>
      <c r="AK723" s="80"/>
      <c r="AL723" s="80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</row>
    <row r="724">
      <c r="A724" s="80"/>
      <c r="B724" s="80"/>
      <c r="C724" s="80"/>
      <c r="D724" s="80"/>
      <c r="E724" s="124"/>
      <c r="F724" s="80"/>
      <c r="G724" s="80"/>
      <c r="H724" s="80"/>
      <c r="I724" s="80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7"/>
      <c r="AK724" s="80"/>
      <c r="AL724" s="80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</row>
    <row r="725">
      <c r="A725" s="80"/>
      <c r="B725" s="80"/>
      <c r="C725" s="80"/>
      <c r="D725" s="80"/>
      <c r="E725" s="124"/>
      <c r="F725" s="80"/>
      <c r="G725" s="80"/>
      <c r="H725" s="80"/>
      <c r="I725" s="80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7"/>
      <c r="AK725" s="80"/>
      <c r="AL725" s="80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</row>
    <row r="726">
      <c r="A726" s="80"/>
      <c r="B726" s="80"/>
      <c r="C726" s="80"/>
      <c r="D726" s="80"/>
      <c r="E726" s="124"/>
      <c r="F726" s="80"/>
      <c r="G726" s="80"/>
      <c r="H726" s="80"/>
      <c r="I726" s="80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7"/>
      <c r="AK726" s="80"/>
      <c r="AL726" s="80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</row>
    <row r="727">
      <c r="A727" s="80"/>
      <c r="B727" s="80"/>
      <c r="C727" s="80"/>
      <c r="D727" s="80"/>
      <c r="E727" s="124"/>
      <c r="F727" s="80"/>
      <c r="G727" s="80"/>
      <c r="H727" s="80"/>
      <c r="I727" s="80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7"/>
      <c r="AK727" s="80"/>
      <c r="AL727" s="80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</row>
    <row r="728">
      <c r="A728" s="80"/>
      <c r="B728" s="80"/>
      <c r="C728" s="80"/>
      <c r="D728" s="80"/>
      <c r="E728" s="124"/>
      <c r="F728" s="80"/>
      <c r="G728" s="80"/>
      <c r="H728" s="80"/>
      <c r="I728" s="80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7"/>
      <c r="AK728" s="80"/>
      <c r="AL728" s="80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</row>
    <row r="729">
      <c r="A729" s="80"/>
      <c r="B729" s="80"/>
      <c r="C729" s="80"/>
      <c r="D729" s="80"/>
      <c r="E729" s="124"/>
      <c r="F729" s="80"/>
      <c r="G729" s="80"/>
      <c r="H729" s="80"/>
      <c r="I729" s="80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7"/>
      <c r="AK729" s="80"/>
      <c r="AL729" s="80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</row>
    <row r="730">
      <c r="A730" s="80"/>
      <c r="B730" s="80"/>
      <c r="C730" s="80"/>
      <c r="D730" s="80"/>
      <c r="E730" s="124"/>
      <c r="F730" s="80"/>
      <c r="G730" s="80"/>
      <c r="H730" s="80"/>
      <c r="I730" s="80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7"/>
      <c r="AK730" s="80"/>
      <c r="AL730" s="80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</row>
    <row r="731">
      <c r="A731" s="80"/>
      <c r="B731" s="80"/>
      <c r="C731" s="80"/>
      <c r="D731" s="80"/>
      <c r="E731" s="124"/>
      <c r="F731" s="80"/>
      <c r="G731" s="80"/>
      <c r="H731" s="80"/>
      <c r="I731" s="80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7"/>
      <c r="AK731" s="80"/>
      <c r="AL731" s="80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</row>
    <row r="732">
      <c r="A732" s="80"/>
      <c r="B732" s="80"/>
      <c r="C732" s="80"/>
      <c r="D732" s="80"/>
      <c r="E732" s="124"/>
      <c r="F732" s="80"/>
      <c r="G732" s="80"/>
      <c r="H732" s="80"/>
      <c r="I732" s="80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7"/>
      <c r="AK732" s="80"/>
      <c r="AL732" s="80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</row>
    <row r="733">
      <c r="A733" s="80"/>
      <c r="B733" s="80"/>
      <c r="C733" s="80"/>
      <c r="D733" s="80"/>
      <c r="E733" s="124"/>
      <c r="F733" s="80"/>
      <c r="G733" s="80"/>
      <c r="H733" s="80"/>
      <c r="I733" s="80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7"/>
      <c r="AK733" s="80"/>
      <c r="AL733" s="80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</row>
    <row r="734">
      <c r="A734" s="80"/>
      <c r="B734" s="80"/>
      <c r="C734" s="80"/>
      <c r="D734" s="80"/>
      <c r="E734" s="124"/>
      <c r="F734" s="80"/>
      <c r="G734" s="80"/>
      <c r="H734" s="80"/>
      <c r="I734" s="80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7"/>
      <c r="AK734" s="80"/>
      <c r="AL734" s="80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</row>
    <row r="735">
      <c r="A735" s="80"/>
      <c r="B735" s="80"/>
      <c r="C735" s="80"/>
      <c r="D735" s="80"/>
      <c r="E735" s="124"/>
      <c r="F735" s="80"/>
      <c r="G735" s="80"/>
      <c r="H735" s="80"/>
      <c r="I735" s="80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7"/>
      <c r="AK735" s="80"/>
      <c r="AL735" s="80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</row>
    <row r="736">
      <c r="A736" s="80"/>
      <c r="B736" s="80"/>
      <c r="C736" s="80"/>
      <c r="D736" s="80"/>
      <c r="E736" s="124"/>
      <c r="F736" s="80"/>
      <c r="G736" s="80"/>
      <c r="H736" s="80"/>
      <c r="I736" s="80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7"/>
      <c r="AK736" s="80"/>
      <c r="AL736" s="80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</row>
    <row r="737">
      <c r="A737" s="80"/>
      <c r="B737" s="80"/>
      <c r="C737" s="80"/>
      <c r="D737" s="80"/>
      <c r="E737" s="124"/>
      <c r="F737" s="80"/>
      <c r="G737" s="80"/>
      <c r="H737" s="80"/>
      <c r="I737" s="80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7"/>
      <c r="AK737" s="80"/>
      <c r="AL737" s="80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</row>
    <row r="738">
      <c r="A738" s="80"/>
      <c r="B738" s="80"/>
      <c r="C738" s="80"/>
      <c r="D738" s="80"/>
      <c r="E738" s="124"/>
      <c r="F738" s="80"/>
      <c r="G738" s="80"/>
      <c r="H738" s="80"/>
      <c r="I738" s="80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7"/>
      <c r="AK738" s="80"/>
      <c r="AL738" s="80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</row>
    <row r="739">
      <c r="A739" s="80"/>
      <c r="B739" s="80"/>
      <c r="C739" s="80"/>
      <c r="D739" s="80"/>
      <c r="E739" s="124"/>
      <c r="F739" s="80"/>
      <c r="G739" s="80"/>
      <c r="H739" s="80"/>
      <c r="I739" s="80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7"/>
      <c r="AK739" s="80"/>
      <c r="AL739" s="80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</row>
    <row r="740">
      <c r="A740" s="80"/>
      <c r="B740" s="80"/>
      <c r="C740" s="80"/>
      <c r="D740" s="80"/>
      <c r="E740" s="124"/>
      <c r="F740" s="80"/>
      <c r="G740" s="80"/>
      <c r="H740" s="80"/>
      <c r="I740" s="80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7"/>
      <c r="AK740" s="80"/>
      <c r="AL740" s="80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</row>
    <row r="741">
      <c r="A741" s="80"/>
      <c r="B741" s="80"/>
      <c r="C741" s="80"/>
      <c r="D741" s="80"/>
      <c r="E741" s="124"/>
      <c r="F741" s="80"/>
      <c r="G741" s="80"/>
      <c r="H741" s="80"/>
      <c r="I741" s="80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7"/>
      <c r="AK741" s="80"/>
      <c r="AL741" s="80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</row>
    <row r="742">
      <c r="A742" s="80"/>
      <c r="B742" s="80"/>
      <c r="C742" s="80"/>
      <c r="D742" s="80"/>
      <c r="E742" s="124"/>
      <c r="F742" s="80"/>
      <c r="G742" s="80"/>
      <c r="H742" s="80"/>
      <c r="I742" s="80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7"/>
      <c r="AK742" s="80"/>
      <c r="AL742" s="80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</row>
    <row r="743">
      <c r="A743" s="80"/>
      <c r="B743" s="80"/>
      <c r="C743" s="80"/>
      <c r="D743" s="80"/>
      <c r="E743" s="124"/>
      <c r="F743" s="80"/>
      <c r="G743" s="80"/>
      <c r="H743" s="80"/>
      <c r="I743" s="80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7"/>
      <c r="AK743" s="80"/>
      <c r="AL743" s="80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</row>
    <row r="744">
      <c r="A744" s="80"/>
      <c r="B744" s="80"/>
      <c r="C744" s="80"/>
      <c r="D744" s="80"/>
      <c r="E744" s="124"/>
      <c r="F744" s="80"/>
      <c r="G744" s="80"/>
      <c r="H744" s="80"/>
      <c r="I744" s="80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7"/>
      <c r="AK744" s="80"/>
      <c r="AL744" s="80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</row>
    <row r="745">
      <c r="A745" s="80"/>
      <c r="B745" s="80"/>
      <c r="C745" s="80"/>
      <c r="D745" s="80"/>
      <c r="E745" s="124"/>
      <c r="F745" s="80"/>
      <c r="G745" s="80"/>
      <c r="H745" s="80"/>
      <c r="I745" s="80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7"/>
      <c r="AK745" s="80"/>
      <c r="AL745" s="80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</row>
    <row r="746">
      <c r="A746" s="80"/>
      <c r="B746" s="80"/>
      <c r="C746" s="80"/>
      <c r="D746" s="80"/>
      <c r="E746" s="124"/>
      <c r="F746" s="80"/>
      <c r="G746" s="80"/>
      <c r="H746" s="80"/>
      <c r="I746" s="80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7"/>
      <c r="AK746" s="80"/>
      <c r="AL746" s="80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</row>
    <row r="747">
      <c r="A747" s="80"/>
      <c r="B747" s="80"/>
      <c r="C747" s="80"/>
      <c r="D747" s="80"/>
      <c r="E747" s="124"/>
      <c r="F747" s="80"/>
      <c r="G747" s="80"/>
      <c r="H747" s="80"/>
      <c r="I747" s="80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7"/>
      <c r="AK747" s="80"/>
      <c r="AL747" s="80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</row>
    <row r="748">
      <c r="A748" s="80"/>
      <c r="B748" s="80"/>
      <c r="C748" s="80"/>
      <c r="D748" s="80"/>
      <c r="E748" s="124"/>
      <c r="F748" s="80"/>
      <c r="G748" s="80"/>
      <c r="H748" s="80"/>
      <c r="I748" s="80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7"/>
      <c r="AK748" s="80"/>
      <c r="AL748" s="80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</row>
    <row r="749">
      <c r="A749" s="80"/>
      <c r="B749" s="80"/>
      <c r="C749" s="80"/>
      <c r="D749" s="80"/>
      <c r="E749" s="124"/>
      <c r="F749" s="80"/>
      <c r="G749" s="80"/>
      <c r="H749" s="80"/>
      <c r="I749" s="80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7"/>
      <c r="AK749" s="80"/>
      <c r="AL749" s="80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</row>
    <row r="750">
      <c r="A750" s="80"/>
      <c r="B750" s="80"/>
      <c r="C750" s="80"/>
      <c r="D750" s="80"/>
      <c r="E750" s="124"/>
      <c r="F750" s="80"/>
      <c r="G750" s="80"/>
      <c r="H750" s="80"/>
      <c r="I750" s="80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7"/>
      <c r="AK750" s="80"/>
      <c r="AL750" s="80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</row>
    <row r="751">
      <c r="A751" s="80"/>
      <c r="B751" s="80"/>
      <c r="C751" s="80"/>
      <c r="D751" s="80"/>
      <c r="E751" s="124"/>
      <c r="F751" s="80"/>
      <c r="G751" s="80"/>
      <c r="H751" s="80"/>
      <c r="I751" s="80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7"/>
      <c r="AK751" s="80"/>
      <c r="AL751" s="80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</row>
    <row r="752">
      <c r="A752" s="80"/>
      <c r="B752" s="80"/>
      <c r="C752" s="80"/>
      <c r="D752" s="80"/>
      <c r="E752" s="124"/>
      <c r="F752" s="80"/>
      <c r="G752" s="80"/>
      <c r="H752" s="80"/>
      <c r="I752" s="80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7"/>
      <c r="AK752" s="80"/>
      <c r="AL752" s="80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</row>
    <row r="753">
      <c r="A753" s="80"/>
      <c r="B753" s="80"/>
      <c r="C753" s="80"/>
      <c r="D753" s="80"/>
      <c r="E753" s="124"/>
      <c r="F753" s="80"/>
      <c r="G753" s="80"/>
      <c r="H753" s="80"/>
      <c r="I753" s="80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7"/>
      <c r="AK753" s="80"/>
      <c r="AL753" s="80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</row>
    <row r="754">
      <c r="A754" s="80"/>
      <c r="B754" s="80"/>
      <c r="C754" s="80"/>
      <c r="D754" s="80"/>
      <c r="E754" s="124"/>
      <c r="F754" s="80"/>
      <c r="G754" s="80"/>
      <c r="H754" s="80"/>
      <c r="I754" s="80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7"/>
      <c r="AK754" s="80"/>
      <c r="AL754" s="80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</row>
    <row r="755">
      <c r="A755" s="80"/>
      <c r="B755" s="80"/>
      <c r="C755" s="80"/>
      <c r="D755" s="80"/>
      <c r="E755" s="124"/>
      <c r="F755" s="80"/>
      <c r="G755" s="80"/>
      <c r="H755" s="80"/>
      <c r="I755" s="80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7"/>
      <c r="AK755" s="80"/>
      <c r="AL755" s="80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</row>
    <row r="756">
      <c r="A756" s="80"/>
      <c r="B756" s="80"/>
      <c r="C756" s="80"/>
      <c r="D756" s="80"/>
      <c r="E756" s="124"/>
      <c r="F756" s="80"/>
      <c r="G756" s="80"/>
      <c r="H756" s="80"/>
      <c r="I756" s="80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7"/>
      <c r="AK756" s="80"/>
      <c r="AL756" s="80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</row>
    <row r="757">
      <c r="A757" s="80"/>
      <c r="B757" s="80"/>
      <c r="C757" s="80"/>
      <c r="D757" s="80"/>
      <c r="E757" s="124"/>
      <c r="F757" s="80"/>
      <c r="G757" s="80"/>
      <c r="H757" s="80"/>
      <c r="I757" s="80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7"/>
      <c r="AK757" s="80"/>
      <c r="AL757" s="80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</row>
    <row r="758">
      <c r="A758" s="80"/>
      <c r="B758" s="80"/>
      <c r="C758" s="80"/>
      <c r="D758" s="80"/>
      <c r="E758" s="124"/>
      <c r="F758" s="80"/>
      <c r="G758" s="80"/>
      <c r="H758" s="80"/>
      <c r="I758" s="80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7"/>
      <c r="AK758" s="80"/>
      <c r="AL758" s="80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</row>
    <row r="759">
      <c r="A759" s="80"/>
      <c r="B759" s="80"/>
      <c r="C759" s="80"/>
      <c r="D759" s="80"/>
      <c r="E759" s="124"/>
      <c r="F759" s="80"/>
      <c r="G759" s="80"/>
      <c r="H759" s="80"/>
      <c r="I759" s="80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7"/>
      <c r="AK759" s="80"/>
      <c r="AL759" s="80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</row>
    <row r="760">
      <c r="A760" s="80"/>
      <c r="B760" s="80"/>
      <c r="C760" s="80"/>
      <c r="D760" s="80"/>
      <c r="E760" s="124"/>
      <c r="F760" s="80"/>
      <c r="G760" s="80"/>
      <c r="H760" s="80"/>
      <c r="I760" s="80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7"/>
      <c r="AK760" s="80"/>
      <c r="AL760" s="80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</row>
    <row r="761">
      <c r="A761" s="80"/>
      <c r="B761" s="80"/>
      <c r="C761" s="80"/>
      <c r="D761" s="80"/>
      <c r="E761" s="124"/>
      <c r="F761" s="80"/>
      <c r="G761" s="80"/>
      <c r="H761" s="80"/>
      <c r="I761" s="80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7"/>
      <c r="AK761" s="80"/>
      <c r="AL761" s="80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</row>
    <row r="762">
      <c r="A762" s="80"/>
      <c r="B762" s="80"/>
      <c r="C762" s="80"/>
      <c r="D762" s="80"/>
      <c r="E762" s="124"/>
      <c r="F762" s="80"/>
      <c r="G762" s="80"/>
      <c r="H762" s="80"/>
      <c r="I762" s="80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7"/>
      <c r="AK762" s="80"/>
      <c r="AL762" s="80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</row>
    <row r="763">
      <c r="A763" s="80"/>
      <c r="B763" s="80"/>
      <c r="C763" s="80"/>
      <c r="D763" s="80"/>
      <c r="E763" s="124"/>
      <c r="F763" s="80"/>
      <c r="G763" s="80"/>
      <c r="H763" s="80"/>
      <c r="I763" s="80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7"/>
      <c r="AK763" s="80"/>
      <c r="AL763" s="80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</row>
    <row r="764">
      <c r="A764" s="80"/>
      <c r="B764" s="80"/>
      <c r="C764" s="80"/>
      <c r="D764" s="80"/>
      <c r="E764" s="124"/>
      <c r="F764" s="80"/>
      <c r="G764" s="80"/>
      <c r="H764" s="80"/>
      <c r="I764" s="80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7"/>
      <c r="AK764" s="80"/>
      <c r="AL764" s="80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</row>
    <row r="765">
      <c r="A765" s="80"/>
      <c r="B765" s="80"/>
      <c r="C765" s="80"/>
      <c r="D765" s="80"/>
      <c r="E765" s="124"/>
      <c r="F765" s="80"/>
      <c r="G765" s="80"/>
      <c r="H765" s="80"/>
      <c r="I765" s="80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7"/>
      <c r="AK765" s="80"/>
      <c r="AL765" s="80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</row>
    <row r="766">
      <c r="A766" s="80"/>
      <c r="B766" s="80"/>
      <c r="C766" s="80"/>
      <c r="D766" s="80"/>
      <c r="E766" s="124"/>
      <c r="F766" s="80"/>
      <c r="G766" s="80"/>
      <c r="H766" s="80"/>
      <c r="I766" s="80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7"/>
      <c r="AK766" s="80"/>
      <c r="AL766" s="80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</row>
    <row r="767">
      <c r="A767" s="80"/>
      <c r="B767" s="80"/>
      <c r="C767" s="80"/>
      <c r="D767" s="80"/>
      <c r="E767" s="124"/>
      <c r="F767" s="80"/>
      <c r="G767" s="80"/>
      <c r="H767" s="80"/>
      <c r="I767" s="80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7"/>
      <c r="AK767" s="80"/>
      <c r="AL767" s="80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</row>
    <row r="768">
      <c r="A768" s="80"/>
      <c r="B768" s="80"/>
      <c r="C768" s="80"/>
      <c r="D768" s="80"/>
      <c r="E768" s="124"/>
      <c r="F768" s="80"/>
      <c r="G768" s="80"/>
      <c r="H768" s="80"/>
      <c r="I768" s="80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7"/>
      <c r="AK768" s="80"/>
      <c r="AL768" s="80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</row>
    <row r="769">
      <c r="A769" s="80"/>
      <c r="B769" s="80"/>
      <c r="C769" s="80"/>
      <c r="D769" s="80"/>
      <c r="E769" s="124"/>
      <c r="F769" s="80"/>
      <c r="G769" s="80"/>
      <c r="H769" s="80"/>
      <c r="I769" s="80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7"/>
      <c r="AK769" s="80"/>
      <c r="AL769" s="80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</row>
    <row r="770">
      <c r="A770" s="80"/>
      <c r="B770" s="80"/>
      <c r="C770" s="80"/>
      <c r="D770" s="80"/>
      <c r="E770" s="124"/>
      <c r="F770" s="80"/>
      <c r="G770" s="80"/>
      <c r="H770" s="80"/>
      <c r="I770" s="80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7"/>
      <c r="AK770" s="80"/>
      <c r="AL770" s="80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</row>
    <row r="771">
      <c r="A771" s="80"/>
      <c r="B771" s="80"/>
      <c r="C771" s="80"/>
      <c r="D771" s="80"/>
      <c r="E771" s="124"/>
      <c r="F771" s="80"/>
      <c r="G771" s="80"/>
      <c r="H771" s="80"/>
      <c r="I771" s="80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7"/>
      <c r="AK771" s="80"/>
      <c r="AL771" s="80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</row>
    <row r="772">
      <c r="A772" s="80"/>
      <c r="B772" s="80"/>
      <c r="C772" s="80"/>
      <c r="D772" s="80"/>
      <c r="E772" s="124"/>
      <c r="F772" s="80"/>
      <c r="G772" s="80"/>
      <c r="H772" s="80"/>
      <c r="I772" s="80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7"/>
      <c r="AK772" s="80"/>
      <c r="AL772" s="80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</row>
    <row r="773">
      <c r="A773" s="80"/>
      <c r="B773" s="80"/>
      <c r="C773" s="80"/>
      <c r="D773" s="80"/>
      <c r="E773" s="124"/>
      <c r="F773" s="80"/>
      <c r="G773" s="80"/>
      <c r="H773" s="80"/>
      <c r="I773" s="80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7"/>
      <c r="AK773" s="80"/>
      <c r="AL773" s="80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</row>
    <row r="774">
      <c r="A774" s="80"/>
      <c r="B774" s="80"/>
      <c r="C774" s="80"/>
      <c r="D774" s="80"/>
      <c r="E774" s="124"/>
      <c r="F774" s="80"/>
      <c r="G774" s="80"/>
      <c r="H774" s="80"/>
      <c r="I774" s="80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7"/>
      <c r="AK774" s="80"/>
      <c r="AL774" s="80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</row>
    <row r="775">
      <c r="A775" s="80"/>
      <c r="B775" s="80"/>
      <c r="C775" s="80"/>
      <c r="D775" s="80"/>
      <c r="E775" s="124"/>
      <c r="F775" s="80"/>
      <c r="G775" s="80"/>
      <c r="H775" s="80"/>
      <c r="I775" s="80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7"/>
      <c r="AK775" s="80"/>
      <c r="AL775" s="80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</row>
    <row r="776">
      <c r="A776" s="80"/>
      <c r="B776" s="80"/>
      <c r="C776" s="80"/>
      <c r="D776" s="80"/>
      <c r="E776" s="124"/>
      <c r="F776" s="80"/>
      <c r="G776" s="80"/>
      <c r="H776" s="80"/>
      <c r="I776" s="80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7"/>
      <c r="AK776" s="80"/>
      <c r="AL776" s="80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</row>
    <row r="777">
      <c r="A777" s="80"/>
      <c r="B777" s="80"/>
      <c r="C777" s="80"/>
      <c r="D777" s="80"/>
      <c r="E777" s="124"/>
      <c r="F777" s="80"/>
      <c r="G777" s="80"/>
      <c r="H777" s="80"/>
      <c r="I777" s="80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7"/>
      <c r="AK777" s="80"/>
      <c r="AL777" s="80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</row>
    <row r="778">
      <c r="A778" s="80"/>
      <c r="B778" s="80"/>
      <c r="C778" s="80"/>
      <c r="D778" s="80"/>
      <c r="E778" s="124"/>
      <c r="F778" s="80"/>
      <c r="G778" s="80"/>
      <c r="H778" s="80"/>
      <c r="I778" s="80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7"/>
      <c r="AK778" s="80"/>
      <c r="AL778" s="80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</row>
    <row r="779">
      <c r="A779" s="80"/>
      <c r="B779" s="80"/>
      <c r="C779" s="80"/>
      <c r="D779" s="80"/>
      <c r="E779" s="124"/>
      <c r="F779" s="80"/>
      <c r="G779" s="80"/>
      <c r="H779" s="80"/>
      <c r="I779" s="80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7"/>
      <c r="AK779" s="80"/>
      <c r="AL779" s="80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</row>
    <row r="780">
      <c r="A780" s="80"/>
      <c r="B780" s="80"/>
      <c r="C780" s="80"/>
      <c r="D780" s="80"/>
      <c r="E780" s="124"/>
      <c r="F780" s="80"/>
      <c r="G780" s="80"/>
      <c r="H780" s="80"/>
      <c r="I780" s="80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7"/>
      <c r="AK780" s="80"/>
      <c r="AL780" s="80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</row>
    <row r="781">
      <c r="A781" s="80"/>
      <c r="B781" s="80"/>
      <c r="C781" s="80"/>
      <c r="D781" s="80"/>
      <c r="E781" s="124"/>
      <c r="F781" s="80"/>
      <c r="G781" s="80"/>
      <c r="H781" s="80"/>
      <c r="I781" s="80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7"/>
      <c r="AK781" s="80"/>
      <c r="AL781" s="80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</row>
    <row r="782">
      <c r="A782" s="80"/>
      <c r="B782" s="80"/>
      <c r="C782" s="80"/>
      <c r="D782" s="80"/>
      <c r="E782" s="124"/>
      <c r="F782" s="80"/>
      <c r="G782" s="80"/>
      <c r="H782" s="80"/>
      <c r="I782" s="80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7"/>
      <c r="AK782" s="80"/>
      <c r="AL782" s="80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</row>
    <row r="783">
      <c r="A783" s="80"/>
      <c r="B783" s="80"/>
      <c r="C783" s="80"/>
      <c r="D783" s="80"/>
      <c r="E783" s="124"/>
      <c r="F783" s="80"/>
      <c r="G783" s="80"/>
      <c r="H783" s="80"/>
      <c r="I783" s="80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7"/>
      <c r="AK783" s="80"/>
      <c r="AL783" s="80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</row>
    <row r="784">
      <c r="A784" s="80"/>
      <c r="B784" s="80"/>
      <c r="C784" s="80"/>
      <c r="D784" s="80"/>
      <c r="E784" s="124"/>
      <c r="F784" s="80"/>
      <c r="G784" s="80"/>
      <c r="H784" s="80"/>
      <c r="I784" s="80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7"/>
      <c r="AK784" s="80"/>
      <c r="AL784" s="80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</row>
    <row r="785">
      <c r="A785" s="80"/>
      <c r="B785" s="80"/>
      <c r="C785" s="80"/>
      <c r="D785" s="80"/>
      <c r="E785" s="124"/>
      <c r="F785" s="80"/>
      <c r="G785" s="80"/>
      <c r="H785" s="80"/>
      <c r="I785" s="80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7"/>
      <c r="AK785" s="80"/>
      <c r="AL785" s="80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</row>
    <row r="786">
      <c r="A786" s="80"/>
      <c r="B786" s="80"/>
      <c r="C786" s="80"/>
      <c r="D786" s="80"/>
      <c r="E786" s="124"/>
      <c r="F786" s="80"/>
      <c r="G786" s="80"/>
      <c r="H786" s="80"/>
      <c r="I786" s="80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7"/>
      <c r="AK786" s="80"/>
      <c r="AL786" s="80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</row>
    <row r="787">
      <c r="A787" s="80"/>
      <c r="B787" s="80"/>
      <c r="C787" s="80"/>
      <c r="D787" s="80"/>
      <c r="E787" s="124"/>
      <c r="F787" s="80"/>
      <c r="G787" s="80"/>
      <c r="H787" s="80"/>
      <c r="I787" s="80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7"/>
      <c r="AK787" s="80"/>
      <c r="AL787" s="80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</row>
    <row r="788">
      <c r="A788" s="80"/>
      <c r="B788" s="80"/>
      <c r="C788" s="80"/>
      <c r="D788" s="80"/>
      <c r="E788" s="124"/>
      <c r="F788" s="80"/>
      <c r="G788" s="80"/>
      <c r="H788" s="80"/>
      <c r="I788" s="80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7"/>
      <c r="AK788" s="80"/>
      <c r="AL788" s="80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</row>
    <row r="789">
      <c r="A789" s="80"/>
      <c r="B789" s="80"/>
      <c r="C789" s="80"/>
      <c r="D789" s="80"/>
      <c r="E789" s="124"/>
      <c r="F789" s="80"/>
      <c r="G789" s="80"/>
      <c r="H789" s="80"/>
      <c r="I789" s="80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7"/>
      <c r="AK789" s="80"/>
      <c r="AL789" s="80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</row>
    <row r="790">
      <c r="A790" s="80"/>
      <c r="B790" s="80"/>
      <c r="C790" s="80"/>
      <c r="D790" s="80"/>
      <c r="E790" s="124"/>
      <c r="F790" s="80"/>
      <c r="G790" s="80"/>
      <c r="H790" s="80"/>
      <c r="I790" s="80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7"/>
      <c r="AK790" s="80"/>
      <c r="AL790" s="80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</row>
    <row r="791">
      <c r="A791" s="80"/>
      <c r="B791" s="80"/>
      <c r="C791" s="80"/>
      <c r="D791" s="80"/>
      <c r="E791" s="124"/>
      <c r="F791" s="80"/>
      <c r="G791" s="80"/>
      <c r="H791" s="80"/>
      <c r="I791" s="80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7"/>
      <c r="AK791" s="80"/>
      <c r="AL791" s="80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</row>
    <row r="792">
      <c r="A792" s="80"/>
      <c r="B792" s="80"/>
      <c r="C792" s="80"/>
      <c r="D792" s="80"/>
      <c r="E792" s="124"/>
      <c r="F792" s="80"/>
      <c r="G792" s="80"/>
      <c r="H792" s="80"/>
      <c r="I792" s="80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7"/>
      <c r="AK792" s="80"/>
      <c r="AL792" s="80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</row>
    <row r="793">
      <c r="A793" s="80"/>
      <c r="B793" s="80"/>
      <c r="C793" s="80"/>
      <c r="D793" s="80"/>
      <c r="E793" s="124"/>
      <c r="F793" s="80"/>
      <c r="G793" s="80"/>
      <c r="H793" s="80"/>
      <c r="I793" s="80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7"/>
      <c r="AK793" s="80"/>
      <c r="AL793" s="80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</row>
    <row r="794">
      <c r="A794" s="80"/>
      <c r="B794" s="80"/>
      <c r="C794" s="80"/>
      <c r="D794" s="80"/>
      <c r="E794" s="124"/>
      <c r="F794" s="80"/>
      <c r="G794" s="80"/>
      <c r="H794" s="80"/>
      <c r="I794" s="80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7"/>
      <c r="AK794" s="80"/>
      <c r="AL794" s="80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</row>
    <row r="795">
      <c r="A795" s="80"/>
      <c r="B795" s="80"/>
      <c r="C795" s="80"/>
      <c r="D795" s="80"/>
      <c r="E795" s="124"/>
      <c r="F795" s="80"/>
      <c r="G795" s="80"/>
      <c r="H795" s="80"/>
      <c r="I795" s="80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7"/>
      <c r="AK795" s="80"/>
      <c r="AL795" s="80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</row>
    <row r="796">
      <c r="A796" s="80"/>
      <c r="B796" s="80"/>
      <c r="C796" s="80"/>
      <c r="D796" s="80"/>
      <c r="E796" s="124"/>
      <c r="F796" s="80"/>
      <c r="G796" s="80"/>
      <c r="H796" s="80"/>
      <c r="I796" s="80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7"/>
      <c r="AK796" s="80"/>
      <c r="AL796" s="80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</row>
    <row r="797">
      <c r="A797" s="80"/>
      <c r="B797" s="80"/>
      <c r="C797" s="80"/>
      <c r="D797" s="80"/>
      <c r="E797" s="124"/>
      <c r="F797" s="80"/>
      <c r="G797" s="80"/>
      <c r="H797" s="80"/>
      <c r="I797" s="80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7"/>
      <c r="AK797" s="80"/>
      <c r="AL797" s="80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</row>
    <row r="798">
      <c r="A798" s="80"/>
      <c r="B798" s="80"/>
      <c r="C798" s="80"/>
      <c r="D798" s="80"/>
      <c r="E798" s="124"/>
      <c r="F798" s="80"/>
      <c r="G798" s="80"/>
      <c r="H798" s="80"/>
      <c r="I798" s="80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7"/>
      <c r="AK798" s="80"/>
      <c r="AL798" s="80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</row>
    <row r="799">
      <c r="A799" s="80"/>
      <c r="B799" s="80"/>
      <c r="C799" s="80"/>
      <c r="D799" s="80"/>
      <c r="E799" s="124"/>
      <c r="F799" s="80"/>
      <c r="G799" s="80"/>
      <c r="H799" s="80"/>
      <c r="I799" s="80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7"/>
      <c r="AK799" s="80"/>
      <c r="AL799" s="80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</row>
    <row r="800">
      <c r="A800" s="80"/>
      <c r="B800" s="80"/>
      <c r="C800" s="80"/>
      <c r="D800" s="80"/>
      <c r="E800" s="124"/>
      <c r="F800" s="80"/>
      <c r="G800" s="80"/>
      <c r="H800" s="80"/>
      <c r="I800" s="80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7"/>
      <c r="AK800" s="80"/>
      <c r="AL800" s="80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</row>
    <row r="801">
      <c r="A801" s="80"/>
      <c r="B801" s="80"/>
      <c r="C801" s="80"/>
      <c r="D801" s="80"/>
      <c r="E801" s="124"/>
      <c r="F801" s="80"/>
      <c r="G801" s="80"/>
      <c r="H801" s="80"/>
      <c r="I801" s="80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7"/>
      <c r="AK801" s="80"/>
      <c r="AL801" s="80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</row>
    <row r="802">
      <c r="A802" s="80"/>
      <c r="B802" s="80"/>
      <c r="C802" s="80"/>
      <c r="D802" s="80"/>
      <c r="E802" s="124"/>
      <c r="F802" s="80"/>
      <c r="G802" s="80"/>
      <c r="H802" s="80"/>
      <c r="I802" s="80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7"/>
      <c r="AK802" s="80"/>
      <c r="AL802" s="80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</row>
    <row r="803">
      <c r="A803" s="80"/>
      <c r="B803" s="80"/>
      <c r="C803" s="80"/>
      <c r="D803" s="80"/>
      <c r="E803" s="124"/>
      <c r="F803" s="80"/>
      <c r="G803" s="80"/>
      <c r="H803" s="80"/>
      <c r="I803" s="80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7"/>
      <c r="AK803" s="80"/>
      <c r="AL803" s="80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</row>
    <row r="804">
      <c r="A804" s="80"/>
      <c r="B804" s="80"/>
      <c r="C804" s="80"/>
      <c r="D804" s="80"/>
      <c r="E804" s="124"/>
      <c r="F804" s="80"/>
      <c r="G804" s="80"/>
      <c r="H804" s="80"/>
      <c r="I804" s="80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7"/>
      <c r="AK804" s="80"/>
      <c r="AL804" s="80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</row>
    <row r="805">
      <c r="A805" s="80"/>
      <c r="B805" s="80"/>
      <c r="C805" s="80"/>
      <c r="D805" s="80"/>
      <c r="E805" s="124"/>
      <c r="F805" s="80"/>
      <c r="G805" s="80"/>
      <c r="H805" s="80"/>
      <c r="I805" s="80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7"/>
      <c r="AK805" s="80"/>
      <c r="AL805" s="80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</row>
    <row r="806">
      <c r="A806" s="80"/>
      <c r="B806" s="80"/>
      <c r="C806" s="80"/>
      <c r="D806" s="80"/>
      <c r="E806" s="124"/>
      <c r="F806" s="80"/>
      <c r="G806" s="80"/>
      <c r="H806" s="80"/>
      <c r="I806" s="80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7"/>
      <c r="AK806" s="80"/>
      <c r="AL806" s="80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</row>
    <row r="807">
      <c r="A807" s="80"/>
      <c r="B807" s="80"/>
      <c r="C807" s="80"/>
      <c r="D807" s="80"/>
      <c r="E807" s="124"/>
      <c r="F807" s="80"/>
      <c r="G807" s="80"/>
      <c r="H807" s="80"/>
      <c r="I807" s="80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7"/>
      <c r="AK807" s="80"/>
      <c r="AL807" s="80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</row>
    <row r="808">
      <c r="A808" s="80"/>
      <c r="B808" s="80"/>
      <c r="C808" s="80"/>
      <c r="D808" s="80"/>
      <c r="E808" s="124"/>
      <c r="F808" s="80"/>
      <c r="G808" s="80"/>
      <c r="H808" s="80"/>
      <c r="I808" s="80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7"/>
      <c r="AK808" s="80"/>
      <c r="AL808" s="80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</row>
    <row r="809">
      <c r="A809" s="80"/>
      <c r="B809" s="80"/>
      <c r="C809" s="80"/>
      <c r="D809" s="80"/>
      <c r="E809" s="124"/>
      <c r="F809" s="80"/>
      <c r="G809" s="80"/>
      <c r="H809" s="80"/>
      <c r="I809" s="80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7"/>
      <c r="AK809" s="80"/>
      <c r="AL809" s="80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</row>
    <row r="810">
      <c r="A810" s="80"/>
      <c r="B810" s="80"/>
      <c r="C810" s="80"/>
      <c r="D810" s="80"/>
      <c r="E810" s="124"/>
      <c r="F810" s="80"/>
      <c r="G810" s="80"/>
      <c r="H810" s="80"/>
      <c r="I810" s="80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7"/>
      <c r="AK810" s="80"/>
      <c r="AL810" s="80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</row>
    <row r="811">
      <c r="A811" s="80"/>
      <c r="B811" s="80"/>
      <c r="C811" s="80"/>
      <c r="D811" s="80"/>
      <c r="E811" s="124"/>
      <c r="F811" s="80"/>
      <c r="G811" s="80"/>
      <c r="H811" s="80"/>
      <c r="I811" s="80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7"/>
      <c r="AK811" s="80"/>
      <c r="AL811" s="80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</row>
    <row r="812">
      <c r="A812" s="80"/>
      <c r="B812" s="80"/>
      <c r="C812" s="80"/>
      <c r="D812" s="80"/>
      <c r="E812" s="124"/>
      <c r="F812" s="80"/>
      <c r="G812" s="80"/>
      <c r="H812" s="80"/>
      <c r="I812" s="80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7"/>
      <c r="AK812" s="80"/>
      <c r="AL812" s="80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</row>
    <row r="813">
      <c r="A813" s="80"/>
      <c r="B813" s="80"/>
      <c r="C813" s="80"/>
      <c r="D813" s="80"/>
      <c r="E813" s="124"/>
      <c r="F813" s="80"/>
      <c r="G813" s="80"/>
      <c r="H813" s="80"/>
      <c r="I813" s="80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7"/>
      <c r="AK813" s="80"/>
      <c r="AL813" s="80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</row>
    <row r="814">
      <c r="A814" s="80"/>
      <c r="B814" s="80"/>
      <c r="C814" s="80"/>
      <c r="D814" s="80"/>
      <c r="E814" s="124"/>
      <c r="F814" s="80"/>
      <c r="G814" s="80"/>
      <c r="H814" s="80"/>
      <c r="I814" s="80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7"/>
      <c r="AK814" s="80"/>
      <c r="AL814" s="80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</row>
    <row r="815">
      <c r="A815" s="80"/>
      <c r="B815" s="80"/>
      <c r="C815" s="80"/>
      <c r="D815" s="80"/>
      <c r="E815" s="124"/>
      <c r="F815" s="80"/>
      <c r="G815" s="80"/>
      <c r="H815" s="80"/>
      <c r="I815" s="80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7"/>
      <c r="AK815" s="80"/>
      <c r="AL815" s="80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</row>
    <row r="816">
      <c r="A816" s="80"/>
      <c r="B816" s="80"/>
      <c r="C816" s="80"/>
      <c r="D816" s="80"/>
      <c r="E816" s="124"/>
      <c r="F816" s="80"/>
      <c r="G816" s="80"/>
      <c r="H816" s="80"/>
      <c r="I816" s="80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7"/>
      <c r="AK816" s="80"/>
      <c r="AL816" s="80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</row>
    <row r="817">
      <c r="A817" s="80"/>
      <c r="B817" s="80"/>
      <c r="C817" s="80"/>
      <c r="D817" s="80"/>
      <c r="E817" s="124"/>
      <c r="F817" s="80"/>
      <c r="G817" s="80"/>
      <c r="H817" s="80"/>
      <c r="I817" s="80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7"/>
      <c r="AK817" s="80"/>
      <c r="AL817" s="80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</row>
    <row r="818">
      <c r="A818" s="80"/>
      <c r="B818" s="80"/>
      <c r="C818" s="80"/>
      <c r="D818" s="80"/>
      <c r="E818" s="124"/>
      <c r="F818" s="80"/>
      <c r="G818" s="80"/>
      <c r="H818" s="80"/>
      <c r="I818" s="80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7"/>
      <c r="AK818" s="80"/>
      <c r="AL818" s="80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</row>
    <row r="819">
      <c r="A819" s="80"/>
      <c r="B819" s="80"/>
      <c r="C819" s="80"/>
      <c r="D819" s="80"/>
      <c r="E819" s="124"/>
      <c r="F819" s="80"/>
      <c r="G819" s="80"/>
      <c r="H819" s="80"/>
      <c r="I819" s="80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7"/>
      <c r="AK819" s="80"/>
      <c r="AL819" s="80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</row>
    <row r="820">
      <c r="A820" s="80"/>
      <c r="B820" s="80"/>
      <c r="C820" s="80"/>
      <c r="D820" s="80"/>
      <c r="E820" s="124"/>
      <c r="F820" s="80"/>
      <c r="G820" s="80"/>
      <c r="H820" s="80"/>
      <c r="I820" s="80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7"/>
      <c r="AK820" s="80"/>
      <c r="AL820" s="80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</row>
    <row r="821">
      <c r="A821" s="80"/>
      <c r="B821" s="80"/>
      <c r="C821" s="80"/>
      <c r="D821" s="80"/>
      <c r="E821" s="124"/>
      <c r="F821" s="80"/>
      <c r="G821" s="80"/>
      <c r="H821" s="80"/>
      <c r="I821" s="80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7"/>
      <c r="AK821" s="80"/>
      <c r="AL821" s="80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</row>
    <row r="822">
      <c r="A822" s="80"/>
      <c r="B822" s="80"/>
      <c r="C822" s="80"/>
      <c r="D822" s="80"/>
      <c r="E822" s="124"/>
      <c r="F822" s="80"/>
      <c r="G822" s="80"/>
      <c r="H822" s="80"/>
      <c r="I822" s="80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7"/>
      <c r="AK822" s="80"/>
      <c r="AL822" s="80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</row>
    <row r="823">
      <c r="A823" s="80"/>
      <c r="B823" s="80"/>
      <c r="C823" s="80"/>
      <c r="D823" s="80"/>
      <c r="E823" s="124"/>
      <c r="F823" s="80"/>
      <c r="G823" s="80"/>
      <c r="H823" s="80"/>
      <c r="I823" s="80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7"/>
      <c r="AK823" s="80"/>
      <c r="AL823" s="80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</row>
    <row r="824">
      <c r="A824" s="80"/>
      <c r="B824" s="80"/>
      <c r="C824" s="80"/>
      <c r="D824" s="80"/>
      <c r="E824" s="124"/>
      <c r="F824" s="80"/>
      <c r="G824" s="80"/>
      <c r="H824" s="80"/>
      <c r="I824" s="80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7"/>
      <c r="AK824" s="80"/>
      <c r="AL824" s="80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</row>
    <row r="825">
      <c r="A825" s="80"/>
      <c r="B825" s="80"/>
      <c r="C825" s="80"/>
      <c r="D825" s="80"/>
      <c r="E825" s="124"/>
      <c r="F825" s="80"/>
      <c r="G825" s="80"/>
      <c r="H825" s="80"/>
      <c r="I825" s="80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7"/>
      <c r="AK825" s="80"/>
      <c r="AL825" s="80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</row>
    <row r="826">
      <c r="A826" s="80"/>
      <c r="B826" s="80"/>
      <c r="C826" s="80"/>
      <c r="D826" s="80"/>
      <c r="E826" s="124"/>
      <c r="F826" s="80"/>
      <c r="G826" s="80"/>
      <c r="H826" s="80"/>
      <c r="I826" s="80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7"/>
      <c r="AK826" s="80"/>
      <c r="AL826" s="80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</row>
    <row r="827">
      <c r="A827" s="80"/>
      <c r="B827" s="80"/>
      <c r="C827" s="80"/>
      <c r="D827" s="80"/>
      <c r="E827" s="124"/>
      <c r="F827" s="80"/>
      <c r="G827" s="80"/>
      <c r="H827" s="80"/>
      <c r="I827" s="80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7"/>
      <c r="AK827" s="80"/>
      <c r="AL827" s="80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</row>
    <row r="828">
      <c r="A828" s="80"/>
      <c r="B828" s="80"/>
      <c r="C828" s="80"/>
      <c r="D828" s="80"/>
      <c r="E828" s="124"/>
      <c r="F828" s="80"/>
      <c r="G828" s="80"/>
      <c r="H828" s="80"/>
      <c r="I828" s="80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7"/>
      <c r="AK828" s="80"/>
      <c r="AL828" s="80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</row>
    <row r="829">
      <c r="A829" s="80"/>
      <c r="B829" s="80"/>
      <c r="C829" s="80"/>
      <c r="D829" s="80"/>
      <c r="E829" s="124"/>
      <c r="F829" s="80"/>
      <c r="G829" s="80"/>
      <c r="H829" s="80"/>
      <c r="I829" s="80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7"/>
      <c r="AK829" s="80"/>
      <c r="AL829" s="80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</row>
    <row r="830">
      <c r="A830" s="80"/>
      <c r="B830" s="80"/>
      <c r="C830" s="80"/>
      <c r="D830" s="80"/>
      <c r="E830" s="124"/>
      <c r="F830" s="80"/>
      <c r="G830" s="80"/>
      <c r="H830" s="80"/>
      <c r="I830" s="80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7"/>
      <c r="AK830" s="80"/>
      <c r="AL830" s="80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</row>
    <row r="831">
      <c r="A831" s="80"/>
      <c r="B831" s="80"/>
      <c r="C831" s="80"/>
      <c r="D831" s="80"/>
      <c r="E831" s="124"/>
      <c r="F831" s="80"/>
      <c r="G831" s="80"/>
      <c r="H831" s="80"/>
      <c r="I831" s="80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7"/>
      <c r="AK831" s="80"/>
      <c r="AL831" s="80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</row>
    <row r="832">
      <c r="A832" s="80"/>
      <c r="B832" s="80"/>
      <c r="C832" s="80"/>
      <c r="D832" s="80"/>
      <c r="E832" s="124"/>
      <c r="F832" s="80"/>
      <c r="G832" s="80"/>
      <c r="H832" s="80"/>
      <c r="I832" s="80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7"/>
      <c r="AK832" s="80"/>
      <c r="AL832" s="80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</row>
    <row r="833">
      <c r="A833" s="80"/>
      <c r="B833" s="80"/>
      <c r="C833" s="80"/>
      <c r="D833" s="80"/>
      <c r="E833" s="124"/>
      <c r="F833" s="80"/>
      <c r="G833" s="80"/>
      <c r="H833" s="80"/>
      <c r="I833" s="80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7"/>
      <c r="AK833" s="80"/>
      <c r="AL833" s="80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</row>
    <row r="834">
      <c r="A834" s="80"/>
      <c r="B834" s="80"/>
      <c r="C834" s="80"/>
      <c r="D834" s="80"/>
      <c r="E834" s="124"/>
      <c r="F834" s="80"/>
      <c r="G834" s="80"/>
      <c r="H834" s="80"/>
      <c r="I834" s="80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7"/>
      <c r="AK834" s="80"/>
      <c r="AL834" s="80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</row>
    <row r="835">
      <c r="A835" s="80"/>
      <c r="B835" s="80"/>
      <c r="C835" s="80"/>
      <c r="D835" s="80"/>
      <c r="E835" s="124"/>
      <c r="F835" s="80"/>
      <c r="G835" s="80"/>
      <c r="H835" s="80"/>
      <c r="I835" s="80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7"/>
      <c r="AK835" s="80"/>
      <c r="AL835" s="80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</row>
    <row r="836">
      <c r="A836" s="80"/>
      <c r="B836" s="80"/>
      <c r="C836" s="80"/>
      <c r="D836" s="80"/>
      <c r="E836" s="124"/>
      <c r="F836" s="80"/>
      <c r="G836" s="80"/>
      <c r="H836" s="80"/>
      <c r="I836" s="80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7"/>
      <c r="AK836" s="80"/>
      <c r="AL836" s="80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</row>
    <row r="837">
      <c r="A837" s="80"/>
      <c r="B837" s="80"/>
      <c r="C837" s="80"/>
      <c r="D837" s="80"/>
      <c r="E837" s="124"/>
      <c r="F837" s="80"/>
      <c r="G837" s="80"/>
      <c r="H837" s="80"/>
      <c r="I837" s="80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7"/>
      <c r="AK837" s="80"/>
      <c r="AL837" s="80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</row>
    <row r="838">
      <c r="A838" s="80"/>
      <c r="B838" s="80"/>
      <c r="C838" s="80"/>
      <c r="D838" s="80"/>
      <c r="E838" s="124"/>
      <c r="F838" s="80"/>
      <c r="G838" s="80"/>
      <c r="H838" s="80"/>
      <c r="I838" s="80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7"/>
      <c r="AK838" s="80"/>
      <c r="AL838" s="80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</row>
    <row r="839">
      <c r="A839" s="80"/>
      <c r="B839" s="80"/>
      <c r="C839" s="80"/>
      <c r="D839" s="80"/>
      <c r="E839" s="124"/>
      <c r="F839" s="80"/>
      <c r="G839" s="80"/>
      <c r="H839" s="80"/>
      <c r="I839" s="80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7"/>
      <c r="AK839" s="80"/>
      <c r="AL839" s="80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</row>
    <row r="840">
      <c r="A840" s="80"/>
      <c r="B840" s="80"/>
      <c r="C840" s="80"/>
      <c r="D840" s="80"/>
      <c r="E840" s="124"/>
      <c r="F840" s="80"/>
      <c r="G840" s="80"/>
      <c r="H840" s="80"/>
      <c r="I840" s="80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7"/>
      <c r="AK840" s="80"/>
      <c r="AL840" s="80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</row>
    <row r="841">
      <c r="A841" s="80"/>
      <c r="B841" s="80"/>
      <c r="C841" s="80"/>
      <c r="D841" s="80"/>
      <c r="E841" s="124"/>
      <c r="F841" s="80"/>
      <c r="G841" s="80"/>
      <c r="H841" s="80"/>
      <c r="I841" s="80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7"/>
      <c r="AK841" s="80"/>
      <c r="AL841" s="80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</row>
    <row r="842">
      <c r="A842" s="80"/>
      <c r="B842" s="80"/>
      <c r="C842" s="80"/>
      <c r="D842" s="80"/>
      <c r="E842" s="124"/>
      <c r="F842" s="80"/>
      <c r="G842" s="80"/>
      <c r="H842" s="80"/>
      <c r="I842" s="80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7"/>
      <c r="AK842" s="80"/>
      <c r="AL842" s="80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</row>
    <row r="843">
      <c r="A843" s="80"/>
      <c r="B843" s="80"/>
      <c r="C843" s="80"/>
      <c r="D843" s="80"/>
      <c r="E843" s="124"/>
      <c r="F843" s="80"/>
      <c r="G843" s="80"/>
      <c r="H843" s="80"/>
      <c r="I843" s="80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7"/>
      <c r="AK843" s="80"/>
      <c r="AL843" s="80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</row>
    <row r="844">
      <c r="A844" s="80"/>
      <c r="B844" s="80"/>
      <c r="C844" s="80"/>
      <c r="D844" s="80"/>
      <c r="E844" s="124"/>
      <c r="F844" s="80"/>
      <c r="G844" s="80"/>
      <c r="H844" s="80"/>
      <c r="I844" s="80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7"/>
      <c r="AK844" s="80"/>
      <c r="AL844" s="80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</row>
    <row r="845">
      <c r="A845" s="80"/>
      <c r="B845" s="80"/>
      <c r="C845" s="80"/>
      <c r="D845" s="80"/>
      <c r="E845" s="124"/>
      <c r="F845" s="80"/>
      <c r="G845" s="80"/>
      <c r="H845" s="80"/>
      <c r="I845" s="80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7"/>
      <c r="AK845" s="80"/>
      <c r="AL845" s="80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</row>
    <row r="846">
      <c r="A846" s="80"/>
      <c r="B846" s="80"/>
      <c r="C846" s="80"/>
      <c r="D846" s="80"/>
      <c r="E846" s="124"/>
      <c r="F846" s="80"/>
      <c r="G846" s="80"/>
      <c r="H846" s="80"/>
      <c r="I846" s="80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7"/>
      <c r="AK846" s="80"/>
      <c r="AL846" s="80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</row>
    <row r="847">
      <c r="A847" s="80"/>
      <c r="B847" s="80"/>
      <c r="C847" s="80"/>
      <c r="D847" s="80"/>
      <c r="E847" s="124"/>
      <c r="F847" s="80"/>
      <c r="G847" s="80"/>
      <c r="H847" s="80"/>
      <c r="I847" s="80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7"/>
      <c r="AK847" s="80"/>
      <c r="AL847" s="80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</row>
    <row r="848">
      <c r="A848" s="80"/>
      <c r="B848" s="80"/>
      <c r="C848" s="80"/>
      <c r="D848" s="80"/>
      <c r="E848" s="124"/>
      <c r="F848" s="80"/>
      <c r="G848" s="80"/>
      <c r="H848" s="80"/>
      <c r="I848" s="80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7"/>
      <c r="AK848" s="80"/>
      <c r="AL848" s="80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</row>
    <row r="849">
      <c r="A849" s="80"/>
      <c r="B849" s="80"/>
      <c r="C849" s="80"/>
      <c r="D849" s="80"/>
      <c r="E849" s="124"/>
      <c r="F849" s="80"/>
      <c r="G849" s="80"/>
      <c r="H849" s="80"/>
      <c r="I849" s="80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7"/>
      <c r="AK849" s="80"/>
      <c r="AL849" s="80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</row>
    <row r="850">
      <c r="A850" s="80"/>
      <c r="B850" s="80"/>
      <c r="C850" s="80"/>
      <c r="D850" s="80"/>
      <c r="E850" s="124"/>
      <c r="F850" s="80"/>
      <c r="G850" s="80"/>
      <c r="H850" s="80"/>
      <c r="I850" s="80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7"/>
      <c r="AK850" s="80"/>
      <c r="AL850" s="80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</row>
    <row r="851">
      <c r="A851" s="80"/>
      <c r="B851" s="80"/>
      <c r="C851" s="80"/>
      <c r="D851" s="80"/>
      <c r="E851" s="124"/>
      <c r="F851" s="80"/>
      <c r="G851" s="80"/>
      <c r="H851" s="80"/>
      <c r="I851" s="80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7"/>
      <c r="AK851" s="80"/>
      <c r="AL851" s="80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</row>
    <row r="852">
      <c r="A852" s="80"/>
      <c r="B852" s="80"/>
      <c r="C852" s="80"/>
      <c r="D852" s="80"/>
      <c r="E852" s="124"/>
      <c r="F852" s="80"/>
      <c r="G852" s="80"/>
      <c r="H852" s="80"/>
      <c r="I852" s="80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7"/>
      <c r="AK852" s="80"/>
      <c r="AL852" s="80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</row>
    <row r="853">
      <c r="A853" s="80"/>
      <c r="B853" s="80"/>
      <c r="C853" s="80"/>
      <c r="D853" s="80"/>
      <c r="E853" s="124"/>
      <c r="F853" s="80"/>
      <c r="G853" s="80"/>
      <c r="H853" s="80"/>
      <c r="I853" s="80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7"/>
      <c r="AK853" s="80"/>
      <c r="AL853" s="80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</row>
    <row r="854">
      <c r="A854" s="80"/>
      <c r="B854" s="80"/>
      <c r="C854" s="80"/>
      <c r="D854" s="80"/>
      <c r="E854" s="124"/>
      <c r="F854" s="80"/>
      <c r="G854" s="80"/>
      <c r="H854" s="80"/>
      <c r="I854" s="80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7"/>
      <c r="AK854" s="80"/>
      <c r="AL854" s="80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</row>
    <row r="855">
      <c r="A855" s="80"/>
      <c r="B855" s="80"/>
      <c r="C855" s="80"/>
      <c r="D855" s="80"/>
      <c r="E855" s="124"/>
      <c r="F855" s="80"/>
      <c r="G855" s="80"/>
      <c r="H855" s="80"/>
      <c r="I855" s="80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7"/>
      <c r="AK855" s="80"/>
      <c r="AL855" s="80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</row>
    <row r="856">
      <c r="A856" s="80"/>
      <c r="B856" s="80"/>
      <c r="C856" s="80"/>
      <c r="D856" s="80"/>
      <c r="E856" s="124"/>
      <c r="F856" s="80"/>
      <c r="G856" s="80"/>
      <c r="H856" s="80"/>
      <c r="I856" s="80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7"/>
      <c r="AK856" s="80"/>
      <c r="AL856" s="80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</row>
    <row r="857">
      <c r="A857" s="80"/>
      <c r="B857" s="80"/>
      <c r="C857" s="80"/>
      <c r="D857" s="80"/>
      <c r="E857" s="124"/>
      <c r="F857" s="80"/>
      <c r="G857" s="80"/>
      <c r="H857" s="80"/>
      <c r="I857" s="80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7"/>
      <c r="AK857" s="80"/>
      <c r="AL857" s="80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</row>
    <row r="858">
      <c r="A858" s="80"/>
      <c r="B858" s="80"/>
      <c r="C858" s="80"/>
      <c r="D858" s="80"/>
      <c r="E858" s="124"/>
      <c r="F858" s="80"/>
      <c r="G858" s="80"/>
      <c r="H858" s="80"/>
      <c r="I858" s="80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7"/>
      <c r="AK858" s="80"/>
      <c r="AL858" s="80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</row>
    <row r="859">
      <c r="A859" s="80"/>
      <c r="B859" s="80"/>
      <c r="C859" s="80"/>
      <c r="D859" s="80"/>
      <c r="E859" s="124"/>
      <c r="F859" s="80"/>
      <c r="G859" s="80"/>
      <c r="H859" s="80"/>
      <c r="I859" s="80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7"/>
      <c r="AK859" s="80"/>
      <c r="AL859" s="80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</row>
    <row r="860">
      <c r="A860" s="80"/>
      <c r="B860" s="80"/>
      <c r="C860" s="80"/>
      <c r="D860" s="80"/>
      <c r="E860" s="124"/>
      <c r="F860" s="80"/>
      <c r="G860" s="80"/>
      <c r="H860" s="80"/>
      <c r="I860" s="80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7"/>
      <c r="AK860" s="80"/>
      <c r="AL860" s="80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</row>
    <row r="861">
      <c r="A861" s="80"/>
      <c r="B861" s="80"/>
      <c r="C861" s="80"/>
      <c r="D861" s="80"/>
      <c r="E861" s="124"/>
      <c r="F861" s="80"/>
      <c r="G861" s="80"/>
      <c r="H861" s="80"/>
      <c r="I861" s="80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7"/>
      <c r="AK861" s="80"/>
      <c r="AL861" s="80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</row>
    <row r="862">
      <c r="A862" s="80"/>
      <c r="B862" s="80"/>
      <c r="C862" s="80"/>
      <c r="D862" s="80"/>
      <c r="E862" s="124"/>
      <c r="F862" s="80"/>
      <c r="G862" s="80"/>
      <c r="H862" s="80"/>
      <c r="I862" s="80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7"/>
      <c r="AK862" s="80"/>
      <c r="AL862" s="80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</row>
    <row r="863">
      <c r="A863" s="80"/>
      <c r="B863" s="80"/>
      <c r="C863" s="80"/>
      <c r="D863" s="80"/>
      <c r="E863" s="124"/>
      <c r="F863" s="80"/>
      <c r="G863" s="80"/>
      <c r="H863" s="80"/>
      <c r="I863" s="80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7"/>
      <c r="AK863" s="80"/>
      <c r="AL863" s="80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</row>
    <row r="864">
      <c r="A864" s="80"/>
      <c r="B864" s="80"/>
      <c r="C864" s="80"/>
      <c r="D864" s="80"/>
      <c r="E864" s="124"/>
      <c r="F864" s="80"/>
      <c r="G864" s="80"/>
      <c r="H864" s="80"/>
      <c r="I864" s="80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7"/>
      <c r="AK864" s="80"/>
      <c r="AL864" s="80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</row>
    <row r="865">
      <c r="A865" s="80"/>
      <c r="B865" s="80"/>
      <c r="C865" s="80"/>
      <c r="D865" s="80"/>
      <c r="E865" s="124"/>
      <c r="F865" s="80"/>
      <c r="G865" s="80"/>
      <c r="H865" s="80"/>
      <c r="I865" s="80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7"/>
      <c r="AK865" s="80"/>
      <c r="AL865" s="80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</row>
    <row r="866">
      <c r="A866" s="80"/>
      <c r="B866" s="80"/>
      <c r="C866" s="80"/>
      <c r="D866" s="80"/>
      <c r="E866" s="124"/>
      <c r="F866" s="80"/>
      <c r="G866" s="80"/>
      <c r="H866" s="80"/>
      <c r="I866" s="80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7"/>
      <c r="AK866" s="80"/>
      <c r="AL866" s="80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</row>
    <row r="867">
      <c r="A867" s="80"/>
      <c r="B867" s="80"/>
      <c r="C867" s="80"/>
      <c r="D867" s="80"/>
      <c r="E867" s="124"/>
      <c r="F867" s="80"/>
      <c r="G867" s="80"/>
      <c r="H867" s="80"/>
      <c r="I867" s="80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7"/>
      <c r="AK867" s="80"/>
      <c r="AL867" s="80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</row>
    <row r="868">
      <c r="A868" s="80"/>
      <c r="B868" s="80"/>
      <c r="C868" s="80"/>
      <c r="D868" s="80"/>
      <c r="E868" s="124"/>
      <c r="F868" s="80"/>
      <c r="G868" s="80"/>
      <c r="H868" s="80"/>
      <c r="I868" s="80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7"/>
      <c r="AK868" s="80"/>
      <c r="AL868" s="80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</row>
    <row r="869">
      <c r="A869" s="80"/>
      <c r="B869" s="80"/>
      <c r="C869" s="80"/>
      <c r="D869" s="80"/>
      <c r="E869" s="124"/>
      <c r="F869" s="80"/>
      <c r="G869" s="80"/>
      <c r="H869" s="80"/>
      <c r="I869" s="80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7"/>
      <c r="AK869" s="80"/>
      <c r="AL869" s="80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</row>
    <row r="870">
      <c r="A870" s="80"/>
      <c r="B870" s="80"/>
      <c r="C870" s="80"/>
      <c r="D870" s="80"/>
      <c r="E870" s="124"/>
      <c r="F870" s="80"/>
      <c r="G870" s="80"/>
      <c r="H870" s="80"/>
      <c r="I870" s="80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7"/>
      <c r="AK870" s="80"/>
      <c r="AL870" s="80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</row>
    <row r="871">
      <c r="A871" s="80"/>
      <c r="B871" s="80"/>
      <c r="C871" s="80"/>
      <c r="D871" s="80"/>
      <c r="E871" s="124"/>
      <c r="F871" s="80"/>
      <c r="G871" s="80"/>
      <c r="H871" s="80"/>
      <c r="I871" s="80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7"/>
      <c r="AK871" s="80"/>
      <c r="AL871" s="80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</row>
    <row r="872">
      <c r="A872" s="80"/>
      <c r="B872" s="80"/>
      <c r="C872" s="80"/>
      <c r="D872" s="80"/>
      <c r="E872" s="124"/>
      <c r="F872" s="80"/>
      <c r="G872" s="80"/>
      <c r="H872" s="80"/>
      <c r="I872" s="80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7"/>
      <c r="AK872" s="80"/>
      <c r="AL872" s="80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</row>
    <row r="873">
      <c r="A873" s="80"/>
      <c r="B873" s="80"/>
      <c r="C873" s="80"/>
      <c r="D873" s="80"/>
      <c r="E873" s="124"/>
      <c r="F873" s="80"/>
      <c r="G873" s="80"/>
      <c r="H873" s="80"/>
      <c r="I873" s="80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7"/>
      <c r="AK873" s="80"/>
      <c r="AL873" s="80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</row>
    <row r="874">
      <c r="A874" s="80"/>
      <c r="B874" s="80"/>
      <c r="C874" s="80"/>
      <c r="D874" s="80"/>
      <c r="E874" s="124"/>
      <c r="F874" s="80"/>
      <c r="G874" s="80"/>
      <c r="H874" s="80"/>
      <c r="I874" s="80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7"/>
      <c r="AK874" s="80"/>
      <c r="AL874" s="80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</row>
    <row r="875">
      <c r="A875" s="80"/>
      <c r="B875" s="80"/>
      <c r="C875" s="80"/>
      <c r="D875" s="80"/>
      <c r="E875" s="124"/>
      <c r="F875" s="80"/>
      <c r="G875" s="80"/>
      <c r="H875" s="80"/>
      <c r="I875" s="80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7"/>
      <c r="AK875" s="80"/>
      <c r="AL875" s="80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</row>
    <row r="876">
      <c r="A876" s="80"/>
      <c r="B876" s="80"/>
      <c r="C876" s="80"/>
      <c r="D876" s="80"/>
      <c r="E876" s="124"/>
      <c r="F876" s="80"/>
      <c r="G876" s="80"/>
      <c r="H876" s="80"/>
      <c r="I876" s="80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7"/>
      <c r="AK876" s="80"/>
      <c r="AL876" s="80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</row>
    <row r="877">
      <c r="A877" s="80"/>
      <c r="B877" s="80"/>
      <c r="C877" s="80"/>
      <c r="D877" s="80"/>
      <c r="E877" s="124"/>
      <c r="F877" s="80"/>
      <c r="G877" s="80"/>
      <c r="H877" s="80"/>
      <c r="I877" s="80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7"/>
      <c r="AK877" s="80"/>
      <c r="AL877" s="80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</row>
    <row r="878">
      <c r="A878" s="80"/>
      <c r="B878" s="80"/>
      <c r="C878" s="80"/>
      <c r="D878" s="80"/>
      <c r="E878" s="124"/>
      <c r="F878" s="80"/>
      <c r="G878" s="80"/>
      <c r="H878" s="80"/>
      <c r="I878" s="80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7"/>
      <c r="AK878" s="80"/>
      <c r="AL878" s="80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</row>
    <row r="879">
      <c r="A879" s="80"/>
      <c r="B879" s="80"/>
      <c r="C879" s="80"/>
      <c r="D879" s="80"/>
      <c r="E879" s="124"/>
      <c r="F879" s="80"/>
      <c r="G879" s="80"/>
      <c r="H879" s="80"/>
      <c r="I879" s="80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7"/>
      <c r="AK879" s="80"/>
      <c r="AL879" s="80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</row>
    <row r="880">
      <c r="A880" s="80"/>
      <c r="B880" s="80"/>
      <c r="C880" s="80"/>
      <c r="D880" s="80"/>
      <c r="E880" s="124"/>
      <c r="F880" s="80"/>
      <c r="G880" s="80"/>
      <c r="H880" s="80"/>
      <c r="I880" s="80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7"/>
      <c r="AK880" s="80"/>
      <c r="AL880" s="80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</row>
    <row r="881">
      <c r="A881" s="80"/>
      <c r="B881" s="80"/>
      <c r="C881" s="80"/>
      <c r="D881" s="80"/>
      <c r="E881" s="124"/>
      <c r="F881" s="80"/>
      <c r="G881" s="80"/>
      <c r="H881" s="80"/>
      <c r="I881" s="80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7"/>
      <c r="AK881" s="80"/>
      <c r="AL881" s="80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</row>
    <row r="882">
      <c r="A882" s="80"/>
      <c r="B882" s="80"/>
      <c r="C882" s="80"/>
      <c r="D882" s="80"/>
      <c r="E882" s="124"/>
      <c r="F882" s="80"/>
      <c r="G882" s="80"/>
      <c r="H882" s="80"/>
      <c r="I882" s="80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7"/>
      <c r="AK882" s="80"/>
      <c r="AL882" s="80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</row>
    <row r="883">
      <c r="A883" s="80"/>
      <c r="B883" s="80"/>
      <c r="C883" s="80"/>
      <c r="D883" s="80"/>
      <c r="E883" s="124"/>
      <c r="F883" s="80"/>
      <c r="G883" s="80"/>
      <c r="H883" s="80"/>
      <c r="I883" s="80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7"/>
      <c r="AK883" s="80"/>
      <c r="AL883" s="80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</row>
    <row r="884">
      <c r="A884" s="80"/>
      <c r="B884" s="80"/>
      <c r="C884" s="80"/>
      <c r="D884" s="80"/>
      <c r="E884" s="124"/>
      <c r="F884" s="80"/>
      <c r="G884" s="80"/>
      <c r="H884" s="80"/>
      <c r="I884" s="80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7"/>
      <c r="AK884" s="80"/>
      <c r="AL884" s="80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</row>
    <row r="885">
      <c r="A885" s="80"/>
      <c r="B885" s="80"/>
      <c r="C885" s="80"/>
      <c r="D885" s="80"/>
      <c r="E885" s="124"/>
      <c r="F885" s="80"/>
      <c r="G885" s="80"/>
      <c r="H885" s="80"/>
      <c r="I885" s="80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7"/>
      <c r="AK885" s="80"/>
      <c r="AL885" s="80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</row>
    <row r="886">
      <c r="A886" s="80"/>
      <c r="B886" s="80"/>
      <c r="C886" s="80"/>
      <c r="D886" s="80"/>
      <c r="E886" s="124"/>
      <c r="F886" s="80"/>
      <c r="G886" s="80"/>
      <c r="H886" s="80"/>
      <c r="I886" s="80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7"/>
      <c r="AK886" s="80"/>
      <c r="AL886" s="80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</row>
    <row r="887">
      <c r="A887" s="80"/>
      <c r="B887" s="80"/>
      <c r="C887" s="80"/>
      <c r="D887" s="80"/>
      <c r="E887" s="124"/>
      <c r="F887" s="80"/>
      <c r="G887" s="80"/>
      <c r="H887" s="80"/>
      <c r="I887" s="80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7"/>
      <c r="AK887" s="80"/>
      <c r="AL887" s="80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</row>
    <row r="888">
      <c r="A888" s="80"/>
      <c r="B888" s="80"/>
      <c r="C888" s="80"/>
      <c r="D888" s="80"/>
      <c r="E888" s="124"/>
      <c r="F888" s="80"/>
      <c r="G888" s="80"/>
      <c r="H888" s="80"/>
      <c r="I888" s="80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7"/>
      <c r="AK888" s="80"/>
      <c r="AL888" s="80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</row>
    <row r="889">
      <c r="A889" s="80"/>
      <c r="B889" s="80"/>
      <c r="C889" s="80"/>
      <c r="D889" s="80"/>
      <c r="E889" s="124"/>
      <c r="F889" s="80"/>
      <c r="G889" s="80"/>
      <c r="H889" s="80"/>
      <c r="I889" s="80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7"/>
      <c r="AK889" s="80"/>
      <c r="AL889" s="80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</row>
    <row r="890">
      <c r="A890" s="80"/>
      <c r="B890" s="80"/>
      <c r="C890" s="80"/>
      <c r="D890" s="80"/>
      <c r="E890" s="124"/>
      <c r="F890" s="80"/>
      <c r="G890" s="80"/>
      <c r="H890" s="80"/>
      <c r="I890" s="80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7"/>
      <c r="AK890" s="80"/>
      <c r="AL890" s="80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</row>
    <row r="891">
      <c r="A891" s="80"/>
      <c r="B891" s="80"/>
      <c r="C891" s="80"/>
      <c r="D891" s="80"/>
      <c r="E891" s="124"/>
      <c r="F891" s="80"/>
      <c r="G891" s="80"/>
      <c r="H891" s="80"/>
      <c r="I891" s="80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7"/>
      <c r="AK891" s="80"/>
      <c r="AL891" s="80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</row>
    <row r="892">
      <c r="A892" s="80"/>
      <c r="B892" s="80"/>
      <c r="C892" s="80"/>
      <c r="D892" s="80"/>
      <c r="E892" s="124"/>
      <c r="F892" s="80"/>
      <c r="G892" s="80"/>
      <c r="H892" s="80"/>
      <c r="I892" s="80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7"/>
      <c r="AK892" s="80"/>
      <c r="AL892" s="80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</row>
    <row r="893">
      <c r="A893" s="80"/>
      <c r="B893" s="80"/>
      <c r="C893" s="80"/>
      <c r="D893" s="80"/>
      <c r="E893" s="124"/>
      <c r="F893" s="80"/>
      <c r="G893" s="80"/>
      <c r="H893" s="80"/>
      <c r="I893" s="80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7"/>
      <c r="AK893" s="80"/>
      <c r="AL893" s="80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</row>
    <row r="894">
      <c r="A894" s="80"/>
      <c r="B894" s="80"/>
      <c r="C894" s="80"/>
      <c r="D894" s="80"/>
      <c r="E894" s="124"/>
      <c r="F894" s="80"/>
      <c r="G894" s="80"/>
      <c r="H894" s="80"/>
      <c r="I894" s="80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7"/>
      <c r="AK894" s="80"/>
      <c r="AL894" s="80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</row>
    <row r="895">
      <c r="A895" s="80"/>
      <c r="B895" s="80"/>
      <c r="C895" s="80"/>
      <c r="D895" s="80"/>
      <c r="E895" s="124"/>
      <c r="F895" s="80"/>
      <c r="G895" s="80"/>
      <c r="H895" s="80"/>
      <c r="I895" s="80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7"/>
      <c r="AK895" s="80"/>
      <c r="AL895" s="80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</row>
    <row r="896">
      <c r="A896" s="80"/>
      <c r="B896" s="80"/>
      <c r="C896" s="80"/>
      <c r="D896" s="80"/>
      <c r="E896" s="124"/>
      <c r="F896" s="80"/>
      <c r="G896" s="80"/>
      <c r="H896" s="80"/>
      <c r="I896" s="80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7"/>
      <c r="AK896" s="80"/>
      <c r="AL896" s="80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</row>
    <row r="897">
      <c r="A897" s="80"/>
      <c r="B897" s="80"/>
      <c r="C897" s="80"/>
      <c r="D897" s="80"/>
      <c r="E897" s="124"/>
      <c r="F897" s="80"/>
      <c r="G897" s="80"/>
      <c r="H897" s="80"/>
      <c r="I897" s="80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7"/>
      <c r="AK897" s="80"/>
      <c r="AL897" s="80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</row>
    <row r="898">
      <c r="A898" s="80"/>
      <c r="B898" s="80"/>
      <c r="C898" s="80"/>
      <c r="D898" s="80"/>
      <c r="E898" s="124"/>
      <c r="F898" s="80"/>
      <c r="G898" s="80"/>
      <c r="H898" s="80"/>
      <c r="I898" s="80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7"/>
      <c r="AK898" s="80"/>
      <c r="AL898" s="80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</row>
    <row r="899">
      <c r="A899" s="80"/>
      <c r="B899" s="80"/>
      <c r="C899" s="80"/>
      <c r="D899" s="80"/>
      <c r="E899" s="124"/>
      <c r="F899" s="80"/>
      <c r="G899" s="80"/>
      <c r="H899" s="80"/>
      <c r="I899" s="80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7"/>
      <c r="AK899" s="80"/>
      <c r="AL899" s="80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</row>
    <row r="900">
      <c r="A900" s="80"/>
      <c r="B900" s="80"/>
      <c r="C900" s="80"/>
      <c r="D900" s="80"/>
      <c r="E900" s="124"/>
      <c r="F900" s="80"/>
      <c r="G900" s="80"/>
      <c r="H900" s="80"/>
      <c r="I900" s="80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7"/>
      <c r="AK900" s="80"/>
      <c r="AL900" s="80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</row>
    <row r="901">
      <c r="A901" s="80"/>
      <c r="B901" s="80"/>
      <c r="C901" s="80"/>
      <c r="D901" s="80"/>
      <c r="E901" s="124"/>
      <c r="F901" s="80"/>
      <c r="G901" s="80"/>
      <c r="H901" s="80"/>
      <c r="I901" s="80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7"/>
      <c r="AK901" s="80"/>
      <c r="AL901" s="80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</row>
    <row r="902">
      <c r="A902" s="80"/>
      <c r="B902" s="80"/>
      <c r="C902" s="80"/>
      <c r="D902" s="80"/>
      <c r="E902" s="124"/>
      <c r="F902" s="80"/>
      <c r="G902" s="80"/>
      <c r="H902" s="80"/>
      <c r="I902" s="80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7"/>
      <c r="AK902" s="80"/>
      <c r="AL902" s="80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</row>
    <row r="903">
      <c r="A903" s="80"/>
      <c r="B903" s="80"/>
      <c r="C903" s="80"/>
      <c r="D903" s="80"/>
      <c r="E903" s="124"/>
      <c r="F903" s="80"/>
      <c r="G903" s="80"/>
      <c r="H903" s="80"/>
      <c r="I903" s="80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7"/>
      <c r="AK903" s="80"/>
      <c r="AL903" s="80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</row>
    <row r="904">
      <c r="A904" s="80"/>
      <c r="B904" s="80"/>
      <c r="C904" s="80"/>
      <c r="D904" s="80"/>
      <c r="E904" s="124"/>
      <c r="F904" s="80"/>
      <c r="G904" s="80"/>
      <c r="H904" s="80"/>
      <c r="I904" s="80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7"/>
      <c r="AK904" s="80"/>
      <c r="AL904" s="80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</row>
    <row r="905">
      <c r="A905" s="80"/>
      <c r="B905" s="80"/>
      <c r="C905" s="80"/>
      <c r="D905" s="80"/>
      <c r="E905" s="124"/>
      <c r="F905" s="80"/>
      <c r="G905" s="80"/>
      <c r="H905" s="80"/>
      <c r="I905" s="80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7"/>
      <c r="AK905" s="80"/>
      <c r="AL905" s="80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</row>
    <row r="906">
      <c r="A906" s="80"/>
      <c r="B906" s="80"/>
      <c r="C906" s="80"/>
      <c r="D906" s="80"/>
      <c r="E906" s="124"/>
      <c r="F906" s="80"/>
      <c r="G906" s="80"/>
      <c r="H906" s="80"/>
      <c r="I906" s="80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7"/>
      <c r="AK906" s="80"/>
      <c r="AL906" s="80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</row>
    <row r="907">
      <c r="A907" s="80"/>
      <c r="B907" s="80"/>
      <c r="C907" s="80"/>
      <c r="D907" s="80"/>
      <c r="E907" s="124"/>
      <c r="F907" s="80"/>
      <c r="G907" s="80"/>
      <c r="H907" s="80"/>
      <c r="I907" s="80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7"/>
      <c r="AK907" s="80"/>
      <c r="AL907" s="80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</row>
    <row r="908">
      <c r="A908" s="80"/>
      <c r="B908" s="80"/>
      <c r="C908" s="80"/>
      <c r="D908" s="80"/>
      <c r="E908" s="124"/>
      <c r="F908" s="80"/>
      <c r="G908" s="80"/>
      <c r="H908" s="80"/>
      <c r="I908" s="80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7"/>
      <c r="AK908" s="80"/>
      <c r="AL908" s="80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</row>
    <row r="909">
      <c r="A909" s="80"/>
      <c r="B909" s="80"/>
      <c r="C909" s="80"/>
      <c r="D909" s="80"/>
      <c r="E909" s="124"/>
      <c r="F909" s="80"/>
      <c r="G909" s="80"/>
      <c r="H909" s="80"/>
      <c r="I909" s="80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7"/>
      <c r="AK909" s="80"/>
      <c r="AL909" s="80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</row>
    <row r="910">
      <c r="A910" s="80"/>
      <c r="B910" s="80"/>
      <c r="C910" s="80"/>
      <c r="D910" s="80"/>
      <c r="E910" s="124"/>
      <c r="F910" s="80"/>
      <c r="G910" s="80"/>
      <c r="H910" s="80"/>
      <c r="I910" s="80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7"/>
      <c r="AK910" s="80"/>
      <c r="AL910" s="80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</row>
    <row r="911">
      <c r="A911" s="80"/>
      <c r="B911" s="80"/>
      <c r="C911" s="80"/>
      <c r="D911" s="80"/>
      <c r="E911" s="124"/>
      <c r="F911" s="80"/>
      <c r="G911" s="80"/>
      <c r="H911" s="80"/>
      <c r="I911" s="80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7"/>
      <c r="AK911" s="80"/>
      <c r="AL911" s="80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</row>
    <row r="912">
      <c r="A912" s="80"/>
      <c r="B912" s="80"/>
      <c r="C912" s="80"/>
      <c r="D912" s="80"/>
      <c r="E912" s="124"/>
      <c r="F912" s="80"/>
      <c r="G912" s="80"/>
      <c r="H912" s="80"/>
      <c r="I912" s="80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7"/>
      <c r="AK912" s="80"/>
      <c r="AL912" s="80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</row>
    <row r="913">
      <c r="A913" s="80"/>
      <c r="B913" s="80"/>
      <c r="C913" s="80"/>
      <c r="D913" s="80"/>
      <c r="E913" s="124"/>
      <c r="F913" s="80"/>
      <c r="G913" s="80"/>
      <c r="H913" s="80"/>
      <c r="I913" s="80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7"/>
      <c r="AK913" s="80"/>
      <c r="AL913" s="80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</row>
    <row r="914">
      <c r="A914" s="80"/>
      <c r="B914" s="80"/>
      <c r="C914" s="80"/>
      <c r="D914" s="80"/>
      <c r="E914" s="124"/>
      <c r="F914" s="80"/>
      <c r="G914" s="80"/>
      <c r="H914" s="80"/>
      <c r="I914" s="80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7"/>
      <c r="AK914" s="80"/>
      <c r="AL914" s="80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</row>
    <row r="915">
      <c r="A915" s="80"/>
      <c r="B915" s="80"/>
      <c r="C915" s="80"/>
      <c r="D915" s="80"/>
      <c r="E915" s="124"/>
      <c r="F915" s="80"/>
      <c r="G915" s="80"/>
      <c r="H915" s="80"/>
      <c r="I915" s="80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7"/>
      <c r="AK915" s="80"/>
      <c r="AL915" s="80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</row>
    <row r="916">
      <c r="A916" s="80"/>
      <c r="B916" s="80"/>
      <c r="C916" s="80"/>
      <c r="D916" s="80"/>
      <c r="E916" s="124"/>
      <c r="F916" s="80"/>
      <c r="G916" s="80"/>
      <c r="H916" s="80"/>
      <c r="I916" s="80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7"/>
      <c r="AK916" s="80"/>
      <c r="AL916" s="80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</row>
    <row r="917">
      <c r="A917" s="80"/>
      <c r="B917" s="80"/>
      <c r="C917" s="80"/>
      <c r="D917" s="80"/>
      <c r="E917" s="124"/>
      <c r="F917" s="80"/>
      <c r="G917" s="80"/>
      <c r="H917" s="80"/>
      <c r="I917" s="80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7"/>
      <c r="AK917" s="80"/>
      <c r="AL917" s="80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</row>
    <row r="918">
      <c r="A918" s="80"/>
      <c r="B918" s="80"/>
      <c r="C918" s="80"/>
      <c r="D918" s="80"/>
      <c r="E918" s="124"/>
      <c r="F918" s="80"/>
      <c r="G918" s="80"/>
      <c r="H918" s="80"/>
      <c r="I918" s="80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7"/>
      <c r="AK918" s="80"/>
      <c r="AL918" s="80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</row>
    <row r="919">
      <c r="A919" s="80"/>
      <c r="B919" s="80"/>
      <c r="C919" s="80"/>
      <c r="D919" s="80"/>
      <c r="E919" s="124"/>
      <c r="F919" s="80"/>
      <c r="G919" s="80"/>
      <c r="H919" s="80"/>
      <c r="I919" s="80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7"/>
      <c r="AK919" s="80"/>
      <c r="AL919" s="80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</row>
    <row r="920">
      <c r="A920" s="80"/>
      <c r="B920" s="80"/>
      <c r="C920" s="80"/>
      <c r="D920" s="80"/>
      <c r="E920" s="124"/>
      <c r="F920" s="80"/>
      <c r="G920" s="80"/>
      <c r="H920" s="80"/>
      <c r="I920" s="80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7"/>
      <c r="AK920" s="80"/>
      <c r="AL920" s="80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</row>
    <row r="921">
      <c r="A921" s="80"/>
      <c r="B921" s="80"/>
      <c r="C921" s="80"/>
      <c r="D921" s="80"/>
      <c r="E921" s="124"/>
      <c r="F921" s="80"/>
      <c r="G921" s="80"/>
      <c r="H921" s="80"/>
      <c r="I921" s="80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7"/>
      <c r="AK921" s="80"/>
      <c r="AL921" s="80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</row>
    <row r="922">
      <c r="A922" s="80"/>
      <c r="B922" s="80"/>
      <c r="C922" s="80"/>
      <c r="D922" s="80"/>
      <c r="E922" s="124"/>
      <c r="F922" s="80"/>
      <c r="G922" s="80"/>
      <c r="H922" s="80"/>
      <c r="I922" s="80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7"/>
      <c r="AK922" s="80"/>
      <c r="AL922" s="80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</row>
    <row r="923">
      <c r="A923" s="80"/>
      <c r="B923" s="80"/>
      <c r="C923" s="80"/>
      <c r="D923" s="80"/>
      <c r="E923" s="124"/>
      <c r="F923" s="80"/>
      <c r="G923" s="80"/>
      <c r="H923" s="80"/>
      <c r="I923" s="80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7"/>
      <c r="AK923" s="80"/>
      <c r="AL923" s="80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</row>
    <row r="924">
      <c r="A924" s="80"/>
      <c r="B924" s="80"/>
      <c r="C924" s="80"/>
      <c r="D924" s="80"/>
      <c r="E924" s="124"/>
      <c r="F924" s="80"/>
      <c r="G924" s="80"/>
      <c r="H924" s="80"/>
      <c r="I924" s="80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7"/>
      <c r="AK924" s="80"/>
      <c r="AL924" s="80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</row>
    <row r="925">
      <c r="A925" s="80"/>
      <c r="B925" s="80"/>
      <c r="C925" s="80"/>
      <c r="D925" s="80"/>
      <c r="E925" s="124"/>
      <c r="F925" s="80"/>
      <c r="G925" s="80"/>
      <c r="H925" s="80"/>
      <c r="I925" s="80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7"/>
      <c r="AK925" s="80"/>
      <c r="AL925" s="80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</row>
    <row r="926">
      <c r="A926" s="80"/>
      <c r="B926" s="80"/>
      <c r="C926" s="80"/>
      <c r="D926" s="80"/>
      <c r="E926" s="124"/>
      <c r="F926" s="80"/>
      <c r="G926" s="80"/>
      <c r="H926" s="80"/>
      <c r="I926" s="80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7"/>
      <c r="AK926" s="80"/>
      <c r="AL926" s="80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</row>
    <row r="927">
      <c r="A927" s="80"/>
      <c r="B927" s="80"/>
      <c r="C927" s="80"/>
      <c r="D927" s="80"/>
      <c r="E927" s="124"/>
      <c r="F927" s="80"/>
      <c r="G927" s="80"/>
      <c r="H927" s="80"/>
      <c r="I927" s="80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7"/>
      <c r="AK927" s="80"/>
      <c r="AL927" s="80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</row>
    <row r="928">
      <c r="A928" s="80"/>
      <c r="B928" s="80"/>
      <c r="C928" s="80"/>
      <c r="D928" s="80"/>
      <c r="E928" s="124"/>
      <c r="F928" s="80"/>
      <c r="G928" s="80"/>
      <c r="H928" s="80"/>
      <c r="I928" s="80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7"/>
      <c r="AK928" s="80"/>
      <c r="AL928" s="80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</row>
    <row r="929">
      <c r="A929" s="80"/>
      <c r="B929" s="80"/>
      <c r="C929" s="80"/>
      <c r="D929" s="80"/>
      <c r="E929" s="124"/>
      <c r="F929" s="80"/>
      <c r="G929" s="80"/>
      <c r="H929" s="80"/>
      <c r="I929" s="80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7"/>
      <c r="AK929" s="80"/>
      <c r="AL929" s="80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</row>
    <row r="930">
      <c r="A930" s="80"/>
      <c r="B930" s="80"/>
      <c r="C930" s="80"/>
      <c r="D930" s="80"/>
      <c r="E930" s="124"/>
      <c r="F930" s="80"/>
      <c r="G930" s="80"/>
      <c r="H930" s="80"/>
      <c r="I930" s="80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7"/>
      <c r="AK930" s="80"/>
      <c r="AL930" s="80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</row>
    <row r="931">
      <c r="A931" s="80"/>
      <c r="B931" s="80"/>
      <c r="C931" s="80"/>
      <c r="D931" s="80"/>
      <c r="E931" s="124"/>
      <c r="F931" s="80"/>
      <c r="G931" s="80"/>
      <c r="H931" s="80"/>
      <c r="I931" s="80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7"/>
      <c r="AK931" s="80"/>
      <c r="AL931" s="80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</row>
    <row r="932">
      <c r="A932" s="80"/>
      <c r="B932" s="80"/>
      <c r="C932" s="80"/>
      <c r="D932" s="80"/>
      <c r="E932" s="124"/>
      <c r="F932" s="80"/>
      <c r="G932" s="80"/>
      <c r="H932" s="80"/>
      <c r="I932" s="80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7"/>
      <c r="AK932" s="80"/>
      <c r="AL932" s="80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</row>
    <row r="933">
      <c r="A933" s="80"/>
      <c r="B933" s="80"/>
      <c r="C933" s="80"/>
      <c r="D933" s="80"/>
      <c r="E933" s="124"/>
      <c r="F933" s="80"/>
      <c r="G933" s="80"/>
      <c r="H933" s="80"/>
      <c r="I933" s="80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7"/>
      <c r="AK933" s="80"/>
      <c r="AL933" s="80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</row>
    <row r="934">
      <c r="A934" s="80"/>
      <c r="B934" s="80"/>
      <c r="C934" s="80"/>
      <c r="D934" s="80"/>
      <c r="E934" s="124"/>
      <c r="F934" s="80"/>
      <c r="G934" s="80"/>
      <c r="H934" s="80"/>
      <c r="I934" s="80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7"/>
      <c r="AK934" s="80"/>
      <c r="AL934" s="80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</row>
    <row r="935">
      <c r="A935" s="80"/>
      <c r="B935" s="80"/>
      <c r="C935" s="80"/>
      <c r="D935" s="80"/>
      <c r="E935" s="124"/>
      <c r="F935" s="80"/>
      <c r="G935" s="80"/>
      <c r="H935" s="80"/>
      <c r="I935" s="80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7"/>
      <c r="AK935" s="80"/>
      <c r="AL935" s="80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</row>
    <row r="936">
      <c r="A936" s="80"/>
      <c r="B936" s="80"/>
      <c r="C936" s="80"/>
      <c r="D936" s="80"/>
      <c r="E936" s="124"/>
      <c r="F936" s="80"/>
      <c r="G936" s="80"/>
      <c r="H936" s="80"/>
      <c r="I936" s="80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7"/>
      <c r="AK936" s="80"/>
      <c r="AL936" s="80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</row>
    <row r="937">
      <c r="A937" s="80"/>
      <c r="B937" s="80"/>
      <c r="C937" s="80"/>
      <c r="D937" s="80"/>
      <c r="E937" s="124"/>
      <c r="F937" s="80"/>
      <c r="G937" s="80"/>
      <c r="H937" s="80"/>
      <c r="I937" s="80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7"/>
      <c r="AK937" s="80"/>
      <c r="AL937" s="80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</row>
    <row r="938">
      <c r="A938" s="80"/>
      <c r="B938" s="80"/>
      <c r="C938" s="80"/>
      <c r="D938" s="80"/>
      <c r="E938" s="124"/>
      <c r="F938" s="80"/>
      <c r="G938" s="80"/>
      <c r="H938" s="80"/>
      <c r="I938" s="80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7"/>
      <c r="AK938" s="80"/>
      <c r="AL938" s="80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</row>
    <row r="939">
      <c r="A939" s="80"/>
      <c r="B939" s="80"/>
      <c r="C939" s="80"/>
      <c r="D939" s="80"/>
      <c r="E939" s="124"/>
      <c r="F939" s="80"/>
      <c r="G939" s="80"/>
      <c r="H939" s="80"/>
      <c r="I939" s="80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7"/>
      <c r="AK939" s="80"/>
      <c r="AL939" s="80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</row>
    <row r="940">
      <c r="A940" s="80"/>
      <c r="B940" s="80"/>
      <c r="C940" s="80"/>
      <c r="D940" s="80"/>
      <c r="E940" s="124"/>
      <c r="F940" s="80"/>
      <c r="G940" s="80"/>
      <c r="H940" s="80"/>
      <c r="I940" s="80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7"/>
      <c r="AK940" s="80"/>
      <c r="AL940" s="80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</row>
    <row r="941">
      <c r="A941" s="80"/>
      <c r="B941" s="80"/>
      <c r="C941" s="80"/>
      <c r="D941" s="80"/>
      <c r="E941" s="124"/>
      <c r="F941" s="80"/>
      <c r="G941" s="80"/>
      <c r="H941" s="80"/>
      <c r="I941" s="80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7"/>
      <c r="AK941" s="80"/>
      <c r="AL941" s="80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</row>
    <row r="942">
      <c r="A942" s="80"/>
      <c r="B942" s="80"/>
      <c r="C942" s="80"/>
      <c r="D942" s="80"/>
      <c r="E942" s="124"/>
      <c r="F942" s="80"/>
      <c r="G942" s="80"/>
      <c r="H942" s="80"/>
      <c r="I942" s="80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7"/>
      <c r="AK942" s="80"/>
      <c r="AL942" s="80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</row>
    <row r="943">
      <c r="A943" s="80"/>
      <c r="B943" s="80"/>
      <c r="C943" s="80"/>
      <c r="D943" s="80"/>
      <c r="E943" s="124"/>
      <c r="F943" s="80"/>
      <c r="G943" s="80"/>
      <c r="H943" s="80"/>
      <c r="I943" s="80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7"/>
      <c r="AK943" s="80"/>
      <c r="AL943" s="80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</row>
    <row r="944">
      <c r="A944" s="80"/>
      <c r="B944" s="80"/>
      <c r="C944" s="80"/>
      <c r="D944" s="80"/>
      <c r="E944" s="124"/>
      <c r="F944" s="80"/>
      <c r="G944" s="80"/>
      <c r="H944" s="80"/>
      <c r="I944" s="80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7"/>
      <c r="AK944" s="80"/>
      <c r="AL944" s="80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</row>
    <row r="945">
      <c r="A945" s="80"/>
      <c r="B945" s="80"/>
      <c r="C945" s="80"/>
      <c r="D945" s="80"/>
      <c r="E945" s="124"/>
      <c r="F945" s="80"/>
      <c r="G945" s="80"/>
      <c r="H945" s="80"/>
      <c r="I945" s="80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7"/>
      <c r="AK945" s="80"/>
      <c r="AL945" s="80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</row>
    <row r="946">
      <c r="A946" s="80"/>
      <c r="B946" s="80"/>
      <c r="C946" s="80"/>
      <c r="D946" s="80"/>
      <c r="E946" s="124"/>
      <c r="F946" s="80"/>
      <c r="G946" s="80"/>
      <c r="H946" s="80"/>
      <c r="I946" s="80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7"/>
      <c r="AK946" s="80"/>
      <c r="AL946" s="80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</row>
    <row r="947">
      <c r="A947" s="80"/>
      <c r="B947" s="80"/>
      <c r="C947" s="80"/>
      <c r="D947" s="80"/>
      <c r="E947" s="124"/>
      <c r="F947" s="80"/>
      <c r="G947" s="80"/>
      <c r="H947" s="80"/>
      <c r="I947" s="80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7"/>
      <c r="AK947" s="80"/>
      <c r="AL947" s="80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</row>
    <row r="948">
      <c r="A948" s="80"/>
      <c r="B948" s="80"/>
      <c r="C948" s="80"/>
      <c r="D948" s="80"/>
      <c r="E948" s="124"/>
      <c r="F948" s="80"/>
      <c r="G948" s="80"/>
      <c r="H948" s="80"/>
      <c r="I948" s="80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7"/>
      <c r="AK948" s="80"/>
      <c r="AL948" s="80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</row>
    <row r="949">
      <c r="A949" s="80"/>
      <c r="B949" s="80"/>
      <c r="C949" s="80"/>
      <c r="D949" s="80"/>
      <c r="E949" s="124"/>
      <c r="F949" s="80"/>
      <c r="G949" s="80"/>
      <c r="H949" s="80"/>
      <c r="I949" s="80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7"/>
      <c r="AK949" s="80"/>
      <c r="AL949" s="80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</row>
    <row r="950">
      <c r="A950" s="80"/>
      <c r="B950" s="80"/>
      <c r="C950" s="80"/>
      <c r="D950" s="80"/>
      <c r="E950" s="124"/>
      <c r="F950" s="80"/>
      <c r="G950" s="80"/>
      <c r="H950" s="80"/>
      <c r="I950" s="80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7"/>
      <c r="AK950" s="80"/>
      <c r="AL950" s="80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</row>
    <row r="951">
      <c r="A951" s="80"/>
      <c r="B951" s="80"/>
      <c r="C951" s="80"/>
      <c r="D951" s="80"/>
      <c r="E951" s="124"/>
      <c r="F951" s="80"/>
      <c r="G951" s="80"/>
      <c r="H951" s="80"/>
      <c r="I951" s="80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7"/>
      <c r="AK951" s="80"/>
      <c r="AL951" s="80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</row>
    <row r="952">
      <c r="A952" s="80"/>
      <c r="B952" s="80"/>
      <c r="C952" s="80"/>
      <c r="D952" s="80"/>
      <c r="E952" s="124"/>
      <c r="F952" s="80"/>
      <c r="G952" s="80"/>
      <c r="H952" s="80"/>
      <c r="I952" s="80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7"/>
      <c r="AK952" s="80"/>
      <c r="AL952" s="80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</row>
    <row r="953">
      <c r="A953" s="80"/>
      <c r="B953" s="80"/>
      <c r="C953" s="80"/>
      <c r="D953" s="80"/>
      <c r="E953" s="124"/>
      <c r="F953" s="80"/>
      <c r="G953" s="80"/>
      <c r="H953" s="80"/>
      <c r="I953" s="80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7"/>
      <c r="AK953" s="80"/>
      <c r="AL953" s="80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</row>
    <row r="954">
      <c r="A954" s="80"/>
      <c r="B954" s="80"/>
      <c r="C954" s="80"/>
      <c r="D954" s="80"/>
      <c r="E954" s="124"/>
      <c r="F954" s="80"/>
      <c r="G954" s="80"/>
      <c r="H954" s="80"/>
      <c r="I954" s="80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7"/>
      <c r="AK954" s="80"/>
      <c r="AL954" s="80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</row>
    <row r="955">
      <c r="A955" s="80"/>
      <c r="B955" s="80"/>
      <c r="C955" s="80"/>
      <c r="D955" s="80"/>
      <c r="E955" s="124"/>
      <c r="F955" s="80"/>
      <c r="G955" s="80"/>
      <c r="H955" s="80"/>
      <c r="I955" s="80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7"/>
      <c r="AK955" s="80"/>
      <c r="AL955" s="80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</row>
    <row r="956">
      <c r="A956" s="80"/>
      <c r="B956" s="80"/>
      <c r="C956" s="80"/>
      <c r="D956" s="80"/>
      <c r="E956" s="124"/>
      <c r="F956" s="80"/>
      <c r="G956" s="80"/>
      <c r="H956" s="80"/>
      <c r="I956" s="80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7"/>
      <c r="AK956" s="80"/>
      <c r="AL956" s="80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</row>
    <row r="957">
      <c r="A957" s="80"/>
      <c r="B957" s="80"/>
      <c r="C957" s="80"/>
      <c r="D957" s="80"/>
      <c r="E957" s="124"/>
      <c r="F957" s="80"/>
      <c r="G957" s="80"/>
      <c r="H957" s="80"/>
      <c r="I957" s="80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7"/>
      <c r="AK957" s="80"/>
      <c r="AL957" s="80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</row>
    <row r="958">
      <c r="A958" s="80"/>
      <c r="B958" s="80"/>
      <c r="C958" s="80"/>
      <c r="D958" s="80"/>
      <c r="E958" s="124"/>
      <c r="F958" s="80"/>
      <c r="G958" s="80"/>
      <c r="H958" s="80"/>
      <c r="I958" s="80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7"/>
      <c r="AK958" s="80"/>
      <c r="AL958" s="80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</row>
    <row r="959">
      <c r="A959" s="80"/>
      <c r="B959" s="80"/>
      <c r="C959" s="80"/>
      <c r="D959" s="80"/>
      <c r="E959" s="124"/>
      <c r="F959" s="80"/>
      <c r="G959" s="80"/>
      <c r="H959" s="80"/>
      <c r="I959" s="80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7"/>
      <c r="AK959" s="80"/>
      <c r="AL959" s="80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</row>
    <row r="960">
      <c r="A960" s="80"/>
      <c r="B960" s="80"/>
      <c r="C960" s="80"/>
      <c r="D960" s="80"/>
      <c r="E960" s="124"/>
      <c r="F960" s="80"/>
      <c r="G960" s="80"/>
      <c r="H960" s="80"/>
      <c r="I960" s="80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7"/>
      <c r="AK960" s="80"/>
      <c r="AL960" s="80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</row>
    <row r="961">
      <c r="A961" s="80"/>
      <c r="B961" s="80"/>
      <c r="C961" s="80"/>
      <c r="D961" s="80"/>
      <c r="E961" s="124"/>
      <c r="F961" s="80"/>
      <c r="G961" s="80"/>
      <c r="H961" s="80"/>
      <c r="I961" s="80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7"/>
      <c r="AK961" s="80"/>
      <c r="AL961" s="80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</row>
    <row r="962">
      <c r="A962" s="80"/>
      <c r="B962" s="80"/>
      <c r="C962" s="80"/>
      <c r="D962" s="80"/>
      <c r="E962" s="124"/>
      <c r="F962" s="80"/>
      <c r="G962" s="80"/>
      <c r="H962" s="80"/>
      <c r="I962" s="80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7"/>
      <c r="AK962" s="80"/>
      <c r="AL962" s="80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</row>
    <row r="963">
      <c r="A963" s="80"/>
      <c r="B963" s="80"/>
      <c r="C963" s="80"/>
      <c r="D963" s="80"/>
      <c r="E963" s="124"/>
      <c r="F963" s="80"/>
      <c r="G963" s="80"/>
      <c r="H963" s="80"/>
      <c r="I963" s="80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7"/>
      <c r="AK963" s="80"/>
      <c r="AL963" s="80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</row>
    <row r="964">
      <c r="A964" s="80"/>
      <c r="B964" s="80"/>
      <c r="C964" s="80"/>
      <c r="D964" s="80"/>
      <c r="E964" s="124"/>
      <c r="F964" s="80"/>
      <c r="G964" s="80"/>
      <c r="H964" s="80"/>
      <c r="I964" s="80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7"/>
      <c r="AK964" s="80"/>
      <c r="AL964" s="80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</row>
    <row r="965">
      <c r="A965" s="80"/>
      <c r="B965" s="80"/>
      <c r="C965" s="80"/>
      <c r="D965" s="80"/>
      <c r="E965" s="124"/>
      <c r="F965" s="80"/>
      <c r="G965" s="80"/>
      <c r="H965" s="80"/>
      <c r="I965" s="80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7"/>
      <c r="AK965" s="80"/>
      <c r="AL965" s="80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</row>
    <row r="966">
      <c r="A966" s="80"/>
      <c r="B966" s="80"/>
      <c r="C966" s="80"/>
      <c r="D966" s="80"/>
      <c r="E966" s="124"/>
      <c r="F966" s="80"/>
      <c r="G966" s="80"/>
      <c r="H966" s="80"/>
      <c r="I966" s="80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7"/>
      <c r="AK966" s="80"/>
      <c r="AL966" s="80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</row>
    <row r="967">
      <c r="A967" s="80"/>
      <c r="B967" s="80"/>
      <c r="C967" s="80"/>
      <c r="D967" s="80"/>
      <c r="E967" s="124"/>
      <c r="F967" s="80"/>
      <c r="G967" s="80"/>
      <c r="H967" s="80"/>
      <c r="I967" s="80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7"/>
      <c r="AK967" s="80"/>
      <c r="AL967" s="80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</row>
    <row r="968">
      <c r="A968" s="80"/>
      <c r="B968" s="80"/>
      <c r="C968" s="80"/>
      <c r="D968" s="80"/>
      <c r="E968" s="124"/>
      <c r="F968" s="80"/>
      <c r="G968" s="80"/>
      <c r="H968" s="80"/>
      <c r="I968" s="80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7"/>
      <c r="AK968" s="80"/>
      <c r="AL968" s="80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</row>
    <row r="969">
      <c r="A969" s="80"/>
      <c r="B969" s="80"/>
      <c r="C969" s="80"/>
      <c r="D969" s="80"/>
      <c r="E969" s="124"/>
      <c r="F969" s="80"/>
      <c r="G969" s="80"/>
      <c r="H969" s="80"/>
      <c r="I969" s="80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7"/>
      <c r="AK969" s="80"/>
      <c r="AL969" s="80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</row>
    <row r="970">
      <c r="A970" s="80"/>
      <c r="B970" s="80"/>
      <c r="C970" s="80"/>
      <c r="D970" s="80"/>
      <c r="E970" s="124"/>
      <c r="F970" s="80"/>
      <c r="G970" s="80"/>
      <c r="H970" s="80"/>
      <c r="I970" s="80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7"/>
      <c r="AK970" s="80"/>
      <c r="AL970" s="80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</row>
    <row r="971">
      <c r="A971" s="80"/>
      <c r="B971" s="80"/>
      <c r="C971" s="80"/>
      <c r="D971" s="80"/>
      <c r="E971" s="124"/>
      <c r="F971" s="80"/>
      <c r="G971" s="80"/>
      <c r="H971" s="80"/>
      <c r="I971" s="80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7"/>
      <c r="AK971" s="80"/>
      <c r="AL971" s="80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</row>
    <row r="972">
      <c r="A972" s="80"/>
      <c r="B972" s="80"/>
      <c r="C972" s="80"/>
      <c r="D972" s="80"/>
      <c r="E972" s="124"/>
      <c r="F972" s="80"/>
      <c r="G972" s="80"/>
      <c r="H972" s="80"/>
      <c r="I972" s="80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7"/>
      <c r="AK972" s="80"/>
      <c r="AL972" s="80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</row>
    <row r="973">
      <c r="A973" s="80"/>
      <c r="B973" s="80"/>
      <c r="C973" s="80"/>
      <c r="D973" s="80"/>
      <c r="E973" s="124"/>
      <c r="F973" s="80"/>
      <c r="G973" s="80"/>
      <c r="H973" s="80"/>
      <c r="I973" s="80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7"/>
      <c r="AK973" s="80"/>
      <c r="AL973" s="80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</row>
    <row r="974">
      <c r="A974" s="80"/>
      <c r="B974" s="80"/>
      <c r="C974" s="80"/>
      <c r="D974" s="80"/>
      <c r="E974" s="124"/>
      <c r="F974" s="80"/>
      <c r="G974" s="80"/>
      <c r="H974" s="80"/>
      <c r="I974" s="80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7"/>
      <c r="AK974" s="80"/>
      <c r="AL974" s="80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</row>
    <row r="975">
      <c r="A975" s="80"/>
      <c r="B975" s="80"/>
      <c r="C975" s="80"/>
      <c r="D975" s="80"/>
      <c r="E975" s="124"/>
      <c r="F975" s="80"/>
      <c r="G975" s="80"/>
      <c r="H975" s="80"/>
      <c r="I975" s="80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7"/>
      <c r="AK975" s="80"/>
      <c r="AL975" s="80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</row>
    <row r="976">
      <c r="A976" s="80"/>
      <c r="B976" s="80"/>
      <c r="C976" s="80"/>
      <c r="D976" s="80"/>
      <c r="E976" s="124"/>
      <c r="F976" s="80"/>
      <c r="G976" s="80"/>
      <c r="H976" s="80"/>
      <c r="I976" s="80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7"/>
      <c r="AK976" s="80"/>
      <c r="AL976" s="80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</row>
    <row r="977">
      <c r="A977" s="80"/>
      <c r="B977" s="80"/>
      <c r="C977" s="80"/>
      <c r="D977" s="80"/>
      <c r="E977" s="124"/>
      <c r="F977" s="80"/>
      <c r="G977" s="80"/>
      <c r="H977" s="80"/>
      <c r="I977" s="80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7"/>
      <c r="AK977" s="80"/>
      <c r="AL977" s="80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</row>
    <row r="978">
      <c r="A978" s="80"/>
      <c r="B978" s="80"/>
      <c r="C978" s="80"/>
      <c r="D978" s="80"/>
      <c r="E978" s="124"/>
      <c r="F978" s="80"/>
      <c r="G978" s="80"/>
      <c r="H978" s="80"/>
      <c r="I978" s="80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7"/>
      <c r="AK978" s="80"/>
      <c r="AL978" s="80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</row>
    <row r="979">
      <c r="A979" s="80"/>
      <c r="B979" s="80"/>
      <c r="C979" s="80"/>
      <c r="D979" s="80"/>
      <c r="E979" s="124"/>
      <c r="F979" s="80"/>
      <c r="G979" s="80"/>
      <c r="H979" s="80"/>
      <c r="I979" s="80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7"/>
      <c r="AK979" s="80"/>
      <c r="AL979" s="80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</row>
    <row r="980">
      <c r="A980" s="80"/>
      <c r="B980" s="80"/>
      <c r="C980" s="80"/>
      <c r="D980" s="80"/>
      <c r="E980" s="124"/>
      <c r="F980" s="80"/>
      <c r="G980" s="80"/>
      <c r="H980" s="80"/>
      <c r="I980" s="80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7"/>
      <c r="AK980" s="80"/>
      <c r="AL980" s="80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</row>
    <row r="981">
      <c r="A981" s="80"/>
      <c r="B981" s="80"/>
      <c r="C981" s="80"/>
      <c r="D981" s="80"/>
      <c r="E981" s="124"/>
      <c r="F981" s="80"/>
      <c r="G981" s="80"/>
      <c r="H981" s="80"/>
      <c r="I981" s="80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7"/>
      <c r="AK981" s="80"/>
      <c r="AL981" s="80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</row>
    <row r="982">
      <c r="A982" s="80"/>
      <c r="B982" s="80"/>
      <c r="C982" s="80"/>
      <c r="D982" s="80"/>
      <c r="E982" s="124"/>
      <c r="F982" s="80"/>
      <c r="G982" s="80"/>
      <c r="H982" s="80"/>
      <c r="I982" s="80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7"/>
      <c r="AK982" s="80"/>
      <c r="AL982" s="80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</row>
    <row r="983">
      <c r="A983" s="80"/>
      <c r="B983" s="80"/>
      <c r="C983" s="80"/>
      <c r="D983" s="80"/>
      <c r="E983" s="124"/>
      <c r="F983" s="80"/>
      <c r="G983" s="80"/>
      <c r="H983" s="80"/>
      <c r="I983" s="80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7"/>
      <c r="AK983" s="80"/>
      <c r="AL983" s="80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</row>
    <row r="984">
      <c r="A984" s="80"/>
      <c r="B984" s="80"/>
      <c r="C984" s="80"/>
      <c r="D984" s="80"/>
      <c r="E984" s="124"/>
      <c r="F984" s="80"/>
      <c r="G984" s="80"/>
      <c r="H984" s="80"/>
      <c r="I984" s="80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7"/>
      <c r="AK984" s="80"/>
      <c r="AL984" s="80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</row>
    <row r="985">
      <c r="A985" s="80"/>
      <c r="B985" s="80"/>
      <c r="C985" s="80"/>
      <c r="D985" s="80"/>
      <c r="E985" s="124"/>
      <c r="F985" s="80"/>
      <c r="G985" s="80"/>
      <c r="H985" s="80"/>
      <c r="I985" s="80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7"/>
      <c r="AK985" s="80"/>
      <c r="AL985" s="80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</row>
    <row r="986">
      <c r="A986" s="80"/>
      <c r="B986" s="80"/>
      <c r="C986" s="80"/>
      <c r="D986" s="80"/>
      <c r="E986" s="124"/>
      <c r="F986" s="80"/>
      <c r="G986" s="80"/>
      <c r="H986" s="80"/>
      <c r="I986" s="80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7"/>
      <c r="AK986" s="80"/>
      <c r="AL986" s="80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</row>
    <row r="987">
      <c r="A987" s="80"/>
      <c r="B987" s="80"/>
      <c r="C987" s="80"/>
      <c r="D987" s="80"/>
      <c r="E987" s="124"/>
      <c r="F987" s="80"/>
      <c r="G987" s="80"/>
      <c r="H987" s="80"/>
      <c r="I987" s="80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7"/>
      <c r="AK987" s="80"/>
      <c r="AL987" s="80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</row>
    <row r="988">
      <c r="A988" s="80"/>
      <c r="B988" s="80"/>
      <c r="C988" s="80"/>
      <c r="D988" s="80"/>
      <c r="E988" s="124"/>
      <c r="F988" s="80"/>
      <c r="G988" s="80"/>
      <c r="H988" s="80"/>
      <c r="I988" s="80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7"/>
      <c r="AK988" s="80"/>
      <c r="AL988" s="80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</row>
    <row r="989">
      <c r="A989" s="80"/>
      <c r="B989" s="80"/>
      <c r="C989" s="80"/>
      <c r="D989" s="80"/>
      <c r="E989" s="124"/>
      <c r="F989" s="80"/>
      <c r="G989" s="80"/>
      <c r="H989" s="80"/>
      <c r="I989" s="80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7"/>
      <c r="AK989" s="80"/>
      <c r="AL989" s="80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</row>
    <row r="990">
      <c r="A990" s="80"/>
      <c r="B990" s="80"/>
      <c r="C990" s="80"/>
      <c r="D990" s="80"/>
      <c r="E990" s="124"/>
      <c r="F990" s="80"/>
      <c r="G990" s="80"/>
      <c r="H990" s="80"/>
      <c r="I990" s="80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7"/>
      <c r="AK990" s="80"/>
      <c r="AL990" s="80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</row>
    <row r="991">
      <c r="A991" s="80"/>
      <c r="B991" s="80"/>
      <c r="C991" s="80"/>
      <c r="D991" s="80"/>
      <c r="E991" s="124"/>
      <c r="F991" s="80"/>
      <c r="G991" s="80"/>
      <c r="H991" s="80"/>
      <c r="I991" s="80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7"/>
      <c r="AK991" s="80"/>
      <c r="AL991" s="80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</row>
    <row r="992">
      <c r="A992" s="80"/>
      <c r="B992" s="80"/>
      <c r="C992" s="80"/>
      <c r="D992" s="80"/>
      <c r="E992" s="124"/>
      <c r="F992" s="80"/>
      <c r="G992" s="80"/>
      <c r="H992" s="80"/>
      <c r="I992" s="80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7"/>
      <c r="AK992" s="80"/>
      <c r="AL992" s="80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</row>
    <row r="993">
      <c r="A993" s="80"/>
      <c r="B993" s="80"/>
      <c r="C993" s="80"/>
      <c r="D993" s="80"/>
      <c r="E993" s="124"/>
      <c r="F993" s="80"/>
      <c r="G993" s="80"/>
      <c r="H993" s="80"/>
      <c r="I993" s="80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7"/>
      <c r="AK993" s="80"/>
      <c r="AL993" s="80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</row>
    <row r="994">
      <c r="A994" s="80"/>
      <c r="B994" s="80"/>
      <c r="C994" s="80"/>
      <c r="D994" s="80"/>
      <c r="E994" s="124"/>
      <c r="F994" s="80"/>
      <c r="G994" s="80"/>
      <c r="H994" s="80"/>
      <c r="I994" s="80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7"/>
      <c r="AK994" s="80"/>
      <c r="AL994" s="80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</row>
    <row r="995">
      <c r="A995" s="80"/>
      <c r="B995" s="80"/>
      <c r="C995" s="80"/>
      <c r="D995" s="80"/>
      <c r="E995" s="124"/>
      <c r="F995" s="80"/>
      <c r="G995" s="80"/>
      <c r="H995" s="80"/>
      <c r="I995" s="80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7"/>
      <c r="AK995" s="80"/>
      <c r="AL995" s="80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</row>
    <row r="996">
      <c r="A996" s="80"/>
      <c r="B996" s="80"/>
      <c r="C996" s="80"/>
      <c r="D996" s="80"/>
      <c r="E996" s="124"/>
      <c r="F996" s="80"/>
      <c r="G996" s="80"/>
      <c r="H996" s="80"/>
      <c r="I996" s="80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7"/>
      <c r="AK996" s="80"/>
      <c r="AL996" s="80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</row>
    <row r="997">
      <c r="A997" s="80"/>
      <c r="B997" s="80"/>
      <c r="C997" s="80"/>
      <c r="D997" s="80"/>
      <c r="E997" s="124"/>
      <c r="F997" s="80"/>
      <c r="G997" s="80"/>
      <c r="H997" s="80"/>
      <c r="I997" s="80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7"/>
      <c r="AK997" s="80"/>
      <c r="AL997" s="80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</row>
    <row r="998">
      <c r="A998" s="80"/>
      <c r="B998" s="80"/>
      <c r="C998" s="80"/>
      <c r="D998" s="80"/>
      <c r="E998" s="124"/>
      <c r="F998" s="80"/>
      <c r="G998" s="80"/>
      <c r="H998" s="80"/>
      <c r="I998" s="80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7"/>
      <c r="AK998" s="80"/>
      <c r="AL998" s="80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</row>
    <row r="999">
      <c r="A999" s="80"/>
      <c r="B999" s="80"/>
      <c r="C999" s="80"/>
      <c r="D999" s="80"/>
      <c r="E999" s="124"/>
      <c r="F999" s="80"/>
      <c r="G999" s="80"/>
      <c r="H999" s="80"/>
      <c r="I999" s="80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7"/>
      <c r="AK999" s="80"/>
      <c r="AL999" s="80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</row>
    <row r="1000">
      <c r="A1000" s="80"/>
      <c r="B1000" s="80"/>
      <c r="C1000" s="80"/>
      <c r="D1000" s="80"/>
      <c r="E1000" s="124"/>
      <c r="F1000" s="80"/>
      <c r="G1000" s="80"/>
      <c r="H1000" s="80"/>
      <c r="I1000" s="80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  <c r="AI1000" s="196"/>
      <c r="AJ1000" s="197"/>
      <c r="AK1000" s="80"/>
      <c r="AL1000" s="80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</row>
    <row r="1001">
      <c r="A1001" s="80"/>
      <c r="B1001" s="80"/>
      <c r="C1001" s="80"/>
      <c r="D1001" s="80"/>
      <c r="E1001" s="124"/>
      <c r="F1001" s="80"/>
      <c r="G1001" s="80"/>
      <c r="H1001" s="80"/>
      <c r="I1001" s="80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196"/>
      <c r="Z1001" s="196"/>
      <c r="AA1001" s="196"/>
      <c r="AB1001" s="196"/>
      <c r="AC1001" s="196"/>
      <c r="AD1001" s="196"/>
      <c r="AE1001" s="196"/>
      <c r="AF1001" s="196"/>
      <c r="AG1001" s="196"/>
      <c r="AH1001" s="196"/>
      <c r="AI1001" s="196"/>
      <c r="AJ1001" s="197"/>
      <c r="AK1001" s="80"/>
      <c r="AL1001" s="80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</row>
    <row r="1002">
      <c r="A1002" s="80"/>
      <c r="B1002" s="80"/>
      <c r="C1002" s="80"/>
      <c r="D1002" s="80"/>
      <c r="E1002" s="124"/>
      <c r="F1002" s="80"/>
      <c r="G1002" s="80"/>
      <c r="H1002" s="80"/>
      <c r="I1002" s="80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196"/>
      <c r="Z1002" s="196"/>
      <c r="AA1002" s="196"/>
      <c r="AB1002" s="196"/>
      <c r="AC1002" s="196"/>
      <c r="AD1002" s="196"/>
      <c r="AE1002" s="196"/>
      <c r="AF1002" s="196"/>
      <c r="AG1002" s="196"/>
      <c r="AH1002" s="196"/>
      <c r="AI1002" s="196"/>
      <c r="AJ1002" s="197"/>
      <c r="AK1002" s="80"/>
      <c r="AL1002" s="80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3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</row>
    <row r="1003">
      <c r="A1003" s="80"/>
      <c r="B1003" s="80"/>
      <c r="C1003" s="80"/>
      <c r="D1003" s="80"/>
      <c r="E1003" s="124"/>
      <c r="F1003" s="80"/>
      <c r="G1003" s="80"/>
      <c r="H1003" s="80"/>
      <c r="I1003" s="80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196"/>
      <c r="Z1003" s="196"/>
      <c r="AA1003" s="196"/>
      <c r="AB1003" s="196"/>
      <c r="AC1003" s="196"/>
      <c r="AD1003" s="196"/>
      <c r="AE1003" s="196"/>
      <c r="AF1003" s="196"/>
      <c r="AG1003" s="196"/>
      <c r="AH1003" s="196"/>
      <c r="AI1003" s="196"/>
      <c r="AJ1003" s="197"/>
      <c r="AK1003" s="80"/>
      <c r="AL1003" s="80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3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</row>
    <row r="1004">
      <c r="A1004" s="80"/>
      <c r="B1004" s="80"/>
      <c r="C1004" s="80"/>
      <c r="D1004" s="80"/>
      <c r="E1004" s="124"/>
      <c r="F1004" s="80"/>
      <c r="G1004" s="80"/>
      <c r="H1004" s="80"/>
      <c r="I1004" s="80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196"/>
      <c r="Z1004" s="196"/>
      <c r="AA1004" s="196"/>
      <c r="AB1004" s="196"/>
      <c r="AC1004" s="196"/>
      <c r="AD1004" s="196"/>
      <c r="AE1004" s="196"/>
      <c r="AF1004" s="196"/>
      <c r="AG1004" s="196"/>
      <c r="AH1004" s="196"/>
      <c r="AI1004" s="196"/>
      <c r="AJ1004" s="197"/>
      <c r="AK1004" s="80"/>
      <c r="AL1004" s="80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3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</row>
    <row r="1005">
      <c r="A1005" s="80"/>
      <c r="B1005" s="80"/>
      <c r="C1005" s="80"/>
      <c r="D1005" s="80"/>
      <c r="E1005" s="124"/>
      <c r="F1005" s="80"/>
      <c r="G1005" s="80"/>
      <c r="H1005" s="80"/>
      <c r="I1005" s="80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196"/>
      <c r="Z1005" s="196"/>
      <c r="AA1005" s="196"/>
      <c r="AB1005" s="196"/>
      <c r="AC1005" s="196"/>
      <c r="AD1005" s="196"/>
      <c r="AE1005" s="196"/>
      <c r="AF1005" s="196"/>
      <c r="AG1005" s="196"/>
      <c r="AH1005" s="196"/>
      <c r="AI1005" s="196"/>
      <c r="AJ1005" s="197"/>
      <c r="AK1005" s="80"/>
      <c r="AL1005" s="80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3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</row>
    <row r="1006">
      <c r="A1006" s="80"/>
      <c r="B1006" s="80"/>
      <c r="C1006" s="80"/>
      <c r="D1006" s="80"/>
      <c r="E1006" s="124"/>
      <c r="F1006" s="80"/>
      <c r="G1006" s="80"/>
      <c r="H1006" s="80"/>
      <c r="I1006" s="80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196"/>
      <c r="Z1006" s="196"/>
      <c r="AA1006" s="196"/>
      <c r="AB1006" s="196"/>
      <c r="AC1006" s="196"/>
      <c r="AD1006" s="196"/>
      <c r="AE1006" s="196"/>
      <c r="AF1006" s="196"/>
      <c r="AG1006" s="196"/>
      <c r="AH1006" s="196"/>
      <c r="AI1006" s="196"/>
      <c r="AJ1006" s="197"/>
      <c r="AK1006" s="80"/>
      <c r="AL1006" s="80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3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</row>
    <row r="1007">
      <c r="A1007" s="80"/>
      <c r="B1007" s="80"/>
      <c r="C1007" s="80"/>
      <c r="D1007" s="80"/>
      <c r="E1007" s="124"/>
      <c r="F1007" s="80"/>
      <c r="G1007" s="80"/>
      <c r="H1007" s="80"/>
      <c r="I1007" s="80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196"/>
      <c r="Z1007" s="196"/>
      <c r="AA1007" s="196"/>
      <c r="AB1007" s="196"/>
      <c r="AC1007" s="196"/>
      <c r="AD1007" s="196"/>
      <c r="AE1007" s="196"/>
      <c r="AF1007" s="196"/>
      <c r="AG1007" s="196"/>
      <c r="AH1007" s="196"/>
      <c r="AI1007" s="196"/>
      <c r="AJ1007" s="197"/>
      <c r="AK1007" s="80"/>
      <c r="AL1007" s="80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3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</row>
    <row r="1008">
      <c r="A1008" s="80"/>
      <c r="B1008" s="80"/>
      <c r="C1008" s="80"/>
      <c r="D1008" s="80"/>
      <c r="E1008" s="124"/>
      <c r="F1008" s="80"/>
      <c r="G1008" s="80"/>
      <c r="H1008" s="80"/>
      <c r="I1008" s="80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196"/>
      <c r="Z1008" s="196"/>
      <c r="AA1008" s="196"/>
      <c r="AB1008" s="196"/>
      <c r="AC1008" s="196"/>
      <c r="AD1008" s="196"/>
      <c r="AE1008" s="196"/>
      <c r="AF1008" s="196"/>
      <c r="AG1008" s="196"/>
      <c r="AH1008" s="196"/>
      <c r="AI1008" s="196"/>
      <c r="AJ1008" s="197"/>
      <c r="AK1008" s="80"/>
      <c r="AL1008" s="80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3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</row>
    <row r="1009">
      <c r="A1009" s="80"/>
      <c r="B1009" s="80"/>
      <c r="C1009" s="80"/>
      <c r="D1009" s="80"/>
      <c r="E1009" s="124"/>
      <c r="F1009" s="80"/>
      <c r="G1009" s="80"/>
      <c r="H1009" s="80"/>
      <c r="I1009" s="80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196"/>
      <c r="Z1009" s="196"/>
      <c r="AA1009" s="196"/>
      <c r="AB1009" s="196"/>
      <c r="AC1009" s="196"/>
      <c r="AD1009" s="196"/>
      <c r="AE1009" s="196"/>
      <c r="AF1009" s="196"/>
      <c r="AG1009" s="196"/>
      <c r="AH1009" s="196"/>
      <c r="AI1009" s="196"/>
      <c r="AJ1009" s="197"/>
      <c r="AK1009" s="80"/>
      <c r="AL1009" s="80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3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</row>
    <row r="1010">
      <c r="A1010" s="80"/>
      <c r="B1010" s="80"/>
      <c r="C1010" s="80"/>
      <c r="D1010" s="80"/>
      <c r="E1010" s="124"/>
      <c r="F1010" s="80"/>
      <c r="G1010" s="80"/>
      <c r="H1010" s="80"/>
      <c r="I1010" s="80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196"/>
      <c r="Z1010" s="196"/>
      <c r="AA1010" s="196"/>
      <c r="AB1010" s="196"/>
      <c r="AC1010" s="196"/>
      <c r="AD1010" s="196"/>
      <c r="AE1010" s="196"/>
      <c r="AF1010" s="196"/>
      <c r="AG1010" s="196"/>
      <c r="AH1010" s="196"/>
      <c r="AI1010" s="196"/>
      <c r="AJ1010" s="197"/>
      <c r="AK1010" s="80"/>
      <c r="AL1010" s="80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3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</row>
    <row r="1011">
      <c r="A1011" s="80"/>
      <c r="B1011" s="80"/>
      <c r="C1011" s="80"/>
      <c r="D1011" s="80"/>
      <c r="E1011" s="124"/>
      <c r="F1011" s="80"/>
      <c r="G1011" s="80"/>
      <c r="H1011" s="80"/>
      <c r="I1011" s="80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196"/>
      <c r="Z1011" s="196"/>
      <c r="AA1011" s="196"/>
      <c r="AB1011" s="196"/>
      <c r="AC1011" s="196"/>
      <c r="AD1011" s="196"/>
      <c r="AE1011" s="196"/>
      <c r="AF1011" s="196"/>
      <c r="AG1011" s="196"/>
      <c r="AH1011" s="196"/>
      <c r="AI1011" s="196"/>
      <c r="AJ1011" s="197"/>
      <c r="AK1011" s="80"/>
      <c r="AL1011" s="80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3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</row>
    <row r="1012">
      <c r="A1012" s="80"/>
      <c r="B1012" s="80"/>
      <c r="C1012" s="80"/>
      <c r="D1012" s="80"/>
      <c r="E1012" s="124"/>
      <c r="F1012" s="80"/>
      <c r="G1012" s="80"/>
      <c r="H1012" s="80"/>
      <c r="I1012" s="80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196"/>
      <c r="Z1012" s="196"/>
      <c r="AA1012" s="196"/>
      <c r="AB1012" s="196"/>
      <c r="AC1012" s="196"/>
      <c r="AD1012" s="196"/>
      <c r="AE1012" s="196"/>
      <c r="AF1012" s="196"/>
      <c r="AG1012" s="196"/>
      <c r="AH1012" s="196"/>
      <c r="AI1012" s="196"/>
      <c r="AJ1012" s="197"/>
      <c r="AK1012" s="80"/>
      <c r="AL1012" s="80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3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</row>
    <row r="1013">
      <c r="A1013" s="80"/>
      <c r="B1013" s="80"/>
      <c r="C1013" s="80"/>
      <c r="D1013" s="80"/>
      <c r="E1013" s="124"/>
      <c r="F1013" s="80"/>
      <c r="G1013" s="80"/>
      <c r="H1013" s="80"/>
      <c r="I1013" s="80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196"/>
      <c r="Z1013" s="196"/>
      <c r="AA1013" s="196"/>
      <c r="AB1013" s="196"/>
      <c r="AC1013" s="196"/>
      <c r="AD1013" s="196"/>
      <c r="AE1013" s="196"/>
      <c r="AF1013" s="196"/>
      <c r="AG1013" s="196"/>
      <c r="AH1013" s="196"/>
      <c r="AI1013" s="196"/>
      <c r="AJ1013" s="197"/>
      <c r="AK1013" s="80"/>
      <c r="AL1013" s="80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3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</row>
    <row r="1014">
      <c r="A1014" s="80"/>
      <c r="B1014" s="80"/>
      <c r="C1014" s="80"/>
      <c r="D1014" s="80"/>
      <c r="E1014" s="124"/>
      <c r="F1014" s="80"/>
      <c r="G1014" s="80"/>
      <c r="H1014" s="80"/>
      <c r="I1014" s="80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196"/>
      <c r="Z1014" s="196"/>
      <c r="AA1014" s="196"/>
      <c r="AB1014" s="196"/>
      <c r="AC1014" s="196"/>
      <c r="AD1014" s="196"/>
      <c r="AE1014" s="196"/>
      <c r="AF1014" s="196"/>
      <c r="AG1014" s="196"/>
      <c r="AH1014" s="196"/>
      <c r="AI1014" s="196"/>
      <c r="AJ1014" s="197"/>
      <c r="AK1014" s="80"/>
      <c r="AL1014" s="80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3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</row>
    <row r="1015">
      <c r="A1015" s="80"/>
      <c r="B1015" s="80"/>
      <c r="C1015" s="80"/>
      <c r="D1015" s="80"/>
      <c r="E1015" s="124"/>
      <c r="F1015" s="80"/>
      <c r="G1015" s="80"/>
      <c r="H1015" s="80"/>
      <c r="I1015" s="80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196"/>
      <c r="Z1015" s="196"/>
      <c r="AA1015" s="196"/>
      <c r="AB1015" s="196"/>
      <c r="AC1015" s="196"/>
      <c r="AD1015" s="196"/>
      <c r="AE1015" s="196"/>
      <c r="AF1015" s="196"/>
      <c r="AG1015" s="196"/>
      <c r="AH1015" s="196"/>
      <c r="AI1015" s="196"/>
      <c r="AJ1015" s="197"/>
      <c r="AK1015" s="80"/>
      <c r="AL1015" s="80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3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</row>
    <row r="1016">
      <c r="A1016" s="80"/>
      <c r="B1016" s="80"/>
      <c r="C1016" s="80"/>
      <c r="D1016" s="80"/>
      <c r="E1016" s="124"/>
      <c r="F1016" s="80"/>
      <c r="G1016" s="80"/>
      <c r="H1016" s="80"/>
      <c r="I1016" s="80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196"/>
      <c r="Z1016" s="196"/>
      <c r="AA1016" s="196"/>
      <c r="AB1016" s="196"/>
      <c r="AC1016" s="196"/>
      <c r="AD1016" s="196"/>
      <c r="AE1016" s="196"/>
      <c r="AF1016" s="196"/>
      <c r="AG1016" s="196"/>
      <c r="AH1016" s="196"/>
      <c r="AI1016" s="196"/>
      <c r="AJ1016" s="197"/>
      <c r="AK1016" s="80"/>
      <c r="AL1016" s="80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3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</row>
    <row r="1017">
      <c r="A1017" s="80"/>
      <c r="B1017" s="80"/>
      <c r="C1017" s="80"/>
      <c r="D1017" s="80"/>
      <c r="E1017" s="124"/>
      <c r="F1017" s="80"/>
      <c r="G1017" s="80"/>
      <c r="H1017" s="80"/>
      <c r="I1017" s="80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196"/>
      <c r="Z1017" s="196"/>
      <c r="AA1017" s="196"/>
      <c r="AB1017" s="196"/>
      <c r="AC1017" s="196"/>
      <c r="AD1017" s="196"/>
      <c r="AE1017" s="196"/>
      <c r="AF1017" s="196"/>
      <c r="AG1017" s="196"/>
      <c r="AH1017" s="196"/>
      <c r="AI1017" s="196"/>
      <c r="AJ1017" s="197"/>
      <c r="AK1017" s="80"/>
      <c r="AL1017" s="80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3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</row>
    <row r="1018">
      <c r="A1018" s="80"/>
      <c r="B1018" s="80"/>
      <c r="C1018" s="80"/>
      <c r="D1018" s="80"/>
      <c r="E1018" s="124"/>
      <c r="F1018" s="80"/>
      <c r="G1018" s="80"/>
      <c r="H1018" s="80"/>
      <c r="I1018" s="80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196"/>
      <c r="Z1018" s="196"/>
      <c r="AA1018" s="196"/>
      <c r="AB1018" s="196"/>
      <c r="AC1018" s="196"/>
      <c r="AD1018" s="196"/>
      <c r="AE1018" s="196"/>
      <c r="AF1018" s="196"/>
      <c r="AG1018" s="196"/>
      <c r="AH1018" s="196"/>
      <c r="AI1018" s="196"/>
      <c r="AJ1018" s="197"/>
      <c r="AK1018" s="80"/>
      <c r="AL1018" s="80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3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</row>
    <row r="1019">
      <c r="A1019" s="80"/>
      <c r="B1019" s="80"/>
      <c r="C1019" s="80"/>
      <c r="D1019" s="80"/>
      <c r="E1019" s="124"/>
      <c r="F1019" s="80"/>
      <c r="G1019" s="80"/>
      <c r="H1019" s="80"/>
      <c r="I1019" s="80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6"/>
      <c r="V1019" s="196"/>
      <c r="W1019" s="196"/>
      <c r="X1019" s="196"/>
      <c r="Y1019" s="196"/>
      <c r="Z1019" s="196"/>
      <c r="AA1019" s="196"/>
      <c r="AB1019" s="196"/>
      <c r="AC1019" s="196"/>
      <c r="AD1019" s="196"/>
      <c r="AE1019" s="196"/>
      <c r="AF1019" s="196"/>
      <c r="AG1019" s="196"/>
      <c r="AH1019" s="196"/>
      <c r="AI1019" s="196"/>
      <c r="AJ1019" s="197"/>
      <c r="AK1019" s="80"/>
      <c r="AL1019" s="80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3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</row>
    <row r="1020">
      <c r="A1020" s="80"/>
      <c r="B1020" s="80"/>
      <c r="C1020" s="80"/>
      <c r="D1020" s="80"/>
      <c r="E1020" s="124"/>
      <c r="F1020" s="80"/>
      <c r="G1020" s="80"/>
      <c r="H1020" s="80"/>
      <c r="I1020" s="80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6"/>
      <c r="V1020" s="196"/>
      <c r="W1020" s="196"/>
      <c r="X1020" s="196"/>
      <c r="Y1020" s="196"/>
      <c r="Z1020" s="196"/>
      <c r="AA1020" s="196"/>
      <c r="AB1020" s="196"/>
      <c r="AC1020" s="196"/>
      <c r="AD1020" s="196"/>
      <c r="AE1020" s="196"/>
      <c r="AF1020" s="196"/>
      <c r="AG1020" s="196"/>
      <c r="AH1020" s="196"/>
      <c r="AI1020" s="196"/>
      <c r="AJ1020" s="197"/>
      <c r="AK1020" s="80"/>
      <c r="AL1020" s="80"/>
      <c r="AM1020" s="73"/>
      <c r="AN1020" s="73"/>
      <c r="AO1020" s="73"/>
      <c r="AP1020" s="73"/>
      <c r="AQ1020" s="73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3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</row>
    <row r="1021">
      <c r="A1021" s="80"/>
      <c r="B1021" s="80"/>
      <c r="C1021" s="80"/>
      <c r="D1021" s="80"/>
      <c r="E1021" s="124"/>
      <c r="F1021" s="80"/>
      <c r="G1021" s="80"/>
      <c r="H1021" s="80"/>
      <c r="I1021" s="80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6"/>
      <c r="V1021" s="196"/>
      <c r="W1021" s="196"/>
      <c r="X1021" s="196"/>
      <c r="Y1021" s="196"/>
      <c r="Z1021" s="196"/>
      <c r="AA1021" s="196"/>
      <c r="AB1021" s="196"/>
      <c r="AC1021" s="196"/>
      <c r="AD1021" s="196"/>
      <c r="AE1021" s="196"/>
      <c r="AF1021" s="196"/>
      <c r="AG1021" s="196"/>
      <c r="AH1021" s="196"/>
      <c r="AI1021" s="196"/>
      <c r="AJ1021" s="197"/>
      <c r="AK1021" s="80"/>
      <c r="AL1021" s="80"/>
      <c r="AM1021" s="73"/>
      <c r="AN1021" s="73"/>
      <c r="AO1021" s="73"/>
      <c r="AP1021" s="73"/>
      <c r="AQ1021" s="73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3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</row>
    <row r="1022">
      <c r="A1022" s="80"/>
      <c r="B1022" s="80"/>
      <c r="C1022" s="80"/>
      <c r="D1022" s="80"/>
      <c r="E1022" s="124"/>
      <c r="F1022" s="80"/>
      <c r="G1022" s="80"/>
      <c r="H1022" s="80"/>
      <c r="I1022" s="80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6"/>
      <c r="V1022" s="196"/>
      <c r="W1022" s="196"/>
      <c r="X1022" s="196"/>
      <c r="Y1022" s="196"/>
      <c r="Z1022" s="196"/>
      <c r="AA1022" s="196"/>
      <c r="AB1022" s="196"/>
      <c r="AC1022" s="196"/>
      <c r="AD1022" s="196"/>
      <c r="AE1022" s="196"/>
      <c r="AF1022" s="196"/>
      <c r="AG1022" s="196"/>
      <c r="AH1022" s="196"/>
      <c r="AI1022" s="196"/>
      <c r="AJ1022" s="197"/>
      <c r="AK1022" s="80"/>
      <c r="AL1022" s="80"/>
      <c r="AM1022" s="73"/>
      <c r="AN1022" s="73"/>
      <c r="AO1022" s="73"/>
      <c r="AP1022" s="73"/>
      <c r="AQ1022" s="73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3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</row>
    <row r="1023">
      <c r="A1023" s="80"/>
      <c r="B1023" s="80"/>
      <c r="C1023" s="80"/>
      <c r="D1023" s="80"/>
      <c r="E1023" s="124"/>
      <c r="F1023" s="80"/>
      <c r="G1023" s="80"/>
      <c r="H1023" s="80"/>
      <c r="I1023" s="80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6"/>
      <c r="V1023" s="196"/>
      <c r="W1023" s="196"/>
      <c r="X1023" s="196"/>
      <c r="Y1023" s="196"/>
      <c r="Z1023" s="196"/>
      <c r="AA1023" s="196"/>
      <c r="AB1023" s="196"/>
      <c r="AC1023" s="196"/>
      <c r="AD1023" s="196"/>
      <c r="AE1023" s="196"/>
      <c r="AF1023" s="196"/>
      <c r="AG1023" s="196"/>
      <c r="AH1023" s="196"/>
      <c r="AI1023" s="196"/>
      <c r="AJ1023" s="197"/>
      <c r="AK1023" s="80"/>
      <c r="AL1023" s="80"/>
      <c r="AM1023" s="73"/>
      <c r="AN1023" s="73"/>
      <c r="AO1023" s="73"/>
      <c r="AP1023" s="73"/>
      <c r="AQ1023" s="73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3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</row>
    <row r="1024">
      <c r="A1024" s="80"/>
      <c r="B1024" s="80"/>
      <c r="C1024" s="80"/>
      <c r="D1024" s="80"/>
      <c r="E1024" s="124"/>
      <c r="F1024" s="80"/>
      <c r="G1024" s="80"/>
      <c r="H1024" s="80"/>
      <c r="I1024" s="80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6"/>
      <c r="V1024" s="196"/>
      <c r="W1024" s="196"/>
      <c r="X1024" s="196"/>
      <c r="Y1024" s="196"/>
      <c r="Z1024" s="196"/>
      <c r="AA1024" s="196"/>
      <c r="AB1024" s="196"/>
      <c r="AC1024" s="196"/>
      <c r="AD1024" s="196"/>
      <c r="AE1024" s="196"/>
      <c r="AF1024" s="196"/>
      <c r="AG1024" s="196"/>
      <c r="AH1024" s="196"/>
      <c r="AI1024" s="196"/>
      <c r="AJ1024" s="197"/>
      <c r="AK1024" s="80"/>
      <c r="AL1024" s="80"/>
      <c r="AM1024" s="73"/>
      <c r="AN1024" s="73"/>
      <c r="AO1024" s="73"/>
      <c r="AP1024" s="73"/>
      <c r="AQ1024" s="73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3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</row>
    <row r="1025">
      <c r="A1025" s="80"/>
      <c r="B1025" s="80"/>
      <c r="C1025" s="80"/>
      <c r="D1025" s="80"/>
      <c r="E1025" s="124"/>
      <c r="F1025" s="80"/>
      <c r="G1025" s="80"/>
      <c r="H1025" s="80"/>
      <c r="I1025" s="80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6"/>
      <c r="V1025" s="196"/>
      <c r="W1025" s="196"/>
      <c r="X1025" s="196"/>
      <c r="Y1025" s="196"/>
      <c r="Z1025" s="196"/>
      <c r="AA1025" s="196"/>
      <c r="AB1025" s="196"/>
      <c r="AC1025" s="196"/>
      <c r="AD1025" s="196"/>
      <c r="AE1025" s="196"/>
      <c r="AF1025" s="196"/>
      <c r="AG1025" s="196"/>
      <c r="AH1025" s="196"/>
      <c r="AI1025" s="196"/>
      <c r="AJ1025" s="197"/>
      <c r="AK1025" s="80"/>
      <c r="AL1025" s="80"/>
      <c r="AM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3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</row>
    <row r="1026">
      <c r="A1026" s="80"/>
      <c r="B1026" s="80"/>
      <c r="C1026" s="80"/>
      <c r="D1026" s="80"/>
      <c r="E1026" s="124"/>
      <c r="F1026" s="80"/>
      <c r="G1026" s="80"/>
      <c r="H1026" s="80"/>
      <c r="I1026" s="80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6"/>
      <c r="V1026" s="196"/>
      <c r="W1026" s="196"/>
      <c r="X1026" s="196"/>
      <c r="Y1026" s="196"/>
      <c r="Z1026" s="196"/>
      <c r="AA1026" s="196"/>
      <c r="AB1026" s="196"/>
      <c r="AC1026" s="196"/>
      <c r="AD1026" s="196"/>
      <c r="AE1026" s="196"/>
      <c r="AF1026" s="196"/>
      <c r="AG1026" s="196"/>
      <c r="AH1026" s="196"/>
      <c r="AI1026" s="196"/>
      <c r="AJ1026" s="197"/>
      <c r="AK1026" s="80"/>
      <c r="AL1026" s="80"/>
      <c r="AM1026" s="73"/>
      <c r="AN1026" s="73"/>
      <c r="AO1026" s="73"/>
      <c r="AP1026" s="73"/>
      <c r="AQ1026" s="73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3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</row>
    <row r="1027">
      <c r="A1027" s="80"/>
      <c r="B1027" s="80"/>
      <c r="C1027" s="80"/>
      <c r="D1027" s="80"/>
      <c r="E1027" s="124"/>
      <c r="F1027" s="80"/>
      <c r="G1027" s="80"/>
      <c r="H1027" s="80"/>
      <c r="I1027" s="80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6"/>
      <c r="V1027" s="196"/>
      <c r="W1027" s="196"/>
      <c r="X1027" s="196"/>
      <c r="Y1027" s="196"/>
      <c r="Z1027" s="196"/>
      <c r="AA1027" s="196"/>
      <c r="AB1027" s="196"/>
      <c r="AC1027" s="196"/>
      <c r="AD1027" s="196"/>
      <c r="AE1027" s="196"/>
      <c r="AF1027" s="196"/>
      <c r="AG1027" s="196"/>
      <c r="AH1027" s="196"/>
      <c r="AI1027" s="196"/>
      <c r="AJ1027" s="197"/>
      <c r="AK1027" s="80"/>
      <c r="AL1027" s="80"/>
      <c r="AM1027" s="73"/>
      <c r="AN1027" s="73"/>
      <c r="AO1027" s="73"/>
      <c r="AP1027" s="73"/>
      <c r="AQ1027" s="73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3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</row>
    <row r="1028">
      <c r="A1028" s="80"/>
      <c r="B1028" s="80"/>
      <c r="C1028" s="80"/>
      <c r="D1028" s="80"/>
      <c r="E1028" s="124"/>
      <c r="F1028" s="80"/>
      <c r="G1028" s="80"/>
      <c r="H1028" s="80"/>
      <c r="I1028" s="80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6"/>
      <c r="V1028" s="196"/>
      <c r="W1028" s="196"/>
      <c r="X1028" s="196"/>
      <c r="Y1028" s="196"/>
      <c r="Z1028" s="196"/>
      <c r="AA1028" s="196"/>
      <c r="AB1028" s="196"/>
      <c r="AC1028" s="196"/>
      <c r="AD1028" s="196"/>
      <c r="AE1028" s="196"/>
      <c r="AF1028" s="196"/>
      <c r="AG1028" s="196"/>
      <c r="AH1028" s="196"/>
      <c r="AI1028" s="196"/>
      <c r="AJ1028" s="197"/>
      <c r="AK1028" s="80"/>
      <c r="AL1028" s="80"/>
      <c r="AM1028" s="73"/>
      <c r="AN1028" s="73"/>
      <c r="AO1028" s="73"/>
      <c r="AP1028" s="73"/>
      <c r="AQ1028" s="73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3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</row>
    <row r="1029">
      <c r="A1029" s="80"/>
      <c r="B1029" s="80"/>
      <c r="C1029" s="80"/>
      <c r="D1029" s="80"/>
      <c r="E1029" s="124"/>
      <c r="F1029" s="80"/>
      <c r="G1029" s="80"/>
      <c r="H1029" s="80"/>
      <c r="I1029" s="80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6"/>
      <c r="V1029" s="196"/>
      <c r="W1029" s="196"/>
      <c r="X1029" s="196"/>
      <c r="Y1029" s="196"/>
      <c r="Z1029" s="196"/>
      <c r="AA1029" s="196"/>
      <c r="AB1029" s="196"/>
      <c r="AC1029" s="196"/>
      <c r="AD1029" s="196"/>
      <c r="AE1029" s="196"/>
      <c r="AF1029" s="196"/>
      <c r="AG1029" s="196"/>
      <c r="AH1029" s="196"/>
      <c r="AI1029" s="196"/>
      <c r="AJ1029" s="197"/>
      <c r="AK1029" s="80"/>
      <c r="AL1029" s="80"/>
      <c r="AM1029" s="73"/>
      <c r="AN1029" s="73"/>
      <c r="AO1029" s="73"/>
      <c r="AP1029" s="73"/>
      <c r="AQ1029" s="73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3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</row>
    <row r="1030">
      <c r="A1030" s="80"/>
      <c r="B1030" s="80"/>
      <c r="C1030" s="80"/>
      <c r="D1030" s="80"/>
      <c r="E1030" s="124"/>
      <c r="F1030" s="80"/>
      <c r="G1030" s="80"/>
      <c r="H1030" s="80"/>
      <c r="I1030" s="80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6"/>
      <c r="V1030" s="196"/>
      <c r="W1030" s="196"/>
      <c r="X1030" s="196"/>
      <c r="Y1030" s="196"/>
      <c r="Z1030" s="196"/>
      <c r="AA1030" s="196"/>
      <c r="AB1030" s="196"/>
      <c r="AC1030" s="196"/>
      <c r="AD1030" s="196"/>
      <c r="AE1030" s="196"/>
      <c r="AF1030" s="196"/>
      <c r="AG1030" s="196"/>
      <c r="AH1030" s="196"/>
      <c r="AI1030" s="196"/>
      <c r="AJ1030" s="197"/>
      <c r="AK1030" s="80"/>
      <c r="AL1030" s="80"/>
      <c r="AM1030" s="73"/>
      <c r="AN1030" s="73"/>
      <c r="AO1030" s="73"/>
      <c r="AP1030" s="73"/>
      <c r="AQ1030" s="73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3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</row>
    <row r="1031">
      <c r="A1031" s="80"/>
      <c r="B1031" s="80"/>
      <c r="C1031" s="80"/>
      <c r="D1031" s="80"/>
      <c r="E1031" s="124"/>
      <c r="F1031" s="80"/>
      <c r="G1031" s="80"/>
      <c r="H1031" s="80"/>
      <c r="I1031" s="80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6"/>
      <c r="V1031" s="196"/>
      <c r="W1031" s="196"/>
      <c r="X1031" s="196"/>
      <c r="Y1031" s="196"/>
      <c r="Z1031" s="196"/>
      <c r="AA1031" s="196"/>
      <c r="AB1031" s="196"/>
      <c r="AC1031" s="196"/>
      <c r="AD1031" s="196"/>
      <c r="AE1031" s="196"/>
      <c r="AF1031" s="196"/>
      <c r="AG1031" s="196"/>
      <c r="AH1031" s="196"/>
      <c r="AI1031" s="196"/>
      <c r="AJ1031" s="197"/>
      <c r="AK1031" s="80"/>
      <c r="AL1031" s="80"/>
      <c r="AM1031" s="73"/>
      <c r="AN1031" s="73"/>
      <c r="AO1031" s="73"/>
      <c r="AP1031" s="73"/>
      <c r="AQ1031" s="73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3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</row>
    <row r="1032">
      <c r="A1032" s="80"/>
      <c r="B1032" s="80"/>
      <c r="C1032" s="80"/>
      <c r="D1032" s="80"/>
      <c r="E1032" s="124"/>
      <c r="F1032" s="80"/>
      <c r="G1032" s="80"/>
      <c r="H1032" s="80"/>
      <c r="I1032" s="80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6"/>
      <c r="V1032" s="196"/>
      <c r="W1032" s="196"/>
      <c r="X1032" s="196"/>
      <c r="Y1032" s="196"/>
      <c r="Z1032" s="196"/>
      <c r="AA1032" s="196"/>
      <c r="AB1032" s="196"/>
      <c r="AC1032" s="196"/>
      <c r="AD1032" s="196"/>
      <c r="AE1032" s="196"/>
      <c r="AF1032" s="196"/>
      <c r="AG1032" s="196"/>
      <c r="AH1032" s="196"/>
      <c r="AI1032" s="196"/>
      <c r="AJ1032" s="197"/>
      <c r="AK1032" s="80"/>
      <c r="AL1032" s="80"/>
      <c r="AM1032" s="73"/>
      <c r="AN1032" s="73"/>
      <c r="AO1032" s="73"/>
      <c r="AP1032" s="73"/>
      <c r="AQ1032" s="73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3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</row>
    <row r="1033">
      <c r="A1033" s="80"/>
      <c r="B1033" s="80"/>
      <c r="C1033" s="80"/>
      <c r="D1033" s="80"/>
      <c r="E1033" s="124"/>
      <c r="F1033" s="80"/>
      <c r="G1033" s="80"/>
      <c r="H1033" s="80"/>
      <c r="I1033" s="80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6"/>
      <c r="V1033" s="196"/>
      <c r="W1033" s="196"/>
      <c r="X1033" s="196"/>
      <c r="Y1033" s="196"/>
      <c r="Z1033" s="196"/>
      <c r="AA1033" s="196"/>
      <c r="AB1033" s="196"/>
      <c r="AC1033" s="196"/>
      <c r="AD1033" s="196"/>
      <c r="AE1033" s="196"/>
      <c r="AF1033" s="196"/>
      <c r="AG1033" s="196"/>
      <c r="AH1033" s="196"/>
      <c r="AI1033" s="196"/>
      <c r="AJ1033" s="197"/>
      <c r="AK1033" s="80"/>
      <c r="AL1033" s="80"/>
      <c r="AM1033" s="73"/>
      <c r="AN1033" s="73"/>
      <c r="AO1033" s="73"/>
      <c r="AP1033" s="73"/>
      <c r="AQ1033" s="73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3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</row>
    <row r="1034">
      <c r="A1034" s="80"/>
      <c r="B1034" s="80"/>
      <c r="C1034" s="80"/>
      <c r="D1034" s="80"/>
      <c r="E1034" s="124"/>
      <c r="F1034" s="80"/>
      <c r="G1034" s="80"/>
      <c r="H1034" s="80"/>
      <c r="I1034" s="80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6"/>
      <c r="V1034" s="196"/>
      <c r="W1034" s="196"/>
      <c r="X1034" s="196"/>
      <c r="Y1034" s="196"/>
      <c r="Z1034" s="196"/>
      <c r="AA1034" s="196"/>
      <c r="AB1034" s="196"/>
      <c r="AC1034" s="196"/>
      <c r="AD1034" s="196"/>
      <c r="AE1034" s="196"/>
      <c r="AF1034" s="196"/>
      <c r="AG1034" s="196"/>
      <c r="AH1034" s="196"/>
      <c r="AI1034" s="196"/>
      <c r="AJ1034" s="197"/>
      <c r="AK1034" s="80"/>
      <c r="AL1034" s="80"/>
      <c r="AM1034" s="73"/>
      <c r="AN1034" s="73"/>
      <c r="AO1034" s="73"/>
      <c r="AP1034" s="73"/>
      <c r="AQ1034" s="73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3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</row>
    <row r="1035">
      <c r="A1035" s="80"/>
      <c r="B1035" s="80"/>
      <c r="C1035" s="80"/>
      <c r="D1035" s="80"/>
      <c r="E1035" s="124"/>
      <c r="F1035" s="80"/>
      <c r="G1035" s="80"/>
      <c r="H1035" s="80"/>
      <c r="I1035" s="80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6"/>
      <c r="V1035" s="196"/>
      <c r="W1035" s="196"/>
      <c r="X1035" s="196"/>
      <c r="Y1035" s="196"/>
      <c r="Z1035" s="196"/>
      <c r="AA1035" s="196"/>
      <c r="AB1035" s="196"/>
      <c r="AC1035" s="196"/>
      <c r="AD1035" s="196"/>
      <c r="AE1035" s="196"/>
      <c r="AF1035" s="196"/>
      <c r="AG1035" s="196"/>
      <c r="AH1035" s="196"/>
      <c r="AI1035" s="196"/>
      <c r="AJ1035" s="197"/>
      <c r="AK1035" s="80"/>
      <c r="AL1035" s="80"/>
      <c r="AM1035" s="73"/>
      <c r="AN1035" s="73"/>
      <c r="AO1035" s="73"/>
      <c r="AP1035" s="73"/>
      <c r="AQ1035" s="73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3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</row>
    <row r="1036">
      <c r="A1036" s="80"/>
      <c r="B1036" s="80"/>
      <c r="C1036" s="80"/>
      <c r="D1036" s="80"/>
      <c r="E1036" s="124"/>
      <c r="F1036" s="80"/>
      <c r="G1036" s="80"/>
      <c r="H1036" s="80"/>
      <c r="I1036" s="80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6"/>
      <c r="V1036" s="196"/>
      <c r="W1036" s="196"/>
      <c r="X1036" s="196"/>
      <c r="Y1036" s="196"/>
      <c r="Z1036" s="196"/>
      <c r="AA1036" s="196"/>
      <c r="AB1036" s="196"/>
      <c r="AC1036" s="196"/>
      <c r="AD1036" s="196"/>
      <c r="AE1036" s="196"/>
      <c r="AF1036" s="196"/>
      <c r="AG1036" s="196"/>
      <c r="AH1036" s="196"/>
      <c r="AI1036" s="196"/>
      <c r="AJ1036" s="197"/>
      <c r="AK1036" s="80"/>
      <c r="AL1036" s="80"/>
      <c r="AM1036" s="73"/>
      <c r="AN1036" s="73"/>
      <c r="AO1036" s="73"/>
      <c r="AP1036" s="73"/>
      <c r="AQ1036" s="73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3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</row>
    <row r="1037">
      <c r="A1037" s="80"/>
      <c r="B1037" s="80"/>
      <c r="C1037" s="80"/>
      <c r="D1037" s="80"/>
      <c r="E1037" s="124"/>
      <c r="F1037" s="80"/>
      <c r="G1037" s="80"/>
      <c r="H1037" s="80"/>
      <c r="I1037" s="80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6"/>
      <c r="V1037" s="196"/>
      <c r="W1037" s="196"/>
      <c r="X1037" s="196"/>
      <c r="Y1037" s="196"/>
      <c r="Z1037" s="196"/>
      <c r="AA1037" s="196"/>
      <c r="AB1037" s="196"/>
      <c r="AC1037" s="196"/>
      <c r="AD1037" s="196"/>
      <c r="AE1037" s="196"/>
      <c r="AF1037" s="196"/>
      <c r="AG1037" s="196"/>
      <c r="AH1037" s="196"/>
      <c r="AI1037" s="196"/>
      <c r="AJ1037" s="197"/>
      <c r="AK1037" s="80"/>
      <c r="AL1037" s="80"/>
      <c r="AM1037" s="73"/>
      <c r="AN1037" s="73"/>
      <c r="AO1037" s="73"/>
      <c r="AP1037" s="73"/>
      <c r="AQ1037" s="73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3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</row>
    <row r="1038">
      <c r="A1038" s="80"/>
      <c r="B1038" s="80"/>
      <c r="C1038" s="80"/>
      <c r="D1038" s="80"/>
      <c r="E1038" s="124"/>
      <c r="F1038" s="80"/>
      <c r="G1038" s="80"/>
      <c r="H1038" s="80"/>
      <c r="I1038" s="80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6"/>
      <c r="V1038" s="196"/>
      <c r="W1038" s="196"/>
      <c r="X1038" s="196"/>
      <c r="Y1038" s="196"/>
      <c r="Z1038" s="196"/>
      <c r="AA1038" s="196"/>
      <c r="AB1038" s="196"/>
      <c r="AC1038" s="196"/>
      <c r="AD1038" s="196"/>
      <c r="AE1038" s="196"/>
      <c r="AF1038" s="196"/>
      <c r="AG1038" s="196"/>
      <c r="AH1038" s="196"/>
      <c r="AI1038" s="196"/>
      <c r="AJ1038" s="197"/>
      <c r="AK1038" s="80"/>
      <c r="AL1038" s="80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3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</row>
    <row r="1039">
      <c r="A1039" s="80"/>
      <c r="B1039" s="80"/>
      <c r="C1039" s="80"/>
      <c r="D1039" s="80"/>
      <c r="E1039" s="124"/>
      <c r="F1039" s="80"/>
      <c r="G1039" s="80"/>
      <c r="H1039" s="80"/>
      <c r="I1039" s="80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6"/>
      <c r="V1039" s="196"/>
      <c r="W1039" s="196"/>
      <c r="X1039" s="196"/>
      <c r="Y1039" s="196"/>
      <c r="Z1039" s="196"/>
      <c r="AA1039" s="196"/>
      <c r="AB1039" s="196"/>
      <c r="AC1039" s="196"/>
      <c r="AD1039" s="196"/>
      <c r="AE1039" s="196"/>
      <c r="AF1039" s="196"/>
      <c r="AG1039" s="196"/>
      <c r="AH1039" s="196"/>
      <c r="AI1039" s="196"/>
      <c r="AJ1039" s="197"/>
      <c r="AK1039" s="80"/>
      <c r="AL1039" s="80"/>
      <c r="AM1039" s="73"/>
      <c r="AN1039" s="73"/>
      <c r="AO1039" s="73"/>
      <c r="AP1039" s="73"/>
      <c r="AQ1039" s="73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3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</row>
    <row r="1040">
      <c r="A1040" s="80"/>
      <c r="B1040" s="80"/>
      <c r="C1040" s="80"/>
      <c r="D1040" s="80"/>
      <c r="E1040" s="124"/>
      <c r="F1040" s="80"/>
      <c r="G1040" s="80"/>
      <c r="H1040" s="80"/>
      <c r="I1040" s="80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6"/>
      <c r="V1040" s="196"/>
      <c r="W1040" s="196"/>
      <c r="X1040" s="196"/>
      <c r="Y1040" s="196"/>
      <c r="Z1040" s="196"/>
      <c r="AA1040" s="196"/>
      <c r="AB1040" s="196"/>
      <c r="AC1040" s="196"/>
      <c r="AD1040" s="196"/>
      <c r="AE1040" s="196"/>
      <c r="AF1040" s="196"/>
      <c r="AG1040" s="196"/>
      <c r="AH1040" s="196"/>
      <c r="AI1040" s="196"/>
      <c r="AJ1040" s="197"/>
      <c r="AK1040" s="80"/>
      <c r="AL1040" s="80"/>
      <c r="AM1040" s="73"/>
      <c r="AN1040" s="73"/>
      <c r="AO1040" s="73"/>
      <c r="AP1040" s="73"/>
      <c r="AQ1040" s="73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3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</row>
    <row r="1041">
      <c r="A1041" s="80"/>
      <c r="B1041" s="80"/>
      <c r="C1041" s="80"/>
      <c r="D1041" s="80"/>
      <c r="E1041" s="124"/>
      <c r="F1041" s="80"/>
      <c r="G1041" s="80"/>
      <c r="H1041" s="80"/>
      <c r="I1041" s="80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6"/>
      <c r="V1041" s="196"/>
      <c r="W1041" s="196"/>
      <c r="X1041" s="196"/>
      <c r="Y1041" s="196"/>
      <c r="Z1041" s="196"/>
      <c r="AA1041" s="196"/>
      <c r="AB1041" s="196"/>
      <c r="AC1041" s="196"/>
      <c r="AD1041" s="196"/>
      <c r="AE1041" s="196"/>
      <c r="AF1041" s="196"/>
      <c r="AG1041" s="196"/>
      <c r="AH1041" s="196"/>
      <c r="AI1041" s="196"/>
      <c r="AJ1041" s="197"/>
      <c r="AK1041" s="80"/>
      <c r="AL1041" s="80"/>
      <c r="AM1041" s="73"/>
      <c r="AN1041" s="73"/>
      <c r="AO1041" s="73"/>
      <c r="AP1041" s="73"/>
      <c r="AQ1041" s="73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3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</row>
    <row r="1042">
      <c r="A1042" s="80"/>
      <c r="B1042" s="80"/>
      <c r="C1042" s="80"/>
      <c r="D1042" s="80"/>
      <c r="E1042" s="124"/>
      <c r="F1042" s="80"/>
      <c r="G1042" s="80"/>
      <c r="H1042" s="80"/>
      <c r="I1042" s="80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6"/>
      <c r="V1042" s="196"/>
      <c r="W1042" s="196"/>
      <c r="X1042" s="196"/>
      <c r="Y1042" s="196"/>
      <c r="Z1042" s="196"/>
      <c r="AA1042" s="196"/>
      <c r="AB1042" s="196"/>
      <c r="AC1042" s="196"/>
      <c r="AD1042" s="196"/>
      <c r="AE1042" s="196"/>
      <c r="AF1042" s="196"/>
      <c r="AG1042" s="196"/>
      <c r="AH1042" s="196"/>
      <c r="AI1042" s="196"/>
      <c r="AJ1042" s="197"/>
      <c r="AK1042" s="80"/>
      <c r="AL1042" s="80"/>
      <c r="AM1042" s="73"/>
      <c r="AN1042" s="73"/>
      <c r="AO1042" s="73"/>
      <c r="AP1042" s="73"/>
      <c r="AQ1042" s="73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3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</row>
    <row r="1043">
      <c r="A1043" s="80"/>
      <c r="B1043" s="80"/>
      <c r="C1043" s="80"/>
      <c r="D1043" s="80"/>
      <c r="E1043" s="124"/>
      <c r="F1043" s="80"/>
      <c r="G1043" s="80"/>
      <c r="H1043" s="80"/>
      <c r="I1043" s="80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6"/>
      <c r="V1043" s="196"/>
      <c r="W1043" s="196"/>
      <c r="X1043" s="196"/>
      <c r="Y1043" s="196"/>
      <c r="Z1043" s="196"/>
      <c r="AA1043" s="196"/>
      <c r="AB1043" s="196"/>
      <c r="AC1043" s="196"/>
      <c r="AD1043" s="196"/>
      <c r="AE1043" s="196"/>
      <c r="AF1043" s="196"/>
      <c r="AG1043" s="196"/>
      <c r="AH1043" s="196"/>
      <c r="AI1043" s="196"/>
      <c r="AJ1043" s="197"/>
      <c r="AK1043" s="80"/>
      <c r="AL1043" s="80"/>
      <c r="AM1043" s="73"/>
      <c r="AN1043" s="73"/>
      <c r="AO1043" s="73"/>
      <c r="AP1043" s="73"/>
      <c r="AQ1043" s="73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3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</row>
    <row r="1044">
      <c r="A1044" s="80"/>
      <c r="B1044" s="80"/>
      <c r="C1044" s="80"/>
      <c r="D1044" s="80"/>
      <c r="E1044" s="124"/>
      <c r="F1044" s="80"/>
      <c r="G1044" s="80"/>
      <c r="H1044" s="80"/>
      <c r="I1044" s="80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6"/>
      <c r="V1044" s="196"/>
      <c r="W1044" s="196"/>
      <c r="X1044" s="196"/>
      <c r="Y1044" s="196"/>
      <c r="Z1044" s="196"/>
      <c r="AA1044" s="196"/>
      <c r="AB1044" s="196"/>
      <c r="AC1044" s="196"/>
      <c r="AD1044" s="196"/>
      <c r="AE1044" s="196"/>
      <c r="AF1044" s="196"/>
      <c r="AG1044" s="196"/>
      <c r="AH1044" s="196"/>
      <c r="AI1044" s="196"/>
      <c r="AJ1044" s="197"/>
      <c r="AK1044" s="80"/>
      <c r="AL1044" s="80"/>
      <c r="AM1044" s="73"/>
      <c r="AN1044" s="73"/>
      <c r="AO1044" s="73"/>
      <c r="AP1044" s="73"/>
      <c r="AQ1044" s="73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3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</row>
    <row r="1045">
      <c r="A1045" s="80"/>
      <c r="B1045" s="80"/>
      <c r="C1045" s="80"/>
      <c r="D1045" s="80"/>
      <c r="E1045" s="124"/>
      <c r="F1045" s="80"/>
      <c r="G1045" s="80"/>
      <c r="H1045" s="80"/>
      <c r="I1045" s="80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6"/>
      <c r="V1045" s="196"/>
      <c r="W1045" s="196"/>
      <c r="X1045" s="196"/>
      <c r="Y1045" s="196"/>
      <c r="Z1045" s="196"/>
      <c r="AA1045" s="196"/>
      <c r="AB1045" s="196"/>
      <c r="AC1045" s="196"/>
      <c r="AD1045" s="196"/>
      <c r="AE1045" s="196"/>
      <c r="AF1045" s="196"/>
      <c r="AG1045" s="196"/>
      <c r="AH1045" s="196"/>
      <c r="AI1045" s="196"/>
      <c r="AJ1045" s="197"/>
      <c r="AK1045" s="80"/>
      <c r="AL1045" s="80"/>
      <c r="AM1045" s="73"/>
      <c r="AN1045" s="73"/>
      <c r="AO1045" s="73"/>
      <c r="AP1045" s="73"/>
      <c r="AQ1045" s="73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3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</row>
    <row r="1046">
      <c r="A1046" s="80"/>
      <c r="B1046" s="80"/>
      <c r="C1046" s="80"/>
      <c r="D1046" s="80"/>
      <c r="E1046" s="124"/>
      <c r="F1046" s="80"/>
      <c r="G1046" s="80"/>
      <c r="H1046" s="80"/>
      <c r="I1046" s="80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6"/>
      <c r="V1046" s="196"/>
      <c r="W1046" s="196"/>
      <c r="X1046" s="196"/>
      <c r="Y1046" s="196"/>
      <c r="Z1046" s="196"/>
      <c r="AA1046" s="196"/>
      <c r="AB1046" s="196"/>
      <c r="AC1046" s="196"/>
      <c r="AD1046" s="196"/>
      <c r="AE1046" s="196"/>
      <c r="AF1046" s="196"/>
      <c r="AG1046" s="196"/>
      <c r="AH1046" s="196"/>
      <c r="AI1046" s="196"/>
      <c r="AJ1046" s="197"/>
      <c r="AK1046" s="80"/>
      <c r="AL1046" s="80"/>
      <c r="AM1046" s="73"/>
      <c r="AN1046" s="73"/>
      <c r="AO1046" s="73"/>
      <c r="AP1046" s="73"/>
      <c r="AQ1046" s="73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3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</row>
    <row r="1047">
      <c r="A1047" s="80"/>
      <c r="B1047" s="80"/>
      <c r="C1047" s="80"/>
      <c r="D1047" s="80"/>
      <c r="E1047" s="124"/>
      <c r="F1047" s="80"/>
      <c r="G1047" s="80"/>
      <c r="H1047" s="80"/>
      <c r="I1047" s="80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6"/>
      <c r="V1047" s="196"/>
      <c r="W1047" s="196"/>
      <c r="X1047" s="196"/>
      <c r="Y1047" s="196"/>
      <c r="Z1047" s="196"/>
      <c r="AA1047" s="196"/>
      <c r="AB1047" s="196"/>
      <c r="AC1047" s="196"/>
      <c r="AD1047" s="196"/>
      <c r="AE1047" s="196"/>
      <c r="AF1047" s="196"/>
      <c r="AG1047" s="196"/>
      <c r="AH1047" s="196"/>
      <c r="AI1047" s="196"/>
      <c r="AJ1047" s="197"/>
      <c r="AK1047" s="80"/>
      <c r="AL1047" s="80"/>
      <c r="AM1047" s="73"/>
      <c r="AN1047" s="73"/>
      <c r="AO1047" s="73"/>
      <c r="AP1047" s="73"/>
      <c r="AQ1047" s="73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3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</row>
    <row r="1048">
      <c r="A1048" s="80"/>
      <c r="B1048" s="80"/>
      <c r="C1048" s="80"/>
      <c r="D1048" s="80"/>
      <c r="E1048" s="124"/>
      <c r="F1048" s="80"/>
      <c r="G1048" s="80"/>
      <c r="H1048" s="80"/>
      <c r="I1048" s="80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6"/>
      <c r="V1048" s="196"/>
      <c r="W1048" s="196"/>
      <c r="X1048" s="196"/>
      <c r="Y1048" s="196"/>
      <c r="Z1048" s="196"/>
      <c r="AA1048" s="196"/>
      <c r="AB1048" s="196"/>
      <c r="AC1048" s="196"/>
      <c r="AD1048" s="196"/>
      <c r="AE1048" s="196"/>
      <c r="AF1048" s="196"/>
      <c r="AG1048" s="196"/>
      <c r="AH1048" s="196"/>
      <c r="AI1048" s="196"/>
      <c r="AJ1048" s="197"/>
      <c r="AK1048" s="80"/>
      <c r="AL1048" s="80"/>
      <c r="AM1048" s="73"/>
      <c r="AN1048" s="73"/>
      <c r="AO1048" s="73"/>
      <c r="AP1048" s="73"/>
      <c r="AQ1048" s="73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3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</row>
    <row r="1049">
      <c r="A1049" s="80"/>
      <c r="B1049" s="80"/>
      <c r="C1049" s="80"/>
      <c r="D1049" s="80"/>
      <c r="E1049" s="124"/>
      <c r="F1049" s="80"/>
      <c r="G1049" s="80"/>
      <c r="H1049" s="80"/>
      <c r="I1049" s="80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6"/>
      <c r="V1049" s="196"/>
      <c r="W1049" s="196"/>
      <c r="X1049" s="196"/>
      <c r="Y1049" s="196"/>
      <c r="Z1049" s="196"/>
      <c r="AA1049" s="196"/>
      <c r="AB1049" s="196"/>
      <c r="AC1049" s="196"/>
      <c r="AD1049" s="196"/>
      <c r="AE1049" s="196"/>
      <c r="AF1049" s="196"/>
      <c r="AG1049" s="196"/>
      <c r="AH1049" s="196"/>
      <c r="AI1049" s="196"/>
      <c r="AJ1049" s="197"/>
      <c r="AK1049" s="80"/>
      <c r="AL1049" s="80"/>
      <c r="AM1049" s="73"/>
      <c r="AN1049" s="73"/>
      <c r="AO1049" s="73"/>
      <c r="AP1049" s="73"/>
      <c r="AQ1049" s="73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3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</row>
    <row r="1050">
      <c r="A1050" s="80"/>
      <c r="B1050" s="80"/>
      <c r="C1050" s="80"/>
      <c r="D1050" s="80"/>
      <c r="E1050" s="124"/>
      <c r="F1050" s="80"/>
      <c r="G1050" s="80"/>
      <c r="H1050" s="80"/>
      <c r="I1050" s="80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6"/>
      <c r="V1050" s="196"/>
      <c r="W1050" s="196"/>
      <c r="X1050" s="196"/>
      <c r="Y1050" s="196"/>
      <c r="Z1050" s="196"/>
      <c r="AA1050" s="196"/>
      <c r="AB1050" s="196"/>
      <c r="AC1050" s="196"/>
      <c r="AD1050" s="196"/>
      <c r="AE1050" s="196"/>
      <c r="AF1050" s="196"/>
      <c r="AG1050" s="196"/>
      <c r="AH1050" s="196"/>
      <c r="AI1050" s="196"/>
      <c r="AJ1050" s="197"/>
      <c r="AK1050" s="80"/>
      <c r="AL1050" s="80"/>
      <c r="AM1050" s="73"/>
      <c r="AN1050" s="73"/>
      <c r="AO1050" s="73"/>
      <c r="AP1050" s="73"/>
      <c r="AQ1050" s="73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3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</row>
    <row r="1051">
      <c r="A1051" s="80"/>
      <c r="B1051" s="80"/>
      <c r="C1051" s="80"/>
      <c r="D1051" s="80"/>
      <c r="E1051" s="124"/>
      <c r="F1051" s="80"/>
      <c r="G1051" s="80"/>
      <c r="H1051" s="80"/>
      <c r="I1051" s="80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6"/>
      <c r="V1051" s="196"/>
      <c r="W1051" s="196"/>
      <c r="X1051" s="196"/>
      <c r="Y1051" s="196"/>
      <c r="Z1051" s="196"/>
      <c r="AA1051" s="196"/>
      <c r="AB1051" s="196"/>
      <c r="AC1051" s="196"/>
      <c r="AD1051" s="196"/>
      <c r="AE1051" s="196"/>
      <c r="AF1051" s="196"/>
      <c r="AG1051" s="196"/>
      <c r="AH1051" s="196"/>
      <c r="AI1051" s="196"/>
      <c r="AJ1051" s="197"/>
      <c r="AK1051" s="80"/>
      <c r="AL1051" s="80"/>
      <c r="AM1051" s="73"/>
      <c r="AN1051" s="73"/>
      <c r="AO1051" s="73"/>
      <c r="AP1051" s="73"/>
      <c r="AQ1051" s="73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3"/>
      <c r="BG1051" s="73"/>
      <c r="BH1051" s="73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</row>
    <row r="1052">
      <c r="A1052" s="80"/>
      <c r="B1052" s="80"/>
      <c r="C1052" s="80"/>
      <c r="D1052" s="80"/>
      <c r="E1052" s="124"/>
      <c r="F1052" s="80"/>
      <c r="G1052" s="80"/>
      <c r="H1052" s="80"/>
      <c r="I1052" s="80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6"/>
      <c r="V1052" s="196"/>
      <c r="W1052" s="196"/>
      <c r="X1052" s="196"/>
      <c r="Y1052" s="196"/>
      <c r="Z1052" s="196"/>
      <c r="AA1052" s="196"/>
      <c r="AB1052" s="196"/>
      <c r="AC1052" s="196"/>
      <c r="AD1052" s="196"/>
      <c r="AE1052" s="196"/>
      <c r="AF1052" s="196"/>
      <c r="AG1052" s="196"/>
      <c r="AH1052" s="196"/>
      <c r="AI1052" s="196"/>
      <c r="AJ1052" s="197"/>
      <c r="AK1052" s="80"/>
      <c r="AL1052" s="80"/>
      <c r="AM1052" s="73"/>
      <c r="AN1052" s="73"/>
      <c r="AO1052" s="73"/>
      <c r="AP1052" s="73"/>
      <c r="AQ1052" s="73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3"/>
      <c r="BG1052" s="73"/>
      <c r="BH1052" s="73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</row>
    <row r="1053">
      <c r="A1053" s="80"/>
      <c r="B1053" s="80"/>
      <c r="C1053" s="80"/>
      <c r="D1053" s="80"/>
      <c r="E1053" s="124"/>
      <c r="F1053" s="80"/>
      <c r="G1053" s="80"/>
      <c r="H1053" s="80"/>
      <c r="I1053" s="80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6"/>
      <c r="V1053" s="196"/>
      <c r="W1053" s="196"/>
      <c r="X1053" s="196"/>
      <c r="Y1053" s="196"/>
      <c r="Z1053" s="196"/>
      <c r="AA1053" s="196"/>
      <c r="AB1053" s="196"/>
      <c r="AC1053" s="196"/>
      <c r="AD1053" s="196"/>
      <c r="AE1053" s="196"/>
      <c r="AF1053" s="196"/>
      <c r="AG1053" s="196"/>
      <c r="AH1053" s="196"/>
      <c r="AI1053" s="196"/>
      <c r="AJ1053" s="197"/>
      <c r="AK1053" s="80"/>
      <c r="AL1053" s="80"/>
      <c r="AM1053" s="73"/>
      <c r="AN1053" s="73"/>
      <c r="AO1053" s="73"/>
      <c r="AP1053" s="73"/>
      <c r="AQ1053" s="73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3"/>
      <c r="BG1053" s="73"/>
      <c r="BH1053" s="73"/>
      <c r="BI1053" s="73"/>
      <c r="BJ1053" s="73"/>
      <c r="BK1053" s="73"/>
      <c r="BL1053" s="73"/>
      <c r="BM1053" s="73"/>
      <c r="BN1053" s="73"/>
      <c r="BO1053" s="73"/>
      <c r="BP1053" s="73"/>
      <c r="BQ1053" s="73"/>
      <c r="BR1053" s="73"/>
      <c r="BS1053" s="73"/>
      <c r="BT1053" s="73"/>
      <c r="BU1053" s="73"/>
      <c r="BV1053" s="73"/>
      <c r="BW1053" s="73"/>
      <c r="BX1053" s="73"/>
      <c r="BY1053" s="73"/>
      <c r="BZ1053" s="73"/>
      <c r="CA1053" s="73"/>
      <c r="CB1053" s="73"/>
      <c r="CC1053" s="73"/>
      <c r="CD1053" s="73"/>
      <c r="CE1053" s="73"/>
      <c r="CF1053" s="73"/>
      <c r="CG1053" s="73"/>
      <c r="CH1053" s="73"/>
    </row>
    <row r="1054">
      <c r="A1054" s="80"/>
      <c r="B1054" s="80"/>
      <c r="C1054" s="80"/>
      <c r="D1054" s="80"/>
      <c r="E1054" s="124"/>
      <c r="F1054" s="80"/>
      <c r="G1054" s="80"/>
      <c r="H1054" s="80"/>
      <c r="I1054" s="80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6"/>
      <c r="V1054" s="196"/>
      <c r="W1054" s="196"/>
      <c r="X1054" s="196"/>
      <c r="Y1054" s="196"/>
      <c r="Z1054" s="196"/>
      <c r="AA1054" s="196"/>
      <c r="AB1054" s="196"/>
      <c r="AC1054" s="196"/>
      <c r="AD1054" s="196"/>
      <c r="AE1054" s="196"/>
      <c r="AF1054" s="196"/>
      <c r="AG1054" s="196"/>
      <c r="AH1054" s="196"/>
      <c r="AI1054" s="196"/>
      <c r="AJ1054" s="197"/>
      <c r="AK1054" s="80"/>
      <c r="AL1054" s="80"/>
      <c r="AM1054" s="73"/>
      <c r="AN1054" s="73"/>
      <c r="AO1054" s="73"/>
      <c r="AP1054" s="73"/>
      <c r="AQ1054" s="73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3"/>
      <c r="BG1054" s="73"/>
      <c r="BH1054" s="73"/>
      <c r="BI1054" s="73"/>
      <c r="BJ1054" s="73"/>
      <c r="BK1054" s="73"/>
      <c r="BL1054" s="73"/>
      <c r="BM1054" s="73"/>
      <c r="BN1054" s="73"/>
      <c r="BO1054" s="73"/>
      <c r="BP1054" s="73"/>
      <c r="BQ1054" s="73"/>
      <c r="BR1054" s="73"/>
      <c r="BS1054" s="73"/>
      <c r="BT1054" s="73"/>
      <c r="BU1054" s="73"/>
      <c r="BV1054" s="73"/>
      <c r="BW1054" s="73"/>
      <c r="BX1054" s="73"/>
      <c r="BY1054" s="73"/>
      <c r="BZ1054" s="73"/>
      <c r="CA1054" s="73"/>
      <c r="CB1054" s="73"/>
      <c r="CC1054" s="73"/>
      <c r="CD1054" s="73"/>
      <c r="CE1054" s="73"/>
      <c r="CF1054" s="73"/>
      <c r="CG1054" s="73"/>
      <c r="CH1054" s="73"/>
    </row>
    <row r="1055">
      <c r="A1055" s="80"/>
      <c r="B1055" s="80"/>
      <c r="C1055" s="80"/>
      <c r="D1055" s="80"/>
      <c r="E1055" s="124"/>
      <c r="F1055" s="80"/>
      <c r="G1055" s="80"/>
      <c r="H1055" s="80"/>
      <c r="I1055" s="80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6"/>
      <c r="V1055" s="196"/>
      <c r="W1055" s="196"/>
      <c r="X1055" s="196"/>
      <c r="Y1055" s="196"/>
      <c r="Z1055" s="196"/>
      <c r="AA1055" s="196"/>
      <c r="AB1055" s="196"/>
      <c r="AC1055" s="196"/>
      <c r="AD1055" s="196"/>
      <c r="AE1055" s="196"/>
      <c r="AF1055" s="196"/>
      <c r="AG1055" s="196"/>
      <c r="AH1055" s="196"/>
      <c r="AI1055" s="196"/>
      <c r="AJ1055" s="197"/>
      <c r="AK1055" s="80"/>
      <c r="AL1055" s="80"/>
      <c r="AM1055" s="73"/>
      <c r="AN1055" s="73"/>
      <c r="AO1055" s="73"/>
      <c r="AP1055" s="73"/>
      <c r="AQ1055" s="73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3"/>
      <c r="BG1055" s="73"/>
      <c r="BH1055" s="73"/>
      <c r="BI1055" s="73"/>
      <c r="BJ1055" s="73"/>
      <c r="BK1055" s="73"/>
      <c r="BL1055" s="73"/>
      <c r="BM1055" s="73"/>
      <c r="BN1055" s="73"/>
      <c r="BO1055" s="73"/>
      <c r="BP1055" s="73"/>
      <c r="BQ1055" s="73"/>
      <c r="BR1055" s="73"/>
      <c r="BS1055" s="73"/>
      <c r="BT1055" s="73"/>
      <c r="BU1055" s="73"/>
      <c r="BV1055" s="73"/>
      <c r="BW1055" s="73"/>
      <c r="BX1055" s="73"/>
      <c r="BY1055" s="73"/>
      <c r="BZ1055" s="73"/>
      <c r="CA1055" s="73"/>
      <c r="CB1055" s="73"/>
      <c r="CC1055" s="73"/>
      <c r="CD1055" s="73"/>
      <c r="CE1055" s="73"/>
      <c r="CF1055" s="73"/>
      <c r="CG1055" s="73"/>
      <c r="CH1055" s="73"/>
    </row>
    <row r="1056">
      <c r="A1056" s="80"/>
      <c r="B1056" s="80"/>
      <c r="C1056" s="80"/>
      <c r="D1056" s="80"/>
      <c r="E1056" s="124"/>
      <c r="F1056" s="80"/>
      <c r="G1056" s="80"/>
      <c r="H1056" s="80"/>
      <c r="I1056" s="80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6"/>
      <c r="V1056" s="196"/>
      <c r="W1056" s="196"/>
      <c r="X1056" s="196"/>
      <c r="Y1056" s="196"/>
      <c r="Z1056" s="196"/>
      <c r="AA1056" s="196"/>
      <c r="AB1056" s="196"/>
      <c r="AC1056" s="196"/>
      <c r="AD1056" s="196"/>
      <c r="AE1056" s="196"/>
      <c r="AF1056" s="196"/>
      <c r="AG1056" s="196"/>
      <c r="AH1056" s="196"/>
      <c r="AI1056" s="196"/>
      <c r="AJ1056" s="197"/>
      <c r="AK1056" s="80"/>
      <c r="AL1056" s="80"/>
      <c r="AM1056" s="73"/>
      <c r="AN1056" s="73"/>
      <c r="AO1056" s="73"/>
      <c r="AP1056" s="73"/>
      <c r="AQ1056" s="73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3"/>
      <c r="BG1056" s="73"/>
      <c r="BH1056" s="73"/>
      <c r="BI1056" s="73"/>
      <c r="BJ1056" s="73"/>
      <c r="BK1056" s="73"/>
      <c r="BL1056" s="73"/>
      <c r="BM1056" s="73"/>
      <c r="BN1056" s="73"/>
      <c r="BO1056" s="73"/>
      <c r="BP1056" s="73"/>
      <c r="BQ1056" s="73"/>
      <c r="BR1056" s="73"/>
      <c r="BS1056" s="73"/>
      <c r="BT1056" s="73"/>
      <c r="BU1056" s="73"/>
      <c r="BV1056" s="73"/>
      <c r="BW1056" s="73"/>
      <c r="BX1056" s="73"/>
      <c r="BY1056" s="73"/>
      <c r="BZ1056" s="73"/>
      <c r="CA1056" s="73"/>
      <c r="CB1056" s="73"/>
      <c r="CC1056" s="73"/>
      <c r="CD1056" s="73"/>
      <c r="CE1056" s="73"/>
      <c r="CF1056" s="73"/>
      <c r="CG1056" s="73"/>
      <c r="CH1056" s="73"/>
    </row>
    <row r="1057">
      <c r="A1057" s="80"/>
      <c r="B1057" s="80"/>
      <c r="C1057" s="80"/>
      <c r="D1057" s="80"/>
      <c r="E1057" s="124"/>
      <c r="F1057" s="80"/>
      <c r="G1057" s="80"/>
      <c r="H1057" s="80"/>
      <c r="I1057" s="80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6"/>
      <c r="V1057" s="196"/>
      <c r="W1057" s="196"/>
      <c r="X1057" s="196"/>
      <c r="Y1057" s="196"/>
      <c r="Z1057" s="196"/>
      <c r="AA1057" s="196"/>
      <c r="AB1057" s="196"/>
      <c r="AC1057" s="196"/>
      <c r="AD1057" s="196"/>
      <c r="AE1057" s="196"/>
      <c r="AF1057" s="196"/>
      <c r="AG1057" s="196"/>
      <c r="AH1057" s="196"/>
      <c r="AI1057" s="196"/>
      <c r="AJ1057" s="197"/>
      <c r="AK1057" s="80"/>
      <c r="AL1057" s="80"/>
      <c r="AM1057" s="73"/>
      <c r="AN1057" s="73"/>
      <c r="AO1057" s="73"/>
      <c r="AP1057" s="73"/>
      <c r="AQ1057" s="73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3"/>
      <c r="BG1057" s="73"/>
      <c r="BH1057" s="73"/>
      <c r="BI1057" s="73"/>
      <c r="BJ1057" s="73"/>
      <c r="BK1057" s="73"/>
      <c r="BL1057" s="73"/>
      <c r="BM1057" s="73"/>
      <c r="BN1057" s="73"/>
      <c r="BO1057" s="73"/>
      <c r="BP1057" s="73"/>
      <c r="BQ1057" s="73"/>
      <c r="BR1057" s="73"/>
      <c r="BS1057" s="73"/>
      <c r="BT1057" s="73"/>
      <c r="BU1057" s="73"/>
      <c r="BV1057" s="73"/>
      <c r="BW1057" s="73"/>
      <c r="BX1057" s="73"/>
      <c r="BY1057" s="73"/>
      <c r="BZ1057" s="73"/>
      <c r="CA1057" s="73"/>
      <c r="CB1057" s="73"/>
      <c r="CC1057" s="73"/>
      <c r="CD1057" s="73"/>
      <c r="CE1057" s="73"/>
      <c r="CF1057" s="73"/>
      <c r="CG1057" s="73"/>
      <c r="CH1057" s="73"/>
    </row>
    <row r="1058">
      <c r="A1058" s="80"/>
      <c r="B1058" s="80"/>
      <c r="C1058" s="80"/>
      <c r="D1058" s="80"/>
      <c r="E1058" s="124"/>
      <c r="F1058" s="80"/>
      <c r="G1058" s="80"/>
      <c r="H1058" s="80"/>
      <c r="I1058" s="80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6"/>
      <c r="V1058" s="196"/>
      <c r="W1058" s="196"/>
      <c r="X1058" s="196"/>
      <c r="Y1058" s="196"/>
      <c r="Z1058" s="196"/>
      <c r="AA1058" s="196"/>
      <c r="AB1058" s="196"/>
      <c r="AC1058" s="196"/>
      <c r="AD1058" s="196"/>
      <c r="AE1058" s="196"/>
      <c r="AF1058" s="196"/>
      <c r="AG1058" s="196"/>
      <c r="AH1058" s="196"/>
      <c r="AI1058" s="196"/>
      <c r="AJ1058" s="197"/>
      <c r="AK1058" s="80"/>
      <c r="AL1058" s="80"/>
      <c r="AM1058" s="73"/>
      <c r="AN1058" s="73"/>
      <c r="AO1058" s="73"/>
      <c r="AP1058" s="73"/>
      <c r="AQ1058" s="73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3"/>
      <c r="BG1058" s="73"/>
      <c r="BH1058" s="73"/>
      <c r="BI1058" s="73"/>
      <c r="BJ1058" s="73"/>
      <c r="BK1058" s="73"/>
      <c r="BL1058" s="73"/>
      <c r="BM1058" s="73"/>
      <c r="BN1058" s="73"/>
      <c r="BO1058" s="73"/>
      <c r="BP1058" s="73"/>
      <c r="BQ1058" s="73"/>
      <c r="BR1058" s="73"/>
      <c r="BS1058" s="73"/>
      <c r="BT1058" s="73"/>
      <c r="BU1058" s="73"/>
      <c r="BV1058" s="73"/>
      <c r="BW1058" s="73"/>
      <c r="BX1058" s="73"/>
      <c r="BY1058" s="73"/>
      <c r="BZ1058" s="73"/>
      <c r="CA1058" s="73"/>
      <c r="CB1058" s="73"/>
      <c r="CC1058" s="73"/>
      <c r="CD1058" s="73"/>
      <c r="CE1058" s="73"/>
      <c r="CF1058" s="73"/>
      <c r="CG1058" s="73"/>
      <c r="CH1058" s="73"/>
    </row>
    <row r="1059">
      <c r="A1059" s="80"/>
      <c r="B1059" s="80"/>
      <c r="C1059" s="80"/>
      <c r="D1059" s="80"/>
      <c r="E1059" s="124"/>
      <c r="F1059" s="80"/>
      <c r="G1059" s="80"/>
      <c r="H1059" s="80"/>
      <c r="I1059" s="80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6"/>
      <c r="V1059" s="196"/>
      <c r="W1059" s="196"/>
      <c r="X1059" s="196"/>
      <c r="Y1059" s="196"/>
      <c r="Z1059" s="196"/>
      <c r="AA1059" s="196"/>
      <c r="AB1059" s="196"/>
      <c r="AC1059" s="196"/>
      <c r="AD1059" s="196"/>
      <c r="AE1059" s="196"/>
      <c r="AF1059" s="196"/>
      <c r="AG1059" s="196"/>
      <c r="AH1059" s="196"/>
      <c r="AI1059" s="196"/>
      <c r="AJ1059" s="197"/>
      <c r="AK1059" s="80"/>
      <c r="AL1059" s="80"/>
      <c r="AM1059" s="73"/>
      <c r="AN1059" s="73"/>
      <c r="AO1059" s="73"/>
      <c r="AP1059" s="73"/>
      <c r="AQ1059" s="73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3"/>
      <c r="BG1059" s="73"/>
      <c r="BH1059" s="73"/>
      <c r="BI1059" s="73"/>
      <c r="BJ1059" s="73"/>
      <c r="BK1059" s="73"/>
      <c r="BL1059" s="73"/>
      <c r="BM1059" s="73"/>
      <c r="BN1059" s="73"/>
      <c r="BO1059" s="73"/>
      <c r="BP1059" s="73"/>
      <c r="BQ1059" s="73"/>
      <c r="BR1059" s="73"/>
      <c r="BS1059" s="73"/>
      <c r="BT1059" s="73"/>
      <c r="BU1059" s="73"/>
      <c r="BV1059" s="73"/>
      <c r="BW1059" s="73"/>
      <c r="BX1059" s="73"/>
      <c r="BY1059" s="73"/>
      <c r="BZ1059" s="73"/>
      <c r="CA1059" s="73"/>
      <c r="CB1059" s="73"/>
      <c r="CC1059" s="73"/>
      <c r="CD1059" s="73"/>
      <c r="CE1059" s="73"/>
      <c r="CF1059" s="73"/>
      <c r="CG1059" s="73"/>
      <c r="CH1059" s="73"/>
    </row>
    <row r="1060">
      <c r="A1060" s="80"/>
      <c r="B1060" s="80"/>
      <c r="C1060" s="80"/>
      <c r="D1060" s="80"/>
      <c r="E1060" s="124"/>
      <c r="F1060" s="80"/>
      <c r="G1060" s="80"/>
      <c r="H1060" s="80"/>
      <c r="I1060" s="80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6"/>
      <c r="V1060" s="196"/>
      <c r="W1060" s="196"/>
      <c r="X1060" s="196"/>
      <c r="Y1060" s="196"/>
      <c r="Z1060" s="196"/>
      <c r="AA1060" s="196"/>
      <c r="AB1060" s="196"/>
      <c r="AC1060" s="196"/>
      <c r="AD1060" s="196"/>
      <c r="AE1060" s="196"/>
      <c r="AF1060" s="196"/>
      <c r="AG1060" s="196"/>
      <c r="AH1060" s="196"/>
      <c r="AI1060" s="196"/>
      <c r="AJ1060" s="197"/>
      <c r="AK1060" s="80"/>
      <c r="AL1060" s="80"/>
      <c r="AM1060" s="73"/>
      <c r="AN1060" s="73"/>
      <c r="AO1060" s="73"/>
      <c r="AP1060" s="73"/>
      <c r="AQ1060" s="73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3"/>
      <c r="BG1060" s="73"/>
      <c r="BH1060" s="73"/>
      <c r="BI1060" s="73"/>
      <c r="BJ1060" s="73"/>
      <c r="BK1060" s="73"/>
      <c r="BL1060" s="73"/>
      <c r="BM1060" s="73"/>
      <c r="BN1060" s="73"/>
      <c r="BO1060" s="73"/>
      <c r="BP1060" s="73"/>
      <c r="BQ1060" s="73"/>
      <c r="BR1060" s="73"/>
      <c r="BS1060" s="73"/>
      <c r="BT1060" s="73"/>
      <c r="BU1060" s="73"/>
      <c r="BV1060" s="73"/>
      <c r="BW1060" s="73"/>
      <c r="BX1060" s="73"/>
      <c r="BY1060" s="73"/>
      <c r="BZ1060" s="73"/>
      <c r="CA1060" s="73"/>
      <c r="CB1060" s="73"/>
      <c r="CC1060" s="73"/>
      <c r="CD1060" s="73"/>
      <c r="CE1060" s="73"/>
      <c r="CF1060" s="73"/>
      <c r="CG1060" s="73"/>
      <c r="CH1060" s="73"/>
    </row>
    <row r="1061">
      <c r="A1061" s="80"/>
      <c r="B1061" s="80"/>
      <c r="C1061" s="80"/>
      <c r="D1061" s="80"/>
      <c r="E1061" s="124"/>
      <c r="F1061" s="80"/>
      <c r="G1061" s="80"/>
      <c r="H1061" s="80"/>
      <c r="I1061" s="80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6"/>
      <c r="V1061" s="196"/>
      <c r="W1061" s="196"/>
      <c r="X1061" s="196"/>
      <c r="Y1061" s="196"/>
      <c r="Z1061" s="196"/>
      <c r="AA1061" s="196"/>
      <c r="AB1061" s="196"/>
      <c r="AC1061" s="196"/>
      <c r="AD1061" s="196"/>
      <c r="AE1061" s="196"/>
      <c r="AF1061" s="196"/>
      <c r="AG1061" s="196"/>
      <c r="AH1061" s="196"/>
      <c r="AI1061" s="196"/>
      <c r="AJ1061" s="197"/>
      <c r="AK1061" s="80"/>
      <c r="AL1061" s="80"/>
      <c r="AM1061" s="73"/>
      <c r="AN1061" s="73"/>
      <c r="AO1061" s="73"/>
      <c r="AP1061" s="73"/>
      <c r="AQ1061" s="73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3"/>
      <c r="BG1061" s="73"/>
      <c r="BH1061" s="73"/>
      <c r="BI1061" s="73"/>
      <c r="BJ1061" s="73"/>
      <c r="BK1061" s="73"/>
      <c r="BL1061" s="73"/>
      <c r="BM1061" s="73"/>
      <c r="BN1061" s="73"/>
      <c r="BO1061" s="73"/>
      <c r="BP1061" s="73"/>
      <c r="BQ1061" s="73"/>
      <c r="BR1061" s="73"/>
      <c r="BS1061" s="73"/>
      <c r="BT1061" s="73"/>
      <c r="BU1061" s="73"/>
      <c r="BV1061" s="73"/>
      <c r="BW1061" s="73"/>
      <c r="BX1061" s="73"/>
      <c r="BY1061" s="73"/>
      <c r="BZ1061" s="73"/>
      <c r="CA1061" s="73"/>
      <c r="CB1061" s="73"/>
      <c r="CC1061" s="73"/>
      <c r="CD1061" s="73"/>
      <c r="CE1061" s="73"/>
      <c r="CF1061" s="73"/>
      <c r="CG1061" s="73"/>
      <c r="CH1061" s="73"/>
    </row>
    <row r="1062">
      <c r="A1062" s="80"/>
      <c r="B1062" s="80"/>
      <c r="C1062" s="80"/>
      <c r="D1062" s="80"/>
      <c r="E1062" s="124"/>
      <c r="F1062" s="80"/>
      <c r="G1062" s="80"/>
      <c r="H1062" s="80"/>
      <c r="I1062" s="80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6"/>
      <c r="V1062" s="196"/>
      <c r="W1062" s="196"/>
      <c r="X1062" s="196"/>
      <c r="Y1062" s="196"/>
      <c r="Z1062" s="196"/>
      <c r="AA1062" s="196"/>
      <c r="AB1062" s="196"/>
      <c r="AC1062" s="196"/>
      <c r="AD1062" s="196"/>
      <c r="AE1062" s="196"/>
      <c r="AF1062" s="196"/>
      <c r="AG1062" s="196"/>
      <c r="AH1062" s="196"/>
      <c r="AI1062" s="196"/>
      <c r="AJ1062" s="197"/>
      <c r="AK1062" s="80"/>
      <c r="AL1062" s="80"/>
      <c r="AM1062" s="73"/>
      <c r="AN1062" s="73"/>
      <c r="AO1062" s="73"/>
      <c r="AP1062" s="73"/>
      <c r="AQ1062" s="73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3"/>
      <c r="BG1062" s="73"/>
      <c r="BH1062" s="73"/>
      <c r="BI1062" s="73"/>
      <c r="BJ1062" s="73"/>
      <c r="BK1062" s="73"/>
      <c r="BL1062" s="73"/>
      <c r="BM1062" s="73"/>
      <c r="BN1062" s="73"/>
      <c r="BO1062" s="73"/>
      <c r="BP1062" s="73"/>
      <c r="BQ1062" s="73"/>
      <c r="BR1062" s="73"/>
      <c r="BS1062" s="73"/>
      <c r="BT1062" s="73"/>
      <c r="BU1062" s="73"/>
      <c r="BV1062" s="73"/>
      <c r="BW1062" s="73"/>
      <c r="BX1062" s="73"/>
      <c r="BY1062" s="73"/>
      <c r="BZ1062" s="73"/>
      <c r="CA1062" s="73"/>
      <c r="CB1062" s="73"/>
      <c r="CC1062" s="73"/>
      <c r="CD1062" s="73"/>
      <c r="CE1062" s="73"/>
      <c r="CF1062" s="73"/>
      <c r="CG1062" s="73"/>
      <c r="CH1062" s="73"/>
    </row>
    <row r="1063">
      <c r="A1063" s="80"/>
      <c r="B1063" s="80"/>
      <c r="C1063" s="80"/>
      <c r="D1063" s="80"/>
      <c r="E1063" s="124"/>
      <c r="F1063" s="80"/>
      <c r="G1063" s="80"/>
      <c r="H1063" s="80"/>
      <c r="I1063" s="80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6"/>
      <c r="V1063" s="196"/>
      <c r="W1063" s="196"/>
      <c r="X1063" s="196"/>
      <c r="Y1063" s="196"/>
      <c r="Z1063" s="196"/>
      <c r="AA1063" s="196"/>
      <c r="AB1063" s="196"/>
      <c r="AC1063" s="196"/>
      <c r="AD1063" s="196"/>
      <c r="AE1063" s="196"/>
      <c r="AF1063" s="196"/>
      <c r="AG1063" s="196"/>
      <c r="AH1063" s="196"/>
      <c r="AI1063" s="196"/>
      <c r="AJ1063" s="197"/>
      <c r="AK1063" s="80"/>
      <c r="AL1063" s="80"/>
      <c r="AM1063" s="73"/>
      <c r="AN1063" s="73"/>
      <c r="AO1063" s="73"/>
      <c r="AP1063" s="73"/>
      <c r="AQ1063" s="73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3"/>
      <c r="BG1063" s="73"/>
      <c r="BH1063" s="73"/>
      <c r="BI1063" s="73"/>
      <c r="BJ1063" s="73"/>
      <c r="BK1063" s="73"/>
      <c r="BL1063" s="73"/>
      <c r="BM1063" s="73"/>
      <c r="BN1063" s="73"/>
      <c r="BO1063" s="73"/>
      <c r="BP1063" s="73"/>
      <c r="BQ1063" s="73"/>
      <c r="BR1063" s="73"/>
      <c r="BS1063" s="73"/>
      <c r="BT1063" s="73"/>
      <c r="BU1063" s="73"/>
      <c r="BV1063" s="73"/>
      <c r="BW1063" s="73"/>
      <c r="BX1063" s="73"/>
      <c r="BY1063" s="73"/>
      <c r="BZ1063" s="73"/>
      <c r="CA1063" s="73"/>
      <c r="CB1063" s="73"/>
      <c r="CC1063" s="73"/>
      <c r="CD1063" s="73"/>
      <c r="CE1063" s="73"/>
      <c r="CF1063" s="73"/>
      <c r="CG1063" s="73"/>
      <c r="CH1063" s="73"/>
    </row>
    <row r="1064">
      <c r="A1064" s="80"/>
      <c r="B1064" s="80"/>
      <c r="C1064" s="80"/>
      <c r="D1064" s="80"/>
      <c r="E1064" s="124"/>
      <c r="F1064" s="80"/>
      <c r="G1064" s="80"/>
      <c r="H1064" s="80"/>
      <c r="I1064" s="80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6"/>
      <c r="V1064" s="196"/>
      <c r="W1064" s="196"/>
      <c r="X1064" s="196"/>
      <c r="Y1064" s="196"/>
      <c r="Z1064" s="196"/>
      <c r="AA1064" s="196"/>
      <c r="AB1064" s="196"/>
      <c r="AC1064" s="196"/>
      <c r="AD1064" s="196"/>
      <c r="AE1064" s="196"/>
      <c r="AF1064" s="196"/>
      <c r="AG1064" s="196"/>
      <c r="AH1064" s="196"/>
      <c r="AI1064" s="196"/>
      <c r="AJ1064" s="197"/>
      <c r="AK1064" s="80"/>
      <c r="AL1064" s="80"/>
      <c r="AM1064" s="73"/>
      <c r="AN1064" s="73"/>
      <c r="AO1064" s="73"/>
      <c r="AP1064" s="73"/>
      <c r="AQ1064" s="73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3"/>
      <c r="BG1064" s="73"/>
      <c r="BH1064" s="73"/>
      <c r="BI1064" s="73"/>
      <c r="BJ1064" s="73"/>
      <c r="BK1064" s="73"/>
      <c r="BL1064" s="73"/>
      <c r="BM1064" s="73"/>
      <c r="BN1064" s="73"/>
      <c r="BO1064" s="73"/>
      <c r="BP1064" s="73"/>
      <c r="BQ1064" s="73"/>
      <c r="BR1064" s="73"/>
      <c r="BS1064" s="73"/>
      <c r="BT1064" s="73"/>
      <c r="BU1064" s="73"/>
      <c r="BV1064" s="73"/>
      <c r="BW1064" s="73"/>
      <c r="BX1064" s="73"/>
      <c r="BY1064" s="73"/>
      <c r="BZ1064" s="73"/>
      <c r="CA1064" s="73"/>
      <c r="CB1064" s="73"/>
      <c r="CC1064" s="73"/>
      <c r="CD1064" s="73"/>
      <c r="CE1064" s="73"/>
      <c r="CF1064" s="73"/>
      <c r="CG1064" s="73"/>
      <c r="CH1064" s="73"/>
    </row>
    <row r="1065">
      <c r="A1065" s="80"/>
      <c r="B1065" s="80"/>
      <c r="C1065" s="80"/>
      <c r="D1065" s="80"/>
      <c r="E1065" s="124"/>
      <c r="F1065" s="80"/>
      <c r="G1065" s="80"/>
      <c r="H1065" s="80"/>
      <c r="I1065" s="80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6"/>
      <c r="V1065" s="196"/>
      <c r="W1065" s="196"/>
      <c r="X1065" s="196"/>
      <c r="Y1065" s="196"/>
      <c r="Z1065" s="196"/>
      <c r="AA1065" s="196"/>
      <c r="AB1065" s="196"/>
      <c r="AC1065" s="196"/>
      <c r="AD1065" s="196"/>
      <c r="AE1065" s="196"/>
      <c r="AF1065" s="196"/>
      <c r="AG1065" s="196"/>
      <c r="AH1065" s="196"/>
      <c r="AI1065" s="196"/>
      <c r="AJ1065" s="197"/>
      <c r="AK1065" s="80"/>
      <c r="AL1065" s="80"/>
      <c r="AM1065" s="73"/>
      <c r="AN1065" s="73"/>
      <c r="AO1065" s="73"/>
      <c r="AP1065" s="73"/>
      <c r="AQ1065" s="73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3"/>
      <c r="BG1065" s="73"/>
      <c r="BH1065" s="73"/>
      <c r="BI1065" s="73"/>
      <c r="BJ1065" s="73"/>
      <c r="BK1065" s="73"/>
      <c r="BL1065" s="73"/>
      <c r="BM1065" s="73"/>
      <c r="BN1065" s="73"/>
      <c r="BO1065" s="73"/>
      <c r="BP1065" s="73"/>
      <c r="BQ1065" s="73"/>
      <c r="BR1065" s="73"/>
      <c r="BS1065" s="73"/>
      <c r="BT1065" s="73"/>
      <c r="BU1065" s="73"/>
      <c r="BV1065" s="73"/>
      <c r="BW1065" s="73"/>
      <c r="BX1065" s="73"/>
      <c r="BY1065" s="73"/>
      <c r="BZ1065" s="73"/>
      <c r="CA1065" s="73"/>
      <c r="CB1065" s="73"/>
      <c r="CC1065" s="73"/>
      <c r="CD1065" s="73"/>
      <c r="CE1065" s="73"/>
      <c r="CF1065" s="73"/>
      <c r="CG1065" s="73"/>
      <c r="CH1065" s="73"/>
    </row>
    <row r="1066">
      <c r="A1066" s="80"/>
      <c r="B1066" s="80"/>
      <c r="C1066" s="80"/>
      <c r="D1066" s="80"/>
      <c r="E1066" s="124"/>
      <c r="F1066" s="80"/>
      <c r="G1066" s="80"/>
      <c r="H1066" s="80"/>
      <c r="I1066" s="80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6"/>
      <c r="V1066" s="196"/>
      <c r="W1066" s="196"/>
      <c r="X1066" s="196"/>
      <c r="Y1066" s="196"/>
      <c r="Z1066" s="196"/>
      <c r="AA1066" s="196"/>
      <c r="AB1066" s="196"/>
      <c r="AC1066" s="196"/>
      <c r="AD1066" s="196"/>
      <c r="AE1066" s="196"/>
      <c r="AF1066" s="196"/>
      <c r="AG1066" s="196"/>
      <c r="AH1066" s="196"/>
      <c r="AI1066" s="196"/>
      <c r="AJ1066" s="197"/>
      <c r="AK1066" s="80"/>
      <c r="AL1066" s="80"/>
      <c r="AM1066" s="73"/>
      <c r="AN1066" s="73"/>
      <c r="AO1066" s="73"/>
      <c r="AP1066" s="73"/>
      <c r="AQ1066" s="73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3"/>
      <c r="BG1066" s="73"/>
      <c r="BH1066" s="73"/>
      <c r="BI1066" s="73"/>
      <c r="BJ1066" s="73"/>
      <c r="BK1066" s="73"/>
      <c r="BL1066" s="73"/>
      <c r="BM1066" s="73"/>
      <c r="BN1066" s="73"/>
      <c r="BO1066" s="73"/>
      <c r="BP1066" s="73"/>
      <c r="BQ1066" s="73"/>
      <c r="BR1066" s="73"/>
      <c r="BS1066" s="73"/>
      <c r="BT1066" s="73"/>
      <c r="BU1066" s="73"/>
      <c r="BV1066" s="73"/>
      <c r="BW1066" s="73"/>
      <c r="BX1066" s="73"/>
      <c r="BY1066" s="73"/>
      <c r="BZ1066" s="73"/>
      <c r="CA1066" s="73"/>
      <c r="CB1066" s="73"/>
      <c r="CC1066" s="73"/>
      <c r="CD1066" s="73"/>
      <c r="CE1066" s="73"/>
      <c r="CF1066" s="73"/>
      <c r="CG1066" s="73"/>
      <c r="CH1066" s="73"/>
    </row>
    <row r="1067">
      <c r="A1067" s="80"/>
      <c r="B1067" s="80"/>
      <c r="C1067" s="80"/>
      <c r="D1067" s="80"/>
      <c r="E1067" s="124"/>
      <c r="F1067" s="80"/>
      <c r="G1067" s="80"/>
      <c r="H1067" s="80"/>
      <c r="I1067" s="80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6"/>
      <c r="V1067" s="196"/>
      <c r="W1067" s="196"/>
      <c r="X1067" s="196"/>
      <c r="Y1067" s="196"/>
      <c r="Z1067" s="196"/>
      <c r="AA1067" s="196"/>
      <c r="AB1067" s="196"/>
      <c r="AC1067" s="196"/>
      <c r="AD1067" s="196"/>
      <c r="AE1067" s="196"/>
      <c r="AF1067" s="196"/>
      <c r="AG1067" s="196"/>
      <c r="AH1067" s="196"/>
      <c r="AI1067" s="196"/>
      <c r="AJ1067" s="197"/>
      <c r="AK1067" s="80"/>
      <c r="AL1067" s="80"/>
      <c r="AM1067" s="73"/>
      <c r="AN1067" s="73"/>
      <c r="AO1067" s="73"/>
      <c r="AP1067" s="73"/>
      <c r="AQ1067" s="73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3"/>
      <c r="BG1067" s="73"/>
      <c r="BH1067" s="73"/>
      <c r="BI1067" s="73"/>
      <c r="BJ1067" s="73"/>
      <c r="BK1067" s="73"/>
      <c r="BL1067" s="73"/>
      <c r="BM1067" s="73"/>
      <c r="BN1067" s="73"/>
      <c r="BO1067" s="73"/>
      <c r="BP1067" s="73"/>
      <c r="BQ1067" s="73"/>
      <c r="BR1067" s="73"/>
      <c r="BS1067" s="73"/>
      <c r="BT1067" s="73"/>
      <c r="BU1067" s="73"/>
      <c r="BV1067" s="73"/>
      <c r="BW1067" s="73"/>
      <c r="BX1067" s="73"/>
      <c r="BY1067" s="73"/>
      <c r="BZ1067" s="73"/>
      <c r="CA1067" s="73"/>
      <c r="CB1067" s="73"/>
      <c r="CC1067" s="73"/>
      <c r="CD1067" s="73"/>
      <c r="CE1067" s="73"/>
      <c r="CF1067" s="73"/>
      <c r="CG1067" s="73"/>
      <c r="CH1067" s="73"/>
    </row>
    <row r="1068">
      <c r="A1068" s="80"/>
      <c r="B1068" s="80"/>
      <c r="C1068" s="80"/>
      <c r="D1068" s="80"/>
      <c r="E1068" s="124"/>
      <c r="F1068" s="80"/>
      <c r="G1068" s="80"/>
      <c r="H1068" s="80"/>
      <c r="I1068" s="80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6"/>
      <c r="V1068" s="196"/>
      <c r="W1068" s="196"/>
      <c r="X1068" s="196"/>
      <c r="Y1068" s="196"/>
      <c r="Z1068" s="196"/>
      <c r="AA1068" s="196"/>
      <c r="AB1068" s="196"/>
      <c r="AC1068" s="196"/>
      <c r="AD1068" s="196"/>
      <c r="AE1068" s="196"/>
      <c r="AF1068" s="196"/>
      <c r="AG1068" s="196"/>
      <c r="AH1068" s="196"/>
      <c r="AI1068" s="196"/>
      <c r="AJ1068" s="197"/>
      <c r="AK1068" s="80"/>
      <c r="AL1068" s="80"/>
      <c r="AM1068" s="73"/>
      <c r="AN1068" s="73"/>
      <c r="AO1068" s="73"/>
      <c r="AP1068" s="73"/>
      <c r="AQ1068" s="73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3"/>
      <c r="BG1068" s="73"/>
      <c r="BH1068" s="73"/>
      <c r="BI1068" s="73"/>
      <c r="BJ1068" s="73"/>
      <c r="BK1068" s="73"/>
      <c r="BL1068" s="73"/>
      <c r="BM1068" s="73"/>
      <c r="BN1068" s="73"/>
      <c r="BO1068" s="73"/>
      <c r="BP1068" s="73"/>
      <c r="BQ1068" s="73"/>
      <c r="BR1068" s="73"/>
      <c r="BS1068" s="73"/>
      <c r="BT1068" s="73"/>
      <c r="BU1068" s="73"/>
      <c r="BV1068" s="73"/>
      <c r="BW1068" s="73"/>
      <c r="BX1068" s="73"/>
      <c r="BY1068" s="73"/>
      <c r="BZ1068" s="73"/>
      <c r="CA1068" s="73"/>
      <c r="CB1068" s="73"/>
      <c r="CC1068" s="73"/>
      <c r="CD1068" s="73"/>
      <c r="CE1068" s="73"/>
      <c r="CF1068" s="73"/>
      <c r="CG1068" s="73"/>
      <c r="CH1068" s="73"/>
    </row>
    <row r="1069">
      <c r="A1069" s="80"/>
      <c r="B1069" s="80"/>
      <c r="C1069" s="80"/>
      <c r="D1069" s="80"/>
      <c r="E1069" s="124"/>
      <c r="F1069" s="80"/>
      <c r="G1069" s="80"/>
      <c r="H1069" s="80"/>
      <c r="I1069" s="80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6"/>
      <c r="V1069" s="196"/>
      <c r="W1069" s="196"/>
      <c r="X1069" s="196"/>
      <c r="Y1069" s="196"/>
      <c r="Z1069" s="196"/>
      <c r="AA1069" s="196"/>
      <c r="AB1069" s="196"/>
      <c r="AC1069" s="196"/>
      <c r="AD1069" s="196"/>
      <c r="AE1069" s="196"/>
      <c r="AF1069" s="196"/>
      <c r="AG1069" s="196"/>
      <c r="AH1069" s="196"/>
      <c r="AI1069" s="196"/>
      <c r="AJ1069" s="197"/>
      <c r="AK1069" s="80"/>
      <c r="AL1069" s="80"/>
      <c r="AM1069" s="73"/>
      <c r="AN1069" s="73"/>
      <c r="AO1069" s="73"/>
      <c r="AP1069" s="73"/>
      <c r="AQ1069" s="73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3"/>
      <c r="BG1069" s="73"/>
      <c r="BH1069" s="73"/>
      <c r="BI1069" s="73"/>
      <c r="BJ1069" s="73"/>
      <c r="BK1069" s="73"/>
      <c r="BL1069" s="73"/>
      <c r="BM1069" s="73"/>
      <c r="BN1069" s="73"/>
      <c r="BO1069" s="73"/>
      <c r="BP1069" s="73"/>
      <c r="BQ1069" s="73"/>
      <c r="BR1069" s="73"/>
      <c r="BS1069" s="73"/>
      <c r="BT1069" s="73"/>
      <c r="BU1069" s="73"/>
      <c r="BV1069" s="73"/>
      <c r="BW1069" s="73"/>
      <c r="BX1069" s="73"/>
      <c r="BY1069" s="73"/>
      <c r="BZ1069" s="73"/>
      <c r="CA1069" s="73"/>
      <c r="CB1069" s="73"/>
      <c r="CC1069" s="73"/>
      <c r="CD1069" s="73"/>
      <c r="CE1069" s="73"/>
      <c r="CF1069" s="73"/>
      <c r="CG1069" s="73"/>
      <c r="CH1069" s="73"/>
    </row>
    <row r="1070">
      <c r="A1070" s="80"/>
      <c r="B1070" s="80"/>
      <c r="C1070" s="80"/>
      <c r="D1070" s="80"/>
      <c r="E1070" s="124"/>
      <c r="F1070" s="80"/>
      <c r="G1070" s="80"/>
      <c r="H1070" s="80"/>
      <c r="I1070" s="80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6"/>
      <c r="V1070" s="196"/>
      <c r="W1070" s="196"/>
      <c r="X1070" s="196"/>
      <c r="Y1070" s="196"/>
      <c r="Z1070" s="196"/>
      <c r="AA1070" s="196"/>
      <c r="AB1070" s="196"/>
      <c r="AC1070" s="196"/>
      <c r="AD1070" s="196"/>
      <c r="AE1070" s="196"/>
      <c r="AF1070" s="196"/>
      <c r="AG1070" s="196"/>
      <c r="AH1070" s="196"/>
      <c r="AI1070" s="196"/>
      <c r="AJ1070" s="197"/>
      <c r="AK1070" s="80"/>
      <c r="AL1070" s="80"/>
      <c r="AM1070" s="73"/>
      <c r="AN1070" s="73"/>
      <c r="AO1070" s="73"/>
      <c r="AP1070" s="73"/>
      <c r="AQ1070" s="73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3"/>
      <c r="BG1070" s="73"/>
      <c r="BH1070" s="73"/>
      <c r="BI1070" s="73"/>
      <c r="BJ1070" s="73"/>
      <c r="BK1070" s="73"/>
      <c r="BL1070" s="73"/>
      <c r="BM1070" s="73"/>
      <c r="BN1070" s="73"/>
      <c r="BO1070" s="73"/>
      <c r="BP1070" s="73"/>
      <c r="BQ1070" s="73"/>
      <c r="BR1070" s="73"/>
      <c r="BS1070" s="73"/>
      <c r="BT1070" s="73"/>
      <c r="BU1070" s="73"/>
      <c r="BV1070" s="73"/>
      <c r="BW1070" s="73"/>
      <c r="BX1070" s="73"/>
      <c r="BY1070" s="73"/>
      <c r="BZ1070" s="73"/>
      <c r="CA1070" s="73"/>
      <c r="CB1070" s="73"/>
      <c r="CC1070" s="73"/>
      <c r="CD1070" s="73"/>
      <c r="CE1070" s="73"/>
      <c r="CF1070" s="73"/>
      <c r="CG1070" s="73"/>
      <c r="CH1070" s="73"/>
    </row>
    <row r="1071">
      <c r="A1071" s="80"/>
      <c r="B1071" s="80"/>
      <c r="C1071" s="80"/>
      <c r="D1071" s="80"/>
      <c r="E1071" s="124"/>
      <c r="F1071" s="80"/>
      <c r="G1071" s="80"/>
      <c r="H1071" s="80"/>
      <c r="I1071" s="80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6"/>
      <c r="V1071" s="196"/>
      <c r="W1071" s="196"/>
      <c r="X1071" s="196"/>
      <c r="Y1071" s="196"/>
      <c r="Z1071" s="196"/>
      <c r="AA1071" s="196"/>
      <c r="AB1071" s="196"/>
      <c r="AC1071" s="196"/>
      <c r="AD1071" s="196"/>
      <c r="AE1071" s="196"/>
      <c r="AF1071" s="196"/>
      <c r="AG1071" s="196"/>
      <c r="AH1071" s="196"/>
      <c r="AI1071" s="196"/>
      <c r="AJ1071" s="197"/>
      <c r="AK1071" s="80"/>
      <c r="AL1071" s="80"/>
      <c r="AM1071" s="73"/>
      <c r="AN1071" s="73"/>
      <c r="AO1071" s="73"/>
      <c r="AP1071" s="73"/>
      <c r="AQ1071" s="73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3"/>
      <c r="BG1071" s="73"/>
      <c r="BH1071" s="73"/>
      <c r="BI1071" s="73"/>
      <c r="BJ1071" s="73"/>
      <c r="BK1071" s="73"/>
      <c r="BL1071" s="73"/>
      <c r="BM1071" s="73"/>
      <c r="BN1071" s="73"/>
      <c r="BO1071" s="73"/>
      <c r="BP1071" s="73"/>
      <c r="BQ1071" s="73"/>
      <c r="BR1071" s="73"/>
      <c r="BS1071" s="73"/>
      <c r="BT1071" s="73"/>
      <c r="BU1071" s="73"/>
      <c r="BV1071" s="73"/>
      <c r="BW1071" s="73"/>
      <c r="BX1071" s="73"/>
      <c r="BY1071" s="73"/>
      <c r="BZ1071" s="73"/>
      <c r="CA1071" s="73"/>
      <c r="CB1071" s="73"/>
      <c r="CC1071" s="73"/>
      <c r="CD1071" s="73"/>
      <c r="CE1071" s="73"/>
      <c r="CF1071" s="73"/>
      <c r="CG1071" s="73"/>
      <c r="CH1071" s="73"/>
    </row>
    <row r="1072">
      <c r="A1072" s="80"/>
      <c r="B1072" s="80"/>
      <c r="C1072" s="80"/>
      <c r="D1072" s="80"/>
      <c r="E1072" s="124"/>
      <c r="F1072" s="80"/>
      <c r="G1072" s="80"/>
      <c r="H1072" s="80"/>
      <c r="I1072" s="80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6"/>
      <c r="V1072" s="196"/>
      <c r="W1072" s="196"/>
      <c r="X1072" s="196"/>
      <c r="Y1072" s="196"/>
      <c r="Z1072" s="196"/>
      <c r="AA1072" s="196"/>
      <c r="AB1072" s="196"/>
      <c r="AC1072" s="196"/>
      <c r="AD1072" s="196"/>
      <c r="AE1072" s="196"/>
      <c r="AF1072" s="196"/>
      <c r="AG1072" s="196"/>
      <c r="AH1072" s="196"/>
      <c r="AI1072" s="196"/>
      <c r="AJ1072" s="197"/>
      <c r="AK1072" s="80"/>
      <c r="AL1072" s="80"/>
      <c r="AM1072" s="73"/>
      <c r="AN1072" s="73"/>
      <c r="AO1072" s="73"/>
      <c r="AP1072" s="73"/>
      <c r="AQ1072" s="73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3"/>
      <c r="BG1072" s="73"/>
      <c r="BH1072" s="73"/>
      <c r="BI1072" s="73"/>
      <c r="BJ1072" s="73"/>
      <c r="BK1072" s="73"/>
      <c r="BL1072" s="73"/>
      <c r="BM1072" s="73"/>
      <c r="BN1072" s="73"/>
      <c r="BO1072" s="73"/>
      <c r="BP1072" s="73"/>
      <c r="BQ1072" s="73"/>
      <c r="BR1072" s="73"/>
      <c r="BS1072" s="73"/>
      <c r="BT1072" s="73"/>
      <c r="BU1072" s="73"/>
      <c r="BV1072" s="73"/>
      <c r="BW1072" s="73"/>
      <c r="BX1072" s="73"/>
      <c r="BY1072" s="73"/>
      <c r="BZ1072" s="73"/>
      <c r="CA1072" s="73"/>
      <c r="CB1072" s="73"/>
      <c r="CC1072" s="73"/>
      <c r="CD1072" s="73"/>
      <c r="CE1072" s="73"/>
      <c r="CF1072" s="73"/>
      <c r="CG1072" s="73"/>
      <c r="CH1072" s="73"/>
    </row>
    <row r="1073">
      <c r="A1073" s="80"/>
      <c r="B1073" s="80"/>
      <c r="C1073" s="80"/>
      <c r="D1073" s="80"/>
      <c r="E1073" s="124"/>
      <c r="F1073" s="80"/>
      <c r="G1073" s="80"/>
      <c r="H1073" s="80"/>
      <c r="I1073" s="80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6"/>
      <c r="V1073" s="196"/>
      <c r="W1073" s="196"/>
      <c r="X1073" s="196"/>
      <c r="Y1073" s="196"/>
      <c r="Z1073" s="196"/>
      <c r="AA1073" s="196"/>
      <c r="AB1073" s="196"/>
      <c r="AC1073" s="196"/>
      <c r="AD1073" s="196"/>
      <c r="AE1073" s="196"/>
      <c r="AF1073" s="196"/>
      <c r="AG1073" s="196"/>
      <c r="AH1073" s="196"/>
      <c r="AI1073" s="196"/>
      <c r="AJ1073" s="197"/>
      <c r="AK1073" s="80"/>
      <c r="AL1073" s="80"/>
      <c r="AM1073" s="73"/>
      <c r="AN1073" s="73"/>
      <c r="AO1073" s="73"/>
      <c r="AP1073" s="73"/>
      <c r="AQ1073" s="73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3"/>
      <c r="BG1073" s="73"/>
      <c r="BH1073" s="73"/>
      <c r="BI1073" s="73"/>
      <c r="BJ1073" s="73"/>
      <c r="BK1073" s="73"/>
      <c r="BL1073" s="73"/>
      <c r="BM1073" s="73"/>
      <c r="BN1073" s="73"/>
      <c r="BO1073" s="73"/>
      <c r="BP1073" s="73"/>
      <c r="BQ1073" s="73"/>
      <c r="BR1073" s="73"/>
      <c r="BS1073" s="73"/>
      <c r="BT1073" s="73"/>
      <c r="BU1073" s="73"/>
      <c r="BV1073" s="73"/>
      <c r="BW1073" s="73"/>
      <c r="BX1073" s="73"/>
      <c r="BY1073" s="73"/>
      <c r="BZ1073" s="73"/>
      <c r="CA1073" s="73"/>
      <c r="CB1073" s="73"/>
      <c r="CC1073" s="73"/>
      <c r="CD1073" s="73"/>
      <c r="CE1073" s="73"/>
      <c r="CF1073" s="73"/>
      <c r="CG1073" s="73"/>
      <c r="CH1073" s="73"/>
    </row>
    <row r="1074">
      <c r="A1074" s="80"/>
      <c r="B1074" s="80"/>
      <c r="C1074" s="80"/>
      <c r="D1074" s="80"/>
      <c r="E1074" s="124"/>
      <c r="F1074" s="80"/>
      <c r="G1074" s="80"/>
      <c r="H1074" s="80"/>
      <c r="I1074" s="80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6"/>
      <c r="V1074" s="196"/>
      <c r="W1074" s="196"/>
      <c r="X1074" s="196"/>
      <c r="Y1074" s="196"/>
      <c r="Z1074" s="196"/>
      <c r="AA1074" s="196"/>
      <c r="AB1074" s="196"/>
      <c r="AC1074" s="196"/>
      <c r="AD1074" s="196"/>
      <c r="AE1074" s="196"/>
      <c r="AF1074" s="196"/>
      <c r="AG1074" s="196"/>
      <c r="AH1074" s="196"/>
      <c r="AI1074" s="196"/>
      <c r="AJ1074" s="197"/>
      <c r="AK1074" s="80"/>
      <c r="AL1074" s="80"/>
      <c r="AM1074" s="73"/>
      <c r="AN1074" s="73"/>
      <c r="AO1074" s="73"/>
      <c r="AP1074" s="73"/>
      <c r="AQ1074" s="73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3"/>
      <c r="BG1074" s="73"/>
      <c r="BH1074" s="73"/>
      <c r="BI1074" s="73"/>
      <c r="BJ1074" s="73"/>
      <c r="BK1074" s="73"/>
      <c r="BL1074" s="73"/>
      <c r="BM1074" s="73"/>
      <c r="BN1074" s="73"/>
      <c r="BO1074" s="73"/>
      <c r="BP1074" s="73"/>
      <c r="BQ1074" s="73"/>
      <c r="BR1074" s="73"/>
      <c r="BS1074" s="73"/>
      <c r="BT1074" s="73"/>
      <c r="BU1074" s="73"/>
      <c r="BV1074" s="73"/>
      <c r="BW1074" s="73"/>
      <c r="BX1074" s="73"/>
      <c r="BY1074" s="73"/>
      <c r="BZ1074" s="73"/>
      <c r="CA1074" s="73"/>
      <c r="CB1074" s="73"/>
      <c r="CC1074" s="73"/>
      <c r="CD1074" s="73"/>
      <c r="CE1074" s="73"/>
      <c r="CF1074" s="73"/>
      <c r="CG1074" s="73"/>
      <c r="CH1074" s="73"/>
    </row>
    <row r="1075">
      <c r="A1075" s="80"/>
      <c r="B1075" s="80"/>
      <c r="C1075" s="80"/>
      <c r="D1075" s="80"/>
      <c r="E1075" s="124"/>
      <c r="F1075" s="80"/>
      <c r="G1075" s="80"/>
      <c r="H1075" s="80"/>
      <c r="I1075" s="80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6"/>
      <c r="V1075" s="196"/>
      <c r="W1075" s="196"/>
      <c r="X1075" s="196"/>
      <c r="Y1075" s="196"/>
      <c r="Z1075" s="196"/>
      <c r="AA1075" s="196"/>
      <c r="AB1075" s="196"/>
      <c r="AC1075" s="196"/>
      <c r="AD1075" s="196"/>
      <c r="AE1075" s="196"/>
      <c r="AF1075" s="196"/>
      <c r="AG1075" s="196"/>
      <c r="AH1075" s="196"/>
      <c r="AI1075" s="196"/>
      <c r="AJ1075" s="197"/>
      <c r="AK1075" s="80"/>
      <c r="AL1075" s="80"/>
      <c r="AM1075" s="73"/>
      <c r="AN1075" s="73"/>
      <c r="AO1075" s="73"/>
      <c r="AP1075" s="73"/>
      <c r="AQ1075" s="73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3"/>
      <c r="BG1075" s="73"/>
      <c r="BH1075" s="73"/>
      <c r="BI1075" s="73"/>
      <c r="BJ1075" s="73"/>
      <c r="BK1075" s="73"/>
      <c r="BL1075" s="73"/>
      <c r="BM1075" s="73"/>
      <c r="BN1075" s="73"/>
      <c r="BO1075" s="73"/>
      <c r="BP1075" s="73"/>
      <c r="BQ1075" s="73"/>
      <c r="BR1075" s="73"/>
      <c r="BS1075" s="73"/>
      <c r="BT1075" s="73"/>
      <c r="BU1075" s="73"/>
      <c r="BV1075" s="73"/>
      <c r="BW1075" s="73"/>
      <c r="BX1075" s="73"/>
      <c r="BY1075" s="73"/>
      <c r="BZ1075" s="73"/>
      <c r="CA1075" s="73"/>
      <c r="CB1075" s="73"/>
      <c r="CC1075" s="73"/>
      <c r="CD1075" s="73"/>
      <c r="CE1075" s="73"/>
      <c r="CF1075" s="73"/>
      <c r="CG1075" s="73"/>
      <c r="CH1075" s="73"/>
    </row>
    <row r="1076">
      <c r="A1076" s="80"/>
      <c r="B1076" s="80"/>
      <c r="C1076" s="80"/>
      <c r="D1076" s="80"/>
      <c r="E1076" s="124"/>
      <c r="F1076" s="80"/>
      <c r="G1076" s="80"/>
      <c r="H1076" s="80"/>
      <c r="I1076" s="80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6"/>
      <c r="V1076" s="196"/>
      <c r="W1076" s="196"/>
      <c r="X1076" s="196"/>
      <c r="Y1076" s="196"/>
      <c r="Z1076" s="196"/>
      <c r="AA1076" s="196"/>
      <c r="AB1076" s="196"/>
      <c r="AC1076" s="196"/>
      <c r="AD1076" s="196"/>
      <c r="AE1076" s="196"/>
      <c r="AF1076" s="196"/>
      <c r="AG1076" s="196"/>
      <c r="AH1076" s="196"/>
      <c r="AI1076" s="196"/>
      <c r="AJ1076" s="197"/>
      <c r="AK1076" s="80"/>
      <c r="AL1076" s="80"/>
      <c r="AM1076" s="73"/>
      <c r="AN1076" s="73"/>
      <c r="AO1076" s="73"/>
      <c r="AP1076" s="73"/>
      <c r="AQ1076" s="73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3"/>
      <c r="BG1076" s="73"/>
      <c r="BH1076" s="73"/>
      <c r="BI1076" s="73"/>
      <c r="BJ1076" s="73"/>
      <c r="BK1076" s="73"/>
      <c r="BL1076" s="73"/>
      <c r="BM1076" s="73"/>
      <c r="BN1076" s="73"/>
      <c r="BO1076" s="73"/>
      <c r="BP1076" s="73"/>
      <c r="BQ1076" s="73"/>
      <c r="BR1076" s="73"/>
      <c r="BS1076" s="73"/>
      <c r="BT1076" s="73"/>
      <c r="BU1076" s="73"/>
      <c r="BV1076" s="73"/>
      <c r="BW1076" s="73"/>
      <c r="BX1076" s="73"/>
      <c r="BY1076" s="73"/>
      <c r="BZ1076" s="73"/>
      <c r="CA1076" s="73"/>
      <c r="CB1076" s="73"/>
      <c r="CC1076" s="73"/>
      <c r="CD1076" s="73"/>
      <c r="CE1076" s="73"/>
      <c r="CF1076" s="73"/>
      <c r="CG1076" s="73"/>
      <c r="CH1076" s="73"/>
    </row>
    <row r="1077">
      <c r="A1077" s="80"/>
      <c r="B1077" s="80"/>
      <c r="C1077" s="80"/>
      <c r="D1077" s="80"/>
      <c r="E1077" s="124"/>
      <c r="F1077" s="80"/>
      <c r="G1077" s="80"/>
      <c r="H1077" s="80"/>
      <c r="I1077" s="80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6"/>
      <c r="V1077" s="196"/>
      <c r="W1077" s="196"/>
      <c r="X1077" s="196"/>
      <c r="Y1077" s="196"/>
      <c r="Z1077" s="196"/>
      <c r="AA1077" s="196"/>
      <c r="AB1077" s="196"/>
      <c r="AC1077" s="196"/>
      <c r="AD1077" s="196"/>
      <c r="AE1077" s="196"/>
      <c r="AF1077" s="196"/>
      <c r="AG1077" s="196"/>
      <c r="AH1077" s="196"/>
      <c r="AI1077" s="196"/>
      <c r="AJ1077" s="197"/>
      <c r="AK1077" s="80"/>
      <c r="AL1077" s="80"/>
      <c r="AM1077" s="73"/>
      <c r="AN1077" s="73"/>
      <c r="AO1077" s="73"/>
      <c r="AP1077" s="73"/>
      <c r="AQ1077" s="73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3"/>
      <c r="BG1077" s="73"/>
      <c r="BH1077" s="73"/>
      <c r="BI1077" s="73"/>
      <c r="BJ1077" s="73"/>
      <c r="BK1077" s="73"/>
      <c r="BL1077" s="73"/>
      <c r="BM1077" s="73"/>
      <c r="BN1077" s="73"/>
      <c r="BO1077" s="73"/>
      <c r="BP1077" s="73"/>
      <c r="BQ1077" s="73"/>
      <c r="BR1077" s="73"/>
      <c r="BS1077" s="73"/>
      <c r="BT1077" s="73"/>
      <c r="BU1077" s="73"/>
      <c r="BV1077" s="73"/>
      <c r="BW1077" s="73"/>
      <c r="BX1077" s="73"/>
      <c r="BY1077" s="73"/>
      <c r="BZ1077" s="73"/>
      <c r="CA1077" s="73"/>
      <c r="CB1077" s="73"/>
      <c r="CC1077" s="73"/>
      <c r="CD1077" s="73"/>
      <c r="CE1077" s="73"/>
      <c r="CF1077" s="73"/>
      <c r="CG1077" s="73"/>
      <c r="CH1077" s="73"/>
    </row>
    <row r="1078">
      <c r="A1078" s="80"/>
      <c r="B1078" s="80"/>
      <c r="C1078" s="80"/>
      <c r="D1078" s="80"/>
      <c r="E1078" s="124"/>
      <c r="F1078" s="80"/>
      <c r="G1078" s="80"/>
      <c r="H1078" s="80"/>
      <c r="I1078" s="80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6"/>
      <c r="V1078" s="196"/>
      <c r="W1078" s="196"/>
      <c r="X1078" s="196"/>
      <c r="Y1078" s="196"/>
      <c r="Z1078" s="196"/>
      <c r="AA1078" s="196"/>
      <c r="AB1078" s="196"/>
      <c r="AC1078" s="196"/>
      <c r="AD1078" s="196"/>
      <c r="AE1078" s="196"/>
      <c r="AF1078" s="196"/>
      <c r="AG1078" s="196"/>
      <c r="AH1078" s="196"/>
      <c r="AI1078" s="196"/>
      <c r="AJ1078" s="197"/>
      <c r="AK1078" s="80"/>
      <c r="AL1078" s="80"/>
      <c r="AM1078" s="73"/>
      <c r="AN1078" s="73"/>
      <c r="AO1078" s="73"/>
      <c r="AP1078" s="73"/>
      <c r="AQ1078" s="73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3"/>
      <c r="BG1078" s="73"/>
      <c r="BH1078" s="73"/>
      <c r="BI1078" s="73"/>
      <c r="BJ1078" s="73"/>
      <c r="BK1078" s="73"/>
      <c r="BL1078" s="73"/>
      <c r="BM1078" s="73"/>
      <c r="BN1078" s="73"/>
      <c r="BO1078" s="73"/>
      <c r="BP1078" s="73"/>
      <c r="BQ1078" s="73"/>
      <c r="BR1078" s="73"/>
      <c r="BS1078" s="73"/>
      <c r="BT1078" s="73"/>
      <c r="BU1078" s="73"/>
      <c r="BV1078" s="73"/>
      <c r="BW1078" s="73"/>
      <c r="BX1078" s="73"/>
      <c r="BY1078" s="73"/>
      <c r="BZ1078" s="73"/>
      <c r="CA1078" s="73"/>
      <c r="CB1078" s="73"/>
      <c r="CC1078" s="73"/>
      <c r="CD1078" s="73"/>
      <c r="CE1078" s="73"/>
      <c r="CF1078" s="73"/>
      <c r="CG1078" s="73"/>
      <c r="CH1078" s="73"/>
    </row>
    <row r="1079">
      <c r="A1079" s="80"/>
      <c r="B1079" s="80"/>
      <c r="C1079" s="80"/>
      <c r="D1079" s="80"/>
      <c r="E1079" s="124"/>
      <c r="F1079" s="80"/>
      <c r="G1079" s="80"/>
      <c r="H1079" s="80"/>
      <c r="I1079" s="80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6"/>
      <c r="V1079" s="196"/>
      <c r="W1079" s="196"/>
      <c r="X1079" s="196"/>
      <c r="Y1079" s="196"/>
      <c r="Z1079" s="196"/>
      <c r="AA1079" s="196"/>
      <c r="AB1079" s="196"/>
      <c r="AC1079" s="196"/>
      <c r="AD1079" s="196"/>
      <c r="AE1079" s="196"/>
      <c r="AF1079" s="196"/>
      <c r="AG1079" s="196"/>
      <c r="AH1079" s="196"/>
      <c r="AI1079" s="196"/>
      <c r="AJ1079" s="197"/>
      <c r="AK1079" s="80"/>
      <c r="AL1079" s="80"/>
      <c r="AM1079" s="73"/>
      <c r="AN1079" s="73"/>
      <c r="AO1079" s="73"/>
      <c r="AP1079" s="73"/>
      <c r="AQ1079" s="73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3"/>
      <c r="BG1079" s="73"/>
      <c r="BH1079" s="73"/>
      <c r="BI1079" s="73"/>
      <c r="BJ1079" s="73"/>
      <c r="BK1079" s="73"/>
      <c r="BL1079" s="73"/>
      <c r="BM1079" s="73"/>
      <c r="BN1079" s="73"/>
      <c r="BO1079" s="73"/>
      <c r="BP1079" s="73"/>
      <c r="BQ1079" s="73"/>
      <c r="BR1079" s="73"/>
      <c r="BS1079" s="73"/>
      <c r="BT1079" s="73"/>
      <c r="BU1079" s="73"/>
      <c r="BV1079" s="73"/>
      <c r="BW1079" s="73"/>
      <c r="BX1079" s="73"/>
      <c r="BY1079" s="73"/>
      <c r="BZ1079" s="73"/>
      <c r="CA1079" s="73"/>
      <c r="CB1079" s="73"/>
      <c r="CC1079" s="73"/>
      <c r="CD1079" s="73"/>
      <c r="CE1079" s="73"/>
      <c r="CF1079" s="73"/>
      <c r="CG1079" s="73"/>
      <c r="CH1079" s="73"/>
    </row>
    <row r="1080">
      <c r="A1080" s="80"/>
      <c r="B1080" s="80"/>
      <c r="C1080" s="80"/>
      <c r="D1080" s="80"/>
      <c r="E1080" s="124"/>
      <c r="F1080" s="80"/>
      <c r="G1080" s="80"/>
      <c r="H1080" s="80"/>
      <c r="I1080" s="80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6"/>
      <c r="V1080" s="196"/>
      <c r="W1080" s="196"/>
      <c r="X1080" s="196"/>
      <c r="Y1080" s="196"/>
      <c r="Z1080" s="196"/>
      <c r="AA1080" s="196"/>
      <c r="AB1080" s="196"/>
      <c r="AC1080" s="196"/>
      <c r="AD1080" s="196"/>
      <c r="AE1080" s="196"/>
      <c r="AF1080" s="196"/>
      <c r="AG1080" s="196"/>
      <c r="AH1080" s="196"/>
      <c r="AI1080" s="196"/>
      <c r="AJ1080" s="197"/>
      <c r="AK1080" s="80"/>
      <c r="AL1080" s="80"/>
      <c r="AM1080" s="73"/>
      <c r="AN1080" s="73"/>
      <c r="AO1080" s="73"/>
      <c r="AP1080" s="73"/>
      <c r="AQ1080" s="73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3"/>
      <c r="BG1080" s="73"/>
      <c r="BH1080" s="73"/>
      <c r="BI1080" s="73"/>
      <c r="BJ1080" s="73"/>
      <c r="BK1080" s="73"/>
      <c r="BL1080" s="73"/>
      <c r="BM1080" s="73"/>
      <c r="BN1080" s="73"/>
      <c r="BO1080" s="73"/>
      <c r="BP1080" s="73"/>
      <c r="BQ1080" s="73"/>
      <c r="BR1080" s="73"/>
      <c r="BS1080" s="73"/>
      <c r="BT1080" s="73"/>
      <c r="BU1080" s="73"/>
      <c r="BV1080" s="73"/>
      <c r="BW1080" s="73"/>
      <c r="BX1080" s="73"/>
      <c r="BY1080" s="73"/>
      <c r="BZ1080" s="73"/>
      <c r="CA1080" s="73"/>
      <c r="CB1080" s="73"/>
      <c r="CC1080" s="73"/>
      <c r="CD1080" s="73"/>
      <c r="CE1080" s="73"/>
      <c r="CF1080" s="73"/>
      <c r="CG1080" s="73"/>
      <c r="CH1080" s="73"/>
    </row>
    <row r="1081">
      <c r="A1081" s="80"/>
      <c r="B1081" s="80"/>
      <c r="C1081" s="80"/>
      <c r="D1081" s="80"/>
      <c r="E1081" s="124"/>
      <c r="F1081" s="80"/>
      <c r="G1081" s="80"/>
      <c r="H1081" s="80"/>
      <c r="I1081" s="80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6"/>
      <c r="V1081" s="196"/>
      <c r="W1081" s="196"/>
      <c r="X1081" s="196"/>
      <c r="Y1081" s="196"/>
      <c r="Z1081" s="196"/>
      <c r="AA1081" s="196"/>
      <c r="AB1081" s="196"/>
      <c r="AC1081" s="196"/>
      <c r="AD1081" s="196"/>
      <c r="AE1081" s="196"/>
      <c r="AF1081" s="196"/>
      <c r="AG1081" s="196"/>
      <c r="AH1081" s="196"/>
      <c r="AI1081" s="196"/>
      <c r="AJ1081" s="197"/>
      <c r="AK1081" s="80"/>
      <c r="AL1081" s="80"/>
      <c r="AM1081" s="73"/>
      <c r="AN1081" s="73"/>
      <c r="AO1081" s="73"/>
      <c r="AP1081" s="73"/>
      <c r="AQ1081" s="73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3"/>
      <c r="BG1081" s="73"/>
      <c r="BH1081" s="73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73"/>
      <c r="BY1081" s="73"/>
      <c r="BZ1081" s="73"/>
      <c r="CA1081" s="73"/>
      <c r="CB1081" s="73"/>
      <c r="CC1081" s="73"/>
      <c r="CD1081" s="73"/>
      <c r="CE1081" s="73"/>
      <c r="CF1081" s="73"/>
      <c r="CG1081" s="73"/>
      <c r="CH1081" s="73"/>
    </row>
    <row r="1082">
      <c r="A1082" s="80"/>
      <c r="B1082" s="80"/>
      <c r="C1082" s="80"/>
      <c r="D1082" s="80"/>
      <c r="E1082" s="124"/>
      <c r="F1082" s="80"/>
      <c r="G1082" s="80"/>
      <c r="H1082" s="80"/>
      <c r="I1082" s="80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6"/>
      <c r="V1082" s="196"/>
      <c r="W1082" s="196"/>
      <c r="X1082" s="196"/>
      <c r="Y1082" s="196"/>
      <c r="Z1082" s="196"/>
      <c r="AA1082" s="196"/>
      <c r="AB1082" s="196"/>
      <c r="AC1082" s="196"/>
      <c r="AD1082" s="196"/>
      <c r="AE1082" s="196"/>
      <c r="AF1082" s="196"/>
      <c r="AG1082" s="196"/>
      <c r="AH1082" s="196"/>
      <c r="AI1082" s="196"/>
      <c r="AJ1082" s="197"/>
      <c r="AK1082" s="80"/>
      <c r="AL1082" s="80"/>
      <c r="AM1082" s="73"/>
      <c r="AN1082" s="73"/>
      <c r="AO1082" s="73"/>
      <c r="AP1082" s="73"/>
      <c r="AQ1082" s="73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3"/>
      <c r="BG1082" s="73"/>
      <c r="BH1082" s="73"/>
      <c r="BI1082" s="73"/>
      <c r="BJ1082" s="73"/>
      <c r="BK1082" s="73"/>
      <c r="BL1082" s="73"/>
      <c r="BM1082" s="73"/>
      <c r="BN1082" s="73"/>
      <c r="BO1082" s="73"/>
      <c r="BP1082" s="73"/>
      <c r="BQ1082" s="73"/>
      <c r="BR1082" s="73"/>
      <c r="BS1082" s="73"/>
      <c r="BT1082" s="73"/>
      <c r="BU1082" s="73"/>
      <c r="BV1082" s="73"/>
      <c r="BW1082" s="73"/>
      <c r="BX1082" s="73"/>
      <c r="BY1082" s="73"/>
      <c r="BZ1082" s="73"/>
      <c r="CA1082" s="73"/>
      <c r="CB1082" s="73"/>
      <c r="CC1082" s="73"/>
      <c r="CD1082" s="73"/>
      <c r="CE1082" s="73"/>
      <c r="CF1082" s="73"/>
      <c r="CG1082" s="73"/>
      <c r="CH1082" s="73"/>
    </row>
    <row r="1083">
      <c r="A1083" s="80"/>
      <c r="B1083" s="80"/>
      <c r="C1083" s="80"/>
      <c r="D1083" s="80"/>
      <c r="E1083" s="124"/>
      <c r="F1083" s="80"/>
      <c r="G1083" s="80"/>
      <c r="H1083" s="80"/>
      <c r="I1083" s="80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6"/>
      <c r="V1083" s="196"/>
      <c r="W1083" s="196"/>
      <c r="X1083" s="196"/>
      <c r="Y1083" s="196"/>
      <c r="Z1083" s="196"/>
      <c r="AA1083" s="196"/>
      <c r="AB1083" s="196"/>
      <c r="AC1083" s="196"/>
      <c r="AD1083" s="196"/>
      <c r="AE1083" s="196"/>
      <c r="AF1083" s="196"/>
      <c r="AG1083" s="196"/>
      <c r="AH1083" s="196"/>
      <c r="AI1083" s="196"/>
      <c r="AJ1083" s="197"/>
      <c r="AK1083" s="80"/>
      <c r="AL1083" s="80"/>
      <c r="AM1083" s="73"/>
      <c r="AN1083" s="73"/>
      <c r="AO1083" s="73"/>
      <c r="AP1083" s="73"/>
      <c r="AQ1083" s="73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3"/>
      <c r="BG1083" s="73"/>
      <c r="BH1083" s="73"/>
      <c r="BI1083" s="73"/>
      <c r="BJ1083" s="73"/>
      <c r="BK1083" s="73"/>
      <c r="BL1083" s="73"/>
      <c r="BM1083" s="73"/>
      <c r="BN1083" s="73"/>
      <c r="BO1083" s="73"/>
      <c r="BP1083" s="73"/>
      <c r="BQ1083" s="73"/>
      <c r="BR1083" s="73"/>
      <c r="BS1083" s="73"/>
      <c r="BT1083" s="73"/>
      <c r="BU1083" s="73"/>
      <c r="BV1083" s="73"/>
      <c r="BW1083" s="73"/>
      <c r="BX1083" s="73"/>
      <c r="BY1083" s="73"/>
      <c r="BZ1083" s="73"/>
      <c r="CA1083" s="73"/>
      <c r="CB1083" s="73"/>
      <c r="CC1083" s="73"/>
      <c r="CD1083" s="73"/>
      <c r="CE1083" s="73"/>
      <c r="CF1083" s="73"/>
      <c r="CG1083" s="73"/>
      <c r="CH1083" s="73"/>
    </row>
    <row r="1084">
      <c r="A1084" s="80"/>
      <c r="B1084" s="80"/>
      <c r="C1084" s="80"/>
      <c r="D1084" s="80"/>
      <c r="E1084" s="124"/>
      <c r="F1084" s="80"/>
      <c r="G1084" s="80"/>
      <c r="H1084" s="80"/>
      <c r="I1084" s="80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6"/>
      <c r="V1084" s="196"/>
      <c r="W1084" s="196"/>
      <c r="X1084" s="196"/>
      <c r="Y1084" s="196"/>
      <c r="Z1084" s="196"/>
      <c r="AA1084" s="196"/>
      <c r="AB1084" s="196"/>
      <c r="AC1084" s="196"/>
      <c r="AD1084" s="196"/>
      <c r="AE1084" s="196"/>
      <c r="AF1084" s="196"/>
      <c r="AG1084" s="196"/>
      <c r="AH1084" s="196"/>
      <c r="AI1084" s="196"/>
      <c r="AJ1084" s="197"/>
      <c r="AK1084" s="80"/>
      <c r="AL1084" s="80"/>
      <c r="AM1084" s="73"/>
      <c r="AN1084" s="73"/>
      <c r="AO1084" s="73"/>
      <c r="AP1084" s="73"/>
      <c r="AQ1084" s="73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3"/>
      <c r="BG1084" s="73"/>
      <c r="BH1084" s="73"/>
      <c r="BI1084" s="73"/>
      <c r="BJ1084" s="73"/>
      <c r="BK1084" s="73"/>
      <c r="BL1084" s="73"/>
      <c r="BM1084" s="73"/>
      <c r="BN1084" s="73"/>
      <c r="BO1084" s="73"/>
      <c r="BP1084" s="73"/>
      <c r="BQ1084" s="73"/>
      <c r="BR1084" s="73"/>
      <c r="BS1084" s="73"/>
      <c r="BT1084" s="73"/>
      <c r="BU1084" s="73"/>
      <c r="BV1084" s="73"/>
      <c r="BW1084" s="73"/>
      <c r="BX1084" s="73"/>
      <c r="BY1084" s="73"/>
      <c r="BZ1084" s="73"/>
      <c r="CA1084" s="73"/>
      <c r="CB1084" s="73"/>
      <c r="CC1084" s="73"/>
      <c r="CD1084" s="73"/>
      <c r="CE1084" s="73"/>
      <c r="CF1084" s="73"/>
      <c r="CG1084" s="73"/>
      <c r="CH1084" s="73"/>
    </row>
    <row r="1085">
      <c r="A1085" s="80"/>
      <c r="B1085" s="80"/>
      <c r="C1085" s="80"/>
      <c r="D1085" s="80"/>
      <c r="E1085" s="124"/>
      <c r="F1085" s="80"/>
      <c r="G1085" s="80"/>
      <c r="H1085" s="80"/>
      <c r="I1085" s="80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6"/>
      <c r="V1085" s="196"/>
      <c r="W1085" s="196"/>
      <c r="X1085" s="196"/>
      <c r="Y1085" s="196"/>
      <c r="Z1085" s="196"/>
      <c r="AA1085" s="196"/>
      <c r="AB1085" s="196"/>
      <c r="AC1085" s="196"/>
      <c r="AD1085" s="196"/>
      <c r="AE1085" s="196"/>
      <c r="AF1085" s="196"/>
      <c r="AG1085" s="196"/>
      <c r="AH1085" s="196"/>
      <c r="AI1085" s="196"/>
      <c r="AJ1085" s="197"/>
      <c r="AK1085" s="80"/>
      <c r="AL1085" s="80"/>
      <c r="AM1085" s="73"/>
      <c r="AN1085" s="73"/>
      <c r="AO1085" s="73"/>
      <c r="AP1085" s="73"/>
      <c r="AQ1085" s="73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3"/>
      <c r="BG1085" s="73"/>
      <c r="BH1085" s="73"/>
      <c r="BI1085" s="73"/>
      <c r="BJ1085" s="73"/>
      <c r="BK1085" s="73"/>
      <c r="BL1085" s="73"/>
      <c r="BM1085" s="73"/>
      <c r="BN1085" s="73"/>
      <c r="BO1085" s="73"/>
      <c r="BP1085" s="73"/>
      <c r="BQ1085" s="73"/>
      <c r="BR1085" s="73"/>
      <c r="BS1085" s="73"/>
      <c r="BT1085" s="73"/>
      <c r="BU1085" s="73"/>
      <c r="BV1085" s="73"/>
      <c r="BW1085" s="73"/>
      <c r="BX1085" s="73"/>
      <c r="BY1085" s="73"/>
      <c r="BZ1085" s="73"/>
      <c r="CA1085" s="73"/>
      <c r="CB1085" s="73"/>
      <c r="CC1085" s="73"/>
      <c r="CD1085" s="73"/>
      <c r="CE1085" s="73"/>
      <c r="CF1085" s="73"/>
      <c r="CG1085" s="73"/>
      <c r="CH1085" s="73"/>
    </row>
    <row r="1086">
      <c r="A1086" s="80"/>
      <c r="B1086" s="80"/>
      <c r="C1086" s="80"/>
      <c r="D1086" s="80"/>
      <c r="E1086" s="124"/>
      <c r="F1086" s="80"/>
      <c r="G1086" s="80"/>
      <c r="H1086" s="80"/>
      <c r="I1086" s="80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6"/>
      <c r="V1086" s="196"/>
      <c r="W1086" s="196"/>
      <c r="X1086" s="196"/>
      <c r="Y1086" s="196"/>
      <c r="Z1086" s="196"/>
      <c r="AA1086" s="196"/>
      <c r="AB1086" s="196"/>
      <c r="AC1086" s="196"/>
      <c r="AD1086" s="196"/>
      <c r="AE1086" s="196"/>
      <c r="AF1086" s="196"/>
      <c r="AG1086" s="196"/>
      <c r="AH1086" s="196"/>
      <c r="AI1086" s="196"/>
      <c r="AJ1086" s="197"/>
      <c r="AK1086" s="80"/>
      <c r="AL1086" s="80"/>
      <c r="AM1086" s="73"/>
      <c r="AN1086" s="73"/>
      <c r="AO1086" s="73"/>
      <c r="AP1086" s="73"/>
      <c r="AQ1086" s="73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3"/>
      <c r="BG1086" s="73"/>
      <c r="BH1086" s="73"/>
      <c r="BI1086" s="73"/>
      <c r="BJ1086" s="73"/>
      <c r="BK1086" s="73"/>
      <c r="BL1086" s="73"/>
      <c r="BM1086" s="73"/>
      <c r="BN1086" s="73"/>
      <c r="BO1086" s="73"/>
      <c r="BP1086" s="73"/>
      <c r="BQ1086" s="73"/>
      <c r="BR1086" s="73"/>
      <c r="BS1086" s="73"/>
      <c r="BT1086" s="73"/>
      <c r="BU1086" s="73"/>
      <c r="BV1086" s="73"/>
      <c r="BW1086" s="73"/>
      <c r="BX1086" s="73"/>
      <c r="BY1086" s="73"/>
      <c r="BZ1086" s="73"/>
      <c r="CA1086" s="73"/>
      <c r="CB1086" s="73"/>
      <c r="CC1086" s="73"/>
      <c r="CD1086" s="73"/>
      <c r="CE1086" s="73"/>
      <c r="CF1086" s="73"/>
      <c r="CG1086" s="73"/>
      <c r="CH1086" s="73"/>
    </row>
    <row r="1087">
      <c r="A1087" s="80"/>
      <c r="B1087" s="80"/>
      <c r="C1087" s="80"/>
      <c r="D1087" s="80"/>
      <c r="E1087" s="124"/>
      <c r="F1087" s="80"/>
      <c r="G1087" s="80"/>
      <c r="H1087" s="80"/>
      <c r="I1087" s="80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6"/>
      <c r="V1087" s="196"/>
      <c r="W1087" s="196"/>
      <c r="X1087" s="196"/>
      <c r="Y1087" s="196"/>
      <c r="Z1087" s="196"/>
      <c r="AA1087" s="196"/>
      <c r="AB1087" s="196"/>
      <c r="AC1087" s="196"/>
      <c r="AD1087" s="196"/>
      <c r="AE1087" s="196"/>
      <c r="AF1087" s="196"/>
      <c r="AG1087" s="196"/>
      <c r="AH1087" s="196"/>
      <c r="AI1087" s="196"/>
      <c r="AJ1087" s="197"/>
      <c r="AK1087" s="80"/>
      <c r="AL1087" s="80"/>
      <c r="AM1087" s="73"/>
      <c r="AN1087" s="73"/>
      <c r="AO1087" s="73"/>
      <c r="AP1087" s="73"/>
      <c r="AQ1087" s="73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3"/>
      <c r="BG1087" s="73"/>
      <c r="BH1087" s="73"/>
      <c r="BI1087" s="73"/>
      <c r="BJ1087" s="73"/>
      <c r="BK1087" s="73"/>
      <c r="BL1087" s="73"/>
      <c r="BM1087" s="73"/>
      <c r="BN1087" s="73"/>
      <c r="BO1087" s="73"/>
      <c r="BP1087" s="73"/>
      <c r="BQ1087" s="73"/>
      <c r="BR1087" s="73"/>
      <c r="BS1087" s="73"/>
      <c r="BT1087" s="73"/>
      <c r="BU1087" s="73"/>
      <c r="BV1087" s="73"/>
      <c r="BW1087" s="73"/>
      <c r="BX1087" s="73"/>
      <c r="BY1087" s="73"/>
      <c r="BZ1087" s="73"/>
      <c r="CA1087" s="73"/>
      <c r="CB1087" s="73"/>
      <c r="CC1087" s="73"/>
      <c r="CD1087" s="73"/>
      <c r="CE1087" s="73"/>
      <c r="CF1087" s="73"/>
      <c r="CG1087" s="73"/>
      <c r="CH1087" s="73"/>
    </row>
    <row r="1088">
      <c r="A1088" s="80"/>
      <c r="B1088" s="80"/>
      <c r="C1088" s="80"/>
      <c r="D1088" s="80"/>
      <c r="E1088" s="124"/>
      <c r="F1088" s="80"/>
      <c r="G1088" s="80"/>
      <c r="H1088" s="80"/>
      <c r="I1088" s="80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6"/>
      <c r="V1088" s="196"/>
      <c r="W1088" s="196"/>
      <c r="X1088" s="196"/>
      <c r="Y1088" s="196"/>
      <c r="Z1088" s="196"/>
      <c r="AA1088" s="196"/>
      <c r="AB1088" s="196"/>
      <c r="AC1088" s="196"/>
      <c r="AD1088" s="196"/>
      <c r="AE1088" s="196"/>
      <c r="AF1088" s="196"/>
      <c r="AG1088" s="196"/>
      <c r="AH1088" s="196"/>
      <c r="AI1088" s="196"/>
      <c r="AJ1088" s="197"/>
      <c r="AK1088" s="80"/>
      <c r="AL1088" s="80"/>
      <c r="AM1088" s="73"/>
      <c r="AN1088" s="73"/>
      <c r="AO1088" s="73"/>
      <c r="AP1088" s="73"/>
      <c r="AQ1088" s="73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3"/>
      <c r="BG1088" s="73"/>
      <c r="BH1088" s="73"/>
      <c r="BI1088" s="73"/>
      <c r="BJ1088" s="73"/>
      <c r="BK1088" s="73"/>
      <c r="BL1088" s="73"/>
      <c r="BM1088" s="73"/>
      <c r="BN1088" s="73"/>
      <c r="BO1088" s="73"/>
      <c r="BP1088" s="73"/>
      <c r="BQ1088" s="73"/>
      <c r="BR1088" s="73"/>
      <c r="BS1088" s="73"/>
      <c r="BT1088" s="73"/>
      <c r="BU1088" s="73"/>
      <c r="BV1088" s="73"/>
      <c r="BW1088" s="73"/>
      <c r="BX1088" s="73"/>
      <c r="BY1088" s="73"/>
      <c r="BZ1088" s="73"/>
      <c r="CA1088" s="73"/>
      <c r="CB1088" s="73"/>
      <c r="CC1088" s="73"/>
      <c r="CD1088" s="73"/>
      <c r="CE1088" s="73"/>
      <c r="CF1088" s="73"/>
      <c r="CG1088" s="73"/>
      <c r="CH1088" s="73"/>
    </row>
    <row r="1089">
      <c r="A1089" s="80"/>
      <c r="B1089" s="80"/>
      <c r="C1089" s="80"/>
      <c r="D1089" s="80"/>
      <c r="E1089" s="124"/>
      <c r="F1089" s="80"/>
      <c r="G1089" s="80"/>
      <c r="H1089" s="80"/>
      <c r="I1089" s="80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6"/>
      <c r="V1089" s="196"/>
      <c r="W1089" s="196"/>
      <c r="X1089" s="196"/>
      <c r="Y1089" s="196"/>
      <c r="Z1089" s="196"/>
      <c r="AA1089" s="196"/>
      <c r="AB1089" s="196"/>
      <c r="AC1089" s="196"/>
      <c r="AD1089" s="196"/>
      <c r="AE1089" s="196"/>
      <c r="AF1089" s="196"/>
      <c r="AG1089" s="196"/>
      <c r="AH1089" s="196"/>
      <c r="AI1089" s="196"/>
      <c r="AJ1089" s="197"/>
      <c r="AK1089" s="80"/>
      <c r="AL1089" s="80"/>
      <c r="AM1089" s="73"/>
      <c r="AN1089" s="73"/>
      <c r="AO1089" s="73"/>
      <c r="AP1089" s="73"/>
      <c r="AQ1089" s="73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3"/>
      <c r="BG1089" s="73"/>
      <c r="BH1089" s="73"/>
      <c r="BI1089" s="73"/>
      <c r="BJ1089" s="73"/>
      <c r="BK1089" s="73"/>
      <c r="BL1089" s="73"/>
      <c r="BM1089" s="73"/>
      <c r="BN1089" s="73"/>
      <c r="BO1089" s="73"/>
      <c r="BP1089" s="73"/>
      <c r="BQ1089" s="73"/>
      <c r="BR1089" s="73"/>
      <c r="BS1089" s="73"/>
      <c r="BT1089" s="73"/>
      <c r="BU1089" s="73"/>
      <c r="BV1089" s="73"/>
      <c r="BW1089" s="73"/>
      <c r="BX1089" s="73"/>
      <c r="BY1089" s="73"/>
      <c r="BZ1089" s="73"/>
      <c r="CA1089" s="73"/>
      <c r="CB1089" s="73"/>
      <c r="CC1089" s="73"/>
      <c r="CD1089" s="73"/>
      <c r="CE1089" s="73"/>
      <c r="CF1089" s="73"/>
      <c r="CG1089" s="73"/>
      <c r="CH1089" s="73"/>
    </row>
    <row r="1090">
      <c r="A1090" s="80"/>
      <c r="B1090" s="80"/>
      <c r="C1090" s="80"/>
      <c r="D1090" s="80"/>
      <c r="E1090" s="124"/>
      <c r="F1090" s="80"/>
      <c r="G1090" s="80"/>
      <c r="H1090" s="80"/>
      <c r="I1090" s="80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6"/>
      <c r="V1090" s="196"/>
      <c r="W1090" s="196"/>
      <c r="X1090" s="196"/>
      <c r="Y1090" s="196"/>
      <c r="Z1090" s="196"/>
      <c r="AA1090" s="196"/>
      <c r="AB1090" s="196"/>
      <c r="AC1090" s="196"/>
      <c r="AD1090" s="196"/>
      <c r="AE1090" s="196"/>
      <c r="AF1090" s="196"/>
      <c r="AG1090" s="196"/>
      <c r="AH1090" s="196"/>
      <c r="AI1090" s="196"/>
      <c r="AJ1090" s="197"/>
      <c r="AK1090" s="80"/>
      <c r="AL1090" s="80"/>
      <c r="AM1090" s="73"/>
      <c r="AN1090" s="73"/>
      <c r="AO1090" s="73"/>
      <c r="AP1090" s="73"/>
      <c r="AQ1090" s="73"/>
      <c r="AR1090" s="73"/>
      <c r="AS1090" s="73"/>
      <c r="AT1090" s="73"/>
      <c r="AU1090" s="73"/>
      <c r="AV1090" s="73"/>
      <c r="AW1090" s="73"/>
      <c r="AX1090" s="73"/>
      <c r="AY1090" s="73"/>
      <c r="AZ1090" s="73"/>
      <c r="BA1090" s="73"/>
      <c r="BB1090" s="73"/>
      <c r="BC1090" s="73"/>
      <c r="BD1090" s="73"/>
      <c r="BE1090" s="73"/>
      <c r="BF1090" s="73"/>
      <c r="BG1090" s="73"/>
      <c r="BH1090" s="73"/>
      <c r="BI1090" s="73"/>
      <c r="BJ1090" s="73"/>
      <c r="BK1090" s="73"/>
      <c r="BL1090" s="73"/>
      <c r="BM1090" s="73"/>
      <c r="BN1090" s="73"/>
      <c r="BO1090" s="73"/>
      <c r="BP1090" s="73"/>
      <c r="BQ1090" s="73"/>
      <c r="BR1090" s="73"/>
      <c r="BS1090" s="73"/>
      <c r="BT1090" s="73"/>
      <c r="BU1090" s="73"/>
      <c r="BV1090" s="73"/>
      <c r="BW1090" s="73"/>
      <c r="BX1090" s="73"/>
      <c r="BY1090" s="73"/>
      <c r="BZ1090" s="73"/>
      <c r="CA1090" s="73"/>
      <c r="CB1090" s="73"/>
      <c r="CC1090" s="73"/>
      <c r="CD1090" s="73"/>
      <c r="CE1090" s="73"/>
      <c r="CF1090" s="73"/>
      <c r="CG1090" s="73"/>
      <c r="CH1090" s="73"/>
    </row>
    <row r="1091">
      <c r="A1091" s="80"/>
      <c r="B1091" s="80"/>
      <c r="C1091" s="80"/>
      <c r="D1091" s="80"/>
      <c r="E1091" s="124"/>
      <c r="F1091" s="80"/>
      <c r="G1091" s="80"/>
      <c r="H1091" s="80"/>
      <c r="I1091" s="80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6"/>
      <c r="V1091" s="196"/>
      <c r="W1091" s="196"/>
      <c r="X1091" s="196"/>
      <c r="Y1091" s="196"/>
      <c r="Z1091" s="196"/>
      <c r="AA1091" s="196"/>
      <c r="AB1091" s="196"/>
      <c r="AC1091" s="196"/>
      <c r="AD1091" s="196"/>
      <c r="AE1091" s="196"/>
      <c r="AF1091" s="196"/>
      <c r="AG1091" s="196"/>
      <c r="AH1091" s="196"/>
      <c r="AI1091" s="196"/>
      <c r="AJ1091" s="197"/>
      <c r="AK1091" s="80"/>
      <c r="AL1091" s="80"/>
      <c r="AM1091" s="73"/>
      <c r="AN1091" s="73"/>
      <c r="AO1091" s="73"/>
      <c r="AP1091" s="73"/>
      <c r="AQ1091" s="73"/>
      <c r="AR1091" s="73"/>
      <c r="AS1091" s="73"/>
      <c r="AT1091" s="73"/>
      <c r="AU1091" s="73"/>
      <c r="AV1091" s="73"/>
      <c r="AW1091" s="73"/>
      <c r="AX1091" s="73"/>
      <c r="AY1091" s="73"/>
      <c r="AZ1091" s="73"/>
      <c r="BA1091" s="73"/>
      <c r="BB1091" s="73"/>
      <c r="BC1091" s="73"/>
      <c r="BD1091" s="73"/>
      <c r="BE1091" s="73"/>
      <c r="BF1091" s="73"/>
      <c r="BG1091" s="73"/>
      <c r="BH1091" s="73"/>
      <c r="BI1091" s="73"/>
      <c r="BJ1091" s="73"/>
      <c r="BK1091" s="73"/>
      <c r="BL1091" s="73"/>
      <c r="BM1091" s="73"/>
      <c r="BN1091" s="73"/>
      <c r="BO1091" s="73"/>
      <c r="BP1091" s="73"/>
      <c r="BQ1091" s="73"/>
      <c r="BR1091" s="73"/>
      <c r="BS1091" s="73"/>
      <c r="BT1091" s="73"/>
      <c r="BU1091" s="73"/>
      <c r="BV1091" s="73"/>
      <c r="BW1091" s="73"/>
      <c r="BX1091" s="73"/>
      <c r="BY1091" s="73"/>
      <c r="BZ1091" s="73"/>
      <c r="CA1091" s="73"/>
      <c r="CB1091" s="73"/>
      <c r="CC1091" s="73"/>
      <c r="CD1091" s="73"/>
      <c r="CE1091" s="73"/>
      <c r="CF1091" s="73"/>
      <c r="CG1091" s="73"/>
      <c r="CH1091" s="73"/>
    </row>
    <row r="1092">
      <c r="A1092" s="80"/>
      <c r="B1092" s="80"/>
      <c r="C1092" s="80"/>
      <c r="D1092" s="80"/>
      <c r="E1092" s="124"/>
      <c r="F1092" s="80"/>
      <c r="G1092" s="80"/>
      <c r="H1092" s="80"/>
      <c r="I1092" s="80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6"/>
      <c r="V1092" s="196"/>
      <c r="W1092" s="196"/>
      <c r="X1092" s="196"/>
      <c r="Y1092" s="196"/>
      <c r="Z1092" s="196"/>
      <c r="AA1092" s="196"/>
      <c r="AB1092" s="196"/>
      <c r="AC1092" s="196"/>
      <c r="AD1092" s="196"/>
      <c r="AE1092" s="196"/>
      <c r="AF1092" s="196"/>
      <c r="AG1092" s="196"/>
      <c r="AH1092" s="196"/>
      <c r="AI1092" s="196"/>
      <c r="AJ1092" s="197"/>
      <c r="AK1092" s="80"/>
      <c r="AL1092" s="80"/>
      <c r="AM1092" s="73"/>
      <c r="AN1092" s="73"/>
      <c r="AO1092" s="73"/>
      <c r="AP1092" s="73"/>
      <c r="AQ1092" s="73"/>
      <c r="AR1092" s="73"/>
      <c r="AS1092" s="73"/>
      <c r="AT1092" s="73"/>
      <c r="AU1092" s="73"/>
      <c r="AV1092" s="73"/>
      <c r="AW1092" s="73"/>
      <c r="AX1092" s="73"/>
      <c r="AY1092" s="73"/>
      <c r="AZ1092" s="73"/>
      <c r="BA1092" s="73"/>
      <c r="BB1092" s="73"/>
      <c r="BC1092" s="73"/>
      <c r="BD1092" s="73"/>
      <c r="BE1092" s="73"/>
      <c r="BF1092" s="73"/>
      <c r="BG1092" s="73"/>
      <c r="BH1092" s="73"/>
      <c r="BI1092" s="73"/>
      <c r="BJ1092" s="73"/>
      <c r="BK1092" s="73"/>
      <c r="BL1092" s="73"/>
      <c r="BM1092" s="73"/>
      <c r="BN1092" s="73"/>
      <c r="BO1092" s="73"/>
      <c r="BP1092" s="73"/>
      <c r="BQ1092" s="73"/>
      <c r="BR1092" s="73"/>
      <c r="BS1092" s="73"/>
      <c r="BT1092" s="73"/>
      <c r="BU1092" s="73"/>
      <c r="BV1092" s="73"/>
      <c r="BW1092" s="73"/>
      <c r="BX1092" s="73"/>
      <c r="BY1092" s="73"/>
      <c r="BZ1092" s="73"/>
      <c r="CA1092" s="73"/>
      <c r="CB1092" s="73"/>
      <c r="CC1092" s="73"/>
      <c r="CD1092" s="73"/>
      <c r="CE1092" s="73"/>
      <c r="CF1092" s="73"/>
      <c r="CG1092" s="73"/>
      <c r="CH1092" s="73"/>
    </row>
    <row r="1093">
      <c r="A1093" s="80"/>
      <c r="B1093" s="80"/>
      <c r="C1093" s="80"/>
      <c r="D1093" s="80"/>
      <c r="E1093" s="124"/>
      <c r="F1093" s="80"/>
      <c r="G1093" s="80"/>
      <c r="H1093" s="80"/>
      <c r="I1093" s="80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6"/>
      <c r="V1093" s="196"/>
      <c r="W1093" s="196"/>
      <c r="X1093" s="196"/>
      <c r="Y1093" s="196"/>
      <c r="Z1093" s="196"/>
      <c r="AA1093" s="196"/>
      <c r="AB1093" s="196"/>
      <c r="AC1093" s="196"/>
      <c r="AD1093" s="196"/>
      <c r="AE1093" s="196"/>
      <c r="AF1093" s="196"/>
      <c r="AG1093" s="196"/>
      <c r="AH1093" s="196"/>
      <c r="AI1093" s="196"/>
      <c r="AJ1093" s="197"/>
      <c r="AK1093" s="80"/>
      <c r="AL1093" s="80"/>
      <c r="AM1093" s="73"/>
      <c r="AN1093" s="73"/>
      <c r="AO1093" s="73"/>
      <c r="AP1093" s="73"/>
      <c r="AQ1093" s="73"/>
      <c r="AR1093" s="73"/>
      <c r="AS1093" s="73"/>
      <c r="AT1093" s="73"/>
      <c r="AU1093" s="73"/>
      <c r="AV1093" s="73"/>
      <c r="AW1093" s="73"/>
      <c r="AX1093" s="73"/>
      <c r="AY1093" s="73"/>
      <c r="AZ1093" s="73"/>
      <c r="BA1093" s="73"/>
      <c r="BB1093" s="73"/>
      <c r="BC1093" s="73"/>
      <c r="BD1093" s="73"/>
      <c r="BE1093" s="73"/>
      <c r="BF1093" s="73"/>
      <c r="BG1093" s="73"/>
      <c r="BH1093" s="73"/>
      <c r="BI1093" s="73"/>
      <c r="BJ1093" s="73"/>
      <c r="BK1093" s="73"/>
      <c r="BL1093" s="73"/>
      <c r="BM1093" s="73"/>
      <c r="BN1093" s="73"/>
      <c r="BO1093" s="73"/>
      <c r="BP1093" s="73"/>
      <c r="BQ1093" s="73"/>
      <c r="BR1093" s="73"/>
      <c r="BS1093" s="73"/>
      <c r="BT1093" s="73"/>
      <c r="BU1093" s="73"/>
      <c r="BV1093" s="73"/>
      <c r="BW1093" s="73"/>
      <c r="BX1093" s="73"/>
      <c r="BY1093" s="73"/>
      <c r="BZ1093" s="73"/>
      <c r="CA1093" s="73"/>
      <c r="CB1093" s="73"/>
      <c r="CC1093" s="73"/>
      <c r="CD1093" s="73"/>
      <c r="CE1093" s="73"/>
      <c r="CF1093" s="73"/>
      <c r="CG1093" s="73"/>
      <c r="CH1093" s="73"/>
    </row>
    <row r="1094">
      <c r="A1094" s="80"/>
      <c r="B1094" s="80"/>
      <c r="C1094" s="80"/>
      <c r="D1094" s="80"/>
      <c r="E1094" s="124"/>
      <c r="F1094" s="80"/>
      <c r="G1094" s="80"/>
      <c r="H1094" s="80"/>
      <c r="I1094" s="80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6"/>
      <c r="V1094" s="196"/>
      <c r="W1094" s="196"/>
      <c r="X1094" s="196"/>
      <c r="Y1094" s="196"/>
      <c r="Z1094" s="196"/>
      <c r="AA1094" s="196"/>
      <c r="AB1094" s="196"/>
      <c r="AC1094" s="196"/>
      <c r="AD1094" s="196"/>
      <c r="AE1094" s="196"/>
      <c r="AF1094" s="196"/>
      <c r="AG1094" s="196"/>
      <c r="AH1094" s="196"/>
      <c r="AI1094" s="196"/>
      <c r="AJ1094" s="197"/>
      <c r="AK1094" s="80"/>
      <c r="AL1094" s="80"/>
      <c r="AM1094" s="73"/>
      <c r="AN1094" s="73"/>
      <c r="AO1094" s="73"/>
      <c r="AP1094" s="73"/>
      <c r="AQ1094" s="73"/>
      <c r="AR1094" s="73"/>
      <c r="AS1094" s="73"/>
      <c r="AT1094" s="73"/>
      <c r="AU1094" s="73"/>
      <c r="AV1094" s="73"/>
      <c r="AW1094" s="73"/>
      <c r="AX1094" s="73"/>
      <c r="AY1094" s="73"/>
      <c r="AZ1094" s="73"/>
      <c r="BA1094" s="73"/>
      <c r="BB1094" s="73"/>
      <c r="BC1094" s="73"/>
      <c r="BD1094" s="73"/>
      <c r="BE1094" s="73"/>
      <c r="BF1094" s="73"/>
      <c r="BG1094" s="73"/>
      <c r="BH1094" s="73"/>
      <c r="BI1094" s="73"/>
      <c r="BJ1094" s="73"/>
      <c r="BK1094" s="73"/>
      <c r="BL1094" s="73"/>
      <c r="BM1094" s="73"/>
      <c r="BN1094" s="73"/>
      <c r="BO1094" s="73"/>
      <c r="BP1094" s="73"/>
      <c r="BQ1094" s="73"/>
      <c r="BR1094" s="73"/>
      <c r="BS1094" s="73"/>
      <c r="BT1094" s="73"/>
      <c r="BU1094" s="73"/>
      <c r="BV1094" s="73"/>
      <c r="BW1094" s="73"/>
      <c r="BX1094" s="73"/>
      <c r="BY1094" s="73"/>
      <c r="BZ1094" s="73"/>
      <c r="CA1094" s="73"/>
      <c r="CB1094" s="73"/>
      <c r="CC1094" s="73"/>
      <c r="CD1094" s="73"/>
      <c r="CE1094" s="73"/>
      <c r="CF1094" s="73"/>
      <c r="CG1094" s="73"/>
      <c r="CH1094" s="73"/>
    </row>
    <row r="1095">
      <c r="A1095" s="80"/>
      <c r="B1095" s="80"/>
      <c r="C1095" s="80"/>
      <c r="D1095" s="80"/>
      <c r="E1095" s="124"/>
      <c r="F1095" s="80"/>
      <c r="G1095" s="80"/>
      <c r="H1095" s="80"/>
      <c r="I1095" s="80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6"/>
      <c r="V1095" s="196"/>
      <c r="W1095" s="196"/>
      <c r="X1095" s="196"/>
      <c r="Y1095" s="196"/>
      <c r="Z1095" s="196"/>
      <c r="AA1095" s="196"/>
      <c r="AB1095" s="196"/>
      <c r="AC1095" s="196"/>
      <c r="AD1095" s="196"/>
      <c r="AE1095" s="196"/>
      <c r="AF1095" s="196"/>
      <c r="AG1095" s="196"/>
      <c r="AH1095" s="196"/>
      <c r="AI1095" s="196"/>
      <c r="AJ1095" s="197"/>
      <c r="AK1095" s="80"/>
      <c r="AL1095" s="80"/>
      <c r="AM1095" s="73"/>
      <c r="AN1095" s="73"/>
      <c r="AO1095" s="73"/>
      <c r="AP1095" s="73"/>
      <c r="AQ1095" s="73"/>
      <c r="AR1095" s="73"/>
      <c r="AS1095" s="73"/>
      <c r="AT1095" s="73"/>
      <c r="AU1095" s="73"/>
      <c r="AV1095" s="73"/>
      <c r="AW1095" s="73"/>
      <c r="AX1095" s="73"/>
      <c r="AY1095" s="73"/>
      <c r="AZ1095" s="73"/>
      <c r="BA1095" s="73"/>
      <c r="BB1095" s="73"/>
      <c r="BC1095" s="73"/>
      <c r="BD1095" s="73"/>
      <c r="BE1095" s="73"/>
      <c r="BF1095" s="73"/>
      <c r="BG1095" s="73"/>
      <c r="BH1095" s="73"/>
      <c r="BI1095" s="73"/>
      <c r="BJ1095" s="73"/>
      <c r="BK1095" s="73"/>
      <c r="BL1095" s="73"/>
      <c r="BM1095" s="73"/>
      <c r="BN1095" s="73"/>
      <c r="BO1095" s="73"/>
      <c r="BP1095" s="73"/>
      <c r="BQ1095" s="73"/>
      <c r="BR1095" s="73"/>
      <c r="BS1095" s="73"/>
      <c r="BT1095" s="73"/>
      <c r="BU1095" s="73"/>
      <c r="BV1095" s="73"/>
      <c r="BW1095" s="73"/>
      <c r="BX1095" s="73"/>
      <c r="BY1095" s="73"/>
      <c r="BZ1095" s="73"/>
      <c r="CA1095" s="73"/>
      <c r="CB1095" s="73"/>
      <c r="CC1095" s="73"/>
      <c r="CD1095" s="73"/>
      <c r="CE1095" s="73"/>
      <c r="CF1095" s="73"/>
      <c r="CG1095" s="73"/>
      <c r="CH1095" s="73"/>
    </row>
    <row r="1096">
      <c r="A1096" s="80"/>
      <c r="B1096" s="80"/>
      <c r="C1096" s="80"/>
      <c r="D1096" s="80"/>
      <c r="E1096" s="124"/>
      <c r="F1096" s="80"/>
      <c r="G1096" s="80"/>
      <c r="H1096" s="80"/>
      <c r="I1096" s="80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6"/>
      <c r="V1096" s="196"/>
      <c r="W1096" s="196"/>
      <c r="X1096" s="196"/>
      <c r="Y1096" s="196"/>
      <c r="Z1096" s="196"/>
      <c r="AA1096" s="196"/>
      <c r="AB1096" s="196"/>
      <c r="AC1096" s="196"/>
      <c r="AD1096" s="196"/>
      <c r="AE1096" s="196"/>
      <c r="AF1096" s="196"/>
      <c r="AG1096" s="196"/>
      <c r="AH1096" s="196"/>
      <c r="AI1096" s="196"/>
      <c r="AJ1096" s="197"/>
      <c r="AK1096" s="80"/>
      <c r="AL1096" s="80"/>
      <c r="AM1096" s="73"/>
      <c r="AN1096" s="73"/>
      <c r="AO1096" s="73"/>
      <c r="AP1096" s="73"/>
      <c r="AQ1096" s="73"/>
      <c r="AR1096" s="73"/>
      <c r="AS1096" s="73"/>
      <c r="AT1096" s="73"/>
      <c r="AU1096" s="73"/>
      <c r="AV1096" s="73"/>
      <c r="AW1096" s="73"/>
      <c r="AX1096" s="73"/>
      <c r="AY1096" s="73"/>
      <c r="AZ1096" s="73"/>
      <c r="BA1096" s="73"/>
      <c r="BB1096" s="73"/>
      <c r="BC1096" s="73"/>
      <c r="BD1096" s="73"/>
      <c r="BE1096" s="73"/>
      <c r="BF1096" s="73"/>
      <c r="BG1096" s="73"/>
      <c r="BH1096" s="73"/>
      <c r="BI1096" s="73"/>
      <c r="BJ1096" s="73"/>
      <c r="BK1096" s="73"/>
      <c r="BL1096" s="73"/>
      <c r="BM1096" s="73"/>
      <c r="BN1096" s="73"/>
      <c r="BO1096" s="73"/>
      <c r="BP1096" s="73"/>
      <c r="BQ1096" s="73"/>
      <c r="BR1096" s="73"/>
      <c r="BS1096" s="73"/>
      <c r="BT1096" s="73"/>
      <c r="BU1096" s="73"/>
      <c r="BV1096" s="73"/>
      <c r="BW1096" s="73"/>
      <c r="BX1096" s="73"/>
      <c r="BY1096" s="73"/>
      <c r="BZ1096" s="73"/>
      <c r="CA1096" s="73"/>
      <c r="CB1096" s="73"/>
      <c r="CC1096" s="73"/>
      <c r="CD1096" s="73"/>
      <c r="CE1096" s="73"/>
      <c r="CF1096" s="73"/>
      <c r="CG1096" s="73"/>
      <c r="CH1096" s="73"/>
    </row>
    <row r="1097">
      <c r="A1097" s="80"/>
      <c r="B1097" s="80"/>
      <c r="C1097" s="80"/>
      <c r="D1097" s="80"/>
      <c r="E1097" s="124"/>
      <c r="F1097" s="80"/>
      <c r="G1097" s="80"/>
      <c r="H1097" s="80"/>
      <c r="I1097" s="80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6"/>
      <c r="V1097" s="196"/>
      <c r="W1097" s="196"/>
      <c r="X1097" s="196"/>
      <c r="Y1097" s="196"/>
      <c r="Z1097" s="196"/>
      <c r="AA1097" s="196"/>
      <c r="AB1097" s="196"/>
      <c r="AC1097" s="196"/>
      <c r="AD1097" s="196"/>
      <c r="AE1097" s="196"/>
      <c r="AF1097" s="196"/>
      <c r="AG1097" s="196"/>
      <c r="AH1097" s="196"/>
      <c r="AI1097" s="196"/>
      <c r="AJ1097" s="197"/>
      <c r="AK1097" s="80"/>
      <c r="AL1097" s="80"/>
      <c r="AM1097" s="73"/>
      <c r="AN1097" s="73"/>
      <c r="AO1097" s="73"/>
      <c r="AP1097" s="73"/>
      <c r="AQ1097" s="73"/>
      <c r="AR1097" s="73"/>
      <c r="AS1097" s="73"/>
      <c r="AT1097" s="73"/>
      <c r="AU1097" s="73"/>
      <c r="AV1097" s="73"/>
      <c r="AW1097" s="73"/>
      <c r="AX1097" s="73"/>
      <c r="AY1097" s="73"/>
      <c r="AZ1097" s="73"/>
      <c r="BA1097" s="73"/>
      <c r="BB1097" s="73"/>
      <c r="BC1097" s="73"/>
      <c r="BD1097" s="73"/>
      <c r="BE1097" s="73"/>
      <c r="BF1097" s="73"/>
      <c r="BG1097" s="73"/>
      <c r="BH1097" s="73"/>
      <c r="BI1097" s="73"/>
      <c r="BJ1097" s="73"/>
      <c r="BK1097" s="73"/>
      <c r="BL1097" s="73"/>
      <c r="BM1097" s="73"/>
      <c r="BN1097" s="73"/>
      <c r="BO1097" s="73"/>
      <c r="BP1097" s="73"/>
      <c r="BQ1097" s="73"/>
      <c r="BR1097" s="73"/>
      <c r="BS1097" s="73"/>
      <c r="BT1097" s="73"/>
      <c r="BU1097" s="73"/>
      <c r="BV1097" s="73"/>
      <c r="BW1097" s="73"/>
      <c r="BX1097" s="73"/>
      <c r="BY1097" s="73"/>
      <c r="BZ1097" s="73"/>
      <c r="CA1097" s="73"/>
      <c r="CB1097" s="73"/>
      <c r="CC1097" s="73"/>
      <c r="CD1097" s="73"/>
      <c r="CE1097" s="73"/>
      <c r="CF1097" s="73"/>
      <c r="CG1097" s="73"/>
      <c r="CH1097" s="73"/>
    </row>
    <row r="1098">
      <c r="A1098" s="80"/>
      <c r="B1098" s="80"/>
      <c r="C1098" s="80"/>
      <c r="D1098" s="80"/>
      <c r="E1098" s="124"/>
      <c r="F1098" s="80"/>
      <c r="G1098" s="80"/>
      <c r="H1098" s="80"/>
      <c r="I1098" s="80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6"/>
      <c r="V1098" s="196"/>
      <c r="W1098" s="196"/>
      <c r="X1098" s="196"/>
      <c r="Y1098" s="196"/>
      <c r="Z1098" s="196"/>
      <c r="AA1098" s="196"/>
      <c r="AB1098" s="196"/>
      <c r="AC1098" s="196"/>
      <c r="AD1098" s="196"/>
      <c r="AE1098" s="196"/>
      <c r="AF1098" s="196"/>
      <c r="AG1098" s="196"/>
      <c r="AH1098" s="196"/>
      <c r="AI1098" s="196"/>
      <c r="AJ1098" s="197"/>
      <c r="AK1098" s="80"/>
      <c r="AL1098" s="80"/>
      <c r="AM1098" s="73"/>
      <c r="AN1098" s="73"/>
      <c r="AO1098" s="73"/>
      <c r="AP1098" s="73"/>
      <c r="AQ1098" s="73"/>
      <c r="AR1098" s="73"/>
      <c r="AS1098" s="73"/>
      <c r="AT1098" s="73"/>
      <c r="AU1098" s="73"/>
      <c r="AV1098" s="73"/>
      <c r="AW1098" s="73"/>
      <c r="AX1098" s="73"/>
      <c r="AY1098" s="73"/>
      <c r="AZ1098" s="73"/>
      <c r="BA1098" s="73"/>
      <c r="BB1098" s="73"/>
      <c r="BC1098" s="73"/>
      <c r="BD1098" s="73"/>
      <c r="BE1098" s="73"/>
      <c r="BF1098" s="73"/>
      <c r="BG1098" s="73"/>
      <c r="BH1098" s="73"/>
      <c r="BI1098" s="73"/>
      <c r="BJ1098" s="73"/>
      <c r="BK1098" s="73"/>
      <c r="BL1098" s="73"/>
      <c r="BM1098" s="73"/>
      <c r="BN1098" s="73"/>
      <c r="BO1098" s="73"/>
      <c r="BP1098" s="73"/>
      <c r="BQ1098" s="73"/>
      <c r="BR1098" s="73"/>
      <c r="BS1098" s="73"/>
      <c r="BT1098" s="73"/>
      <c r="BU1098" s="73"/>
      <c r="BV1098" s="73"/>
      <c r="BW1098" s="73"/>
      <c r="BX1098" s="73"/>
      <c r="BY1098" s="73"/>
      <c r="BZ1098" s="73"/>
      <c r="CA1098" s="73"/>
      <c r="CB1098" s="73"/>
      <c r="CC1098" s="73"/>
      <c r="CD1098" s="73"/>
      <c r="CE1098" s="73"/>
      <c r="CF1098" s="73"/>
      <c r="CG1098" s="73"/>
      <c r="CH1098" s="73"/>
    </row>
    <row r="1099">
      <c r="A1099" s="80"/>
      <c r="B1099" s="80"/>
      <c r="C1099" s="80"/>
      <c r="D1099" s="80"/>
      <c r="E1099" s="124"/>
      <c r="F1099" s="80"/>
      <c r="G1099" s="80"/>
      <c r="H1099" s="80"/>
      <c r="I1099" s="80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6"/>
      <c r="V1099" s="196"/>
      <c r="W1099" s="196"/>
      <c r="X1099" s="196"/>
      <c r="Y1099" s="196"/>
      <c r="Z1099" s="196"/>
      <c r="AA1099" s="196"/>
      <c r="AB1099" s="196"/>
      <c r="AC1099" s="196"/>
      <c r="AD1099" s="196"/>
      <c r="AE1099" s="196"/>
      <c r="AF1099" s="196"/>
      <c r="AG1099" s="196"/>
      <c r="AH1099" s="196"/>
      <c r="AI1099" s="196"/>
      <c r="AJ1099" s="197"/>
      <c r="AK1099" s="80"/>
      <c r="AL1099" s="80"/>
      <c r="AM1099" s="73"/>
      <c r="AN1099" s="73"/>
      <c r="AO1099" s="73"/>
      <c r="AP1099" s="73"/>
      <c r="AQ1099" s="73"/>
      <c r="AR1099" s="73"/>
      <c r="AS1099" s="73"/>
      <c r="AT1099" s="73"/>
      <c r="AU1099" s="73"/>
      <c r="AV1099" s="73"/>
      <c r="AW1099" s="73"/>
      <c r="AX1099" s="73"/>
      <c r="AY1099" s="73"/>
      <c r="AZ1099" s="73"/>
      <c r="BA1099" s="73"/>
      <c r="BB1099" s="73"/>
      <c r="BC1099" s="73"/>
      <c r="BD1099" s="73"/>
      <c r="BE1099" s="73"/>
      <c r="BF1099" s="73"/>
      <c r="BG1099" s="73"/>
      <c r="BH1099" s="73"/>
      <c r="BI1099" s="73"/>
      <c r="BJ1099" s="73"/>
      <c r="BK1099" s="73"/>
      <c r="BL1099" s="73"/>
      <c r="BM1099" s="73"/>
      <c r="BN1099" s="73"/>
      <c r="BO1099" s="73"/>
      <c r="BP1099" s="73"/>
      <c r="BQ1099" s="73"/>
      <c r="BR1099" s="73"/>
      <c r="BS1099" s="73"/>
      <c r="BT1099" s="73"/>
      <c r="BU1099" s="73"/>
      <c r="BV1099" s="73"/>
      <c r="BW1099" s="73"/>
      <c r="BX1099" s="73"/>
      <c r="BY1099" s="73"/>
      <c r="BZ1099" s="73"/>
      <c r="CA1099" s="73"/>
      <c r="CB1099" s="73"/>
      <c r="CC1099" s="73"/>
      <c r="CD1099" s="73"/>
      <c r="CE1099" s="73"/>
      <c r="CF1099" s="73"/>
      <c r="CG1099" s="73"/>
      <c r="CH1099" s="73"/>
    </row>
    <row r="1100">
      <c r="A1100" s="80"/>
      <c r="B1100" s="80"/>
      <c r="C1100" s="80"/>
      <c r="D1100" s="80"/>
      <c r="E1100" s="124"/>
      <c r="F1100" s="80"/>
      <c r="G1100" s="80"/>
      <c r="H1100" s="80"/>
      <c r="I1100" s="80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6"/>
      <c r="V1100" s="196"/>
      <c r="W1100" s="196"/>
      <c r="X1100" s="196"/>
      <c r="Y1100" s="196"/>
      <c r="Z1100" s="196"/>
      <c r="AA1100" s="196"/>
      <c r="AB1100" s="196"/>
      <c r="AC1100" s="196"/>
      <c r="AD1100" s="196"/>
      <c r="AE1100" s="196"/>
      <c r="AF1100" s="196"/>
      <c r="AG1100" s="196"/>
      <c r="AH1100" s="196"/>
      <c r="AI1100" s="196"/>
      <c r="AJ1100" s="197"/>
      <c r="AK1100" s="80"/>
      <c r="AL1100" s="80"/>
      <c r="AM1100" s="73"/>
      <c r="AN1100" s="73"/>
      <c r="AO1100" s="73"/>
      <c r="AP1100" s="73"/>
      <c r="AQ1100" s="73"/>
      <c r="AR1100" s="73"/>
      <c r="AS1100" s="73"/>
      <c r="AT1100" s="73"/>
      <c r="AU1100" s="73"/>
      <c r="AV1100" s="73"/>
      <c r="AW1100" s="73"/>
      <c r="AX1100" s="73"/>
      <c r="AY1100" s="73"/>
      <c r="AZ1100" s="73"/>
      <c r="BA1100" s="73"/>
      <c r="BB1100" s="73"/>
      <c r="BC1100" s="73"/>
      <c r="BD1100" s="73"/>
      <c r="BE1100" s="73"/>
      <c r="BF1100" s="73"/>
      <c r="BG1100" s="73"/>
      <c r="BH1100" s="73"/>
      <c r="BI1100" s="73"/>
      <c r="BJ1100" s="73"/>
      <c r="BK1100" s="73"/>
      <c r="BL1100" s="73"/>
      <c r="BM1100" s="73"/>
      <c r="BN1100" s="73"/>
      <c r="BO1100" s="73"/>
      <c r="BP1100" s="73"/>
      <c r="BQ1100" s="73"/>
      <c r="BR1100" s="73"/>
      <c r="BS1100" s="73"/>
      <c r="BT1100" s="73"/>
      <c r="BU1100" s="73"/>
      <c r="BV1100" s="73"/>
      <c r="BW1100" s="73"/>
      <c r="BX1100" s="73"/>
      <c r="BY1100" s="73"/>
      <c r="BZ1100" s="73"/>
      <c r="CA1100" s="73"/>
      <c r="CB1100" s="73"/>
      <c r="CC1100" s="73"/>
      <c r="CD1100" s="73"/>
      <c r="CE1100" s="73"/>
      <c r="CF1100" s="73"/>
      <c r="CG1100" s="73"/>
      <c r="CH1100" s="73"/>
    </row>
    <row r="1101">
      <c r="A1101" s="80"/>
      <c r="B1101" s="80"/>
      <c r="C1101" s="80"/>
      <c r="D1101" s="80"/>
      <c r="E1101" s="124"/>
      <c r="F1101" s="80"/>
      <c r="G1101" s="80"/>
      <c r="H1101" s="80"/>
      <c r="I1101" s="80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6"/>
      <c r="V1101" s="196"/>
      <c r="W1101" s="196"/>
      <c r="X1101" s="196"/>
      <c r="Y1101" s="196"/>
      <c r="Z1101" s="196"/>
      <c r="AA1101" s="196"/>
      <c r="AB1101" s="196"/>
      <c r="AC1101" s="196"/>
      <c r="AD1101" s="196"/>
      <c r="AE1101" s="196"/>
      <c r="AF1101" s="196"/>
      <c r="AG1101" s="196"/>
      <c r="AH1101" s="196"/>
      <c r="AI1101" s="196"/>
      <c r="AJ1101" s="197"/>
      <c r="AK1101" s="80"/>
      <c r="AL1101" s="80"/>
      <c r="AM1101" s="73"/>
      <c r="AN1101" s="73"/>
      <c r="AO1101" s="73"/>
      <c r="AP1101" s="73"/>
      <c r="AQ1101" s="73"/>
      <c r="AR1101" s="73"/>
      <c r="AS1101" s="73"/>
      <c r="AT1101" s="73"/>
      <c r="AU1101" s="73"/>
      <c r="AV1101" s="73"/>
      <c r="AW1101" s="73"/>
      <c r="AX1101" s="73"/>
      <c r="AY1101" s="73"/>
      <c r="AZ1101" s="73"/>
      <c r="BA1101" s="73"/>
      <c r="BB1101" s="73"/>
      <c r="BC1101" s="73"/>
      <c r="BD1101" s="73"/>
      <c r="BE1101" s="73"/>
      <c r="BF1101" s="73"/>
      <c r="BG1101" s="73"/>
      <c r="BH1101" s="73"/>
      <c r="BI1101" s="73"/>
      <c r="BJ1101" s="73"/>
      <c r="BK1101" s="73"/>
      <c r="BL1101" s="73"/>
      <c r="BM1101" s="73"/>
      <c r="BN1101" s="73"/>
      <c r="BO1101" s="73"/>
      <c r="BP1101" s="73"/>
      <c r="BQ1101" s="73"/>
      <c r="BR1101" s="73"/>
      <c r="BS1101" s="73"/>
      <c r="BT1101" s="73"/>
      <c r="BU1101" s="73"/>
      <c r="BV1101" s="73"/>
      <c r="BW1101" s="73"/>
      <c r="BX1101" s="73"/>
      <c r="BY1101" s="73"/>
      <c r="BZ1101" s="73"/>
      <c r="CA1101" s="73"/>
      <c r="CB1101" s="73"/>
      <c r="CC1101" s="73"/>
      <c r="CD1101" s="73"/>
      <c r="CE1101" s="73"/>
      <c r="CF1101" s="73"/>
      <c r="CG1101" s="73"/>
      <c r="CH1101" s="73"/>
    </row>
    <row r="1102">
      <c r="A1102" s="80"/>
      <c r="B1102" s="80"/>
      <c r="C1102" s="80"/>
      <c r="D1102" s="80"/>
      <c r="E1102" s="124"/>
      <c r="F1102" s="80"/>
      <c r="G1102" s="80"/>
      <c r="H1102" s="80"/>
      <c r="I1102" s="80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6"/>
      <c r="V1102" s="196"/>
      <c r="W1102" s="196"/>
      <c r="X1102" s="196"/>
      <c r="Y1102" s="196"/>
      <c r="Z1102" s="196"/>
      <c r="AA1102" s="196"/>
      <c r="AB1102" s="196"/>
      <c r="AC1102" s="196"/>
      <c r="AD1102" s="196"/>
      <c r="AE1102" s="196"/>
      <c r="AF1102" s="196"/>
      <c r="AG1102" s="196"/>
      <c r="AH1102" s="196"/>
      <c r="AI1102" s="196"/>
      <c r="AJ1102" s="197"/>
      <c r="AK1102" s="80"/>
      <c r="AL1102" s="80"/>
      <c r="AM1102" s="73"/>
      <c r="AN1102" s="73"/>
      <c r="AO1102" s="73"/>
      <c r="AP1102" s="73"/>
      <c r="AQ1102" s="73"/>
      <c r="AR1102" s="73"/>
      <c r="AS1102" s="73"/>
      <c r="AT1102" s="73"/>
      <c r="AU1102" s="73"/>
      <c r="AV1102" s="73"/>
      <c r="AW1102" s="73"/>
      <c r="AX1102" s="73"/>
      <c r="AY1102" s="73"/>
      <c r="AZ1102" s="73"/>
      <c r="BA1102" s="73"/>
      <c r="BB1102" s="73"/>
      <c r="BC1102" s="73"/>
      <c r="BD1102" s="73"/>
      <c r="BE1102" s="73"/>
      <c r="BF1102" s="73"/>
      <c r="BG1102" s="73"/>
      <c r="BH1102" s="73"/>
      <c r="BI1102" s="73"/>
      <c r="BJ1102" s="73"/>
      <c r="BK1102" s="73"/>
      <c r="BL1102" s="73"/>
      <c r="BM1102" s="73"/>
      <c r="BN1102" s="73"/>
      <c r="BO1102" s="73"/>
      <c r="BP1102" s="73"/>
      <c r="BQ1102" s="73"/>
      <c r="BR1102" s="73"/>
      <c r="BS1102" s="73"/>
      <c r="BT1102" s="73"/>
      <c r="BU1102" s="73"/>
      <c r="BV1102" s="73"/>
      <c r="BW1102" s="73"/>
      <c r="BX1102" s="73"/>
      <c r="BY1102" s="73"/>
      <c r="BZ1102" s="73"/>
      <c r="CA1102" s="73"/>
      <c r="CB1102" s="73"/>
      <c r="CC1102" s="73"/>
      <c r="CD1102" s="73"/>
      <c r="CE1102" s="73"/>
      <c r="CF1102" s="73"/>
      <c r="CG1102" s="73"/>
      <c r="CH1102" s="73"/>
    </row>
    <row r="1103">
      <c r="A1103" s="80"/>
      <c r="B1103" s="80"/>
      <c r="C1103" s="80"/>
      <c r="D1103" s="80"/>
      <c r="E1103" s="124"/>
      <c r="F1103" s="80"/>
      <c r="G1103" s="80"/>
      <c r="H1103" s="80"/>
      <c r="I1103" s="80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6"/>
      <c r="V1103" s="196"/>
      <c r="W1103" s="196"/>
      <c r="X1103" s="196"/>
      <c r="Y1103" s="196"/>
      <c r="Z1103" s="196"/>
      <c r="AA1103" s="196"/>
      <c r="AB1103" s="196"/>
      <c r="AC1103" s="196"/>
      <c r="AD1103" s="196"/>
      <c r="AE1103" s="196"/>
      <c r="AF1103" s="196"/>
      <c r="AG1103" s="196"/>
      <c r="AH1103" s="196"/>
      <c r="AI1103" s="196"/>
      <c r="AJ1103" s="197"/>
      <c r="AK1103" s="80"/>
      <c r="AL1103" s="80"/>
      <c r="AM1103" s="73"/>
      <c r="AN1103" s="73"/>
      <c r="AO1103" s="73"/>
      <c r="AP1103" s="73"/>
      <c r="AQ1103" s="73"/>
      <c r="AR1103" s="73"/>
      <c r="AS1103" s="73"/>
      <c r="AT1103" s="73"/>
      <c r="AU1103" s="73"/>
      <c r="AV1103" s="73"/>
      <c r="AW1103" s="73"/>
      <c r="AX1103" s="73"/>
      <c r="AY1103" s="73"/>
      <c r="AZ1103" s="73"/>
      <c r="BA1103" s="73"/>
      <c r="BB1103" s="73"/>
      <c r="BC1103" s="73"/>
      <c r="BD1103" s="73"/>
      <c r="BE1103" s="73"/>
      <c r="BF1103" s="73"/>
      <c r="BG1103" s="73"/>
      <c r="BH1103" s="73"/>
      <c r="BI1103" s="73"/>
      <c r="BJ1103" s="73"/>
      <c r="BK1103" s="73"/>
      <c r="BL1103" s="73"/>
      <c r="BM1103" s="73"/>
      <c r="BN1103" s="73"/>
      <c r="BO1103" s="73"/>
      <c r="BP1103" s="73"/>
      <c r="BQ1103" s="73"/>
      <c r="BR1103" s="73"/>
      <c r="BS1103" s="73"/>
      <c r="BT1103" s="73"/>
      <c r="BU1103" s="73"/>
      <c r="BV1103" s="73"/>
      <c r="BW1103" s="73"/>
      <c r="BX1103" s="73"/>
      <c r="BY1103" s="73"/>
      <c r="BZ1103" s="73"/>
      <c r="CA1103" s="73"/>
      <c r="CB1103" s="73"/>
      <c r="CC1103" s="73"/>
      <c r="CD1103" s="73"/>
      <c r="CE1103" s="73"/>
      <c r="CF1103" s="73"/>
      <c r="CG1103" s="73"/>
      <c r="CH1103" s="73"/>
    </row>
    <row r="1104">
      <c r="A1104" s="80"/>
      <c r="B1104" s="80"/>
      <c r="C1104" s="80"/>
      <c r="D1104" s="80"/>
      <c r="E1104" s="124"/>
      <c r="F1104" s="80"/>
      <c r="G1104" s="80"/>
      <c r="H1104" s="80"/>
      <c r="I1104" s="80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6"/>
      <c r="V1104" s="196"/>
      <c r="W1104" s="196"/>
      <c r="X1104" s="196"/>
      <c r="Y1104" s="196"/>
      <c r="Z1104" s="196"/>
      <c r="AA1104" s="196"/>
      <c r="AB1104" s="196"/>
      <c r="AC1104" s="196"/>
      <c r="AD1104" s="196"/>
      <c r="AE1104" s="196"/>
      <c r="AF1104" s="196"/>
      <c r="AG1104" s="196"/>
      <c r="AH1104" s="196"/>
      <c r="AI1104" s="196"/>
      <c r="AJ1104" s="197"/>
      <c r="AK1104" s="80"/>
      <c r="AL1104" s="80"/>
      <c r="AM1104" s="73"/>
      <c r="AN1104" s="73"/>
      <c r="AO1104" s="73"/>
      <c r="AP1104" s="73"/>
      <c r="AQ1104" s="73"/>
      <c r="AR1104" s="73"/>
      <c r="AS1104" s="73"/>
      <c r="AT1104" s="73"/>
      <c r="AU1104" s="73"/>
      <c r="AV1104" s="73"/>
      <c r="AW1104" s="73"/>
      <c r="AX1104" s="73"/>
      <c r="AY1104" s="73"/>
      <c r="AZ1104" s="73"/>
      <c r="BA1104" s="73"/>
      <c r="BB1104" s="73"/>
      <c r="BC1104" s="73"/>
      <c r="BD1104" s="73"/>
      <c r="BE1104" s="73"/>
      <c r="BF1104" s="73"/>
      <c r="BG1104" s="73"/>
      <c r="BH1104" s="73"/>
      <c r="BI1104" s="73"/>
      <c r="BJ1104" s="73"/>
      <c r="BK1104" s="73"/>
      <c r="BL1104" s="73"/>
      <c r="BM1104" s="73"/>
      <c r="BN1104" s="73"/>
      <c r="BO1104" s="73"/>
      <c r="BP1104" s="73"/>
      <c r="BQ1104" s="73"/>
      <c r="BR1104" s="73"/>
      <c r="BS1104" s="73"/>
      <c r="BT1104" s="73"/>
      <c r="BU1104" s="73"/>
      <c r="BV1104" s="73"/>
      <c r="BW1104" s="73"/>
      <c r="BX1104" s="73"/>
      <c r="BY1104" s="73"/>
      <c r="BZ1104" s="73"/>
      <c r="CA1104" s="73"/>
      <c r="CB1104" s="73"/>
      <c r="CC1104" s="73"/>
      <c r="CD1104" s="73"/>
      <c r="CE1104" s="73"/>
      <c r="CF1104" s="73"/>
      <c r="CG1104" s="73"/>
      <c r="CH1104" s="73"/>
    </row>
    <row r="1105">
      <c r="A1105" s="80"/>
      <c r="B1105" s="80"/>
      <c r="C1105" s="80"/>
      <c r="D1105" s="80"/>
      <c r="E1105" s="124"/>
      <c r="F1105" s="80"/>
      <c r="G1105" s="80"/>
      <c r="H1105" s="80"/>
      <c r="I1105" s="80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6"/>
      <c r="V1105" s="196"/>
      <c r="W1105" s="196"/>
      <c r="X1105" s="196"/>
      <c r="Y1105" s="196"/>
      <c r="Z1105" s="196"/>
      <c r="AA1105" s="196"/>
      <c r="AB1105" s="196"/>
      <c r="AC1105" s="196"/>
      <c r="AD1105" s="196"/>
      <c r="AE1105" s="196"/>
      <c r="AF1105" s="196"/>
      <c r="AG1105" s="196"/>
      <c r="AH1105" s="196"/>
      <c r="AI1105" s="196"/>
      <c r="AJ1105" s="197"/>
      <c r="AK1105" s="80"/>
      <c r="AL1105" s="80"/>
      <c r="AM1105" s="73"/>
      <c r="AN1105" s="73"/>
      <c r="AO1105" s="73"/>
      <c r="AP1105" s="73"/>
      <c r="AQ1105" s="73"/>
      <c r="AR1105" s="73"/>
      <c r="AS1105" s="73"/>
      <c r="AT1105" s="73"/>
      <c r="AU1105" s="73"/>
      <c r="AV1105" s="73"/>
      <c r="AW1105" s="73"/>
      <c r="AX1105" s="73"/>
      <c r="AY1105" s="73"/>
      <c r="AZ1105" s="73"/>
      <c r="BA1105" s="73"/>
      <c r="BB1105" s="73"/>
      <c r="BC1105" s="73"/>
      <c r="BD1105" s="73"/>
      <c r="BE1105" s="73"/>
      <c r="BF1105" s="73"/>
      <c r="BG1105" s="73"/>
      <c r="BH1105" s="73"/>
      <c r="BI1105" s="73"/>
      <c r="BJ1105" s="73"/>
      <c r="BK1105" s="73"/>
      <c r="BL1105" s="73"/>
      <c r="BM1105" s="73"/>
      <c r="BN1105" s="73"/>
      <c r="BO1105" s="73"/>
      <c r="BP1105" s="73"/>
      <c r="BQ1105" s="73"/>
      <c r="BR1105" s="73"/>
      <c r="BS1105" s="73"/>
      <c r="BT1105" s="73"/>
      <c r="BU1105" s="73"/>
      <c r="BV1105" s="73"/>
      <c r="BW1105" s="73"/>
      <c r="BX1105" s="73"/>
      <c r="BY1105" s="73"/>
      <c r="BZ1105" s="73"/>
      <c r="CA1105" s="73"/>
      <c r="CB1105" s="73"/>
      <c r="CC1105" s="73"/>
      <c r="CD1105" s="73"/>
      <c r="CE1105" s="73"/>
      <c r="CF1105" s="73"/>
      <c r="CG1105" s="73"/>
      <c r="CH1105" s="73"/>
    </row>
    <row r="1106">
      <c r="A1106" s="80"/>
      <c r="B1106" s="80"/>
      <c r="C1106" s="80"/>
      <c r="D1106" s="80"/>
      <c r="E1106" s="124"/>
      <c r="F1106" s="80"/>
      <c r="G1106" s="80"/>
      <c r="H1106" s="80"/>
      <c r="I1106" s="80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6"/>
      <c r="V1106" s="196"/>
      <c r="W1106" s="196"/>
      <c r="X1106" s="196"/>
      <c r="Y1106" s="196"/>
      <c r="Z1106" s="196"/>
      <c r="AA1106" s="196"/>
      <c r="AB1106" s="196"/>
      <c r="AC1106" s="196"/>
      <c r="AD1106" s="196"/>
      <c r="AE1106" s="196"/>
      <c r="AF1106" s="196"/>
      <c r="AG1106" s="196"/>
      <c r="AH1106" s="196"/>
      <c r="AI1106" s="196"/>
      <c r="AJ1106" s="197"/>
      <c r="AK1106" s="80"/>
      <c r="AL1106" s="80"/>
      <c r="AM1106" s="73"/>
      <c r="AN1106" s="73"/>
      <c r="AO1106" s="73"/>
      <c r="AP1106" s="73"/>
      <c r="AQ1106" s="73"/>
      <c r="AR1106" s="73"/>
      <c r="AS1106" s="73"/>
      <c r="AT1106" s="73"/>
      <c r="AU1106" s="73"/>
      <c r="AV1106" s="73"/>
      <c r="AW1106" s="73"/>
      <c r="AX1106" s="73"/>
      <c r="AY1106" s="73"/>
      <c r="AZ1106" s="73"/>
      <c r="BA1106" s="73"/>
      <c r="BB1106" s="73"/>
      <c r="BC1106" s="73"/>
      <c r="BD1106" s="73"/>
      <c r="BE1106" s="73"/>
      <c r="BF1106" s="73"/>
      <c r="BG1106" s="73"/>
      <c r="BH1106" s="73"/>
      <c r="BI1106" s="73"/>
      <c r="BJ1106" s="73"/>
      <c r="BK1106" s="73"/>
      <c r="BL1106" s="73"/>
      <c r="BM1106" s="73"/>
      <c r="BN1106" s="73"/>
      <c r="BO1106" s="73"/>
      <c r="BP1106" s="73"/>
      <c r="BQ1106" s="73"/>
      <c r="BR1106" s="73"/>
      <c r="BS1106" s="73"/>
      <c r="BT1106" s="73"/>
      <c r="BU1106" s="73"/>
      <c r="BV1106" s="73"/>
      <c r="BW1106" s="73"/>
      <c r="BX1106" s="73"/>
      <c r="BY1106" s="73"/>
      <c r="BZ1106" s="73"/>
      <c r="CA1106" s="73"/>
      <c r="CB1106" s="73"/>
      <c r="CC1106" s="73"/>
      <c r="CD1106" s="73"/>
      <c r="CE1106" s="73"/>
      <c r="CF1106" s="73"/>
      <c r="CG1106" s="73"/>
      <c r="CH1106" s="73"/>
    </row>
    <row r="1107">
      <c r="A1107" s="80"/>
      <c r="B1107" s="80"/>
      <c r="C1107" s="80"/>
      <c r="D1107" s="80"/>
      <c r="E1107" s="124"/>
      <c r="F1107" s="80"/>
      <c r="G1107" s="80"/>
      <c r="H1107" s="80"/>
      <c r="I1107" s="80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6"/>
      <c r="V1107" s="196"/>
      <c r="W1107" s="196"/>
      <c r="X1107" s="196"/>
      <c r="Y1107" s="196"/>
      <c r="Z1107" s="196"/>
      <c r="AA1107" s="196"/>
      <c r="AB1107" s="196"/>
      <c r="AC1107" s="196"/>
      <c r="AD1107" s="196"/>
      <c r="AE1107" s="196"/>
      <c r="AF1107" s="196"/>
      <c r="AG1107" s="196"/>
      <c r="AH1107" s="196"/>
      <c r="AI1107" s="196"/>
      <c r="AJ1107" s="197"/>
      <c r="AK1107" s="80"/>
      <c r="AL1107" s="80"/>
      <c r="AM1107" s="73"/>
      <c r="AN1107" s="73"/>
      <c r="AO1107" s="73"/>
      <c r="AP1107" s="73"/>
      <c r="AQ1107" s="73"/>
      <c r="AR1107" s="73"/>
      <c r="AS1107" s="73"/>
      <c r="AT1107" s="73"/>
      <c r="AU1107" s="73"/>
      <c r="AV1107" s="73"/>
      <c r="AW1107" s="73"/>
      <c r="AX1107" s="73"/>
      <c r="AY1107" s="73"/>
      <c r="AZ1107" s="73"/>
      <c r="BA1107" s="73"/>
      <c r="BB1107" s="73"/>
      <c r="BC1107" s="73"/>
      <c r="BD1107" s="73"/>
      <c r="BE1107" s="73"/>
      <c r="BF1107" s="73"/>
      <c r="BG1107" s="73"/>
      <c r="BH1107" s="73"/>
      <c r="BI1107" s="73"/>
      <c r="BJ1107" s="73"/>
      <c r="BK1107" s="73"/>
      <c r="BL1107" s="73"/>
      <c r="BM1107" s="73"/>
      <c r="BN1107" s="73"/>
      <c r="BO1107" s="73"/>
      <c r="BP1107" s="73"/>
      <c r="BQ1107" s="73"/>
      <c r="BR1107" s="73"/>
      <c r="BS1107" s="73"/>
      <c r="BT1107" s="73"/>
      <c r="BU1107" s="73"/>
      <c r="BV1107" s="73"/>
      <c r="BW1107" s="73"/>
      <c r="BX1107" s="73"/>
      <c r="BY1107" s="73"/>
      <c r="BZ1107" s="73"/>
      <c r="CA1107" s="73"/>
      <c r="CB1107" s="73"/>
      <c r="CC1107" s="73"/>
      <c r="CD1107" s="73"/>
      <c r="CE1107" s="73"/>
      <c r="CF1107" s="73"/>
      <c r="CG1107" s="73"/>
      <c r="CH1107" s="73"/>
    </row>
    <row r="1108">
      <c r="A1108" s="80"/>
      <c r="B1108" s="80"/>
      <c r="C1108" s="80"/>
      <c r="D1108" s="80"/>
      <c r="E1108" s="124"/>
      <c r="F1108" s="80"/>
      <c r="G1108" s="80"/>
      <c r="H1108" s="80"/>
      <c r="I1108" s="80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6"/>
      <c r="V1108" s="196"/>
      <c r="W1108" s="196"/>
      <c r="X1108" s="196"/>
      <c r="Y1108" s="196"/>
      <c r="Z1108" s="196"/>
      <c r="AA1108" s="196"/>
      <c r="AB1108" s="196"/>
      <c r="AC1108" s="196"/>
      <c r="AD1108" s="196"/>
      <c r="AE1108" s="196"/>
      <c r="AF1108" s="196"/>
      <c r="AG1108" s="196"/>
      <c r="AH1108" s="196"/>
      <c r="AI1108" s="196"/>
      <c r="AJ1108" s="197"/>
      <c r="AK1108" s="80"/>
      <c r="AL1108" s="80"/>
      <c r="AM1108" s="73"/>
      <c r="AN1108" s="73"/>
      <c r="AO1108" s="73"/>
      <c r="AP1108" s="73"/>
      <c r="AQ1108" s="73"/>
      <c r="AR1108" s="73"/>
      <c r="AS1108" s="73"/>
      <c r="AT1108" s="73"/>
      <c r="AU1108" s="73"/>
      <c r="AV1108" s="73"/>
      <c r="AW1108" s="73"/>
      <c r="AX1108" s="73"/>
      <c r="AY1108" s="73"/>
      <c r="AZ1108" s="73"/>
      <c r="BA1108" s="73"/>
      <c r="BB1108" s="73"/>
      <c r="BC1108" s="73"/>
      <c r="BD1108" s="73"/>
      <c r="BE1108" s="73"/>
      <c r="BF1108" s="73"/>
      <c r="BG1108" s="73"/>
      <c r="BH1108" s="73"/>
      <c r="BI1108" s="73"/>
      <c r="BJ1108" s="73"/>
      <c r="BK1108" s="73"/>
      <c r="BL1108" s="73"/>
      <c r="BM1108" s="73"/>
      <c r="BN1108" s="73"/>
      <c r="BO1108" s="73"/>
      <c r="BP1108" s="73"/>
      <c r="BQ1108" s="73"/>
      <c r="BR1108" s="73"/>
      <c r="BS1108" s="73"/>
      <c r="BT1108" s="73"/>
      <c r="BU1108" s="73"/>
      <c r="BV1108" s="73"/>
      <c r="BW1108" s="73"/>
      <c r="BX1108" s="73"/>
      <c r="BY1108" s="73"/>
      <c r="BZ1108" s="73"/>
      <c r="CA1108" s="73"/>
      <c r="CB1108" s="73"/>
      <c r="CC1108" s="73"/>
      <c r="CD1108" s="73"/>
      <c r="CE1108" s="73"/>
      <c r="CF1108" s="73"/>
      <c r="CG1108" s="73"/>
      <c r="CH1108" s="73"/>
    </row>
    <row r="1109">
      <c r="A1109" s="80"/>
      <c r="B1109" s="80"/>
      <c r="C1109" s="80"/>
      <c r="D1109" s="80"/>
      <c r="E1109" s="124"/>
      <c r="F1109" s="80"/>
      <c r="G1109" s="80"/>
      <c r="H1109" s="80"/>
      <c r="I1109" s="80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6"/>
      <c r="V1109" s="196"/>
      <c r="W1109" s="196"/>
      <c r="X1109" s="196"/>
      <c r="Y1109" s="196"/>
      <c r="Z1109" s="196"/>
      <c r="AA1109" s="196"/>
      <c r="AB1109" s="196"/>
      <c r="AC1109" s="196"/>
      <c r="AD1109" s="196"/>
      <c r="AE1109" s="196"/>
      <c r="AF1109" s="196"/>
      <c r="AG1109" s="196"/>
      <c r="AH1109" s="196"/>
      <c r="AI1109" s="196"/>
      <c r="AJ1109" s="197"/>
      <c r="AK1109" s="80"/>
      <c r="AL1109" s="80"/>
      <c r="AM1109" s="73"/>
      <c r="AN1109" s="73"/>
      <c r="AO1109" s="73"/>
      <c r="AP1109" s="73"/>
      <c r="AQ1109" s="73"/>
      <c r="AR1109" s="73"/>
      <c r="AS1109" s="73"/>
      <c r="AT1109" s="73"/>
      <c r="AU1109" s="73"/>
      <c r="AV1109" s="73"/>
      <c r="AW1109" s="73"/>
      <c r="AX1109" s="73"/>
      <c r="AY1109" s="73"/>
      <c r="AZ1109" s="73"/>
      <c r="BA1109" s="73"/>
      <c r="BB1109" s="73"/>
      <c r="BC1109" s="73"/>
      <c r="BD1109" s="73"/>
      <c r="BE1109" s="73"/>
      <c r="BF1109" s="73"/>
      <c r="BG1109" s="73"/>
      <c r="BH1109" s="73"/>
      <c r="BI1109" s="73"/>
      <c r="BJ1109" s="73"/>
      <c r="BK1109" s="73"/>
      <c r="BL1109" s="73"/>
      <c r="BM1109" s="73"/>
      <c r="BN1109" s="73"/>
      <c r="BO1109" s="73"/>
      <c r="BP1109" s="73"/>
      <c r="BQ1109" s="73"/>
      <c r="BR1109" s="73"/>
      <c r="BS1109" s="73"/>
      <c r="BT1109" s="73"/>
      <c r="BU1109" s="73"/>
      <c r="BV1109" s="73"/>
      <c r="BW1109" s="73"/>
      <c r="BX1109" s="73"/>
      <c r="BY1109" s="73"/>
      <c r="BZ1109" s="73"/>
      <c r="CA1109" s="73"/>
      <c r="CB1109" s="73"/>
      <c r="CC1109" s="73"/>
      <c r="CD1109" s="73"/>
      <c r="CE1109" s="73"/>
      <c r="CF1109" s="73"/>
      <c r="CG1109" s="73"/>
      <c r="CH1109" s="73"/>
    </row>
    <row r="1110">
      <c r="A1110" s="80"/>
      <c r="B1110" s="80"/>
      <c r="C1110" s="80"/>
      <c r="D1110" s="80"/>
      <c r="E1110" s="124"/>
      <c r="F1110" s="80"/>
      <c r="G1110" s="80"/>
      <c r="H1110" s="80"/>
      <c r="I1110" s="80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6"/>
      <c r="V1110" s="196"/>
      <c r="W1110" s="196"/>
      <c r="X1110" s="196"/>
      <c r="Y1110" s="196"/>
      <c r="Z1110" s="196"/>
      <c r="AA1110" s="196"/>
      <c r="AB1110" s="196"/>
      <c r="AC1110" s="196"/>
      <c r="AD1110" s="196"/>
      <c r="AE1110" s="196"/>
      <c r="AF1110" s="196"/>
      <c r="AG1110" s="196"/>
      <c r="AH1110" s="196"/>
      <c r="AI1110" s="196"/>
      <c r="AJ1110" s="197"/>
      <c r="AK1110" s="80"/>
      <c r="AL1110" s="80"/>
      <c r="AM1110" s="73"/>
      <c r="AN1110" s="73"/>
      <c r="AO1110" s="73"/>
      <c r="AP1110" s="73"/>
      <c r="AQ1110" s="73"/>
      <c r="AR1110" s="73"/>
      <c r="AS1110" s="73"/>
      <c r="AT1110" s="73"/>
      <c r="AU1110" s="73"/>
      <c r="AV1110" s="73"/>
      <c r="AW1110" s="73"/>
      <c r="AX1110" s="73"/>
      <c r="AY1110" s="73"/>
      <c r="AZ1110" s="73"/>
      <c r="BA1110" s="73"/>
      <c r="BB1110" s="73"/>
      <c r="BC1110" s="73"/>
      <c r="BD1110" s="73"/>
      <c r="BE1110" s="73"/>
      <c r="BF1110" s="73"/>
      <c r="BG1110" s="73"/>
      <c r="BH1110" s="73"/>
      <c r="BI1110" s="73"/>
      <c r="BJ1110" s="73"/>
      <c r="BK1110" s="73"/>
      <c r="BL1110" s="73"/>
      <c r="BM1110" s="73"/>
      <c r="BN1110" s="73"/>
      <c r="BO1110" s="73"/>
      <c r="BP1110" s="73"/>
      <c r="BQ1110" s="73"/>
      <c r="BR1110" s="73"/>
      <c r="BS1110" s="73"/>
      <c r="BT1110" s="73"/>
      <c r="BU1110" s="73"/>
      <c r="BV1110" s="73"/>
      <c r="BW1110" s="73"/>
      <c r="BX1110" s="73"/>
      <c r="BY1110" s="73"/>
      <c r="BZ1110" s="73"/>
      <c r="CA1110" s="73"/>
      <c r="CB1110" s="73"/>
      <c r="CC1110" s="73"/>
      <c r="CD1110" s="73"/>
      <c r="CE1110" s="73"/>
      <c r="CF1110" s="73"/>
      <c r="CG1110" s="73"/>
      <c r="CH1110" s="73"/>
    </row>
    <row r="1111">
      <c r="A1111" s="80"/>
      <c r="B1111" s="80"/>
      <c r="C1111" s="80"/>
      <c r="D1111" s="80"/>
      <c r="E1111" s="124"/>
      <c r="F1111" s="80"/>
      <c r="G1111" s="80"/>
      <c r="H1111" s="80"/>
      <c r="I1111" s="80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6"/>
      <c r="V1111" s="196"/>
      <c r="W1111" s="196"/>
      <c r="X1111" s="196"/>
      <c r="Y1111" s="196"/>
      <c r="Z1111" s="196"/>
      <c r="AA1111" s="196"/>
      <c r="AB1111" s="196"/>
      <c r="AC1111" s="196"/>
      <c r="AD1111" s="196"/>
      <c r="AE1111" s="196"/>
      <c r="AF1111" s="196"/>
      <c r="AG1111" s="196"/>
      <c r="AH1111" s="196"/>
      <c r="AI1111" s="196"/>
      <c r="AJ1111" s="197"/>
      <c r="AK1111" s="80"/>
      <c r="AL1111" s="80"/>
      <c r="AM1111" s="73"/>
      <c r="AN1111" s="73"/>
      <c r="AO1111" s="73"/>
      <c r="AP1111" s="73"/>
      <c r="AQ1111" s="73"/>
      <c r="AR1111" s="73"/>
      <c r="AS1111" s="73"/>
      <c r="AT1111" s="73"/>
      <c r="AU1111" s="73"/>
      <c r="AV1111" s="73"/>
      <c r="AW1111" s="73"/>
      <c r="AX1111" s="73"/>
      <c r="AY1111" s="73"/>
      <c r="AZ1111" s="73"/>
      <c r="BA1111" s="73"/>
      <c r="BB1111" s="73"/>
      <c r="BC1111" s="73"/>
      <c r="BD1111" s="73"/>
      <c r="BE1111" s="73"/>
      <c r="BF1111" s="73"/>
      <c r="BG1111" s="73"/>
      <c r="BH1111" s="73"/>
      <c r="BI1111" s="73"/>
      <c r="BJ1111" s="73"/>
      <c r="BK1111" s="73"/>
      <c r="BL1111" s="73"/>
      <c r="BM1111" s="73"/>
      <c r="BN1111" s="73"/>
      <c r="BO1111" s="73"/>
      <c r="BP1111" s="73"/>
      <c r="BQ1111" s="73"/>
      <c r="BR1111" s="73"/>
      <c r="BS1111" s="73"/>
      <c r="BT1111" s="73"/>
      <c r="BU1111" s="73"/>
      <c r="BV1111" s="73"/>
      <c r="BW1111" s="73"/>
      <c r="BX1111" s="73"/>
      <c r="BY1111" s="73"/>
      <c r="BZ1111" s="73"/>
      <c r="CA1111" s="73"/>
      <c r="CB1111" s="73"/>
      <c r="CC1111" s="73"/>
      <c r="CD1111" s="73"/>
      <c r="CE1111" s="73"/>
      <c r="CF1111" s="73"/>
      <c r="CG1111" s="73"/>
      <c r="CH1111" s="73"/>
    </row>
    <row r="1112">
      <c r="A1112" s="80"/>
      <c r="B1112" s="80"/>
      <c r="C1112" s="80"/>
      <c r="D1112" s="80"/>
      <c r="E1112" s="124"/>
      <c r="F1112" s="80"/>
      <c r="G1112" s="80"/>
      <c r="H1112" s="80"/>
      <c r="I1112" s="80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6"/>
      <c r="V1112" s="196"/>
      <c r="W1112" s="196"/>
      <c r="X1112" s="196"/>
      <c r="Y1112" s="196"/>
      <c r="Z1112" s="196"/>
      <c r="AA1112" s="196"/>
      <c r="AB1112" s="196"/>
      <c r="AC1112" s="196"/>
      <c r="AD1112" s="196"/>
      <c r="AE1112" s="196"/>
      <c r="AF1112" s="196"/>
      <c r="AG1112" s="196"/>
      <c r="AH1112" s="196"/>
      <c r="AI1112" s="196"/>
      <c r="AJ1112" s="197"/>
      <c r="AK1112" s="80"/>
      <c r="AL1112" s="80"/>
      <c r="AM1112" s="73"/>
      <c r="AN1112" s="73"/>
      <c r="AO1112" s="73"/>
      <c r="AP1112" s="73"/>
      <c r="AQ1112" s="73"/>
      <c r="AR1112" s="73"/>
      <c r="AS1112" s="73"/>
      <c r="AT1112" s="73"/>
      <c r="AU1112" s="73"/>
      <c r="AV1112" s="73"/>
      <c r="AW1112" s="73"/>
      <c r="AX1112" s="73"/>
      <c r="AY1112" s="73"/>
      <c r="AZ1112" s="73"/>
      <c r="BA1112" s="73"/>
      <c r="BB1112" s="73"/>
      <c r="BC1112" s="73"/>
      <c r="BD1112" s="73"/>
      <c r="BE1112" s="73"/>
      <c r="BF1112" s="73"/>
      <c r="BG1112" s="73"/>
      <c r="BH1112" s="73"/>
      <c r="BI1112" s="73"/>
      <c r="BJ1112" s="73"/>
      <c r="BK1112" s="73"/>
      <c r="BL1112" s="73"/>
      <c r="BM1112" s="73"/>
      <c r="BN1112" s="73"/>
      <c r="BO1112" s="73"/>
      <c r="BP1112" s="73"/>
      <c r="BQ1112" s="73"/>
      <c r="BR1112" s="73"/>
      <c r="BS1112" s="73"/>
      <c r="BT1112" s="73"/>
      <c r="BU1112" s="73"/>
      <c r="BV1112" s="73"/>
      <c r="BW1112" s="73"/>
      <c r="BX1112" s="73"/>
      <c r="BY1112" s="73"/>
      <c r="BZ1112" s="73"/>
      <c r="CA1112" s="73"/>
      <c r="CB1112" s="73"/>
      <c r="CC1112" s="73"/>
      <c r="CD1112" s="73"/>
      <c r="CE1112" s="73"/>
      <c r="CF1112" s="73"/>
      <c r="CG1112" s="73"/>
      <c r="CH1112" s="73"/>
    </row>
    <row r="1113">
      <c r="A1113" s="80"/>
      <c r="B1113" s="80"/>
      <c r="C1113" s="80"/>
      <c r="D1113" s="80"/>
      <c r="E1113" s="124"/>
      <c r="F1113" s="80"/>
      <c r="G1113" s="80"/>
      <c r="H1113" s="80"/>
      <c r="I1113" s="80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6"/>
      <c r="V1113" s="196"/>
      <c r="W1113" s="196"/>
      <c r="X1113" s="196"/>
      <c r="Y1113" s="196"/>
      <c r="Z1113" s="196"/>
      <c r="AA1113" s="196"/>
      <c r="AB1113" s="196"/>
      <c r="AC1113" s="196"/>
      <c r="AD1113" s="196"/>
      <c r="AE1113" s="196"/>
      <c r="AF1113" s="196"/>
      <c r="AG1113" s="196"/>
      <c r="AH1113" s="196"/>
      <c r="AI1113" s="196"/>
      <c r="AJ1113" s="197"/>
      <c r="AK1113" s="80"/>
      <c r="AL1113" s="80"/>
      <c r="AM1113" s="73"/>
      <c r="AN1113" s="73"/>
      <c r="AO1113" s="73"/>
      <c r="AP1113" s="73"/>
      <c r="AQ1113" s="73"/>
      <c r="AR1113" s="73"/>
      <c r="AS1113" s="73"/>
      <c r="AT1113" s="73"/>
      <c r="AU1113" s="73"/>
      <c r="AV1113" s="73"/>
      <c r="AW1113" s="73"/>
      <c r="AX1113" s="73"/>
      <c r="AY1113" s="73"/>
      <c r="AZ1113" s="73"/>
      <c r="BA1113" s="73"/>
      <c r="BB1113" s="73"/>
      <c r="BC1113" s="73"/>
      <c r="BD1113" s="73"/>
      <c r="BE1113" s="73"/>
      <c r="BF1113" s="73"/>
      <c r="BG1113" s="73"/>
      <c r="BH1113" s="73"/>
      <c r="BI1113" s="73"/>
      <c r="BJ1113" s="73"/>
      <c r="BK1113" s="73"/>
      <c r="BL1113" s="73"/>
      <c r="BM1113" s="73"/>
      <c r="BN1113" s="73"/>
      <c r="BO1113" s="73"/>
      <c r="BP1113" s="73"/>
      <c r="BQ1113" s="73"/>
      <c r="BR1113" s="73"/>
      <c r="BS1113" s="73"/>
      <c r="BT1113" s="73"/>
      <c r="BU1113" s="73"/>
      <c r="BV1113" s="73"/>
      <c r="BW1113" s="73"/>
      <c r="BX1113" s="73"/>
      <c r="BY1113" s="73"/>
      <c r="BZ1113" s="73"/>
      <c r="CA1113" s="73"/>
      <c r="CB1113" s="73"/>
      <c r="CC1113" s="73"/>
      <c r="CD1113" s="73"/>
      <c r="CE1113" s="73"/>
      <c r="CF1113" s="73"/>
      <c r="CG1113" s="73"/>
      <c r="CH1113" s="73"/>
    </row>
    <row r="1114">
      <c r="A1114" s="80"/>
      <c r="B1114" s="80"/>
      <c r="C1114" s="80"/>
      <c r="D1114" s="80"/>
      <c r="E1114" s="124"/>
      <c r="F1114" s="80"/>
      <c r="G1114" s="80"/>
      <c r="H1114" s="80"/>
      <c r="I1114" s="80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6"/>
      <c r="V1114" s="196"/>
      <c r="W1114" s="196"/>
      <c r="X1114" s="196"/>
      <c r="Y1114" s="196"/>
      <c r="Z1114" s="196"/>
      <c r="AA1114" s="196"/>
      <c r="AB1114" s="196"/>
      <c r="AC1114" s="196"/>
      <c r="AD1114" s="196"/>
      <c r="AE1114" s="196"/>
      <c r="AF1114" s="196"/>
      <c r="AG1114" s="196"/>
      <c r="AH1114" s="196"/>
      <c r="AI1114" s="196"/>
      <c r="AJ1114" s="197"/>
      <c r="AK1114" s="80"/>
      <c r="AL1114" s="80"/>
      <c r="AM1114" s="73"/>
      <c r="AN1114" s="73"/>
      <c r="AO1114" s="73"/>
      <c r="AP1114" s="73"/>
      <c r="AQ1114" s="73"/>
      <c r="AR1114" s="73"/>
      <c r="AS1114" s="73"/>
      <c r="AT1114" s="73"/>
      <c r="AU1114" s="73"/>
      <c r="AV1114" s="73"/>
      <c r="AW1114" s="73"/>
      <c r="AX1114" s="73"/>
      <c r="AY1114" s="73"/>
      <c r="AZ1114" s="73"/>
      <c r="BA1114" s="73"/>
      <c r="BB1114" s="73"/>
      <c r="BC1114" s="73"/>
      <c r="BD1114" s="73"/>
      <c r="BE1114" s="73"/>
      <c r="BF1114" s="73"/>
      <c r="BG1114" s="73"/>
      <c r="BH1114" s="73"/>
      <c r="BI1114" s="73"/>
      <c r="BJ1114" s="73"/>
      <c r="BK1114" s="73"/>
      <c r="BL1114" s="73"/>
      <c r="BM1114" s="73"/>
      <c r="BN1114" s="73"/>
      <c r="BO1114" s="73"/>
      <c r="BP1114" s="73"/>
      <c r="BQ1114" s="73"/>
      <c r="BR1114" s="73"/>
      <c r="BS1114" s="73"/>
      <c r="BT1114" s="73"/>
      <c r="BU1114" s="73"/>
      <c r="BV1114" s="73"/>
      <c r="BW1114" s="73"/>
      <c r="BX1114" s="73"/>
      <c r="BY1114" s="73"/>
      <c r="BZ1114" s="73"/>
      <c r="CA1114" s="73"/>
      <c r="CB1114" s="73"/>
      <c r="CC1114" s="73"/>
      <c r="CD1114" s="73"/>
      <c r="CE1114" s="73"/>
      <c r="CF1114" s="73"/>
      <c r="CG1114" s="73"/>
      <c r="CH1114" s="73"/>
    </row>
    <row r="1115">
      <c r="A1115" s="80"/>
      <c r="B1115" s="80"/>
      <c r="C1115" s="80"/>
      <c r="D1115" s="80"/>
      <c r="E1115" s="124"/>
      <c r="F1115" s="80"/>
      <c r="G1115" s="80"/>
      <c r="H1115" s="80"/>
      <c r="I1115" s="80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6"/>
      <c r="V1115" s="196"/>
      <c r="W1115" s="196"/>
      <c r="X1115" s="196"/>
      <c r="Y1115" s="196"/>
      <c r="Z1115" s="196"/>
      <c r="AA1115" s="196"/>
      <c r="AB1115" s="196"/>
      <c r="AC1115" s="196"/>
      <c r="AD1115" s="196"/>
      <c r="AE1115" s="196"/>
      <c r="AF1115" s="196"/>
      <c r="AG1115" s="196"/>
      <c r="AH1115" s="196"/>
      <c r="AI1115" s="196"/>
      <c r="AJ1115" s="197"/>
      <c r="AK1115" s="80"/>
      <c r="AL1115" s="80"/>
      <c r="AM1115" s="73"/>
      <c r="AN1115" s="73"/>
      <c r="AO1115" s="73"/>
      <c r="AP1115" s="73"/>
      <c r="AQ1115" s="73"/>
      <c r="AR1115" s="73"/>
      <c r="AS1115" s="73"/>
      <c r="AT1115" s="73"/>
      <c r="AU1115" s="73"/>
      <c r="AV1115" s="73"/>
      <c r="AW1115" s="73"/>
      <c r="AX1115" s="73"/>
      <c r="AY1115" s="73"/>
      <c r="AZ1115" s="73"/>
      <c r="BA1115" s="73"/>
      <c r="BB1115" s="73"/>
      <c r="BC1115" s="73"/>
      <c r="BD1115" s="73"/>
      <c r="BE1115" s="73"/>
      <c r="BF1115" s="73"/>
      <c r="BG1115" s="73"/>
      <c r="BH1115" s="73"/>
      <c r="BI1115" s="73"/>
      <c r="BJ1115" s="73"/>
      <c r="BK1115" s="73"/>
      <c r="BL1115" s="73"/>
      <c r="BM1115" s="73"/>
      <c r="BN1115" s="73"/>
      <c r="BO1115" s="73"/>
      <c r="BP1115" s="73"/>
      <c r="BQ1115" s="73"/>
      <c r="BR1115" s="73"/>
      <c r="BS1115" s="73"/>
      <c r="BT1115" s="73"/>
      <c r="BU1115" s="73"/>
      <c r="BV1115" s="73"/>
      <c r="BW1115" s="73"/>
      <c r="BX1115" s="73"/>
      <c r="BY1115" s="73"/>
      <c r="BZ1115" s="73"/>
      <c r="CA1115" s="73"/>
      <c r="CB1115" s="73"/>
      <c r="CC1115" s="73"/>
      <c r="CD1115" s="73"/>
      <c r="CE1115" s="73"/>
      <c r="CF1115" s="73"/>
      <c r="CG1115" s="73"/>
      <c r="CH1115" s="73"/>
    </row>
    <row r="1116">
      <c r="A1116" s="80"/>
      <c r="B1116" s="80"/>
      <c r="C1116" s="80"/>
      <c r="D1116" s="80"/>
      <c r="E1116" s="124"/>
      <c r="F1116" s="80"/>
      <c r="G1116" s="80"/>
      <c r="H1116" s="80"/>
      <c r="I1116" s="80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6"/>
      <c r="V1116" s="196"/>
      <c r="W1116" s="196"/>
      <c r="X1116" s="196"/>
      <c r="Y1116" s="196"/>
      <c r="Z1116" s="196"/>
      <c r="AA1116" s="196"/>
      <c r="AB1116" s="196"/>
      <c r="AC1116" s="196"/>
      <c r="AD1116" s="196"/>
      <c r="AE1116" s="196"/>
      <c r="AF1116" s="196"/>
      <c r="AG1116" s="196"/>
      <c r="AH1116" s="196"/>
      <c r="AI1116" s="196"/>
      <c r="AJ1116" s="197"/>
      <c r="AK1116" s="80"/>
      <c r="AL1116" s="80"/>
      <c r="AM1116" s="73"/>
      <c r="AN1116" s="73"/>
      <c r="AO1116" s="73"/>
      <c r="AP1116" s="73"/>
      <c r="AQ1116" s="73"/>
      <c r="AR1116" s="73"/>
      <c r="AS1116" s="73"/>
      <c r="AT1116" s="73"/>
      <c r="AU1116" s="73"/>
      <c r="AV1116" s="73"/>
      <c r="AW1116" s="73"/>
      <c r="AX1116" s="73"/>
      <c r="AY1116" s="73"/>
      <c r="AZ1116" s="73"/>
      <c r="BA1116" s="73"/>
      <c r="BB1116" s="73"/>
      <c r="BC1116" s="73"/>
      <c r="BD1116" s="73"/>
      <c r="BE1116" s="73"/>
      <c r="BF1116" s="73"/>
      <c r="BG1116" s="73"/>
      <c r="BH1116" s="73"/>
      <c r="BI1116" s="73"/>
      <c r="BJ1116" s="73"/>
      <c r="BK1116" s="73"/>
      <c r="BL1116" s="73"/>
      <c r="BM1116" s="73"/>
      <c r="BN1116" s="73"/>
      <c r="BO1116" s="73"/>
      <c r="BP1116" s="73"/>
      <c r="BQ1116" s="73"/>
      <c r="BR1116" s="73"/>
      <c r="BS1116" s="73"/>
      <c r="BT1116" s="73"/>
      <c r="BU1116" s="73"/>
      <c r="BV1116" s="73"/>
      <c r="BW1116" s="73"/>
      <c r="BX1116" s="73"/>
      <c r="BY1116" s="73"/>
      <c r="BZ1116" s="73"/>
      <c r="CA1116" s="73"/>
      <c r="CB1116" s="73"/>
      <c r="CC1116" s="73"/>
      <c r="CD1116" s="73"/>
      <c r="CE1116" s="73"/>
      <c r="CF1116" s="73"/>
      <c r="CG1116" s="73"/>
      <c r="CH1116" s="73"/>
    </row>
    <row r="1117">
      <c r="A1117" s="80"/>
      <c r="B1117" s="80"/>
      <c r="C1117" s="80"/>
      <c r="D1117" s="80"/>
      <c r="E1117" s="124"/>
      <c r="F1117" s="80"/>
      <c r="G1117" s="80"/>
      <c r="H1117" s="80"/>
      <c r="I1117" s="80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6"/>
      <c r="V1117" s="196"/>
      <c r="W1117" s="196"/>
      <c r="X1117" s="196"/>
      <c r="Y1117" s="196"/>
      <c r="Z1117" s="196"/>
      <c r="AA1117" s="196"/>
      <c r="AB1117" s="196"/>
      <c r="AC1117" s="196"/>
      <c r="AD1117" s="196"/>
      <c r="AE1117" s="196"/>
      <c r="AF1117" s="196"/>
      <c r="AG1117" s="196"/>
      <c r="AH1117" s="196"/>
      <c r="AI1117" s="196"/>
      <c r="AJ1117" s="197"/>
      <c r="AK1117" s="80"/>
      <c r="AL1117" s="80"/>
      <c r="AM1117" s="73"/>
      <c r="AN1117" s="73"/>
      <c r="AO1117" s="73"/>
      <c r="AP1117" s="73"/>
      <c r="AQ1117" s="73"/>
      <c r="AR1117" s="73"/>
      <c r="AS1117" s="73"/>
      <c r="AT1117" s="73"/>
      <c r="AU1117" s="73"/>
      <c r="AV1117" s="73"/>
      <c r="AW1117" s="73"/>
      <c r="AX1117" s="73"/>
      <c r="AY1117" s="73"/>
      <c r="AZ1117" s="73"/>
      <c r="BA1117" s="73"/>
      <c r="BB1117" s="73"/>
      <c r="BC1117" s="73"/>
      <c r="BD1117" s="73"/>
      <c r="BE1117" s="73"/>
      <c r="BF1117" s="73"/>
      <c r="BG1117" s="73"/>
      <c r="BH1117" s="73"/>
      <c r="BI1117" s="73"/>
      <c r="BJ1117" s="73"/>
      <c r="BK1117" s="73"/>
      <c r="BL1117" s="73"/>
      <c r="BM1117" s="73"/>
      <c r="BN1117" s="73"/>
      <c r="BO1117" s="73"/>
      <c r="BP1117" s="73"/>
      <c r="BQ1117" s="73"/>
      <c r="BR1117" s="73"/>
      <c r="BS1117" s="73"/>
      <c r="BT1117" s="73"/>
      <c r="BU1117" s="73"/>
      <c r="BV1117" s="73"/>
      <c r="BW1117" s="73"/>
      <c r="BX1117" s="73"/>
      <c r="BY1117" s="73"/>
      <c r="BZ1117" s="73"/>
      <c r="CA1117" s="73"/>
      <c r="CB1117" s="73"/>
      <c r="CC1117" s="73"/>
      <c r="CD1117" s="73"/>
      <c r="CE1117" s="73"/>
      <c r="CF1117" s="73"/>
      <c r="CG1117" s="73"/>
      <c r="CH1117" s="73"/>
    </row>
    <row r="1118">
      <c r="A1118" s="80"/>
      <c r="B1118" s="80"/>
      <c r="C1118" s="80"/>
      <c r="D1118" s="80"/>
      <c r="E1118" s="124"/>
      <c r="F1118" s="80"/>
      <c r="G1118" s="80"/>
      <c r="H1118" s="80"/>
      <c r="I1118" s="80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6"/>
      <c r="V1118" s="196"/>
      <c r="W1118" s="196"/>
      <c r="X1118" s="196"/>
      <c r="Y1118" s="196"/>
      <c r="Z1118" s="196"/>
      <c r="AA1118" s="196"/>
      <c r="AB1118" s="196"/>
      <c r="AC1118" s="196"/>
      <c r="AD1118" s="196"/>
      <c r="AE1118" s="196"/>
      <c r="AF1118" s="196"/>
      <c r="AG1118" s="196"/>
      <c r="AH1118" s="196"/>
      <c r="AI1118" s="196"/>
      <c r="AJ1118" s="197"/>
      <c r="AK1118" s="80"/>
      <c r="AL1118" s="80"/>
      <c r="AM1118" s="73"/>
      <c r="AN1118" s="73"/>
      <c r="AO1118" s="73"/>
      <c r="AP1118" s="73"/>
      <c r="AQ1118" s="73"/>
      <c r="AR1118" s="73"/>
      <c r="AS1118" s="73"/>
      <c r="AT1118" s="73"/>
      <c r="AU1118" s="73"/>
      <c r="AV1118" s="73"/>
      <c r="AW1118" s="73"/>
      <c r="AX1118" s="73"/>
      <c r="AY1118" s="73"/>
      <c r="AZ1118" s="73"/>
      <c r="BA1118" s="73"/>
      <c r="BB1118" s="73"/>
      <c r="BC1118" s="73"/>
      <c r="BD1118" s="73"/>
      <c r="BE1118" s="73"/>
      <c r="BF1118" s="73"/>
      <c r="BG1118" s="73"/>
      <c r="BH1118" s="73"/>
      <c r="BI1118" s="73"/>
      <c r="BJ1118" s="73"/>
      <c r="BK1118" s="73"/>
      <c r="BL1118" s="73"/>
      <c r="BM1118" s="73"/>
      <c r="BN1118" s="73"/>
      <c r="BO1118" s="73"/>
      <c r="BP1118" s="73"/>
      <c r="BQ1118" s="73"/>
      <c r="BR1118" s="73"/>
      <c r="BS1118" s="73"/>
      <c r="BT1118" s="73"/>
      <c r="BU1118" s="73"/>
      <c r="BV1118" s="73"/>
      <c r="BW1118" s="73"/>
      <c r="BX1118" s="73"/>
      <c r="BY1118" s="73"/>
      <c r="BZ1118" s="73"/>
      <c r="CA1118" s="73"/>
      <c r="CB1118" s="73"/>
      <c r="CC1118" s="73"/>
      <c r="CD1118" s="73"/>
      <c r="CE1118" s="73"/>
      <c r="CF1118" s="73"/>
      <c r="CG1118" s="73"/>
      <c r="CH1118" s="73"/>
    </row>
    <row r="1119">
      <c r="A1119" s="80"/>
      <c r="B1119" s="80"/>
      <c r="C1119" s="80"/>
      <c r="D1119" s="80"/>
      <c r="E1119" s="124"/>
      <c r="F1119" s="80"/>
      <c r="G1119" s="80"/>
      <c r="H1119" s="80"/>
      <c r="I1119" s="80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6"/>
      <c r="V1119" s="196"/>
      <c r="W1119" s="196"/>
      <c r="X1119" s="196"/>
      <c r="Y1119" s="196"/>
      <c r="Z1119" s="196"/>
      <c r="AA1119" s="196"/>
      <c r="AB1119" s="196"/>
      <c r="AC1119" s="196"/>
      <c r="AD1119" s="196"/>
      <c r="AE1119" s="196"/>
      <c r="AF1119" s="196"/>
      <c r="AG1119" s="196"/>
      <c r="AH1119" s="196"/>
      <c r="AI1119" s="196"/>
      <c r="AJ1119" s="197"/>
      <c r="AK1119" s="80"/>
      <c r="AL1119" s="80"/>
      <c r="AM1119" s="73"/>
      <c r="AN1119" s="73"/>
      <c r="AO1119" s="73"/>
      <c r="AP1119" s="73"/>
      <c r="AQ1119" s="73"/>
      <c r="AR1119" s="73"/>
      <c r="AS1119" s="73"/>
      <c r="AT1119" s="73"/>
      <c r="AU1119" s="73"/>
      <c r="AV1119" s="73"/>
      <c r="AW1119" s="73"/>
      <c r="AX1119" s="73"/>
      <c r="AY1119" s="73"/>
      <c r="AZ1119" s="73"/>
      <c r="BA1119" s="73"/>
      <c r="BB1119" s="73"/>
      <c r="BC1119" s="73"/>
      <c r="BD1119" s="73"/>
      <c r="BE1119" s="73"/>
      <c r="BF1119" s="73"/>
      <c r="BG1119" s="73"/>
      <c r="BH1119" s="73"/>
      <c r="BI1119" s="73"/>
      <c r="BJ1119" s="73"/>
      <c r="BK1119" s="73"/>
      <c r="BL1119" s="73"/>
      <c r="BM1119" s="73"/>
      <c r="BN1119" s="73"/>
      <c r="BO1119" s="73"/>
      <c r="BP1119" s="73"/>
      <c r="BQ1119" s="73"/>
      <c r="BR1119" s="73"/>
      <c r="BS1119" s="73"/>
      <c r="BT1119" s="73"/>
      <c r="BU1119" s="73"/>
      <c r="BV1119" s="73"/>
      <c r="BW1119" s="73"/>
      <c r="BX1119" s="73"/>
      <c r="BY1119" s="73"/>
      <c r="BZ1119" s="73"/>
      <c r="CA1119" s="73"/>
      <c r="CB1119" s="73"/>
      <c r="CC1119" s="73"/>
      <c r="CD1119" s="73"/>
      <c r="CE1119" s="73"/>
      <c r="CF1119" s="73"/>
      <c r="CG1119" s="73"/>
      <c r="CH1119" s="73"/>
    </row>
    <row r="1120">
      <c r="A1120" s="80"/>
      <c r="B1120" s="80"/>
      <c r="C1120" s="80"/>
      <c r="D1120" s="80"/>
      <c r="E1120" s="124"/>
      <c r="F1120" s="80"/>
      <c r="G1120" s="80"/>
      <c r="H1120" s="80"/>
      <c r="I1120" s="80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6"/>
      <c r="V1120" s="196"/>
      <c r="W1120" s="196"/>
      <c r="X1120" s="196"/>
      <c r="Y1120" s="196"/>
      <c r="Z1120" s="196"/>
      <c r="AA1120" s="196"/>
      <c r="AB1120" s="196"/>
      <c r="AC1120" s="196"/>
      <c r="AD1120" s="196"/>
      <c r="AE1120" s="196"/>
      <c r="AF1120" s="196"/>
      <c r="AG1120" s="196"/>
      <c r="AH1120" s="196"/>
      <c r="AI1120" s="196"/>
      <c r="AJ1120" s="197"/>
      <c r="AK1120" s="80"/>
      <c r="AL1120" s="80"/>
      <c r="AM1120" s="73"/>
      <c r="AN1120" s="73"/>
      <c r="AO1120" s="73"/>
      <c r="AP1120" s="73"/>
      <c r="AQ1120" s="73"/>
      <c r="AR1120" s="73"/>
      <c r="AS1120" s="73"/>
      <c r="AT1120" s="73"/>
      <c r="AU1120" s="73"/>
      <c r="AV1120" s="73"/>
      <c r="AW1120" s="73"/>
      <c r="AX1120" s="73"/>
      <c r="AY1120" s="73"/>
      <c r="AZ1120" s="73"/>
      <c r="BA1120" s="73"/>
      <c r="BB1120" s="73"/>
      <c r="BC1120" s="73"/>
      <c r="BD1120" s="73"/>
      <c r="BE1120" s="73"/>
      <c r="BF1120" s="73"/>
      <c r="BG1120" s="73"/>
      <c r="BH1120" s="73"/>
      <c r="BI1120" s="73"/>
      <c r="BJ1120" s="73"/>
      <c r="BK1120" s="73"/>
      <c r="BL1120" s="73"/>
      <c r="BM1120" s="73"/>
      <c r="BN1120" s="73"/>
      <c r="BO1120" s="73"/>
      <c r="BP1120" s="73"/>
      <c r="BQ1120" s="73"/>
      <c r="BR1120" s="73"/>
      <c r="BS1120" s="73"/>
      <c r="BT1120" s="73"/>
      <c r="BU1120" s="73"/>
      <c r="BV1120" s="73"/>
      <c r="BW1120" s="73"/>
      <c r="BX1120" s="73"/>
      <c r="BY1120" s="73"/>
      <c r="BZ1120" s="73"/>
      <c r="CA1120" s="73"/>
      <c r="CB1120" s="73"/>
      <c r="CC1120" s="73"/>
      <c r="CD1120" s="73"/>
      <c r="CE1120" s="73"/>
      <c r="CF1120" s="73"/>
      <c r="CG1120" s="73"/>
      <c r="CH1120" s="73"/>
    </row>
    <row r="1121">
      <c r="A1121" s="80"/>
      <c r="B1121" s="80"/>
      <c r="C1121" s="80"/>
      <c r="D1121" s="80"/>
      <c r="E1121" s="124"/>
      <c r="F1121" s="80"/>
      <c r="G1121" s="80"/>
      <c r="H1121" s="80"/>
      <c r="I1121" s="80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6"/>
      <c r="V1121" s="196"/>
      <c r="W1121" s="196"/>
      <c r="X1121" s="196"/>
      <c r="Y1121" s="196"/>
      <c r="Z1121" s="196"/>
      <c r="AA1121" s="196"/>
      <c r="AB1121" s="196"/>
      <c r="AC1121" s="196"/>
      <c r="AD1121" s="196"/>
      <c r="AE1121" s="196"/>
      <c r="AF1121" s="196"/>
      <c r="AG1121" s="196"/>
      <c r="AH1121" s="196"/>
      <c r="AI1121" s="196"/>
      <c r="AJ1121" s="197"/>
      <c r="AK1121" s="80"/>
      <c r="AL1121" s="80"/>
      <c r="AM1121" s="73"/>
      <c r="AN1121" s="73"/>
      <c r="AO1121" s="73"/>
      <c r="AP1121" s="73"/>
      <c r="AQ1121" s="73"/>
      <c r="AR1121" s="73"/>
      <c r="AS1121" s="73"/>
      <c r="AT1121" s="73"/>
      <c r="AU1121" s="73"/>
      <c r="AV1121" s="73"/>
      <c r="AW1121" s="73"/>
      <c r="AX1121" s="73"/>
      <c r="AY1121" s="73"/>
      <c r="AZ1121" s="73"/>
      <c r="BA1121" s="73"/>
      <c r="BB1121" s="73"/>
      <c r="BC1121" s="73"/>
      <c r="BD1121" s="73"/>
      <c r="BE1121" s="73"/>
      <c r="BF1121" s="73"/>
      <c r="BG1121" s="73"/>
      <c r="BH1121" s="73"/>
      <c r="BI1121" s="73"/>
      <c r="BJ1121" s="73"/>
      <c r="BK1121" s="73"/>
      <c r="BL1121" s="73"/>
      <c r="BM1121" s="73"/>
      <c r="BN1121" s="73"/>
      <c r="BO1121" s="73"/>
      <c r="BP1121" s="73"/>
      <c r="BQ1121" s="73"/>
      <c r="BR1121" s="73"/>
      <c r="BS1121" s="73"/>
      <c r="BT1121" s="73"/>
      <c r="BU1121" s="73"/>
      <c r="BV1121" s="73"/>
      <c r="BW1121" s="73"/>
      <c r="BX1121" s="73"/>
      <c r="BY1121" s="73"/>
      <c r="BZ1121" s="73"/>
      <c r="CA1121" s="73"/>
      <c r="CB1121" s="73"/>
      <c r="CC1121" s="73"/>
      <c r="CD1121" s="73"/>
      <c r="CE1121" s="73"/>
      <c r="CF1121" s="73"/>
      <c r="CG1121" s="73"/>
      <c r="CH1121" s="73"/>
    </row>
    <row r="1122">
      <c r="A1122" s="80"/>
      <c r="B1122" s="80"/>
      <c r="C1122" s="80"/>
      <c r="D1122" s="80"/>
      <c r="E1122" s="124"/>
      <c r="F1122" s="80"/>
      <c r="G1122" s="80"/>
      <c r="H1122" s="80"/>
      <c r="I1122" s="80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6"/>
      <c r="V1122" s="196"/>
      <c r="W1122" s="196"/>
      <c r="X1122" s="196"/>
      <c r="Y1122" s="196"/>
      <c r="Z1122" s="196"/>
      <c r="AA1122" s="196"/>
      <c r="AB1122" s="196"/>
      <c r="AC1122" s="196"/>
      <c r="AD1122" s="196"/>
      <c r="AE1122" s="196"/>
      <c r="AF1122" s="196"/>
      <c r="AG1122" s="196"/>
      <c r="AH1122" s="196"/>
      <c r="AI1122" s="196"/>
      <c r="AJ1122" s="197"/>
      <c r="AK1122" s="80"/>
      <c r="AL1122" s="80"/>
      <c r="AM1122" s="73"/>
      <c r="AN1122" s="73"/>
      <c r="AO1122" s="73"/>
      <c r="AP1122" s="73"/>
      <c r="AQ1122" s="73"/>
      <c r="AR1122" s="73"/>
      <c r="AS1122" s="73"/>
      <c r="AT1122" s="73"/>
      <c r="AU1122" s="73"/>
      <c r="AV1122" s="73"/>
      <c r="AW1122" s="73"/>
      <c r="AX1122" s="73"/>
      <c r="AY1122" s="73"/>
      <c r="AZ1122" s="73"/>
      <c r="BA1122" s="73"/>
      <c r="BB1122" s="73"/>
      <c r="BC1122" s="73"/>
      <c r="BD1122" s="73"/>
      <c r="BE1122" s="73"/>
      <c r="BF1122" s="73"/>
      <c r="BG1122" s="73"/>
      <c r="BH1122" s="73"/>
      <c r="BI1122" s="73"/>
      <c r="BJ1122" s="73"/>
      <c r="BK1122" s="73"/>
      <c r="BL1122" s="73"/>
      <c r="BM1122" s="73"/>
      <c r="BN1122" s="73"/>
      <c r="BO1122" s="73"/>
      <c r="BP1122" s="73"/>
      <c r="BQ1122" s="73"/>
      <c r="BR1122" s="73"/>
      <c r="BS1122" s="73"/>
      <c r="BT1122" s="73"/>
      <c r="BU1122" s="73"/>
      <c r="BV1122" s="73"/>
      <c r="BW1122" s="73"/>
      <c r="BX1122" s="73"/>
      <c r="BY1122" s="73"/>
      <c r="BZ1122" s="73"/>
      <c r="CA1122" s="73"/>
      <c r="CB1122" s="73"/>
      <c r="CC1122" s="73"/>
      <c r="CD1122" s="73"/>
      <c r="CE1122" s="73"/>
      <c r="CF1122" s="73"/>
      <c r="CG1122" s="73"/>
      <c r="CH1122" s="73"/>
    </row>
    <row r="1123">
      <c r="A1123" s="80"/>
      <c r="B1123" s="80"/>
      <c r="C1123" s="80"/>
      <c r="D1123" s="80"/>
      <c r="E1123" s="124"/>
      <c r="F1123" s="80"/>
      <c r="G1123" s="80"/>
      <c r="H1123" s="80"/>
      <c r="I1123" s="80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6"/>
      <c r="V1123" s="196"/>
      <c r="W1123" s="196"/>
      <c r="X1123" s="196"/>
      <c r="Y1123" s="196"/>
      <c r="Z1123" s="196"/>
      <c r="AA1123" s="196"/>
      <c r="AB1123" s="196"/>
      <c r="AC1123" s="196"/>
      <c r="AD1123" s="196"/>
      <c r="AE1123" s="196"/>
      <c r="AF1123" s="196"/>
      <c r="AG1123" s="196"/>
      <c r="AH1123" s="196"/>
      <c r="AI1123" s="196"/>
      <c r="AJ1123" s="197"/>
      <c r="AK1123" s="80"/>
      <c r="AL1123" s="80"/>
      <c r="AM1123" s="73"/>
      <c r="AN1123" s="73"/>
      <c r="AO1123" s="73"/>
      <c r="AP1123" s="73"/>
      <c r="AQ1123" s="73"/>
      <c r="AR1123" s="73"/>
      <c r="AS1123" s="73"/>
      <c r="AT1123" s="73"/>
      <c r="AU1123" s="73"/>
      <c r="AV1123" s="73"/>
      <c r="AW1123" s="73"/>
      <c r="AX1123" s="73"/>
      <c r="AY1123" s="73"/>
      <c r="AZ1123" s="73"/>
      <c r="BA1123" s="73"/>
      <c r="BB1123" s="73"/>
      <c r="BC1123" s="73"/>
      <c r="BD1123" s="73"/>
      <c r="BE1123" s="73"/>
      <c r="BF1123" s="73"/>
      <c r="BG1123" s="73"/>
      <c r="BH1123" s="73"/>
      <c r="BI1123" s="73"/>
      <c r="BJ1123" s="73"/>
      <c r="BK1123" s="73"/>
      <c r="BL1123" s="73"/>
      <c r="BM1123" s="73"/>
      <c r="BN1123" s="73"/>
      <c r="BO1123" s="73"/>
      <c r="BP1123" s="73"/>
      <c r="BQ1123" s="73"/>
      <c r="BR1123" s="73"/>
      <c r="BS1123" s="73"/>
      <c r="BT1123" s="73"/>
      <c r="BU1123" s="73"/>
      <c r="BV1123" s="73"/>
      <c r="BW1123" s="73"/>
      <c r="BX1123" s="73"/>
      <c r="BY1123" s="73"/>
      <c r="BZ1123" s="73"/>
      <c r="CA1123" s="73"/>
      <c r="CB1123" s="73"/>
      <c r="CC1123" s="73"/>
      <c r="CD1123" s="73"/>
      <c r="CE1123" s="73"/>
      <c r="CF1123" s="73"/>
      <c r="CG1123" s="73"/>
      <c r="CH1123" s="73"/>
    </row>
    <row r="1124">
      <c r="A1124" s="80"/>
      <c r="B1124" s="80"/>
      <c r="C1124" s="80"/>
      <c r="D1124" s="80"/>
      <c r="E1124" s="124"/>
      <c r="F1124" s="80"/>
      <c r="G1124" s="80"/>
      <c r="H1124" s="80"/>
      <c r="I1124" s="80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6"/>
      <c r="V1124" s="196"/>
      <c r="W1124" s="196"/>
      <c r="X1124" s="196"/>
      <c r="Y1124" s="196"/>
      <c r="Z1124" s="196"/>
      <c r="AA1124" s="196"/>
      <c r="AB1124" s="196"/>
      <c r="AC1124" s="196"/>
      <c r="AD1124" s="196"/>
      <c r="AE1124" s="196"/>
      <c r="AF1124" s="196"/>
      <c r="AG1124" s="196"/>
      <c r="AH1124" s="196"/>
      <c r="AI1124" s="196"/>
      <c r="AJ1124" s="197"/>
      <c r="AK1124" s="80"/>
      <c r="AL1124" s="80"/>
      <c r="AM1124" s="73"/>
      <c r="AN1124" s="73"/>
      <c r="AO1124" s="73"/>
      <c r="AP1124" s="73"/>
      <c r="AQ1124" s="73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3"/>
      <c r="BG1124" s="73"/>
      <c r="BH1124" s="73"/>
      <c r="BI1124" s="73"/>
      <c r="BJ1124" s="73"/>
      <c r="BK1124" s="73"/>
      <c r="BL1124" s="73"/>
      <c r="BM1124" s="73"/>
      <c r="BN1124" s="73"/>
      <c r="BO1124" s="73"/>
      <c r="BP1124" s="73"/>
      <c r="BQ1124" s="73"/>
      <c r="BR1124" s="73"/>
      <c r="BS1124" s="73"/>
      <c r="BT1124" s="73"/>
      <c r="BU1124" s="73"/>
      <c r="BV1124" s="73"/>
      <c r="BW1124" s="73"/>
      <c r="BX1124" s="73"/>
      <c r="BY1124" s="73"/>
      <c r="BZ1124" s="73"/>
      <c r="CA1124" s="73"/>
      <c r="CB1124" s="73"/>
      <c r="CC1124" s="73"/>
      <c r="CD1124" s="73"/>
      <c r="CE1124" s="73"/>
      <c r="CF1124" s="73"/>
      <c r="CG1124" s="73"/>
      <c r="CH1124" s="73"/>
    </row>
    <row r="1125">
      <c r="A1125" s="80"/>
      <c r="B1125" s="80"/>
      <c r="C1125" s="80"/>
      <c r="D1125" s="80"/>
      <c r="E1125" s="124"/>
      <c r="F1125" s="80"/>
      <c r="G1125" s="80"/>
      <c r="H1125" s="80"/>
      <c r="I1125" s="80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6"/>
      <c r="V1125" s="196"/>
      <c r="W1125" s="196"/>
      <c r="X1125" s="196"/>
      <c r="Y1125" s="196"/>
      <c r="Z1125" s="196"/>
      <c r="AA1125" s="196"/>
      <c r="AB1125" s="196"/>
      <c r="AC1125" s="196"/>
      <c r="AD1125" s="196"/>
      <c r="AE1125" s="196"/>
      <c r="AF1125" s="196"/>
      <c r="AG1125" s="196"/>
      <c r="AH1125" s="196"/>
      <c r="AI1125" s="196"/>
      <c r="AJ1125" s="197"/>
      <c r="AK1125" s="80"/>
      <c r="AL1125" s="80"/>
      <c r="AM1125" s="73"/>
      <c r="AN1125" s="73"/>
      <c r="AO1125" s="73"/>
      <c r="AP1125" s="73"/>
      <c r="AQ1125" s="73"/>
      <c r="AR1125" s="73"/>
      <c r="AS1125" s="73"/>
      <c r="AT1125" s="73"/>
      <c r="AU1125" s="73"/>
      <c r="AV1125" s="73"/>
      <c r="AW1125" s="73"/>
      <c r="AX1125" s="73"/>
      <c r="AY1125" s="73"/>
      <c r="AZ1125" s="73"/>
      <c r="BA1125" s="73"/>
      <c r="BB1125" s="73"/>
      <c r="BC1125" s="73"/>
      <c r="BD1125" s="73"/>
      <c r="BE1125" s="73"/>
      <c r="BF1125" s="73"/>
      <c r="BG1125" s="73"/>
      <c r="BH1125" s="73"/>
      <c r="BI1125" s="73"/>
      <c r="BJ1125" s="73"/>
      <c r="BK1125" s="73"/>
      <c r="BL1125" s="73"/>
      <c r="BM1125" s="73"/>
      <c r="BN1125" s="73"/>
      <c r="BO1125" s="73"/>
      <c r="BP1125" s="73"/>
      <c r="BQ1125" s="73"/>
      <c r="BR1125" s="73"/>
      <c r="BS1125" s="73"/>
      <c r="BT1125" s="73"/>
      <c r="BU1125" s="73"/>
      <c r="BV1125" s="73"/>
      <c r="BW1125" s="73"/>
      <c r="BX1125" s="73"/>
      <c r="BY1125" s="73"/>
      <c r="BZ1125" s="73"/>
      <c r="CA1125" s="73"/>
      <c r="CB1125" s="73"/>
      <c r="CC1125" s="73"/>
      <c r="CD1125" s="73"/>
      <c r="CE1125" s="73"/>
      <c r="CF1125" s="73"/>
      <c r="CG1125" s="73"/>
      <c r="CH1125" s="73"/>
    </row>
    <row r="1126">
      <c r="A1126" s="80"/>
      <c r="B1126" s="80"/>
      <c r="C1126" s="80"/>
      <c r="D1126" s="80"/>
      <c r="E1126" s="124"/>
      <c r="F1126" s="80"/>
      <c r="G1126" s="80"/>
      <c r="H1126" s="80"/>
      <c r="I1126" s="80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6"/>
      <c r="V1126" s="196"/>
      <c r="W1126" s="196"/>
      <c r="X1126" s="196"/>
      <c r="Y1126" s="196"/>
      <c r="Z1126" s="196"/>
      <c r="AA1126" s="196"/>
      <c r="AB1126" s="196"/>
      <c r="AC1126" s="196"/>
      <c r="AD1126" s="196"/>
      <c r="AE1126" s="196"/>
      <c r="AF1126" s="196"/>
      <c r="AG1126" s="196"/>
      <c r="AH1126" s="196"/>
      <c r="AI1126" s="196"/>
      <c r="AJ1126" s="197"/>
      <c r="AK1126" s="80"/>
      <c r="AL1126" s="80"/>
      <c r="AM1126" s="73"/>
      <c r="AN1126" s="73"/>
      <c r="AO1126" s="73"/>
      <c r="AP1126" s="73"/>
      <c r="AQ1126" s="73"/>
      <c r="AR1126" s="73"/>
      <c r="AS1126" s="73"/>
      <c r="AT1126" s="73"/>
      <c r="AU1126" s="73"/>
      <c r="AV1126" s="73"/>
      <c r="AW1126" s="73"/>
      <c r="AX1126" s="73"/>
      <c r="AY1126" s="73"/>
      <c r="AZ1126" s="73"/>
      <c r="BA1126" s="73"/>
      <c r="BB1126" s="73"/>
      <c r="BC1126" s="73"/>
      <c r="BD1126" s="73"/>
      <c r="BE1126" s="73"/>
      <c r="BF1126" s="73"/>
      <c r="BG1126" s="73"/>
      <c r="BH1126" s="73"/>
      <c r="BI1126" s="73"/>
      <c r="BJ1126" s="73"/>
      <c r="BK1126" s="73"/>
      <c r="BL1126" s="73"/>
      <c r="BM1126" s="73"/>
      <c r="BN1126" s="73"/>
      <c r="BO1126" s="73"/>
      <c r="BP1126" s="73"/>
      <c r="BQ1126" s="73"/>
      <c r="BR1126" s="73"/>
      <c r="BS1126" s="73"/>
      <c r="BT1126" s="73"/>
      <c r="BU1126" s="73"/>
      <c r="BV1126" s="73"/>
      <c r="BW1126" s="73"/>
      <c r="BX1126" s="73"/>
      <c r="BY1126" s="73"/>
      <c r="BZ1126" s="73"/>
      <c r="CA1126" s="73"/>
      <c r="CB1126" s="73"/>
      <c r="CC1126" s="73"/>
      <c r="CD1126" s="73"/>
      <c r="CE1126" s="73"/>
      <c r="CF1126" s="73"/>
      <c r="CG1126" s="73"/>
      <c r="CH1126" s="73"/>
    </row>
    <row r="1127">
      <c r="A1127" s="80"/>
      <c r="B1127" s="80"/>
      <c r="C1127" s="80"/>
      <c r="D1127" s="80"/>
      <c r="E1127" s="124"/>
      <c r="F1127" s="80"/>
      <c r="G1127" s="80"/>
      <c r="H1127" s="80"/>
      <c r="I1127" s="80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6"/>
      <c r="V1127" s="196"/>
      <c r="W1127" s="196"/>
      <c r="X1127" s="196"/>
      <c r="Y1127" s="196"/>
      <c r="Z1127" s="196"/>
      <c r="AA1127" s="196"/>
      <c r="AB1127" s="196"/>
      <c r="AC1127" s="196"/>
      <c r="AD1127" s="196"/>
      <c r="AE1127" s="196"/>
      <c r="AF1127" s="196"/>
      <c r="AG1127" s="196"/>
      <c r="AH1127" s="196"/>
      <c r="AI1127" s="196"/>
      <c r="AJ1127" s="197"/>
      <c r="AK1127" s="80"/>
      <c r="AL1127" s="80"/>
      <c r="AM1127" s="73"/>
      <c r="AN1127" s="73"/>
      <c r="AO1127" s="73"/>
      <c r="AP1127" s="73"/>
      <c r="AQ1127" s="73"/>
      <c r="AR1127" s="73"/>
      <c r="AS1127" s="73"/>
      <c r="AT1127" s="73"/>
      <c r="AU1127" s="73"/>
      <c r="AV1127" s="73"/>
      <c r="AW1127" s="73"/>
      <c r="AX1127" s="73"/>
      <c r="AY1127" s="73"/>
      <c r="AZ1127" s="73"/>
      <c r="BA1127" s="73"/>
      <c r="BB1127" s="73"/>
      <c r="BC1127" s="73"/>
      <c r="BD1127" s="73"/>
      <c r="BE1127" s="73"/>
      <c r="BF1127" s="73"/>
      <c r="BG1127" s="73"/>
      <c r="BH1127" s="73"/>
      <c r="BI1127" s="73"/>
      <c r="BJ1127" s="73"/>
      <c r="BK1127" s="73"/>
      <c r="BL1127" s="73"/>
      <c r="BM1127" s="73"/>
      <c r="BN1127" s="73"/>
      <c r="BO1127" s="73"/>
      <c r="BP1127" s="73"/>
      <c r="BQ1127" s="73"/>
      <c r="BR1127" s="73"/>
      <c r="BS1127" s="73"/>
      <c r="BT1127" s="73"/>
      <c r="BU1127" s="73"/>
      <c r="BV1127" s="73"/>
      <c r="BW1127" s="73"/>
      <c r="BX1127" s="73"/>
      <c r="BY1127" s="73"/>
      <c r="BZ1127" s="73"/>
      <c r="CA1127" s="73"/>
      <c r="CB1127" s="73"/>
      <c r="CC1127" s="73"/>
      <c r="CD1127" s="73"/>
      <c r="CE1127" s="73"/>
      <c r="CF1127" s="73"/>
      <c r="CG1127" s="73"/>
      <c r="CH1127" s="73"/>
    </row>
    <row r="1128">
      <c r="A1128" s="80"/>
      <c r="B1128" s="80"/>
      <c r="C1128" s="80"/>
      <c r="D1128" s="80"/>
      <c r="E1128" s="124"/>
      <c r="F1128" s="80"/>
      <c r="G1128" s="80"/>
      <c r="H1128" s="80"/>
      <c r="I1128" s="80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6"/>
      <c r="V1128" s="196"/>
      <c r="W1128" s="196"/>
      <c r="X1128" s="196"/>
      <c r="Y1128" s="196"/>
      <c r="Z1128" s="196"/>
      <c r="AA1128" s="196"/>
      <c r="AB1128" s="196"/>
      <c r="AC1128" s="196"/>
      <c r="AD1128" s="196"/>
      <c r="AE1128" s="196"/>
      <c r="AF1128" s="196"/>
      <c r="AG1128" s="196"/>
      <c r="AH1128" s="196"/>
      <c r="AI1128" s="196"/>
      <c r="AJ1128" s="197"/>
      <c r="AK1128" s="80"/>
      <c r="AL1128" s="80"/>
      <c r="AM1128" s="73"/>
      <c r="AN1128" s="73"/>
      <c r="AO1128" s="73"/>
      <c r="AP1128" s="73"/>
      <c r="AQ1128" s="73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73"/>
      <c r="BD1128" s="73"/>
      <c r="BE1128" s="73"/>
      <c r="BF1128" s="73"/>
      <c r="BG1128" s="73"/>
      <c r="BH1128" s="73"/>
      <c r="BI1128" s="73"/>
      <c r="BJ1128" s="73"/>
      <c r="BK1128" s="73"/>
      <c r="BL1128" s="73"/>
      <c r="BM1128" s="73"/>
      <c r="BN1128" s="73"/>
      <c r="BO1128" s="73"/>
      <c r="BP1128" s="73"/>
      <c r="BQ1128" s="73"/>
      <c r="BR1128" s="73"/>
      <c r="BS1128" s="73"/>
      <c r="BT1128" s="73"/>
      <c r="BU1128" s="73"/>
      <c r="BV1128" s="73"/>
      <c r="BW1128" s="73"/>
      <c r="BX1128" s="73"/>
      <c r="BY1128" s="73"/>
      <c r="BZ1128" s="73"/>
      <c r="CA1128" s="73"/>
      <c r="CB1128" s="73"/>
      <c r="CC1128" s="73"/>
      <c r="CD1128" s="73"/>
      <c r="CE1128" s="73"/>
      <c r="CF1128" s="73"/>
      <c r="CG1128" s="73"/>
      <c r="CH1128" s="73"/>
    </row>
    <row r="1129">
      <c r="A1129" s="80"/>
      <c r="B1129" s="80"/>
      <c r="C1129" s="80"/>
      <c r="D1129" s="80"/>
      <c r="E1129" s="124"/>
      <c r="F1129" s="80"/>
      <c r="G1129" s="80"/>
      <c r="H1129" s="80"/>
      <c r="I1129" s="80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6"/>
      <c r="V1129" s="196"/>
      <c r="W1129" s="196"/>
      <c r="X1129" s="196"/>
      <c r="Y1129" s="196"/>
      <c r="Z1129" s="196"/>
      <c r="AA1129" s="196"/>
      <c r="AB1129" s="196"/>
      <c r="AC1129" s="196"/>
      <c r="AD1129" s="196"/>
      <c r="AE1129" s="196"/>
      <c r="AF1129" s="196"/>
      <c r="AG1129" s="196"/>
      <c r="AH1129" s="196"/>
      <c r="AI1129" s="196"/>
      <c r="AJ1129" s="197"/>
      <c r="AK1129" s="80"/>
      <c r="AL1129" s="80"/>
      <c r="AM1129" s="73"/>
      <c r="AN1129" s="73"/>
      <c r="AO1129" s="73"/>
      <c r="AP1129" s="73"/>
      <c r="AQ1129" s="73"/>
      <c r="AR1129" s="73"/>
      <c r="AS1129" s="73"/>
      <c r="AT1129" s="73"/>
      <c r="AU1129" s="73"/>
      <c r="AV1129" s="73"/>
      <c r="AW1129" s="73"/>
      <c r="AX1129" s="73"/>
      <c r="AY1129" s="73"/>
      <c r="AZ1129" s="73"/>
      <c r="BA1129" s="73"/>
      <c r="BB1129" s="73"/>
      <c r="BC1129" s="73"/>
      <c r="BD1129" s="73"/>
      <c r="BE1129" s="73"/>
      <c r="BF1129" s="73"/>
      <c r="BG1129" s="73"/>
      <c r="BH1129" s="73"/>
      <c r="BI1129" s="73"/>
      <c r="BJ1129" s="73"/>
      <c r="BK1129" s="73"/>
      <c r="BL1129" s="73"/>
      <c r="BM1129" s="73"/>
      <c r="BN1129" s="73"/>
      <c r="BO1129" s="73"/>
      <c r="BP1129" s="73"/>
      <c r="BQ1129" s="73"/>
      <c r="BR1129" s="73"/>
      <c r="BS1129" s="73"/>
      <c r="BT1129" s="73"/>
      <c r="BU1129" s="73"/>
      <c r="BV1129" s="73"/>
      <c r="BW1129" s="73"/>
      <c r="BX1129" s="73"/>
      <c r="BY1129" s="73"/>
      <c r="BZ1129" s="73"/>
      <c r="CA1129" s="73"/>
      <c r="CB1129" s="73"/>
      <c r="CC1129" s="73"/>
      <c r="CD1129" s="73"/>
      <c r="CE1129" s="73"/>
      <c r="CF1129" s="73"/>
      <c r="CG1129" s="73"/>
      <c r="CH1129" s="73"/>
    </row>
    <row r="1130">
      <c r="A1130" s="80"/>
      <c r="B1130" s="80"/>
      <c r="C1130" s="80"/>
      <c r="D1130" s="80"/>
      <c r="E1130" s="124"/>
      <c r="F1130" s="80"/>
      <c r="G1130" s="80"/>
      <c r="H1130" s="80"/>
      <c r="I1130" s="80"/>
      <c r="J1130" s="196"/>
      <c r="K1130" s="196"/>
      <c r="L1130" s="196"/>
      <c r="M1130" s="196"/>
      <c r="N1130" s="196"/>
      <c r="O1130" s="196"/>
      <c r="P1130" s="196"/>
      <c r="Q1130" s="196"/>
      <c r="R1130" s="196"/>
      <c r="S1130" s="196"/>
      <c r="T1130" s="196"/>
      <c r="U1130" s="196"/>
      <c r="V1130" s="196"/>
      <c r="W1130" s="196"/>
      <c r="X1130" s="196"/>
      <c r="Y1130" s="196"/>
      <c r="Z1130" s="196"/>
      <c r="AA1130" s="196"/>
      <c r="AB1130" s="196"/>
      <c r="AC1130" s="196"/>
      <c r="AD1130" s="196"/>
      <c r="AE1130" s="196"/>
      <c r="AF1130" s="196"/>
      <c r="AG1130" s="196"/>
      <c r="AH1130" s="196"/>
      <c r="AI1130" s="196"/>
      <c r="AJ1130" s="197"/>
      <c r="AK1130" s="80"/>
      <c r="AL1130" s="80"/>
      <c r="AM1130" s="73"/>
      <c r="AN1130" s="73"/>
      <c r="AO1130" s="73"/>
      <c r="AP1130" s="73"/>
      <c r="AQ1130" s="73"/>
      <c r="AR1130" s="73"/>
      <c r="AS1130" s="73"/>
      <c r="AT1130" s="73"/>
      <c r="AU1130" s="73"/>
      <c r="AV1130" s="73"/>
      <c r="AW1130" s="73"/>
      <c r="AX1130" s="73"/>
      <c r="AY1130" s="73"/>
      <c r="AZ1130" s="73"/>
      <c r="BA1130" s="73"/>
      <c r="BB1130" s="73"/>
      <c r="BC1130" s="73"/>
      <c r="BD1130" s="73"/>
      <c r="BE1130" s="73"/>
      <c r="BF1130" s="73"/>
      <c r="BG1130" s="73"/>
      <c r="BH1130" s="73"/>
      <c r="BI1130" s="73"/>
      <c r="BJ1130" s="73"/>
      <c r="BK1130" s="73"/>
      <c r="BL1130" s="73"/>
      <c r="BM1130" s="73"/>
      <c r="BN1130" s="73"/>
      <c r="BO1130" s="73"/>
      <c r="BP1130" s="73"/>
      <c r="BQ1130" s="73"/>
      <c r="BR1130" s="73"/>
      <c r="BS1130" s="73"/>
      <c r="BT1130" s="73"/>
      <c r="BU1130" s="73"/>
      <c r="BV1130" s="73"/>
      <c r="BW1130" s="73"/>
      <c r="BX1130" s="73"/>
      <c r="BY1130" s="73"/>
      <c r="BZ1130" s="73"/>
      <c r="CA1130" s="73"/>
      <c r="CB1130" s="73"/>
      <c r="CC1130" s="73"/>
      <c r="CD1130" s="73"/>
      <c r="CE1130" s="73"/>
      <c r="CF1130" s="73"/>
      <c r="CG1130" s="73"/>
      <c r="CH1130" s="73"/>
    </row>
    <row r="1131">
      <c r="A1131" s="80"/>
      <c r="B1131" s="80"/>
      <c r="C1131" s="80"/>
      <c r="D1131" s="80"/>
      <c r="E1131" s="124"/>
      <c r="F1131" s="80"/>
      <c r="G1131" s="80"/>
      <c r="H1131" s="80"/>
      <c r="I1131" s="80"/>
      <c r="J1131" s="196"/>
      <c r="K1131" s="196"/>
      <c r="L1131" s="196"/>
      <c r="M1131" s="196"/>
      <c r="N1131" s="196"/>
      <c r="O1131" s="196"/>
      <c r="P1131" s="196"/>
      <c r="Q1131" s="196"/>
      <c r="R1131" s="196"/>
      <c r="S1131" s="196"/>
      <c r="T1131" s="196"/>
      <c r="U1131" s="196"/>
      <c r="V1131" s="196"/>
      <c r="W1131" s="196"/>
      <c r="X1131" s="196"/>
      <c r="Y1131" s="196"/>
      <c r="Z1131" s="196"/>
      <c r="AA1131" s="196"/>
      <c r="AB1131" s="196"/>
      <c r="AC1131" s="196"/>
      <c r="AD1131" s="196"/>
      <c r="AE1131" s="196"/>
      <c r="AF1131" s="196"/>
      <c r="AG1131" s="196"/>
      <c r="AH1131" s="196"/>
      <c r="AI1131" s="196"/>
      <c r="AJ1131" s="197"/>
      <c r="AK1131" s="80"/>
      <c r="AL1131" s="80"/>
      <c r="AM1131" s="73"/>
      <c r="AN1131" s="73"/>
      <c r="AO1131" s="73"/>
      <c r="AP1131" s="73"/>
      <c r="AQ1131" s="73"/>
      <c r="AR1131" s="73"/>
      <c r="AS1131" s="73"/>
      <c r="AT1131" s="73"/>
      <c r="AU1131" s="73"/>
      <c r="AV1131" s="73"/>
      <c r="AW1131" s="73"/>
      <c r="AX1131" s="73"/>
      <c r="AY1131" s="73"/>
      <c r="AZ1131" s="73"/>
      <c r="BA1131" s="73"/>
      <c r="BB1131" s="73"/>
      <c r="BC1131" s="73"/>
      <c r="BD1131" s="73"/>
      <c r="BE1131" s="73"/>
      <c r="BF1131" s="73"/>
      <c r="BG1131" s="73"/>
      <c r="BH1131" s="73"/>
      <c r="BI1131" s="73"/>
      <c r="BJ1131" s="73"/>
      <c r="BK1131" s="73"/>
      <c r="BL1131" s="73"/>
      <c r="BM1131" s="73"/>
      <c r="BN1131" s="73"/>
      <c r="BO1131" s="73"/>
      <c r="BP1131" s="73"/>
      <c r="BQ1131" s="73"/>
      <c r="BR1131" s="73"/>
      <c r="BS1131" s="73"/>
      <c r="BT1131" s="73"/>
      <c r="BU1131" s="73"/>
      <c r="BV1131" s="73"/>
      <c r="BW1131" s="73"/>
      <c r="BX1131" s="73"/>
      <c r="BY1131" s="73"/>
      <c r="BZ1131" s="73"/>
      <c r="CA1131" s="73"/>
      <c r="CB1131" s="73"/>
      <c r="CC1131" s="73"/>
      <c r="CD1131" s="73"/>
      <c r="CE1131" s="73"/>
      <c r="CF1131" s="73"/>
      <c r="CG1131" s="73"/>
      <c r="CH1131" s="73"/>
    </row>
    <row r="1132">
      <c r="A1132" s="80"/>
      <c r="B1132" s="80"/>
      <c r="C1132" s="80"/>
      <c r="D1132" s="80"/>
      <c r="E1132" s="124"/>
      <c r="F1132" s="80"/>
      <c r="G1132" s="80"/>
      <c r="H1132" s="80"/>
      <c r="I1132" s="80"/>
      <c r="J1132" s="196"/>
      <c r="K1132" s="196"/>
      <c r="L1132" s="196"/>
      <c r="M1132" s="196"/>
      <c r="N1132" s="196"/>
      <c r="O1132" s="196"/>
      <c r="P1132" s="196"/>
      <c r="Q1132" s="196"/>
      <c r="R1132" s="196"/>
      <c r="S1132" s="196"/>
      <c r="T1132" s="196"/>
      <c r="U1132" s="196"/>
      <c r="V1132" s="196"/>
      <c r="W1132" s="196"/>
      <c r="X1132" s="196"/>
      <c r="Y1132" s="196"/>
      <c r="Z1132" s="196"/>
      <c r="AA1132" s="196"/>
      <c r="AB1132" s="196"/>
      <c r="AC1132" s="196"/>
      <c r="AD1132" s="196"/>
      <c r="AE1132" s="196"/>
      <c r="AF1132" s="196"/>
      <c r="AG1132" s="196"/>
      <c r="AH1132" s="196"/>
      <c r="AI1132" s="196"/>
      <c r="AJ1132" s="197"/>
      <c r="AK1132" s="80"/>
      <c r="AL1132" s="80"/>
      <c r="AM1132" s="73"/>
      <c r="AN1132" s="73"/>
      <c r="AO1132" s="73"/>
      <c r="AP1132" s="73"/>
      <c r="AQ1132" s="73"/>
      <c r="AR1132" s="73"/>
      <c r="AS1132" s="73"/>
      <c r="AT1132" s="73"/>
      <c r="AU1132" s="73"/>
      <c r="AV1132" s="73"/>
      <c r="AW1132" s="73"/>
      <c r="AX1132" s="73"/>
      <c r="AY1132" s="73"/>
      <c r="AZ1132" s="73"/>
      <c r="BA1132" s="73"/>
      <c r="BB1132" s="73"/>
      <c r="BC1132" s="73"/>
      <c r="BD1132" s="73"/>
      <c r="BE1132" s="73"/>
      <c r="BF1132" s="73"/>
      <c r="BG1132" s="73"/>
      <c r="BH1132" s="73"/>
      <c r="BI1132" s="73"/>
      <c r="BJ1132" s="73"/>
      <c r="BK1132" s="73"/>
      <c r="BL1132" s="73"/>
      <c r="BM1132" s="73"/>
      <c r="BN1132" s="73"/>
      <c r="BO1132" s="73"/>
      <c r="BP1132" s="73"/>
      <c r="BQ1132" s="73"/>
      <c r="BR1132" s="73"/>
      <c r="BS1132" s="73"/>
      <c r="BT1132" s="73"/>
      <c r="BU1132" s="73"/>
      <c r="BV1132" s="73"/>
      <c r="BW1132" s="73"/>
      <c r="BX1132" s="73"/>
      <c r="BY1132" s="73"/>
      <c r="BZ1132" s="73"/>
      <c r="CA1132" s="73"/>
      <c r="CB1132" s="73"/>
      <c r="CC1132" s="73"/>
      <c r="CD1132" s="73"/>
      <c r="CE1132" s="73"/>
      <c r="CF1132" s="73"/>
      <c r="CG1132" s="73"/>
      <c r="CH1132" s="73"/>
    </row>
    <row r="1133">
      <c r="A1133" s="80"/>
      <c r="B1133" s="80"/>
      <c r="C1133" s="80"/>
      <c r="D1133" s="80"/>
      <c r="E1133" s="124"/>
      <c r="F1133" s="80"/>
      <c r="G1133" s="80"/>
      <c r="H1133" s="80"/>
      <c r="I1133" s="80"/>
      <c r="J1133" s="196"/>
      <c r="K1133" s="196"/>
      <c r="L1133" s="196"/>
      <c r="M1133" s="196"/>
      <c r="N1133" s="196"/>
      <c r="O1133" s="196"/>
      <c r="P1133" s="196"/>
      <c r="Q1133" s="196"/>
      <c r="R1133" s="196"/>
      <c r="S1133" s="196"/>
      <c r="T1133" s="196"/>
      <c r="U1133" s="196"/>
      <c r="V1133" s="196"/>
      <c r="W1133" s="196"/>
      <c r="X1133" s="196"/>
      <c r="Y1133" s="196"/>
      <c r="Z1133" s="196"/>
      <c r="AA1133" s="196"/>
      <c r="AB1133" s="196"/>
      <c r="AC1133" s="196"/>
      <c r="AD1133" s="196"/>
      <c r="AE1133" s="196"/>
      <c r="AF1133" s="196"/>
      <c r="AG1133" s="196"/>
      <c r="AH1133" s="196"/>
      <c r="AI1133" s="196"/>
      <c r="AJ1133" s="197"/>
      <c r="AK1133" s="80"/>
      <c r="AL1133" s="80"/>
      <c r="AM1133" s="73"/>
      <c r="AN1133" s="73"/>
      <c r="AO1133" s="73"/>
      <c r="AP1133" s="73"/>
      <c r="AQ1133" s="73"/>
      <c r="AR1133" s="73"/>
      <c r="AS1133" s="73"/>
      <c r="AT1133" s="73"/>
      <c r="AU1133" s="73"/>
      <c r="AV1133" s="73"/>
      <c r="AW1133" s="73"/>
      <c r="AX1133" s="73"/>
      <c r="AY1133" s="73"/>
      <c r="AZ1133" s="73"/>
      <c r="BA1133" s="73"/>
      <c r="BB1133" s="73"/>
      <c r="BC1133" s="73"/>
      <c r="BD1133" s="73"/>
      <c r="BE1133" s="73"/>
      <c r="BF1133" s="73"/>
      <c r="BG1133" s="73"/>
      <c r="BH1133" s="73"/>
      <c r="BI1133" s="73"/>
      <c r="BJ1133" s="73"/>
      <c r="BK1133" s="73"/>
      <c r="BL1133" s="73"/>
      <c r="BM1133" s="73"/>
      <c r="BN1133" s="73"/>
      <c r="BO1133" s="73"/>
      <c r="BP1133" s="73"/>
      <c r="BQ1133" s="73"/>
      <c r="BR1133" s="73"/>
      <c r="BS1133" s="73"/>
      <c r="BT1133" s="73"/>
      <c r="BU1133" s="73"/>
      <c r="BV1133" s="73"/>
      <c r="BW1133" s="73"/>
      <c r="BX1133" s="73"/>
      <c r="BY1133" s="73"/>
      <c r="BZ1133" s="73"/>
      <c r="CA1133" s="73"/>
      <c r="CB1133" s="73"/>
      <c r="CC1133" s="73"/>
      <c r="CD1133" s="73"/>
      <c r="CE1133" s="73"/>
      <c r="CF1133" s="73"/>
      <c r="CG1133" s="73"/>
      <c r="CH1133" s="73"/>
    </row>
    <row r="1134">
      <c r="A1134" s="80"/>
      <c r="B1134" s="80"/>
      <c r="C1134" s="80"/>
      <c r="D1134" s="80"/>
      <c r="E1134" s="124"/>
      <c r="F1134" s="80"/>
      <c r="G1134" s="80"/>
      <c r="H1134" s="80"/>
      <c r="I1134" s="80"/>
      <c r="J1134" s="196"/>
      <c r="K1134" s="196"/>
      <c r="L1134" s="196"/>
      <c r="M1134" s="196"/>
      <c r="N1134" s="196"/>
      <c r="O1134" s="196"/>
      <c r="P1134" s="196"/>
      <c r="Q1134" s="196"/>
      <c r="R1134" s="196"/>
      <c r="S1134" s="196"/>
      <c r="T1134" s="196"/>
      <c r="U1134" s="196"/>
      <c r="V1134" s="196"/>
      <c r="W1134" s="196"/>
      <c r="X1134" s="196"/>
      <c r="Y1134" s="196"/>
      <c r="Z1134" s="196"/>
      <c r="AA1134" s="196"/>
      <c r="AB1134" s="196"/>
      <c r="AC1134" s="196"/>
      <c r="AD1134" s="196"/>
      <c r="AE1134" s="196"/>
      <c r="AF1134" s="196"/>
      <c r="AG1134" s="196"/>
      <c r="AH1134" s="196"/>
      <c r="AI1134" s="196"/>
      <c r="AJ1134" s="197"/>
      <c r="AK1134" s="80"/>
      <c r="AL1134" s="80"/>
      <c r="AM1134" s="73"/>
      <c r="AN1134" s="73"/>
      <c r="AO1134" s="73"/>
      <c r="AP1134" s="73"/>
      <c r="AQ1134" s="73"/>
      <c r="AR1134" s="73"/>
      <c r="AS1134" s="73"/>
      <c r="AT1134" s="73"/>
      <c r="AU1134" s="73"/>
      <c r="AV1134" s="73"/>
      <c r="AW1134" s="73"/>
      <c r="AX1134" s="73"/>
      <c r="AY1134" s="73"/>
      <c r="AZ1134" s="73"/>
      <c r="BA1134" s="73"/>
      <c r="BB1134" s="73"/>
      <c r="BC1134" s="73"/>
      <c r="BD1134" s="73"/>
      <c r="BE1134" s="73"/>
      <c r="BF1134" s="73"/>
      <c r="BG1134" s="73"/>
      <c r="BH1134" s="73"/>
      <c r="BI1134" s="73"/>
      <c r="BJ1134" s="73"/>
      <c r="BK1134" s="73"/>
      <c r="BL1134" s="73"/>
      <c r="BM1134" s="73"/>
      <c r="BN1134" s="73"/>
      <c r="BO1134" s="73"/>
      <c r="BP1134" s="73"/>
      <c r="BQ1134" s="73"/>
      <c r="BR1134" s="73"/>
      <c r="BS1134" s="73"/>
      <c r="BT1134" s="73"/>
      <c r="BU1134" s="73"/>
      <c r="BV1134" s="73"/>
      <c r="BW1134" s="73"/>
      <c r="BX1134" s="73"/>
      <c r="BY1134" s="73"/>
      <c r="BZ1134" s="73"/>
      <c r="CA1134" s="73"/>
      <c r="CB1134" s="73"/>
      <c r="CC1134" s="73"/>
      <c r="CD1134" s="73"/>
      <c r="CE1134" s="73"/>
      <c r="CF1134" s="73"/>
      <c r="CG1134" s="73"/>
      <c r="CH1134" s="73"/>
    </row>
    <row r="1135">
      <c r="A1135" s="80"/>
      <c r="B1135" s="80"/>
      <c r="C1135" s="80"/>
      <c r="D1135" s="80"/>
      <c r="E1135" s="124"/>
      <c r="F1135" s="80"/>
      <c r="G1135" s="80"/>
      <c r="H1135" s="80"/>
      <c r="I1135" s="80"/>
      <c r="J1135" s="196"/>
      <c r="K1135" s="196"/>
      <c r="L1135" s="196"/>
      <c r="M1135" s="196"/>
      <c r="N1135" s="196"/>
      <c r="O1135" s="196"/>
      <c r="P1135" s="196"/>
      <c r="Q1135" s="196"/>
      <c r="R1135" s="196"/>
      <c r="S1135" s="196"/>
      <c r="T1135" s="196"/>
      <c r="U1135" s="196"/>
      <c r="V1135" s="196"/>
      <c r="W1135" s="196"/>
      <c r="X1135" s="196"/>
      <c r="Y1135" s="196"/>
      <c r="Z1135" s="196"/>
      <c r="AA1135" s="196"/>
      <c r="AB1135" s="196"/>
      <c r="AC1135" s="196"/>
      <c r="AD1135" s="196"/>
      <c r="AE1135" s="196"/>
      <c r="AF1135" s="196"/>
      <c r="AG1135" s="196"/>
      <c r="AH1135" s="196"/>
      <c r="AI1135" s="196"/>
      <c r="AJ1135" s="197"/>
      <c r="AK1135" s="80"/>
      <c r="AL1135" s="80"/>
      <c r="AM1135" s="73"/>
      <c r="AN1135" s="73"/>
      <c r="AO1135" s="73"/>
      <c r="AP1135" s="73"/>
      <c r="AQ1135" s="73"/>
      <c r="AR1135" s="73"/>
      <c r="AS1135" s="73"/>
      <c r="AT1135" s="73"/>
      <c r="AU1135" s="73"/>
      <c r="AV1135" s="73"/>
      <c r="AW1135" s="73"/>
      <c r="AX1135" s="73"/>
      <c r="AY1135" s="73"/>
      <c r="AZ1135" s="73"/>
      <c r="BA1135" s="73"/>
      <c r="BB1135" s="73"/>
      <c r="BC1135" s="73"/>
      <c r="BD1135" s="73"/>
      <c r="BE1135" s="73"/>
      <c r="BF1135" s="73"/>
      <c r="BG1135" s="73"/>
      <c r="BH1135" s="73"/>
      <c r="BI1135" s="73"/>
      <c r="BJ1135" s="73"/>
      <c r="BK1135" s="73"/>
      <c r="BL1135" s="73"/>
      <c r="BM1135" s="73"/>
      <c r="BN1135" s="73"/>
      <c r="BO1135" s="73"/>
      <c r="BP1135" s="73"/>
      <c r="BQ1135" s="73"/>
      <c r="BR1135" s="73"/>
      <c r="BS1135" s="73"/>
      <c r="BT1135" s="73"/>
      <c r="BU1135" s="73"/>
      <c r="BV1135" s="73"/>
      <c r="BW1135" s="73"/>
      <c r="BX1135" s="73"/>
      <c r="BY1135" s="73"/>
      <c r="BZ1135" s="73"/>
      <c r="CA1135" s="73"/>
      <c r="CB1135" s="73"/>
      <c r="CC1135" s="73"/>
      <c r="CD1135" s="73"/>
      <c r="CE1135" s="73"/>
      <c r="CF1135" s="73"/>
      <c r="CG1135" s="73"/>
      <c r="CH1135" s="73"/>
    </row>
    <row r="1136">
      <c r="A1136" s="80"/>
      <c r="B1136" s="80"/>
      <c r="C1136" s="80"/>
      <c r="D1136" s="80"/>
      <c r="E1136" s="124"/>
      <c r="F1136" s="80"/>
      <c r="G1136" s="80"/>
      <c r="H1136" s="80"/>
      <c r="I1136" s="80"/>
      <c r="J1136" s="196"/>
      <c r="K1136" s="196"/>
      <c r="L1136" s="196"/>
      <c r="M1136" s="196"/>
      <c r="N1136" s="196"/>
      <c r="O1136" s="196"/>
      <c r="P1136" s="196"/>
      <c r="Q1136" s="196"/>
      <c r="R1136" s="196"/>
      <c r="S1136" s="196"/>
      <c r="T1136" s="196"/>
      <c r="U1136" s="196"/>
      <c r="V1136" s="196"/>
      <c r="W1136" s="196"/>
      <c r="X1136" s="196"/>
      <c r="Y1136" s="196"/>
      <c r="Z1136" s="196"/>
      <c r="AA1136" s="196"/>
      <c r="AB1136" s="196"/>
      <c r="AC1136" s="196"/>
      <c r="AD1136" s="196"/>
      <c r="AE1136" s="196"/>
      <c r="AF1136" s="196"/>
      <c r="AG1136" s="196"/>
      <c r="AH1136" s="196"/>
      <c r="AI1136" s="196"/>
      <c r="AJ1136" s="197"/>
      <c r="AK1136" s="80"/>
      <c r="AL1136" s="80"/>
      <c r="AM1136" s="73"/>
      <c r="AN1136" s="73"/>
      <c r="AO1136" s="73"/>
      <c r="AP1136" s="73"/>
      <c r="AQ1136" s="73"/>
      <c r="AR1136" s="73"/>
      <c r="AS1136" s="73"/>
      <c r="AT1136" s="73"/>
      <c r="AU1136" s="73"/>
      <c r="AV1136" s="73"/>
      <c r="AW1136" s="73"/>
      <c r="AX1136" s="73"/>
      <c r="AY1136" s="73"/>
      <c r="AZ1136" s="73"/>
      <c r="BA1136" s="73"/>
      <c r="BB1136" s="73"/>
      <c r="BC1136" s="73"/>
      <c r="BD1136" s="73"/>
      <c r="BE1136" s="73"/>
      <c r="BF1136" s="73"/>
      <c r="BG1136" s="73"/>
      <c r="BH1136" s="73"/>
      <c r="BI1136" s="73"/>
      <c r="BJ1136" s="73"/>
      <c r="BK1136" s="73"/>
      <c r="BL1136" s="73"/>
      <c r="BM1136" s="73"/>
      <c r="BN1136" s="73"/>
      <c r="BO1136" s="73"/>
      <c r="BP1136" s="73"/>
      <c r="BQ1136" s="73"/>
      <c r="BR1136" s="73"/>
      <c r="BS1136" s="73"/>
      <c r="BT1136" s="73"/>
      <c r="BU1136" s="73"/>
      <c r="BV1136" s="73"/>
      <c r="BW1136" s="73"/>
      <c r="BX1136" s="73"/>
      <c r="BY1136" s="73"/>
      <c r="BZ1136" s="73"/>
      <c r="CA1136" s="73"/>
      <c r="CB1136" s="73"/>
      <c r="CC1136" s="73"/>
      <c r="CD1136" s="73"/>
      <c r="CE1136" s="73"/>
      <c r="CF1136" s="73"/>
      <c r="CG1136" s="73"/>
      <c r="CH1136" s="73"/>
    </row>
    <row r="1137">
      <c r="A1137" s="80"/>
      <c r="B1137" s="80"/>
      <c r="C1137" s="80"/>
      <c r="D1137" s="80"/>
      <c r="E1137" s="124"/>
      <c r="F1137" s="80"/>
      <c r="G1137" s="80"/>
      <c r="H1137" s="80"/>
      <c r="I1137" s="80"/>
      <c r="J1137" s="196"/>
      <c r="K1137" s="196"/>
      <c r="L1137" s="196"/>
      <c r="M1137" s="196"/>
      <c r="N1137" s="196"/>
      <c r="O1137" s="196"/>
      <c r="P1137" s="196"/>
      <c r="Q1137" s="196"/>
      <c r="R1137" s="196"/>
      <c r="S1137" s="196"/>
      <c r="T1137" s="196"/>
      <c r="U1137" s="196"/>
      <c r="V1137" s="196"/>
      <c r="W1137" s="196"/>
      <c r="X1137" s="196"/>
      <c r="Y1137" s="196"/>
      <c r="Z1137" s="196"/>
      <c r="AA1137" s="196"/>
      <c r="AB1137" s="196"/>
      <c r="AC1137" s="196"/>
      <c r="AD1137" s="196"/>
      <c r="AE1137" s="196"/>
      <c r="AF1137" s="196"/>
      <c r="AG1137" s="196"/>
      <c r="AH1137" s="196"/>
      <c r="AI1137" s="196"/>
      <c r="AJ1137" s="197"/>
      <c r="AK1137" s="80"/>
      <c r="AL1137" s="80"/>
      <c r="AM1137" s="73"/>
      <c r="AN1137" s="73"/>
      <c r="AO1137" s="73"/>
      <c r="AP1137" s="73"/>
      <c r="AQ1137" s="73"/>
      <c r="AR1137" s="73"/>
      <c r="AS1137" s="73"/>
      <c r="AT1137" s="73"/>
      <c r="AU1137" s="73"/>
      <c r="AV1137" s="73"/>
      <c r="AW1137" s="73"/>
      <c r="AX1137" s="73"/>
      <c r="AY1137" s="73"/>
      <c r="AZ1137" s="73"/>
      <c r="BA1137" s="73"/>
      <c r="BB1137" s="73"/>
      <c r="BC1137" s="73"/>
      <c r="BD1137" s="73"/>
      <c r="BE1137" s="73"/>
      <c r="BF1137" s="73"/>
      <c r="BG1137" s="73"/>
      <c r="BH1137" s="73"/>
      <c r="BI1137" s="73"/>
      <c r="BJ1137" s="73"/>
      <c r="BK1137" s="73"/>
      <c r="BL1137" s="73"/>
      <c r="BM1137" s="73"/>
      <c r="BN1137" s="73"/>
      <c r="BO1137" s="73"/>
      <c r="BP1137" s="73"/>
      <c r="BQ1137" s="73"/>
      <c r="BR1137" s="73"/>
      <c r="BS1137" s="73"/>
      <c r="BT1137" s="73"/>
      <c r="BU1137" s="73"/>
      <c r="BV1137" s="73"/>
      <c r="BW1137" s="73"/>
      <c r="BX1137" s="73"/>
      <c r="BY1137" s="73"/>
      <c r="BZ1137" s="73"/>
      <c r="CA1137" s="73"/>
      <c r="CB1137" s="73"/>
      <c r="CC1137" s="73"/>
      <c r="CD1137" s="73"/>
      <c r="CE1137" s="73"/>
      <c r="CF1137" s="73"/>
      <c r="CG1137" s="73"/>
      <c r="CH1137" s="73"/>
    </row>
    <row r="1138">
      <c r="A1138" s="80"/>
      <c r="B1138" s="80"/>
      <c r="C1138" s="80"/>
      <c r="D1138" s="80"/>
      <c r="E1138" s="124"/>
      <c r="F1138" s="80"/>
      <c r="G1138" s="80"/>
      <c r="H1138" s="80"/>
      <c r="I1138" s="80"/>
      <c r="J1138" s="196"/>
      <c r="K1138" s="196"/>
      <c r="L1138" s="196"/>
      <c r="M1138" s="196"/>
      <c r="N1138" s="196"/>
      <c r="O1138" s="196"/>
      <c r="P1138" s="196"/>
      <c r="Q1138" s="196"/>
      <c r="R1138" s="196"/>
      <c r="S1138" s="196"/>
      <c r="T1138" s="196"/>
      <c r="U1138" s="196"/>
      <c r="V1138" s="196"/>
      <c r="W1138" s="196"/>
      <c r="X1138" s="196"/>
      <c r="Y1138" s="196"/>
      <c r="Z1138" s="196"/>
      <c r="AA1138" s="196"/>
      <c r="AB1138" s="196"/>
      <c r="AC1138" s="196"/>
      <c r="AD1138" s="196"/>
      <c r="AE1138" s="196"/>
      <c r="AF1138" s="196"/>
      <c r="AG1138" s="196"/>
      <c r="AH1138" s="196"/>
      <c r="AI1138" s="196"/>
      <c r="AJ1138" s="197"/>
      <c r="AK1138" s="80"/>
      <c r="AL1138" s="80"/>
      <c r="AM1138" s="73"/>
      <c r="AN1138" s="73"/>
      <c r="AO1138" s="73"/>
      <c r="AP1138" s="73"/>
      <c r="AQ1138" s="73"/>
      <c r="AR1138" s="73"/>
      <c r="AS1138" s="73"/>
      <c r="AT1138" s="73"/>
      <c r="AU1138" s="73"/>
      <c r="AV1138" s="73"/>
      <c r="AW1138" s="73"/>
      <c r="AX1138" s="73"/>
      <c r="AY1138" s="73"/>
      <c r="AZ1138" s="73"/>
      <c r="BA1138" s="73"/>
      <c r="BB1138" s="73"/>
      <c r="BC1138" s="73"/>
      <c r="BD1138" s="73"/>
      <c r="BE1138" s="73"/>
      <c r="BF1138" s="73"/>
      <c r="BG1138" s="73"/>
      <c r="BH1138" s="73"/>
      <c r="BI1138" s="73"/>
      <c r="BJ1138" s="73"/>
      <c r="BK1138" s="73"/>
      <c r="BL1138" s="73"/>
      <c r="BM1138" s="73"/>
      <c r="BN1138" s="73"/>
      <c r="BO1138" s="73"/>
      <c r="BP1138" s="73"/>
      <c r="BQ1138" s="73"/>
      <c r="BR1138" s="73"/>
      <c r="BS1138" s="73"/>
      <c r="BT1138" s="73"/>
      <c r="BU1138" s="73"/>
      <c r="BV1138" s="73"/>
      <c r="BW1138" s="73"/>
      <c r="BX1138" s="73"/>
      <c r="BY1138" s="73"/>
      <c r="BZ1138" s="73"/>
      <c r="CA1138" s="73"/>
      <c r="CB1138" s="73"/>
      <c r="CC1138" s="73"/>
      <c r="CD1138" s="73"/>
      <c r="CE1138" s="73"/>
      <c r="CF1138" s="73"/>
      <c r="CG1138" s="73"/>
      <c r="CH1138" s="73"/>
    </row>
    <row r="1139">
      <c r="A1139" s="80"/>
      <c r="B1139" s="80"/>
      <c r="C1139" s="80"/>
      <c r="D1139" s="80"/>
      <c r="E1139" s="124"/>
      <c r="F1139" s="80"/>
      <c r="G1139" s="80"/>
      <c r="H1139" s="80"/>
      <c r="I1139" s="80"/>
      <c r="J1139" s="196"/>
      <c r="K1139" s="196"/>
      <c r="L1139" s="196"/>
      <c r="M1139" s="196"/>
      <c r="N1139" s="196"/>
      <c r="O1139" s="196"/>
      <c r="P1139" s="196"/>
      <c r="Q1139" s="196"/>
      <c r="R1139" s="196"/>
      <c r="S1139" s="196"/>
      <c r="T1139" s="196"/>
      <c r="U1139" s="196"/>
      <c r="V1139" s="196"/>
      <c r="W1139" s="196"/>
      <c r="X1139" s="196"/>
      <c r="Y1139" s="196"/>
      <c r="Z1139" s="196"/>
      <c r="AA1139" s="196"/>
      <c r="AB1139" s="196"/>
      <c r="AC1139" s="196"/>
      <c r="AD1139" s="196"/>
      <c r="AE1139" s="196"/>
      <c r="AF1139" s="196"/>
      <c r="AG1139" s="196"/>
      <c r="AH1139" s="196"/>
      <c r="AI1139" s="196"/>
      <c r="AJ1139" s="197"/>
      <c r="AK1139" s="80"/>
      <c r="AL1139" s="80"/>
      <c r="AM1139" s="73"/>
      <c r="AN1139" s="73"/>
      <c r="AO1139" s="73"/>
      <c r="AP1139" s="73"/>
      <c r="AQ1139" s="73"/>
      <c r="AR1139" s="73"/>
      <c r="AS1139" s="73"/>
      <c r="AT1139" s="73"/>
      <c r="AU1139" s="73"/>
      <c r="AV1139" s="73"/>
      <c r="AW1139" s="73"/>
      <c r="AX1139" s="73"/>
      <c r="AY1139" s="73"/>
      <c r="AZ1139" s="73"/>
      <c r="BA1139" s="73"/>
      <c r="BB1139" s="73"/>
      <c r="BC1139" s="73"/>
      <c r="BD1139" s="73"/>
      <c r="BE1139" s="73"/>
      <c r="BF1139" s="73"/>
      <c r="BG1139" s="73"/>
      <c r="BH1139" s="73"/>
      <c r="BI1139" s="73"/>
      <c r="BJ1139" s="73"/>
      <c r="BK1139" s="73"/>
      <c r="BL1139" s="73"/>
      <c r="BM1139" s="73"/>
      <c r="BN1139" s="73"/>
      <c r="BO1139" s="73"/>
      <c r="BP1139" s="73"/>
      <c r="BQ1139" s="73"/>
      <c r="BR1139" s="73"/>
      <c r="BS1139" s="73"/>
      <c r="BT1139" s="73"/>
      <c r="BU1139" s="73"/>
      <c r="BV1139" s="73"/>
      <c r="BW1139" s="73"/>
      <c r="BX1139" s="73"/>
      <c r="BY1139" s="73"/>
      <c r="BZ1139" s="73"/>
      <c r="CA1139" s="73"/>
      <c r="CB1139" s="73"/>
      <c r="CC1139" s="73"/>
      <c r="CD1139" s="73"/>
      <c r="CE1139" s="73"/>
      <c r="CF1139" s="73"/>
      <c r="CG1139" s="73"/>
      <c r="CH1139" s="73"/>
    </row>
    <row r="1140">
      <c r="A1140" s="80"/>
      <c r="B1140" s="80"/>
      <c r="C1140" s="80"/>
      <c r="D1140" s="80"/>
      <c r="E1140" s="124"/>
      <c r="F1140" s="80"/>
      <c r="G1140" s="80"/>
      <c r="H1140" s="80"/>
      <c r="I1140" s="80"/>
      <c r="J1140" s="196"/>
      <c r="K1140" s="196"/>
      <c r="L1140" s="196"/>
      <c r="M1140" s="196"/>
      <c r="N1140" s="196"/>
      <c r="O1140" s="196"/>
      <c r="P1140" s="196"/>
      <c r="Q1140" s="196"/>
      <c r="R1140" s="196"/>
      <c r="S1140" s="196"/>
      <c r="T1140" s="196"/>
      <c r="U1140" s="196"/>
      <c r="V1140" s="196"/>
      <c r="W1140" s="196"/>
      <c r="X1140" s="196"/>
      <c r="Y1140" s="196"/>
      <c r="Z1140" s="196"/>
      <c r="AA1140" s="196"/>
      <c r="AB1140" s="196"/>
      <c r="AC1140" s="196"/>
      <c r="AD1140" s="196"/>
      <c r="AE1140" s="196"/>
      <c r="AF1140" s="196"/>
      <c r="AG1140" s="196"/>
      <c r="AH1140" s="196"/>
      <c r="AI1140" s="196"/>
      <c r="AJ1140" s="197"/>
      <c r="AK1140" s="80"/>
      <c r="AL1140" s="80"/>
      <c r="AM1140" s="73"/>
      <c r="AN1140" s="73"/>
      <c r="AO1140" s="73"/>
      <c r="AP1140" s="73"/>
      <c r="AQ1140" s="73"/>
      <c r="AR1140" s="73"/>
      <c r="AS1140" s="73"/>
      <c r="AT1140" s="73"/>
      <c r="AU1140" s="73"/>
      <c r="AV1140" s="73"/>
      <c r="AW1140" s="73"/>
      <c r="AX1140" s="73"/>
      <c r="AY1140" s="73"/>
      <c r="AZ1140" s="73"/>
      <c r="BA1140" s="73"/>
      <c r="BB1140" s="73"/>
      <c r="BC1140" s="73"/>
      <c r="BD1140" s="73"/>
      <c r="BE1140" s="73"/>
      <c r="BF1140" s="73"/>
      <c r="BG1140" s="73"/>
      <c r="BH1140" s="73"/>
      <c r="BI1140" s="73"/>
      <c r="BJ1140" s="73"/>
      <c r="BK1140" s="73"/>
      <c r="BL1140" s="73"/>
      <c r="BM1140" s="73"/>
      <c r="BN1140" s="73"/>
      <c r="BO1140" s="73"/>
      <c r="BP1140" s="73"/>
      <c r="BQ1140" s="73"/>
      <c r="BR1140" s="73"/>
      <c r="BS1140" s="73"/>
      <c r="BT1140" s="73"/>
      <c r="BU1140" s="73"/>
      <c r="BV1140" s="73"/>
      <c r="BW1140" s="73"/>
      <c r="BX1140" s="73"/>
      <c r="BY1140" s="73"/>
      <c r="BZ1140" s="73"/>
      <c r="CA1140" s="73"/>
      <c r="CB1140" s="73"/>
      <c r="CC1140" s="73"/>
      <c r="CD1140" s="73"/>
      <c r="CE1140" s="73"/>
      <c r="CF1140" s="73"/>
      <c r="CG1140" s="73"/>
      <c r="CH1140" s="73"/>
    </row>
    <row r="1141">
      <c r="A1141" s="80"/>
      <c r="B1141" s="80"/>
      <c r="C1141" s="80"/>
      <c r="D1141" s="80"/>
      <c r="E1141" s="124"/>
      <c r="F1141" s="80"/>
      <c r="G1141" s="80"/>
      <c r="H1141" s="80"/>
      <c r="I1141" s="80"/>
      <c r="J1141" s="196"/>
      <c r="K1141" s="196"/>
      <c r="L1141" s="196"/>
      <c r="M1141" s="196"/>
      <c r="N1141" s="196"/>
      <c r="O1141" s="196"/>
      <c r="P1141" s="196"/>
      <c r="Q1141" s="196"/>
      <c r="R1141" s="196"/>
      <c r="S1141" s="196"/>
      <c r="T1141" s="196"/>
      <c r="U1141" s="196"/>
      <c r="V1141" s="196"/>
      <c r="W1141" s="196"/>
      <c r="X1141" s="196"/>
      <c r="Y1141" s="196"/>
      <c r="Z1141" s="196"/>
      <c r="AA1141" s="196"/>
      <c r="AB1141" s="196"/>
      <c r="AC1141" s="196"/>
      <c r="AD1141" s="196"/>
      <c r="AE1141" s="196"/>
      <c r="AF1141" s="196"/>
      <c r="AG1141" s="196"/>
      <c r="AH1141" s="196"/>
      <c r="AI1141" s="196"/>
      <c r="AJ1141" s="197"/>
      <c r="AK1141" s="80"/>
      <c r="AL1141" s="80"/>
      <c r="AM1141" s="73"/>
      <c r="AN1141" s="73"/>
      <c r="AO1141" s="73"/>
      <c r="AP1141" s="73"/>
      <c r="AQ1141" s="73"/>
      <c r="AR1141" s="73"/>
      <c r="AS1141" s="73"/>
      <c r="AT1141" s="73"/>
      <c r="AU1141" s="73"/>
      <c r="AV1141" s="73"/>
      <c r="AW1141" s="73"/>
      <c r="AX1141" s="73"/>
      <c r="AY1141" s="73"/>
      <c r="AZ1141" s="73"/>
      <c r="BA1141" s="73"/>
      <c r="BB1141" s="73"/>
      <c r="BC1141" s="73"/>
      <c r="BD1141" s="73"/>
      <c r="BE1141" s="73"/>
      <c r="BF1141" s="73"/>
      <c r="BG1141" s="73"/>
      <c r="BH1141" s="73"/>
      <c r="BI1141" s="73"/>
      <c r="BJ1141" s="73"/>
      <c r="BK1141" s="73"/>
      <c r="BL1141" s="73"/>
      <c r="BM1141" s="73"/>
      <c r="BN1141" s="73"/>
      <c r="BO1141" s="73"/>
      <c r="BP1141" s="73"/>
      <c r="BQ1141" s="73"/>
      <c r="BR1141" s="73"/>
      <c r="BS1141" s="73"/>
      <c r="BT1141" s="73"/>
      <c r="BU1141" s="73"/>
      <c r="BV1141" s="73"/>
      <c r="BW1141" s="73"/>
      <c r="BX1141" s="73"/>
      <c r="BY1141" s="73"/>
      <c r="BZ1141" s="73"/>
      <c r="CA1141" s="73"/>
      <c r="CB1141" s="73"/>
      <c r="CC1141" s="73"/>
      <c r="CD1141" s="73"/>
      <c r="CE1141" s="73"/>
      <c r="CF1141" s="73"/>
      <c r="CG1141" s="73"/>
      <c r="CH1141" s="73"/>
    </row>
    <row r="1142">
      <c r="A1142" s="80"/>
      <c r="B1142" s="80"/>
      <c r="C1142" s="80"/>
      <c r="D1142" s="80"/>
      <c r="E1142" s="124"/>
      <c r="F1142" s="80"/>
      <c r="G1142" s="80"/>
      <c r="H1142" s="80"/>
      <c r="I1142" s="80"/>
      <c r="J1142" s="196"/>
      <c r="K1142" s="196"/>
      <c r="L1142" s="196"/>
      <c r="M1142" s="196"/>
      <c r="N1142" s="196"/>
      <c r="O1142" s="196"/>
      <c r="P1142" s="196"/>
      <c r="Q1142" s="196"/>
      <c r="R1142" s="196"/>
      <c r="S1142" s="196"/>
      <c r="T1142" s="196"/>
      <c r="U1142" s="196"/>
      <c r="V1142" s="196"/>
      <c r="W1142" s="196"/>
      <c r="X1142" s="196"/>
      <c r="Y1142" s="196"/>
      <c r="Z1142" s="196"/>
      <c r="AA1142" s="196"/>
      <c r="AB1142" s="196"/>
      <c r="AC1142" s="196"/>
      <c r="AD1142" s="196"/>
      <c r="AE1142" s="196"/>
      <c r="AF1142" s="196"/>
      <c r="AG1142" s="196"/>
      <c r="AH1142" s="196"/>
      <c r="AI1142" s="196"/>
      <c r="AJ1142" s="197"/>
      <c r="AK1142" s="80"/>
      <c r="AL1142" s="80"/>
      <c r="AM1142" s="73"/>
      <c r="AN1142" s="73"/>
      <c r="AO1142" s="73"/>
      <c r="AP1142" s="73"/>
      <c r="AQ1142" s="73"/>
      <c r="AR1142" s="73"/>
      <c r="AS1142" s="73"/>
      <c r="AT1142" s="73"/>
      <c r="AU1142" s="73"/>
      <c r="AV1142" s="73"/>
      <c r="AW1142" s="73"/>
      <c r="AX1142" s="73"/>
      <c r="AY1142" s="73"/>
      <c r="AZ1142" s="73"/>
      <c r="BA1142" s="73"/>
      <c r="BB1142" s="73"/>
      <c r="BC1142" s="73"/>
      <c r="BD1142" s="73"/>
      <c r="BE1142" s="73"/>
      <c r="BF1142" s="73"/>
      <c r="BG1142" s="73"/>
      <c r="BH1142" s="73"/>
      <c r="BI1142" s="73"/>
      <c r="BJ1142" s="73"/>
      <c r="BK1142" s="73"/>
      <c r="BL1142" s="73"/>
      <c r="BM1142" s="73"/>
      <c r="BN1142" s="73"/>
      <c r="BO1142" s="73"/>
      <c r="BP1142" s="73"/>
      <c r="BQ1142" s="73"/>
      <c r="BR1142" s="73"/>
      <c r="BS1142" s="73"/>
      <c r="BT1142" s="73"/>
      <c r="BU1142" s="73"/>
      <c r="BV1142" s="73"/>
      <c r="BW1142" s="73"/>
      <c r="BX1142" s="73"/>
      <c r="BY1142" s="73"/>
      <c r="BZ1142" s="73"/>
      <c r="CA1142" s="73"/>
      <c r="CB1142" s="73"/>
      <c r="CC1142" s="73"/>
      <c r="CD1142" s="73"/>
      <c r="CE1142" s="73"/>
      <c r="CF1142" s="73"/>
      <c r="CG1142" s="73"/>
      <c r="CH1142" s="73"/>
    </row>
    <row r="1143">
      <c r="A1143" s="80"/>
      <c r="B1143" s="80"/>
      <c r="C1143" s="80"/>
      <c r="D1143" s="80"/>
      <c r="E1143" s="124"/>
      <c r="F1143" s="80"/>
      <c r="G1143" s="80"/>
      <c r="H1143" s="80"/>
      <c r="I1143" s="80"/>
      <c r="J1143" s="196"/>
      <c r="K1143" s="196"/>
      <c r="L1143" s="196"/>
      <c r="M1143" s="196"/>
      <c r="N1143" s="196"/>
      <c r="O1143" s="196"/>
      <c r="P1143" s="196"/>
      <c r="Q1143" s="196"/>
      <c r="R1143" s="196"/>
      <c r="S1143" s="196"/>
      <c r="T1143" s="196"/>
      <c r="U1143" s="196"/>
      <c r="V1143" s="196"/>
      <c r="W1143" s="196"/>
      <c r="X1143" s="196"/>
      <c r="Y1143" s="196"/>
      <c r="Z1143" s="196"/>
      <c r="AA1143" s="196"/>
      <c r="AB1143" s="196"/>
      <c r="AC1143" s="196"/>
      <c r="AD1143" s="196"/>
      <c r="AE1143" s="196"/>
      <c r="AF1143" s="196"/>
      <c r="AG1143" s="196"/>
      <c r="AH1143" s="196"/>
      <c r="AI1143" s="196"/>
      <c r="AJ1143" s="197"/>
      <c r="AK1143" s="80"/>
      <c r="AL1143" s="80"/>
      <c r="AM1143" s="73"/>
      <c r="AN1143" s="73"/>
      <c r="AO1143" s="73"/>
      <c r="AP1143" s="73"/>
      <c r="AQ1143" s="73"/>
      <c r="AR1143" s="73"/>
      <c r="AS1143" s="73"/>
      <c r="AT1143" s="73"/>
      <c r="AU1143" s="73"/>
      <c r="AV1143" s="73"/>
      <c r="AW1143" s="73"/>
      <c r="AX1143" s="73"/>
      <c r="AY1143" s="73"/>
      <c r="AZ1143" s="73"/>
      <c r="BA1143" s="73"/>
      <c r="BB1143" s="73"/>
      <c r="BC1143" s="73"/>
      <c r="BD1143" s="73"/>
      <c r="BE1143" s="73"/>
      <c r="BF1143" s="73"/>
      <c r="BG1143" s="73"/>
      <c r="BH1143" s="73"/>
      <c r="BI1143" s="73"/>
      <c r="BJ1143" s="73"/>
      <c r="BK1143" s="73"/>
      <c r="BL1143" s="73"/>
      <c r="BM1143" s="73"/>
      <c r="BN1143" s="73"/>
      <c r="BO1143" s="73"/>
      <c r="BP1143" s="73"/>
      <c r="BQ1143" s="73"/>
      <c r="BR1143" s="73"/>
      <c r="BS1143" s="73"/>
      <c r="BT1143" s="73"/>
      <c r="BU1143" s="73"/>
      <c r="BV1143" s="73"/>
      <c r="BW1143" s="73"/>
      <c r="BX1143" s="73"/>
      <c r="BY1143" s="73"/>
      <c r="BZ1143" s="73"/>
      <c r="CA1143" s="73"/>
      <c r="CB1143" s="73"/>
      <c r="CC1143" s="73"/>
      <c r="CD1143" s="73"/>
      <c r="CE1143" s="73"/>
      <c r="CF1143" s="73"/>
      <c r="CG1143" s="73"/>
      <c r="CH1143" s="73"/>
    </row>
    <row r="1144">
      <c r="A1144" s="80"/>
      <c r="B1144" s="80"/>
      <c r="C1144" s="80"/>
      <c r="D1144" s="80"/>
      <c r="E1144" s="124"/>
      <c r="F1144" s="80"/>
      <c r="G1144" s="80"/>
      <c r="H1144" s="80"/>
      <c r="I1144" s="80"/>
      <c r="J1144" s="196"/>
      <c r="K1144" s="196"/>
      <c r="L1144" s="196"/>
      <c r="M1144" s="196"/>
      <c r="N1144" s="196"/>
      <c r="O1144" s="196"/>
      <c r="P1144" s="196"/>
      <c r="Q1144" s="196"/>
      <c r="R1144" s="196"/>
      <c r="S1144" s="196"/>
      <c r="T1144" s="196"/>
      <c r="U1144" s="196"/>
      <c r="V1144" s="196"/>
      <c r="W1144" s="196"/>
      <c r="X1144" s="196"/>
      <c r="Y1144" s="196"/>
      <c r="Z1144" s="196"/>
      <c r="AA1144" s="196"/>
      <c r="AB1144" s="196"/>
      <c r="AC1144" s="196"/>
      <c r="AD1144" s="196"/>
      <c r="AE1144" s="196"/>
      <c r="AF1144" s="196"/>
      <c r="AG1144" s="196"/>
      <c r="AH1144" s="196"/>
      <c r="AI1144" s="196"/>
      <c r="AJ1144" s="197"/>
      <c r="AK1144" s="80"/>
      <c r="AL1144" s="80"/>
      <c r="AM1144" s="73"/>
      <c r="AN1144" s="73"/>
      <c r="AO1144" s="73"/>
      <c r="AP1144" s="73"/>
      <c r="AQ1144" s="73"/>
      <c r="AR1144" s="73"/>
      <c r="AS1144" s="73"/>
      <c r="AT1144" s="73"/>
      <c r="AU1144" s="73"/>
      <c r="AV1144" s="73"/>
      <c r="AW1144" s="73"/>
      <c r="AX1144" s="73"/>
      <c r="AY1144" s="73"/>
      <c r="AZ1144" s="73"/>
      <c r="BA1144" s="73"/>
      <c r="BB1144" s="73"/>
      <c r="BC1144" s="73"/>
      <c r="BD1144" s="73"/>
      <c r="BE1144" s="73"/>
      <c r="BF1144" s="73"/>
      <c r="BG1144" s="73"/>
      <c r="BH1144" s="73"/>
      <c r="BI1144" s="73"/>
      <c r="BJ1144" s="73"/>
      <c r="BK1144" s="73"/>
      <c r="BL1144" s="73"/>
      <c r="BM1144" s="73"/>
      <c r="BN1144" s="73"/>
      <c r="BO1144" s="73"/>
      <c r="BP1144" s="73"/>
      <c r="BQ1144" s="73"/>
      <c r="BR1144" s="73"/>
      <c r="BS1144" s="73"/>
      <c r="BT1144" s="73"/>
      <c r="BU1144" s="73"/>
      <c r="BV1144" s="73"/>
      <c r="BW1144" s="73"/>
      <c r="BX1144" s="73"/>
      <c r="BY1144" s="73"/>
      <c r="BZ1144" s="73"/>
      <c r="CA1144" s="73"/>
      <c r="CB1144" s="73"/>
      <c r="CC1144" s="73"/>
      <c r="CD1144" s="73"/>
      <c r="CE1144" s="73"/>
      <c r="CF1144" s="73"/>
      <c r="CG1144" s="73"/>
      <c r="CH1144" s="73"/>
    </row>
    <row r="1145">
      <c r="A1145" s="80"/>
      <c r="B1145" s="80"/>
      <c r="C1145" s="80"/>
      <c r="D1145" s="80"/>
      <c r="E1145" s="124"/>
      <c r="F1145" s="80"/>
      <c r="G1145" s="80"/>
      <c r="H1145" s="80"/>
      <c r="I1145" s="80"/>
      <c r="J1145" s="196"/>
      <c r="K1145" s="196"/>
      <c r="L1145" s="196"/>
      <c r="M1145" s="196"/>
      <c r="N1145" s="196"/>
      <c r="O1145" s="196"/>
      <c r="P1145" s="196"/>
      <c r="Q1145" s="196"/>
      <c r="R1145" s="196"/>
      <c r="S1145" s="196"/>
      <c r="T1145" s="196"/>
      <c r="U1145" s="196"/>
      <c r="V1145" s="196"/>
      <c r="W1145" s="196"/>
      <c r="X1145" s="196"/>
      <c r="Y1145" s="196"/>
      <c r="Z1145" s="196"/>
      <c r="AA1145" s="196"/>
      <c r="AB1145" s="196"/>
      <c r="AC1145" s="196"/>
      <c r="AD1145" s="196"/>
      <c r="AE1145" s="196"/>
      <c r="AF1145" s="196"/>
      <c r="AG1145" s="196"/>
      <c r="AH1145" s="196"/>
      <c r="AI1145" s="196"/>
      <c r="AJ1145" s="197"/>
      <c r="AK1145" s="80"/>
      <c r="AL1145" s="80"/>
      <c r="AM1145" s="73"/>
      <c r="AN1145" s="73"/>
      <c r="AO1145" s="73"/>
      <c r="AP1145" s="73"/>
      <c r="AQ1145" s="73"/>
      <c r="AR1145" s="73"/>
      <c r="AS1145" s="73"/>
      <c r="AT1145" s="73"/>
      <c r="AU1145" s="73"/>
      <c r="AV1145" s="73"/>
      <c r="AW1145" s="73"/>
      <c r="AX1145" s="73"/>
      <c r="AY1145" s="73"/>
      <c r="AZ1145" s="73"/>
      <c r="BA1145" s="73"/>
      <c r="BB1145" s="73"/>
      <c r="BC1145" s="73"/>
      <c r="BD1145" s="73"/>
      <c r="BE1145" s="73"/>
      <c r="BF1145" s="73"/>
      <c r="BG1145" s="73"/>
      <c r="BH1145" s="73"/>
      <c r="BI1145" s="73"/>
      <c r="BJ1145" s="73"/>
      <c r="BK1145" s="73"/>
      <c r="BL1145" s="73"/>
      <c r="BM1145" s="73"/>
      <c r="BN1145" s="73"/>
      <c r="BO1145" s="73"/>
      <c r="BP1145" s="73"/>
      <c r="BQ1145" s="73"/>
      <c r="BR1145" s="73"/>
      <c r="BS1145" s="73"/>
      <c r="BT1145" s="73"/>
      <c r="BU1145" s="73"/>
      <c r="BV1145" s="73"/>
      <c r="BW1145" s="73"/>
      <c r="BX1145" s="73"/>
      <c r="BY1145" s="73"/>
      <c r="BZ1145" s="73"/>
      <c r="CA1145" s="73"/>
      <c r="CB1145" s="73"/>
      <c r="CC1145" s="73"/>
      <c r="CD1145" s="73"/>
      <c r="CE1145" s="73"/>
      <c r="CF1145" s="73"/>
      <c r="CG1145" s="73"/>
      <c r="CH1145" s="73"/>
    </row>
    <row r="1146">
      <c r="A1146" s="80"/>
      <c r="B1146" s="80"/>
      <c r="C1146" s="80"/>
      <c r="D1146" s="80"/>
      <c r="E1146" s="124"/>
      <c r="F1146" s="80"/>
      <c r="G1146" s="80"/>
      <c r="H1146" s="80"/>
      <c r="I1146" s="80"/>
      <c r="J1146" s="196"/>
      <c r="K1146" s="196"/>
      <c r="L1146" s="196"/>
      <c r="M1146" s="196"/>
      <c r="N1146" s="196"/>
      <c r="O1146" s="196"/>
      <c r="P1146" s="196"/>
      <c r="Q1146" s="196"/>
      <c r="R1146" s="196"/>
      <c r="S1146" s="196"/>
      <c r="T1146" s="196"/>
      <c r="U1146" s="196"/>
      <c r="V1146" s="196"/>
      <c r="W1146" s="196"/>
      <c r="X1146" s="196"/>
      <c r="Y1146" s="196"/>
      <c r="Z1146" s="196"/>
      <c r="AA1146" s="196"/>
      <c r="AB1146" s="196"/>
      <c r="AC1146" s="196"/>
      <c r="AD1146" s="196"/>
      <c r="AE1146" s="196"/>
      <c r="AF1146" s="196"/>
      <c r="AG1146" s="196"/>
      <c r="AH1146" s="196"/>
      <c r="AI1146" s="196"/>
      <c r="AJ1146" s="197"/>
      <c r="AK1146" s="80"/>
      <c r="AL1146" s="80"/>
      <c r="AM1146" s="73"/>
      <c r="AN1146" s="73"/>
      <c r="AO1146" s="73"/>
      <c r="AP1146" s="73"/>
      <c r="AQ1146" s="73"/>
      <c r="AR1146" s="73"/>
      <c r="AS1146" s="73"/>
      <c r="AT1146" s="73"/>
      <c r="AU1146" s="73"/>
      <c r="AV1146" s="73"/>
      <c r="AW1146" s="73"/>
      <c r="AX1146" s="73"/>
      <c r="AY1146" s="73"/>
      <c r="AZ1146" s="73"/>
      <c r="BA1146" s="73"/>
      <c r="BB1146" s="73"/>
      <c r="BC1146" s="73"/>
      <c r="BD1146" s="73"/>
      <c r="BE1146" s="73"/>
      <c r="BF1146" s="73"/>
      <c r="BG1146" s="73"/>
      <c r="BH1146" s="73"/>
      <c r="BI1146" s="73"/>
      <c r="BJ1146" s="73"/>
      <c r="BK1146" s="73"/>
      <c r="BL1146" s="73"/>
      <c r="BM1146" s="73"/>
      <c r="BN1146" s="73"/>
      <c r="BO1146" s="73"/>
      <c r="BP1146" s="73"/>
      <c r="BQ1146" s="73"/>
      <c r="BR1146" s="73"/>
      <c r="BS1146" s="73"/>
      <c r="BT1146" s="73"/>
      <c r="BU1146" s="73"/>
      <c r="BV1146" s="73"/>
      <c r="BW1146" s="73"/>
      <c r="BX1146" s="73"/>
      <c r="BY1146" s="73"/>
      <c r="BZ1146" s="73"/>
      <c r="CA1146" s="73"/>
      <c r="CB1146" s="73"/>
      <c r="CC1146" s="73"/>
      <c r="CD1146" s="73"/>
      <c r="CE1146" s="73"/>
      <c r="CF1146" s="73"/>
      <c r="CG1146" s="73"/>
      <c r="CH1146" s="73"/>
    </row>
    <row r="1147">
      <c r="A1147" s="80"/>
      <c r="B1147" s="80"/>
      <c r="C1147" s="80"/>
      <c r="D1147" s="80"/>
      <c r="E1147" s="124"/>
      <c r="F1147" s="80"/>
      <c r="G1147" s="80"/>
      <c r="H1147" s="80"/>
      <c r="I1147" s="80"/>
      <c r="J1147" s="196"/>
      <c r="K1147" s="196"/>
      <c r="L1147" s="196"/>
      <c r="M1147" s="196"/>
      <c r="N1147" s="196"/>
      <c r="O1147" s="196"/>
      <c r="P1147" s="196"/>
      <c r="Q1147" s="196"/>
      <c r="R1147" s="196"/>
      <c r="S1147" s="196"/>
      <c r="T1147" s="196"/>
      <c r="U1147" s="196"/>
      <c r="V1147" s="196"/>
      <c r="W1147" s="196"/>
      <c r="X1147" s="196"/>
      <c r="Y1147" s="196"/>
      <c r="Z1147" s="196"/>
      <c r="AA1147" s="196"/>
      <c r="AB1147" s="196"/>
      <c r="AC1147" s="196"/>
      <c r="AD1147" s="196"/>
      <c r="AE1147" s="196"/>
      <c r="AF1147" s="196"/>
      <c r="AG1147" s="196"/>
      <c r="AH1147" s="196"/>
      <c r="AI1147" s="196"/>
      <c r="AJ1147" s="197"/>
      <c r="AK1147" s="80"/>
      <c r="AL1147" s="80"/>
      <c r="AM1147" s="73"/>
      <c r="AN1147" s="73"/>
      <c r="AO1147" s="73"/>
      <c r="AP1147" s="73"/>
      <c r="AQ1147" s="73"/>
      <c r="AR1147" s="73"/>
      <c r="AS1147" s="73"/>
      <c r="AT1147" s="73"/>
      <c r="AU1147" s="73"/>
      <c r="AV1147" s="73"/>
      <c r="AW1147" s="73"/>
      <c r="AX1147" s="73"/>
      <c r="AY1147" s="73"/>
      <c r="AZ1147" s="73"/>
      <c r="BA1147" s="73"/>
      <c r="BB1147" s="73"/>
      <c r="BC1147" s="73"/>
      <c r="BD1147" s="73"/>
      <c r="BE1147" s="73"/>
      <c r="BF1147" s="73"/>
      <c r="BG1147" s="73"/>
      <c r="BH1147" s="73"/>
      <c r="BI1147" s="73"/>
      <c r="BJ1147" s="73"/>
      <c r="BK1147" s="73"/>
      <c r="BL1147" s="73"/>
      <c r="BM1147" s="73"/>
      <c r="BN1147" s="73"/>
      <c r="BO1147" s="73"/>
      <c r="BP1147" s="73"/>
      <c r="BQ1147" s="73"/>
      <c r="BR1147" s="73"/>
      <c r="BS1147" s="73"/>
      <c r="BT1147" s="73"/>
      <c r="BU1147" s="73"/>
      <c r="BV1147" s="73"/>
      <c r="BW1147" s="73"/>
      <c r="BX1147" s="73"/>
      <c r="BY1147" s="73"/>
      <c r="BZ1147" s="73"/>
      <c r="CA1147" s="73"/>
      <c r="CB1147" s="73"/>
      <c r="CC1147" s="73"/>
      <c r="CD1147" s="73"/>
      <c r="CE1147" s="73"/>
      <c r="CF1147" s="73"/>
      <c r="CG1147" s="73"/>
      <c r="CH1147" s="73"/>
    </row>
    <row r="1148">
      <c r="A1148" s="80"/>
      <c r="B1148" s="80"/>
      <c r="C1148" s="80"/>
      <c r="D1148" s="80"/>
      <c r="E1148" s="124"/>
      <c r="F1148" s="80"/>
      <c r="G1148" s="80"/>
      <c r="H1148" s="80"/>
      <c r="I1148" s="80"/>
      <c r="J1148" s="196"/>
      <c r="K1148" s="196"/>
      <c r="L1148" s="196"/>
      <c r="M1148" s="196"/>
      <c r="N1148" s="196"/>
      <c r="O1148" s="196"/>
      <c r="P1148" s="196"/>
      <c r="Q1148" s="196"/>
      <c r="R1148" s="196"/>
      <c r="S1148" s="196"/>
      <c r="T1148" s="196"/>
      <c r="U1148" s="196"/>
      <c r="V1148" s="196"/>
      <c r="W1148" s="196"/>
      <c r="X1148" s="196"/>
      <c r="Y1148" s="196"/>
      <c r="Z1148" s="196"/>
      <c r="AA1148" s="196"/>
      <c r="AB1148" s="196"/>
      <c r="AC1148" s="196"/>
      <c r="AD1148" s="196"/>
      <c r="AE1148" s="196"/>
      <c r="AF1148" s="196"/>
      <c r="AG1148" s="196"/>
      <c r="AH1148" s="196"/>
      <c r="AI1148" s="196"/>
      <c r="AJ1148" s="197"/>
      <c r="AK1148" s="80"/>
      <c r="AL1148" s="80"/>
      <c r="AM1148" s="73"/>
      <c r="AN1148" s="73"/>
      <c r="AO1148" s="73"/>
      <c r="AP1148" s="73"/>
      <c r="AQ1148" s="73"/>
      <c r="AR1148" s="73"/>
      <c r="AS1148" s="73"/>
      <c r="AT1148" s="73"/>
      <c r="AU1148" s="73"/>
      <c r="AV1148" s="73"/>
      <c r="AW1148" s="73"/>
      <c r="AX1148" s="73"/>
      <c r="AY1148" s="73"/>
      <c r="AZ1148" s="73"/>
      <c r="BA1148" s="73"/>
      <c r="BB1148" s="73"/>
      <c r="BC1148" s="73"/>
      <c r="BD1148" s="73"/>
      <c r="BE1148" s="73"/>
      <c r="BF1148" s="73"/>
      <c r="BG1148" s="73"/>
      <c r="BH1148" s="73"/>
      <c r="BI1148" s="73"/>
      <c r="BJ1148" s="73"/>
      <c r="BK1148" s="73"/>
      <c r="BL1148" s="73"/>
      <c r="BM1148" s="73"/>
      <c r="BN1148" s="73"/>
      <c r="BO1148" s="73"/>
      <c r="BP1148" s="73"/>
      <c r="BQ1148" s="73"/>
      <c r="BR1148" s="73"/>
      <c r="BS1148" s="73"/>
      <c r="BT1148" s="73"/>
      <c r="BU1148" s="73"/>
      <c r="BV1148" s="73"/>
      <c r="BW1148" s="73"/>
      <c r="BX1148" s="73"/>
      <c r="BY1148" s="73"/>
      <c r="BZ1148" s="73"/>
      <c r="CA1148" s="73"/>
      <c r="CB1148" s="73"/>
      <c r="CC1148" s="73"/>
      <c r="CD1148" s="73"/>
      <c r="CE1148" s="73"/>
      <c r="CF1148" s="73"/>
      <c r="CG1148" s="73"/>
      <c r="CH1148" s="73"/>
    </row>
    <row r="1149">
      <c r="A1149" s="80"/>
      <c r="B1149" s="80"/>
      <c r="C1149" s="80"/>
      <c r="D1149" s="80"/>
      <c r="E1149" s="124"/>
      <c r="F1149" s="80"/>
      <c r="G1149" s="80"/>
      <c r="H1149" s="80"/>
      <c r="I1149" s="80"/>
      <c r="J1149" s="196"/>
      <c r="K1149" s="196"/>
      <c r="L1149" s="196"/>
      <c r="M1149" s="196"/>
      <c r="N1149" s="196"/>
      <c r="O1149" s="196"/>
      <c r="P1149" s="196"/>
      <c r="Q1149" s="196"/>
      <c r="R1149" s="196"/>
      <c r="S1149" s="196"/>
      <c r="T1149" s="196"/>
      <c r="U1149" s="196"/>
      <c r="V1149" s="196"/>
      <c r="W1149" s="196"/>
      <c r="X1149" s="196"/>
      <c r="Y1149" s="196"/>
      <c r="Z1149" s="196"/>
      <c r="AA1149" s="196"/>
      <c r="AB1149" s="196"/>
      <c r="AC1149" s="196"/>
      <c r="AD1149" s="196"/>
      <c r="AE1149" s="196"/>
      <c r="AF1149" s="196"/>
      <c r="AG1149" s="196"/>
      <c r="AH1149" s="196"/>
      <c r="AI1149" s="196"/>
      <c r="AJ1149" s="197"/>
      <c r="AK1149" s="80"/>
      <c r="AL1149" s="80"/>
      <c r="AM1149" s="73"/>
      <c r="AN1149" s="73"/>
      <c r="AO1149" s="73"/>
      <c r="AP1149" s="73"/>
      <c r="AQ1149" s="73"/>
      <c r="AR1149" s="73"/>
      <c r="AS1149" s="73"/>
      <c r="AT1149" s="73"/>
      <c r="AU1149" s="73"/>
      <c r="AV1149" s="73"/>
      <c r="AW1149" s="73"/>
      <c r="AX1149" s="73"/>
      <c r="AY1149" s="73"/>
      <c r="AZ1149" s="73"/>
      <c r="BA1149" s="73"/>
      <c r="BB1149" s="73"/>
      <c r="BC1149" s="73"/>
      <c r="BD1149" s="73"/>
      <c r="BE1149" s="73"/>
      <c r="BF1149" s="73"/>
      <c r="BG1149" s="73"/>
      <c r="BH1149" s="73"/>
      <c r="BI1149" s="73"/>
      <c r="BJ1149" s="73"/>
      <c r="BK1149" s="73"/>
      <c r="BL1149" s="73"/>
      <c r="BM1149" s="73"/>
      <c r="BN1149" s="73"/>
      <c r="BO1149" s="73"/>
      <c r="BP1149" s="73"/>
      <c r="BQ1149" s="73"/>
      <c r="BR1149" s="73"/>
      <c r="BS1149" s="73"/>
      <c r="BT1149" s="73"/>
      <c r="BU1149" s="73"/>
      <c r="BV1149" s="73"/>
      <c r="BW1149" s="73"/>
      <c r="BX1149" s="73"/>
      <c r="BY1149" s="73"/>
      <c r="BZ1149" s="73"/>
      <c r="CA1149" s="73"/>
      <c r="CB1149" s="73"/>
      <c r="CC1149" s="73"/>
      <c r="CD1149" s="73"/>
      <c r="CE1149" s="73"/>
      <c r="CF1149" s="73"/>
      <c r="CG1149" s="73"/>
      <c r="CH1149" s="73"/>
    </row>
    <row r="1150">
      <c r="A1150" s="80"/>
      <c r="B1150" s="80"/>
      <c r="C1150" s="80"/>
      <c r="D1150" s="80"/>
      <c r="E1150" s="124"/>
      <c r="F1150" s="80"/>
      <c r="G1150" s="80"/>
      <c r="H1150" s="80"/>
      <c r="I1150" s="80"/>
      <c r="J1150" s="196"/>
      <c r="K1150" s="196"/>
      <c r="L1150" s="196"/>
      <c r="M1150" s="196"/>
      <c r="N1150" s="196"/>
      <c r="O1150" s="196"/>
      <c r="P1150" s="196"/>
      <c r="Q1150" s="196"/>
      <c r="R1150" s="196"/>
      <c r="S1150" s="196"/>
      <c r="T1150" s="196"/>
      <c r="U1150" s="196"/>
      <c r="V1150" s="196"/>
      <c r="W1150" s="196"/>
      <c r="X1150" s="196"/>
      <c r="Y1150" s="196"/>
      <c r="Z1150" s="196"/>
      <c r="AA1150" s="196"/>
      <c r="AB1150" s="196"/>
      <c r="AC1150" s="196"/>
      <c r="AD1150" s="196"/>
      <c r="AE1150" s="196"/>
      <c r="AF1150" s="196"/>
      <c r="AG1150" s="196"/>
      <c r="AH1150" s="196"/>
      <c r="AI1150" s="196"/>
      <c r="AJ1150" s="197"/>
      <c r="AK1150" s="80"/>
      <c r="AL1150" s="80"/>
      <c r="AM1150" s="73"/>
      <c r="AN1150" s="73"/>
      <c r="AO1150" s="73"/>
      <c r="AP1150" s="73"/>
      <c r="AQ1150" s="73"/>
      <c r="AR1150" s="73"/>
      <c r="AS1150" s="73"/>
      <c r="AT1150" s="73"/>
      <c r="AU1150" s="73"/>
      <c r="AV1150" s="73"/>
      <c r="AW1150" s="73"/>
      <c r="AX1150" s="73"/>
      <c r="AY1150" s="73"/>
      <c r="AZ1150" s="73"/>
      <c r="BA1150" s="73"/>
      <c r="BB1150" s="73"/>
      <c r="BC1150" s="73"/>
      <c r="BD1150" s="73"/>
      <c r="BE1150" s="73"/>
      <c r="BF1150" s="73"/>
      <c r="BG1150" s="73"/>
      <c r="BH1150" s="73"/>
      <c r="BI1150" s="73"/>
      <c r="BJ1150" s="73"/>
      <c r="BK1150" s="73"/>
      <c r="BL1150" s="73"/>
      <c r="BM1150" s="73"/>
      <c r="BN1150" s="73"/>
      <c r="BO1150" s="73"/>
      <c r="BP1150" s="73"/>
      <c r="BQ1150" s="73"/>
      <c r="BR1150" s="73"/>
      <c r="BS1150" s="73"/>
      <c r="BT1150" s="73"/>
      <c r="BU1150" s="73"/>
      <c r="BV1150" s="73"/>
      <c r="BW1150" s="73"/>
      <c r="BX1150" s="73"/>
      <c r="BY1150" s="73"/>
      <c r="BZ1150" s="73"/>
      <c r="CA1150" s="73"/>
      <c r="CB1150" s="73"/>
      <c r="CC1150" s="73"/>
      <c r="CD1150" s="73"/>
      <c r="CE1150" s="73"/>
      <c r="CF1150" s="73"/>
      <c r="CG1150" s="73"/>
      <c r="CH1150" s="73"/>
    </row>
    <row r="1151">
      <c r="A1151" s="80"/>
      <c r="B1151" s="80"/>
      <c r="C1151" s="80"/>
      <c r="D1151" s="80"/>
      <c r="E1151" s="124"/>
      <c r="F1151" s="80"/>
      <c r="G1151" s="80"/>
      <c r="H1151" s="80"/>
      <c r="I1151" s="80"/>
      <c r="J1151" s="196"/>
      <c r="K1151" s="196"/>
      <c r="L1151" s="196"/>
      <c r="M1151" s="196"/>
      <c r="N1151" s="196"/>
      <c r="O1151" s="196"/>
      <c r="P1151" s="196"/>
      <c r="Q1151" s="196"/>
      <c r="R1151" s="196"/>
      <c r="S1151" s="196"/>
      <c r="T1151" s="196"/>
      <c r="U1151" s="196"/>
      <c r="V1151" s="196"/>
      <c r="W1151" s="196"/>
      <c r="X1151" s="196"/>
      <c r="Y1151" s="196"/>
      <c r="Z1151" s="196"/>
      <c r="AA1151" s="196"/>
      <c r="AB1151" s="196"/>
      <c r="AC1151" s="196"/>
      <c r="AD1151" s="196"/>
      <c r="AE1151" s="196"/>
      <c r="AF1151" s="196"/>
      <c r="AG1151" s="196"/>
      <c r="AH1151" s="196"/>
      <c r="AI1151" s="196"/>
      <c r="AJ1151" s="197"/>
      <c r="AK1151" s="80"/>
      <c r="AL1151" s="80"/>
      <c r="AM1151" s="73"/>
      <c r="AN1151" s="73"/>
      <c r="AO1151" s="73"/>
      <c r="AP1151" s="73"/>
      <c r="AQ1151" s="73"/>
      <c r="AR1151" s="73"/>
      <c r="AS1151" s="73"/>
      <c r="AT1151" s="73"/>
      <c r="AU1151" s="73"/>
      <c r="AV1151" s="73"/>
      <c r="AW1151" s="73"/>
      <c r="AX1151" s="73"/>
      <c r="AY1151" s="73"/>
      <c r="AZ1151" s="73"/>
      <c r="BA1151" s="73"/>
      <c r="BB1151" s="73"/>
      <c r="BC1151" s="73"/>
      <c r="BD1151" s="73"/>
      <c r="BE1151" s="73"/>
      <c r="BF1151" s="73"/>
      <c r="BG1151" s="73"/>
      <c r="BH1151" s="73"/>
      <c r="BI1151" s="73"/>
      <c r="BJ1151" s="73"/>
      <c r="BK1151" s="73"/>
      <c r="BL1151" s="73"/>
      <c r="BM1151" s="73"/>
      <c r="BN1151" s="73"/>
      <c r="BO1151" s="73"/>
      <c r="BP1151" s="73"/>
      <c r="BQ1151" s="73"/>
      <c r="BR1151" s="73"/>
      <c r="BS1151" s="73"/>
      <c r="BT1151" s="73"/>
      <c r="BU1151" s="73"/>
      <c r="BV1151" s="73"/>
      <c r="BW1151" s="73"/>
      <c r="BX1151" s="73"/>
      <c r="BY1151" s="73"/>
      <c r="BZ1151" s="73"/>
      <c r="CA1151" s="73"/>
      <c r="CB1151" s="73"/>
      <c r="CC1151" s="73"/>
      <c r="CD1151" s="73"/>
      <c r="CE1151" s="73"/>
      <c r="CF1151" s="73"/>
      <c r="CG1151" s="73"/>
      <c r="CH1151" s="73"/>
    </row>
    <row r="1152">
      <c r="A1152" s="80"/>
      <c r="B1152" s="80"/>
      <c r="C1152" s="80"/>
      <c r="D1152" s="80"/>
      <c r="E1152" s="124"/>
      <c r="F1152" s="80"/>
      <c r="G1152" s="80"/>
      <c r="H1152" s="80"/>
      <c r="I1152" s="80"/>
      <c r="J1152" s="196"/>
      <c r="K1152" s="196"/>
      <c r="L1152" s="196"/>
      <c r="M1152" s="196"/>
      <c r="N1152" s="196"/>
      <c r="O1152" s="196"/>
      <c r="P1152" s="196"/>
      <c r="Q1152" s="196"/>
      <c r="R1152" s="196"/>
      <c r="S1152" s="196"/>
      <c r="T1152" s="196"/>
      <c r="U1152" s="196"/>
      <c r="V1152" s="196"/>
      <c r="W1152" s="196"/>
      <c r="X1152" s="196"/>
      <c r="Y1152" s="196"/>
      <c r="Z1152" s="196"/>
      <c r="AA1152" s="196"/>
      <c r="AB1152" s="196"/>
      <c r="AC1152" s="196"/>
      <c r="AD1152" s="196"/>
      <c r="AE1152" s="196"/>
      <c r="AF1152" s="196"/>
      <c r="AG1152" s="196"/>
      <c r="AH1152" s="196"/>
      <c r="AI1152" s="196"/>
      <c r="AJ1152" s="197"/>
      <c r="AK1152" s="80"/>
      <c r="AL1152" s="80"/>
      <c r="AM1152" s="73"/>
      <c r="AN1152" s="73"/>
      <c r="AO1152" s="73"/>
      <c r="AP1152" s="73"/>
      <c r="AQ1152" s="73"/>
      <c r="AR1152" s="73"/>
      <c r="AS1152" s="73"/>
      <c r="AT1152" s="73"/>
      <c r="AU1152" s="73"/>
      <c r="AV1152" s="73"/>
      <c r="AW1152" s="73"/>
      <c r="AX1152" s="73"/>
      <c r="AY1152" s="73"/>
      <c r="AZ1152" s="73"/>
      <c r="BA1152" s="73"/>
      <c r="BB1152" s="73"/>
      <c r="BC1152" s="73"/>
      <c r="BD1152" s="73"/>
      <c r="BE1152" s="73"/>
      <c r="BF1152" s="73"/>
      <c r="BG1152" s="73"/>
      <c r="BH1152" s="73"/>
      <c r="BI1152" s="73"/>
      <c r="BJ1152" s="73"/>
      <c r="BK1152" s="73"/>
      <c r="BL1152" s="73"/>
      <c r="BM1152" s="73"/>
      <c r="BN1152" s="73"/>
      <c r="BO1152" s="73"/>
      <c r="BP1152" s="73"/>
      <c r="BQ1152" s="73"/>
      <c r="BR1152" s="73"/>
      <c r="BS1152" s="73"/>
      <c r="BT1152" s="73"/>
      <c r="BU1152" s="73"/>
      <c r="BV1152" s="73"/>
      <c r="BW1152" s="73"/>
      <c r="BX1152" s="73"/>
      <c r="BY1152" s="73"/>
      <c r="BZ1152" s="73"/>
      <c r="CA1152" s="73"/>
      <c r="CB1152" s="73"/>
      <c r="CC1152" s="73"/>
      <c r="CD1152" s="73"/>
      <c r="CE1152" s="73"/>
      <c r="CF1152" s="73"/>
      <c r="CG1152" s="73"/>
      <c r="CH1152" s="73"/>
    </row>
    <row r="1153">
      <c r="A1153" s="80"/>
      <c r="B1153" s="80"/>
      <c r="C1153" s="80"/>
      <c r="D1153" s="80"/>
      <c r="E1153" s="124"/>
      <c r="F1153" s="80"/>
      <c r="G1153" s="80"/>
      <c r="H1153" s="80"/>
      <c r="I1153" s="80"/>
      <c r="J1153" s="196"/>
      <c r="K1153" s="196"/>
      <c r="L1153" s="196"/>
      <c r="M1153" s="196"/>
      <c r="N1153" s="196"/>
      <c r="O1153" s="196"/>
      <c r="P1153" s="196"/>
      <c r="Q1153" s="196"/>
      <c r="R1153" s="196"/>
      <c r="S1153" s="196"/>
      <c r="T1153" s="196"/>
      <c r="U1153" s="196"/>
      <c r="V1153" s="196"/>
      <c r="W1153" s="196"/>
      <c r="X1153" s="196"/>
      <c r="Y1153" s="196"/>
      <c r="Z1153" s="196"/>
      <c r="AA1153" s="196"/>
      <c r="AB1153" s="196"/>
      <c r="AC1153" s="196"/>
      <c r="AD1153" s="196"/>
      <c r="AE1153" s="196"/>
      <c r="AF1153" s="196"/>
      <c r="AG1153" s="196"/>
      <c r="AH1153" s="196"/>
      <c r="AI1153" s="196"/>
      <c r="AJ1153" s="197"/>
      <c r="AK1153" s="80"/>
      <c r="AL1153" s="80"/>
      <c r="AM1153" s="73"/>
      <c r="AN1153" s="73"/>
      <c r="AO1153" s="73"/>
      <c r="AP1153" s="73"/>
      <c r="AQ1153" s="73"/>
      <c r="AR1153" s="73"/>
      <c r="AS1153" s="73"/>
      <c r="AT1153" s="73"/>
      <c r="AU1153" s="73"/>
      <c r="AV1153" s="73"/>
      <c r="AW1153" s="73"/>
      <c r="AX1153" s="73"/>
      <c r="AY1153" s="73"/>
      <c r="AZ1153" s="73"/>
      <c r="BA1153" s="73"/>
      <c r="BB1153" s="73"/>
      <c r="BC1153" s="73"/>
      <c r="BD1153" s="73"/>
      <c r="BE1153" s="73"/>
      <c r="BF1153" s="73"/>
      <c r="BG1153" s="73"/>
      <c r="BH1153" s="73"/>
      <c r="BI1153" s="73"/>
      <c r="BJ1153" s="73"/>
      <c r="BK1153" s="73"/>
      <c r="BL1153" s="73"/>
      <c r="BM1153" s="73"/>
      <c r="BN1153" s="73"/>
      <c r="BO1153" s="73"/>
      <c r="BP1153" s="73"/>
      <c r="BQ1153" s="73"/>
      <c r="BR1153" s="73"/>
      <c r="BS1153" s="73"/>
      <c r="BT1153" s="73"/>
      <c r="BU1153" s="73"/>
      <c r="BV1153" s="73"/>
      <c r="BW1153" s="73"/>
      <c r="BX1153" s="73"/>
      <c r="BY1153" s="73"/>
      <c r="BZ1153" s="73"/>
      <c r="CA1153" s="73"/>
      <c r="CB1153" s="73"/>
      <c r="CC1153" s="73"/>
      <c r="CD1153" s="73"/>
      <c r="CE1153" s="73"/>
      <c r="CF1153" s="73"/>
      <c r="CG1153" s="73"/>
      <c r="CH1153" s="73"/>
    </row>
    <row r="1154">
      <c r="A1154" s="80"/>
      <c r="B1154" s="80"/>
      <c r="C1154" s="80"/>
      <c r="D1154" s="80"/>
      <c r="E1154" s="124"/>
      <c r="F1154" s="80"/>
      <c r="G1154" s="80"/>
      <c r="H1154" s="80"/>
      <c r="I1154" s="80"/>
      <c r="J1154" s="196"/>
      <c r="K1154" s="196"/>
      <c r="L1154" s="196"/>
      <c r="M1154" s="196"/>
      <c r="N1154" s="196"/>
      <c r="O1154" s="196"/>
      <c r="P1154" s="196"/>
      <c r="Q1154" s="196"/>
      <c r="R1154" s="196"/>
      <c r="S1154" s="196"/>
      <c r="T1154" s="196"/>
      <c r="U1154" s="196"/>
      <c r="V1154" s="196"/>
      <c r="W1154" s="196"/>
      <c r="X1154" s="196"/>
      <c r="Y1154" s="196"/>
      <c r="Z1154" s="196"/>
      <c r="AA1154" s="196"/>
      <c r="AB1154" s="196"/>
      <c r="AC1154" s="196"/>
      <c r="AD1154" s="196"/>
      <c r="AE1154" s="196"/>
      <c r="AF1154" s="196"/>
      <c r="AG1154" s="196"/>
      <c r="AH1154" s="196"/>
      <c r="AI1154" s="196"/>
      <c r="AJ1154" s="197"/>
      <c r="AK1154" s="80"/>
      <c r="AL1154" s="80"/>
      <c r="AM1154" s="73"/>
      <c r="AN1154" s="73"/>
      <c r="AO1154" s="73"/>
      <c r="AP1154" s="73"/>
      <c r="AQ1154" s="73"/>
      <c r="AR1154" s="73"/>
      <c r="AS1154" s="73"/>
      <c r="AT1154" s="73"/>
      <c r="AU1154" s="73"/>
      <c r="AV1154" s="73"/>
      <c r="AW1154" s="73"/>
      <c r="AX1154" s="73"/>
      <c r="AY1154" s="73"/>
      <c r="AZ1154" s="73"/>
      <c r="BA1154" s="73"/>
      <c r="BB1154" s="73"/>
      <c r="BC1154" s="73"/>
      <c r="BD1154" s="73"/>
      <c r="BE1154" s="73"/>
      <c r="BF1154" s="73"/>
      <c r="BG1154" s="73"/>
      <c r="BH1154" s="73"/>
      <c r="BI1154" s="73"/>
      <c r="BJ1154" s="73"/>
      <c r="BK1154" s="73"/>
      <c r="BL1154" s="73"/>
      <c r="BM1154" s="73"/>
      <c r="BN1154" s="73"/>
      <c r="BO1154" s="73"/>
      <c r="BP1154" s="73"/>
      <c r="BQ1154" s="73"/>
      <c r="BR1154" s="73"/>
      <c r="BS1154" s="73"/>
      <c r="BT1154" s="73"/>
      <c r="BU1154" s="73"/>
      <c r="BV1154" s="73"/>
      <c r="BW1154" s="73"/>
      <c r="BX1154" s="73"/>
      <c r="BY1154" s="73"/>
      <c r="BZ1154" s="73"/>
      <c r="CA1154" s="73"/>
      <c r="CB1154" s="73"/>
      <c r="CC1154" s="73"/>
      <c r="CD1154" s="73"/>
      <c r="CE1154" s="73"/>
      <c r="CF1154" s="73"/>
      <c r="CG1154" s="73"/>
      <c r="CH1154" s="73"/>
    </row>
    <row r="1155">
      <c r="A1155" s="80"/>
      <c r="B1155" s="80"/>
      <c r="C1155" s="80"/>
      <c r="D1155" s="80"/>
      <c r="E1155" s="124"/>
      <c r="F1155" s="80"/>
      <c r="G1155" s="80"/>
      <c r="H1155" s="80"/>
      <c r="I1155" s="80"/>
      <c r="J1155" s="196"/>
      <c r="K1155" s="196"/>
      <c r="L1155" s="196"/>
      <c r="M1155" s="196"/>
      <c r="N1155" s="196"/>
      <c r="O1155" s="196"/>
      <c r="P1155" s="196"/>
      <c r="Q1155" s="196"/>
      <c r="R1155" s="196"/>
      <c r="S1155" s="196"/>
      <c r="T1155" s="196"/>
      <c r="U1155" s="196"/>
      <c r="V1155" s="196"/>
      <c r="W1155" s="196"/>
      <c r="X1155" s="196"/>
      <c r="Y1155" s="196"/>
      <c r="Z1155" s="196"/>
      <c r="AA1155" s="196"/>
      <c r="AB1155" s="196"/>
      <c r="AC1155" s="196"/>
      <c r="AD1155" s="196"/>
      <c r="AE1155" s="196"/>
      <c r="AF1155" s="196"/>
      <c r="AG1155" s="196"/>
      <c r="AH1155" s="196"/>
      <c r="AI1155" s="196"/>
      <c r="AJ1155" s="197"/>
      <c r="AK1155" s="80"/>
      <c r="AL1155" s="80"/>
      <c r="AM1155" s="73"/>
      <c r="AN1155" s="73"/>
      <c r="AO1155" s="73"/>
      <c r="AP1155" s="73"/>
      <c r="AQ1155" s="73"/>
      <c r="AR1155" s="73"/>
      <c r="AS1155" s="73"/>
      <c r="AT1155" s="73"/>
      <c r="AU1155" s="73"/>
      <c r="AV1155" s="73"/>
      <c r="AW1155" s="73"/>
      <c r="AX1155" s="73"/>
      <c r="AY1155" s="73"/>
      <c r="AZ1155" s="73"/>
      <c r="BA1155" s="73"/>
      <c r="BB1155" s="73"/>
      <c r="BC1155" s="73"/>
      <c r="BD1155" s="73"/>
      <c r="BE1155" s="73"/>
      <c r="BF1155" s="73"/>
      <c r="BG1155" s="73"/>
      <c r="BH1155" s="73"/>
      <c r="BI1155" s="73"/>
      <c r="BJ1155" s="73"/>
      <c r="BK1155" s="73"/>
      <c r="BL1155" s="73"/>
      <c r="BM1155" s="73"/>
      <c r="BN1155" s="73"/>
      <c r="BO1155" s="73"/>
      <c r="BP1155" s="73"/>
      <c r="BQ1155" s="73"/>
      <c r="BR1155" s="73"/>
      <c r="BS1155" s="73"/>
      <c r="BT1155" s="73"/>
      <c r="BU1155" s="73"/>
      <c r="BV1155" s="73"/>
      <c r="BW1155" s="73"/>
      <c r="BX1155" s="73"/>
      <c r="BY1155" s="73"/>
      <c r="BZ1155" s="73"/>
      <c r="CA1155" s="73"/>
      <c r="CB1155" s="73"/>
      <c r="CC1155" s="73"/>
      <c r="CD1155" s="73"/>
      <c r="CE1155" s="73"/>
      <c r="CF1155" s="73"/>
      <c r="CG1155" s="73"/>
      <c r="CH1155" s="73"/>
    </row>
    <row r="1156">
      <c r="A1156" s="80"/>
      <c r="B1156" s="80"/>
      <c r="C1156" s="80"/>
      <c r="D1156" s="80"/>
      <c r="E1156" s="124"/>
      <c r="F1156" s="80"/>
      <c r="G1156" s="80"/>
      <c r="H1156" s="80"/>
      <c r="I1156" s="80"/>
      <c r="J1156" s="196"/>
      <c r="K1156" s="196"/>
      <c r="L1156" s="196"/>
      <c r="M1156" s="196"/>
      <c r="N1156" s="196"/>
      <c r="O1156" s="196"/>
      <c r="P1156" s="196"/>
      <c r="Q1156" s="196"/>
      <c r="R1156" s="196"/>
      <c r="S1156" s="196"/>
      <c r="T1156" s="196"/>
      <c r="U1156" s="196"/>
      <c r="V1156" s="196"/>
      <c r="W1156" s="196"/>
      <c r="X1156" s="196"/>
      <c r="Y1156" s="196"/>
      <c r="Z1156" s="196"/>
      <c r="AA1156" s="196"/>
      <c r="AB1156" s="196"/>
      <c r="AC1156" s="196"/>
      <c r="AD1156" s="196"/>
      <c r="AE1156" s="196"/>
      <c r="AF1156" s="196"/>
      <c r="AG1156" s="196"/>
      <c r="AH1156" s="196"/>
      <c r="AI1156" s="196"/>
      <c r="AJ1156" s="197"/>
      <c r="AK1156" s="80"/>
      <c r="AL1156" s="80"/>
      <c r="AM1156" s="73"/>
      <c r="AN1156" s="73"/>
      <c r="AO1156" s="73"/>
      <c r="AP1156" s="73"/>
      <c r="AQ1156" s="73"/>
      <c r="AR1156" s="73"/>
      <c r="AS1156" s="73"/>
      <c r="AT1156" s="73"/>
      <c r="AU1156" s="73"/>
      <c r="AV1156" s="73"/>
      <c r="AW1156" s="73"/>
      <c r="AX1156" s="73"/>
      <c r="AY1156" s="73"/>
      <c r="AZ1156" s="73"/>
      <c r="BA1156" s="73"/>
      <c r="BB1156" s="73"/>
      <c r="BC1156" s="73"/>
      <c r="BD1156" s="73"/>
      <c r="BE1156" s="73"/>
      <c r="BF1156" s="73"/>
      <c r="BG1156" s="73"/>
      <c r="BH1156" s="73"/>
      <c r="BI1156" s="73"/>
      <c r="BJ1156" s="73"/>
      <c r="BK1156" s="73"/>
      <c r="BL1156" s="73"/>
      <c r="BM1156" s="73"/>
      <c r="BN1156" s="73"/>
      <c r="BO1156" s="73"/>
      <c r="BP1156" s="73"/>
      <c r="BQ1156" s="73"/>
      <c r="BR1156" s="73"/>
      <c r="BS1156" s="73"/>
      <c r="BT1156" s="73"/>
      <c r="BU1156" s="73"/>
      <c r="BV1156" s="73"/>
      <c r="BW1156" s="73"/>
      <c r="BX1156" s="73"/>
      <c r="BY1156" s="73"/>
      <c r="BZ1156" s="73"/>
      <c r="CA1156" s="73"/>
      <c r="CB1156" s="73"/>
      <c r="CC1156" s="73"/>
      <c r="CD1156" s="73"/>
      <c r="CE1156" s="73"/>
      <c r="CF1156" s="73"/>
      <c r="CG1156" s="73"/>
      <c r="CH1156" s="73"/>
    </row>
    <row r="1157">
      <c r="A1157" s="80"/>
      <c r="B1157" s="80"/>
      <c r="C1157" s="80"/>
      <c r="D1157" s="80"/>
      <c r="E1157" s="124"/>
      <c r="F1157" s="80"/>
      <c r="G1157" s="80"/>
      <c r="H1157" s="80"/>
      <c r="I1157" s="80"/>
      <c r="J1157" s="196"/>
      <c r="K1157" s="196"/>
      <c r="L1157" s="196"/>
      <c r="M1157" s="196"/>
      <c r="N1157" s="196"/>
      <c r="O1157" s="196"/>
      <c r="P1157" s="196"/>
      <c r="Q1157" s="196"/>
      <c r="R1157" s="196"/>
      <c r="S1157" s="196"/>
      <c r="T1157" s="196"/>
      <c r="U1157" s="196"/>
      <c r="V1157" s="196"/>
      <c r="W1157" s="196"/>
      <c r="X1157" s="196"/>
      <c r="Y1157" s="196"/>
      <c r="Z1157" s="196"/>
      <c r="AA1157" s="196"/>
      <c r="AB1157" s="196"/>
      <c r="AC1157" s="196"/>
      <c r="AD1157" s="196"/>
      <c r="AE1157" s="196"/>
      <c r="AF1157" s="196"/>
      <c r="AG1157" s="196"/>
      <c r="AH1157" s="196"/>
      <c r="AI1157" s="196"/>
      <c r="AJ1157" s="197"/>
      <c r="AK1157" s="80"/>
      <c r="AL1157" s="80"/>
      <c r="AM1157" s="73"/>
      <c r="AN1157" s="73"/>
      <c r="AO1157" s="73"/>
      <c r="AP1157" s="73"/>
      <c r="AQ1157" s="73"/>
      <c r="AR1157" s="73"/>
      <c r="AS1157" s="73"/>
      <c r="AT1157" s="73"/>
      <c r="AU1157" s="73"/>
      <c r="AV1157" s="73"/>
      <c r="AW1157" s="73"/>
      <c r="AX1157" s="73"/>
      <c r="AY1157" s="73"/>
      <c r="AZ1157" s="73"/>
      <c r="BA1157" s="73"/>
      <c r="BB1157" s="73"/>
      <c r="BC1157" s="73"/>
      <c r="BD1157" s="73"/>
      <c r="BE1157" s="73"/>
      <c r="BF1157" s="73"/>
      <c r="BG1157" s="73"/>
      <c r="BH1157" s="73"/>
      <c r="BI1157" s="73"/>
      <c r="BJ1157" s="73"/>
      <c r="BK1157" s="73"/>
      <c r="BL1157" s="73"/>
      <c r="BM1157" s="73"/>
      <c r="BN1157" s="73"/>
      <c r="BO1157" s="73"/>
      <c r="BP1157" s="73"/>
      <c r="BQ1157" s="73"/>
      <c r="BR1157" s="73"/>
      <c r="BS1157" s="73"/>
      <c r="BT1157" s="73"/>
      <c r="BU1157" s="73"/>
      <c r="BV1157" s="73"/>
      <c r="BW1157" s="73"/>
      <c r="BX1157" s="73"/>
      <c r="BY1157" s="73"/>
      <c r="BZ1157" s="73"/>
      <c r="CA1157" s="73"/>
      <c r="CB1157" s="73"/>
      <c r="CC1157" s="73"/>
      <c r="CD1157" s="73"/>
      <c r="CE1157" s="73"/>
      <c r="CF1157" s="73"/>
      <c r="CG1157" s="73"/>
      <c r="CH1157" s="73"/>
    </row>
    <row r="1158">
      <c r="A1158" s="80"/>
      <c r="B1158" s="80"/>
      <c r="C1158" s="80"/>
      <c r="D1158" s="80"/>
      <c r="E1158" s="124"/>
      <c r="F1158" s="80"/>
      <c r="G1158" s="80"/>
      <c r="H1158" s="80"/>
      <c r="I1158" s="80"/>
      <c r="J1158" s="196"/>
      <c r="K1158" s="196"/>
      <c r="L1158" s="196"/>
      <c r="M1158" s="196"/>
      <c r="N1158" s="196"/>
      <c r="O1158" s="196"/>
      <c r="P1158" s="196"/>
      <c r="Q1158" s="196"/>
      <c r="R1158" s="196"/>
      <c r="S1158" s="196"/>
      <c r="T1158" s="196"/>
      <c r="U1158" s="196"/>
      <c r="V1158" s="196"/>
      <c r="W1158" s="196"/>
      <c r="X1158" s="196"/>
      <c r="Y1158" s="196"/>
      <c r="Z1158" s="196"/>
      <c r="AA1158" s="196"/>
      <c r="AB1158" s="196"/>
      <c r="AC1158" s="196"/>
      <c r="AD1158" s="196"/>
      <c r="AE1158" s="196"/>
      <c r="AF1158" s="196"/>
      <c r="AG1158" s="196"/>
      <c r="AH1158" s="196"/>
      <c r="AI1158" s="196"/>
      <c r="AJ1158" s="197"/>
      <c r="AK1158" s="80"/>
      <c r="AL1158" s="80"/>
      <c r="AM1158" s="73"/>
      <c r="AN1158" s="73"/>
      <c r="AO1158" s="73"/>
      <c r="AP1158" s="73"/>
      <c r="AQ1158" s="73"/>
      <c r="AR1158" s="73"/>
      <c r="AS1158" s="73"/>
      <c r="AT1158" s="73"/>
      <c r="AU1158" s="73"/>
      <c r="AV1158" s="73"/>
      <c r="AW1158" s="73"/>
      <c r="AX1158" s="73"/>
      <c r="AY1158" s="73"/>
      <c r="AZ1158" s="73"/>
      <c r="BA1158" s="73"/>
      <c r="BB1158" s="73"/>
      <c r="BC1158" s="73"/>
      <c r="BD1158" s="73"/>
      <c r="BE1158" s="73"/>
      <c r="BF1158" s="73"/>
      <c r="BG1158" s="73"/>
      <c r="BH1158" s="73"/>
      <c r="BI1158" s="73"/>
      <c r="BJ1158" s="73"/>
      <c r="BK1158" s="73"/>
      <c r="BL1158" s="73"/>
      <c r="BM1158" s="73"/>
      <c r="BN1158" s="73"/>
      <c r="BO1158" s="73"/>
      <c r="BP1158" s="73"/>
      <c r="BQ1158" s="73"/>
      <c r="BR1158" s="73"/>
      <c r="BS1158" s="73"/>
      <c r="BT1158" s="73"/>
      <c r="BU1158" s="73"/>
      <c r="BV1158" s="73"/>
      <c r="BW1158" s="73"/>
      <c r="BX1158" s="73"/>
      <c r="BY1158" s="73"/>
      <c r="BZ1158" s="73"/>
      <c r="CA1158" s="73"/>
      <c r="CB1158" s="73"/>
      <c r="CC1158" s="73"/>
      <c r="CD1158" s="73"/>
      <c r="CE1158" s="73"/>
      <c r="CF1158" s="73"/>
      <c r="CG1158" s="73"/>
      <c r="CH1158" s="73"/>
    </row>
    <row r="1159">
      <c r="A1159" s="80"/>
      <c r="B1159" s="80"/>
      <c r="C1159" s="80"/>
      <c r="D1159" s="80"/>
      <c r="E1159" s="124"/>
      <c r="F1159" s="80"/>
      <c r="G1159" s="80"/>
      <c r="H1159" s="80"/>
      <c r="I1159" s="80"/>
      <c r="J1159" s="196"/>
      <c r="K1159" s="196"/>
      <c r="L1159" s="196"/>
      <c r="M1159" s="196"/>
      <c r="N1159" s="196"/>
      <c r="O1159" s="196"/>
      <c r="P1159" s="196"/>
      <c r="Q1159" s="196"/>
      <c r="R1159" s="196"/>
      <c r="S1159" s="196"/>
      <c r="T1159" s="196"/>
      <c r="U1159" s="196"/>
      <c r="V1159" s="196"/>
      <c r="W1159" s="196"/>
      <c r="X1159" s="196"/>
      <c r="Y1159" s="196"/>
      <c r="Z1159" s="196"/>
      <c r="AA1159" s="196"/>
      <c r="AB1159" s="196"/>
      <c r="AC1159" s="196"/>
      <c r="AD1159" s="196"/>
      <c r="AE1159" s="196"/>
      <c r="AF1159" s="196"/>
      <c r="AG1159" s="196"/>
      <c r="AH1159" s="196"/>
      <c r="AI1159" s="196"/>
      <c r="AJ1159" s="197"/>
      <c r="AK1159" s="80"/>
      <c r="AL1159" s="80"/>
      <c r="AM1159" s="73"/>
      <c r="AN1159" s="73"/>
      <c r="AO1159" s="73"/>
      <c r="AP1159" s="73"/>
      <c r="AQ1159" s="73"/>
      <c r="AR1159" s="73"/>
      <c r="AS1159" s="73"/>
      <c r="AT1159" s="73"/>
      <c r="AU1159" s="73"/>
      <c r="AV1159" s="73"/>
      <c r="AW1159" s="73"/>
      <c r="AX1159" s="73"/>
      <c r="AY1159" s="73"/>
      <c r="AZ1159" s="73"/>
      <c r="BA1159" s="73"/>
      <c r="BB1159" s="73"/>
      <c r="BC1159" s="73"/>
      <c r="BD1159" s="73"/>
      <c r="BE1159" s="73"/>
      <c r="BF1159" s="73"/>
      <c r="BG1159" s="73"/>
      <c r="BH1159" s="73"/>
      <c r="BI1159" s="73"/>
      <c r="BJ1159" s="73"/>
      <c r="BK1159" s="73"/>
      <c r="BL1159" s="73"/>
      <c r="BM1159" s="73"/>
      <c r="BN1159" s="73"/>
      <c r="BO1159" s="73"/>
      <c r="BP1159" s="73"/>
      <c r="BQ1159" s="73"/>
      <c r="BR1159" s="73"/>
      <c r="BS1159" s="73"/>
      <c r="BT1159" s="73"/>
      <c r="BU1159" s="73"/>
      <c r="BV1159" s="73"/>
      <c r="BW1159" s="73"/>
      <c r="BX1159" s="73"/>
      <c r="BY1159" s="73"/>
      <c r="BZ1159" s="73"/>
      <c r="CA1159" s="73"/>
      <c r="CB1159" s="73"/>
      <c r="CC1159" s="73"/>
      <c r="CD1159" s="73"/>
      <c r="CE1159" s="73"/>
      <c r="CF1159" s="73"/>
      <c r="CG1159" s="73"/>
      <c r="CH1159" s="73"/>
    </row>
    <row r="1160">
      <c r="A1160" s="80"/>
      <c r="B1160" s="80"/>
      <c r="C1160" s="80"/>
      <c r="D1160" s="80"/>
      <c r="E1160" s="124"/>
      <c r="F1160" s="80"/>
      <c r="G1160" s="80"/>
      <c r="H1160" s="80"/>
      <c r="I1160" s="80"/>
      <c r="J1160" s="196"/>
      <c r="K1160" s="196"/>
      <c r="L1160" s="196"/>
      <c r="M1160" s="196"/>
      <c r="N1160" s="196"/>
      <c r="O1160" s="196"/>
      <c r="P1160" s="196"/>
      <c r="Q1160" s="196"/>
      <c r="R1160" s="196"/>
      <c r="S1160" s="196"/>
      <c r="T1160" s="196"/>
      <c r="U1160" s="196"/>
      <c r="V1160" s="196"/>
      <c r="W1160" s="196"/>
      <c r="X1160" s="196"/>
      <c r="Y1160" s="196"/>
      <c r="Z1160" s="196"/>
      <c r="AA1160" s="196"/>
      <c r="AB1160" s="196"/>
      <c r="AC1160" s="196"/>
      <c r="AD1160" s="196"/>
      <c r="AE1160" s="196"/>
      <c r="AF1160" s="196"/>
      <c r="AG1160" s="196"/>
      <c r="AH1160" s="196"/>
      <c r="AI1160" s="196"/>
      <c r="AJ1160" s="197"/>
      <c r="AK1160" s="80"/>
      <c r="AL1160" s="80"/>
      <c r="AM1160" s="73"/>
      <c r="AN1160" s="73"/>
      <c r="AO1160" s="73"/>
      <c r="AP1160" s="73"/>
      <c r="AQ1160" s="73"/>
      <c r="AR1160" s="73"/>
      <c r="AS1160" s="73"/>
      <c r="AT1160" s="73"/>
      <c r="AU1160" s="73"/>
      <c r="AV1160" s="73"/>
      <c r="AW1160" s="73"/>
      <c r="AX1160" s="73"/>
      <c r="AY1160" s="73"/>
      <c r="AZ1160" s="73"/>
      <c r="BA1160" s="73"/>
      <c r="BB1160" s="73"/>
      <c r="BC1160" s="73"/>
      <c r="BD1160" s="73"/>
      <c r="BE1160" s="73"/>
      <c r="BF1160" s="73"/>
      <c r="BG1160" s="73"/>
      <c r="BH1160" s="73"/>
      <c r="BI1160" s="73"/>
      <c r="BJ1160" s="73"/>
      <c r="BK1160" s="73"/>
      <c r="BL1160" s="73"/>
      <c r="BM1160" s="73"/>
      <c r="BN1160" s="73"/>
      <c r="BO1160" s="73"/>
      <c r="BP1160" s="73"/>
      <c r="BQ1160" s="73"/>
      <c r="BR1160" s="73"/>
      <c r="BS1160" s="73"/>
      <c r="BT1160" s="73"/>
      <c r="BU1160" s="73"/>
      <c r="BV1160" s="73"/>
      <c r="BW1160" s="73"/>
      <c r="BX1160" s="73"/>
      <c r="BY1160" s="73"/>
      <c r="BZ1160" s="73"/>
      <c r="CA1160" s="73"/>
      <c r="CB1160" s="73"/>
      <c r="CC1160" s="73"/>
      <c r="CD1160" s="73"/>
      <c r="CE1160" s="73"/>
      <c r="CF1160" s="73"/>
      <c r="CG1160" s="73"/>
      <c r="CH1160" s="73"/>
    </row>
    <row r="1161">
      <c r="A1161" s="80"/>
      <c r="B1161" s="80"/>
      <c r="C1161" s="80"/>
      <c r="D1161" s="80"/>
      <c r="E1161" s="124"/>
      <c r="F1161" s="80"/>
      <c r="G1161" s="80"/>
      <c r="H1161" s="80"/>
      <c r="I1161" s="80"/>
      <c r="J1161" s="196"/>
      <c r="K1161" s="196"/>
      <c r="L1161" s="196"/>
      <c r="M1161" s="196"/>
      <c r="N1161" s="196"/>
      <c r="O1161" s="196"/>
      <c r="P1161" s="196"/>
      <c r="Q1161" s="196"/>
      <c r="R1161" s="196"/>
      <c r="S1161" s="196"/>
      <c r="T1161" s="196"/>
      <c r="U1161" s="196"/>
      <c r="V1161" s="196"/>
      <c r="W1161" s="196"/>
      <c r="X1161" s="196"/>
      <c r="Y1161" s="196"/>
      <c r="Z1161" s="196"/>
      <c r="AA1161" s="196"/>
      <c r="AB1161" s="196"/>
      <c r="AC1161" s="196"/>
      <c r="AD1161" s="196"/>
      <c r="AE1161" s="196"/>
      <c r="AF1161" s="196"/>
      <c r="AG1161" s="196"/>
      <c r="AH1161" s="196"/>
      <c r="AI1161" s="196"/>
      <c r="AJ1161" s="197"/>
      <c r="AK1161" s="80"/>
      <c r="AL1161" s="80"/>
      <c r="AM1161" s="73"/>
      <c r="AN1161" s="73"/>
      <c r="AO1161" s="73"/>
      <c r="AP1161" s="73"/>
      <c r="AQ1161" s="73"/>
      <c r="AR1161" s="73"/>
      <c r="AS1161" s="73"/>
      <c r="AT1161" s="73"/>
      <c r="AU1161" s="73"/>
      <c r="AV1161" s="73"/>
      <c r="AW1161" s="73"/>
      <c r="AX1161" s="73"/>
      <c r="AY1161" s="73"/>
      <c r="AZ1161" s="73"/>
      <c r="BA1161" s="73"/>
      <c r="BB1161" s="73"/>
      <c r="BC1161" s="73"/>
      <c r="BD1161" s="73"/>
      <c r="BE1161" s="73"/>
      <c r="BF1161" s="73"/>
      <c r="BG1161" s="73"/>
      <c r="BH1161" s="73"/>
      <c r="BI1161" s="73"/>
      <c r="BJ1161" s="73"/>
      <c r="BK1161" s="73"/>
      <c r="BL1161" s="73"/>
      <c r="BM1161" s="73"/>
      <c r="BN1161" s="73"/>
      <c r="BO1161" s="73"/>
      <c r="BP1161" s="73"/>
      <c r="BQ1161" s="73"/>
      <c r="BR1161" s="73"/>
      <c r="BS1161" s="73"/>
      <c r="BT1161" s="73"/>
      <c r="BU1161" s="73"/>
      <c r="BV1161" s="73"/>
      <c r="BW1161" s="73"/>
      <c r="BX1161" s="73"/>
      <c r="BY1161" s="73"/>
      <c r="BZ1161" s="73"/>
      <c r="CA1161" s="73"/>
      <c r="CB1161" s="73"/>
      <c r="CC1161" s="73"/>
      <c r="CD1161" s="73"/>
      <c r="CE1161" s="73"/>
      <c r="CF1161" s="73"/>
      <c r="CG1161" s="73"/>
      <c r="CH1161" s="73"/>
    </row>
    <row r="1162">
      <c r="A1162" s="80"/>
      <c r="B1162" s="80"/>
      <c r="C1162" s="80"/>
      <c r="D1162" s="80"/>
      <c r="E1162" s="124"/>
      <c r="F1162" s="80"/>
      <c r="G1162" s="80"/>
      <c r="H1162" s="80"/>
      <c r="I1162" s="80"/>
      <c r="J1162" s="196"/>
      <c r="K1162" s="196"/>
      <c r="L1162" s="196"/>
      <c r="M1162" s="196"/>
      <c r="N1162" s="196"/>
      <c r="O1162" s="196"/>
      <c r="P1162" s="196"/>
      <c r="Q1162" s="196"/>
      <c r="R1162" s="196"/>
      <c r="S1162" s="196"/>
      <c r="T1162" s="196"/>
      <c r="U1162" s="196"/>
      <c r="V1162" s="196"/>
      <c r="W1162" s="196"/>
      <c r="X1162" s="196"/>
      <c r="Y1162" s="196"/>
      <c r="Z1162" s="196"/>
      <c r="AA1162" s="196"/>
      <c r="AB1162" s="196"/>
      <c r="AC1162" s="196"/>
      <c r="AD1162" s="196"/>
      <c r="AE1162" s="196"/>
      <c r="AF1162" s="196"/>
      <c r="AG1162" s="196"/>
      <c r="AH1162" s="196"/>
      <c r="AI1162" s="196"/>
      <c r="AJ1162" s="197"/>
      <c r="AK1162" s="80"/>
      <c r="AL1162" s="80"/>
      <c r="AM1162" s="73"/>
      <c r="AN1162" s="73"/>
      <c r="AO1162" s="73"/>
      <c r="AP1162" s="73"/>
      <c r="AQ1162" s="73"/>
      <c r="AR1162" s="73"/>
      <c r="AS1162" s="73"/>
      <c r="AT1162" s="73"/>
      <c r="AU1162" s="73"/>
      <c r="AV1162" s="73"/>
      <c r="AW1162" s="73"/>
      <c r="AX1162" s="73"/>
      <c r="AY1162" s="73"/>
      <c r="AZ1162" s="73"/>
      <c r="BA1162" s="73"/>
      <c r="BB1162" s="73"/>
      <c r="BC1162" s="73"/>
      <c r="BD1162" s="73"/>
      <c r="BE1162" s="73"/>
      <c r="BF1162" s="73"/>
      <c r="BG1162" s="73"/>
      <c r="BH1162" s="73"/>
      <c r="BI1162" s="73"/>
      <c r="BJ1162" s="73"/>
      <c r="BK1162" s="73"/>
      <c r="BL1162" s="73"/>
      <c r="BM1162" s="73"/>
      <c r="BN1162" s="73"/>
      <c r="BO1162" s="73"/>
      <c r="BP1162" s="73"/>
      <c r="BQ1162" s="73"/>
      <c r="BR1162" s="73"/>
      <c r="BS1162" s="73"/>
      <c r="BT1162" s="73"/>
      <c r="BU1162" s="73"/>
      <c r="BV1162" s="73"/>
      <c r="BW1162" s="73"/>
      <c r="BX1162" s="73"/>
      <c r="BY1162" s="73"/>
      <c r="BZ1162" s="73"/>
      <c r="CA1162" s="73"/>
      <c r="CB1162" s="73"/>
      <c r="CC1162" s="73"/>
      <c r="CD1162" s="73"/>
      <c r="CE1162" s="73"/>
      <c r="CF1162" s="73"/>
      <c r="CG1162" s="73"/>
      <c r="CH1162" s="73"/>
    </row>
    <row r="1163">
      <c r="A1163" s="80"/>
      <c r="B1163" s="80"/>
      <c r="C1163" s="80"/>
      <c r="D1163" s="80"/>
      <c r="E1163" s="124"/>
      <c r="F1163" s="80"/>
      <c r="G1163" s="80"/>
      <c r="H1163" s="80"/>
      <c r="I1163" s="80"/>
      <c r="J1163" s="196"/>
      <c r="K1163" s="196"/>
      <c r="L1163" s="196"/>
      <c r="M1163" s="196"/>
      <c r="N1163" s="196"/>
      <c r="O1163" s="196"/>
      <c r="P1163" s="196"/>
      <c r="Q1163" s="196"/>
      <c r="R1163" s="196"/>
      <c r="S1163" s="196"/>
      <c r="T1163" s="196"/>
      <c r="U1163" s="196"/>
      <c r="V1163" s="196"/>
      <c r="W1163" s="196"/>
      <c r="X1163" s="196"/>
      <c r="Y1163" s="196"/>
      <c r="Z1163" s="196"/>
      <c r="AA1163" s="196"/>
      <c r="AB1163" s="196"/>
      <c r="AC1163" s="196"/>
      <c r="AD1163" s="196"/>
      <c r="AE1163" s="196"/>
      <c r="AF1163" s="196"/>
      <c r="AG1163" s="196"/>
      <c r="AH1163" s="196"/>
      <c r="AI1163" s="196"/>
      <c r="AJ1163" s="197"/>
      <c r="AK1163" s="80"/>
      <c r="AL1163" s="80"/>
      <c r="AM1163" s="73"/>
      <c r="AN1163" s="73"/>
      <c r="AO1163" s="73"/>
      <c r="AP1163" s="73"/>
      <c r="AQ1163" s="73"/>
      <c r="AR1163" s="73"/>
      <c r="AS1163" s="73"/>
      <c r="AT1163" s="73"/>
      <c r="AU1163" s="73"/>
      <c r="AV1163" s="73"/>
      <c r="AW1163" s="73"/>
      <c r="AX1163" s="73"/>
      <c r="AY1163" s="73"/>
      <c r="AZ1163" s="73"/>
      <c r="BA1163" s="73"/>
      <c r="BB1163" s="73"/>
      <c r="BC1163" s="73"/>
      <c r="BD1163" s="73"/>
      <c r="BE1163" s="73"/>
      <c r="BF1163" s="73"/>
      <c r="BG1163" s="73"/>
      <c r="BH1163" s="73"/>
      <c r="BI1163" s="73"/>
      <c r="BJ1163" s="73"/>
      <c r="BK1163" s="73"/>
      <c r="BL1163" s="73"/>
      <c r="BM1163" s="73"/>
      <c r="BN1163" s="73"/>
      <c r="BO1163" s="73"/>
      <c r="BP1163" s="73"/>
      <c r="BQ1163" s="73"/>
      <c r="BR1163" s="73"/>
      <c r="BS1163" s="73"/>
      <c r="BT1163" s="73"/>
      <c r="BU1163" s="73"/>
      <c r="BV1163" s="73"/>
      <c r="BW1163" s="73"/>
      <c r="BX1163" s="73"/>
      <c r="BY1163" s="73"/>
      <c r="BZ1163" s="73"/>
      <c r="CA1163" s="73"/>
      <c r="CB1163" s="73"/>
      <c r="CC1163" s="73"/>
      <c r="CD1163" s="73"/>
      <c r="CE1163" s="73"/>
      <c r="CF1163" s="73"/>
      <c r="CG1163" s="73"/>
      <c r="CH1163" s="73"/>
    </row>
    <row r="1164">
      <c r="A1164" s="80"/>
      <c r="B1164" s="80"/>
      <c r="C1164" s="80"/>
      <c r="D1164" s="80"/>
      <c r="E1164" s="124"/>
      <c r="F1164" s="80"/>
      <c r="G1164" s="80"/>
      <c r="H1164" s="80"/>
      <c r="I1164" s="80"/>
      <c r="J1164" s="196"/>
      <c r="K1164" s="196"/>
      <c r="L1164" s="196"/>
      <c r="M1164" s="196"/>
      <c r="N1164" s="196"/>
      <c r="O1164" s="196"/>
      <c r="P1164" s="196"/>
      <c r="Q1164" s="196"/>
      <c r="R1164" s="196"/>
      <c r="S1164" s="196"/>
      <c r="T1164" s="196"/>
      <c r="U1164" s="196"/>
      <c r="V1164" s="196"/>
      <c r="W1164" s="196"/>
      <c r="X1164" s="196"/>
      <c r="Y1164" s="196"/>
      <c r="Z1164" s="196"/>
      <c r="AA1164" s="196"/>
      <c r="AB1164" s="196"/>
      <c r="AC1164" s="196"/>
      <c r="AD1164" s="196"/>
      <c r="AE1164" s="196"/>
      <c r="AF1164" s="196"/>
      <c r="AG1164" s="196"/>
      <c r="AH1164" s="196"/>
      <c r="AI1164" s="196"/>
      <c r="AJ1164" s="197"/>
      <c r="AK1164" s="80"/>
      <c r="AL1164" s="80"/>
      <c r="AM1164" s="73"/>
      <c r="AN1164" s="73"/>
      <c r="AO1164" s="73"/>
      <c r="AP1164" s="73"/>
      <c r="AQ1164" s="73"/>
      <c r="AR1164" s="73"/>
      <c r="AS1164" s="73"/>
      <c r="AT1164" s="73"/>
      <c r="AU1164" s="73"/>
      <c r="AV1164" s="73"/>
      <c r="AW1164" s="73"/>
      <c r="AX1164" s="73"/>
      <c r="AY1164" s="73"/>
      <c r="AZ1164" s="73"/>
      <c r="BA1164" s="73"/>
      <c r="BB1164" s="73"/>
      <c r="BC1164" s="73"/>
      <c r="BD1164" s="73"/>
      <c r="BE1164" s="73"/>
      <c r="BF1164" s="73"/>
      <c r="BG1164" s="73"/>
      <c r="BH1164" s="73"/>
      <c r="BI1164" s="73"/>
      <c r="BJ1164" s="73"/>
      <c r="BK1164" s="73"/>
      <c r="BL1164" s="73"/>
      <c r="BM1164" s="73"/>
      <c r="BN1164" s="73"/>
      <c r="BO1164" s="73"/>
      <c r="BP1164" s="73"/>
      <c r="BQ1164" s="73"/>
      <c r="BR1164" s="73"/>
      <c r="BS1164" s="73"/>
      <c r="BT1164" s="73"/>
      <c r="BU1164" s="73"/>
      <c r="BV1164" s="73"/>
      <c r="BW1164" s="73"/>
      <c r="BX1164" s="73"/>
      <c r="BY1164" s="73"/>
      <c r="BZ1164" s="73"/>
      <c r="CA1164" s="73"/>
      <c r="CB1164" s="73"/>
      <c r="CC1164" s="73"/>
      <c r="CD1164" s="73"/>
      <c r="CE1164" s="73"/>
      <c r="CF1164" s="73"/>
      <c r="CG1164" s="73"/>
      <c r="CH1164" s="73"/>
    </row>
    <row r="1165">
      <c r="A1165" s="80"/>
      <c r="B1165" s="80"/>
      <c r="C1165" s="80"/>
      <c r="D1165" s="80"/>
      <c r="E1165" s="124"/>
      <c r="F1165" s="80"/>
      <c r="G1165" s="80"/>
      <c r="H1165" s="80"/>
      <c r="I1165" s="80"/>
      <c r="J1165" s="196"/>
      <c r="K1165" s="196"/>
      <c r="L1165" s="196"/>
      <c r="M1165" s="196"/>
      <c r="N1165" s="196"/>
      <c r="O1165" s="196"/>
      <c r="P1165" s="196"/>
      <c r="Q1165" s="196"/>
      <c r="R1165" s="196"/>
      <c r="S1165" s="196"/>
      <c r="T1165" s="196"/>
      <c r="U1165" s="196"/>
      <c r="V1165" s="196"/>
      <c r="W1165" s="196"/>
      <c r="X1165" s="196"/>
      <c r="Y1165" s="196"/>
      <c r="Z1165" s="196"/>
      <c r="AA1165" s="196"/>
      <c r="AB1165" s="196"/>
      <c r="AC1165" s="196"/>
      <c r="AD1165" s="196"/>
      <c r="AE1165" s="196"/>
      <c r="AF1165" s="196"/>
      <c r="AG1165" s="196"/>
      <c r="AH1165" s="196"/>
      <c r="AI1165" s="196"/>
      <c r="AJ1165" s="197"/>
      <c r="AK1165" s="80"/>
      <c r="AL1165" s="80"/>
      <c r="AM1165" s="73"/>
      <c r="AN1165" s="73"/>
      <c r="AO1165" s="73"/>
      <c r="AP1165" s="73"/>
      <c r="AQ1165" s="73"/>
      <c r="AR1165" s="73"/>
      <c r="AS1165" s="73"/>
      <c r="AT1165" s="73"/>
      <c r="AU1165" s="73"/>
      <c r="AV1165" s="73"/>
      <c r="AW1165" s="73"/>
      <c r="AX1165" s="73"/>
      <c r="AY1165" s="73"/>
      <c r="AZ1165" s="73"/>
      <c r="BA1165" s="73"/>
      <c r="BB1165" s="73"/>
      <c r="BC1165" s="73"/>
      <c r="BD1165" s="73"/>
      <c r="BE1165" s="73"/>
      <c r="BF1165" s="73"/>
      <c r="BG1165" s="73"/>
      <c r="BH1165" s="73"/>
      <c r="BI1165" s="73"/>
      <c r="BJ1165" s="73"/>
      <c r="BK1165" s="73"/>
      <c r="BL1165" s="73"/>
      <c r="BM1165" s="73"/>
      <c r="BN1165" s="73"/>
      <c r="BO1165" s="73"/>
      <c r="BP1165" s="73"/>
      <c r="BQ1165" s="73"/>
      <c r="BR1165" s="73"/>
      <c r="BS1165" s="73"/>
      <c r="BT1165" s="73"/>
      <c r="BU1165" s="73"/>
      <c r="BV1165" s="73"/>
      <c r="BW1165" s="73"/>
      <c r="BX1165" s="73"/>
      <c r="BY1165" s="73"/>
      <c r="BZ1165" s="73"/>
      <c r="CA1165" s="73"/>
      <c r="CB1165" s="73"/>
      <c r="CC1165" s="73"/>
      <c r="CD1165" s="73"/>
      <c r="CE1165" s="73"/>
      <c r="CF1165" s="73"/>
      <c r="CG1165" s="73"/>
      <c r="CH1165" s="73"/>
    </row>
    <row r="1166">
      <c r="A1166" s="80"/>
      <c r="B1166" s="80"/>
      <c r="C1166" s="80"/>
      <c r="D1166" s="80"/>
      <c r="E1166" s="124"/>
      <c r="F1166" s="80"/>
      <c r="G1166" s="80"/>
      <c r="H1166" s="80"/>
      <c r="I1166" s="80"/>
      <c r="J1166" s="196"/>
      <c r="K1166" s="196"/>
      <c r="L1166" s="196"/>
      <c r="M1166" s="196"/>
      <c r="N1166" s="196"/>
      <c r="O1166" s="196"/>
      <c r="P1166" s="196"/>
      <c r="Q1166" s="196"/>
      <c r="R1166" s="196"/>
      <c r="S1166" s="196"/>
      <c r="T1166" s="196"/>
      <c r="U1166" s="196"/>
      <c r="V1166" s="196"/>
      <c r="W1166" s="196"/>
      <c r="X1166" s="196"/>
      <c r="Y1166" s="196"/>
      <c r="Z1166" s="196"/>
      <c r="AA1166" s="196"/>
      <c r="AB1166" s="196"/>
      <c r="AC1166" s="196"/>
      <c r="AD1166" s="196"/>
      <c r="AE1166" s="196"/>
      <c r="AF1166" s="196"/>
      <c r="AG1166" s="196"/>
      <c r="AH1166" s="196"/>
      <c r="AI1166" s="196"/>
      <c r="AJ1166" s="197"/>
      <c r="AK1166" s="80"/>
      <c r="AL1166" s="80"/>
      <c r="AM1166" s="73"/>
      <c r="AN1166" s="73"/>
      <c r="AO1166" s="73"/>
      <c r="AP1166" s="73"/>
      <c r="AQ1166" s="73"/>
      <c r="AR1166" s="73"/>
      <c r="AS1166" s="73"/>
      <c r="AT1166" s="73"/>
      <c r="AU1166" s="73"/>
      <c r="AV1166" s="73"/>
      <c r="AW1166" s="73"/>
      <c r="AX1166" s="73"/>
      <c r="AY1166" s="73"/>
      <c r="AZ1166" s="73"/>
      <c r="BA1166" s="73"/>
      <c r="BB1166" s="73"/>
      <c r="BC1166" s="73"/>
      <c r="BD1166" s="73"/>
      <c r="BE1166" s="73"/>
      <c r="BF1166" s="73"/>
      <c r="BG1166" s="73"/>
      <c r="BH1166" s="73"/>
      <c r="BI1166" s="73"/>
      <c r="BJ1166" s="73"/>
      <c r="BK1166" s="73"/>
      <c r="BL1166" s="73"/>
      <c r="BM1166" s="73"/>
      <c r="BN1166" s="73"/>
      <c r="BO1166" s="73"/>
      <c r="BP1166" s="73"/>
      <c r="BQ1166" s="73"/>
      <c r="BR1166" s="73"/>
      <c r="BS1166" s="73"/>
      <c r="BT1166" s="73"/>
      <c r="BU1166" s="73"/>
      <c r="BV1166" s="73"/>
      <c r="BW1166" s="73"/>
      <c r="BX1166" s="73"/>
      <c r="BY1166" s="73"/>
      <c r="BZ1166" s="73"/>
      <c r="CA1166" s="73"/>
      <c r="CB1166" s="73"/>
      <c r="CC1166" s="73"/>
      <c r="CD1166" s="73"/>
      <c r="CE1166" s="73"/>
      <c r="CF1166" s="73"/>
      <c r="CG1166" s="73"/>
      <c r="CH1166" s="73"/>
    </row>
    <row r="1167">
      <c r="A1167" s="80"/>
      <c r="B1167" s="80"/>
      <c r="C1167" s="80"/>
      <c r="D1167" s="80"/>
      <c r="E1167" s="124"/>
      <c r="F1167" s="80"/>
      <c r="G1167" s="80"/>
      <c r="H1167" s="80"/>
      <c r="I1167" s="80"/>
      <c r="J1167" s="196"/>
      <c r="K1167" s="196"/>
      <c r="L1167" s="196"/>
      <c r="M1167" s="196"/>
      <c r="N1167" s="196"/>
      <c r="O1167" s="196"/>
      <c r="P1167" s="196"/>
      <c r="Q1167" s="196"/>
      <c r="R1167" s="196"/>
      <c r="S1167" s="196"/>
      <c r="T1167" s="196"/>
      <c r="U1167" s="196"/>
      <c r="V1167" s="196"/>
      <c r="W1167" s="196"/>
      <c r="X1167" s="196"/>
      <c r="Y1167" s="196"/>
      <c r="Z1167" s="196"/>
      <c r="AA1167" s="196"/>
      <c r="AB1167" s="196"/>
      <c r="AC1167" s="196"/>
      <c r="AD1167" s="196"/>
      <c r="AE1167" s="196"/>
      <c r="AF1167" s="196"/>
      <c r="AG1167" s="196"/>
      <c r="AH1167" s="196"/>
      <c r="AI1167" s="196"/>
      <c r="AJ1167" s="197"/>
      <c r="AK1167" s="80"/>
      <c r="AL1167" s="80"/>
      <c r="AM1167" s="73"/>
      <c r="AN1167" s="73"/>
      <c r="AO1167" s="73"/>
      <c r="AP1167" s="73"/>
      <c r="AQ1167" s="73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3"/>
      <c r="BG1167" s="73"/>
      <c r="BH1167" s="73"/>
      <c r="BI1167" s="73"/>
      <c r="BJ1167" s="73"/>
      <c r="BK1167" s="73"/>
      <c r="BL1167" s="73"/>
      <c r="BM1167" s="73"/>
      <c r="BN1167" s="73"/>
      <c r="BO1167" s="73"/>
      <c r="BP1167" s="73"/>
      <c r="BQ1167" s="73"/>
      <c r="BR1167" s="73"/>
      <c r="BS1167" s="73"/>
      <c r="BT1167" s="73"/>
      <c r="BU1167" s="73"/>
      <c r="BV1167" s="73"/>
      <c r="BW1167" s="73"/>
      <c r="BX1167" s="73"/>
      <c r="BY1167" s="73"/>
      <c r="BZ1167" s="73"/>
      <c r="CA1167" s="73"/>
      <c r="CB1167" s="73"/>
      <c r="CC1167" s="73"/>
      <c r="CD1167" s="73"/>
      <c r="CE1167" s="73"/>
      <c r="CF1167" s="73"/>
      <c r="CG1167" s="73"/>
      <c r="CH1167" s="73"/>
    </row>
    <row r="1168">
      <c r="A1168" s="80"/>
      <c r="B1168" s="80"/>
      <c r="C1168" s="80"/>
      <c r="D1168" s="80"/>
      <c r="E1168" s="124"/>
      <c r="F1168" s="80"/>
      <c r="G1168" s="80"/>
      <c r="H1168" s="80"/>
      <c r="I1168" s="80"/>
      <c r="J1168" s="196"/>
      <c r="K1168" s="196"/>
      <c r="L1168" s="196"/>
      <c r="M1168" s="196"/>
      <c r="N1168" s="196"/>
      <c r="O1168" s="196"/>
      <c r="P1168" s="196"/>
      <c r="Q1168" s="196"/>
      <c r="R1168" s="196"/>
      <c r="S1168" s="196"/>
      <c r="T1168" s="196"/>
      <c r="U1168" s="196"/>
      <c r="V1168" s="196"/>
      <c r="W1168" s="196"/>
      <c r="X1168" s="196"/>
      <c r="Y1168" s="196"/>
      <c r="Z1168" s="196"/>
      <c r="AA1168" s="196"/>
      <c r="AB1168" s="196"/>
      <c r="AC1168" s="196"/>
      <c r="AD1168" s="196"/>
      <c r="AE1168" s="196"/>
      <c r="AF1168" s="196"/>
      <c r="AG1168" s="196"/>
      <c r="AH1168" s="196"/>
      <c r="AI1168" s="196"/>
      <c r="AJ1168" s="197"/>
      <c r="AK1168" s="80"/>
      <c r="AL1168" s="80"/>
      <c r="AM1168" s="73"/>
      <c r="AN1168" s="73"/>
      <c r="AO1168" s="73"/>
      <c r="AP1168" s="73"/>
      <c r="AQ1168" s="73"/>
      <c r="AR1168" s="73"/>
      <c r="AS1168" s="73"/>
      <c r="AT1168" s="73"/>
      <c r="AU1168" s="73"/>
      <c r="AV1168" s="73"/>
      <c r="AW1168" s="73"/>
      <c r="AX1168" s="73"/>
      <c r="AY1168" s="73"/>
      <c r="AZ1168" s="73"/>
      <c r="BA1168" s="73"/>
      <c r="BB1168" s="73"/>
      <c r="BC1168" s="73"/>
      <c r="BD1168" s="73"/>
      <c r="BE1168" s="73"/>
      <c r="BF1168" s="73"/>
      <c r="BG1168" s="73"/>
      <c r="BH1168" s="73"/>
      <c r="BI1168" s="73"/>
      <c r="BJ1168" s="73"/>
      <c r="BK1168" s="73"/>
      <c r="BL1168" s="73"/>
      <c r="BM1168" s="73"/>
      <c r="BN1168" s="73"/>
      <c r="BO1168" s="73"/>
      <c r="BP1168" s="73"/>
      <c r="BQ1168" s="73"/>
      <c r="BR1168" s="73"/>
      <c r="BS1168" s="73"/>
      <c r="BT1168" s="73"/>
      <c r="BU1168" s="73"/>
      <c r="BV1168" s="73"/>
      <c r="BW1168" s="73"/>
      <c r="BX1168" s="73"/>
      <c r="BY1168" s="73"/>
      <c r="BZ1168" s="73"/>
      <c r="CA1168" s="73"/>
      <c r="CB1168" s="73"/>
      <c r="CC1168" s="73"/>
      <c r="CD1168" s="73"/>
      <c r="CE1168" s="73"/>
      <c r="CF1168" s="73"/>
      <c r="CG1168" s="73"/>
      <c r="CH1168" s="73"/>
    </row>
    <row r="1169">
      <c r="A1169" s="80"/>
      <c r="B1169" s="80"/>
      <c r="C1169" s="80"/>
      <c r="D1169" s="80"/>
      <c r="E1169" s="124"/>
      <c r="F1169" s="80"/>
      <c r="G1169" s="80"/>
      <c r="H1169" s="80"/>
      <c r="I1169" s="80"/>
      <c r="J1169" s="196"/>
      <c r="K1169" s="196"/>
      <c r="L1169" s="196"/>
      <c r="M1169" s="196"/>
      <c r="N1169" s="196"/>
      <c r="O1169" s="196"/>
      <c r="P1169" s="196"/>
      <c r="Q1169" s="196"/>
      <c r="R1169" s="196"/>
      <c r="S1169" s="196"/>
      <c r="T1169" s="196"/>
      <c r="U1169" s="196"/>
      <c r="V1169" s="196"/>
      <c r="W1169" s="196"/>
      <c r="X1169" s="196"/>
      <c r="Y1169" s="196"/>
      <c r="Z1169" s="196"/>
      <c r="AA1169" s="196"/>
      <c r="AB1169" s="196"/>
      <c r="AC1169" s="196"/>
      <c r="AD1169" s="196"/>
      <c r="AE1169" s="196"/>
      <c r="AF1169" s="196"/>
      <c r="AG1169" s="196"/>
      <c r="AH1169" s="196"/>
      <c r="AI1169" s="196"/>
      <c r="AJ1169" s="197"/>
      <c r="AK1169" s="80"/>
      <c r="AL1169" s="80"/>
      <c r="AM1169" s="73"/>
      <c r="AN1169" s="73"/>
      <c r="AO1169" s="73"/>
      <c r="AP1169" s="73"/>
      <c r="AQ1169" s="73"/>
      <c r="AR1169" s="73"/>
      <c r="AS1169" s="73"/>
      <c r="AT1169" s="73"/>
      <c r="AU1169" s="73"/>
      <c r="AV1169" s="73"/>
      <c r="AW1169" s="73"/>
      <c r="AX1169" s="73"/>
      <c r="AY1169" s="73"/>
      <c r="AZ1169" s="73"/>
      <c r="BA1169" s="73"/>
      <c r="BB1169" s="73"/>
      <c r="BC1169" s="73"/>
      <c r="BD1169" s="73"/>
      <c r="BE1169" s="73"/>
      <c r="BF1169" s="73"/>
      <c r="BG1169" s="73"/>
      <c r="BH1169" s="73"/>
      <c r="BI1169" s="73"/>
      <c r="BJ1169" s="73"/>
      <c r="BK1169" s="73"/>
      <c r="BL1169" s="73"/>
      <c r="BM1169" s="73"/>
      <c r="BN1169" s="73"/>
      <c r="BO1169" s="73"/>
      <c r="BP1169" s="73"/>
      <c r="BQ1169" s="73"/>
      <c r="BR1169" s="73"/>
      <c r="BS1169" s="73"/>
      <c r="BT1169" s="73"/>
      <c r="BU1169" s="73"/>
      <c r="BV1169" s="73"/>
      <c r="BW1169" s="73"/>
      <c r="BX1169" s="73"/>
      <c r="BY1169" s="73"/>
      <c r="BZ1169" s="73"/>
      <c r="CA1169" s="73"/>
      <c r="CB1169" s="73"/>
      <c r="CC1169" s="73"/>
      <c r="CD1169" s="73"/>
      <c r="CE1169" s="73"/>
      <c r="CF1169" s="73"/>
      <c r="CG1169" s="73"/>
      <c r="CH1169" s="73"/>
    </row>
    <row r="1170">
      <c r="A1170" s="80"/>
      <c r="B1170" s="80"/>
      <c r="C1170" s="80"/>
      <c r="D1170" s="80"/>
      <c r="E1170" s="124"/>
      <c r="F1170" s="80"/>
      <c r="G1170" s="80"/>
      <c r="H1170" s="80"/>
      <c r="I1170" s="80"/>
      <c r="J1170" s="196"/>
      <c r="K1170" s="196"/>
      <c r="L1170" s="196"/>
      <c r="M1170" s="196"/>
      <c r="N1170" s="196"/>
      <c r="O1170" s="196"/>
      <c r="P1170" s="196"/>
      <c r="Q1170" s="196"/>
      <c r="R1170" s="196"/>
      <c r="S1170" s="196"/>
      <c r="T1170" s="196"/>
      <c r="U1170" s="196"/>
      <c r="V1170" s="196"/>
      <c r="W1170" s="196"/>
      <c r="X1170" s="196"/>
      <c r="Y1170" s="196"/>
      <c r="Z1170" s="196"/>
      <c r="AA1170" s="196"/>
      <c r="AB1170" s="196"/>
      <c r="AC1170" s="196"/>
      <c r="AD1170" s="196"/>
      <c r="AE1170" s="196"/>
      <c r="AF1170" s="196"/>
      <c r="AG1170" s="196"/>
      <c r="AH1170" s="196"/>
      <c r="AI1170" s="196"/>
      <c r="AJ1170" s="197"/>
      <c r="AK1170" s="80"/>
      <c r="AL1170" s="80"/>
      <c r="AM1170" s="73"/>
      <c r="AN1170" s="73"/>
      <c r="AO1170" s="73"/>
      <c r="AP1170" s="73"/>
      <c r="AQ1170" s="73"/>
      <c r="AR1170" s="73"/>
      <c r="AS1170" s="73"/>
      <c r="AT1170" s="73"/>
      <c r="AU1170" s="73"/>
      <c r="AV1170" s="73"/>
      <c r="AW1170" s="73"/>
      <c r="AX1170" s="73"/>
      <c r="AY1170" s="73"/>
      <c r="AZ1170" s="73"/>
      <c r="BA1170" s="73"/>
      <c r="BB1170" s="73"/>
      <c r="BC1170" s="73"/>
      <c r="BD1170" s="73"/>
      <c r="BE1170" s="73"/>
      <c r="BF1170" s="73"/>
      <c r="BG1170" s="73"/>
      <c r="BH1170" s="73"/>
      <c r="BI1170" s="73"/>
      <c r="BJ1170" s="73"/>
      <c r="BK1170" s="73"/>
      <c r="BL1170" s="73"/>
      <c r="BM1170" s="73"/>
      <c r="BN1170" s="73"/>
      <c r="BO1170" s="73"/>
      <c r="BP1170" s="73"/>
      <c r="BQ1170" s="73"/>
      <c r="BR1170" s="73"/>
      <c r="BS1170" s="73"/>
      <c r="BT1170" s="73"/>
      <c r="BU1170" s="73"/>
      <c r="BV1170" s="73"/>
      <c r="BW1170" s="73"/>
      <c r="BX1170" s="73"/>
      <c r="BY1170" s="73"/>
      <c r="BZ1170" s="73"/>
      <c r="CA1170" s="73"/>
      <c r="CB1170" s="73"/>
      <c r="CC1170" s="73"/>
      <c r="CD1170" s="73"/>
      <c r="CE1170" s="73"/>
      <c r="CF1170" s="73"/>
      <c r="CG1170" s="73"/>
      <c r="CH1170" s="73"/>
    </row>
    <row r="1171">
      <c r="A1171" s="80"/>
      <c r="B1171" s="80"/>
      <c r="C1171" s="80"/>
      <c r="D1171" s="80"/>
      <c r="E1171" s="124"/>
      <c r="F1171" s="80"/>
      <c r="G1171" s="80"/>
      <c r="H1171" s="80"/>
      <c r="I1171" s="80"/>
      <c r="J1171" s="196"/>
      <c r="K1171" s="196"/>
      <c r="L1171" s="196"/>
      <c r="M1171" s="196"/>
      <c r="N1171" s="196"/>
      <c r="O1171" s="196"/>
      <c r="P1171" s="196"/>
      <c r="Q1171" s="196"/>
      <c r="R1171" s="196"/>
      <c r="S1171" s="196"/>
      <c r="T1171" s="196"/>
      <c r="U1171" s="196"/>
      <c r="V1171" s="196"/>
      <c r="W1171" s="196"/>
      <c r="X1171" s="196"/>
      <c r="Y1171" s="196"/>
      <c r="Z1171" s="196"/>
      <c r="AA1171" s="196"/>
      <c r="AB1171" s="196"/>
      <c r="AC1171" s="196"/>
      <c r="AD1171" s="196"/>
      <c r="AE1171" s="196"/>
      <c r="AF1171" s="196"/>
      <c r="AG1171" s="196"/>
      <c r="AH1171" s="196"/>
      <c r="AI1171" s="196"/>
      <c r="AJ1171" s="197"/>
      <c r="AK1171" s="80"/>
      <c r="AL1171" s="80"/>
      <c r="AM1171" s="73"/>
      <c r="AN1171" s="73"/>
      <c r="AO1171" s="73"/>
      <c r="AP1171" s="73"/>
      <c r="AQ1171" s="73"/>
      <c r="AR1171" s="73"/>
      <c r="AS1171" s="73"/>
      <c r="AT1171" s="73"/>
      <c r="AU1171" s="73"/>
      <c r="AV1171" s="73"/>
      <c r="AW1171" s="73"/>
      <c r="AX1171" s="73"/>
      <c r="AY1171" s="73"/>
      <c r="AZ1171" s="73"/>
      <c r="BA1171" s="73"/>
      <c r="BB1171" s="73"/>
      <c r="BC1171" s="73"/>
      <c r="BD1171" s="73"/>
      <c r="BE1171" s="73"/>
      <c r="BF1171" s="73"/>
      <c r="BG1171" s="73"/>
      <c r="BH1171" s="73"/>
      <c r="BI1171" s="73"/>
      <c r="BJ1171" s="73"/>
      <c r="BK1171" s="73"/>
      <c r="BL1171" s="73"/>
      <c r="BM1171" s="73"/>
      <c r="BN1171" s="73"/>
      <c r="BO1171" s="73"/>
      <c r="BP1171" s="73"/>
      <c r="BQ1171" s="73"/>
      <c r="BR1171" s="73"/>
      <c r="BS1171" s="73"/>
      <c r="BT1171" s="73"/>
      <c r="BU1171" s="73"/>
      <c r="BV1171" s="73"/>
      <c r="BW1171" s="73"/>
      <c r="BX1171" s="73"/>
      <c r="BY1171" s="73"/>
      <c r="BZ1171" s="73"/>
      <c r="CA1171" s="73"/>
      <c r="CB1171" s="73"/>
      <c r="CC1171" s="73"/>
      <c r="CD1171" s="73"/>
      <c r="CE1171" s="73"/>
      <c r="CF1171" s="73"/>
      <c r="CG1171" s="73"/>
      <c r="CH1171" s="73"/>
    </row>
    <row r="1172">
      <c r="A1172" s="80"/>
      <c r="B1172" s="80"/>
      <c r="C1172" s="80"/>
      <c r="D1172" s="80"/>
      <c r="E1172" s="124"/>
      <c r="F1172" s="80"/>
      <c r="G1172" s="80"/>
      <c r="H1172" s="80"/>
      <c r="I1172" s="80"/>
      <c r="J1172" s="196"/>
      <c r="K1172" s="196"/>
      <c r="L1172" s="196"/>
      <c r="M1172" s="196"/>
      <c r="N1172" s="196"/>
      <c r="O1172" s="196"/>
      <c r="P1172" s="196"/>
      <c r="Q1172" s="196"/>
      <c r="R1172" s="196"/>
      <c r="S1172" s="196"/>
      <c r="T1172" s="196"/>
      <c r="U1172" s="196"/>
      <c r="V1172" s="196"/>
      <c r="W1172" s="196"/>
      <c r="X1172" s="196"/>
      <c r="Y1172" s="196"/>
      <c r="Z1172" s="196"/>
      <c r="AA1172" s="196"/>
      <c r="AB1172" s="196"/>
      <c r="AC1172" s="196"/>
      <c r="AD1172" s="196"/>
      <c r="AE1172" s="196"/>
      <c r="AF1172" s="196"/>
      <c r="AG1172" s="196"/>
      <c r="AH1172" s="196"/>
      <c r="AI1172" s="196"/>
      <c r="AJ1172" s="197"/>
      <c r="AK1172" s="80"/>
      <c r="AL1172" s="80"/>
      <c r="AM1172" s="73"/>
      <c r="AN1172" s="73"/>
      <c r="AO1172" s="73"/>
      <c r="AP1172" s="73"/>
      <c r="AQ1172" s="73"/>
      <c r="AR1172" s="73"/>
      <c r="AS1172" s="73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73"/>
      <c r="BD1172" s="73"/>
      <c r="BE1172" s="73"/>
      <c r="BF1172" s="73"/>
      <c r="BG1172" s="73"/>
      <c r="BH1172" s="73"/>
      <c r="BI1172" s="73"/>
      <c r="BJ1172" s="73"/>
      <c r="BK1172" s="73"/>
      <c r="BL1172" s="73"/>
      <c r="BM1172" s="73"/>
      <c r="BN1172" s="73"/>
      <c r="BO1172" s="73"/>
      <c r="BP1172" s="73"/>
      <c r="BQ1172" s="73"/>
      <c r="BR1172" s="73"/>
      <c r="BS1172" s="73"/>
      <c r="BT1172" s="73"/>
      <c r="BU1172" s="73"/>
      <c r="BV1172" s="73"/>
      <c r="BW1172" s="73"/>
      <c r="BX1172" s="73"/>
      <c r="BY1172" s="73"/>
      <c r="BZ1172" s="73"/>
      <c r="CA1172" s="73"/>
      <c r="CB1172" s="73"/>
      <c r="CC1172" s="73"/>
      <c r="CD1172" s="73"/>
      <c r="CE1172" s="73"/>
      <c r="CF1172" s="73"/>
      <c r="CG1172" s="73"/>
      <c r="CH1172" s="73"/>
    </row>
    <row r="1173">
      <c r="A1173" s="80"/>
      <c r="B1173" s="80"/>
      <c r="C1173" s="80"/>
      <c r="D1173" s="80"/>
      <c r="E1173" s="124"/>
      <c r="F1173" s="80"/>
      <c r="G1173" s="80"/>
      <c r="H1173" s="80"/>
      <c r="I1173" s="80"/>
      <c r="J1173" s="196"/>
      <c r="K1173" s="196"/>
      <c r="L1173" s="196"/>
      <c r="M1173" s="196"/>
      <c r="N1173" s="196"/>
      <c r="O1173" s="196"/>
      <c r="P1173" s="196"/>
      <c r="Q1173" s="196"/>
      <c r="R1173" s="196"/>
      <c r="S1173" s="196"/>
      <c r="T1173" s="196"/>
      <c r="U1173" s="196"/>
      <c r="V1173" s="196"/>
      <c r="W1173" s="196"/>
      <c r="X1173" s="196"/>
      <c r="Y1173" s="196"/>
      <c r="Z1173" s="196"/>
      <c r="AA1173" s="196"/>
      <c r="AB1173" s="196"/>
      <c r="AC1173" s="196"/>
      <c r="AD1173" s="196"/>
      <c r="AE1173" s="196"/>
      <c r="AF1173" s="196"/>
      <c r="AG1173" s="196"/>
      <c r="AH1173" s="196"/>
      <c r="AI1173" s="196"/>
      <c r="AJ1173" s="197"/>
      <c r="AK1173" s="80"/>
      <c r="AL1173" s="80"/>
      <c r="AM1173" s="73"/>
      <c r="AN1173" s="73"/>
      <c r="AO1173" s="73"/>
      <c r="AP1173" s="73"/>
      <c r="AQ1173" s="73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3"/>
      <c r="BG1173" s="73"/>
      <c r="BH1173" s="73"/>
      <c r="BI1173" s="73"/>
      <c r="BJ1173" s="73"/>
      <c r="BK1173" s="73"/>
      <c r="BL1173" s="73"/>
      <c r="BM1173" s="73"/>
      <c r="BN1173" s="73"/>
      <c r="BO1173" s="73"/>
      <c r="BP1173" s="73"/>
      <c r="BQ1173" s="73"/>
      <c r="BR1173" s="73"/>
      <c r="BS1173" s="73"/>
      <c r="BT1173" s="73"/>
      <c r="BU1173" s="73"/>
      <c r="BV1173" s="73"/>
      <c r="BW1173" s="73"/>
      <c r="BX1173" s="73"/>
      <c r="BY1173" s="73"/>
      <c r="BZ1173" s="73"/>
      <c r="CA1173" s="73"/>
      <c r="CB1173" s="73"/>
      <c r="CC1173" s="73"/>
      <c r="CD1173" s="73"/>
      <c r="CE1173" s="73"/>
      <c r="CF1173" s="73"/>
      <c r="CG1173" s="73"/>
      <c r="CH1173" s="73"/>
    </row>
    <row r="1174">
      <c r="A1174" s="80"/>
      <c r="B1174" s="80"/>
      <c r="C1174" s="80"/>
      <c r="D1174" s="80"/>
      <c r="E1174" s="124"/>
      <c r="F1174" s="80"/>
      <c r="G1174" s="80"/>
      <c r="H1174" s="80"/>
      <c r="I1174" s="80"/>
      <c r="J1174" s="196"/>
      <c r="K1174" s="196"/>
      <c r="L1174" s="196"/>
      <c r="M1174" s="196"/>
      <c r="N1174" s="196"/>
      <c r="O1174" s="196"/>
      <c r="P1174" s="196"/>
      <c r="Q1174" s="196"/>
      <c r="R1174" s="196"/>
      <c r="S1174" s="196"/>
      <c r="T1174" s="196"/>
      <c r="U1174" s="196"/>
      <c r="V1174" s="196"/>
      <c r="W1174" s="196"/>
      <c r="X1174" s="196"/>
      <c r="Y1174" s="196"/>
      <c r="Z1174" s="196"/>
      <c r="AA1174" s="196"/>
      <c r="AB1174" s="196"/>
      <c r="AC1174" s="196"/>
      <c r="AD1174" s="196"/>
      <c r="AE1174" s="196"/>
      <c r="AF1174" s="196"/>
      <c r="AG1174" s="196"/>
      <c r="AH1174" s="196"/>
      <c r="AI1174" s="196"/>
      <c r="AJ1174" s="197"/>
      <c r="AK1174" s="80"/>
      <c r="AL1174" s="80"/>
      <c r="AM1174" s="73"/>
      <c r="AN1174" s="73"/>
      <c r="AO1174" s="73"/>
      <c r="AP1174" s="73"/>
      <c r="AQ1174" s="73"/>
      <c r="AR1174" s="73"/>
      <c r="AS1174" s="73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73"/>
      <c r="BD1174" s="73"/>
      <c r="BE1174" s="73"/>
      <c r="BF1174" s="73"/>
      <c r="BG1174" s="73"/>
      <c r="BH1174" s="73"/>
      <c r="BI1174" s="73"/>
      <c r="BJ1174" s="73"/>
      <c r="BK1174" s="73"/>
      <c r="BL1174" s="73"/>
      <c r="BM1174" s="73"/>
      <c r="BN1174" s="73"/>
      <c r="BO1174" s="73"/>
      <c r="BP1174" s="73"/>
      <c r="BQ1174" s="73"/>
      <c r="BR1174" s="73"/>
      <c r="BS1174" s="73"/>
      <c r="BT1174" s="73"/>
      <c r="BU1174" s="73"/>
      <c r="BV1174" s="73"/>
      <c r="BW1174" s="73"/>
      <c r="BX1174" s="73"/>
      <c r="BY1174" s="73"/>
      <c r="BZ1174" s="73"/>
      <c r="CA1174" s="73"/>
      <c r="CB1174" s="73"/>
      <c r="CC1174" s="73"/>
      <c r="CD1174" s="73"/>
      <c r="CE1174" s="73"/>
      <c r="CF1174" s="73"/>
      <c r="CG1174" s="73"/>
      <c r="CH1174" s="73"/>
    </row>
    <row r="1175">
      <c r="A1175" s="80"/>
      <c r="B1175" s="80"/>
      <c r="C1175" s="80"/>
      <c r="D1175" s="80"/>
      <c r="E1175" s="124"/>
      <c r="F1175" s="80"/>
      <c r="G1175" s="80"/>
      <c r="H1175" s="80"/>
      <c r="I1175" s="80"/>
      <c r="J1175" s="196"/>
      <c r="K1175" s="196"/>
      <c r="L1175" s="196"/>
      <c r="M1175" s="196"/>
      <c r="N1175" s="196"/>
      <c r="O1175" s="196"/>
      <c r="P1175" s="196"/>
      <c r="Q1175" s="196"/>
      <c r="R1175" s="196"/>
      <c r="S1175" s="196"/>
      <c r="T1175" s="196"/>
      <c r="U1175" s="196"/>
      <c r="V1175" s="196"/>
      <c r="W1175" s="196"/>
      <c r="X1175" s="196"/>
      <c r="Y1175" s="196"/>
      <c r="Z1175" s="196"/>
      <c r="AA1175" s="196"/>
      <c r="AB1175" s="196"/>
      <c r="AC1175" s="196"/>
      <c r="AD1175" s="196"/>
      <c r="AE1175" s="196"/>
      <c r="AF1175" s="196"/>
      <c r="AG1175" s="196"/>
      <c r="AH1175" s="196"/>
      <c r="AI1175" s="196"/>
      <c r="AJ1175" s="197"/>
      <c r="AK1175" s="80"/>
      <c r="AL1175" s="80"/>
      <c r="AM1175" s="73"/>
      <c r="AN1175" s="73"/>
      <c r="AO1175" s="73"/>
      <c r="AP1175" s="73"/>
      <c r="AQ1175" s="73"/>
      <c r="AR1175" s="73"/>
      <c r="AS1175" s="73"/>
      <c r="AT1175" s="73"/>
      <c r="AU1175" s="73"/>
      <c r="AV1175" s="73"/>
      <c r="AW1175" s="73"/>
      <c r="AX1175" s="73"/>
      <c r="AY1175" s="73"/>
      <c r="AZ1175" s="73"/>
      <c r="BA1175" s="73"/>
      <c r="BB1175" s="73"/>
      <c r="BC1175" s="73"/>
      <c r="BD1175" s="73"/>
      <c r="BE1175" s="73"/>
      <c r="BF1175" s="73"/>
      <c r="BG1175" s="73"/>
      <c r="BH1175" s="73"/>
      <c r="BI1175" s="73"/>
      <c r="BJ1175" s="73"/>
      <c r="BK1175" s="73"/>
      <c r="BL1175" s="73"/>
      <c r="BM1175" s="73"/>
      <c r="BN1175" s="73"/>
      <c r="BO1175" s="73"/>
      <c r="BP1175" s="73"/>
      <c r="BQ1175" s="73"/>
      <c r="BR1175" s="73"/>
      <c r="BS1175" s="73"/>
      <c r="BT1175" s="73"/>
      <c r="BU1175" s="73"/>
      <c r="BV1175" s="73"/>
      <c r="BW1175" s="73"/>
      <c r="BX1175" s="73"/>
      <c r="BY1175" s="73"/>
      <c r="BZ1175" s="73"/>
      <c r="CA1175" s="73"/>
      <c r="CB1175" s="73"/>
      <c r="CC1175" s="73"/>
      <c r="CD1175" s="73"/>
      <c r="CE1175" s="73"/>
      <c r="CF1175" s="73"/>
      <c r="CG1175" s="73"/>
      <c r="CH1175" s="73"/>
    </row>
    <row r="1176">
      <c r="A1176" s="80"/>
      <c r="B1176" s="80"/>
      <c r="C1176" s="80"/>
      <c r="D1176" s="80"/>
      <c r="E1176" s="124"/>
      <c r="F1176" s="80"/>
      <c r="G1176" s="80"/>
      <c r="H1176" s="80"/>
      <c r="I1176" s="80"/>
      <c r="J1176" s="196"/>
      <c r="K1176" s="196"/>
      <c r="L1176" s="196"/>
      <c r="M1176" s="196"/>
      <c r="N1176" s="196"/>
      <c r="O1176" s="196"/>
      <c r="P1176" s="196"/>
      <c r="Q1176" s="196"/>
      <c r="R1176" s="196"/>
      <c r="S1176" s="196"/>
      <c r="T1176" s="196"/>
      <c r="U1176" s="196"/>
      <c r="V1176" s="196"/>
      <c r="W1176" s="196"/>
      <c r="X1176" s="196"/>
      <c r="Y1176" s="196"/>
      <c r="Z1176" s="196"/>
      <c r="AA1176" s="196"/>
      <c r="AB1176" s="196"/>
      <c r="AC1176" s="196"/>
      <c r="AD1176" s="196"/>
      <c r="AE1176" s="196"/>
      <c r="AF1176" s="196"/>
      <c r="AG1176" s="196"/>
      <c r="AH1176" s="196"/>
      <c r="AI1176" s="196"/>
      <c r="AJ1176" s="197"/>
      <c r="AK1176" s="80"/>
      <c r="AL1176" s="80"/>
      <c r="AM1176" s="73"/>
      <c r="AN1176" s="73"/>
      <c r="AO1176" s="73"/>
      <c r="AP1176" s="73"/>
      <c r="AQ1176" s="73"/>
      <c r="AR1176" s="73"/>
      <c r="AS1176" s="73"/>
      <c r="AT1176" s="73"/>
      <c r="AU1176" s="73"/>
      <c r="AV1176" s="73"/>
      <c r="AW1176" s="73"/>
      <c r="AX1176" s="73"/>
      <c r="AY1176" s="73"/>
      <c r="AZ1176" s="73"/>
      <c r="BA1176" s="73"/>
      <c r="BB1176" s="73"/>
      <c r="BC1176" s="73"/>
      <c r="BD1176" s="73"/>
      <c r="BE1176" s="73"/>
      <c r="BF1176" s="73"/>
      <c r="BG1176" s="73"/>
      <c r="BH1176" s="73"/>
      <c r="BI1176" s="73"/>
      <c r="BJ1176" s="73"/>
      <c r="BK1176" s="73"/>
      <c r="BL1176" s="73"/>
      <c r="BM1176" s="73"/>
      <c r="BN1176" s="73"/>
      <c r="BO1176" s="73"/>
      <c r="BP1176" s="73"/>
      <c r="BQ1176" s="73"/>
      <c r="BR1176" s="73"/>
      <c r="BS1176" s="73"/>
      <c r="BT1176" s="73"/>
      <c r="BU1176" s="73"/>
      <c r="BV1176" s="73"/>
      <c r="BW1176" s="73"/>
      <c r="BX1176" s="73"/>
      <c r="BY1176" s="73"/>
      <c r="BZ1176" s="73"/>
      <c r="CA1176" s="73"/>
      <c r="CB1176" s="73"/>
      <c r="CC1176" s="73"/>
      <c r="CD1176" s="73"/>
      <c r="CE1176" s="73"/>
      <c r="CF1176" s="73"/>
      <c r="CG1176" s="73"/>
      <c r="CH1176" s="73"/>
    </row>
    <row r="1177">
      <c r="A1177" s="80"/>
      <c r="B1177" s="80"/>
      <c r="C1177" s="80"/>
      <c r="D1177" s="80"/>
      <c r="E1177" s="124"/>
      <c r="F1177" s="80"/>
      <c r="G1177" s="80"/>
      <c r="H1177" s="80"/>
      <c r="I1177" s="80"/>
      <c r="J1177" s="196"/>
      <c r="K1177" s="196"/>
      <c r="L1177" s="196"/>
      <c r="M1177" s="196"/>
      <c r="N1177" s="196"/>
      <c r="O1177" s="196"/>
      <c r="P1177" s="196"/>
      <c r="Q1177" s="196"/>
      <c r="R1177" s="196"/>
      <c r="S1177" s="196"/>
      <c r="T1177" s="196"/>
      <c r="U1177" s="196"/>
      <c r="V1177" s="196"/>
      <c r="W1177" s="196"/>
      <c r="X1177" s="196"/>
      <c r="Y1177" s="196"/>
      <c r="Z1177" s="196"/>
      <c r="AA1177" s="196"/>
      <c r="AB1177" s="196"/>
      <c r="AC1177" s="196"/>
      <c r="AD1177" s="196"/>
      <c r="AE1177" s="196"/>
      <c r="AF1177" s="196"/>
      <c r="AG1177" s="196"/>
      <c r="AH1177" s="196"/>
      <c r="AI1177" s="196"/>
      <c r="AJ1177" s="197"/>
      <c r="AK1177" s="80"/>
      <c r="AL1177" s="80"/>
      <c r="AM1177" s="73"/>
      <c r="AN1177" s="73"/>
      <c r="AO1177" s="73"/>
      <c r="AP1177" s="73"/>
      <c r="AQ1177" s="73"/>
      <c r="AR1177" s="73"/>
      <c r="AS1177" s="73"/>
      <c r="AT1177" s="73"/>
      <c r="AU1177" s="73"/>
      <c r="AV1177" s="73"/>
      <c r="AW1177" s="73"/>
      <c r="AX1177" s="73"/>
      <c r="AY1177" s="73"/>
      <c r="AZ1177" s="73"/>
      <c r="BA1177" s="73"/>
      <c r="BB1177" s="73"/>
      <c r="BC1177" s="73"/>
      <c r="BD1177" s="73"/>
      <c r="BE1177" s="73"/>
      <c r="BF1177" s="73"/>
      <c r="BG1177" s="73"/>
      <c r="BH1177" s="73"/>
      <c r="BI1177" s="73"/>
      <c r="BJ1177" s="73"/>
      <c r="BK1177" s="73"/>
      <c r="BL1177" s="73"/>
      <c r="BM1177" s="73"/>
      <c r="BN1177" s="73"/>
      <c r="BO1177" s="73"/>
      <c r="BP1177" s="73"/>
      <c r="BQ1177" s="73"/>
      <c r="BR1177" s="73"/>
      <c r="BS1177" s="73"/>
      <c r="BT1177" s="73"/>
      <c r="BU1177" s="73"/>
      <c r="BV1177" s="73"/>
      <c r="BW1177" s="73"/>
      <c r="BX1177" s="73"/>
      <c r="BY1177" s="73"/>
      <c r="BZ1177" s="73"/>
      <c r="CA1177" s="73"/>
      <c r="CB1177" s="73"/>
      <c r="CC1177" s="73"/>
      <c r="CD1177" s="73"/>
      <c r="CE1177" s="73"/>
      <c r="CF1177" s="73"/>
      <c r="CG1177" s="73"/>
      <c r="CH1177" s="73"/>
    </row>
    <row r="1178">
      <c r="A1178" s="80"/>
      <c r="B1178" s="80"/>
      <c r="C1178" s="80"/>
      <c r="D1178" s="80"/>
      <c r="E1178" s="124"/>
      <c r="F1178" s="80"/>
      <c r="G1178" s="80"/>
      <c r="H1178" s="80"/>
      <c r="I1178" s="80"/>
      <c r="J1178" s="196"/>
      <c r="K1178" s="196"/>
      <c r="L1178" s="196"/>
      <c r="M1178" s="196"/>
      <c r="N1178" s="196"/>
      <c r="O1178" s="196"/>
      <c r="P1178" s="196"/>
      <c r="Q1178" s="196"/>
      <c r="R1178" s="196"/>
      <c r="S1178" s="196"/>
      <c r="T1178" s="196"/>
      <c r="U1178" s="196"/>
      <c r="V1178" s="196"/>
      <c r="W1178" s="196"/>
      <c r="X1178" s="196"/>
      <c r="Y1178" s="196"/>
      <c r="Z1178" s="196"/>
      <c r="AA1178" s="196"/>
      <c r="AB1178" s="196"/>
      <c r="AC1178" s="196"/>
      <c r="AD1178" s="196"/>
      <c r="AE1178" s="196"/>
      <c r="AF1178" s="196"/>
      <c r="AG1178" s="196"/>
      <c r="AH1178" s="196"/>
      <c r="AI1178" s="196"/>
      <c r="AJ1178" s="197"/>
      <c r="AK1178" s="80"/>
      <c r="AL1178" s="80"/>
      <c r="AM1178" s="73"/>
      <c r="AN1178" s="73"/>
      <c r="AO1178" s="73"/>
      <c r="AP1178" s="73"/>
      <c r="AQ1178" s="73"/>
      <c r="AR1178" s="73"/>
      <c r="AS1178" s="73"/>
      <c r="AT1178" s="73"/>
      <c r="AU1178" s="73"/>
      <c r="AV1178" s="73"/>
      <c r="AW1178" s="73"/>
      <c r="AX1178" s="73"/>
      <c r="AY1178" s="73"/>
      <c r="AZ1178" s="73"/>
      <c r="BA1178" s="73"/>
      <c r="BB1178" s="73"/>
      <c r="BC1178" s="73"/>
      <c r="BD1178" s="73"/>
      <c r="BE1178" s="73"/>
      <c r="BF1178" s="73"/>
      <c r="BG1178" s="73"/>
      <c r="BH1178" s="73"/>
      <c r="BI1178" s="73"/>
      <c r="BJ1178" s="73"/>
      <c r="BK1178" s="73"/>
      <c r="BL1178" s="73"/>
      <c r="BM1178" s="73"/>
      <c r="BN1178" s="73"/>
      <c r="BO1178" s="73"/>
      <c r="BP1178" s="73"/>
      <c r="BQ1178" s="73"/>
      <c r="BR1178" s="73"/>
      <c r="BS1178" s="73"/>
      <c r="BT1178" s="73"/>
      <c r="BU1178" s="73"/>
      <c r="BV1178" s="73"/>
      <c r="BW1178" s="73"/>
      <c r="BX1178" s="73"/>
      <c r="BY1178" s="73"/>
      <c r="BZ1178" s="73"/>
      <c r="CA1178" s="73"/>
      <c r="CB1178" s="73"/>
      <c r="CC1178" s="73"/>
      <c r="CD1178" s="73"/>
      <c r="CE1178" s="73"/>
      <c r="CF1178" s="73"/>
      <c r="CG1178" s="73"/>
      <c r="CH1178" s="73"/>
    </row>
    <row r="1179">
      <c r="A1179" s="80"/>
      <c r="B1179" s="80"/>
      <c r="C1179" s="80"/>
      <c r="D1179" s="80"/>
      <c r="E1179" s="124"/>
      <c r="F1179" s="80"/>
      <c r="G1179" s="80"/>
      <c r="H1179" s="80"/>
      <c r="I1179" s="80"/>
      <c r="J1179" s="196"/>
      <c r="K1179" s="196"/>
      <c r="L1179" s="196"/>
      <c r="M1179" s="196"/>
      <c r="N1179" s="196"/>
      <c r="O1179" s="196"/>
      <c r="P1179" s="196"/>
      <c r="Q1179" s="196"/>
      <c r="R1179" s="196"/>
      <c r="S1179" s="196"/>
      <c r="T1179" s="196"/>
      <c r="U1179" s="196"/>
      <c r="V1179" s="196"/>
      <c r="W1179" s="196"/>
      <c r="X1179" s="196"/>
      <c r="Y1179" s="196"/>
      <c r="Z1179" s="196"/>
      <c r="AA1179" s="196"/>
      <c r="AB1179" s="196"/>
      <c r="AC1179" s="196"/>
      <c r="AD1179" s="196"/>
      <c r="AE1179" s="196"/>
      <c r="AF1179" s="196"/>
      <c r="AG1179" s="196"/>
      <c r="AH1179" s="196"/>
      <c r="AI1179" s="196"/>
      <c r="AJ1179" s="197"/>
      <c r="AK1179" s="80"/>
      <c r="AL1179" s="80"/>
      <c r="AM1179" s="73"/>
      <c r="AN1179" s="73"/>
      <c r="AO1179" s="73"/>
      <c r="AP1179" s="73"/>
      <c r="AQ1179" s="73"/>
      <c r="AR1179" s="73"/>
      <c r="AS1179" s="73"/>
      <c r="AT1179" s="73"/>
      <c r="AU1179" s="73"/>
      <c r="AV1179" s="73"/>
      <c r="AW1179" s="73"/>
      <c r="AX1179" s="73"/>
      <c r="AY1179" s="73"/>
      <c r="AZ1179" s="73"/>
      <c r="BA1179" s="73"/>
      <c r="BB1179" s="73"/>
      <c r="BC1179" s="73"/>
      <c r="BD1179" s="73"/>
      <c r="BE1179" s="73"/>
      <c r="BF1179" s="73"/>
      <c r="BG1179" s="73"/>
      <c r="BH1179" s="73"/>
      <c r="BI1179" s="73"/>
      <c r="BJ1179" s="73"/>
      <c r="BK1179" s="73"/>
      <c r="BL1179" s="73"/>
      <c r="BM1179" s="73"/>
      <c r="BN1179" s="73"/>
      <c r="BO1179" s="73"/>
      <c r="BP1179" s="73"/>
      <c r="BQ1179" s="73"/>
      <c r="BR1179" s="73"/>
      <c r="BS1179" s="73"/>
      <c r="BT1179" s="73"/>
      <c r="BU1179" s="73"/>
      <c r="BV1179" s="73"/>
      <c r="BW1179" s="73"/>
      <c r="BX1179" s="73"/>
      <c r="BY1179" s="73"/>
      <c r="BZ1179" s="73"/>
      <c r="CA1179" s="73"/>
      <c r="CB1179" s="73"/>
      <c r="CC1179" s="73"/>
      <c r="CD1179" s="73"/>
      <c r="CE1179" s="73"/>
      <c r="CF1179" s="73"/>
      <c r="CG1179" s="73"/>
      <c r="CH1179" s="73"/>
    </row>
    <row r="1180">
      <c r="A1180" s="80"/>
      <c r="B1180" s="80"/>
      <c r="C1180" s="80"/>
      <c r="D1180" s="80"/>
      <c r="E1180" s="124"/>
      <c r="F1180" s="80"/>
      <c r="G1180" s="80"/>
      <c r="H1180" s="80"/>
      <c r="I1180" s="80"/>
      <c r="J1180" s="196"/>
      <c r="K1180" s="196"/>
      <c r="L1180" s="196"/>
      <c r="M1180" s="196"/>
      <c r="N1180" s="196"/>
      <c r="O1180" s="196"/>
      <c r="P1180" s="196"/>
      <c r="Q1180" s="196"/>
      <c r="R1180" s="196"/>
      <c r="S1180" s="196"/>
      <c r="T1180" s="196"/>
      <c r="U1180" s="196"/>
      <c r="V1180" s="196"/>
      <c r="W1180" s="196"/>
      <c r="X1180" s="196"/>
      <c r="Y1180" s="196"/>
      <c r="Z1180" s="196"/>
      <c r="AA1180" s="196"/>
      <c r="AB1180" s="196"/>
      <c r="AC1180" s="196"/>
      <c r="AD1180" s="196"/>
      <c r="AE1180" s="196"/>
      <c r="AF1180" s="196"/>
      <c r="AG1180" s="196"/>
      <c r="AH1180" s="196"/>
      <c r="AI1180" s="196"/>
      <c r="AJ1180" s="197"/>
      <c r="AK1180" s="80"/>
      <c r="AL1180" s="80"/>
      <c r="AM1180" s="73"/>
      <c r="AN1180" s="73"/>
      <c r="AO1180" s="73"/>
      <c r="AP1180" s="73"/>
      <c r="AQ1180" s="73"/>
      <c r="AR1180" s="73"/>
      <c r="AS1180" s="73"/>
      <c r="AT1180" s="73"/>
      <c r="AU1180" s="73"/>
      <c r="AV1180" s="73"/>
      <c r="AW1180" s="73"/>
      <c r="AX1180" s="73"/>
      <c r="AY1180" s="73"/>
      <c r="AZ1180" s="73"/>
      <c r="BA1180" s="73"/>
      <c r="BB1180" s="73"/>
      <c r="BC1180" s="73"/>
      <c r="BD1180" s="73"/>
      <c r="BE1180" s="73"/>
      <c r="BF1180" s="73"/>
      <c r="BG1180" s="73"/>
      <c r="BH1180" s="73"/>
      <c r="BI1180" s="73"/>
      <c r="BJ1180" s="73"/>
      <c r="BK1180" s="73"/>
      <c r="BL1180" s="73"/>
      <c r="BM1180" s="73"/>
      <c r="BN1180" s="73"/>
      <c r="BO1180" s="73"/>
      <c r="BP1180" s="73"/>
      <c r="BQ1180" s="73"/>
      <c r="BR1180" s="73"/>
      <c r="BS1180" s="73"/>
      <c r="BT1180" s="73"/>
      <c r="BU1180" s="73"/>
      <c r="BV1180" s="73"/>
      <c r="BW1180" s="73"/>
      <c r="BX1180" s="73"/>
      <c r="BY1180" s="73"/>
      <c r="BZ1180" s="73"/>
      <c r="CA1180" s="73"/>
      <c r="CB1180" s="73"/>
      <c r="CC1180" s="73"/>
      <c r="CD1180" s="73"/>
      <c r="CE1180" s="73"/>
      <c r="CF1180" s="73"/>
      <c r="CG1180" s="73"/>
      <c r="CH1180" s="73"/>
    </row>
    <row r="1181">
      <c r="A1181" s="80"/>
      <c r="B1181" s="80"/>
      <c r="C1181" s="80"/>
      <c r="D1181" s="80"/>
      <c r="E1181" s="124"/>
      <c r="F1181" s="80"/>
      <c r="G1181" s="80"/>
      <c r="H1181" s="80"/>
      <c r="I1181" s="80"/>
      <c r="J1181" s="196"/>
      <c r="K1181" s="196"/>
      <c r="L1181" s="196"/>
      <c r="M1181" s="196"/>
      <c r="N1181" s="196"/>
      <c r="O1181" s="196"/>
      <c r="P1181" s="196"/>
      <c r="Q1181" s="196"/>
      <c r="R1181" s="196"/>
      <c r="S1181" s="196"/>
      <c r="T1181" s="196"/>
      <c r="U1181" s="196"/>
      <c r="V1181" s="196"/>
      <c r="W1181" s="196"/>
      <c r="X1181" s="196"/>
      <c r="Y1181" s="196"/>
      <c r="Z1181" s="196"/>
      <c r="AA1181" s="196"/>
      <c r="AB1181" s="196"/>
      <c r="AC1181" s="196"/>
      <c r="AD1181" s="196"/>
      <c r="AE1181" s="196"/>
      <c r="AF1181" s="196"/>
      <c r="AG1181" s="196"/>
      <c r="AH1181" s="196"/>
      <c r="AI1181" s="196"/>
      <c r="AJ1181" s="197"/>
      <c r="AK1181" s="80"/>
      <c r="AL1181" s="80"/>
      <c r="AM1181" s="73"/>
      <c r="AN1181" s="73"/>
      <c r="AO1181" s="73"/>
      <c r="AP1181" s="73"/>
      <c r="AQ1181" s="73"/>
      <c r="AR1181" s="73"/>
      <c r="AS1181" s="73"/>
      <c r="AT1181" s="73"/>
      <c r="AU1181" s="73"/>
      <c r="AV1181" s="73"/>
      <c r="AW1181" s="73"/>
      <c r="AX1181" s="73"/>
      <c r="AY1181" s="73"/>
      <c r="AZ1181" s="73"/>
      <c r="BA1181" s="73"/>
      <c r="BB1181" s="73"/>
      <c r="BC1181" s="73"/>
      <c r="BD1181" s="73"/>
      <c r="BE1181" s="73"/>
      <c r="BF1181" s="73"/>
      <c r="BG1181" s="73"/>
      <c r="BH1181" s="73"/>
      <c r="BI1181" s="73"/>
      <c r="BJ1181" s="73"/>
      <c r="BK1181" s="73"/>
      <c r="BL1181" s="73"/>
      <c r="BM1181" s="73"/>
      <c r="BN1181" s="73"/>
      <c r="BO1181" s="73"/>
      <c r="BP1181" s="73"/>
      <c r="BQ1181" s="73"/>
      <c r="BR1181" s="73"/>
      <c r="BS1181" s="73"/>
      <c r="BT1181" s="73"/>
      <c r="BU1181" s="73"/>
      <c r="BV1181" s="73"/>
      <c r="BW1181" s="73"/>
      <c r="BX1181" s="73"/>
      <c r="BY1181" s="73"/>
      <c r="BZ1181" s="73"/>
      <c r="CA1181" s="73"/>
      <c r="CB1181" s="73"/>
      <c r="CC1181" s="73"/>
      <c r="CD1181" s="73"/>
      <c r="CE1181" s="73"/>
      <c r="CF1181" s="73"/>
      <c r="CG1181" s="73"/>
      <c r="CH1181" s="73"/>
    </row>
    <row r="1182">
      <c r="A1182" s="80"/>
      <c r="B1182" s="80"/>
      <c r="C1182" s="80"/>
      <c r="D1182" s="80"/>
      <c r="E1182" s="124"/>
      <c r="F1182" s="80"/>
      <c r="G1182" s="80"/>
      <c r="H1182" s="80"/>
      <c r="I1182" s="80"/>
      <c r="J1182" s="196"/>
      <c r="K1182" s="196"/>
      <c r="L1182" s="196"/>
      <c r="M1182" s="196"/>
      <c r="N1182" s="196"/>
      <c r="O1182" s="196"/>
      <c r="P1182" s="196"/>
      <c r="Q1182" s="196"/>
      <c r="R1182" s="196"/>
      <c r="S1182" s="196"/>
      <c r="T1182" s="196"/>
      <c r="U1182" s="196"/>
      <c r="V1182" s="196"/>
      <c r="W1182" s="196"/>
      <c r="X1182" s="196"/>
      <c r="Y1182" s="196"/>
      <c r="Z1182" s="196"/>
      <c r="AA1182" s="196"/>
      <c r="AB1182" s="196"/>
      <c r="AC1182" s="196"/>
      <c r="AD1182" s="196"/>
      <c r="AE1182" s="196"/>
      <c r="AF1182" s="196"/>
      <c r="AG1182" s="196"/>
      <c r="AH1182" s="196"/>
      <c r="AI1182" s="196"/>
      <c r="AJ1182" s="197"/>
      <c r="AK1182" s="80"/>
      <c r="AL1182" s="80"/>
      <c r="AM1182" s="73"/>
      <c r="AN1182" s="73"/>
      <c r="AO1182" s="73"/>
      <c r="AP1182" s="73"/>
      <c r="AQ1182" s="73"/>
      <c r="AR1182" s="73"/>
      <c r="AS1182" s="73"/>
      <c r="AT1182" s="73"/>
      <c r="AU1182" s="73"/>
      <c r="AV1182" s="73"/>
      <c r="AW1182" s="73"/>
      <c r="AX1182" s="73"/>
      <c r="AY1182" s="73"/>
      <c r="AZ1182" s="73"/>
      <c r="BA1182" s="73"/>
      <c r="BB1182" s="73"/>
      <c r="BC1182" s="73"/>
      <c r="BD1182" s="73"/>
      <c r="BE1182" s="73"/>
      <c r="BF1182" s="73"/>
      <c r="BG1182" s="73"/>
      <c r="BH1182" s="73"/>
      <c r="BI1182" s="73"/>
      <c r="BJ1182" s="73"/>
      <c r="BK1182" s="73"/>
      <c r="BL1182" s="73"/>
      <c r="BM1182" s="73"/>
      <c r="BN1182" s="73"/>
      <c r="BO1182" s="73"/>
      <c r="BP1182" s="73"/>
      <c r="BQ1182" s="73"/>
      <c r="BR1182" s="73"/>
      <c r="BS1182" s="73"/>
      <c r="BT1182" s="73"/>
      <c r="BU1182" s="73"/>
      <c r="BV1182" s="73"/>
      <c r="BW1182" s="73"/>
      <c r="BX1182" s="73"/>
      <c r="BY1182" s="73"/>
      <c r="BZ1182" s="73"/>
      <c r="CA1182" s="73"/>
      <c r="CB1182" s="73"/>
      <c r="CC1182" s="73"/>
      <c r="CD1182" s="73"/>
      <c r="CE1182" s="73"/>
      <c r="CF1182" s="73"/>
      <c r="CG1182" s="73"/>
      <c r="CH1182" s="73"/>
    </row>
    <row r="1183">
      <c r="A1183" s="80"/>
      <c r="B1183" s="80"/>
      <c r="C1183" s="80"/>
      <c r="D1183" s="80"/>
      <c r="E1183" s="124"/>
      <c r="F1183" s="80"/>
      <c r="G1183" s="80"/>
      <c r="H1183" s="80"/>
      <c r="I1183" s="80"/>
      <c r="J1183" s="196"/>
      <c r="K1183" s="196"/>
      <c r="L1183" s="196"/>
      <c r="M1183" s="196"/>
      <c r="N1183" s="196"/>
      <c r="O1183" s="196"/>
      <c r="P1183" s="196"/>
      <c r="Q1183" s="196"/>
      <c r="R1183" s="196"/>
      <c r="S1183" s="196"/>
      <c r="T1183" s="196"/>
      <c r="U1183" s="196"/>
      <c r="V1183" s="196"/>
      <c r="W1183" s="196"/>
      <c r="X1183" s="196"/>
      <c r="Y1183" s="196"/>
      <c r="Z1183" s="196"/>
      <c r="AA1183" s="196"/>
      <c r="AB1183" s="196"/>
      <c r="AC1183" s="196"/>
      <c r="AD1183" s="196"/>
      <c r="AE1183" s="196"/>
      <c r="AF1183" s="196"/>
      <c r="AG1183" s="196"/>
      <c r="AH1183" s="196"/>
      <c r="AI1183" s="196"/>
      <c r="AJ1183" s="197"/>
      <c r="AK1183" s="80"/>
      <c r="AL1183" s="80"/>
      <c r="AM1183" s="73"/>
      <c r="AN1183" s="73"/>
      <c r="AO1183" s="73"/>
      <c r="AP1183" s="73"/>
      <c r="AQ1183" s="73"/>
      <c r="AR1183" s="73"/>
      <c r="AS1183" s="73"/>
      <c r="AT1183" s="73"/>
      <c r="AU1183" s="73"/>
      <c r="AV1183" s="73"/>
      <c r="AW1183" s="73"/>
      <c r="AX1183" s="73"/>
      <c r="AY1183" s="73"/>
      <c r="AZ1183" s="73"/>
      <c r="BA1183" s="73"/>
      <c r="BB1183" s="73"/>
      <c r="BC1183" s="73"/>
      <c r="BD1183" s="73"/>
      <c r="BE1183" s="73"/>
      <c r="BF1183" s="73"/>
      <c r="BG1183" s="73"/>
      <c r="BH1183" s="73"/>
      <c r="BI1183" s="73"/>
      <c r="BJ1183" s="73"/>
      <c r="BK1183" s="73"/>
      <c r="BL1183" s="73"/>
      <c r="BM1183" s="73"/>
      <c r="BN1183" s="73"/>
      <c r="BO1183" s="73"/>
      <c r="BP1183" s="73"/>
      <c r="BQ1183" s="73"/>
      <c r="BR1183" s="73"/>
      <c r="BS1183" s="73"/>
      <c r="BT1183" s="73"/>
      <c r="BU1183" s="73"/>
      <c r="BV1183" s="73"/>
      <c r="BW1183" s="73"/>
      <c r="BX1183" s="73"/>
      <c r="BY1183" s="73"/>
      <c r="BZ1183" s="73"/>
      <c r="CA1183" s="73"/>
      <c r="CB1183" s="73"/>
      <c r="CC1183" s="73"/>
      <c r="CD1183" s="73"/>
      <c r="CE1183" s="73"/>
      <c r="CF1183" s="73"/>
      <c r="CG1183" s="73"/>
      <c r="CH1183" s="73"/>
    </row>
    <row r="1184">
      <c r="A1184" s="80"/>
      <c r="B1184" s="80"/>
      <c r="C1184" s="80"/>
      <c r="D1184" s="80"/>
      <c r="E1184" s="124"/>
      <c r="F1184" s="80"/>
      <c r="G1184" s="80"/>
      <c r="H1184" s="80"/>
      <c r="I1184" s="80"/>
      <c r="J1184" s="196"/>
      <c r="K1184" s="196"/>
      <c r="L1184" s="196"/>
      <c r="M1184" s="196"/>
      <c r="N1184" s="196"/>
      <c r="O1184" s="196"/>
      <c r="P1184" s="196"/>
      <c r="Q1184" s="196"/>
      <c r="R1184" s="196"/>
      <c r="S1184" s="196"/>
      <c r="T1184" s="196"/>
      <c r="U1184" s="196"/>
      <c r="V1184" s="196"/>
      <c r="W1184" s="196"/>
      <c r="X1184" s="196"/>
      <c r="Y1184" s="196"/>
      <c r="Z1184" s="196"/>
      <c r="AA1184" s="196"/>
      <c r="AB1184" s="196"/>
      <c r="AC1184" s="196"/>
      <c r="AD1184" s="196"/>
      <c r="AE1184" s="196"/>
      <c r="AF1184" s="196"/>
      <c r="AG1184" s="196"/>
      <c r="AH1184" s="196"/>
      <c r="AI1184" s="196"/>
      <c r="AJ1184" s="197"/>
      <c r="AK1184" s="80"/>
      <c r="AL1184" s="80"/>
      <c r="AM1184" s="73"/>
      <c r="AN1184" s="73"/>
      <c r="AO1184" s="73"/>
      <c r="AP1184" s="73"/>
      <c r="AQ1184" s="73"/>
      <c r="AR1184" s="73"/>
      <c r="AS1184" s="73"/>
      <c r="AT1184" s="73"/>
      <c r="AU1184" s="73"/>
      <c r="AV1184" s="73"/>
      <c r="AW1184" s="73"/>
      <c r="AX1184" s="73"/>
      <c r="AY1184" s="73"/>
      <c r="AZ1184" s="73"/>
      <c r="BA1184" s="73"/>
      <c r="BB1184" s="73"/>
      <c r="BC1184" s="73"/>
      <c r="BD1184" s="73"/>
      <c r="BE1184" s="73"/>
      <c r="BF1184" s="73"/>
      <c r="BG1184" s="73"/>
      <c r="BH1184" s="73"/>
      <c r="BI1184" s="73"/>
      <c r="BJ1184" s="73"/>
      <c r="BK1184" s="73"/>
      <c r="BL1184" s="73"/>
      <c r="BM1184" s="73"/>
      <c r="BN1184" s="73"/>
      <c r="BO1184" s="73"/>
      <c r="BP1184" s="73"/>
      <c r="BQ1184" s="73"/>
      <c r="BR1184" s="73"/>
      <c r="BS1184" s="73"/>
      <c r="BT1184" s="73"/>
      <c r="BU1184" s="73"/>
      <c r="BV1184" s="73"/>
      <c r="BW1184" s="73"/>
      <c r="BX1184" s="73"/>
      <c r="BY1184" s="73"/>
      <c r="BZ1184" s="73"/>
      <c r="CA1184" s="73"/>
      <c r="CB1184" s="73"/>
      <c r="CC1184" s="73"/>
      <c r="CD1184" s="73"/>
      <c r="CE1184" s="73"/>
      <c r="CF1184" s="73"/>
      <c r="CG1184" s="73"/>
      <c r="CH1184" s="73"/>
    </row>
    <row r="1185">
      <c r="A1185" s="80"/>
      <c r="B1185" s="80"/>
      <c r="C1185" s="80"/>
      <c r="D1185" s="80"/>
      <c r="E1185" s="124"/>
      <c r="F1185" s="80"/>
      <c r="G1185" s="80"/>
      <c r="H1185" s="80"/>
      <c r="I1185" s="80"/>
      <c r="J1185" s="196"/>
      <c r="K1185" s="196"/>
      <c r="L1185" s="196"/>
      <c r="M1185" s="196"/>
      <c r="N1185" s="196"/>
      <c r="O1185" s="196"/>
      <c r="P1185" s="196"/>
      <c r="Q1185" s="196"/>
      <c r="R1185" s="196"/>
      <c r="S1185" s="196"/>
      <c r="T1185" s="196"/>
      <c r="U1185" s="196"/>
      <c r="V1185" s="196"/>
      <c r="W1185" s="196"/>
      <c r="X1185" s="196"/>
      <c r="Y1185" s="196"/>
      <c r="Z1185" s="196"/>
      <c r="AA1185" s="196"/>
      <c r="AB1185" s="196"/>
      <c r="AC1185" s="196"/>
      <c r="AD1185" s="196"/>
      <c r="AE1185" s="196"/>
      <c r="AF1185" s="196"/>
      <c r="AG1185" s="196"/>
      <c r="AH1185" s="196"/>
      <c r="AI1185" s="196"/>
      <c r="AJ1185" s="197"/>
      <c r="AK1185" s="80"/>
      <c r="AL1185" s="80"/>
      <c r="AM1185" s="73"/>
      <c r="AN1185" s="73"/>
      <c r="AO1185" s="73"/>
      <c r="AP1185" s="73"/>
      <c r="AQ1185" s="73"/>
      <c r="AR1185" s="73"/>
      <c r="AS1185" s="73"/>
      <c r="AT1185" s="73"/>
      <c r="AU1185" s="73"/>
      <c r="AV1185" s="73"/>
      <c r="AW1185" s="73"/>
      <c r="AX1185" s="73"/>
      <c r="AY1185" s="73"/>
      <c r="AZ1185" s="73"/>
      <c r="BA1185" s="73"/>
      <c r="BB1185" s="73"/>
      <c r="BC1185" s="73"/>
      <c r="BD1185" s="73"/>
      <c r="BE1185" s="73"/>
      <c r="BF1185" s="73"/>
      <c r="BG1185" s="73"/>
      <c r="BH1185" s="73"/>
      <c r="BI1185" s="73"/>
      <c r="BJ1185" s="73"/>
      <c r="BK1185" s="73"/>
      <c r="BL1185" s="73"/>
      <c r="BM1185" s="73"/>
      <c r="BN1185" s="73"/>
      <c r="BO1185" s="73"/>
      <c r="BP1185" s="73"/>
      <c r="BQ1185" s="73"/>
      <c r="BR1185" s="73"/>
      <c r="BS1185" s="73"/>
      <c r="BT1185" s="73"/>
      <c r="BU1185" s="73"/>
      <c r="BV1185" s="73"/>
      <c r="BW1185" s="73"/>
      <c r="BX1185" s="73"/>
      <c r="BY1185" s="73"/>
      <c r="BZ1185" s="73"/>
      <c r="CA1185" s="73"/>
      <c r="CB1185" s="73"/>
      <c r="CC1185" s="73"/>
      <c r="CD1185" s="73"/>
      <c r="CE1185" s="73"/>
      <c r="CF1185" s="73"/>
      <c r="CG1185" s="73"/>
      <c r="CH1185" s="73"/>
    </row>
    <row r="1186">
      <c r="A1186" s="80"/>
      <c r="B1186" s="80"/>
      <c r="C1186" s="80"/>
      <c r="D1186" s="80"/>
      <c r="E1186" s="124"/>
      <c r="F1186" s="80"/>
      <c r="G1186" s="80"/>
      <c r="H1186" s="80"/>
      <c r="I1186" s="80"/>
      <c r="J1186" s="196"/>
      <c r="K1186" s="196"/>
      <c r="L1186" s="196"/>
      <c r="M1186" s="196"/>
      <c r="N1186" s="196"/>
      <c r="O1186" s="196"/>
      <c r="P1186" s="196"/>
      <c r="Q1186" s="196"/>
      <c r="R1186" s="196"/>
      <c r="S1186" s="196"/>
      <c r="T1186" s="196"/>
      <c r="U1186" s="196"/>
      <c r="V1186" s="196"/>
      <c r="W1186" s="196"/>
      <c r="X1186" s="196"/>
      <c r="Y1186" s="196"/>
      <c r="Z1186" s="196"/>
      <c r="AA1186" s="196"/>
      <c r="AB1186" s="196"/>
      <c r="AC1186" s="196"/>
      <c r="AD1186" s="196"/>
      <c r="AE1186" s="196"/>
      <c r="AF1186" s="196"/>
      <c r="AG1186" s="196"/>
      <c r="AH1186" s="196"/>
      <c r="AI1186" s="196"/>
      <c r="AJ1186" s="197"/>
      <c r="AK1186" s="80"/>
      <c r="AL1186" s="80"/>
      <c r="AM1186" s="73"/>
      <c r="AN1186" s="73"/>
      <c r="AO1186" s="73"/>
      <c r="AP1186" s="73"/>
      <c r="AQ1186" s="73"/>
      <c r="AR1186" s="73"/>
      <c r="AS1186" s="73"/>
      <c r="AT1186" s="73"/>
      <c r="AU1186" s="73"/>
      <c r="AV1186" s="73"/>
      <c r="AW1186" s="73"/>
      <c r="AX1186" s="73"/>
      <c r="AY1186" s="73"/>
      <c r="AZ1186" s="73"/>
      <c r="BA1186" s="73"/>
      <c r="BB1186" s="73"/>
      <c r="BC1186" s="73"/>
      <c r="BD1186" s="73"/>
      <c r="BE1186" s="73"/>
      <c r="BF1186" s="73"/>
      <c r="BG1186" s="73"/>
      <c r="BH1186" s="73"/>
      <c r="BI1186" s="73"/>
      <c r="BJ1186" s="73"/>
      <c r="BK1186" s="73"/>
      <c r="BL1186" s="73"/>
      <c r="BM1186" s="73"/>
      <c r="BN1186" s="73"/>
      <c r="BO1186" s="73"/>
      <c r="BP1186" s="73"/>
      <c r="BQ1186" s="73"/>
      <c r="BR1186" s="73"/>
      <c r="BS1186" s="73"/>
      <c r="BT1186" s="73"/>
      <c r="BU1186" s="73"/>
      <c r="BV1186" s="73"/>
      <c r="BW1186" s="73"/>
      <c r="BX1186" s="73"/>
      <c r="BY1186" s="73"/>
      <c r="BZ1186" s="73"/>
      <c r="CA1186" s="73"/>
      <c r="CB1186" s="73"/>
      <c r="CC1186" s="73"/>
      <c r="CD1186" s="73"/>
      <c r="CE1186" s="73"/>
      <c r="CF1186" s="73"/>
      <c r="CG1186" s="73"/>
      <c r="CH1186" s="73"/>
    </row>
    <row r="1187">
      <c r="A1187" s="80"/>
      <c r="B1187" s="80"/>
      <c r="C1187" s="80"/>
      <c r="D1187" s="80"/>
      <c r="E1187" s="124"/>
      <c r="F1187" s="80"/>
      <c r="G1187" s="80"/>
      <c r="H1187" s="80"/>
      <c r="I1187" s="80"/>
      <c r="J1187" s="196"/>
      <c r="K1187" s="196"/>
      <c r="L1187" s="196"/>
      <c r="M1187" s="196"/>
      <c r="N1187" s="196"/>
      <c r="O1187" s="196"/>
      <c r="P1187" s="196"/>
      <c r="Q1187" s="196"/>
      <c r="R1187" s="196"/>
      <c r="S1187" s="196"/>
      <c r="T1187" s="196"/>
      <c r="U1187" s="196"/>
      <c r="V1187" s="196"/>
      <c r="W1187" s="196"/>
      <c r="X1187" s="196"/>
      <c r="Y1187" s="196"/>
      <c r="Z1187" s="196"/>
      <c r="AA1187" s="196"/>
      <c r="AB1187" s="196"/>
      <c r="AC1187" s="196"/>
      <c r="AD1187" s="196"/>
      <c r="AE1187" s="196"/>
      <c r="AF1187" s="196"/>
      <c r="AG1187" s="196"/>
      <c r="AH1187" s="196"/>
      <c r="AI1187" s="196"/>
      <c r="AJ1187" s="197"/>
      <c r="AK1187" s="80"/>
      <c r="AL1187" s="80"/>
      <c r="AM1187" s="73"/>
      <c r="AN1187" s="73"/>
      <c r="AO1187" s="73"/>
      <c r="AP1187" s="73"/>
      <c r="AQ1187" s="73"/>
      <c r="AR1187" s="73"/>
      <c r="AS1187" s="73"/>
      <c r="AT1187" s="73"/>
      <c r="AU1187" s="73"/>
      <c r="AV1187" s="73"/>
      <c r="AW1187" s="73"/>
      <c r="AX1187" s="73"/>
      <c r="AY1187" s="73"/>
      <c r="AZ1187" s="73"/>
      <c r="BA1187" s="73"/>
      <c r="BB1187" s="73"/>
      <c r="BC1187" s="73"/>
      <c r="BD1187" s="73"/>
      <c r="BE1187" s="73"/>
      <c r="BF1187" s="73"/>
      <c r="BG1187" s="73"/>
      <c r="BH1187" s="73"/>
      <c r="BI1187" s="73"/>
      <c r="BJ1187" s="73"/>
      <c r="BK1187" s="73"/>
      <c r="BL1187" s="73"/>
      <c r="BM1187" s="73"/>
      <c r="BN1187" s="73"/>
      <c r="BO1187" s="73"/>
      <c r="BP1187" s="73"/>
      <c r="BQ1187" s="73"/>
      <c r="BR1187" s="73"/>
      <c r="BS1187" s="73"/>
      <c r="BT1187" s="73"/>
      <c r="BU1187" s="73"/>
      <c r="BV1187" s="73"/>
      <c r="BW1187" s="73"/>
      <c r="BX1187" s="73"/>
      <c r="BY1187" s="73"/>
      <c r="BZ1187" s="73"/>
      <c r="CA1187" s="73"/>
      <c r="CB1187" s="73"/>
      <c r="CC1187" s="73"/>
      <c r="CD1187" s="73"/>
      <c r="CE1187" s="73"/>
      <c r="CF1187" s="73"/>
      <c r="CG1187" s="73"/>
      <c r="CH1187" s="73"/>
    </row>
    <row r="1188">
      <c r="A1188" s="80"/>
      <c r="B1188" s="80"/>
      <c r="C1188" s="80"/>
      <c r="D1188" s="80"/>
      <c r="E1188" s="124"/>
      <c r="F1188" s="80"/>
      <c r="G1188" s="80"/>
      <c r="H1188" s="80"/>
      <c r="I1188" s="80"/>
      <c r="J1188" s="196"/>
      <c r="K1188" s="196"/>
      <c r="L1188" s="196"/>
      <c r="M1188" s="196"/>
      <c r="N1188" s="196"/>
      <c r="O1188" s="196"/>
      <c r="P1188" s="196"/>
      <c r="Q1188" s="196"/>
      <c r="R1188" s="196"/>
      <c r="S1188" s="196"/>
      <c r="T1188" s="196"/>
      <c r="U1188" s="196"/>
      <c r="V1188" s="196"/>
      <c r="W1188" s="196"/>
      <c r="X1188" s="196"/>
      <c r="Y1188" s="196"/>
      <c r="Z1188" s="196"/>
      <c r="AA1188" s="196"/>
      <c r="AB1188" s="196"/>
      <c r="AC1188" s="196"/>
      <c r="AD1188" s="196"/>
      <c r="AE1188" s="196"/>
      <c r="AF1188" s="196"/>
      <c r="AG1188" s="196"/>
      <c r="AH1188" s="196"/>
      <c r="AI1188" s="196"/>
      <c r="AJ1188" s="197"/>
      <c r="AK1188" s="80"/>
      <c r="AL1188" s="80"/>
      <c r="AM1188" s="73"/>
      <c r="AN1188" s="73"/>
      <c r="AO1188" s="73"/>
      <c r="AP1188" s="73"/>
      <c r="AQ1188" s="73"/>
      <c r="AR1188" s="73"/>
      <c r="AS1188" s="73"/>
      <c r="AT1188" s="73"/>
      <c r="AU1188" s="73"/>
      <c r="AV1188" s="73"/>
      <c r="AW1188" s="73"/>
      <c r="AX1188" s="73"/>
      <c r="AY1188" s="73"/>
      <c r="AZ1188" s="73"/>
      <c r="BA1188" s="73"/>
      <c r="BB1188" s="73"/>
      <c r="BC1188" s="73"/>
      <c r="BD1188" s="73"/>
      <c r="BE1188" s="73"/>
      <c r="BF1188" s="73"/>
      <c r="BG1188" s="73"/>
      <c r="BH1188" s="73"/>
      <c r="BI1188" s="73"/>
      <c r="BJ1188" s="73"/>
      <c r="BK1188" s="73"/>
      <c r="BL1188" s="73"/>
      <c r="BM1188" s="73"/>
      <c r="BN1188" s="73"/>
      <c r="BO1188" s="73"/>
      <c r="BP1188" s="73"/>
      <c r="BQ1188" s="73"/>
      <c r="BR1188" s="73"/>
      <c r="BS1188" s="73"/>
      <c r="BT1188" s="73"/>
      <c r="BU1188" s="73"/>
      <c r="BV1188" s="73"/>
      <c r="BW1188" s="73"/>
      <c r="BX1188" s="73"/>
      <c r="BY1188" s="73"/>
      <c r="BZ1188" s="73"/>
      <c r="CA1188" s="73"/>
      <c r="CB1188" s="73"/>
      <c r="CC1188" s="73"/>
      <c r="CD1188" s="73"/>
      <c r="CE1188" s="73"/>
      <c r="CF1188" s="73"/>
      <c r="CG1188" s="73"/>
      <c r="CH1188" s="73"/>
    </row>
    <row r="1189">
      <c r="A1189" s="80"/>
      <c r="B1189" s="80"/>
      <c r="C1189" s="80"/>
      <c r="D1189" s="80"/>
      <c r="E1189" s="124"/>
      <c r="F1189" s="80"/>
      <c r="G1189" s="80"/>
      <c r="H1189" s="80"/>
      <c r="I1189" s="80"/>
      <c r="J1189" s="196"/>
      <c r="K1189" s="196"/>
      <c r="L1189" s="196"/>
      <c r="M1189" s="196"/>
      <c r="N1189" s="196"/>
      <c r="O1189" s="196"/>
      <c r="P1189" s="196"/>
      <c r="Q1189" s="196"/>
      <c r="R1189" s="196"/>
      <c r="S1189" s="196"/>
      <c r="T1189" s="196"/>
      <c r="U1189" s="196"/>
      <c r="V1189" s="196"/>
      <c r="W1189" s="196"/>
      <c r="X1189" s="196"/>
      <c r="Y1189" s="196"/>
      <c r="Z1189" s="196"/>
      <c r="AA1189" s="196"/>
      <c r="AB1189" s="196"/>
      <c r="AC1189" s="196"/>
      <c r="AD1189" s="196"/>
      <c r="AE1189" s="196"/>
      <c r="AF1189" s="196"/>
      <c r="AG1189" s="196"/>
      <c r="AH1189" s="196"/>
      <c r="AI1189" s="196"/>
      <c r="AJ1189" s="197"/>
      <c r="AK1189" s="80"/>
      <c r="AL1189" s="80"/>
      <c r="AM1189" s="73"/>
      <c r="AN1189" s="73"/>
      <c r="AO1189" s="73"/>
      <c r="AP1189" s="73"/>
      <c r="AQ1189" s="73"/>
      <c r="AR1189" s="73"/>
      <c r="AS1189" s="73"/>
      <c r="AT1189" s="73"/>
      <c r="AU1189" s="73"/>
      <c r="AV1189" s="73"/>
      <c r="AW1189" s="73"/>
      <c r="AX1189" s="73"/>
      <c r="AY1189" s="73"/>
      <c r="AZ1189" s="73"/>
      <c r="BA1189" s="73"/>
      <c r="BB1189" s="73"/>
      <c r="BC1189" s="73"/>
      <c r="BD1189" s="73"/>
      <c r="BE1189" s="73"/>
      <c r="BF1189" s="73"/>
      <c r="BG1189" s="73"/>
      <c r="BH1189" s="73"/>
      <c r="BI1189" s="73"/>
      <c r="BJ1189" s="73"/>
      <c r="BK1189" s="73"/>
      <c r="BL1189" s="73"/>
      <c r="BM1189" s="73"/>
      <c r="BN1189" s="73"/>
      <c r="BO1189" s="73"/>
      <c r="BP1189" s="73"/>
      <c r="BQ1189" s="73"/>
      <c r="BR1189" s="73"/>
      <c r="BS1189" s="73"/>
      <c r="BT1189" s="73"/>
      <c r="BU1189" s="73"/>
      <c r="BV1189" s="73"/>
      <c r="BW1189" s="73"/>
      <c r="BX1189" s="73"/>
      <c r="BY1189" s="73"/>
      <c r="BZ1189" s="73"/>
      <c r="CA1189" s="73"/>
      <c r="CB1189" s="73"/>
      <c r="CC1189" s="73"/>
      <c r="CD1189" s="73"/>
      <c r="CE1189" s="73"/>
      <c r="CF1189" s="73"/>
      <c r="CG1189" s="73"/>
      <c r="CH1189" s="73"/>
    </row>
    <row r="1190">
      <c r="A1190" s="80"/>
      <c r="B1190" s="80"/>
      <c r="C1190" s="80"/>
      <c r="D1190" s="80"/>
      <c r="E1190" s="124"/>
      <c r="F1190" s="80"/>
      <c r="G1190" s="80"/>
      <c r="H1190" s="80"/>
      <c r="I1190" s="80"/>
      <c r="J1190" s="196"/>
      <c r="K1190" s="196"/>
      <c r="L1190" s="196"/>
      <c r="M1190" s="196"/>
      <c r="N1190" s="196"/>
      <c r="O1190" s="196"/>
      <c r="P1190" s="196"/>
      <c r="Q1190" s="196"/>
      <c r="R1190" s="196"/>
      <c r="S1190" s="196"/>
      <c r="T1190" s="196"/>
      <c r="U1190" s="196"/>
      <c r="V1190" s="196"/>
      <c r="W1190" s="196"/>
      <c r="X1190" s="196"/>
      <c r="Y1190" s="196"/>
      <c r="Z1190" s="196"/>
      <c r="AA1190" s="196"/>
      <c r="AB1190" s="196"/>
      <c r="AC1190" s="196"/>
      <c r="AD1190" s="196"/>
      <c r="AE1190" s="196"/>
      <c r="AF1190" s="196"/>
      <c r="AG1190" s="196"/>
      <c r="AH1190" s="196"/>
      <c r="AI1190" s="196"/>
      <c r="AJ1190" s="197"/>
      <c r="AK1190" s="80"/>
      <c r="AL1190" s="80"/>
      <c r="AM1190" s="73"/>
      <c r="AN1190" s="73"/>
      <c r="AO1190" s="73"/>
      <c r="AP1190" s="73"/>
      <c r="AQ1190" s="73"/>
      <c r="AR1190" s="73"/>
      <c r="AS1190" s="73"/>
      <c r="AT1190" s="73"/>
      <c r="AU1190" s="73"/>
      <c r="AV1190" s="73"/>
      <c r="AW1190" s="73"/>
      <c r="AX1190" s="73"/>
      <c r="AY1190" s="73"/>
      <c r="AZ1190" s="73"/>
      <c r="BA1190" s="73"/>
      <c r="BB1190" s="73"/>
      <c r="BC1190" s="73"/>
      <c r="BD1190" s="73"/>
      <c r="BE1190" s="73"/>
      <c r="BF1190" s="73"/>
      <c r="BG1190" s="73"/>
      <c r="BH1190" s="73"/>
      <c r="BI1190" s="73"/>
      <c r="BJ1190" s="73"/>
      <c r="BK1190" s="73"/>
      <c r="BL1190" s="73"/>
      <c r="BM1190" s="73"/>
      <c r="BN1190" s="73"/>
      <c r="BO1190" s="73"/>
      <c r="BP1190" s="73"/>
      <c r="BQ1190" s="73"/>
      <c r="BR1190" s="73"/>
      <c r="BS1190" s="73"/>
      <c r="BT1190" s="73"/>
      <c r="BU1190" s="73"/>
      <c r="BV1190" s="73"/>
      <c r="BW1190" s="73"/>
      <c r="BX1190" s="73"/>
      <c r="BY1190" s="73"/>
      <c r="BZ1190" s="73"/>
      <c r="CA1190" s="73"/>
      <c r="CB1190" s="73"/>
      <c r="CC1190" s="73"/>
      <c r="CD1190" s="73"/>
      <c r="CE1190" s="73"/>
      <c r="CF1190" s="73"/>
      <c r="CG1190" s="73"/>
      <c r="CH1190" s="73"/>
    </row>
    <row r="1191">
      <c r="A1191" s="80"/>
      <c r="B1191" s="80"/>
      <c r="C1191" s="80"/>
      <c r="D1191" s="80"/>
      <c r="E1191" s="124"/>
      <c r="F1191" s="80"/>
      <c r="G1191" s="80"/>
      <c r="H1191" s="80"/>
      <c r="I1191" s="80"/>
      <c r="J1191" s="196"/>
      <c r="K1191" s="196"/>
      <c r="L1191" s="196"/>
      <c r="M1191" s="196"/>
      <c r="N1191" s="196"/>
      <c r="O1191" s="196"/>
      <c r="P1191" s="196"/>
      <c r="Q1191" s="196"/>
      <c r="R1191" s="196"/>
      <c r="S1191" s="196"/>
      <c r="T1191" s="196"/>
      <c r="U1191" s="196"/>
      <c r="V1191" s="196"/>
      <c r="W1191" s="196"/>
      <c r="X1191" s="196"/>
      <c r="Y1191" s="196"/>
      <c r="Z1191" s="196"/>
      <c r="AA1191" s="196"/>
      <c r="AB1191" s="196"/>
      <c r="AC1191" s="196"/>
      <c r="AD1191" s="196"/>
      <c r="AE1191" s="196"/>
      <c r="AF1191" s="196"/>
      <c r="AG1191" s="196"/>
      <c r="AH1191" s="196"/>
      <c r="AI1191" s="196"/>
      <c r="AJ1191" s="197"/>
      <c r="AK1191" s="80"/>
      <c r="AL1191" s="80"/>
      <c r="AM1191" s="73"/>
      <c r="AN1191" s="73"/>
      <c r="AO1191" s="73"/>
      <c r="AP1191" s="73"/>
      <c r="AQ1191" s="73"/>
      <c r="AR1191" s="73"/>
      <c r="AS1191" s="73"/>
      <c r="AT1191" s="73"/>
      <c r="AU1191" s="73"/>
      <c r="AV1191" s="73"/>
      <c r="AW1191" s="73"/>
      <c r="AX1191" s="73"/>
      <c r="AY1191" s="73"/>
      <c r="AZ1191" s="73"/>
      <c r="BA1191" s="73"/>
      <c r="BB1191" s="73"/>
      <c r="BC1191" s="73"/>
      <c r="BD1191" s="73"/>
      <c r="BE1191" s="73"/>
      <c r="BF1191" s="73"/>
      <c r="BG1191" s="73"/>
      <c r="BH1191" s="73"/>
      <c r="BI1191" s="73"/>
      <c r="BJ1191" s="73"/>
      <c r="BK1191" s="73"/>
      <c r="BL1191" s="73"/>
      <c r="BM1191" s="73"/>
      <c r="BN1191" s="73"/>
      <c r="BO1191" s="73"/>
      <c r="BP1191" s="73"/>
      <c r="BQ1191" s="73"/>
      <c r="BR1191" s="73"/>
      <c r="BS1191" s="73"/>
      <c r="BT1191" s="73"/>
      <c r="BU1191" s="73"/>
      <c r="BV1191" s="73"/>
      <c r="BW1191" s="73"/>
      <c r="BX1191" s="73"/>
      <c r="BY1191" s="73"/>
      <c r="BZ1191" s="73"/>
      <c r="CA1191" s="73"/>
      <c r="CB1191" s="73"/>
      <c r="CC1191" s="73"/>
      <c r="CD1191" s="73"/>
      <c r="CE1191" s="73"/>
      <c r="CF1191" s="73"/>
      <c r="CG1191" s="73"/>
      <c r="CH1191" s="73"/>
    </row>
    <row r="1192">
      <c r="A1192" s="80"/>
      <c r="B1192" s="80"/>
      <c r="C1192" s="80"/>
      <c r="D1192" s="80"/>
      <c r="E1192" s="124"/>
      <c r="F1192" s="80"/>
      <c r="G1192" s="80"/>
      <c r="H1192" s="80"/>
      <c r="I1192" s="80"/>
      <c r="J1192" s="196"/>
      <c r="K1192" s="196"/>
      <c r="L1192" s="196"/>
      <c r="M1192" s="196"/>
      <c r="N1192" s="196"/>
      <c r="O1192" s="196"/>
      <c r="P1192" s="196"/>
      <c r="Q1192" s="196"/>
      <c r="R1192" s="196"/>
      <c r="S1192" s="196"/>
      <c r="T1192" s="196"/>
      <c r="U1192" s="196"/>
      <c r="V1192" s="196"/>
      <c r="W1192" s="196"/>
      <c r="X1192" s="196"/>
      <c r="Y1192" s="196"/>
      <c r="Z1192" s="196"/>
      <c r="AA1192" s="196"/>
      <c r="AB1192" s="196"/>
      <c r="AC1192" s="196"/>
      <c r="AD1192" s="196"/>
      <c r="AE1192" s="196"/>
      <c r="AF1192" s="196"/>
      <c r="AG1192" s="196"/>
      <c r="AH1192" s="196"/>
      <c r="AI1192" s="196"/>
      <c r="AJ1192" s="197"/>
      <c r="AK1192" s="80"/>
      <c r="AL1192" s="80"/>
      <c r="AM1192" s="73"/>
      <c r="AN1192" s="73"/>
      <c r="AO1192" s="73"/>
      <c r="AP1192" s="73"/>
      <c r="AQ1192" s="73"/>
      <c r="AR1192" s="73"/>
      <c r="AS1192" s="73"/>
      <c r="AT1192" s="73"/>
      <c r="AU1192" s="73"/>
      <c r="AV1192" s="73"/>
      <c r="AW1192" s="73"/>
      <c r="AX1192" s="73"/>
      <c r="AY1192" s="73"/>
      <c r="AZ1192" s="73"/>
      <c r="BA1192" s="73"/>
      <c r="BB1192" s="73"/>
      <c r="BC1192" s="73"/>
      <c r="BD1192" s="73"/>
      <c r="BE1192" s="73"/>
      <c r="BF1192" s="73"/>
      <c r="BG1192" s="73"/>
      <c r="BH1192" s="73"/>
      <c r="BI1192" s="73"/>
      <c r="BJ1192" s="73"/>
      <c r="BK1192" s="73"/>
      <c r="BL1192" s="73"/>
      <c r="BM1192" s="73"/>
      <c r="BN1192" s="73"/>
      <c r="BO1192" s="73"/>
      <c r="BP1192" s="73"/>
      <c r="BQ1192" s="73"/>
      <c r="BR1192" s="73"/>
      <c r="BS1192" s="73"/>
      <c r="BT1192" s="73"/>
      <c r="BU1192" s="73"/>
      <c r="BV1192" s="73"/>
      <c r="BW1192" s="73"/>
      <c r="BX1192" s="73"/>
      <c r="BY1192" s="73"/>
      <c r="BZ1192" s="73"/>
      <c r="CA1192" s="73"/>
      <c r="CB1192" s="73"/>
      <c r="CC1192" s="73"/>
      <c r="CD1192" s="73"/>
      <c r="CE1192" s="73"/>
      <c r="CF1192" s="73"/>
      <c r="CG1192" s="73"/>
      <c r="CH1192" s="73"/>
    </row>
    <row r="1193">
      <c r="A1193" s="80"/>
      <c r="B1193" s="80"/>
      <c r="C1193" s="80"/>
      <c r="D1193" s="80"/>
      <c r="E1193" s="124"/>
      <c r="F1193" s="80"/>
      <c r="G1193" s="80"/>
      <c r="H1193" s="80"/>
      <c r="I1193" s="80"/>
      <c r="J1193" s="196"/>
      <c r="K1193" s="196"/>
      <c r="L1193" s="196"/>
      <c r="M1193" s="196"/>
      <c r="N1193" s="196"/>
      <c r="O1193" s="196"/>
      <c r="P1193" s="196"/>
      <c r="Q1193" s="196"/>
      <c r="R1193" s="196"/>
      <c r="S1193" s="196"/>
      <c r="T1193" s="196"/>
      <c r="U1193" s="196"/>
      <c r="V1193" s="196"/>
      <c r="W1193" s="196"/>
      <c r="X1193" s="196"/>
      <c r="Y1193" s="196"/>
      <c r="Z1193" s="196"/>
      <c r="AA1193" s="196"/>
      <c r="AB1193" s="196"/>
      <c r="AC1193" s="196"/>
      <c r="AD1193" s="196"/>
      <c r="AE1193" s="196"/>
      <c r="AF1193" s="196"/>
      <c r="AG1193" s="196"/>
      <c r="AH1193" s="196"/>
      <c r="AI1193" s="196"/>
      <c r="AJ1193" s="197"/>
      <c r="AK1193" s="80"/>
      <c r="AL1193" s="80"/>
      <c r="AM1193" s="73"/>
      <c r="AN1193" s="73"/>
      <c r="AO1193" s="73"/>
      <c r="AP1193" s="73"/>
      <c r="AQ1193" s="73"/>
      <c r="AR1193" s="73"/>
      <c r="AS1193" s="73"/>
      <c r="AT1193" s="73"/>
      <c r="AU1193" s="73"/>
      <c r="AV1193" s="73"/>
      <c r="AW1193" s="73"/>
      <c r="AX1193" s="73"/>
      <c r="AY1193" s="73"/>
      <c r="AZ1193" s="73"/>
      <c r="BA1193" s="73"/>
      <c r="BB1193" s="73"/>
      <c r="BC1193" s="73"/>
      <c r="BD1193" s="73"/>
      <c r="BE1193" s="73"/>
      <c r="BF1193" s="73"/>
      <c r="BG1193" s="73"/>
      <c r="BH1193" s="73"/>
      <c r="BI1193" s="73"/>
      <c r="BJ1193" s="73"/>
      <c r="BK1193" s="73"/>
      <c r="BL1193" s="73"/>
      <c r="BM1193" s="73"/>
      <c r="BN1193" s="73"/>
      <c r="BO1193" s="73"/>
      <c r="BP1193" s="73"/>
      <c r="BQ1193" s="73"/>
      <c r="BR1193" s="73"/>
      <c r="BS1193" s="73"/>
      <c r="BT1193" s="73"/>
      <c r="BU1193" s="73"/>
      <c r="BV1193" s="73"/>
      <c r="BW1193" s="73"/>
      <c r="BX1193" s="73"/>
      <c r="BY1193" s="73"/>
      <c r="BZ1193" s="73"/>
      <c r="CA1193" s="73"/>
      <c r="CB1193" s="73"/>
      <c r="CC1193" s="73"/>
      <c r="CD1193" s="73"/>
      <c r="CE1193" s="73"/>
      <c r="CF1193" s="73"/>
      <c r="CG1193" s="73"/>
      <c r="CH1193" s="73"/>
    </row>
    <row r="1194">
      <c r="A1194" s="80"/>
      <c r="B1194" s="80"/>
      <c r="C1194" s="80"/>
      <c r="D1194" s="80"/>
      <c r="E1194" s="124"/>
      <c r="F1194" s="80"/>
      <c r="G1194" s="80"/>
      <c r="H1194" s="80"/>
      <c r="I1194" s="80"/>
      <c r="J1194" s="196"/>
      <c r="K1194" s="196"/>
      <c r="L1194" s="196"/>
      <c r="M1194" s="196"/>
      <c r="N1194" s="196"/>
      <c r="O1194" s="196"/>
      <c r="P1194" s="196"/>
      <c r="Q1194" s="196"/>
      <c r="R1194" s="196"/>
      <c r="S1194" s="196"/>
      <c r="T1194" s="196"/>
      <c r="U1194" s="196"/>
      <c r="V1194" s="196"/>
      <c r="W1194" s="196"/>
      <c r="X1194" s="196"/>
      <c r="Y1194" s="196"/>
      <c r="Z1194" s="196"/>
      <c r="AA1194" s="196"/>
      <c r="AB1194" s="196"/>
      <c r="AC1194" s="196"/>
      <c r="AD1194" s="196"/>
      <c r="AE1194" s="196"/>
      <c r="AF1194" s="196"/>
      <c r="AG1194" s="196"/>
      <c r="AH1194" s="196"/>
      <c r="AI1194" s="196"/>
      <c r="AJ1194" s="197"/>
      <c r="AK1194" s="80"/>
      <c r="AL1194" s="80"/>
      <c r="AM1194" s="73"/>
      <c r="AN1194" s="73"/>
      <c r="AO1194" s="73"/>
      <c r="AP1194" s="73"/>
      <c r="AQ1194" s="73"/>
      <c r="AR1194" s="73"/>
      <c r="AS1194" s="73"/>
      <c r="AT1194" s="73"/>
      <c r="AU1194" s="73"/>
      <c r="AV1194" s="73"/>
      <c r="AW1194" s="73"/>
      <c r="AX1194" s="73"/>
      <c r="AY1194" s="73"/>
      <c r="AZ1194" s="73"/>
      <c r="BA1194" s="73"/>
      <c r="BB1194" s="73"/>
      <c r="BC1194" s="73"/>
      <c r="BD1194" s="73"/>
      <c r="BE1194" s="73"/>
      <c r="BF1194" s="73"/>
      <c r="BG1194" s="73"/>
      <c r="BH1194" s="73"/>
      <c r="BI1194" s="73"/>
      <c r="BJ1194" s="73"/>
      <c r="BK1194" s="73"/>
      <c r="BL1194" s="73"/>
      <c r="BM1194" s="73"/>
      <c r="BN1194" s="73"/>
      <c r="BO1194" s="73"/>
      <c r="BP1194" s="73"/>
      <c r="BQ1194" s="73"/>
      <c r="BR1194" s="73"/>
      <c r="BS1194" s="73"/>
      <c r="BT1194" s="73"/>
      <c r="BU1194" s="73"/>
      <c r="BV1194" s="73"/>
      <c r="BW1194" s="73"/>
      <c r="BX1194" s="73"/>
      <c r="BY1194" s="73"/>
      <c r="BZ1194" s="73"/>
      <c r="CA1194" s="73"/>
      <c r="CB1194" s="73"/>
      <c r="CC1194" s="73"/>
      <c r="CD1194" s="73"/>
      <c r="CE1194" s="73"/>
      <c r="CF1194" s="73"/>
      <c r="CG1194" s="73"/>
      <c r="CH1194" s="73"/>
    </row>
    <row r="1195">
      <c r="A1195" s="80"/>
      <c r="B1195" s="80"/>
      <c r="C1195" s="80"/>
      <c r="D1195" s="80"/>
      <c r="E1195" s="124"/>
      <c r="F1195" s="80"/>
      <c r="G1195" s="80"/>
      <c r="H1195" s="80"/>
      <c r="I1195" s="80"/>
      <c r="J1195" s="196"/>
      <c r="K1195" s="196"/>
      <c r="L1195" s="196"/>
      <c r="M1195" s="196"/>
      <c r="N1195" s="196"/>
      <c r="O1195" s="196"/>
      <c r="P1195" s="196"/>
      <c r="Q1195" s="196"/>
      <c r="R1195" s="196"/>
      <c r="S1195" s="196"/>
      <c r="T1195" s="196"/>
      <c r="U1195" s="196"/>
      <c r="V1195" s="196"/>
      <c r="W1195" s="196"/>
      <c r="X1195" s="196"/>
      <c r="Y1195" s="196"/>
      <c r="Z1195" s="196"/>
      <c r="AA1195" s="196"/>
      <c r="AB1195" s="196"/>
      <c r="AC1195" s="196"/>
      <c r="AD1195" s="196"/>
      <c r="AE1195" s="196"/>
      <c r="AF1195" s="196"/>
      <c r="AG1195" s="196"/>
      <c r="AH1195" s="196"/>
      <c r="AI1195" s="196"/>
      <c r="AJ1195" s="197"/>
      <c r="AK1195" s="80"/>
      <c r="AL1195" s="80"/>
      <c r="AM1195" s="73"/>
      <c r="AN1195" s="73"/>
      <c r="AO1195" s="73"/>
      <c r="AP1195" s="73"/>
      <c r="AQ1195" s="73"/>
      <c r="AR1195" s="73"/>
      <c r="AS1195" s="73"/>
      <c r="AT1195" s="73"/>
      <c r="AU1195" s="73"/>
      <c r="AV1195" s="73"/>
      <c r="AW1195" s="73"/>
      <c r="AX1195" s="73"/>
      <c r="AY1195" s="73"/>
      <c r="AZ1195" s="73"/>
      <c r="BA1195" s="73"/>
      <c r="BB1195" s="73"/>
      <c r="BC1195" s="73"/>
      <c r="BD1195" s="73"/>
      <c r="BE1195" s="73"/>
      <c r="BF1195" s="73"/>
      <c r="BG1195" s="73"/>
      <c r="BH1195" s="73"/>
      <c r="BI1195" s="73"/>
      <c r="BJ1195" s="73"/>
      <c r="BK1195" s="73"/>
      <c r="BL1195" s="73"/>
      <c r="BM1195" s="73"/>
      <c r="BN1195" s="73"/>
      <c r="BO1195" s="73"/>
      <c r="BP1195" s="73"/>
      <c r="BQ1195" s="73"/>
      <c r="BR1195" s="73"/>
      <c r="BS1195" s="73"/>
      <c r="BT1195" s="73"/>
      <c r="BU1195" s="73"/>
      <c r="BV1195" s="73"/>
      <c r="BW1195" s="73"/>
      <c r="BX1195" s="73"/>
      <c r="BY1195" s="73"/>
      <c r="BZ1195" s="73"/>
      <c r="CA1195" s="73"/>
      <c r="CB1195" s="73"/>
      <c r="CC1195" s="73"/>
      <c r="CD1195" s="73"/>
      <c r="CE1195" s="73"/>
      <c r="CF1195" s="73"/>
      <c r="CG1195" s="73"/>
      <c r="CH1195" s="73"/>
    </row>
    <row r="1196">
      <c r="A1196" s="80"/>
      <c r="B1196" s="80"/>
      <c r="C1196" s="80"/>
      <c r="D1196" s="80"/>
      <c r="E1196" s="124"/>
      <c r="F1196" s="80"/>
      <c r="G1196" s="80"/>
      <c r="H1196" s="80"/>
      <c r="I1196" s="80"/>
      <c r="J1196" s="196"/>
      <c r="K1196" s="196"/>
      <c r="L1196" s="196"/>
      <c r="M1196" s="196"/>
      <c r="N1196" s="196"/>
      <c r="O1196" s="196"/>
      <c r="P1196" s="196"/>
      <c r="Q1196" s="196"/>
      <c r="R1196" s="196"/>
      <c r="S1196" s="196"/>
      <c r="T1196" s="196"/>
      <c r="U1196" s="196"/>
      <c r="V1196" s="196"/>
      <c r="W1196" s="196"/>
      <c r="X1196" s="196"/>
      <c r="Y1196" s="196"/>
      <c r="Z1196" s="196"/>
      <c r="AA1196" s="196"/>
      <c r="AB1196" s="196"/>
      <c r="AC1196" s="196"/>
      <c r="AD1196" s="196"/>
      <c r="AE1196" s="196"/>
      <c r="AF1196" s="196"/>
      <c r="AG1196" s="196"/>
      <c r="AH1196" s="196"/>
      <c r="AI1196" s="196"/>
      <c r="AJ1196" s="197"/>
      <c r="AK1196" s="80"/>
      <c r="AL1196" s="80"/>
      <c r="AM1196" s="73"/>
      <c r="AN1196" s="73"/>
      <c r="AO1196" s="73"/>
      <c r="AP1196" s="73"/>
      <c r="AQ1196" s="73"/>
      <c r="AR1196" s="73"/>
      <c r="AS1196" s="73"/>
      <c r="AT1196" s="73"/>
      <c r="AU1196" s="73"/>
      <c r="AV1196" s="73"/>
      <c r="AW1196" s="73"/>
      <c r="AX1196" s="73"/>
      <c r="AY1196" s="73"/>
      <c r="AZ1196" s="73"/>
      <c r="BA1196" s="73"/>
      <c r="BB1196" s="73"/>
      <c r="BC1196" s="73"/>
      <c r="BD1196" s="73"/>
      <c r="BE1196" s="73"/>
      <c r="BF1196" s="73"/>
      <c r="BG1196" s="73"/>
      <c r="BH1196" s="73"/>
      <c r="BI1196" s="73"/>
      <c r="BJ1196" s="73"/>
      <c r="BK1196" s="73"/>
      <c r="BL1196" s="73"/>
      <c r="BM1196" s="73"/>
      <c r="BN1196" s="73"/>
      <c r="BO1196" s="73"/>
      <c r="BP1196" s="73"/>
      <c r="BQ1196" s="73"/>
      <c r="BR1196" s="73"/>
      <c r="BS1196" s="73"/>
      <c r="BT1196" s="73"/>
      <c r="BU1196" s="73"/>
      <c r="BV1196" s="73"/>
      <c r="BW1196" s="73"/>
      <c r="BX1196" s="73"/>
      <c r="BY1196" s="73"/>
      <c r="BZ1196" s="73"/>
      <c r="CA1196" s="73"/>
      <c r="CB1196" s="73"/>
      <c r="CC1196" s="73"/>
      <c r="CD1196" s="73"/>
      <c r="CE1196" s="73"/>
      <c r="CF1196" s="73"/>
      <c r="CG1196" s="73"/>
      <c r="CH1196" s="73"/>
    </row>
    <row r="1197">
      <c r="A1197" s="80"/>
      <c r="B1197" s="80"/>
      <c r="C1197" s="80"/>
      <c r="D1197" s="80"/>
      <c r="E1197" s="124"/>
      <c r="F1197" s="80"/>
      <c r="G1197" s="80"/>
      <c r="H1197" s="80"/>
      <c r="I1197" s="80"/>
      <c r="J1197" s="196"/>
      <c r="K1197" s="196"/>
      <c r="L1197" s="196"/>
      <c r="M1197" s="196"/>
      <c r="N1197" s="196"/>
      <c r="O1197" s="196"/>
      <c r="P1197" s="196"/>
      <c r="Q1197" s="196"/>
      <c r="R1197" s="196"/>
      <c r="S1197" s="196"/>
      <c r="T1197" s="196"/>
      <c r="U1197" s="196"/>
      <c r="V1197" s="196"/>
      <c r="W1197" s="196"/>
      <c r="X1197" s="196"/>
      <c r="Y1197" s="196"/>
      <c r="Z1197" s="196"/>
      <c r="AA1197" s="196"/>
      <c r="AB1197" s="196"/>
      <c r="AC1197" s="196"/>
      <c r="AD1197" s="196"/>
      <c r="AE1197" s="196"/>
      <c r="AF1197" s="196"/>
      <c r="AG1197" s="196"/>
      <c r="AH1197" s="196"/>
      <c r="AI1197" s="196"/>
      <c r="AJ1197" s="197"/>
      <c r="AK1197" s="80"/>
      <c r="AL1197" s="80"/>
      <c r="AM1197" s="73"/>
      <c r="AN1197" s="73"/>
      <c r="AO1197" s="73"/>
      <c r="AP1197" s="73"/>
      <c r="AQ1197" s="73"/>
      <c r="AR1197" s="73"/>
      <c r="AS1197" s="73"/>
      <c r="AT1197" s="73"/>
      <c r="AU1197" s="73"/>
      <c r="AV1197" s="73"/>
      <c r="AW1197" s="73"/>
      <c r="AX1197" s="73"/>
      <c r="AY1197" s="73"/>
      <c r="AZ1197" s="73"/>
      <c r="BA1197" s="73"/>
      <c r="BB1197" s="73"/>
      <c r="BC1197" s="73"/>
      <c r="BD1197" s="73"/>
      <c r="BE1197" s="73"/>
      <c r="BF1197" s="73"/>
      <c r="BG1197" s="73"/>
      <c r="BH1197" s="73"/>
      <c r="BI1197" s="73"/>
      <c r="BJ1197" s="73"/>
      <c r="BK1197" s="73"/>
      <c r="BL1197" s="73"/>
      <c r="BM1197" s="73"/>
      <c r="BN1197" s="73"/>
      <c r="BO1197" s="73"/>
      <c r="BP1197" s="73"/>
      <c r="BQ1197" s="73"/>
      <c r="BR1197" s="73"/>
      <c r="BS1197" s="73"/>
      <c r="BT1197" s="73"/>
      <c r="BU1197" s="73"/>
      <c r="BV1197" s="73"/>
      <c r="BW1197" s="73"/>
      <c r="BX1197" s="73"/>
      <c r="BY1197" s="73"/>
      <c r="BZ1197" s="73"/>
      <c r="CA1197" s="73"/>
      <c r="CB1197" s="73"/>
      <c r="CC1197" s="73"/>
      <c r="CD1197" s="73"/>
      <c r="CE1197" s="73"/>
      <c r="CF1197" s="73"/>
      <c r="CG1197" s="73"/>
      <c r="CH1197" s="73"/>
    </row>
    <row r="1198">
      <c r="A1198" s="80"/>
      <c r="B1198" s="80"/>
      <c r="C1198" s="80"/>
      <c r="D1198" s="80"/>
      <c r="E1198" s="124"/>
      <c r="F1198" s="80"/>
      <c r="G1198" s="80"/>
      <c r="H1198" s="80"/>
      <c r="I1198" s="80"/>
      <c r="J1198" s="196"/>
      <c r="K1198" s="196"/>
      <c r="L1198" s="196"/>
      <c r="M1198" s="196"/>
      <c r="N1198" s="196"/>
      <c r="O1198" s="196"/>
      <c r="P1198" s="196"/>
      <c r="Q1198" s="196"/>
      <c r="R1198" s="196"/>
      <c r="S1198" s="196"/>
      <c r="T1198" s="196"/>
      <c r="U1198" s="196"/>
      <c r="V1198" s="196"/>
      <c r="W1198" s="196"/>
      <c r="X1198" s="196"/>
      <c r="Y1198" s="196"/>
      <c r="Z1198" s="196"/>
      <c r="AA1198" s="196"/>
      <c r="AB1198" s="196"/>
      <c r="AC1198" s="196"/>
      <c r="AD1198" s="196"/>
      <c r="AE1198" s="196"/>
      <c r="AF1198" s="196"/>
      <c r="AG1198" s="196"/>
      <c r="AH1198" s="196"/>
      <c r="AI1198" s="196"/>
      <c r="AJ1198" s="197"/>
      <c r="AK1198" s="80"/>
      <c r="AL1198" s="80"/>
      <c r="AM1198" s="73"/>
      <c r="AN1198" s="73"/>
      <c r="AO1198" s="73"/>
      <c r="AP1198" s="73"/>
      <c r="AQ1198" s="73"/>
      <c r="AR1198" s="73"/>
      <c r="AS1198" s="73"/>
      <c r="AT1198" s="73"/>
      <c r="AU1198" s="73"/>
      <c r="AV1198" s="73"/>
      <c r="AW1198" s="73"/>
      <c r="AX1198" s="73"/>
      <c r="AY1198" s="73"/>
      <c r="AZ1198" s="73"/>
      <c r="BA1198" s="73"/>
      <c r="BB1198" s="73"/>
      <c r="BC1198" s="73"/>
      <c r="BD1198" s="73"/>
      <c r="BE1198" s="73"/>
      <c r="BF1198" s="73"/>
      <c r="BG1198" s="73"/>
      <c r="BH1198" s="73"/>
      <c r="BI1198" s="73"/>
      <c r="BJ1198" s="73"/>
      <c r="BK1198" s="73"/>
      <c r="BL1198" s="73"/>
      <c r="BM1198" s="73"/>
      <c r="BN1198" s="73"/>
      <c r="BO1198" s="73"/>
      <c r="BP1198" s="73"/>
      <c r="BQ1198" s="73"/>
      <c r="BR1198" s="73"/>
      <c r="BS1198" s="73"/>
      <c r="BT1198" s="73"/>
      <c r="BU1198" s="73"/>
      <c r="BV1198" s="73"/>
      <c r="BW1198" s="73"/>
      <c r="BX1198" s="73"/>
      <c r="BY1198" s="73"/>
      <c r="BZ1198" s="73"/>
      <c r="CA1198" s="73"/>
      <c r="CB1198" s="73"/>
      <c r="CC1198" s="73"/>
      <c r="CD1198" s="73"/>
      <c r="CE1198" s="73"/>
      <c r="CF1198" s="73"/>
      <c r="CG1198" s="73"/>
      <c r="CH1198" s="73"/>
    </row>
    <row r="1199">
      <c r="A1199" s="80"/>
      <c r="B1199" s="80"/>
      <c r="C1199" s="80"/>
      <c r="D1199" s="80"/>
      <c r="E1199" s="124"/>
      <c r="F1199" s="80"/>
      <c r="G1199" s="80"/>
      <c r="H1199" s="80"/>
      <c r="I1199" s="80"/>
      <c r="J1199" s="196"/>
      <c r="K1199" s="196"/>
      <c r="L1199" s="196"/>
      <c r="M1199" s="196"/>
      <c r="N1199" s="196"/>
      <c r="O1199" s="196"/>
      <c r="P1199" s="196"/>
      <c r="Q1199" s="196"/>
      <c r="R1199" s="196"/>
      <c r="S1199" s="196"/>
      <c r="T1199" s="196"/>
      <c r="U1199" s="196"/>
      <c r="V1199" s="196"/>
      <c r="W1199" s="196"/>
      <c r="X1199" s="196"/>
      <c r="Y1199" s="196"/>
      <c r="Z1199" s="196"/>
      <c r="AA1199" s="196"/>
      <c r="AB1199" s="196"/>
      <c r="AC1199" s="196"/>
      <c r="AD1199" s="196"/>
      <c r="AE1199" s="196"/>
      <c r="AF1199" s="196"/>
      <c r="AG1199" s="196"/>
      <c r="AH1199" s="196"/>
      <c r="AI1199" s="196"/>
      <c r="AJ1199" s="197"/>
      <c r="AK1199" s="80"/>
      <c r="AL1199" s="80"/>
      <c r="AM1199" s="73"/>
      <c r="AN1199" s="73"/>
      <c r="AO1199" s="73"/>
      <c r="AP1199" s="73"/>
      <c r="AQ1199" s="73"/>
      <c r="AR1199" s="73"/>
      <c r="AS1199" s="73"/>
      <c r="AT1199" s="73"/>
      <c r="AU1199" s="73"/>
      <c r="AV1199" s="73"/>
      <c r="AW1199" s="73"/>
      <c r="AX1199" s="73"/>
      <c r="AY1199" s="73"/>
      <c r="AZ1199" s="73"/>
      <c r="BA1199" s="73"/>
      <c r="BB1199" s="73"/>
      <c r="BC1199" s="73"/>
      <c r="BD1199" s="73"/>
      <c r="BE1199" s="73"/>
      <c r="BF1199" s="73"/>
      <c r="BG1199" s="73"/>
      <c r="BH1199" s="73"/>
      <c r="BI1199" s="73"/>
      <c r="BJ1199" s="73"/>
      <c r="BK1199" s="73"/>
      <c r="BL1199" s="73"/>
      <c r="BM1199" s="73"/>
      <c r="BN1199" s="73"/>
      <c r="BO1199" s="73"/>
      <c r="BP1199" s="73"/>
      <c r="BQ1199" s="73"/>
      <c r="BR1199" s="73"/>
      <c r="BS1199" s="73"/>
      <c r="BT1199" s="73"/>
      <c r="BU1199" s="73"/>
      <c r="BV1199" s="73"/>
      <c r="BW1199" s="73"/>
      <c r="BX1199" s="73"/>
      <c r="BY1199" s="73"/>
      <c r="BZ1199" s="73"/>
      <c r="CA1199" s="73"/>
      <c r="CB1199" s="73"/>
      <c r="CC1199" s="73"/>
      <c r="CD1199" s="73"/>
      <c r="CE1199" s="73"/>
      <c r="CF1199" s="73"/>
      <c r="CG1199" s="73"/>
      <c r="CH1199" s="73"/>
    </row>
    <row r="1200">
      <c r="A1200" s="80"/>
      <c r="B1200" s="80"/>
      <c r="C1200" s="80"/>
      <c r="D1200" s="80"/>
      <c r="E1200" s="124"/>
      <c r="F1200" s="80"/>
      <c r="G1200" s="80"/>
      <c r="H1200" s="80"/>
      <c r="I1200" s="80"/>
      <c r="J1200" s="196"/>
      <c r="K1200" s="196"/>
      <c r="L1200" s="196"/>
      <c r="M1200" s="196"/>
      <c r="N1200" s="196"/>
      <c r="O1200" s="196"/>
      <c r="P1200" s="196"/>
      <c r="Q1200" s="196"/>
      <c r="R1200" s="196"/>
      <c r="S1200" s="196"/>
      <c r="T1200" s="196"/>
      <c r="U1200" s="196"/>
      <c r="V1200" s="196"/>
      <c r="W1200" s="196"/>
      <c r="X1200" s="196"/>
      <c r="Y1200" s="196"/>
      <c r="Z1200" s="196"/>
      <c r="AA1200" s="196"/>
      <c r="AB1200" s="196"/>
      <c r="AC1200" s="196"/>
      <c r="AD1200" s="196"/>
      <c r="AE1200" s="196"/>
      <c r="AF1200" s="196"/>
      <c r="AG1200" s="196"/>
      <c r="AH1200" s="196"/>
      <c r="AI1200" s="196"/>
      <c r="AJ1200" s="197"/>
      <c r="AK1200" s="80"/>
      <c r="AL1200" s="80"/>
      <c r="AM1200" s="73"/>
      <c r="AN1200" s="73"/>
      <c r="AO1200" s="73"/>
      <c r="AP1200" s="73"/>
      <c r="AQ1200" s="73"/>
      <c r="AR1200" s="73"/>
      <c r="AS1200" s="73"/>
      <c r="AT1200" s="73"/>
      <c r="AU1200" s="73"/>
      <c r="AV1200" s="73"/>
      <c r="AW1200" s="73"/>
      <c r="AX1200" s="73"/>
      <c r="AY1200" s="73"/>
      <c r="AZ1200" s="73"/>
      <c r="BA1200" s="73"/>
      <c r="BB1200" s="73"/>
      <c r="BC1200" s="73"/>
      <c r="BD1200" s="73"/>
      <c r="BE1200" s="73"/>
      <c r="BF1200" s="73"/>
      <c r="BG1200" s="73"/>
      <c r="BH1200" s="73"/>
      <c r="BI1200" s="73"/>
      <c r="BJ1200" s="73"/>
      <c r="BK1200" s="73"/>
      <c r="BL1200" s="73"/>
      <c r="BM1200" s="73"/>
      <c r="BN1200" s="73"/>
      <c r="BO1200" s="73"/>
      <c r="BP1200" s="73"/>
      <c r="BQ1200" s="73"/>
      <c r="BR1200" s="73"/>
      <c r="BS1200" s="73"/>
      <c r="BT1200" s="73"/>
      <c r="BU1200" s="73"/>
      <c r="BV1200" s="73"/>
      <c r="BW1200" s="73"/>
      <c r="BX1200" s="73"/>
      <c r="BY1200" s="73"/>
      <c r="BZ1200" s="73"/>
      <c r="CA1200" s="73"/>
      <c r="CB1200" s="73"/>
      <c r="CC1200" s="73"/>
      <c r="CD1200" s="73"/>
      <c r="CE1200" s="73"/>
      <c r="CF1200" s="73"/>
      <c r="CG1200" s="73"/>
      <c r="CH1200" s="73"/>
    </row>
    <row r="1201">
      <c r="A1201" s="80"/>
      <c r="B1201" s="80"/>
      <c r="C1201" s="80"/>
      <c r="D1201" s="80"/>
      <c r="E1201" s="124"/>
      <c r="F1201" s="80"/>
      <c r="G1201" s="80"/>
      <c r="H1201" s="80"/>
      <c r="I1201" s="80"/>
      <c r="J1201" s="196"/>
      <c r="K1201" s="196"/>
      <c r="L1201" s="196"/>
      <c r="M1201" s="196"/>
      <c r="N1201" s="196"/>
      <c r="O1201" s="196"/>
      <c r="P1201" s="196"/>
      <c r="Q1201" s="196"/>
      <c r="R1201" s="196"/>
      <c r="S1201" s="196"/>
      <c r="T1201" s="196"/>
      <c r="U1201" s="196"/>
      <c r="V1201" s="196"/>
      <c r="W1201" s="196"/>
      <c r="X1201" s="196"/>
      <c r="Y1201" s="196"/>
      <c r="Z1201" s="196"/>
      <c r="AA1201" s="196"/>
      <c r="AB1201" s="196"/>
      <c r="AC1201" s="196"/>
      <c r="AD1201" s="196"/>
      <c r="AE1201" s="196"/>
      <c r="AF1201" s="196"/>
      <c r="AG1201" s="196"/>
      <c r="AH1201" s="196"/>
      <c r="AI1201" s="196"/>
      <c r="AJ1201" s="197"/>
      <c r="AK1201" s="80"/>
      <c r="AL1201" s="80"/>
      <c r="AM1201" s="73"/>
      <c r="AN1201" s="73"/>
      <c r="AO1201" s="73"/>
      <c r="AP1201" s="73"/>
      <c r="AQ1201" s="73"/>
      <c r="AR1201" s="73"/>
      <c r="AS1201" s="73"/>
      <c r="AT1201" s="73"/>
      <c r="AU1201" s="73"/>
      <c r="AV1201" s="73"/>
      <c r="AW1201" s="73"/>
      <c r="AX1201" s="73"/>
      <c r="AY1201" s="73"/>
      <c r="AZ1201" s="73"/>
      <c r="BA1201" s="73"/>
      <c r="BB1201" s="73"/>
      <c r="BC1201" s="73"/>
      <c r="BD1201" s="73"/>
      <c r="BE1201" s="73"/>
      <c r="BF1201" s="73"/>
      <c r="BG1201" s="73"/>
      <c r="BH1201" s="73"/>
      <c r="BI1201" s="73"/>
      <c r="BJ1201" s="73"/>
      <c r="BK1201" s="73"/>
      <c r="BL1201" s="73"/>
      <c r="BM1201" s="73"/>
      <c r="BN1201" s="73"/>
      <c r="BO1201" s="73"/>
      <c r="BP1201" s="73"/>
      <c r="BQ1201" s="73"/>
      <c r="BR1201" s="73"/>
      <c r="BS1201" s="73"/>
      <c r="BT1201" s="73"/>
      <c r="BU1201" s="73"/>
      <c r="BV1201" s="73"/>
      <c r="BW1201" s="73"/>
      <c r="BX1201" s="73"/>
      <c r="BY1201" s="73"/>
      <c r="BZ1201" s="73"/>
      <c r="CA1201" s="73"/>
      <c r="CB1201" s="73"/>
      <c r="CC1201" s="73"/>
      <c r="CD1201" s="73"/>
      <c r="CE1201" s="73"/>
      <c r="CF1201" s="73"/>
      <c r="CG1201" s="73"/>
      <c r="CH1201" s="73"/>
    </row>
    <row r="1202">
      <c r="A1202" s="80"/>
      <c r="B1202" s="80"/>
      <c r="C1202" s="80"/>
      <c r="D1202" s="80"/>
      <c r="E1202" s="124"/>
      <c r="F1202" s="80"/>
      <c r="G1202" s="80"/>
      <c r="H1202" s="80"/>
      <c r="I1202" s="80"/>
      <c r="J1202" s="196"/>
      <c r="K1202" s="196"/>
      <c r="L1202" s="196"/>
      <c r="M1202" s="196"/>
      <c r="N1202" s="196"/>
      <c r="O1202" s="196"/>
      <c r="P1202" s="196"/>
      <c r="Q1202" s="196"/>
      <c r="R1202" s="196"/>
      <c r="S1202" s="196"/>
      <c r="T1202" s="196"/>
      <c r="U1202" s="196"/>
      <c r="V1202" s="196"/>
      <c r="W1202" s="196"/>
      <c r="X1202" s="196"/>
      <c r="Y1202" s="196"/>
      <c r="Z1202" s="196"/>
      <c r="AA1202" s="196"/>
      <c r="AB1202" s="196"/>
      <c r="AC1202" s="196"/>
      <c r="AD1202" s="196"/>
      <c r="AE1202" s="196"/>
      <c r="AF1202" s="196"/>
      <c r="AG1202" s="196"/>
      <c r="AH1202" s="196"/>
      <c r="AI1202" s="196"/>
      <c r="AJ1202" s="197"/>
      <c r="AK1202" s="80"/>
      <c r="AL1202" s="80"/>
      <c r="AM1202" s="73"/>
      <c r="AN1202" s="73"/>
      <c r="AO1202" s="73"/>
      <c r="AP1202" s="73"/>
      <c r="AQ1202" s="73"/>
      <c r="AR1202" s="73"/>
      <c r="AS1202" s="73"/>
      <c r="AT1202" s="73"/>
      <c r="AU1202" s="73"/>
      <c r="AV1202" s="73"/>
      <c r="AW1202" s="73"/>
      <c r="AX1202" s="73"/>
      <c r="AY1202" s="73"/>
      <c r="AZ1202" s="73"/>
      <c r="BA1202" s="73"/>
      <c r="BB1202" s="73"/>
      <c r="BC1202" s="73"/>
      <c r="BD1202" s="73"/>
      <c r="BE1202" s="73"/>
      <c r="BF1202" s="73"/>
      <c r="BG1202" s="73"/>
      <c r="BH1202" s="73"/>
      <c r="BI1202" s="73"/>
      <c r="BJ1202" s="73"/>
      <c r="BK1202" s="73"/>
      <c r="BL1202" s="73"/>
      <c r="BM1202" s="73"/>
      <c r="BN1202" s="73"/>
      <c r="BO1202" s="73"/>
      <c r="BP1202" s="73"/>
      <c r="BQ1202" s="73"/>
      <c r="BR1202" s="73"/>
      <c r="BS1202" s="73"/>
      <c r="BT1202" s="73"/>
      <c r="BU1202" s="73"/>
      <c r="BV1202" s="73"/>
      <c r="BW1202" s="73"/>
      <c r="BX1202" s="73"/>
      <c r="BY1202" s="73"/>
      <c r="BZ1202" s="73"/>
      <c r="CA1202" s="73"/>
      <c r="CB1202" s="73"/>
      <c r="CC1202" s="73"/>
      <c r="CD1202" s="73"/>
      <c r="CE1202" s="73"/>
      <c r="CF1202" s="73"/>
      <c r="CG1202" s="73"/>
      <c r="CH1202" s="73"/>
    </row>
    <row r="1203">
      <c r="A1203" s="80"/>
      <c r="B1203" s="80"/>
      <c r="C1203" s="80"/>
      <c r="D1203" s="80"/>
      <c r="E1203" s="124"/>
      <c r="F1203" s="80"/>
      <c r="G1203" s="80"/>
      <c r="H1203" s="80"/>
      <c r="I1203" s="80"/>
      <c r="J1203" s="196"/>
      <c r="K1203" s="196"/>
      <c r="L1203" s="196"/>
      <c r="M1203" s="196"/>
      <c r="N1203" s="196"/>
      <c r="O1203" s="196"/>
      <c r="P1203" s="196"/>
      <c r="Q1203" s="196"/>
      <c r="R1203" s="196"/>
      <c r="S1203" s="196"/>
      <c r="T1203" s="196"/>
      <c r="U1203" s="196"/>
      <c r="V1203" s="196"/>
      <c r="W1203" s="196"/>
      <c r="X1203" s="196"/>
      <c r="Y1203" s="196"/>
      <c r="Z1203" s="196"/>
      <c r="AA1203" s="196"/>
      <c r="AB1203" s="196"/>
      <c r="AC1203" s="196"/>
      <c r="AD1203" s="196"/>
      <c r="AE1203" s="196"/>
      <c r="AF1203" s="196"/>
      <c r="AG1203" s="196"/>
      <c r="AH1203" s="196"/>
      <c r="AI1203" s="196"/>
      <c r="AJ1203" s="197"/>
      <c r="AK1203" s="80"/>
      <c r="AL1203" s="80"/>
      <c r="AM1203" s="73"/>
      <c r="AN1203" s="73"/>
      <c r="AO1203" s="73"/>
      <c r="AP1203" s="73"/>
      <c r="AQ1203" s="73"/>
      <c r="AR1203" s="73"/>
      <c r="AS1203" s="73"/>
      <c r="AT1203" s="73"/>
      <c r="AU1203" s="73"/>
      <c r="AV1203" s="73"/>
      <c r="AW1203" s="73"/>
      <c r="AX1203" s="73"/>
      <c r="AY1203" s="73"/>
      <c r="AZ1203" s="73"/>
      <c r="BA1203" s="73"/>
      <c r="BB1203" s="73"/>
      <c r="BC1203" s="73"/>
      <c r="BD1203" s="73"/>
      <c r="BE1203" s="73"/>
      <c r="BF1203" s="73"/>
      <c r="BG1203" s="73"/>
      <c r="BH1203" s="73"/>
      <c r="BI1203" s="73"/>
      <c r="BJ1203" s="73"/>
      <c r="BK1203" s="73"/>
      <c r="BL1203" s="73"/>
      <c r="BM1203" s="73"/>
      <c r="BN1203" s="73"/>
      <c r="BO1203" s="73"/>
      <c r="BP1203" s="73"/>
      <c r="BQ1203" s="73"/>
      <c r="BR1203" s="73"/>
      <c r="BS1203" s="73"/>
      <c r="BT1203" s="73"/>
      <c r="BU1203" s="73"/>
      <c r="BV1203" s="73"/>
      <c r="BW1203" s="73"/>
      <c r="BX1203" s="73"/>
      <c r="BY1203" s="73"/>
      <c r="BZ1203" s="73"/>
      <c r="CA1203" s="73"/>
      <c r="CB1203" s="73"/>
      <c r="CC1203" s="73"/>
      <c r="CD1203" s="73"/>
      <c r="CE1203" s="73"/>
      <c r="CF1203" s="73"/>
      <c r="CG1203" s="73"/>
      <c r="CH1203" s="73"/>
    </row>
    <row r="1204">
      <c r="A1204" s="80"/>
      <c r="B1204" s="80"/>
      <c r="C1204" s="80"/>
      <c r="D1204" s="80"/>
      <c r="E1204" s="124"/>
      <c r="F1204" s="80"/>
      <c r="G1204" s="80"/>
      <c r="H1204" s="80"/>
      <c r="I1204" s="80"/>
      <c r="J1204" s="196"/>
      <c r="K1204" s="196"/>
      <c r="L1204" s="196"/>
      <c r="M1204" s="196"/>
      <c r="N1204" s="196"/>
      <c r="O1204" s="196"/>
      <c r="P1204" s="196"/>
      <c r="Q1204" s="196"/>
      <c r="R1204" s="196"/>
      <c r="S1204" s="196"/>
      <c r="T1204" s="196"/>
      <c r="U1204" s="196"/>
      <c r="V1204" s="196"/>
      <c r="W1204" s="196"/>
      <c r="X1204" s="196"/>
      <c r="Y1204" s="196"/>
      <c r="Z1204" s="196"/>
      <c r="AA1204" s="196"/>
      <c r="AB1204" s="196"/>
      <c r="AC1204" s="196"/>
      <c r="AD1204" s="196"/>
      <c r="AE1204" s="196"/>
      <c r="AF1204" s="196"/>
      <c r="AG1204" s="196"/>
      <c r="AH1204" s="196"/>
      <c r="AI1204" s="196"/>
      <c r="AJ1204" s="197"/>
      <c r="AK1204" s="80"/>
      <c r="AL1204" s="80"/>
      <c r="AM1204" s="73"/>
      <c r="AN1204" s="73"/>
      <c r="AO1204" s="73"/>
      <c r="AP1204" s="73"/>
      <c r="AQ1204" s="73"/>
      <c r="AR1204" s="73"/>
      <c r="AS1204" s="73"/>
      <c r="AT1204" s="73"/>
      <c r="AU1204" s="73"/>
      <c r="AV1204" s="73"/>
      <c r="AW1204" s="73"/>
      <c r="AX1204" s="73"/>
      <c r="AY1204" s="73"/>
      <c r="AZ1204" s="73"/>
      <c r="BA1204" s="73"/>
      <c r="BB1204" s="73"/>
      <c r="BC1204" s="73"/>
      <c r="BD1204" s="73"/>
      <c r="BE1204" s="73"/>
      <c r="BF1204" s="73"/>
      <c r="BG1204" s="73"/>
      <c r="BH1204" s="73"/>
      <c r="BI1204" s="73"/>
      <c r="BJ1204" s="73"/>
      <c r="BK1204" s="73"/>
      <c r="BL1204" s="73"/>
      <c r="BM1204" s="73"/>
      <c r="BN1204" s="73"/>
      <c r="BO1204" s="73"/>
      <c r="BP1204" s="73"/>
      <c r="BQ1204" s="73"/>
      <c r="BR1204" s="73"/>
      <c r="BS1204" s="73"/>
      <c r="BT1204" s="73"/>
      <c r="BU1204" s="73"/>
      <c r="BV1204" s="73"/>
      <c r="BW1204" s="73"/>
      <c r="BX1204" s="73"/>
      <c r="BY1204" s="73"/>
      <c r="BZ1204" s="73"/>
      <c r="CA1204" s="73"/>
      <c r="CB1204" s="73"/>
      <c r="CC1204" s="73"/>
      <c r="CD1204" s="73"/>
      <c r="CE1204" s="73"/>
      <c r="CF1204" s="73"/>
      <c r="CG1204" s="73"/>
      <c r="CH1204" s="73"/>
    </row>
    <row r="1205">
      <c r="A1205" s="80"/>
      <c r="B1205" s="80"/>
      <c r="C1205" s="80"/>
      <c r="D1205" s="80"/>
      <c r="E1205" s="124"/>
      <c r="F1205" s="80"/>
      <c r="G1205" s="80"/>
      <c r="H1205" s="80"/>
      <c r="I1205" s="80"/>
      <c r="J1205" s="196"/>
      <c r="K1205" s="196"/>
      <c r="L1205" s="196"/>
      <c r="M1205" s="196"/>
      <c r="N1205" s="196"/>
      <c r="O1205" s="196"/>
      <c r="P1205" s="196"/>
      <c r="Q1205" s="196"/>
      <c r="R1205" s="196"/>
      <c r="S1205" s="196"/>
      <c r="T1205" s="196"/>
      <c r="U1205" s="196"/>
      <c r="V1205" s="196"/>
      <c r="W1205" s="196"/>
      <c r="X1205" s="196"/>
      <c r="Y1205" s="196"/>
      <c r="Z1205" s="196"/>
      <c r="AA1205" s="196"/>
      <c r="AB1205" s="196"/>
      <c r="AC1205" s="196"/>
      <c r="AD1205" s="196"/>
      <c r="AE1205" s="196"/>
      <c r="AF1205" s="196"/>
      <c r="AG1205" s="196"/>
      <c r="AH1205" s="196"/>
      <c r="AI1205" s="196"/>
      <c r="AJ1205" s="197"/>
      <c r="AK1205" s="80"/>
      <c r="AL1205" s="80"/>
      <c r="AM1205" s="73"/>
      <c r="AN1205" s="73"/>
      <c r="AO1205" s="73"/>
      <c r="AP1205" s="73"/>
      <c r="AQ1205" s="73"/>
      <c r="AR1205" s="73"/>
      <c r="AS1205" s="73"/>
      <c r="AT1205" s="73"/>
      <c r="AU1205" s="73"/>
      <c r="AV1205" s="73"/>
      <c r="AW1205" s="73"/>
      <c r="AX1205" s="73"/>
      <c r="AY1205" s="73"/>
      <c r="AZ1205" s="73"/>
      <c r="BA1205" s="73"/>
      <c r="BB1205" s="73"/>
      <c r="BC1205" s="73"/>
      <c r="BD1205" s="73"/>
      <c r="BE1205" s="73"/>
      <c r="BF1205" s="73"/>
      <c r="BG1205" s="73"/>
      <c r="BH1205" s="73"/>
      <c r="BI1205" s="73"/>
      <c r="BJ1205" s="73"/>
      <c r="BK1205" s="73"/>
      <c r="BL1205" s="73"/>
      <c r="BM1205" s="73"/>
      <c r="BN1205" s="73"/>
      <c r="BO1205" s="73"/>
      <c r="BP1205" s="73"/>
      <c r="BQ1205" s="73"/>
      <c r="BR1205" s="73"/>
      <c r="BS1205" s="73"/>
      <c r="BT1205" s="73"/>
      <c r="BU1205" s="73"/>
      <c r="BV1205" s="73"/>
      <c r="BW1205" s="73"/>
      <c r="BX1205" s="73"/>
      <c r="BY1205" s="73"/>
      <c r="BZ1205" s="73"/>
      <c r="CA1205" s="73"/>
      <c r="CB1205" s="73"/>
      <c r="CC1205" s="73"/>
      <c r="CD1205" s="73"/>
      <c r="CE1205" s="73"/>
      <c r="CF1205" s="73"/>
      <c r="CG1205" s="73"/>
      <c r="CH1205" s="73"/>
    </row>
    <row r="1206">
      <c r="A1206" s="80"/>
      <c r="B1206" s="80"/>
      <c r="C1206" s="80"/>
      <c r="D1206" s="80"/>
      <c r="E1206" s="124"/>
      <c r="F1206" s="80"/>
      <c r="G1206" s="80"/>
      <c r="H1206" s="80"/>
      <c r="I1206" s="80"/>
      <c r="J1206" s="196"/>
      <c r="K1206" s="196"/>
      <c r="L1206" s="196"/>
      <c r="M1206" s="196"/>
      <c r="N1206" s="196"/>
      <c r="O1206" s="196"/>
      <c r="P1206" s="196"/>
      <c r="Q1206" s="196"/>
      <c r="R1206" s="196"/>
      <c r="S1206" s="196"/>
      <c r="T1206" s="196"/>
      <c r="U1206" s="196"/>
      <c r="V1206" s="196"/>
      <c r="W1206" s="196"/>
      <c r="X1206" s="196"/>
      <c r="Y1206" s="196"/>
      <c r="Z1206" s="196"/>
      <c r="AA1206" s="196"/>
      <c r="AB1206" s="196"/>
      <c r="AC1206" s="196"/>
      <c r="AD1206" s="196"/>
      <c r="AE1206" s="196"/>
      <c r="AF1206" s="196"/>
      <c r="AG1206" s="196"/>
      <c r="AH1206" s="196"/>
      <c r="AI1206" s="196"/>
      <c r="AJ1206" s="197"/>
      <c r="AK1206" s="80"/>
      <c r="AL1206" s="80"/>
      <c r="AM1206" s="73"/>
      <c r="AN1206" s="73"/>
      <c r="AO1206" s="73"/>
      <c r="AP1206" s="73"/>
      <c r="AQ1206" s="73"/>
      <c r="AR1206" s="73"/>
      <c r="AS1206" s="73"/>
      <c r="AT1206" s="73"/>
      <c r="AU1206" s="73"/>
      <c r="AV1206" s="73"/>
      <c r="AW1206" s="73"/>
      <c r="AX1206" s="73"/>
      <c r="AY1206" s="73"/>
      <c r="AZ1206" s="73"/>
      <c r="BA1206" s="73"/>
      <c r="BB1206" s="73"/>
      <c r="BC1206" s="73"/>
      <c r="BD1206" s="73"/>
      <c r="BE1206" s="73"/>
      <c r="BF1206" s="73"/>
      <c r="BG1206" s="73"/>
      <c r="BH1206" s="73"/>
      <c r="BI1206" s="73"/>
      <c r="BJ1206" s="73"/>
      <c r="BK1206" s="73"/>
      <c r="BL1206" s="73"/>
      <c r="BM1206" s="73"/>
      <c r="BN1206" s="73"/>
      <c r="BO1206" s="73"/>
      <c r="BP1206" s="73"/>
      <c r="BQ1206" s="73"/>
      <c r="BR1206" s="73"/>
      <c r="BS1206" s="73"/>
      <c r="BT1206" s="73"/>
      <c r="BU1206" s="73"/>
      <c r="BV1206" s="73"/>
      <c r="BW1206" s="73"/>
      <c r="BX1206" s="73"/>
      <c r="BY1206" s="73"/>
      <c r="BZ1206" s="73"/>
      <c r="CA1206" s="73"/>
      <c r="CB1206" s="73"/>
      <c r="CC1206" s="73"/>
      <c r="CD1206" s="73"/>
      <c r="CE1206" s="73"/>
      <c r="CF1206" s="73"/>
      <c r="CG1206" s="73"/>
      <c r="CH1206" s="73"/>
    </row>
    <row r="1207">
      <c r="A1207" s="80"/>
      <c r="B1207" s="80"/>
      <c r="C1207" s="80"/>
      <c r="D1207" s="80"/>
      <c r="E1207" s="124"/>
      <c r="F1207" s="80"/>
      <c r="G1207" s="80"/>
      <c r="H1207" s="80"/>
      <c r="I1207" s="80"/>
      <c r="J1207" s="196"/>
      <c r="K1207" s="196"/>
      <c r="L1207" s="196"/>
      <c r="M1207" s="196"/>
      <c r="N1207" s="196"/>
      <c r="O1207" s="196"/>
      <c r="P1207" s="196"/>
      <c r="Q1207" s="196"/>
      <c r="R1207" s="196"/>
      <c r="S1207" s="196"/>
      <c r="T1207" s="196"/>
      <c r="U1207" s="196"/>
      <c r="V1207" s="196"/>
      <c r="W1207" s="196"/>
      <c r="X1207" s="196"/>
      <c r="Y1207" s="196"/>
      <c r="Z1207" s="196"/>
      <c r="AA1207" s="196"/>
      <c r="AB1207" s="196"/>
      <c r="AC1207" s="196"/>
      <c r="AD1207" s="196"/>
      <c r="AE1207" s="196"/>
      <c r="AF1207" s="196"/>
      <c r="AG1207" s="196"/>
      <c r="AH1207" s="196"/>
      <c r="AI1207" s="196"/>
      <c r="AJ1207" s="197"/>
      <c r="AK1207" s="80"/>
      <c r="AL1207" s="80"/>
      <c r="AM1207" s="73"/>
      <c r="AN1207" s="73"/>
      <c r="AO1207" s="73"/>
      <c r="AP1207" s="73"/>
      <c r="AQ1207" s="73"/>
      <c r="AR1207" s="73"/>
      <c r="AS1207" s="73"/>
      <c r="AT1207" s="73"/>
      <c r="AU1207" s="73"/>
      <c r="AV1207" s="73"/>
      <c r="AW1207" s="73"/>
      <c r="AX1207" s="73"/>
      <c r="AY1207" s="73"/>
      <c r="AZ1207" s="73"/>
      <c r="BA1207" s="73"/>
      <c r="BB1207" s="73"/>
      <c r="BC1207" s="73"/>
      <c r="BD1207" s="73"/>
      <c r="BE1207" s="73"/>
      <c r="BF1207" s="73"/>
      <c r="BG1207" s="73"/>
      <c r="BH1207" s="73"/>
      <c r="BI1207" s="73"/>
      <c r="BJ1207" s="73"/>
      <c r="BK1207" s="73"/>
      <c r="BL1207" s="73"/>
      <c r="BM1207" s="73"/>
      <c r="BN1207" s="73"/>
      <c r="BO1207" s="73"/>
      <c r="BP1207" s="73"/>
      <c r="BQ1207" s="73"/>
      <c r="BR1207" s="73"/>
      <c r="BS1207" s="73"/>
      <c r="BT1207" s="73"/>
      <c r="BU1207" s="73"/>
      <c r="BV1207" s="73"/>
      <c r="BW1207" s="73"/>
      <c r="BX1207" s="73"/>
      <c r="BY1207" s="73"/>
      <c r="BZ1207" s="73"/>
      <c r="CA1207" s="73"/>
      <c r="CB1207" s="73"/>
      <c r="CC1207" s="73"/>
      <c r="CD1207" s="73"/>
      <c r="CE1207" s="73"/>
      <c r="CF1207" s="73"/>
      <c r="CG1207" s="73"/>
      <c r="CH1207" s="73"/>
    </row>
    <row r="1208">
      <c r="A1208" s="80"/>
      <c r="B1208" s="80"/>
      <c r="C1208" s="80"/>
      <c r="D1208" s="80"/>
      <c r="E1208" s="124"/>
      <c r="F1208" s="80"/>
      <c r="G1208" s="80"/>
      <c r="H1208" s="80"/>
      <c r="I1208" s="80"/>
      <c r="J1208" s="196"/>
      <c r="K1208" s="196"/>
      <c r="L1208" s="196"/>
      <c r="M1208" s="196"/>
      <c r="N1208" s="196"/>
      <c r="O1208" s="196"/>
      <c r="P1208" s="196"/>
      <c r="Q1208" s="196"/>
      <c r="R1208" s="196"/>
      <c r="S1208" s="196"/>
      <c r="T1208" s="196"/>
      <c r="U1208" s="196"/>
      <c r="V1208" s="196"/>
      <c r="W1208" s="196"/>
      <c r="X1208" s="196"/>
      <c r="Y1208" s="196"/>
      <c r="Z1208" s="196"/>
      <c r="AA1208" s="196"/>
      <c r="AB1208" s="196"/>
      <c r="AC1208" s="196"/>
      <c r="AD1208" s="196"/>
      <c r="AE1208" s="196"/>
      <c r="AF1208" s="196"/>
      <c r="AG1208" s="196"/>
      <c r="AH1208" s="196"/>
      <c r="AI1208" s="196"/>
      <c r="AJ1208" s="197"/>
      <c r="AK1208" s="80"/>
      <c r="AL1208" s="80"/>
      <c r="AM1208" s="73"/>
      <c r="AN1208" s="73"/>
      <c r="AO1208" s="73"/>
      <c r="AP1208" s="73"/>
      <c r="AQ1208" s="73"/>
      <c r="AR1208" s="73"/>
      <c r="AS1208" s="73"/>
      <c r="AT1208" s="73"/>
      <c r="AU1208" s="73"/>
      <c r="AV1208" s="73"/>
      <c r="AW1208" s="73"/>
      <c r="AX1208" s="73"/>
      <c r="AY1208" s="73"/>
      <c r="AZ1208" s="73"/>
      <c r="BA1208" s="73"/>
      <c r="BB1208" s="73"/>
      <c r="BC1208" s="73"/>
      <c r="BD1208" s="73"/>
      <c r="BE1208" s="73"/>
      <c r="BF1208" s="73"/>
      <c r="BG1208" s="73"/>
      <c r="BH1208" s="73"/>
      <c r="BI1208" s="73"/>
      <c r="BJ1208" s="73"/>
      <c r="BK1208" s="73"/>
      <c r="BL1208" s="73"/>
      <c r="BM1208" s="73"/>
      <c r="BN1208" s="73"/>
      <c r="BO1208" s="73"/>
      <c r="BP1208" s="73"/>
      <c r="BQ1208" s="73"/>
      <c r="BR1208" s="73"/>
      <c r="BS1208" s="73"/>
      <c r="BT1208" s="73"/>
      <c r="BU1208" s="73"/>
      <c r="BV1208" s="73"/>
      <c r="BW1208" s="73"/>
      <c r="BX1208" s="73"/>
      <c r="BY1208" s="73"/>
      <c r="BZ1208" s="73"/>
      <c r="CA1208" s="73"/>
      <c r="CB1208" s="73"/>
      <c r="CC1208" s="73"/>
      <c r="CD1208" s="73"/>
      <c r="CE1208" s="73"/>
      <c r="CF1208" s="73"/>
      <c r="CG1208" s="73"/>
      <c r="CH1208" s="73"/>
    </row>
    <row r="1209">
      <c r="A1209" s="80"/>
      <c r="B1209" s="80"/>
      <c r="C1209" s="80"/>
      <c r="D1209" s="80"/>
      <c r="E1209" s="124"/>
      <c r="F1209" s="80"/>
      <c r="G1209" s="80"/>
      <c r="H1209" s="80"/>
      <c r="I1209" s="80"/>
      <c r="J1209" s="196"/>
      <c r="K1209" s="196"/>
      <c r="L1209" s="196"/>
      <c r="M1209" s="196"/>
      <c r="N1209" s="196"/>
      <c r="O1209" s="196"/>
      <c r="P1209" s="196"/>
      <c r="Q1209" s="196"/>
      <c r="R1209" s="196"/>
      <c r="S1209" s="196"/>
      <c r="T1209" s="196"/>
      <c r="U1209" s="196"/>
      <c r="V1209" s="196"/>
      <c r="W1209" s="196"/>
      <c r="X1209" s="196"/>
      <c r="Y1209" s="196"/>
      <c r="Z1209" s="196"/>
      <c r="AA1209" s="196"/>
      <c r="AB1209" s="196"/>
      <c r="AC1209" s="196"/>
      <c r="AD1209" s="196"/>
      <c r="AE1209" s="196"/>
      <c r="AF1209" s="196"/>
      <c r="AG1209" s="196"/>
      <c r="AH1209" s="196"/>
      <c r="AI1209" s="196"/>
      <c r="AJ1209" s="197"/>
      <c r="AK1209" s="80"/>
      <c r="AL1209" s="80"/>
      <c r="AM1209" s="73"/>
      <c r="AN1209" s="73"/>
      <c r="AO1209" s="73"/>
      <c r="AP1209" s="73"/>
      <c r="AQ1209" s="73"/>
      <c r="AR1209" s="73"/>
      <c r="AS1209" s="73"/>
      <c r="AT1209" s="73"/>
      <c r="AU1209" s="73"/>
      <c r="AV1209" s="73"/>
      <c r="AW1209" s="73"/>
      <c r="AX1209" s="73"/>
      <c r="AY1209" s="73"/>
      <c r="AZ1209" s="73"/>
      <c r="BA1209" s="73"/>
      <c r="BB1209" s="73"/>
      <c r="BC1209" s="73"/>
      <c r="BD1209" s="73"/>
      <c r="BE1209" s="73"/>
      <c r="BF1209" s="73"/>
      <c r="BG1209" s="73"/>
      <c r="BH1209" s="73"/>
      <c r="BI1209" s="73"/>
      <c r="BJ1209" s="73"/>
      <c r="BK1209" s="73"/>
      <c r="BL1209" s="73"/>
      <c r="BM1209" s="73"/>
      <c r="BN1209" s="73"/>
      <c r="BO1209" s="73"/>
      <c r="BP1209" s="73"/>
      <c r="BQ1209" s="73"/>
      <c r="BR1209" s="73"/>
      <c r="BS1209" s="73"/>
      <c r="BT1209" s="73"/>
      <c r="BU1209" s="73"/>
      <c r="BV1209" s="73"/>
      <c r="BW1209" s="73"/>
      <c r="BX1209" s="73"/>
      <c r="BY1209" s="73"/>
      <c r="BZ1209" s="73"/>
      <c r="CA1209" s="73"/>
      <c r="CB1209" s="73"/>
      <c r="CC1209" s="73"/>
      <c r="CD1209" s="73"/>
      <c r="CE1209" s="73"/>
      <c r="CF1209" s="73"/>
      <c r="CG1209" s="73"/>
      <c r="CH1209" s="73"/>
    </row>
    <row r="1210">
      <c r="A1210" s="80"/>
      <c r="B1210" s="80"/>
      <c r="C1210" s="80"/>
      <c r="D1210" s="80"/>
      <c r="E1210" s="124"/>
      <c r="F1210" s="80"/>
      <c r="G1210" s="80"/>
      <c r="H1210" s="80"/>
      <c r="I1210" s="80"/>
      <c r="J1210" s="196"/>
      <c r="K1210" s="196"/>
      <c r="L1210" s="196"/>
      <c r="M1210" s="196"/>
      <c r="N1210" s="196"/>
      <c r="O1210" s="196"/>
      <c r="P1210" s="196"/>
      <c r="Q1210" s="196"/>
      <c r="R1210" s="196"/>
      <c r="S1210" s="196"/>
      <c r="T1210" s="196"/>
      <c r="U1210" s="196"/>
      <c r="V1210" s="196"/>
      <c r="W1210" s="196"/>
      <c r="X1210" s="196"/>
      <c r="Y1210" s="196"/>
      <c r="Z1210" s="196"/>
      <c r="AA1210" s="196"/>
      <c r="AB1210" s="196"/>
      <c r="AC1210" s="196"/>
      <c r="AD1210" s="196"/>
      <c r="AE1210" s="196"/>
      <c r="AF1210" s="196"/>
      <c r="AG1210" s="196"/>
      <c r="AH1210" s="196"/>
      <c r="AI1210" s="196"/>
      <c r="AJ1210" s="197"/>
      <c r="AK1210" s="80"/>
      <c r="AL1210" s="80"/>
      <c r="AM1210" s="73"/>
      <c r="AN1210" s="73"/>
      <c r="AO1210" s="73"/>
      <c r="AP1210" s="73"/>
      <c r="AQ1210" s="73"/>
      <c r="AR1210" s="73"/>
      <c r="AS1210" s="73"/>
      <c r="AT1210" s="73"/>
      <c r="AU1210" s="73"/>
      <c r="AV1210" s="73"/>
      <c r="AW1210" s="73"/>
      <c r="AX1210" s="73"/>
      <c r="AY1210" s="73"/>
      <c r="AZ1210" s="73"/>
      <c r="BA1210" s="73"/>
      <c r="BB1210" s="73"/>
      <c r="BC1210" s="73"/>
      <c r="BD1210" s="73"/>
      <c r="BE1210" s="73"/>
      <c r="BF1210" s="73"/>
      <c r="BG1210" s="73"/>
      <c r="BH1210" s="73"/>
      <c r="BI1210" s="73"/>
      <c r="BJ1210" s="73"/>
      <c r="BK1210" s="73"/>
      <c r="BL1210" s="73"/>
      <c r="BM1210" s="73"/>
      <c r="BN1210" s="73"/>
      <c r="BO1210" s="73"/>
      <c r="BP1210" s="73"/>
      <c r="BQ1210" s="73"/>
      <c r="BR1210" s="73"/>
      <c r="BS1210" s="73"/>
      <c r="BT1210" s="73"/>
      <c r="BU1210" s="73"/>
      <c r="BV1210" s="73"/>
      <c r="BW1210" s="73"/>
      <c r="BX1210" s="73"/>
      <c r="BY1210" s="73"/>
      <c r="BZ1210" s="73"/>
      <c r="CA1210" s="73"/>
      <c r="CB1210" s="73"/>
      <c r="CC1210" s="73"/>
      <c r="CD1210" s="73"/>
      <c r="CE1210" s="73"/>
      <c r="CF1210" s="73"/>
      <c r="CG1210" s="73"/>
      <c r="CH1210" s="73"/>
    </row>
    <row r="1211">
      <c r="A1211" s="80"/>
      <c r="B1211" s="80"/>
      <c r="C1211" s="80"/>
      <c r="D1211" s="80"/>
      <c r="E1211" s="124"/>
      <c r="F1211" s="80"/>
      <c r="G1211" s="80"/>
      <c r="H1211" s="80"/>
      <c r="I1211" s="80"/>
      <c r="J1211" s="196"/>
      <c r="K1211" s="196"/>
      <c r="L1211" s="196"/>
      <c r="M1211" s="196"/>
      <c r="N1211" s="196"/>
      <c r="O1211" s="196"/>
      <c r="P1211" s="196"/>
      <c r="Q1211" s="196"/>
      <c r="R1211" s="196"/>
      <c r="S1211" s="196"/>
      <c r="T1211" s="196"/>
      <c r="U1211" s="196"/>
      <c r="V1211" s="196"/>
      <c r="W1211" s="196"/>
      <c r="X1211" s="196"/>
      <c r="Y1211" s="196"/>
      <c r="Z1211" s="196"/>
      <c r="AA1211" s="196"/>
      <c r="AB1211" s="196"/>
      <c r="AC1211" s="196"/>
      <c r="AD1211" s="196"/>
      <c r="AE1211" s="196"/>
      <c r="AF1211" s="196"/>
      <c r="AG1211" s="196"/>
      <c r="AH1211" s="196"/>
      <c r="AI1211" s="196"/>
      <c r="AJ1211" s="197"/>
      <c r="AK1211" s="80"/>
      <c r="AL1211" s="80"/>
      <c r="AM1211" s="73"/>
      <c r="AN1211" s="73"/>
      <c r="AO1211" s="73"/>
      <c r="AP1211" s="73"/>
      <c r="AQ1211" s="73"/>
      <c r="AR1211" s="73"/>
      <c r="AS1211" s="73"/>
      <c r="AT1211" s="73"/>
      <c r="AU1211" s="73"/>
      <c r="AV1211" s="73"/>
      <c r="AW1211" s="73"/>
      <c r="AX1211" s="73"/>
      <c r="AY1211" s="73"/>
      <c r="AZ1211" s="73"/>
      <c r="BA1211" s="73"/>
      <c r="BB1211" s="73"/>
      <c r="BC1211" s="73"/>
      <c r="BD1211" s="73"/>
      <c r="BE1211" s="73"/>
      <c r="BF1211" s="73"/>
      <c r="BG1211" s="73"/>
      <c r="BH1211" s="73"/>
      <c r="BI1211" s="73"/>
      <c r="BJ1211" s="73"/>
      <c r="BK1211" s="73"/>
      <c r="BL1211" s="73"/>
      <c r="BM1211" s="73"/>
      <c r="BN1211" s="73"/>
      <c r="BO1211" s="73"/>
      <c r="BP1211" s="73"/>
      <c r="BQ1211" s="73"/>
      <c r="BR1211" s="73"/>
      <c r="BS1211" s="73"/>
      <c r="BT1211" s="73"/>
      <c r="BU1211" s="73"/>
      <c r="BV1211" s="73"/>
      <c r="BW1211" s="73"/>
      <c r="BX1211" s="73"/>
      <c r="BY1211" s="73"/>
      <c r="BZ1211" s="73"/>
      <c r="CA1211" s="73"/>
      <c r="CB1211" s="73"/>
      <c r="CC1211" s="73"/>
      <c r="CD1211" s="73"/>
      <c r="CE1211" s="73"/>
      <c r="CF1211" s="73"/>
      <c r="CG1211" s="73"/>
      <c r="CH1211" s="73"/>
    </row>
    <row r="1212">
      <c r="A1212" s="80"/>
      <c r="B1212" s="80"/>
      <c r="C1212" s="80"/>
      <c r="D1212" s="80"/>
      <c r="E1212" s="124"/>
      <c r="F1212" s="80"/>
      <c r="G1212" s="80"/>
      <c r="H1212" s="80"/>
      <c r="I1212" s="80"/>
      <c r="J1212" s="196"/>
      <c r="K1212" s="196"/>
      <c r="L1212" s="196"/>
      <c r="M1212" s="196"/>
      <c r="N1212" s="196"/>
      <c r="O1212" s="196"/>
      <c r="P1212" s="196"/>
      <c r="Q1212" s="196"/>
      <c r="R1212" s="196"/>
      <c r="S1212" s="196"/>
      <c r="T1212" s="196"/>
      <c r="U1212" s="196"/>
      <c r="V1212" s="196"/>
      <c r="W1212" s="196"/>
      <c r="X1212" s="196"/>
      <c r="Y1212" s="196"/>
      <c r="Z1212" s="196"/>
      <c r="AA1212" s="196"/>
      <c r="AB1212" s="196"/>
      <c r="AC1212" s="196"/>
      <c r="AD1212" s="196"/>
      <c r="AE1212" s="196"/>
      <c r="AF1212" s="196"/>
      <c r="AG1212" s="196"/>
      <c r="AH1212" s="196"/>
      <c r="AI1212" s="196"/>
      <c r="AJ1212" s="197"/>
      <c r="AK1212" s="80"/>
      <c r="AL1212" s="80"/>
      <c r="AM1212" s="73"/>
      <c r="AN1212" s="73"/>
      <c r="AO1212" s="73"/>
      <c r="AP1212" s="73"/>
      <c r="AQ1212" s="73"/>
      <c r="AR1212" s="73"/>
      <c r="AS1212" s="73"/>
      <c r="AT1212" s="73"/>
      <c r="AU1212" s="73"/>
      <c r="AV1212" s="73"/>
      <c r="AW1212" s="73"/>
      <c r="AX1212" s="73"/>
      <c r="AY1212" s="73"/>
      <c r="AZ1212" s="73"/>
      <c r="BA1212" s="73"/>
      <c r="BB1212" s="73"/>
      <c r="BC1212" s="73"/>
      <c r="BD1212" s="73"/>
      <c r="BE1212" s="73"/>
      <c r="BF1212" s="73"/>
      <c r="BG1212" s="73"/>
      <c r="BH1212" s="73"/>
      <c r="BI1212" s="73"/>
      <c r="BJ1212" s="73"/>
      <c r="BK1212" s="73"/>
      <c r="BL1212" s="73"/>
      <c r="BM1212" s="73"/>
      <c r="BN1212" s="73"/>
      <c r="BO1212" s="73"/>
      <c r="BP1212" s="73"/>
      <c r="BQ1212" s="73"/>
      <c r="BR1212" s="73"/>
      <c r="BS1212" s="73"/>
      <c r="BT1212" s="73"/>
      <c r="BU1212" s="73"/>
      <c r="BV1212" s="73"/>
      <c r="BW1212" s="73"/>
      <c r="BX1212" s="73"/>
      <c r="BY1212" s="73"/>
      <c r="BZ1212" s="73"/>
      <c r="CA1212" s="73"/>
      <c r="CB1212" s="73"/>
      <c r="CC1212" s="73"/>
      <c r="CD1212" s="73"/>
      <c r="CE1212" s="73"/>
      <c r="CF1212" s="73"/>
      <c r="CG1212" s="73"/>
      <c r="CH1212" s="73"/>
    </row>
    <row r="1213">
      <c r="A1213" s="80"/>
      <c r="B1213" s="80"/>
      <c r="C1213" s="80"/>
      <c r="D1213" s="80"/>
      <c r="E1213" s="124"/>
      <c r="F1213" s="80"/>
      <c r="G1213" s="80"/>
      <c r="H1213" s="80"/>
      <c r="I1213" s="80"/>
      <c r="J1213" s="196"/>
      <c r="K1213" s="196"/>
      <c r="L1213" s="196"/>
      <c r="M1213" s="196"/>
      <c r="N1213" s="196"/>
      <c r="O1213" s="196"/>
      <c r="P1213" s="196"/>
      <c r="Q1213" s="196"/>
      <c r="R1213" s="196"/>
      <c r="S1213" s="196"/>
      <c r="T1213" s="196"/>
      <c r="U1213" s="196"/>
      <c r="V1213" s="196"/>
      <c r="W1213" s="196"/>
      <c r="X1213" s="196"/>
      <c r="Y1213" s="196"/>
      <c r="Z1213" s="196"/>
      <c r="AA1213" s="196"/>
      <c r="AB1213" s="196"/>
      <c r="AC1213" s="196"/>
      <c r="AD1213" s="196"/>
      <c r="AE1213" s="196"/>
      <c r="AF1213" s="196"/>
      <c r="AG1213" s="196"/>
      <c r="AH1213" s="196"/>
      <c r="AI1213" s="196"/>
      <c r="AJ1213" s="197"/>
      <c r="AK1213" s="80"/>
      <c r="AL1213" s="80"/>
      <c r="AM1213" s="73"/>
      <c r="AN1213" s="73"/>
      <c r="AO1213" s="73"/>
      <c r="AP1213" s="73"/>
      <c r="AQ1213" s="73"/>
      <c r="AR1213" s="73"/>
      <c r="AS1213" s="73"/>
      <c r="AT1213" s="73"/>
      <c r="AU1213" s="73"/>
      <c r="AV1213" s="73"/>
      <c r="AW1213" s="73"/>
      <c r="AX1213" s="73"/>
      <c r="AY1213" s="73"/>
      <c r="AZ1213" s="73"/>
      <c r="BA1213" s="73"/>
      <c r="BB1213" s="73"/>
      <c r="BC1213" s="73"/>
      <c r="BD1213" s="73"/>
      <c r="BE1213" s="73"/>
      <c r="BF1213" s="73"/>
      <c r="BG1213" s="73"/>
      <c r="BH1213" s="73"/>
      <c r="BI1213" s="73"/>
      <c r="BJ1213" s="73"/>
      <c r="BK1213" s="73"/>
      <c r="BL1213" s="73"/>
      <c r="BM1213" s="73"/>
      <c r="BN1213" s="73"/>
      <c r="BO1213" s="73"/>
      <c r="BP1213" s="73"/>
      <c r="BQ1213" s="73"/>
      <c r="BR1213" s="73"/>
      <c r="BS1213" s="73"/>
      <c r="BT1213" s="73"/>
      <c r="BU1213" s="73"/>
      <c r="BV1213" s="73"/>
      <c r="BW1213" s="73"/>
      <c r="BX1213" s="73"/>
      <c r="BY1213" s="73"/>
      <c r="BZ1213" s="73"/>
      <c r="CA1213" s="73"/>
      <c r="CB1213" s="73"/>
      <c r="CC1213" s="73"/>
      <c r="CD1213" s="73"/>
      <c r="CE1213" s="73"/>
      <c r="CF1213" s="73"/>
      <c r="CG1213" s="73"/>
      <c r="CH1213" s="73"/>
    </row>
    <row r="1214">
      <c r="A1214" s="80"/>
      <c r="B1214" s="80"/>
      <c r="C1214" s="80"/>
      <c r="D1214" s="80"/>
      <c r="E1214" s="124"/>
      <c r="F1214" s="80"/>
      <c r="G1214" s="80"/>
      <c r="H1214" s="80"/>
      <c r="I1214" s="80"/>
      <c r="J1214" s="196"/>
      <c r="K1214" s="196"/>
      <c r="L1214" s="196"/>
      <c r="M1214" s="196"/>
      <c r="N1214" s="196"/>
      <c r="O1214" s="196"/>
      <c r="P1214" s="196"/>
      <c r="Q1214" s="196"/>
      <c r="R1214" s="196"/>
      <c r="S1214" s="196"/>
      <c r="T1214" s="196"/>
      <c r="U1214" s="196"/>
      <c r="V1214" s="196"/>
      <c r="W1214" s="196"/>
      <c r="X1214" s="196"/>
      <c r="Y1214" s="196"/>
      <c r="Z1214" s="196"/>
      <c r="AA1214" s="196"/>
      <c r="AB1214" s="196"/>
      <c r="AC1214" s="196"/>
      <c r="AD1214" s="196"/>
      <c r="AE1214" s="196"/>
      <c r="AF1214" s="196"/>
      <c r="AG1214" s="196"/>
      <c r="AH1214" s="196"/>
      <c r="AI1214" s="196"/>
      <c r="AJ1214" s="197"/>
      <c r="AK1214" s="80"/>
      <c r="AL1214" s="80"/>
      <c r="AM1214" s="73"/>
      <c r="AN1214" s="73"/>
      <c r="AO1214" s="73"/>
      <c r="AP1214" s="73"/>
      <c r="AQ1214" s="73"/>
      <c r="AR1214" s="73"/>
      <c r="AS1214" s="73"/>
      <c r="AT1214" s="73"/>
      <c r="AU1214" s="73"/>
      <c r="AV1214" s="73"/>
      <c r="AW1214" s="73"/>
      <c r="AX1214" s="73"/>
      <c r="AY1214" s="73"/>
      <c r="AZ1214" s="73"/>
      <c r="BA1214" s="73"/>
      <c r="BB1214" s="73"/>
      <c r="BC1214" s="73"/>
      <c r="BD1214" s="73"/>
      <c r="BE1214" s="73"/>
      <c r="BF1214" s="73"/>
      <c r="BG1214" s="73"/>
      <c r="BH1214" s="73"/>
      <c r="BI1214" s="73"/>
      <c r="BJ1214" s="73"/>
      <c r="BK1214" s="73"/>
      <c r="BL1214" s="73"/>
      <c r="BM1214" s="73"/>
      <c r="BN1214" s="73"/>
      <c r="BO1214" s="73"/>
      <c r="BP1214" s="73"/>
      <c r="BQ1214" s="73"/>
      <c r="BR1214" s="73"/>
      <c r="BS1214" s="73"/>
      <c r="BT1214" s="73"/>
      <c r="BU1214" s="73"/>
      <c r="BV1214" s="73"/>
      <c r="BW1214" s="73"/>
      <c r="BX1214" s="73"/>
      <c r="BY1214" s="73"/>
      <c r="BZ1214" s="73"/>
      <c r="CA1214" s="73"/>
      <c r="CB1214" s="73"/>
      <c r="CC1214" s="73"/>
      <c r="CD1214" s="73"/>
      <c r="CE1214" s="73"/>
      <c r="CF1214" s="73"/>
      <c r="CG1214" s="73"/>
      <c r="CH1214" s="73"/>
    </row>
    <row r="1215">
      <c r="A1215" s="80"/>
      <c r="B1215" s="80"/>
      <c r="C1215" s="80"/>
      <c r="D1215" s="80"/>
      <c r="E1215" s="124"/>
      <c r="F1215" s="80"/>
      <c r="G1215" s="80"/>
      <c r="H1215" s="80"/>
      <c r="I1215" s="80"/>
      <c r="J1215" s="196"/>
      <c r="K1215" s="196"/>
      <c r="L1215" s="196"/>
      <c r="M1215" s="196"/>
      <c r="N1215" s="196"/>
      <c r="O1215" s="196"/>
      <c r="P1215" s="196"/>
      <c r="Q1215" s="196"/>
      <c r="R1215" s="196"/>
      <c r="S1215" s="196"/>
      <c r="T1215" s="196"/>
      <c r="U1215" s="196"/>
      <c r="V1215" s="196"/>
      <c r="W1215" s="196"/>
      <c r="X1215" s="196"/>
      <c r="Y1215" s="196"/>
      <c r="Z1215" s="196"/>
      <c r="AA1215" s="196"/>
      <c r="AB1215" s="196"/>
      <c r="AC1215" s="196"/>
      <c r="AD1215" s="196"/>
      <c r="AE1215" s="196"/>
      <c r="AF1215" s="196"/>
      <c r="AG1215" s="196"/>
      <c r="AH1215" s="196"/>
      <c r="AI1215" s="196"/>
      <c r="AJ1215" s="197"/>
      <c r="AK1215" s="80"/>
      <c r="AL1215" s="80"/>
      <c r="AM1215" s="73"/>
      <c r="AN1215" s="73"/>
      <c r="AO1215" s="73"/>
      <c r="AP1215" s="73"/>
      <c r="AQ1215" s="73"/>
      <c r="AR1215" s="73"/>
      <c r="AS1215" s="73"/>
      <c r="AT1215" s="73"/>
      <c r="AU1215" s="73"/>
      <c r="AV1215" s="73"/>
      <c r="AW1215" s="73"/>
      <c r="AX1215" s="73"/>
      <c r="AY1215" s="73"/>
      <c r="AZ1215" s="73"/>
      <c r="BA1215" s="73"/>
      <c r="BB1215" s="73"/>
      <c r="BC1215" s="73"/>
      <c r="BD1215" s="73"/>
      <c r="BE1215" s="73"/>
      <c r="BF1215" s="73"/>
      <c r="BG1215" s="73"/>
      <c r="BH1215" s="73"/>
      <c r="BI1215" s="73"/>
      <c r="BJ1215" s="73"/>
      <c r="BK1215" s="73"/>
      <c r="BL1215" s="73"/>
      <c r="BM1215" s="73"/>
      <c r="BN1215" s="73"/>
      <c r="BO1215" s="73"/>
      <c r="BP1215" s="73"/>
      <c r="BQ1215" s="73"/>
      <c r="BR1215" s="73"/>
      <c r="BS1215" s="73"/>
      <c r="BT1215" s="73"/>
      <c r="BU1215" s="73"/>
      <c r="BV1215" s="73"/>
      <c r="BW1215" s="73"/>
      <c r="BX1215" s="73"/>
      <c r="BY1215" s="73"/>
      <c r="BZ1215" s="73"/>
      <c r="CA1215" s="73"/>
      <c r="CB1215" s="73"/>
      <c r="CC1215" s="73"/>
      <c r="CD1215" s="73"/>
      <c r="CE1215" s="73"/>
      <c r="CF1215" s="73"/>
      <c r="CG1215" s="73"/>
      <c r="CH1215" s="73"/>
    </row>
    <row r="1216">
      <c r="A1216" s="80"/>
      <c r="B1216" s="80"/>
      <c r="C1216" s="80"/>
      <c r="D1216" s="80"/>
      <c r="E1216" s="124"/>
      <c r="F1216" s="80"/>
      <c r="G1216" s="80"/>
      <c r="H1216" s="80"/>
      <c r="I1216" s="80"/>
      <c r="J1216" s="196"/>
      <c r="K1216" s="196"/>
      <c r="L1216" s="196"/>
      <c r="M1216" s="196"/>
      <c r="N1216" s="196"/>
      <c r="O1216" s="196"/>
      <c r="P1216" s="196"/>
      <c r="Q1216" s="196"/>
      <c r="R1216" s="196"/>
      <c r="S1216" s="196"/>
      <c r="T1216" s="196"/>
      <c r="U1216" s="196"/>
      <c r="V1216" s="196"/>
      <c r="W1216" s="196"/>
      <c r="X1216" s="196"/>
      <c r="Y1216" s="196"/>
      <c r="Z1216" s="196"/>
      <c r="AA1216" s="196"/>
      <c r="AB1216" s="196"/>
      <c r="AC1216" s="196"/>
      <c r="AD1216" s="196"/>
      <c r="AE1216" s="196"/>
      <c r="AF1216" s="196"/>
      <c r="AG1216" s="196"/>
      <c r="AH1216" s="196"/>
      <c r="AI1216" s="196"/>
      <c r="AJ1216" s="197"/>
      <c r="AK1216" s="80"/>
      <c r="AL1216" s="80"/>
      <c r="AM1216" s="73"/>
      <c r="AN1216" s="73"/>
      <c r="AO1216" s="73"/>
      <c r="AP1216" s="73"/>
      <c r="AQ1216" s="73"/>
      <c r="AR1216" s="73"/>
      <c r="AS1216" s="73"/>
      <c r="AT1216" s="73"/>
      <c r="AU1216" s="73"/>
      <c r="AV1216" s="73"/>
      <c r="AW1216" s="73"/>
      <c r="AX1216" s="73"/>
      <c r="AY1216" s="73"/>
      <c r="AZ1216" s="73"/>
      <c r="BA1216" s="73"/>
      <c r="BB1216" s="73"/>
      <c r="BC1216" s="73"/>
      <c r="BD1216" s="73"/>
      <c r="BE1216" s="73"/>
      <c r="BF1216" s="73"/>
      <c r="BG1216" s="73"/>
      <c r="BH1216" s="73"/>
      <c r="BI1216" s="73"/>
      <c r="BJ1216" s="73"/>
      <c r="BK1216" s="73"/>
      <c r="BL1216" s="73"/>
      <c r="BM1216" s="73"/>
      <c r="BN1216" s="73"/>
      <c r="BO1216" s="73"/>
      <c r="BP1216" s="73"/>
      <c r="BQ1216" s="73"/>
      <c r="BR1216" s="73"/>
      <c r="BS1216" s="73"/>
      <c r="BT1216" s="73"/>
      <c r="BU1216" s="73"/>
      <c r="BV1216" s="73"/>
      <c r="BW1216" s="73"/>
      <c r="BX1216" s="73"/>
      <c r="BY1216" s="73"/>
      <c r="BZ1216" s="73"/>
      <c r="CA1216" s="73"/>
      <c r="CB1216" s="73"/>
      <c r="CC1216" s="73"/>
      <c r="CD1216" s="73"/>
      <c r="CE1216" s="73"/>
      <c r="CF1216" s="73"/>
      <c r="CG1216" s="73"/>
      <c r="CH1216" s="73"/>
    </row>
    <row r="1217">
      <c r="A1217" s="80"/>
      <c r="B1217" s="80"/>
      <c r="C1217" s="80"/>
      <c r="D1217" s="80"/>
      <c r="E1217" s="124"/>
      <c r="F1217" s="80"/>
      <c r="G1217" s="80"/>
      <c r="H1217" s="80"/>
      <c r="I1217" s="80"/>
      <c r="J1217" s="196"/>
      <c r="K1217" s="196"/>
      <c r="L1217" s="196"/>
      <c r="M1217" s="196"/>
      <c r="N1217" s="196"/>
      <c r="O1217" s="196"/>
      <c r="P1217" s="196"/>
      <c r="Q1217" s="196"/>
      <c r="R1217" s="196"/>
      <c r="S1217" s="196"/>
      <c r="T1217" s="196"/>
      <c r="U1217" s="196"/>
      <c r="V1217" s="196"/>
      <c r="W1217" s="196"/>
      <c r="X1217" s="196"/>
      <c r="Y1217" s="196"/>
      <c r="Z1217" s="196"/>
      <c r="AA1217" s="196"/>
      <c r="AB1217" s="196"/>
      <c r="AC1217" s="196"/>
      <c r="AD1217" s="196"/>
      <c r="AE1217" s="196"/>
      <c r="AF1217" s="196"/>
      <c r="AG1217" s="196"/>
      <c r="AH1217" s="196"/>
      <c r="AI1217" s="196"/>
      <c r="AJ1217" s="197"/>
      <c r="AK1217" s="80"/>
      <c r="AL1217" s="80"/>
      <c r="AM1217" s="73"/>
      <c r="AN1217" s="73"/>
      <c r="AO1217" s="73"/>
      <c r="AP1217" s="73"/>
      <c r="AQ1217" s="73"/>
      <c r="AR1217" s="73"/>
      <c r="AS1217" s="73"/>
      <c r="AT1217" s="73"/>
      <c r="AU1217" s="73"/>
      <c r="AV1217" s="73"/>
      <c r="AW1217" s="73"/>
      <c r="AX1217" s="73"/>
      <c r="AY1217" s="73"/>
      <c r="AZ1217" s="73"/>
      <c r="BA1217" s="73"/>
      <c r="BB1217" s="73"/>
      <c r="BC1217" s="73"/>
      <c r="BD1217" s="73"/>
      <c r="BE1217" s="73"/>
      <c r="BF1217" s="73"/>
      <c r="BG1217" s="73"/>
      <c r="BH1217" s="73"/>
      <c r="BI1217" s="73"/>
      <c r="BJ1217" s="73"/>
      <c r="BK1217" s="73"/>
      <c r="BL1217" s="73"/>
      <c r="BM1217" s="73"/>
      <c r="BN1217" s="73"/>
      <c r="BO1217" s="73"/>
      <c r="BP1217" s="73"/>
      <c r="BQ1217" s="73"/>
      <c r="BR1217" s="73"/>
      <c r="BS1217" s="73"/>
      <c r="BT1217" s="73"/>
      <c r="BU1217" s="73"/>
      <c r="BV1217" s="73"/>
      <c r="BW1217" s="73"/>
      <c r="BX1217" s="73"/>
      <c r="BY1217" s="73"/>
      <c r="BZ1217" s="73"/>
      <c r="CA1217" s="73"/>
      <c r="CB1217" s="73"/>
      <c r="CC1217" s="73"/>
      <c r="CD1217" s="73"/>
      <c r="CE1217" s="73"/>
      <c r="CF1217" s="73"/>
      <c r="CG1217" s="73"/>
      <c r="CH1217" s="73"/>
    </row>
    <row r="1218">
      <c r="A1218" s="80"/>
      <c r="B1218" s="80"/>
      <c r="C1218" s="80"/>
      <c r="D1218" s="80"/>
      <c r="E1218" s="124"/>
      <c r="F1218" s="80"/>
      <c r="G1218" s="80"/>
      <c r="H1218" s="80"/>
      <c r="I1218" s="80"/>
      <c r="J1218" s="196"/>
      <c r="K1218" s="196"/>
      <c r="L1218" s="196"/>
      <c r="M1218" s="196"/>
      <c r="N1218" s="196"/>
      <c r="O1218" s="196"/>
      <c r="P1218" s="196"/>
      <c r="Q1218" s="196"/>
      <c r="R1218" s="196"/>
      <c r="S1218" s="196"/>
      <c r="T1218" s="196"/>
      <c r="U1218" s="196"/>
      <c r="V1218" s="196"/>
      <c r="W1218" s="196"/>
      <c r="X1218" s="196"/>
      <c r="Y1218" s="196"/>
      <c r="Z1218" s="196"/>
      <c r="AA1218" s="196"/>
      <c r="AB1218" s="196"/>
      <c r="AC1218" s="196"/>
      <c r="AD1218" s="196"/>
      <c r="AE1218" s="196"/>
      <c r="AF1218" s="196"/>
      <c r="AG1218" s="196"/>
      <c r="AH1218" s="196"/>
      <c r="AI1218" s="196"/>
      <c r="AJ1218" s="197"/>
      <c r="AK1218" s="80"/>
      <c r="AL1218" s="80"/>
      <c r="AM1218" s="73"/>
      <c r="AN1218" s="73"/>
      <c r="AO1218" s="73"/>
      <c r="AP1218" s="73"/>
      <c r="AQ1218" s="73"/>
      <c r="AR1218" s="73"/>
      <c r="AS1218" s="73"/>
      <c r="AT1218" s="73"/>
      <c r="AU1218" s="73"/>
      <c r="AV1218" s="73"/>
      <c r="AW1218" s="73"/>
      <c r="AX1218" s="73"/>
      <c r="AY1218" s="73"/>
      <c r="AZ1218" s="73"/>
      <c r="BA1218" s="73"/>
      <c r="BB1218" s="73"/>
      <c r="BC1218" s="73"/>
      <c r="BD1218" s="73"/>
      <c r="BE1218" s="73"/>
      <c r="BF1218" s="73"/>
      <c r="BG1218" s="73"/>
      <c r="BH1218" s="73"/>
      <c r="BI1218" s="73"/>
      <c r="BJ1218" s="73"/>
      <c r="BK1218" s="73"/>
      <c r="BL1218" s="73"/>
      <c r="BM1218" s="73"/>
      <c r="BN1218" s="73"/>
      <c r="BO1218" s="73"/>
      <c r="BP1218" s="73"/>
      <c r="BQ1218" s="73"/>
      <c r="BR1218" s="73"/>
      <c r="BS1218" s="73"/>
      <c r="BT1218" s="73"/>
      <c r="BU1218" s="73"/>
      <c r="BV1218" s="73"/>
      <c r="BW1218" s="73"/>
      <c r="BX1218" s="73"/>
      <c r="BY1218" s="73"/>
      <c r="BZ1218" s="73"/>
      <c r="CA1218" s="73"/>
      <c r="CB1218" s="73"/>
      <c r="CC1218" s="73"/>
      <c r="CD1218" s="73"/>
      <c r="CE1218" s="73"/>
      <c r="CF1218" s="73"/>
      <c r="CG1218" s="73"/>
      <c r="CH1218" s="73"/>
    </row>
    <row r="1219">
      <c r="A1219" s="80"/>
      <c r="B1219" s="80"/>
      <c r="C1219" s="80"/>
      <c r="D1219" s="80"/>
      <c r="E1219" s="124"/>
      <c r="F1219" s="80"/>
      <c r="G1219" s="80"/>
      <c r="H1219" s="80"/>
      <c r="I1219" s="80"/>
      <c r="J1219" s="196"/>
      <c r="K1219" s="196"/>
      <c r="L1219" s="196"/>
      <c r="M1219" s="196"/>
      <c r="N1219" s="196"/>
      <c r="O1219" s="196"/>
      <c r="P1219" s="196"/>
      <c r="Q1219" s="196"/>
      <c r="R1219" s="196"/>
      <c r="S1219" s="196"/>
      <c r="T1219" s="196"/>
      <c r="U1219" s="196"/>
      <c r="V1219" s="196"/>
      <c r="W1219" s="196"/>
      <c r="X1219" s="196"/>
      <c r="Y1219" s="196"/>
      <c r="Z1219" s="196"/>
      <c r="AA1219" s="196"/>
      <c r="AB1219" s="196"/>
      <c r="AC1219" s="196"/>
      <c r="AD1219" s="196"/>
      <c r="AE1219" s="196"/>
      <c r="AF1219" s="196"/>
      <c r="AG1219" s="196"/>
      <c r="AH1219" s="196"/>
      <c r="AI1219" s="196"/>
      <c r="AJ1219" s="197"/>
      <c r="AK1219" s="80"/>
      <c r="AL1219" s="80"/>
      <c r="AM1219" s="73"/>
      <c r="AN1219" s="73"/>
      <c r="AO1219" s="73"/>
      <c r="AP1219" s="73"/>
      <c r="AQ1219" s="73"/>
      <c r="AR1219" s="73"/>
      <c r="AS1219" s="73"/>
      <c r="AT1219" s="73"/>
      <c r="AU1219" s="73"/>
      <c r="AV1219" s="73"/>
      <c r="AW1219" s="73"/>
      <c r="AX1219" s="73"/>
      <c r="AY1219" s="73"/>
      <c r="AZ1219" s="73"/>
      <c r="BA1219" s="73"/>
      <c r="BB1219" s="73"/>
      <c r="BC1219" s="73"/>
      <c r="BD1219" s="73"/>
      <c r="BE1219" s="73"/>
      <c r="BF1219" s="73"/>
      <c r="BG1219" s="73"/>
      <c r="BH1219" s="73"/>
      <c r="BI1219" s="73"/>
      <c r="BJ1219" s="73"/>
      <c r="BK1219" s="73"/>
      <c r="BL1219" s="73"/>
      <c r="BM1219" s="73"/>
      <c r="BN1219" s="73"/>
      <c r="BO1219" s="73"/>
      <c r="BP1219" s="73"/>
      <c r="BQ1219" s="73"/>
      <c r="BR1219" s="73"/>
      <c r="BS1219" s="73"/>
      <c r="BT1219" s="73"/>
      <c r="BU1219" s="73"/>
      <c r="BV1219" s="73"/>
      <c r="BW1219" s="73"/>
      <c r="BX1219" s="73"/>
      <c r="BY1219" s="73"/>
      <c r="BZ1219" s="73"/>
      <c r="CA1219" s="73"/>
      <c r="CB1219" s="73"/>
      <c r="CC1219" s="73"/>
      <c r="CD1219" s="73"/>
      <c r="CE1219" s="73"/>
      <c r="CF1219" s="73"/>
      <c r="CG1219" s="73"/>
      <c r="CH1219" s="73"/>
    </row>
    <row r="1220">
      <c r="A1220" s="80"/>
      <c r="B1220" s="80"/>
      <c r="C1220" s="80"/>
      <c r="D1220" s="80"/>
      <c r="E1220" s="124"/>
      <c r="F1220" s="80"/>
      <c r="G1220" s="80"/>
      <c r="H1220" s="80"/>
      <c r="I1220" s="80"/>
      <c r="J1220" s="196"/>
      <c r="K1220" s="196"/>
      <c r="L1220" s="196"/>
      <c r="M1220" s="196"/>
      <c r="N1220" s="196"/>
      <c r="O1220" s="196"/>
      <c r="P1220" s="196"/>
      <c r="Q1220" s="196"/>
      <c r="R1220" s="196"/>
      <c r="S1220" s="196"/>
      <c r="T1220" s="196"/>
      <c r="U1220" s="196"/>
      <c r="V1220" s="196"/>
      <c r="W1220" s="196"/>
      <c r="X1220" s="196"/>
      <c r="Y1220" s="196"/>
      <c r="Z1220" s="196"/>
      <c r="AA1220" s="196"/>
      <c r="AB1220" s="196"/>
      <c r="AC1220" s="196"/>
      <c r="AD1220" s="196"/>
      <c r="AE1220" s="196"/>
      <c r="AF1220" s="196"/>
      <c r="AG1220" s="196"/>
      <c r="AH1220" s="196"/>
      <c r="AI1220" s="196"/>
      <c r="AJ1220" s="197"/>
      <c r="AK1220" s="80"/>
      <c r="AL1220" s="80"/>
      <c r="AM1220" s="73"/>
      <c r="AN1220" s="73"/>
      <c r="AO1220" s="73"/>
      <c r="AP1220" s="73"/>
      <c r="AQ1220" s="73"/>
      <c r="AR1220" s="73"/>
      <c r="AS1220" s="73"/>
      <c r="AT1220" s="73"/>
      <c r="AU1220" s="73"/>
      <c r="AV1220" s="73"/>
      <c r="AW1220" s="73"/>
      <c r="AX1220" s="73"/>
      <c r="AY1220" s="73"/>
      <c r="AZ1220" s="73"/>
      <c r="BA1220" s="73"/>
      <c r="BB1220" s="73"/>
      <c r="BC1220" s="73"/>
      <c r="BD1220" s="73"/>
      <c r="BE1220" s="73"/>
      <c r="BF1220" s="73"/>
      <c r="BG1220" s="73"/>
      <c r="BH1220" s="73"/>
      <c r="BI1220" s="73"/>
      <c r="BJ1220" s="73"/>
      <c r="BK1220" s="73"/>
      <c r="BL1220" s="73"/>
      <c r="BM1220" s="73"/>
      <c r="BN1220" s="73"/>
      <c r="BO1220" s="73"/>
      <c r="BP1220" s="73"/>
      <c r="BQ1220" s="73"/>
      <c r="BR1220" s="73"/>
      <c r="BS1220" s="73"/>
      <c r="BT1220" s="73"/>
      <c r="BU1220" s="73"/>
      <c r="BV1220" s="73"/>
      <c r="BW1220" s="73"/>
      <c r="BX1220" s="73"/>
      <c r="BY1220" s="73"/>
      <c r="BZ1220" s="73"/>
      <c r="CA1220" s="73"/>
      <c r="CB1220" s="73"/>
      <c r="CC1220" s="73"/>
      <c r="CD1220" s="73"/>
      <c r="CE1220" s="73"/>
      <c r="CF1220" s="73"/>
      <c r="CG1220" s="73"/>
      <c r="CH1220" s="73"/>
    </row>
    <row r="1221">
      <c r="A1221" s="80"/>
      <c r="B1221" s="80"/>
      <c r="C1221" s="80"/>
      <c r="D1221" s="80"/>
      <c r="E1221" s="124"/>
      <c r="F1221" s="80"/>
      <c r="G1221" s="80"/>
      <c r="H1221" s="80"/>
      <c r="I1221" s="80"/>
      <c r="J1221" s="196"/>
      <c r="K1221" s="196"/>
      <c r="L1221" s="196"/>
      <c r="M1221" s="196"/>
      <c r="N1221" s="196"/>
      <c r="O1221" s="196"/>
      <c r="P1221" s="196"/>
      <c r="Q1221" s="196"/>
      <c r="R1221" s="196"/>
      <c r="S1221" s="196"/>
      <c r="T1221" s="196"/>
      <c r="U1221" s="196"/>
      <c r="V1221" s="196"/>
      <c r="W1221" s="196"/>
      <c r="X1221" s="196"/>
      <c r="Y1221" s="196"/>
      <c r="Z1221" s="196"/>
      <c r="AA1221" s="196"/>
      <c r="AB1221" s="196"/>
      <c r="AC1221" s="196"/>
      <c r="AD1221" s="196"/>
      <c r="AE1221" s="196"/>
      <c r="AF1221" s="196"/>
      <c r="AG1221" s="196"/>
      <c r="AH1221" s="196"/>
      <c r="AI1221" s="196"/>
      <c r="AJ1221" s="197"/>
      <c r="AK1221" s="80"/>
      <c r="AL1221" s="80"/>
      <c r="AM1221" s="73"/>
      <c r="AN1221" s="73"/>
      <c r="AO1221" s="73"/>
      <c r="AP1221" s="73"/>
      <c r="AQ1221" s="73"/>
      <c r="AR1221" s="73"/>
      <c r="AS1221" s="73"/>
      <c r="AT1221" s="73"/>
      <c r="AU1221" s="73"/>
      <c r="AV1221" s="73"/>
      <c r="AW1221" s="73"/>
      <c r="AX1221" s="73"/>
      <c r="AY1221" s="73"/>
      <c r="AZ1221" s="73"/>
      <c r="BA1221" s="73"/>
      <c r="BB1221" s="73"/>
      <c r="BC1221" s="73"/>
      <c r="BD1221" s="73"/>
      <c r="BE1221" s="73"/>
      <c r="BF1221" s="73"/>
      <c r="BG1221" s="73"/>
      <c r="BH1221" s="73"/>
      <c r="BI1221" s="73"/>
      <c r="BJ1221" s="73"/>
      <c r="BK1221" s="73"/>
      <c r="BL1221" s="73"/>
      <c r="BM1221" s="73"/>
      <c r="BN1221" s="73"/>
      <c r="BO1221" s="73"/>
      <c r="BP1221" s="73"/>
      <c r="BQ1221" s="73"/>
      <c r="BR1221" s="73"/>
      <c r="BS1221" s="73"/>
      <c r="BT1221" s="73"/>
      <c r="BU1221" s="73"/>
      <c r="BV1221" s="73"/>
      <c r="BW1221" s="73"/>
      <c r="BX1221" s="73"/>
      <c r="BY1221" s="73"/>
      <c r="BZ1221" s="73"/>
      <c r="CA1221" s="73"/>
      <c r="CB1221" s="73"/>
      <c r="CC1221" s="73"/>
      <c r="CD1221" s="73"/>
      <c r="CE1221" s="73"/>
      <c r="CF1221" s="73"/>
      <c r="CG1221" s="73"/>
      <c r="CH1221" s="73"/>
    </row>
    <row r="1222">
      <c r="A1222" s="80"/>
      <c r="B1222" s="80"/>
      <c r="C1222" s="80"/>
      <c r="D1222" s="80"/>
      <c r="E1222" s="124"/>
      <c r="F1222" s="80"/>
      <c r="G1222" s="80"/>
      <c r="H1222" s="80"/>
      <c r="I1222" s="80"/>
      <c r="J1222" s="196"/>
      <c r="K1222" s="196"/>
      <c r="L1222" s="196"/>
      <c r="M1222" s="196"/>
      <c r="N1222" s="196"/>
      <c r="O1222" s="196"/>
      <c r="P1222" s="196"/>
      <c r="Q1222" s="196"/>
      <c r="R1222" s="196"/>
      <c r="S1222" s="196"/>
      <c r="T1222" s="196"/>
      <c r="U1222" s="196"/>
      <c r="V1222" s="196"/>
      <c r="W1222" s="196"/>
      <c r="X1222" s="196"/>
      <c r="Y1222" s="196"/>
      <c r="Z1222" s="196"/>
      <c r="AA1222" s="196"/>
      <c r="AB1222" s="196"/>
      <c r="AC1222" s="196"/>
      <c r="AD1222" s="196"/>
      <c r="AE1222" s="196"/>
      <c r="AF1222" s="196"/>
      <c r="AG1222" s="196"/>
      <c r="AH1222" s="196"/>
      <c r="AI1222" s="196"/>
      <c r="AJ1222" s="197"/>
      <c r="AK1222" s="80"/>
      <c r="AL1222" s="80"/>
      <c r="AM1222" s="73"/>
      <c r="AN1222" s="73"/>
      <c r="AO1222" s="73"/>
      <c r="AP1222" s="73"/>
      <c r="AQ1222" s="73"/>
      <c r="AR1222" s="73"/>
      <c r="AS1222" s="73"/>
      <c r="AT1222" s="73"/>
      <c r="AU1222" s="73"/>
      <c r="AV1222" s="73"/>
      <c r="AW1222" s="73"/>
      <c r="AX1222" s="73"/>
      <c r="AY1222" s="73"/>
      <c r="AZ1222" s="73"/>
      <c r="BA1222" s="73"/>
      <c r="BB1222" s="73"/>
      <c r="BC1222" s="73"/>
      <c r="BD1222" s="73"/>
      <c r="BE1222" s="73"/>
      <c r="BF1222" s="73"/>
      <c r="BG1222" s="73"/>
      <c r="BH1222" s="73"/>
      <c r="BI1222" s="73"/>
      <c r="BJ1222" s="73"/>
      <c r="BK1222" s="73"/>
      <c r="BL1222" s="73"/>
      <c r="BM1222" s="73"/>
      <c r="BN1222" s="73"/>
      <c r="BO1222" s="73"/>
      <c r="BP1222" s="73"/>
      <c r="BQ1222" s="73"/>
      <c r="BR1222" s="73"/>
      <c r="BS1222" s="73"/>
      <c r="BT1222" s="73"/>
      <c r="BU1222" s="73"/>
      <c r="BV1222" s="73"/>
      <c r="BW1222" s="73"/>
      <c r="BX1222" s="73"/>
      <c r="BY1222" s="73"/>
      <c r="BZ1222" s="73"/>
      <c r="CA1222" s="73"/>
      <c r="CB1222" s="73"/>
      <c r="CC1222" s="73"/>
      <c r="CD1222" s="73"/>
      <c r="CE1222" s="73"/>
      <c r="CF1222" s="73"/>
      <c r="CG1222" s="73"/>
      <c r="CH1222" s="73"/>
    </row>
    <row r="1223">
      <c r="A1223" s="80"/>
      <c r="B1223" s="80"/>
      <c r="C1223" s="80"/>
      <c r="D1223" s="80"/>
      <c r="E1223" s="124"/>
      <c r="F1223" s="80"/>
      <c r="G1223" s="80"/>
      <c r="H1223" s="80"/>
      <c r="I1223" s="80"/>
      <c r="J1223" s="196"/>
      <c r="K1223" s="196"/>
      <c r="L1223" s="196"/>
      <c r="M1223" s="196"/>
      <c r="N1223" s="196"/>
      <c r="O1223" s="196"/>
      <c r="P1223" s="196"/>
      <c r="Q1223" s="196"/>
      <c r="R1223" s="196"/>
      <c r="S1223" s="196"/>
      <c r="T1223" s="196"/>
      <c r="U1223" s="196"/>
      <c r="V1223" s="196"/>
      <c r="W1223" s="196"/>
      <c r="X1223" s="196"/>
      <c r="Y1223" s="196"/>
      <c r="Z1223" s="196"/>
      <c r="AA1223" s="196"/>
      <c r="AB1223" s="196"/>
      <c r="AC1223" s="196"/>
      <c r="AD1223" s="196"/>
      <c r="AE1223" s="196"/>
      <c r="AF1223" s="196"/>
      <c r="AG1223" s="196"/>
      <c r="AH1223" s="196"/>
      <c r="AI1223" s="196"/>
      <c r="AJ1223" s="197"/>
      <c r="AK1223" s="80"/>
      <c r="AL1223" s="80"/>
      <c r="AM1223" s="73"/>
      <c r="AN1223" s="73"/>
      <c r="AO1223" s="73"/>
      <c r="AP1223" s="73"/>
      <c r="AQ1223" s="73"/>
      <c r="AR1223" s="73"/>
      <c r="AS1223" s="73"/>
      <c r="AT1223" s="73"/>
      <c r="AU1223" s="73"/>
      <c r="AV1223" s="73"/>
      <c r="AW1223" s="73"/>
      <c r="AX1223" s="73"/>
      <c r="AY1223" s="73"/>
      <c r="AZ1223" s="73"/>
      <c r="BA1223" s="73"/>
      <c r="BB1223" s="73"/>
      <c r="BC1223" s="73"/>
      <c r="BD1223" s="73"/>
      <c r="BE1223" s="73"/>
      <c r="BF1223" s="73"/>
      <c r="BG1223" s="73"/>
      <c r="BH1223" s="73"/>
      <c r="BI1223" s="73"/>
      <c r="BJ1223" s="73"/>
      <c r="BK1223" s="73"/>
      <c r="BL1223" s="73"/>
      <c r="BM1223" s="73"/>
      <c r="BN1223" s="73"/>
      <c r="BO1223" s="73"/>
      <c r="BP1223" s="73"/>
      <c r="BQ1223" s="73"/>
      <c r="BR1223" s="73"/>
      <c r="BS1223" s="73"/>
      <c r="BT1223" s="73"/>
      <c r="BU1223" s="73"/>
      <c r="BV1223" s="73"/>
      <c r="BW1223" s="73"/>
      <c r="BX1223" s="73"/>
      <c r="BY1223" s="73"/>
      <c r="BZ1223" s="73"/>
      <c r="CA1223" s="73"/>
      <c r="CB1223" s="73"/>
      <c r="CC1223" s="73"/>
      <c r="CD1223" s="73"/>
      <c r="CE1223" s="73"/>
      <c r="CF1223" s="73"/>
      <c r="CG1223" s="73"/>
      <c r="CH1223" s="73"/>
    </row>
    <row r="1224">
      <c r="A1224" s="80"/>
      <c r="B1224" s="80"/>
      <c r="C1224" s="80"/>
      <c r="D1224" s="80"/>
      <c r="E1224" s="124"/>
      <c r="F1224" s="80"/>
      <c r="G1224" s="80"/>
      <c r="H1224" s="80"/>
      <c r="I1224" s="80"/>
      <c r="J1224" s="196"/>
      <c r="K1224" s="196"/>
      <c r="L1224" s="196"/>
      <c r="M1224" s="196"/>
      <c r="N1224" s="196"/>
      <c r="O1224" s="196"/>
      <c r="P1224" s="196"/>
      <c r="Q1224" s="196"/>
      <c r="R1224" s="196"/>
      <c r="S1224" s="196"/>
      <c r="T1224" s="196"/>
      <c r="U1224" s="196"/>
      <c r="V1224" s="196"/>
      <c r="W1224" s="196"/>
      <c r="X1224" s="196"/>
      <c r="Y1224" s="196"/>
      <c r="Z1224" s="196"/>
      <c r="AA1224" s="196"/>
      <c r="AB1224" s="196"/>
      <c r="AC1224" s="196"/>
      <c r="AD1224" s="196"/>
      <c r="AE1224" s="196"/>
      <c r="AF1224" s="196"/>
      <c r="AG1224" s="196"/>
      <c r="AH1224" s="196"/>
      <c r="AI1224" s="196"/>
      <c r="AJ1224" s="197"/>
      <c r="AK1224" s="80"/>
      <c r="AL1224" s="80"/>
      <c r="AM1224" s="73"/>
      <c r="AN1224" s="73"/>
      <c r="AO1224" s="73"/>
      <c r="AP1224" s="73"/>
      <c r="AQ1224" s="73"/>
      <c r="AR1224" s="73"/>
      <c r="AS1224" s="73"/>
      <c r="AT1224" s="73"/>
      <c r="AU1224" s="73"/>
      <c r="AV1224" s="73"/>
      <c r="AW1224" s="73"/>
      <c r="AX1224" s="73"/>
      <c r="AY1224" s="73"/>
      <c r="AZ1224" s="73"/>
      <c r="BA1224" s="73"/>
      <c r="BB1224" s="73"/>
      <c r="BC1224" s="73"/>
      <c r="BD1224" s="73"/>
      <c r="BE1224" s="73"/>
      <c r="BF1224" s="73"/>
      <c r="BG1224" s="73"/>
      <c r="BH1224" s="73"/>
      <c r="BI1224" s="73"/>
      <c r="BJ1224" s="73"/>
      <c r="BK1224" s="73"/>
      <c r="BL1224" s="73"/>
      <c r="BM1224" s="73"/>
      <c r="BN1224" s="73"/>
      <c r="BO1224" s="73"/>
      <c r="BP1224" s="73"/>
      <c r="BQ1224" s="73"/>
      <c r="BR1224" s="73"/>
      <c r="BS1224" s="73"/>
      <c r="BT1224" s="73"/>
      <c r="BU1224" s="73"/>
      <c r="BV1224" s="73"/>
      <c r="BW1224" s="73"/>
      <c r="BX1224" s="73"/>
      <c r="BY1224" s="73"/>
      <c r="BZ1224" s="73"/>
      <c r="CA1224" s="73"/>
      <c r="CB1224" s="73"/>
      <c r="CC1224" s="73"/>
      <c r="CD1224" s="73"/>
      <c r="CE1224" s="73"/>
      <c r="CF1224" s="73"/>
      <c r="CG1224" s="73"/>
      <c r="CH1224" s="73"/>
    </row>
    <row r="1225">
      <c r="A1225" s="80"/>
      <c r="B1225" s="80"/>
      <c r="C1225" s="80"/>
      <c r="D1225" s="80"/>
      <c r="E1225" s="124"/>
      <c r="F1225" s="80"/>
      <c r="G1225" s="80"/>
      <c r="H1225" s="80"/>
      <c r="I1225" s="80"/>
      <c r="J1225" s="196"/>
      <c r="K1225" s="196"/>
      <c r="L1225" s="196"/>
      <c r="M1225" s="196"/>
      <c r="N1225" s="196"/>
      <c r="O1225" s="196"/>
      <c r="P1225" s="196"/>
      <c r="Q1225" s="196"/>
      <c r="R1225" s="196"/>
      <c r="S1225" s="196"/>
      <c r="T1225" s="196"/>
      <c r="U1225" s="196"/>
      <c r="V1225" s="196"/>
      <c r="W1225" s="196"/>
      <c r="X1225" s="196"/>
      <c r="Y1225" s="196"/>
      <c r="Z1225" s="196"/>
      <c r="AA1225" s="196"/>
      <c r="AB1225" s="196"/>
      <c r="AC1225" s="196"/>
      <c r="AD1225" s="196"/>
      <c r="AE1225" s="196"/>
      <c r="AF1225" s="196"/>
      <c r="AG1225" s="196"/>
      <c r="AH1225" s="196"/>
      <c r="AI1225" s="196"/>
      <c r="AJ1225" s="197"/>
      <c r="AK1225" s="80"/>
      <c r="AL1225" s="80"/>
      <c r="AM1225" s="73"/>
      <c r="AN1225" s="73"/>
      <c r="AO1225" s="73"/>
      <c r="AP1225" s="73"/>
      <c r="AQ1225" s="73"/>
      <c r="AR1225" s="73"/>
      <c r="AS1225" s="73"/>
      <c r="AT1225" s="73"/>
      <c r="AU1225" s="73"/>
      <c r="AV1225" s="73"/>
      <c r="AW1225" s="73"/>
      <c r="AX1225" s="73"/>
      <c r="AY1225" s="73"/>
      <c r="AZ1225" s="73"/>
      <c r="BA1225" s="73"/>
      <c r="BB1225" s="73"/>
      <c r="BC1225" s="73"/>
      <c r="BD1225" s="73"/>
      <c r="BE1225" s="73"/>
      <c r="BF1225" s="73"/>
      <c r="BG1225" s="73"/>
      <c r="BH1225" s="73"/>
      <c r="BI1225" s="73"/>
      <c r="BJ1225" s="73"/>
      <c r="BK1225" s="73"/>
      <c r="BL1225" s="73"/>
      <c r="BM1225" s="73"/>
      <c r="BN1225" s="73"/>
      <c r="BO1225" s="73"/>
      <c r="BP1225" s="73"/>
      <c r="BQ1225" s="73"/>
      <c r="BR1225" s="73"/>
      <c r="BS1225" s="73"/>
      <c r="BT1225" s="73"/>
      <c r="BU1225" s="73"/>
      <c r="BV1225" s="73"/>
      <c r="BW1225" s="73"/>
      <c r="BX1225" s="73"/>
      <c r="BY1225" s="73"/>
      <c r="BZ1225" s="73"/>
      <c r="CA1225" s="73"/>
      <c r="CB1225" s="73"/>
      <c r="CC1225" s="73"/>
      <c r="CD1225" s="73"/>
      <c r="CE1225" s="73"/>
      <c r="CF1225" s="73"/>
      <c r="CG1225" s="73"/>
      <c r="CH1225" s="73"/>
    </row>
    <row r="1226">
      <c r="A1226" s="80"/>
      <c r="B1226" s="80"/>
      <c r="C1226" s="80"/>
      <c r="D1226" s="80"/>
      <c r="E1226" s="124"/>
      <c r="F1226" s="80"/>
      <c r="G1226" s="80"/>
      <c r="H1226" s="80"/>
      <c r="I1226" s="80"/>
      <c r="J1226" s="196"/>
      <c r="K1226" s="196"/>
      <c r="L1226" s="196"/>
      <c r="M1226" s="196"/>
      <c r="N1226" s="196"/>
      <c r="O1226" s="196"/>
      <c r="P1226" s="196"/>
      <c r="Q1226" s="196"/>
      <c r="R1226" s="196"/>
      <c r="S1226" s="196"/>
      <c r="T1226" s="196"/>
      <c r="U1226" s="196"/>
      <c r="V1226" s="196"/>
      <c r="W1226" s="196"/>
      <c r="X1226" s="196"/>
      <c r="Y1226" s="196"/>
      <c r="Z1226" s="196"/>
      <c r="AA1226" s="196"/>
      <c r="AB1226" s="196"/>
      <c r="AC1226" s="196"/>
      <c r="AD1226" s="196"/>
      <c r="AE1226" s="196"/>
      <c r="AF1226" s="196"/>
      <c r="AG1226" s="196"/>
      <c r="AH1226" s="196"/>
      <c r="AI1226" s="196"/>
      <c r="AJ1226" s="197"/>
      <c r="AK1226" s="80"/>
      <c r="AL1226" s="80"/>
      <c r="AM1226" s="73"/>
      <c r="AN1226" s="73"/>
      <c r="AO1226" s="73"/>
      <c r="AP1226" s="73"/>
      <c r="AQ1226" s="73"/>
      <c r="AR1226" s="73"/>
      <c r="AS1226" s="73"/>
      <c r="AT1226" s="73"/>
      <c r="AU1226" s="73"/>
      <c r="AV1226" s="73"/>
      <c r="AW1226" s="73"/>
      <c r="AX1226" s="73"/>
      <c r="AY1226" s="73"/>
      <c r="AZ1226" s="73"/>
      <c r="BA1226" s="73"/>
      <c r="BB1226" s="73"/>
      <c r="BC1226" s="73"/>
      <c r="BD1226" s="73"/>
      <c r="BE1226" s="73"/>
      <c r="BF1226" s="73"/>
      <c r="BG1226" s="73"/>
      <c r="BH1226" s="73"/>
      <c r="BI1226" s="73"/>
      <c r="BJ1226" s="73"/>
      <c r="BK1226" s="73"/>
      <c r="BL1226" s="73"/>
      <c r="BM1226" s="73"/>
      <c r="BN1226" s="73"/>
      <c r="BO1226" s="73"/>
      <c r="BP1226" s="73"/>
      <c r="BQ1226" s="73"/>
      <c r="BR1226" s="73"/>
      <c r="BS1226" s="73"/>
      <c r="BT1226" s="73"/>
      <c r="BU1226" s="73"/>
      <c r="BV1226" s="73"/>
      <c r="BW1226" s="73"/>
      <c r="BX1226" s="73"/>
      <c r="BY1226" s="73"/>
      <c r="BZ1226" s="73"/>
      <c r="CA1226" s="73"/>
      <c r="CB1226" s="73"/>
      <c r="CC1226" s="73"/>
      <c r="CD1226" s="73"/>
      <c r="CE1226" s="73"/>
      <c r="CF1226" s="73"/>
      <c r="CG1226" s="73"/>
      <c r="CH1226" s="73"/>
    </row>
    <row r="1227">
      <c r="A1227" s="80"/>
      <c r="B1227" s="80"/>
      <c r="C1227" s="80"/>
      <c r="D1227" s="80"/>
      <c r="E1227" s="124"/>
      <c r="F1227" s="80"/>
      <c r="G1227" s="80"/>
      <c r="H1227" s="80"/>
      <c r="I1227" s="80"/>
      <c r="J1227" s="196"/>
      <c r="K1227" s="196"/>
      <c r="L1227" s="196"/>
      <c r="M1227" s="196"/>
      <c r="N1227" s="196"/>
      <c r="O1227" s="196"/>
      <c r="P1227" s="196"/>
      <c r="Q1227" s="196"/>
      <c r="R1227" s="196"/>
      <c r="S1227" s="196"/>
      <c r="T1227" s="196"/>
      <c r="U1227" s="196"/>
      <c r="V1227" s="196"/>
      <c r="W1227" s="196"/>
      <c r="X1227" s="196"/>
      <c r="Y1227" s="196"/>
      <c r="Z1227" s="196"/>
      <c r="AA1227" s="196"/>
      <c r="AB1227" s="196"/>
      <c r="AC1227" s="196"/>
      <c r="AD1227" s="196"/>
      <c r="AE1227" s="196"/>
      <c r="AF1227" s="196"/>
      <c r="AG1227" s="196"/>
      <c r="AH1227" s="196"/>
      <c r="AI1227" s="196"/>
      <c r="AJ1227" s="197"/>
      <c r="AK1227" s="80"/>
      <c r="AL1227" s="80"/>
      <c r="AM1227" s="73"/>
      <c r="AN1227" s="73"/>
      <c r="AO1227" s="73"/>
      <c r="AP1227" s="73"/>
      <c r="AQ1227" s="73"/>
      <c r="AR1227" s="73"/>
      <c r="AS1227" s="73"/>
      <c r="AT1227" s="73"/>
      <c r="AU1227" s="73"/>
      <c r="AV1227" s="73"/>
      <c r="AW1227" s="73"/>
      <c r="AX1227" s="73"/>
      <c r="AY1227" s="73"/>
      <c r="AZ1227" s="73"/>
      <c r="BA1227" s="73"/>
      <c r="BB1227" s="73"/>
      <c r="BC1227" s="73"/>
      <c r="BD1227" s="73"/>
      <c r="BE1227" s="73"/>
      <c r="BF1227" s="73"/>
      <c r="BG1227" s="73"/>
      <c r="BH1227" s="73"/>
      <c r="BI1227" s="73"/>
      <c r="BJ1227" s="73"/>
      <c r="BK1227" s="73"/>
      <c r="BL1227" s="73"/>
      <c r="BM1227" s="73"/>
      <c r="BN1227" s="73"/>
      <c r="BO1227" s="73"/>
      <c r="BP1227" s="73"/>
      <c r="BQ1227" s="73"/>
      <c r="BR1227" s="73"/>
      <c r="BS1227" s="73"/>
      <c r="BT1227" s="73"/>
      <c r="BU1227" s="73"/>
      <c r="BV1227" s="73"/>
      <c r="BW1227" s="73"/>
      <c r="BX1227" s="73"/>
      <c r="BY1227" s="73"/>
      <c r="BZ1227" s="73"/>
      <c r="CA1227" s="73"/>
      <c r="CB1227" s="73"/>
      <c r="CC1227" s="73"/>
      <c r="CD1227" s="73"/>
      <c r="CE1227" s="73"/>
      <c r="CF1227" s="73"/>
      <c r="CG1227" s="73"/>
      <c r="CH1227" s="73"/>
    </row>
    <row r="1228">
      <c r="A1228" s="80"/>
      <c r="B1228" s="80"/>
      <c r="C1228" s="80"/>
      <c r="D1228" s="80"/>
      <c r="E1228" s="124"/>
      <c r="F1228" s="80"/>
      <c r="G1228" s="80"/>
      <c r="H1228" s="80"/>
      <c r="I1228" s="80"/>
      <c r="J1228" s="196"/>
      <c r="K1228" s="196"/>
      <c r="L1228" s="196"/>
      <c r="M1228" s="196"/>
      <c r="N1228" s="196"/>
      <c r="O1228" s="196"/>
      <c r="P1228" s="196"/>
      <c r="Q1228" s="196"/>
      <c r="R1228" s="196"/>
      <c r="S1228" s="196"/>
      <c r="T1228" s="196"/>
      <c r="U1228" s="196"/>
      <c r="V1228" s="196"/>
      <c r="W1228" s="196"/>
      <c r="X1228" s="196"/>
      <c r="Y1228" s="196"/>
      <c r="Z1228" s="196"/>
      <c r="AA1228" s="196"/>
      <c r="AB1228" s="196"/>
      <c r="AC1228" s="196"/>
      <c r="AD1228" s="196"/>
      <c r="AE1228" s="196"/>
      <c r="AF1228" s="196"/>
      <c r="AG1228" s="196"/>
      <c r="AH1228" s="196"/>
      <c r="AI1228" s="196"/>
      <c r="AJ1228" s="197"/>
      <c r="AK1228" s="80"/>
      <c r="AL1228" s="80"/>
      <c r="AM1228" s="73"/>
      <c r="AN1228" s="73"/>
      <c r="AO1228" s="73"/>
      <c r="AP1228" s="73"/>
      <c r="AQ1228" s="73"/>
      <c r="AR1228" s="73"/>
      <c r="AS1228" s="73"/>
      <c r="AT1228" s="73"/>
      <c r="AU1228" s="73"/>
      <c r="AV1228" s="73"/>
      <c r="AW1228" s="73"/>
      <c r="AX1228" s="73"/>
      <c r="AY1228" s="73"/>
      <c r="AZ1228" s="73"/>
      <c r="BA1228" s="73"/>
      <c r="BB1228" s="73"/>
      <c r="BC1228" s="73"/>
      <c r="BD1228" s="73"/>
      <c r="BE1228" s="73"/>
      <c r="BF1228" s="73"/>
      <c r="BG1228" s="73"/>
      <c r="BH1228" s="73"/>
      <c r="BI1228" s="73"/>
      <c r="BJ1228" s="73"/>
      <c r="BK1228" s="73"/>
      <c r="BL1228" s="73"/>
      <c r="BM1228" s="73"/>
      <c r="BN1228" s="73"/>
      <c r="BO1228" s="73"/>
      <c r="BP1228" s="73"/>
      <c r="BQ1228" s="73"/>
      <c r="BR1228" s="73"/>
      <c r="BS1228" s="73"/>
      <c r="BT1228" s="73"/>
      <c r="BU1228" s="73"/>
      <c r="BV1228" s="73"/>
      <c r="BW1228" s="73"/>
      <c r="BX1228" s="73"/>
      <c r="BY1228" s="73"/>
      <c r="BZ1228" s="73"/>
      <c r="CA1228" s="73"/>
      <c r="CB1228" s="73"/>
      <c r="CC1228" s="73"/>
      <c r="CD1228" s="73"/>
      <c r="CE1228" s="73"/>
      <c r="CF1228" s="73"/>
      <c r="CG1228" s="73"/>
      <c r="CH1228" s="73"/>
    </row>
    <row r="1229">
      <c r="A1229" s="80"/>
      <c r="B1229" s="80"/>
      <c r="C1229" s="80"/>
      <c r="D1229" s="80"/>
      <c r="E1229" s="124"/>
      <c r="F1229" s="80"/>
      <c r="G1229" s="80"/>
      <c r="H1229" s="80"/>
      <c r="I1229" s="80"/>
      <c r="J1229" s="196"/>
      <c r="K1229" s="196"/>
      <c r="L1229" s="196"/>
      <c r="M1229" s="196"/>
      <c r="N1229" s="196"/>
      <c r="O1229" s="196"/>
      <c r="P1229" s="196"/>
      <c r="Q1229" s="196"/>
      <c r="R1229" s="196"/>
      <c r="S1229" s="196"/>
      <c r="T1229" s="196"/>
      <c r="U1229" s="196"/>
      <c r="V1229" s="196"/>
      <c r="W1229" s="196"/>
      <c r="X1229" s="196"/>
      <c r="Y1229" s="196"/>
      <c r="Z1229" s="196"/>
      <c r="AA1229" s="196"/>
      <c r="AB1229" s="196"/>
      <c r="AC1229" s="196"/>
      <c r="AD1229" s="196"/>
      <c r="AE1229" s="196"/>
      <c r="AF1229" s="196"/>
      <c r="AG1229" s="196"/>
      <c r="AH1229" s="196"/>
      <c r="AI1229" s="196"/>
      <c r="AJ1229" s="197"/>
      <c r="AK1229" s="80"/>
      <c r="AL1229" s="80"/>
      <c r="AM1229" s="73"/>
      <c r="AN1229" s="73"/>
      <c r="AO1229" s="73"/>
      <c r="AP1229" s="73"/>
      <c r="AQ1229" s="73"/>
      <c r="AR1229" s="73"/>
      <c r="AS1229" s="73"/>
      <c r="AT1229" s="73"/>
      <c r="AU1229" s="73"/>
      <c r="AV1229" s="73"/>
      <c r="AW1229" s="73"/>
      <c r="AX1229" s="73"/>
      <c r="AY1229" s="73"/>
      <c r="AZ1229" s="73"/>
      <c r="BA1229" s="73"/>
      <c r="BB1229" s="73"/>
      <c r="BC1229" s="73"/>
      <c r="BD1229" s="73"/>
      <c r="BE1229" s="73"/>
      <c r="BF1229" s="73"/>
      <c r="BG1229" s="73"/>
      <c r="BH1229" s="73"/>
      <c r="BI1229" s="73"/>
      <c r="BJ1229" s="73"/>
      <c r="BK1229" s="73"/>
      <c r="BL1229" s="73"/>
      <c r="BM1229" s="73"/>
      <c r="BN1229" s="73"/>
      <c r="BO1229" s="73"/>
      <c r="BP1229" s="73"/>
      <c r="BQ1229" s="73"/>
      <c r="BR1229" s="73"/>
      <c r="BS1229" s="73"/>
      <c r="BT1229" s="73"/>
      <c r="BU1229" s="73"/>
      <c r="BV1229" s="73"/>
      <c r="BW1229" s="73"/>
      <c r="BX1229" s="73"/>
      <c r="BY1229" s="73"/>
      <c r="BZ1229" s="73"/>
      <c r="CA1229" s="73"/>
      <c r="CB1229" s="73"/>
      <c r="CC1229" s="73"/>
      <c r="CD1229" s="73"/>
      <c r="CE1229" s="73"/>
      <c r="CF1229" s="73"/>
      <c r="CG1229" s="73"/>
      <c r="CH1229" s="73"/>
    </row>
    <row r="1230">
      <c r="A1230" s="80"/>
      <c r="B1230" s="80"/>
      <c r="C1230" s="80"/>
      <c r="D1230" s="80"/>
      <c r="E1230" s="124"/>
      <c r="F1230" s="80"/>
      <c r="G1230" s="80"/>
      <c r="H1230" s="80"/>
      <c r="I1230" s="80"/>
      <c r="J1230" s="196"/>
      <c r="K1230" s="196"/>
      <c r="L1230" s="196"/>
      <c r="M1230" s="196"/>
      <c r="N1230" s="196"/>
      <c r="O1230" s="196"/>
      <c r="P1230" s="196"/>
      <c r="Q1230" s="196"/>
      <c r="R1230" s="196"/>
      <c r="S1230" s="196"/>
      <c r="T1230" s="196"/>
      <c r="U1230" s="196"/>
      <c r="V1230" s="196"/>
      <c r="W1230" s="196"/>
      <c r="X1230" s="196"/>
      <c r="Y1230" s="196"/>
      <c r="Z1230" s="196"/>
      <c r="AA1230" s="196"/>
      <c r="AB1230" s="196"/>
      <c r="AC1230" s="196"/>
      <c r="AD1230" s="196"/>
      <c r="AE1230" s="196"/>
      <c r="AF1230" s="196"/>
      <c r="AG1230" s="196"/>
      <c r="AH1230" s="196"/>
      <c r="AI1230" s="196"/>
      <c r="AJ1230" s="197"/>
      <c r="AK1230" s="80"/>
      <c r="AL1230" s="80"/>
      <c r="AM1230" s="73"/>
      <c r="AN1230" s="73"/>
      <c r="AO1230" s="73"/>
      <c r="AP1230" s="73"/>
      <c r="AQ1230" s="73"/>
      <c r="AR1230" s="73"/>
      <c r="AS1230" s="73"/>
      <c r="AT1230" s="73"/>
      <c r="AU1230" s="73"/>
      <c r="AV1230" s="73"/>
      <c r="AW1230" s="73"/>
      <c r="AX1230" s="73"/>
      <c r="AY1230" s="73"/>
      <c r="AZ1230" s="73"/>
      <c r="BA1230" s="73"/>
      <c r="BB1230" s="73"/>
      <c r="BC1230" s="73"/>
      <c r="BD1230" s="73"/>
      <c r="BE1230" s="73"/>
      <c r="BF1230" s="73"/>
      <c r="BG1230" s="73"/>
      <c r="BH1230" s="73"/>
      <c r="BI1230" s="73"/>
      <c r="BJ1230" s="73"/>
      <c r="BK1230" s="73"/>
      <c r="BL1230" s="73"/>
      <c r="BM1230" s="73"/>
      <c r="BN1230" s="73"/>
      <c r="BO1230" s="73"/>
      <c r="BP1230" s="73"/>
      <c r="BQ1230" s="73"/>
      <c r="BR1230" s="73"/>
      <c r="BS1230" s="73"/>
      <c r="BT1230" s="73"/>
      <c r="BU1230" s="73"/>
      <c r="BV1230" s="73"/>
      <c r="BW1230" s="73"/>
      <c r="BX1230" s="73"/>
      <c r="BY1230" s="73"/>
      <c r="BZ1230" s="73"/>
      <c r="CA1230" s="73"/>
      <c r="CB1230" s="73"/>
      <c r="CC1230" s="73"/>
      <c r="CD1230" s="73"/>
      <c r="CE1230" s="73"/>
      <c r="CF1230" s="73"/>
      <c r="CG1230" s="73"/>
      <c r="CH1230" s="73"/>
    </row>
    <row r="1231">
      <c r="A1231" s="80"/>
      <c r="B1231" s="80"/>
      <c r="C1231" s="80"/>
      <c r="D1231" s="80"/>
      <c r="E1231" s="124"/>
      <c r="F1231" s="80"/>
      <c r="G1231" s="80"/>
      <c r="H1231" s="80"/>
      <c r="I1231" s="80"/>
      <c r="J1231" s="196"/>
      <c r="K1231" s="196"/>
      <c r="L1231" s="196"/>
      <c r="M1231" s="196"/>
      <c r="N1231" s="196"/>
      <c r="O1231" s="196"/>
      <c r="P1231" s="196"/>
      <c r="Q1231" s="196"/>
      <c r="R1231" s="196"/>
      <c r="S1231" s="196"/>
      <c r="T1231" s="196"/>
      <c r="U1231" s="196"/>
      <c r="V1231" s="196"/>
      <c r="W1231" s="196"/>
      <c r="X1231" s="196"/>
      <c r="Y1231" s="196"/>
      <c r="Z1231" s="196"/>
      <c r="AA1231" s="196"/>
      <c r="AB1231" s="196"/>
      <c r="AC1231" s="196"/>
      <c r="AD1231" s="196"/>
      <c r="AE1231" s="196"/>
      <c r="AF1231" s="196"/>
      <c r="AG1231" s="196"/>
      <c r="AH1231" s="196"/>
      <c r="AI1231" s="196"/>
      <c r="AJ1231" s="197"/>
      <c r="AK1231" s="80"/>
      <c r="AL1231" s="80"/>
      <c r="AM1231" s="73"/>
      <c r="AN1231" s="73"/>
      <c r="AO1231" s="73"/>
      <c r="AP1231" s="73"/>
      <c r="AQ1231" s="73"/>
      <c r="AR1231" s="73"/>
      <c r="AS1231" s="73"/>
      <c r="AT1231" s="73"/>
      <c r="AU1231" s="73"/>
      <c r="AV1231" s="73"/>
      <c r="AW1231" s="73"/>
      <c r="AX1231" s="73"/>
      <c r="AY1231" s="73"/>
      <c r="AZ1231" s="73"/>
      <c r="BA1231" s="73"/>
      <c r="BB1231" s="73"/>
      <c r="BC1231" s="73"/>
      <c r="BD1231" s="73"/>
      <c r="BE1231" s="73"/>
      <c r="BF1231" s="73"/>
      <c r="BG1231" s="73"/>
      <c r="BH1231" s="73"/>
      <c r="BI1231" s="73"/>
      <c r="BJ1231" s="73"/>
      <c r="BK1231" s="73"/>
      <c r="BL1231" s="73"/>
      <c r="BM1231" s="73"/>
      <c r="BN1231" s="73"/>
      <c r="BO1231" s="73"/>
      <c r="BP1231" s="73"/>
      <c r="BQ1231" s="73"/>
      <c r="BR1231" s="73"/>
      <c r="BS1231" s="73"/>
      <c r="BT1231" s="73"/>
      <c r="BU1231" s="73"/>
      <c r="BV1231" s="73"/>
      <c r="BW1231" s="73"/>
      <c r="BX1231" s="73"/>
      <c r="BY1231" s="73"/>
      <c r="BZ1231" s="73"/>
      <c r="CA1231" s="73"/>
      <c r="CB1231" s="73"/>
      <c r="CC1231" s="73"/>
      <c r="CD1231" s="73"/>
      <c r="CE1231" s="73"/>
      <c r="CF1231" s="73"/>
      <c r="CG1231" s="73"/>
      <c r="CH1231" s="73"/>
    </row>
    <row r="1232">
      <c r="A1232" s="80"/>
      <c r="B1232" s="80"/>
      <c r="C1232" s="80"/>
      <c r="D1232" s="80"/>
      <c r="E1232" s="124"/>
      <c r="F1232" s="80"/>
      <c r="G1232" s="80"/>
      <c r="H1232" s="80"/>
      <c r="I1232" s="80"/>
      <c r="J1232" s="196"/>
      <c r="K1232" s="196"/>
      <c r="L1232" s="196"/>
      <c r="M1232" s="196"/>
      <c r="N1232" s="196"/>
      <c r="O1232" s="196"/>
      <c r="P1232" s="196"/>
      <c r="Q1232" s="196"/>
      <c r="R1232" s="196"/>
      <c r="S1232" s="196"/>
      <c r="T1232" s="196"/>
      <c r="U1232" s="196"/>
      <c r="V1232" s="196"/>
      <c r="W1232" s="196"/>
      <c r="X1232" s="196"/>
      <c r="Y1232" s="196"/>
      <c r="Z1232" s="196"/>
      <c r="AA1232" s="196"/>
      <c r="AB1232" s="196"/>
      <c r="AC1232" s="196"/>
      <c r="AD1232" s="196"/>
      <c r="AE1232" s="196"/>
      <c r="AF1232" s="196"/>
      <c r="AG1232" s="196"/>
      <c r="AH1232" s="196"/>
      <c r="AI1232" s="196"/>
      <c r="AJ1232" s="197"/>
      <c r="AK1232" s="80"/>
      <c r="AL1232" s="80"/>
      <c r="AM1232" s="73"/>
      <c r="AN1232" s="73"/>
      <c r="AO1232" s="73"/>
      <c r="AP1232" s="73"/>
      <c r="AQ1232" s="73"/>
      <c r="AR1232" s="73"/>
      <c r="AS1232" s="73"/>
      <c r="AT1232" s="73"/>
      <c r="AU1232" s="73"/>
      <c r="AV1232" s="73"/>
      <c r="AW1232" s="73"/>
      <c r="AX1232" s="73"/>
      <c r="AY1232" s="73"/>
      <c r="AZ1232" s="73"/>
      <c r="BA1232" s="73"/>
      <c r="BB1232" s="73"/>
      <c r="BC1232" s="73"/>
      <c r="BD1232" s="73"/>
      <c r="BE1232" s="73"/>
      <c r="BF1232" s="73"/>
      <c r="BG1232" s="73"/>
      <c r="BH1232" s="73"/>
      <c r="BI1232" s="73"/>
      <c r="BJ1232" s="73"/>
      <c r="BK1232" s="73"/>
      <c r="BL1232" s="73"/>
      <c r="BM1232" s="73"/>
      <c r="BN1232" s="73"/>
      <c r="BO1232" s="73"/>
      <c r="BP1232" s="73"/>
      <c r="BQ1232" s="73"/>
      <c r="BR1232" s="73"/>
      <c r="BS1232" s="73"/>
      <c r="BT1232" s="73"/>
      <c r="BU1232" s="73"/>
      <c r="BV1232" s="73"/>
      <c r="BW1232" s="73"/>
      <c r="BX1232" s="73"/>
      <c r="BY1232" s="73"/>
      <c r="BZ1232" s="73"/>
      <c r="CA1232" s="73"/>
      <c r="CB1232" s="73"/>
      <c r="CC1232" s="73"/>
      <c r="CD1232" s="73"/>
      <c r="CE1232" s="73"/>
      <c r="CF1232" s="73"/>
      <c r="CG1232" s="73"/>
      <c r="CH1232" s="73"/>
    </row>
    <row r="1233">
      <c r="A1233" s="80"/>
      <c r="B1233" s="80"/>
      <c r="C1233" s="80"/>
      <c r="D1233" s="80"/>
      <c r="E1233" s="124"/>
      <c r="F1233" s="80"/>
      <c r="G1233" s="80"/>
      <c r="H1233" s="80"/>
      <c r="I1233" s="80"/>
      <c r="J1233" s="196"/>
      <c r="K1233" s="196"/>
      <c r="L1233" s="196"/>
      <c r="M1233" s="196"/>
      <c r="N1233" s="196"/>
      <c r="O1233" s="196"/>
      <c r="P1233" s="196"/>
      <c r="Q1233" s="196"/>
      <c r="R1233" s="196"/>
      <c r="S1233" s="196"/>
      <c r="T1233" s="196"/>
      <c r="U1233" s="196"/>
      <c r="V1233" s="196"/>
      <c r="W1233" s="196"/>
      <c r="X1233" s="196"/>
      <c r="Y1233" s="196"/>
      <c r="Z1233" s="196"/>
      <c r="AA1233" s="196"/>
      <c r="AB1233" s="196"/>
      <c r="AC1233" s="196"/>
      <c r="AD1233" s="196"/>
      <c r="AE1233" s="196"/>
      <c r="AF1233" s="196"/>
      <c r="AG1233" s="196"/>
      <c r="AH1233" s="196"/>
      <c r="AI1233" s="196"/>
      <c r="AJ1233" s="197"/>
      <c r="AK1233" s="80"/>
      <c r="AL1233" s="80"/>
      <c r="AM1233" s="73"/>
      <c r="AN1233" s="73"/>
      <c r="AO1233" s="73"/>
      <c r="AP1233" s="73"/>
      <c r="AQ1233" s="73"/>
      <c r="AR1233" s="73"/>
      <c r="AS1233" s="73"/>
      <c r="AT1233" s="73"/>
      <c r="AU1233" s="73"/>
      <c r="AV1233" s="73"/>
      <c r="AW1233" s="73"/>
      <c r="AX1233" s="73"/>
      <c r="AY1233" s="73"/>
      <c r="AZ1233" s="73"/>
      <c r="BA1233" s="73"/>
      <c r="BB1233" s="73"/>
      <c r="BC1233" s="73"/>
      <c r="BD1233" s="73"/>
      <c r="BE1233" s="73"/>
      <c r="BF1233" s="73"/>
      <c r="BG1233" s="73"/>
      <c r="BH1233" s="73"/>
      <c r="BI1233" s="73"/>
      <c r="BJ1233" s="73"/>
      <c r="BK1233" s="73"/>
      <c r="BL1233" s="73"/>
      <c r="BM1233" s="73"/>
      <c r="BN1233" s="73"/>
      <c r="BO1233" s="73"/>
      <c r="BP1233" s="73"/>
      <c r="BQ1233" s="73"/>
      <c r="BR1233" s="73"/>
      <c r="BS1233" s="73"/>
      <c r="BT1233" s="73"/>
      <c r="BU1233" s="73"/>
      <c r="BV1233" s="73"/>
      <c r="BW1233" s="73"/>
      <c r="BX1233" s="73"/>
      <c r="BY1233" s="73"/>
      <c r="BZ1233" s="73"/>
      <c r="CA1233" s="73"/>
      <c r="CB1233" s="73"/>
      <c r="CC1233" s="73"/>
      <c r="CD1233" s="73"/>
      <c r="CE1233" s="73"/>
      <c r="CF1233" s="73"/>
      <c r="CG1233" s="73"/>
      <c r="CH1233" s="73"/>
    </row>
    <row r="1234">
      <c r="A1234" s="80"/>
      <c r="B1234" s="80"/>
      <c r="C1234" s="80"/>
      <c r="D1234" s="80"/>
      <c r="E1234" s="124"/>
      <c r="F1234" s="80"/>
      <c r="G1234" s="80"/>
      <c r="H1234" s="80"/>
      <c r="I1234" s="80"/>
      <c r="J1234" s="196"/>
      <c r="K1234" s="196"/>
      <c r="L1234" s="196"/>
      <c r="M1234" s="196"/>
      <c r="N1234" s="196"/>
      <c r="O1234" s="196"/>
      <c r="P1234" s="196"/>
      <c r="Q1234" s="196"/>
      <c r="R1234" s="196"/>
      <c r="S1234" s="196"/>
      <c r="T1234" s="196"/>
      <c r="U1234" s="196"/>
      <c r="V1234" s="196"/>
      <c r="W1234" s="196"/>
      <c r="X1234" s="196"/>
      <c r="Y1234" s="196"/>
      <c r="Z1234" s="196"/>
      <c r="AA1234" s="196"/>
      <c r="AB1234" s="196"/>
      <c r="AC1234" s="196"/>
      <c r="AD1234" s="196"/>
      <c r="AE1234" s="196"/>
      <c r="AF1234" s="196"/>
      <c r="AG1234" s="196"/>
      <c r="AH1234" s="196"/>
      <c r="AI1234" s="196"/>
      <c r="AJ1234" s="197"/>
      <c r="AK1234" s="80"/>
      <c r="AL1234" s="80"/>
      <c r="AM1234" s="73"/>
      <c r="AN1234" s="73"/>
      <c r="AO1234" s="73"/>
      <c r="AP1234" s="73"/>
      <c r="AQ1234" s="73"/>
      <c r="AR1234" s="73"/>
      <c r="AS1234" s="73"/>
      <c r="AT1234" s="73"/>
      <c r="AU1234" s="73"/>
      <c r="AV1234" s="73"/>
      <c r="AW1234" s="73"/>
      <c r="AX1234" s="73"/>
      <c r="AY1234" s="73"/>
      <c r="AZ1234" s="73"/>
      <c r="BA1234" s="73"/>
      <c r="BB1234" s="73"/>
      <c r="BC1234" s="73"/>
      <c r="BD1234" s="73"/>
      <c r="BE1234" s="73"/>
      <c r="BF1234" s="73"/>
      <c r="BG1234" s="73"/>
      <c r="BH1234" s="73"/>
      <c r="BI1234" s="73"/>
      <c r="BJ1234" s="73"/>
      <c r="BK1234" s="73"/>
      <c r="BL1234" s="73"/>
      <c r="BM1234" s="73"/>
      <c r="BN1234" s="73"/>
      <c r="BO1234" s="73"/>
      <c r="BP1234" s="73"/>
      <c r="BQ1234" s="73"/>
      <c r="BR1234" s="73"/>
      <c r="BS1234" s="73"/>
      <c r="BT1234" s="73"/>
      <c r="BU1234" s="73"/>
      <c r="BV1234" s="73"/>
      <c r="BW1234" s="73"/>
      <c r="BX1234" s="73"/>
      <c r="BY1234" s="73"/>
      <c r="BZ1234" s="73"/>
      <c r="CA1234" s="73"/>
      <c r="CB1234" s="73"/>
      <c r="CC1234" s="73"/>
      <c r="CD1234" s="73"/>
      <c r="CE1234" s="73"/>
      <c r="CF1234" s="73"/>
      <c r="CG1234" s="73"/>
      <c r="CH1234" s="73"/>
    </row>
    <row r="1235">
      <c r="A1235" s="80"/>
      <c r="B1235" s="80"/>
      <c r="C1235" s="80"/>
      <c r="D1235" s="80"/>
      <c r="E1235" s="124"/>
      <c r="F1235" s="80"/>
      <c r="G1235" s="80"/>
      <c r="H1235" s="80"/>
      <c r="I1235" s="80"/>
      <c r="J1235" s="196"/>
      <c r="K1235" s="196"/>
      <c r="L1235" s="196"/>
      <c r="M1235" s="196"/>
      <c r="N1235" s="196"/>
      <c r="O1235" s="196"/>
      <c r="P1235" s="196"/>
      <c r="Q1235" s="196"/>
      <c r="R1235" s="196"/>
      <c r="S1235" s="196"/>
      <c r="T1235" s="196"/>
      <c r="U1235" s="196"/>
      <c r="V1235" s="196"/>
      <c r="W1235" s="196"/>
      <c r="X1235" s="196"/>
      <c r="Y1235" s="196"/>
      <c r="Z1235" s="196"/>
      <c r="AA1235" s="196"/>
      <c r="AB1235" s="196"/>
      <c r="AC1235" s="196"/>
      <c r="AD1235" s="196"/>
      <c r="AE1235" s="196"/>
      <c r="AF1235" s="196"/>
      <c r="AG1235" s="196"/>
      <c r="AH1235" s="196"/>
      <c r="AI1235" s="196"/>
      <c r="AJ1235" s="197"/>
      <c r="AK1235" s="80"/>
      <c r="AL1235" s="80"/>
      <c r="AM1235" s="73"/>
      <c r="AN1235" s="73"/>
      <c r="AO1235" s="73"/>
      <c r="AP1235" s="73"/>
      <c r="AQ1235" s="73"/>
      <c r="AR1235" s="73"/>
      <c r="AS1235" s="73"/>
      <c r="AT1235" s="73"/>
      <c r="AU1235" s="73"/>
      <c r="AV1235" s="73"/>
      <c r="AW1235" s="73"/>
      <c r="AX1235" s="73"/>
      <c r="AY1235" s="73"/>
      <c r="AZ1235" s="73"/>
      <c r="BA1235" s="73"/>
      <c r="BB1235" s="73"/>
      <c r="BC1235" s="73"/>
      <c r="BD1235" s="73"/>
      <c r="BE1235" s="73"/>
      <c r="BF1235" s="73"/>
      <c r="BG1235" s="73"/>
      <c r="BH1235" s="73"/>
      <c r="BI1235" s="73"/>
      <c r="BJ1235" s="73"/>
      <c r="BK1235" s="73"/>
      <c r="BL1235" s="73"/>
      <c r="BM1235" s="73"/>
      <c r="BN1235" s="73"/>
      <c r="BO1235" s="73"/>
      <c r="BP1235" s="73"/>
      <c r="BQ1235" s="73"/>
      <c r="BR1235" s="73"/>
      <c r="BS1235" s="73"/>
      <c r="BT1235" s="73"/>
      <c r="BU1235" s="73"/>
      <c r="BV1235" s="73"/>
      <c r="BW1235" s="73"/>
      <c r="BX1235" s="73"/>
      <c r="BY1235" s="73"/>
      <c r="BZ1235" s="73"/>
      <c r="CA1235" s="73"/>
      <c r="CB1235" s="73"/>
      <c r="CC1235" s="73"/>
      <c r="CD1235" s="73"/>
      <c r="CE1235" s="73"/>
      <c r="CF1235" s="73"/>
      <c r="CG1235" s="73"/>
      <c r="CH1235" s="73"/>
    </row>
    <row r="1236">
      <c r="A1236" s="80"/>
      <c r="B1236" s="80"/>
      <c r="C1236" s="80"/>
      <c r="D1236" s="80"/>
      <c r="E1236" s="124"/>
      <c r="F1236" s="80"/>
      <c r="G1236" s="80"/>
      <c r="H1236" s="80"/>
      <c r="I1236" s="80"/>
      <c r="J1236" s="196"/>
      <c r="K1236" s="196"/>
      <c r="L1236" s="196"/>
      <c r="M1236" s="196"/>
      <c r="N1236" s="196"/>
      <c r="O1236" s="196"/>
      <c r="P1236" s="196"/>
      <c r="Q1236" s="196"/>
      <c r="R1236" s="196"/>
      <c r="S1236" s="196"/>
      <c r="T1236" s="196"/>
      <c r="U1236" s="196"/>
      <c r="V1236" s="196"/>
      <c r="W1236" s="196"/>
      <c r="X1236" s="196"/>
      <c r="Y1236" s="196"/>
      <c r="Z1236" s="196"/>
      <c r="AA1236" s="196"/>
      <c r="AB1236" s="196"/>
      <c r="AC1236" s="196"/>
      <c r="AD1236" s="196"/>
      <c r="AE1236" s="196"/>
      <c r="AF1236" s="196"/>
      <c r="AG1236" s="196"/>
      <c r="AH1236" s="196"/>
      <c r="AI1236" s="196"/>
      <c r="AJ1236" s="197"/>
      <c r="AK1236" s="80"/>
      <c r="AL1236" s="80"/>
      <c r="AM1236" s="73"/>
      <c r="AN1236" s="73"/>
      <c r="AO1236" s="73"/>
      <c r="AP1236" s="73"/>
      <c r="AQ1236" s="73"/>
      <c r="AR1236" s="73"/>
      <c r="AS1236" s="73"/>
      <c r="AT1236" s="73"/>
      <c r="AU1236" s="73"/>
      <c r="AV1236" s="73"/>
      <c r="AW1236" s="73"/>
      <c r="AX1236" s="73"/>
      <c r="AY1236" s="73"/>
      <c r="AZ1236" s="73"/>
      <c r="BA1236" s="73"/>
      <c r="BB1236" s="73"/>
      <c r="BC1236" s="73"/>
      <c r="BD1236" s="73"/>
      <c r="BE1236" s="73"/>
      <c r="BF1236" s="73"/>
      <c r="BG1236" s="73"/>
      <c r="BH1236" s="73"/>
      <c r="BI1236" s="73"/>
      <c r="BJ1236" s="73"/>
      <c r="BK1236" s="73"/>
      <c r="BL1236" s="73"/>
      <c r="BM1236" s="73"/>
      <c r="BN1236" s="73"/>
      <c r="BO1236" s="73"/>
      <c r="BP1236" s="73"/>
      <c r="BQ1236" s="73"/>
      <c r="BR1236" s="73"/>
      <c r="BS1236" s="73"/>
      <c r="BT1236" s="73"/>
      <c r="BU1236" s="73"/>
      <c r="BV1236" s="73"/>
      <c r="BW1236" s="73"/>
      <c r="BX1236" s="73"/>
      <c r="BY1236" s="73"/>
      <c r="BZ1236" s="73"/>
      <c r="CA1236" s="73"/>
      <c r="CB1236" s="73"/>
      <c r="CC1236" s="73"/>
      <c r="CD1236" s="73"/>
      <c r="CE1236" s="73"/>
      <c r="CF1236" s="73"/>
      <c r="CG1236" s="73"/>
      <c r="CH1236" s="73"/>
    </row>
    <row r="1237">
      <c r="A1237" s="80"/>
      <c r="B1237" s="80"/>
      <c r="C1237" s="80"/>
      <c r="D1237" s="80"/>
      <c r="E1237" s="124"/>
      <c r="F1237" s="80"/>
      <c r="G1237" s="80"/>
      <c r="H1237" s="80"/>
      <c r="I1237" s="80"/>
      <c r="J1237" s="196"/>
      <c r="K1237" s="196"/>
      <c r="L1237" s="196"/>
      <c r="M1237" s="196"/>
      <c r="N1237" s="196"/>
      <c r="O1237" s="196"/>
      <c r="P1237" s="196"/>
      <c r="Q1237" s="196"/>
      <c r="R1237" s="196"/>
      <c r="S1237" s="196"/>
      <c r="T1237" s="196"/>
      <c r="U1237" s="196"/>
      <c r="V1237" s="196"/>
      <c r="W1237" s="196"/>
      <c r="X1237" s="196"/>
      <c r="Y1237" s="196"/>
      <c r="Z1237" s="196"/>
      <c r="AA1237" s="196"/>
      <c r="AB1237" s="196"/>
      <c r="AC1237" s="196"/>
      <c r="AD1237" s="196"/>
      <c r="AE1237" s="196"/>
      <c r="AF1237" s="196"/>
      <c r="AG1237" s="196"/>
      <c r="AH1237" s="196"/>
      <c r="AI1237" s="196"/>
      <c r="AJ1237" s="197"/>
      <c r="AK1237" s="80"/>
      <c r="AL1237" s="80"/>
      <c r="AM1237" s="73"/>
      <c r="AN1237" s="73"/>
      <c r="AO1237" s="73"/>
      <c r="AP1237" s="73"/>
      <c r="AQ1237" s="73"/>
      <c r="AR1237" s="73"/>
      <c r="AS1237" s="73"/>
      <c r="AT1237" s="73"/>
      <c r="AU1237" s="73"/>
      <c r="AV1237" s="73"/>
      <c r="AW1237" s="73"/>
      <c r="AX1237" s="73"/>
      <c r="AY1237" s="73"/>
      <c r="AZ1237" s="73"/>
      <c r="BA1237" s="73"/>
      <c r="BB1237" s="73"/>
      <c r="BC1237" s="73"/>
      <c r="BD1237" s="73"/>
      <c r="BE1237" s="73"/>
      <c r="BF1237" s="73"/>
      <c r="BG1237" s="73"/>
      <c r="BH1237" s="73"/>
      <c r="BI1237" s="73"/>
      <c r="BJ1237" s="73"/>
      <c r="BK1237" s="73"/>
      <c r="BL1237" s="73"/>
      <c r="BM1237" s="73"/>
      <c r="BN1237" s="73"/>
      <c r="BO1237" s="73"/>
      <c r="BP1237" s="73"/>
      <c r="BQ1237" s="73"/>
      <c r="BR1237" s="73"/>
      <c r="BS1237" s="73"/>
      <c r="BT1237" s="73"/>
      <c r="BU1237" s="73"/>
      <c r="BV1237" s="73"/>
      <c r="BW1237" s="73"/>
      <c r="BX1237" s="73"/>
      <c r="BY1237" s="73"/>
      <c r="BZ1237" s="73"/>
      <c r="CA1237" s="73"/>
      <c r="CB1237" s="73"/>
      <c r="CC1237" s="73"/>
      <c r="CD1237" s="73"/>
      <c r="CE1237" s="73"/>
      <c r="CF1237" s="73"/>
      <c r="CG1237" s="73"/>
      <c r="CH1237" s="73"/>
    </row>
    <row r="1238">
      <c r="A1238" s="80"/>
      <c r="B1238" s="80"/>
      <c r="C1238" s="80"/>
      <c r="D1238" s="80"/>
      <c r="E1238" s="124"/>
      <c r="F1238" s="80"/>
      <c r="G1238" s="80"/>
      <c r="H1238" s="80"/>
      <c r="I1238" s="80"/>
      <c r="J1238" s="196"/>
      <c r="K1238" s="196"/>
      <c r="L1238" s="196"/>
      <c r="M1238" s="196"/>
      <c r="N1238" s="196"/>
      <c r="O1238" s="196"/>
      <c r="P1238" s="196"/>
      <c r="Q1238" s="196"/>
      <c r="R1238" s="196"/>
      <c r="S1238" s="196"/>
      <c r="T1238" s="196"/>
      <c r="U1238" s="196"/>
      <c r="V1238" s="196"/>
      <c r="W1238" s="196"/>
      <c r="X1238" s="196"/>
      <c r="Y1238" s="196"/>
      <c r="Z1238" s="196"/>
      <c r="AA1238" s="196"/>
      <c r="AB1238" s="196"/>
      <c r="AC1238" s="196"/>
      <c r="AD1238" s="196"/>
      <c r="AE1238" s="196"/>
      <c r="AF1238" s="196"/>
      <c r="AG1238" s="196"/>
      <c r="AH1238" s="196"/>
      <c r="AI1238" s="196"/>
      <c r="AJ1238" s="197"/>
      <c r="AK1238" s="80"/>
      <c r="AL1238" s="80"/>
      <c r="AM1238" s="73"/>
      <c r="AN1238" s="73"/>
      <c r="AO1238" s="73"/>
      <c r="AP1238" s="73"/>
      <c r="AQ1238" s="73"/>
      <c r="AR1238" s="73"/>
      <c r="AS1238" s="73"/>
      <c r="AT1238" s="73"/>
      <c r="AU1238" s="73"/>
      <c r="AV1238" s="73"/>
      <c r="AW1238" s="73"/>
      <c r="AX1238" s="73"/>
      <c r="AY1238" s="73"/>
      <c r="AZ1238" s="73"/>
      <c r="BA1238" s="73"/>
      <c r="BB1238" s="73"/>
      <c r="BC1238" s="73"/>
      <c r="BD1238" s="73"/>
      <c r="BE1238" s="73"/>
      <c r="BF1238" s="73"/>
      <c r="BG1238" s="73"/>
      <c r="BH1238" s="73"/>
      <c r="BI1238" s="73"/>
      <c r="BJ1238" s="73"/>
      <c r="BK1238" s="73"/>
      <c r="BL1238" s="73"/>
      <c r="BM1238" s="73"/>
      <c r="BN1238" s="73"/>
      <c r="BO1238" s="73"/>
      <c r="BP1238" s="73"/>
      <c r="BQ1238" s="73"/>
      <c r="BR1238" s="73"/>
      <c r="BS1238" s="73"/>
      <c r="BT1238" s="73"/>
      <c r="BU1238" s="73"/>
      <c r="BV1238" s="73"/>
      <c r="BW1238" s="73"/>
      <c r="BX1238" s="73"/>
      <c r="BY1238" s="73"/>
      <c r="BZ1238" s="73"/>
      <c r="CA1238" s="73"/>
      <c r="CB1238" s="73"/>
      <c r="CC1238" s="73"/>
      <c r="CD1238" s="73"/>
      <c r="CE1238" s="73"/>
      <c r="CF1238" s="73"/>
      <c r="CG1238" s="73"/>
      <c r="CH1238" s="73"/>
    </row>
    <row r="1239">
      <c r="A1239" s="80"/>
      <c r="B1239" s="80"/>
      <c r="C1239" s="80"/>
      <c r="D1239" s="80"/>
      <c r="E1239" s="124"/>
      <c r="F1239" s="80"/>
      <c r="G1239" s="80"/>
      <c r="H1239" s="80"/>
      <c r="I1239" s="80"/>
      <c r="J1239" s="196"/>
      <c r="K1239" s="196"/>
      <c r="L1239" s="196"/>
      <c r="M1239" s="196"/>
      <c r="N1239" s="196"/>
      <c r="O1239" s="196"/>
      <c r="P1239" s="196"/>
      <c r="Q1239" s="196"/>
      <c r="R1239" s="196"/>
      <c r="S1239" s="196"/>
      <c r="T1239" s="196"/>
      <c r="U1239" s="196"/>
      <c r="V1239" s="196"/>
      <c r="W1239" s="196"/>
      <c r="X1239" s="196"/>
      <c r="Y1239" s="196"/>
      <c r="Z1239" s="196"/>
      <c r="AA1239" s="196"/>
      <c r="AB1239" s="196"/>
      <c r="AC1239" s="196"/>
      <c r="AD1239" s="196"/>
      <c r="AE1239" s="196"/>
      <c r="AF1239" s="196"/>
      <c r="AG1239" s="196"/>
      <c r="AH1239" s="196"/>
      <c r="AI1239" s="196"/>
      <c r="AJ1239" s="197"/>
      <c r="AK1239" s="80"/>
      <c r="AL1239" s="80"/>
      <c r="AM1239" s="73"/>
      <c r="AN1239" s="73"/>
      <c r="AO1239" s="73"/>
      <c r="AP1239" s="73"/>
      <c r="AQ1239" s="73"/>
      <c r="AR1239" s="73"/>
      <c r="AS1239" s="73"/>
      <c r="AT1239" s="73"/>
      <c r="AU1239" s="73"/>
      <c r="AV1239" s="73"/>
      <c r="AW1239" s="73"/>
      <c r="AX1239" s="73"/>
      <c r="AY1239" s="73"/>
      <c r="AZ1239" s="73"/>
      <c r="BA1239" s="73"/>
      <c r="BB1239" s="73"/>
      <c r="BC1239" s="73"/>
      <c r="BD1239" s="73"/>
      <c r="BE1239" s="73"/>
      <c r="BF1239" s="73"/>
      <c r="BG1239" s="73"/>
      <c r="BH1239" s="73"/>
      <c r="BI1239" s="73"/>
      <c r="BJ1239" s="73"/>
      <c r="BK1239" s="73"/>
      <c r="BL1239" s="73"/>
      <c r="BM1239" s="73"/>
      <c r="BN1239" s="73"/>
      <c r="BO1239" s="73"/>
      <c r="BP1239" s="73"/>
      <c r="BQ1239" s="73"/>
      <c r="BR1239" s="73"/>
      <c r="BS1239" s="73"/>
      <c r="BT1239" s="73"/>
      <c r="BU1239" s="73"/>
      <c r="BV1239" s="73"/>
      <c r="BW1239" s="73"/>
      <c r="BX1239" s="73"/>
      <c r="BY1239" s="73"/>
      <c r="BZ1239" s="73"/>
      <c r="CA1239" s="73"/>
      <c r="CB1239" s="73"/>
      <c r="CC1239" s="73"/>
      <c r="CD1239" s="73"/>
      <c r="CE1239" s="73"/>
      <c r="CF1239" s="73"/>
      <c r="CG1239" s="73"/>
      <c r="CH1239" s="73"/>
    </row>
    <row r="1240">
      <c r="A1240" s="80"/>
      <c r="B1240" s="80"/>
      <c r="C1240" s="80"/>
      <c r="D1240" s="80"/>
      <c r="E1240" s="124"/>
      <c r="F1240" s="80"/>
      <c r="G1240" s="80"/>
      <c r="H1240" s="80"/>
      <c r="I1240" s="80"/>
      <c r="J1240" s="196"/>
      <c r="K1240" s="196"/>
      <c r="L1240" s="196"/>
      <c r="M1240" s="196"/>
      <c r="N1240" s="196"/>
      <c r="O1240" s="196"/>
      <c r="P1240" s="196"/>
      <c r="Q1240" s="196"/>
      <c r="R1240" s="196"/>
      <c r="S1240" s="196"/>
      <c r="T1240" s="196"/>
      <c r="U1240" s="196"/>
      <c r="V1240" s="196"/>
      <c r="W1240" s="196"/>
      <c r="X1240" s="196"/>
      <c r="Y1240" s="196"/>
      <c r="Z1240" s="196"/>
      <c r="AA1240" s="196"/>
      <c r="AB1240" s="196"/>
      <c r="AC1240" s="196"/>
      <c r="AD1240" s="196"/>
      <c r="AE1240" s="196"/>
      <c r="AF1240" s="196"/>
      <c r="AG1240" s="196"/>
      <c r="AH1240" s="196"/>
      <c r="AI1240" s="196"/>
      <c r="AJ1240" s="197"/>
      <c r="AK1240" s="80"/>
      <c r="AL1240" s="80"/>
      <c r="AM1240" s="73"/>
      <c r="AN1240" s="73"/>
      <c r="AO1240" s="73"/>
      <c r="AP1240" s="73"/>
      <c r="AQ1240" s="73"/>
      <c r="AR1240" s="73"/>
      <c r="AS1240" s="73"/>
      <c r="AT1240" s="73"/>
      <c r="AU1240" s="73"/>
      <c r="AV1240" s="73"/>
      <c r="AW1240" s="73"/>
      <c r="AX1240" s="73"/>
      <c r="AY1240" s="73"/>
      <c r="AZ1240" s="73"/>
      <c r="BA1240" s="73"/>
      <c r="BB1240" s="73"/>
      <c r="BC1240" s="73"/>
      <c r="BD1240" s="73"/>
      <c r="BE1240" s="73"/>
      <c r="BF1240" s="73"/>
      <c r="BG1240" s="73"/>
      <c r="BH1240" s="73"/>
      <c r="BI1240" s="73"/>
      <c r="BJ1240" s="73"/>
      <c r="BK1240" s="73"/>
      <c r="BL1240" s="73"/>
      <c r="BM1240" s="73"/>
      <c r="BN1240" s="73"/>
      <c r="BO1240" s="73"/>
      <c r="BP1240" s="73"/>
      <c r="BQ1240" s="73"/>
      <c r="BR1240" s="73"/>
      <c r="BS1240" s="73"/>
      <c r="BT1240" s="73"/>
      <c r="BU1240" s="73"/>
      <c r="BV1240" s="73"/>
      <c r="BW1240" s="73"/>
      <c r="BX1240" s="73"/>
      <c r="BY1240" s="73"/>
      <c r="BZ1240" s="73"/>
      <c r="CA1240" s="73"/>
      <c r="CB1240" s="73"/>
      <c r="CC1240" s="73"/>
      <c r="CD1240" s="73"/>
      <c r="CE1240" s="73"/>
      <c r="CF1240" s="73"/>
      <c r="CG1240" s="73"/>
      <c r="CH1240" s="73"/>
    </row>
    <row r="1241">
      <c r="A1241" s="80"/>
      <c r="B1241" s="80"/>
      <c r="C1241" s="80"/>
      <c r="D1241" s="80"/>
      <c r="E1241" s="124"/>
      <c r="F1241" s="80"/>
      <c r="G1241" s="80"/>
      <c r="H1241" s="80"/>
      <c r="I1241" s="80"/>
      <c r="J1241" s="196"/>
      <c r="K1241" s="196"/>
      <c r="L1241" s="196"/>
      <c r="M1241" s="196"/>
      <c r="N1241" s="196"/>
      <c r="O1241" s="196"/>
      <c r="P1241" s="196"/>
      <c r="Q1241" s="196"/>
      <c r="R1241" s="196"/>
      <c r="S1241" s="196"/>
      <c r="T1241" s="196"/>
      <c r="U1241" s="196"/>
      <c r="V1241" s="196"/>
      <c r="W1241" s="196"/>
      <c r="X1241" s="196"/>
      <c r="Y1241" s="196"/>
      <c r="Z1241" s="196"/>
      <c r="AA1241" s="196"/>
      <c r="AB1241" s="196"/>
      <c r="AC1241" s="196"/>
      <c r="AD1241" s="196"/>
      <c r="AE1241" s="196"/>
      <c r="AF1241" s="196"/>
      <c r="AG1241" s="196"/>
      <c r="AH1241" s="196"/>
      <c r="AI1241" s="196"/>
      <c r="AJ1241" s="197"/>
      <c r="AK1241" s="80"/>
      <c r="AL1241" s="80"/>
      <c r="AM1241" s="73"/>
      <c r="AN1241" s="73"/>
      <c r="AO1241" s="73"/>
      <c r="AP1241" s="73"/>
      <c r="AQ1241" s="73"/>
      <c r="AR1241" s="73"/>
      <c r="AS1241" s="73"/>
      <c r="AT1241" s="73"/>
      <c r="AU1241" s="73"/>
      <c r="AV1241" s="73"/>
      <c r="AW1241" s="73"/>
      <c r="AX1241" s="73"/>
      <c r="AY1241" s="73"/>
      <c r="AZ1241" s="73"/>
      <c r="BA1241" s="73"/>
      <c r="BB1241" s="73"/>
      <c r="BC1241" s="73"/>
      <c r="BD1241" s="73"/>
      <c r="BE1241" s="73"/>
      <c r="BF1241" s="73"/>
      <c r="BG1241" s="73"/>
      <c r="BH1241" s="73"/>
      <c r="BI1241" s="73"/>
      <c r="BJ1241" s="73"/>
      <c r="BK1241" s="73"/>
      <c r="BL1241" s="73"/>
      <c r="BM1241" s="73"/>
      <c r="BN1241" s="73"/>
      <c r="BO1241" s="73"/>
      <c r="BP1241" s="73"/>
      <c r="BQ1241" s="73"/>
      <c r="BR1241" s="73"/>
      <c r="BS1241" s="73"/>
      <c r="BT1241" s="73"/>
      <c r="BU1241" s="73"/>
      <c r="BV1241" s="73"/>
      <c r="BW1241" s="73"/>
      <c r="BX1241" s="73"/>
      <c r="BY1241" s="73"/>
      <c r="BZ1241" s="73"/>
      <c r="CA1241" s="73"/>
      <c r="CB1241" s="73"/>
      <c r="CC1241" s="73"/>
      <c r="CD1241" s="73"/>
      <c r="CE1241" s="73"/>
      <c r="CF1241" s="73"/>
      <c r="CG1241" s="73"/>
      <c r="CH1241" s="73"/>
    </row>
    <row r="1242">
      <c r="A1242" s="80"/>
      <c r="B1242" s="80"/>
      <c r="C1242" s="80"/>
      <c r="D1242" s="80"/>
      <c r="E1242" s="124"/>
      <c r="F1242" s="80"/>
      <c r="G1242" s="80"/>
      <c r="H1242" s="80"/>
      <c r="I1242" s="80"/>
      <c r="J1242" s="196"/>
      <c r="K1242" s="196"/>
      <c r="L1242" s="196"/>
      <c r="M1242" s="196"/>
      <c r="N1242" s="196"/>
      <c r="O1242" s="196"/>
      <c r="P1242" s="196"/>
      <c r="Q1242" s="196"/>
      <c r="R1242" s="196"/>
      <c r="S1242" s="196"/>
      <c r="T1242" s="196"/>
      <c r="U1242" s="196"/>
      <c r="V1242" s="196"/>
      <c r="W1242" s="196"/>
      <c r="X1242" s="196"/>
      <c r="Y1242" s="196"/>
      <c r="Z1242" s="196"/>
      <c r="AA1242" s="196"/>
      <c r="AB1242" s="196"/>
      <c r="AC1242" s="196"/>
      <c r="AD1242" s="196"/>
      <c r="AE1242" s="196"/>
      <c r="AF1242" s="196"/>
      <c r="AG1242" s="196"/>
      <c r="AH1242" s="196"/>
      <c r="AI1242" s="196"/>
      <c r="AJ1242" s="197"/>
      <c r="AK1242" s="80"/>
      <c r="AL1242" s="80"/>
      <c r="AM1242" s="73"/>
      <c r="AN1242" s="73"/>
      <c r="AO1242" s="73"/>
      <c r="AP1242" s="73"/>
      <c r="AQ1242" s="73"/>
      <c r="AR1242" s="73"/>
      <c r="AS1242" s="73"/>
      <c r="AT1242" s="73"/>
      <c r="AU1242" s="73"/>
      <c r="AV1242" s="73"/>
      <c r="AW1242" s="73"/>
      <c r="AX1242" s="73"/>
      <c r="AY1242" s="73"/>
      <c r="AZ1242" s="73"/>
      <c r="BA1242" s="73"/>
      <c r="BB1242" s="73"/>
      <c r="BC1242" s="73"/>
      <c r="BD1242" s="73"/>
      <c r="BE1242" s="73"/>
      <c r="BF1242" s="73"/>
      <c r="BG1242" s="73"/>
      <c r="BH1242" s="73"/>
      <c r="BI1242" s="73"/>
      <c r="BJ1242" s="73"/>
      <c r="BK1242" s="73"/>
      <c r="BL1242" s="73"/>
      <c r="BM1242" s="73"/>
      <c r="BN1242" s="73"/>
      <c r="BO1242" s="73"/>
      <c r="BP1242" s="73"/>
      <c r="BQ1242" s="73"/>
      <c r="BR1242" s="73"/>
      <c r="BS1242" s="73"/>
      <c r="BT1242" s="73"/>
      <c r="BU1242" s="73"/>
      <c r="BV1242" s="73"/>
      <c r="BW1242" s="73"/>
      <c r="BX1242" s="73"/>
      <c r="BY1242" s="73"/>
      <c r="BZ1242" s="73"/>
      <c r="CA1242" s="73"/>
      <c r="CB1242" s="73"/>
      <c r="CC1242" s="73"/>
      <c r="CD1242" s="73"/>
      <c r="CE1242" s="73"/>
      <c r="CF1242" s="73"/>
      <c r="CG1242" s="73"/>
      <c r="CH1242" s="73"/>
    </row>
    <row r="1243">
      <c r="A1243" s="80"/>
      <c r="B1243" s="80"/>
      <c r="C1243" s="80"/>
      <c r="D1243" s="80"/>
      <c r="E1243" s="124"/>
      <c r="F1243" s="80"/>
      <c r="G1243" s="80"/>
      <c r="H1243" s="80"/>
      <c r="I1243" s="80"/>
      <c r="J1243" s="196"/>
      <c r="K1243" s="196"/>
      <c r="L1243" s="196"/>
      <c r="M1243" s="196"/>
      <c r="N1243" s="196"/>
      <c r="O1243" s="196"/>
      <c r="P1243" s="196"/>
      <c r="Q1243" s="196"/>
      <c r="R1243" s="196"/>
      <c r="S1243" s="196"/>
      <c r="T1243" s="196"/>
      <c r="U1243" s="196"/>
      <c r="V1243" s="196"/>
      <c r="W1243" s="196"/>
      <c r="X1243" s="196"/>
      <c r="Y1243" s="196"/>
      <c r="Z1243" s="196"/>
      <c r="AA1243" s="196"/>
      <c r="AB1243" s="196"/>
      <c r="AC1243" s="196"/>
      <c r="AD1243" s="196"/>
      <c r="AE1243" s="196"/>
      <c r="AF1243" s="196"/>
      <c r="AG1243" s="196"/>
      <c r="AH1243" s="196"/>
      <c r="AI1243" s="196"/>
      <c r="AJ1243" s="197"/>
      <c r="AK1243" s="80"/>
      <c r="AL1243" s="80"/>
      <c r="AM1243" s="73"/>
      <c r="AN1243" s="73"/>
      <c r="AO1243" s="73"/>
      <c r="AP1243" s="73"/>
      <c r="AQ1243" s="73"/>
      <c r="AR1243" s="73"/>
      <c r="AS1243" s="73"/>
      <c r="AT1243" s="73"/>
      <c r="AU1243" s="73"/>
      <c r="AV1243" s="73"/>
      <c r="AW1243" s="73"/>
      <c r="AX1243" s="73"/>
      <c r="AY1243" s="73"/>
      <c r="AZ1243" s="73"/>
      <c r="BA1243" s="73"/>
      <c r="BB1243" s="73"/>
      <c r="BC1243" s="73"/>
      <c r="BD1243" s="73"/>
      <c r="BE1243" s="73"/>
      <c r="BF1243" s="73"/>
      <c r="BG1243" s="73"/>
      <c r="BH1243" s="73"/>
      <c r="BI1243" s="73"/>
      <c r="BJ1243" s="73"/>
      <c r="BK1243" s="73"/>
      <c r="BL1243" s="73"/>
      <c r="BM1243" s="73"/>
      <c r="BN1243" s="73"/>
      <c r="BO1243" s="73"/>
      <c r="BP1243" s="73"/>
      <c r="BQ1243" s="73"/>
      <c r="BR1243" s="73"/>
      <c r="BS1243" s="73"/>
      <c r="BT1243" s="73"/>
      <c r="BU1243" s="73"/>
      <c r="BV1243" s="73"/>
      <c r="BW1243" s="73"/>
      <c r="BX1243" s="73"/>
      <c r="BY1243" s="73"/>
      <c r="BZ1243" s="73"/>
      <c r="CA1243" s="73"/>
      <c r="CB1243" s="73"/>
      <c r="CC1243" s="73"/>
      <c r="CD1243" s="73"/>
      <c r="CE1243" s="73"/>
      <c r="CF1243" s="73"/>
      <c r="CG1243" s="73"/>
      <c r="CH1243" s="73"/>
    </row>
    <row r="1244">
      <c r="A1244" s="80"/>
      <c r="B1244" s="80"/>
      <c r="C1244" s="80"/>
      <c r="D1244" s="80"/>
      <c r="E1244" s="124"/>
      <c r="F1244" s="80"/>
      <c r="G1244" s="80"/>
      <c r="H1244" s="80"/>
      <c r="I1244" s="80"/>
      <c r="J1244" s="196"/>
      <c r="K1244" s="196"/>
      <c r="L1244" s="196"/>
      <c r="M1244" s="196"/>
      <c r="N1244" s="196"/>
      <c r="O1244" s="196"/>
      <c r="P1244" s="196"/>
      <c r="Q1244" s="196"/>
      <c r="R1244" s="196"/>
      <c r="S1244" s="196"/>
      <c r="T1244" s="196"/>
      <c r="U1244" s="196"/>
      <c r="V1244" s="196"/>
      <c r="W1244" s="196"/>
      <c r="X1244" s="196"/>
      <c r="Y1244" s="196"/>
      <c r="Z1244" s="196"/>
      <c r="AA1244" s="196"/>
      <c r="AB1244" s="196"/>
      <c r="AC1244" s="196"/>
      <c r="AD1244" s="196"/>
      <c r="AE1244" s="196"/>
      <c r="AF1244" s="196"/>
      <c r="AG1244" s="196"/>
      <c r="AH1244" s="196"/>
      <c r="AI1244" s="196"/>
      <c r="AJ1244" s="197"/>
      <c r="AK1244" s="80"/>
      <c r="AL1244" s="80"/>
      <c r="AM1244" s="73"/>
      <c r="AN1244" s="73"/>
      <c r="AO1244" s="73"/>
      <c r="AP1244" s="73"/>
      <c r="AQ1244" s="73"/>
      <c r="AR1244" s="73"/>
      <c r="AS1244" s="73"/>
      <c r="AT1244" s="73"/>
      <c r="AU1244" s="73"/>
      <c r="AV1244" s="73"/>
      <c r="AW1244" s="73"/>
      <c r="AX1244" s="73"/>
      <c r="AY1244" s="73"/>
      <c r="AZ1244" s="73"/>
      <c r="BA1244" s="73"/>
      <c r="BB1244" s="73"/>
      <c r="BC1244" s="73"/>
      <c r="BD1244" s="73"/>
      <c r="BE1244" s="73"/>
      <c r="BF1244" s="73"/>
      <c r="BG1244" s="73"/>
      <c r="BH1244" s="73"/>
      <c r="BI1244" s="73"/>
      <c r="BJ1244" s="73"/>
      <c r="BK1244" s="73"/>
      <c r="BL1244" s="73"/>
      <c r="BM1244" s="73"/>
      <c r="BN1244" s="73"/>
      <c r="BO1244" s="73"/>
      <c r="BP1244" s="73"/>
      <c r="BQ1244" s="73"/>
      <c r="BR1244" s="73"/>
      <c r="BS1244" s="73"/>
      <c r="BT1244" s="73"/>
      <c r="BU1244" s="73"/>
      <c r="BV1244" s="73"/>
      <c r="BW1244" s="73"/>
      <c r="BX1244" s="73"/>
      <c r="BY1244" s="73"/>
      <c r="BZ1244" s="73"/>
      <c r="CA1244" s="73"/>
      <c r="CB1244" s="73"/>
      <c r="CC1244" s="73"/>
      <c r="CD1244" s="73"/>
      <c r="CE1244" s="73"/>
      <c r="CF1244" s="73"/>
      <c r="CG1244" s="73"/>
      <c r="CH1244" s="73"/>
    </row>
    <row r="1245">
      <c r="A1245" s="80"/>
      <c r="B1245" s="80"/>
      <c r="C1245" s="80"/>
      <c r="D1245" s="80"/>
      <c r="E1245" s="124"/>
      <c r="F1245" s="80"/>
      <c r="G1245" s="80"/>
      <c r="H1245" s="80"/>
      <c r="I1245" s="80"/>
      <c r="J1245" s="196"/>
      <c r="K1245" s="196"/>
      <c r="L1245" s="196"/>
      <c r="M1245" s="196"/>
      <c r="N1245" s="196"/>
      <c r="O1245" s="196"/>
      <c r="P1245" s="196"/>
      <c r="Q1245" s="196"/>
      <c r="R1245" s="196"/>
      <c r="S1245" s="196"/>
      <c r="T1245" s="196"/>
      <c r="U1245" s="196"/>
      <c r="V1245" s="196"/>
      <c r="W1245" s="196"/>
      <c r="X1245" s="196"/>
      <c r="Y1245" s="196"/>
      <c r="Z1245" s="196"/>
      <c r="AA1245" s="196"/>
      <c r="AB1245" s="196"/>
      <c r="AC1245" s="196"/>
      <c r="AD1245" s="196"/>
      <c r="AE1245" s="196"/>
      <c r="AF1245" s="196"/>
      <c r="AG1245" s="196"/>
      <c r="AH1245" s="196"/>
      <c r="AI1245" s="196"/>
      <c r="AJ1245" s="197"/>
      <c r="AK1245" s="80"/>
      <c r="AL1245" s="80"/>
      <c r="AM1245" s="73"/>
      <c r="AN1245" s="73"/>
      <c r="AO1245" s="73"/>
      <c r="AP1245" s="73"/>
      <c r="AQ1245" s="73"/>
      <c r="AR1245" s="73"/>
      <c r="AS1245" s="73"/>
      <c r="AT1245" s="73"/>
      <c r="AU1245" s="73"/>
      <c r="AV1245" s="73"/>
      <c r="AW1245" s="73"/>
      <c r="AX1245" s="73"/>
      <c r="AY1245" s="73"/>
      <c r="AZ1245" s="73"/>
      <c r="BA1245" s="73"/>
      <c r="BB1245" s="73"/>
      <c r="BC1245" s="73"/>
      <c r="BD1245" s="73"/>
      <c r="BE1245" s="73"/>
      <c r="BF1245" s="73"/>
      <c r="BG1245" s="73"/>
      <c r="BH1245" s="73"/>
      <c r="BI1245" s="73"/>
      <c r="BJ1245" s="73"/>
      <c r="BK1245" s="73"/>
      <c r="BL1245" s="73"/>
      <c r="BM1245" s="73"/>
      <c r="BN1245" s="73"/>
      <c r="BO1245" s="73"/>
      <c r="BP1245" s="73"/>
      <c r="BQ1245" s="73"/>
      <c r="BR1245" s="73"/>
      <c r="BS1245" s="73"/>
      <c r="BT1245" s="73"/>
      <c r="BU1245" s="73"/>
      <c r="BV1245" s="73"/>
      <c r="BW1245" s="73"/>
      <c r="BX1245" s="73"/>
      <c r="BY1245" s="73"/>
      <c r="BZ1245" s="73"/>
      <c r="CA1245" s="73"/>
      <c r="CB1245" s="73"/>
      <c r="CC1245" s="73"/>
      <c r="CD1245" s="73"/>
      <c r="CE1245" s="73"/>
      <c r="CF1245" s="73"/>
      <c r="CG1245" s="73"/>
      <c r="CH1245" s="73"/>
    </row>
    <row r="1246">
      <c r="A1246" s="80"/>
      <c r="B1246" s="80"/>
      <c r="C1246" s="80"/>
      <c r="D1246" s="80"/>
      <c r="E1246" s="124"/>
      <c r="F1246" s="80"/>
      <c r="G1246" s="80"/>
      <c r="H1246" s="80"/>
      <c r="I1246" s="80"/>
      <c r="J1246" s="196"/>
      <c r="K1246" s="196"/>
      <c r="L1246" s="196"/>
      <c r="M1246" s="196"/>
      <c r="N1246" s="196"/>
      <c r="O1246" s="196"/>
      <c r="P1246" s="196"/>
      <c r="Q1246" s="196"/>
      <c r="R1246" s="196"/>
      <c r="S1246" s="196"/>
      <c r="T1246" s="196"/>
      <c r="U1246" s="196"/>
      <c r="V1246" s="196"/>
      <c r="W1246" s="196"/>
      <c r="X1246" s="196"/>
      <c r="Y1246" s="196"/>
      <c r="Z1246" s="196"/>
      <c r="AA1246" s="196"/>
      <c r="AB1246" s="196"/>
      <c r="AC1246" s="196"/>
      <c r="AD1246" s="196"/>
      <c r="AE1246" s="196"/>
      <c r="AF1246" s="196"/>
      <c r="AG1246" s="196"/>
      <c r="AH1246" s="196"/>
      <c r="AI1246" s="196"/>
      <c r="AJ1246" s="197"/>
      <c r="AK1246" s="80"/>
      <c r="AL1246" s="80"/>
      <c r="AM1246" s="73"/>
      <c r="AN1246" s="73"/>
      <c r="AO1246" s="73"/>
      <c r="AP1246" s="73"/>
      <c r="AQ1246" s="73"/>
      <c r="AR1246" s="73"/>
      <c r="AS1246" s="73"/>
      <c r="AT1246" s="73"/>
      <c r="AU1246" s="73"/>
      <c r="AV1246" s="73"/>
      <c r="AW1246" s="73"/>
      <c r="AX1246" s="73"/>
      <c r="AY1246" s="73"/>
      <c r="AZ1246" s="73"/>
      <c r="BA1246" s="73"/>
      <c r="BB1246" s="73"/>
      <c r="BC1246" s="73"/>
      <c r="BD1246" s="73"/>
      <c r="BE1246" s="73"/>
      <c r="BF1246" s="73"/>
      <c r="BG1246" s="73"/>
      <c r="BH1246" s="73"/>
      <c r="BI1246" s="73"/>
      <c r="BJ1246" s="73"/>
      <c r="BK1246" s="73"/>
      <c r="BL1246" s="73"/>
      <c r="BM1246" s="73"/>
      <c r="BN1246" s="73"/>
      <c r="BO1246" s="73"/>
      <c r="BP1246" s="73"/>
      <c r="BQ1246" s="73"/>
      <c r="BR1246" s="73"/>
      <c r="BS1246" s="73"/>
      <c r="BT1246" s="73"/>
      <c r="BU1246" s="73"/>
      <c r="BV1246" s="73"/>
      <c r="BW1246" s="73"/>
      <c r="BX1246" s="73"/>
      <c r="BY1246" s="73"/>
      <c r="BZ1246" s="73"/>
      <c r="CA1246" s="73"/>
      <c r="CB1246" s="73"/>
      <c r="CC1246" s="73"/>
      <c r="CD1246" s="73"/>
      <c r="CE1246" s="73"/>
      <c r="CF1246" s="73"/>
      <c r="CG1246" s="73"/>
      <c r="CH1246" s="73"/>
    </row>
    <row r="1247">
      <c r="A1247" s="80"/>
      <c r="B1247" s="80"/>
      <c r="C1247" s="80"/>
      <c r="D1247" s="80"/>
      <c r="E1247" s="124"/>
      <c r="F1247" s="80"/>
      <c r="G1247" s="80"/>
      <c r="H1247" s="80"/>
      <c r="I1247" s="80"/>
      <c r="J1247" s="196"/>
      <c r="K1247" s="196"/>
      <c r="L1247" s="196"/>
      <c r="M1247" s="196"/>
      <c r="N1247" s="196"/>
      <c r="O1247" s="196"/>
      <c r="P1247" s="196"/>
      <c r="Q1247" s="196"/>
      <c r="R1247" s="196"/>
      <c r="S1247" s="196"/>
      <c r="T1247" s="196"/>
      <c r="U1247" s="196"/>
      <c r="V1247" s="196"/>
      <c r="W1247" s="196"/>
      <c r="X1247" s="196"/>
      <c r="Y1247" s="196"/>
      <c r="Z1247" s="196"/>
      <c r="AA1247" s="196"/>
      <c r="AB1247" s="196"/>
      <c r="AC1247" s="196"/>
      <c r="AD1247" s="196"/>
      <c r="AE1247" s="196"/>
      <c r="AF1247" s="196"/>
      <c r="AG1247" s="196"/>
      <c r="AH1247" s="196"/>
      <c r="AI1247" s="196"/>
      <c r="AJ1247" s="197"/>
      <c r="AK1247" s="80"/>
      <c r="AL1247" s="80"/>
      <c r="AM1247" s="73"/>
      <c r="AN1247" s="73"/>
      <c r="AO1247" s="73"/>
      <c r="AP1247" s="73"/>
      <c r="AQ1247" s="73"/>
      <c r="AR1247" s="73"/>
      <c r="AS1247" s="73"/>
      <c r="AT1247" s="73"/>
      <c r="AU1247" s="73"/>
      <c r="AV1247" s="73"/>
      <c r="AW1247" s="73"/>
      <c r="AX1247" s="73"/>
      <c r="AY1247" s="73"/>
      <c r="AZ1247" s="73"/>
      <c r="BA1247" s="73"/>
      <c r="BB1247" s="73"/>
      <c r="BC1247" s="73"/>
      <c r="BD1247" s="73"/>
      <c r="BE1247" s="73"/>
      <c r="BF1247" s="73"/>
      <c r="BG1247" s="73"/>
      <c r="BH1247" s="73"/>
      <c r="BI1247" s="73"/>
      <c r="BJ1247" s="73"/>
      <c r="BK1247" s="73"/>
      <c r="BL1247" s="73"/>
      <c r="BM1247" s="73"/>
      <c r="BN1247" s="73"/>
      <c r="BO1247" s="73"/>
      <c r="BP1247" s="73"/>
      <c r="BQ1247" s="73"/>
      <c r="BR1247" s="73"/>
      <c r="BS1247" s="73"/>
      <c r="BT1247" s="73"/>
      <c r="BU1247" s="73"/>
      <c r="BV1247" s="73"/>
      <c r="BW1247" s="73"/>
      <c r="BX1247" s="73"/>
      <c r="BY1247" s="73"/>
      <c r="BZ1247" s="73"/>
      <c r="CA1247" s="73"/>
      <c r="CB1247" s="73"/>
      <c r="CC1247" s="73"/>
      <c r="CD1247" s="73"/>
      <c r="CE1247" s="73"/>
      <c r="CF1247" s="73"/>
      <c r="CG1247" s="73"/>
      <c r="CH1247" s="73"/>
    </row>
    <row r="1248">
      <c r="A1248" s="80"/>
      <c r="B1248" s="80"/>
      <c r="C1248" s="80"/>
      <c r="D1248" s="80"/>
      <c r="E1248" s="124"/>
      <c r="F1248" s="80"/>
      <c r="G1248" s="80"/>
      <c r="H1248" s="80"/>
      <c r="I1248" s="80"/>
      <c r="J1248" s="196"/>
      <c r="K1248" s="196"/>
      <c r="L1248" s="196"/>
      <c r="M1248" s="196"/>
      <c r="N1248" s="196"/>
      <c r="O1248" s="196"/>
      <c r="P1248" s="196"/>
      <c r="Q1248" s="196"/>
      <c r="R1248" s="196"/>
      <c r="S1248" s="196"/>
      <c r="T1248" s="196"/>
      <c r="U1248" s="196"/>
      <c r="V1248" s="196"/>
      <c r="W1248" s="196"/>
      <c r="X1248" s="196"/>
      <c r="Y1248" s="196"/>
      <c r="Z1248" s="196"/>
      <c r="AA1248" s="196"/>
      <c r="AB1248" s="196"/>
      <c r="AC1248" s="196"/>
      <c r="AD1248" s="196"/>
      <c r="AE1248" s="196"/>
      <c r="AF1248" s="196"/>
      <c r="AG1248" s="196"/>
      <c r="AH1248" s="196"/>
      <c r="AI1248" s="196"/>
      <c r="AJ1248" s="197"/>
      <c r="AK1248" s="80"/>
      <c r="AL1248" s="80"/>
      <c r="AM1248" s="73"/>
      <c r="AN1248" s="73"/>
      <c r="AO1248" s="73"/>
      <c r="AP1248" s="73"/>
      <c r="AQ1248" s="73"/>
      <c r="AR1248" s="73"/>
      <c r="AS1248" s="73"/>
      <c r="AT1248" s="73"/>
      <c r="AU1248" s="73"/>
      <c r="AV1248" s="73"/>
      <c r="AW1248" s="73"/>
      <c r="AX1248" s="73"/>
      <c r="AY1248" s="73"/>
      <c r="AZ1248" s="73"/>
      <c r="BA1248" s="73"/>
      <c r="BB1248" s="73"/>
      <c r="BC1248" s="73"/>
      <c r="BD1248" s="73"/>
      <c r="BE1248" s="73"/>
      <c r="BF1248" s="73"/>
      <c r="BG1248" s="73"/>
      <c r="BH1248" s="73"/>
      <c r="BI1248" s="73"/>
      <c r="BJ1248" s="73"/>
      <c r="BK1248" s="73"/>
      <c r="BL1248" s="73"/>
      <c r="BM1248" s="73"/>
      <c r="BN1248" s="73"/>
      <c r="BO1248" s="73"/>
      <c r="BP1248" s="73"/>
      <c r="BQ1248" s="73"/>
      <c r="BR1248" s="73"/>
      <c r="BS1248" s="73"/>
      <c r="BT1248" s="73"/>
      <c r="BU1248" s="73"/>
      <c r="BV1248" s="73"/>
      <c r="BW1248" s="73"/>
      <c r="BX1248" s="73"/>
      <c r="BY1248" s="73"/>
      <c r="BZ1248" s="73"/>
      <c r="CA1248" s="73"/>
      <c r="CB1248" s="73"/>
      <c r="CC1248" s="73"/>
      <c r="CD1248" s="73"/>
      <c r="CE1248" s="73"/>
      <c r="CF1248" s="73"/>
      <c r="CG1248" s="73"/>
      <c r="CH1248" s="73"/>
    </row>
    <row r="1249">
      <c r="A1249" s="80"/>
      <c r="B1249" s="80"/>
      <c r="C1249" s="80"/>
      <c r="D1249" s="80"/>
      <c r="E1249" s="124"/>
      <c r="F1249" s="80"/>
      <c r="G1249" s="80"/>
      <c r="H1249" s="80"/>
      <c r="I1249" s="80"/>
      <c r="J1249" s="196"/>
      <c r="K1249" s="196"/>
      <c r="L1249" s="196"/>
      <c r="M1249" s="196"/>
      <c r="N1249" s="196"/>
      <c r="O1249" s="196"/>
      <c r="P1249" s="196"/>
      <c r="Q1249" s="196"/>
      <c r="R1249" s="196"/>
      <c r="S1249" s="196"/>
      <c r="T1249" s="196"/>
      <c r="U1249" s="196"/>
      <c r="V1249" s="196"/>
      <c r="W1249" s="196"/>
      <c r="X1249" s="196"/>
      <c r="Y1249" s="196"/>
      <c r="Z1249" s="196"/>
      <c r="AA1249" s="196"/>
      <c r="AB1249" s="196"/>
      <c r="AC1249" s="196"/>
      <c r="AD1249" s="196"/>
      <c r="AE1249" s="196"/>
      <c r="AF1249" s="196"/>
      <c r="AG1249" s="196"/>
      <c r="AH1249" s="196"/>
      <c r="AI1249" s="196"/>
      <c r="AJ1249" s="197"/>
      <c r="AK1249" s="80"/>
      <c r="AL1249" s="80"/>
      <c r="AM1249" s="73"/>
      <c r="AN1249" s="73"/>
      <c r="AO1249" s="73"/>
      <c r="AP1249" s="73"/>
      <c r="AQ1249" s="73"/>
      <c r="AR1249" s="73"/>
      <c r="AS1249" s="73"/>
      <c r="AT1249" s="73"/>
      <c r="AU1249" s="73"/>
      <c r="AV1249" s="73"/>
      <c r="AW1249" s="73"/>
      <c r="AX1249" s="73"/>
      <c r="AY1249" s="73"/>
      <c r="AZ1249" s="73"/>
      <c r="BA1249" s="73"/>
      <c r="BB1249" s="73"/>
      <c r="BC1249" s="73"/>
      <c r="BD1249" s="73"/>
      <c r="BE1249" s="73"/>
      <c r="BF1249" s="73"/>
      <c r="BG1249" s="73"/>
      <c r="BH1249" s="73"/>
      <c r="BI1249" s="73"/>
      <c r="BJ1249" s="73"/>
      <c r="BK1249" s="73"/>
      <c r="BL1249" s="73"/>
      <c r="BM1249" s="73"/>
      <c r="BN1249" s="73"/>
      <c r="BO1249" s="73"/>
      <c r="BP1249" s="73"/>
      <c r="BQ1249" s="73"/>
      <c r="BR1249" s="73"/>
      <c r="BS1249" s="73"/>
      <c r="BT1249" s="73"/>
      <c r="BU1249" s="73"/>
      <c r="BV1249" s="73"/>
      <c r="BW1249" s="73"/>
      <c r="BX1249" s="73"/>
      <c r="BY1249" s="73"/>
      <c r="BZ1249" s="73"/>
      <c r="CA1249" s="73"/>
      <c r="CB1249" s="73"/>
      <c r="CC1249" s="73"/>
      <c r="CD1249" s="73"/>
      <c r="CE1249" s="73"/>
      <c r="CF1249" s="73"/>
      <c r="CG1249" s="73"/>
      <c r="CH1249" s="73"/>
    </row>
    <row r="1250">
      <c r="A1250" s="80"/>
      <c r="B1250" s="80"/>
      <c r="C1250" s="80"/>
      <c r="D1250" s="80"/>
      <c r="E1250" s="124"/>
      <c r="F1250" s="80"/>
      <c r="G1250" s="80"/>
      <c r="H1250" s="80"/>
      <c r="I1250" s="80"/>
      <c r="J1250" s="196"/>
      <c r="K1250" s="196"/>
      <c r="L1250" s="196"/>
      <c r="M1250" s="196"/>
      <c r="N1250" s="196"/>
      <c r="O1250" s="196"/>
      <c r="P1250" s="196"/>
      <c r="Q1250" s="196"/>
      <c r="R1250" s="196"/>
      <c r="S1250" s="196"/>
      <c r="T1250" s="196"/>
      <c r="U1250" s="196"/>
      <c r="V1250" s="196"/>
      <c r="W1250" s="196"/>
      <c r="X1250" s="196"/>
      <c r="Y1250" s="196"/>
      <c r="Z1250" s="196"/>
      <c r="AA1250" s="196"/>
      <c r="AB1250" s="196"/>
      <c r="AC1250" s="196"/>
      <c r="AD1250" s="196"/>
      <c r="AE1250" s="196"/>
      <c r="AF1250" s="196"/>
      <c r="AG1250" s="196"/>
      <c r="AH1250" s="196"/>
      <c r="AI1250" s="196"/>
      <c r="AJ1250" s="197"/>
      <c r="AK1250" s="80"/>
      <c r="AL1250" s="80"/>
      <c r="AM1250" s="73"/>
      <c r="AN1250" s="73"/>
      <c r="AO1250" s="73"/>
      <c r="AP1250" s="73"/>
      <c r="AQ1250" s="73"/>
      <c r="AR1250" s="73"/>
      <c r="AS1250" s="73"/>
      <c r="AT1250" s="73"/>
      <c r="AU1250" s="73"/>
      <c r="AV1250" s="73"/>
      <c r="AW1250" s="73"/>
      <c r="AX1250" s="73"/>
      <c r="AY1250" s="73"/>
      <c r="AZ1250" s="73"/>
      <c r="BA1250" s="73"/>
      <c r="BB1250" s="73"/>
      <c r="BC1250" s="73"/>
      <c r="BD1250" s="73"/>
      <c r="BE1250" s="73"/>
      <c r="BF1250" s="73"/>
      <c r="BG1250" s="73"/>
      <c r="BH1250" s="73"/>
      <c r="BI1250" s="73"/>
      <c r="BJ1250" s="73"/>
      <c r="BK1250" s="73"/>
      <c r="BL1250" s="73"/>
      <c r="BM1250" s="73"/>
      <c r="BN1250" s="73"/>
      <c r="BO1250" s="73"/>
      <c r="BP1250" s="73"/>
      <c r="BQ1250" s="73"/>
      <c r="BR1250" s="73"/>
      <c r="BS1250" s="73"/>
      <c r="BT1250" s="73"/>
      <c r="BU1250" s="73"/>
      <c r="BV1250" s="73"/>
      <c r="BW1250" s="73"/>
      <c r="BX1250" s="73"/>
      <c r="BY1250" s="73"/>
      <c r="BZ1250" s="73"/>
      <c r="CA1250" s="73"/>
      <c r="CB1250" s="73"/>
      <c r="CC1250" s="73"/>
      <c r="CD1250" s="73"/>
      <c r="CE1250" s="73"/>
      <c r="CF1250" s="73"/>
      <c r="CG1250" s="73"/>
      <c r="CH1250" s="73"/>
    </row>
    <row r="1251">
      <c r="A1251" s="80"/>
      <c r="B1251" s="80"/>
      <c r="C1251" s="80"/>
      <c r="D1251" s="80"/>
      <c r="E1251" s="124"/>
      <c r="F1251" s="80"/>
      <c r="G1251" s="80"/>
      <c r="H1251" s="80"/>
      <c r="I1251" s="80"/>
      <c r="J1251" s="196"/>
      <c r="K1251" s="196"/>
      <c r="L1251" s="196"/>
      <c r="M1251" s="196"/>
      <c r="N1251" s="196"/>
      <c r="O1251" s="196"/>
      <c r="P1251" s="196"/>
      <c r="Q1251" s="196"/>
      <c r="R1251" s="196"/>
      <c r="S1251" s="196"/>
      <c r="T1251" s="196"/>
      <c r="U1251" s="196"/>
      <c r="V1251" s="196"/>
      <c r="W1251" s="196"/>
      <c r="X1251" s="196"/>
      <c r="Y1251" s="196"/>
      <c r="Z1251" s="196"/>
      <c r="AA1251" s="196"/>
      <c r="AB1251" s="196"/>
      <c r="AC1251" s="196"/>
      <c r="AD1251" s="196"/>
      <c r="AE1251" s="196"/>
      <c r="AF1251" s="196"/>
      <c r="AG1251" s="196"/>
      <c r="AH1251" s="196"/>
      <c r="AI1251" s="196"/>
      <c r="AJ1251" s="197"/>
      <c r="AK1251" s="80"/>
      <c r="AL1251" s="80"/>
      <c r="AM1251" s="73"/>
      <c r="AN1251" s="73"/>
      <c r="AO1251" s="73"/>
      <c r="AP1251" s="73"/>
      <c r="AQ1251" s="73"/>
      <c r="AR1251" s="73"/>
      <c r="AS1251" s="73"/>
      <c r="AT1251" s="73"/>
      <c r="AU1251" s="73"/>
      <c r="AV1251" s="73"/>
      <c r="AW1251" s="73"/>
      <c r="AX1251" s="73"/>
      <c r="AY1251" s="73"/>
      <c r="AZ1251" s="73"/>
      <c r="BA1251" s="73"/>
      <c r="BB1251" s="73"/>
      <c r="BC1251" s="73"/>
      <c r="BD1251" s="73"/>
      <c r="BE1251" s="73"/>
      <c r="BF1251" s="73"/>
      <c r="BG1251" s="73"/>
      <c r="BH1251" s="73"/>
      <c r="BI1251" s="73"/>
      <c r="BJ1251" s="73"/>
      <c r="BK1251" s="73"/>
      <c r="BL1251" s="73"/>
      <c r="BM1251" s="73"/>
      <c r="BN1251" s="73"/>
      <c r="BO1251" s="73"/>
      <c r="BP1251" s="73"/>
      <c r="BQ1251" s="73"/>
      <c r="BR1251" s="73"/>
      <c r="BS1251" s="73"/>
      <c r="BT1251" s="73"/>
      <c r="BU1251" s="73"/>
      <c r="BV1251" s="73"/>
      <c r="BW1251" s="73"/>
      <c r="BX1251" s="73"/>
      <c r="BY1251" s="73"/>
      <c r="BZ1251" s="73"/>
      <c r="CA1251" s="73"/>
      <c r="CB1251" s="73"/>
      <c r="CC1251" s="73"/>
      <c r="CD1251" s="73"/>
      <c r="CE1251" s="73"/>
      <c r="CF1251" s="73"/>
      <c r="CG1251" s="73"/>
      <c r="CH1251" s="73"/>
    </row>
    <row r="1252">
      <c r="A1252" s="80"/>
      <c r="B1252" s="80"/>
      <c r="C1252" s="80"/>
      <c r="D1252" s="80"/>
      <c r="E1252" s="124"/>
      <c r="F1252" s="80"/>
      <c r="G1252" s="80"/>
      <c r="H1252" s="80"/>
      <c r="I1252" s="80"/>
      <c r="J1252" s="196"/>
      <c r="K1252" s="196"/>
      <c r="L1252" s="196"/>
      <c r="M1252" s="196"/>
      <c r="N1252" s="196"/>
      <c r="O1252" s="196"/>
      <c r="P1252" s="196"/>
      <c r="Q1252" s="196"/>
      <c r="R1252" s="196"/>
      <c r="S1252" s="196"/>
      <c r="T1252" s="196"/>
      <c r="U1252" s="196"/>
      <c r="V1252" s="196"/>
      <c r="W1252" s="196"/>
      <c r="X1252" s="196"/>
      <c r="Y1252" s="196"/>
      <c r="Z1252" s="196"/>
      <c r="AA1252" s="196"/>
      <c r="AB1252" s="196"/>
      <c r="AC1252" s="196"/>
      <c r="AD1252" s="196"/>
      <c r="AE1252" s="196"/>
      <c r="AF1252" s="196"/>
      <c r="AG1252" s="196"/>
      <c r="AH1252" s="196"/>
      <c r="AI1252" s="196"/>
      <c r="AJ1252" s="197"/>
      <c r="AK1252" s="80"/>
      <c r="AL1252" s="80"/>
      <c r="AM1252" s="73"/>
      <c r="AN1252" s="73"/>
      <c r="AO1252" s="73"/>
      <c r="AP1252" s="73"/>
      <c r="AQ1252" s="73"/>
      <c r="AR1252" s="73"/>
      <c r="AS1252" s="73"/>
      <c r="AT1252" s="73"/>
      <c r="AU1252" s="73"/>
      <c r="AV1252" s="73"/>
      <c r="AW1252" s="73"/>
      <c r="AX1252" s="73"/>
      <c r="AY1252" s="73"/>
      <c r="AZ1252" s="73"/>
      <c r="BA1252" s="73"/>
      <c r="BB1252" s="73"/>
      <c r="BC1252" s="73"/>
      <c r="BD1252" s="73"/>
      <c r="BE1252" s="73"/>
      <c r="BF1252" s="73"/>
      <c r="BG1252" s="73"/>
      <c r="BH1252" s="73"/>
      <c r="BI1252" s="73"/>
      <c r="BJ1252" s="73"/>
      <c r="BK1252" s="73"/>
      <c r="BL1252" s="73"/>
      <c r="BM1252" s="73"/>
      <c r="BN1252" s="73"/>
      <c r="BO1252" s="73"/>
      <c r="BP1252" s="73"/>
      <c r="BQ1252" s="73"/>
      <c r="BR1252" s="73"/>
      <c r="BS1252" s="73"/>
      <c r="BT1252" s="73"/>
      <c r="BU1252" s="73"/>
      <c r="BV1252" s="73"/>
      <c r="BW1252" s="73"/>
      <c r="BX1252" s="73"/>
      <c r="BY1252" s="73"/>
      <c r="BZ1252" s="73"/>
      <c r="CA1252" s="73"/>
      <c r="CB1252" s="73"/>
      <c r="CC1252" s="73"/>
      <c r="CD1252" s="73"/>
      <c r="CE1252" s="73"/>
      <c r="CF1252" s="73"/>
      <c r="CG1252" s="73"/>
      <c r="CH1252" s="73"/>
    </row>
    <row r="1253">
      <c r="A1253" s="80"/>
      <c r="B1253" s="80"/>
      <c r="C1253" s="80"/>
      <c r="D1253" s="80"/>
      <c r="E1253" s="124"/>
      <c r="F1253" s="80"/>
      <c r="G1253" s="80"/>
      <c r="H1253" s="80"/>
      <c r="I1253" s="80"/>
      <c r="J1253" s="196"/>
      <c r="K1253" s="196"/>
      <c r="L1253" s="196"/>
      <c r="M1253" s="196"/>
      <c r="N1253" s="196"/>
      <c r="O1253" s="196"/>
      <c r="P1253" s="196"/>
      <c r="Q1253" s="196"/>
      <c r="R1253" s="196"/>
      <c r="S1253" s="196"/>
      <c r="T1253" s="196"/>
      <c r="U1253" s="196"/>
      <c r="V1253" s="196"/>
      <c r="W1253" s="196"/>
      <c r="X1253" s="196"/>
      <c r="Y1253" s="196"/>
      <c r="Z1253" s="196"/>
      <c r="AA1253" s="196"/>
      <c r="AB1253" s="196"/>
      <c r="AC1253" s="196"/>
      <c r="AD1253" s="196"/>
      <c r="AE1253" s="196"/>
      <c r="AF1253" s="196"/>
      <c r="AG1253" s="196"/>
      <c r="AH1253" s="196"/>
      <c r="AI1253" s="196"/>
      <c r="AJ1253" s="197"/>
      <c r="AK1253" s="80"/>
      <c r="AL1253" s="80"/>
      <c r="AM1253" s="73"/>
      <c r="AN1253" s="73"/>
      <c r="AO1253" s="73"/>
      <c r="AP1253" s="73"/>
      <c r="AQ1253" s="73"/>
      <c r="AR1253" s="73"/>
      <c r="AS1253" s="73"/>
      <c r="AT1253" s="73"/>
      <c r="AU1253" s="73"/>
      <c r="AV1253" s="73"/>
      <c r="AW1253" s="73"/>
      <c r="AX1253" s="73"/>
      <c r="AY1253" s="73"/>
      <c r="AZ1253" s="73"/>
      <c r="BA1253" s="73"/>
      <c r="BB1253" s="73"/>
      <c r="BC1253" s="73"/>
      <c r="BD1253" s="73"/>
      <c r="BE1253" s="73"/>
      <c r="BF1253" s="73"/>
      <c r="BG1253" s="73"/>
      <c r="BH1253" s="73"/>
      <c r="BI1253" s="73"/>
      <c r="BJ1253" s="73"/>
      <c r="BK1253" s="73"/>
      <c r="BL1253" s="73"/>
      <c r="BM1253" s="73"/>
      <c r="BN1253" s="73"/>
      <c r="BO1253" s="73"/>
      <c r="BP1253" s="73"/>
      <c r="BQ1253" s="73"/>
      <c r="BR1253" s="73"/>
      <c r="BS1253" s="73"/>
      <c r="BT1253" s="73"/>
      <c r="BU1253" s="73"/>
      <c r="BV1253" s="73"/>
      <c r="BW1253" s="73"/>
      <c r="BX1253" s="73"/>
      <c r="BY1253" s="73"/>
      <c r="BZ1253" s="73"/>
      <c r="CA1253" s="73"/>
      <c r="CB1253" s="73"/>
      <c r="CC1253" s="73"/>
      <c r="CD1253" s="73"/>
      <c r="CE1253" s="73"/>
      <c r="CF1253" s="73"/>
      <c r="CG1253" s="73"/>
      <c r="CH1253" s="73"/>
    </row>
    <row r="1254">
      <c r="A1254" s="80"/>
      <c r="B1254" s="80"/>
      <c r="C1254" s="80"/>
      <c r="D1254" s="80"/>
      <c r="E1254" s="124"/>
      <c r="F1254" s="80"/>
      <c r="G1254" s="80"/>
      <c r="H1254" s="80"/>
      <c r="I1254" s="80"/>
      <c r="J1254" s="196"/>
      <c r="K1254" s="196"/>
      <c r="L1254" s="196"/>
      <c r="M1254" s="196"/>
      <c r="N1254" s="196"/>
      <c r="O1254" s="196"/>
      <c r="P1254" s="196"/>
      <c r="Q1254" s="196"/>
      <c r="R1254" s="196"/>
      <c r="S1254" s="196"/>
      <c r="T1254" s="196"/>
      <c r="U1254" s="196"/>
      <c r="V1254" s="196"/>
      <c r="W1254" s="196"/>
      <c r="X1254" s="196"/>
      <c r="Y1254" s="196"/>
      <c r="Z1254" s="196"/>
      <c r="AA1254" s="196"/>
      <c r="AB1254" s="196"/>
      <c r="AC1254" s="196"/>
      <c r="AD1254" s="196"/>
      <c r="AE1254" s="196"/>
      <c r="AF1254" s="196"/>
      <c r="AG1254" s="196"/>
      <c r="AH1254" s="196"/>
      <c r="AI1254" s="196"/>
      <c r="AJ1254" s="197"/>
      <c r="AK1254" s="80"/>
      <c r="AL1254" s="80"/>
      <c r="AM1254" s="73"/>
      <c r="AN1254" s="73"/>
      <c r="AO1254" s="73"/>
      <c r="AP1254" s="73"/>
      <c r="AQ1254" s="73"/>
      <c r="AR1254" s="73"/>
      <c r="AS1254" s="73"/>
      <c r="AT1254" s="73"/>
      <c r="AU1254" s="73"/>
      <c r="AV1254" s="73"/>
      <c r="AW1254" s="73"/>
      <c r="AX1254" s="73"/>
      <c r="AY1254" s="73"/>
      <c r="AZ1254" s="73"/>
      <c r="BA1254" s="73"/>
      <c r="BB1254" s="73"/>
      <c r="BC1254" s="73"/>
      <c r="BD1254" s="73"/>
      <c r="BE1254" s="73"/>
      <c r="BF1254" s="73"/>
      <c r="BG1254" s="73"/>
      <c r="BH1254" s="73"/>
      <c r="BI1254" s="73"/>
      <c r="BJ1254" s="73"/>
      <c r="BK1254" s="73"/>
      <c r="BL1254" s="73"/>
      <c r="BM1254" s="73"/>
      <c r="BN1254" s="73"/>
      <c r="BO1254" s="73"/>
      <c r="BP1254" s="73"/>
      <c r="BQ1254" s="73"/>
      <c r="BR1254" s="73"/>
      <c r="BS1254" s="73"/>
      <c r="BT1254" s="73"/>
      <c r="BU1254" s="73"/>
      <c r="BV1254" s="73"/>
      <c r="BW1254" s="73"/>
      <c r="BX1254" s="73"/>
      <c r="BY1254" s="73"/>
      <c r="BZ1254" s="73"/>
      <c r="CA1254" s="73"/>
      <c r="CB1254" s="73"/>
      <c r="CC1254" s="73"/>
      <c r="CD1254" s="73"/>
      <c r="CE1254" s="73"/>
      <c r="CF1254" s="73"/>
      <c r="CG1254" s="73"/>
      <c r="CH1254" s="73"/>
    </row>
    <row r="1255">
      <c r="A1255" s="80"/>
      <c r="B1255" s="80"/>
      <c r="C1255" s="80"/>
      <c r="D1255" s="80"/>
      <c r="E1255" s="124"/>
      <c r="F1255" s="80"/>
      <c r="G1255" s="80"/>
      <c r="H1255" s="80"/>
      <c r="I1255" s="80"/>
      <c r="J1255" s="196"/>
      <c r="K1255" s="196"/>
      <c r="L1255" s="196"/>
      <c r="M1255" s="196"/>
      <c r="N1255" s="196"/>
      <c r="O1255" s="196"/>
      <c r="P1255" s="196"/>
      <c r="Q1255" s="196"/>
      <c r="R1255" s="196"/>
      <c r="S1255" s="196"/>
      <c r="T1255" s="196"/>
      <c r="U1255" s="196"/>
      <c r="V1255" s="196"/>
      <c r="W1255" s="196"/>
      <c r="X1255" s="196"/>
      <c r="Y1255" s="196"/>
      <c r="Z1255" s="196"/>
      <c r="AA1255" s="196"/>
      <c r="AB1255" s="196"/>
      <c r="AC1255" s="196"/>
      <c r="AD1255" s="196"/>
      <c r="AE1255" s="196"/>
      <c r="AF1255" s="196"/>
      <c r="AG1255" s="196"/>
      <c r="AH1255" s="196"/>
      <c r="AI1255" s="196"/>
      <c r="AJ1255" s="197"/>
      <c r="AK1255" s="80"/>
      <c r="AL1255" s="80"/>
      <c r="AM1255" s="73"/>
      <c r="AN1255" s="73"/>
      <c r="AO1255" s="73"/>
      <c r="AP1255" s="73"/>
      <c r="AQ1255" s="73"/>
      <c r="AR1255" s="73"/>
      <c r="AS1255" s="73"/>
      <c r="AT1255" s="73"/>
      <c r="AU1255" s="73"/>
      <c r="AV1255" s="73"/>
      <c r="AW1255" s="73"/>
      <c r="AX1255" s="73"/>
      <c r="AY1255" s="73"/>
      <c r="AZ1255" s="73"/>
      <c r="BA1255" s="73"/>
      <c r="BB1255" s="73"/>
      <c r="BC1255" s="73"/>
      <c r="BD1255" s="73"/>
      <c r="BE1255" s="73"/>
      <c r="BF1255" s="73"/>
      <c r="BG1255" s="73"/>
      <c r="BH1255" s="73"/>
      <c r="BI1255" s="73"/>
      <c r="BJ1255" s="73"/>
      <c r="BK1255" s="73"/>
      <c r="BL1255" s="73"/>
      <c r="BM1255" s="73"/>
      <c r="BN1255" s="73"/>
      <c r="BO1255" s="73"/>
      <c r="BP1255" s="73"/>
      <c r="BQ1255" s="73"/>
      <c r="BR1255" s="73"/>
      <c r="BS1255" s="73"/>
      <c r="BT1255" s="73"/>
      <c r="BU1255" s="73"/>
      <c r="BV1255" s="73"/>
      <c r="BW1255" s="73"/>
      <c r="BX1255" s="73"/>
      <c r="BY1255" s="73"/>
      <c r="BZ1255" s="73"/>
      <c r="CA1255" s="73"/>
      <c r="CB1255" s="73"/>
      <c r="CC1255" s="73"/>
      <c r="CD1255" s="73"/>
      <c r="CE1255" s="73"/>
      <c r="CF1255" s="73"/>
      <c r="CG1255" s="73"/>
      <c r="CH1255" s="73"/>
    </row>
    <row r="1256">
      <c r="A1256" s="80"/>
      <c r="B1256" s="80"/>
      <c r="C1256" s="80"/>
      <c r="D1256" s="80"/>
      <c r="E1256" s="124"/>
      <c r="F1256" s="80"/>
      <c r="G1256" s="80"/>
      <c r="H1256" s="80"/>
      <c r="I1256" s="80"/>
      <c r="J1256" s="196"/>
      <c r="K1256" s="196"/>
      <c r="L1256" s="196"/>
      <c r="M1256" s="196"/>
      <c r="N1256" s="196"/>
      <c r="O1256" s="196"/>
      <c r="P1256" s="196"/>
      <c r="Q1256" s="196"/>
      <c r="R1256" s="196"/>
      <c r="S1256" s="196"/>
      <c r="T1256" s="196"/>
      <c r="U1256" s="196"/>
      <c r="V1256" s="196"/>
      <c r="W1256" s="196"/>
      <c r="X1256" s="196"/>
      <c r="Y1256" s="196"/>
      <c r="Z1256" s="196"/>
      <c r="AA1256" s="196"/>
      <c r="AB1256" s="196"/>
      <c r="AC1256" s="196"/>
      <c r="AD1256" s="196"/>
      <c r="AE1256" s="196"/>
      <c r="AF1256" s="196"/>
      <c r="AG1256" s="196"/>
      <c r="AH1256" s="196"/>
      <c r="AI1256" s="196"/>
      <c r="AJ1256" s="197"/>
      <c r="AK1256" s="80"/>
      <c r="AL1256" s="80"/>
      <c r="AM1256" s="73"/>
      <c r="AN1256" s="73"/>
      <c r="AO1256" s="73"/>
      <c r="AP1256" s="73"/>
      <c r="AQ1256" s="73"/>
      <c r="AR1256" s="73"/>
      <c r="AS1256" s="73"/>
      <c r="AT1256" s="73"/>
      <c r="AU1256" s="73"/>
      <c r="AV1256" s="73"/>
      <c r="AW1256" s="73"/>
      <c r="AX1256" s="73"/>
      <c r="AY1256" s="73"/>
      <c r="AZ1256" s="73"/>
      <c r="BA1256" s="73"/>
      <c r="BB1256" s="73"/>
      <c r="BC1256" s="73"/>
      <c r="BD1256" s="73"/>
      <c r="BE1256" s="73"/>
      <c r="BF1256" s="73"/>
      <c r="BG1256" s="73"/>
      <c r="BH1256" s="73"/>
      <c r="BI1256" s="73"/>
      <c r="BJ1256" s="73"/>
      <c r="BK1256" s="73"/>
      <c r="BL1256" s="73"/>
      <c r="BM1256" s="73"/>
      <c r="BN1256" s="73"/>
      <c r="BO1256" s="73"/>
      <c r="BP1256" s="73"/>
      <c r="BQ1256" s="73"/>
      <c r="BR1256" s="73"/>
      <c r="BS1256" s="73"/>
      <c r="BT1256" s="73"/>
      <c r="BU1256" s="73"/>
      <c r="BV1256" s="73"/>
      <c r="BW1256" s="73"/>
      <c r="BX1256" s="73"/>
      <c r="BY1256" s="73"/>
      <c r="BZ1256" s="73"/>
      <c r="CA1256" s="73"/>
      <c r="CB1256" s="73"/>
      <c r="CC1256" s="73"/>
      <c r="CD1256" s="73"/>
      <c r="CE1256" s="73"/>
      <c r="CF1256" s="73"/>
      <c r="CG1256" s="73"/>
      <c r="CH1256" s="73"/>
    </row>
    <row r="1257">
      <c r="A1257" s="80"/>
      <c r="B1257" s="80"/>
      <c r="C1257" s="80"/>
      <c r="D1257" s="80"/>
      <c r="E1257" s="124"/>
      <c r="F1257" s="80"/>
      <c r="G1257" s="80"/>
      <c r="H1257" s="80"/>
      <c r="I1257" s="80"/>
      <c r="J1257" s="196"/>
      <c r="K1257" s="196"/>
      <c r="L1257" s="196"/>
      <c r="M1257" s="196"/>
      <c r="N1257" s="196"/>
      <c r="O1257" s="196"/>
      <c r="P1257" s="196"/>
      <c r="Q1257" s="196"/>
      <c r="R1257" s="196"/>
      <c r="S1257" s="196"/>
      <c r="T1257" s="196"/>
      <c r="U1257" s="196"/>
      <c r="V1257" s="196"/>
      <c r="W1257" s="196"/>
      <c r="X1257" s="196"/>
      <c r="Y1257" s="196"/>
      <c r="Z1257" s="196"/>
      <c r="AA1257" s="196"/>
      <c r="AB1257" s="196"/>
      <c r="AC1257" s="196"/>
      <c r="AD1257" s="196"/>
      <c r="AE1257" s="196"/>
      <c r="AF1257" s="196"/>
      <c r="AG1257" s="196"/>
      <c r="AH1257" s="196"/>
      <c r="AI1257" s="196"/>
      <c r="AJ1257" s="197"/>
      <c r="AK1257" s="80"/>
      <c r="AL1257" s="80"/>
      <c r="AM1257" s="73"/>
      <c r="AN1257" s="73"/>
      <c r="AO1257" s="73"/>
      <c r="AP1257" s="73"/>
      <c r="AQ1257" s="73"/>
      <c r="AR1257" s="73"/>
      <c r="AS1257" s="73"/>
      <c r="AT1257" s="73"/>
      <c r="AU1257" s="73"/>
      <c r="AV1257" s="73"/>
      <c r="AW1257" s="73"/>
      <c r="AX1257" s="73"/>
      <c r="AY1257" s="73"/>
      <c r="AZ1257" s="73"/>
      <c r="BA1257" s="73"/>
      <c r="BB1257" s="73"/>
      <c r="BC1257" s="73"/>
      <c r="BD1257" s="73"/>
      <c r="BE1257" s="73"/>
      <c r="BF1257" s="73"/>
      <c r="BG1257" s="73"/>
      <c r="BH1257" s="73"/>
      <c r="BI1257" s="73"/>
      <c r="BJ1257" s="73"/>
      <c r="BK1257" s="73"/>
      <c r="BL1257" s="73"/>
      <c r="BM1257" s="73"/>
      <c r="BN1257" s="73"/>
      <c r="BO1257" s="73"/>
      <c r="BP1257" s="73"/>
      <c r="BQ1257" s="73"/>
      <c r="BR1257" s="73"/>
      <c r="BS1257" s="73"/>
      <c r="BT1257" s="73"/>
      <c r="BU1257" s="73"/>
      <c r="BV1257" s="73"/>
      <c r="BW1257" s="73"/>
      <c r="BX1257" s="73"/>
      <c r="BY1257" s="73"/>
      <c r="BZ1257" s="73"/>
      <c r="CA1257" s="73"/>
      <c r="CB1257" s="73"/>
      <c r="CC1257" s="73"/>
      <c r="CD1257" s="73"/>
      <c r="CE1257" s="73"/>
      <c r="CF1257" s="73"/>
      <c r="CG1257" s="73"/>
      <c r="CH1257" s="73"/>
    </row>
    <row r="1258">
      <c r="A1258" s="80"/>
      <c r="B1258" s="80"/>
      <c r="C1258" s="80"/>
      <c r="D1258" s="80"/>
      <c r="E1258" s="124"/>
      <c r="F1258" s="80"/>
      <c r="G1258" s="80"/>
      <c r="H1258" s="80"/>
      <c r="I1258" s="80"/>
      <c r="J1258" s="196"/>
      <c r="K1258" s="196"/>
      <c r="L1258" s="196"/>
      <c r="M1258" s="196"/>
      <c r="N1258" s="196"/>
      <c r="O1258" s="196"/>
      <c r="P1258" s="196"/>
      <c r="Q1258" s="196"/>
      <c r="R1258" s="196"/>
      <c r="S1258" s="196"/>
      <c r="T1258" s="196"/>
      <c r="U1258" s="196"/>
      <c r="V1258" s="196"/>
      <c r="W1258" s="196"/>
      <c r="X1258" s="196"/>
      <c r="Y1258" s="196"/>
      <c r="Z1258" s="196"/>
      <c r="AA1258" s="196"/>
      <c r="AB1258" s="196"/>
      <c r="AC1258" s="196"/>
      <c r="AD1258" s="196"/>
      <c r="AE1258" s="196"/>
      <c r="AF1258" s="196"/>
      <c r="AG1258" s="196"/>
      <c r="AH1258" s="196"/>
      <c r="AI1258" s="196"/>
      <c r="AJ1258" s="197"/>
      <c r="AK1258" s="80"/>
      <c r="AL1258" s="80"/>
      <c r="AM1258" s="73"/>
      <c r="AN1258" s="73"/>
      <c r="AO1258" s="73"/>
      <c r="AP1258" s="73"/>
      <c r="AQ1258" s="73"/>
      <c r="AR1258" s="73"/>
      <c r="AS1258" s="73"/>
      <c r="AT1258" s="73"/>
      <c r="AU1258" s="73"/>
      <c r="AV1258" s="73"/>
      <c r="AW1258" s="73"/>
      <c r="AX1258" s="73"/>
      <c r="AY1258" s="73"/>
      <c r="AZ1258" s="73"/>
      <c r="BA1258" s="73"/>
      <c r="BB1258" s="73"/>
      <c r="BC1258" s="73"/>
      <c r="BD1258" s="73"/>
      <c r="BE1258" s="73"/>
      <c r="BF1258" s="73"/>
      <c r="BG1258" s="73"/>
      <c r="BH1258" s="73"/>
      <c r="BI1258" s="73"/>
      <c r="BJ1258" s="73"/>
      <c r="BK1258" s="73"/>
      <c r="BL1258" s="73"/>
      <c r="BM1258" s="73"/>
      <c r="BN1258" s="73"/>
      <c r="BO1258" s="73"/>
      <c r="BP1258" s="73"/>
      <c r="BQ1258" s="73"/>
      <c r="BR1258" s="73"/>
      <c r="BS1258" s="73"/>
      <c r="BT1258" s="73"/>
      <c r="BU1258" s="73"/>
      <c r="BV1258" s="73"/>
      <c r="BW1258" s="73"/>
      <c r="BX1258" s="73"/>
      <c r="BY1258" s="73"/>
      <c r="BZ1258" s="73"/>
      <c r="CA1258" s="73"/>
      <c r="CB1258" s="73"/>
      <c r="CC1258" s="73"/>
      <c r="CD1258" s="73"/>
      <c r="CE1258" s="73"/>
      <c r="CF1258" s="73"/>
      <c r="CG1258" s="73"/>
      <c r="CH1258" s="73"/>
    </row>
    <row r="1259">
      <c r="A1259" s="80"/>
      <c r="B1259" s="80"/>
      <c r="C1259" s="80"/>
      <c r="D1259" s="80"/>
      <c r="E1259" s="124"/>
      <c r="F1259" s="80"/>
      <c r="G1259" s="80"/>
      <c r="H1259" s="80"/>
      <c r="I1259" s="80"/>
      <c r="J1259" s="196"/>
      <c r="K1259" s="196"/>
      <c r="L1259" s="196"/>
      <c r="M1259" s="196"/>
      <c r="N1259" s="196"/>
      <c r="O1259" s="196"/>
      <c r="P1259" s="196"/>
      <c r="Q1259" s="196"/>
      <c r="R1259" s="196"/>
      <c r="S1259" s="196"/>
      <c r="T1259" s="196"/>
      <c r="U1259" s="196"/>
      <c r="V1259" s="196"/>
      <c r="W1259" s="196"/>
      <c r="X1259" s="196"/>
      <c r="Y1259" s="196"/>
      <c r="Z1259" s="196"/>
      <c r="AA1259" s="196"/>
      <c r="AB1259" s="196"/>
      <c r="AC1259" s="196"/>
      <c r="AD1259" s="196"/>
      <c r="AE1259" s="196"/>
      <c r="AF1259" s="196"/>
      <c r="AG1259" s="196"/>
      <c r="AH1259" s="196"/>
      <c r="AI1259" s="196"/>
      <c r="AJ1259" s="197"/>
      <c r="AK1259" s="80"/>
      <c r="AL1259" s="80"/>
      <c r="AM1259" s="73"/>
      <c r="AN1259" s="73"/>
      <c r="AO1259" s="73"/>
      <c r="AP1259" s="73"/>
      <c r="AQ1259" s="73"/>
      <c r="AR1259" s="73"/>
      <c r="AS1259" s="73"/>
      <c r="AT1259" s="73"/>
      <c r="AU1259" s="73"/>
      <c r="AV1259" s="73"/>
      <c r="AW1259" s="73"/>
      <c r="AX1259" s="73"/>
      <c r="AY1259" s="73"/>
      <c r="AZ1259" s="73"/>
      <c r="BA1259" s="73"/>
      <c r="BB1259" s="73"/>
      <c r="BC1259" s="73"/>
      <c r="BD1259" s="73"/>
      <c r="BE1259" s="73"/>
      <c r="BF1259" s="73"/>
      <c r="BG1259" s="73"/>
      <c r="BH1259" s="73"/>
      <c r="BI1259" s="73"/>
      <c r="BJ1259" s="73"/>
      <c r="BK1259" s="73"/>
      <c r="BL1259" s="73"/>
      <c r="BM1259" s="73"/>
      <c r="BN1259" s="73"/>
      <c r="BO1259" s="73"/>
      <c r="BP1259" s="73"/>
      <c r="BQ1259" s="73"/>
      <c r="BR1259" s="73"/>
      <c r="BS1259" s="73"/>
      <c r="BT1259" s="73"/>
      <c r="BU1259" s="73"/>
      <c r="BV1259" s="73"/>
      <c r="BW1259" s="73"/>
      <c r="BX1259" s="73"/>
      <c r="BY1259" s="73"/>
      <c r="BZ1259" s="73"/>
      <c r="CA1259" s="73"/>
      <c r="CB1259" s="73"/>
      <c r="CC1259" s="73"/>
      <c r="CD1259" s="73"/>
      <c r="CE1259" s="73"/>
      <c r="CF1259" s="73"/>
      <c r="CG1259" s="73"/>
      <c r="CH1259" s="73"/>
    </row>
    <row r="1260">
      <c r="A1260" s="80"/>
      <c r="B1260" s="80"/>
      <c r="C1260" s="80"/>
      <c r="D1260" s="80"/>
      <c r="E1260" s="124"/>
      <c r="F1260" s="80"/>
      <c r="G1260" s="80"/>
      <c r="H1260" s="80"/>
      <c r="I1260" s="80"/>
      <c r="J1260" s="196"/>
      <c r="K1260" s="196"/>
      <c r="L1260" s="196"/>
      <c r="M1260" s="196"/>
      <c r="N1260" s="196"/>
      <c r="O1260" s="196"/>
      <c r="P1260" s="196"/>
      <c r="Q1260" s="196"/>
      <c r="R1260" s="196"/>
      <c r="S1260" s="196"/>
      <c r="T1260" s="196"/>
      <c r="U1260" s="196"/>
      <c r="V1260" s="196"/>
      <c r="W1260" s="196"/>
      <c r="X1260" s="196"/>
      <c r="Y1260" s="196"/>
      <c r="Z1260" s="196"/>
      <c r="AA1260" s="196"/>
      <c r="AB1260" s="196"/>
      <c r="AC1260" s="196"/>
      <c r="AD1260" s="196"/>
      <c r="AE1260" s="196"/>
      <c r="AF1260" s="196"/>
      <c r="AG1260" s="196"/>
      <c r="AH1260" s="196"/>
      <c r="AI1260" s="196"/>
      <c r="AJ1260" s="197"/>
      <c r="AK1260" s="80"/>
      <c r="AL1260" s="80"/>
      <c r="AM1260" s="73"/>
      <c r="AN1260" s="73"/>
      <c r="AO1260" s="73"/>
      <c r="AP1260" s="73"/>
      <c r="AQ1260" s="73"/>
      <c r="AR1260" s="73"/>
      <c r="AS1260" s="73"/>
      <c r="AT1260" s="73"/>
      <c r="AU1260" s="73"/>
      <c r="AV1260" s="73"/>
      <c r="AW1260" s="73"/>
      <c r="AX1260" s="73"/>
      <c r="AY1260" s="73"/>
      <c r="AZ1260" s="73"/>
      <c r="BA1260" s="73"/>
      <c r="BB1260" s="73"/>
      <c r="BC1260" s="73"/>
      <c r="BD1260" s="73"/>
      <c r="BE1260" s="73"/>
      <c r="BF1260" s="73"/>
      <c r="BG1260" s="73"/>
      <c r="BH1260" s="73"/>
      <c r="BI1260" s="73"/>
      <c r="BJ1260" s="73"/>
      <c r="BK1260" s="73"/>
      <c r="BL1260" s="73"/>
      <c r="BM1260" s="73"/>
      <c r="BN1260" s="73"/>
      <c r="BO1260" s="73"/>
      <c r="BP1260" s="73"/>
      <c r="BQ1260" s="73"/>
      <c r="BR1260" s="73"/>
      <c r="BS1260" s="73"/>
      <c r="BT1260" s="73"/>
      <c r="BU1260" s="73"/>
      <c r="BV1260" s="73"/>
      <c r="BW1260" s="73"/>
      <c r="BX1260" s="73"/>
      <c r="BY1260" s="73"/>
      <c r="BZ1260" s="73"/>
      <c r="CA1260" s="73"/>
      <c r="CB1260" s="73"/>
      <c r="CC1260" s="73"/>
      <c r="CD1260" s="73"/>
      <c r="CE1260" s="73"/>
      <c r="CF1260" s="73"/>
      <c r="CG1260" s="73"/>
      <c r="CH1260" s="73"/>
    </row>
    <row r="1261">
      <c r="A1261" s="80"/>
      <c r="B1261" s="80"/>
      <c r="C1261" s="80"/>
      <c r="D1261" s="80"/>
      <c r="E1261" s="124"/>
      <c r="F1261" s="80"/>
      <c r="G1261" s="80"/>
      <c r="H1261" s="80"/>
      <c r="I1261" s="80"/>
      <c r="J1261" s="196"/>
      <c r="K1261" s="196"/>
      <c r="L1261" s="196"/>
      <c r="M1261" s="196"/>
      <c r="N1261" s="196"/>
      <c r="O1261" s="196"/>
      <c r="P1261" s="196"/>
      <c r="Q1261" s="196"/>
      <c r="R1261" s="196"/>
      <c r="S1261" s="196"/>
      <c r="T1261" s="196"/>
      <c r="U1261" s="196"/>
      <c r="V1261" s="196"/>
      <c r="W1261" s="196"/>
      <c r="X1261" s="196"/>
      <c r="Y1261" s="196"/>
      <c r="Z1261" s="196"/>
      <c r="AA1261" s="196"/>
      <c r="AB1261" s="196"/>
      <c r="AC1261" s="196"/>
      <c r="AD1261" s="196"/>
      <c r="AE1261" s="196"/>
      <c r="AF1261" s="196"/>
      <c r="AG1261" s="196"/>
      <c r="AH1261" s="196"/>
      <c r="AI1261" s="196"/>
      <c r="AJ1261" s="197"/>
      <c r="AK1261" s="80"/>
      <c r="AL1261" s="80"/>
      <c r="AM1261" s="73"/>
      <c r="AN1261" s="73"/>
      <c r="AO1261" s="73"/>
      <c r="AP1261" s="73"/>
      <c r="AQ1261" s="73"/>
      <c r="AR1261" s="73"/>
      <c r="AS1261" s="73"/>
      <c r="AT1261" s="73"/>
      <c r="AU1261" s="73"/>
      <c r="AV1261" s="73"/>
      <c r="AW1261" s="73"/>
      <c r="AX1261" s="73"/>
      <c r="AY1261" s="73"/>
      <c r="AZ1261" s="73"/>
      <c r="BA1261" s="73"/>
      <c r="BB1261" s="73"/>
      <c r="BC1261" s="73"/>
      <c r="BD1261" s="73"/>
      <c r="BE1261" s="73"/>
      <c r="BF1261" s="73"/>
      <c r="BG1261" s="73"/>
      <c r="BH1261" s="73"/>
      <c r="BI1261" s="73"/>
      <c r="BJ1261" s="73"/>
      <c r="BK1261" s="73"/>
      <c r="BL1261" s="73"/>
      <c r="BM1261" s="73"/>
      <c r="BN1261" s="73"/>
      <c r="BO1261" s="73"/>
      <c r="BP1261" s="73"/>
      <c r="BQ1261" s="73"/>
      <c r="BR1261" s="73"/>
      <c r="BS1261" s="73"/>
      <c r="BT1261" s="73"/>
      <c r="BU1261" s="73"/>
      <c r="BV1261" s="73"/>
      <c r="BW1261" s="73"/>
      <c r="BX1261" s="73"/>
      <c r="BY1261" s="73"/>
      <c r="BZ1261" s="73"/>
      <c r="CA1261" s="73"/>
      <c r="CB1261" s="73"/>
      <c r="CC1261" s="73"/>
      <c r="CD1261" s="73"/>
      <c r="CE1261" s="73"/>
      <c r="CF1261" s="73"/>
      <c r="CG1261" s="73"/>
      <c r="CH1261" s="73"/>
    </row>
    <row r="1262">
      <c r="A1262" s="80"/>
      <c r="B1262" s="80"/>
      <c r="C1262" s="80"/>
      <c r="D1262" s="80"/>
      <c r="E1262" s="124"/>
      <c r="F1262" s="80"/>
      <c r="G1262" s="80"/>
      <c r="H1262" s="80"/>
      <c r="I1262" s="80"/>
      <c r="J1262" s="196"/>
      <c r="K1262" s="196"/>
      <c r="L1262" s="196"/>
      <c r="M1262" s="196"/>
      <c r="N1262" s="196"/>
      <c r="O1262" s="196"/>
      <c r="P1262" s="196"/>
      <c r="Q1262" s="196"/>
      <c r="R1262" s="196"/>
      <c r="S1262" s="196"/>
      <c r="T1262" s="196"/>
      <c r="U1262" s="196"/>
      <c r="V1262" s="196"/>
      <c r="W1262" s="196"/>
      <c r="X1262" s="196"/>
      <c r="Y1262" s="196"/>
      <c r="Z1262" s="196"/>
      <c r="AA1262" s="196"/>
      <c r="AB1262" s="196"/>
      <c r="AC1262" s="196"/>
      <c r="AD1262" s="196"/>
      <c r="AE1262" s="196"/>
      <c r="AF1262" s="196"/>
      <c r="AG1262" s="196"/>
      <c r="AH1262" s="196"/>
      <c r="AI1262" s="196"/>
      <c r="AJ1262" s="197"/>
      <c r="AK1262" s="80"/>
      <c r="AL1262" s="80"/>
      <c r="AM1262" s="73"/>
      <c r="AN1262" s="73"/>
      <c r="AO1262" s="73"/>
      <c r="AP1262" s="73"/>
      <c r="AQ1262" s="73"/>
      <c r="AR1262" s="73"/>
      <c r="AS1262" s="73"/>
      <c r="AT1262" s="73"/>
      <c r="AU1262" s="73"/>
      <c r="AV1262" s="73"/>
      <c r="AW1262" s="73"/>
      <c r="AX1262" s="73"/>
      <c r="AY1262" s="73"/>
      <c r="AZ1262" s="73"/>
      <c r="BA1262" s="73"/>
      <c r="BB1262" s="73"/>
      <c r="BC1262" s="73"/>
      <c r="BD1262" s="73"/>
      <c r="BE1262" s="73"/>
      <c r="BF1262" s="73"/>
      <c r="BG1262" s="73"/>
      <c r="BH1262" s="73"/>
      <c r="BI1262" s="73"/>
      <c r="BJ1262" s="73"/>
      <c r="BK1262" s="73"/>
      <c r="BL1262" s="73"/>
      <c r="BM1262" s="73"/>
      <c r="BN1262" s="73"/>
      <c r="BO1262" s="73"/>
      <c r="BP1262" s="73"/>
      <c r="BQ1262" s="73"/>
      <c r="BR1262" s="73"/>
      <c r="BS1262" s="73"/>
      <c r="BT1262" s="73"/>
      <c r="BU1262" s="73"/>
      <c r="BV1262" s="73"/>
      <c r="BW1262" s="73"/>
      <c r="BX1262" s="73"/>
      <c r="BY1262" s="73"/>
      <c r="BZ1262" s="73"/>
      <c r="CA1262" s="73"/>
      <c r="CB1262" s="73"/>
      <c r="CC1262" s="73"/>
      <c r="CD1262" s="73"/>
      <c r="CE1262" s="73"/>
      <c r="CF1262" s="73"/>
      <c r="CG1262" s="73"/>
      <c r="CH1262" s="73"/>
    </row>
    <row r="1263">
      <c r="A1263" s="80"/>
      <c r="B1263" s="80"/>
      <c r="C1263" s="80"/>
      <c r="D1263" s="80"/>
      <c r="E1263" s="124"/>
      <c r="F1263" s="80"/>
      <c r="G1263" s="80"/>
      <c r="H1263" s="80"/>
      <c r="I1263" s="80"/>
      <c r="J1263" s="196"/>
      <c r="K1263" s="196"/>
      <c r="L1263" s="196"/>
      <c r="M1263" s="196"/>
      <c r="N1263" s="196"/>
      <c r="O1263" s="196"/>
      <c r="P1263" s="196"/>
      <c r="Q1263" s="196"/>
      <c r="R1263" s="196"/>
      <c r="S1263" s="196"/>
      <c r="T1263" s="196"/>
      <c r="U1263" s="196"/>
      <c r="V1263" s="196"/>
      <c r="W1263" s="196"/>
      <c r="X1263" s="196"/>
      <c r="Y1263" s="196"/>
      <c r="Z1263" s="196"/>
      <c r="AA1263" s="196"/>
      <c r="AB1263" s="196"/>
      <c r="AC1263" s="196"/>
      <c r="AD1263" s="196"/>
      <c r="AE1263" s="196"/>
      <c r="AF1263" s="196"/>
      <c r="AG1263" s="196"/>
      <c r="AH1263" s="196"/>
      <c r="AI1263" s="196"/>
      <c r="AJ1263" s="197"/>
      <c r="AK1263" s="80"/>
      <c r="AL1263" s="80"/>
      <c r="AM1263" s="73"/>
      <c r="AN1263" s="73"/>
      <c r="AO1263" s="73"/>
      <c r="AP1263" s="73"/>
      <c r="AQ1263" s="73"/>
      <c r="AR1263" s="73"/>
      <c r="AS1263" s="73"/>
      <c r="AT1263" s="73"/>
      <c r="AU1263" s="73"/>
      <c r="AV1263" s="73"/>
      <c r="AW1263" s="73"/>
      <c r="AX1263" s="73"/>
      <c r="AY1263" s="73"/>
      <c r="AZ1263" s="73"/>
      <c r="BA1263" s="73"/>
      <c r="BB1263" s="73"/>
      <c r="BC1263" s="73"/>
      <c r="BD1263" s="73"/>
      <c r="BE1263" s="73"/>
      <c r="BF1263" s="73"/>
      <c r="BG1263" s="73"/>
      <c r="BH1263" s="73"/>
      <c r="BI1263" s="73"/>
      <c r="BJ1263" s="73"/>
      <c r="BK1263" s="73"/>
      <c r="BL1263" s="73"/>
      <c r="BM1263" s="73"/>
      <c r="BN1263" s="73"/>
      <c r="BO1263" s="73"/>
      <c r="BP1263" s="73"/>
      <c r="BQ1263" s="73"/>
      <c r="BR1263" s="73"/>
      <c r="BS1263" s="73"/>
      <c r="BT1263" s="73"/>
      <c r="BU1263" s="73"/>
      <c r="BV1263" s="73"/>
      <c r="BW1263" s="73"/>
      <c r="BX1263" s="73"/>
      <c r="BY1263" s="73"/>
      <c r="BZ1263" s="73"/>
      <c r="CA1263" s="73"/>
      <c r="CB1263" s="73"/>
      <c r="CC1263" s="73"/>
      <c r="CD1263" s="73"/>
      <c r="CE1263" s="73"/>
      <c r="CF1263" s="73"/>
      <c r="CG1263" s="73"/>
      <c r="CH1263" s="73"/>
    </row>
    <row r="1264">
      <c r="A1264" s="80"/>
      <c r="B1264" s="80"/>
      <c r="C1264" s="80"/>
      <c r="D1264" s="80"/>
      <c r="E1264" s="124"/>
      <c r="F1264" s="80"/>
      <c r="G1264" s="80"/>
      <c r="H1264" s="80"/>
      <c r="I1264" s="80"/>
      <c r="J1264" s="196"/>
      <c r="K1264" s="196"/>
      <c r="L1264" s="196"/>
      <c r="M1264" s="196"/>
      <c r="N1264" s="196"/>
      <c r="O1264" s="196"/>
      <c r="P1264" s="196"/>
      <c r="Q1264" s="196"/>
      <c r="R1264" s="196"/>
      <c r="S1264" s="196"/>
      <c r="T1264" s="196"/>
      <c r="U1264" s="196"/>
      <c r="V1264" s="196"/>
      <c r="W1264" s="196"/>
      <c r="X1264" s="196"/>
      <c r="Y1264" s="196"/>
      <c r="Z1264" s="196"/>
      <c r="AA1264" s="196"/>
      <c r="AB1264" s="196"/>
      <c r="AC1264" s="196"/>
      <c r="AD1264" s="196"/>
      <c r="AE1264" s="196"/>
      <c r="AF1264" s="196"/>
      <c r="AG1264" s="196"/>
      <c r="AH1264" s="196"/>
      <c r="AI1264" s="196"/>
      <c r="AJ1264" s="197"/>
      <c r="AK1264" s="80"/>
      <c r="AL1264" s="80"/>
      <c r="AM1264" s="73"/>
      <c r="AN1264" s="73"/>
      <c r="AO1264" s="73"/>
      <c r="AP1264" s="73"/>
      <c r="AQ1264" s="73"/>
      <c r="AR1264" s="73"/>
      <c r="AS1264" s="73"/>
      <c r="AT1264" s="73"/>
      <c r="AU1264" s="73"/>
      <c r="AV1264" s="73"/>
      <c r="AW1264" s="73"/>
      <c r="AX1264" s="73"/>
      <c r="AY1264" s="73"/>
      <c r="AZ1264" s="73"/>
      <c r="BA1264" s="73"/>
      <c r="BB1264" s="73"/>
      <c r="BC1264" s="73"/>
      <c r="BD1264" s="73"/>
      <c r="BE1264" s="73"/>
      <c r="BF1264" s="73"/>
      <c r="BG1264" s="73"/>
      <c r="BH1264" s="73"/>
      <c r="BI1264" s="73"/>
      <c r="BJ1264" s="73"/>
      <c r="BK1264" s="73"/>
      <c r="BL1264" s="73"/>
      <c r="BM1264" s="73"/>
      <c r="BN1264" s="73"/>
      <c r="BO1264" s="73"/>
      <c r="BP1264" s="73"/>
      <c r="BQ1264" s="73"/>
      <c r="BR1264" s="73"/>
      <c r="BS1264" s="73"/>
      <c r="BT1264" s="73"/>
      <c r="BU1264" s="73"/>
      <c r="BV1264" s="73"/>
      <c r="BW1264" s="73"/>
      <c r="BX1264" s="73"/>
      <c r="BY1264" s="73"/>
      <c r="BZ1264" s="73"/>
      <c r="CA1264" s="73"/>
      <c r="CB1264" s="73"/>
      <c r="CC1264" s="73"/>
      <c r="CD1264" s="73"/>
      <c r="CE1264" s="73"/>
      <c r="CF1264" s="73"/>
      <c r="CG1264" s="73"/>
      <c r="CH1264" s="73"/>
    </row>
    <row r="1265">
      <c r="A1265" s="80"/>
      <c r="B1265" s="80"/>
      <c r="C1265" s="80"/>
      <c r="D1265" s="80"/>
      <c r="E1265" s="124"/>
      <c r="F1265" s="80"/>
      <c r="G1265" s="80"/>
      <c r="H1265" s="80"/>
      <c r="I1265" s="80"/>
      <c r="J1265" s="196"/>
      <c r="K1265" s="196"/>
      <c r="L1265" s="196"/>
      <c r="M1265" s="196"/>
      <c r="N1265" s="196"/>
      <c r="O1265" s="196"/>
      <c r="P1265" s="196"/>
      <c r="Q1265" s="196"/>
      <c r="R1265" s="196"/>
      <c r="S1265" s="196"/>
      <c r="T1265" s="196"/>
      <c r="U1265" s="196"/>
      <c r="V1265" s="196"/>
      <c r="W1265" s="196"/>
      <c r="X1265" s="196"/>
      <c r="Y1265" s="196"/>
      <c r="Z1265" s="196"/>
      <c r="AA1265" s="196"/>
      <c r="AB1265" s="196"/>
      <c r="AC1265" s="196"/>
      <c r="AD1265" s="196"/>
      <c r="AE1265" s="196"/>
      <c r="AF1265" s="196"/>
      <c r="AG1265" s="196"/>
      <c r="AH1265" s="196"/>
      <c r="AI1265" s="196"/>
      <c r="AJ1265" s="197"/>
      <c r="AK1265" s="80"/>
      <c r="AL1265" s="80"/>
      <c r="AM1265" s="73"/>
      <c r="AN1265" s="73"/>
      <c r="AO1265" s="73"/>
      <c r="AP1265" s="73"/>
      <c r="AQ1265" s="73"/>
      <c r="AR1265" s="73"/>
      <c r="AS1265" s="73"/>
      <c r="AT1265" s="73"/>
      <c r="AU1265" s="73"/>
      <c r="AV1265" s="73"/>
      <c r="AW1265" s="73"/>
      <c r="AX1265" s="73"/>
      <c r="AY1265" s="73"/>
      <c r="AZ1265" s="73"/>
      <c r="BA1265" s="73"/>
      <c r="BB1265" s="73"/>
      <c r="BC1265" s="73"/>
      <c r="BD1265" s="73"/>
      <c r="BE1265" s="73"/>
      <c r="BF1265" s="73"/>
      <c r="BG1265" s="73"/>
      <c r="BH1265" s="73"/>
      <c r="BI1265" s="73"/>
      <c r="BJ1265" s="73"/>
      <c r="BK1265" s="73"/>
      <c r="BL1265" s="73"/>
      <c r="BM1265" s="73"/>
      <c r="BN1265" s="73"/>
      <c r="BO1265" s="73"/>
      <c r="BP1265" s="73"/>
      <c r="BQ1265" s="73"/>
      <c r="BR1265" s="73"/>
      <c r="BS1265" s="73"/>
      <c r="BT1265" s="73"/>
      <c r="BU1265" s="73"/>
      <c r="BV1265" s="73"/>
      <c r="BW1265" s="73"/>
      <c r="BX1265" s="73"/>
      <c r="BY1265" s="73"/>
      <c r="BZ1265" s="73"/>
      <c r="CA1265" s="73"/>
      <c r="CB1265" s="73"/>
      <c r="CC1265" s="73"/>
      <c r="CD1265" s="73"/>
      <c r="CE1265" s="73"/>
      <c r="CF1265" s="73"/>
      <c r="CG1265" s="73"/>
      <c r="CH1265" s="73"/>
    </row>
    <row r="1266">
      <c r="A1266" s="80"/>
      <c r="B1266" s="80"/>
      <c r="C1266" s="80"/>
      <c r="D1266" s="80"/>
      <c r="E1266" s="124"/>
      <c r="F1266" s="80"/>
      <c r="G1266" s="80"/>
      <c r="H1266" s="80"/>
      <c r="I1266" s="80"/>
      <c r="J1266" s="196"/>
      <c r="K1266" s="196"/>
      <c r="L1266" s="196"/>
      <c r="M1266" s="196"/>
      <c r="N1266" s="196"/>
      <c r="O1266" s="196"/>
      <c r="P1266" s="196"/>
      <c r="Q1266" s="196"/>
      <c r="R1266" s="196"/>
      <c r="S1266" s="196"/>
      <c r="T1266" s="196"/>
      <c r="U1266" s="196"/>
      <c r="V1266" s="196"/>
      <c r="W1266" s="196"/>
      <c r="X1266" s="196"/>
      <c r="Y1266" s="196"/>
      <c r="Z1266" s="196"/>
      <c r="AA1266" s="196"/>
      <c r="AB1266" s="196"/>
      <c r="AC1266" s="196"/>
      <c r="AD1266" s="196"/>
      <c r="AE1266" s="196"/>
      <c r="AF1266" s="196"/>
      <c r="AG1266" s="196"/>
      <c r="AH1266" s="196"/>
      <c r="AI1266" s="196"/>
      <c r="AJ1266" s="197"/>
      <c r="AK1266" s="80"/>
      <c r="AL1266" s="80"/>
      <c r="AM1266" s="73"/>
      <c r="AN1266" s="73"/>
      <c r="AO1266" s="73"/>
      <c r="AP1266" s="73"/>
      <c r="AQ1266" s="73"/>
      <c r="AR1266" s="73"/>
      <c r="AS1266" s="73"/>
      <c r="AT1266" s="73"/>
      <c r="AU1266" s="73"/>
      <c r="AV1266" s="73"/>
      <c r="AW1266" s="73"/>
      <c r="AX1266" s="73"/>
      <c r="AY1266" s="73"/>
      <c r="AZ1266" s="73"/>
      <c r="BA1266" s="73"/>
      <c r="BB1266" s="73"/>
      <c r="BC1266" s="73"/>
      <c r="BD1266" s="73"/>
      <c r="BE1266" s="73"/>
      <c r="BF1266" s="73"/>
      <c r="BG1266" s="73"/>
      <c r="BH1266" s="73"/>
      <c r="BI1266" s="73"/>
      <c r="BJ1266" s="73"/>
      <c r="BK1266" s="73"/>
      <c r="BL1266" s="73"/>
      <c r="BM1266" s="73"/>
      <c r="BN1266" s="73"/>
      <c r="BO1266" s="73"/>
      <c r="BP1266" s="73"/>
      <c r="BQ1266" s="73"/>
      <c r="BR1266" s="73"/>
      <c r="BS1266" s="73"/>
      <c r="BT1266" s="73"/>
      <c r="BU1266" s="73"/>
      <c r="BV1266" s="73"/>
      <c r="BW1266" s="73"/>
      <c r="BX1266" s="73"/>
      <c r="BY1266" s="73"/>
      <c r="BZ1266" s="73"/>
      <c r="CA1266" s="73"/>
      <c r="CB1266" s="73"/>
      <c r="CC1266" s="73"/>
      <c r="CD1266" s="73"/>
      <c r="CE1266" s="73"/>
      <c r="CF1266" s="73"/>
      <c r="CG1266" s="73"/>
      <c r="CH1266" s="73"/>
    </row>
    <row r="1267">
      <c r="A1267" s="80"/>
      <c r="B1267" s="80"/>
      <c r="C1267" s="80"/>
      <c r="D1267" s="80"/>
      <c r="E1267" s="124"/>
      <c r="F1267" s="80"/>
      <c r="G1267" s="80"/>
      <c r="H1267" s="80"/>
      <c r="I1267" s="80"/>
      <c r="J1267" s="196"/>
      <c r="K1267" s="196"/>
      <c r="L1267" s="196"/>
      <c r="M1267" s="196"/>
      <c r="N1267" s="196"/>
      <c r="O1267" s="196"/>
      <c r="P1267" s="196"/>
      <c r="Q1267" s="196"/>
      <c r="R1267" s="196"/>
      <c r="S1267" s="196"/>
      <c r="T1267" s="196"/>
      <c r="U1267" s="196"/>
      <c r="V1267" s="196"/>
      <c r="W1267" s="196"/>
      <c r="X1267" s="196"/>
      <c r="Y1267" s="196"/>
      <c r="Z1267" s="196"/>
      <c r="AA1267" s="196"/>
      <c r="AB1267" s="196"/>
      <c r="AC1267" s="196"/>
      <c r="AD1267" s="196"/>
      <c r="AE1267" s="196"/>
      <c r="AF1267" s="196"/>
      <c r="AG1267" s="196"/>
      <c r="AH1267" s="196"/>
      <c r="AI1267" s="196"/>
      <c r="AJ1267" s="197"/>
      <c r="AK1267" s="80"/>
      <c r="AL1267" s="80"/>
      <c r="AM1267" s="73"/>
      <c r="AN1267" s="73"/>
      <c r="AO1267" s="73"/>
      <c r="AP1267" s="73"/>
      <c r="AQ1267" s="73"/>
      <c r="AR1267" s="73"/>
      <c r="AS1267" s="73"/>
      <c r="AT1267" s="73"/>
      <c r="AU1267" s="73"/>
      <c r="AV1267" s="73"/>
      <c r="AW1267" s="73"/>
      <c r="AX1267" s="73"/>
      <c r="AY1267" s="73"/>
      <c r="AZ1267" s="73"/>
      <c r="BA1267" s="73"/>
      <c r="BB1267" s="73"/>
      <c r="BC1267" s="73"/>
      <c r="BD1267" s="73"/>
      <c r="BE1267" s="73"/>
      <c r="BF1267" s="73"/>
      <c r="BG1267" s="73"/>
      <c r="BH1267" s="73"/>
      <c r="BI1267" s="73"/>
      <c r="BJ1267" s="73"/>
      <c r="BK1267" s="73"/>
      <c r="BL1267" s="73"/>
      <c r="BM1267" s="73"/>
      <c r="BN1267" s="73"/>
      <c r="BO1267" s="73"/>
      <c r="BP1267" s="73"/>
      <c r="BQ1267" s="73"/>
      <c r="BR1267" s="73"/>
      <c r="BS1267" s="73"/>
      <c r="BT1267" s="73"/>
      <c r="BU1267" s="73"/>
      <c r="BV1267" s="73"/>
      <c r="BW1267" s="73"/>
      <c r="BX1267" s="73"/>
      <c r="BY1267" s="73"/>
      <c r="BZ1267" s="73"/>
      <c r="CA1267" s="73"/>
      <c r="CB1267" s="73"/>
      <c r="CC1267" s="73"/>
      <c r="CD1267" s="73"/>
      <c r="CE1267" s="73"/>
      <c r="CF1267" s="73"/>
      <c r="CG1267" s="73"/>
      <c r="CH1267" s="73"/>
    </row>
    <row r="1268">
      <c r="A1268" s="80"/>
      <c r="B1268" s="80"/>
      <c r="C1268" s="80"/>
      <c r="D1268" s="80"/>
      <c r="E1268" s="124"/>
      <c r="F1268" s="80"/>
      <c r="G1268" s="80"/>
      <c r="H1268" s="80"/>
      <c r="I1268" s="80"/>
      <c r="J1268" s="196"/>
      <c r="K1268" s="196"/>
      <c r="L1268" s="196"/>
      <c r="M1268" s="196"/>
      <c r="N1268" s="196"/>
      <c r="O1268" s="196"/>
      <c r="P1268" s="196"/>
      <c r="Q1268" s="196"/>
      <c r="R1268" s="196"/>
      <c r="S1268" s="196"/>
      <c r="T1268" s="196"/>
      <c r="U1268" s="196"/>
      <c r="V1268" s="196"/>
      <c r="W1268" s="196"/>
      <c r="X1268" s="196"/>
      <c r="Y1268" s="196"/>
      <c r="Z1268" s="196"/>
      <c r="AA1268" s="196"/>
      <c r="AB1268" s="196"/>
      <c r="AC1268" s="196"/>
      <c r="AD1268" s="196"/>
      <c r="AE1268" s="196"/>
      <c r="AF1268" s="196"/>
      <c r="AG1268" s="196"/>
      <c r="AH1268" s="196"/>
      <c r="AI1268" s="196"/>
      <c r="AJ1268" s="197"/>
      <c r="AK1268" s="80"/>
      <c r="AL1268" s="80"/>
      <c r="AM1268" s="73"/>
      <c r="AN1268" s="73"/>
      <c r="AO1268" s="73"/>
      <c r="AP1268" s="73"/>
      <c r="AQ1268" s="73"/>
      <c r="AR1268" s="73"/>
      <c r="AS1268" s="73"/>
      <c r="AT1268" s="73"/>
      <c r="AU1268" s="73"/>
      <c r="AV1268" s="73"/>
      <c r="AW1268" s="73"/>
      <c r="AX1268" s="73"/>
      <c r="AY1268" s="73"/>
      <c r="AZ1268" s="73"/>
      <c r="BA1268" s="73"/>
      <c r="BB1268" s="73"/>
      <c r="BC1268" s="73"/>
      <c r="BD1268" s="73"/>
      <c r="BE1268" s="73"/>
      <c r="BF1268" s="73"/>
      <c r="BG1268" s="73"/>
      <c r="BH1268" s="73"/>
      <c r="BI1268" s="73"/>
      <c r="BJ1268" s="73"/>
      <c r="BK1268" s="73"/>
      <c r="BL1268" s="73"/>
      <c r="BM1268" s="73"/>
      <c r="BN1268" s="73"/>
      <c r="BO1268" s="73"/>
      <c r="BP1268" s="73"/>
      <c r="BQ1268" s="73"/>
      <c r="BR1268" s="73"/>
      <c r="BS1268" s="73"/>
      <c r="BT1268" s="73"/>
      <c r="BU1268" s="73"/>
      <c r="BV1268" s="73"/>
      <c r="BW1268" s="73"/>
      <c r="BX1268" s="73"/>
      <c r="BY1268" s="73"/>
      <c r="BZ1268" s="73"/>
      <c r="CA1268" s="73"/>
      <c r="CB1268" s="73"/>
      <c r="CC1268" s="73"/>
      <c r="CD1268" s="73"/>
      <c r="CE1268" s="73"/>
      <c r="CF1268" s="73"/>
      <c r="CG1268" s="73"/>
      <c r="CH1268" s="73"/>
    </row>
    <row r="1269">
      <c r="A1269" s="80"/>
      <c r="B1269" s="80"/>
      <c r="C1269" s="80"/>
      <c r="D1269" s="80"/>
      <c r="E1269" s="124"/>
      <c r="F1269" s="80"/>
      <c r="G1269" s="80"/>
      <c r="H1269" s="80"/>
      <c r="I1269" s="80"/>
      <c r="J1269" s="196"/>
      <c r="K1269" s="196"/>
      <c r="L1269" s="196"/>
      <c r="M1269" s="196"/>
      <c r="N1269" s="196"/>
      <c r="O1269" s="196"/>
      <c r="P1269" s="196"/>
      <c r="Q1269" s="196"/>
      <c r="R1269" s="196"/>
      <c r="S1269" s="196"/>
      <c r="T1269" s="196"/>
      <c r="U1269" s="196"/>
      <c r="V1269" s="196"/>
      <c r="W1269" s="196"/>
      <c r="X1269" s="196"/>
      <c r="Y1269" s="196"/>
      <c r="Z1269" s="196"/>
      <c r="AA1269" s="196"/>
      <c r="AB1269" s="196"/>
      <c r="AC1269" s="196"/>
      <c r="AD1269" s="196"/>
      <c r="AE1269" s="196"/>
      <c r="AF1269" s="196"/>
      <c r="AG1269" s="196"/>
      <c r="AH1269" s="196"/>
      <c r="AI1269" s="196"/>
      <c r="AJ1269" s="197"/>
      <c r="AK1269" s="80"/>
      <c r="AL1269" s="80"/>
      <c r="AM1269" s="73"/>
      <c r="AN1269" s="73"/>
      <c r="AO1269" s="73"/>
      <c r="AP1269" s="73"/>
      <c r="AQ1269" s="73"/>
      <c r="AR1269" s="73"/>
      <c r="AS1269" s="73"/>
      <c r="AT1269" s="73"/>
      <c r="AU1269" s="73"/>
      <c r="AV1269" s="73"/>
      <c r="AW1269" s="73"/>
      <c r="AX1269" s="73"/>
      <c r="AY1269" s="73"/>
      <c r="AZ1269" s="73"/>
      <c r="BA1269" s="73"/>
      <c r="BB1269" s="73"/>
      <c r="BC1269" s="73"/>
      <c r="BD1269" s="73"/>
      <c r="BE1269" s="73"/>
      <c r="BF1269" s="73"/>
      <c r="BG1269" s="73"/>
      <c r="BH1269" s="73"/>
      <c r="BI1269" s="73"/>
      <c r="BJ1269" s="73"/>
      <c r="BK1269" s="73"/>
      <c r="BL1269" s="73"/>
      <c r="BM1269" s="73"/>
      <c r="BN1269" s="73"/>
      <c r="BO1269" s="73"/>
      <c r="BP1269" s="73"/>
      <c r="BQ1269" s="73"/>
      <c r="BR1269" s="73"/>
      <c r="BS1269" s="73"/>
      <c r="BT1269" s="73"/>
      <c r="BU1269" s="73"/>
      <c r="BV1269" s="73"/>
      <c r="BW1269" s="73"/>
      <c r="BX1269" s="73"/>
      <c r="BY1269" s="73"/>
      <c r="BZ1269" s="73"/>
      <c r="CA1269" s="73"/>
      <c r="CB1269" s="73"/>
      <c r="CC1269" s="73"/>
      <c r="CD1269" s="73"/>
      <c r="CE1269" s="73"/>
      <c r="CF1269" s="73"/>
      <c r="CG1269" s="73"/>
      <c r="CH1269" s="73"/>
    </row>
    <row r="1270">
      <c r="A1270" s="80"/>
      <c r="B1270" s="80"/>
      <c r="C1270" s="80"/>
      <c r="D1270" s="80"/>
      <c r="E1270" s="124"/>
      <c r="F1270" s="80"/>
      <c r="G1270" s="80"/>
      <c r="H1270" s="80"/>
      <c r="I1270" s="80"/>
      <c r="J1270" s="196"/>
      <c r="K1270" s="196"/>
      <c r="L1270" s="196"/>
      <c r="M1270" s="196"/>
      <c r="N1270" s="196"/>
      <c r="O1270" s="196"/>
      <c r="P1270" s="196"/>
      <c r="Q1270" s="196"/>
      <c r="R1270" s="196"/>
      <c r="S1270" s="196"/>
      <c r="T1270" s="196"/>
      <c r="U1270" s="196"/>
      <c r="V1270" s="196"/>
      <c r="W1270" s="196"/>
      <c r="X1270" s="196"/>
      <c r="Y1270" s="196"/>
      <c r="Z1270" s="196"/>
      <c r="AA1270" s="196"/>
      <c r="AB1270" s="196"/>
      <c r="AC1270" s="196"/>
      <c r="AD1270" s="196"/>
      <c r="AE1270" s="196"/>
      <c r="AF1270" s="196"/>
      <c r="AG1270" s="196"/>
      <c r="AH1270" s="196"/>
      <c r="AI1270" s="196"/>
      <c r="AJ1270" s="197"/>
      <c r="AK1270" s="80"/>
      <c r="AL1270" s="80"/>
      <c r="AM1270" s="73"/>
      <c r="AN1270" s="73"/>
      <c r="AO1270" s="73"/>
      <c r="AP1270" s="73"/>
      <c r="AQ1270" s="73"/>
      <c r="AR1270" s="73"/>
      <c r="AS1270" s="73"/>
      <c r="AT1270" s="73"/>
      <c r="AU1270" s="73"/>
      <c r="AV1270" s="73"/>
      <c r="AW1270" s="73"/>
      <c r="AX1270" s="73"/>
      <c r="AY1270" s="73"/>
      <c r="AZ1270" s="73"/>
      <c r="BA1270" s="73"/>
      <c r="BB1270" s="73"/>
      <c r="BC1270" s="73"/>
      <c r="BD1270" s="73"/>
      <c r="BE1270" s="73"/>
      <c r="BF1270" s="73"/>
      <c r="BG1270" s="73"/>
      <c r="BH1270" s="73"/>
      <c r="BI1270" s="73"/>
      <c r="BJ1270" s="73"/>
      <c r="BK1270" s="73"/>
      <c r="BL1270" s="73"/>
      <c r="BM1270" s="73"/>
      <c r="BN1270" s="73"/>
      <c r="BO1270" s="73"/>
      <c r="BP1270" s="73"/>
      <c r="BQ1270" s="73"/>
      <c r="BR1270" s="73"/>
      <c r="BS1270" s="73"/>
      <c r="BT1270" s="73"/>
      <c r="BU1270" s="73"/>
      <c r="BV1270" s="73"/>
      <c r="BW1270" s="73"/>
      <c r="BX1270" s="73"/>
      <c r="BY1270" s="73"/>
      <c r="BZ1270" s="73"/>
      <c r="CA1270" s="73"/>
      <c r="CB1270" s="73"/>
      <c r="CC1270" s="73"/>
      <c r="CD1270" s="73"/>
      <c r="CE1270" s="73"/>
      <c r="CF1270" s="73"/>
      <c r="CG1270" s="73"/>
      <c r="CH1270" s="73"/>
    </row>
    <row r="1271">
      <c r="A1271" s="80"/>
      <c r="B1271" s="80"/>
      <c r="C1271" s="80"/>
      <c r="D1271" s="80"/>
      <c r="E1271" s="124"/>
      <c r="F1271" s="80"/>
      <c r="G1271" s="80"/>
      <c r="H1271" s="80"/>
      <c r="I1271" s="80"/>
      <c r="J1271" s="196"/>
      <c r="K1271" s="196"/>
      <c r="L1271" s="196"/>
      <c r="M1271" s="196"/>
      <c r="N1271" s="196"/>
      <c r="O1271" s="196"/>
      <c r="P1271" s="196"/>
      <c r="Q1271" s="196"/>
      <c r="R1271" s="196"/>
      <c r="S1271" s="196"/>
      <c r="T1271" s="196"/>
      <c r="U1271" s="196"/>
      <c r="V1271" s="196"/>
      <c r="W1271" s="196"/>
      <c r="X1271" s="196"/>
      <c r="Y1271" s="196"/>
      <c r="Z1271" s="196"/>
      <c r="AA1271" s="196"/>
      <c r="AB1271" s="196"/>
      <c r="AC1271" s="196"/>
      <c r="AD1271" s="196"/>
      <c r="AE1271" s="196"/>
      <c r="AF1271" s="196"/>
      <c r="AG1271" s="196"/>
      <c r="AH1271" s="196"/>
      <c r="AI1271" s="196"/>
      <c r="AJ1271" s="197"/>
      <c r="AK1271" s="80"/>
      <c r="AL1271" s="80"/>
      <c r="AM1271" s="73"/>
      <c r="AN1271" s="73"/>
      <c r="AO1271" s="73"/>
      <c r="AP1271" s="73"/>
      <c r="AQ1271" s="73"/>
      <c r="AR1271" s="73"/>
      <c r="AS1271" s="73"/>
      <c r="AT1271" s="73"/>
      <c r="AU1271" s="73"/>
      <c r="AV1271" s="73"/>
      <c r="AW1271" s="73"/>
      <c r="AX1271" s="73"/>
      <c r="AY1271" s="73"/>
      <c r="AZ1271" s="73"/>
      <c r="BA1271" s="73"/>
      <c r="BB1271" s="73"/>
      <c r="BC1271" s="73"/>
      <c r="BD1271" s="73"/>
      <c r="BE1271" s="73"/>
      <c r="BF1271" s="73"/>
      <c r="BG1271" s="73"/>
      <c r="BH1271" s="73"/>
      <c r="BI1271" s="73"/>
      <c r="BJ1271" s="73"/>
      <c r="BK1271" s="73"/>
      <c r="BL1271" s="73"/>
      <c r="BM1271" s="73"/>
      <c r="BN1271" s="73"/>
      <c r="BO1271" s="73"/>
      <c r="BP1271" s="73"/>
      <c r="BQ1271" s="73"/>
      <c r="BR1271" s="73"/>
      <c r="BS1271" s="73"/>
      <c r="BT1271" s="73"/>
      <c r="BU1271" s="73"/>
      <c r="BV1271" s="73"/>
      <c r="BW1271" s="73"/>
      <c r="BX1271" s="73"/>
      <c r="BY1271" s="73"/>
      <c r="BZ1271" s="73"/>
      <c r="CA1271" s="73"/>
      <c r="CB1271" s="73"/>
      <c r="CC1271" s="73"/>
      <c r="CD1271" s="73"/>
      <c r="CE1271" s="73"/>
      <c r="CF1271" s="73"/>
      <c r="CG1271" s="73"/>
      <c r="CH1271" s="73"/>
    </row>
    <row r="1272">
      <c r="A1272" s="80"/>
      <c r="B1272" s="80"/>
      <c r="C1272" s="80"/>
      <c r="D1272" s="80"/>
      <c r="E1272" s="124"/>
      <c r="F1272" s="80"/>
      <c r="G1272" s="80"/>
      <c r="H1272" s="80"/>
      <c r="I1272" s="80"/>
      <c r="J1272" s="196"/>
      <c r="K1272" s="196"/>
      <c r="L1272" s="196"/>
      <c r="M1272" s="196"/>
      <c r="N1272" s="196"/>
      <c r="O1272" s="196"/>
      <c r="P1272" s="196"/>
      <c r="Q1272" s="196"/>
      <c r="R1272" s="196"/>
      <c r="S1272" s="196"/>
      <c r="T1272" s="196"/>
      <c r="U1272" s="196"/>
      <c r="V1272" s="196"/>
      <c r="W1272" s="196"/>
      <c r="X1272" s="196"/>
      <c r="Y1272" s="196"/>
      <c r="Z1272" s="196"/>
      <c r="AA1272" s="196"/>
      <c r="AB1272" s="196"/>
      <c r="AC1272" s="196"/>
      <c r="AD1272" s="196"/>
      <c r="AE1272" s="196"/>
      <c r="AF1272" s="196"/>
      <c r="AG1272" s="196"/>
      <c r="AH1272" s="196"/>
      <c r="AI1272" s="196"/>
      <c r="AJ1272" s="197"/>
      <c r="AK1272" s="80"/>
      <c r="AL1272" s="80"/>
      <c r="AM1272" s="73"/>
      <c r="AN1272" s="73"/>
      <c r="AO1272" s="73"/>
      <c r="AP1272" s="73"/>
      <c r="AQ1272" s="73"/>
      <c r="AR1272" s="73"/>
      <c r="AS1272" s="73"/>
      <c r="AT1272" s="73"/>
      <c r="AU1272" s="73"/>
      <c r="AV1272" s="73"/>
      <c r="AW1272" s="73"/>
      <c r="AX1272" s="73"/>
      <c r="AY1272" s="73"/>
      <c r="AZ1272" s="73"/>
      <c r="BA1272" s="73"/>
      <c r="BB1272" s="73"/>
      <c r="BC1272" s="73"/>
      <c r="BD1272" s="73"/>
      <c r="BE1272" s="73"/>
      <c r="BF1272" s="73"/>
      <c r="BG1272" s="73"/>
      <c r="BH1272" s="73"/>
      <c r="BI1272" s="73"/>
      <c r="BJ1272" s="73"/>
      <c r="BK1272" s="73"/>
      <c r="BL1272" s="73"/>
      <c r="BM1272" s="73"/>
      <c r="BN1272" s="73"/>
      <c r="BO1272" s="73"/>
      <c r="BP1272" s="73"/>
      <c r="BQ1272" s="73"/>
      <c r="BR1272" s="73"/>
      <c r="BS1272" s="73"/>
      <c r="BT1272" s="73"/>
      <c r="BU1272" s="73"/>
      <c r="BV1272" s="73"/>
      <c r="BW1272" s="73"/>
      <c r="BX1272" s="73"/>
      <c r="BY1272" s="73"/>
      <c r="BZ1272" s="73"/>
      <c r="CA1272" s="73"/>
      <c r="CB1272" s="73"/>
      <c r="CC1272" s="73"/>
      <c r="CD1272" s="73"/>
      <c r="CE1272" s="73"/>
      <c r="CF1272" s="73"/>
      <c r="CG1272" s="73"/>
      <c r="CH1272" s="73"/>
    </row>
    <row r="1273">
      <c r="A1273" s="80"/>
      <c r="B1273" s="80"/>
      <c r="C1273" s="80"/>
      <c r="D1273" s="80"/>
      <c r="E1273" s="124"/>
      <c r="F1273" s="80"/>
      <c r="G1273" s="80"/>
      <c r="H1273" s="80"/>
      <c r="I1273" s="80"/>
      <c r="J1273" s="196"/>
      <c r="K1273" s="196"/>
      <c r="L1273" s="196"/>
      <c r="M1273" s="196"/>
      <c r="N1273" s="196"/>
      <c r="O1273" s="196"/>
      <c r="P1273" s="196"/>
      <c r="Q1273" s="196"/>
      <c r="R1273" s="196"/>
      <c r="S1273" s="196"/>
      <c r="T1273" s="196"/>
      <c r="U1273" s="196"/>
      <c r="V1273" s="196"/>
      <c r="W1273" s="196"/>
      <c r="X1273" s="196"/>
      <c r="Y1273" s="196"/>
      <c r="Z1273" s="196"/>
      <c r="AA1273" s="196"/>
      <c r="AB1273" s="196"/>
      <c r="AC1273" s="196"/>
      <c r="AD1273" s="196"/>
      <c r="AE1273" s="196"/>
      <c r="AF1273" s="196"/>
      <c r="AG1273" s="196"/>
      <c r="AH1273" s="196"/>
      <c r="AI1273" s="196"/>
      <c r="AJ1273" s="197"/>
      <c r="AK1273" s="80"/>
      <c r="AL1273" s="80"/>
      <c r="AM1273" s="73"/>
      <c r="AN1273" s="73"/>
      <c r="AO1273" s="73"/>
      <c r="AP1273" s="73"/>
      <c r="AQ1273" s="73"/>
      <c r="AR1273" s="73"/>
      <c r="AS1273" s="73"/>
      <c r="AT1273" s="73"/>
      <c r="AU1273" s="73"/>
      <c r="AV1273" s="73"/>
      <c r="AW1273" s="73"/>
      <c r="AX1273" s="73"/>
      <c r="AY1273" s="73"/>
      <c r="AZ1273" s="73"/>
      <c r="BA1273" s="73"/>
      <c r="BB1273" s="73"/>
      <c r="BC1273" s="73"/>
      <c r="BD1273" s="73"/>
      <c r="BE1273" s="73"/>
      <c r="BF1273" s="73"/>
      <c r="BG1273" s="73"/>
      <c r="BH1273" s="73"/>
      <c r="BI1273" s="73"/>
      <c r="BJ1273" s="73"/>
      <c r="BK1273" s="73"/>
      <c r="BL1273" s="73"/>
      <c r="BM1273" s="73"/>
      <c r="BN1273" s="73"/>
      <c r="BO1273" s="73"/>
      <c r="BP1273" s="73"/>
      <c r="BQ1273" s="73"/>
      <c r="BR1273" s="73"/>
      <c r="BS1273" s="73"/>
      <c r="BT1273" s="73"/>
      <c r="BU1273" s="73"/>
      <c r="BV1273" s="73"/>
      <c r="BW1273" s="73"/>
      <c r="BX1273" s="73"/>
      <c r="BY1273" s="73"/>
      <c r="BZ1273" s="73"/>
      <c r="CA1273" s="73"/>
      <c r="CB1273" s="73"/>
      <c r="CC1273" s="73"/>
      <c r="CD1273" s="73"/>
      <c r="CE1273" s="73"/>
      <c r="CF1273" s="73"/>
      <c r="CG1273" s="73"/>
      <c r="CH1273" s="73"/>
    </row>
    <row r="1274">
      <c r="A1274" s="80"/>
      <c r="B1274" s="80"/>
      <c r="C1274" s="80"/>
      <c r="D1274" s="80"/>
      <c r="E1274" s="124"/>
      <c r="F1274" s="80"/>
      <c r="G1274" s="80"/>
      <c r="H1274" s="80"/>
      <c r="I1274" s="80"/>
      <c r="J1274" s="196"/>
      <c r="K1274" s="196"/>
      <c r="L1274" s="196"/>
      <c r="M1274" s="196"/>
      <c r="N1274" s="196"/>
      <c r="O1274" s="196"/>
      <c r="P1274" s="196"/>
      <c r="Q1274" s="196"/>
      <c r="R1274" s="196"/>
      <c r="S1274" s="196"/>
      <c r="T1274" s="196"/>
      <c r="U1274" s="196"/>
      <c r="V1274" s="196"/>
      <c r="W1274" s="196"/>
      <c r="X1274" s="196"/>
      <c r="Y1274" s="196"/>
      <c r="Z1274" s="196"/>
      <c r="AA1274" s="196"/>
      <c r="AB1274" s="196"/>
      <c r="AC1274" s="196"/>
      <c r="AD1274" s="196"/>
      <c r="AE1274" s="196"/>
      <c r="AF1274" s="196"/>
      <c r="AG1274" s="196"/>
      <c r="AH1274" s="196"/>
      <c r="AI1274" s="196"/>
      <c r="AJ1274" s="197"/>
      <c r="AK1274" s="80"/>
      <c r="AL1274" s="80"/>
      <c r="AM1274" s="73"/>
      <c r="AN1274" s="73"/>
      <c r="AO1274" s="73"/>
      <c r="AP1274" s="73"/>
      <c r="AQ1274" s="73"/>
      <c r="AR1274" s="73"/>
      <c r="AS1274" s="73"/>
      <c r="AT1274" s="73"/>
      <c r="AU1274" s="73"/>
      <c r="AV1274" s="73"/>
      <c r="AW1274" s="73"/>
      <c r="AX1274" s="73"/>
      <c r="AY1274" s="73"/>
      <c r="AZ1274" s="73"/>
      <c r="BA1274" s="73"/>
      <c r="BB1274" s="73"/>
      <c r="BC1274" s="73"/>
      <c r="BD1274" s="73"/>
      <c r="BE1274" s="73"/>
      <c r="BF1274" s="73"/>
      <c r="BG1274" s="73"/>
      <c r="BH1274" s="73"/>
      <c r="BI1274" s="73"/>
      <c r="BJ1274" s="73"/>
      <c r="BK1274" s="73"/>
      <c r="BL1274" s="73"/>
      <c r="BM1274" s="73"/>
      <c r="BN1274" s="73"/>
      <c r="BO1274" s="73"/>
      <c r="BP1274" s="73"/>
      <c r="BQ1274" s="73"/>
      <c r="BR1274" s="73"/>
      <c r="BS1274" s="73"/>
      <c r="BT1274" s="73"/>
      <c r="BU1274" s="73"/>
      <c r="BV1274" s="73"/>
      <c r="BW1274" s="73"/>
      <c r="BX1274" s="73"/>
      <c r="BY1274" s="73"/>
      <c r="BZ1274" s="73"/>
      <c r="CA1274" s="73"/>
      <c r="CB1274" s="73"/>
      <c r="CC1274" s="73"/>
      <c r="CD1274" s="73"/>
      <c r="CE1274" s="73"/>
      <c r="CF1274" s="73"/>
      <c r="CG1274" s="73"/>
      <c r="CH1274" s="73"/>
    </row>
    <row r="1275">
      <c r="A1275" s="80"/>
      <c r="B1275" s="80"/>
      <c r="C1275" s="80"/>
      <c r="D1275" s="80"/>
      <c r="E1275" s="124"/>
      <c r="F1275" s="80"/>
      <c r="G1275" s="80"/>
      <c r="H1275" s="80"/>
      <c r="I1275" s="80"/>
      <c r="J1275" s="196"/>
      <c r="K1275" s="196"/>
      <c r="L1275" s="196"/>
      <c r="M1275" s="196"/>
      <c r="N1275" s="196"/>
      <c r="O1275" s="196"/>
      <c r="P1275" s="196"/>
      <c r="Q1275" s="196"/>
      <c r="R1275" s="196"/>
      <c r="S1275" s="196"/>
      <c r="T1275" s="196"/>
      <c r="U1275" s="196"/>
      <c r="V1275" s="196"/>
      <c r="W1275" s="196"/>
      <c r="X1275" s="196"/>
      <c r="Y1275" s="196"/>
      <c r="Z1275" s="196"/>
      <c r="AA1275" s="196"/>
      <c r="AB1275" s="196"/>
      <c r="AC1275" s="196"/>
      <c r="AD1275" s="196"/>
      <c r="AE1275" s="196"/>
      <c r="AF1275" s="196"/>
      <c r="AG1275" s="196"/>
      <c r="AH1275" s="196"/>
      <c r="AI1275" s="196"/>
      <c r="AJ1275" s="197"/>
      <c r="AK1275" s="80"/>
      <c r="AL1275" s="80"/>
      <c r="AM1275" s="73"/>
      <c r="AN1275" s="73"/>
      <c r="AO1275" s="73"/>
      <c r="AP1275" s="73"/>
      <c r="AQ1275" s="73"/>
      <c r="AR1275" s="73"/>
      <c r="AS1275" s="73"/>
      <c r="AT1275" s="73"/>
      <c r="AU1275" s="73"/>
      <c r="AV1275" s="73"/>
      <c r="AW1275" s="73"/>
      <c r="AX1275" s="73"/>
      <c r="AY1275" s="73"/>
      <c r="AZ1275" s="73"/>
      <c r="BA1275" s="73"/>
      <c r="BB1275" s="73"/>
      <c r="BC1275" s="73"/>
      <c r="BD1275" s="73"/>
      <c r="BE1275" s="73"/>
      <c r="BF1275" s="73"/>
      <c r="BG1275" s="73"/>
      <c r="BH1275" s="73"/>
      <c r="BI1275" s="73"/>
      <c r="BJ1275" s="73"/>
      <c r="BK1275" s="73"/>
      <c r="BL1275" s="73"/>
      <c r="BM1275" s="73"/>
      <c r="BN1275" s="73"/>
      <c r="BO1275" s="73"/>
      <c r="BP1275" s="73"/>
      <c r="BQ1275" s="73"/>
      <c r="BR1275" s="73"/>
      <c r="BS1275" s="73"/>
      <c r="BT1275" s="73"/>
      <c r="BU1275" s="73"/>
      <c r="BV1275" s="73"/>
      <c r="BW1275" s="73"/>
      <c r="BX1275" s="73"/>
      <c r="BY1275" s="73"/>
      <c r="BZ1275" s="73"/>
      <c r="CA1275" s="73"/>
      <c r="CB1275" s="73"/>
      <c r="CC1275" s="73"/>
      <c r="CD1275" s="73"/>
      <c r="CE1275" s="73"/>
      <c r="CF1275" s="73"/>
      <c r="CG1275" s="73"/>
      <c r="CH1275" s="73"/>
    </row>
    <row r="1276">
      <c r="A1276" s="80"/>
      <c r="B1276" s="80"/>
      <c r="C1276" s="80"/>
      <c r="D1276" s="80"/>
      <c r="E1276" s="124"/>
      <c r="F1276" s="80"/>
      <c r="G1276" s="80"/>
      <c r="H1276" s="80"/>
      <c r="I1276" s="80"/>
      <c r="J1276" s="196"/>
      <c r="K1276" s="196"/>
      <c r="L1276" s="196"/>
      <c r="M1276" s="196"/>
      <c r="N1276" s="196"/>
      <c r="O1276" s="196"/>
      <c r="P1276" s="196"/>
      <c r="Q1276" s="196"/>
      <c r="R1276" s="196"/>
      <c r="S1276" s="196"/>
      <c r="T1276" s="196"/>
      <c r="U1276" s="196"/>
      <c r="V1276" s="196"/>
      <c r="W1276" s="196"/>
      <c r="X1276" s="196"/>
      <c r="Y1276" s="196"/>
      <c r="Z1276" s="196"/>
      <c r="AA1276" s="196"/>
      <c r="AB1276" s="196"/>
      <c r="AC1276" s="196"/>
      <c r="AD1276" s="196"/>
      <c r="AE1276" s="196"/>
      <c r="AF1276" s="196"/>
      <c r="AG1276" s="196"/>
      <c r="AH1276" s="196"/>
      <c r="AI1276" s="196"/>
      <c r="AJ1276" s="197"/>
      <c r="AK1276" s="80"/>
      <c r="AL1276" s="80"/>
      <c r="AM1276" s="73"/>
      <c r="AN1276" s="73"/>
      <c r="AO1276" s="73"/>
      <c r="AP1276" s="73"/>
      <c r="AQ1276" s="73"/>
      <c r="AR1276" s="73"/>
      <c r="AS1276" s="73"/>
      <c r="AT1276" s="73"/>
      <c r="AU1276" s="73"/>
      <c r="AV1276" s="73"/>
      <c r="AW1276" s="73"/>
      <c r="AX1276" s="73"/>
      <c r="AY1276" s="73"/>
      <c r="AZ1276" s="73"/>
      <c r="BA1276" s="73"/>
      <c r="BB1276" s="73"/>
      <c r="BC1276" s="73"/>
      <c r="BD1276" s="73"/>
      <c r="BE1276" s="73"/>
      <c r="BF1276" s="73"/>
      <c r="BG1276" s="73"/>
      <c r="BH1276" s="73"/>
      <c r="BI1276" s="73"/>
      <c r="BJ1276" s="73"/>
      <c r="BK1276" s="73"/>
      <c r="BL1276" s="73"/>
      <c r="BM1276" s="73"/>
      <c r="BN1276" s="73"/>
      <c r="BO1276" s="73"/>
      <c r="BP1276" s="73"/>
      <c r="BQ1276" s="73"/>
      <c r="BR1276" s="73"/>
      <c r="BS1276" s="73"/>
      <c r="BT1276" s="73"/>
      <c r="BU1276" s="73"/>
      <c r="BV1276" s="73"/>
      <c r="BW1276" s="73"/>
      <c r="BX1276" s="73"/>
      <c r="BY1276" s="73"/>
      <c r="BZ1276" s="73"/>
      <c r="CA1276" s="73"/>
      <c r="CB1276" s="73"/>
      <c r="CC1276" s="73"/>
      <c r="CD1276" s="73"/>
      <c r="CE1276" s="73"/>
      <c r="CF1276" s="73"/>
      <c r="CG1276" s="73"/>
      <c r="CH1276" s="73"/>
    </row>
    <row r="1277">
      <c r="A1277" s="80"/>
      <c r="B1277" s="80"/>
      <c r="C1277" s="80"/>
      <c r="D1277" s="80"/>
      <c r="E1277" s="124"/>
      <c r="F1277" s="80"/>
      <c r="G1277" s="80"/>
      <c r="H1277" s="80"/>
      <c r="I1277" s="80"/>
      <c r="J1277" s="196"/>
      <c r="K1277" s="196"/>
      <c r="L1277" s="196"/>
      <c r="M1277" s="196"/>
      <c r="N1277" s="196"/>
      <c r="O1277" s="196"/>
      <c r="P1277" s="196"/>
      <c r="Q1277" s="196"/>
      <c r="R1277" s="196"/>
      <c r="S1277" s="196"/>
      <c r="T1277" s="196"/>
      <c r="U1277" s="196"/>
      <c r="V1277" s="196"/>
      <c r="W1277" s="196"/>
      <c r="X1277" s="196"/>
      <c r="Y1277" s="196"/>
      <c r="Z1277" s="196"/>
      <c r="AA1277" s="196"/>
      <c r="AB1277" s="196"/>
      <c r="AC1277" s="196"/>
      <c r="AD1277" s="196"/>
      <c r="AE1277" s="196"/>
      <c r="AF1277" s="196"/>
      <c r="AG1277" s="196"/>
      <c r="AH1277" s="196"/>
      <c r="AI1277" s="196"/>
      <c r="AJ1277" s="197"/>
      <c r="AK1277" s="80"/>
      <c r="AL1277" s="80"/>
      <c r="AM1277" s="73"/>
      <c r="AN1277" s="73"/>
      <c r="AO1277" s="73"/>
      <c r="AP1277" s="73"/>
      <c r="AQ1277" s="73"/>
      <c r="AR1277" s="73"/>
      <c r="AS1277" s="73"/>
      <c r="AT1277" s="73"/>
      <c r="AU1277" s="73"/>
      <c r="AV1277" s="73"/>
      <c r="AW1277" s="73"/>
      <c r="AX1277" s="73"/>
      <c r="AY1277" s="73"/>
      <c r="AZ1277" s="73"/>
      <c r="BA1277" s="73"/>
      <c r="BB1277" s="73"/>
      <c r="BC1277" s="73"/>
      <c r="BD1277" s="73"/>
      <c r="BE1277" s="73"/>
      <c r="BF1277" s="73"/>
      <c r="BG1277" s="73"/>
      <c r="BH1277" s="73"/>
      <c r="BI1277" s="73"/>
      <c r="BJ1277" s="73"/>
      <c r="BK1277" s="73"/>
      <c r="BL1277" s="73"/>
      <c r="BM1277" s="73"/>
      <c r="BN1277" s="73"/>
      <c r="BO1277" s="73"/>
      <c r="BP1277" s="73"/>
      <c r="BQ1277" s="73"/>
      <c r="BR1277" s="73"/>
      <c r="BS1277" s="73"/>
      <c r="BT1277" s="73"/>
      <c r="BU1277" s="73"/>
      <c r="BV1277" s="73"/>
      <c r="BW1277" s="73"/>
      <c r="BX1277" s="73"/>
      <c r="BY1277" s="73"/>
      <c r="BZ1277" s="73"/>
      <c r="CA1277" s="73"/>
      <c r="CB1277" s="73"/>
      <c r="CC1277" s="73"/>
      <c r="CD1277" s="73"/>
      <c r="CE1277" s="73"/>
      <c r="CF1277" s="73"/>
      <c r="CG1277" s="73"/>
      <c r="CH1277" s="73"/>
    </row>
    <row r="1278">
      <c r="A1278" s="80"/>
      <c r="B1278" s="80"/>
      <c r="C1278" s="80"/>
      <c r="D1278" s="80"/>
      <c r="E1278" s="124"/>
      <c r="F1278" s="80"/>
      <c r="G1278" s="80"/>
      <c r="H1278" s="80"/>
      <c r="I1278" s="80"/>
      <c r="J1278" s="196"/>
      <c r="K1278" s="196"/>
      <c r="L1278" s="196"/>
      <c r="M1278" s="196"/>
      <c r="N1278" s="196"/>
      <c r="O1278" s="196"/>
      <c r="P1278" s="196"/>
      <c r="Q1278" s="196"/>
      <c r="R1278" s="196"/>
      <c r="S1278" s="196"/>
      <c r="T1278" s="196"/>
      <c r="U1278" s="196"/>
      <c r="V1278" s="196"/>
      <c r="W1278" s="196"/>
      <c r="X1278" s="196"/>
      <c r="Y1278" s="196"/>
      <c r="Z1278" s="196"/>
      <c r="AA1278" s="196"/>
      <c r="AB1278" s="196"/>
      <c r="AC1278" s="196"/>
      <c r="AD1278" s="196"/>
      <c r="AE1278" s="196"/>
      <c r="AF1278" s="196"/>
      <c r="AG1278" s="196"/>
      <c r="AH1278" s="196"/>
      <c r="AI1278" s="196"/>
      <c r="AJ1278" s="197"/>
      <c r="AK1278" s="80"/>
      <c r="AL1278" s="80"/>
      <c r="AM1278" s="73"/>
      <c r="AN1278" s="73"/>
      <c r="AO1278" s="73"/>
      <c r="AP1278" s="73"/>
      <c r="AQ1278" s="73"/>
      <c r="AR1278" s="73"/>
      <c r="AS1278" s="73"/>
      <c r="AT1278" s="73"/>
      <c r="AU1278" s="73"/>
      <c r="AV1278" s="73"/>
      <c r="AW1278" s="73"/>
      <c r="AX1278" s="73"/>
      <c r="AY1278" s="73"/>
      <c r="AZ1278" s="73"/>
      <c r="BA1278" s="73"/>
      <c r="BB1278" s="73"/>
      <c r="BC1278" s="73"/>
      <c r="BD1278" s="73"/>
      <c r="BE1278" s="73"/>
      <c r="BF1278" s="73"/>
      <c r="BG1278" s="73"/>
      <c r="BH1278" s="73"/>
      <c r="BI1278" s="73"/>
      <c r="BJ1278" s="73"/>
      <c r="BK1278" s="73"/>
      <c r="BL1278" s="73"/>
      <c r="BM1278" s="73"/>
      <c r="BN1278" s="73"/>
      <c r="BO1278" s="73"/>
      <c r="BP1278" s="73"/>
      <c r="BQ1278" s="73"/>
      <c r="BR1278" s="73"/>
      <c r="BS1278" s="73"/>
      <c r="BT1278" s="73"/>
      <c r="BU1278" s="73"/>
      <c r="BV1278" s="73"/>
      <c r="BW1278" s="73"/>
      <c r="BX1278" s="73"/>
      <c r="BY1278" s="73"/>
      <c r="BZ1278" s="73"/>
      <c r="CA1278" s="73"/>
      <c r="CB1278" s="73"/>
      <c r="CC1278" s="73"/>
      <c r="CD1278" s="73"/>
      <c r="CE1278" s="73"/>
      <c r="CF1278" s="73"/>
      <c r="CG1278" s="73"/>
      <c r="CH1278" s="73"/>
    </row>
    <row r="1279">
      <c r="A1279" s="80"/>
      <c r="B1279" s="80"/>
      <c r="C1279" s="80"/>
      <c r="D1279" s="80"/>
      <c r="E1279" s="124"/>
      <c r="F1279" s="80"/>
      <c r="G1279" s="80"/>
      <c r="H1279" s="80"/>
      <c r="I1279" s="80"/>
      <c r="J1279" s="196"/>
      <c r="K1279" s="196"/>
      <c r="L1279" s="196"/>
      <c r="M1279" s="196"/>
      <c r="N1279" s="196"/>
      <c r="O1279" s="196"/>
      <c r="P1279" s="196"/>
      <c r="Q1279" s="196"/>
      <c r="R1279" s="196"/>
      <c r="S1279" s="196"/>
      <c r="T1279" s="196"/>
      <c r="U1279" s="196"/>
      <c r="V1279" s="196"/>
      <c r="W1279" s="196"/>
      <c r="X1279" s="196"/>
      <c r="Y1279" s="196"/>
      <c r="Z1279" s="196"/>
      <c r="AA1279" s="196"/>
      <c r="AB1279" s="196"/>
      <c r="AC1279" s="196"/>
      <c r="AD1279" s="196"/>
      <c r="AE1279" s="196"/>
      <c r="AF1279" s="196"/>
      <c r="AG1279" s="196"/>
      <c r="AH1279" s="196"/>
      <c r="AI1279" s="196"/>
      <c r="AJ1279" s="197"/>
      <c r="AK1279" s="80"/>
      <c r="AL1279" s="80"/>
      <c r="AM1279" s="73"/>
      <c r="AN1279" s="73"/>
      <c r="AO1279" s="73"/>
      <c r="AP1279" s="73"/>
      <c r="AQ1279" s="73"/>
      <c r="AR1279" s="73"/>
      <c r="AS1279" s="73"/>
      <c r="AT1279" s="73"/>
      <c r="AU1279" s="73"/>
      <c r="AV1279" s="73"/>
      <c r="AW1279" s="73"/>
      <c r="AX1279" s="73"/>
      <c r="AY1279" s="73"/>
      <c r="AZ1279" s="73"/>
      <c r="BA1279" s="73"/>
      <c r="BB1279" s="73"/>
      <c r="BC1279" s="73"/>
      <c r="BD1279" s="73"/>
      <c r="BE1279" s="73"/>
      <c r="BF1279" s="73"/>
      <c r="BG1279" s="73"/>
      <c r="BH1279" s="73"/>
      <c r="BI1279" s="73"/>
      <c r="BJ1279" s="73"/>
      <c r="BK1279" s="73"/>
      <c r="BL1279" s="73"/>
      <c r="BM1279" s="73"/>
      <c r="BN1279" s="73"/>
      <c r="BO1279" s="73"/>
      <c r="BP1279" s="73"/>
      <c r="BQ1279" s="73"/>
      <c r="BR1279" s="73"/>
      <c r="BS1279" s="73"/>
      <c r="BT1279" s="73"/>
      <c r="BU1279" s="73"/>
      <c r="BV1279" s="73"/>
      <c r="BW1279" s="73"/>
      <c r="BX1279" s="73"/>
      <c r="BY1279" s="73"/>
      <c r="BZ1279" s="73"/>
      <c r="CA1279" s="73"/>
      <c r="CB1279" s="73"/>
      <c r="CC1279" s="73"/>
      <c r="CD1279" s="73"/>
      <c r="CE1279" s="73"/>
      <c r="CF1279" s="73"/>
      <c r="CG1279" s="73"/>
      <c r="CH1279" s="73"/>
    </row>
    <row r="1280">
      <c r="A1280" s="80"/>
      <c r="B1280" s="80"/>
      <c r="C1280" s="80"/>
      <c r="D1280" s="80"/>
      <c r="E1280" s="124"/>
      <c r="F1280" s="80"/>
      <c r="G1280" s="80"/>
      <c r="H1280" s="80"/>
      <c r="I1280" s="80"/>
      <c r="J1280" s="196"/>
      <c r="K1280" s="196"/>
      <c r="L1280" s="196"/>
      <c r="M1280" s="196"/>
      <c r="N1280" s="196"/>
      <c r="O1280" s="196"/>
      <c r="P1280" s="196"/>
      <c r="Q1280" s="196"/>
      <c r="R1280" s="196"/>
      <c r="S1280" s="196"/>
      <c r="T1280" s="196"/>
      <c r="U1280" s="196"/>
      <c r="V1280" s="196"/>
      <c r="W1280" s="196"/>
      <c r="X1280" s="196"/>
      <c r="Y1280" s="196"/>
      <c r="Z1280" s="196"/>
      <c r="AA1280" s="196"/>
      <c r="AB1280" s="196"/>
      <c r="AC1280" s="196"/>
      <c r="AD1280" s="196"/>
      <c r="AE1280" s="196"/>
      <c r="AF1280" s="196"/>
      <c r="AG1280" s="196"/>
      <c r="AH1280" s="196"/>
      <c r="AI1280" s="196"/>
      <c r="AJ1280" s="197"/>
      <c r="AK1280" s="80"/>
      <c r="AL1280" s="80"/>
      <c r="AM1280" s="73"/>
      <c r="AN1280" s="73"/>
      <c r="AO1280" s="73"/>
      <c r="AP1280" s="73"/>
      <c r="AQ1280" s="73"/>
      <c r="AR1280" s="73"/>
      <c r="AS1280" s="73"/>
      <c r="AT1280" s="73"/>
      <c r="AU1280" s="73"/>
      <c r="AV1280" s="73"/>
      <c r="AW1280" s="73"/>
      <c r="AX1280" s="73"/>
      <c r="AY1280" s="73"/>
      <c r="AZ1280" s="73"/>
      <c r="BA1280" s="73"/>
      <c r="BB1280" s="73"/>
      <c r="BC1280" s="73"/>
      <c r="BD1280" s="73"/>
      <c r="BE1280" s="73"/>
      <c r="BF1280" s="73"/>
      <c r="BG1280" s="73"/>
      <c r="BH1280" s="73"/>
      <c r="BI1280" s="73"/>
      <c r="BJ1280" s="73"/>
      <c r="BK1280" s="73"/>
      <c r="BL1280" s="73"/>
      <c r="BM1280" s="73"/>
      <c r="BN1280" s="73"/>
      <c r="BO1280" s="73"/>
      <c r="BP1280" s="73"/>
      <c r="BQ1280" s="73"/>
      <c r="BR1280" s="73"/>
      <c r="BS1280" s="73"/>
      <c r="BT1280" s="73"/>
      <c r="BU1280" s="73"/>
      <c r="BV1280" s="73"/>
      <c r="BW1280" s="73"/>
      <c r="BX1280" s="73"/>
      <c r="BY1280" s="73"/>
      <c r="BZ1280" s="73"/>
      <c r="CA1280" s="73"/>
      <c r="CB1280" s="73"/>
      <c r="CC1280" s="73"/>
      <c r="CD1280" s="73"/>
      <c r="CE1280" s="73"/>
      <c r="CF1280" s="73"/>
      <c r="CG1280" s="73"/>
      <c r="CH1280" s="73"/>
    </row>
    <row r="1281">
      <c r="A1281" s="80"/>
      <c r="B1281" s="80"/>
      <c r="C1281" s="80"/>
      <c r="D1281" s="80"/>
      <c r="E1281" s="124"/>
      <c r="F1281" s="80"/>
      <c r="G1281" s="80"/>
      <c r="H1281" s="80"/>
      <c r="I1281" s="80"/>
      <c r="J1281" s="196"/>
      <c r="K1281" s="196"/>
      <c r="L1281" s="196"/>
      <c r="M1281" s="196"/>
      <c r="N1281" s="196"/>
      <c r="O1281" s="196"/>
      <c r="P1281" s="196"/>
      <c r="Q1281" s="196"/>
      <c r="R1281" s="196"/>
      <c r="S1281" s="196"/>
      <c r="T1281" s="196"/>
      <c r="U1281" s="196"/>
      <c r="V1281" s="196"/>
      <c r="W1281" s="196"/>
      <c r="X1281" s="196"/>
      <c r="Y1281" s="196"/>
      <c r="Z1281" s="196"/>
      <c r="AA1281" s="196"/>
      <c r="AB1281" s="196"/>
      <c r="AC1281" s="196"/>
      <c r="AD1281" s="196"/>
      <c r="AE1281" s="196"/>
      <c r="AF1281" s="196"/>
      <c r="AG1281" s="196"/>
      <c r="AH1281" s="196"/>
      <c r="AI1281" s="196"/>
      <c r="AJ1281" s="197"/>
      <c r="AK1281" s="80"/>
      <c r="AL1281" s="80"/>
      <c r="AM1281" s="73"/>
      <c r="AN1281" s="73"/>
      <c r="AO1281" s="73"/>
      <c r="AP1281" s="73"/>
      <c r="AQ1281" s="73"/>
      <c r="AR1281" s="73"/>
      <c r="AS1281" s="73"/>
      <c r="AT1281" s="73"/>
      <c r="AU1281" s="73"/>
      <c r="AV1281" s="73"/>
      <c r="AW1281" s="73"/>
      <c r="AX1281" s="73"/>
      <c r="AY1281" s="73"/>
      <c r="AZ1281" s="73"/>
      <c r="BA1281" s="73"/>
      <c r="BB1281" s="73"/>
      <c r="BC1281" s="73"/>
      <c r="BD1281" s="73"/>
      <c r="BE1281" s="73"/>
      <c r="BF1281" s="73"/>
      <c r="BG1281" s="73"/>
      <c r="BH1281" s="73"/>
      <c r="BI1281" s="73"/>
      <c r="BJ1281" s="73"/>
      <c r="BK1281" s="73"/>
      <c r="BL1281" s="73"/>
      <c r="BM1281" s="73"/>
      <c r="BN1281" s="73"/>
      <c r="BO1281" s="73"/>
      <c r="BP1281" s="73"/>
      <c r="BQ1281" s="73"/>
      <c r="BR1281" s="73"/>
      <c r="BS1281" s="73"/>
      <c r="BT1281" s="73"/>
      <c r="BU1281" s="73"/>
      <c r="BV1281" s="73"/>
      <c r="BW1281" s="73"/>
      <c r="BX1281" s="73"/>
      <c r="BY1281" s="73"/>
      <c r="BZ1281" s="73"/>
      <c r="CA1281" s="73"/>
      <c r="CB1281" s="73"/>
      <c r="CC1281" s="73"/>
      <c r="CD1281" s="73"/>
      <c r="CE1281" s="73"/>
      <c r="CF1281" s="73"/>
      <c r="CG1281" s="73"/>
      <c r="CH1281" s="73"/>
    </row>
    <row r="1282">
      <c r="A1282" s="80"/>
      <c r="B1282" s="80"/>
      <c r="C1282" s="80"/>
      <c r="D1282" s="80"/>
      <c r="E1282" s="124"/>
      <c r="F1282" s="80"/>
      <c r="G1282" s="80"/>
      <c r="H1282" s="80"/>
      <c r="I1282" s="80"/>
      <c r="J1282" s="196"/>
      <c r="K1282" s="196"/>
      <c r="L1282" s="196"/>
      <c r="M1282" s="196"/>
      <c r="N1282" s="196"/>
      <c r="O1282" s="196"/>
      <c r="P1282" s="196"/>
      <c r="Q1282" s="196"/>
      <c r="R1282" s="196"/>
      <c r="S1282" s="196"/>
      <c r="T1282" s="196"/>
      <c r="U1282" s="196"/>
      <c r="V1282" s="196"/>
      <c r="W1282" s="196"/>
      <c r="X1282" s="196"/>
      <c r="Y1282" s="196"/>
      <c r="Z1282" s="196"/>
      <c r="AA1282" s="196"/>
      <c r="AB1282" s="196"/>
      <c r="AC1282" s="196"/>
      <c r="AD1282" s="196"/>
      <c r="AE1282" s="196"/>
      <c r="AF1282" s="196"/>
      <c r="AG1282" s="196"/>
      <c r="AH1282" s="196"/>
      <c r="AI1282" s="196"/>
      <c r="AJ1282" s="197"/>
      <c r="AK1282" s="80"/>
      <c r="AL1282" s="80"/>
      <c r="AM1282" s="73"/>
      <c r="AN1282" s="73"/>
      <c r="AO1282" s="73"/>
      <c r="AP1282" s="73"/>
      <c r="AQ1282" s="73"/>
      <c r="AR1282" s="73"/>
      <c r="AS1282" s="73"/>
      <c r="AT1282" s="73"/>
      <c r="AU1282" s="73"/>
      <c r="AV1282" s="73"/>
      <c r="AW1282" s="73"/>
      <c r="AX1282" s="73"/>
      <c r="AY1282" s="73"/>
      <c r="AZ1282" s="73"/>
      <c r="BA1282" s="73"/>
      <c r="BB1282" s="73"/>
      <c r="BC1282" s="73"/>
      <c r="BD1282" s="73"/>
      <c r="BE1282" s="73"/>
      <c r="BF1282" s="73"/>
      <c r="BG1282" s="73"/>
      <c r="BH1282" s="73"/>
      <c r="BI1282" s="73"/>
      <c r="BJ1282" s="73"/>
      <c r="BK1282" s="73"/>
      <c r="BL1282" s="73"/>
      <c r="BM1282" s="73"/>
      <c r="BN1282" s="73"/>
      <c r="BO1282" s="73"/>
      <c r="BP1282" s="73"/>
      <c r="BQ1282" s="73"/>
      <c r="BR1282" s="73"/>
      <c r="BS1282" s="73"/>
      <c r="BT1282" s="73"/>
      <c r="BU1282" s="73"/>
      <c r="BV1282" s="73"/>
      <c r="BW1282" s="73"/>
      <c r="BX1282" s="73"/>
      <c r="BY1282" s="73"/>
      <c r="BZ1282" s="73"/>
      <c r="CA1282" s="73"/>
      <c r="CB1282" s="73"/>
      <c r="CC1282" s="73"/>
      <c r="CD1282" s="73"/>
      <c r="CE1282" s="73"/>
      <c r="CF1282" s="73"/>
      <c r="CG1282" s="73"/>
      <c r="CH1282" s="73"/>
    </row>
    <row r="1283">
      <c r="A1283" s="80"/>
      <c r="B1283" s="80"/>
      <c r="C1283" s="80"/>
      <c r="D1283" s="80"/>
      <c r="E1283" s="124"/>
      <c r="F1283" s="80"/>
      <c r="G1283" s="80"/>
      <c r="H1283" s="80"/>
      <c r="I1283" s="80"/>
      <c r="J1283" s="196"/>
      <c r="K1283" s="196"/>
      <c r="L1283" s="196"/>
      <c r="M1283" s="196"/>
      <c r="N1283" s="196"/>
      <c r="O1283" s="196"/>
      <c r="P1283" s="196"/>
      <c r="Q1283" s="196"/>
      <c r="R1283" s="196"/>
      <c r="S1283" s="196"/>
      <c r="T1283" s="196"/>
      <c r="U1283" s="196"/>
      <c r="V1283" s="196"/>
      <c r="W1283" s="196"/>
      <c r="X1283" s="196"/>
      <c r="Y1283" s="196"/>
      <c r="Z1283" s="196"/>
      <c r="AA1283" s="196"/>
      <c r="AB1283" s="196"/>
      <c r="AC1283" s="196"/>
      <c r="AD1283" s="196"/>
      <c r="AE1283" s="196"/>
      <c r="AF1283" s="196"/>
      <c r="AG1283" s="196"/>
      <c r="AH1283" s="196"/>
      <c r="AI1283" s="196"/>
      <c r="AJ1283" s="197"/>
      <c r="AK1283" s="80"/>
      <c r="AL1283" s="80"/>
      <c r="AM1283" s="73"/>
      <c r="AN1283" s="73"/>
      <c r="AO1283" s="73"/>
      <c r="AP1283" s="73"/>
      <c r="AQ1283" s="73"/>
      <c r="AR1283" s="73"/>
      <c r="AS1283" s="73"/>
      <c r="AT1283" s="73"/>
      <c r="AU1283" s="73"/>
      <c r="AV1283" s="73"/>
      <c r="AW1283" s="73"/>
      <c r="AX1283" s="73"/>
      <c r="AY1283" s="73"/>
      <c r="AZ1283" s="73"/>
      <c r="BA1283" s="73"/>
      <c r="BB1283" s="73"/>
      <c r="BC1283" s="73"/>
      <c r="BD1283" s="73"/>
      <c r="BE1283" s="73"/>
      <c r="BF1283" s="73"/>
      <c r="BG1283" s="73"/>
      <c r="BH1283" s="73"/>
      <c r="BI1283" s="73"/>
      <c r="BJ1283" s="73"/>
      <c r="BK1283" s="73"/>
      <c r="BL1283" s="73"/>
      <c r="BM1283" s="73"/>
      <c r="BN1283" s="73"/>
      <c r="BO1283" s="73"/>
      <c r="BP1283" s="73"/>
      <c r="BQ1283" s="73"/>
      <c r="BR1283" s="73"/>
      <c r="BS1283" s="73"/>
      <c r="BT1283" s="73"/>
      <c r="BU1283" s="73"/>
      <c r="BV1283" s="73"/>
      <c r="BW1283" s="73"/>
      <c r="BX1283" s="73"/>
      <c r="BY1283" s="73"/>
      <c r="BZ1283" s="73"/>
      <c r="CA1283" s="73"/>
      <c r="CB1283" s="73"/>
      <c r="CC1283" s="73"/>
      <c r="CD1283" s="73"/>
      <c r="CE1283" s="73"/>
      <c r="CF1283" s="73"/>
      <c r="CG1283" s="73"/>
      <c r="CH1283" s="73"/>
    </row>
    <row r="1284">
      <c r="A1284" s="80"/>
      <c r="B1284" s="80"/>
      <c r="C1284" s="80"/>
      <c r="D1284" s="80"/>
      <c r="E1284" s="124"/>
      <c r="F1284" s="80"/>
      <c r="G1284" s="80"/>
      <c r="H1284" s="80"/>
      <c r="I1284" s="80"/>
      <c r="J1284" s="196"/>
      <c r="K1284" s="196"/>
      <c r="L1284" s="196"/>
      <c r="M1284" s="196"/>
      <c r="N1284" s="196"/>
      <c r="O1284" s="196"/>
      <c r="P1284" s="196"/>
      <c r="Q1284" s="196"/>
      <c r="R1284" s="196"/>
      <c r="S1284" s="196"/>
      <c r="T1284" s="196"/>
      <c r="U1284" s="196"/>
      <c r="V1284" s="196"/>
      <c r="W1284" s="196"/>
      <c r="X1284" s="196"/>
      <c r="Y1284" s="196"/>
      <c r="Z1284" s="196"/>
      <c r="AA1284" s="196"/>
      <c r="AB1284" s="196"/>
      <c r="AC1284" s="196"/>
      <c r="AD1284" s="196"/>
      <c r="AE1284" s="196"/>
      <c r="AF1284" s="196"/>
      <c r="AG1284" s="196"/>
      <c r="AH1284" s="196"/>
      <c r="AI1284" s="196"/>
      <c r="AJ1284" s="197"/>
      <c r="AK1284" s="80"/>
      <c r="AL1284" s="80"/>
      <c r="AM1284" s="73"/>
      <c r="AN1284" s="73"/>
      <c r="AO1284" s="73"/>
      <c r="AP1284" s="73"/>
      <c r="AQ1284" s="73"/>
      <c r="AR1284" s="73"/>
      <c r="AS1284" s="73"/>
      <c r="AT1284" s="73"/>
      <c r="AU1284" s="73"/>
      <c r="AV1284" s="73"/>
      <c r="AW1284" s="73"/>
      <c r="AX1284" s="73"/>
      <c r="AY1284" s="73"/>
      <c r="AZ1284" s="73"/>
      <c r="BA1284" s="73"/>
      <c r="BB1284" s="73"/>
      <c r="BC1284" s="73"/>
      <c r="BD1284" s="73"/>
      <c r="BE1284" s="73"/>
      <c r="BF1284" s="73"/>
      <c r="BG1284" s="73"/>
      <c r="BH1284" s="73"/>
      <c r="BI1284" s="73"/>
      <c r="BJ1284" s="73"/>
      <c r="BK1284" s="73"/>
      <c r="BL1284" s="73"/>
      <c r="BM1284" s="73"/>
      <c r="BN1284" s="73"/>
      <c r="BO1284" s="73"/>
      <c r="BP1284" s="73"/>
      <c r="BQ1284" s="73"/>
      <c r="BR1284" s="73"/>
      <c r="BS1284" s="73"/>
      <c r="BT1284" s="73"/>
      <c r="BU1284" s="73"/>
      <c r="BV1284" s="73"/>
      <c r="BW1284" s="73"/>
      <c r="BX1284" s="73"/>
      <c r="BY1284" s="73"/>
      <c r="BZ1284" s="73"/>
      <c r="CA1284" s="73"/>
      <c r="CB1284" s="73"/>
      <c r="CC1284" s="73"/>
      <c r="CD1284" s="73"/>
      <c r="CE1284" s="73"/>
      <c r="CF1284" s="73"/>
      <c r="CG1284" s="73"/>
      <c r="CH1284" s="73"/>
    </row>
    <row r="1285">
      <c r="A1285" s="80"/>
      <c r="B1285" s="80"/>
      <c r="C1285" s="80"/>
      <c r="D1285" s="80"/>
      <c r="E1285" s="124"/>
      <c r="F1285" s="80"/>
      <c r="G1285" s="80"/>
      <c r="H1285" s="80"/>
      <c r="I1285" s="80"/>
      <c r="J1285" s="196"/>
      <c r="K1285" s="196"/>
      <c r="L1285" s="196"/>
      <c r="M1285" s="196"/>
      <c r="N1285" s="196"/>
      <c r="O1285" s="196"/>
      <c r="P1285" s="196"/>
      <c r="Q1285" s="196"/>
      <c r="R1285" s="196"/>
      <c r="S1285" s="196"/>
      <c r="T1285" s="196"/>
      <c r="U1285" s="196"/>
      <c r="V1285" s="196"/>
      <c r="W1285" s="196"/>
      <c r="X1285" s="196"/>
      <c r="Y1285" s="196"/>
      <c r="Z1285" s="196"/>
      <c r="AA1285" s="196"/>
      <c r="AB1285" s="196"/>
      <c r="AC1285" s="196"/>
      <c r="AD1285" s="196"/>
      <c r="AE1285" s="196"/>
      <c r="AF1285" s="196"/>
      <c r="AG1285" s="196"/>
      <c r="AH1285" s="196"/>
      <c r="AI1285" s="196"/>
      <c r="AJ1285" s="197"/>
      <c r="AK1285" s="80"/>
      <c r="AL1285" s="80"/>
      <c r="AM1285" s="73"/>
      <c r="AN1285" s="73"/>
      <c r="AO1285" s="73"/>
      <c r="AP1285" s="73"/>
      <c r="AQ1285" s="73"/>
      <c r="AR1285" s="73"/>
      <c r="AS1285" s="73"/>
      <c r="AT1285" s="73"/>
      <c r="AU1285" s="73"/>
      <c r="AV1285" s="73"/>
      <c r="AW1285" s="73"/>
      <c r="AX1285" s="73"/>
      <c r="AY1285" s="73"/>
      <c r="AZ1285" s="73"/>
      <c r="BA1285" s="73"/>
      <c r="BB1285" s="73"/>
      <c r="BC1285" s="73"/>
      <c r="BD1285" s="73"/>
      <c r="BE1285" s="73"/>
      <c r="BF1285" s="73"/>
      <c r="BG1285" s="73"/>
      <c r="BH1285" s="73"/>
      <c r="BI1285" s="73"/>
      <c r="BJ1285" s="73"/>
      <c r="BK1285" s="73"/>
      <c r="BL1285" s="73"/>
      <c r="BM1285" s="73"/>
      <c r="BN1285" s="73"/>
      <c r="BO1285" s="73"/>
      <c r="BP1285" s="73"/>
      <c r="BQ1285" s="73"/>
      <c r="BR1285" s="73"/>
      <c r="BS1285" s="73"/>
      <c r="BT1285" s="73"/>
      <c r="BU1285" s="73"/>
      <c r="BV1285" s="73"/>
      <c r="BW1285" s="73"/>
      <c r="BX1285" s="73"/>
      <c r="BY1285" s="73"/>
      <c r="BZ1285" s="73"/>
      <c r="CA1285" s="73"/>
      <c r="CB1285" s="73"/>
      <c r="CC1285" s="73"/>
      <c r="CD1285" s="73"/>
      <c r="CE1285" s="73"/>
      <c r="CF1285" s="73"/>
      <c r="CG1285" s="73"/>
      <c r="CH1285" s="73"/>
    </row>
    <row r="1286">
      <c r="A1286" s="80"/>
      <c r="B1286" s="80"/>
      <c r="C1286" s="80"/>
      <c r="D1286" s="80"/>
      <c r="E1286" s="124"/>
      <c r="F1286" s="80"/>
      <c r="G1286" s="80"/>
      <c r="H1286" s="80"/>
      <c r="I1286" s="80"/>
      <c r="J1286" s="196"/>
      <c r="K1286" s="196"/>
      <c r="L1286" s="196"/>
      <c r="M1286" s="196"/>
      <c r="N1286" s="196"/>
      <c r="O1286" s="196"/>
      <c r="P1286" s="196"/>
      <c r="Q1286" s="196"/>
      <c r="R1286" s="196"/>
      <c r="S1286" s="196"/>
      <c r="T1286" s="196"/>
      <c r="U1286" s="196"/>
      <c r="V1286" s="196"/>
      <c r="W1286" s="196"/>
      <c r="X1286" s="196"/>
      <c r="Y1286" s="196"/>
      <c r="Z1286" s="196"/>
      <c r="AA1286" s="196"/>
      <c r="AB1286" s="196"/>
      <c r="AC1286" s="196"/>
      <c r="AD1286" s="196"/>
      <c r="AE1286" s="196"/>
      <c r="AF1286" s="196"/>
      <c r="AG1286" s="196"/>
      <c r="AH1286" s="196"/>
      <c r="AI1286" s="196"/>
      <c r="AJ1286" s="197"/>
      <c r="AK1286" s="80"/>
      <c r="AL1286" s="80"/>
      <c r="AM1286" s="73"/>
      <c r="AN1286" s="73"/>
      <c r="AO1286" s="73"/>
      <c r="AP1286" s="73"/>
      <c r="AQ1286" s="73"/>
      <c r="AR1286" s="73"/>
      <c r="AS1286" s="73"/>
      <c r="AT1286" s="73"/>
      <c r="AU1286" s="73"/>
      <c r="AV1286" s="73"/>
      <c r="AW1286" s="73"/>
      <c r="AX1286" s="73"/>
      <c r="AY1286" s="73"/>
      <c r="AZ1286" s="73"/>
      <c r="BA1286" s="73"/>
      <c r="BB1286" s="73"/>
      <c r="BC1286" s="73"/>
      <c r="BD1286" s="73"/>
      <c r="BE1286" s="73"/>
      <c r="BF1286" s="73"/>
      <c r="BG1286" s="73"/>
      <c r="BH1286" s="73"/>
      <c r="BI1286" s="73"/>
      <c r="BJ1286" s="73"/>
      <c r="BK1286" s="73"/>
      <c r="BL1286" s="73"/>
      <c r="BM1286" s="73"/>
      <c r="BN1286" s="73"/>
      <c r="BO1286" s="73"/>
      <c r="BP1286" s="73"/>
      <c r="BQ1286" s="73"/>
      <c r="BR1286" s="73"/>
      <c r="BS1286" s="73"/>
      <c r="BT1286" s="73"/>
      <c r="BU1286" s="73"/>
      <c r="BV1286" s="73"/>
      <c r="BW1286" s="73"/>
      <c r="BX1286" s="73"/>
      <c r="BY1286" s="73"/>
      <c r="BZ1286" s="73"/>
      <c r="CA1286" s="73"/>
      <c r="CB1286" s="73"/>
      <c r="CC1286" s="73"/>
      <c r="CD1286" s="73"/>
      <c r="CE1286" s="73"/>
      <c r="CF1286" s="73"/>
      <c r="CG1286" s="73"/>
      <c r="CH1286" s="73"/>
    </row>
    <row r="1287">
      <c r="A1287" s="80"/>
      <c r="B1287" s="80"/>
      <c r="C1287" s="80"/>
      <c r="D1287" s="80"/>
      <c r="E1287" s="124"/>
      <c r="F1287" s="80"/>
      <c r="G1287" s="80"/>
      <c r="H1287" s="80"/>
      <c r="I1287" s="80"/>
      <c r="J1287" s="196"/>
      <c r="K1287" s="196"/>
      <c r="L1287" s="196"/>
      <c r="M1287" s="196"/>
      <c r="N1287" s="196"/>
      <c r="O1287" s="196"/>
      <c r="P1287" s="196"/>
      <c r="Q1287" s="196"/>
      <c r="R1287" s="196"/>
      <c r="S1287" s="196"/>
      <c r="T1287" s="196"/>
      <c r="U1287" s="196"/>
      <c r="V1287" s="196"/>
      <c r="W1287" s="196"/>
      <c r="X1287" s="196"/>
      <c r="Y1287" s="196"/>
      <c r="Z1287" s="196"/>
      <c r="AA1287" s="196"/>
      <c r="AB1287" s="196"/>
      <c r="AC1287" s="196"/>
      <c r="AD1287" s="196"/>
      <c r="AE1287" s="196"/>
      <c r="AF1287" s="196"/>
      <c r="AG1287" s="196"/>
      <c r="AH1287" s="196"/>
      <c r="AI1287" s="196"/>
      <c r="AJ1287" s="197"/>
      <c r="AK1287" s="80"/>
      <c r="AL1287" s="80"/>
      <c r="AM1287" s="73"/>
      <c r="AN1287" s="73"/>
      <c r="AO1287" s="73"/>
      <c r="AP1287" s="73"/>
      <c r="AQ1287" s="73"/>
      <c r="AR1287" s="73"/>
      <c r="AS1287" s="73"/>
      <c r="AT1287" s="73"/>
      <c r="AU1287" s="73"/>
      <c r="AV1287" s="73"/>
      <c r="AW1287" s="73"/>
      <c r="AX1287" s="73"/>
      <c r="AY1287" s="73"/>
      <c r="AZ1287" s="73"/>
      <c r="BA1287" s="73"/>
      <c r="BB1287" s="73"/>
      <c r="BC1287" s="73"/>
      <c r="BD1287" s="73"/>
      <c r="BE1287" s="73"/>
      <c r="BF1287" s="73"/>
      <c r="BG1287" s="73"/>
      <c r="BH1287" s="73"/>
      <c r="BI1287" s="73"/>
      <c r="BJ1287" s="73"/>
      <c r="BK1287" s="73"/>
      <c r="BL1287" s="73"/>
      <c r="BM1287" s="73"/>
      <c r="BN1287" s="73"/>
      <c r="BO1287" s="73"/>
      <c r="BP1287" s="73"/>
      <c r="BQ1287" s="73"/>
      <c r="BR1287" s="73"/>
      <c r="BS1287" s="73"/>
      <c r="BT1287" s="73"/>
      <c r="BU1287" s="73"/>
      <c r="BV1287" s="73"/>
      <c r="BW1287" s="73"/>
      <c r="BX1287" s="73"/>
      <c r="BY1287" s="73"/>
      <c r="BZ1287" s="73"/>
      <c r="CA1287" s="73"/>
      <c r="CB1287" s="73"/>
      <c r="CC1287" s="73"/>
      <c r="CD1287" s="73"/>
      <c r="CE1287" s="73"/>
      <c r="CF1287" s="73"/>
      <c r="CG1287" s="73"/>
      <c r="CH1287" s="73"/>
    </row>
    <row r="1288">
      <c r="A1288" s="80"/>
      <c r="B1288" s="80"/>
      <c r="C1288" s="80"/>
      <c r="D1288" s="80"/>
      <c r="E1288" s="124"/>
      <c r="F1288" s="80"/>
      <c r="G1288" s="80"/>
      <c r="H1288" s="80"/>
      <c r="I1288" s="80"/>
      <c r="J1288" s="196"/>
      <c r="K1288" s="196"/>
      <c r="L1288" s="196"/>
      <c r="M1288" s="196"/>
      <c r="N1288" s="196"/>
      <c r="O1288" s="196"/>
      <c r="P1288" s="196"/>
      <c r="Q1288" s="196"/>
      <c r="R1288" s="196"/>
      <c r="S1288" s="196"/>
      <c r="T1288" s="196"/>
      <c r="U1288" s="196"/>
      <c r="V1288" s="196"/>
      <c r="W1288" s="196"/>
      <c r="X1288" s="196"/>
      <c r="Y1288" s="196"/>
      <c r="Z1288" s="196"/>
      <c r="AA1288" s="196"/>
      <c r="AB1288" s="196"/>
      <c r="AC1288" s="196"/>
      <c r="AD1288" s="196"/>
      <c r="AE1288" s="196"/>
      <c r="AF1288" s="196"/>
      <c r="AG1288" s="196"/>
      <c r="AH1288" s="196"/>
      <c r="AI1288" s="196"/>
      <c r="AJ1288" s="197"/>
      <c r="AK1288" s="80"/>
      <c r="AL1288" s="80"/>
      <c r="AM1288" s="73"/>
      <c r="AN1288" s="73"/>
      <c r="AO1288" s="73"/>
      <c r="AP1288" s="73"/>
      <c r="AQ1288" s="73"/>
      <c r="AR1288" s="73"/>
      <c r="AS1288" s="73"/>
      <c r="AT1288" s="73"/>
      <c r="AU1288" s="73"/>
      <c r="AV1288" s="73"/>
      <c r="AW1288" s="73"/>
      <c r="AX1288" s="73"/>
      <c r="AY1288" s="73"/>
      <c r="AZ1288" s="73"/>
      <c r="BA1288" s="73"/>
      <c r="BB1288" s="73"/>
      <c r="BC1288" s="73"/>
      <c r="BD1288" s="73"/>
      <c r="BE1288" s="73"/>
      <c r="BF1288" s="73"/>
      <c r="BG1288" s="73"/>
      <c r="BH1288" s="73"/>
      <c r="BI1288" s="73"/>
      <c r="BJ1288" s="73"/>
      <c r="BK1288" s="73"/>
      <c r="BL1288" s="73"/>
      <c r="BM1288" s="73"/>
      <c r="BN1288" s="73"/>
      <c r="BO1288" s="73"/>
      <c r="BP1288" s="73"/>
      <c r="BQ1288" s="73"/>
      <c r="BR1288" s="73"/>
      <c r="BS1288" s="73"/>
      <c r="BT1288" s="73"/>
      <c r="BU1288" s="73"/>
      <c r="BV1288" s="73"/>
      <c r="BW1288" s="73"/>
      <c r="BX1288" s="73"/>
      <c r="BY1288" s="73"/>
      <c r="BZ1288" s="73"/>
      <c r="CA1288" s="73"/>
      <c r="CB1288" s="73"/>
      <c r="CC1288" s="73"/>
      <c r="CD1288" s="73"/>
      <c r="CE1288" s="73"/>
      <c r="CF1288" s="73"/>
      <c r="CG1288" s="73"/>
      <c r="CH1288" s="73"/>
    </row>
    <row r="1289">
      <c r="A1289" s="80"/>
      <c r="B1289" s="80"/>
      <c r="C1289" s="80"/>
      <c r="D1289" s="80"/>
      <c r="E1289" s="124"/>
      <c r="F1289" s="80"/>
      <c r="G1289" s="80"/>
      <c r="H1289" s="80"/>
      <c r="I1289" s="80"/>
      <c r="J1289" s="196"/>
      <c r="K1289" s="196"/>
      <c r="L1289" s="196"/>
      <c r="M1289" s="196"/>
      <c r="N1289" s="196"/>
      <c r="O1289" s="196"/>
      <c r="P1289" s="196"/>
      <c r="Q1289" s="196"/>
      <c r="R1289" s="196"/>
      <c r="S1289" s="196"/>
      <c r="T1289" s="196"/>
      <c r="U1289" s="196"/>
      <c r="V1289" s="196"/>
      <c r="W1289" s="196"/>
      <c r="X1289" s="196"/>
      <c r="Y1289" s="196"/>
      <c r="Z1289" s="196"/>
      <c r="AA1289" s="196"/>
      <c r="AB1289" s="196"/>
      <c r="AC1289" s="196"/>
      <c r="AD1289" s="196"/>
      <c r="AE1289" s="196"/>
      <c r="AF1289" s="196"/>
      <c r="AG1289" s="196"/>
      <c r="AH1289" s="196"/>
      <c r="AI1289" s="196"/>
      <c r="AJ1289" s="197"/>
      <c r="AK1289" s="80"/>
      <c r="AL1289" s="80"/>
      <c r="AM1289" s="73"/>
      <c r="AN1289" s="73"/>
      <c r="AO1289" s="73"/>
      <c r="AP1289" s="73"/>
      <c r="AQ1289" s="73"/>
      <c r="AR1289" s="73"/>
      <c r="AS1289" s="73"/>
      <c r="AT1289" s="73"/>
      <c r="AU1289" s="73"/>
      <c r="AV1289" s="73"/>
      <c r="AW1289" s="73"/>
      <c r="AX1289" s="73"/>
      <c r="AY1289" s="73"/>
      <c r="AZ1289" s="73"/>
      <c r="BA1289" s="73"/>
      <c r="BB1289" s="73"/>
      <c r="BC1289" s="73"/>
      <c r="BD1289" s="73"/>
      <c r="BE1289" s="73"/>
      <c r="BF1289" s="73"/>
      <c r="BG1289" s="73"/>
      <c r="BH1289" s="73"/>
      <c r="BI1289" s="73"/>
      <c r="BJ1289" s="73"/>
      <c r="BK1289" s="73"/>
      <c r="BL1289" s="73"/>
      <c r="BM1289" s="73"/>
      <c r="BN1289" s="73"/>
      <c r="BO1289" s="73"/>
      <c r="BP1289" s="73"/>
      <c r="BQ1289" s="73"/>
      <c r="BR1289" s="73"/>
      <c r="BS1289" s="73"/>
      <c r="BT1289" s="73"/>
      <c r="BU1289" s="73"/>
      <c r="BV1289" s="73"/>
      <c r="BW1289" s="73"/>
      <c r="BX1289" s="73"/>
      <c r="BY1289" s="73"/>
      <c r="BZ1289" s="73"/>
      <c r="CA1289" s="73"/>
      <c r="CB1289" s="73"/>
      <c r="CC1289" s="73"/>
      <c r="CD1289" s="73"/>
      <c r="CE1289" s="73"/>
      <c r="CF1289" s="73"/>
      <c r="CG1289" s="73"/>
      <c r="CH1289" s="73"/>
    </row>
    <row r="1290">
      <c r="A1290" s="80"/>
      <c r="B1290" s="80"/>
      <c r="C1290" s="80"/>
      <c r="D1290" s="80"/>
      <c r="E1290" s="124"/>
      <c r="F1290" s="80"/>
      <c r="G1290" s="80"/>
      <c r="H1290" s="80"/>
      <c r="I1290" s="80"/>
      <c r="J1290" s="196"/>
      <c r="K1290" s="196"/>
      <c r="L1290" s="196"/>
      <c r="M1290" s="196"/>
      <c r="N1290" s="196"/>
      <c r="O1290" s="196"/>
      <c r="P1290" s="196"/>
      <c r="Q1290" s="196"/>
      <c r="R1290" s="196"/>
      <c r="S1290" s="196"/>
      <c r="T1290" s="196"/>
      <c r="U1290" s="196"/>
      <c r="V1290" s="196"/>
      <c r="W1290" s="196"/>
      <c r="X1290" s="196"/>
      <c r="Y1290" s="196"/>
      <c r="Z1290" s="196"/>
      <c r="AA1290" s="196"/>
      <c r="AB1290" s="196"/>
      <c r="AC1290" s="196"/>
      <c r="AD1290" s="196"/>
      <c r="AE1290" s="196"/>
      <c r="AF1290" s="196"/>
      <c r="AG1290" s="196"/>
      <c r="AH1290" s="196"/>
      <c r="AI1290" s="196"/>
      <c r="AJ1290" s="197"/>
      <c r="AK1290" s="80"/>
      <c r="AL1290" s="80"/>
      <c r="AM1290" s="73"/>
      <c r="AN1290" s="73"/>
      <c r="AO1290" s="73"/>
      <c r="AP1290" s="73"/>
      <c r="AQ1290" s="73"/>
      <c r="AR1290" s="73"/>
      <c r="AS1290" s="73"/>
      <c r="AT1290" s="73"/>
      <c r="AU1290" s="73"/>
      <c r="AV1290" s="73"/>
      <c r="AW1290" s="73"/>
      <c r="AX1290" s="73"/>
      <c r="AY1290" s="73"/>
      <c r="AZ1290" s="73"/>
      <c r="BA1290" s="73"/>
      <c r="BB1290" s="73"/>
      <c r="BC1290" s="73"/>
      <c r="BD1290" s="73"/>
      <c r="BE1290" s="73"/>
      <c r="BF1290" s="73"/>
      <c r="BG1290" s="73"/>
      <c r="BH1290" s="73"/>
      <c r="BI1290" s="73"/>
      <c r="BJ1290" s="73"/>
      <c r="BK1290" s="73"/>
      <c r="BL1290" s="73"/>
      <c r="BM1290" s="73"/>
      <c r="BN1290" s="73"/>
      <c r="BO1290" s="73"/>
      <c r="BP1290" s="73"/>
      <c r="BQ1290" s="73"/>
      <c r="BR1290" s="73"/>
      <c r="BS1290" s="73"/>
      <c r="BT1290" s="73"/>
      <c r="BU1290" s="73"/>
      <c r="BV1290" s="73"/>
      <c r="BW1290" s="73"/>
      <c r="BX1290" s="73"/>
      <c r="BY1290" s="73"/>
      <c r="BZ1290" s="73"/>
      <c r="CA1290" s="73"/>
      <c r="CB1290" s="73"/>
      <c r="CC1290" s="73"/>
      <c r="CD1290" s="73"/>
      <c r="CE1290" s="73"/>
      <c r="CF1290" s="73"/>
      <c r="CG1290" s="73"/>
      <c r="CH1290" s="73"/>
    </row>
    <row r="1291">
      <c r="A1291" s="80"/>
      <c r="B1291" s="80"/>
      <c r="C1291" s="80"/>
      <c r="D1291" s="80"/>
      <c r="E1291" s="124"/>
      <c r="F1291" s="80"/>
      <c r="G1291" s="80"/>
      <c r="H1291" s="80"/>
      <c r="I1291" s="80"/>
      <c r="J1291" s="196"/>
      <c r="K1291" s="196"/>
      <c r="L1291" s="196"/>
      <c r="M1291" s="196"/>
      <c r="N1291" s="196"/>
      <c r="O1291" s="196"/>
      <c r="P1291" s="196"/>
      <c r="Q1291" s="196"/>
      <c r="R1291" s="196"/>
      <c r="S1291" s="196"/>
      <c r="T1291" s="196"/>
      <c r="U1291" s="196"/>
      <c r="V1291" s="196"/>
      <c r="W1291" s="196"/>
      <c r="X1291" s="196"/>
      <c r="Y1291" s="196"/>
      <c r="Z1291" s="196"/>
      <c r="AA1291" s="196"/>
      <c r="AB1291" s="196"/>
      <c r="AC1291" s="196"/>
      <c r="AD1291" s="196"/>
      <c r="AE1291" s="196"/>
      <c r="AF1291" s="196"/>
      <c r="AG1291" s="196"/>
      <c r="AH1291" s="196"/>
      <c r="AI1291" s="196"/>
      <c r="AJ1291" s="197"/>
      <c r="AK1291" s="80"/>
      <c r="AL1291" s="80"/>
      <c r="AM1291" s="73"/>
      <c r="AN1291" s="73"/>
      <c r="AO1291" s="73"/>
      <c r="AP1291" s="73"/>
      <c r="AQ1291" s="73"/>
      <c r="AR1291" s="73"/>
      <c r="AS1291" s="73"/>
      <c r="AT1291" s="73"/>
      <c r="AU1291" s="73"/>
      <c r="AV1291" s="73"/>
      <c r="AW1291" s="73"/>
      <c r="AX1291" s="73"/>
      <c r="AY1291" s="73"/>
      <c r="AZ1291" s="73"/>
      <c r="BA1291" s="73"/>
      <c r="BB1291" s="73"/>
      <c r="BC1291" s="73"/>
      <c r="BD1291" s="73"/>
      <c r="BE1291" s="73"/>
      <c r="BF1291" s="73"/>
      <c r="BG1291" s="73"/>
      <c r="BH1291" s="73"/>
      <c r="BI1291" s="73"/>
      <c r="BJ1291" s="73"/>
      <c r="BK1291" s="73"/>
      <c r="BL1291" s="73"/>
      <c r="BM1291" s="73"/>
      <c r="BN1291" s="73"/>
      <c r="BO1291" s="73"/>
      <c r="BP1291" s="73"/>
      <c r="BQ1291" s="73"/>
      <c r="BR1291" s="73"/>
      <c r="BS1291" s="73"/>
      <c r="BT1291" s="73"/>
      <c r="BU1291" s="73"/>
      <c r="BV1291" s="73"/>
      <c r="BW1291" s="73"/>
      <c r="BX1291" s="73"/>
      <c r="BY1291" s="73"/>
      <c r="BZ1291" s="73"/>
      <c r="CA1291" s="73"/>
      <c r="CB1291" s="73"/>
      <c r="CC1291" s="73"/>
      <c r="CD1291" s="73"/>
      <c r="CE1291" s="73"/>
      <c r="CF1291" s="73"/>
      <c r="CG1291" s="73"/>
      <c r="CH1291" s="73"/>
    </row>
    <row r="1292">
      <c r="A1292" s="80"/>
      <c r="B1292" s="80"/>
      <c r="C1292" s="80"/>
      <c r="D1292" s="80"/>
      <c r="E1292" s="124"/>
      <c r="F1292" s="80"/>
      <c r="G1292" s="80"/>
      <c r="H1292" s="80"/>
      <c r="I1292" s="80"/>
      <c r="J1292" s="196"/>
      <c r="K1292" s="196"/>
      <c r="L1292" s="196"/>
      <c r="M1292" s="196"/>
      <c r="N1292" s="196"/>
      <c r="O1292" s="196"/>
      <c r="P1292" s="196"/>
      <c r="Q1292" s="196"/>
      <c r="R1292" s="196"/>
      <c r="S1292" s="196"/>
      <c r="T1292" s="196"/>
      <c r="U1292" s="196"/>
      <c r="V1292" s="196"/>
      <c r="W1292" s="196"/>
      <c r="X1292" s="196"/>
      <c r="Y1292" s="196"/>
      <c r="Z1292" s="196"/>
      <c r="AA1292" s="196"/>
      <c r="AB1292" s="196"/>
      <c r="AC1292" s="196"/>
      <c r="AD1292" s="196"/>
      <c r="AE1292" s="196"/>
      <c r="AF1292" s="196"/>
      <c r="AG1292" s="196"/>
      <c r="AH1292" s="196"/>
      <c r="AI1292" s="196"/>
      <c r="AJ1292" s="197"/>
      <c r="AK1292" s="80"/>
      <c r="AL1292" s="80"/>
      <c r="AM1292" s="73"/>
      <c r="AN1292" s="73"/>
      <c r="AO1292" s="73"/>
      <c r="AP1292" s="73"/>
      <c r="AQ1292" s="73"/>
      <c r="AR1292" s="73"/>
      <c r="AS1292" s="73"/>
      <c r="AT1292" s="73"/>
      <c r="AU1292" s="73"/>
      <c r="AV1292" s="73"/>
      <c r="AW1292" s="73"/>
      <c r="AX1292" s="73"/>
      <c r="AY1292" s="73"/>
      <c r="AZ1292" s="73"/>
      <c r="BA1292" s="73"/>
      <c r="BB1292" s="73"/>
      <c r="BC1292" s="73"/>
      <c r="BD1292" s="73"/>
      <c r="BE1292" s="73"/>
      <c r="BF1292" s="73"/>
      <c r="BG1292" s="73"/>
      <c r="BH1292" s="73"/>
      <c r="BI1292" s="73"/>
      <c r="BJ1292" s="73"/>
      <c r="BK1292" s="73"/>
      <c r="BL1292" s="73"/>
      <c r="BM1292" s="73"/>
      <c r="BN1292" s="73"/>
      <c r="BO1292" s="73"/>
      <c r="BP1292" s="73"/>
      <c r="BQ1292" s="73"/>
      <c r="BR1292" s="73"/>
      <c r="BS1292" s="73"/>
      <c r="BT1292" s="73"/>
      <c r="BU1292" s="73"/>
      <c r="BV1292" s="73"/>
      <c r="BW1292" s="73"/>
      <c r="BX1292" s="73"/>
      <c r="BY1292" s="73"/>
      <c r="BZ1292" s="73"/>
      <c r="CA1292" s="73"/>
      <c r="CB1292" s="73"/>
      <c r="CC1292" s="73"/>
      <c r="CD1292" s="73"/>
      <c r="CE1292" s="73"/>
      <c r="CF1292" s="73"/>
      <c r="CG1292" s="73"/>
      <c r="CH1292" s="73"/>
    </row>
    <row r="1293">
      <c r="A1293" s="80"/>
      <c r="B1293" s="80"/>
      <c r="C1293" s="80"/>
      <c r="D1293" s="80"/>
      <c r="E1293" s="124"/>
      <c r="F1293" s="80"/>
      <c r="G1293" s="80"/>
      <c r="H1293" s="80"/>
      <c r="I1293" s="80"/>
      <c r="J1293" s="196"/>
      <c r="K1293" s="196"/>
      <c r="L1293" s="196"/>
      <c r="M1293" s="196"/>
      <c r="N1293" s="196"/>
      <c r="O1293" s="196"/>
      <c r="P1293" s="196"/>
      <c r="Q1293" s="196"/>
      <c r="R1293" s="196"/>
      <c r="S1293" s="196"/>
      <c r="T1293" s="196"/>
      <c r="U1293" s="196"/>
      <c r="V1293" s="196"/>
      <c r="W1293" s="196"/>
      <c r="X1293" s="196"/>
      <c r="Y1293" s="196"/>
      <c r="Z1293" s="196"/>
      <c r="AA1293" s="196"/>
      <c r="AB1293" s="196"/>
      <c r="AC1293" s="196"/>
      <c r="AD1293" s="196"/>
      <c r="AE1293" s="196"/>
      <c r="AF1293" s="196"/>
      <c r="AG1293" s="196"/>
      <c r="AH1293" s="196"/>
      <c r="AI1293" s="196"/>
      <c r="AJ1293" s="197"/>
      <c r="AK1293" s="80"/>
      <c r="AL1293" s="80"/>
      <c r="AM1293" s="73"/>
      <c r="AN1293" s="73"/>
      <c r="AO1293" s="73"/>
      <c r="AP1293" s="73"/>
      <c r="AQ1293" s="73"/>
      <c r="AR1293" s="73"/>
      <c r="AS1293" s="73"/>
      <c r="AT1293" s="73"/>
      <c r="AU1293" s="73"/>
      <c r="AV1293" s="73"/>
      <c r="AW1293" s="73"/>
      <c r="AX1293" s="73"/>
      <c r="AY1293" s="73"/>
      <c r="AZ1293" s="73"/>
      <c r="BA1293" s="73"/>
      <c r="BB1293" s="73"/>
      <c r="BC1293" s="73"/>
      <c r="BD1293" s="73"/>
      <c r="BE1293" s="73"/>
      <c r="BF1293" s="73"/>
      <c r="BG1293" s="73"/>
      <c r="BH1293" s="73"/>
      <c r="BI1293" s="73"/>
      <c r="BJ1293" s="73"/>
      <c r="BK1293" s="73"/>
      <c r="BL1293" s="73"/>
      <c r="BM1293" s="73"/>
      <c r="BN1293" s="73"/>
      <c r="BO1293" s="73"/>
      <c r="BP1293" s="73"/>
      <c r="BQ1293" s="73"/>
      <c r="BR1293" s="73"/>
      <c r="BS1293" s="73"/>
      <c r="BT1293" s="73"/>
      <c r="BU1293" s="73"/>
      <c r="BV1293" s="73"/>
      <c r="BW1293" s="73"/>
      <c r="BX1293" s="73"/>
      <c r="BY1293" s="73"/>
      <c r="BZ1293" s="73"/>
      <c r="CA1293" s="73"/>
      <c r="CB1293" s="73"/>
      <c r="CC1293" s="73"/>
      <c r="CD1293" s="73"/>
      <c r="CE1293" s="73"/>
      <c r="CF1293" s="73"/>
      <c r="CG1293" s="73"/>
      <c r="CH1293" s="73"/>
    </row>
    <row r="1294">
      <c r="A1294" s="80"/>
      <c r="B1294" s="80"/>
      <c r="C1294" s="80"/>
      <c r="D1294" s="80"/>
      <c r="E1294" s="124"/>
      <c r="F1294" s="80"/>
      <c r="G1294" s="80"/>
      <c r="H1294" s="80"/>
      <c r="I1294" s="80"/>
      <c r="J1294" s="196"/>
      <c r="K1294" s="196"/>
      <c r="L1294" s="196"/>
      <c r="M1294" s="196"/>
      <c r="N1294" s="196"/>
      <c r="O1294" s="196"/>
      <c r="P1294" s="196"/>
      <c r="Q1294" s="196"/>
      <c r="R1294" s="196"/>
      <c r="S1294" s="196"/>
      <c r="T1294" s="196"/>
      <c r="U1294" s="196"/>
      <c r="V1294" s="196"/>
      <c r="W1294" s="196"/>
      <c r="X1294" s="196"/>
      <c r="Y1294" s="196"/>
      <c r="Z1294" s="196"/>
      <c r="AA1294" s="196"/>
      <c r="AB1294" s="196"/>
      <c r="AC1294" s="196"/>
      <c r="AD1294" s="196"/>
      <c r="AE1294" s="196"/>
      <c r="AF1294" s="196"/>
      <c r="AG1294" s="196"/>
      <c r="AH1294" s="196"/>
      <c r="AI1294" s="196"/>
      <c r="AJ1294" s="197"/>
      <c r="AK1294" s="80"/>
      <c r="AL1294" s="80"/>
      <c r="AM1294" s="73"/>
      <c r="AN1294" s="73"/>
      <c r="AO1294" s="73"/>
      <c r="AP1294" s="73"/>
      <c r="AQ1294" s="73"/>
      <c r="AR1294" s="73"/>
      <c r="AS1294" s="73"/>
      <c r="AT1294" s="73"/>
      <c r="AU1294" s="73"/>
      <c r="AV1294" s="73"/>
      <c r="AW1294" s="73"/>
      <c r="AX1294" s="73"/>
      <c r="AY1294" s="73"/>
      <c r="AZ1294" s="73"/>
      <c r="BA1294" s="73"/>
      <c r="BB1294" s="73"/>
      <c r="BC1294" s="73"/>
      <c r="BD1294" s="73"/>
      <c r="BE1294" s="73"/>
      <c r="BF1294" s="73"/>
      <c r="BG1294" s="73"/>
      <c r="BH1294" s="73"/>
      <c r="BI1294" s="73"/>
      <c r="BJ1294" s="73"/>
      <c r="BK1294" s="73"/>
      <c r="BL1294" s="73"/>
      <c r="BM1294" s="73"/>
      <c r="BN1294" s="73"/>
      <c r="BO1294" s="73"/>
      <c r="BP1294" s="73"/>
      <c r="BQ1294" s="73"/>
      <c r="BR1294" s="73"/>
      <c r="BS1294" s="73"/>
      <c r="BT1294" s="73"/>
      <c r="BU1294" s="73"/>
      <c r="BV1294" s="73"/>
      <c r="BW1294" s="73"/>
      <c r="BX1294" s="73"/>
      <c r="BY1294" s="73"/>
      <c r="BZ1294" s="73"/>
      <c r="CA1294" s="73"/>
      <c r="CB1294" s="73"/>
      <c r="CC1294" s="73"/>
      <c r="CD1294" s="73"/>
      <c r="CE1294" s="73"/>
      <c r="CF1294" s="73"/>
      <c r="CG1294" s="73"/>
      <c r="CH1294" s="73"/>
    </row>
    <row r="1295">
      <c r="A1295" s="80"/>
      <c r="B1295" s="80"/>
      <c r="C1295" s="80"/>
      <c r="D1295" s="80"/>
      <c r="E1295" s="124"/>
      <c r="F1295" s="80"/>
      <c r="G1295" s="80"/>
      <c r="H1295" s="80"/>
      <c r="I1295" s="80"/>
      <c r="J1295" s="196"/>
      <c r="K1295" s="196"/>
      <c r="L1295" s="196"/>
      <c r="M1295" s="196"/>
      <c r="N1295" s="196"/>
      <c r="O1295" s="196"/>
      <c r="P1295" s="196"/>
      <c r="Q1295" s="196"/>
      <c r="R1295" s="196"/>
      <c r="S1295" s="196"/>
      <c r="T1295" s="196"/>
      <c r="U1295" s="196"/>
      <c r="V1295" s="196"/>
      <c r="W1295" s="196"/>
      <c r="X1295" s="196"/>
      <c r="Y1295" s="196"/>
      <c r="Z1295" s="196"/>
      <c r="AA1295" s="196"/>
      <c r="AB1295" s="196"/>
      <c r="AC1295" s="196"/>
      <c r="AD1295" s="196"/>
      <c r="AE1295" s="196"/>
      <c r="AF1295" s="196"/>
      <c r="AG1295" s="196"/>
      <c r="AH1295" s="196"/>
      <c r="AI1295" s="196"/>
      <c r="AJ1295" s="197"/>
      <c r="AK1295" s="80"/>
      <c r="AL1295" s="80"/>
      <c r="AM1295" s="73"/>
      <c r="AN1295" s="73"/>
      <c r="AO1295" s="73"/>
      <c r="AP1295" s="73"/>
      <c r="AQ1295" s="73"/>
      <c r="AR1295" s="73"/>
      <c r="AS1295" s="73"/>
      <c r="AT1295" s="73"/>
      <c r="AU1295" s="73"/>
      <c r="AV1295" s="73"/>
      <c r="AW1295" s="73"/>
      <c r="AX1295" s="73"/>
      <c r="AY1295" s="73"/>
      <c r="AZ1295" s="73"/>
      <c r="BA1295" s="73"/>
      <c r="BB1295" s="73"/>
      <c r="BC1295" s="73"/>
      <c r="BD1295" s="73"/>
      <c r="BE1295" s="73"/>
      <c r="BF1295" s="73"/>
      <c r="BG1295" s="73"/>
      <c r="BH1295" s="73"/>
      <c r="BI1295" s="73"/>
      <c r="BJ1295" s="73"/>
      <c r="BK1295" s="73"/>
      <c r="BL1295" s="73"/>
      <c r="BM1295" s="73"/>
      <c r="BN1295" s="73"/>
      <c r="BO1295" s="73"/>
      <c r="BP1295" s="73"/>
      <c r="BQ1295" s="73"/>
      <c r="BR1295" s="73"/>
      <c r="BS1295" s="73"/>
      <c r="BT1295" s="73"/>
      <c r="BU1295" s="73"/>
      <c r="BV1295" s="73"/>
      <c r="BW1295" s="73"/>
      <c r="BX1295" s="73"/>
      <c r="BY1295" s="73"/>
      <c r="BZ1295" s="73"/>
      <c r="CA1295" s="73"/>
      <c r="CB1295" s="73"/>
      <c r="CC1295" s="73"/>
      <c r="CD1295" s="73"/>
      <c r="CE1295" s="73"/>
      <c r="CF1295" s="73"/>
      <c r="CG1295" s="73"/>
      <c r="CH1295" s="73"/>
    </row>
    <row r="1296">
      <c r="A1296" s="80"/>
      <c r="B1296" s="80"/>
      <c r="C1296" s="80"/>
      <c r="D1296" s="80"/>
      <c r="E1296" s="124"/>
      <c r="F1296" s="80"/>
      <c r="G1296" s="80"/>
      <c r="H1296" s="80"/>
      <c r="I1296" s="80"/>
      <c r="J1296" s="196"/>
      <c r="K1296" s="196"/>
      <c r="L1296" s="196"/>
      <c r="M1296" s="196"/>
      <c r="N1296" s="196"/>
      <c r="O1296" s="196"/>
      <c r="P1296" s="196"/>
      <c r="Q1296" s="196"/>
      <c r="R1296" s="196"/>
      <c r="S1296" s="196"/>
      <c r="T1296" s="196"/>
      <c r="U1296" s="196"/>
      <c r="V1296" s="196"/>
      <c r="W1296" s="196"/>
      <c r="X1296" s="196"/>
      <c r="Y1296" s="196"/>
      <c r="Z1296" s="196"/>
      <c r="AA1296" s="196"/>
      <c r="AB1296" s="196"/>
      <c r="AC1296" s="196"/>
      <c r="AD1296" s="196"/>
      <c r="AE1296" s="196"/>
      <c r="AF1296" s="196"/>
      <c r="AG1296" s="196"/>
      <c r="AH1296" s="196"/>
      <c r="AI1296" s="196"/>
      <c r="AJ1296" s="197"/>
      <c r="AK1296" s="80"/>
      <c r="AL1296" s="80"/>
      <c r="AM1296" s="73"/>
      <c r="AN1296" s="73"/>
      <c r="AO1296" s="73"/>
      <c r="AP1296" s="73"/>
      <c r="AQ1296" s="73"/>
      <c r="AR1296" s="73"/>
      <c r="AS1296" s="73"/>
      <c r="AT1296" s="73"/>
      <c r="AU1296" s="73"/>
      <c r="AV1296" s="73"/>
      <c r="AW1296" s="73"/>
      <c r="AX1296" s="73"/>
      <c r="AY1296" s="73"/>
      <c r="AZ1296" s="73"/>
      <c r="BA1296" s="73"/>
      <c r="BB1296" s="73"/>
      <c r="BC1296" s="73"/>
      <c r="BD1296" s="73"/>
      <c r="BE1296" s="73"/>
      <c r="BF1296" s="73"/>
      <c r="BG1296" s="73"/>
      <c r="BH1296" s="73"/>
      <c r="BI1296" s="73"/>
      <c r="BJ1296" s="73"/>
      <c r="BK1296" s="73"/>
      <c r="BL1296" s="73"/>
      <c r="BM1296" s="73"/>
      <c r="BN1296" s="73"/>
      <c r="BO1296" s="73"/>
      <c r="BP1296" s="73"/>
      <c r="BQ1296" s="73"/>
      <c r="BR1296" s="73"/>
      <c r="BS1296" s="73"/>
      <c r="BT1296" s="73"/>
      <c r="BU1296" s="73"/>
      <c r="BV1296" s="73"/>
      <c r="BW1296" s="73"/>
      <c r="BX1296" s="73"/>
      <c r="BY1296" s="73"/>
      <c r="BZ1296" s="73"/>
      <c r="CA1296" s="73"/>
      <c r="CB1296" s="73"/>
      <c r="CC1296" s="73"/>
      <c r="CD1296" s="73"/>
      <c r="CE1296" s="73"/>
      <c r="CF1296" s="73"/>
      <c r="CG1296" s="73"/>
      <c r="CH1296" s="73"/>
    </row>
    <row r="1297">
      <c r="A1297" s="80"/>
      <c r="B1297" s="80"/>
      <c r="C1297" s="80"/>
      <c r="D1297" s="80"/>
      <c r="E1297" s="124"/>
      <c r="F1297" s="80"/>
      <c r="G1297" s="80"/>
      <c r="H1297" s="80"/>
      <c r="I1297" s="80"/>
      <c r="J1297" s="196"/>
      <c r="K1297" s="196"/>
      <c r="L1297" s="196"/>
      <c r="M1297" s="196"/>
      <c r="N1297" s="196"/>
      <c r="O1297" s="196"/>
      <c r="P1297" s="196"/>
      <c r="Q1297" s="196"/>
      <c r="R1297" s="196"/>
      <c r="S1297" s="196"/>
      <c r="T1297" s="196"/>
      <c r="U1297" s="196"/>
      <c r="V1297" s="196"/>
      <c r="W1297" s="196"/>
      <c r="X1297" s="196"/>
      <c r="Y1297" s="196"/>
      <c r="Z1297" s="196"/>
      <c r="AA1297" s="196"/>
      <c r="AB1297" s="196"/>
      <c r="AC1297" s="196"/>
      <c r="AD1297" s="196"/>
      <c r="AE1297" s="196"/>
      <c r="AF1297" s="196"/>
      <c r="AG1297" s="196"/>
      <c r="AH1297" s="196"/>
      <c r="AI1297" s="196"/>
      <c r="AJ1297" s="197"/>
      <c r="AK1297" s="80"/>
      <c r="AL1297" s="80"/>
      <c r="AM1297" s="73"/>
      <c r="AN1297" s="73"/>
      <c r="AO1297" s="73"/>
      <c r="AP1297" s="73"/>
      <c r="AQ1297" s="73"/>
      <c r="AR1297" s="73"/>
      <c r="AS1297" s="73"/>
      <c r="AT1297" s="73"/>
      <c r="AU1297" s="73"/>
      <c r="AV1297" s="73"/>
      <c r="AW1297" s="73"/>
      <c r="AX1297" s="73"/>
      <c r="AY1297" s="73"/>
      <c r="AZ1297" s="73"/>
      <c r="BA1297" s="73"/>
      <c r="BB1297" s="73"/>
      <c r="BC1297" s="73"/>
      <c r="BD1297" s="73"/>
      <c r="BE1297" s="73"/>
      <c r="BF1297" s="73"/>
      <c r="BG1297" s="73"/>
      <c r="BH1297" s="73"/>
      <c r="BI1297" s="73"/>
      <c r="BJ1297" s="73"/>
      <c r="BK1297" s="73"/>
      <c r="BL1297" s="73"/>
      <c r="BM1297" s="73"/>
      <c r="BN1297" s="73"/>
      <c r="BO1297" s="73"/>
      <c r="BP1297" s="73"/>
      <c r="BQ1297" s="73"/>
      <c r="BR1297" s="73"/>
      <c r="BS1297" s="73"/>
      <c r="BT1297" s="73"/>
      <c r="BU1297" s="73"/>
      <c r="BV1297" s="73"/>
      <c r="BW1297" s="73"/>
      <c r="BX1297" s="73"/>
      <c r="BY1297" s="73"/>
      <c r="BZ1297" s="73"/>
      <c r="CA1297" s="73"/>
      <c r="CB1297" s="73"/>
      <c r="CC1297" s="73"/>
      <c r="CD1297" s="73"/>
      <c r="CE1297" s="73"/>
      <c r="CF1297" s="73"/>
      <c r="CG1297" s="73"/>
      <c r="CH1297" s="73"/>
    </row>
    <row r="1298">
      <c r="A1298" s="80"/>
      <c r="B1298" s="80"/>
      <c r="C1298" s="80"/>
      <c r="D1298" s="80"/>
      <c r="E1298" s="124"/>
      <c r="F1298" s="80"/>
      <c r="G1298" s="80"/>
      <c r="H1298" s="80"/>
      <c r="I1298" s="80"/>
      <c r="J1298" s="196"/>
      <c r="K1298" s="196"/>
      <c r="L1298" s="196"/>
      <c r="M1298" s="196"/>
      <c r="N1298" s="196"/>
      <c r="O1298" s="196"/>
      <c r="P1298" s="196"/>
      <c r="Q1298" s="196"/>
      <c r="R1298" s="196"/>
      <c r="S1298" s="196"/>
      <c r="T1298" s="196"/>
      <c r="U1298" s="196"/>
      <c r="V1298" s="196"/>
      <c r="W1298" s="196"/>
      <c r="X1298" s="196"/>
      <c r="Y1298" s="196"/>
      <c r="Z1298" s="196"/>
      <c r="AA1298" s="196"/>
      <c r="AB1298" s="196"/>
      <c r="AC1298" s="196"/>
      <c r="AD1298" s="196"/>
      <c r="AE1298" s="196"/>
      <c r="AF1298" s="196"/>
      <c r="AG1298" s="196"/>
      <c r="AH1298" s="196"/>
      <c r="AI1298" s="196"/>
      <c r="AJ1298" s="197"/>
      <c r="AK1298" s="80"/>
      <c r="AL1298" s="80"/>
      <c r="AM1298" s="73"/>
      <c r="AN1298" s="73"/>
      <c r="AO1298" s="73"/>
      <c r="AP1298" s="73"/>
      <c r="AQ1298" s="73"/>
      <c r="AR1298" s="73"/>
      <c r="AS1298" s="73"/>
      <c r="AT1298" s="73"/>
      <c r="AU1298" s="73"/>
      <c r="AV1298" s="73"/>
      <c r="AW1298" s="73"/>
      <c r="AX1298" s="73"/>
      <c r="AY1298" s="73"/>
      <c r="AZ1298" s="73"/>
      <c r="BA1298" s="73"/>
      <c r="BB1298" s="73"/>
      <c r="BC1298" s="73"/>
      <c r="BD1298" s="73"/>
      <c r="BE1298" s="73"/>
      <c r="BF1298" s="73"/>
      <c r="BG1298" s="73"/>
      <c r="BH1298" s="73"/>
      <c r="BI1298" s="73"/>
      <c r="BJ1298" s="73"/>
      <c r="BK1298" s="73"/>
      <c r="BL1298" s="73"/>
      <c r="BM1298" s="73"/>
      <c r="BN1298" s="73"/>
      <c r="BO1298" s="73"/>
      <c r="BP1298" s="73"/>
      <c r="BQ1298" s="73"/>
      <c r="BR1298" s="73"/>
      <c r="BS1298" s="73"/>
      <c r="BT1298" s="73"/>
      <c r="BU1298" s="73"/>
      <c r="BV1298" s="73"/>
      <c r="BW1298" s="73"/>
      <c r="BX1298" s="73"/>
      <c r="BY1298" s="73"/>
      <c r="BZ1298" s="73"/>
      <c r="CA1298" s="73"/>
      <c r="CB1298" s="73"/>
      <c r="CC1298" s="73"/>
      <c r="CD1298" s="73"/>
      <c r="CE1298" s="73"/>
      <c r="CF1298" s="73"/>
      <c r="CG1298" s="73"/>
      <c r="CH1298" s="73"/>
    </row>
    <row r="1299">
      <c r="A1299" s="80"/>
      <c r="B1299" s="80"/>
      <c r="C1299" s="80"/>
      <c r="D1299" s="80"/>
      <c r="E1299" s="124"/>
      <c r="F1299" s="80"/>
      <c r="G1299" s="80"/>
      <c r="H1299" s="80"/>
      <c r="I1299" s="80"/>
      <c r="J1299" s="196"/>
      <c r="K1299" s="196"/>
      <c r="L1299" s="196"/>
      <c r="M1299" s="196"/>
      <c r="N1299" s="196"/>
      <c r="O1299" s="196"/>
      <c r="P1299" s="196"/>
      <c r="Q1299" s="196"/>
      <c r="R1299" s="196"/>
      <c r="S1299" s="196"/>
      <c r="T1299" s="196"/>
      <c r="U1299" s="196"/>
      <c r="V1299" s="196"/>
      <c r="W1299" s="196"/>
      <c r="X1299" s="196"/>
      <c r="Y1299" s="196"/>
      <c r="Z1299" s="196"/>
      <c r="AA1299" s="196"/>
      <c r="AB1299" s="196"/>
      <c r="AC1299" s="196"/>
      <c r="AD1299" s="196"/>
      <c r="AE1299" s="196"/>
      <c r="AF1299" s="196"/>
      <c r="AG1299" s="196"/>
      <c r="AH1299" s="196"/>
      <c r="AI1299" s="196"/>
      <c r="AJ1299" s="197"/>
      <c r="AK1299" s="80"/>
      <c r="AL1299" s="80"/>
      <c r="AM1299" s="73"/>
      <c r="AN1299" s="73"/>
      <c r="AO1299" s="73"/>
      <c r="AP1299" s="73"/>
      <c r="AQ1299" s="73"/>
      <c r="AR1299" s="73"/>
      <c r="AS1299" s="73"/>
      <c r="AT1299" s="73"/>
      <c r="AU1299" s="73"/>
      <c r="AV1299" s="73"/>
      <c r="AW1299" s="73"/>
      <c r="AX1299" s="73"/>
      <c r="AY1299" s="73"/>
      <c r="AZ1299" s="73"/>
      <c r="BA1299" s="73"/>
      <c r="BB1299" s="73"/>
      <c r="BC1299" s="73"/>
      <c r="BD1299" s="73"/>
      <c r="BE1299" s="73"/>
      <c r="BF1299" s="73"/>
      <c r="BG1299" s="73"/>
      <c r="BH1299" s="73"/>
      <c r="BI1299" s="73"/>
      <c r="BJ1299" s="73"/>
      <c r="BK1299" s="73"/>
      <c r="BL1299" s="73"/>
      <c r="BM1299" s="73"/>
      <c r="BN1299" s="73"/>
      <c r="BO1299" s="73"/>
      <c r="BP1299" s="73"/>
      <c r="BQ1299" s="73"/>
      <c r="BR1299" s="73"/>
      <c r="BS1299" s="73"/>
      <c r="BT1299" s="73"/>
      <c r="BU1299" s="73"/>
      <c r="BV1299" s="73"/>
      <c r="BW1299" s="73"/>
      <c r="BX1299" s="73"/>
      <c r="BY1299" s="73"/>
      <c r="BZ1299" s="73"/>
      <c r="CA1299" s="73"/>
      <c r="CB1299" s="73"/>
      <c r="CC1299" s="73"/>
      <c r="CD1299" s="73"/>
      <c r="CE1299" s="73"/>
      <c r="CF1299" s="73"/>
      <c r="CG1299" s="73"/>
      <c r="CH1299" s="73"/>
    </row>
    <row r="1300">
      <c r="A1300" s="80"/>
      <c r="B1300" s="80"/>
      <c r="C1300" s="80"/>
      <c r="D1300" s="80"/>
      <c r="E1300" s="124"/>
      <c r="F1300" s="80"/>
      <c r="G1300" s="80"/>
      <c r="H1300" s="80"/>
      <c r="I1300" s="80"/>
      <c r="J1300" s="196"/>
      <c r="K1300" s="196"/>
      <c r="L1300" s="196"/>
      <c r="M1300" s="196"/>
      <c r="N1300" s="196"/>
      <c r="O1300" s="196"/>
      <c r="P1300" s="196"/>
      <c r="Q1300" s="196"/>
      <c r="R1300" s="196"/>
      <c r="S1300" s="196"/>
      <c r="T1300" s="196"/>
      <c r="U1300" s="196"/>
      <c r="V1300" s="196"/>
      <c r="W1300" s="196"/>
      <c r="X1300" s="196"/>
      <c r="Y1300" s="196"/>
      <c r="Z1300" s="196"/>
      <c r="AA1300" s="196"/>
      <c r="AB1300" s="196"/>
      <c r="AC1300" s="196"/>
      <c r="AD1300" s="196"/>
      <c r="AE1300" s="196"/>
      <c r="AF1300" s="196"/>
      <c r="AG1300" s="196"/>
      <c r="AH1300" s="196"/>
      <c r="AI1300" s="196"/>
      <c r="AJ1300" s="197"/>
      <c r="AK1300" s="80"/>
      <c r="AL1300" s="80"/>
      <c r="AM1300" s="73"/>
      <c r="AN1300" s="73"/>
      <c r="AO1300" s="73"/>
      <c r="AP1300" s="73"/>
      <c r="AQ1300" s="73"/>
      <c r="AR1300" s="73"/>
      <c r="AS1300" s="73"/>
      <c r="AT1300" s="73"/>
      <c r="AU1300" s="73"/>
      <c r="AV1300" s="73"/>
      <c r="AW1300" s="73"/>
      <c r="AX1300" s="73"/>
      <c r="AY1300" s="73"/>
      <c r="AZ1300" s="73"/>
      <c r="BA1300" s="73"/>
      <c r="BB1300" s="73"/>
      <c r="BC1300" s="73"/>
      <c r="BD1300" s="73"/>
      <c r="BE1300" s="73"/>
      <c r="BF1300" s="73"/>
      <c r="BG1300" s="73"/>
      <c r="BH1300" s="73"/>
      <c r="BI1300" s="73"/>
      <c r="BJ1300" s="73"/>
      <c r="BK1300" s="73"/>
      <c r="BL1300" s="73"/>
      <c r="BM1300" s="73"/>
      <c r="BN1300" s="73"/>
      <c r="BO1300" s="73"/>
      <c r="BP1300" s="73"/>
      <c r="BQ1300" s="73"/>
      <c r="BR1300" s="73"/>
      <c r="BS1300" s="73"/>
      <c r="BT1300" s="73"/>
      <c r="BU1300" s="73"/>
      <c r="BV1300" s="73"/>
      <c r="BW1300" s="73"/>
      <c r="BX1300" s="73"/>
      <c r="BY1300" s="73"/>
      <c r="BZ1300" s="73"/>
      <c r="CA1300" s="73"/>
      <c r="CB1300" s="73"/>
      <c r="CC1300" s="73"/>
      <c r="CD1300" s="73"/>
      <c r="CE1300" s="73"/>
      <c r="CF1300" s="73"/>
      <c r="CG1300" s="73"/>
      <c r="CH1300" s="73"/>
    </row>
    <row r="1301">
      <c r="A1301" s="80"/>
      <c r="B1301" s="80"/>
      <c r="C1301" s="80"/>
      <c r="D1301" s="80"/>
      <c r="E1301" s="124"/>
      <c r="F1301" s="80"/>
      <c r="G1301" s="80"/>
      <c r="H1301" s="80"/>
      <c r="I1301" s="80"/>
      <c r="J1301" s="196"/>
      <c r="K1301" s="196"/>
      <c r="L1301" s="196"/>
      <c r="M1301" s="196"/>
      <c r="N1301" s="196"/>
      <c r="O1301" s="196"/>
      <c r="P1301" s="196"/>
      <c r="Q1301" s="196"/>
      <c r="R1301" s="196"/>
      <c r="S1301" s="196"/>
      <c r="T1301" s="196"/>
      <c r="U1301" s="196"/>
      <c r="V1301" s="196"/>
      <c r="W1301" s="196"/>
      <c r="X1301" s="196"/>
      <c r="Y1301" s="196"/>
      <c r="Z1301" s="196"/>
      <c r="AA1301" s="196"/>
      <c r="AB1301" s="196"/>
      <c r="AC1301" s="196"/>
      <c r="AD1301" s="196"/>
      <c r="AE1301" s="196"/>
      <c r="AF1301" s="196"/>
      <c r="AG1301" s="196"/>
      <c r="AH1301" s="196"/>
      <c r="AI1301" s="196"/>
      <c r="AJ1301" s="197"/>
      <c r="AK1301" s="80"/>
      <c r="AL1301" s="80"/>
      <c r="AM1301" s="73"/>
      <c r="AN1301" s="73"/>
      <c r="AO1301" s="73"/>
      <c r="AP1301" s="73"/>
      <c r="AQ1301" s="73"/>
      <c r="AR1301" s="73"/>
      <c r="AS1301" s="73"/>
      <c r="AT1301" s="73"/>
      <c r="AU1301" s="73"/>
      <c r="AV1301" s="73"/>
      <c r="AW1301" s="73"/>
      <c r="AX1301" s="73"/>
      <c r="AY1301" s="73"/>
      <c r="AZ1301" s="73"/>
      <c r="BA1301" s="73"/>
      <c r="BB1301" s="73"/>
      <c r="BC1301" s="73"/>
      <c r="BD1301" s="73"/>
      <c r="BE1301" s="73"/>
      <c r="BF1301" s="73"/>
      <c r="BG1301" s="73"/>
      <c r="BH1301" s="73"/>
      <c r="BI1301" s="73"/>
      <c r="BJ1301" s="73"/>
      <c r="BK1301" s="73"/>
      <c r="BL1301" s="73"/>
      <c r="BM1301" s="73"/>
      <c r="BN1301" s="73"/>
      <c r="BO1301" s="73"/>
      <c r="BP1301" s="73"/>
      <c r="BQ1301" s="73"/>
      <c r="BR1301" s="73"/>
      <c r="BS1301" s="73"/>
      <c r="BT1301" s="73"/>
      <c r="BU1301" s="73"/>
      <c r="BV1301" s="73"/>
      <c r="BW1301" s="73"/>
      <c r="BX1301" s="73"/>
      <c r="BY1301" s="73"/>
      <c r="BZ1301" s="73"/>
      <c r="CA1301" s="73"/>
      <c r="CB1301" s="73"/>
      <c r="CC1301" s="73"/>
      <c r="CD1301" s="73"/>
      <c r="CE1301" s="73"/>
      <c r="CF1301" s="73"/>
      <c r="CG1301" s="73"/>
      <c r="CH1301" s="73"/>
    </row>
    <row r="1302">
      <c r="A1302" s="80"/>
      <c r="B1302" s="80"/>
      <c r="C1302" s="80"/>
      <c r="D1302" s="80"/>
      <c r="E1302" s="124"/>
      <c r="F1302" s="80"/>
      <c r="G1302" s="80"/>
      <c r="H1302" s="80"/>
      <c r="I1302" s="80"/>
      <c r="J1302" s="196"/>
      <c r="K1302" s="196"/>
      <c r="L1302" s="196"/>
      <c r="M1302" s="196"/>
      <c r="N1302" s="196"/>
      <c r="O1302" s="196"/>
      <c r="P1302" s="196"/>
      <c r="Q1302" s="196"/>
      <c r="R1302" s="196"/>
      <c r="S1302" s="196"/>
      <c r="T1302" s="196"/>
      <c r="U1302" s="196"/>
      <c r="V1302" s="196"/>
      <c r="W1302" s="196"/>
      <c r="X1302" s="196"/>
      <c r="Y1302" s="196"/>
      <c r="Z1302" s="196"/>
      <c r="AA1302" s="196"/>
      <c r="AB1302" s="196"/>
      <c r="AC1302" s="196"/>
      <c r="AD1302" s="196"/>
      <c r="AE1302" s="196"/>
      <c r="AF1302" s="196"/>
      <c r="AG1302" s="196"/>
      <c r="AH1302" s="196"/>
      <c r="AI1302" s="196"/>
      <c r="AJ1302" s="197"/>
      <c r="AK1302" s="80"/>
      <c r="AL1302" s="80"/>
      <c r="AM1302" s="73"/>
      <c r="AN1302" s="73"/>
      <c r="AO1302" s="73"/>
      <c r="AP1302" s="73"/>
      <c r="AQ1302" s="73"/>
      <c r="AR1302" s="73"/>
      <c r="AS1302" s="73"/>
      <c r="AT1302" s="73"/>
      <c r="AU1302" s="73"/>
      <c r="AV1302" s="73"/>
      <c r="AW1302" s="73"/>
      <c r="AX1302" s="73"/>
      <c r="AY1302" s="73"/>
      <c r="AZ1302" s="73"/>
      <c r="BA1302" s="73"/>
      <c r="BB1302" s="73"/>
      <c r="BC1302" s="73"/>
      <c r="BD1302" s="73"/>
      <c r="BE1302" s="73"/>
      <c r="BF1302" s="73"/>
      <c r="BG1302" s="73"/>
      <c r="BH1302" s="73"/>
      <c r="BI1302" s="73"/>
      <c r="BJ1302" s="73"/>
      <c r="BK1302" s="73"/>
      <c r="BL1302" s="73"/>
      <c r="BM1302" s="73"/>
      <c r="BN1302" s="73"/>
      <c r="BO1302" s="73"/>
      <c r="BP1302" s="73"/>
      <c r="BQ1302" s="73"/>
      <c r="BR1302" s="73"/>
      <c r="BS1302" s="73"/>
      <c r="BT1302" s="73"/>
      <c r="BU1302" s="73"/>
      <c r="BV1302" s="73"/>
      <c r="BW1302" s="73"/>
      <c r="BX1302" s="73"/>
      <c r="BY1302" s="73"/>
      <c r="BZ1302" s="73"/>
      <c r="CA1302" s="73"/>
      <c r="CB1302" s="73"/>
      <c r="CC1302" s="73"/>
      <c r="CD1302" s="73"/>
      <c r="CE1302" s="73"/>
      <c r="CF1302" s="73"/>
      <c r="CG1302" s="73"/>
      <c r="CH1302" s="73"/>
    </row>
    <row r="1303">
      <c r="A1303" s="80"/>
      <c r="B1303" s="80"/>
      <c r="C1303" s="80"/>
      <c r="D1303" s="80"/>
      <c r="E1303" s="124"/>
      <c r="F1303" s="80"/>
      <c r="G1303" s="80"/>
      <c r="H1303" s="80"/>
      <c r="I1303" s="80"/>
      <c r="J1303" s="196"/>
      <c r="K1303" s="196"/>
      <c r="L1303" s="196"/>
      <c r="M1303" s="196"/>
      <c r="N1303" s="196"/>
      <c r="O1303" s="196"/>
      <c r="P1303" s="196"/>
      <c r="Q1303" s="196"/>
      <c r="R1303" s="196"/>
      <c r="S1303" s="196"/>
      <c r="T1303" s="196"/>
      <c r="U1303" s="196"/>
      <c r="V1303" s="196"/>
      <c r="W1303" s="196"/>
      <c r="X1303" s="196"/>
      <c r="Y1303" s="196"/>
      <c r="Z1303" s="196"/>
      <c r="AA1303" s="196"/>
      <c r="AB1303" s="196"/>
      <c r="AC1303" s="196"/>
      <c r="AD1303" s="196"/>
      <c r="AE1303" s="196"/>
      <c r="AF1303" s="196"/>
      <c r="AG1303" s="196"/>
      <c r="AH1303" s="196"/>
      <c r="AI1303" s="196"/>
      <c r="AJ1303" s="197"/>
      <c r="AK1303" s="80"/>
      <c r="AL1303" s="80"/>
      <c r="AM1303" s="73"/>
      <c r="AN1303" s="73"/>
      <c r="AO1303" s="73"/>
      <c r="AP1303" s="73"/>
      <c r="AQ1303" s="73"/>
      <c r="AR1303" s="73"/>
      <c r="AS1303" s="73"/>
      <c r="AT1303" s="73"/>
      <c r="AU1303" s="73"/>
      <c r="AV1303" s="73"/>
      <c r="AW1303" s="73"/>
      <c r="AX1303" s="73"/>
      <c r="AY1303" s="73"/>
      <c r="AZ1303" s="73"/>
      <c r="BA1303" s="73"/>
      <c r="BB1303" s="73"/>
      <c r="BC1303" s="73"/>
      <c r="BD1303" s="73"/>
      <c r="BE1303" s="73"/>
      <c r="BF1303" s="73"/>
      <c r="BG1303" s="73"/>
      <c r="BH1303" s="73"/>
      <c r="BI1303" s="73"/>
      <c r="BJ1303" s="73"/>
      <c r="BK1303" s="73"/>
      <c r="BL1303" s="73"/>
      <c r="BM1303" s="73"/>
      <c r="BN1303" s="73"/>
      <c r="BO1303" s="73"/>
      <c r="BP1303" s="73"/>
      <c r="BQ1303" s="73"/>
      <c r="BR1303" s="73"/>
      <c r="BS1303" s="73"/>
      <c r="BT1303" s="73"/>
      <c r="BU1303" s="73"/>
      <c r="BV1303" s="73"/>
      <c r="BW1303" s="73"/>
      <c r="BX1303" s="73"/>
      <c r="BY1303" s="73"/>
      <c r="BZ1303" s="73"/>
      <c r="CA1303" s="73"/>
      <c r="CB1303" s="73"/>
      <c r="CC1303" s="73"/>
      <c r="CD1303" s="73"/>
      <c r="CE1303" s="73"/>
      <c r="CF1303" s="73"/>
      <c r="CG1303" s="73"/>
      <c r="CH1303" s="73"/>
    </row>
    <row r="1304">
      <c r="A1304" s="80"/>
      <c r="B1304" s="80"/>
      <c r="C1304" s="80"/>
      <c r="D1304" s="80"/>
      <c r="E1304" s="124"/>
      <c r="F1304" s="80"/>
      <c r="G1304" s="80"/>
      <c r="H1304" s="80"/>
      <c r="I1304" s="80"/>
      <c r="J1304" s="196"/>
      <c r="K1304" s="196"/>
      <c r="L1304" s="196"/>
      <c r="M1304" s="196"/>
      <c r="N1304" s="196"/>
      <c r="O1304" s="196"/>
      <c r="P1304" s="196"/>
      <c r="Q1304" s="196"/>
      <c r="R1304" s="196"/>
      <c r="S1304" s="196"/>
      <c r="T1304" s="196"/>
      <c r="U1304" s="196"/>
      <c r="V1304" s="196"/>
      <c r="W1304" s="196"/>
      <c r="X1304" s="196"/>
      <c r="Y1304" s="196"/>
      <c r="Z1304" s="196"/>
      <c r="AA1304" s="196"/>
      <c r="AB1304" s="196"/>
      <c r="AC1304" s="196"/>
      <c r="AD1304" s="196"/>
      <c r="AE1304" s="196"/>
      <c r="AF1304" s="196"/>
      <c r="AG1304" s="196"/>
      <c r="AH1304" s="196"/>
      <c r="AI1304" s="196"/>
      <c r="AJ1304" s="197"/>
      <c r="AK1304" s="80"/>
      <c r="AL1304" s="80"/>
      <c r="AM1304" s="73"/>
      <c r="AN1304" s="73"/>
      <c r="AO1304" s="73"/>
      <c r="AP1304" s="73"/>
      <c r="AQ1304" s="73"/>
      <c r="AR1304" s="73"/>
      <c r="AS1304" s="73"/>
      <c r="AT1304" s="73"/>
      <c r="AU1304" s="73"/>
      <c r="AV1304" s="73"/>
      <c r="AW1304" s="73"/>
      <c r="AX1304" s="73"/>
      <c r="AY1304" s="73"/>
      <c r="AZ1304" s="73"/>
      <c r="BA1304" s="73"/>
      <c r="BB1304" s="73"/>
      <c r="BC1304" s="73"/>
      <c r="BD1304" s="73"/>
      <c r="BE1304" s="73"/>
      <c r="BF1304" s="73"/>
      <c r="BG1304" s="73"/>
      <c r="BH1304" s="73"/>
      <c r="BI1304" s="73"/>
      <c r="BJ1304" s="73"/>
      <c r="BK1304" s="73"/>
      <c r="BL1304" s="73"/>
      <c r="BM1304" s="73"/>
      <c r="BN1304" s="73"/>
      <c r="BO1304" s="73"/>
      <c r="BP1304" s="73"/>
      <c r="BQ1304" s="73"/>
      <c r="BR1304" s="73"/>
      <c r="BS1304" s="73"/>
      <c r="BT1304" s="73"/>
      <c r="BU1304" s="73"/>
      <c r="BV1304" s="73"/>
      <c r="BW1304" s="73"/>
      <c r="BX1304" s="73"/>
      <c r="BY1304" s="73"/>
      <c r="BZ1304" s="73"/>
      <c r="CA1304" s="73"/>
      <c r="CB1304" s="73"/>
      <c r="CC1304" s="73"/>
      <c r="CD1304" s="73"/>
      <c r="CE1304" s="73"/>
      <c r="CF1304" s="73"/>
      <c r="CG1304" s="73"/>
      <c r="CH1304" s="73"/>
    </row>
    <row r="1305">
      <c r="A1305" s="80"/>
      <c r="B1305" s="80"/>
      <c r="C1305" s="80"/>
      <c r="D1305" s="80"/>
      <c r="E1305" s="124"/>
      <c r="F1305" s="80"/>
      <c r="G1305" s="80"/>
      <c r="H1305" s="80"/>
      <c r="I1305" s="80"/>
      <c r="J1305" s="196"/>
      <c r="K1305" s="196"/>
      <c r="L1305" s="196"/>
      <c r="M1305" s="196"/>
      <c r="N1305" s="196"/>
      <c r="O1305" s="196"/>
      <c r="P1305" s="196"/>
      <c r="Q1305" s="196"/>
      <c r="R1305" s="196"/>
      <c r="S1305" s="196"/>
      <c r="T1305" s="196"/>
      <c r="U1305" s="196"/>
      <c r="V1305" s="196"/>
      <c r="W1305" s="196"/>
      <c r="X1305" s="196"/>
      <c r="Y1305" s="196"/>
      <c r="Z1305" s="196"/>
      <c r="AA1305" s="196"/>
      <c r="AB1305" s="196"/>
      <c r="AC1305" s="196"/>
      <c r="AD1305" s="196"/>
      <c r="AE1305" s="196"/>
      <c r="AF1305" s="196"/>
      <c r="AG1305" s="196"/>
      <c r="AH1305" s="196"/>
      <c r="AI1305" s="196"/>
      <c r="AJ1305" s="197"/>
      <c r="AK1305" s="80"/>
      <c r="AL1305" s="80"/>
      <c r="AM1305" s="73"/>
      <c r="AN1305" s="73"/>
      <c r="AO1305" s="73"/>
      <c r="AP1305" s="73"/>
      <c r="AQ1305" s="73"/>
      <c r="AR1305" s="73"/>
      <c r="AS1305" s="73"/>
      <c r="AT1305" s="73"/>
      <c r="AU1305" s="73"/>
      <c r="AV1305" s="73"/>
      <c r="AW1305" s="73"/>
      <c r="AX1305" s="73"/>
      <c r="AY1305" s="73"/>
      <c r="AZ1305" s="73"/>
      <c r="BA1305" s="73"/>
      <c r="BB1305" s="73"/>
      <c r="BC1305" s="73"/>
      <c r="BD1305" s="73"/>
      <c r="BE1305" s="73"/>
      <c r="BF1305" s="73"/>
      <c r="BG1305" s="73"/>
      <c r="BH1305" s="73"/>
      <c r="BI1305" s="73"/>
      <c r="BJ1305" s="73"/>
      <c r="BK1305" s="73"/>
      <c r="BL1305" s="73"/>
      <c r="BM1305" s="73"/>
      <c r="BN1305" s="73"/>
      <c r="BO1305" s="73"/>
      <c r="BP1305" s="73"/>
      <c r="BQ1305" s="73"/>
      <c r="BR1305" s="73"/>
      <c r="BS1305" s="73"/>
      <c r="BT1305" s="73"/>
      <c r="BU1305" s="73"/>
      <c r="BV1305" s="73"/>
      <c r="BW1305" s="73"/>
      <c r="BX1305" s="73"/>
      <c r="BY1305" s="73"/>
      <c r="BZ1305" s="73"/>
      <c r="CA1305" s="73"/>
      <c r="CB1305" s="73"/>
      <c r="CC1305" s="73"/>
      <c r="CD1305" s="73"/>
      <c r="CE1305" s="73"/>
      <c r="CF1305" s="73"/>
      <c r="CG1305" s="73"/>
      <c r="CH1305" s="73"/>
    </row>
    <row r="1306">
      <c r="A1306" s="80"/>
      <c r="B1306" s="80"/>
      <c r="C1306" s="80"/>
      <c r="D1306" s="80"/>
      <c r="E1306" s="124"/>
      <c r="F1306" s="80"/>
      <c r="G1306" s="80"/>
      <c r="H1306" s="80"/>
      <c r="I1306" s="80"/>
      <c r="J1306" s="196"/>
      <c r="K1306" s="196"/>
      <c r="L1306" s="196"/>
      <c r="M1306" s="196"/>
      <c r="N1306" s="196"/>
      <c r="O1306" s="196"/>
      <c r="P1306" s="196"/>
      <c r="Q1306" s="196"/>
      <c r="R1306" s="196"/>
      <c r="S1306" s="196"/>
      <c r="T1306" s="196"/>
      <c r="U1306" s="196"/>
      <c r="V1306" s="196"/>
      <c r="W1306" s="196"/>
      <c r="X1306" s="196"/>
      <c r="Y1306" s="196"/>
      <c r="Z1306" s="196"/>
      <c r="AA1306" s="196"/>
      <c r="AB1306" s="196"/>
      <c r="AC1306" s="196"/>
      <c r="AD1306" s="196"/>
      <c r="AE1306" s="196"/>
      <c r="AF1306" s="196"/>
      <c r="AG1306" s="196"/>
      <c r="AH1306" s="196"/>
      <c r="AI1306" s="196"/>
      <c r="AJ1306" s="197"/>
      <c r="AK1306" s="80"/>
      <c r="AL1306" s="80"/>
      <c r="AM1306" s="73"/>
      <c r="AN1306" s="73"/>
      <c r="AO1306" s="73"/>
      <c r="AP1306" s="73"/>
      <c r="AQ1306" s="73"/>
      <c r="AR1306" s="73"/>
      <c r="AS1306" s="73"/>
      <c r="AT1306" s="73"/>
      <c r="AU1306" s="73"/>
      <c r="AV1306" s="73"/>
      <c r="AW1306" s="73"/>
      <c r="AX1306" s="73"/>
      <c r="AY1306" s="73"/>
      <c r="AZ1306" s="73"/>
      <c r="BA1306" s="73"/>
      <c r="BB1306" s="73"/>
      <c r="BC1306" s="73"/>
      <c r="BD1306" s="73"/>
      <c r="BE1306" s="73"/>
      <c r="BF1306" s="73"/>
      <c r="BG1306" s="73"/>
      <c r="BH1306" s="73"/>
      <c r="BI1306" s="73"/>
      <c r="BJ1306" s="73"/>
      <c r="BK1306" s="73"/>
      <c r="BL1306" s="73"/>
      <c r="BM1306" s="73"/>
      <c r="BN1306" s="73"/>
      <c r="BO1306" s="73"/>
      <c r="BP1306" s="73"/>
      <c r="BQ1306" s="73"/>
      <c r="BR1306" s="73"/>
      <c r="BS1306" s="73"/>
      <c r="BT1306" s="73"/>
      <c r="BU1306" s="73"/>
      <c r="BV1306" s="73"/>
      <c r="BW1306" s="73"/>
      <c r="BX1306" s="73"/>
      <c r="BY1306" s="73"/>
      <c r="BZ1306" s="73"/>
      <c r="CA1306" s="73"/>
      <c r="CB1306" s="73"/>
      <c r="CC1306" s="73"/>
      <c r="CD1306" s="73"/>
      <c r="CE1306" s="73"/>
      <c r="CF1306" s="73"/>
      <c r="CG1306" s="73"/>
      <c r="CH1306" s="73"/>
    </row>
    <row r="1307">
      <c r="A1307" s="80"/>
      <c r="B1307" s="80"/>
      <c r="C1307" s="80"/>
      <c r="D1307" s="80"/>
      <c r="E1307" s="124"/>
      <c r="F1307" s="80"/>
      <c r="G1307" s="80"/>
      <c r="H1307" s="80"/>
      <c r="I1307" s="80"/>
      <c r="J1307" s="196"/>
      <c r="K1307" s="196"/>
      <c r="L1307" s="196"/>
      <c r="M1307" s="196"/>
      <c r="N1307" s="196"/>
      <c r="O1307" s="196"/>
      <c r="P1307" s="196"/>
      <c r="Q1307" s="196"/>
      <c r="R1307" s="196"/>
      <c r="S1307" s="196"/>
      <c r="T1307" s="196"/>
      <c r="U1307" s="196"/>
      <c r="V1307" s="196"/>
      <c r="W1307" s="196"/>
      <c r="X1307" s="196"/>
      <c r="Y1307" s="196"/>
      <c r="Z1307" s="196"/>
      <c r="AA1307" s="196"/>
      <c r="AB1307" s="196"/>
      <c r="AC1307" s="196"/>
      <c r="AD1307" s="196"/>
      <c r="AE1307" s="196"/>
      <c r="AF1307" s="196"/>
      <c r="AG1307" s="196"/>
      <c r="AH1307" s="196"/>
      <c r="AI1307" s="196"/>
      <c r="AJ1307" s="197"/>
      <c r="AK1307" s="80"/>
      <c r="AL1307" s="80"/>
      <c r="AM1307" s="73"/>
      <c r="AN1307" s="73"/>
      <c r="AO1307" s="73"/>
      <c r="AP1307" s="73"/>
      <c r="AQ1307" s="73"/>
      <c r="AR1307" s="73"/>
      <c r="AS1307" s="73"/>
      <c r="AT1307" s="73"/>
      <c r="AU1307" s="73"/>
      <c r="AV1307" s="73"/>
      <c r="AW1307" s="73"/>
      <c r="AX1307" s="73"/>
      <c r="AY1307" s="73"/>
      <c r="AZ1307" s="73"/>
      <c r="BA1307" s="73"/>
      <c r="BB1307" s="73"/>
      <c r="BC1307" s="73"/>
      <c r="BD1307" s="73"/>
      <c r="BE1307" s="73"/>
      <c r="BF1307" s="73"/>
      <c r="BG1307" s="73"/>
      <c r="BH1307" s="73"/>
      <c r="BI1307" s="73"/>
      <c r="BJ1307" s="73"/>
      <c r="BK1307" s="73"/>
      <c r="BL1307" s="73"/>
      <c r="BM1307" s="73"/>
      <c r="BN1307" s="73"/>
      <c r="BO1307" s="73"/>
      <c r="BP1307" s="73"/>
      <c r="BQ1307" s="73"/>
      <c r="BR1307" s="73"/>
      <c r="BS1307" s="73"/>
      <c r="BT1307" s="73"/>
      <c r="BU1307" s="73"/>
      <c r="BV1307" s="73"/>
      <c r="BW1307" s="73"/>
      <c r="BX1307" s="73"/>
      <c r="BY1307" s="73"/>
      <c r="BZ1307" s="73"/>
      <c r="CA1307" s="73"/>
      <c r="CB1307" s="73"/>
      <c r="CC1307" s="73"/>
      <c r="CD1307" s="73"/>
      <c r="CE1307" s="73"/>
      <c r="CF1307" s="73"/>
      <c r="CG1307" s="73"/>
      <c r="CH1307" s="73"/>
    </row>
    <row r="1308">
      <c r="A1308" s="80"/>
      <c r="B1308" s="80"/>
      <c r="C1308" s="80"/>
      <c r="D1308" s="80"/>
      <c r="E1308" s="124"/>
      <c r="F1308" s="80"/>
      <c r="G1308" s="80"/>
      <c r="H1308" s="80"/>
      <c r="I1308" s="80"/>
      <c r="J1308" s="196"/>
      <c r="K1308" s="196"/>
      <c r="L1308" s="196"/>
      <c r="M1308" s="196"/>
      <c r="N1308" s="196"/>
      <c r="O1308" s="196"/>
      <c r="P1308" s="196"/>
      <c r="Q1308" s="196"/>
      <c r="R1308" s="196"/>
      <c r="S1308" s="196"/>
      <c r="T1308" s="196"/>
      <c r="U1308" s="196"/>
      <c r="V1308" s="196"/>
      <c r="W1308" s="196"/>
      <c r="X1308" s="196"/>
      <c r="Y1308" s="196"/>
      <c r="Z1308" s="196"/>
      <c r="AA1308" s="196"/>
      <c r="AB1308" s="196"/>
      <c r="AC1308" s="196"/>
      <c r="AD1308" s="196"/>
      <c r="AE1308" s="196"/>
      <c r="AF1308" s="196"/>
      <c r="AG1308" s="196"/>
      <c r="AH1308" s="196"/>
      <c r="AI1308" s="196"/>
      <c r="AJ1308" s="197"/>
      <c r="AK1308" s="80"/>
      <c r="AL1308" s="80"/>
      <c r="AM1308" s="73"/>
      <c r="AN1308" s="73"/>
      <c r="AO1308" s="73"/>
      <c r="AP1308" s="73"/>
      <c r="AQ1308" s="73"/>
      <c r="AR1308" s="73"/>
      <c r="AS1308" s="73"/>
      <c r="AT1308" s="73"/>
      <c r="AU1308" s="73"/>
      <c r="AV1308" s="73"/>
      <c r="AW1308" s="73"/>
      <c r="AX1308" s="73"/>
      <c r="AY1308" s="73"/>
      <c r="AZ1308" s="73"/>
      <c r="BA1308" s="73"/>
      <c r="BB1308" s="73"/>
      <c r="BC1308" s="73"/>
      <c r="BD1308" s="73"/>
      <c r="BE1308" s="73"/>
      <c r="BF1308" s="73"/>
      <c r="BG1308" s="73"/>
      <c r="BH1308" s="73"/>
      <c r="BI1308" s="73"/>
      <c r="BJ1308" s="73"/>
      <c r="BK1308" s="73"/>
      <c r="BL1308" s="73"/>
      <c r="BM1308" s="73"/>
      <c r="BN1308" s="73"/>
      <c r="BO1308" s="73"/>
      <c r="BP1308" s="73"/>
      <c r="BQ1308" s="73"/>
      <c r="BR1308" s="73"/>
      <c r="BS1308" s="73"/>
      <c r="BT1308" s="73"/>
      <c r="BU1308" s="73"/>
      <c r="BV1308" s="73"/>
      <c r="BW1308" s="73"/>
      <c r="BX1308" s="73"/>
      <c r="BY1308" s="73"/>
      <c r="BZ1308" s="73"/>
      <c r="CA1308" s="73"/>
      <c r="CB1308" s="73"/>
      <c r="CC1308" s="73"/>
      <c r="CD1308" s="73"/>
      <c r="CE1308" s="73"/>
      <c r="CF1308" s="73"/>
      <c r="CG1308" s="73"/>
      <c r="CH1308" s="73"/>
    </row>
    <row r="1309">
      <c r="A1309" s="80"/>
      <c r="B1309" s="80"/>
      <c r="C1309" s="80"/>
      <c r="D1309" s="80"/>
      <c r="E1309" s="124"/>
      <c r="F1309" s="80"/>
      <c r="G1309" s="80"/>
      <c r="H1309" s="80"/>
      <c r="I1309" s="80"/>
      <c r="J1309" s="196"/>
      <c r="K1309" s="196"/>
      <c r="L1309" s="196"/>
      <c r="M1309" s="196"/>
      <c r="N1309" s="196"/>
      <c r="O1309" s="196"/>
      <c r="P1309" s="196"/>
      <c r="Q1309" s="196"/>
      <c r="R1309" s="196"/>
      <c r="S1309" s="196"/>
      <c r="T1309" s="196"/>
      <c r="U1309" s="196"/>
      <c r="V1309" s="196"/>
      <c r="W1309" s="196"/>
      <c r="X1309" s="196"/>
      <c r="Y1309" s="196"/>
      <c r="Z1309" s="196"/>
      <c r="AA1309" s="196"/>
      <c r="AB1309" s="196"/>
      <c r="AC1309" s="196"/>
      <c r="AD1309" s="196"/>
      <c r="AE1309" s="196"/>
      <c r="AF1309" s="196"/>
      <c r="AG1309" s="196"/>
      <c r="AH1309" s="196"/>
      <c r="AI1309" s="196"/>
      <c r="AJ1309" s="197"/>
      <c r="AK1309" s="80"/>
      <c r="AL1309" s="80"/>
      <c r="AM1309" s="73"/>
      <c r="AN1309" s="73"/>
      <c r="AO1309" s="73"/>
      <c r="AP1309" s="73"/>
      <c r="AQ1309" s="73"/>
      <c r="AR1309" s="73"/>
      <c r="AS1309" s="73"/>
      <c r="AT1309" s="73"/>
      <c r="AU1309" s="73"/>
      <c r="AV1309" s="73"/>
      <c r="AW1309" s="73"/>
      <c r="AX1309" s="73"/>
      <c r="AY1309" s="73"/>
      <c r="AZ1309" s="73"/>
      <c r="BA1309" s="73"/>
      <c r="BB1309" s="73"/>
      <c r="BC1309" s="73"/>
      <c r="BD1309" s="73"/>
      <c r="BE1309" s="73"/>
      <c r="BF1309" s="73"/>
      <c r="BG1309" s="73"/>
      <c r="BH1309" s="73"/>
      <c r="BI1309" s="73"/>
      <c r="BJ1309" s="73"/>
      <c r="BK1309" s="73"/>
      <c r="BL1309" s="73"/>
      <c r="BM1309" s="73"/>
      <c r="BN1309" s="73"/>
      <c r="BO1309" s="73"/>
      <c r="BP1309" s="73"/>
      <c r="BQ1309" s="73"/>
      <c r="BR1309" s="73"/>
      <c r="BS1309" s="73"/>
      <c r="BT1309" s="73"/>
      <c r="BU1309" s="73"/>
      <c r="BV1309" s="73"/>
      <c r="BW1309" s="73"/>
      <c r="BX1309" s="73"/>
      <c r="BY1309" s="73"/>
      <c r="BZ1309" s="73"/>
      <c r="CA1309" s="73"/>
      <c r="CB1309" s="73"/>
      <c r="CC1309" s="73"/>
      <c r="CD1309" s="73"/>
      <c r="CE1309" s="73"/>
      <c r="CF1309" s="73"/>
      <c r="CG1309" s="73"/>
      <c r="CH1309" s="73"/>
    </row>
    <row r="1310">
      <c r="A1310" s="80"/>
      <c r="B1310" s="80"/>
      <c r="C1310" s="80"/>
      <c r="D1310" s="80"/>
      <c r="E1310" s="124"/>
      <c r="F1310" s="80"/>
      <c r="G1310" s="80"/>
      <c r="H1310" s="80"/>
      <c r="I1310" s="80"/>
      <c r="J1310" s="196"/>
      <c r="K1310" s="196"/>
      <c r="L1310" s="196"/>
      <c r="M1310" s="196"/>
      <c r="N1310" s="196"/>
      <c r="O1310" s="196"/>
      <c r="P1310" s="196"/>
      <c r="Q1310" s="196"/>
      <c r="R1310" s="196"/>
      <c r="S1310" s="196"/>
      <c r="T1310" s="196"/>
      <c r="U1310" s="196"/>
      <c r="V1310" s="196"/>
      <c r="W1310" s="196"/>
      <c r="X1310" s="196"/>
      <c r="Y1310" s="196"/>
      <c r="Z1310" s="196"/>
      <c r="AA1310" s="196"/>
      <c r="AB1310" s="196"/>
      <c r="AC1310" s="196"/>
      <c r="AD1310" s="196"/>
      <c r="AE1310" s="196"/>
      <c r="AF1310" s="196"/>
      <c r="AG1310" s="196"/>
      <c r="AH1310" s="196"/>
      <c r="AI1310" s="196"/>
      <c r="AJ1310" s="197"/>
      <c r="AK1310" s="80"/>
      <c r="AL1310" s="80"/>
      <c r="AM1310" s="73"/>
      <c r="AN1310" s="73"/>
      <c r="AO1310" s="73"/>
      <c r="AP1310" s="73"/>
      <c r="AQ1310" s="73"/>
      <c r="AR1310" s="73"/>
      <c r="AS1310" s="73"/>
      <c r="AT1310" s="73"/>
      <c r="AU1310" s="73"/>
      <c r="AV1310" s="73"/>
      <c r="AW1310" s="73"/>
      <c r="AX1310" s="73"/>
      <c r="AY1310" s="73"/>
      <c r="AZ1310" s="73"/>
      <c r="BA1310" s="73"/>
      <c r="BB1310" s="73"/>
      <c r="BC1310" s="73"/>
      <c r="BD1310" s="73"/>
      <c r="BE1310" s="73"/>
      <c r="BF1310" s="73"/>
      <c r="BG1310" s="73"/>
      <c r="BH1310" s="73"/>
      <c r="BI1310" s="73"/>
      <c r="BJ1310" s="73"/>
      <c r="BK1310" s="73"/>
      <c r="BL1310" s="73"/>
      <c r="BM1310" s="73"/>
      <c r="BN1310" s="73"/>
      <c r="BO1310" s="73"/>
      <c r="BP1310" s="73"/>
      <c r="BQ1310" s="73"/>
      <c r="BR1310" s="73"/>
      <c r="BS1310" s="73"/>
      <c r="BT1310" s="73"/>
      <c r="BU1310" s="73"/>
      <c r="BV1310" s="73"/>
      <c r="BW1310" s="73"/>
      <c r="BX1310" s="73"/>
      <c r="BY1310" s="73"/>
      <c r="BZ1310" s="73"/>
      <c r="CA1310" s="73"/>
      <c r="CB1310" s="73"/>
      <c r="CC1310" s="73"/>
      <c r="CD1310" s="73"/>
      <c r="CE1310" s="73"/>
      <c r="CF1310" s="73"/>
      <c r="CG1310" s="73"/>
      <c r="CH1310" s="73"/>
    </row>
    <row r="1311">
      <c r="A1311" s="80"/>
      <c r="B1311" s="80"/>
      <c r="C1311" s="80"/>
      <c r="D1311" s="80"/>
      <c r="E1311" s="124"/>
      <c r="F1311" s="80"/>
      <c r="G1311" s="80"/>
      <c r="H1311" s="80"/>
      <c r="I1311" s="80"/>
      <c r="J1311" s="196"/>
      <c r="K1311" s="196"/>
      <c r="L1311" s="196"/>
      <c r="M1311" s="196"/>
      <c r="N1311" s="196"/>
      <c r="O1311" s="196"/>
      <c r="P1311" s="196"/>
      <c r="Q1311" s="196"/>
      <c r="R1311" s="196"/>
      <c r="S1311" s="196"/>
      <c r="T1311" s="196"/>
      <c r="U1311" s="196"/>
      <c r="V1311" s="196"/>
      <c r="W1311" s="196"/>
      <c r="X1311" s="196"/>
      <c r="Y1311" s="196"/>
      <c r="Z1311" s="196"/>
      <c r="AA1311" s="196"/>
      <c r="AB1311" s="196"/>
      <c r="AC1311" s="196"/>
      <c r="AD1311" s="196"/>
      <c r="AE1311" s="196"/>
      <c r="AF1311" s="196"/>
      <c r="AG1311" s="196"/>
      <c r="AH1311" s="196"/>
      <c r="AI1311" s="196"/>
      <c r="AJ1311" s="197"/>
      <c r="AK1311" s="80"/>
      <c r="AL1311" s="80"/>
      <c r="AM1311" s="73"/>
      <c r="AN1311" s="73"/>
      <c r="AO1311" s="73"/>
      <c r="AP1311" s="73"/>
      <c r="AQ1311" s="73"/>
      <c r="AR1311" s="73"/>
      <c r="AS1311" s="73"/>
      <c r="AT1311" s="73"/>
      <c r="AU1311" s="73"/>
      <c r="AV1311" s="73"/>
      <c r="AW1311" s="73"/>
      <c r="AX1311" s="73"/>
      <c r="AY1311" s="73"/>
      <c r="AZ1311" s="73"/>
      <c r="BA1311" s="73"/>
      <c r="BB1311" s="73"/>
      <c r="BC1311" s="73"/>
      <c r="BD1311" s="73"/>
      <c r="BE1311" s="73"/>
      <c r="BF1311" s="73"/>
      <c r="BG1311" s="73"/>
      <c r="BH1311" s="73"/>
      <c r="BI1311" s="73"/>
      <c r="BJ1311" s="73"/>
      <c r="BK1311" s="73"/>
      <c r="BL1311" s="73"/>
      <c r="BM1311" s="73"/>
      <c r="BN1311" s="73"/>
      <c r="BO1311" s="73"/>
      <c r="BP1311" s="73"/>
      <c r="BQ1311" s="73"/>
      <c r="BR1311" s="73"/>
      <c r="BS1311" s="73"/>
      <c r="BT1311" s="73"/>
      <c r="BU1311" s="73"/>
      <c r="BV1311" s="73"/>
      <c r="BW1311" s="73"/>
      <c r="BX1311" s="73"/>
      <c r="BY1311" s="73"/>
      <c r="BZ1311" s="73"/>
      <c r="CA1311" s="73"/>
      <c r="CB1311" s="73"/>
      <c r="CC1311" s="73"/>
      <c r="CD1311" s="73"/>
      <c r="CE1311" s="73"/>
      <c r="CF1311" s="73"/>
      <c r="CG1311" s="73"/>
      <c r="CH1311" s="73"/>
    </row>
    <row r="1312">
      <c r="A1312" s="80"/>
      <c r="B1312" s="80"/>
      <c r="C1312" s="80"/>
      <c r="D1312" s="80"/>
      <c r="E1312" s="124"/>
      <c r="F1312" s="80"/>
      <c r="G1312" s="80"/>
      <c r="H1312" s="80"/>
      <c r="I1312" s="80"/>
      <c r="J1312" s="196"/>
      <c r="K1312" s="196"/>
      <c r="L1312" s="196"/>
      <c r="M1312" s="196"/>
      <c r="N1312" s="196"/>
      <c r="O1312" s="196"/>
      <c r="P1312" s="196"/>
      <c r="Q1312" s="196"/>
      <c r="R1312" s="196"/>
      <c r="S1312" s="196"/>
      <c r="T1312" s="196"/>
      <c r="U1312" s="196"/>
      <c r="V1312" s="196"/>
      <c r="W1312" s="196"/>
      <c r="X1312" s="196"/>
      <c r="Y1312" s="196"/>
      <c r="Z1312" s="196"/>
      <c r="AA1312" s="196"/>
      <c r="AB1312" s="196"/>
      <c r="AC1312" s="196"/>
      <c r="AD1312" s="196"/>
      <c r="AE1312" s="196"/>
      <c r="AF1312" s="196"/>
      <c r="AG1312" s="196"/>
      <c r="AH1312" s="196"/>
      <c r="AI1312" s="196"/>
      <c r="AJ1312" s="197"/>
      <c r="AK1312" s="80"/>
      <c r="AL1312" s="80"/>
      <c r="AM1312" s="73"/>
      <c r="AN1312" s="73"/>
      <c r="AO1312" s="73"/>
      <c r="AP1312" s="73"/>
      <c r="AQ1312" s="73"/>
      <c r="AR1312" s="73"/>
      <c r="AS1312" s="73"/>
      <c r="AT1312" s="73"/>
      <c r="AU1312" s="73"/>
      <c r="AV1312" s="73"/>
      <c r="AW1312" s="73"/>
      <c r="AX1312" s="73"/>
      <c r="AY1312" s="73"/>
      <c r="AZ1312" s="73"/>
      <c r="BA1312" s="73"/>
      <c r="BB1312" s="73"/>
      <c r="BC1312" s="73"/>
      <c r="BD1312" s="73"/>
      <c r="BE1312" s="73"/>
      <c r="BF1312" s="73"/>
      <c r="BG1312" s="73"/>
      <c r="BH1312" s="73"/>
      <c r="BI1312" s="73"/>
      <c r="BJ1312" s="73"/>
      <c r="BK1312" s="73"/>
      <c r="BL1312" s="73"/>
      <c r="BM1312" s="73"/>
      <c r="BN1312" s="73"/>
      <c r="BO1312" s="73"/>
      <c r="BP1312" s="73"/>
      <c r="BQ1312" s="73"/>
      <c r="BR1312" s="73"/>
      <c r="BS1312" s="73"/>
      <c r="BT1312" s="73"/>
      <c r="BU1312" s="73"/>
      <c r="BV1312" s="73"/>
      <c r="BW1312" s="73"/>
      <c r="BX1312" s="73"/>
      <c r="BY1312" s="73"/>
      <c r="BZ1312" s="73"/>
      <c r="CA1312" s="73"/>
      <c r="CB1312" s="73"/>
      <c r="CC1312" s="73"/>
      <c r="CD1312" s="73"/>
      <c r="CE1312" s="73"/>
      <c r="CF1312" s="73"/>
      <c r="CG1312" s="73"/>
      <c r="CH1312" s="73"/>
    </row>
    <row r="1313">
      <c r="A1313" s="80"/>
      <c r="B1313" s="80"/>
      <c r="C1313" s="80"/>
      <c r="D1313" s="80"/>
      <c r="E1313" s="124"/>
      <c r="F1313" s="80"/>
      <c r="G1313" s="80"/>
      <c r="H1313" s="80"/>
      <c r="I1313" s="80"/>
      <c r="J1313" s="196"/>
      <c r="K1313" s="196"/>
      <c r="L1313" s="196"/>
      <c r="M1313" s="196"/>
      <c r="N1313" s="196"/>
      <c r="O1313" s="196"/>
      <c r="P1313" s="196"/>
      <c r="Q1313" s="196"/>
      <c r="R1313" s="196"/>
      <c r="S1313" s="196"/>
      <c r="T1313" s="196"/>
      <c r="U1313" s="196"/>
      <c r="V1313" s="196"/>
      <c r="W1313" s="196"/>
      <c r="X1313" s="196"/>
      <c r="Y1313" s="196"/>
      <c r="Z1313" s="196"/>
      <c r="AA1313" s="196"/>
      <c r="AB1313" s="196"/>
      <c r="AC1313" s="196"/>
      <c r="AD1313" s="196"/>
      <c r="AE1313" s="196"/>
      <c r="AF1313" s="196"/>
      <c r="AG1313" s="196"/>
      <c r="AH1313" s="196"/>
      <c r="AI1313" s="196"/>
      <c r="AJ1313" s="197"/>
      <c r="AK1313" s="80"/>
      <c r="AL1313" s="80"/>
      <c r="AM1313" s="73"/>
      <c r="AN1313" s="73"/>
      <c r="AO1313" s="73"/>
      <c r="AP1313" s="73"/>
      <c r="AQ1313" s="73"/>
      <c r="AR1313" s="73"/>
      <c r="AS1313" s="73"/>
      <c r="AT1313" s="73"/>
      <c r="AU1313" s="73"/>
      <c r="AV1313" s="73"/>
      <c r="AW1313" s="73"/>
      <c r="AX1313" s="73"/>
      <c r="AY1313" s="73"/>
      <c r="AZ1313" s="73"/>
      <c r="BA1313" s="73"/>
      <c r="BB1313" s="73"/>
      <c r="BC1313" s="73"/>
      <c r="BD1313" s="73"/>
      <c r="BE1313" s="73"/>
      <c r="BF1313" s="73"/>
      <c r="BG1313" s="73"/>
      <c r="BH1313" s="73"/>
      <c r="BI1313" s="73"/>
      <c r="BJ1313" s="73"/>
      <c r="BK1313" s="73"/>
      <c r="BL1313" s="73"/>
      <c r="BM1313" s="73"/>
      <c r="BN1313" s="73"/>
      <c r="BO1313" s="73"/>
      <c r="BP1313" s="73"/>
      <c r="BQ1313" s="73"/>
      <c r="BR1313" s="73"/>
      <c r="BS1313" s="73"/>
      <c r="BT1313" s="73"/>
      <c r="BU1313" s="73"/>
      <c r="BV1313" s="73"/>
      <c r="BW1313" s="73"/>
      <c r="BX1313" s="73"/>
      <c r="BY1313" s="73"/>
      <c r="BZ1313" s="73"/>
      <c r="CA1313" s="73"/>
      <c r="CB1313" s="73"/>
      <c r="CC1313" s="73"/>
      <c r="CD1313" s="73"/>
      <c r="CE1313" s="73"/>
      <c r="CF1313" s="73"/>
      <c r="CG1313" s="73"/>
      <c r="CH1313" s="73"/>
    </row>
    <row r="1314">
      <c r="A1314" s="80"/>
      <c r="B1314" s="80"/>
      <c r="C1314" s="80"/>
      <c r="D1314" s="80"/>
      <c r="E1314" s="124"/>
      <c r="F1314" s="80"/>
      <c r="G1314" s="80"/>
      <c r="H1314" s="80"/>
      <c r="I1314" s="80"/>
      <c r="J1314" s="196"/>
      <c r="K1314" s="196"/>
      <c r="L1314" s="196"/>
      <c r="M1314" s="196"/>
      <c r="N1314" s="196"/>
      <c r="O1314" s="196"/>
      <c r="P1314" s="196"/>
      <c r="Q1314" s="196"/>
      <c r="R1314" s="196"/>
      <c r="S1314" s="196"/>
      <c r="T1314" s="196"/>
      <c r="U1314" s="196"/>
      <c r="V1314" s="196"/>
      <c r="W1314" s="196"/>
      <c r="X1314" s="196"/>
      <c r="Y1314" s="196"/>
      <c r="Z1314" s="196"/>
      <c r="AA1314" s="196"/>
      <c r="AB1314" s="196"/>
      <c r="AC1314" s="196"/>
      <c r="AD1314" s="196"/>
      <c r="AE1314" s="196"/>
      <c r="AF1314" s="196"/>
      <c r="AG1314" s="196"/>
      <c r="AH1314" s="196"/>
      <c r="AI1314" s="196"/>
      <c r="AJ1314" s="197"/>
      <c r="AK1314" s="80"/>
      <c r="AL1314" s="80"/>
      <c r="AM1314" s="73"/>
      <c r="AN1314" s="73"/>
      <c r="AO1314" s="73"/>
      <c r="AP1314" s="73"/>
      <c r="AQ1314" s="73"/>
      <c r="AR1314" s="73"/>
      <c r="AS1314" s="73"/>
      <c r="AT1314" s="73"/>
      <c r="AU1314" s="73"/>
      <c r="AV1314" s="73"/>
      <c r="AW1314" s="73"/>
      <c r="AX1314" s="73"/>
      <c r="AY1314" s="73"/>
      <c r="AZ1314" s="73"/>
      <c r="BA1314" s="73"/>
      <c r="BB1314" s="73"/>
      <c r="BC1314" s="73"/>
      <c r="BD1314" s="73"/>
      <c r="BE1314" s="73"/>
      <c r="BF1314" s="73"/>
      <c r="BG1314" s="73"/>
      <c r="BH1314" s="73"/>
      <c r="BI1314" s="73"/>
      <c r="BJ1314" s="73"/>
      <c r="BK1314" s="73"/>
      <c r="BL1314" s="73"/>
      <c r="BM1314" s="73"/>
      <c r="BN1314" s="73"/>
      <c r="BO1314" s="73"/>
      <c r="BP1314" s="73"/>
      <c r="BQ1314" s="73"/>
      <c r="BR1314" s="73"/>
      <c r="BS1314" s="73"/>
      <c r="BT1314" s="73"/>
      <c r="BU1314" s="73"/>
      <c r="BV1314" s="73"/>
      <c r="BW1314" s="73"/>
      <c r="BX1314" s="73"/>
      <c r="BY1314" s="73"/>
      <c r="BZ1314" s="73"/>
      <c r="CA1314" s="73"/>
      <c r="CB1314" s="73"/>
      <c r="CC1314" s="73"/>
      <c r="CD1314" s="73"/>
      <c r="CE1314" s="73"/>
      <c r="CF1314" s="73"/>
      <c r="CG1314" s="73"/>
      <c r="CH1314" s="73"/>
    </row>
    <row r="1315">
      <c r="A1315" s="80"/>
      <c r="B1315" s="80"/>
      <c r="C1315" s="80"/>
      <c r="D1315" s="80"/>
      <c r="E1315" s="124"/>
      <c r="F1315" s="80"/>
      <c r="G1315" s="80"/>
      <c r="H1315" s="80"/>
      <c r="I1315" s="80"/>
      <c r="J1315" s="196"/>
      <c r="K1315" s="196"/>
      <c r="L1315" s="196"/>
      <c r="M1315" s="196"/>
      <c r="N1315" s="196"/>
      <c r="O1315" s="196"/>
      <c r="P1315" s="196"/>
      <c r="Q1315" s="196"/>
      <c r="R1315" s="196"/>
      <c r="S1315" s="196"/>
      <c r="T1315" s="196"/>
      <c r="U1315" s="196"/>
      <c r="V1315" s="196"/>
      <c r="W1315" s="196"/>
      <c r="X1315" s="196"/>
      <c r="Y1315" s="196"/>
      <c r="Z1315" s="196"/>
      <c r="AA1315" s="196"/>
      <c r="AB1315" s="196"/>
      <c r="AC1315" s="196"/>
      <c r="AD1315" s="196"/>
      <c r="AE1315" s="196"/>
      <c r="AF1315" s="196"/>
      <c r="AG1315" s="196"/>
      <c r="AH1315" s="196"/>
      <c r="AI1315" s="196"/>
      <c r="AJ1315" s="197"/>
      <c r="AK1315" s="80"/>
      <c r="AL1315" s="80"/>
      <c r="AM1315" s="73"/>
      <c r="AN1315" s="73"/>
      <c r="AO1315" s="73"/>
      <c r="AP1315" s="73"/>
      <c r="AQ1315" s="73"/>
      <c r="AR1315" s="73"/>
      <c r="AS1315" s="73"/>
      <c r="AT1315" s="73"/>
      <c r="AU1315" s="73"/>
      <c r="AV1315" s="73"/>
      <c r="AW1315" s="73"/>
      <c r="AX1315" s="73"/>
      <c r="AY1315" s="73"/>
      <c r="AZ1315" s="73"/>
      <c r="BA1315" s="73"/>
      <c r="BB1315" s="73"/>
      <c r="BC1315" s="73"/>
      <c r="BD1315" s="73"/>
      <c r="BE1315" s="73"/>
      <c r="BF1315" s="73"/>
      <c r="BG1315" s="73"/>
      <c r="BH1315" s="73"/>
      <c r="BI1315" s="73"/>
      <c r="BJ1315" s="73"/>
      <c r="BK1315" s="73"/>
      <c r="BL1315" s="73"/>
      <c r="BM1315" s="73"/>
      <c r="BN1315" s="73"/>
      <c r="BO1315" s="73"/>
      <c r="BP1315" s="73"/>
      <c r="BQ1315" s="73"/>
      <c r="BR1315" s="73"/>
      <c r="BS1315" s="73"/>
      <c r="BT1315" s="73"/>
      <c r="BU1315" s="73"/>
      <c r="BV1315" s="73"/>
      <c r="BW1315" s="73"/>
      <c r="BX1315" s="73"/>
      <c r="BY1315" s="73"/>
      <c r="BZ1315" s="73"/>
      <c r="CA1315" s="73"/>
      <c r="CB1315" s="73"/>
      <c r="CC1315" s="73"/>
      <c r="CD1315" s="73"/>
      <c r="CE1315" s="73"/>
      <c r="CF1315" s="73"/>
      <c r="CG1315" s="73"/>
      <c r="CH1315" s="73"/>
    </row>
    <row r="1316">
      <c r="A1316" s="80"/>
      <c r="B1316" s="80"/>
      <c r="C1316" s="80"/>
      <c r="D1316" s="80"/>
      <c r="E1316" s="124"/>
      <c r="F1316" s="80"/>
      <c r="G1316" s="80"/>
      <c r="H1316" s="80"/>
      <c r="I1316" s="80"/>
      <c r="J1316" s="196"/>
      <c r="K1316" s="196"/>
      <c r="L1316" s="196"/>
      <c r="M1316" s="196"/>
      <c r="N1316" s="196"/>
      <c r="O1316" s="196"/>
      <c r="P1316" s="196"/>
      <c r="Q1316" s="196"/>
      <c r="R1316" s="196"/>
      <c r="S1316" s="196"/>
      <c r="T1316" s="196"/>
      <c r="U1316" s="196"/>
      <c r="V1316" s="196"/>
      <c r="W1316" s="196"/>
      <c r="X1316" s="196"/>
      <c r="Y1316" s="196"/>
      <c r="Z1316" s="196"/>
      <c r="AA1316" s="196"/>
      <c r="AB1316" s="196"/>
      <c r="AC1316" s="196"/>
      <c r="AD1316" s="196"/>
      <c r="AE1316" s="196"/>
      <c r="AF1316" s="196"/>
      <c r="AG1316" s="196"/>
      <c r="AH1316" s="196"/>
      <c r="AI1316" s="196"/>
      <c r="AJ1316" s="197"/>
      <c r="AK1316" s="80"/>
      <c r="AL1316" s="80"/>
      <c r="AM1316" s="73"/>
      <c r="AN1316" s="73"/>
      <c r="AO1316" s="73"/>
      <c r="AP1316" s="73"/>
      <c r="AQ1316" s="73"/>
      <c r="AR1316" s="73"/>
      <c r="AS1316" s="73"/>
      <c r="AT1316" s="73"/>
      <c r="AU1316" s="73"/>
      <c r="AV1316" s="73"/>
      <c r="AW1316" s="73"/>
      <c r="AX1316" s="73"/>
      <c r="AY1316" s="73"/>
      <c r="AZ1316" s="73"/>
      <c r="BA1316" s="73"/>
      <c r="BB1316" s="73"/>
      <c r="BC1316" s="73"/>
      <c r="BD1316" s="73"/>
      <c r="BE1316" s="73"/>
      <c r="BF1316" s="73"/>
      <c r="BG1316" s="73"/>
      <c r="BH1316" s="73"/>
      <c r="BI1316" s="73"/>
      <c r="BJ1316" s="73"/>
      <c r="BK1316" s="73"/>
      <c r="BL1316" s="73"/>
      <c r="BM1316" s="73"/>
      <c r="BN1316" s="73"/>
      <c r="BO1316" s="73"/>
      <c r="BP1316" s="73"/>
      <c r="BQ1316" s="73"/>
      <c r="BR1316" s="73"/>
      <c r="BS1316" s="73"/>
      <c r="BT1316" s="73"/>
      <c r="BU1316" s="73"/>
      <c r="BV1316" s="73"/>
      <c r="BW1316" s="73"/>
      <c r="BX1316" s="73"/>
      <c r="BY1316" s="73"/>
      <c r="BZ1316" s="73"/>
      <c r="CA1316" s="73"/>
      <c r="CB1316" s="73"/>
      <c r="CC1316" s="73"/>
      <c r="CD1316" s="73"/>
      <c r="CE1316" s="73"/>
      <c r="CF1316" s="73"/>
      <c r="CG1316" s="73"/>
      <c r="CH1316" s="73"/>
    </row>
    <row r="1317">
      <c r="A1317" s="80"/>
      <c r="B1317" s="80"/>
      <c r="C1317" s="80"/>
      <c r="D1317" s="80"/>
      <c r="E1317" s="124"/>
      <c r="F1317" s="80"/>
      <c r="G1317" s="80"/>
      <c r="H1317" s="80"/>
      <c r="I1317" s="80"/>
      <c r="J1317" s="196"/>
      <c r="K1317" s="196"/>
      <c r="L1317" s="196"/>
      <c r="M1317" s="196"/>
      <c r="N1317" s="196"/>
      <c r="O1317" s="196"/>
      <c r="P1317" s="196"/>
      <c r="Q1317" s="196"/>
      <c r="R1317" s="196"/>
      <c r="S1317" s="196"/>
      <c r="T1317" s="196"/>
      <c r="U1317" s="196"/>
      <c r="V1317" s="196"/>
      <c r="W1317" s="196"/>
      <c r="X1317" s="196"/>
      <c r="Y1317" s="196"/>
      <c r="Z1317" s="196"/>
      <c r="AA1317" s="196"/>
      <c r="AB1317" s="196"/>
      <c r="AC1317" s="196"/>
      <c r="AD1317" s="196"/>
      <c r="AE1317" s="196"/>
      <c r="AF1317" s="196"/>
      <c r="AG1317" s="196"/>
      <c r="AH1317" s="196"/>
      <c r="AI1317" s="196"/>
      <c r="AJ1317" s="197"/>
      <c r="AK1317" s="80"/>
      <c r="AL1317" s="80"/>
      <c r="AM1317" s="73"/>
      <c r="AN1317" s="73"/>
      <c r="AO1317" s="73"/>
      <c r="AP1317" s="73"/>
      <c r="AQ1317" s="73"/>
      <c r="AR1317" s="73"/>
      <c r="AS1317" s="73"/>
      <c r="AT1317" s="73"/>
      <c r="AU1317" s="73"/>
      <c r="AV1317" s="73"/>
      <c r="AW1317" s="73"/>
      <c r="AX1317" s="73"/>
      <c r="AY1317" s="73"/>
      <c r="AZ1317" s="73"/>
      <c r="BA1317" s="73"/>
      <c r="BB1317" s="73"/>
      <c r="BC1317" s="73"/>
      <c r="BD1317" s="73"/>
      <c r="BE1317" s="73"/>
      <c r="BF1317" s="73"/>
      <c r="BG1317" s="73"/>
      <c r="BH1317" s="73"/>
      <c r="BI1317" s="73"/>
      <c r="BJ1317" s="73"/>
      <c r="BK1317" s="73"/>
      <c r="BL1317" s="73"/>
      <c r="BM1317" s="73"/>
      <c r="BN1317" s="73"/>
      <c r="BO1317" s="73"/>
      <c r="BP1317" s="73"/>
      <c r="BQ1317" s="73"/>
      <c r="BR1317" s="73"/>
      <c r="BS1317" s="73"/>
      <c r="BT1317" s="73"/>
      <c r="BU1317" s="73"/>
      <c r="BV1317" s="73"/>
      <c r="BW1317" s="73"/>
      <c r="BX1317" s="73"/>
      <c r="BY1317" s="73"/>
      <c r="BZ1317" s="73"/>
      <c r="CA1317" s="73"/>
      <c r="CB1317" s="73"/>
      <c r="CC1317" s="73"/>
      <c r="CD1317" s="73"/>
      <c r="CE1317" s="73"/>
      <c r="CF1317" s="73"/>
      <c r="CG1317" s="73"/>
      <c r="CH1317" s="73"/>
    </row>
    <row r="1318">
      <c r="A1318" s="80"/>
      <c r="B1318" s="80"/>
      <c r="C1318" s="80"/>
      <c r="D1318" s="80"/>
      <c r="E1318" s="124"/>
      <c r="F1318" s="80"/>
      <c r="G1318" s="80"/>
      <c r="H1318" s="80"/>
      <c r="I1318" s="80"/>
      <c r="J1318" s="196"/>
      <c r="K1318" s="196"/>
      <c r="L1318" s="196"/>
      <c r="M1318" s="196"/>
      <c r="N1318" s="196"/>
      <c r="O1318" s="196"/>
      <c r="P1318" s="196"/>
      <c r="Q1318" s="196"/>
      <c r="R1318" s="196"/>
      <c r="S1318" s="196"/>
      <c r="T1318" s="196"/>
      <c r="U1318" s="196"/>
      <c r="V1318" s="196"/>
      <c r="W1318" s="196"/>
      <c r="X1318" s="196"/>
      <c r="Y1318" s="196"/>
      <c r="Z1318" s="196"/>
      <c r="AA1318" s="196"/>
      <c r="AB1318" s="196"/>
      <c r="AC1318" s="196"/>
      <c r="AD1318" s="196"/>
      <c r="AE1318" s="196"/>
      <c r="AF1318" s="196"/>
      <c r="AG1318" s="196"/>
      <c r="AH1318" s="196"/>
      <c r="AI1318" s="196"/>
      <c r="AJ1318" s="197"/>
      <c r="AK1318" s="80"/>
      <c r="AL1318" s="80"/>
      <c r="AM1318" s="73"/>
      <c r="AN1318" s="73"/>
      <c r="AO1318" s="73"/>
      <c r="AP1318" s="73"/>
      <c r="AQ1318" s="73"/>
      <c r="AR1318" s="73"/>
      <c r="AS1318" s="73"/>
      <c r="AT1318" s="73"/>
      <c r="AU1318" s="73"/>
      <c r="AV1318" s="73"/>
      <c r="AW1318" s="73"/>
      <c r="AX1318" s="73"/>
      <c r="AY1318" s="73"/>
      <c r="AZ1318" s="73"/>
      <c r="BA1318" s="73"/>
      <c r="BB1318" s="73"/>
      <c r="BC1318" s="73"/>
      <c r="BD1318" s="73"/>
      <c r="BE1318" s="73"/>
      <c r="BF1318" s="73"/>
      <c r="BG1318" s="73"/>
      <c r="BH1318" s="73"/>
      <c r="BI1318" s="73"/>
      <c r="BJ1318" s="73"/>
      <c r="BK1318" s="73"/>
      <c r="BL1318" s="73"/>
      <c r="BM1318" s="73"/>
      <c r="BN1318" s="73"/>
      <c r="BO1318" s="73"/>
      <c r="BP1318" s="73"/>
      <c r="BQ1318" s="73"/>
      <c r="BR1318" s="73"/>
      <c r="BS1318" s="73"/>
      <c r="BT1318" s="73"/>
      <c r="BU1318" s="73"/>
      <c r="BV1318" s="73"/>
      <c r="BW1318" s="73"/>
      <c r="BX1318" s="73"/>
      <c r="BY1318" s="73"/>
      <c r="BZ1318" s="73"/>
      <c r="CA1318" s="73"/>
      <c r="CB1318" s="73"/>
      <c r="CC1318" s="73"/>
      <c r="CD1318" s="73"/>
      <c r="CE1318" s="73"/>
      <c r="CF1318" s="73"/>
      <c r="CG1318" s="73"/>
      <c r="CH1318" s="73"/>
    </row>
    <row r="1319">
      <c r="A1319" s="80"/>
      <c r="B1319" s="80"/>
      <c r="C1319" s="80"/>
      <c r="D1319" s="80"/>
      <c r="E1319" s="124"/>
      <c r="F1319" s="80"/>
      <c r="G1319" s="80"/>
      <c r="H1319" s="80"/>
      <c r="I1319" s="80"/>
      <c r="J1319" s="196"/>
      <c r="K1319" s="196"/>
      <c r="L1319" s="196"/>
      <c r="M1319" s="196"/>
      <c r="N1319" s="196"/>
      <c r="O1319" s="196"/>
      <c r="P1319" s="196"/>
      <c r="Q1319" s="196"/>
      <c r="R1319" s="196"/>
      <c r="S1319" s="196"/>
      <c r="T1319" s="196"/>
      <c r="U1319" s="196"/>
      <c r="V1319" s="196"/>
      <c r="W1319" s="196"/>
      <c r="X1319" s="196"/>
      <c r="Y1319" s="196"/>
      <c r="Z1319" s="196"/>
      <c r="AA1319" s="196"/>
      <c r="AB1319" s="196"/>
      <c r="AC1319" s="196"/>
      <c r="AD1319" s="196"/>
      <c r="AE1319" s="196"/>
      <c r="AF1319" s="196"/>
      <c r="AG1319" s="196"/>
      <c r="AH1319" s="196"/>
      <c r="AI1319" s="196"/>
      <c r="AJ1319" s="197"/>
      <c r="AK1319" s="80"/>
      <c r="AL1319" s="80"/>
      <c r="AM1319" s="73"/>
      <c r="AN1319" s="73"/>
      <c r="AO1319" s="73"/>
      <c r="AP1319" s="73"/>
      <c r="AQ1319" s="73"/>
      <c r="AR1319" s="73"/>
      <c r="AS1319" s="73"/>
      <c r="AT1319" s="73"/>
      <c r="AU1319" s="73"/>
      <c r="AV1319" s="73"/>
      <c r="AW1319" s="73"/>
      <c r="AX1319" s="73"/>
      <c r="AY1319" s="73"/>
      <c r="AZ1319" s="73"/>
      <c r="BA1319" s="73"/>
      <c r="BB1319" s="73"/>
      <c r="BC1319" s="73"/>
      <c r="BD1319" s="73"/>
      <c r="BE1319" s="73"/>
      <c r="BF1319" s="73"/>
      <c r="BG1319" s="73"/>
      <c r="BH1319" s="73"/>
      <c r="BI1319" s="73"/>
      <c r="BJ1319" s="73"/>
      <c r="BK1319" s="73"/>
      <c r="BL1319" s="73"/>
      <c r="BM1319" s="73"/>
      <c r="BN1319" s="73"/>
      <c r="BO1319" s="73"/>
      <c r="BP1319" s="73"/>
      <c r="BQ1319" s="73"/>
      <c r="BR1319" s="73"/>
      <c r="BS1319" s="73"/>
      <c r="BT1319" s="73"/>
      <c r="BU1319" s="73"/>
      <c r="BV1319" s="73"/>
      <c r="BW1319" s="73"/>
      <c r="BX1319" s="73"/>
      <c r="BY1319" s="73"/>
      <c r="BZ1319" s="73"/>
      <c r="CA1319" s="73"/>
      <c r="CB1319" s="73"/>
      <c r="CC1319" s="73"/>
      <c r="CD1319" s="73"/>
      <c r="CE1319" s="73"/>
      <c r="CF1319" s="73"/>
      <c r="CG1319" s="73"/>
      <c r="CH1319" s="73"/>
    </row>
    <row r="1320">
      <c r="A1320" s="80"/>
      <c r="B1320" s="80"/>
      <c r="C1320" s="80"/>
      <c r="D1320" s="80"/>
      <c r="E1320" s="124"/>
      <c r="F1320" s="80"/>
      <c r="G1320" s="80"/>
      <c r="H1320" s="80"/>
      <c r="I1320" s="80"/>
      <c r="J1320" s="196"/>
      <c r="K1320" s="196"/>
      <c r="L1320" s="196"/>
      <c r="M1320" s="196"/>
      <c r="N1320" s="196"/>
      <c r="O1320" s="196"/>
      <c r="P1320" s="196"/>
      <c r="Q1320" s="196"/>
      <c r="R1320" s="196"/>
      <c r="S1320" s="196"/>
      <c r="T1320" s="196"/>
      <c r="U1320" s="196"/>
      <c r="V1320" s="196"/>
      <c r="W1320" s="196"/>
      <c r="X1320" s="196"/>
      <c r="Y1320" s="196"/>
      <c r="Z1320" s="196"/>
      <c r="AA1320" s="196"/>
      <c r="AB1320" s="196"/>
      <c r="AC1320" s="196"/>
      <c r="AD1320" s="196"/>
      <c r="AE1320" s="196"/>
      <c r="AF1320" s="196"/>
      <c r="AG1320" s="196"/>
      <c r="AH1320" s="196"/>
      <c r="AI1320" s="196"/>
      <c r="AJ1320" s="197"/>
      <c r="AK1320" s="80"/>
      <c r="AL1320" s="80"/>
      <c r="AM1320" s="73"/>
      <c r="AN1320" s="73"/>
      <c r="AO1320" s="73"/>
      <c r="AP1320" s="73"/>
      <c r="AQ1320" s="73"/>
      <c r="AR1320" s="73"/>
      <c r="AS1320" s="73"/>
      <c r="AT1320" s="73"/>
      <c r="AU1320" s="73"/>
      <c r="AV1320" s="73"/>
      <c r="AW1320" s="73"/>
      <c r="AX1320" s="73"/>
      <c r="AY1320" s="73"/>
      <c r="AZ1320" s="73"/>
      <c r="BA1320" s="73"/>
      <c r="BB1320" s="73"/>
      <c r="BC1320" s="73"/>
      <c r="BD1320" s="73"/>
      <c r="BE1320" s="73"/>
      <c r="BF1320" s="73"/>
      <c r="BG1320" s="73"/>
      <c r="BH1320" s="73"/>
      <c r="BI1320" s="73"/>
      <c r="BJ1320" s="73"/>
      <c r="BK1320" s="73"/>
      <c r="BL1320" s="73"/>
      <c r="BM1320" s="73"/>
      <c r="BN1320" s="73"/>
      <c r="BO1320" s="73"/>
      <c r="BP1320" s="73"/>
      <c r="BQ1320" s="73"/>
      <c r="BR1320" s="73"/>
      <c r="BS1320" s="73"/>
      <c r="BT1320" s="73"/>
      <c r="BU1320" s="73"/>
      <c r="BV1320" s="73"/>
      <c r="BW1320" s="73"/>
      <c r="BX1320" s="73"/>
      <c r="BY1320" s="73"/>
      <c r="BZ1320" s="73"/>
      <c r="CA1320" s="73"/>
      <c r="CB1320" s="73"/>
      <c r="CC1320" s="73"/>
      <c r="CD1320" s="73"/>
      <c r="CE1320" s="73"/>
      <c r="CF1320" s="73"/>
      <c r="CG1320" s="73"/>
      <c r="CH1320" s="73"/>
    </row>
    <row r="1321">
      <c r="A1321" s="80"/>
      <c r="B1321" s="80"/>
      <c r="C1321" s="80"/>
      <c r="D1321" s="80"/>
      <c r="E1321" s="124"/>
      <c r="F1321" s="80"/>
      <c r="G1321" s="80"/>
      <c r="H1321" s="80"/>
      <c r="I1321" s="80"/>
      <c r="J1321" s="196"/>
      <c r="K1321" s="196"/>
      <c r="L1321" s="196"/>
      <c r="M1321" s="196"/>
      <c r="N1321" s="196"/>
      <c r="O1321" s="196"/>
      <c r="P1321" s="196"/>
      <c r="Q1321" s="196"/>
      <c r="R1321" s="196"/>
      <c r="S1321" s="196"/>
      <c r="T1321" s="196"/>
      <c r="U1321" s="196"/>
      <c r="V1321" s="196"/>
      <c r="W1321" s="196"/>
      <c r="X1321" s="196"/>
      <c r="Y1321" s="196"/>
      <c r="Z1321" s="196"/>
      <c r="AA1321" s="196"/>
      <c r="AB1321" s="196"/>
      <c r="AC1321" s="196"/>
      <c r="AD1321" s="196"/>
      <c r="AE1321" s="196"/>
      <c r="AF1321" s="196"/>
      <c r="AG1321" s="196"/>
      <c r="AH1321" s="196"/>
      <c r="AI1321" s="196"/>
      <c r="AJ1321" s="197"/>
      <c r="AK1321" s="80"/>
      <c r="AL1321" s="80"/>
      <c r="AM1321" s="73"/>
      <c r="AN1321" s="73"/>
      <c r="AO1321" s="73"/>
      <c r="AP1321" s="73"/>
      <c r="AQ1321" s="73"/>
      <c r="AR1321" s="73"/>
      <c r="AS1321" s="73"/>
      <c r="AT1321" s="73"/>
      <c r="AU1321" s="73"/>
      <c r="AV1321" s="73"/>
      <c r="AW1321" s="73"/>
      <c r="AX1321" s="73"/>
      <c r="AY1321" s="73"/>
      <c r="AZ1321" s="73"/>
      <c r="BA1321" s="73"/>
      <c r="BB1321" s="73"/>
      <c r="BC1321" s="73"/>
      <c r="BD1321" s="73"/>
      <c r="BE1321" s="73"/>
      <c r="BF1321" s="73"/>
      <c r="BG1321" s="73"/>
      <c r="BH1321" s="73"/>
      <c r="BI1321" s="73"/>
      <c r="BJ1321" s="73"/>
      <c r="BK1321" s="73"/>
      <c r="BL1321" s="73"/>
      <c r="BM1321" s="73"/>
      <c r="BN1321" s="73"/>
      <c r="BO1321" s="73"/>
      <c r="BP1321" s="73"/>
      <c r="BQ1321" s="73"/>
      <c r="BR1321" s="73"/>
      <c r="BS1321" s="73"/>
      <c r="BT1321" s="73"/>
      <c r="BU1321" s="73"/>
      <c r="BV1321" s="73"/>
      <c r="BW1321" s="73"/>
      <c r="BX1321" s="73"/>
      <c r="BY1321" s="73"/>
      <c r="BZ1321" s="73"/>
      <c r="CA1321" s="73"/>
      <c r="CB1321" s="73"/>
      <c r="CC1321" s="73"/>
      <c r="CD1321" s="73"/>
      <c r="CE1321" s="73"/>
      <c r="CF1321" s="73"/>
      <c r="CG1321" s="73"/>
      <c r="CH1321" s="73"/>
    </row>
    <row r="1322">
      <c r="A1322" s="80"/>
      <c r="B1322" s="80"/>
      <c r="C1322" s="80"/>
      <c r="D1322" s="80"/>
      <c r="E1322" s="124"/>
      <c r="F1322" s="80"/>
      <c r="G1322" s="80"/>
      <c r="H1322" s="80"/>
      <c r="I1322" s="80"/>
      <c r="J1322" s="196"/>
      <c r="K1322" s="196"/>
      <c r="L1322" s="196"/>
      <c r="M1322" s="196"/>
      <c r="N1322" s="196"/>
      <c r="O1322" s="196"/>
      <c r="P1322" s="196"/>
      <c r="Q1322" s="196"/>
      <c r="R1322" s="196"/>
      <c r="S1322" s="196"/>
      <c r="T1322" s="196"/>
      <c r="U1322" s="196"/>
      <c r="V1322" s="196"/>
      <c r="W1322" s="196"/>
      <c r="X1322" s="196"/>
      <c r="Y1322" s="196"/>
      <c r="Z1322" s="196"/>
      <c r="AA1322" s="196"/>
      <c r="AB1322" s="196"/>
      <c r="AC1322" s="196"/>
      <c r="AD1322" s="196"/>
      <c r="AE1322" s="196"/>
      <c r="AF1322" s="196"/>
      <c r="AG1322" s="196"/>
      <c r="AH1322" s="196"/>
      <c r="AI1322" s="196"/>
      <c r="AJ1322" s="197"/>
      <c r="AK1322" s="80"/>
      <c r="AL1322" s="80"/>
      <c r="AM1322" s="73"/>
      <c r="AN1322" s="73"/>
      <c r="AO1322" s="73"/>
      <c r="AP1322" s="73"/>
      <c r="AQ1322" s="73"/>
      <c r="AR1322" s="73"/>
      <c r="AS1322" s="73"/>
      <c r="AT1322" s="73"/>
      <c r="AU1322" s="73"/>
      <c r="AV1322" s="73"/>
      <c r="AW1322" s="73"/>
      <c r="AX1322" s="73"/>
      <c r="AY1322" s="73"/>
      <c r="AZ1322" s="73"/>
      <c r="BA1322" s="73"/>
      <c r="BB1322" s="73"/>
      <c r="BC1322" s="73"/>
      <c r="BD1322" s="73"/>
      <c r="BE1322" s="73"/>
      <c r="BF1322" s="73"/>
      <c r="BG1322" s="73"/>
      <c r="BH1322" s="73"/>
      <c r="BI1322" s="73"/>
      <c r="BJ1322" s="73"/>
      <c r="BK1322" s="73"/>
      <c r="BL1322" s="73"/>
      <c r="BM1322" s="73"/>
      <c r="BN1322" s="73"/>
      <c r="BO1322" s="73"/>
      <c r="BP1322" s="73"/>
      <c r="BQ1322" s="73"/>
      <c r="BR1322" s="73"/>
      <c r="BS1322" s="73"/>
      <c r="BT1322" s="73"/>
      <c r="BU1322" s="73"/>
      <c r="BV1322" s="73"/>
      <c r="BW1322" s="73"/>
      <c r="BX1322" s="73"/>
      <c r="BY1322" s="73"/>
      <c r="BZ1322" s="73"/>
      <c r="CA1322" s="73"/>
      <c r="CB1322" s="73"/>
      <c r="CC1322" s="73"/>
      <c r="CD1322" s="73"/>
      <c r="CE1322" s="73"/>
      <c r="CF1322" s="73"/>
      <c r="CG1322" s="73"/>
      <c r="CH1322" s="73"/>
    </row>
    <row r="1323">
      <c r="A1323" s="80"/>
      <c r="B1323" s="80"/>
      <c r="C1323" s="80"/>
      <c r="D1323" s="80"/>
      <c r="E1323" s="124"/>
      <c r="F1323" s="80"/>
      <c r="G1323" s="80"/>
      <c r="H1323" s="80"/>
      <c r="I1323" s="80"/>
      <c r="J1323" s="196"/>
      <c r="K1323" s="196"/>
      <c r="L1323" s="196"/>
      <c r="M1323" s="196"/>
      <c r="N1323" s="196"/>
      <c r="O1323" s="196"/>
      <c r="P1323" s="196"/>
      <c r="Q1323" s="196"/>
      <c r="R1323" s="196"/>
      <c r="S1323" s="196"/>
      <c r="T1323" s="196"/>
      <c r="U1323" s="196"/>
      <c r="V1323" s="196"/>
      <c r="W1323" s="196"/>
      <c r="X1323" s="196"/>
      <c r="Y1323" s="196"/>
      <c r="Z1323" s="196"/>
      <c r="AA1323" s="196"/>
      <c r="AB1323" s="196"/>
      <c r="AC1323" s="196"/>
      <c r="AD1323" s="196"/>
      <c r="AE1323" s="196"/>
      <c r="AF1323" s="196"/>
      <c r="AG1323" s="196"/>
      <c r="AH1323" s="196"/>
      <c r="AI1323" s="196"/>
      <c r="AJ1323" s="197"/>
      <c r="AK1323" s="80"/>
      <c r="AL1323" s="80"/>
      <c r="AM1323" s="73"/>
      <c r="AN1323" s="73"/>
      <c r="AO1323" s="73"/>
      <c r="AP1323" s="73"/>
      <c r="AQ1323" s="73"/>
      <c r="AR1323" s="73"/>
      <c r="AS1323" s="73"/>
      <c r="AT1323" s="73"/>
      <c r="AU1323" s="73"/>
      <c r="AV1323" s="73"/>
      <c r="AW1323" s="73"/>
      <c r="AX1323" s="73"/>
      <c r="AY1323" s="73"/>
      <c r="AZ1323" s="73"/>
      <c r="BA1323" s="73"/>
      <c r="BB1323" s="73"/>
      <c r="BC1323" s="73"/>
      <c r="BD1323" s="73"/>
      <c r="BE1323" s="73"/>
      <c r="BF1323" s="73"/>
      <c r="BG1323" s="73"/>
      <c r="BH1323" s="73"/>
      <c r="BI1323" s="73"/>
      <c r="BJ1323" s="73"/>
      <c r="BK1323" s="73"/>
      <c r="BL1323" s="73"/>
      <c r="BM1323" s="73"/>
      <c r="BN1323" s="73"/>
      <c r="BO1323" s="73"/>
      <c r="BP1323" s="73"/>
      <c r="BQ1323" s="73"/>
      <c r="BR1323" s="73"/>
      <c r="BS1323" s="73"/>
      <c r="BT1323" s="73"/>
      <c r="BU1323" s="73"/>
      <c r="BV1323" s="73"/>
      <c r="BW1323" s="73"/>
      <c r="BX1323" s="73"/>
      <c r="BY1323" s="73"/>
      <c r="BZ1323" s="73"/>
      <c r="CA1323" s="73"/>
      <c r="CB1323" s="73"/>
      <c r="CC1323" s="73"/>
      <c r="CD1323" s="73"/>
      <c r="CE1323" s="73"/>
      <c r="CF1323" s="73"/>
      <c r="CG1323" s="73"/>
      <c r="CH1323" s="73"/>
    </row>
    <row r="1324">
      <c r="A1324" s="80"/>
      <c r="B1324" s="80"/>
      <c r="C1324" s="80"/>
      <c r="D1324" s="80"/>
      <c r="E1324" s="124"/>
      <c r="F1324" s="80"/>
      <c r="G1324" s="80"/>
      <c r="H1324" s="80"/>
      <c r="I1324" s="80"/>
      <c r="J1324" s="196"/>
      <c r="K1324" s="196"/>
      <c r="L1324" s="196"/>
      <c r="M1324" s="196"/>
      <c r="N1324" s="196"/>
      <c r="O1324" s="196"/>
      <c r="P1324" s="196"/>
      <c r="Q1324" s="196"/>
      <c r="R1324" s="196"/>
      <c r="S1324" s="196"/>
      <c r="T1324" s="196"/>
      <c r="U1324" s="196"/>
      <c r="V1324" s="196"/>
      <c r="W1324" s="196"/>
      <c r="X1324" s="196"/>
      <c r="Y1324" s="196"/>
      <c r="Z1324" s="196"/>
      <c r="AA1324" s="196"/>
      <c r="AB1324" s="196"/>
      <c r="AC1324" s="196"/>
      <c r="AD1324" s="196"/>
      <c r="AE1324" s="196"/>
      <c r="AF1324" s="196"/>
      <c r="AG1324" s="196"/>
      <c r="AH1324" s="196"/>
      <c r="AI1324" s="196"/>
      <c r="AJ1324" s="197"/>
      <c r="AK1324" s="80"/>
      <c r="AL1324" s="80"/>
      <c r="AM1324" s="73"/>
      <c r="AN1324" s="73"/>
      <c r="AO1324" s="73"/>
      <c r="AP1324" s="73"/>
      <c r="AQ1324" s="73"/>
      <c r="AR1324" s="73"/>
      <c r="AS1324" s="73"/>
      <c r="AT1324" s="73"/>
      <c r="AU1324" s="73"/>
      <c r="AV1324" s="73"/>
      <c r="AW1324" s="73"/>
      <c r="AX1324" s="73"/>
      <c r="AY1324" s="73"/>
      <c r="AZ1324" s="73"/>
      <c r="BA1324" s="73"/>
      <c r="BB1324" s="73"/>
      <c r="BC1324" s="73"/>
      <c r="BD1324" s="73"/>
      <c r="BE1324" s="73"/>
      <c r="BF1324" s="73"/>
      <c r="BG1324" s="73"/>
      <c r="BH1324" s="73"/>
      <c r="BI1324" s="73"/>
      <c r="BJ1324" s="73"/>
      <c r="BK1324" s="73"/>
      <c r="BL1324" s="73"/>
      <c r="BM1324" s="73"/>
      <c r="BN1324" s="73"/>
      <c r="BO1324" s="73"/>
      <c r="BP1324" s="73"/>
      <c r="BQ1324" s="73"/>
      <c r="BR1324" s="73"/>
      <c r="BS1324" s="73"/>
      <c r="BT1324" s="73"/>
      <c r="BU1324" s="73"/>
      <c r="BV1324" s="73"/>
      <c r="BW1324" s="73"/>
      <c r="BX1324" s="73"/>
      <c r="BY1324" s="73"/>
      <c r="BZ1324" s="73"/>
      <c r="CA1324" s="73"/>
      <c r="CB1324" s="73"/>
      <c r="CC1324" s="73"/>
      <c r="CD1324" s="73"/>
      <c r="CE1324" s="73"/>
      <c r="CF1324" s="73"/>
      <c r="CG1324" s="73"/>
      <c r="CH1324" s="73"/>
    </row>
    <row r="1325">
      <c r="A1325" s="80"/>
      <c r="B1325" s="80"/>
      <c r="C1325" s="80"/>
      <c r="D1325" s="80"/>
      <c r="E1325" s="124"/>
      <c r="F1325" s="80"/>
      <c r="G1325" s="80"/>
      <c r="H1325" s="80"/>
      <c r="I1325" s="80"/>
      <c r="J1325" s="196"/>
      <c r="K1325" s="196"/>
      <c r="L1325" s="196"/>
      <c r="M1325" s="196"/>
      <c r="N1325" s="196"/>
      <c r="O1325" s="196"/>
      <c r="P1325" s="196"/>
      <c r="Q1325" s="196"/>
      <c r="R1325" s="196"/>
      <c r="S1325" s="196"/>
      <c r="T1325" s="196"/>
      <c r="U1325" s="196"/>
      <c r="V1325" s="196"/>
      <c r="W1325" s="196"/>
      <c r="X1325" s="196"/>
      <c r="Y1325" s="196"/>
      <c r="Z1325" s="196"/>
      <c r="AA1325" s="196"/>
      <c r="AB1325" s="196"/>
      <c r="AC1325" s="196"/>
      <c r="AD1325" s="196"/>
      <c r="AE1325" s="196"/>
      <c r="AF1325" s="196"/>
      <c r="AG1325" s="196"/>
      <c r="AH1325" s="196"/>
      <c r="AI1325" s="196"/>
      <c r="AJ1325" s="197"/>
      <c r="AK1325" s="80"/>
      <c r="AL1325" s="80"/>
      <c r="AM1325" s="73"/>
      <c r="AN1325" s="73"/>
      <c r="AO1325" s="73"/>
      <c r="AP1325" s="73"/>
      <c r="AQ1325" s="73"/>
      <c r="AR1325" s="73"/>
      <c r="AS1325" s="73"/>
      <c r="AT1325" s="73"/>
      <c r="AU1325" s="73"/>
      <c r="AV1325" s="73"/>
      <c r="AW1325" s="73"/>
      <c r="AX1325" s="73"/>
      <c r="AY1325" s="73"/>
      <c r="AZ1325" s="73"/>
      <c r="BA1325" s="73"/>
      <c r="BB1325" s="73"/>
      <c r="BC1325" s="73"/>
      <c r="BD1325" s="73"/>
      <c r="BE1325" s="73"/>
      <c r="BF1325" s="73"/>
      <c r="BG1325" s="73"/>
      <c r="BH1325" s="73"/>
      <c r="BI1325" s="73"/>
      <c r="BJ1325" s="73"/>
      <c r="BK1325" s="73"/>
      <c r="BL1325" s="73"/>
      <c r="BM1325" s="73"/>
      <c r="BN1325" s="73"/>
      <c r="BO1325" s="73"/>
      <c r="BP1325" s="73"/>
      <c r="BQ1325" s="73"/>
      <c r="BR1325" s="73"/>
      <c r="BS1325" s="73"/>
      <c r="BT1325" s="73"/>
      <c r="BU1325" s="73"/>
      <c r="BV1325" s="73"/>
      <c r="BW1325" s="73"/>
      <c r="BX1325" s="73"/>
      <c r="BY1325" s="73"/>
      <c r="BZ1325" s="73"/>
      <c r="CA1325" s="73"/>
      <c r="CB1325" s="73"/>
      <c r="CC1325" s="73"/>
      <c r="CD1325" s="73"/>
      <c r="CE1325" s="73"/>
      <c r="CF1325" s="73"/>
      <c r="CG1325" s="73"/>
      <c r="CH1325" s="73"/>
    </row>
    <row r="1326">
      <c r="A1326" s="80"/>
      <c r="B1326" s="80"/>
      <c r="C1326" s="80"/>
      <c r="D1326" s="80"/>
      <c r="E1326" s="124"/>
      <c r="F1326" s="80"/>
      <c r="G1326" s="80"/>
      <c r="H1326" s="80"/>
      <c r="I1326" s="80"/>
      <c r="J1326" s="196"/>
      <c r="K1326" s="196"/>
      <c r="L1326" s="196"/>
      <c r="M1326" s="196"/>
      <c r="N1326" s="196"/>
      <c r="O1326" s="196"/>
      <c r="P1326" s="196"/>
      <c r="Q1326" s="196"/>
      <c r="R1326" s="196"/>
      <c r="S1326" s="196"/>
      <c r="T1326" s="196"/>
      <c r="U1326" s="196"/>
      <c r="V1326" s="196"/>
      <c r="W1326" s="196"/>
      <c r="X1326" s="196"/>
      <c r="Y1326" s="196"/>
      <c r="Z1326" s="196"/>
      <c r="AA1326" s="196"/>
      <c r="AB1326" s="196"/>
      <c r="AC1326" s="196"/>
      <c r="AD1326" s="196"/>
      <c r="AE1326" s="196"/>
      <c r="AF1326" s="196"/>
      <c r="AG1326" s="196"/>
      <c r="AH1326" s="196"/>
      <c r="AI1326" s="196"/>
      <c r="AJ1326" s="197"/>
      <c r="AK1326" s="80"/>
      <c r="AL1326" s="80"/>
      <c r="AM1326" s="73"/>
      <c r="AN1326" s="73"/>
      <c r="AO1326" s="73"/>
      <c r="AP1326" s="73"/>
      <c r="AQ1326" s="73"/>
      <c r="AR1326" s="73"/>
      <c r="AS1326" s="73"/>
      <c r="AT1326" s="73"/>
      <c r="AU1326" s="73"/>
      <c r="AV1326" s="73"/>
      <c r="AW1326" s="73"/>
      <c r="AX1326" s="73"/>
      <c r="AY1326" s="73"/>
      <c r="AZ1326" s="73"/>
      <c r="BA1326" s="73"/>
      <c r="BB1326" s="73"/>
      <c r="BC1326" s="73"/>
      <c r="BD1326" s="73"/>
      <c r="BE1326" s="73"/>
      <c r="BF1326" s="73"/>
      <c r="BG1326" s="73"/>
      <c r="BH1326" s="73"/>
      <c r="BI1326" s="73"/>
      <c r="BJ1326" s="73"/>
      <c r="BK1326" s="73"/>
      <c r="BL1326" s="73"/>
      <c r="BM1326" s="73"/>
      <c r="BN1326" s="73"/>
      <c r="BO1326" s="73"/>
      <c r="BP1326" s="73"/>
      <c r="BQ1326" s="73"/>
      <c r="BR1326" s="73"/>
      <c r="BS1326" s="73"/>
      <c r="BT1326" s="73"/>
      <c r="BU1326" s="73"/>
      <c r="BV1326" s="73"/>
      <c r="BW1326" s="73"/>
      <c r="BX1326" s="73"/>
      <c r="BY1326" s="73"/>
      <c r="BZ1326" s="73"/>
      <c r="CA1326" s="73"/>
      <c r="CB1326" s="73"/>
      <c r="CC1326" s="73"/>
      <c r="CD1326" s="73"/>
      <c r="CE1326" s="73"/>
      <c r="CF1326" s="73"/>
      <c r="CG1326" s="73"/>
      <c r="CH1326" s="73"/>
    </row>
    <row r="1327">
      <c r="A1327" s="80"/>
      <c r="B1327" s="80"/>
      <c r="C1327" s="80"/>
      <c r="D1327" s="80"/>
      <c r="E1327" s="124"/>
      <c r="F1327" s="80"/>
      <c r="G1327" s="80"/>
      <c r="H1327" s="80"/>
      <c r="I1327" s="80"/>
      <c r="J1327" s="196"/>
      <c r="K1327" s="196"/>
      <c r="L1327" s="196"/>
      <c r="M1327" s="196"/>
      <c r="N1327" s="196"/>
      <c r="O1327" s="196"/>
      <c r="P1327" s="196"/>
      <c r="Q1327" s="196"/>
      <c r="R1327" s="196"/>
      <c r="S1327" s="196"/>
      <c r="T1327" s="196"/>
      <c r="U1327" s="196"/>
      <c r="V1327" s="196"/>
      <c r="W1327" s="196"/>
      <c r="X1327" s="196"/>
      <c r="Y1327" s="196"/>
      <c r="Z1327" s="196"/>
      <c r="AA1327" s="196"/>
      <c r="AB1327" s="196"/>
      <c r="AC1327" s="196"/>
      <c r="AD1327" s="196"/>
      <c r="AE1327" s="196"/>
      <c r="AF1327" s="196"/>
      <c r="AG1327" s="196"/>
      <c r="AH1327" s="196"/>
      <c r="AI1327" s="196"/>
      <c r="AJ1327" s="197"/>
      <c r="AK1327" s="80"/>
      <c r="AL1327" s="80"/>
      <c r="AM1327" s="73"/>
      <c r="AN1327" s="73"/>
      <c r="AO1327" s="73"/>
      <c r="AP1327" s="73"/>
      <c r="AQ1327" s="73"/>
      <c r="AR1327" s="73"/>
      <c r="AS1327" s="73"/>
      <c r="AT1327" s="73"/>
      <c r="AU1327" s="73"/>
      <c r="AV1327" s="73"/>
      <c r="AW1327" s="73"/>
      <c r="AX1327" s="73"/>
      <c r="AY1327" s="73"/>
      <c r="AZ1327" s="73"/>
      <c r="BA1327" s="73"/>
      <c r="BB1327" s="73"/>
      <c r="BC1327" s="73"/>
      <c r="BD1327" s="73"/>
      <c r="BE1327" s="73"/>
      <c r="BF1327" s="73"/>
      <c r="BG1327" s="73"/>
      <c r="BH1327" s="73"/>
      <c r="BI1327" s="73"/>
      <c r="BJ1327" s="73"/>
      <c r="BK1327" s="73"/>
      <c r="BL1327" s="73"/>
      <c r="BM1327" s="73"/>
      <c r="BN1327" s="73"/>
      <c r="BO1327" s="73"/>
      <c r="BP1327" s="73"/>
      <c r="BQ1327" s="73"/>
      <c r="BR1327" s="73"/>
      <c r="BS1327" s="73"/>
      <c r="BT1327" s="73"/>
      <c r="BU1327" s="73"/>
      <c r="BV1327" s="73"/>
      <c r="BW1327" s="73"/>
      <c r="BX1327" s="73"/>
      <c r="BY1327" s="73"/>
      <c r="BZ1327" s="73"/>
      <c r="CA1327" s="73"/>
      <c r="CB1327" s="73"/>
      <c r="CC1327" s="73"/>
      <c r="CD1327" s="73"/>
      <c r="CE1327" s="73"/>
      <c r="CF1327" s="73"/>
      <c r="CG1327" s="73"/>
      <c r="CH1327" s="73"/>
    </row>
    <row r="1328">
      <c r="A1328" s="80"/>
      <c r="B1328" s="80"/>
      <c r="C1328" s="80"/>
      <c r="D1328" s="80"/>
      <c r="E1328" s="124"/>
      <c r="F1328" s="80"/>
      <c r="G1328" s="80"/>
      <c r="H1328" s="80"/>
      <c r="I1328" s="80"/>
      <c r="J1328" s="196"/>
      <c r="K1328" s="196"/>
      <c r="L1328" s="196"/>
      <c r="M1328" s="196"/>
      <c r="N1328" s="196"/>
      <c r="O1328" s="196"/>
      <c r="P1328" s="196"/>
      <c r="Q1328" s="196"/>
      <c r="R1328" s="196"/>
      <c r="S1328" s="196"/>
      <c r="T1328" s="196"/>
      <c r="U1328" s="196"/>
      <c r="V1328" s="196"/>
      <c r="W1328" s="196"/>
      <c r="X1328" s="196"/>
      <c r="Y1328" s="196"/>
      <c r="Z1328" s="196"/>
      <c r="AA1328" s="196"/>
      <c r="AB1328" s="196"/>
      <c r="AC1328" s="196"/>
      <c r="AD1328" s="196"/>
      <c r="AE1328" s="196"/>
      <c r="AF1328" s="196"/>
      <c r="AG1328" s="196"/>
      <c r="AH1328" s="196"/>
      <c r="AI1328" s="196"/>
      <c r="AJ1328" s="197"/>
      <c r="AK1328" s="80"/>
      <c r="AL1328" s="80"/>
      <c r="AM1328" s="73"/>
      <c r="AN1328" s="73"/>
      <c r="AO1328" s="73"/>
      <c r="AP1328" s="73"/>
      <c r="AQ1328" s="73"/>
      <c r="AR1328" s="73"/>
      <c r="AS1328" s="73"/>
      <c r="AT1328" s="73"/>
      <c r="AU1328" s="73"/>
      <c r="AV1328" s="73"/>
      <c r="AW1328" s="73"/>
      <c r="AX1328" s="73"/>
      <c r="AY1328" s="73"/>
      <c r="AZ1328" s="73"/>
      <c r="BA1328" s="73"/>
      <c r="BB1328" s="73"/>
      <c r="BC1328" s="73"/>
      <c r="BD1328" s="73"/>
      <c r="BE1328" s="73"/>
      <c r="BF1328" s="73"/>
      <c r="BG1328" s="73"/>
      <c r="BH1328" s="73"/>
      <c r="BI1328" s="73"/>
      <c r="BJ1328" s="73"/>
      <c r="BK1328" s="73"/>
      <c r="BL1328" s="73"/>
      <c r="BM1328" s="73"/>
      <c r="BN1328" s="73"/>
      <c r="BO1328" s="73"/>
      <c r="BP1328" s="73"/>
      <c r="BQ1328" s="73"/>
      <c r="BR1328" s="73"/>
      <c r="BS1328" s="73"/>
      <c r="BT1328" s="73"/>
      <c r="BU1328" s="73"/>
      <c r="BV1328" s="73"/>
      <c r="BW1328" s="73"/>
      <c r="BX1328" s="73"/>
      <c r="BY1328" s="73"/>
      <c r="BZ1328" s="73"/>
      <c r="CA1328" s="73"/>
      <c r="CB1328" s="73"/>
      <c r="CC1328" s="73"/>
      <c r="CD1328" s="73"/>
      <c r="CE1328" s="73"/>
      <c r="CF1328" s="73"/>
      <c r="CG1328" s="73"/>
      <c r="CH1328" s="73"/>
    </row>
    <row r="1329">
      <c r="A1329" s="80"/>
      <c r="B1329" s="80"/>
      <c r="C1329" s="80"/>
      <c r="D1329" s="80"/>
      <c r="E1329" s="124"/>
      <c r="F1329" s="80"/>
      <c r="G1329" s="80"/>
      <c r="H1329" s="80"/>
      <c r="I1329" s="80"/>
      <c r="J1329" s="196"/>
      <c r="K1329" s="196"/>
      <c r="L1329" s="196"/>
      <c r="M1329" s="196"/>
      <c r="N1329" s="196"/>
      <c r="O1329" s="196"/>
      <c r="P1329" s="196"/>
      <c r="Q1329" s="196"/>
      <c r="R1329" s="196"/>
      <c r="S1329" s="196"/>
      <c r="T1329" s="196"/>
      <c r="U1329" s="196"/>
      <c r="V1329" s="196"/>
      <c r="W1329" s="196"/>
      <c r="X1329" s="196"/>
      <c r="Y1329" s="196"/>
      <c r="Z1329" s="196"/>
      <c r="AA1329" s="196"/>
      <c r="AB1329" s="196"/>
      <c r="AC1329" s="196"/>
      <c r="AD1329" s="196"/>
      <c r="AE1329" s="196"/>
      <c r="AF1329" s="196"/>
      <c r="AG1329" s="196"/>
      <c r="AH1329" s="196"/>
      <c r="AI1329" s="196"/>
      <c r="AJ1329" s="197"/>
      <c r="AK1329" s="80"/>
      <c r="AL1329" s="80"/>
      <c r="AM1329" s="73"/>
      <c r="AN1329" s="73"/>
      <c r="AO1329" s="73"/>
      <c r="AP1329" s="73"/>
      <c r="AQ1329" s="73"/>
      <c r="AR1329" s="73"/>
      <c r="AS1329" s="73"/>
      <c r="AT1329" s="73"/>
      <c r="AU1329" s="73"/>
      <c r="AV1329" s="73"/>
      <c r="AW1329" s="73"/>
      <c r="AX1329" s="73"/>
      <c r="AY1329" s="73"/>
      <c r="AZ1329" s="73"/>
      <c r="BA1329" s="73"/>
      <c r="BB1329" s="73"/>
      <c r="BC1329" s="73"/>
      <c r="BD1329" s="73"/>
      <c r="BE1329" s="73"/>
      <c r="BF1329" s="73"/>
      <c r="BG1329" s="73"/>
      <c r="BH1329" s="73"/>
      <c r="BI1329" s="73"/>
      <c r="BJ1329" s="73"/>
      <c r="BK1329" s="73"/>
      <c r="BL1329" s="73"/>
      <c r="BM1329" s="73"/>
      <c r="BN1329" s="73"/>
      <c r="BO1329" s="73"/>
      <c r="BP1329" s="73"/>
      <c r="BQ1329" s="73"/>
      <c r="BR1329" s="73"/>
      <c r="BS1329" s="73"/>
      <c r="BT1329" s="73"/>
      <c r="BU1329" s="73"/>
      <c r="BV1329" s="73"/>
      <c r="BW1329" s="73"/>
      <c r="BX1329" s="73"/>
      <c r="BY1329" s="73"/>
      <c r="BZ1329" s="73"/>
      <c r="CA1329" s="73"/>
      <c r="CB1329" s="73"/>
      <c r="CC1329" s="73"/>
      <c r="CD1329" s="73"/>
      <c r="CE1329" s="73"/>
      <c r="CF1329" s="73"/>
      <c r="CG1329" s="73"/>
      <c r="CH1329" s="73"/>
    </row>
    <row r="1330">
      <c r="A1330" s="80"/>
      <c r="B1330" s="80"/>
      <c r="C1330" s="80"/>
      <c r="D1330" s="80"/>
      <c r="E1330" s="124"/>
      <c r="F1330" s="80"/>
      <c r="G1330" s="80"/>
      <c r="H1330" s="80"/>
      <c r="I1330" s="80"/>
      <c r="J1330" s="196"/>
      <c r="K1330" s="196"/>
      <c r="L1330" s="196"/>
      <c r="M1330" s="196"/>
      <c r="N1330" s="196"/>
      <c r="O1330" s="196"/>
      <c r="P1330" s="196"/>
      <c r="Q1330" s="196"/>
      <c r="R1330" s="196"/>
      <c r="S1330" s="196"/>
      <c r="T1330" s="196"/>
      <c r="U1330" s="196"/>
      <c r="V1330" s="196"/>
      <c r="W1330" s="196"/>
      <c r="X1330" s="196"/>
      <c r="Y1330" s="196"/>
      <c r="Z1330" s="196"/>
      <c r="AA1330" s="196"/>
      <c r="AB1330" s="196"/>
      <c r="AC1330" s="196"/>
      <c r="AD1330" s="196"/>
      <c r="AE1330" s="196"/>
      <c r="AF1330" s="196"/>
      <c r="AG1330" s="196"/>
      <c r="AH1330" s="196"/>
      <c r="AI1330" s="196"/>
      <c r="AJ1330" s="197"/>
      <c r="AK1330" s="80"/>
      <c r="AL1330" s="80"/>
      <c r="AM1330" s="73"/>
      <c r="AN1330" s="73"/>
      <c r="AO1330" s="73"/>
      <c r="AP1330" s="73"/>
      <c r="AQ1330" s="73"/>
      <c r="AR1330" s="73"/>
      <c r="AS1330" s="73"/>
      <c r="AT1330" s="73"/>
      <c r="AU1330" s="73"/>
      <c r="AV1330" s="73"/>
      <c r="AW1330" s="73"/>
      <c r="AX1330" s="73"/>
      <c r="AY1330" s="73"/>
      <c r="AZ1330" s="73"/>
      <c r="BA1330" s="73"/>
      <c r="BB1330" s="73"/>
      <c r="BC1330" s="73"/>
      <c r="BD1330" s="73"/>
      <c r="BE1330" s="73"/>
      <c r="BF1330" s="73"/>
      <c r="BG1330" s="73"/>
      <c r="BH1330" s="73"/>
      <c r="BI1330" s="73"/>
      <c r="BJ1330" s="73"/>
      <c r="BK1330" s="73"/>
      <c r="BL1330" s="73"/>
      <c r="BM1330" s="73"/>
      <c r="BN1330" s="73"/>
      <c r="BO1330" s="73"/>
      <c r="BP1330" s="73"/>
      <c r="BQ1330" s="73"/>
      <c r="BR1330" s="73"/>
      <c r="BS1330" s="73"/>
      <c r="BT1330" s="73"/>
      <c r="BU1330" s="73"/>
      <c r="BV1330" s="73"/>
      <c r="BW1330" s="73"/>
      <c r="BX1330" s="73"/>
      <c r="BY1330" s="73"/>
      <c r="BZ1330" s="73"/>
      <c r="CA1330" s="73"/>
      <c r="CB1330" s="73"/>
      <c r="CC1330" s="73"/>
      <c r="CD1330" s="73"/>
      <c r="CE1330" s="73"/>
      <c r="CF1330" s="73"/>
      <c r="CG1330" s="73"/>
      <c r="CH1330" s="73"/>
    </row>
    <row r="1331">
      <c r="A1331" s="80"/>
      <c r="B1331" s="80"/>
      <c r="C1331" s="80"/>
      <c r="D1331" s="80"/>
      <c r="E1331" s="124"/>
      <c r="F1331" s="80"/>
      <c r="G1331" s="80"/>
      <c r="H1331" s="80"/>
      <c r="I1331" s="80"/>
      <c r="J1331" s="196"/>
      <c r="K1331" s="196"/>
      <c r="L1331" s="196"/>
      <c r="M1331" s="196"/>
      <c r="N1331" s="196"/>
      <c r="O1331" s="196"/>
      <c r="P1331" s="196"/>
      <c r="Q1331" s="196"/>
      <c r="R1331" s="196"/>
      <c r="S1331" s="196"/>
      <c r="T1331" s="196"/>
      <c r="U1331" s="196"/>
      <c r="V1331" s="196"/>
      <c r="W1331" s="196"/>
      <c r="X1331" s="196"/>
      <c r="Y1331" s="196"/>
      <c r="Z1331" s="196"/>
      <c r="AA1331" s="196"/>
      <c r="AB1331" s="196"/>
      <c r="AC1331" s="196"/>
      <c r="AD1331" s="196"/>
      <c r="AE1331" s="196"/>
      <c r="AF1331" s="196"/>
      <c r="AG1331" s="196"/>
      <c r="AH1331" s="196"/>
      <c r="AI1331" s="196"/>
      <c r="AJ1331" s="197"/>
      <c r="AK1331" s="80"/>
      <c r="AL1331" s="80"/>
      <c r="AM1331" s="73"/>
      <c r="AN1331" s="73"/>
      <c r="AO1331" s="73"/>
      <c r="AP1331" s="73"/>
      <c r="AQ1331" s="73"/>
      <c r="AR1331" s="73"/>
      <c r="AS1331" s="73"/>
      <c r="AT1331" s="73"/>
      <c r="AU1331" s="73"/>
      <c r="AV1331" s="73"/>
      <c r="AW1331" s="73"/>
      <c r="AX1331" s="73"/>
      <c r="AY1331" s="73"/>
      <c r="AZ1331" s="73"/>
      <c r="BA1331" s="73"/>
      <c r="BB1331" s="73"/>
      <c r="BC1331" s="73"/>
      <c r="BD1331" s="73"/>
      <c r="BE1331" s="73"/>
      <c r="BF1331" s="73"/>
      <c r="BG1331" s="73"/>
      <c r="BH1331" s="73"/>
      <c r="BI1331" s="73"/>
      <c r="BJ1331" s="73"/>
      <c r="BK1331" s="73"/>
      <c r="BL1331" s="73"/>
      <c r="BM1331" s="73"/>
      <c r="BN1331" s="73"/>
      <c r="BO1331" s="73"/>
      <c r="BP1331" s="73"/>
      <c r="BQ1331" s="73"/>
      <c r="BR1331" s="73"/>
      <c r="BS1331" s="73"/>
      <c r="BT1331" s="73"/>
      <c r="BU1331" s="73"/>
      <c r="BV1331" s="73"/>
      <c r="BW1331" s="73"/>
      <c r="BX1331" s="73"/>
      <c r="BY1331" s="73"/>
      <c r="BZ1331" s="73"/>
      <c r="CA1331" s="73"/>
      <c r="CB1331" s="73"/>
      <c r="CC1331" s="73"/>
      <c r="CD1331" s="73"/>
      <c r="CE1331" s="73"/>
      <c r="CF1331" s="73"/>
      <c r="CG1331" s="73"/>
      <c r="CH1331" s="73"/>
    </row>
    <row r="1332">
      <c r="A1332" s="80"/>
      <c r="B1332" s="80"/>
      <c r="C1332" s="80"/>
      <c r="D1332" s="80"/>
      <c r="E1332" s="124"/>
      <c r="F1332" s="80"/>
      <c r="G1332" s="80"/>
      <c r="H1332" s="80"/>
      <c r="I1332" s="80"/>
      <c r="J1332" s="196"/>
      <c r="K1332" s="196"/>
      <c r="L1332" s="196"/>
      <c r="M1332" s="196"/>
      <c r="N1332" s="196"/>
      <c r="O1332" s="196"/>
      <c r="P1332" s="196"/>
      <c r="Q1332" s="196"/>
      <c r="R1332" s="196"/>
      <c r="S1332" s="196"/>
      <c r="T1332" s="196"/>
      <c r="U1332" s="196"/>
      <c r="V1332" s="196"/>
      <c r="W1332" s="196"/>
      <c r="X1332" s="196"/>
      <c r="Y1332" s="196"/>
      <c r="Z1332" s="196"/>
      <c r="AA1332" s="196"/>
      <c r="AB1332" s="196"/>
      <c r="AC1332" s="196"/>
      <c r="AD1332" s="196"/>
      <c r="AE1332" s="196"/>
      <c r="AF1332" s="196"/>
      <c r="AG1332" s="196"/>
      <c r="AH1332" s="196"/>
      <c r="AI1332" s="196"/>
      <c r="AJ1332" s="197"/>
      <c r="AK1332" s="80"/>
      <c r="AL1332" s="80"/>
      <c r="AM1332" s="73"/>
      <c r="AN1332" s="73"/>
      <c r="AO1332" s="73"/>
      <c r="AP1332" s="73"/>
      <c r="AQ1332" s="73"/>
      <c r="AR1332" s="73"/>
      <c r="AS1332" s="73"/>
      <c r="AT1332" s="73"/>
      <c r="AU1332" s="73"/>
      <c r="AV1332" s="73"/>
      <c r="AW1332" s="73"/>
      <c r="AX1332" s="73"/>
      <c r="AY1332" s="73"/>
      <c r="AZ1332" s="73"/>
      <c r="BA1332" s="73"/>
      <c r="BB1332" s="73"/>
      <c r="BC1332" s="73"/>
      <c r="BD1332" s="73"/>
      <c r="BE1332" s="73"/>
      <c r="BF1332" s="73"/>
      <c r="BG1332" s="73"/>
      <c r="BH1332" s="73"/>
      <c r="BI1332" s="73"/>
      <c r="BJ1332" s="73"/>
      <c r="BK1332" s="73"/>
      <c r="BL1332" s="73"/>
      <c r="BM1332" s="73"/>
      <c r="BN1332" s="73"/>
      <c r="BO1332" s="73"/>
      <c r="BP1332" s="73"/>
      <c r="BQ1332" s="73"/>
      <c r="BR1332" s="73"/>
      <c r="BS1332" s="73"/>
      <c r="BT1332" s="73"/>
      <c r="BU1332" s="73"/>
      <c r="BV1332" s="73"/>
      <c r="BW1332" s="73"/>
      <c r="BX1332" s="73"/>
      <c r="BY1332" s="73"/>
      <c r="BZ1332" s="73"/>
      <c r="CA1332" s="73"/>
      <c r="CB1332" s="73"/>
      <c r="CC1332" s="73"/>
      <c r="CD1332" s="73"/>
      <c r="CE1332" s="73"/>
      <c r="CF1332" s="73"/>
      <c r="CG1332" s="73"/>
      <c r="CH1332" s="73"/>
    </row>
    <row r="1333">
      <c r="A1333" s="80"/>
      <c r="B1333" s="80"/>
      <c r="C1333" s="80"/>
      <c r="D1333" s="80"/>
      <c r="E1333" s="124"/>
      <c r="F1333" s="80"/>
      <c r="G1333" s="80"/>
      <c r="H1333" s="80"/>
      <c r="I1333" s="80"/>
      <c r="J1333" s="196"/>
      <c r="K1333" s="196"/>
      <c r="L1333" s="196"/>
      <c r="M1333" s="196"/>
      <c r="N1333" s="196"/>
      <c r="O1333" s="196"/>
      <c r="P1333" s="196"/>
      <c r="Q1333" s="196"/>
      <c r="R1333" s="196"/>
      <c r="S1333" s="196"/>
      <c r="T1333" s="196"/>
      <c r="U1333" s="196"/>
      <c r="V1333" s="196"/>
      <c r="W1333" s="196"/>
      <c r="X1333" s="196"/>
      <c r="Y1333" s="196"/>
      <c r="Z1333" s="196"/>
      <c r="AA1333" s="196"/>
      <c r="AB1333" s="196"/>
      <c r="AC1333" s="196"/>
      <c r="AD1333" s="196"/>
      <c r="AE1333" s="196"/>
      <c r="AF1333" s="196"/>
      <c r="AG1333" s="196"/>
      <c r="AH1333" s="196"/>
      <c r="AI1333" s="196"/>
      <c r="AJ1333" s="197"/>
      <c r="AK1333" s="80"/>
      <c r="AL1333" s="80"/>
      <c r="AM1333" s="73"/>
      <c r="AN1333" s="73"/>
      <c r="AO1333" s="73"/>
      <c r="AP1333" s="73"/>
      <c r="AQ1333" s="73"/>
      <c r="AR1333" s="73"/>
      <c r="AS1333" s="73"/>
      <c r="AT1333" s="73"/>
      <c r="AU1333" s="73"/>
      <c r="AV1333" s="73"/>
      <c r="AW1333" s="73"/>
      <c r="AX1333" s="73"/>
      <c r="AY1333" s="73"/>
      <c r="AZ1333" s="73"/>
      <c r="BA1333" s="73"/>
      <c r="BB1333" s="73"/>
      <c r="BC1333" s="73"/>
      <c r="BD1333" s="73"/>
      <c r="BE1333" s="73"/>
      <c r="BF1333" s="73"/>
      <c r="BG1333" s="73"/>
      <c r="BH1333" s="73"/>
      <c r="BI1333" s="73"/>
      <c r="BJ1333" s="73"/>
      <c r="BK1333" s="73"/>
      <c r="BL1333" s="73"/>
      <c r="BM1333" s="73"/>
      <c r="BN1333" s="73"/>
      <c r="BO1333" s="73"/>
      <c r="BP1333" s="73"/>
      <c r="BQ1333" s="73"/>
      <c r="BR1333" s="73"/>
      <c r="BS1333" s="73"/>
      <c r="BT1333" s="73"/>
      <c r="BU1333" s="73"/>
      <c r="BV1333" s="73"/>
      <c r="BW1333" s="73"/>
      <c r="BX1333" s="73"/>
      <c r="BY1333" s="73"/>
      <c r="BZ1333" s="73"/>
      <c r="CA1333" s="73"/>
      <c r="CB1333" s="73"/>
      <c r="CC1333" s="73"/>
      <c r="CD1333" s="73"/>
      <c r="CE1333" s="73"/>
      <c r="CF1333" s="73"/>
      <c r="CG1333" s="73"/>
      <c r="CH1333" s="73"/>
    </row>
    <row r="1334">
      <c r="A1334" s="80"/>
      <c r="B1334" s="80"/>
      <c r="C1334" s="80"/>
      <c r="D1334" s="80"/>
      <c r="E1334" s="124"/>
      <c r="F1334" s="80"/>
      <c r="G1334" s="80"/>
      <c r="H1334" s="80"/>
      <c r="I1334" s="80"/>
      <c r="J1334" s="196"/>
      <c r="K1334" s="196"/>
      <c r="L1334" s="196"/>
      <c r="M1334" s="196"/>
      <c r="N1334" s="196"/>
      <c r="O1334" s="196"/>
      <c r="P1334" s="196"/>
      <c r="Q1334" s="196"/>
      <c r="R1334" s="196"/>
      <c r="S1334" s="196"/>
      <c r="T1334" s="196"/>
      <c r="U1334" s="196"/>
      <c r="V1334" s="196"/>
      <c r="W1334" s="196"/>
      <c r="X1334" s="196"/>
      <c r="Y1334" s="196"/>
      <c r="Z1334" s="196"/>
      <c r="AA1334" s="196"/>
      <c r="AB1334" s="196"/>
      <c r="AC1334" s="196"/>
      <c r="AD1334" s="196"/>
      <c r="AE1334" s="196"/>
      <c r="AF1334" s="196"/>
      <c r="AG1334" s="196"/>
      <c r="AH1334" s="196"/>
      <c r="AI1334" s="196"/>
      <c r="AJ1334" s="197"/>
      <c r="AK1334" s="80"/>
      <c r="AL1334" s="80"/>
      <c r="AM1334" s="73"/>
      <c r="AN1334" s="73"/>
      <c r="AO1334" s="73"/>
      <c r="AP1334" s="73"/>
      <c r="AQ1334" s="73"/>
      <c r="AR1334" s="73"/>
      <c r="AS1334" s="73"/>
      <c r="AT1334" s="73"/>
      <c r="AU1334" s="73"/>
      <c r="AV1334" s="73"/>
      <c r="AW1334" s="73"/>
      <c r="AX1334" s="73"/>
      <c r="AY1334" s="73"/>
      <c r="AZ1334" s="73"/>
      <c r="BA1334" s="73"/>
      <c r="BB1334" s="73"/>
      <c r="BC1334" s="73"/>
      <c r="BD1334" s="73"/>
      <c r="BE1334" s="73"/>
      <c r="BF1334" s="73"/>
      <c r="BG1334" s="73"/>
      <c r="BH1334" s="73"/>
      <c r="BI1334" s="73"/>
      <c r="BJ1334" s="73"/>
      <c r="BK1334" s="73"/>
      <c r="BL1334" s="73"/>
      <c r="BM1334" s="73"/>
      <c r="BN1334" s="73"/>
      <c r="BO1334" s="73"/>
      <c r="BP1334" s="73"/>
      <c r="BQ1334" s="73"/>
      <c r="BR1334" s="73"/>
      <c r="BS1334" s="73"/>
      <c r="BT1334" s="73"/>
      <c r="BU1334" s="73"/>
      <c r="BV1334" s="73"/>
      <c r="BW1334" s="73"/>
      <c r="BX1334" s="73"/>
      <c r="BY1334" s="73"/>
      <c r="BZ1334" s="73"/>
      <c r="CA1334" s="73"/>
      <c r="CB1334" s="73"/>
      <c r="CC1334" s="73"/>
      <c r="CD1334" s="73"/>
      <c r="CE1334" s="73"/>
      <c r="CF1334" s="73"/>
      <c r="CG1334" s="73"/>
      <c r="CH1334" s="73"/>
    </row>
    <row r="1335">
      <c r="A1335" s="80"/>
      <c r="B1335" s="80"/>
      <c r="C1335" s="80"/>
      <c r="D1335" s="80"/>
      <c r="E1335" s="124"/>
      <c r="F1335" s="80"/>
      <c r="G1335" s="80"/>
      <c r="H1335" s="80"/>
      <c r="I1335" s="80"/>
      <c r="J1335" s="196"/>
      <c r="K1335" s="196"/>
      <c r="L1335" s="196"/>
      <c r="M1335" s="196"/>
      <c r="N1335" s="196"/>
      <c r="O1335" s="196"/>
      <c r="P1335" s="196"/>
      <c r="Q1335" s="196"/>
      <c r="R1335" s="196"/>
      <c r="S1335" s="196"/>
      <c r="T1335" s="196"/>
      <c r="U1335" s="196"/>
      <c r="V1335" s="196"/>
      <c r="W1335" s="196"/>
      <c r="X1335" s="196"/>
      <c r="Y1335" s="196"/>
      <c r="Z1335" s="196"/>
      <c r="AA1335" s="196"/>
      <c r="AB1335" s="196"/>
      <c r="AC1335" s="196"/>
      <c r="AD1335" s="196"/>
      <c r="AE1335" s="196"/>
      <c r="AF1335" s="196"/>
      <c r="AG1335" s="196"/>
      <c r="AH1335" s="196"/>
      <c r="AI1335" s="196"/>
      <c r="AJ1335" s="197"/>
      <c r="AK1335" s="80"/>
      <c r="AL1335" s="80"/>
      <c r="AM1335" s="73"/>
      <c r="AN1335" s="73"/>
      <c r="AO1335" s="73"/>
      <c r="AP1335" s="73"/>
      <c r="AQ1335" s="73"/>
      <c r="AR1335" s="73"/>
      <c r="AS1335" s="73"/>
      <c r="AT1335" s="73"/>
      <c r="AU1335" s="73"/>
      <c r="AV1335" s="73"/>
      <c r="AW1335" s="73"/>
      <c r="AX1335" s="73"/>
      <c r="AY1335" s="73"/>
      <c r="AZ1335" s="73"/>
      <c r="BA1335" s="73"/>
      <c r="BB1335" s="73"/>
      <c r="BC1335" s="73"/>
      <c r="BD1335" s="73"/>
      <c r="BE1335" s="73"/>
      <c r="BF1335" s="73"/>
      <c r="BG1335" s="73"/>
      <c r="BH1335" s="73"/>
      <c r="BI1335" s="73"/>
      <c r="BJ1335" s="73"/>
      <c r="BK1335" s="73"/>
      <c r="BL1335" s="73"/>
      <c r="BM1335" s="73"/>
      <c r="BN1335" s="73"/>
      <c r="BO1335" s="73"/>
      <c r="BP1335" s="73"/>
      <c r="BQ1335" s="73"/>
      <c r="BR1335" s="73"/>
      <c r="BS1335" s="73"/>
      <c r="BT1335" s="73"/>
      <c r="BU1335" s="73"/>
      <c r="BV1335" s="73"/>
      <c r="BW1335" s="73"/>
      <c r="BX1335" s="73"/>
      <c r="BY1335" s="73"/>
      <c r="BZ1335" s="73"/>
      <c r="CA1335" s="73"/>
      <c r="CB1335" s="73"/>
      <c r="CC1335" s="73"/>
      <c r="CD1335" s="73"/>
      <c r="CE1335" s="73"/>
      <c r="CF1335" s="73"/>
      <c r="CG1335" s="73"/>
      <c r="CH1335" s="73"/>
    </row>
    <row r="1336">
      <c r="A1336" s="80"/>
      <c r="B1336" s="80"/>
      <c r="C1336" s="80"/>
      <c r="D1336" s="80"/>
      <c r="E1336" s="124"/>
      <c r="F1336" s="80"/>
      <c r="G1336" s="80"/>
      <c r="H1336" s="80"/>
      <c r="I1336" s="80"/>
      <c r="J1336" s="196"/>
      <c r="K1336" s="196"/>
      <c r="L1336" s="196"/>
      <c r="M1336" s="196"/>
      <c r="N1336" s="196"/>
      <c r="O1336" s="196"/>
      <c r="P1336" s="196"/>
      <c r="Q1336" s="196"/>
      <c r="R1336" s="196"/>
      <c r="S1336" s="196"/>
      <c r="T1336" s="196"/>
      <c r="U1336" s="196"/>
      <c r="V1336" s="196"/>
      <c r="W1336" s="196"/>
      <c r="X1336" s="196"/>
      <c r="Y1336" s="196"/>
      <c r="Z1336" s="196"/>
      <c r="AA1336" s="196"/>
      <c r="AB1336" s="196"/>
      <c r="AC1336" s="196"/>
      <c r="AD1336" s="196"/>
      <c r="AE1336" s="196"/>
      <c r="AF1336" s="196"/>
      <c r="AG1336" s="196"/>
      <c r="AH1336" s="196"/>
      <c r="AI1336" s="196"/>
      <c r="AJ1336" s="197"/>
      <c r="AK1336" s="80"/>
      <c r="AL1336" s="80"/>
      <c r="AM1336" s="73"/>
      <c r="AN1336" s="73"/>
      <c r="AO1336" s="73"/>
      <c r="AP1336" s="73"/>
      <c r="AQ1336" s="73"/>
      <c r="AR1336" s="73"/>
      <c r="AS1336" s="73"/>
      <c r="AT1336" s="73"/>
      <c r="AU1336" s="73"/>
      <c r="AV1336" s="73"/>
      <c r="AW1336" s="73"/>
      <c r="AX1336" s="73"/>
      <c r="AY1336" s="73"/>
      <c r="AZ1336" s="73"/>
      <c r="BA1336" s="73"/>
      <c r="BB1336" s="73"/>
      <c r="BC1336" s="73"/>
      <c r="BD1336" s="73"/>
      <c r="BE1336" s="73"/>
      <c r="BF1336" s="73"/>
      <c r="BG1336" s="73"/>
      <c r="BH1336" s="73"/>
      <c r="BI1336" s="73"/>
      <c r="BJ1336" s="73"/>
      <c r="BK1336" s="73"/>
      <c r="BL1336" s="73"/>
      <c r="BM1336" s="73"/>
      <c r="BN1336" s="73"/>
      <c r="BO1336" s="73"/>
      <c r="BP1336" s="73"/>
      <c r="BQ1336" s="73"/>
      <c r="BR1336" s="73"/>
      <c r="BS1336" s="73"/>
      <c r="BT1336" s="73"/>
      <c r="BU1336" s="73"/>
      <c r="BV1336" s="73"/>
      <c r="BW1336" s="73"/>
      <c r="BX1336" s="73"/>
      <c r="BY1336" s="73"/>
      <c r="BZ1336" s="73"/>
      <c r="CA1336" s="73"/>
      <c r="CB1336" s="73"/>
      <c r="CC1336" s="73"/>
      <c r="CD1336" s="73"/>
      <c r="CE1336" s="73"/>
      <c r="CF1336" s="73"/>
      <c r="CG1336" s="73"/>
      <c r="CH1336" s="73"/>
    </row>
    <row r="1337">
      <c r="A1337" s="80"/>
      <c r="B1337" s="80"/>
      <c r="C1337" s="80"/>
      <c r="D1337" s="80"/>
      <c r="E1337" s="124"/>
      <c r="F1337" s="80"/>
      <c r="G1337" s="80"/>
      <c r="H1337" s="80"/>
      <c r="I1337" s="80"/>
      <c r="J1337" s="196"/>
      <c r="K1337" s="196"/>
      <c r="L1337" s="196"/>
      <c r="M1337" s="196"/>
      <c r="N1337" s="196"/>
      <c r="O1337" s="196"/>
      <c r="P1337" s="196"/>
      <c r="Q1337" s="196"/>
      <c r="R1337" s="196"/>
      <c r="S1337" s="196"/>
      <c r="T1337" s="196"/>
      <c r="U1337" s="196"/>
      <c r="V1337" s="196"/>
      <c r="W1337" s="196"/>
      <c r="X1337" s="196"/>
      <c r="Y1337" s="196"/>
      <c r="Z1337" s="196"/>
      <c r="AA1337" s="196"/>
      <c r="AB1337" s="196"/>
      <c r="AC1337" s="196"/>
      <c r="AD1337" s="196"/>
      <c r="AE1337" s="196"/>
      <c r="AF1337" s="196"/>
      <c r="AG1337" s="196"/>
      <c r="AH1337" s="196"/>
      <c r="AI1337" s="196"/>
      <c r="AJ1337" s="197"/>
      <c r="AK1337" s="80"/>
      <c r="AL1337" s="80"/>
      <c r="AM1337" s="73"/>
      <c r="AN1337" s="73"/>
      <c r="AO1337" s="73"/>
      <c r="AP1337" s="73"/>
      <c r="AQ1337" s="73"/>
      <c r="AR1337" s="73"/>
      <c r="AS1337" s="73"/>
      <c r="AT1337" s="73"/>
      <c r="AU1337" s="73"/>
      <c r="AV1337" s="73"/>
      <c r="AW1337" s="73"/>
      <c r="AX1337" s="73"/>
      <c r="AY1337" s="73"/>
      <c r="AZ1337" s="73"/>
      <c r="BA1337" s="73"/>
      <c r="BB1337" s="73"/>
      <c r="BC1337" s="73"/>
      <c r="BD1337" s="73"/>
      <c r="BE1337" s="73"/>
      <c r="BF1337" s="73"/>
      <c r="BG1337" s="73"/>
      <c r="BH1337" s="73"/>
      <c r="BI1337" s="73"/>
      <c r="BJ1337" s="73"/>
      <c r="BK1337" s="73"/>
      <c r="BL1337" s="73"/>
      <c r="BM1337" s="73"/>
      <c r="BN1337" s="73"/>
      <c r="BO1337" s="73"/>
      <c r="BP1337" s="73"/>
      <c r="BQ1337" s="73"/>
      <c r="BR1337" s="73"/>
      <c r="BS1337" s="73"/>
      <c r="BT1337" s="73"/>
      <c r="BU1337" s="73"/>
      <c r="BV1337" s="73"/>
      <c r="BW1337" s="73"/>
      <c r="BX1337" s="73"/>
      <c r="BY1337" s="73"/>
      <c r="BZ1337" s="73"/>
      <c r="CA1337" s="73"/>
      <c r="CB1337" s="73"/>
      <c r="CC1337" s="73"/>
      <c r="CD1337" s="73"/>
      <c r="CE1337" s="73"/>
      <c r="CF1337" s="73"/>
      <c r="CG1337" s="73"/>
      <c r="CH1337" s="73"/>
    </row>
    <row r="1338">
      <c r="A1338" s="80"/>
      <c r="B1338" s="80"/>
      <c r="C1338" s="80"/>
      <c r="D1338" s="80"/>
      <c r="E1338" s="124"/>
      <c r="F1338" s="80"/>
      <c r="G1338" s="80"/>
      <c r="H1338" s="80"/>
      <c r="I1338" s="80"/>
      <c r="J1338" s="196"/>
      <c r="K1338" s="196"/>
      <c r="L1338" s="196"/>
      <c r="M1338" s="196"/>
      <c r="N1338" s="196"/>
      <c r="O1338" s="196"/>
      <c r="P1338" s="196"/>
      <c r="Q1338" s="196"/>
      <c r="R1338" s="196"/>
      <c r="S1338" s="196"/>
      <c r="T1338" s="196"/>
      <c r="U1338" s="196"/>
      <c r="V1338" s="196"/>
      <c r="W1338" s="196"/>
      <c r="X1338" s="196"/>
      <c r="Y1338" s="196"/>
      <c r="Z1338" s="196"/>
      <c r="AA1338" s="196"/>
      <c r="AB1338" s="196"/>
      <c r="AC1338" s="196"/>
      <c r="AD1338" s="196"/>
      <c r="AE1338" s="196"/>
      <c r="AF1338" s="196"/>
      <c r="AG1338" s="196"/>
      <c r="AH1338" s="196"/>
      <c r="AI1338" s="196"/>
      <c r="AJ1338" s="197"/>
      <c r="AK1338" s="80"/>
      <c r="AL1338" s="80"/>
      <c r="AM1338" s="73"/>
      <c r="AN1338" s="73"/>
      <c r="AO1338" s="73"/>
      <c r="AP1338" s="73"/>
      <c r="AQ1338" s="73"/>
      <c r="AR1338" s="73"/>
      <c r="AS1338" s="73"/>
      <c r="AT1338" s="73"/>
      <c r="AU1338" s="73"/>
      <c r="AV1338" s="73"/>
      <c r="AW1338" s="73"/>
      <c r="AX1338" s="73"/>
      <c r="AY1338" s="73"/>
      <c r="AZ1338" s="73"/>
      <c r="BA1338" s="73"/>
      <c r="BB1338" s="73"/>
      <c r="BC1338" s="73"/>
      <c r="BD1338" s="73"/>
      <c r="BE1338" s="73"/>
      <c r="BF1338" s="73"/>
      <c r="BG1338" s="73"/>
      <c r="BH1338" s="73"/>
      <c r="BI1338" s="73"/>
      <c r="BJ1338" s="73"/>
      <c r="BK1338" s="73"/>
      <c r="BL1338" s="73"/>
      <c r="BM1338" s="73"/>
      <c r="BN1338" s="73"/>
      <c r="BO1338" s="73"/>
      <c r="BP1338" s="73"/>
      <c r="BQ1338" s="73"/>
      <c r="BR1338" s="73"/>
      <c r="BS1338" s="73"/>
      <c r="BT1338" s="73"/>
      <c r="BU1338" s="73"/>
      <c r="BV1338" s="73"/>
      <c r="BW1338" s="73"/>
      <c r="BX1338" s="73"/>
      <c r="BY1338" s="73"/>
      <c r="BZ1338" s="73"/>
      <c r="CA1338" s="73"/>
      <c r="CB1338" s="73"/>
      <c r="CC1338" s="73"/>
      <c r="CD1338" s="73"/>
      <c r="CE1338" s="73"/>
      <c r="CF1338" s="73"/>
      <c r="CG1338" s="73"/>
      <c r="CH1338" s="73"/>
    </row>
    <row r="1339">
      <c r="A1339" s="80"/>
      <c r="B1339" s="80"/>
      <c r="C1339" s="80"/>
      <c r="D1339" s="80"/>
      <c r="E1339" s="124"/>
      <c r="F1339" s="80"/>
      <c r="G1339" s="80"/>
      <c r="H1339" s="80"/>
      <c r="I1339" s="80"/>
      <c r="J1339" s="196"/>
      <c r="K1339" s="196"/>
      <c r="L1339" s="196"/>
      <c r="M1339" s="196"/>
      <c r="N1339" s="196"/>
      <c r="O1339" s="196"/>
      <c r="P1339" s="196"/>
      <c r="Q1339" s="196"/>
      <c r="R1339" s="196"/>
      <c r="S1339" s="196"/>
      <c r="T1339" s="196"/>
      <c r="U1339" s="196"/>
      <c r="V1339" s="196"/>
      <c r="W1339" s="196"/>
      <c r="X1339" s="196"/>
      <c r="Y1339" s="196"/>
      <c r="Z1339" s="196"/>
      <c r="AA1339" s="196"/>
      <c r="AB1339" s="196"/>
      <c r="AC1339" s="196"/>
      <c r="AD1339" s="196"/>
      <c r="AE1339" s="196"/>
      <c r="AF1339" s="196"/>
      <c r="AG1339" s="196"/>
      <c r="AH1339" s="196"/>
      <c r="AI1339" s="196"/>
      <c r="AJ1339" s="197"/>
      <c r="AK1339" s="80"/>
      <c r="AL1339" s="80"/>
      <c r="AM1339" s="73"/>
      <c r="AN1339" s="73"/>
      <c r="AO1339" s="73"/>
      <c r="AP1339" s="73"/>
      <c r="AQ1339" s="73"/>
      <c r="AR1339" s="73"/>
      <c r="AS1339" s="73"/>
      <c r="AT1339" s="73"/>
      <c r="AU1339" s="73"/>
      <c r="AV1339" s="73"/>
      <c r="AW1339" s="73"/>
      <c r="AX1339" s="73"/>
      <c r="AY1339" s="73"/>
      <c r="AZ1339" s="73"/>
      <c r="BA1339" s="73"/>
      <c r="BB1339" s="73"/>
      <c r="BC1339" s="73"/>
      <c r="BD1339" s="73"/>
      <c r="BE1339" s="73"/>
      <c r="BF1339" s="73"/>
      <c r="BG1339" s="73"/>
      <c r="BH1339" s="73"/>
      <c r="BI1339" s="73"/>
      <c r="BJ1339" s="73"/>
      <c r="BK1339" s="73"/>
      <c r="BL1339" s="73"/>
      <c r="BM1339" s="73"/>
      <c r="BN1339" s="73"/>
      <c r="BO1339" s="73"/>
      <c r="BP1339" s="73"/>
      <c r="BQ1339" s="73"/>
      <c r="BR1339" s="73"/>
      <c r="BS1339" s="73"/>
      <c r="BT1339" s="73"/>
      <c r="BU1339" s="73"/>
      <c r="BV1339" s="73"/>
      <c r="BW1339" s="73"/>
      <c r="BX1339" s="73"/>
      <c r="BY1339" s="73"/>
      <c r="BZ1339" s="73"/>
      <c r="CA1339" s="73"/>
      <c r="CB1339" s="73"/>
      <c r="CC1339" s="73"/>
      <c r="CD1339" s="73"/>
      <c r="CE1339" s="73"/>
      <c r="CF1339" s="73"/>
      <c r="CG1339" s="73"/>
      <c r="CH1339" s="73"/>
    </row>
    <row r="1340">
      <c r="A1340" s="80"/>
      <c r="B1340" s="80"/>
      <c r="C1340" s="80"/>
      <c r="D1340" s="80"/>
      <c r="E1340" s="124"/>
      <c r="F1340" s="80"/>
      <c r="G1340" s="80"/>
      <c r="H1340" s="80"/>
      <c r="I1340" s="80"/>
      <c r="J1340" s="196"/>
      <c r="K1340" s="196"/>
      <c r="L1340" s="196"/>
      <c r="M1340" s="196"/>
      <c r="N1340" s="196"/>
      <c r="O1340" s="196"/>
      <c r="P1340" s="196"/>
      <c r="Q1340" s="196"/>
      <c r="R1340" s="196"/>
      <c r="S1340" s="196"/>
      <c r="T1340" s="196"/>
      <c r="U1340" s="196"/>
      <c r="V1340" s="196"/>
      <c r="W1340" s="196"/>
      <c r="X1340" s="196"/>
      <c r="Y1340" s="196"/>
      <c r="Z1340" s="196"/>
      <c r="AA1340" s="196"/>
      <c r="AB1340" s="196"/>
      <c r="AC1340" s="196"/>
      <c r="AD1340" s="196"/>
      <c r="AE1340" s="196"/>
      <c r="AF1340" s="196"/>
      <c r="AG1340" s="196"/>
      <c r="AH1340" s="196"/>
      <c r="AI1340" s="196"/>
      <c r="AJ1340" s="197"/>
      <c r="AK1340" s="80"/>
      <c r="AL1340" s="80"/>
      <c r="AM1340" s="73"/>
      <c r="AN1340" s="73"/>
      <c r="AO1340" s="73"/>
      <c r="AP1340" s="73"/>
      <c r="AQ1340" s="73"/>
      <c r="AR1340" s="73"/>
      <c r="AS1340" s="73"/>
      <c r="AT1340" s="73"/>
      <c r="AU1340" s="73"/>
      <c r="AV1340" s="73"/>
      <c r="AW1340" s="73"/>
      <c r="AX1340" s="73"/>
      <c r="AY1340" s="73"/>
      <c r="AZ1340" s="73"/>
      <c r="BA1340" s="73"/>
      <c r="BB1340" s="73"/>
      <c r="BC1340" s="73"/>
      <c r="BD1340" s="73"/>
      <c r="BE1340" s="73"/>
      <c r="BF1340" s="73"/>
      <c r="BG1340" s="73"/>
      <c r="BH1340" s="73"/>
      <c r="BI1340" s="73"/>
      <c r="BJ1340" s="73"/>
      <c r="BK1340" s="73"/>
      <c r="BL1340" s="73"/>
      <c r="BM1340" s="73"/>
      <c r="BN1340" s="73"/>
      <c r="BO1340" s="73"/>
      <c r="BP1340" s="73"/>
      <c r="BQ1340" s="73"/>
      <c r="BR1340" s="73"/>
      <c r="BS1340" s="73"/>
      <c r="BT1340" s="73"/>
      <c r="BU1340" s="73"/>
      <c r="BV1340" s="73"/>
      <c r="BW1340" s="73"/>
      <c r="BX1340" s="73"/>
      <c r="BY1340" s="73"/>
      <c r="BZ1340" s="73"/>
      <c r="CA1340" s="73"/>
      <c r="CB1340" s="73"/>
      <c r="CC1340" s="73"/>
      <c r="CD1340" s="73"/>
      <c r="CE1340" s="73"/>
      <c r="CF1340" s="73"/>
      <c r="CG1340" s="73"/>
      <c r="CH1340" s="73"/>
    </row>
    <row r="1341">
      <c r="A1341" s="80"/>
      <c r="B1341" s="80"/>
      <c r="C1341" s="80"/>
      <c r="D1341" s="80"/>
      <c r="E1341" s="124"/>
      <c r="F1341" s="80"/>
      <c r="G1341" s="80"/>
      <c r="H1341" s="80"/>
      <c r="I1341" s="80"/>
      <c r="J1341" s="196"/>
      <c r="K1341" s="196"/>
      <c r="L1341" s="196"/>
      <c r="M1341" s="196"/>
      <c r="N1341" s="196"/>
      <c r="O1341" s="196"/>
      <c r="P1341" s="196"/>
      <c r="Q1341" s="196"/>
      <c r="R1341" s="196"/>
      <c r="S1341" s="196"/>
      <c r="T1341" s="196"/>
      <c r="U1341" s="196"/>
      <c r="V1341" s="196"/>
      <c r="W1341" s="196"/>
      <c r="X1341" s="196"/>
      <c r="Y1341" s="196"/>
      <c r="Z1341" s="196"/>
      <c r="AA1341" s="196"/>
      <c r="AB1341" s="196"/>
      <c r="AC1341" s="196"/>
      <c r="AD1341" s="196"/>
      <c r="AE1341" s="196"/>
      <c r="AF1341" s="196"/>
      <c r="AG1341" s="196"/>
      <c r="AH1341" s="196"/>
      <c r="AI1341" s="196"/>
      <c r="AJ1341" s="197"/>
      <c r="AK1341" s="80"/>
      <c r="AL1341" s="80"/>
      <c r="AM1341" s="73"/>
      <c r="AN1341" s="73"/>
      <c r="AO1341" s="73"/>
      <c r="AP1341" s="73"/>
      <c r="AQ1341" s="73"/>
      <c r="AR1341" s="73"/>
      <c r="AS1341" s="73"/>
      <c r="AT1341" s="73"/>
      <c r="AU1341" s="73"/>
      <c r="AV1341" s="73"/>
      <c r="AW1341" s="73"/>
      <c r="AX1341" s="73"/>
      <c r="AY1341" s="73"/>
      <c r="AZ1341" s="73"/>
      <c r="BA1341" s="73"/>
      <c r="BB1341" s="73"/>
      <c r="BC1341" s="73"/>
      <c r="BD1341" s="73"/>
      <c r="BE1341" s="73"/>
      <c r="BF1341" s="73"/>
      <c r="BG1341" s="73"/>
      <c r="BH1341" s="73"/>
      <c r="BI1341" s="73"/>
      <c r="BJ1341" s="73"/>
      <c r="BK1341" s="73"/>
      <c r="BL1341" s="73"/>
      <c r="BM1341" s="73"/>
      <c r="BN1341" s="73"/>
      <c r="BO1341" s="73"/>
      <c r="BP1341" s="73"/>
      <c r="BQ1341" s="73"/>
      <c r="BR1341" s="73"/>
      <c r="BS1341" s="73"/>
      <c r="BT1341" s="73"/>
      <c r="BU1341" s="73"/>
      <c r="BV1341" s="73"/>
      <c r="BW1341" s="73"/>
      <c r="BX1341" s="73"/>
      <c r="BY1341" s="73"/>
      <c r="BZ1341" s="73"/>
      <c r="CA1341" s="73"/>
      <c r="CB1341" s="73"/>
      <c r="CC1341" s="73"/>
      <c r="CD1341" s="73"/>
      <c r="CE1341" s="73"/>
      <c r="CF1341" s="73"/>
      <c r="CG1341" s="73"/>
      <c r="CH1341" s="73"/>
    </row>
    <row r="1342">
      <c r="A1342" s="80"/>
      <c r="B1342" s="80"/>
      <c r="C1342" s="80"/>
      <c r="D1342" s="80"/>
      <c r="E1342" s="124"/>
      <c r="F1342" s="80"/>
      <c r="G1342" s="80"/>
      <c r="H1342" s="80"/>
      <c r="I1342" s="80"/>
      <c r="J1342" s="196"/>
      <c r="K1342" s="196"/>
      <c r="L1342" s="196"/>
      <c r="M1342" s="196"/>
      <c r="N1342" s="196"/>
      <c r="O1342" s="196"/>
      <c r="P1342" s="196"/>
      <c r="Q1342" s="196"/>
      <c r="R1342" s="196"/>
      <c r="S1342" s="196"/>
      <c r="T1342" s="196"/>
      <c r="U1342" s="196"/>
      <c r="V1342" s="196"/>
      <c r="W1342" s="196"/>
      <c r="X1342" s="196"/>
      <c r="Y1342" s="196"/>
      <c r="Z1342" s="196"/>
      <c r="AA1342" s="196"/>
      <c r="AB1342" s="196"/>
      <c r="AC1342" s="196"/>
      <c r="AD1342" s="196"/>
      <c r="AE1342" s="196"/>
      <c r="AF1342" s="196"/>
      <c r="AG1342" s="196"/>
      <c r="AH1342" s="196"/>
      <c r="AI1342" s="196"/>
      <c r="AJ1342" s="197"/>
      <c r="AK1342" s="80"/>
      <c r="AL1342" s="80"/>
      <c r="AM1342" s="73"/>
      <c r="AN1342" s="73"/>
      <c r="AO1342" s="73"/>
      <c r="AP1342" s="73"/>
      <c r="AQ1342" s="73"/>
      <c r="AR1342" s="73"/>
      <c r="AS1342" s="73"/>
      <c r="AT1342" s="73"/>
      <c r="AU1342" s="73"/>
      <c r="AV1342" s="73"/>
      <c r="AW1342" s="73"/>
      <c r="AX1342" s="73"/>
      <c r="AY1342" s="73"/>
      <c r="AZ1342" s="73"/>
      <c r="BA1342" s="73"/>
      <c r="BB1342" s="73"/>
      <c r="BC1342" s="73"/>
      <c r="BD1342" s="73"/>
      <c r="BE1342" s="73"/>
      <c r="BF1342" s="73"/>
      <c r="BG1342" s="73"/>
      <c r="BH1342" s="73"/>
      <c r="BI1342" s="73"/>
      <c r="BJ1342" s="73"/>
      <c r="BK1342" s="73"/>
      <c r="BL1342" s="73"/>
      <c r="BM1342" s="73"/>
      <c r="BN1342" s="73"/>
      <c r="BO1342" s="73"/>
      <c r="BP1342" s="73"/>
      <c r="BQ1342" s="73"/>
      <c r="BR1342" s="73"/>
      <c r="BS1342" s="73"/>
      <c r="BT1342" s="73"/>
      <c r="BU1342" s="73"/>
      <c r="BV1342" s="73"/>
      <c r="BW1342" s="73"/>
      <c r="BX1342" s="73"/>
      <c r="BY1342" s="73"/>
      <c r="BZ1342" s="73"/>
      <c r="CA1342" s="73"/>
      <c r="CB1342" s="73"/>
      <c r="CC1342" s="73"/>
      <c r="CD1342" s="73"/>
      <c r="CE1342" s="73"/>
      <c r="CF1342" s="73"/>
      <c r="CG1342" s="73"/>
      <c r="CH1342" s="73"/>
    </row>
    <row r="1343">
      <c r="A1343" s="80"/>
      <c r="B1343" s="80"/>
      <c r="C1343" s="80"/>
      <c r="D1343" s="80"/>
      <c r="E1343" s="124"/>
      <c r="F1343" s="80"/>
      <c r="G1343" s="80"/>
      <c r="H1343" s="80"/>
      <c r="I1343" s="80"/>
      <c r="J1343" s="196"/>
      <c r="K1343" s="196"/>
      <c r="L1343" s="196"/>
      <c r="M1343" s="196"/>
      <c r="N1343" s="196"/>
      <c r="O1343" s="196"/>
      <c r="P1343" s="196"/>
      <c r="Q1343" s="196"/>
      <c r="R1343" s="196"/>
      <c r="S1343" s="196"/>
      <c r="T1343" s="196"/>
      <c r="U1343" s="196"/>
      <c r="V1343" s="196"/>
      <c r="W1343" s="196"/>
      <c r="X1343" s="196"/>
      <c r="Y1343" s="196"/>
      <c r="Z1343" s="196"/>
      <c r="AA1343" s="196"/>
      <c r="AB1343" s="196"/>
      <c r="AC1343" s="196"/>
      <c r="AD1343" s="196"/>
      <c r="AE1343" s="196"/>
      <c r="AF1343" s="196"/>
      <c r="AG1343" s="196"/>
      <c r="AH1343" s="196"/>
      <c r="AI1343" s="196"/>
      <c r="AJ1343" s="197"/>
      <c r="AK1343" s="80"/>
      <c r="AL1343" s="80"/>
      <c r="AM1343" s="73"/>
      <c r="AN1343" s="73"/>
      <c r="AO1343" s="73"/>
      <c r="AP1343" s="73"/>
      <c r="AQ1343" s="73"/>
      <c r="AR1343" s="73"/>
      <c r="AS1343" s="73"/>
      <c r="AT1343" s="73"/>
      <c r="AU1343" s="73"/>
      <c r="AV1343" s="73"/>
      <c r="AW1343" s="73"/>
      <c r="AX1343" s="73"/>
      <c r="AY1343" s="73"/>
      <c r="AZ1343" s="73"/>
      <c r="BA1343" s="73"/>
      <c r="BB1343" s="73"/>
      <c r="BC1343" s="73"/>
      <c r="BD1343" s="73"/>
      <c r="BE1343" s="73"/>
      <c r="BF1343" s="73"/>
      <c r="BG1343" s="73"/>
      <c r="BH1343" s="73"/>
      <c r="BI1343" s="73"/>
      <c r="BJ1343" s="73"/>
      <c r="BK1343" s="73"/>
      <c r="BL1343" s="73"/>
      <c r="BM1343" s="73"/>
      <c r="BN1343" s="73"/>
      <c r="BO1343" s="73"/>
      <c r="BP1343" s="73"/>
      <c r="BQ1343" s="73"/>
      <c r="BR1343" s="73"/>
      <c r="BS1343" s="73"/>
      <c r="BT1343" s="73"/>
      <c r="BU1343" s="73"/>
      <c r="BV1343" s="73"/>
      <c r="BW1343" s="73"/>
      <c r="BX1343" s="73"/>
      <c r="BY1343" s="73"/>
      <c r="BZ1343" s="73"/>
      <c r="CA1343" s="73"/>
      <c r="CB1343" s="73"/>
      <c r="CC1343" s="73"/>
      <c r="CD1343" s="73"/>
      <c r="CE1343" s="73"/>
      <c r="CF1343" s="73"/>
      <c r="CG1343" s="73"/>
      <c r="CH1343" s="73"/>
    </row>
    <row r="1344">
      <c r="A1344" s="80"/>
      <c r="B1344" s="80"/>
      <c r="C1344" s="80"/>
      <c r="D1344" s="80"/>
      <c r="E1344" s="124"/>
      <c r="F1344" s="80"/>
      <c r="G1344" s="80"/>
      <c r="H1344" s="80"/>
      <c r="I1344" s="80"/>
      <c r="J1344" s="196"/>
      <c r="K1344" s="196"/>
      <c r="L1344" s="196"/>
      <c r="M1344" s="196"/>
      <c r="N1344" s="196"/>
      <c r="O1344" s="196"/>
      <c r="P1344" s="196"/>
      <c r="Q1344" s="196"/>
      <c r="R1344" s="196"/>
      <c r="S1344" s="196"/>
      <c r="T1344" s="196"/>
      <c r="U1344" s="196"/>
      <c r="V1344" s="196"/>
      <c r="W1344" s="196"/>
      <c r="X1344" s="196"/>
      <c r="Y1344" s="196"/>
      <c r="Z1344" s="196"/>
      <c r="AA1344" s="196"/>
      <c r="AB1344" s="196"/>
      <c r="AC1344" s="196"/>
      <c r="AD1344" s="196"/>
      <c r="AE1344" s="196"/>
      <c r="AF1344" s="196"/>
      <c r="AG1344" s="196"/>
      <c r="AH1344" s="196"/>
      <c r="AI1344" s="196"/>
      <c r="AJ1344" s="197"/>
      <c r="AK1344" s="80"/>
      <c r="AL1344" s="80"/>
      <c r="AM1344" s="73"/>
      <c r="AN1344" s="73"/>
      <c r="AO1344" s="73"/>
      <c r="AP1344" s="73"/>
      <c r="AQ1344" s="73"/>
      <c r="AR1344" s="73"/>
      <c r="AS1344" s="73"/>
      <c r="AT1344" s="73"/>
      <c r="AU1344" s="73"/>
      <c r="AV1344" s="73"/>
      <c r="AW1344" s="73"/>
      <c r="AX1344" s="73"/>
      <c r="AY1344" s="73"/>
      <c r="AZ1344" s="73"/>
      <c r="BA1344" s="73"/>
      <c r="BB1344" s="73"/>
      <c r="BC1344" s="73"/>
      <c r="BD1344" s="73"/>
      <c r="BE1344" s="73"/>
      <c r="BF1344" s="73"/>
      <c r="BG1344" s="73"/>
      <c r="BH1344" s="73"/>
      <c r="BI1344" s="73"/>
      <c r="BJ1344" s="73"/>
      <c r="BK1344" s="73"/>
      <c r="BL1344" s="73"/>
      <c r="BM1344" s="73"/>
      <c r="BN1344" s="73"/>
      <c r="BO1344" s="73"/>
      <c r="BP1344" s="73"/>
      <c r="BQ1344" s="73"/>
      <c r="BR1344" s="73"/>
      <c r="BS1344" s="73"/>
      <c r="BT1344" s="73"/>
      <c r="BU1344" s="73"/>
      <c r="BV1344" s="73"/>
      <c r="BW1344" s="73"/>
      <c r="BX1344" s="73"/>
      <c r="BY1344" s="73"/>
      <c r="BZ1344" s="73"/>
      <c r="CA1344" s="73"/>
      <c r="CB1344" s="73"/>
      <c r="CC1344" s="73"/>
      <c r="CD1344" s="73"/>
      <c r="CE1344" s="73"/>
      <c r="CF1344" s="73"/>
      <c r="CG1344" s="73"/>
      <c r="CH1344" s="73"/>
    </row>
    <row r="1345">
      <c r="A1345" s="80"/>
      <c r="B1345" s="80"/>
      <c r="C1345" s="80"/>
      <c r="D1345" s="80"/>
      <c r="E1345" s="124"/>
      <c r="F1345" s="80"/>
      <c r="G1345" s="80"/>
      <c r="H1345" s="80"/>
      <c r="I1345" s="80"/>
      <c r="J1345" s="196"/>
      <c r="K1345" s="196"/>
      <c r="L1345" s="196"/>
      <c r="M1345" s="196"/>
      <c r="N1345" s="196"/>
      <c r="O1345" s="196"/>
      <c r="P1345" s="196"/>
      <c r="Q1345" s="196"/>
      <c r="R1345" s="196"/>
      <c r="S1345" s="196"/>
      <c r="T1345" s="196"/>
      <c r="U1345" s="196"/>
      <c r="V1345" s="196"/>
      <c r="W1345" s="196"/>
      <c r="X1345" s="196"/>
      <c r="Y1345" s="196"/>
      <c r="Z1345" s="196"/>
      <c r="AA1345" s="196"/>
      <c r="AB1345" s="196"/>
      <c r="AC1345" s="196"/>
      <c r="AD1345" s="196"/>
      <c r="AE1345" s="196"/>
      <c r="AF1345" s="196"/>
      <c r="AG1345" s="196"/>
      <c r="AH1345" s="196"/>
      <c r="AI1345" s="196"/>
      <c r="AJ1345" s="197"/>
      <c r="AK1345" s="80"/>
      <c r="AL1345" s="80"/>
      <c r="AM1345" s="73"/>
      <c r="AN1345" s="73"/>
      <c r="AO1345" s="73"/>
      <c r="AP1345" s="73"/>
      <c r="AQ1345" s="73"/>
      <c r="AR1345" s="73"/>
      <c r="AS1345" s="73"/>
      <c r="AT1345" s="73"/>
      <c r="AU1345" s="73"/>
      <c r="AV1345" s="73"/>
      <c r="AW1345" s="73"/>
      <c r="AX1345" s="73"/>
      <c r="AY1345" s="73"/>
      <c r="AZ1345" s="73"/>
      <c r="BA1345" s="73"/>
      <c r="BB1345" s="73"/>
      <c r="BC1345" s="73"/>
      <c r="BD1345" s="73"/>
      <c r="BE1345" s="73"/>
      <c r="BF1345" s="73"/>
      <c r="BG1345" s="73"/>
      <c r="BH1345" s="73"/>
      <c r="BI1345" s="73"/>
      <c r="BJ1345" s="73"/>
      <c r="BK1345" s="73"/>
      <c r="BL1345" s="73"/>
      <c r="BM1345" s="73"/>
      <c r="BN1345" s="73"/>
      <c r="BO1345" s="73"/>
      <c r="BP1345" s="73"/>
      <c r="BQ1345" s="73"/>
      <c r="BR1345" s="73"/>
      <c r="BS1345" s="73"/>
      <c r="BT1345" s="73"/>
      <c r="BU1345" s="73"/>
      <c r="BV1345" s="73"/>
      <c r="BW1345" s="73"/>
      <c r="BX1345" s="73"/>
      <c r="BY1345" s="73"/>
      <c r="BZ1345" s="73"/>
      <c r="CA1345" s="73"/>
      <c r="CB1345" s="73"/>
      <c r="CC1345" s="73"/>
      <c r="CD1345" s="73"/>
      <c r="CE1345" s="73"/>
      <c r="CF1345" s="73"/>
      <c r="CG1345" s="73"/>
      <c r="CH1345" s="73"/>
    </row>
    <row r="1346">
      <c r="A1346" s="80"/>
      <c r="B1346" s="80"/>
      <c r="C1346" s="80"/>
      <c r="D1346" s="80"/>
      <c r="E1346" s="124"/>
      <c r="F1346" s="80"/>
      <c r="G1346" s="80"/>
      <c r="H1346" s="80"/>
      <c r="I1346" s="80"/>
      <c r="J1346" s="196"/>
      <c r="K1346" s="196"/>
      <c r="L1346" s="196"/>
      <c r="M1346" s="196"/>
      <c r="N1346" s="196"/>
      <c r="O1346" s="196"/>
      <c r="P1346" s="196"/>
      <c r="Q1346" s="196"/>
      <c r="R1346" s="196"/>
      <c r="S1346" s="196"/>
      <c r="T1346" s="196"/>
      <c r="U1346" s="196"/>
      <c r="V1346" s="196"/>
      <c r="W1346" s="196"/>
      <c r="X1346" s="196"/>
      <c r="Y1346" s="196"/>
      <c r="Z1346" s="196"/>
      <c r="AA1346" s="196"/>
      <c r="AB1346" s="196"/>
      <c r="AC1346" s="196"/>
      <c r="AD1346" s="196"/>
      <c r="AE1346" s="196"/>
      <c r="AF1346" s="196"/>
      <c r="AG1346" s="196"/>
      <c r="AH1346" s="196"/>
      <c r="AI1346" s="196"/>
      <c r="AJ1346" s="197"/>
      <c r="AK1346" s="80"/>
      <c r="AL1346" s="80"/>
      <c r="AM1346" s="73"/>
      <c r="AN1346" s="73"/>
      <c r="AO1346" s="73"/>
      <c r="AP1346" s="73"/>
      <c r="AQ1346" s="73"/>
      <c r="AR1346" s="73"/>
      <c r="AS1346" s="73"/>
      <c r="AT1346" s="73"/>
      <c r="AU1346" s="73"/>
      <c r="AV1346" s="73"/>
      <c r="AW1346" s="73"/>
      <c r="AX1346" s="73"/>
      <c r="AY1346" s="73"/>
      <c r="AZ1346" s="73"/>
      <c r="BA1346" s="73"/>
      <c r="BB1346" s="73"/>
      <c r="BC1346" s="73"/>
      <c r="BD1346" s="73"/>
      <c r="BE1346" s="73"/>
      <c r="BF1346" s="73"/>
      <c r="BG1346" s="73"/>
      <c r="BH1346" s="73"/>
      <c r="BI1346" s="73"/>
      <c r="BJ1346" s="73"/>
      <c r="BK1346" s="73"/>
      <c r="BL1346" s="73"/>
      <c r="BM1346" s="73"/>
      <c r="BN1346" s="73"/>
      <c r="BO1346" s="73"/>
      <c r="BP1346" s="73"/>
      <c r="BQ1346" s="73"/>
      <c r="BR1346" s="73"/>
      <c r="BS1346" s="73"/>
      <c r="BT1346" s="73"/>
      <c r="BU1346" s="73"/>
      <c r="BV1346" s="73"/>
      <c r="BW1346" s="73"/>
      <c r="BX1346" s="73"/>
      <c r="BY1346" s="73"/>
      <c r="BZ1346" s="73"/>
      <c r="CA1346" s="73"/>
      <c r="CB1346" s="73"/>
      <c r="CC1346" s="73"/>
      <c r="CD1346" s="73"/>
      <c r="CE1346" s="73"/>
      <c r="CF1346" s="73"/>
      <c r="CG1346" s="73"/>
      <c r="CH1346" s="73"/>
    </row>
    <row r="1347">
      <c r="A1347" s="80"/>
      <c r="B1347" s="80"/>
      <c r="C1347" s="80"/>
      <c r="D1347" s="80"/>
      <c r="E1347" s="124"/>
      <c r="F1347" s="80"/>
      <c r="G1347" s="80"/>
      <c r="H1347" s="80"/>
      <c r="I1347" s="80"/>
      <c r="J1347" s="196"/>
      <c r="K1347" s="196"/>
      <c r="L1347" s="196"/>
      <c r="M1347" s="196"/>
      <c r="N1347" s="196"/>
      <c r="O1347" s="196"/>
      <c r="P1347" s="196"/>
      <c r="Q1347" s="196"/>
      <c r="R1347" s="196"/>
      <c r="S1347" s="196"/>
      <c r="T1347" s="196"/>
      <c r="U1347" s="196"/>
      <c r="V1347" s="196"/>
      <c r="W1347" s="196"/>
      <c r="X1347" s="196"/>
      <c r="Y1347" s="196"/>
      <c r="Z1347" s="196"/>
      <c r="AA1347" s="196"/>
      <c r="AB1347" s="196"/>
      <c r="AC1347" s="196"/>
      <c r="AD1347" s="196"/>
      <c r="AE1347" s="196"/>
      <c r="AF1347" s="196"/>
      <c r="AG1347" s="196"/>
      <c r="AH1347" s="196"/>
      <c r="AI1347" s="196"/>
      <c r="AJ1347" s="197"/>
      <c r="AK1347" s="80"/>
      <c r="AL1347" s="80"/>
      <c r="AM1347" s="73"/>
      <c r="AN1347" s="73"/>
      <c r="AO1347" s="73"/>
      <c r="AP1347" s="73"/>
      <c r="AQ1347" s="73"/>
      <c r="AR1347" s="73"/>
      <c r="AS1347" s="73"/>
      <c r="AT1347" s="73"/>
      <c r="AU1347" s="73"/>
      <c r="AV1347" s="73"/>
      <c r="AW1347" s="73"/>
      <c r="AX1347" s="73"/>
      <c r="AY1347" s="73"/>
      <c r="AZ1347" s="73"/>
      <c r="BA1347" s="73"/>
      <c r="BB1347" s="73"/>
      <c r="BC1347" s="73"/>
      <c r="BD1347" s="73"/>
      <c r="BE1347" s="73"/>
      <c r="BF1347" s="73"/>
      <c r="BG1347" s="73"/>
      <c r="BH1347" s="73"/>
      <c r="BI1347" s="73"/>
      <c r="BJ1347" s="73"/>
      <c r="BK1347" s="73"/>
      <c r="BL1347" s="73"/>
      <c r="BM1347" s="73"/>
      <c r="BN1347" s="73"/>
      <c r="BO1347" s="73"/>
      <c r="BP1347" s="73"/>
      <c r="BQ1347" s="73"/>
      <c r="BR1347" s="73"/>
      <c r="BS1347" s="73"/>
      <c r="BT1347" s="73"/>
      <c r="BU1347" s="73"/>
      <c r="BV1347" s="73"/>
      <c r="BW1347" s="73"/>
      <c r="BX1347" s="73"/>
      <c r="BY1347" s="73"/>
      <c r="BZ1347" s="73"/>
      <c r="CA1347" s="73"/>
      <c r="CB1347" s="73"/>
      <c r="CC1347" s="73"/>
      <c r="CD1347" s="73"/>
      <c r="CE1347" s="73"/>
      <c r="CF1347" s="73"/>
      <c r="CG1347" s="73"/>
      <c r="CH1347" s="73"/>
    </row>
    <row r="1348">
      <c r="A1348" s="80"/>
      <c r="B1348" s="80"/>
      <c r="C1348" s="80"/>
      <c r="D1348" s="80"/>
      <c r="E1348" s="124"/>
      <c r="F1348" s="80"/>
      <c r="G1348" s="80"/>
      <c r="H1348" s="80"/>
      <c r="I1348" s="80"/>
      <c r="J1348" s="196"/>
      <c r="K1348" s="196"/>
      <c r="L1348" s="196"/>
      <c r="M1348" s="196"/>
      <c r="N1348" s="196"/>
      <c r="O1348" s="196"/>
      <c r="P1348" s="196"/>
      <c r="Q1348" s="196"/>
      <c r="R1348" s="196"/>
      <c r="S1348" s="196"/>
      <c r="T1348" s="196"/>
      <c r="U1348" s="196"/>
      <c r="V1348" s="196"/>
      <c r="W1348" s="196"/>
      <c r="X1348" s="196"/>
      <c r="Y1348" s="196"/>
      <c r="Z1348" s="196"/>
      <c r="AA1348" s="196"/>
      <c r="AB1348" s="196"/>
      <c r="AC1348" s="196"/>
      <c r="AD1348" s="196"/>
      <c r="AE1348" s="196"/>
      <c r="AF1348" s="196"/>
      <c r="AG1348" s="196"/>
      <c r="AH1348" s="196"/>
      <c r="AI1348" s="196"/>
      <c r="AJ1348" s="197"/>
      <c r="AK1348" s="80"/>
      <c r="AL1348" s="80"/>
      <c r="AM1348" s="73"/>
      <c r="AN1348" s="73"/>
      <c r="AO1348" s="73"/>
      <c r="AP1348" s="73"/>
      <c r="AQ1348" s="73"/>
      <c r="AR1348" s="73"/>
      <c r="AS1348" s="73"/>
      <c r="AT1348" s="73"/>
      <c r="AU1348" s="73"/>
      <c r="AV1348" s="73"/>
      <c r="AW1348" s="73"/>
      <c r="AX1348" s="73"/>
      <c r="AY1348" s="73"/>
      <c r="AZ1348" s="73"/>
      <c r="BA1348" s="73"/>
      <c r="BB1348" s="73"/>
      <c r="BC1348" s="73"/>
      <c r="BD1348" s="73"/>
      <c r="BE1348" s="73"/>
      <c r="BF1348" s="73"/>
      <c r="BG1348" s="73"/>
      <c r="BH1348" s="73"/>
      <c r="BI1348" s="73"/>
      <c r="BJ1348" s="73"/>
      <c r="BK1348" s="73"/>
      <c r="BL1348" s="73"/>
      <c r="BM1348" s="73"/>
      <c r="BN1348" s="73"/>
      <c r="BO1348" s="73"/>
      <c r="BP1348" s="73"/>
      <c r="BQ1348" s="73"/>
      <c r="BR1348" s="73"/>
      <c r="BS1348" s="73"/>
      <c r="BT1348" s="73"/>
      <c r="BU1348" s="73"/>
      <c r="BV1348" s="73"/>
      <c r="BW1348" s="73"/>
      <c r="BX1348" s="73"/>
      <c r="BY1348" s="73"/>
      <c r="BZ1348" s="73"/>
      <c r="CA1348" s="73"/>
      <c r="CB1348" s="73"/>
      <c r="CC1348" s="73"/>
      <c r="CD1348" s="73"/>
      <c r="CE1348" s="73"/>
      <c r="CF1348" s="73"/>
      <c r="CG1348" s="73"/>
      <c r="CH1348" s="73"/>
    </row>
    <row r="1349">
      <c r="A1349" s="80"/>
      <c r="B1349" s="80"/>
      <c r="C1349" s="80"/>
      <c r="D1349" s="80"/>
      <c r="E1349" s="124"/>
      <c r="F1349" s="80"/>
      <c r="G1349" s="80"/>
      <c r="H1349" s="80"/>
      <c r="I1349" s="80"/>
      <c r="J1349" s="196"/>
      <c r="K1349" s="196"/>
      <c r="L1349" s="196"/>
      <c r="M1349" s="196"/>
      <c r="N1349" s="196"/>
      <c r="O1349" s="196"/>
      <c r="P1349" s="196"/>
      <c r="Q1349" s="196"/>
      <c r="R1349" s="196"/>
      <c r="S1349" s="196"/>
      <c r="T1349" s="196"/>
      <c r="U1349" s="196"/>
      <c r="V1349" s="196"/>
      <c r="W1349" s="196"/>
      <c r="X1349" s="196"/>
      <c r="Y1349" s="196"/>
      <c r="Z1349" s="196"/>
      <c r="AA1349" s="196"/>
      <c r="AB1349" s="196"/>
      <c r="AC1349" s="196"/>
      <c r="AD1349" s="196"/>
      <c r="AE1349" s="196"/>
      <c r="AF1349" s="196"/>
      <c r="AG1349" s="196"/>
      <c r="AH1349" s="196"/>
      <c r="AI1349" s="196"/>
      <c r="AJ1349" s="197"/>
      <c r="AK1349" s="80"/>
      <c r="AL1349" s="80"/>
      <c r="AM1349" s="73"/>
      <c r="AN1349" s="73"/>
      <c r="AO1349" s="73"/>
      <c r="AP1349" s="73"/>
      <c r="AQ1349" s="73"/>
      <c r="AR1349" s="73"/>
      <c r="AS1349" s="73"/>
      <c r="AT1349" s="73"/>
      <c r="AU1349" s="73"/>
      <c r="AV1349" s="73"/>
      <c r="AW1349" s="73"/>
      <c r="AX1349" s="73"/>
      <c r="AY1349" s="73"/>
      <c r="AZ1349" s="73"/>
      <c r="BA1349" s="73"/>
      <c r="BB1349" s="73"/>
      <c r="BC1349" s="73"/>
      <c r="BD1349" s="73"/>
      <c r="BE1349" s="73"/>
      <c r="BF1349" s="73"/>
      <c r="BG1349" s="73"/>
      <c r="BH1349" s="73"/>
      <c r="BI1349" s="73"/>
      <c r="BJ1349" s="73"/>
      <c r="BK1349" s="73"/>
      <c r="BL1349" s="73"/>
      <c r="BM1349" s="73"/>
      <c r="BN1349" s="73"/>
      <c r="BO1349" s="73"/>
      <c r="BP1349" s="73"/>
      <c r="BQ1349" s="73"/>
      <c r="BR1349" s="73"/>
      <c r="BS1349" s="73"/>
      <c r="BT1349" s="73"/>
      <c r="BU1349" s="73"/>
      <c r="BV1349" s="73"/>
      <c r="BW1349" s="73"/>
      <c r="BX1349" s="73"/>
      <c r="BY1349" s="73"/>
      <c r="BZ1349" s="73"/>
      <c r="CA1349" s="73"/>
      <c r="CB1349" s="73"/>
      <c r="CC1349" s="73"/>
      <c r="CD1349" s="73"/>
      <c r="CE1349" s="73"/>
      <c r="CF1349" s="73"/>
      <c r="CG1349" s="73"/>
      <c r="CH1349" s="73"/>
    </row>
    <row r="1350">
      <c r="A1350" s="80"/>
      <c r="B1350" s="80"/>
      <c r="C1350" s="80"/>
      <c r="D1350" s="80"/>
      <c r="E1350" s="124"/>
      <c r="F1350" s="80"/>
      <c r="G1350" s="80"/>
      <c r="H1350" s="80"/>
      <c r="I1350" s="80"/>
      <c r="J1350" s="196"/>
      <c r="K1350" s="196"/>
      <c r="L1350" s="196"/>
      <c r="M1350" s="196"/>
      <c r="N1350" s="196"/>
      <c r="O1350" s="196"/>
      <c r="P1350" s="196"/>
      <c r="Q1350" s="196"/>
      <c r="R1350" s="196"/>
      <c r="S1350" s="196"/>
      <c r="T1350" s="196"/>
      <c r="U1350" s="196"/>
      <c r="V1350" s="196"/>
      <c r="W1350" s="196"/>
      <c r="X1350" s="196"/>
      <c r="Y1350" s="196"/>
      <c r="Z1350" s="196"/>
      <c r="AA1350" s="196"/>
      <c r="AB1350" s="196"/>
      <c r="AC1350" s="196"/>
      <c r="AD1350" s="196"/>
      <c r="AE1350" s="196"/>
      <c r="AF1350" s="196"/>
      <c r="AG1350" s="196"/>
      <c r="AH1350" s="196"/>
      <c r="AI1350" s="196"/>
      <c r="AJ1350" s="197"/>
      <c r="AK1350" s="80"/>
      <c r="AL1350" s="80"/>
      <c r="AM1350" s="73"/>
      <c r="AN1350" s="73"/>
      <c r="AO1350" s="73"/>
      <c r="AP1350" s="73"/>
      <c r="AQ1350" s="73"/>
      <c r="AR1350" s="73"/>
      <c r="AS1350" s="73"/>
      <c r="AT1350" s="73"/>
      <c r="AU1350" s="73"/>
      <c r="AV1350" s="73"/>
      <c r="AW1350" s="73"/>
      <c r="AX1350" s="73"/>
      <c r="AY1350" s="73"/>
      <c r="AZ1350" s="73"/>
      <c r="BA1350" s="73"/>
      <c r="BB1350" s="73"/>
      <c r="BC1350" s="73"/>
      <c r="BD1350" s="73"/>
      <c r="BE1350" s="73"/>
      <c r="BF1350" s="73"/>
      <c r="BG1350" s="73"/>
      <c r="BH1350" s="73"/>
      <c r="BI1350" s="73"/>
      <c r="BJ1350" s="73"/>
      <c r="BK1350" s="73"/>
      <c r="BL1350" s="73"/>
      <c r="BM1350" s="73"/>
      <c r="BN1350" s="73"/>
      <c r="BO1350" s="73"/>
      <c r="BP1350" s="73"/>
      <c r="BQ1350" s="73"/>
      <c r="BR1350" s="73"/>
      <c r="BS1350" s="73"/>
      <c r="BT1350" s="73"/>
      <c r="BU1350" s="73"/>
      <c r="BV1350" s="73"/>
      <c r="BW1350" s="73"/>
      <c r="BX1350" s="73"/>
      <c r="BY1350" s="73"/>
      <c r="BZ1350" s="73"/>
      <c r="CA1350" s="73"/>
      <c r="CB1350" s="73"/>
      <c r="CC1350" s="73"/>
      <c r="CD1350" s="73"/>
      <c r="CE1350" s="73"/>
      <c r="CF1350" s="73"/>
      <c r="CG1350" s="73"/>
      <c r="CH1350" s="73"/>
    </row>
    <row r="1351">
      <c r="A1351" s="80"/>
      <c r="B1351" s="80"/>
      <c r="C1351" s="80"/>
      <c r="D1351" s="80"/>
      <c r="E1351" s="124"/>
      <c r="F1351" s="80"/>
      <c r="G1351" s="80"/>
      <c r="H1351" s="80"/>
      <c r="I1351" s="80"/>
      <c r="J1351" s="196"/>
      <c r="K1351" s="196"/>
      <c r="L1351" s="196"/>
      <c r="M1351" s="196"/>
      <c r="N1351" s="196"/>
      <c r="O1351" s="196"/>
      <c r="P1351" s="196"/>
      <c r="Q1351" s="196"/>
      <c r="R1351" s="196"/>
      <c r="S1351" s="196"/>
      <c r="T1351" s="196"/>
      <c r="U1351" s="196"/>
      <c r="V1351" s="196"/>
      <c r="W1351" s="196"/>
      <c r="X1351" s="196"/>
      <c r="Y1351" s="196"/>
      <c r="Z1351" s="196"/>
      <c r="AA1351" s="196"/>
      <c r="AB1351" s="196"/>
      <c r="AC1351" s="196"/>
      <c r="AD1351" s="196"/>
      <c r="AE1351" s="196"/>
      <c r="AF1351" s="196"/>
      <c r="AG1351" s="196"/>
      <c r="AH1351" s="196"/>
      <c r="AI1351" s="196"/>
      <c r="AJ1351" s="197"/>
      <c r="AK1351" s="80"/>
      <c r="AL1351" s="80"/>
      <c r="AM1351" s="73"/>
      <c r="AN1351" s="73"/>
      <c r="AO1351" s="73"/>
      <c r="AP1351" s="73"/>
      <c r="AQ1351" s="73"/>
      <c r="AR1351" s="73"/>
      <c r="AS1351" s="73"/>
      <c r="AT1351" s="73"/>
      <c r="AU1351" s="73"/>
      <c r="AV1351" s="73"/>
      <c r="AW1351" s="73"/>
      <c r="AX1351" s="73"/>
      <c r="AY1351" s="73"/>
      <c r="AZ1351" s="73"/>
      <c r="BA1351" s="73"/>
      <c r="BB1351" s="73"/>
      <c r="BC1351" s="73"/>
      <c r="BD1351" s="73"/>
      <c r="BE1351" s="73"/>
      <c r="BF1351" s="73"/>
      <c r="BG1351" s="73"/>
      <c r="BH1351" s="73"/>
      <c r="BI1351" s="73"/>
      <c r="BJ1351" s="73"/>
      <c r="BK1351" s="73"/>
      <c r="BL1351" s="73"/>
      <c r="BM1351" s="73"/>
      <c r="BN1351" s="73"/>
      <c r="BO1351" s="73"/>
      <c r="BP1351" s="73"/>
      <c r="BQ1351" s="73"/>
      <c r="BR1351" s="73"/>
      <c r="BS1351" s="73"/>
      <c r="BT1351" s="73"/>
      <c r="BU1351" s="73"/>
      <c r="BV1351" s="73"/>
      <c r="BW1351" s="73"/>
      <c r="BX1351" s="73"/>
      <c r="BY1351" s="73"/>
      <c r="BZ1351" s="73"/>
      <c r="CA1351" s="73"/>
      <c r="CB1351" s="73"/>
      <c r="CC1351" s="73"/>
      <c r="CD1351" s="73"/>
      <c r="CE1351" s="73"/>
      <c r="CF1351" s="73"/>
      <c r="CG1351" s="73"/>
      <c r="CH1351" s="73"/>
    </row>
    <row r="1352">
      <c r="A1352" s="80"/>
      <c r="B1352" s="80"/>
      <c r="C1352" s="80"/>
      <c r="D1352" s="80"/>
      <c r="E1352" s="124"/>
      <c r="F1352" s="80"/>
      <c r="G1352" s="80"/>
      <c r="H1352" s="80"/>
      <c r="I1352" s="80"/>
      <c r="J1352" s="196"/>
      <c r="K1352" s="196"/>
      <c r="L1352" s="196"/>
      <c r="M1352" s="196"/>
      <c r="N1352" s="196"/>
      <c r="O1352" s="196"/>
      <c r="P1352" s="196"/>
      <c r="Q1352" s="196"/>
      <c r="R1352" s="196"/>
      <c r="S1352" s="196"/>
      <c r="T1352" s="196"/>
      <c r="U1352" s="196"/>
      <c r="V1352" s="196"/>
      <c r="W1352" s="196"/>
      <c r="X1352" s="196"/>
      <c r="Y1352" s="196"/>
      <c r="Z1352" s="196"/>
      <c r="AA1352" s="196"/>
      <c r="AB1352" s="196"/>
      <c r="AC1352" s="196"/>
      <c r="AD1352" s="196"/>
      <c r="AE1352" s="196"/>
      <c r="AF1352" s="196"/>
      <c r="AG1352" s="196"/>
      <c r="AH1352" s="196"/>
      <c r="AI1352" s="196"/>
      <c r="AJ1352" s="197"/>
      <c r="AK1352" s="80"/>
      <c r="AL1352" s="80"/>
      <c r="AM1352" s="73"/>
      <c r="AN1352" s="73"/>
      <c r="AO1352" s="73"/>
      <c r="AP1352" s="73"/>
      <c r="AQ1352" s="73"/>
      <c r="AR1352" s="73"/>
      <c r="AS1352" s="73"/>
      <c r="AT1352" s="73"/>
      <c r="AU1352" s="73"/>
      <c r="AV1352" s="73"/>
      <c r="AW1352" s="73"/>
      <c r="AX1352" s="73"/>
      <c r="AY1352" s="73"/>
      <c r="AZ1352" s="73"/>
      <c r="BA1352" s="73"/>
      <c r="BB1352" s="73"/>
      <c r="BC1352" s="73"/>
      <c r="BD1352" s="73"/>
      <c r="BE1352" s="73"/>
      <c r="BF1352" s="73"/>
      <c r="BG1352" s="73"/>
      <c r="BH1352" s="73"/>
      <c r="BI1352" s="73"/>
      <c r="BJ1352" s="73"/>
      <c r="BK1352" s="73"/>
      <c r="BL1352" s="73"/>
      <c r="BM1352" s="73"/>
      <c r="BN1352" s="73"/>
      <c r="BO1352" s="73"/>
      <c r="BP1352" s="73"/>
      <c r="BQ1352" s="73"/>
      <c r="BR1352" s="73"/>
      <c r="BS1352" s="73"/>
      <c r="BT1352" s="73"/>
      <c r="BU1352" s="73"/>
      <c r="BV1352" s="73"/>
      <c r="BW1352" s="73"/>
      <c r="BX1352" s="73"/>
      <c r="BY1352" s="73"/>
      <c r="BZ1352" s="73"/>
      <c r="CA1352" s="73"/>
      <c r="CB1352" s="73"/>
      <c r="CC1352" s="73"/>
      <c r="CD1352" s="73"/>
      <c r="CE1352" s="73"/>
      <c r="CF1352" s="73"/>
      <c r="CG1352" s="73"/>
      <c r="CH1352" s="73"/>
    </row>
    <row r="1353">
      <c r="A1353" s="80"/>
      <c r="B1353" s="80"/>
      <c r="C1353" s="80"/>
      <c r="D1353" s="80"/>
      <c r="E1353" s="124"/>
      <c r="F1353" s="80"/>
      <c r="G1353" s="80"/>
      <c r="H1353" s="80"/>
      <c r="I1353" s="80"/>
      <c r="J1353" s="196"/>
      <c r="K1353" s="196"/>
      <c r="L1353" s="196"/>
      <c r="M1353" s="196"/>
      <c r="N1353" s="196"/>
      <c r="O1353" s="196"/>
      <c r="P1353" s="196"/>
      <c r="Q1353" s="196"/>
      <c r="R1353" s="196"/>
      <c r="S1353" s="196"/>
      <c r="T1353" s="196"/>
      <c r="U1353" s="196"/>
      <c r="V1353" s="196"/>
      <c r="W1353" s="196"/>
      <c r="X1353" s="196"/>
      <c r="Y1353" s="196"/>
      <c r="Z1353" s="196"/>
      <c r="AA1353" s="196"/>
      <c r="AB1353" s="196"/>
      <c r="AC1353" s="196"/>
      <c r="AD1353" s="196"/>
      <c r="AE1353" s="196"/>
      <c r="AF1353" s="196"/>
      <c r="AG1353" s="196"/>
      <c r="AH1353" s="196"/>
      <c r="AI1353" s="196"/>
      <c r="AJ1353" s="197"/>
      <c r="AK1353" s="80"/>
      <c r="AL1353" s="80"/>
      <c r="AM1353" s="73"/>
      <c r="AN1353" s="73"/>
      <c r="AO1353" s="73"/>
      <c r="AP1353" s="73"/>
      <c r="AQ1353" s="73"/>
      <c r="AR1353" s="73"/>
      <c r="AS1353" s="73"/>
      <c r="AT1353" s="73"/>
      <c r="AU1353" s="73"/>
      <c r="AV1353" s="73"/>
      <c r="AW1353" s="73"/>
      <c r="AX1353" s="73"/>
      <c r="AY1353" s="73"/>
      <c r="AZ1353" s="73"/>
      <c r="BA1353" s="73"/>
      <c r="BB1353" s="73"/>
      <c r="BC1353" s="73"/>
      <c r="BD1353" s="73"/>
      <c r="BE1353" s="73"/>
      <c r="BF1353" s="73"/>
      <c r="BG1353" s="73"/>
      <c r="BH1353" s="73"/>
      <c r="BI1353" s="73"/>
      <c r="BJ1353" s="73"/>
      <c r="BK1353" s="73"/>
      <c r="BL1353" s="73"/>
      <c r="BM1353" s="73"/>
      <c r="BN1353" s="73"/>
      <c r="BO1353" s="73"/>
      <c r="BP1353" s="73"/>
      <c r="BQ1353" s="73"/>
      <c r="BR1353" s="73"/>
      <c r="BS1353" s="73"/>
      <c r="BT1353" s="73"/>
      <c r="BU1353" s="73"/>
      <c r="BV1353" s="73"/>
      <c r="BW1353" s="73"/>
      <c r="BX1353" s="73"/>
      <c r="BY1353" s="73"/>
      <c r="BZ1353" s="73"/>
      <c r="CA1353" s="73"/>
      <c r="CB1353" s="73"/>
      <c r="CC1353" s="73"/>
      <c r="CD1353" s="73"/>
      <c r="CE1353" s="73"/>
      <c r="CF1353" s="73"/>
      <c r="CG1353" s="73"/>
      <c r="CH1353" s="73"/>
    </row>
    <row r="1354">
      <c r="A1354" s="80"/>
      <c r="B1354" s="80"/>
      <c r="C1354" s="80"/>
      <c r="D1354" s="80"/>
      <c r="E1354" s="124"/>
      <c r="F1354" s="80"/>
      <c r="G1354" s="80"/>
      <c r="H1354" s="80"/>
      <c r="I1354" s="80"/>
      <c r="J1354" s="196"/>
      <c r="K1354" s="196"/>
      <c r="L1354" s="196"/>
      <c r="M1354" s="196"/>
      <c r="N1354" s="196"/>
      <c r="O1354" s="196"/>
      <c r="P1354" s="196"/>
      <c r="Q1354" s="196"/>
      <c r="R1354" s="196"/>
      <c r="S1354" s="196"/>
      <c r="T1354" s="196"/>
      <c r="U1354" s="196"/>
      <c r="V1354" s="196"/>
      <c r="W1354" s="196"/>
      <c r="X1354" s="196"/>
      <c r="Y1354" s="196"/>
      <c r="Z1354" s="196"/>
      <c r="AA1354" s="196"/>
      <c r="AB1354" s="196"/>
      <c r="AC1354" s="196"/>
      <c r="AD1354" s="196"/>
      <c r="AE1354" s="196"/>
      <c r="AF1354" s="196"/>
      <c r="AG1354" s="196"/>
      <c r="AH1354" s="196"/>
      <c r="AI1354" s="196"/>
      <c r="AJ1354" s="197"/>
      <c r="AK1354" s="80"/>
      <c r="AL1354" s="80"/>
      <c r="AM1354" s="73"/>
      <c r="AN1354" s="73"/>
      <c r="AO1354" s="73"/>
      <c r="AP1354" s="73"/>
      <c r="AQ1354" s="73"/>
      <c r="AR1354" s="73"/>
      <c r="AS1354" s="73"/>
      <c r="AT1354" s="73"/>
      <c r="AU1354" s="73"/>
      <c r="AV1354" s="73"/>
      <c r="AW1354" s="73"/>
      <c r="AX1354" s="73"/>
      <c r="AY1354" s="73"/>
      <c r="AZ1354" s="73"/>
      <c r="BA1354" s="73"/>
      <c r="BB1354" s="73"/>
      <c r="BC1354" s="73"/>
      <c r="BD1354" s="73"/>
      <c r="BE1354" s="73"/>
      <c r="BF1354" s="73"/>
      <c r="BG1354" s="73"/>
      <c r="BH1354" s="73"/>
      <c r="BI1354" s="73"/>
      <c r="BJ1354" s="73"/>
      <c r="BK1354" s="73"/>
      <c r="BL1354" s="73"/>
      <c r="BM1354" s="73"/>
      <c r="BN1354" s="73"/>
      <c r="BO1354" s="73"/>
      <c r="BP1354" s="73"/>
      <c r="BQ1354" s="73"/>
      <c r="BR1354" s="73"/>
      <c r="BS1354" s="73"/>
      <c r="BT1354" s="73"/>
      <c r="BU1354" s="73"/>
      <c r="BV1354" s="73"/>
      <c r="BW1354" s="73"/>
      <c r="BX1354" s="73"/>
      <c r="BY1354" s="73"/>
      <c r="BZ1354" s="73"/>
      <c r="CA1354" s="73"/>
      <c r="CB1354" s="73"/>
      <c r="CC1354" s="73"/>
      <c r="CD1354" s="73"/>
      <c r="CE1354" s="73"/>
      <c r="CF1354" s="73"/>
      <c r="CG1354" s="73"/>
      <c r="CH1354" s="73"/>
    </row>
    <row r="1355">
      <c r="A1355" s="80"/>
      <c r="B1355" s="80"/>
      <c r="C1355" s="80"/>
      <c r="D1355" s="80"/>
      <c r="E1355" s="124"/>
      <c r="F1355" s="80"/>
      <c r="G1355" s="80"/>
      <c r="H1355" s="80"/>
      <c r="I1355" s="80"/>
      <c r="J1355" s="196"/>
      <c r="K1355" s="196"/>
      <c r="L1355" s="196"/>
      <c r="M1355" s="196"/>
      <c r="N1355" s="196"/>
      <c r="O1355" s="196"/>
      <c r="P1355" s="196"/>
      <c r="Q1355" s="196"/>
      <c r="R1355" s="196"/>
      <c r="S1355" s="196"/>
      <c r="T1355" s="196"/>
      <c r="U1355" s="196"/>
      <c r="V1355" s="196"/>
      <c r="W1355" s="196"/>
      <c r="X1355" s="196"/>
      <c r="Y1355" s="196"/>
      <c r="Z1355" s="196"/>
      <c r="AA1355" s="196"/>
      <c r="AB1355" s="196"/>
      <c r="AC1355" s="196"/>
      <c r="AD1355" s="196"/>
      <c r="AE1355" s="196"/>
      <c r="AF1355" s="196"/>
      <c r="AG1355" s="196"/>
      <c r="AH1355" s="196"/>
      <c r="AI1355" s="196"/>
      <c r="AJ1355" s="197"/>
      <c r="AK1355" s="80"/>
      <c r="AL1355" s="80"/>
      <c r="AM1355" s="73"/>
      <c r="AN1355" s="73"/>
      <c r="AO1355" s="73"/>
      <c r="AP1355" s="73"/>
      <c r="AQ1355" s="73"/>
      <c r="AR1355" s="73"/>
      <c r="AS1355" s="73"/>
      <c r="AT1355" s="73"/>
      <c r="AU1355" s="73"/>
      <c r="AV1355" s="73"/>
      <c r="AW1355" s="73"/>
      <c r="AX1355" s="73"/>
      <c r="AY1355" s="73"/>
      <c r="AZ1355" s="73"/>
      <c r="BA1355" s="73"/>
      <c r="BB1355" s="73"/>
      <c r="BC1355" s="73"/>
      <c r="BD1355" s="73"/>
      <c r="BE1355" s="73"/>
      <c r="BF1355" s="73"/>
      <c r="BG1355" s="73"/>
      <c r="BH1355" s="73"/>
      <c r="BI1355" s="73"/>
      <c r="BJ1355" s="73"/>
      <c r="BK1355" s="73"/>
      <c r="BL1355" s="73"/>
      <c r="BM1355" s="73"/>
      <c r="BN1355" s="73"/>
      <c r="BO1355" s="73"/>
      <c r="BP1355" s="73"/>
      <c r="BQ1355" s="73"/>
      <c r="BR1355" s="73"/>
      <c r="BS1355" s="73"/>
      <c r="BT1355" s="73"/>
      <c r="BU1355" s="73"/>
      <c r="BV1355" s="73"/>
      <c r="BW1355" s="73"/>
      <c r="BX1355" s="73"/>
      <c r="BY1355" s="73"/>
      <c r="BZ1355" s="73"/>
      <c r="CA1355" s="73"/>
      <c r="CB1355" s="73"/>
      <c r="CC1355" s="73"/>
      <c r="CD1355" s="73"/>
      <c r="CE1355" s="73"/>
      <c r="CF1355" s="73"/>
      <c r="CG1355" s="73"/>
      <c r="CH1355" s="73"/>
    </row>
    <row r="1356">
      <c r="A1356" s="80"/>
      <c r="B1356" s="80"/>
      <c r="C1356" s="80"/>
      <c r="D1356" s="80"/>
      <c r="E1356" s="124"/>
      <c r="F1356" s="80"/>
      <c r="G1356" s="80"/>
      <c r="H1356" s="80"/>
      <c r="I1356" s="80"/>
      <c r="J1356" s="196"/>
      <c r="K1356" s="196"/>
      <c r="L1356" s="196"/>
      <c r="M1356" s="196"/>
      <c r="N1356" s="196"/>
      <c r="O1356" s="196"/>
      <c r="P1356" s="196"/>
      <c r="Q1356" s="196"/>
      <c r="R1356" s="196"/>
      <c r="S1356" s="196"/>
      <c r="T1356" s="196"/>
      <c r="U1356" s="196"/>
      <c r="V1356" s="196"/>
      <c r="W1356" s="196"/>
      <c r="X1356" s="196"/>
      <c r="Y1356" s="196"/>
      <c r="Z1356" s="196"/>
      <c r="AA1356" s="196"/>
      <c r="AB1356" s="196"/>
      <c r="AC1356" s="196"/>
      <c r="AD1356" s="196"/>
      <c r="AE1356" s="196"/>
      <c r="AF1356" s="196"/>
      <c r="AG1356" s="196"/>
      <c r="AH1356" s="196"/>
      <c r="AI1356" s="196"/>
      <c r="AJ1356" s="197"/>
      <c r="AK1356" s="80"/>
      <c r="AL1356" s="80"/>
      <c r="AM1356" s="73"/>
      <c r="AN1356" s="73"/>
      <c r="AO1356" s="73"/>
      <c r="AP1356" s="73"/>
      <c r="AQ1356" s="73"/>
      <c r="AR1356" s="73"/>
      <c r="AS1356" s="73"/>
      <c r="AT1356" s="73"/>
      <c r="AU1356" s="73"/>
      <c r="AV1356" s="73"/>
      <c r="AW1356" s="73"/>
      <c r="AX1356" s="73"/>
      <c r="AY1356" s="73"/>
      <c r="AZ1356" s="73"/>
      <c r="BA1356" s="73"/>
      <c r="BB1356" s="73"/>
      <c r="BC1356" s="73"/>
      <c r="BD1356" s="73"/>
      <c r="BE1356" s="73"/>
      <c r="BF1356" s="73"/>
      <c r="BG1356" s="73"/>
      <c r="BH1356" s="73"/>
      <c r="BI1356" s="73"/>
      <c r="BJ1356" s="73"/>
      <c r="BK1356" s="73"/>
      <c r="BL1356" s="73"/>
      <c r="BM1356" s="73"/>
      <c r="BN1356" s="73"/>
      <c r="BO1356" s="73"/>
      <c r="BP1356" s="73"/>
      <c r="BQ1356" s="73"/>
      <c r="BR1356" s="73"/>
      <c r="BS1356" s="73"/>
      <c r="BT1356" s="73"/>
      <c r="BU1356" s="73"/>
      <c r="BV1356" s="73"/>
      <c r="BW1356" s="73"/>
      <c r="BX1356" s="73"/>
      <c r="BY1356" s="73"/>
      <c r="BZ1356" s="73"/>
      <c r="CA1356" s="73"/>
      <c r="CB1356" s="73"/>
      <c r="CC1356" s="73"/>
      <c r="CD1356" s="73"/>
      <c r="CE1356" s="73"/>
      <c r="CF1356" s="73"/>
      <c r="CG1356" s="73"/>
      <c r="CH1356" s="73"/>
    </row>
    <row r="1357">
      <c r="A1357" s="80"/>
      <c r="B1357" s="80"/>
      <c r="C1357" s="80"/>
      <c r="D1357" s="80"/>
      <c r="E1357" s="124"/>
      <c r="F1357" s="80"/>
      <c r="G1357" s="80"/>
      <c r="H1357" s="80"/>
      <c r="I1357" s="80"/>
      <c r="J1357" s="196"/>
      <c r="K1357" s="196"/>
      <c r="L1357" s="196"/>
      <c r="M1357" s="196"/>
      <c r="N1357" s="196"/>
      <c r="O1357" s="196"/>
      <c r="P1357" s="196"/>
      <c r="Q1357" s="196"/>
      <c r="R1357" s="196"/>
      <c r="S1357" s="196"/>
      <c r="T1357" s="196"/>
      <c r="U1357" s="196"/>
      <c r="V1357" s="196"/>
      <c r="W1357" s="196"/>
      <c r="X1357" s="196"/>
      <c r="Y1357" s="196"/>
      <c r="Z1357" s="196"/>
      <c r="AA1357" s="196"/>
      <c r="AB1357" s="196"/>
      <c r="AC1357" s="196"/>
      <c r="AD1357" s="196"/>
      <c r="AE1357" s="196"/>
      <c r="AF1357" s="196"/>
      <c r="AG1357" s="196"/>
      <c r="AH1357" s="196"/>
      <c r="AI1357" s="196"/>
      <c r="AJ1357" s="197"/>
      <c r="AK1357" s="80"/>
      <c r="AL1357" s="80"/>
      <c r="AM1357" s="73"/>
      <c r="AN1357" s="73"/>
      <c r="AO1357" s="73"/>
      <c r="AP1357" s="73"/>
      <c r="AQ1357" s="73"/>
      <c r="AR1357" s="73"/>
      <c r="AS1357" s="73"/>
      <c r="AT1357" s="73"/>
      <c r="AU1357" s="73"/>
      <c r="AV1357" s="73"/>
      <c r="AW1357" s="73"/>
      <c r="AX1357" s="73"/>
      <c r="AY1357" s="73"/>
      <c r="AZ1357" s="73"/>
      <c r="BA1357" s="73"/>
      <c r="BB1357" s="73"/>
      <c r="BC1357" s="73"/>
      <c r="BD1357" s="73"/>
      <c r="BE1357" s="73"/>
      <c r="BF1357" s="73"/>
      <c r="BG1357" s="73"/>
      <c r="BH1357" s="73"/>
      <c r="BI1357" s="73"/>
      <c r="BJ1357" s="73"/>
      <c r="BK1357" s="73"/>
      <c r="BL1357" s="73"/>
      <c r="BM1357" s="73"/>
      <c r="BN1357" s="73"/>
      <c r="BO1357" s="73"/>
      <c r="BP1357" s="73"/>
      <c r="BQ1357" s="73"/>
      <c r="BR1357" s="73"/>
      <c r="BS1357" s="73"/>
      <c r="BT1357" s="73"/>
      <c r="BU1357" s="73"/>
      <c r="BV1357" s="73"/>
      <c r="BW1357" s="73"/>
      <c r="BX1357" s="73"/>
      <c r="BY1357" s="73"/>
      <c r="BZ1357" s="73"/>
      <c r="CA1357" s="73"/>
      <c r="CB1357" s="73"/>
      <c r="CC1357" s="73"/>
      <c r="CD1357" s="73"/>
      <c r="CE1357" s="73"/>
      <c r="CF1357" s="73"/>
      <c r="CG1357" s="73"/>
      <c r="CH1357" s="73"/>
    </row>
    <row r="1358">
      <c r="A1358" s="80"/>
      <c r="B1358" s="80"/>
      <c r="C1358" s="80"/>
      <c r="D1358" s="80"/>
      <c r="E1358" s="124"/>
      <c r="F1358" s="80"/>
      <c r="G1358" s="80"/>
      <c r="H1358" s="80"/>
      <c r="I1358" s="80"/>
      <c r="J1358" s="196"/>
      <c r="K1358" s="196"/>
      <c r="L1358" s="196"/>
      <c r="M1358" s="196"/>
      <c r="N1358" s="196"/>
      <c r="O1358" s="196"/>
      <c r="P1358" s="196"/>
      <c r="Q1358" s="196"/>
      <c r="R1358" s="196"/>
      <c r="S1358" s="196"/>
      <c r="T1358" s="196"/>
      <c r="U1358" s="196"/>
      <c r="V1358" s="196"/>
      <c r="W1358" s="196"/>
      <c r="X1358" s="196"/>
      <c r="Y1358" s="196"/>
      <c r="Z1358" s="196"/>
      <c r="AA1358" s="196"/>
      <c r="AB1358" s="196"/>
      <c r="AC1358" s="196"/>
      <c r="AD1358" s="196"/>
      <c r="AE1358" s="196"/>
      <c r="AF1358" s="196"/>
      <c r="AG1358" s="196"/>
      <c r="AH1358" s="196"/>
      <c r="AI1358" s="196"/>
      <c r="AJ1358" s="197"/>
      <c r="AK1358" s="80"/>
      <c r="AL1358" s="80"/>
      <c r="AM1358" s="73"/>
      <c r="AN1358" s="73"/>
      <c r="AO1358" s="73"/>
      <c r="AP1358" s="73"/>
      <c r="AQ1358" s="73"/>
      <c r="AR1358" s="73"/>
      <c r="AS1358" s="73"/>
      <c r="AT1358" s="73"/>
      <c r="AU1358" s="73"/>
      <c r="AV1358" s="73"/>
      <c r="AW1358" s="73"/>
      <c r="AX1358" s="73"/>
      <c r="AY1358" s="73"/>
      <c r="AZ1358" s="73"/>
      <c r="BA1358" s="73"/>
      <c r="BB1358" s="73"/>
      <c r="BC1358" s="73"/>
      <c r="BD1358" s="73"/>
      <c r="BE1358" s="73"/>
      <c r="BF1358" s="73"/>
      <c r="BG1358" s="73"/>
      <c r="BH1358" s="73"/>
      <c r="BI1358" s="73"/>
      <c r="BJ1358" s="73"/>
      <c r="BK1358" s="73"/>
      <c r="BL1358" s="73"/>
      <c r="BM1358" s="73"/>
      <c r="BN1358" s="73"/>
      <c r="BO1358" s="73"/>
      <c r="BP1358" s="73"/>
      <c r="BQ1358" s="73"/>
      <c r="BR1358" s="73"/>
      <c r="BS1358" s="73"/>
      <c r="BT1358" s="73"/>
      <c r="BU1358" s="73"/>
      <c r="BV1358" s="73"/>
      <c r="BW1358" s="73"/>
      <c r="BX1358" s="73"/>
      <c r="BY1358" s="73"/>
      <c r="BZ1358" s="73"/>
      <c r="CA1358" s="73"/>
      <c r="CB1358" s="73"/>
      <c r="CC1358" s="73"/>
      <c r="CD1358" s="73"/>
      <c r="CE1358" s="73"/>
      <c r="CF1358" s="73"/>
      <c r="CG1358" s="73"/>
      <c r="CH1358" s="73"/>
    </row>
    <row r="1359">
      <c r="A1359" s="80"/>
      <c r="B1359" s="80"/>
      <c r="C1359" s="80"/>
      <c r="D1359" s="80"/>
      <c r="E1359" s="124"/>
      <c r="F1359" s="80"/>
      <c r="G1359" s="80"/>
      <c r="H1359" s="80"/>
      <c r="I1359" s="80"/>
      <c r="J1359" s="196"/>
      <c r="K1359" s="196"/>
      <c r="L1359" s="196"/>
      <c r="M1359" s="196"/>
      <c r="N1359" s="196"/>
      <c r="O1359" s="196"/>
      <c r="P1359" s="196"/>
      <c r="Q1359" s="196"/>
      <c r="R1359" s="196"/>
      <c r="S1359" s="196"/>
      <c r="T1359" s="196"/>
      <c r="U1359" s="196"/>
      <c r="V1359" s="196"/>
      <c r="W1359" s="196"/>
      <c r="X1359" s="196"/>
      <c r="Y1359" s="196"/>
      <c r="Z1359" s="196"/>
      <c r="AA1359" s="196"/>
      <c r="AB1359" s="196"/>
      <c r="AC1359" s="196"/>
      <c r="AD1359" s="196"/>
      <c r="AE1359" s="196"/>
      <c r="AF1359" s="196"/>
      <c r="AG1359" s="196"/>
      <c r="AH1359" s="196"/>
      <c r="AI1359" s="196"/>
      <c r="AJ1359" s="197"/>
      <c r="AK1359" s="80"/>
      <c r="AL1359" s="80"/>
      <c r="AM1359" s="73"/>
      <c r="AN1359" s="73"/>
      <c r="AO1359" s="73"/>
      <c r="AP1359" s="73"/>
      <c r="AQ1359" s="73"/>
      <c r="AR1359" s="73"/>
      <c r="AS1359" s="73"/>
      <c r="AT1359" s="73"/>
      <c r="AU1359" s="73"/>
      <c r="AV1359" s="73"/>
      <c r="AW1359" s="73"/>
      <c r="AX1359" s="73"/>
      <c r="AY1359" s="73"/>
      <c r="AZ1359" s="73"/>
      <c r="BA1359" s="73"/>
      <c r="BB1359" s="73"/>
      <c r="BC1359" s="73"/>
      <c r="BD1359" s="73"/>
      <c r="BE1359" s="73"/>
      <c r="BF1359" s="73"/>
      <c r="BG1359" s="73"/>
      <c r="BH1359" s="73"/>
      <c r="BI1359" s="73"/>
      <c r="BJ1359" s="73"/>
      <c r="BK1359" s="73"/>
      <c r="BL1359" s="73"/>
      <c r="BM1359" s="73"/>
      <c r="BN1359" s="73"/>
      <c r="BO1359" s="73"/>
      <c r="BP1359" s="73"/>
      <c r="BQ1359" s="73"/>
      <c r="BR1359" s="73"/>
      <c r="BS1359" s="73"/>
      <c r="BT1359" s="73"/>
      <c r="BU1359" s="73"/>
      <c r="BV1359" s="73"/>
      <c r="BW1359" s="73"/>
      <c r="BX1359" s="73"/>
      <c r="BY1359" s="73"/>
      <c r="BZ1359" s="73"/>
      <c r="CA1359" s="73"/>
      <c r="CB1359" s="73"/>
      <c r="CC1359" s="73"/>
      <c r="CD1359" s="73"/>
      <c r="CE1359" s="73"/>
      <c r="CF1359" s="73"/>
      <c r="CG1359" s="73"/>
      <c r="CH1359" s="73"/>
    </row>
    <row r="1360">
      <c r="A1360" s="80"/>
      <c r="B1360" s="80"/>
      <c r="C1360" s="80"/>
      <c r="D1360" s="80"/>
      <c r="E1360" s="124"/>
      <c r="F1360" s="80"/>
      <c r="G1360" s="80"/>
      <c r="H1360" s="80"/>
      <c r="I1360" s="80"/>
      <c r="J1360" s="196"/>
      <c r="K1360" s="196"/>
      <c r="L1360" s="196"/>
      <c r="M1360" s="196"/>
      <c r="N1360" s="196"/>
      <c r="O1360" s="196"/>
      <c r="P1360" s="196"/>
      <c r="Q1360" s="196"/>
      <c r="R1360" s="196"/>
      <c r="S1360" s="196"/>
      <c r="T1360" s="196"/>
      <c r="U1360" s="196"/>
      <c r="V1360" s="196"/>
      <c r="W1360" s="196"/>
      <c r="X1360" s="196"/>
      <c r="Y1360" s="196"/>
      <c r="Z1360" s="196"/>
      <c r="AA1360" s="196"/>
      <c r="AB1360" s="196"/>
      <c r="AC1360" s="196"/>
      <c r="AD1360" s="196"/>
      <c r="AE1360" s="196"/>
      <c r="AF1360" s="196"/>
      <c r="AG1360" s="196"/>
      <c r="AH1360" s="196"/>
      <c r="AI1360" s="196"/>
      <c r="AJ1360" s="197"/>
      <c r="AK1360" s="80"/>
      <c r="AL1360" s="80"/>
      <c r="AM1360" s="73"/>
      <c r="AN1360" s="73"/>
      <c r="AO1360" s="73"/>
      <c r="AP1360" s="73"/>
      <c r="AQ1360" s="73"/>
      <c r="AR1360" s="73"/>
      <c r="AS1360" s="73"/>
      <c r="AT1360" s="73"/>
      <c r="AU1360" s="73"/>
      <c r="AV1360" s="73"/>
      <c r="AW1360" s="73"/>
      <c r="AX1360" s="73"/>
      <c r="AY1360" s="73"/>
      <c r="AZ1360" s="73"/>
      <c r="BA1360" s="73"/>
      <c r="BB1360" s="73"/>
      <c r="BC1360" s="73"/>
      <c r="BD1360" s="73"/>
      <c r="BE1360" s="73"/>
      <c r="BF1360" s="73"/>
      <c r="BG1360" s="73"/>
      <c r="BH1360" s="73"/>
      <c r="BI1360" s="73"/>
      <c r="BJ1360" s="73"/>
      <c r="BK1360" s="73"/>
      <c r="BL1360" s="73"/>
      <c r="BM1360" s="73"/>
      <c r="BN1360" s="73"/>
      <c r="BO1360" s="73"/>
      <c r="BP1360" s="73"/>
      <c r="BQ1360" s="73"/>
      <c r="BR1360" s="73"/>
      <c r="BS1360" s="73"/>
      <c r="BT1360" s="73"/>
      <c r="BU1360" s="73"/>
      <c r="BV1360" s="73"/>
      <c r="BW1360" s="73"/>
      <c r="BX1360" s="73"/>
      <c r="BY1360" s="73"/>
      <c r="BZ1360" s="73"/>
      <c r="CA1360" s="73"/>
      <c r="CB1360" s="73"/>
      <c r="CC1360" s="73"/>
      <c r="CD1360" s="73"/>
      <c r="CE1360" s="73"/>
      <c r="CF1360" s="73"/>
      <c r="CG1360" s="73"/>
      <c r="CH1360" s="73"/>
    </row>
    <row r="1361">
      <c r="A1361" s="80"/>
      <c r="B1361" s="80"/>
      <c r="C1361" s="80"/>
      <c r="D1361" s="80"/>
      <c r="E1361" s="124"/>
      <c r="F1361" s="80"/>
      <c r="G1361" s="80"/>
      <c r="H1361" s="80"/>
      <c r="I1361" s="80"/>
      <c r="J1361" s="196"/>
      <c r="K1361" s="196"/>
      <c r="L1361" s="196"/>
      <c r="M1361" s="196"/>
      <c r="N1361" s="196"/>
      <c r="O1361" s="196"/>
      <c r="P1361" s="196"/>
      <c r="Q1361" s="196"/>
      <c r="R1361" s="196"/>
      <c r="S1361" s="196"/>
      <c r="T1361" s="196"/>
      <c r="U1361" s="196"/>
      <c r="V1361" s="196"/>
      <c r="W1361" s="196"/>
      <c r="X1361" s="196"/>
      <c r="Y1361" s="196"/>
      <c r="Z1361" s="196"/>
      <c r="AA1361" s="196"/>
      <c r="AB1361" s="196"/>
      <c r="AC1361" s="196"/>
      <c r="AD1361" s="196"/>
      <c r="AE1361" s="196"/>
      <c r="AF1361" s="196"/>
      <c r="AG1361" s="196"/>
      <c r="AH1361" s="196"/>
      <c r="AI1361" s="196"/>
      <c r="AJ1361" s="197"/>
      <c r="AK1361" s="80"/>
      <c r="AL1361" s="80"/>
      <c r="AM1361" s="73"/>
      <c r="AN1361" s="73"/>
      <c r="AO1361" s="73"/>
      <c r="AP1361" s="73"/>
      <c r="AQ1361" s="73"/>
      <c r="AR1361" s="73"/>
      <c r="AS1361" s="73"/>
      <c r="AT1361" s="73"/>
      <c r="AU1361" s="73"/>
      <c r="AV1361" s="73"/>
      <c r="AW1361" s="73"/>
      <c r="AX1361" s="73"/>
      <c r="AY1361" s="73"/>
      <c r="AZ1361" s="73"/>
      <c r="BA1361" s="73"/>
      <c r="BB1361" s="73"/>
      <c r="BC1361" s="73"/>
      <c r="BD1361" s="73"/>
      <c r="BE1361" s="73"/>
      <c r="BF1361" s="73"/>
      <c r="BG1361" s="73"/>
      <c r="BH1361" s="73"/>
      <c r="BI1361" s="73"/>
      <c r="BJ1361" s="73"/>
      <c r="BK1361" s="73"/>
      <c r="BL1361" s="73"/>
      <c r="BM1361" s="73"/>
      <c r="BN1361" s="73"/>
      <c r="BO1361" s="73"/>
      <c r="BP1361" s="73"/>
      <c r="BQ1361" s="73"/>
      <c r="BR1361" s="73"/>
      <c r="BS1361" s="73"/>
      <c r="BT1361" s="73"/>
      <c r="BU1361" s="73"/>
      <c r="BV1361" s="73"/>
      <c r="BW1361" s="73"/>
      <c r="BX1361" s="73"/>
      <c r="BY1361" s="73"/>
      <c r="BZ1361" s="73"/>
      <c r="CA1361" s="73"/>
      <c r="CB1361" s="73"/>
      <c r="CC1361" s="73"/>
      <c r="CD1361" s="73"/>
      <c r="CE1361" s="73"/>
      <c r="CF1361" s="73"/>
      <c r="CG1361" s="73"/>
      <c r="CH1361" s="73"/>
    </row>
    <row r="1362">
      <c r="A1362" s="80"/>
      <c r="B1362" s="80"/>
      <c r="C1362" s="80"/>
      <c r="D1362" s="80"/>
      <c r="E1362" s="124"/>
      <c r="F1362" s="80"/>
      <c r="G1362" s="80"/>
      <c r="H1362" s="80"/>
      <c r="I1362" s="80"/>
      <c r="J1362" s="196"/>
      <c r="K1362" s="196"/>
      <c r="L1362" s="196"/>
      <c r="M1362" s="196"/>
      <c r="N1362" s="196"/>
      <c r="O1362" s="196"/>
      <c r="P1362" s="196"/>
      <c r="Q1362" s="196"/>
      <c r="R1362" s="196"/>
      <c r="S1362" s="196"/>
      <c r="T1362" s="196"/>
      <c r="U1362" s="196"/>
      <c r="V1362" s="196"/>
      <c r="W1362" s="196"/>
      <c r="X1362" s="196"/>
      <c r="Y1362" s="196"/>
      <c r="Z1362" s="196"/>
      <c r="AA1362" s="196"/>
      <c r="AB1362" s="196"/>
      <c r="AC1362" s="196"/>
      <c r="AD1362" s="196"/>
      <c r="AE1362" s="196"/>
      <c r="AF1362" s="196"/>
      <c r="AG1362" s="196"/>
      <c r="AH1362" s="196"/>
      <c r="AI1362" s="196"/>
      <c r="AJ1362" s="197"/>
      <c r="AK1362" s="80"/>
      <c r="AL1362" s="80"/>
      <c r="AM1362" s="73"/>
      <c r="AN1362" s="73"/>
      <c r="AO1362" s="73"/>
      <c r="AP1362" s="73"/>
      <c r="AQ1362" s="73"/>
      <c r="AR1362" s="73"/>
      <c r="AS1362" s="73"/>
      <c r="AT1362" s="73"/>
      <c r="AU1362" s="73"/>
      <c r="AV1362" s="73"/>
      <c r="AW1362" s="73"/>
      <c r="AX1362" s="73"/>
      <c r="AY1362" s="73"/>
      <c r="AZ1362" s="73"/>
      <c r="BA1362" s="73"/>
      <c r="BB1362" s="73"/>
      <c r="BC1362" s="73"/>
      <c r="BD1362" s="73"/>
      <c r="BE1362" s="73"/>
      <c r="BF1362" s="73"/>
      <c r="BG1362" s="73"/>
      <c r="BH1362" s="73"/>
      <c r="BI1362" s="73"/>
      <c r="BJ1362" s="73"/>
      <c r="BK1362" s="73"/>
      <c r="BL1362" s="73"/>
      <c r="BM1362" s="73"/>
      <c r="BN1362" s="73"/>
      <c r="BO1362" s="73"/>
      <c r="BP1362" s="73"/>
      <c r="BQ1362" s="73"/>
      <c r="BR1362" s="73"/>
      <c r="BS1362" s="73"/>
      <c r="BT1362" s="73"/>
      <c r="BU1362" s="73"/>
      <c r="BV1362" s="73"/>
      <c r="BW1362" s="73"/>
      <c r="BX1362" s="73"/>
      <c r="BY1362" s="73"/>
      <c r="BZ1362" s="73"/>
      <c r="CA1362" s="73"/>
      <c r="CB1362" s="73"/>
      <c r="CC1362" s="73"/>
      <c r="CD1362" s="73"/>
      <c r="CE1362" s="73"/>
      <c r="CF1362" s="73"/>
      <c r="CG1362" s="73"/>
      <c r="CH1362" s="73"/>
    </row>
    <row r="1363">
      <c r="A1363" s="80"/>
      <c r="B1363" s="80"/>
      <c r="C1363" s="80"/>
      <c r="D1363" s="80"/>
      <c r="E1363" s="124"/>
      <c r="F1363" s="80"/>
      <c r="G1363" s="80"/>
      <c r="H1363" s="80"/>
      <c r="I1363" s="80"/>
      <c r="J1363" s="196"/>
      <c r="K1363" s="196"/>
      <c r="L1363" s="196"/>
      <c r="M1363" s="196"/>
      <c r="N1363" s="196"/>
      <c r="O1363" s="196"/>
      <c r="P1363" s="196"/>
      <c r="Q1363" s="196"/>
      <c r="R1363" s="196"/>
      <c r="S1363" s="196"/>
      <c r="T1363" s="196"/>
      <c r="U1363" s="196"/>
      <c r="V1363" s="196"/>
      <c r="W1363" s="196"/>
      <c r="X1363" s="196"/>
      <c r="Y1363" s="196"/>
      <c r="Z1363" s="196"/>
      <c r="AA1363" s="196"/>
      <c r="AB1363" s="196"/>
      <c r="AC1363" s="196"/>
      <c r="AD1363" s="196"/>
      <c r="AE1363" s="196"/>
      <c r="AF1363" s="196"/>
      <c r="AG1363" s="196"/>
      <c r="AH1363" s="196"/>
      <c r="AI1363" s="196"/>
      <c r="AJ1363" s="197"/>
      <c r="AK1363" s="80"/>
      <c r="AL1363" s="80"/>
      <c r="AM1363" s="73"/>
      <c r="AN1363" s="73"/>
      <c r="AO1363" s="73"/>
      <c r="AP1363" s="73"/>
      <c r="AQ1363" s="73"/>
      <c r="AR1363" s="73"/>
      <c r="AS1363" s="73"/>
      <c r="AT1363" s="73"/>
      <c r="AU1363" s="73"/>
      <c r="AV1363" s="73"/>
      <c r="AW1363" s="73"/>
      <c r="AX1363" s="73"/>
      <c r="AY1363" s="73"/>
      <c r="AZ1363" s="73"/>
      <c r="BA1363" s="73"/>
      <c r="BB1363" s="73"/>
      <c r="BC1363" s="73"/>
      <c r="BD1363" s="73"/>
      <c r="BE1363" s="73"/>
      <c r="BF1363" s="73"/>
      <c r="BG1363" s="73"/>
      <c r="BH1363" s="73"/>
      <c r="BI1363" s="73"/>
      <c r="BJ1363" s="73"/>
      <c r="BK1363" s="73"/>
      <c r="BL1363" s="73"/>
      <c r="BM1363" s="73"/>
      <c r="BN1363" s="73"/>
      <c r="BO1363" s="73"/>
      <c r="BP1363" s="73"/>
      <c r="BQ1363" s="73"/>
      <c r="BR1363" s="73"/>
      <c r="BS1363" s="73"/>
      <c r="BT1363" s="73"/>
      <c r="BU1363" s="73"/>
      <c r="BV1363" s="73"/>
      <c r="BW1363" s="73"/>
      <c r="BX1363" s="73"/>
      <c r="BY1363" s="73"/>
      <c r="BZ1363" s="73"/>
      <c r="CA1363" s="73"/>
      <c r="CB1363" s="73"/>
      <c r="CC1363" s="73"/>
      <c r="CD1363" s="73"/>
      <c r="CE1363" s="73"/>
      <c r="CF1363" s="73"/>
      <c r="CG1363" s="73"/>
      <c r="CH1363" s="73"/>
    </row>
    <row r="1364">
      <c r="A1364" s="80"/>
      <c r="B1364" s="80"/>
      <c r="C1364" s="80"/>
      <c r="D1364" s="80"/>
      <c r="E1364" s="124"/>
      <c r="F1364" s="80"/>
      <c r="G1364" s="80"/>
      <c r="H1364" s="80"/>
      <c r="I1364" s="80"/>
      <c r="J1364" s="196"/>
      <c r="K1364" s="196"/>
      <c r="L1364" s="196"/>
      <c r="M1364" s="196"/>
      <c r="N1364" s="196"/>
      <c r="O1364" s="196"/>
      <c r="P1364" s="196"/>
      <c r="Q1364" s="196"/>
      <c r="R1364" s="196"/>
      <c r="S1364" s="196"/>
      <c r="T1364" s="196"/>
      <c r="U1364" s="196"/>
      <c r="V1364" s="196"/>
      <c r="W1364" s="196"/>
      <c r="X1364" s="196"/>
      <c r="Y1364" s="196"/>
      <c r="Z1364" s="196"/>
      <c r="AA1364" s="196"/>
      <c r="AB1364" s="196"/>
      <c r="AC1364" s="196"/>
      <c r="AD1364" s="196"/>
      <c r="AE1364" s="196"/>
      <c r="AF1364" s="196"/>
      <c r="AG1364" s="196"/>
      <c r="AH1364" s="196"/>
      <c r="AI1364" s="196"/>
      <c r="AJ1364" s="197"/>
      <c r="AK1364" s="80"/>
      <c r="AL1364" s="80"/>
      <c r="AM1364" s="73"/>
      <c r="AN1364" s="73"/>
      <c r="AO1364" s="73"/>
      <c r="AP1364" s="73"/>
      <c r="AQ1364" s="73"/>
      <c r="AR1364" s="73"/>
      <c r="AS1364" s="73"/>
      <c r="AT1364" s="73"/>
      <c r="AU1364" s="73"/>
      <c r="AV1364" s="73"/>
      <c r="AW1364" s="73"/>
      <c r="AX1364" s="73"/>
      <c r="AY1364" s="73"/>
      <c r="AZ1364" s="73"/>
      <c r="BA1364" s="73"/>
      <c r="BB1364" s="73"/>
      <c r="BC1364" s="73"/>
      <c r="BD1364" s="73"/>
      <c r="BE1364" s="73"/>
      <c r="BF1364" s="73"/>
      <c r="BG1364" s="73"/>
      <c r="BH1364" s="73"/>
      <c r="BI1364" s="73"/>
      <c r="BJ1364" s="73"/>
      <c r="BK1364" s="73"/>
      <c r="BL1364" s="73"/>
      <c r="BM1364" s="73"/>
      <c r="BN1364" s="73"/>
      <c r="BO1364" s="73"/>
      <c r="BP1364" s="73"/>
      <c r="BQ1364" s="73"/>
      <c r="BR1364" s="73"/>
      <c r="BS1364" s="73"/>
      <c r="BT1364" s="73"/>
      <c r="BU1364" s="73"/>
      <c r="BV1364" s="73"/>
      <c r="BW1364" s="73"/>
      <c r="BX1364" s="73"/>
      <c r="BY1364" s="73"/>
      <c r="BZ1364" s="73"/>
      <c r="CA1364" s="73"/>
      <c r="CB1364" s="73"/>
      <c r="CC1364" s="73"/>
      <c r="CD1364" s="73"/>
      <c r="CE1364" s="73"/>
      <c r="CF1364" s="73"/>
      <c r="CG1364" s="73"/>
      <c r="CH1364" s="73"/>
    </row>
    <row r="1365">
      <c r="A1365" s="80"/>
      <c r="B1365" s="80"/>
      <c r="C1365" s="80"/>
      <c r="D1365" s="80"/>
      <c r="E1365" s="124"/>
      <c r="F1365" s="80"/>
      <c r="G1365" s="80"/>
      <c r="H1365" s="80"/>
      <c r="I1365" s="80"/>
      <c r="J1365" s="196"/>
      <c r="K1365" s="196"/>
      <c r="L1365" s="196"/>
      <c r="M1365" s="196"/>
      <c r="N1365" s="196"/>
      <c r="O1365" s="196"/>
      <c r="P1365" s="196"/>
      <c r="Q1365" s="196"/>
      <c r="R1365" s="196"/>
      <c r="S1365" s="196"/>
      <c r="T1365" s="196"/>
      <c r="U1365" s="196"/>
      <c r="V1365" s="196"/>
      <c r="W1365" s="196"/>
      <c r="X1365" s="196"/>
      <c r="Y1365" s="196"/>
      <c r="Z1365" s="196"/>
      <c r="AA1365" s="196"/>
      <c r="AB1365" s="196"/>
      <c r="AC1365" s="196"/>
      <c r="AD1365" s="196"/>
      <c r="AE1365" s="196"/>
      <c r="AF1365" s="196"/>
      <c r="AG1365" s="196"/>
      <c r="AH1365" s="196"/>
      <c r="AI1365" s="196"/>
      <c r="AJ1365" s="197"/>
      <c r="AK1365" s="80"/>
      <c r="AL1365" s="80"/>
      <c r="AM1365" s="73"/>
      <c r="AN1365" s="73"/>
      <c r="AO1365" s="73"/>
      <c r="AP1365" s="73"/>
      <c r="AQ1365" s="73"/>
      <c r="AR1365" s="73"/>
      <c r="AS1365" s="73"/>
      <c r="AT1365" s="73"/>
      <c r="AU1365" s="73"/>
      <c r="AV1365" s="73"/>
      <c r="AW1365" s="73"/>
      <c r="AX1365" s="73"/>
      <c r="AY1365" s="73"/>
      <c r="AZ1365" s="73"/>
      <c r="BA1365" s="73"/>
      <c r="BB1365" s="73"/>
      <c r="BC1365" s="73"/>
      <c r="BD1365" s="73"/>
      <c r="BE1365" s="73"/>
      <c r="BF1365" s="73"/>
      <c r="BG1365" s="73"/>
      <c r="BH1365" s="73"/>
      <c r="BI1365" s="73"/>
      <c r="BJ1365" s="73"/>
      <c r="BK1365" s="73"/>
      <c r="BL1365" s="73"/>
      <c r="BM1365" s="73"/>
      <c r="BN1365" s="73"/>
      <c r="BO1365" s="73"/>
      <c r="BP1365" s="73"/>
      <c r="BQ1365" s="73"/>
      <c r="BR1365" s="73"/>
      <c r="BS1365" s="73"/>
      <c r="BT1365" s="73"/>
      <c r="BU1365" s="73"/>
      <c r="BV1365" s="73"/>
      <c r="BW1365" s="73"/>
      <c r="BX1365" s="73"/>
      <c r="BY1365" s="73"/>
      <c r="BZ1365" s="73"/>
      <c r="CA1365" s="73"/>
      <c r="CB1365" s="73"/>
      <c r="CC1365" s="73"/>
      <c r="CD1365" s="73"/>
      <c r="CE1365" s="73"/>
      <c r="CF1365" s="73"/>
      <c r="CG1365" s="73"/>
      <c r="CH1365" s="73"/>
    </row>
    <row r="1366">
      <c r="A1366" s="80"/>
      <c r="B1366" s="80"/>
      <c r="C1366" s="80"/>
      <c r="D1366" s="80"/>
      <c r="E1366" s="124"/>
      <c r="F1366" s="80"/>
      <c r="G1366" s="80"/>
      <c r="H1366" s="80"/>
      <c r="I1366" s="80"/>
      <c r="J1366" s="196"/>
      <c r="K1366" s="196"/>
      <c r="L1366" s="196"/>
      <c r="M1366" s="196"/>
      <c r="N1366" s="196"/>
      <c r="O1366" s="196"/>
      <c r="P1366" s="196"/>
      <c r="Q1366" s="196"/>
      <c r="R1366" s="196"/>
      <c r="S1366" s="196"/>
      <c r="T1366" s="196"/>
      <c r="U1366" s="196"/>
      <c r="V1366" s="196"/>
      <c r="W1366" s="196"/>
      <c r="X1366" s="196"/>
      <c r="Y1366" s="196"/>
      <c r="Z1366" s="196"/>
      <c r="AA1366" s="196"/>
      <c r="AB1366" s="196"/>
      <c r="AC1366" s="196"/>
      <c r="AD1366" s="196"/>
      <c r="AE1366" s="196"/>
      <c r="AF1366" s="196"/>
      <c r="AG1366" s="196"/>
      <c r="AH1366" s="196"/>
      <c r="AI1366" s="196"/>
      <c r="AJ1366" s="197"/>
      <c r="AK1366" s="80"/>
      <c r="AL1366" s="80"/>
      <c r="AM1366" s="73"/>
      <c r="AN1366" s="73"/>
      <c r="AO1366" s="73"/>
      <c r="AP1366" s="73"/>
      <c r="AQ1366" s="73"/>
      <c r="AR1366" s="73"/>
      <c r="AS1366" s="73"/>
      <c r="AT1366" s="73"/>
      <c r="AU1366" s="73"/>
      <c r="AV1366" s="73"/>
      <c r="AW1366" s="73"/>
      <c r="AX1366" s="73"/>
      <c r="AY1366" s="73"/>
      <c r="AZ1366" s="73"/>
      <c r="BA1366" s="73"/>
      <c r="BB1366" s="73"/>
      <c r="BC1366" s="73"/>
      <c r="BD1366" s="73"/>
      <c r="BE1366" s="73"/>
      <c r="BF1366" s="73"/>
      <c r="BG1366" s="73"/>
      <c r="BH1366" s="73"/>
      <c r="BI1366" s="73"/>
      <c r="BJ1366" s="73"/>
      <c r="BK1366" s="73"/>
      <c r="BL1366" s="73"/>
      <c r="BM1366" s="73"/>
      <c r="BN1366" s="73"/>
      <c r="BO1366" s="73"/>
      <c r="BP1366" s="73"/>
      <c r="BQ1366" s="73"/>
      <c r="BR1366" s="73"/>
      <c r="BS1366" s="73"/>
      <c r="BT1366" s="73"/>
      <c r="BU1366" s="73"/>
      <c r="BV1366" s="73"/>
      <c r="BW1366" s="73"/>
      <c r="BX1366" s="73"/>
      <c r="BY1366" s="73"/>
      <c r="BZ1366" s="73"/>
      <c r="CA1366" s="73"/>
      <c r="CB1366" s="73"/>
      <c r="CC1366" s="73"/>
      <c r="CD1366" s="73"/>
      <c r="CE1366" s="73"/>
      <c r="CF1366" s="73"/>
      <c r="CG1366" s="73"/>
      <c r="CH1366" s="73"/>
    </row>
    <row r="1367">
      <c r="A1367" s="80"/>
      <c r="B1367" s="80"/>
      <c r="C1367" s="80"/>
      <c r="D1367" s="80"/>
      <c r="E1367" s="124"/>
      <c r="F1367" s="80"/>
      <c r="G1367" s="80"/>
      <c r="H1367" s="80"/>
      <c r="I1367" s="80"/>
      <c r="J1367" s="196"/>
      <c r="K1367" s="196"/>
      <c r="L1367" s="196"/>
      <c r="M1367" s="196"/>
      <c r="N1367" s="196"/>
      <c r="O1367" s="196"/>
      <c r="P1367" s="196"/>
      <c r="Q1367" s="196"/>
      <c r="R1367" s="196"/>
      <c r="S1367" s="196"/>
      <c r="T1367" s="196"/>
      <c r="U1367" s="196"/>
      <c r="V1367" s="196"/>
      <c r="W1367" s="196"/>
      <c r="X1367" s="196"/>
      <c r="Y1367" s="196"/>
      <c r="Z1367" s="196"/>
      <c r="AA1367" s="196"/>
      <c r="AB1367" s="196"/>
      <c r="AC1367" s="196"/>
      <c r="AD1367" s="196"/>
      <c r="AE1367" s="196"/>
      <c r="AF1367" s="196"/>
      <c r="AG1367" s="196"/>
      <c r="AH1367" s="196"/>
      <c r="AI1367" s="196"/>
      <c r="AJ1367" s="197"/>
      <c r="AK1367" s="80"/>
      <c r="AL1367" s="80"/>
      <c r="AM1367" s="73"/>
      <c r="AN1367" s="73"/>
      <c r="AO1367" s="73"/>
      <c r="AP1367" s="73"/>
      <c r="AQ1367" s="73"/>
      <c r="AR1367" s="73"/>
      <c r="AS1367" s="73"/>
      <c r="AT1367" s="73"/>
      <c r="AU1367" s="73"/>
      <c r="AV1367" s="73"/>
      <c r="AW1367" s="73"/>
      <c r="AX1367" s="73"/>
      <c r="AY1367" s="73"/>
      <c r="AZ1367" s="73"/>
      <c r="BA1367" s="73"/>
      <c r="BB1367" s="73"/>
      <c r="BC1367" s="73"/>
      <c r="BD1367" s="73"/>
      <c r="BE1367" s="73"/>
      <c r="BF1367" s="73"/>
      <c r="BG1367" s="73"/>
      <c r="BH1367" s="73"/>
      <c r="BI1367" s="73"/>
      <c r="BJ1367" s="73"/>
      <c r="BK1367" s="73"/>
      <c r="BL1367" s="73"/>
      <c r="BM1367" s="73"/>
      <c r="BN1367" s="73"/>
      <c r="BO1367" s="73"/>
      <c r="BP1367" s="73"/>
      <c r="BQ1367" s="73"/>
      <c r="BR1367" s="73"/>
      <c r="BS1367" s="73"/>
      <c r="BT1367" s="73"/>
      <c r="BU1367" s="73"/>
      <c r="BV1367" s="73"/>
      <c r="BW1367" s="73"/>
      <c r="BX1367" s="73"/>
      <c r="BY1367" s="73"/>
      <c r="BZ1367" s="73"/>
      <c r="CA1367" s="73"/>
      <c r="CB1367" s="73"/>
      <c r="CC1367" s="73"/>
      <c r="CD1367" s="73"/>
      <c r="CE1367" s="73"/>
      <c r="CF1367" s="73"/>
      <c r="CG1367" s="73"/>
      <c r="CH1367" s="73"/>
    </row>
    <row r="1368">
      <c r="A1368" s="80"/>
      <c r="B1368" s="80"/>
      <c r="C1368" s="80"/>
      <c r="D1368" s="80"/>
      <c r="E1368" s="124"/>
      <c r="F1368" s="80"/>
      <c r="G1368" s="80"/>
      <c r="H1368" s="80"/>
      <c r="I1368" s="80"/>
      <c r="J1368" s="196"/>
      <c r="K1368" s="196"/>
      <c r="L1368" s="196"/>
      <c r="M1368" s="196"/>
      <c r="N1368" s="196"/>
      <c r="O1368" s="196"/>
      <c r="P1368" s="196"/>
      <c r="Q1368" s="196"/>
      <c r="R1368" s="196"/>
      <c r="S1368" s="196"/>
      <c r="T1368" s="196"/>
      <c r="U1368" s="196"/>
      <c r="V1368" s="196"/>
      <c r="W1368" s="196"/>
      <c r="X1368" s="196"/>
      <c r="Y1368" s="196"/>
      <c r="Z1368" s="196"/>
      <c r="AA1368" s="196"/>
      <c r="AB1368" s="196"/>
      <c r="AC1368" s="196"/>
      <c r="AD1368" s="196"/>
      <c r="AE1368" s="196"/>
      <c r="AF1368" s="196"/>
      <c r="AG1368" s="196"/>
      <c r="AH1368" s="196"/>
      <c r="AI1368" s="196"/>
      <c r="AJ1368" s="197"/>
      <c r="AK1368" s="80"/>
      <c r="AL1368" s="80"/>
      <c r="AM1368" s="73"/>
      <c r="AN1368" s="73"/>
      <c r="AO1368" s="73"/>
      <c r="AP1368" s="73"/>
      <c r="AQ1368" s="73"/>
      <c r="AR1368" s="73"/>
      <c r="AS1368" s="73"/>
      <c r="AT1368" s="73"/>
      <c r="AU1368" s="73"/>
      <c r="AV1368" s="73"/>
      <c r="AW1368" s="73"/>
      <c r="AX1368" s="73"/>
      <c r="AY1368" s="73"/>
      <c r="AZ1368" s="73"/>
      <c r="BA1368" s="73"/>
      <c r="BB1368" s="73"/>
      <c r="BC1368" s="73"/>
      <c r="BD1368" s="73"/>
      <c r="BE1368" s="73"/>
      <c r="BF1368" s="73"/>
      <c r="BG1368" s="73"/>
      <c r="BH1368" s="73"/>
      <c r="BI1368" s="73"/>
      <c r="BJ1368" s="73"/>
      <c r="BK1368" s="73"/>
      <c r="BL1368" s="73"/>
      <c r="BM1368" s="73"/>
      <c r="BN1368" s="73"/>
      <c r="BO1368" s="73"/>
      <c r="BP1368" s="73"/>
      <c r="BQ1368" s="73"/>
      <c r="BR1368" s="73"/>
      <c r="BS1368" s="73"/>
      <c r="BT1368" s="73"/>
      <c r="BU1368" s="73"/>
      <c r="BV1368" s="73"/>
      <c r="BW1368" s="73"/>
      <c r="BX1368" s="73"/>
      <c r="BY1368" s="73"/>
      <c r="BZ1368" s="73"/>
      <c r="CA1368" s="73"/>
      <c r="CB1368" s="73"/>
      <c r="CC1368" s="73"/>
      <c r="CD1368" s="73"/>
      <c r="CE1368" s="73"/>
      <c r="CF1368" s="73"/>
      <c r="CG1368" s="73"/>
      <c r="CH1368" s="73"/>
    </row>
    <row r="1369">
      <c r="A1369" s="80"/>
      <c r="B1369" s="80"/>
      <c r="C1369" s="80"/>
      <c r="D1369" s="80"/>
      <c r="E1369" s="124"/>
      <c r="F1369" s="80"/>
      <c r="G1369" s="80"/>
      <c r="H1369" s="80"/>
      <c r="I1369" s="80"/>
      <c r="J1369" s="196"/>
      <c r="K1369" s="196"/>
      <c r="L1369" s="196"/>
      <c r="M1369" s="196"/>
      <c r="N1369" s="196"/>
      <c r="O1369" s="196"/>
      <c r="P1369" s="196"/>
      <c r="Q1369" s="196"/>
      <c r="R1369" s="196"/>
      <c r="S1369" s="196"/>
      <c r="T1369" s="196"/>
      <c r="U1369" s="196"/>
      <c r="V1369" s="196"/>
      <c r="W1369" s="196"/>
      <c r="X1369" s="196"/>
      <c r="Y1369" s="196"/>
      <c r="Z1369" s="196"/>
      <c r="AA1369" s="196"/>
      <c r="AB1369" s="196"/>
      <c r="AC1369" s="196"/>
      <c r="AD1369" s="196"/>
      <c r="AE1369" s="196"/>
      <c r="AF1369" s="196"/>
      <c r="AG1369" s="196"/>
      <c r="AH1369" s="196"/>
      <c r="AI1369" s="196"/>
      <c r="AJ1369" s="197"/>
      <c r="AK1369" s="80"/>
      <c r="AL1369" s="80"/>
      <c r="AM1369" s="73"/>
      <c r="AN1369" s="73"/>
      <c r="AO1369" s="73"/>
      <c r="AP1369" s="73"/>
      <c r="AQ1369" s="73"/>
      <c r="AR1369" s="73"/>
      <c r="AS1369" s="73"/>
      <c r="AT1369" s="73"/>
      <c r="AU1369" s="73"/>
      <c r="AV1369" s="73"/>
      <c r="AW1369" s="73"/>
      <c r="AX1369" s="73"/>
      <c r="AY1369" s="73"/>
      <c r="AZ1369" s="73"/>
      <c r="BA1369" s="73"/>
      <c r="BB1369" s="73"/>
      <c r="BC1369" s="73"/>
      <c r="BD1369" s="73"/>
      <c r="BE1369" s="73"/>
      <c r="BF1369" s="73"/>
      <c r="BG1369" s="73"/>
      <c r="BH1369" s="73"/>
      <c r="BI1369" s="73"/>
      <c r="BJ1369" s="73"/>
      <c r="BK1369" s="73"/>
      <c r="BL1369" s="73"/>
      <c r="BM1369" s="73"/>
      <c r="BN1369" s="73"/>
      <c r="BO1369" s="73"/>
      <c r="BP1369" s="73"/>
      <c r="BQ1369" s="73"/>
      <c r="BR1369" s="73"/>
      <c r="BS1369" s="73"/>
      <c r="BT1369" s="73"/>
      <c r="BU1369" s="73"/>
      <c r="BV1369" s="73"/>
      <c r="BW1369" s="73"/>
      <c r="BX1369" s="73"/>
      <c r="BY1369" s="73"/>
      <c r="BZ1369" s="73"/>
      <c r="CA1369" s="73"/>
      <c r="CB1369" s="73"/>
      <c r="CC1369" s="73"/>
      <c r="CD1369" s="73"/>
      <c r="CE1369" s="73"/>
      <c r="CF1369" s="73"/>
      <c r="CG1369" s="73"/>
      <c r="CH1369" s="73"/>
    </row>
    <row r="1370">
      <c r="A1370" s="80"/>
      <c r="B1370" s="80"/>
      <c r="C1370" s="80"/>
      <c r="D1370" s="80"/>
      <c r="E1370" s="124"/>
      <c r="F1370" s="80"/>
      <c r="G1370" s="80"/>
      <c r="H1370" s="80"/>
      <c r="I1370" s="80"/>
      <c r="J1370" s="196"/>
      <c r="K1370" s="196"/>
      <c r="L1370" s="196"/>
      <c r="M1370" s="196"/>
      <c r="N1370" s="196"/>
      <c r="O1370" s="196"/>
      <c r="P1370" s="196"/>
      <c r="Q1370" s="196"/>
      <c r="R1370" s="196"/>
      <c r="S1370" s="196"/>
      <c r="T1370" s="196"/>
      <c r="U1370" s="196"/>
      <c r="V1370" s="196"/>
      <c r="W1370" s="196"/>
      <c r="X1370" s="196"/>
      <c r="Y1370" s="196"/>
      <c r="Z1370" s="196"/>
      <c r="AA1370" s="196"/>
      <c r="AB1370" s="196"/>
      <c r="AC1370" s="196"/>
      <c r="AD1370" s="196"/>
      <c r="AE1370" s="196"/>
      <c r="AF1370" s="196"/>
      <c r="AG1370" s="196"/>
      <c r="AH1370" s="196"/>
      <c r="AI1370" s="196"/>
      <c r="AJ1370" s="197"/>
      <c r="AK1370" s="80"/>
      <c r="AL1370" s="80"/>
      <c r="AM1370" s="73"/>
      <c r="AN1370" s="73"/>
      <c r="AO1370" s="73"/>
      <c r="AP1370" s="73"/>
      <c r="AQ1370" s="73"/>
      <c r="AR1370" s="73"/>
      <c r="AS1370" s="73"/>
      <c r="AT1370" s="73"/>
      <c r="AU1370" s="73"/>
      <c r="AV1370" s="73"/>
      <c r="AW1370" s="73"/>
      <c r="AX1370" s="73"/>
      <c r="AY1370" s="73"/>
      <c r="AZ1370" s="73"/>
      <c r="BA1370" s="73"/>
      <c r="BB1370" s="73"/>
      <c r="BC1370" s="73"/>
      <c r="BD1370" s="73"/>
      <c r="BE1370" s="73"/>
      <c r="BF1370" s="73"/>
      <c r="BG1370" s="73"/>
      <c r="BH1370" s="73"/>
      <c r="BI1370" s="73"/>
      <c r="BJ1370" s="73"/>
      <c r="BK1370" s="73"/>
      <c r="BL1370" s="73"/>
      <c r="BM1370" s="73"/>
      <c r="BN1370" s="73"/>
      <c r="BO1370" s="73"/>
      <c r="BP1370" s="73"/>
      <c r="BQ1370" s="73"/>
      <c r="BR1370" s="73"/>
      <c r="BS1370" s="73"/>
      <c r="BT1370" s="73"/>
      <c r="BU1370" s="73"/>
      <c r="BV1370" s="73"/>
      <c r="BW1370" s="73"/>
      <c r="BX1370" s="73"/>
      <c r="BY1370" s="73"/>
      <c r="BZ1370" s="73"/>
      <c r="CA1370" s="73"/>
      <c r="CB1370" s="73"/>
      <c r="CC1370" s="73"/>
      <c r="CD1370" s="73"/>
      <c r="CE1370" s="73"/>
      <c r="CF1370" s="73"/>
      <c r="CG1370" s="73"/>
      <c r="CH1370" s="73"/>
    </row>
    <row r="1371">
      <c r="A1371" s="80"/>
      <c r="B1371" s="80"/>
      <c r="C1371" s="80"/>
      <c r="D1371" s="80"/>
      <c r="E1371" s="124"/>
      <c r="F1371" s="80"/>
      <c r="G1371" s="80"/>
      <c r="H1371" s="80"/>
      <c r="I1371" s="80"/>
      <c r="J1371" s="196"/>
      <c r="K1371" s="196"/>
      <c r="L1371" s="196"/>
      <c r="M1371" s="196"/>
      <c r="N1371" s="196"/>
      <c r="O1371" s="196"/>
      <c r="P1371" s="196"/>
      <c r="Q1371" s="196"/>
      <c r="R1371" s="196"/>
      <c r="S1371" s="196"/>
      <c r="T1371" s="196"/>
      <c r="U1371" s="196"/>
      <c r="V1371" s="196"/>
      <c r="W1371" s="196"/>
      <c r="X1371" s="196"/>
      <c r="Y1371" s="196"/>
      <c r="Z1371" s="196"/>
      <c r="AA1371" s="196"/>
      <c r="AB1371" s="196"/>
      <c r="AC1371" s="196"/>
      <c r="AD1371" s="196"/>
      <c r="AE1371" s="196"/>
      <c r="AF1371" s="196"/>
      <c r="AG1371" s="196"/>
      <c r="AH1371" s="196"/>
      <c r="AI1371" s="196"/>
      <c r="AJ1371" s="197"/>
      <c r="AK1371" s="80"/>
      <c r="AL1371" s="80"/>
      <c r="AM1371" s="73"/>
      <c r="AN1371" s="73"/>
      <c r="AO1371" s="73"/>
      <c r="AP1371" s="73"/>
      <c r="AQ1371" s="73"/>
      <c r="AR1371" s="73"/>
      <c r="AS1371" s="73"/>
      <c r="AT1371" s="73"/>
      <c r="AU1371" s="73"/>
      <c r="AV1371" s="73"/>
      <c r="AW1371" s="73"/>
      <c r="AX1371" s="73"/>
      <c r="AY1371" s="73"/>
      <c r="AZ1371" s="73"/>
      <c r="BA1371" s="73"/>
      <c r="BB1371" s="73"/>
      <c r="BC1371" s="73"/>
      <c r="BD1371" s="73"/>
      <c r="BE1371" s="73"/>
      <c r="BF1371" s="73"/>
      <c r="BG1371" s="73"/>
      <c r="BH1371" s="73"/>
      <c r="BI1371" s="73"/>
      <c r="BJ1371" s="73"/>
      <c r="BK1371" s="73"/>
      <c r="BL1371" s="73"/>
      <c r="BM1371" s="73"/>
      <c r="BN1371" s="73"/>
      <c r="BO1371" s="73"/>
      <c r="BP1371" s="73"/>
      <c r="BQ1371" s="73"/>
      <c r="BR1371" s="73"/>
      <c r="BS1371" s="73"/>
      <c r="BT1371" s="73"/>
      <c r="BU1371" s="73"/>
      <c r="BV1371" s="73"/>
      <c r="BW1371" s="73"/>
      <c r="BX1371" s="73"/>
      <c r="BY1371" s="73"/>
      <c r="BZ1371" s="73"/>
      <c r="CA1371" s="73"/>
      <c r="CB1371" s="73"/>
      <c r="CC1371" s="73"/>
      <c r="CD1371" s="73"/>
      <c r="CE1371" s="73"/>
      <c r="CF1371" s="73"/>
      <c r="CG1371" s="73"/>
      <c r="CH1371" s="73"/>
    </row>
    <row r="1372">
      <c r="A1372" s="80"/>
      <c r="B1372" s="80"/>
      <c r="C1372" s="80"/>
      <c r="D1372" s="80"/>
      <c r="E1372" s="124"/>
      <c r="F1372" s="80"/>
      <c r="G1372" s="80"/>
      <c r="H1372" s="80"/>
      <c r="I1372" s="80"/>
      <c r="J1372" s="196"/>
      <c r="K1372" s="196"/>
      <c r="L1372" s="196"/>
      <c r="M1372" s="196"/>
      <c r="N1372" s="196"/>
      <c r="O1372" s="196"/>
      <c r="P1372" s="196"/>
      <c r="Q1372" s="196"/>
      <c r="R1372" s="196"/>
      <c r="S1372" s="196"/>
      <c r="T1372" s="196"/>
      <c r="U1372" s="196"/>
      <c r="V1372" s="196"/>
      <c r="W1372" s="196"/>
      <c r="X1372" s="196"/>
      <c r="Y1372" s="196"/>
      <c r="Z1372" s="196"/>
      <c r="AA1372" s="196"/>
      <c r="AB1372" s="196"/>
      <c r="AC1372" s="196"/>
      <c r="AD1372" s="196"/>
      <c r="AE1372" s="196"/>
      <c r="AF1372" s="196"/>
      <c r="AG1372" s="196"/>
      <c r="AH1372" s="196"/>
      <c r="AI1372" s="196"/>
      <c r="AJ1372" s="197"/>
      <c r="AK1372" s="80"/>
      <c r="AL1372" s="80"/>
      <c r="AM1372" s="73"/>
      <c r="AN1372" s="73"/>
      <c r="AO1372" s="73"/>
      <c r="AP1372" s="73"/>
      <c r="AQ1372" s="73"/>
      <c r="AR1372" s="73"/>
      <c r="AS1372" s="73"/>
      <c r="AT1372" s="73"/>
      <c r="AU1372" s="73"/>
      <c r="AV1372" s="73"/>
      <c r="AW1372" s="73"/>
      <c r="AX1372" s="73"/>
      <c r="AY1372" s="73"/>
      <c r="AZ1372" s="73"/>
      <c r="BA1372" s="73"/>
      <c r="BB1372" s="73"/>
      <c r="BC1372" s="73"/>
      <c r="BD1372" s="73"/>
      <c r="BE1372" s="73"/>
      <c r="BF1372" s="73"/>
      <c r="BG1372" s="73"/>
      <c r="BH1372" s="73"/>
      <c r="BI1372" s="73"/>
      <c r="BJ1372" s="73"/>
      <c r="BK1372" s="73"/>
      <c r="BL1372" s="73"/>
      <c r="BM1372" s="73"/>
      <c r="BN1372" s="73"/>
      <c r="BO1372" s="73"/>
      <c r="BP1372" s="73"/>
      <c r="BQ1372" s="73"/>
      <c r="BR1372" s="73"/>
      <c r="BS1372" s="73"/>
      <c r="BT1372" s="73"/>
      <c r="BU1372" s="73"/>
      <c r="BV1372" s="73"/>
      <c r="BW1372" s="73"/>
      <c r="BX1372" s="73"/>
      <c r="BY1372" s="73"/>
      <c r="BZ1372" s="73"/>
      <c r="CA1372" s="73"/>
      <c r="CB1372" s="73"/>
      <c r="CC1372" s="73"/>
      <c r="CD1372" s="73"/>
      <c r="CE1372" s="73"/>
      <c r="CF1372" s="73"/>
      <c r="CG1372" s="73"/>
      <c r="CH1372" s="73"/>
    </row>
    <row r="1373">
      <c r="A1373" s="80"/>
      <c r="B1373" s="80"/>
      <c r="C1373" s="80"/>
      <c r="D1373" s="80"/>
      <c r="E1373" s="124"/>
      <c r="F1373" s="80"/>
      <c r="G1373" s="80"/>
      <c r="H1373" s="80"/>
      <c r="I1373" s="80"/>
      <c r="J1373" s="196"/>
      <c r="K1373" s="196"/>
      <c r="L1373" s="196"/>
      <c r="M1373" s="196"/>
      <c r="N1373" s="196"/>
      <c r="O1373" s="196"/>
      <c r="P1373" s="196"/>
      <c r="Q1373" s="196"/>
      <c r="R1373" s="196"/>
      <c r="S1373" s="196"/>
      <c r="T1373" s="196"/>
      <c r="U1373" s="196"/>
      <c r="V1373" s="196"/>
      <c r="W1373" s="196"/>
      <c r="X1373" s="196"/>
      <c r="Y1373" s="196"/>
      <c r="Z1373" s="196"/>
      <c r="AA1373" s="196"/>
      <c r="AB1373" s="196"/>
      <c r="AC1373" s="196"/>
      <c r="AD1373" s="196"/>
      <c r="AE1373" s="196"/>
      <c r="AF1373" s="196"/>
      <c r="AG1373" s="196"/>
      <c r="AH1373" s="196"/>
      <c r="AI1373" s="196"/>
      <c r="AJ1373" s="197"/>
      <c r="AK1373" s="80"/>
      <c r="AL1373" s="80"/>
      <c r="AM1373" s="73"/>
      <c r="AN1373" s="73"/>
      <c r="AO1373" s="73"/>
      <c r="AP1373" s="73"/>
      <c r="AQ1373" s="73"/>
      <c r="AR1373" s="73"/>
      <c r="AS1373" s="73"/>
      <c r="AT1373" s="73"/>
      <c r="AU1373" s="73"/>
      <c r="AV1373" s="73"/>
      <c r="AW1373" s="73"/>
      <c r="AX1373" s="73"/>
      <c r="AY1373" s="73"/>
      <c r="AZ1373" s="73"/>
      <c r="BA1373" s="73"/>
      <c r="BB1373" s="73"/>
      <c r="BC1373" s="73"/>
      <c r="BD1373" s="73"/>
      <c r="BE1373" s="73"/>
      <c r="BF1373" s="73"/>
      <c r="BG1373" s="73"/>
      <c r="BH1373" s="73"/>
      <c r="BI1373" s="73"/>
      <c r="BJ1373" s="73"/>
      <c r="BK1373" s="73"/>
      <c r="BL1373" s="73"/>
      <c r="BM1373" s="73"/>
      <c r="BN1373" s="73"/>
      <c r="BO1373" s="73"/>
      <c r="BP1373" s="73"/>
      <c r="BQ1373" s="73"/>
      <c r="BR1373" s="73"/>
      <c r="BS1373" s="73"/>
      <c r="BT1373" s="73"/>
      <c r="BU1373" s="73"/>
      <c r="BV1373" s="73"/>
      <c r="BW1373" s="73"/>
      <c r="BX1373" s="73"/>
      <c r="BY1373" s="73"/>
      <c r="BZ1373" s="73"/>
      <c r="CA1373" s="73"/>
      <c r="CB1373" s="73"/>
      <c r="CC1373" s="73"/>
      <c r="CD1373" s="73"/>
      <c r="CE1373" s="73"/>
      <c r="CF1373" s="73"/>
      <c r="CG1373" s="73"/>
      <c r="CH1373" s="73"/>
    </row>
    <row r="1374">
      <c r="A1374" s="80"/>
      <c r="B1374" s="80"/>
      <c r="C1374" s="80"/>
      <c r="D1374" s="80"/>
      <c r="E1374" s="124"/>
      <c r="F1374" s="80"/>
      <c r="G1374" s="80"/>
      <c r="H1374" s="80"/>
      <c r="I1374" s="80"/>
      <c r="J1374" s="196"/>
      <c r="K1374" s="196"/>
      <c r="L1374" s="196"/>
      <c r="M1374" s="196"/>
      <c r="N1374" s="196"/>
      <c r="O1374" s="196"/>
      <c r="P1374" s="196"/>
      <c r="Q1374" s="196"/>
      <c r="R1374" s="196"/>
      <c r="S1374" s="196"/>
      <c r="T1374" s="196"/>
      <c r="U1374" s="196"/>
      <c r="V1374" s="196"/>
      <c r="W1374" s="196"/>
      <c r="X1374" s="196"/>
      <c r="Y1374" s="196"/>
      <c r="Z1374" s="196"/>
      <c r="AA1374" s="196"/>
      <c r="AB1374" s="196"/>
      <c r="AC1374" s="196"/>
      <c r="AD1374" s="196"/>
      <c r="AE1374" s="196"/>
      <c r="AF1374" s="196"/>
      <c r="AG1374" s="196"/>
      <c r="AH1374" s="196"/>
      <c r="AI1374" s="196"/>
      <c r="AJ1374" s="197"/>
      <c r="AK1374" s="80"/>
      <c r="AL1374" s="80"/>
      <c r="AM1374" s="73"/>
      <c r="AN1374" s="73"/>
      <c r="AO1374" s="73"/>
      <c r="AP1374" s="73"/>
      <c r="AQ1374" s="73"/>
      <c r="AR1374" s="73"/>
      <c r="AS1374" s="73"/>
      <c r="AT1374" s="73"/>
      <c r="AU1374" s="73"/>
      <c r="AV1374" s="73"/>
      <c r="AW1374" s="73"/>
      <c r="AX1374" s="73"/>
      <c r="AY1374" s="73"/>
      <c r="AZ1374" s="73"/>
      <c r="BA1374" s="73"/>
      <c r="BB1374" s="73"/>
      <c r="BC1374" s="73"/>
      <c r="BD1374" s="73"/>
      <c r="BE1374" s="73"/>
      <c r="BF1374" s="73"/>
      <c r="BG1374" s="73"/>
      <c r="BH1374" s="73"/>
      <c r="BI1374" s="73"/>
      <c r="BJ1374" s="73"/>
      <c r="BK1374" s="73"/>
      <c r="BL1374" s="73"/>
      <c r="BM1374" s="73"/>
      <c r="BN1374" s="73"/>
      <c r="BO1374" s="73"/>
      <c r="BP1374" s="73"/>
      <c r="BQ1374" s="73"/>
      <c r="BR1374" s="73"/>
      <c r="BS1374" s="73"/>
      <c r="BT1374" s="73"/>
      <c r="BU1374" s="73"/>
      <c r="BV1374" s="73"/>
      <c r="BW1374" s="73"/>
      <c r="BX1374" s="73"/>
      <c r="BY1374" s="73"/>
      <c r="BZ1374" s="73"/>
      <c r="CA1374" s="73"/>
      <c r="CB1374" s="73"/>
      <c r="CC1374" s="73"/>
      <c r="CD1374" s="73"/>
      <c r="CE1374" s="73"/>
      <c r="CF1374" s="73"/>
      <c r="CG1374" s="73"/>
      <c r="CH1374" s="73"/>
    </row>
    <row r="1375">
      <c r="A1375" s="80"/>
      <c r="B1375" s="80"/>
      <c r="C1375" s="80"/>
      <c r="D1375" s="80"/>
      <c r="E1375" s="124"/>
      <c r="F1375" s="80"/>
      <c r="G1375" s="80"/>
      <c r="H1375" s="80"/>
      <c r="I1375" s="80"/>
      <c r="J1375" s="196"/>
      <c r="K1375" s="196"/>
      <c r="L1375" s="196"/>
      <c r="M1375" s="196"/>
      <c r="N1375" s="196"/>
      <c r="O1375" s="196"/>
      <c r="P1375" s="196"/>
      <c r="Q1375" s="196"/>
      <c r="R1375" s="196"/>
      <c r="S1375" s="196"/>
      <c r="T1375" s="196"/>
      <c r="U1375" s="196"/>
      <c r="V1375" s="196"/>
      <c r="W1375" s="196"/>
      <c r="X1375" s="196"/>
      <c r="Y1375" s="196"/>
      <c r="Z1375" s="196"/>
      <c r="AA1375" s="196"/>
      <c r="AB1375" s="196"/>
      <c r="AC1375" s="196"/>
      <c r="AD1375" s="196"/>
      <c r="AE1375" s="196"/>
      <c r="AF1375" s="196"/>
      <c r="AG1375" s="196"/>
      <c r="AH1375" s="196"/>
      <c r="AI1375" s="196"/>
      <c r="AJ1375" s="197"/>
      <c r="AK1375" s="80"/>
      <c r="AL1375" s="80"/>
      <c r="AM1375" s="73"/>
      <c r="AN1375" s="73"/>
      <c r="AO1375" s="73"/>
      <c r="AP1375" s="73"/>
      <c r="AQ1375" s="73"/>
      <c r="AR1375" s="73"/>
      <c r="AS1375" s="73"/>
      <c r="AT1375" s="73"/>
      <c r="AU1375" s="73"/>
      <c r="AV1375" s="73"/>
      <c r="AW1375" s="73"/>
      <c r="AX1375" s="73"/>
      <c r="AY1375" s="73"/>
      <c r="AZ1375" s="73"/>
      <c r="BA1375" s="73"/>
      <c r="BB1375" s="73"/>
      <c r="BC1375" s="73"/>
      <c r="BD1375" s="73"/>
      <c r="BE1375" s="73"/>
      <c r="BF1375" s="73"/>
      <c r="BG1375" s="73"/>
      <c r="BH1375" s="73"/>
      <c r="BI1375" s="73"/>
      <c r="BJ1375" s="73"/>
      <c r="BK1375" s="73"/>
      <c r="BL1375" s="73"/>
      <c r="BM1375" s="73"/>
      <c r="BN1375" s="73"/>
      <c r="BO1375" s="73"/>
      <c r="BP1375" s="73"/>
      <c r="BQ1375" s="73"/>
      <c r="BR1375" s="73"/>
      <c r="BS1375" s="73"/>
      <c r="BT1375" s="73"/>
      <c r="BU1375" s="73"/>
      <c r="BV1375" s="73"/>
      <c r="BW1375" s="73"/>
      <c r="BX1375" s="73"/>
      <c r="BY1375" s="73"/>
      <c r="BZ1375" s="73"/>
      <c r="CA1375" s="73"/>
      <c r="CB1375" s="73"/>
      <c r="CC1375" s="73"/>
      <c r="CD1375" s="73"/>
      <c r="CE1375" s="73"/>
      <c r="CF1375" s="73"/>
      <c r="CG1375" s="73"/>
      <c r="CH1375" s="73"/>
    </row>
    <row r="1376">
      <c r="A1376" s="80"/>
      <c r="B1376" s="80"/>
      <c r="C1376" s="80"/>
      <c r="D1376" s="80"/>
      <c r="E1376" s="124"/>
      <c r="F1376" s="80"/>
      <c r="G1376" s="80"/>
      <c r="H1376" s="80"/>
      <c r="I1376" s="80"/>
      <c r="J1376" s="196"/>
      <c r="K1376" s="196"/>
      <c r="L1376" s="196"/>
      <c r="M1376" s="196"/>
      <c r="N1376" s="196"/>
      <c r="O1376" s="196"/>
      <c r="P1376" s="196"/>
      <c r="Q1376" s="196"/>
      <c r="R1376" s="196"/>
      <c r="S1376" s="196"/>
      <c r="T1376" s="196"/>
      <c r="U1376" s="196"/>
      <c r="V1376" s="196"/>
      <c r="W1376" s="196"/>
      <c r="X1376" s="196"/>
      <c r="Y1376" s="196"/>
      <c r="Z1376" s="196"/>
      <c r="AA1376" s="196"/>
      <c r="AB1376" s="196"/>
      <c r="AC1376" s="196"/>
      <c r="AD1376" s="196"/>
      <c r="AE1376" s="196"/>
      <c r="AF1376" s="196"/>
      <c r="AG1376" s="196"/>
      <c r="AH1376" s="196"/>
      <c r="AI1376" s="196"/>
      <c r="AJ1376" s="197"/>
      <c r="AK1376" s="80"/>
      <c r="AL1376" s="80"/>
      <c r="AM1376" s="73"/>
      <c r="AN1376" s="73"/>
      <c r="AO1376" s="73"/>
      <c r="AP1376" s="73"/>
      <c r="AQ1376" s="73"/>
      <c r="AR1376" s="73"/>
      <c r="AS1376" s="73"/>
      <c r="AT1376" s="73"/>
      <c r="AU1376" s="73"/>
      <c r="AV1376" s="73"/>
      <c r="AW1376" s="73"/>
      <c r="AX1376" s="73"/>
      <c r="AY1376" s="73"/>
      <c r="AZ1376" s="73"/>
      <c r="BA1376" s="73"/>
      <c r="BB1376" s="73"/>
      <c r="BC1376" s="73"/>
      <c r="BD1376" s="73"/>
      <c r="BE1376" s="73"/>
      <c r="BF1376" s="73"/>
      <c r="BG1376" s="73"/>
      <c r="BH1376" s="73"/>
      <c r="BI1376" s="73"/>
      <c r="BJ1376" s="73"/>
      <c r="BK1376" s="73"/>
      <c r="BL1376" s="73"/>
      <c r="BM1376" s="73"/>
      <c r="BN1376" s="73"/>
      <c r="BO1376" s="73"/>
      <c r="BP1376" s="73"/>
      <c r="BQ1376" s="73"/>
      <c r="BR1376" s="73"/>
      <c r="BS1376" s="73"/>
      <c r="BT1376" s="73"/>
      <c r="BU1376" s="73"/>
      <c r="BV1376" s="73"/>
      <c r="BW1376" s="73"/>
      <c r="BX1376" s="73"/>
      <c r="BY1376" s="73"/>
      <c r="BZ1376" s="73"/>
      <c r="CA1376" s="73"/>
      <c r="CB1376" s="73"/>
      <c r="CC1376" s="73"/>
      <c r="CD1376" s="73"/>
      <c r="CE1376" s="73"/>
      <c r="CF1376" s="73"/>
      <c r="CG1376" s="73"/>
      <c r="CH1376" s="73"/>
    </row>
    <row r="1377">
      <c r="A1377" s="80"/>
      <c r="B1377" s="80"/>
      <c r="C1377" s="80"/>
      <c r="D1377" s="80"/>
      <c r="E1377" s="124"/>
      <c r="F1377" s="80"/>
      <c r="G1377" s="80"/>
      <c r="H1377" s="80"/>
      <c r="I1377" s="80"/>
      <c r="J1377" s="196"/>
      <c r="K1377" s="196"/>
      <c r="L1377" s="196"/>
      <c r="M1377" s="196"/>
      <c r="N1377" s="196"/>
      <c r="O1377" s="196"/>
      <c r="P1377" s="196"/>
      <c r="Q1377" s="196"/>
      <c r="R1377" s="196"/>
      <c r="S1377" s="196"/>
      <c r="T1377" s="196"/>
      <c r="U1377" s="196"/>
      <c r="V1377" s="196"/>
      <c r="W1377" s="196"/>
      <c r="X1377" s="196"/>
      <c r="Y1377" s="196"/>
      <c r="Z1377" s="196"/>
      <c r="AA1377" s="196"/>
      <c r="AB1377" s="196"/>
      <c r="AC1377" s="196"/>
      <c r="AD1377" s="196"/>
      <c r="AE1377" s="196"/>
      <c r="AF1377" s="196"/>
      <c r="AG1377" s="196"/>
      <c r="AH1377" s="196"/>
      <c r="AI1377" s="196"/>
      <c r="AJ1377" s="197"/>
      <c r="AK1377" s="80"/>
      <c r="AL1377" s="80"/>
      <c r="AM1377" s="73"/>
      <c r="AN1377" s="73"/>
      <c r="AO1377" s="73"/>
      <c r="AP1377" s="73"/>
      <c r="AQ1377" s="73"/>
      <c r="AR1377" s="73"/>
      <c r="AS1377" s="73"/>
      <c r="AT1377" s="73"/>
      <c r="AU1377" s="73"/>
      <c r="AV1377" s="73"/>
      <c r="AW1377" s="73"/>
      <c r="AX1377" s="73"/>
      <c r="AY1377" s="73"/>
      <c r="AZ1377" s="73"/>
      <c r="BA1377" s="73"/>
      <c r="BB1377" s="73"/>
      <c r="BC1377" s="73"/>
      <c r="BD1377" s="73"/>
      <c r="BE1377" s="73"/>
      <c r="BF1377" s="73"/>
      <c r="BG1377" s="73"/>
      <c r="BH1377" s="73"/>
      <c r="BI1377" s="73"/>
      <c r="BJ1377" s="73"/>
      <c r="BK1377" s="73"/>
      <c r="BL1377" s="73"/>
      <c r="BM1377" s="73"/>
      <c r="BN1377" s="73"/>
      <c r="BO1377" s="73"/>
      <c r="BP1377" s="73"/>
      <c r="BQ1377" s="73"/>
      <c r="BR1377" s="73"/>
      <c r="BS1377" s="73"/>
      <c r="BT1377" s="73"/>
      <c r="BU1377" s="73"/>
      <c r="BV1377" s="73"/>
      <c r="BW1377" s="73"/>
      <c r="BX1377" s="73"/>
      <c r="BY1377" s="73"/>
      <c r="BZ1377" s="73"/>
      <c r="CA1377" s="73"/>
      <c r="CB1377" s="73"/>
      <c r="CC1377" s="73"/>
      <c r="CD1377" s="73"/>
      <c r="CE1377" s="73"/>
      <c r="CF1377" s="73"/>
      <c r="CG1377" s="73"/>
      <c r="CH1377" s="73"/>
    </row>
    <row r="1378">
      <c r="A1378" s="80"/>
      <c r="B1378" s="80"/>
      <c r="C1378" s="80"/>
      <c r="D1378" s="80"/>
      <c r="E1378" s="124"/>
      <c r="F1378" s="80"/>
      <c r="G1378" s="80"/>
      <c r="H1378" s="80"/>
      <c r="I1378" s="80"/>
      <c r="J1378" s="196"/>
      <c r="K1378" s="196"/>
      <c r="L1378" s="196"/>
      <c r="M1378" s="196"/>
      <c r="N1378" s="196"/>
      <c r="O1378" s="196"/>
      <c r="P1378" s="196"/>
      <c r="Q1378" s="196"/>
      <c r="R1378" s="196"/>
      <c r="S1378" s="196"/>
      <c r="T1378" s="196"/>
      <c r="U1378" s="196"/>
      <c r="V1378" s="196"/>
      <c r="W1378" s="196"/>
      <c r="X1378" s="196"/>
      <c r="Y1378" s="196"/>
      <c r="Z1378" s="196"/>
      <c r="AA1378" s="196"/>
      <c r="AB1378" s="196"/>
      <c r="AC1378" s="196"/>
      <c r="AD1378" s="196"/>
      <c r="AE1378" s="196"/>
      <c r="AF1378" s="196"/>
      <c r="AG1378" s="196"/>
      <c r="AH1378" s="196"/>
      <c r="AI1378" s="196"/>
      <c r="AJ1378" s="197"/>
      <c r="AK1378" s="80"/>
      <c r="AL1378" s="80"/>
      <c r="AM1378" s="73"/>
      <c r="AN1378" s="73"/>
      <c r="AO1378" s="73"/>
      <c r="AP1378" s="73"/>
      <c r="AQ1378" s="73"/>
      <c r="AR1378" s="73"/>
      <c r="AS1378" s="73"/>
      <c r="AT1378" s="73"/>
      <c r="AU1378" s="73"/>
      <c r="AV1378" s="73"/>
      <c r="AW1378" s="73"/>
      <c r="AX1378" s="73"/>
      <c r="AY1378" s="73"/>
      <c r="AZ1378" s="73"/>
      <c r="BA1378" s="73"/>
      <c r="BB1378" s="73"/>
      <c r="BC1378" s="73"/>
      <c r="BD1378" s="73"/>
      <c r="BE1378" s="73"/>
      <c r="BF1378" s="73"/>
      <c r="BG1378" s="73"/>
      <c r="BH1378" s="73"/>
      <c r="BI1378" s="73"/>
      <c r="BJ1378" s="73"/>
      <c r="BK1378" s="73"/>
      <c r="BL1378" s="73"/>
      <c r="BM1378" s="73"/>
      <c r="BN1378" s="73"/>
      <c r="BO1378" s="73"/>
      <c r="BP1378" s="73"/>
      <c r="BQ1378" s="73"/>
      <c r="BR1378" s="73"/>
      <c r="BS1378" s="73"/>
      <c r="BT1378" s="73"/>
      <c r="BU1378" s="73"/>
      <c r="BV1378" s="73"/>
      <c r="BW1378" s="73"/>
      <c r="BX1378" s="73"/>
      <c r="BY1378" s="73"/>
      <c r="BZ1378" s="73"/>
      <c r="CA1378" s="73"/>
      <c r="CB1378" s="73"/>
      <c r="CC1378" s="73"/>
      <c r="CD1378" s="73"/>
      <c r="CE1378" s="73"/>
      <c r="CF1378" s="73"/>
      <c r="CG1378" s="73"/>
      <c r="CH1378" s="73"/>
    </row>
    <row r="1379">
      <c r="A1379" s="80"/>
      <c r="B1379" s="80"/>
      <c r="C1379" s="80"/>
      <c r="D1379" s="80"/>
      <c r="E1379" s="124"/>
      <c r="F1379" s="80"/>
      <c r="G1379" s="80"/>
      <c r="H1379" s="80"/>
      <c r="I1379" s="80"/>
      <c r="J1379" s="196"/>
      <c r="K1379" s="196"/>
      <c r="L1379" s="196"/>
      <c r="M1379" s="196"/>
      <c r="N1379" s="196"/>
      <c r="O1379" s="196"/>
      <c r="P1379" s="196"/>
      <c r="Q1379" s="196"/>
      <c r="R1379" s="196"/>
      <c r="S1379" s="196"/>
      <c r="T1379" s="196"/>
      <c r="U1379" s="196"/>
      <c r="V1379" s="196"/>
      <c r="W1379" s="196"/>
      <c r="X1379" s="196"/>
      <c r="Y1379" s="196"/>
      <c r="Z1379" s="196"/>
      <c r="AA1379" s="196"/>
      <c r="AB1379" s="196"/>
      <c r="AC1379" s="196"/>
      <c r="AD1379" s="196"/>
      <c r="AE1379" s="196"/>
      <c r="AF1379" s="196"/>
      <c r="AG1379" s="196"/>
      <c r="AH1379" s="196"/>
      <c r="AI1379" s="196"/>
      <c r="AJ1379" s="197"/>
      <c r="AK1379" s="80"/>
      <c r="AL1379" s="80"/>
      <c r="AM1379" s="73"/>
      <c r="AN1379" s="73"/>
      <c r="AO1379" s="73"/>
      <c r="AP1379" s="73"/>
      <c r="AQ1379" s="73"/>
      <c r="AR1379" s="73"/>
      <c r="AS1379" s="73"/>
      <c r="AT1379" s="73"/>
      <c r="AU1379" s="73"/>
      <c r="AV1379" s="73"/>
      <c r="AW1379" s="73"/>
      <c r="AX1379" s="73"/>
      <c r="AY1379" s="73"/>
      <c r="AZ1379" s="73"/>
      <c r="BA1379" s="73"/>
      <c r="BB1379" s="73"/>
      <c r="BC1379" s="73"/>
      <c r="BD1379" s="73"/>
      <c r="BE1379" s="73"/>
      <c r="BF1379" s="73"/>
      <c r="BG1379" s="73"/>
      <c r="BH1379" s="73"/>
      <c r="BI1379" s="73"/>
      <c r="BJ1379" s="73"/>
      <c r="BK1379" s="73"/>
      <c r="BL1379" s="73"/>
      <c r="BM1379" s="73"/>
      <c r="BN1379" s="73"/>
      <c r="BO1379" s="73"/>
      <c r="BP1379" s="73"/>
      <c r="BQ1379" s="73"/>
      <c r="BR1379" s="73"/>
      <c r="BS1379" s="73"/>
      <c r="BT1379" s="73"/>
      <c r="BU1379" s="73"/>
      <c r="BV1379" s="73"/>
      <c r="BW1379" s="73"/>
      <c r="BX1379" s="73"/>
      <c r="BY1379" s="73"/>
      <c r="BZ1379" s="73"/>
      <c r="CA1379" s="73"/>
      <c r="CB1379" s="73"/>
      <c r="CC1379" s="73"/>
      <c r="CD1379" s="73"/>
      <c r="CE1379" s="73"/>
      <c r="CF1379" s="73"/>
      <c r="CG1379" s="73"/>
      <c r="CH1379" s="73"/>
    </row>
    <row r="1380">
      <c r="A1380" s="80"/>
      <c r="B1380" s="80"/>
      <c r="C1380" s="80"/>
      <c r="D1380" s="80"/>
      <c r="E1380" s="124"/>
      <c r="F1380" s="80"/>
      <c r="G1380" s="80"/>
      <c r="H1380" s="80"/>
      <c r="I1380" s="80"/>
      <c r="J1380" s="196"/>
      <c r="K1380" s="196"/>
      <c r="L1380" s="196"/>
      <c r="M1380" s="196"/>
      <c r="N1380" s="196"/>
      <c r="O1380" s="196"/>
      <c r="P1380" s="196"/>
      <c r="Q1380" s="196"/>
      <c r="R1380" s="196"/>
      <c r="S1380" s="196"/>
      <c r="T1380" s="196"/>
      <c r="U1380" s="196"/>
      <c r="V1380" s="196"/>
      <c r="W1380" s="196"/>
      <c r="X1380" s="196"/>
      <c r="Y1380" s="196"/>
      <c r="Z1380" s="196"/>
      <c r="AA1380" s="196"/>
      <c r="AB1380" s="196"/>
      <c r="AC1380" s="196"/>
      <c r="AD1380" s="196"/>
      <c r="AE1380" s="196"/>
      <c r="AF1380" s="196"/>
      <c r="AG1380" s="196"/>
      <c r="AH1380" s="196"/>
      <c r="AI1380" s="196"/>
      <c r="AJ1380" s="197"/>
      <c r="AK1380" s="80"/>
      <c r="AL1380" s="80"/>
      <c r="AM1380" s="73"/>
      <c r="AN1380" s="73"/>
      <c r="AO1380" s="73"/>
      <c r="AP1380" s="73"/>
      <c r="AQ1380" s="73"/>
      <c r="AR1380" s="73"/>
      <c r="AS1380" s="73"/>
      <c r="AT1380" s="73"/>
      <c r="AU1380" s="73"/>
      <c r="AV1380" s="73"/>
      <c r="AW1380" s="73"/>
      <c r="AX1380" s="73"/>
      <c r="AY1380" s="73"/>
      <c r="AZ1380" s="73"/>
      <c r="BA1380" s="73"/>
      <c r="BB1380" s="73"/>
      <c r="BC1380" s="73"/>
      <c r="BD1380" s="73"/>
      <c r="BE1380" s="73"/>
      <c r="BF1380" s="73"/>
      <c r="BG1380" s="73"/>
      <c r="BH1380" s="73"/>
      <c r="BI1380" s="73"/>
      <c r="BJ1380" s="73"/>
      <c r="BK1380" s="73"/>
      <c r="BL1380" s="73"/>
      <c r="BM1380" s="73"/>
      <c r="BN1380" s="73"/>
      <c r="BO1380" s="73"/>
      <c r="BP1380" s="73"/>
      <c r="BQ1380" s="73"/>
      <c r="BR1380" s="73"/>
      <c r="BS1380" s="73"/>
      <c r="BT1380" s="73"/>
      <c r="BU1380" s="73"/>
      <c r="BV1380" s="73"/>
      <c r="BW1380" s="73"/>
      <c r="BX1380" s="73"/>
      <c r="BY1380" s="73"/>
      <c r="BZ1380" s="73"/>
      <c r="CA1380" s="73"/>
      <c r="CB1380" s="73"/>
      <c r="CC1380" s="73"/>
      <c r="CD1380" s="73"/>
      <c r="CE1380" s="73"/>
      <c r="CF1380" s="73"/>
      <c r="CG1380" s="73"/>
      <c r="CH1380" s="73"/>
    </row>
    <row r="1381">
      <c r="A1381" s="80"/>
      <c r="B1381" s="80"/>
      <c r="C1381" s="80"/>
      <c r="D1381" s="80"/>
      <c r="E1381" s="124"/>
      <c r="F1381" s="80"/>
      <c r="G1381" s="80"/>
      <c r="H1381" s="80"/>
      <c r="I1381" s="80"/>
      <c r="J1381" s="196"/>
      <c r="K1381" s="196"/>
      <c r="L1381" s="196"/>
      <c r="M1381" s="196"/>
      <c r="N1381" s="196"/>
      <c r="O1381" s="196"/>
      <c r="P1381" s="196"/>
      <c r="Q1381" s="196"/>
      <c r="R1381" s="196"/>
      <c r="S1381" s="196"/>
      <c r="T1381" s="196"/>
      <c r="U1381" s="196"/>
      <c r="V1381" s="196"/>
      <c r="W1381" s="196"/>
      <c r="X1381" s="196"/>
      <c r="Y1381" s="196"/>
      <c r="Z1381" s="196"/>
      <c r="AA1381" s="196"/>
      <c r="AB1381" s="196"/>
      <c r="AC1381" s="196"/>
      <c r="AD1381" s="196"/>
      <c r="AE1381" s="196"/>
      <c r="AF1381" s="196"/>
      <c r="AG1381" s="196"/>
      <c r="AH1381" s="196"/>
      <c r="AI1381" s="196"/>
      <c r="AJ1381" s="197"/>
      <c r="AK1381" s="80"/>
      <c r="AL1381" s="80"/>
      <c r="AM1381" s="73"/>
      <c r="AN1381" s="73"/>
      <c r="AO1381" s="73"/>
      <c r="AP1381" s="73"/>
      <c r="AQ1381" s="73"/>
      <c r="AR1381" s="73"/>
      <c r="AS1381" s="73"/>
      <c r="AT1381" s="73"/>
      <c r="AU1381" s="73"/>
      <c r="AV1381" s="73"/>
      <c r="AW1381" s="73"/>
      <c r="AX1381" s="73"/>
      <c r="AY1381" s="73"/>
      <c r="AZ1381" s="73"/>
      <c r="BA1381" s="73"/>
      <c r="BB1381" s="73"/>
      <c r="BC1381" s="73"/>
      <c r="BD1381" s="73"/>
      <c r="BE1381" s="73"/>
      <c r="BF1381" s="73"/>
      <c r="BG1381" s="73"/>
      <c r="BH1381" s="73"/>
      <c r="BI1381" s="73"/>
      <c r="BJ1381" s="73"/>
      <c r="BK1381" s="73"/>
      <c r="BL1381" s="73"/>
      <c r="BM1381" s="73"/>
      <c r="BN1381" s="73"/>
      <c r="BO1381" s="73"/>
      <c r="BP1381" s="73"/>
      <c r="BQ1381" s="73"/>
      <c r="BR1381" s="73"/>
      <c r="BS1381" s="73"/>
      <c r="BT1381" s="73"/>
      <c r="BU1381" s="73"/>
      <c r="BV1381" s="73"/>
      <c r="BW1381" s="73"/>
      <c r="BX1381" s="73"/>
      <c r="BY1381" s="73"/>
      <c r="BZ1381" s="73"/>
      <c r="CA1381" s="73"/>
      <c r="CB1381" s="73"/>
      <c r="CC1381" s="73"/>
      <c r="CD1381" s="73"/>
      <c r="CE1381" s="73"/>
      <c r="CF1381" s="73"/>
      <c r="CG1381" s="73"/>
      <c r="CH1381" s="73"/>
    </row>
    <row r="1382">
      <c r="A1382" s="80"/>
      <c r="B1382" s="80"/>
      <c r="C1382" s="80"/>
      <c r="D1382" s="80"/>
      <c r="E1382" s="124"/>
      <c r="F1382" s="80"/>
      <c r="G1382" s="80"/>
      <c r="H1382" s="80"/>
      <c r="I1382" s="80"/>
      <c r="J1382" s="196"/>
      <c r="K1382" s="196"/>
      <c r="L1382" s="196"/>
      <c r="M1382" s="196"/>
      <c r="N1382" s="196"/>
      <c r="O1382" s="196"/>
      <c r="P1382" s="196"/>
      <c r="Q1382" s="196"/>
      <c r="R1382" s="196"/>
      <c r="S1382" s="196"/>
      <c r="T1382" s="196"/>
      <c r="U1382" s="196"/>
      <c r="V1382" s="196"/>
      <c r="W1382" s="196"/>
      <c r="X1382" s="196"/>
      <c r="Y1382" s="196"/>
      <c r="Z1382" s="196"/>
      <c r="AA1382" s="196"/>
      <c r="AB1382" s="196"/>
      <c r="AC1382" s="196"/>
      <c r="AD1382" s="196"/>
      <c r="AE1382" s="196"/>
      <c r="AF1382" s="196"/>
      <c r="AG1382" s="196"/>
      <c r="AH1382" s="196"/>
      <c r="AI1382" s="196"/>
      <c r="AJ1382" s="197"/>
      <c r="AK1382" s="80"/>
      <c r="AL1382" s="80"/>
      <c r="AM1382" s="73"/>
      <c r="AN1382" s="73"/>
      <c r="AO1382" s="73"/>
      <c r="AP1382" s="73"/>
      <c r="AQ1382" s="73"/>
      <c r="AR1382" s="73"/>
      <c r="AS1382" s="73"/>
      <c r="AT1382" s="73"/>
      <c r="AU1382" s="73"/>
      <c r="AV1382" s="73"/>
      <c r="AW1382" s="73"/>
      <c r="AX1382" s="73"/>
      <c r="AY1382" s="73"/>
      <c r="AZ1382" s="73"/>
      <c r="BA1382" s="73"/>
      <c r="BB1382" s="73"/>
      <c r="BC1382" s="73"/>
      <c r="BD1382" s="73"/>
      <c r="BE1382" s="73"/>
      <c r="BF1382" s="73"/>
      <c r="BG1382" s="73"/>
      <c r="BH1382" s="73"/>
      <c r="BI1382" s="73"/>
      <c r="BJ1382" s="73"/>
      <c r="BK1382" s="73"/>
      <c r="BL1382" s="73"/>
      <c r="BM1382" s="73"/>
      <c r="BN1382" s="73"/>
      <c r="BO1382" s="73"/>
      <c r="BP1382" s="73"/>
      <c r="BQ1382" s="73"/>
      <c r="BR1382" s="73"/>
      <c r="BS1382" s="73"/>
      <c r="BT1382" s="73"/>
      <c r="BU1382" s="73"/>
      <c r="BV1382" s="73"/>
      <c r="BW1382" s="73"/>
      <c r="BX1382" s="73"/>
      <c r="BY1382" s="73"/>
      <c r="BZ1382" s="73"/>
      <c r="CA1382" s="73"/>
      <c r="CB1382" s="73"/>
      <c r="CC1382" s="73"/>
      <c r="CD1382" s="73"/>
      <c r="CE1382" s="73"/>
      <c r="CF1382" s="73"/>
      <c r="CG1382" s="73"/>
      <c r="CH1382" s="73"/>
    </row>
    <row r="1383">
      <c r="A1383" s="80"/>
      <c r="B1383" s="80"/>
      <c r="C1383" s="80"/>
      <c r="D1383" s="80"/>
      <c r="E1383" s="124"/>
      <c r="F1383" s="80"/>
      <c r="G1383" s="80"/>
      <c r="H1383" s="80"/>
      <c r="I1383" s="80"/>
      <c r="J1383" s="196"/>
      <c r="K1383" s="196"/>
      <c r="L1383" s="196"/>
      <c r="M1383" s="196"/>
      <c r="N1383" s="196"/>
      <c r="O1383" s="196"/>
      <c r="P1383" s="196"/>
      <c r="Q1383" s="196"/>
      <c r="R1383" s="196"/>
      <c r="S1383" s="196"/>
      <c r="T1383" s="196"/>
      <c r="U1383" s="196"/>
      <c r="V1383" s="196"/>
      <c r="W1383" s="196"/>
      <c r="X1383" s="196"/>
      <c r="Y1383" s="196"/>
      <c r="Z1383" s="196"/>
      <c r="AA1383" s="196"/>
      <c r="AB1383" s="196"/>
      <c r="AC1383" s="196"/>
      <c r="AD1383" s="196"/>
      <c r="AE1383" s="196"/>
      <c r="AF1383" s="196"/>
      <c r="AG1383" s="196"/>
      <c r="AH1383" s="196"/>
      <c r="AI1383" s="196"/>
      <c r="AJ1383" s="197"/>
      <c r="AK1383" s="80"/>
      <c r="AL1383" s="80"/>
      <c r="AM1383" s="73"/>
      <c r="AN1383" s="73"/>
      <c r="AO1383" s="73"/>
      <c r="AP1383" s="73"/>
      <c r="AQ1383" s="73"/>
      <c r="AR1383" s="73"/>
      <c r="AS1383" s="73"/>
      <c r="AT1383" s="73"/>
      <c r="AU1383" s="73"/>
      <c r="AV1383" s="73"/>
      <c r="AW1383" s="73"/>
      <c r="AX1383" s="73"/>
      <c r="AY1383" s="73"/>
      <c r="AZ1383" s="73"/>
      <c r="BA1383" s="73"/>
      <c r="BB1383" s="73"/>
      <c r="BC1383" s="73"/>
      <c r="BD1383" s="73"/>
      <c r="BE1383" s="73"/>
      <c r="BF1383" s="73"/>
      <c r="BG1383" s="73"/>
      <c r="BH1383" s="73"/>
      <c r="BI1383" s="73"/>
      <c r="BJ1383" s="73"/>
      <c r="BK1383" s="73"/>
      <c r="BL1383" s="73"/>
      <c r="BM1383" s="73"/>
      <c r="BN1383" s="73"/>
      <c r="BO1383" s="73"/>
      <c r="BP1383" s="73"/>
      <c r="BQ1383" s="73"/>
      <c r="BR1383" s="73"/>
      <c r="BS1383" s="73"/>
      <c r="BT1383" s="73"/>
      <c r="BU1383" s="73"/>
      <c r="BV1383" s="73"/>
      <c r="BW1383" s="73"/>
      <c r="BX1383" s="73"/>
      <c r="BY1383" s="73"/>
      <c r="BZ1383" s="73"/>
      <c r="CA1383" s="73"/>
      <c r="CB1383" s="73"/>
      <c r="CC1383" s="73"/>
      <c r="CD1383" s="73"/>
      <c r="CE1383" s="73"/>
      <c r="CF1383" s="73"/>
      <c r="CG1383" s="73"/>
      <c r="CH1383" s="73"/>
    </row>
    <row r="1384">
      <c r="A1384" s="80"/>
      <c r="B1384" s="80"/>
      <c r="C1384" s="80"/>
      <c r="D1384" s="80"/>
      <c r="E1384" s="124"/>
      <c r="F1384" s="80"/>
      <c r="G1384" s="80"/>
      <c r="H1384" s="80"/>
      <c r="I1384" s="80"/>
      <c r="J1384" s="196"/>
      <c r="K1384" s="196"/>
      <c r="L1384" s="196"/>
      <c r="M1384" s="196"/>
      <c r="N1384" s="196"/>
      <c r="O1384" s="196"/>
      <c r="P1384" s="196"/>
      <c r="Q1384" s="196"/>
      <c r="R1384" s="196"/>
      <c r="S1384" s="196"/>
      <c r="T1384" s="196"/>
      <c r="U1384" s="196"/>
      <c r="V1384" s="196"/>
      <c r="W1384" s="196"/>
      <c r="X1384" s="196"/>
      <c r="Y1384" s="196"/>
      <c r="Z1384" s="196"/>
      <c r="AA1384" s="196"/>
      <c r="AB1384" s="196"/>
      <c r="AC1384" s="196"/>
      <c r="AD1384" s="196"/>
      <c r="AE1384" s="196"/>
      <c r="AF1384" s="196"/>
      <c r="AG1384" s="196"/>
      <c r="AH1384" s="196"/>
      <c r="AI1384" s="196"/>
      <c r="AJ1384" s="197"/>
      <c r="AK1384" s="80"/>
      <c r="AL1384" s="80"/>
      <c r="AM1384" s="73"/>
      <c r="AN1384" s="73"/>
      <c r="AO1384" s="73"/>
      <c r="AP1384" s="73"/>
      <c r="AQ1384" s="73"/>
      <c r="AR1384" s="73"/>
      <c r="AS1384" s="73"/>
      <c r="AT1384" s="73"/>
      <c r="AU1384" s="73"/>
      <c r="AV1384" s="73"/>
      <c r="AW1384" s="73"/>
      <c r="AX1384" s="73"/>
      <c r="AY1384" s="73"/>
      <c r="AZ1384" s="73"/>
      <c r="BA1384" s="73"/>
      <c r="BB1384" s="73"/>
      <c r="BC1384" s="73"/>
      <c r="BD1384" s="73"/>
      <c r="BE1384" s="73"/>
      <c r="BF1384" s="73"/>
      <c r="BG1384" s="73"/>
      <c r="BH1384" s="73"/>
      <c r="BI1384" s="73"/>
      <c r="BJ1384" s="73"/>
      <c r="BK1384" s="73"/>
      <c r="BL1384" s="73"/>
      <c r="BM1384" s="73"/>
      <c r="BN1384" s="73"/>
      <c r="BO1384" s="73"/>
      <c r="BP1384" s="73"/>
      <c r="BQ1384" s="73"/>
      <c r="BR1384" s="73"/>
      <c r="BS1384" s="73"/>
      <c r="BT1384" s="73"/>
      <c r="BU1384" s="73"/>
      <c r="BV1384" s="73"/>
      <c r="BW1384" s="73"/>
      <c r="BX1384" s="73"/>
      <c r="BY1384" s="73"/>
      <c r="BZ1384" s="73"/>
      <c r="CA1384" s="73"/>
      <c r="CB1384" s="73"/>
      <c r="CC1384" s="73"/>
      <c r="CD1384" s="73"/>
      <c r="CE1384" s="73"/>
      <c r="CF1384" s="73"/>
      <c r="CG1384" s="73"/>
      <c r="CH1384" s="73"/>
    </row>
    <row r="1385">
      <c r="A1385" s="80"/>
      <c r="B1385" s="80"/>
      <c r="C1385" s="80"/>
      <c r="D1385" s="80"/>
      <c r="E1385" s="124"/>
      <c r="F1385" s="80"/>
      <c r="G1385" s="80"/>
      <c r="H1385" s="80"/>
      <c r="I1385" s="80"/>
      <c r="J1385" s="196"/>
      <c r="K1385" s="196"/>
      <c r="L1385" s="196"/>
      <c r="M1385" s="196"/>
      <c r="N1385" s="196"/>
      <c r="O1385" s="196"/>
      <c r="P1385" s="196"/>
      <c r="Q1385" s="196"/>
      <c r="R1385" s="196"/>
      <c r="S1385" s="196"/>
      <c r="T1385" s="196"/>
      <c r="U1385" s="196"/>
      <c r="V1385" s="196"/>
      <c r="W1385" s="196"/>
      <c r="X1385" s="196"/>
      <c r="Y1385" s="196"/>
      <c r="Z1385" s="196"/>
      <c r="AA1385" s="196"/>
      <c r="AB1385" s="196"/>
      <c r="AC1385" s="196"/>
      <c r="AD1385" s="196"/>
      <c r="AE1385" s="196"/>
      <c r="AF1385" s="196"/>
      <c r="AG1385" s="196"/>
      <c r="AH1385" s="196"/>
      <c r="AI1385" s="196"/>
      <c r="AJ1385" s="197"/>
      <c r="AK1385" s="80"/>
      <c r="AL1385" s="80"/>
      <c r="AM1385" s="73"/>
      <c r="AN1385" s="73"/>
      <c r="AO1385" s="73"/>
      <c r="AP1385" s="73"/>
      <c r="AQ1385" s="73"/>
      <c r="AR1385" s="73"/>
      <c r="AS1385" s="73"/>
      <c r="AT1385" s="73"/>
      <c r="AU1385" s="73"/>
      <c r="AV1385" s="73"/>
      <c r="AW1385" s="73"/>
      <c r="AX1385" s="73"/>
      <c r="AY1385" s="73"/>
      <c r="AZ1385" s="73"/>
      <c r="BA1385" s="73"/>
      <c r="BB1385" s="73"/>
      <c r="BC1385" s="73"/>
      <c r="BD1385" s="73"/>
      <c r="BE1385" s="73"/>
      <c r="BF1385" s="73"/>
      <c r="BG1385" s="73"/>
      <c r="BH1385" s="73"/>
      <c r="BI1385" s="73"/>
      <c r="BJ1385" s="73"/>
      <c r="BK1385" s="73"/>
      <c r="BL1385" s="73"/>
      <c r="BM1385" s="73"/>
      <c r="BN1385" s="73"/>
      <c r="BO1385" s="73"/>
      <c r="BP1385" s="73"/>
      <c r="BQ1385" s="73"/>
      <c r="BR1385" s="73"/>
      <c r="BS1385" s="73"/>
      <c r="BT1385" s="73"/>
      <c r="BU1385" s="73"/>
      <c r="BV1385" s="73"/>
      <c r="BW1385" s="73"/>
      <c r="BX1385" s="73"/>
      <c r="BY1385" s="73"/>
      <c r="BZ1385" s="73"/>
      <c r="CA1385" s="73"/>
      <c r="CB1385" s="73"/>
      <c r="CC1385" s="73"/>
      <c r="CD1385" s="73"/>
      <c r="CE1385" s="73"/>
      <c r="CF1385" s="73"/>
      <c r="CG1385" s="73"/>
      <c r="CH1385" s="73"/>
    </row>
    <row r="1386">
      <c r="A1386" s="80"/>
      <c r="B1386" s="80"/>
      <c r="C1386" s="80"/>
      <c r="D1386" s="80"/>
      <c r="E1386" s="124"/>
      <c r="F1386" s="80"/>
      <c r="G1386" s="80"/>
      <c r="H1386" s="80"/>
      <c r="I1386" s="80"/>
      <c r="J1386" s="196"/>
      <c r="K1386" s="196"/>
      <c r="L1386" s="196"/>
      <c r="M1386" s="196"/>
      <c r="N1386" s="196"/>
      <c r="O1386" s="196"/>
      <c r="P1386" s="196"/>
      <c r="Q1386" s="196"/>
      <c r="R1386" s="196"/>
      <c r="S1386" s="196"/>
      <c r="T1386" s="196"/>
      <c r="U1386" s="196"/>
      <c r="V1386" s="196"/>
      <c r="W1386" s="196"/>
      <c r="X1386" s="196"/>
      <c r="Y1386" s="196"/>
      <c r="Z1386" s="196"/>
      <c r="AA1386" s="196"/>
      <c r="AB1386" s="196"/>
      <c r="AC1386" s="196"/>
      <c r="AD1386" s="196"/>
      <c r="AE1386" s="196"/>
      <c r="AF1386" s="196"/>
      <c r="AG1386" s="196"/>
      <c r="AH1386" s="196"/>
      <c r="AI1386" s="196"/>
      <c r="AJ1386" s="197"/>
      <c r="AK1386" s="80"/>
      <c r="AL1386" s="80"/>
      <c r="AM1386" s="73"/>
      <c r="AN1386" s="73"/>
      <c r="AO1386" s="73"/>
      <c r="AP1386" s="73"/>
      <c r="AQ1386" s="73"/>
      <c r="AR1386" s="73"/>
      <c r="AS1386" s="73"/>
      <c r="AT1386" s="73"/>
      <c r="AU1386" s="73"/>
      <c r="AV1386" s="73"/>
      <c r="AW1386" s="73"/>
      <c r="AX1386" s="73"/>
      <c r="AY1386" s="73"/>
      <c r="AZ1386" s="73"/>
      <c r="BA1386" s="73"/>
      <c r="BB1386" s="73"/>
      <c r="BC1386" s="73"/>
      <c r="BD1386" s="73"/>
      <c r="BE1386" s="73"/>
      <c r="BF1386" s="73"/>
      <c r="BG1386" s="73"/>
      <c r="BH1386" s="73"/>
      <c r="BI1386" s="73"/>
      <c r="BJ1386" s="73"/>
      <c r="BK1386" s="73"/>
      <c r="BL1386" s="73"/>
      <c r="BM1386" s="73"/>
      <c r="BN1386" s="73"/>
      <c r="BO1386" s="73"/>
      <c r="BP1386" s="73"/>
      <c r="BQ1386" s="73"/>
      <c r="BR1386" s="73"/>
      <c r="BS1386" s="73"/>
      <c r="BT1386" s="73"/>
      <c r="BU1386" s="73"/>
      <c r="BV1386" s="73"/>
      <c r="BW1386" s="73"/>
      <c r="BX1386" s="73"/>
      <c r="BY1386" s="73"/>
      <c r="BZ1386" s="73"/>
      <c r="CA1386" s="73"/>
      <c r="CB1386" s="73"/>
      <c r="CC1386" s="73"/>
      <c r="CD1386" s="73"/>
      <c r="CE1386" s="73"/>
      <c r="CF1386" s="73"/>
      <c r="CG1386" s="73"/>
      <c r="CH1386" s="73"/>
    </row>
    <row r="1387">
      <c r="A1387" s="80"/>
      <c r="B1387" s="80"/>
      <c r="C1387" s="80"/>
      <c r="D1387" s="80"/>
      <c r="E1387" s="124"/>
      <c r="F1387" s="80"/>
      <c r="G1387" s="80"/>
      <c r="H1387" s="80"/>
      <c r="I1387" s="80"/>
      <c r="J1387" s="196"/>
      <c r="K1387" s="196"/>
      <c r="L1387" s="196"/>
      <c r="M1387" s="196"/>
      <c r="N1387" s="196"/>
      <c r="O1387" s="196"/>
      <c r="P1387" s="196"/>
      <c r="Q1387" s="196"/>
      <c r="R1387" s="196"/>
      <c r="S1387" s="196"/>
      <c r="T1387" s="196"/>
      <c r="U1387" s="196"/>
      <c r="V1387" s="196"/>
      <c r="W1387" s="196"/>
      <c r="X1387" s="196"/>
      <c r="Y1387" s="196"/>
      <c r="Z1387" s="196"/>
      <c r="AA1387" s="196"/>
      <c r="AB1387" s="196"/>
      <c r="AC1387" s="196"/>
      <c r="AD1387" s="196"/>
      <c r="AE1387" s="196"/>
      <c r="AF1387" s="196"/>
      <c r="AG1387" s="196"/>
      <c r="AH1387" s="196"/>
      <c r="AI1387" s="196"/>
      <c r="AJ1387" s="197"/>
      <c r="AK1387" s="80"/>
      <c r="AL1387" s="80"/>
      <c r="AM1387" s="73"/>
      <c r="AN1387" s="73"/>
      <c r="AO1387" s="73"/>
      <c r="AP1387" s="73"/>
      <c r="AQ1387" s="73"/>
      <c r="AR1387" s="73"/>
      <c r="AS1387" s="73"/>
      <c r="AT1387" s="73"/>
      <c r="AU1387" s="73"/>
      <c r="AV1387" s="73"/>
      <c r="AW1387" s="73"/>
      <c r="AX1387" s="73"/>
      <c r="AY1387" s="73"/>
      <c r="AZ1387" s="73"/>
      <c r="BA1387" s="73"/>
      <c r="BB1387" s="73"/>
      <c r="BC1387" s="73"/>
      <c r="BD1387" s="73"/>
      <c r="BE1387" s="73"/>
      <c r="BF1387" s="73"/>
      <c r="BG1387" s="73"/>
      <c r="BH1387" s="73"/>
      <c r="BI1387" s="73"/>
      <c r="BJ1387" s="73"/>
      <c r="BK1387" s="73"/>
      <c r="BL1387" s="73"/>
      <c r="BM1387" s="73"/>
      <c r="BN1387" s="73"/>
      <c r="BO1387" s="73"/>
      <c r="BP1387" s="73"/>
      <c r="BQ1387" s="73"/>
      <c r="BR1387" s="73"/>
      <c r="BS1387" s="73"/>
      <c r="BT1387" s="73"/>
      <c r="BU1387" s="73"/>
      <c r="BV1387" s="73"/>
      <c r="BW1387" s="73"/>
      <c r="BX1387" s="73"/>
      <c r="BY1387" s="73"/>
      <c r="BZ1387" s="73"/>
      <c r="CA1387" s="73"/>
      <c r="CB1387" s="73"/>
      <c r="CC1387" s="73"/>
      <c r="CD1387" s="73"/>
      <c r="CE1387" s="73"/>
      <c r="CF1387" s="73"/>
      <c r="CG1387" s="73"/>
      <c r="CH1387" s="73"/>
    </row>
    <row r="1388">
      <c r="A1388" s="80"/>
      <c r="B1388" s="80"/>
      <c r="C1388" s="80"/>
      <c r="D1388" s="80"/>
      <c r="E1388" s="124"/>
      <c r="F1388" s="80"/>
      <c r="G1388" s="80"/>
      <c r="H1388" s="80"/>
      <c r="I1388" s="80"/>
      <c r="J1388" s="196"/>
      <c r="K1388" s="196"/>
      <c r="L1388" s="196"/>
      <c r="M1388" s="196"/>
      <c r="N1388" s="196"/>
      <c r="O1388" s="196"/>
      <c r="P1388" s="196"/>
      <c r="Q1388" s="196"/>
      <c r="R1388" s="196"/>
      <c r="S1388" s="196"/>
      <c r="T1388" s="196"/>
      <c r="U1388" s="196"/>
      <c r="V1388" s="196"/>
      <c r="W1388" s="196"/>
      <c r="X1388" s="196"/>
      <c r="Y1388" s="196"/>
      <c r="Z1388" s="196"/>
      <c r="AA1388" s="196"/>
      <c r="AB1388" s="196"/>
      <c r="AC1388" s="196"/>
      <c r="AD1388" s="196"/>
      <c r="AE1388" s="196"/>
      <c r="AF1388" s="196"/>
      <c r="AG1388" s="196"/>
      <c r="AH1388" s="196"/>
      <c r="AI1388" s="196"/>
      <c r="AJ1388" s="197"/>
      <c r="AK1388" s="80"/>
      <c r="AL1388" s="80"/>
      <c r="AM1388" s="73"/>
      <c r="AN1388" s="73"/>
      <c r="AO1388" s="73"/>
      <c r="AP1388" s="73"/>
      <c r="AQ1388" s="73"/>
      <c r="AR1388" s="73"/>
      <c r="AS1388" s="73"/>
      <c r="AT1388" s="73"/>
      <c r="AU1388" s="73"/>
      <c r="AV1388" s="73"/>
      <c r="AW1388" s="73"/>
      <c r="AX1388" s="73"/>
      <c r="AY1388" s="73"/>
      <c r="AZ1388" s="73"/>
      <c r="BA1388" s="73"/>
      <c r="BB1388" s="73"/>
      <c r="BC1388" s="73"/>
      <c r="BD1388" s="73"/>
      <c r="BE1388" s="73"/>
      <c r="BF1388" s="73"/>
      <c r="BG1388" s="73"/>
      <c r="BH1388" s="73"/>
      <c r="BI1388" s="73"/>
      <c r="BJ1388" s="73"/>
      <c r="BK1388" s="73"/>
      <c r="BL1388" s="73"/>
      <c r="BM1388" s="73"/>
      <c r="BN1388" s="73"/>
      <c r="BO1388" s="73"/>
      <c r="BP1388" s="73"/>
      <c r="BQ1388" s="73"/>
      <c r="BR1388" s="73"/>
      <c r="BS1388" s="73"/>
      <c r="BT1388" s="73"/>
      <c r="BU1388" s="73"/>
      <c r="BV1388" s="73"/>
      <c r="BW1388" s="73"/>
      <c r="BX1388" s="73"/>
      <c r="BY1388" s="73"/>
      <c r="BZ1388" s="73"/>
      <c r="CA1388" s="73"/>
      <c r="CB1388" s="73"/>
      <c r="CC1388" s="73"/>
      <c r="CD1388" s="73"/>
      <c r="CE1388" s="73"/>
      <c r="CF1388" s="73"/>
      <c r="CG1388" s="73"/>
      <c r="CH1388" s="73"/>
    </row>
    <row r="1389">
      <c r="A1389" s="80"/>
      <c r="B1389" s="80"/>
      <c r="C1389" s="80"/>
      <c r="D1389" s="80"/>
      <c r="E1389" s="124"/>
      <c r="F1389" s="80"/>
      <c r="G1389" s="80"/>
      <c r="H1389" s="80"/>
      <c r="I1389" s="80"/>
      <c r="J1389" s="196"/>
      <c r="K1389" s="196"/>
      <c r="L1389" s="196"/>
      <c r="M1389" s="196"/>
      <c r="N1389" s="196"/>
      <c r="O1389" s="196"/>
      <c r="P1389" s="196"/>
      <c r="Q1389" s="196"/>
      <c r="R1389" s="196"/>
      <c r="S1389" s="196"/>
      <c r="T1389" s="196"/>
      <c r="U1389" s="196"/>
      <c r="V1389" s="196"/>
      <c r="W1389" s="196"/>
      <c r="X1389" s="196"/>
      <c r="Y1389" s="196"/>
      <c r="Z1389" s="196"/>
      <c r="AA1389" s="196"/>
      <c r="AB1389" s="196"/>
      <c r="AC1389" s="196"/>
      <c r="AD1389" s="196"/>
      <c r="AE1389" s="196"/>
      <c r="AF1389" s="196"/>
      <c r="AG1389" s="196"/>
      <c r="AH1389" s="196"/>
      <c r="AI1389" s="196"/>
      <c r="AJ1389" s="197"/>
      <c r="AK1389" s="80"/>
      <c r="AL1389" s="80"/>
      <c r="AM1389" s="73"/>
      <c r="AN1389" s="73"/>
      <c r="AO1389" s="73"/>
      <c r="AP1389" s="73"/>
      <c r="AQ1389" s="73"/>
      <c r="AR1389" s="73"/>
      <c r="AS1389" s="73"/>
      <c r="AT1389" s="73"/>
      <c r="AU1389" s="73"/>
      <c r="AV1389" s="73"/>
      <c r="AW1389" s="73"/>
      <c r="AX1389" s="73"/>
      <c r="AY1389" s="73"/>
      <c r="AZ1389" s="73"/>
      <c r="BA1389" s="73"/>
      <c r="BB1389" s="73"/>
      <c r="BC1389" s="73"/>
      <c r="BD1389" s="73"/>
      <c r="BE1389" s="73"/>
      <c r="BF1389" s="73"/>
      <c r="BG1389" s="73"/>
      <c r="BH1389" s="73"/>
      <c r="BI1389" s="73"/>
      <c r="BJ1389" s="73"/>
      <c r="BK1389" s="73"/>
      <c r="BL1389" s="73"/>
      <c r="BM1389" s="73"/>
      <c r="BN1389" s="73"/>
      <c r="BO1389" s="73"/>
      <c r="BP1389" s="73"/>
      <c r="BQ1389" s="73"/>
      <c r="BR1389" s="73"/>
      <c r="BS1389" s="73"/>
      <c r="BT1389" s="73"/>
      <c r="BU1389" s="73"/>
      <c r="BV1389" s="73"/>
      <c r="BW1389" s="73"/>
      <c r="BX1389" s="73"/>
      <c r="BY1389" s="73"/>
      <c r="BZ1389" s="73"/>
      <c r="CA1389" s="73"/>
      <c r="CB1389" s="73"/>
      <c r="CC1389" s="73"/>
      <c r="CD1389" s="73"/>
      <c r="CE1389" s="73"/>
      <c r="CF1389" s="73"/>
      <c r="CG1389" s="73"/>
      <c r="CH1389" s="73"/>
    </row>
    <row r="1390">
      <c r="A1390" s="80"/>
      <c r="B1390" s="80"/>
      <c r="C1390" s="80"/>
      <c r="D1390" s="80"/>
      <c r="E1390" s="124"/>
      <c r="F1390" s="80"/>
      <c r="G1390" s="80"/>
      <c r="H1390" s="80"/>
      <c r="I1390" s="80"/>
      <c r="J1390" s="196"/>
      <c r="K1390" s="196"/>
      <c r="L1390" s="196"/>
      <c r="M1390" s="196"/>
      <c r="N1390" s="196"/>
      <c r="O1390" s="196"/>
      <c r="P1390" s="196"/>
      <c r="Q1390" s="196"/>
      <c r="R1390" s="196"/>
      <c r="S1390" s="196"/>
      <c r="T1390" s="196"/>
      <c r="U1390" s="196"/>
      <c r="V1390" s="196"/>
      <c r="W1390" s="196"/>
      <c r="X1390" s="196"/>
      <c r="Y1390" s="196"/>
      <c r="Z1390" s="196"/>
      <c r="AA1390" s="196"/>
      <c r="AB1390" s="196"/>
      <c r="AC1390" s="196"/>
      <c r="AD1390" s="196"/>
      <c r="AE1390" s="196"/>
      <c r="AF1390" s="196"/>
      <c r="AG1390" s="196"/>
      <c r="AH1390" s="196"/>
      <c r="AI1390" s="196"/>
      <c r="AJ1390" s="197"/>
      <c r="AK1390" s="80"/>
      <c r="AL1390" s="80"/>
      <c r="AM1390" s="73"/>
      <c r="AN1390" s="73"/>
      <c r="AO1390" s="73"/>
      <c r="AP1390" s="73"/>
      <c r="AQ1390" s="73"/>
      <c r="AR1390" s="73"/>
      <c r="AS1390" s="73"/>
      <c r="AT1390" s="73"/>
      <c r="AU1390" s="73"/>
      <c r="AV1390" s="73"/>
      <c r="AW1390" s="73"/>
      <c r="AX1390" s="73"/>
      <c r="AY1390" s="73"/>
      <c r="AZ1390" s="73"/>
      <c r="BA1390" s="73"/>
      <c r="BB1390" s="73"/>
      <c r="BC1390" s="73"/>
      <c r="BD1390" s="73"/>
      <c r="BE1390" s="73"/>
      <c r="BF1390" s="73"/>
      <c r="BG1390" s="73"/>
      <c r="BH1390" s="73"/>
      <c r="BI1390" s="73"/>
      <c r="BJ1390" s="73"/>
      <c r="BK1390" s="73"/>
      <c r="BL1390" s="73"/>
      <c r="BM1390" s="73"/>
      <c r="BN1390" s="73"/>
      <c r="BO1390" s="73"/>
      <c r="BP1390" s="73"/>
      <c r="BQ1390" s="73"/>
      <c r="BR1390" s="73"/>
      <c r="BS1390" s="73"/>
      <c r="BT1390" s="73"/>
      <c r="BU1390" s="73"/>
      <c r="BV1390" s="73"/>
      <c r="BW1390" s="73"/>
      <c r="BX1390" s="73"/>
      <c r="BY1390" s="73"/>
      <c r="BZ1390" s="73"/>
      <c r="CA1390" s="73"/>
      <c r="CB1390" s="73"/>
      <c r="CC1390" s="73"/>
      <c r="CD1390" s="73"/>
      <c r="CE1390" s="73"/>
      <c r="CF1390" s="73"/>
      <c r="CG1390" s="73"/>
      <c r="CH1390" s="73"/>
    </row>
    <row r="1391">
      <c r="A1391" s="80"/>
      <c r="B1391" s="80"/>
      <c r="C1391" s="80"/>
      <c r="D1391" s="80"/>
      <c r="E1391" s="124"/>
      <c r="F1391" s="80"/>
      <c r="G1391" s="80"/>
      <c r="H1391" s="80"/>
      <c r="I1391" s="80"/>
      <c r="J1391" s="196"/>
      <c r="K1391" s="196"/>
      <c r="L1391" s="196"/>
      <c r="M1391" s="196"/>
      <c r="N1391" s="196"/>
      <c r="O1391" s="196"/>
      <c r="P1391" s="196"/>
      <c r="Q1391" s="196"/>
      <c r="R1391" s="196"/>
      <c r="S1391" s="196"/>
      <c r="T1391" s="196"/>
      <c r="U1391" s="196"/>
      <c r="V1391" s="196"/>
      <c r="W1391" s="196"/>
      <c r="X1391" s="196"/>
      <c r="Y1391" s="196"/>
      <c r="Z1391" s="196"/>
      <c r="AA1391" s="196"/>
      <c r="AB1391" s="196"/>
      <c r="AC1391" s="196"/>
      <c r="AD1391" s="196"/>
      <c r="AE1391" s="196"/>
      <c r="AF1391" s="196"/>
      <c r="AG1391" s="196"/>
      <c r="AH1391" s="196"/>
      <c r="AI1391" s="196"/>
      <c r="AJ1391" s="197"/>
      <c r="AK1391" s="80"/>
      <c r="AL1391" s="80"/>
      <c r="AM1391" s="73"/>
      <c r="AN1391" s="73"/>
      <c r="AO1391" s="73"/>
      <c r="AP1391" s="73"/>
      <c r="AQ1391" s="73"/>
      <c r="AR1391" s="73"/>
      <c r="AS1391" s="73"/>
      <c r="AT1391" s="73"/>
      <c r="AU1391" s="73"/>
      <c r="AV1391" s="73"/>
      <c r="AW1391" s="73"/>
      <c r="AX1391" s="73"/>
      <c r="AY1391" s="73"/>
      <c r="AZ1391" s="73"/>
      <c r="BA1391" s="73"/>
      <c r="BB1391" s="73"/>
      <c r="BC1391" s="73"/>
      <c r="BD1391" s="73"/>
      <c r="BE1391" s="73"/>
      <c r="BF1391" s="73"/>
      <c r="BG1391" s="73"/>
      <c r="BH1391" s="73"/>
      <c r="BI1391" s="73"/>
      <c r="BJ1391" s="73"/>
      <c r="BK1391" s="73"/>
      <c r="BL1391" s="73"/>
      <c r="BM1391" s="73"/>
      <c r="BN1391" s="73"/>
      <c r="BO1391" s="73"/>
      <c r="BP1391" s="73"/>
      <c r="BQ1391" s="73"/>
      <c r="BR1391" s="73"/>
      <c r="BS1391" s="73"/>
      <c r="BT1391" s="73"/>
      <c r="BU1391" s="73"/>
      <c r="BV1391" s="73"/>
      <c r="BW1391" s="73"/>
      <c r="BX1391" s="73"/>
      <c r="BY1391" s="73"/>
      <c r="BZ1391" s="73"/>
      <c r="CA1391" s="73"/>
      <c r="CB1391" s="73"/>
      <c r="CC1391" s="73"/>
      <c r="CD1391" s="73"/>
      <c r="CE1391" s="73"/>
      <c r="CF1391" s="73"/>
      <c r="CG1391" s="73"/>
      <c r="CH1391" s="73"/>
    </row>
    <row r="1392">
      <c r="A1392" s="80"/>
      <c r="B1392" s="80"/>
      <c r="C1392" s="80"/>
      <c r="D1392" s="80"/>
      <c r="E1392" s="124"/>
      <c r="F1392" s="80"/>
      <c r="G1392" s="80"/>
      <c r="H1392" s="80"/>
      <c r="I1392" s="80"/>
      <c r="J1392" s="196"/>
      <c r="K1392" s="196"/>
      <c r="L1392" s="196"/>
      <c r="M1392" s="196"/>
      <c r="N1392" s="196"/>
      <c r="O1392" s="196"/>
      <c r="P1392" s="196"/>
      <c r="Q1392" s="196"/>
      <c r="R1392" s="196"/>
      <c r="S1392" s="196"/>
      <c r="T1392" s="196"/>
      <c r="U1392" s="196"/>
      <c r="V1392" s="196"/>
      <c r="W1392" s="196"/>
      <c r="X1392" s="196"/>
      <c r="Y1392" s="196"/>
      <c r="Z1392" s="196"/>
      <c r="AA1392" s="196"/>
      <c r="AB1392" s="196"/>
      <c r="AC1392" s="196"/>
      <c r="AD1392" s="196"/>
      <c r="AE1392" s="196"/>
      <c r="AF1392" s="196"/>
      <c r="AG1392" s="196"/>
      <c r="AH1392" s="196"/>
      <c r="AI1392" s="196"/>
      <c r="AJ1392" s="197"/>
      <c r="AK1392" s="80"/>
      <c r="AL1392" s="80"/>
      <c r="AM1392" s="73"/>
      <c r="AN1392" s="73"/>
      <c r="AO1392" s="73"/>
      <c r="AP1392" s="73"/>
      <c r="AQ1392" s="73"/>
      <c r="AR1392" s="73"/>
      <c r="AS1392" s="73"/>
      <c r="AT1392" s="73"/>
      <c r="AU1392" s="73"/>
      <c r="AV1392" s="73"/>
      <c r="AW1392" s="73"/>
      <c r="AX1392" s="73"/>
      <c r="AY1392" s="73"/>
      <c r="AZ1392" s="73"/>
      <c r="BA1392" s="73"/>
      <c r="BB1392" s="73"/>
      <c r="BC1392" s="73"/>
      <c r="BD1392" s="73"/>
      <c r="BE1392" s="73"/>
      <c r="BF1392" s="73"/>
      <c r="BG1392" s="73"/>
      <c r="BH1392" s="73"/>
      <c r="BI1392" s="73"/>
      <c r="BJ1392" s="73"/>
      <c r="BK1392" s="73"/>
      <c r="BL1392" s="73"/>
      <c r="BM1392" s="73"/>
      <c r="BN1392" s="73"/>
      <c r="BO1392" s="73"/>
      <c r="BP1392" s="73"/>
      <c r="BQ1392" s="73"/>
      <c r="BR1392" s="73"/>
      <c r="BS1392" s="73"/>
      <c r="BT1392" s="73"/>
      <c r="BU1392" s="73"/>
      <c r="BV1392" s="73"/>
      <c r="BW1392" s="73"/>
      <c r="BX1392" s="73"/>
      <c r="BY1392" s="73"/>
      <c r="BZ1392" s="73"/>
      <c r="CA1392" s="73"/>
      <c r="CB1392" s="73"/>
      <c r="CC1392" s="73"/>
      <c r="CD1392" s="73"/>
      <c r="CE1392" s="73"/>
      <c r="CF1392" s="73"/>
      <c r="CG1392" s="73"/>
      <c r="CH1392" s="73"/>
    </row>
    <row r="1393">
      <c r="A1393" s="80"/>
      <c r="B1393" s="80"/>
      <c r="C1393" s="80"/>
      <c r="D1393" s="80"/>
      <c r="E1393" s="124"/>
      <c r="F1393" s="80"/>
      <c r="G1393" s="80"/>
      <c r="H1393" s="80"/>
      <c r="I1393" s="80"/>
      <c r="J1393" s="196"/>
      <c r="K1393" s="196"/>
      <c r="L1393" s="196"/>
      <c r="M1393" s="196"/>
      <c r="N1393" s="196"/>
      <c r="O1393" s="196"/>
      <c r="P1393" s="196"/>
      <c r="Q1393" s="196"/>
      <c r="R1393" s="196"/>
      <c r="S1393" s="196"/>
      <c r="T1393" s="196"/>
      <c r="U1393" s="196"/>
      <c r="V1393" s="196"/>
      <c r="W1393" s="196"/>
      <c r="X1393" s="196"/>
      <c r="Y1393" s="196"/>
      <c r="Z1393" s="196"/>
      <c r="AA1393" s="196"/>
      <c r="AB1393" s="196"/>
      <c r="AC1393" s="196"/>
      <c r="AD1393" s="196"/>
      <c r="AE1393" s="196"/>
      <c r="AF1393" s="196"/>
      <c r="AG1393" s="196"/>
      <c r="AH1393" s="196"/>
      <c r="AI1393" s="196"/>
      <c r="AJ1393" s="197"/>
      <c r="AK1393" s="80"/>
      <c r="AL1393" s="80"/>
      <c r="AM1393" s="73"/>
      <c r="AN1393" s="73"/>
      <c r="AO1393" s="73"/>
      <c r="AP1393" s="73"/>
      <c r="AQ1393" s="73"/>
      <c r="AR1393" s="73"/>
      <c r="AS1393" s="73"/>
      <c r="AT1393" s="73"/>
      <c r="AU1393" s="73"/>
      <c r="AV1393" s="73"/>
      <c r="AW1393" s="73"/>
      <c r="AX1393" s="73"/>
      <c r="AY1393" s="73"/>
      <c r="AZ1393" s="73"/>
      <c r="BA1393" s="73"/>
      <c r="BB1393" s="73"/>
      <c r="BC1393" s="73"/>
      <c r="BD1393" s="73"/>
      <c r="BE1393" s="73"/>
      <c r="BF1393" s="73"/>
      <c r="BG1393" s="73"/>
      <c r="BH1393" s="73"/>
      <c r="BI1393" s="73"/>
      <c r="BJ1393" s="73"/>
      <c r="BK1393" s="73"/>
      <c r="BL1393" s="73"/>
      <c r="BM1393" s="73"/>
      <c r="BN1393" s="73"/>
      <c r="BO1393" s="73"/>
      <c r="BP1393" s="73"/>
      <c r="BQ1393" s="73"/>
      <c r="BR1393" s="73"/>
      <c r="BS1393" s="73"/>
      <c r="BT1393" s="73"/>
      <c r="BU1393" s="73"/>
      <c r="BV1393" s="73"/>
      <c r="BW1393" s="73"/>
      <c r="BX1393" s="73"/>
      <c r="BY1393" s="73"/>
      <c r="BZ1393" s="73"/>
      <c r="CA1393" s="73"/>
      <c r="CB1393" s="73"/>
      <c r="CC1393" s="73"/>
      <c r="CD1393" s="73"/>
      <c r="CE1393" s="73"/>
      <c r="CF1393" s="73"/>
      <c r="CG1393" s="73"/>
      <c r="CH1393" s="73"/>
    </row>
    <row r="1394">
      <c r="A1394" s="80"/>
      <c r="B1394" s="80"/>
      <c r="C1394" s="80"/>
      <c r="D1394" s="80"/>
      <c r="E1394" s="124"/>
      <c r="F1394" s="80"/>
      <c r="G1394" s="80"/>
      <c r="H1394" s="80"/>
      <c r="I1394" s="80"/>
      <c r="J1394" s="196"/>
      <c r="K1394" s="196"/>
      <c r="L1394" s="196"/>
      <c r="M1394" s="196"/>
      <c r="N1394" s="196"/>
      <c r="O1394" s="196"/>
      <c r="P1394" s="196"/>
      <c r="Q1394" s="196"/>
      <c r="R1394" s="196"/>
      <c r="S1394" s="196"/>
      <c r="T1394" s="196"/>
      <c r="U1394" s="196"/>
      <c r="V1394" s="196"/>
      <c r="W1394" s="196"/>
      <c r="X1394" s="196"/>
      <c r="Y1394" s="196"/>
      <c r="Z1394" s="196"/>
      <c r="AA1394" s="196"/>
      <c r="AB1394" s="196"/>
      <c r="AC1394" s="196"/>
      <c r="AD1394" s="196"/>
      <c r="AE1394" s="196"/>
      <c r="AF1394" s="196"/>
      <c r="AG1394" s="196"/>
      <c r="AH1394" s="196"/>
      <c r="AI1394" s="196"/>
      <c r="AJ1394" s="197"/>
      <c r="AK1394" s="80"/>
      <c r="AL1394" s="80"/>
      <c r="AM1394" s="73"/>
      <c r="AN1394" s="73"/>
      <c r="AO1394" s="73"/>
      <c r="AP1394" s="73"/>
      <c r="AQ1394" s="73"/>
      <c r="AR1394" s="73"/>
      <c r="AS1394" s="73"/>
      <c r="AT1394" s="73"/>
      <c r="AU1394" s="73"/>
      <c r="AV1394" s="73"/>
      <c r="AW1394" s="73"/>
      <c r="AX1394" s="73"/>
      <c r="AY1394" s="73"/>
      <c r="AZ1394" s="73"/>
      <c r="BA1394" s="73"/>
      <c r="BB1394" s="73"/>
      <c r="BC1394" s="73"/>
      <c r="BD1394" s="73"/>
      <c r="BE1394" s="73"/>
      <c r="BF1394" s="73"/>
      <c r="BG1394" s="73"/>
      <c r="BH1394" s="73"/>
      <c r="BI1394" s="73"/>
      <c r="BJ1394" s="73"/>
      <c r="BK1394" s="73"/>
      <c r="BL1394" s="73"/>
      <c r="BM1394" s="73"/>
      <c r="BN1394" s="73"/>
      <c r="BO1394" s="73"/>
      <c r="BP1394" s="73"/>
      <c r="BQ1394" s="73"/>
      <c r="BR1394" s="73"/>
      <c r="BS1394" s="73"/>
      <c r="BT1394" s="73"/>
      <c r="BU1394" s="73"/>
      <c r="BV1394" s="73"/>
      <c r="BW1394" s="73"/>
      <c r="BX1394" s="73"/>
      <c r="BY1394" s="73"/>
      <c r="BZ1394" s="73"/>
      <c r="CA1394" s="73"/>
      <c r="CB1394" s="73"/>
      <c r="CC1394" s="73"/>
      <c r="CD1394" s="73"/>
      <c r="CE1394" s="73"/>
      <c r="CF1394" s="73"/>
      <c r="CG1394" s="73"/>
      <c r="CH1394" s="73"/>
    </row>
    <row r="1395">
      <c r="A1395" s="80"/>
      <c r="B1395" s="80"/>
      <c r="C1395" s="80"/>
      <c r="D1395" s="80"/>
      <c r="E1395" s="124"/>
      <c r="F1395" s="80"/>
      <c r="G1395" s="80"/>
      <c r="H1395" s="80"/>
      <c r="I1395" s="80"/>
      <c r="J1395" s="196"/>
      <c r="K1395" s="196"/>
      <c r="L1395" s="196"/>
      <c r="M1395" s="196"/>
      <c r="N1395" s="196"/>
      <c r="O1395" s="196"/>
      <c r="P1395" s="196"/>
      <c r="Q1395" s="196"/>
      <c r="R1395" s="196"/>
      <c r="S1395" s="196"/>
      <c r="T1395" s="196"/>
      <c r="U1395" s="196"/>
      <c r="V1395" s="196"/>
      <c r="W1395" s="196"/>
      <c r="X1395" s="196"/>
      <c r="Y1395" s="196"/>
      <c r="Z1395" s="196"/>
      <c r="AA1395" s="196"/>
      <c r="AB1395" s="196"/>
      <c r="AC1395" s="196"/>
      <c r="AD1395" s="196"/>
      <c r="AE1395" s="196"/>
      <c r="AF1395" s="196"/>
      <c r="AG1395" s="196"/>
      <c r="AH1395" s="196"/>
      <c r="AI1395" s="196"/>
      <c r="AJ1395" s="197"/>
      <c r="AK1395" s="80"/>
      <c r="AL1395" s="80"/>
      <c r="AM1395" s="73"/>
      <c r="AN1395" s="73"/>
      <c r="AO1395" s="73"/>
      <c r="AP1395" s="73"/>
      <c r="AQ1395" s="73"/>
      <c r="AR1395" s="73"/>
      <c r="AS1395" s="73"/>
      <c r="AT1395" s="73"/>
      <c r="AU1395" s="73"/>
      <c r="AV1395" s="73"/>
      <c r="AW1395" s="73"/>
      <c r="AX1395" s="73"/>
      <c r="AY1395" s="73"/>
      <c r="AZ1395" s="73"/>
      <c r="BA1395" s="73"/>
      <c r="BB1395" s="73"/>
      <c r="BC1395" s="73"/>
      <c r="BD1395" s="73"/>
      <c r="BE1395" s="73"/>
      <c r="BF1395" s="73"/>
      <c r="BG1395" s="73"/>
      <c r="BH1395" s="73"/>
      <c r="BI1395" s="73"/>
      <c r="BJ1395" s="73"/>
      <c r="BK1395" s="73"/>
      <c r="BL1395" s="73"/>
      <c r="BM1395" s="73"/>
      <c r="BN1395" s="73"/>
      <c r="BO1395" s="73"/>
      <c r="BP1395" s="73"/>
      <c r="BQ1395" s="73"/>
      <c r="BR1395" s="73"/>
      <c r="BS1395" s="73"/>
      <c r="BT1395" s="73"/>
      <c r="BU1395" s="73"/>
      <c r="BV1395" s="73"/>
      <c r="BW1395" s="73"/>
      <c r="BX1395" s="73"/>
      <c r="BY1395" s="73"/>
      <c r="BZ1395" s="73"/>
      <c r="CA1395" s="73"/>
      <c r="CB1395" s="73"/>
      <c r="CC1395" s="73"/>
      <c r="CD1395" s="73"/>
      <c r="CE1395" s="73"/>
      <c r="CF1395" s="73"/>
      <c r="CG1395" s="73"/>
      <c r="CH1395" s="73"/>
    </row>
    <row r="1396">
      <c r="A1396" s="80"/>
      <c r="B1396" s="80"/>
      <c r="C1396" s="80"/>
      <c r="D1396" s="80"/>
      <c r="E1396" s="124"/>
      <c r="F1396" s="80"/>
      <c r="G1396" s="80"/>
      <c r="H1396" s="80"/>
      <c r="I1396" s="80"/>
      <c r="J1396" s="196"/>
      <c r="K1396" s="196"/>
      <c r="L1396" s="196"/>
      <c r="M1396" s="196"/>
      <c r="N1396" s="196"/>
      <c r="O1396" s="196"/>
      <c r="P1396" s="196"/>
      <c r="Q1396" s="196"/>
      <c r="R1396" s="196"/>
      <c r="S1396" s="196"/>
      <c r="T1396" s="196"/>
      <c r="U1396" s="196"/>
      <c r="V1396" s="196"/>
      <c r="W1396" s="196"/>
      <c r="X1396" s="196"/>
      <c r="Y1396" s="196"/>
      <c r="Z1396" s="196"/>
      <c r="AA1396" s="196"/>
      <c r="AB1396" s="196"/>
      <c r="AC1396" s="196"/>
      <c r="AD1396" s="196"/>
      <c r="AE1396" s="196"/>
      <c r="AF1396" s="196"/>
      <c r="AG1396" s="196"/>
      <c r="AH1396" s="196"/>
      <c r="AI1396" s="196"/>
      <c r="AJ1396" s="197"/>
      <c r="AK1396" s="80"/>
      <c r="AL1396" s="80"/>
      <c r="AM1396" s="73"/>
      <c r="AN1396" s="73"/>
      <c r="AO1396" s="73"/>
      <c r="AP1396" s="73"/>
      <c r="AQ1396" s="73"/>
      <c r="AR1396" s="73"/>
      <c r="AS1396" s="73"/>
      <c r="AT1396" s="73"/>
      <c r="AU1396" s="73"/>
      <c r="AV1396" s="73"/>
      <c r="AW1396" s="73"/>
      <c r="AX1396" s="73"/>
      <c r="AY1396" s="73"/>
      <c r="AZ1396" s="73"/>
      <c r="BA1396" s="73"/>
      <c r="BB1396" s="73"/>
      <c r="BC1396" s="73"/>
      <c r="BD1396" s="73"/>
      <c r="BE1396" s="73"/>
      <c r="BF1396" s="73"/>
      <c r="BG1396" s="73"/>
      <c r="BH1396" s="73"/>
      <c r="BI1396" s="73"/>
      <c r="BJ1396" s="73"/>
      <c r="BK1396" s="73"/>
      <c r="BL1396" s="73"/>
      <c r="BM1396" s="73"/>
      <c r="BN1396" s="73"/>
      <c r="BO1396" s="73"/>
      <c r="BP1396" s="73"/>
      <c r="BQ1396" s="73"/>
      <c r="BR1396" s="73"/>
      <c r="BS1396" s="73"/>
      <c r="BT1396" s="73"/>
      <c r="BU1396" s="73"/>
      <c r="BV1396" s="73"/>
      <c r="BW1396" s="73"/>
      <c r="BX1396" s="73"/>
      <c r="BY1396" s="73"/>
      <c r="BZ1396" s="73"/>
      <c r="CA1396" s="73"/>
      <c r="CB1396" s="73"/>
      <c r="CC1396" s="73"/>
      <c r="CD1396" s="73"/>
      <c r="CE1396" s="73"/>
      <c r="CF1396" s="73"/>
      <c r="CG1396" s="73"/>
      <c r="CH1396" s="73"/>
    </row>
    <row r="1397">
      <c r="A1397" s="80"/>
      <c r="B1397" s="80"/>
      <c r="C1397" s="80"/>
      <c r="D1397" s="80"/>
      <c r="E1397" s="124"/>
      <c r="F1397" s="80"/>
      <c r="G1397" s="80"/>
      <c r="H1397" s="80"/>
      <c r="I1397" s="80"/>
      <c r="J1397" s="196"/>
      <c r="K1397" s="196"/>
      <c r="L1397" s="196"/>
      <c r="M1397" s="196"/>
      <c r="N1397" s="196"/>
      <c r="O1397" s="196"/>
      <c r="P1397" s="196"/>
      <c r="Q1397" s="196"/>
      <c r="R1397" s="196"/>
      <c r="S1397" s="196"/>
      <c r="T1397" s="196"/>
      <c r="U1397" s="196"/>
      <c r="V1397" s="196"/>
      <c r="W1397" s="196"/>
      <c r="X1397" s="196"/>
      <c r="Y1397" s="196"/>
      <c r="Z1397" s="196"/>
      <c r="AA1397" s="196"/>
      <c r="AB1397" s="196"/>
      <c r="AC1397" s="196"/>
      <c r="AD1397" s="196"/>
      <c r="AE1397" s="196"/>
      <c r="AF1397" s="196"/>
      <c r="AG1397" s="196"/>
      <c r="AH1397" s="196"/>
      <c r="AI1397" s="196"/>
      <c r="AJ1397" s="197"/>
      <c r="AK1397" s="80"/>
      <c r="AL1397" s="80"/>
      <c r="AM1397" s="73"/>
      <c r="AN1397" s="73"/>
      <c r="AO1397" s="73"/>
      <c r="AP1397" s="73"/>
      <c r="AQ1397" s="73"/>
      <c r="AR1397" s="73"/>
      <c r="AS1397" s="73"/>
      <c r="AT1397" s="73"/>
      <c r="AU1397" s="73"/>
      <c r="AV1397" s="73"/>
      <c r="AW1397" s="73"/>
      <c r="AX1397" s="73"/>
      <c r="AY1397" s="73"/>
      <c r="AZ1397" s="73"/>
      <c r="BA1397" s="73"/>
      <c r="BB1397" s="73"/>
      <c r="BC1397" s="73"/>
      <c r="BD1397" s="73"/>
      <c r="BE1397" s="73"/>
      <c r="BF1397" s="73"/>
      <c r="BG1397" s="73"/>
      <c r="BH1397" s="73"/>
      <c r="BI1397" s="73"/>
      <c r="BJ1397" s="73"/>
      <c r="BK1397" s="73"/>
      <c r="BL1397" s="73"/>
      <c r="BM1397" s="73"/>
      <c r="BN1397" s="73"/>
      <c r="BO1397" s="73"/>
      <c r="BP1397" s="73"/>
      <c r="BQ1397" s="73"/>
      <c r="BR1397" s="73"/>
      <c r="BS1397" s="73"/>
      <c r="BT1397" s="73"/>
      <c r="BU1397" s="73"/>
      <c r="BV1397" s="73"/>
      <c r="BW1397" s="73"/>
      <c r="BX1397" s="73"/>
      <c r="BY1397" s="73"/>
      <c r="BZ1397" s="73"/>
      <c r="CA1397" s="73"/>
      <c r="CB1397" s="73"/>
      <c r="CC1397" s="73"/>
      <c r="CD1397" s="73"/>
      <c r="CE1397" s="73"/>
      <c r="CF1397" s="73"/>
      <c r="CG1397" s="73"/>
      <c r="CH1397" s="73"/>
    </row>
    <row r="1398">
      <c r="A1398" s="80"/>
      <c r="B1398" s="80"/>
      <c r="C1398" s="80"/>
      <c r="D1398" s="80"/>
      <c r="E1398" s="124"/>
      <c r="F1398" s="80"/>
      <c r="G1398" s="80"/>
      <c r="H1398" s="80"/>
      <c r="I1398" s="80"/>
      <c r="J1398" s="196"/>
      <c r="K1398" s="196"/>
      <c r="L1398" s="196"/>
      <c r="M1398" s="196"/>
      <c r="N1398" s="196"/>
      <c r="O1398" s="196"/>
      <c r="P1398" s="196"/>
      <c r="Q1398" s="196"/>
      <c r="R1398" s="196"/>
      <c r="S1398" s="196"/>
      <c r="T1398" s="196"/>
      <c r="U1398" s="196"/>
      <c r="V1398" s="196"/>
      <c r="W1398" s="196"/>
      <c r="X1398" s="196"/>
      <c r="Y1398" s="196"/>
      <c r="Z1398" s="196"/>
      <c r="AA1398" s="196"/>
      <c r="AB1398" s="196"/>
      <c r="AC1398" s="196"/>
      <c r="AD1398" s="196"/>
      <c r="AE1398" s="196"/>
      <c r="AF1398" s="196"/>
      <c r="AG1398" s="196"/>
      <c r="AH1398" s="196"/>
      <c r="AI1398" s="196"/>
      <c r="AJ1398" s="197"/>
      <c r="AK1398" s="80"/>
      <c r="AL1398" s="80"/>
      <c r="AM1398" s="73"/>
      <c r="AN1398" s="73"/>
      <c r="AO1398" s="73"/>
      <c r="AP1398" s="73"/>
      <c r="AQ1398" s="73"/>
      <c r="AR1398" s="73"/>
      <c r="AS1398" s="73"/>
      <c r="AT1398" s="73"/>
      <c r="AU1398" s="73"/>
      <c r="AV1398" s="73"/>
      <c r="AW1398" s="73"/>
      <c r="AX1398" s="73"/>
      <c r="AY1398" s="73"/>
      <c r="AZ1398" s="73"/>
      <c r="BA1398" s="73"/>
      <c r="BB1398" s="73"/>
      <c r="BC1398" s="73"/>
      <c r="BD1398" s="73"/>
      <c r="BE1398" s="73"/>
      <c r="BF1398" s="73"/>
      <c r="BG1398" s="73"/>
      <c r="BH1398" s="73"/>
      <c r="BI1398" s="73"/>
      <c r="BJ1398" s="73"/>
      <c r="BK1398" s="73"/>
      <c r="BL1398" s="73"/>
      <c r="BM1398" s="73"/>
      <c r="BN1398" s="73"/>
      <c r="BO1398" s="73"/>
      <c r="BP1398" s="73"/>
      <c r="BQ1398" s="73"/>
      <c r="BR1398" s="73"/>
      <c r="BS1398" s="73"/>
      <c r="BT1398" s="73"/>
      <c r="BU1398" s="73"/>
      <c r="BV1398" s="73"/>
      <c r="BW1398" s="73"/>
      <c r="BX1398" s="73"/>
      <c r="BY1398" s="73"/>
      <c r="BZ1398" s="73"/>
      <c r="CA1398" s="73"/>
      <c r="CB1398" s="73"/>
      <c r="CC1398" s="73"/>
      <c r="CD1398" s="73"/>
      <c r="CE1398" s="73"/>
      <c r="CF1398" s="73"/>
      <c r="CG1398" s="73"/>
      <c r="CH1398" s="73"/>
    </row>
    <row r="1399">
      <c r="A1399" s="80"/>
      <c r="B1399" s="80"/>
      <c r="C1399" s="80"/>
      <c r="D1399" s="80"/>
      <c r="E1399" s="124"/>
      <c r="F1399" s="80"/>
      <c r="G1399" s="80"/>
      <c r="H1399" s="80"/>
      <c r="I1399" s="80"/>
      <c r="J1399" s="196"/>
      <c r="K1399" s="196"/>
      <c r="L1399" s="196"/>
      <c r="M1399" s="196"/>
      <c r="N1399" s="196"/>
      <c r="O1399" s="196"/>
      <c r="P1399" s="196"/>
      <c r="Q1399" s="196"/>
      <c r="R1399" s="196"/>
      <c r="S1399" s="196"/>
      <c r="T1399" s="196"/>
      <c r="U1399" s="196"/>
      <c r="V1399" s="196"/>
      <c r="W1399" s="196"/>
      <c r="X1399" s="196"/>
      <c r="Y1399" s="196"/>
      <c r="Z1399" s="196"/>
      <c r="AA1399" s="196"/>
      <c r="AB1399" s="196"/>
      <c r="AC1399" s="196"/>
      <c r="AD1399" s="196"/>
      <c r="AE1399" s="196"/>
      <c r="AF1399" s="196"/>
      <c r="AG1399" s="196"/>
      <c r="AH1399" s="196"/>
      <c r="AI1399" s="196"/>
      <c r="AJ1399" s="197"/>
      <c r="AK1399" s="80"/>
      <c r="AL1399" s="80"/>
      <c r="AM1399" s="73"/>
      <c r="AN1399" s="73"/>
      <c r="AO1399" s="73"/>
      <c r="AP1399" s="73"/>
      <c r="AQ1399" s="73"/>
      <c r="AR1399" s="73"/>
      <c r="AS1399" s="73"/>
      <c r="AT1399" s="73"/>
      <c r="AU1399" s="73"/>
      <c r="AV1399" s="73"/>
      <c r="AW1399" s="73"/>
      <c r="AX1399" s="73"/>
      <c r="AY1399" s="73"/>
      <c r="AZ1399" s="73"/>
      <c r="BA1399" s="73"/>
      <c r="BB1399" s="73"/>
      <c r="BC1399" s="73"/>
      <c r="BD1399" s="73"/>
      <c r="BE1399" s="73"/>
      <c r="BF1399" s="73"/>
      <c r="BG1399" s="73"/>
      <c r="BH1399" s="73"/>
      <c r="BI1399" s="73"/>
      <c r="BJ1399" s="73"/>
      <c r="BK1399" s="73"/>
      <c r="BL1399" s="73"/>
      <c r="BM1399" s="73"/>
      <c r="BN1399" s="73"/>
      <c r="BO1399" s="73"/>
      <c r="BP1399" s="73"/>
      <c r="BQ1399" s="73"/>
      <c r="BR1399" s="73"/>
      <c r="BS1399" s="73"/>
      <c r="BT1399" s="73"/>
      <c r="BU1399" s="73"/>
      <c r="BV1399" s="73"/>
      <c r="BW1399" s="73"/>
      <c r="BX1399" s="73"/>
      <c r="BY1399" s="73"/>
      <c r="BZ1399" s="73"/>
      <c r="CA1399" s="73"/>
      <c r="CB1399" s="73"/>
      <c r="CC1399" s="73"/>
      <c r="CD1399" s="73"/>
      <c r="CE1399" s="73"/>
      <c r="CF1399" s="73"/>
      <c r="CG1399" s="73"/>
      <c r="CH1399" s="73"/>
    </row>
    <row r="1400">
      <c r="A1400" s="80"/>
      <c r="B1400" s="80"/>
      <c r="C1400" s="80"/>
      <c r="D1400" s="80"/>
      <c r="E1400" s="124"/>
      <c r="F1400" s="80"/>
      <c r="G1400" s="80"/>
      <c r="H1400" s="80"/>
      <c r="I1400" s="80"/>
      <c r="J1400" s="196"/>
      <c r="K1400" s="196"/>
      <c r="L1400" s="196"/>
      <c r="M1400" s="196"/>
      <c r="N1400" s="196"/>
      <c r="O1400" s="196"/>
      <c r="P1400" s="196"/>
      <c r="Q1400" s="196"/>
      <c r="R1400" s="196"/>
      <c r="S1400" s="196"/>
      <c r="T1400" s="196"/>
      <c r="U1400" s="196"/>
      <c r="V1400" s="196"/>
      <c r="W1400" s="196"/>
      <c r="X1400" s="196"/>
      <c r="Y1400" s="196"/>
      <c r="Z1400" s="196"/>
      <c r="AA1400" s="196"/>
      <c r="AB1400" s="196"/>
      <c r="AC1400" s="196"/>
      <c r="AD1400" s="196"/>
      <c r="AE1400" s="196"/>
      <c r="AF1400" s="196"/>
      <c r="AG1400" s="196"/>
      <c r="AH1400" s="196"/>
      <c r="AI1400" s="196"/>
      <c r="AJ1400" s="197"/>
      <c r="AK1400" s="80"/>
      <c r="AL1400" s="80"/>
      <c r="AM1400" s="73"/>
      <c r="AN1400" s="73"/>
      <c r="AO1400" s="73"/>
      <c r="AP1400" s="73"/>
      <c r="AQ1400" s="73"/>
      <c r="AR1400" s="73"/>
      <c r="AS1400" s="73"/>
      <c r="AT1400" s="73"/>
      <c r="AU1400" s="73"/>
      <c r="AV1400" s="73"/>
      <c r="AW1400" s="73"/>
      <c r="AX1400" s="73"/>
      <c r="AY1400" s="73"/>
      <c r="AZ1400" s="73"/>
      <c r="BA1400" s="73"/>
      <c r="BB1400" s="73"/>
      <c r="BC1400" s="73"/>
      <c r="BD1400" s="73"/>
      <c r="BE1400" s="73"/>
      <c r="BF1400" s="73"/>
      <c r="BG1400" s="73"/>
      <c r="BH1400" s="73"/>
      <c r="BI1400" s="73"/>
      <c r="BJ1400" s="73"/>
      <c r="BK1400" s="73"/>
      <c r="BL1400" s="73"/>
      <c r="BM1400" s="73"/>
      <c r="BN1400" s="73"/>
      <c r="BO1400" s="73"/>
      <c r="BP1400" s="73"/>
      <c r="BQ1400" s="73"/>
      <c r="BR1400" s="73"/>
      <c r="BS1400" s="73"/>
      <c r="BT1400" s="73"/>
      <c r="BU1400" s="73"/>
      <c r="BV1400" s="73"/>
      <c r="BW1400" s="73"/>
      <c r="BX1400" s="73"/>
      <c r="BY1400" s="73"/>
      <c r="BZ1400" s="73"/>
      <c r="CA1400" s="73"/>
      <c r="CB1400" s="73"/>
      <c r="CC1400" s="73"/>
      <c r="CD1400" s="73"/>
      <c r="CE1400" s="73"/>
      <c r="CF1400" s="73"/>
      <c r="CG1400" s="73"/>
      <c r="CH1400" s="73"/>
    </row>
    <row r="1401">
      <c r="A1401" s="80"/>
      <c r="B1401" s="80"/>
      <c r="C1401" s="80"/>
      <c r="D1401" s="80"/>
      <c r="E1401" s="124"/>
      <c r="F1401" s="80"/>
      <c r="G1401" s="80"/>
      <c r="H1401" s="80"/>
      <c r="I1401" s="80"/>
      <c r="J1401" s="196"/>
      <c r="K1401" s="196"/>
      <c r="L1401" s="196"/>
      <c r="M1401" s="196"/>
      <c r="N1401" s="196"/>
      <c r="O1401" s="196"/>
      <c r="P1401" s="196"/>
      <c r="Q1401" s="196"/>
      <c r="R1401" s="196"/>
      <c r="S1401" s="196"/>
      <c r="T1401" s="196"/>
      <c r="U1401" s="196"/>
      <c r="V1401" s="196"/>
      <c r="W1401" s="196"/>
      <c r="X1401" s="196"/>
      <c r="Y1401" s="196"/>
      <c r="Z1401" s="196"/>
      <c r="AA1401" s="196"/>
      <c r="AB1401" s="196"/>
      <c r="AC1401" s="196"/>
      <c r="AD1401" s="196"/>
      <c r="AE1401" s="196"/>
      <c r="AF1401" s="196"/>
      <c r="AG1401" s="196"/>
      <c r="AH1401" s="196"/>
      <c r="AI1401" s="196"/>
      <c r="AJ1401" s="197"/>
      <c r="AK1401" s="80"/>
      <c r="AL1401" s="80"/>
      <c r="AM1401" s="73"/>
      <c r="AN1401" s="73"/>
      <c r="AO1401" s="73"/>
      <c r="AP1401" s="73"/>
      <c r="AQ1401" s="73"/>
      <c r="AR1401" s="73"/>
      <c r="AS1401" s="73"/>
      <c r="AT1401" s="73"/>
      <c r="AU1401" s="73"/>
      <c r="AV1401" s="73"/>
      <c r="AW1401" s="73"/>
      <c r="AX1401" s="73"/>
      <c r="AY1401" s="73"/>
      <c r="AZ1401" s="73"/>
      <c r="BA1401" s="73"/>
      <c r="BB1401" s="73"/>
      <c r="BC1401" s="73"/>
      <c r="BD1401" s="73"/>
      <c r="BE1401" s="73"/>
      <c r="BF1401" s="73"/>
      <c r="BG1401" s="73"/>
      <c r="BH1401" s="73"/>
      <c r="BI1401" s="73"/>
      <c r="BJ1401" s="73"/>
      <c r="BK1401" s="73"/>
      <c r="BL1401" s="73"/>
      <c r="BM1401" s="73"/>
      <c r="BN1401" s="73"/>
      <c r="BO1401" s="73"/>
      <c r="BP1401" s="73"/>
      <c r="BQ1401" s="73"/>
      <c r="BR1401" s="73"/>
      <c r="BS1401" s="73"/>
      <c r="BT1401" s="73"/>
      <c r="BU1401" s="73"/>
      <c r="BV1401" s="73"/>
      <c r="BW1401" s="73"/>
      <c r="BX1401" s="73"/>
      <c r="BY1401" s="73"/>
      <c r="BZ1401" s="73"/>
      <c r="CA1401" s="73"/>
      <c r="CB1401" s="73"/>
      <c r="CC1401" s="73"/>
      <c r="CD1401" s="73"/>
      <c r="CE1401" s="73"/>
      <c r="CF1401" s="73"/>
      <c r="CG1401" s="73"/>
      <c r="CH1401" s="73"/>
    </row>
    <row r="1402">
      <c r="A1402" s="80"/>
      <c r="B1402" s="80"/>
      <c r="C1402" s="80"/>
      <c r="D1402" s="80"/>
      <c r="E1402" s="124"/>
      <c r="F1402" s="80"/>
      <c r="G1402" s="80"/>
      <c r="H1402" s="80"/>
      <c r="I1402" s="80"/>
      <c r="J1402" s="196"/>
      <c r="K1402" s="196"/>
      <c r="L1402" s="196"/>
      <c r="M1402" s="196"/>
      <c r="N1402" s="196"/>
      <c r="O1402" s="196"/>
      <c r="P1402" s="196"/>
      <c r="Q1402" s="196"/>
      <c r="R1402" s="196"/>
      <c r="S1402" s="196"/>
      <c r="T1402" s="196"/>
      <c r="U1402" s="196"/>
      <c r="V1402" s="196"/>
      <c r="W1402" s="196"/>
      <c r="X1402" s="196"/>
      <c r="Y1402" s="196"/>
      <c r="Z1402" s="196"/>
      <c r="AA1402" s="196"/>
      <c r="AB1402" s="196"/>
      <c r="AC1402" s="196"/>
      <c r="AD1402" s="196"/>
      <c r="AE1402" s="196"/>
      <c r="AF1402" s="196"/>
      <c r="AG1402" s="196"/>
      <c r="AH1402" s="196"/>
      <c r="AI1402" s="196"/>
      <c r="AJ1402" s="197"/>
      <c r="AK1402" s="80"/>
      <c r="AL1402" s="80"/>
      <c r="AM1402" s="73"/>
      <c r="AN1402" s="73"/>
      <c r="AO1402" s="73"/>
      <c r="AP1402" s="73"/>
      <c r="AQ1402" s="73"/>
      <c r="AR1402" s="73"/>
      <c r="AS1402" s="73"/>
      <c r="AT1402" s="73"/>
      <c r="AU1402" s="73"/>
      <c r="AV1402" s="73"/>
      <c r="AW1402" s="73"/>
      <c r="AX1402" s="73"/>
      <c r="AY1402" s="73"/>
      <c r="AZ1402" s="73"/>
      <c r="BA1402" s="73"/>
      <c r="BB1402" s="73"/>
      <c r="BC1402" s="73"/>
      <c r="BD1402" s="73"/>
      <c r="BE1402" s="73"/>
      <c r="BF1402" s="73"/>
      <c r="BG1402" s="73"/>
      <c r="BH1402" s="73"/>
      <c r="BI1402" s="73"/>
      <c r="BJ1402" s="73"/>
      <c r="BK1402" s="73"/>
      <c r="BL1402" s="73"/>
      <c r="BM1402" s="73"/>
      <c r="BN1402" s="73"/>
      <c r="BO1402" s="73"/>
      <c r="BP1402" s="73"/>
      <c r="BQ1402" s="73"/>
      <c r="BR1402" s="73"/>
      <c r="BS1402" s="73"/>
      <c r="BT1402" s="73"/>
      <c r="BU1402" s="73"/>
      <c r="BV1402" s="73"/>
      <c r="BW1402" s="73"/>
      <c r="BX1402" s="73"/>
      <c r="BY1402" s="73"/>
      <c r="BZ1402" s="73"/>
      <c r="CA1402" s="73"/>
      <c r="CB1402" s="73"/>
      <c r="CC1402" s="73"/>
      <c r="CD1402" s="73"/>
      <c r="CE1402" s="73"/>
      <c r="CF1402" s="73"/>
      <c r="CG1402" s="73"/>
      <c r="CH1402" s="73"/>
    </row>
    <row r="1403">
      <c r="A1403" s="80"/>
      <c r="B1403" s="80"/>
      <c r="C1403" s="80"/>
      <c r="D1403" s="80"/>
      <c r="E1403" s="124"/>
      <c r="F1403" s="80"/>
      <c r="G1403" s="80"/>
      <c r="H1403" s="80"/>
      <c r="I1403" s="80"/>
      <c r="J1403" s="196"/>
      <c r="K1403" s="196"/>
      <c r="L1403" s="196"/>
      <c r="M1403" s="196"/>
      <c r="N1403" s="196"/>
      <c r="O1403" s="196"/>
      <c r="P1403" s="196"/>
      <c r="Q1403" s="196"/>
      <c r="R1403" s="196"/>
      <c r="S1403" s="196"/>
      <c r="T1403" s="196"/>
      <c r="U1403" s="196"/>
      <c r="V1403" s="196"/>
      <c r="W1403" s="196"/>
      <c r="X1403" s="196"/>
      <c r="Y1403" s="196"/>
      <c r="Z1403" s="196"/>
      <c r="AA1403" s="196"/>
      <c r="AB1403" s="196"/>
      <c r="AC1403" s="196"/>
      <c r="AD1403" s="196"/>
      <c r="AE1403" s="196"/>
      <c r="AF1403" s="196"/>
      <c r="AG1403" s="196"/>
      <c r="AH1403" s="196"/>
      <c r="AI1403" s="196"/>
      <c r="AJ1403" s="197"/>
      <c r="AK1403" s="80"/>
      <c r="AL1403" s="80"/>
      <c r="AM1403" s="73"/>
      <c r="AN1403" s="73"/>
      <c r="AO1403" s="73"/>
      <c r="AP1403" s="73"/>
      <c r="AQ1403" s="73"/>
      <c r="AR1403" s="73"/>
      <c r="AS1403" s="73"/>
      <c r="AT1403" s="73"/>
      <c r="AU1403" s="73"/>
      <c r="AV1403" s="73"/>
      <c r="AW1403" s="73"/>
      <c r="AX1403" s="73"/>
      <c r="AY1403" s="73"/>
      <c r="AZ1403" s="73"/>
      <c r="BA1403" s="73"/>
      <c r="BB1403" s="73"/>
      <c r="BC1403" s="73"/>
      <c r="BD1403" s="73"/>
      <c r="BE1403" s="73"/>
      <c r="BF1403" s="73"/>
      <c r="BG1403" s="73"/>
      <c r="BH1403" s="73"/>
      <c r="BI1403" s="73"/>
      <c r="BJ1403" s="73"/>
      <c r="BK1403" s="73"/>
      <c r="BL1403" s="73"/>
      <c r="BM1403" s="73"/>
      <c r="BN1403" s="73"/>
      <c r="BO1403" s="73"/>
      <c r="BP1403" s="73"/>
      <c r="BQ1403" s="73"/>
      <c r="BR1403" s="73"/>
      <c r="BS1403" s="73"/>
      <c r="BT1403" s="73"/>
      <c r="BU1403" s="73"/>
      <c r="BV1403" s="73"/>
      <c r="BW1403" s="73"/>
      <c r="BX1403" s="73"/>
      <c r="BY1403" s="73"/>
      <c r="BZ1403" s="73"/>
      <c r="CA1403" s="73"/>
      <c r="CB1403" s="73"/>
      <c r="CC1403" s="73"/>
      <c r="CD1403" s="73"/>
      <c r="CE1403" s="73"/>
      <c r="CF1403" s="73"/>
      <c r="CG1403" s="73"/>
      <c r="CH1403" s="73"/>
    </row>
    <row r="1404">
      <c r="A1404" s="80"/>
      <c r="B1404" s="80"/>
      <c r="C1404" s="80"/>
      <c r="D1404" s="80"/>
      <c r="E1404" s="124"/>
      <c r="F1404" s="80"/>
      <c r="G1404" s="80"/>
      <c r="H1404" s="80"/>
      <c r="I1404" s="80"/>
      <c r="J1404" s="196"/>
      <c r="K1404" s="196"/>
      <c r="L1404" s="196"/>
      <c r="M1404" s="196"/>
      <c r="N1404" s="196"/>
      <c r="O1404" s="196"/>
      <c r="P1404" s="196"/>
      <c r="Q1404" s="196"/>
      <c r="R1404" s="196"/>
      <c r="S1404" s="196"/>
      <c r="T1404" s="196"/>
      <c r="U1404" s="196"/>
      <c r="V1404" s="196"/>
      <c r="W1404" s="196"/>
      <c r="X1404" s="196"/>
      <c r="Y1404" s="196"/>
      <c r="Z1404" s="196"/>
      <c r="AA1404" s="196"/>
      <c r="AB1404" s="196"/>
      <c r="AC1404" s="196"/>
      <c r="AD1404" s="196"/>
      <c r="AE1404" s="196"/>
      <c r="AF1404" s="196"/>
      <c r="AG1404" s="196"/>
      <c r="AH1404" s="196"/>
      <c r="AI1404" s="196"/>
      <c r="AJ1404" s="197"/>
      <c r="AK1404" s="80"/>
      <c r="AL1404" s="80"/>
      <c r="AM1404" s="73"/>
      <c r="AN1404" s="73"/>
      <c r="AO1404" s="73"/>
      <c r="AP1404" s="73"/>
      <c r="AQ1404" s="73"/>
      <c r="AR1404" s="73"/>
      <c r="AS1404" s="73"/>
      <c r="AT1404" s="73"/>
      <c r="AU1404" s="73"/>
      <c r="AV1404" s="73"/>
      <c r="AW1404" s="73"/>
      <c r="AX1404" s="73"/>
      <c r="AY1404" s="73"/>
      <c r="AZ1404" s="73"/>
      <c r="BA1404" s="73"/>
      <c r="BB1404" s="73"/>
      <c r="BC1404" s="73"/>
      <c r="BD1404" s="73"/>
      <c r="BE1404" s="73"/>
      <c r="BF1404" s="73"/>
      <c r="BG1404" s="73"/>
      <c r="BH1404" s="73"/>
      <c r="BI1404" s="73"/>
      <c r="BJ1404" s="73"/>
      <c r="BK1404" s="73"/>
      <c r="BL1404" s="73"/>
      <c r="BM1404" s="73"/>
      <c r="BN1404" s="73"/>
      <c r="BO1404" s="73"/>
      <c r="BP1404" s="73"/>
      <c r="BQ1404" s="73"/>
      <c r="BR1404" s="73"/>
      <c r="BS1404" s="73"/>
      <c r="BT1404" s="73"/>
      <c r="BU1404" s="73"/>
      <c r="BV1404" s="73"/>
      <c r="BW1404" s="73"/>
      <c r="BX1404" s="73"/>
      <c r="BY1404" s="73"/>
      <c r="BZ1404" s="73"/>
      <c r="CA1404" s="73"/>
      <c r="CB1404" s="73"/>
      <c r="CC1404" s="73"/>
      <c r="CD1404" s="73"/>
      <c r="CE1404" s="73"/>
      <c r="CF1404" s="73"/>
      <c r="CG1404" s="73"/>
      <c r="CH1404" s="73"/>
    </row>
    <row r="1405">
      <c r="A1405" s="80"/>
      <c r="B1405" s="80"/>
      <c r="C1405" s="80"/>
      <c r="D1405" s="80"/>
      <c r="E1405" s="124"/>
      <c r="F1405" s="80"/>
      <c r="G1405" s="80"/>
      <c r="H1405" s="80"/>
      <c r="I1405" s="80"/>
      <c r="J1405" s="196"/>
      <c r="K1405" s="196"/>
      <c r="L1405" s="196"/>
      <c r="M1405" s="196"/>
      <c r="N1405" s="196"/>
      <c r="O1405" s="196"/>
      <c r="P1405" s="196"/>
      <c r="Q1405" s="196"/>
      <c r="R1405" s="196"/>
      <c r="S1405" s="196"/>
      <c r="T1405" s="196"/>
      <c r="U1405" s="196"/>
      <c r="V1405" s="196"/>
      <c r="W1405" s="196"/>
      <c r="X1405" s="196"/>
      <c r="Y1405" s="196"/>
      <c r="Z1405" s="196"/>
      <c r="AA1405" s="196"/>
      <c r="AB1405" s="196"/>
      <c r="AC1405" s="196"/>
      <c r="AD1405" s="196"/>
      <c r="AE1405" s="196"/>
      <c r="AF1405" s="196"/>
      <c r="AG1405" s="196"/>
      <c r="AH1405" s="196"/>
      <c r="AI1405" s="196"/>
      <c r="AJ1405" s="197"/>
      <c r="AK1405" s="80"/>
      <c r="AL1405" s="80"/>
      <c r="AM1405" s="73"/>
      <c r="AN1405" s="73"/>
      <c r="AO1405" s="73"/>
      <c r="AP1405" s="73"/>
      <c r="AQ1405" s="73"/>
      <c r="AR1405" s="73"/>
      <c r="AS1405" s="73"/>
      <c r="AT1405" s="73"/>
      <c r="AU1405" s="73"/>
      <c r="AV1405" s="73"/>
      <c r="AW1405" s="73"/>
      <c r="AX1405" s="73"/>
      <c r="AY1405" s="73"/>
      <c r="AZ1405" s="73"/>
      <c r="BA1405" s="73"/>
      <c r="BB1405" s="73"/>
      <c r="BC1405" s="73"/>
      <c r="BD1405" s="73"/>
      <c r="BE1405" s="73"/>
      <c r="BF1405" s="73"/>
      <c r="BG1405" s="73"/>
      <c r="BH1405" s="73"/>
      <c r="BI1405" s="73"/>
      <c r="BJ1405" s="73"/>
      <c r="BK1405" s="73"/>
      <c r="BL1405" s="73"/>
      <c r="BM1405" s="73"/>
      <c r="BN1405" s="73"/>
      <c r="BO1405" s="73"/>
      <c r="BP1405" s="73"/>
      <c r="BQ1405" s="73"/>
      <c r="BR1405" s="73"/>
      <c r="BS1405" s="73"/>
      <c r="BT1405" s="73"/>
      <c r="BU1405" s="73"/>
      <c r="BV1405" s="73"/>
      <c r="BW1405" s="73"/>
      <c r="BX1405" s="73"/>
      <c r="BY1405" s="73"/>
      <c r="BZ1405" s="73"/>
      <c r="CA1405" s="73"/>
      <c r="CB1405" s="73"/>
      <c r="CC1405" s="73"/>
      <c r="CD1405" s="73"/>
      <c r="CE1405" s="73"/>
      <c r="CF1405" s="73"/>
      <c r="CG1405" s="73"/>
      <c r="CH1405" s="73"/>
    </row>
    <row r="1406">
      <c r="A1406" s="80"/>
      <c r="B1406" s="80"/>
      <c r="C1406" s="80"/>
      <c r="D1406" s="80"/>
      <c r="E1406" s="124"/>
      <c r="F1406" s="80"/>
      <c r="G1406" s="80"/>
      <c r="H1406" s="80"/>
      <c r="I1406" s="80"/>
      <c r="J1406" s="196"/>
      <c r="K1406" s="196"/>
      <c r="L1406" s="196"/>
      <c r="M1406" s="196"/>
      <c r="N1406" s="196"/>
      <c r="O1406" s="196"/>
      <c r="P1406" s="196"/>
      <c r="Q1406" s="196"/>
      <c r="R1406" s="196"/>
      <c r="S1406" s="196"/>
      <c r="T1406" s="196"/>
      <c r="U1406" s="196"/>
      <c r="V1406" s="196"/>
      <c r="W1406" s="196"/>
      <c r="X1406" s="196"/>
      <c r="Y1406" s="196"/>
      <c r="Z1406" s="196"/>
      <c r="AA1406" s="196"/>
      <c r="AB1406" s="196"/>
      <c r="AC1406" s="196"/>
      <c r="AD1406" s="196"/>
      <c r="AE1406" s="196"/>
      <c r="AF1406" s="196"/>
      <c r="AG1406" s="196"/>
      <c r="AH1406" s="196"/>
      <c r="AI1406" s="196"/>
      <c r="AJ1406" s="197"/>
      <c r="AK1406" s="80"/>
      <c r="AL1406" s="80"/>
      <c r="AM1406" s="73"/>
      <c r="AN1406" s="73"/>
      <c r="AO1406" s="73"/>
      <c r="AP1406" s="73"/>
      <c r="AQ1406" s="73"/>
      <c r="AR1406" s="73"/>
      <c r="AS1406" s="73"/>
      <c r="AT1406" s="73"/>
      <c r="AU1406" s="73"/>
      <c r="AV1406" s="73"/>
      <c r="AW1406" s="73"/>
      <c r="AX1406" s="73"/>
      <c r="AY1406" s="73"/>
      <c r="AZ1406" s="73"/>
      <c r="BA1406" s="73"/>
      <c r="BB1406" s="73"/>
      <c r="BC1406" s="73"/>
      <c r="BD1406" s="73"/>
      <c r="BE1406" s="73"/>
      <c r="BF1406" s="73"/>
      <c r="BG1406" s="73"/>
      <c r="BH1406" s="73"/>
      <c r="BI1406" s="73"/>
      <c r="BJ1406" s="73"/>
      <c r="BK1406" s="73"/>
      <c r="BL1406" s="73"/>
      <c r="BM1406" s="73"/>
      <c r="BN1406" s="73"/>
      <c r="BO1406" s="73"/>
      <c r="BP1406" s="73"/>
      <c r="BQ1406" s="73"/>
      <c r="BR1406" s="73"/>
      <c r="BS1406" s="73"/>
      <c r="BT1406" s="73"/>
      <c r="BU1406" s="73"/>
      <c r="BV1406" s="73"/>
      <c r="BW1406" s="73"/>
      <c r="BX1406" s="73"/>
      <c r="BY1406" s="73"/>
      <c r="BZ1406" s="73"/>
      <c r="CA1406" s="73"/>
      <c r="CB1406" s="73"/>
      <c r="CC1406" s="73"/>
      <c r="CD1406" s="73"/>
      <c r="CE1406" s="73"/>
      <c r="CF1406" s="73"/>
      <c r="CG1406" s="73"/>
      <c r="CH1406" s="73"/>
    </row>
    <row r="1407">
      <c r="A1407" s="80"/>
      <c r="B1407" s="80"/>
      <c r="C1407" s="80"/>
      <c r="D1407" s="80"/>
      <c r="E1407" s="124"/>
      <c r="F1407" s="80"/>
      <c r="G1407" s="80"/>
      <c r="H1407" s="80"/>
      <c r="I1407" s="80"/>
      <c r="J1407" s="196"/>
      <c r="K1407" s="196"/>
      <c r="L1407" s="196"/>
      <c r="M1407" s="196"/>
      <c r="N1407" s="196"/>
      <c r="O1407" s="196"/>
      <c r="P1407" s="196"/>
      <c r="Q1407" s="196"/>
      <c r="R1407" s="196"/>
      <c r="S1407" s="196"/>
      <c r="T1407" s="196"/>
      <c r="U1407" s="196"/>
      <c r="V1407" s="196"/>
      <c r="W1407" s="196"/>
      <c r="X1407" s="196"/>
      <c r="Y1407" s="196"/>
      <c r="Z1407" s="196"/>
      <c r="AA1407" s="196"/>
      <c r="AB1407" s="196"/>
      <c r="AC1407" s="196"/>
      <c r="AD1407" s="196"/>
      <c r="AE1407" s="196"/>
      <c r="AF1407" s="196"/>
      <c r="AG1407" s="196"/>
      <c r="AH1407" s="196"/>
      <c r="AI1407" s="196"/>
      <c r="AJ1407" s="197"/>
      <c r="AK1407" s="80"/>
      <c r="AL1407" s="80"/>
      <c r="AM1407" s="73"/>
      <c r="AN1407" s="73"/>
      <c r="AO1407" s="73"/>
      <c r="AP1407" s="73"/>
      <c r="AQ1407" s="73"/>
      <c r="AR1407" s="73"/>
      <c r="AS1407" s="73"/>
      <c r="AT1407" s="73"/>
      <c r="AU1407" s="73"/>
      <c r="AV1407" s="73"/>
      <c r="AW1407" s="73"/>
      <c r="AX1407" s="73"/>
      <c r="AY1407" s="73"/>
      <c r="AZ1407" s="73"/>
      <c r="BA1407" s="73"/>
      <c r="BB1407" s="73"/>
      <c r="BC1407" s="73"/>
      <c r="BD1407" s="73"/>
      <c r="BE1407" s="73"/>
      <c r="BF1407" s="73"/>
      <c r="BG1407" s="73"/>
      <c r="BH1407" s="73"/>
      <c r="BI1407" s="73"/>
      <c r="BJ1407" s="73"/>
      <c r="BK1407" s="73"/>
      <c r="BL1407" s="73"/>
      <c r="BM1407" s="73"/>
      <c r="BN1407" s="73"/>
      <c r="BO1407" s="73"/>
      <c r="BP1407" s="73"/>
      <c r="BQ1407" s="73"/>
      <c r="BR1407" s="73"/>
      <c r="BS1407" s="73"/>
      <c r="BT1407" s="73"/>
      <c r="BU1407" s="73"/>
      <c r="BV1407" s="73"/>
      <c r="BW1407" s="73"/>
      <c r="BX1407" s="73"/>
      <c r="BY1407" s="73"/>
      <c r="BZ1407" s="73"/>
      <c r="CA1407" s="73"/>
      <c r="CB1407" s="73"/>
      <c r="CC1407" s="73"/>
      <c r="CD1407" s="73"/>
      <c r="CE1407" s="73"/>
      <c r="CF1407" s="73"/>
      <c r="CG1407" s="73"/>
      <c r="CH1407" s="73"/>
    </row>
    <row r="1408">
      <c r="A1408" s="80"/>
      <c r="B1408" s="80"/>
      <c r="C1408" s="80"/>
      <c r="D1408" s="80"/>
      <c r="E1408" s="124"/>
      <c r="F1408" s="80"/>
      <c r="G1408" s="80"/>
      <c r="H1408" s="80"/>
      <c r="I1408" s="80"/>
      <c r="J1408" s="196"/>
      <c r="K1408" s="196"/>
      <c r="L1408" s="196"/>
      <c r="M1408" s="196"/>
      <c r="N1408" s="196"/>
      <c r="O1408" s="196"/>
      <c r="P1408" s="196"/>
      <c r="Q1408" s="196"/>
      <c r="R1408" s="196"/>
      <c r="S1408" s="196"/>
      <c r="T1408" s="196"/>
      <c r="U1408" s="196"/>
      <c r="V1408" s="196"/>
      <c r="W1408" s="196"/>
      <c r="X1408" s="196"/>
      <c r="Y1408" s="196"/>
      <c r="Z1408" s="196"/>
      <c r="AA1408" s="196"/>
      <c r="AB1408" s="196"/>
      <c r="AC1408" s="196"/>
      <c r="AD1408" s="196"/>
      <c r="AE1408" s="196"/>
      <c r="AF1408" s="196"/>
      <c r="AG1408" s="196"/>
      <c r="AH1408" s="196"/>
      <c r="AI1408" s="196"/>
      <c r="AJ1408" s="197"/>
      <c r="AK1408" s="80"/>
      <c r="AL1408" s="80"/>
      <c r="AM1408" s="73"/>
      <c r="AN1408" s="73"/>
      <c r="AO1408" s="73"/>
      <c r="AP1408" s="73"/>
      <c r="AQ1408" s="73"/>
      <c r="AR1408" s="73"/>
      <c r="AS1408" s="73"/>
      <c r="AT1408" s="73"/>
      <c r="AU1408" s="73"/>
      <c r="AV1408" s="73"/>
      <c r="AW1408" s="73"/>
      <c r="AX1408" s="73"/>
      <c r="AY1408" s="73"/>
      <c r="AZ1408" s="73"/>
      <c r="BA1408" s="73"/>
      <c r="BB1408" s="73"/>
      <c r="BC1408" s="73"/>
      <c r="BD1408" s="73"/>
      <c r="BE1408" s="73"/>
      <c r="BF1408" s="73"/>
      <c r="BG1408" s="73"/>
      <c r="BH1408" s="73"/>
      <c r="BI1408" s="73"/>
      <c r="BJ1408" s="73"/>
      <c r="BK1408" s="73"/>
      <c r="BL1408" s="73"/>
      <c r="BM1408" s="73"/>
      <c r="BN1408" s="73"/>
      <c r="BO1408" s="73"/>
      <c r="BP1408" s="73"/>
      <c r="BQ1408" s="73"/>
      <c r="BR1408" s="73"/>
      <c r="BS1408" s="73"/>
      <c r="BT1408" s="73"/>
      <c r="BU1408" s="73"/>
      <c r="BV1408" s="73"/>
      <c r="BW1408" s="73"/>
      <c r="BX1408" s="73"/>
      <c r="BY1408" s="73"/>
      <c r="BZ1408" s="73"/>
      <c r="CA1408" s="73"/>
      <c r="CB1408" s="73"/>
      <c r="CC1408" s="73"/>
      <c r="CD1408" s="73"/>
      <c r="CE1408" s="73"/>
      <c r="CF1408" s="73"/>
      <c r="CG1408" s="73"/>
      <c r="CH1408" s="73"/>
    </row>
    <row r="1409">
      <c r="A1409" s="80"/>
      <c r="B1409" s="80"/>
      <c r="C1409" s="80"/>
      <c r="D1409" s="80"/>
      <c r="E1409" s="124"/>
      <c r="F1409" s="80"/>
      <c r="G1409" s="80"/>
      <c r="H1409" s="80"/>
      <c r="I1409" s="80"/>
      <c r="J1409" s="196"/>
      <c r="K1409" s="196"/>
      <c r="L1409" s="196"/>
      <c r="M1409" s="196"/>
      <c r="N1409" s="196"/>
      <c r="O1409" s="196"/>
      <c r="P1409" s="196"/>
      <c r="Q1409" s="196"/>
      <c r="R1409" s="196"/>
      <c r="S1409" s="196"/>
      <c r="T1409" s="196"/>
      <c r="U1409" s="196"/>
      <c r="V1409" s="196"/>
      <c r="W1409" s="196"/>
      <c r="X1409" s="196"/>
      <c r="Y1409" s="196"/>
      <c r="Z1409" s="196"/>
      <c r="AA1409" s="196"/>
      <c r="AB1409" s="196"/>
      <c r="AC1409" s="196"/>
      <c r="AD1409" s="196"/>
      <c r="AE1409" s="196"/>
      <c r="AF1409" s="196"/>
      <c r="AG1409" s="196"/>
      <c r="AH1409" s="196"/>
      <c r="AI1409" s="196"/>
      <c r="AJ1409" s="197"/>
      <c r="AK1409" s="80"/>
      <c r="AL1409" s="80"/>
      <c r="AM1409" s="73"/>
      <c r="AN1409" s="73"/>
      <c r="AO1409" s="73"/>
      <c r="AP1409" s="73"/>
      <c r="AQ1409" s="73"/>
      <c r="AR1409" s="73"/>
      <c r="AS1409" s="73"/>
      <c r="AT1409" s="73"/>
      <c r="AU1409" s="73"/>
      <c r="AV1409" s="73"/>
      <c r="AW1409" s="73"/>
      <c r="AX1409" s="73"/>
      <c r="AY1409" s="73"/>
      <c r="AZ1409" s="73"/>
      <c r="BA1409" s="73"/>
      <c r="BB1409" s="73"/>
      <c r="BC1409" s="73"/>
      <c r="BD1409" s="73"/>
      <c r="BE1409" s="73"/>
      <c r="BF1409" s="73"/>
      <c r="BG1409" s="73"/>
      <c r="BH1409" s="73"/>
      <c r="BI1409" s="73"/>
      <c r="BJ1409" s="73"/>
      <c r="BK1409" s="73"/>
      <c r="BL1409" s="73"/>
      <c r="BM1409" s="73"/>
      <c r="BN1409" s="73"/>
      <c r="BO1409" s="73"/>
      <c r="BP1409" s="73"/>
      <c r="BQ1409" s="73"/>
      <c r="BR1409" s="73"/>
      <c r="BS1409" s="73"/>
      <c r="BT1409" s="73"/>
      <c r="BU1409" s="73"/>
      <c r="BV1409" s="73"/>
      <c r="BW1409" s="73"/>
      <c r="BX1409" s="73"/>
      <c r="BY1409" s="73"/>
      <c r="BZ1409" s="73"/>
      <c r="CA1409" s="73"/>
      <c r="CB1409" s="73"/>
      <c r="CC1409" s="73"/>
      <c r="CD1409" s="73"/>
      <c r="CE1409" s="73"/>
      <c r="CF1409" s="73"/>
      <c r="CG1409" s="73"/>
      <c r="CH1409" s="73"/>
    </row>
    <row r="1410">
      <c r="A1410" s="80"/>
      <c r="B1410" s="80"/>
      <c r="C1410" s="80"/>
      <c r="D1410" s="80"/>
      <c r="E1410" s="124"/>
      <c r="F1410" s="80"/>
      <c r="G1410" s="80"/>
      <c r="H1410" s="80"/>
      <c r="I1410" s="80"/>
      <c r="J1410" s="196"/>
      <c r="K1410" s="196"/>
      <c r="L1410" s="196"/>
      <c r="M1410" s="196"/>
      <c r="N1410" s="196"/>
      <c r="O1410" s="196"/>
      <c r="P1410" s="196"/>
      <c r="Q1410" s="196"/>
      <c r="R1410" s="196"/>
      <c r="S1410" s="196"/>
      <c r="T1410" s="196"/>
      <c r="U1410" s="196"/>
      <c r="V1410" s="196"/>
      <c r="W1410" s="196"/>
      <c r="X1410" s="196"/>
      <c r="Y1410" s="196"/>
      <c r="Z1410" s="196"/>
      <c r="AA1410" s="196"/>
      <c r="AB1410" s="196"/>
      <c r="AC1410" s="196"/>
      <c r="AD1410" s="196"/>
      <c r="AE1410" s="196"/>
      <c r="AF1410" s="196"/>
      <c r="AG1410" s="196"/>
      <c r="AH1410" s="196"/>
      <c r="AI1410" s="196"/>
      <c r="AJ1410" s="197"/>
      <c r="AK1410" s="80"/>
      <c r="AL1410" s="80"/>
      <c r="AM1410" s="73"/>
      <c r="AN1410" s="73"/>
      <c r="AO1410" s="73"/>
      <c r="AP1410" s="73"/>
      <c r="AQ1410" s="73"/>
      <c r="AR1410" s="73"/>
      <c r="AS1410" s="73"/>
      <c r="AT1410" s="73"/>
      <c r="AU1410" s="73"/>
      <c r="AV1410" s="73"/>
      <c r="AW1410" s="73"/>
      <c r="AX1410" s="73"/>
      <c r="AY1410" s="73"/>
      <c r="AZ1410" s="73"/>
      <c r="BA1410" s="73"/>
      <c r="BB1410" s="73"/>
      <c r="BC1410" s="73"/>
      <c r="BD1410" s="73"/>
      <c r="BE1410" s="73"/>
      <c r="BF1410" s="73"/>
      <c r="BG1410" s="73"/>
      <c r="BH1410" s="73"/>
      <c r="BI1410" s="73"/>
      <c r="BJ1410" s="73"/>
      <c r="BK1410" s="73"/>
      <c r="BL1410" s="73"/>
      <c r="BM1410" s="73"/>
      <c r="BN1410" s="73"/>
      <c r="BO1410" s="73"/>
      <c r="BP1410" s="73"/>
      <c r="BQ1410" s="73"/>
      <c r="BR1410" s="73"/>
      <c r="BS1410" s="73"/>
      <c r="BT1410" s="73"/>
      <c r="BU1410" s="73"/>
      <c r="BV1410" s="73"/>
      <c r="BW1410" s="73"/>
      <c r="BX1410" s="73"/>
      <c r="BY1410" s="73"/>
      <c r="BZ1410" s="73"/>
      <c r="CA1410" s="73"/>
      <c r="CB1410" s="73"/>
      <c r="CC1410" s="73"/>
      <c r="CD1410" s="73"/>
      <c r="CE1410" s="73"/>
      <c r="CF1410" s="73"/>
      <c r="CG1410" s="73"/>
      <c r="CH1410" s="73"/>
    </row>
    <row r="1411">
      <c r="A1411" s="80"/>
      <c r="B1411" s="80"/>
      <c r="C1411" s="80"/>
      <c r="D1411" s="80"/>
      <c r="E1411" s="124"/>
      <c r="F1411" s="80"/>
      <c r="G1411" s="80"/>
      <c r="H1411" s="80"/>
      <c r="I1411" s="80"/>
      <c r="J1411" s="196"/>
      <c r="K1411" s="196"/>
      <c r="L1411" s="196"/>
      <c r="M1411" s="196"/>
      <c r="N1411" s="196"/>
      <c r="O1411" s="196"/>
      <c r="P1411" s="196"/>
      <c r="Q1411" s="196"/>
      <c r="R1411" s="196"/>
      <c r="S1411" s="196"/>
      <c r="T1411" s="196"/>
      <c r="U1411" s="196"/>
      <c r="V1411" s="196"/>
      <c r="W1411" s="196"/>
      <c r="X1411" s="196"/>
      <c r="Y1411" s="196"/>
      <c r="Z1411" s="196"/>
      <c r="AA1411" s="196"/>
      <c r="AB1411" s="196"/>
      <c r="AC1411" s="196"/>
      <c r="AD1411" s="196"/>
      <c r="AE1411" s="196"/>
      <c r="AF1411" s="196"/>
      <c r="AG1411" s="196"/>
      <c r="AH1411" s="196"/>
      <c r="AI1411" s="196"/>
      <c r="AJ1411" s="197"/>
      <c r="AK1411" s="80"/>
      <c r="AL1411" s="80"/>
      <c r="AM1411" s="73"/>
      <c r="AN1411" s="73"/>
      <c r="AO1411" s="73"/>
      <c r="AP1411" s="73"/>
      <c r="AQ1411" s="73"/>
      <c r="AR1411" s="73"/>
      <c r="AS1411" s="73"/>
      <c r="AT1411" s="73"/>
      <c r="AU1411" s="73"/>
      <c r="AV1411" s="73"/>
      <c r="AW1411" s="73"/>
      <c r="AX1411" s="73"/>
      <c r="AY1411" s="73"/>
      <c r="AZ1411" s="73"/>
      <c r="BA1411" s="73"/>
      <c r="BB1411" s="73"/>
      <c r="BC1411" s="73"/>
      <c r="BD1411" s="73"/>
      <c r="BE1411" s="73"/>
      <c r="BF1411" s="73"/>
      <c r="BG1411" s="73"/>
      <c r="BH1411" s="73"/>
      <c r="BI1411" s="73"/>
      <c r="BJ1411" s="73"/>
      <c r="BK1411" s="73"/>
      <c r="BL1411" s="73"/>
      <c r="BM1411" s="73"/>
      <c r="BN1411" s="73"/>
      <c r="BO1411" s="73"/>
      <c r="BP1411" s="73"/>
      <c r="BQ1411" s="73"/>
      <c r="BR1411" s="73"/>
      <c r="BS1411" s="73"/>
      <c r="BT1411" s="73"/>
      <c r="BU1411" s="73"/>
      <c r="BV1411" s="73"/>
      <c r="BW1411" s="73"/>
      <c r="BX1411" s="73"/>
      <c r="BY1411" s="73"/>
      <c r="BZ1411" s="73"/>
      <c r="CA1411" s="73"/>
      <c r="CB1411" s="73"/>
      <c r="CC1411" s="73"/>
      <c r="CD1411" s="73"/>
      <c r="CE1411" s="73"/>
      <c r="CF1411" s="73"/>
      <c r="CG1411" s="73"/>
      <c r="CH1411" s="73"/>
    </row>
    <row r="1412">
      <c r="A1412" s="80"/>
      <c r="B1412" s="80"/>
      <c r="C1412" s="80"/>
      <c r="D1412" s="80"/>
      <c r="E1412" s="124"/>
      <c r="F1412" s="80"/>
      <c r="G1412" s="80"/>
      <c r="H1412" s="80"/>
      <c r="I1412" s="80"/>
      <c r="J1412" s="196"/>
      <c r="K1412" s="196"/>
      <c r="L1412" s="196"/>
      <c r="M1412" s="196"/>
      <c r="N1412" s="196"/>
      <c r="O1412" s="196"/>
      <c r="P1412" s="196"/>
      <c r="Q1412" s="196"/>
      <c r="R1412" s="196"/>
      <c r="S1412" s="196"/>
      <c r="T1412" s="196"/>
      <c r="U1412" s="196"/>
      <c r="V1412" s="196"/>
      <c r="W1412" s="196"/>
      <c r="X1412" s="196"/>
      <c r="Y1412" s="196"/>
      <c r="Z1412" s="196"/>
      <c r="AA1412" s="196"/>
      <c r="AB1412" s="196"/>
      <c r="AC1412" s="196"/>
      <c r="AD1412" s="196"/>
      <c r="AE1412" s="196"/>
      <c r="AF1412" s="196"/>
      <c r="AG1412" s="196"/>
      <c r="AH1412" s="196"/>
      <c r="AI1412" s="196"/>
      <c r="AJ1412" s="197"/>
      <c r="AK1412" s="80"/>
      <c r="AL1412" s="80"/>
      <c r="AM1412" s="73"/>
      <c r="AN1412" s="73"/>
      <c r="AO1412" s="73"/>
      <c r="AP1412" s="73"/>
      <c r="AQ1412" s="73"/>
      <c r="AR1412" s="73"/>
      <c r="AS1412" s="73"/>
      <c r="AT1412" s="73"/>
      <c r="AU1412" s="73"/>
      <c r="AV1412" s="73"/>
      <c r="AW1412" s="73"/>
      <c r="AX1412" s="73"/>
      <c r="AY1412" s="73"/>
      <c r="AZ1412" s="73"/>
      <c r="BA1412" s="73"/>
      <c r="BB1412" s="73"/>
      <c r="BC1412" s="73"/>
      <c r="BD1412" s="73"/>
      <c r="BE1412" s="73"/>
      <c r="BF1412" s="73"/>
      <c r="BG1412" s="73"/>
      <c r="BH1412" s="73"/>
      <c r="BI1412" s="73"/>
      <c r="BJ1412" s="73"/>
      <c r="BK1412" s="73"/>
      <c r="BL1412" s="73"/>
      <c r="BM1412" s="73"/>
      <c r="BN1412" s="73"/>
      <c r="BO1412" s="73"/>
      <c r="BP1412" s="73"/>
      <c r="BQ1412" s="73"/>
      <c r="BR1412" s="73"/>
      <c r="BS1412" s="73"/>
      <c r="BT1412" s="73"/>
      <c r="BU1412" s="73"/>
      <c r="BV1412" s="73"/>
      <c r="BW1412" s="73"/>
      <c r="BX1412" s="73"/>
      <c r="BY1412" s="73"/>
      <c r="BZ1412" s="73"/>
      <c r="CA1412" s="73"/>
      <c r="CB1412" s="73"/>
      <c r="CC1412" s="73"/>
      <c r="CD1412" s="73"/>
      <c r="CE1412" s="73"/>
      <c r="CF1412" s="73"/>
      <c r="CG1412" s="73"/>
      <c r="CH1412" s="73"/>
    </row>
    <row r="1413">
      <c r="A1413" s="80"/>
      <c r="B1413" s="80"/>
      <c r="C1413" s="80"/>
      <c r="D1413" s="80"/>
      <c r="E1413" s="124"/>
      <c r="F1413" s="80"/>
      <c r="G1413" s="80"/>
      <c r="H1413" s="80"/>
      <c r="I1413" s="80"/>
      <c r="J1413" s="196"/>
      <c r="K1413" s="196"/>
      <c r="L1413" s="196"/>
      <c r="M1413" s="196"/>
      <c r="N1413" s="196"/>
      <c r="O1413" s="196"/>
      <c r="P1413" s="196"/>
      <c r="Q1413" s="196"/>
      <c r="R1413" s="196"/>
      <c r="S1413" s="196"/>
      <c r="T1413" s="196"/>
      <c r="U1413" s="196"/>
      <c r="V1413" s="196"/>
      <c r="W1413" s="196"/>
      <c r="X1413" s="196"/>
      <c r="Y1413" s="196"/>
      <c r="Z1413" s="196"/>
      <c r="AA1413" s="196"/>
      <c r="AB1413" s="196"/>
      <c r="AC1413" s="196"/>
      <c r="AD1413" s="196"/>
      <c r="AE1413" s="196"/>
      <c r="AF1413" s="196"/>
      <c r="AG1413" s="196"/>
      <c r="AH1413" s="196"/>
      <c r="AI1413" s="196"/>
      <c r="AJ1413" s="197"/>
      <c r="AK1413" s="80"/>
      <c r="AL1413" s="80"/>
      <c r="AM1413" s="73"/>
      <c r="AN1413" s="73"/>
      <c r="AO1413" s="73"/>
      <c r="AP1413" s="73"/>
      <c r="AQ1413" s="73"/>
      <c r="AR1413" s="73"/>
      <c r="AS1413" s="73"/>
      <c r="AT1413" s="73"/>
      <c r="AU1413" s="73"/>
      <c r="AV1413" s="73"/>
      <c r="AW1413" s="73"/>
      <c r="AX1413" s="73"/>
      <c r="AY1413" s="73"/>
      <c r="AZ1413" s="73"/>
      <c r="BA1413" s="73"/>
      <c r="BB1413" s="73"/>
      <c r="BC1413" s="73"/>
      <c r="BD1413" s="73"/>
      <c r="BE1413" s="73"/>
      <c r="BF1413" s="73"/>
      <c r="BG1413" s="73"/>
      <c r="BH1413" s="73"/>
      <c r="BI1413" s="73"/>
      <c r="BJ1413" s="73"/>
      <c r="BK1413" s="73"/>
      <c r="BL1413" s="73"/>
      <c r="BM1413" s="73"/>
      <c r="BN1413" s="73"/>
      <c r="BO1413" s="73"/>
      <c r="BP1413" s="73"/>
      <c r="BQ1413" s="73"/>
      <c r="BR1413" s="73"/>
      <c r="BS1413" s="73"/>
      <c r="BT1413" s="73"/>
      <c r="BU1413" s="73"/>
      <c r="BV1413" s="73"/>
      <c r="BW1413" s="73"/>
      <c r="BX1413" s="73"/>
      <c r="BY1413" s="73"/>
      <c r="BZ1413" s="73"/>
      <c r="CA1413" s="73"/>
      <c r="CB1413" s="73"/>
      <c r="CC1413" s="73"/>
      <c r="CD1413" s="73"/>
      <c r="CE1413" s="73"/>
      <c r="CF1413" s="73"/>
      <c r="CG1413" s="73"/>
      <c r="CH1413" s="73"/>
    </row>
    <row r="1414">
      <c r="A1414" s="80"/>
      <c r="B1414" s="80"/>
      <c r="C1414" s="80"/>
      <c r="D1414" s="80"/>
      <c r="E1414" s="124"/>
      <c r="F1414" s="80"/>
      <c r="G1414" s="80"/>
      <c r="H1414" s="80"/>
      <c r="I1414" s="80"/>
      <c r="J1414" s="196"/>
      <c r="K1414" s="196"/>
      <c r="L1414" s="196"/>
      <c r="M1414" s="196"/>
      <c r="N1414" s="196"/>
      <c r="O1414" s="196"/>
      <c r="P1414" s="196"/>
      <c r="Q1414" s="196"/>
      <c r="R1414" s="196"/>
      <c r="S1414" s="196"/>
      <c r="T1414" s="196"/>
      <c r="U1414" s="196"/>
      <c r="V1414" s="196"/>
      <c r="W1414" s="196"/>
      <c r="X1414" s="196"/>
      <c r="Y1414" s="196"/>
      <c r="Z1414" s="196"/>
      <c r="AA1414" s="196"/>
      <c r="AB1414" s="196"/>
      <c r="AC1414" s="196"/>
      <c r="AD1414" s="196"/>
      <c r="AE1414" s="196"/>
      <c r="AF1414" s="196"/>
      <c r="AG1414" s="196"/>
      <c r="AH1414" s="196"/>
      <c r="AI1414" s="196"/>
      <c r="AJ1414" s="197"/>
      <c r="AK1414" s="80"/>
      <c r="AL1414" s="80"/>
      <c r="AM1414" s="73"/>
      <c r="AN1414" s="73"/>
      <c r="AO1414" s="73"/>
      <c r="AP1414" s="73"/>
      <c r="AQ1414" s="73"/>
      <c r="AR1414" s="73"/>
      <c r="AS1414" s="73"/>
      <c r="AT1414" s="73"/>
      <c r="AU1414" s="73"/>
      <c r="AV1414" s="73"/>
      <c r="AW1414" s="73"/>
      <c r="AX1414" s="73"/>
      <c r="AY1414" s="73"/>
      <c r="AZ1414" s="73"/>
      <c r="BA1414" s="73"/>
      <c r="BB1414" s="73"/>
      <c r="BC1414" s="73"/>
      <c r="BD1414" s="73"/>
      <c r="BE1414" s="73"/>
      <c r="BF1414" s="73"/>
      <c r="BG1414" s="73"/>
      <c r="BH1414" s="73"/>
      <c r="BI1414" s="73"/>
      <c r="BJ1414" s="73"/>
      <c r="BK1414" s="73"/>
      <c r="BL1414" s="73"/>
      <c r="BM1414" s="73"/>
      <c r="BN1414" s="73"/>
      <c r="BO1414" s="73"/>
      <c r="BP1414" s="73"/>
      <c r="BQ1414" s="73"/>
      <c r="BR1414" s="73"/>
      <c r="BS1414" s="73"/>
      <c r="BT1414" s="73"/>
      <c r="BU1414" s="73"/>
      <c r="BV1414" s="73"/>
      <c r="BW1414" s="73"/>
      <c r="BX1414" s="73"/>
      <c r="BY1414" s="73"/>
      <c r="BZ1414" s="73"/>
      <c r="CA1414" s="73"/>
      <c r="CB1414" s="73"/>
      <c r="CC1414" s="73"/>
      <c r="CD1414" s="73"/>
      <c r="CE1414" s="73"/>
      <c r="CF1414" s="73"/>
      <c r="CG1414" s="73"/>
      <c r="CH1414" s="73"/>
    </row>
    <row r="1415">
      <c r="A1415" s="80"/>
      <c r="B1415" s="80"/>
      <c r="C1415" s="80"/>
      <c r="D1415" s="80"/>
      <c r="E1415" s="124"/>
      <c r="F1415" s="80"/>
      <c r="G1415" s="80"/>
      <c r="H1415" s="80"/>
      <c r="I1415" s="80"/>
      <c r="J1415" s="196"/>
      <c r="K1415" s="196"/>
      <c r="L1415" s="196"/>
      <c r="M1415" s="196"/>
      <c r="N1415" s="196"/>
      <c r="O1415" s="196"/>
      <c r="P1415" s="196"/>
      <c r="Q1415" s="196"/>
      <c r="R1415" s="196"/>
      <c r="S1415" s="196"/>
      <c r="T1415" s="196"/>
      <c r="U1415" s="196"/>
      <c r="V1415" s="196"/>
      <c r="W1415" s="196"/>
      <c r="X1415" s="196"/>
      <c r="Y1415" s="196"/>
      <c r="Z1415" s="196"/>
      <c r="AA1415" s="196"/>
      <c r="AB1415" s="196"/>
      <c r="AC1415" s="196"/>
      <c r="AD1415" s="196"/>
      <c r="AE1415" s="196"/>
      <c r="AF1415" s="196"/>
      <c r="AG1415" s="196"/>
      <c r="AH1415" s="196"/>
      <c r="AI1415" s="196"/>
      <c r="AJ1415" s="197"/>
      <c r="AK1415" s="80"/>
      <c r="AL1415" s="80"/>
      <c r="AM1415" s="73"/>
      <c r="AN1415" s="73"/>
      <c r="AO1415" s="73"/>
      <c r="AP1415" s="73"/>
      <c r="AQ1415" s="73"/>
      <c r="AR1415" s="73"/>
      <c r="AS1415" s="73"/>
      <c r="AT1415" s="73"/>
      <c r="AU1415" s="73"/>
      <c r="AV1415" s="73"/>
      <c r="AW1415" s="73"/>
      <c r="AX1415" s="73"/>
      <c r="AY1415" s="73"/>
      <c r="AZ1415" s="73"/>
      <c r="BA1415" s="73"/>
      <c r="BB1415" s="73"/>
      <c r="BC1415" s="73"/>
      <c r="BD1415" s="73"/>
      <c r="BE1415" s="73"/>
      <c r="BF1415" s="73"/>
      <c r="BG1415" s="73"/>
      <c r="BH1415" s="73"/>
      <c r="BI1415" s="73"/>
      <c r="BJ1415" s="73"/>
      <c r="BK1415" s="73"/>
      <c r="BL1415" s="73"/>
      <c r="BM1415" s="73"/>
      <c r="BN1415" s="73"/>
      <c r="BO1415" s="73"/>
      <c r="BP1415" s="73"/>
      <c r="BQ1415" s="73"/>
      <c r="BR1415" s="73"/>
      <c r="BS1415" s="73"/>
      <c r="BT1415" s="73"/>
      <c r="BU1415" s="73"/>
      <c r="BV1415" s="73"/>
      <c r="BW1415" s="73"/>
      <c r="BX1415" s="73"/>
      <c r="BY1415" s="73"/>
      <c r="BZ1415" s="73"/>
      <c r="CA1415" s="73"/>
      <c r="CB1415" s="73"/>
      <c r="CC1415" s="73"/>
      <c r="CD1415" s="73"/>
      <c r="CE1415" s="73"/>
      <c r="CF1415" s="73"/>
      <c r="CG1415" s="73"/>
      <c r="CH1415" s="73"/>
    </row>
    <row r="1416">
      <c r="A1416" s="80"/>
      <c r="B1416" s="80"/>
      <c r="C1416" s="80"/>
      <c r="D1416" s="80"/>
      <c r="E1416" s="124"/>
      <c r="F1416" s="80"/>
      <c r="G1416" s="80"/>
      <c r="H1416" s="80"/>
      <c r="I1416" s="80"/>
      <c r="J1416" s="196"/>
      <c r="K1416" s="196"/>
      <c r="L1416" s="196"/>
      <c r="M1416" s="196"/>
      <c r="N1416" s="196"/>
      <c r="O1416" s="196"/>
      <c r="P1416" s="196"/>
      <c r="Q1416" s="196"/>
      <c r="R1416" s="196"/>
      <c r="S1416" s="196"/>
      <c r="T1416" s="196"/>
      <c r="U1416" s="196"/>
      <c r="V1416" s="196"/>
      <c r="W1416" s="196"/>
      <c r="X1416" s="196"/>
      <c r="Y1416" s="196"/>
      <c r="Z1416" s="196"/>
      <c r="AA1416" s="196"/>
      <c r="AB1416" s="196"/>
      <c r="AC1416" s="196"/>
      <c r="AD1416" s="196"/>
      <c r="AE1416" s="196"/>
      <c r="AF1416" s="196"/>
      <c r="AG1416" s="196"/>
      <c r="AH1416" s="196"/>
      <c r="AI1416" s="196"/>
      <c r="AJ1416" s="197"/>
      <c r="AK1416" s="80"/>
      <c r="AL1416" s="80"/>
      <c r="AM1416" s="73"/>
      <c r="AN1416" s="73"/>
      <c r="AO1416" s="73"/>
      <c r="AP1416" s="73"/>
      <c r="AQ1416" s="73"/>
      <c r="AR1416" s="73"/>
      <c r="AS1416" s="73"/>
      <c r="AT1416" s="73"/>
      <c r="AU1416" s="73"/>
      <c r="AV1416" s="73"/>
      <c r="AW1416" s="73"/>
      <c r="AX1416" s="73"/>
      <c r="AY1416" s="73"/>
      <c r="AZ1416" s="73"/>
      <c r="BA1416" s="73"/>
      <c r="BB1416" s="73"/>
      <c r="BC1416" s="73"/>
      <c r="BD1416" s="73"/>
      <c r="BE1416" s="73"/>
      <c r="BF1416" s="73"/>
      <c r="BG1416" s="73"/>
      <c r="BH1416" s="73"/>
      <c r="BI1416" s="73"/>
      <c r="BJ1416" s="73"/>
      <c r="BK1416" s="73"/>
      <c r="BL1416" s="73"/>
      <c r="BM1416" s="73"/>
      <c r="BN1416" s="73"/>
      <c r="BO1416" s="73"/>
      <c r="BP1416" s="73"/>
      <c r="BQ1416" s="73"/>
      <c r="BR1416" s="73"/>
      <c r="BS1416" s="73"/>
      <c r="BT1416" s="73"/>
      <c r="BU1416" s="73"/>
      <c r="BV1416" s="73"/>
      <c r="BW1416" s="73"/>
      <c r="BX1416" s="73"/>
      <c r="BY1416" s="73"/>
      <c r="BZ1416" s="73"/>
      <c r="CA1416" s="73"/>
      <c r="CB1416" s="73"/>
      <c r="CC1416" s="73"/>
      <c r="CD1416" s="73"/>
      <c r="CE1416" s="73"/>
      <c r="CF1416" s="73"/>
      <c r="CG1416" s="73"/>
      <c r="CH1416" s="73"/>
    </row>
    <row r="1417">
      <c r="A1417" s="80"/>
      <c r="B1417" s="80"/>
      <c r="C1417" s="80"/>
      <c r="D1417" s="80"/>
      <c r="E1417" s="124"/>
      <c r="F1417" s="80"/>
      <c r="G1417" s="80"/>
      <c r="H1417" s="80"/>
      <c r="I1417" s="80"/>
      <c r="J1417" s="196"/>
      <c r="K1417" s="196"/>
      <c r="L1417" s="196"/>
      <c r="M1417" s="196"/>
      <c r="N1417" s="196"/>
      <c r="O1417" s="196"/>
      <c r="P1417" s="196"/>
      <c r="Q1417" s="196"/>
      <c r="R1417" s="196"/>
      <c r="S1417" s="196"/>
      <c r="T1417" s="196"/>
      <c r="U1417" s="196"/>
      <c r="V1417" s="196"/>
      <c r="W1417" s="196"/>
      <c r="X1417" s="196"/>
      <c r="Y1417" s="196"/>
      <c r="Z1417" s="196"/>
      <c r="AA1417" s="196"/>
      <c r="AB1417" s="196"/>
      <c r="AC1417" s="196"/>
      <c r="AD1417" s="196"/>
      <c r="AE1417" s="196"/>
      <c r="AF1417" s="196"/>
      <c r="AG1417" s="196"/>
      <c r="AH1417" s="196"/>
      <c r="AI1417" s="196"/>
      <c r="AJ1417" s="197"/>
      <c r="AK1417" s="80"/>
      <c r="AL1417" s="80"/>
      <c r="AM1417" s="73"/>
      <c r="AN1417" s="73"/>
      <c r="AO1417" s="73"/>
      <c r="AP1417" s="73"/>
      <c r="AQ1417" s="73"/>
      <c r="AR1417" s="73"/>
      <c r="AS1417" s="73"/>
      <c r="AT1417" s="73"/>
      <c r="AU1417" s="73"/>
      <c r="AV1417" s="73"/>
      <c r="AW1417" s="73"/>
      <c r="AX1417" s="73"/>
      <c r="AY1417" s="73"/>
      <c r="AZ1417" s="73"/>
      <c r="BA1417" s="73"/>
      <c r="BB1417" s="73"/>
      <c r="BC1417" s="73"/>
      <c r="BD1417" s="73"/>
      <c r="BE1417" s="73"/>
      <c r="BF1417" s="73"/>
      <c r="BG1417" s="73"/>
      <c r="BH1417" s="73"/>
      <c r="BI1417" s="73"/>
      <c r="BJ1417" s="73"/>
      <c r="BK1417" s="73"/>
      <c r="BL1417" s="73"/>
      <c r="BM1417" s="73"/>
      <c r="BN1417" s="73"/>
      <c r="BO1417" s="73"/>
      <c r="BP1417" s="73"/>
      <c r="BQ1417" s="73"/>
      <c r="BR1417" s="73"/>
      <c r="BS1417" s="73"/>
      <c r="BT1417" s="73"/>
      <c r="BU1417" s="73"/>
      <c r="BV1417" s="73"/>
      <c r="BW1417" s="73"/>
      <c r="BX1417" s="73"/>
      <c r="BY1417" s="73"/>
      <c r="BZ1417" s="73"/>
      <c r="CA1417" s="73"/>
      <c r="CB1417" s="73"/>
      <c r="CC1417" s="73"/>
      <c r="CD1417" s="73"/>
      <c r="CE1417" s="73"/>
      <c r="CF1417" s="73"/>
      <c r="CG1417" s="73"/>
      <c r="CH1417" s="73"/>
    </row>
    <row r="1418">
      <c r="A1418" s="80"/>
      <c r="B1418" s="80"/>
      <c r="C1418" s="80"/>
      <c r="D1418" s="80"/>
      <c r="E1418" s="124"/>
      <c r="F1418" s="80"/>
      <c r="G1418" s="80"/>
      <c r="H1418" s="80"/>
      <c r="I1418" s="80"/>
      <c r="J1418" s="196"/>
      <c r="K1418" s="196"/>
      <c r="L1418" s="196"/>
      <c r="M1418" s="196"/>
      <c r="N1418" s="196"/>
      <c r="O1418" s="196"/>
      <c r="P1418" s="196"/>
      <c r="Q1418" s="196"/>
      <c r="R1418" s="196"/>
      <c r="S1418" s="196"/>
      <c r="T1418" s="196"/>
      <c r="U1418" s="196"/>
      <c r="V1418" s="196"/>
      <c r="W1418" s="196"/>
      <c r="X1418" s="196"/>
      <c r="Y1418" s="196"/>
      <c r="Z1418" s="196"/>
      <c r="AA1418" s="196"/>
      <c r="AB1418" s="196"/>
      <c r="AC1418" s="196"/>
      <c r="AD1418" s="196"/>
      <c r="AE1418" s="196"/>
      <c r="AF1418" s="196"/>
      <c r="AG1418" s="196"/>
      <c r="AH1418" s="196"/>
      <c r="AI1418" s="196"/>
      <c r="AJ1418" s="197"/>
      <c r="AK1418" s="80"/>
      <c r="AL1418" s="80"/>
      <c r="AM1418" s="73"/>
      <c r="AN1418" s="73"/>
      <c r="AO1418" s="73"/>
      <c r="AP1418" s="73"/>
      <c r="AQ1418" s="73"/>
      <c r="AR1418" s="73"/>
      <c r="AS1418" s="73"/>
      <c r="AT1418" s="73"/>
      <c r="AU1418" s="73"/>
      <c r="AV1418" s="73"/>
      <c r="AW1418" s="73"/>
      <c r="AX1418" s="73"/>
      <c r="AY1418" s="73"/>
      <c r="AZ1418" s="73"/>
      <c r="BA1418" s="73"/>
      <c r="BB1418" s="73"/>
      <c r="BC1418" s="73"/>
      <c r="BD1418" s="73"/>
      <c r="BE1418" s="73"/>
      <c r="BF1418" s="73"/>
      <c r="BG1418" s="73"/>
      <c r="BH1418" s="73"/>
      <c r="BI1418" s="73"/>
      <c r="BJ1418" s="73"/>
      <c r="BK1418" s="73"/>
      <c r="BL1418" s="73"/>
      <c r="BM1418" s="73"/>
      <c r="BN1418" s="73"/>
      <c r="BO1418" s="73"/>
      <c r="BP1418" s="73"/>
      <c r="BQ1418" s="73"/>
      <c r="BR1418" s="73"/>
      <c r="BS1418" s="73"/>
      <c r="BT1418" s="73"/>
      <c r="BU1418" s="73"/>
      <c r="BV1418" s="73"/>
      <c r="BW1418" s="73"/>
      <c r="BX1418" s="73"/>
      <c r="BY1418" s="73"/>
      <c r="BZ1418" s="73"/>
      <c r="CA1418" s="73"/>
      <c r="CB1418" s="73"/>
      <c r="CC1418" s="73"/>
      <c r="CD1418" s="73"/>
      <c r="CE1418" s="73"/>
      <c r="CF1418" s="73"/>
      <c r="CG1418" s="73"/>
      <c r="CH1418" s="73"/>
    </row>
    <row r="1419">
      <c r="A1419" s="80"/>
      <c r="B1419" s="80"/>
      <c r="C1419" s="80"/>
      <c r="D1419" s="80"/>
      <c r="E1419" s="124"/>
      <c r="F1419" s="80"/>
      <c r="G1419" s="80"/>
      <c r="H1419" s="80"/>
      <c r="I1419" s="80"/>
      <c r="J1419" s="196"/>
      <c r="K1419" s="196"/>
      <c r="L1419" s="196"/>
      <c r="M1419" s="196"/>
      <c r="N1419" s="196"/>
      <c r="O1419" s="196"/>
      <c r="P1419" s="196"/>
      <c r="Q1419" s="196"/>
      <c r="R1419" s="196"/>
      <c r="S1419" s="196"/>
      <c r="T1419" s="196"/>
      <c r="U1419" s="196"/>
      <c r="V1419" s="196"/>
      <c r="W1419" s="196"/>
      <c r="X1419" s="196"/>
      <c r="Y1419" s="196"/>
      <c r="Z1419" s="196"/>
      <c r="AA1419" s="196"/>
      <c r="AB1419" s="196"/>
      <c r="AC1419" s="196"/>
      <c r="AD1419" s="196"/>
      <c r="AE1419" s="196"/>
      <c r="AF1419" s="196"/>
      <c r="AG1419" s="196"/>
      <c r="AH1419" s="196"/>
      <c r="AI1419" s="196"/>
      <c r="AJ1419" s="197"/>
      <c r="AK1419" s="80"/>
      <c r="AL1419" s="80"/>
      <c r="AM1419" s="73"/>
      <c r="AN1419" s="73"/>
      <c r="AO1419" s="73"/>
      <c r="AP1419" s="73"/>
      <c r="AQ1419" s="73"/>
      <c r="AR1419" s="73"/>
      <c r="AS1419" s="73"/>
      <c r="AT1419" s="73"/>
      <c r="AU1419" s="73"/>
      <c r="AV1419" s="73"/>
      <c r="AW1419" s="73"/>
      <c r="AX1419" s="73"/>
      <c r="AY1419" s="73"/>
      <c r="AZ1419" s="73"/>
      <c r="BA1419" s="73"/>
      <c r="BB1419" s="73"/>
      <c r="BC1419" s="73"/>
      <c r="BD1419" s="73"/>
      <c r="BE1419" s="73"/>
      <c r="BF1419" s="73"/>
      <c r="BG1419" s="73"/>
      <c r="BH1419" s="73"/>
      <c r="BI1419" s="73"/>
      <c r="BJ1419" s="73"/>
      <c r="BK1419" s="73"/>
      <c r="BL1419" s="73"/>
      <c r="BM1419" s="73"/>
      <c r="BN1419" s="73"/>
      <c r="BO1419" s="73"/>
      <c r="BP1419" s="73"/>
      <c r="BQ1419" s="73"/>
      <c r="BR1419" s="73"/>
      <c r="BS1419" s="73"/>
      <c r="BT1419" s="73"/>
      <c r="BU1419" s="73"/>
      <c r="BV1419" s="73"/>
      <c r="BW1419" s="73"/>
      <c r="BX1419" s="73"/>
      <c r="BY1419" s="73"/>
      <c r="BZ1419" s="73"/>
      <c r="CA1419" s="73"/>
      <c r="CB1419" s="73"/>
      <c r="CC1419" s="73"/>
      <c r="CD1419" s="73"/>
      <c r="CE1419" s="73"/>
      <c r="CF1419" s="73"/>
      <c r="CG1419" s="73"/>
      <c r="CH1419" s="73"/>
    </row>
    <row r="1420">
      <c r="A1420" s="80"/>
      <c r="B1420" s="80"/>
      <c r="C1420" s="80"/>
      <c r="D1420" s="80"/>
      <c r="E1420" s="124"/>
      <c r="F1420" s="80"/>
      <c r="G1420" s="80"/>
      <c r="H1420" s="80"/>
      <c r="I1420" s="80"/>
      <c r="J1420" s="196"/>
      <c r="K1420" s="196"/>
      <c r="L1420" s="196"/>
      <c r="M1420" s="196"/>
      <c r="N1420" s="196"/>
      <c r="O1420" s="196"/>
      <c r="P1420" s="196"/>
      <c r="Q1420" s="196"/>
      <c r="R1420" s="196"/>
      <c r="S1420" s="196"/>
      <c r="T1420" s="196"/>
      <c r="U1420" s="196"/>
      <c r="V1420" s="196"/>
      <c r="W1420" s="196"/>
      <c r="X1420" s="196"/>
      <c r="Y1420" s="196"/>
      <c r="Z1420" s="196"/>
      <c r="AA1420" s="196"/>
      <c r="AB1420" s="196"/>
      <c r="AC1420" s="196"/>
      <c r="AD1420" s="196"/>
      <c r="AE1420" s="196"/>
      <c r="AF1420" s="196"/>
      <c r="AG1420" s="196"/>
      <c r="AH1420" s="196"/>
      <c r="AI1420" s="196"/>
      <c r="AJ1420" s="197"/>
      <c r="AK1420" s="80"/>
      <c r="AL1420" s="80"/>
      <c r="AM1420" s="73"/>
      <c r="AN1420" s="73"/>
      <c r="AO1420" s="73"/>
      <c r="AP1420" s="73"/>
      <c r="AQ1420" s="73"/>
      <c r="AR1420" s="73"/>
      <c r="AS1420" s="73"/>
      <c r="AT1420" s="73"/>
      <c r="AU1420" s="73"/>
      <c r="AV1420" s="73"/>
      <c r="AW1420" s="73"/>
      <c r="AX1420" s="73"/>
      <c r="AY1420" s="73"/>
      <c r="AZ1420" s="73"/>
      <c r="BA1420" s="73"/>
      <c r="BB1420" s="73"/>
      <c r="BC1420" s="73"/>
      <c r="BD1420" s="73"/>
      <c r="BE1420" s="73"/>
      <c r="BF1420" s="73"/>
      <c r="BG1420" s="73"/>
      <c r="BH1420" s="73"/>
      <c r="BI1420" s="73"/>
      <c r="BJ1420" s="73"/>
      <c r="BK1420" s="73"/>
      <c r="BL1420" s="73"/>
      <c r="BM1420" s="73"/>
      <c r="BN1420" s="73"/>
      <c r="BO1420" s="73"/>
      <c r="BP1420" s="73"/>
      <c r="BQ1420" s="73"/>
      <c r="BR1420" s="73"/>
      <c r="BS1420" s="73"/>
      <c r="BT1420" s="73"/>
      <c r="BU1420" s="73"/>
      <c r="BV1420" s="73"/>
      <c r="BW1420" s="73"/>
      <c r="BX1420" s="73"/>
      <c r="BY1420" s="73"/>
      <c r="BZ1420" s="73"/>
      <c r="CA1420" s="73"/>
      <c r="CB1420" s="73"/>
      <c r="CC1420" s="73"/>
      <c r="CD1420" s="73"/>
      <c r="CE1420" s="73"/>
      <c r="CF1420" s="73"/>
      <c r="CG1420" s="73"/>
      <c r="CH1420" s="73"/>
    </row>
    <row r="1421">
      <c r="A1421" s="80"/>
      <c r="B1421" s="80"/>
      <c r="C1421" s="80"/>
      <c r="D1421" s="80"/>
      <c r="E1421" s="124"/>
      <c r="F1421" s="80"/>
      <c r="G1421" s="80"/>
      <c r="H1421" s="80"/>
      <c r="I1421" s="80"/>
      <c r="J1421" s="196"/>
      <c r="K1421" s="196"/>
      <c r="L1421" s="196"/>
      <c r="M1421" s="196"/>
      <c r="N1421" s="196"/>
      <c r="O1421" s="196"/>
      <c r="P1421" s="196"/>
      <c r="Q1421" s="196"/>
      <c r="R1421" s="196"/>
      <c r="S1421" s="196"/>
      <c r="T1421" s="196"/>
      <c r="U1421" s="196"/>
      <c r="V1421" s="196"/>
      <c r="W1421" s="196"/>
      <c r="X1421" s="196"/>
      <c r="Y1421" s="196"/>
      <c r="Z1421" s="196"/>
      <c r="AA1421" s="196"/>
      <c r="AB1421" s="196"/>
      <c r="AC1421" s="196"/>
      <c r="AD1421" s="196"/>
      <c r="AE1421" s="196"/>
      <c r="AF1421" s="196"/>
      <c r="AG1421" s="196"/>
      <c r="AH1421" s="196"/>
      <c r="AI1421" s="196"/>
      <c r="AJ1421" s="197"/>
      <c r="AK1421" s="80"/>
      <c r="AL1421" s="80"/>
      <c r="AM1421" s="73"/>
      <c r="AN1421" s="73"/>
      <c r="AO1421" s="73"/>
      <c r="AP1421" s="73"/>
      <c r="AQ1421" s="73"/>
      <c r="AR1421" s="73"/>
      <c r="AS1421" s="73"/>
      <c r="AT1421" s="73"/>
      <c r="AU1421" s="73"/>
      <c r="AV1421" s="73"/>
      <c r="AW1421" s="73"/>
      <c r="AX1421" s="73"/>
      <c r="AY1421" s="73"/>
      <c r="AZ1421" s="73"/>
      <c r="BA1421" s="73"/>
      <c r="BB1421" s="73"/>
      <c r="BC1421" s="73"/>
      <c r="BD1421" s="73"/>
      <c r="BE1421" s="73"/>
      <c r="BF1421" s="73"/>
      <c r="BG1421" s="73"/>
      <c r="BH1421" s="73"/>
      <c r="BI1421" s="73"/>
      <c r="BJ1421" s="73"/>
      <c r="BK1421" s="73"/>
      <c r="BL1421" s="73"/>
      <c r="BM1421" s="73"/>
      <c r="BN1421" s="73"/>
      <c r="BO1421" s="73"/>
      <c r="BP1421" s="73"/>
      <c r="BQ1421" s="73"/>
      <c r="BR1421" s="73"/>
      <c r="BS1421" s="73"/>
      <c r="BT1421" s="73"/>
      <c r="BU1421" s="73"/>
      <c r="BV1421" s="73"/>
      <c r="BW1421" s="73"/>
      <c r="BX1421" s="73"/>
      <c r="BY1421" s="73"/>
      <c r="BZ1421" s="73"/>
      <c r="CA1421" s="73"/>
      <c r="CB1421" s="73"/>
      <c r="CC1421" s="73"/>
      <c r="CD1421" s="73"/>
      <c r="CE1421" s="73"/>
      <c r="CF1421" s="73"/>
      <c r="CG1421" s="73"/>
      <c r="CH1421" s="73"/>
    </row>
    <row r="1422">
      <c r="A1422" s="80"/>
      <c r="B1422" s="80"/>
      <c r="C1422" s="80"/>
      <c r="D1422" s="80"/>
      <c r="E1422" s="124"/>
      <c r="F1422" s="80"/>
      <c r="G1422" s="80"/>
      <c r="H1422" s="80"/>
      <c r="I1422" s="80"/>
      <c r="J1422" s="196"/>
      <c r="K1422" s="196"/>
      <c r="L1422" s="196"/>
      <c r="M1422" s="196"/>
      <c r="N1422" s="196"/>
      <c r="O1422" s="196"/>
      <c r="P1422" s="196"/>
      <c r="Q1422" s="196"/>
      <c r="R1422" s="196"/>
      <c r="S1422" s="196"/>
      <c r="T1422" s="196"/>
      <c r="U1422" s="196"/>
      <c r="V1422" s="196"/>
      <c r="W1422" s="196"/>
      <c r="X1422" s="196"/>
      <c r="Y1422" s="196"/>
      <c r="Z1422" s="196"/>
      <c r="AA1422" s="196"/>
      <c r="AB1422" s="196"/>
      <c r="AC1422" s="196"/>
      <c r="AD1422" s="196"/>
      <c r="AE1422" s="196"/>
      <c r="AF1422" s="196"/>
      <c r="AG1422" s="196"/>
      <c r="AH1422" s="196"/>
      <c r="AI1422" s="196"/>
      <c r="AJ1422" s="197"/>
      <c r="AK1422" s="80"/>
      <c r="AL1422" s="80"/>
      <c r="AM1422" s="73"/>
      <c r="AN1422" s="73"/>
      <c r="AO1422" s="73"/>
      <c r="AP1422" s="73"/>
      <c r="AQ1422" s="73"/>
      <c r="AR1422" s="73"/>
      <c r="AS1422" s="73"/>
      <c r="AT1422" s="73"/>
      <c r="AU1422" s="73"/>
      <c r="AV1422" s="73"/>
      <c r="AW1422" s="73"/>
      <c r="AX1422" s="73"/>
      <c r="AY1422" s="73"/>
      <c r="AZ1422" s="73"/>
      <c r="BA1422" s="73"/>
      <c r="BB1422" s="73"/>
      <c r="BC1422" s="73"/>
      <c r="BD1422" s="73"/>
      <c r="BE1422" s="73"/>
      <c r="BF1422" s="73"/>
      <c r="BG1422" s="73"/>
      <c r="BH1422" s="73"/>
      <c r="BI1422" s="73"/>
      <c r="BJ1422" s="73"/>
      <c r="BK1422" s="73"/>
      <c r="BL1422" s="73"/>
      <c r="BM1422" s="73"/>
      <c r="BN1422" s="73"/>
      <c r="BO1422" s="73"/>
      <c r="BP1422" s="73"/>
      <c r="BQ1422" s="73"/>
      <c r="BR1422" s="73"/>
      <c r="BS1422" s="73"/>
      <c r="BT1422" s="73"/>
      <c r="BU1422" s="73"/>
      <c r="BV1422" s="73"/>
      <c r="BW1422" s="73"/>
      <c r="BX1422" s="73"/>
      <c r="BY1422" s="73"/>
      <c r="BZ1422" s="73"/>
      <c r="CA1422" s="73"/>
      <c r="CB1422" s="73"/>
      <c r="CC1422" s="73"/>
      <c r="CD1422" s="73"/>
      <c r="CE1422" s="73"/>
      <c r="CF1422" s="73"/>
      <c r="CG1422" s="73"/>
      <c r="CH1422" s="73"/>
    </row>
    <row r="1423">
      <c r="A1423" s="80"/>
      <c r="B1423" s="80"/>
      <c r="C1423" s="80"/>
      <c r="D1423" s="80"/>
      <c r="E1423" s="124"/>
      <c r="F1423" s="80"/>
      <c r="G1423" s="80"/>
      <c r="H1423" s="80"/>
      <c r="I1423" s="80"/>
      <c r="J1423" s="196"/>
      <c r="K1423" s="196"/>
      <c r="L1423" s="196"/>
      <c r="M1423" s="196"/>
      <c r="N1423" s="196"/>
      <c r="O1423" s="196"/>
      <c r="P1423" s="196"/>
      <c r="Q1423" s="196"/>
      <c r="R1423" s="196"/>
      <c r="S1423" s="196"/>
      <c r="T1423" s="196"/>
      <c r="U1423" s="196"/>
      <c r="V1423" s="196"/>
      <c r="W1423" s="196"/>
      <c r="X1423" s="196"/>
      <c r="Y1423" s="196"/>
      <c r="Z1423" s="196"/>
      <c r="AA1423" s="196"/>
      <c r="AB1423" s="196"/>
      <c r="AC1423" s="196"/>
      <c r="AD1423" s="196"/>
      <c r="AE1423" s="196"/>
      <c r="AF1423" s="196"/>
      <c r="AG1423" s="196"/>
      <c r="AH1423" s="196"/>
      <c r="AI1423" s="196"/>
      <c r="AJ1423" s="197"/>
      <c r="AK1423" s="80"/>
      <c r="AL1423" s="80"/>
      <c r="AM1423" s="73"/>
      <c r="AN1423" s="73"/>
      <c r="AO1423" s="73"/>
      <c r="AP1423" s="73"/>
      <c r="AQ1423" s="73"/>
      <c r="AR1423" s="73"/>
      <c r="AS1423" s="73"/>
      <c r="AT1423" s="73"/>
      <c r="AU1423" s="73"/>
      <c r="AV1423" s="73"/>
      <c r="AW1423" s="73"/>
      <c r="AX1423" s="73"/>
      <c r="AY1423" s="73"/>
      <c r="AZ1423" s="73"/>
      <c r="BA1423" s="73"/>
      <c r="BB1423" s="73"/>
      <c r="BC1423" s="73"/>
      <c r="BD1423" s="73"/>
      <c r="BE1423" s="73"/>
      <c r="BF1423" s="73"/>
      <c r="BG1423" s="73"/>
      <c r="BH1423" s="73"/>
      <c r="BI1423" s="73"/>
      <c r="BJ1423" s="73"/>
      <c r="BK1423" s="73"/>
      <c r="BL1423" s="73"/>
      <c r="BM1423" s="73"/>
      <c r="BN1423" s="73"/>
      <c r="BO1423" s="73"/>
      <c r="BP1423" s="73"/>
      <c r="BQ1423" s="73"/>
      <c r="BR1423" s="73"/>
      <c r="BS1423" s="73"/>
      <c r="BT1423" s="73"/>
      <c r="BU1423" s="73"/>
      <c r="BV1423" s="73"/>
      <c r="BW1423" s="73"/>
      <c r="BX1423" s="73"/>
      <c r="BY1423" s="73"/>
      <c r="BZ1423" s="73"/>
      <c r="CA1423" s="73"/>
      <c r="CB1423" s="73"/>
      <c r="CC1423" s="73"/>
      <c r="CD1423" s="73"/>
      <c r="CE1423" s="73"/>
      <c r="CF1423" s="73"/>
      <c r="CG1423" s="73"/>
      <c r="CH1423" s="73"/>
    </row>
    <row r="1424">
      <c r="A1424" s="80"/>
      <c r="B1424" s="80"/>
      <c r="C1424" s="80"/>
      <c r="D1424" s="80"/>
      <c r="E1424" s="124"/>
      <c r="F1424" s="80"/>
      <c r="G1424" s="80"/>
      <c r="H1424" s="80"/>
      <c r="I1424" s="80"/>
      <c r="J1424" s="196"/>
      <c r="K1424" s="196"/>
      <c r="L1424" s="196"/>
      <c r="M1424" s="196"/>
      <c r="N1424" s="196"/>
      <c r="O1424" s="196"/>
      <c r="P1424" s="196"/>
      <c r="Q1424" s="196"/>
      <c r="R1424" s="196"/>
      <c r="S1424" s="196"/>
      <c r="T1424" s="196"/>
      <c r="U1424" s="196"/>
      <c r="V1424" s="196"/>
      <c r="W1424" s="196"/>
      <c r="X1424" s="196"/>
      <c r="Y1424" s="196"/>
      <c r="Z1424" s="196"/>
      <c r="AA1424" s="196"/>
      <c r="AB1424" s="196"/>
      <c r="AC1424" s="196"/>
      <c r="AD1424" s="196"/>
      <c r="AE1424" s="196"/>
      <c r="AF1424" s="196"/>
      <c r="AG1424" s="196"/>
      <c r="AH1424" s="196"/>
      <c r="AI1424" s="196"/>
      <c r="AJ1424" s="197"/>
      <c r="AK1424" s="80"/>
      <c r="AL1424" s="80"/>
      <c r="AM1424" s="73"/>
      <c r="AN1424" s="73"/>
      <c r="AO1424" s="73"/>
      <c r="AP1424" s="73"/>
      <c r="AQ1424" s="73"/>
      <c r="AR1424" s="73"/>
      <c r="AS1424" s="73"/>
      <c r="AT1424" s="73"/>
      <c r="AU1424" s="73"/>
      <c r="AV1424" s="73"/>
      <c r="AW1424" s="73"/>
      <c r="AX1424" s="73"/>
      <c r="AY1424" s="73"/>
      <c r="AZ1424" s="73"/>
      <c r="BA1424" s="73"/>
      <c r="BB1424" s="73"/>
      <c r="BC1424" s="73"/>
      <c r="BD1424" s="73"/>
      <c r="BE1424" s="73"/>
      <c r="BF1424" s="73"/>
      <c r="BG1424" s="73"/>
      <c r="BH1424" s="73"/>
      <c r="BI1424" s="73"/>
      <c r="BJ1424" s="73"/>
      <c r="BK1424" s="73"/>
      <c r="BL1424" s="73"/>
      <c r="BM1424" s="73"/>
      <c r="BN1424" s="73"/>
      <c r="BO1424" s="73"/>
      <c r="BP1424" s="73"/>
      <c r="BQ1424" s="73"/>
      <c r="BR1424" s="73"/>
      <c r="BS1424" s="73"/>
      <c r="BT1424" s="73"/>
      <c r="BU1424" s="73"/>
      <c r="BV1424" s="73"/>
      <c r="BW1424" s="73"/>
      <c r="BX1424" s="73"/>
      <c r="BY1424" s="73"/>
      <c r="BZ1424" s="73"/>
      <c r="CA1424" s="73"/>
      <c r="CB1424" s="73"/>
      <c r="CC1424" s="73"/>
      <c r="CD1424" s="73"/>
      <c r="CE1424" s="73"/>
      <c r="CF1424" s="73"/>
      <c r="CG1424" s="73"/>
      <c r="CH1424" s="73"/>
    </row>
    <row r="1425">
      <c r="A1425" s="80"/>
      <c r="B1425" s="80"/>
      <c r="C1425" s="80"/>
      <c r="D1425" s="80"/>
      <c r="E1425" s="124"/>
      <c r="F1425" s="80"/>
      <c r="G1425" s="80"/>
      <c r="H1425" s="80"/>
      <c r="I1425" s="80"/>
      <c r="J1425" s="196"/>
      <c r="K1425" s="196"/>
      <c r="L1425" s="196"/>
      <c r="M1425" s="196"/>
      <c r="N1425" s="196"/>
      <c r="O1425" s="196"/>
      <c r="P1425" s="196"/>
      <c r="Q1425" s="196"/>
      <c r="R1425" s="196"/>
      <c r="S1425" s="196"/>
      <c r="T1425" s="196"/>
      <c r="U1425" s="196"/>
      <c r="V1425" s="196"/>
      <c r="W1425" s="196"/>
      <c r="X1425" s="196"/>
      <c r="Y1425" s="196"/>
      <c r="Z1425" s="196"/>
      <c r="AA1425" s="196"/>
      <c r="AB1425" s="196"/>
      <c r="AC1425" s="196"/>
      <c r="AD1425" s="196"/>
      <c r="AE1425" s="196"/>
      <c r="AF1425" s="196"/>
      <c r="AG1425" s="196"/>
      <c r="AH1425" s="196"/>
      <c r="AI1425" s="196"/>
      <c r="AJ1425" s="197"/>
      <c r="AK1425" s="80"/>
      <c r="AL1425" s="80"/>
      <c r="AM1425" s="73"/>
      <c r="AN1425" s="73"/>
      <c r="AO1425" s="73"/>
      <c r="AP1425" s="73"/>
      <c r="AQ1425" s="73"/>
      <c r="AR1425" s="73"/>
      <c r="AS1425" s="73"/>
      <c r="AT1425" s="73"/>
      <c r="AU1425" s="73"/>
      <c r="AV1425" s="73"/>
      <c r="AW1425" s="73"/>
      <c r="AX1425" s="73"/>
      <c r="AY1425" s="73"/>
      <c r="AZ1425" s="73"/>
      <c r="BA1425" s="73"/>
      <c r="BB1425" s="73"/>
      <c r="BC1425" s="73"/>
      <c r="BD1425" s="73"/>
      <c r="BE1425" s="73"/>
      <c r="BF1425" s="73"/>
      <c r="BG1425" s="73"/>
      <c r="BH1425" s="73"/>
      <c r="BI1425" s="73"/>
      <c r="BJ1425" s="73"/>
      <c r="BK1425" s="73"/>
      <c r="BL1425" s="73"/>
      <c r="BM1425" s="73"/>
      <c r="BN1425" s="73"/>
      <c r="BO1425" s="73"/>
      <c r="BP1425" s="73"/>
      <c r="BQ1425" s="73"/>
      <c r="BR1425" s="73"/>
      <c r="BS1425" s="73"/>
      <c r="BT1425" s="73"/>
      <c r="BU1425" s="73"/>
      <c r="BV1425" s="73"/>
      <c r="BW1425" s="73"/>
      <c r="BX1425" s="73"/>
      <c r="BY1425" s="73"/>
      <c r="BZ1425" s="73"/>
      <c r="CA1425" s="73"/>
      <c r="CB1425" s="73"/>
      <c r="CC1425" s="73"/>
      <c r="CD1425" s="73"/>
      <c r="CE1425" s="73"/>
      <c r="CF1425" s="73"/>
      <c r="CG1425" s="73"/>
      <c r="CH1425" s="73"/>
    </row>
    <row r="1426">
      <c r="A1426" s="80"/>
      <c r="B1426" s="80"/>
      <c r="C1426" s="80"/>
      <c r="D1426" s="80"/>
      <c r="E1426" s="124"/>
      <c r="F1426" s="80"/>
      <c r="G1426" s="80"/>
      <c r="H1426" s="80"/>
      <c r="I1426" s="80"/>
      <c r="J1426" s="196"/>
      <c r="K1426" s="196"/>
      <c r="L1426" s="196"/>
      <c r="M1426" s="196"/>
      <c r="N1426" s="196"/>
      <c r="O1426" s="196"/>
      <c r="P1426" s="196"/>
      <c r="Q1426" s="196"/>
      <c r="R1426" s="196"/>
      <c r="S1426" s="196"/>
      <c r="T1426" s="196"/>
      <c r="U1426" s="196"/>
      <c r="V1426" s="196"/>
      <c r="W1426" s="196"/>
      <c r="X1426" s="196"/>
      <c r="Y1426" s="196"/>
      <c r="Z1426" s="196"/>
      <c r="AA1426" s="196"/>
      <c r="AB1426" s="196"/>
      <c r="AC1426" s="196"/>
      <c r="AD1426" s="196"/>
      <c r="AE1426" s="196"/>
      <c r="AF1426" s="196"/>
      <c r="AG1426" s="196"/>
      <c r="AH1426" s="196"/>
      <c r="AI1426" s="196"/>
      <c r="AJ1426" s="197"/>
      <c r="AK1426" s="80"/>
      <c r="AL1426" s="80"/>
      <c r="AM1426" s="73"/>
      <c r="AN1426" s="73"/>
      <c r="AO1426" s="73"/>
      <c r="AP1426" s="73"/>
      <c r="AQ1426" s="73"/>
      <c r="AR1426" s="73"/>
      <c r="AS1426" s="73"/>
      <c r="AT1426" s="73"/>
      <c r="AU1426" s="73"/>
      <c r="AV1426" s="73"/>
      <c r="AW1426" s="73"/>
      <c r="AX1426" s="73"/>
      <c r="AY1426" s="73"/>
      <c r="AZ1426" s="73"/>
      <c r="BA1426" s="73"/>
      <c r="BB1426" s="73"/>
      <c r="BC1426" s="73"/>
      <c r="BD1426" s="73"/>
      <c r="BE1426" s="73"/>
      <c r="BF1426" s="73"/>
      <c r="BG1426" s="73"/>
      <c r="BH1426" s="73"/>
      <c r="BI1426" s="73"/>
      <c r="BJ1426" s="73"/>
      <c r="BK1426" s="73"/>
      <c r="BL1426" s="73"/>
      <c r="BM1426" s="73"/>
      <c r="BN1426" s="73"/>
      <c r="BO1426" s="73"/>
      <c r="BP1426" s="73"/>
      <c r="BQ1426" s="73"/>
      <c r="BR1426" s="73"/>
      <c r="BS1426" s="73"/>
      <c r="BT1426" s="73"/>
      <c r="BU1426" s="73"/>
      <c r="BV1426" s="73"/>
      <c r="BW1426" s="73"/>
      <c r="BX1426" s="73"/>
      <c r="BY1426" s="73"/>
      <c r="BZ1426" s="73"/>
      <c r="CA1426" s="73"/>
      <c r="CB1426" s="73"/>
      <c r="CC1426" s="73"/>
      <c r="CD1426" s="73"/>
      <c r="CE1426" s="73"/>
      <c r="CF1426" s="73"/>
      <c r="CG1426" s="73"/>
      <c r="CH1426" s="73"/>
    </row>
    <row r="1427">
      <c r="A1427" s="80"/>
      <c r="B1427" s="80"/>
      <c r="C1427" s="80"/>
      <c r="D1427" s="80"/>
      <c r="E1427" s="124"/>
      <c r="F1427" s="80"/>
      <c r="G1427" s="80"/>
      <c r="H1427" s="80"/>
      <c r="I1427" s="80"/>
      <c r="J1427" s="196"/>
      <c r="K1427" s="196"/>
      <c r="L1427" s="196"/>
      <c r="M1427" s="196"/>
      <c r="N1427" s="196"/>
      <c r="O1427" s="196"/>
      <c r="P1427" s="196"/>
      <c r="Q1427" s="196"/>
      <c r="R1427" s="196"/>
      <c r="S1427" s="196"/>
      <c r="T1427" s="196"/>
      <c r="U1427" s="196"/>
      <c r="V1427" s="196"/>
      <c r="W1427" s="196"/>
      <c r="X1427" s="196"/>
      <c r="Y1427" s="196"/>
      <c r="Z1427" s="196"/>
      <c r="AA1427" s="196"/>
      <c r="AB1427" s="196"/>
      <c r="AC1427" s="196"/>
      <c r="AD1427" s="196"/>
      <c r="AE1427" s="196"/>
      <c r="AF1427" s="196"/>
      <c r="AG1427" s="196"/>
      <c r="AH1427" s="196"/>
      <c r="AI1427" s="196"/>
      <c r="AJ1427" s="197"/>
      <c r="AK1427" s="80"/>
      <c r="AL1427" s="80"/>
      <c r="AM1427" s="73"/>
      <c r="AN1427" s="73"/>
      <c r="AO1427" s="73"/>
      <c r="AP1427" s="73"/>
      <c r="AQ1427" s="73"/>
      <c r="AR1427" s="73"/>
      <c r="AS1427" s="73"/>
      <c r="AT1427" s="73"/>
      <c r="AU1427" s="73"/>
      <c r="AV1427" s="73"/>
      <c r="AW1427" s="73"/>
      <c r="AX1427" s="73"/>
      <c r="AY1427" s="73"/>
      <c r="AZ1427" s="73"/>
      <c r="BA1427" s="73"/>
      <c r="BB1427" s="73"/>
      <c r="BC1427" s="73"/>
      <c r="BD1427" s="73"/>
      <c r="BE1427" s="73"/>
      <c r="BF1427" s="73"/>
      <c r="BG1427" s="73"/>
      <c r="BH1427" s="73"/>
      <c r="BI1427" s="73"/>
      <c r="BJ1427" s="73"/>
      <c r="BK1427" s="73"/>
      <c r="BL1427" s="73"/>
      <c r="BM1427" s="73"/>
      <c r="BN1427" s="73"/>
      <c r="BO1427" s="73"/>
      <c r="BP1427" s="73"/>
      <c r="BQ1427" s="73"/>
      <c r="BR1427" s="73"/>
      <c r="BS1427" s="73"/>
      <c r="BT1427" s="73"/>
      <c r="BU1427" s="73"/>
      <c r="BV1427" s="73"/>
      <c r="BW1427" s="73"/>
      <c r="BX1427" s="73"/>
      <c r="BY1427" s="73"/>
      <c r="BZ1427" s="73"/>
      <c r="CA1427" s="73"/>
      <c r="CB1427" s="73"/>
      <c r="CC1427" s="73"/>
      <c r="CD1427" s="73"/>
      <c r="CE1427" s="73"/>
      <c r="CF1427" s="73"/>
      <c r="CG1427" s="73"/>
      <c r="CH1427" s="73"/>
    </row>
    <row r="1428">
      <c r="A1428" s="80"/>
      <c r="B1428" s="80"/>
      <c r="C1428" s="80"/>
      <c r="D1428" s="80"/>
      <c r="E1428" s="124"/>
      <c r="F1428" s="80"/>
      <c r="G1428" s="80"/>
      <c r="H1428" s="80"/>
      <c r="I1428" s="80"/>
      <c r="J1428" s="196"/>
      <c r="K1428" s="196"/>
      <c r="L1428" s="196"/>
      <c r="M1428" s="196"/>
      <c r="N1428" s="196"/>
      <c r="O1428" s="196"/>
      <c r="P1428" s="196"/>
      <c r="Q1428" s="196"/>
      <c r="R1428" s="196"/>
      <c r="S1428" s="196"/>
      <c r="T1428" s="196"/>
      <c r="U1428" s="196"/>
      <c r="V1428" s="196"/>
      <c r="W1428" s="196"/>
      <c r="X1428" s="196"/>
      <c r="Y1428" s="196"/>
      <c r="Z1428" s="196"/>
      <c r="AA1428" s="196"/>
      <c r="AB1428" s="196"/>
      <c r="AC1428" s="196"/>
      <c r="AD1428" s="196"/>
      <c r="AE1428" s="196"/>
      <c r="AF1428" s="196"/>
      <c r="AG1428" s="196"/>
      <c r="AH1428" s="196"/>
      <c r="AI1428" s="196"/>
      <c r="AJ1428" s="197"/>
      <c r="AK1428" s="80"/>
      <c r="AL1428" s="80"/>
      <c r="AM1428" s="73"/>
      <c r="AN1428" s="73"/>
      <c r="AO1428" s="73"/>
      <c r="AP1428" s="73"/>
      <c r="AQ1428" s="73"/>
      <c r="AR1428" s="73"/>
      <c r="AS1428" s="73"/>
      <c r="AT1428" s="73"/>
      <c r="AU1428" s="73"/>
      <c r="AV1428" s="73"/>
      <c r="AW1428" s="73"/>
      <c r="AX1428" s="73"/>
      <c r="AY1428" s="73"/>
      <c r="AZ1428" s="73"/>
      <c r="BA1428" s="73"/>
      <c r="BB1428" s="73"/>
      <c r="BC1428" s="73"/>
      <c r="BD1428" s="73"/>
      <c r="BE1428" s="73"/>
      <c r="BF1428" s="73"/>
      <c r="BG1428" s="73"/>
      <c r="BH1428" s="73"/>
      <c r="BI1428" s="73"/>
      <c r="BJ1428" s="73"/>
      <c r="BK1428" s="73"/>
      <c r="BL1428" s="73"/>
      <c r="BM1428" s="73"/>
      <c r="BN1428" s="73"/>
      <c r="BO1428" s="73"/>
      <c r="BP1428" s="73"/>
      <c r="BQ1428" s="73"/>
      <c r="BR1428" s="73"/>
      <c r="BS1428" s="73"/>
      <c r="BT1428" s="73"/>
      <c r="BU1428" s="73"/>
      <c r="BV1428" s="73"/>
      <c r="BW1428" s="73"/>
      <c r="BX1428" s="73"/>
      <c r="BY1428" s="73"/>
      <c r="BZ1428" s="73"/>
      <c r="CA1428" s="73"/>
      <c r="CB1428" s="73"/>
      <c r="CC1428" s="73"/>
      <c r="CD1428" s="73"/>
      <c r="CE1428" s="73"/>
      <c r="CF1428" s="73"/>
      <c r="CG1428" s="73"/>
      <c r="CH1428" s="73"/>
    </row>
    <row r="1429">
      <c r="A1429" s="80"/>
      <c r="B1429" s="80"/>
      <c r="C1429" s="80"/>
      <c r="D1429" s="80"/>
      <c r="E1429" s="124"/>
      <c r="F1429" s="80"/>
      <c r="G1429" s="80"/>
      <c r="H1429" s="80"/>
      <c r="I1429" s="80"/>
      <c r="J1429" s="196"/>
      <c r="K1429" s="196"/>
      <c r="L1429" s="196"/>
      <c r="M1429" s="196"/>
      <c r="N1429" s="196"/>
      <c r="O1429" s="196"/>
      <c r="P1429" s="196"/>
      <c r="Q1429" s="196"/>
      <c r="R1429" s="196"/>
      <c r="S1429" s="196"/>
      <c r="T1429" s="196"/>
      <c r="U1429" s="196"/>
      <c r="V1429" s="196"/>
      <c r="W1429" s="196"/>
      <c r="X1429" s="196"/>
      <c r="Y1429" s="196"/>
      <c r="Z1429" s="196"/>
      <c r="AA1429" s="196"/>
      <c r="AB1429" s="196"/>
      <c r="AC1429" s="196"/>
      <c r="AD1429" s="196"/>
      <c r="AE1429" s="196"/>
      <c r="AF1429" s="196"/>
      <c r="AG1429" s="196"/>
      <c r="AH1429" s="196"/>
      <c r="AI1429" s="196"/>
      <c r="AJ1429" s="197"/>
      <c r="AK1429" s="80"/>
      <c r="AL1429" s="80"/>
      <c r="AM1429" s="73"/>
      <c r="AN1429" s="73"/>
      <c r="AO1429" s="73"/>
      <c r="AP1429" s="73"/>
      <c r="AQ1429" s="73"/>
      <c r="AR1429" s="73"/>
      <c r="AS1429" s="73"/>
      <c r="AT1429" s="73"/>
      <c r="AU1429" s="73"/>
      <c r="AV1429" s="73"/>
      <c r="AW1429" s="73"/>
      <c r="AX1429" s="73"/>
      <c r="AY1429" s="73"/>
      <c r="AZ1429" s="73"/>
      <c r="BA1429" s="73"/>
      <c r="BB1429" s="73"/>
      <c r="BC1429" s="73"/>
      <c r="BD1429" s="73"/>
      <c r="BE1429" s="73"/>
      <c r="BF1429" s="73"/>
      <c r="BG1429" s="73"/>
      <c r="BH1429" s="73"/>
      <c r="BI1429" s="73"/>
      <c r="BJ1429" s="73"/>
      <c r="BK1429" s="73"/>
      <c r="BL1429" s="73"/>
      <c r="BM1429" s="73"/>
      <c r="BN1429" s="73"/>
      <c r="BO1429" s="73"/>
      <c r="BP1429" s="73"/>
      <c r="BQ1429" s="73"/>
      <c r="BR1429" s="73"/>
      <c r="BS1429" s="73"/>
      <c r="BT1429" s="73"/>
      <c r="BU1429" s="73"/>
      <c r="BV1429" s="73"/>
      <c r="BW1429" s="73"/>
      <c r="BX1429" s="73"/>
      <c r="BY1429" s="73"/>
      <c r="BZ1429" s="73"/>
      <c r="CA1429" s="73"/>
      <c r="CB1429" s="73"/>
      <c r="CC1429" s="73"/>
      <c r="CD1429" s="73"/>
      <c r="CE1429" s="73"/>
      <c r="CF1429" s="73"/>
      <c r="CG1429" s="73"/>
      <c r="CH1429" s="73"/>
    </row>
    <row r="1430">
      <c r="A1430" s="80"/>
      <c r="B1430" s="80"/>
      <c r="C1430" s="80"/>
      <c r="D1430" s="80"/>
      <c r="E1430" s="124"/>
      <c r="F1430" s="80"/>
      <c r="G1430" s="80"/>
      <c r="H1430" s="80"/>
      <c r="I1430" s="80"/>
      <c r="J1430" s="196"/>
      <c r="K1430" s="196"/>
      <c r="L1430" s="196"/>
      <c r="M1430" s="196"/>
      <c r="N1430" s="196"/>
      <c r="O1430" s="196"/>
      <c r="P1430" s="196"/>
      <c r="Q1430" s="196"/>
      <c r="R1430" s="196"/>
      <c r="S1430" s="196"/>
      <c r="T1430" s="196"/>
      <c r="U1430" s="196"/>
      <c r="V1430" s="196"/>
      <c r="W1430" s="196"/>
      <c r="X1430" s="196"/>
      <c r="Y1430" s="196"/>
      <c r="Z1430" s="196"/>
      <c r="AA1430" s="196"/>
      <c r="AB1430" s="196"/>
      <c r="AC1430" s="196"/>
      <c r="AD1430" s="196"/>
      <c r="AE1430" s="196"/>
      <c r="AF1430" s="196"/>
      <c r="AG1430" s="196"/>
      <c r="AH1430" s="196"/>
      <c r="AI1430" s="196"/>
      <c r="AJ1430" s="197"/>
      <c r="AK1430" s="80"/>
      <c r="AL1430" s="80"/>
      <c r="AM1430" s="73"/>
      <c r="AN1430" s="73"/>
      <c r="AO1430" s="73"/>
      <c r="AP1430" s="73"/>
      <c r="AQ1430" s="73"/>
      <c r="AR1430" s="73"/>
      <c r="AS1430" s="73"/>
      <c r="AT1430" s="73"/>
      <c r="AU1430" s="73"/>
      <c r="AV1430" s="73"/>
      <c r="AW1430" s="73"/>
      <c r="AX1430" s="73"/>
      <c r="AY1430" s="73"/>
      <c r="AZ1430" s="73"/>
      <c r="BA1430" s="73"/>
      <c r="BB1430" s="73"/>
      <c r="BC1430" s="73"/>
      <c r="BD1430" s="73"/>
      <c r="BE1430" s="73"/>
      <c r="BF1430" s="73"/>
      <c r="BG1430" s="73"/>
      <c r="BH1430" s="73"/>
      <c r="BI1430" s="73"/>
      <c r="BJ1430" s="73"/>
      <c r="BK1430" s="73"/>
      <c r="BL1430" s="73"/>
      <c r="BM1430" s="73"/>
      <c r="BN1430" s="73"/>
      <c r="BO1430" s="73"/>
      <c r="BP1430" s="73"/>
      <c r="BQ1430" s="73"/>
      <c r="BR1430" s="73"/>
      <c r="BS1430" s="73"/>
      <c r="BT1430" s="73"/>
      <c r="BU1430" s="73"/>
      <c r="BV1430" s="73"/>
      <c r="BW1430" s="73"/>
      <c r="BX1430" s="73"/>
      <c r="BY1430" s="73"/>
      <c r="BZ1430" s="73"/>
      <c r="CA1430" s="73"/>
      <c r="CB1430" s="73"/>
      <c r="CC1430" s="73"/>
      <c r="CD1430" s="73"/>
      <c r="CE1430" s="73"/>
      <c r="CF1430" s="73"/>
      <c r="CG1430" s="73"/>
      <c r="CH1430" s="73"/>
    </row>
    <row r="1431">
      <c r="A1431" s="80"/>
      <c r="B1431" s="80"/>
      <c r="C1431" s="80"/>
      <c r="D1431" s="80"/>
      <c r="E1431" s="124"/>
      <c r="F1431" s="80"/>
      <c r="G1431" s="80"/>
      <c r="H1431" s="80"/>
      <c r="I1431" s="80"/>
      <c r="J1431" s="196"/>
      <c r="K1431" s="196"/>
      <c r="L1431" s="196"/>
      <c r="M1431" s="196"/>
      <c r="N1431" s="196"/>
      <c r="O1431" s="196"/>
      <c r="P1431" s="196"/>
      <c r="Q1431" s="196"/>
      <c r="R1431" s="196"/>
      <c r="S1431" s="196"/>
      <c r="T1431" s="196"/>
      <c r="U1431" s="196"/>
      <c r="V1431" s="196"/>
      <c r="W1431" s="196"/>
      <c r="X1431" s="196"/>
      <c r="Y1431" s="196"/>
      <c r="Z1431" s="196"/>
      <c r="AA1431" s="196"/>
      <c r="AB1431" s="196"/>
      <c r="AC1431" s="196"/>
      <c r="AD1431" s="196"/>
      <c r="AE1431" s="196"/>
      <c r="AF1431" s="196"/>
      <c r="AG1431" s="196"/>
      <c r="AH1431" s="196"/>
      <c r="AI1431" s="196"/>
      <c r="AJ1431" s="197"/>
      <c r="AK1431" s="80"/>
      <c r="AL1431" s="80"/>
      <c r="AM1431" s="73"/>
      <c r="AN1431" s="73"/>
      <c r="AO1431" s="73"/>
      <c r="AP1431" s="73"/>
      <c r="AQ1431" s="73"/>
      <c r="AR1431" s="73"/>
      <c r="AS1431" s="73"/>
      <c r="AT1431" s="73"/>
      <c r="AU1431" s="73"/>
      <c r="AV1431" s="73"/>
      <c r="AW1431" s="73"/>
      <c r="AX1431" s="73"/>
      <c r="AY1431" s="73"/>
      <c r="AZ1431" s="73"/>
      <c r="BA1431" s="73"/>
      <c r="BB1431" s="73"/>
      <c r="BC1431" s="73"/>
      <c r="BD1431" s="73"/>
      <c r="BE1431" s="73"/>
      <c r="BF1431" s="73"/>
      <c r="BG1431" s="73"/>
      <c r="BH1431" s="73"/>
      <c r="BI1431" s="73"/>
      <c r="BJ1431" s="73"/>
      <c r="BK1431" s="73"/>
      <c r="BL1431" s="73"/>
      <c r="BM1431" s="73"/>
      <c r="BN1431" s="73"/>
      <c r="BO1431" s="73"/>
      <c r="BP1431" s="73"/>
      <c r="BQ1431" s="73"/>
      <c r="BR1431" s="73"/>
      <c r="BS1431" s="73"/>
      <c r="BT1431" s="73"/>
      <c r="BU1431" s="73"/>
      <c r="BV1431" s="73"/>
      <c r="BW1431" s="73"/>
      <c r="BX1431" s="73"/>
      <c r="BY1431" s="73"/>
      <c r="BZ1431" s="73"/>
      <c r="CA1431" s="73"/>
      <c r="CB1431" s="73"/>
      <c r="CC1431" s="73"/>
      <c r="CD1431" s="73"/>
      <c r="CE1431" s="73"/>
      <c r="CF1431" s="73"/>
      <c r="CG1431" s="73"/>
      <c r="CH1431" s="73"/>
    </row>
    <row r="1432">
      <c r="A1432" s="80"/>
      <c r="B1432" s="80"/>
      <c r="C1432" s="80"/>
      <c r="D1432" s="80"/>
      <c r="E1432" s="124"/>
      <c r="F1432" s="80"/>
      <c r="G1432" s="80"/>
      <c r="H1432" s="80"/>
      <c r="I1432" s="80"/>
      <c r="J1432" s="196"/>
      <c r="K1432" s="196"/>
      <c r="L1432" s="196"/>
      <c r="M1432" s="196"/>
      <c r="N1432" s="196"/>
      <c r="O1432" s="196"/>
      <c r="P1432" s="196"/>
      <c r="Q1432" s="196"/>
      <c r="R1432" s="196"/>
      <c r="S1432" s="196"/>
      <c r="T1432" s="196"/>
      <c r="U1432" s="196"/>
      <c r="V1432" s="196"/>
      <c r="W1432" s="196"/>
      <c r="X1432" s="196"/>
      <c r="Y1432" s="196"/>
      <c r="Z1432" s="196"/>
      <c r="AA1432" s="196"/>
      <c r="AB1432" s="196"/>
      <c r="AC1432" s="196"/>
      <c r="AD1432" s="196"/>
      <c r="AE1432" s="196"/>
      <c r="AF1432" s="196"/>
      <c r="AG1432" s="196"/>
      <c r="AH1432" s="196"/>
      <c r="AI1432" s="196"/>
      <c r="AJ1432" s="197"/>
      <c r="AK1432" s="80"/>
      <c r="AL1432" s="80"/>
      <c r="AM1432" s="73"/>
      <c r="AN1432" s="73"/>
      <c r="AO1432" s="73"/>
      <c r="AP1432" s="73"/>
      <c r="AQ1432" s="73"/>
      <c r="AR1432" s="73"/>
      <c r="AS1432" s="73"/>
      <c r="AT1432" s="73"/>
      <c r="AU1432" s="73"/>
      <c r="AV1432" s="73"/>
      <c r="AW1432" s="73"/>
      <c r="AX1432" s="73"/>
      <c r="AY1432" s="73"/>
      <c r="AZ1432" s="73"/>
      <c r="BA1432" s="73"/>
      <c r="BB1432" s="73"/>
      <c r="BC1432" s="73"/>
      <c r="BD1432" s="73"/>
      <c r="BE1432" s="73"/>
      <c r="BF1432" s="73"/>
      <c r="BG1432" s="73"/>
      <c r="BH1432" s="73"/>
      <c r="BI1432" s="73"/>
      <c r="BJ1432" s="73"/>
      <c r="BK1432" s="73"/>
      <c r="BL1432" s="73"/>
      <c r="BM1432" s="73"/>
      <c r="BN1432" s="73"/>
      <c r="BO1432" s="73"/>
      <c r="BP1432" s="73"/>
      <c r="BQ1432" s="73"/>
      <c r="BR1432" s="73"/>
      <c r="BS1432" s="73"/>
      <c r="BT1432" s="73"/>
      <c r="BU1432" s="73"/>
      <c r="BV1432" s="73"/>
      <c r="BW1432" s="73"/>
      <c r="BX1432" s="73"/>
      <c r="BY1432" s="73"/>
      <c r="BZ1432" s="73"/>
      <c r="CA1432" s="73"/>
      <c r="CB1432" s="73"/>
      <c r="CC1432" s="73"/>
      <c r="CD1432" s="73"/>
      <c r="CE1432" s="73"/>
      <c r="CF1432" s="73"/>
      <c r="CG1432" s="73"/>
      <c r="CH1432" s="73"/>
    </row>
    <row r="1433">
      <c r="A1433" s="80"/>
      <c r="B1433" s="80"/>
      <c r="C1433" s="80"/>
      <c r="D1433" s="80"/>
      <c r="E1433" s="124"/>
      <c r="F1433" s="80"/>
      <c r="G1433" s="80"/>
      <c r="H1433" s="80"/>
      <c r="I1433" s="80"/>
      <c r="J1433" s="196"/>
      <c r="K1433" s="196"/>
      <c r="L1433" s="196"/>
      <c r="M1433" s="196"/>
      <c r="N1433" s="196"/>
      <c r="O1433" s="196"/>
      <c r="P1433" s="196"/>
      <c r="Q1433" s="196"/>
      <c r="R1433" s="196"/>
      <c r="S1433" s="196"/>
      <c r="T1433" s="196"/>
      <c r="U1433" s="196"/>
      <c r="V1433" s="196"/>
      <c r="W1433" s="196"/>
      <c r="X1433" s="196"/>
      <c r="Y1433" s="196"/>
      <c r="Z1433" s="196"/>
      <c r="AA1433" s="196"/>
      <c r="AB1433" s="196"/>
      <c r="AC1433" s="196"/>
      <c r="AD1433" s="196"/>
      <c r="AE1433" s="196"/>
      <c r="AF1433" s="196"/>
      <c r="AG1433" s="196"/>
      <c r="AH1433" s="196"/>
      <c r="AI1433" s="196"/>
      <c r="AJ1433" s="197"/>
      <c r="AK1433" s="80"/>
      <c r="AL1433" s="80"/>
      <c r="AM1433" s="73"/>
      <c r="AN1433" s="73"/>
      <c r="AO1433" s="73"/>
      <c r="AP1433" s="73"/>
      <c r="AQ1433" s="73"/>
      <c r="AR1433" s="73"/>
      <c r="AS1433" s="73"/>
      <c r="AT1433" s="73"/>
      <c r="AU1433" s="73"/>
      <c r="AV1433" s="73"/>
      <c r="AW1433" s="73"/>
      <c r="AX1433" s="73"/>
      <c r="AY1433" s="73"/>
      <c r="AZ1433" s="73"/>
      <c r="BA1433" s="73"/>
      <c r="BB1433" s="73"/>
      <c r="BC1433" s="73"/>
      <c r="BD1433" s="73"/>
      <c r="BE1433" s="73"/>
      <c r="BF1433" s="73"/>
      <c r="BG1433" s="73"/>
      <c r="BH1433" s="73"/>
      <c r="BI1433" s="73"/>
      <c r="BJ1433" s="73"/>
      <c r="BK1433" s="73"/>
      <c r="BL1433" s="73"/>
      <c r="BM1433" s="73"/>
      <c r="BN1433" s="73"/>
      <c r="BO1433" s="73"/>
      <c r="BP1433" s="73"/>
      <c r="BQ1433" s="73"/>
      <c r="BR1433" s="73"/>
      <c r="BS1433" s="73"/>
      <c r="BT1433" s="73"/>
      <c r="BU1433" s="73"/>
      <c r="BV1433" s="73"/>
      <c r="BW1433" s="73"/>
      <c r="BX1433" s="73"/>
      <c r="BY1433" s="73"/>
      <c r="BZ1433" s="73"/>
      <c r="CA1433" s="73"/>
      <c r="CB1433" s="73"/>
      <c r="CC1433" s="73"/>
      <c r="CD1433" s="73"/>
      <c r="CE1433" s="73"/>
      <c r="CF1433" s="73"/>
      <c r="CG1433" s="73"/>
      <c r="CH1433" s="73"/>
    </row>
    <row r="1434">
      <c r="A1434" s="80"/>
      <c r="B1434" s="80"/>
      <c r="C1434" s="80"/>
      <c r="D1434" s="80"/>
      <c r="E1434" s="124"/>
      <c r="F1434" s="80"/>
      <c r="G1434" s="80"/>
      <c r="H1434" s="80"/>
      <c r="I1434" s="80"/>
      <c r="J1434" s="196"/>
      <c r="K1434" s="196"/>
      <c r="L1434" s="196"/>
      <c r="M1434" s="196"/>
      <c r="N1434" s="196"/>
      <c r="O1434" s="196"/>
      <c r="P1434" s="196"/>
      <c r="Q1434" s="196"/>
      <c r="R1434" s="196"/>
      <c r="S1434" s="196"/>
      <c r="T1434" s="196"/>
      <c r="U1434" s="196"/>
      <c r="V1434" s="196"/>
      <c r="W1434" s="196"/>
      <c r="X1434" s="196"/>
      <c r="Y1434" s="196"/>
      <c r="Z1434" s="196"/>
      <c r="AA1434" s="196"/>
      <c r="AB1434" s="196"/>
      <c r="AC1434" s="196"/>
      <c r="AD1434" s="196"/>
      <c r="AE1434" s="196"/>
      <c r="AF1434" s="196"/>
      <c r="AG1434" s="196"/>
      <c r="AH1434" s="196"/>
      <c r="AI1434" s="196"/>
      <c r="AJ1434" s="197"/>
      <c r="AK1434" s="80"/>
      <c r="AL1434" s="80"/>
      <c r="AM1434" s="73"/>
      <c r="AN1434" s="73"/>
      <c r="AO1434" s="73"/>
      <c r="AP1434" s="73"/>
      <c r="AQ1434" s="73"/>
      <c r="AR1434" s="73"/>
      <c r="AS1434" s="73"/>
      <c r="AT1434" s="73"/>
      <c r="AU1434" s="73"/>
      <c r="AV1434" s="73"/>
      <c r="AW1434" s="73"/>
      <c r="AX1434" s="73"/>
      <c r="AY1434" s="73"/>
      <c r="AZ1434" s="73"/>
      <c r="BA1434" s="73"/>
      <c r="BB1434" s="73"/>
      <c r="BC1434" s="73"/>
      <c r="BD1434" s="73"/>
      <c r="BE1434" s="73"/>
      <c r="BF1434" s="73"/>
      <c r="BG1434" s="73"/>
      <c r="BH1434" s="73"/>
      <c r="BI1434" s="73"/>
      <c r="BJ1434" s="73"/>
      <c r="BK1434" s="73"/>
      <c r="BL1434" s="73"/>
      <c r="BM1434" s="73"/>
      <c r="BN1434" s="73"/>
      <c r="BO1434" s="73"/>
      <c r="BP1434" s="73"/>
      <c r="BQ1434" s="73"/>
      <c r="BR1434" s="73"/>
      <c r="BS1434" s="73"/>
      <c r="BT1434" s="73"/>
      <c r="BU1434" s="73"/>
      <c r="BV1434" s="73"/>
      <c r="BW1434" s="73"/>
      <c r="BX1434" s="73"/>
      <c r="BY1434" s="73"/>
      <c r="BZ1434" s="73"/>
      <c r="CA1434" s="73"/>
      <c r="CB1434" s="73"/>
      <c r="CC1434" s="73"/>
      <c r="CD1434" s="73"/>
      <c r="CE1434" s="73"/>
      <c r="CF1434" s="73"/>
      <c r="CG1434" s="73"/>
      <c r="CH1434" s="73"/>
    </row>
    <row r="1435">
      <c r="A1435" s="80"/>
      <c r="B1435" s="80"/>
      <c r="C1435" s="80"/>
      <c r="D1435" s="80"/>
      <c r="E1435" s="124"/>
      <c r="F1435" s="80"/>
      <c r="G1435" s="80"/>
      <c r="H1435" s="80"/>
      <c r="I1435" s="80"/>
      <c r="J1435" s="196"/>
      <c r="K1435" s="196"/>
      <c r="L1435" s="196"/>
      <c r="M1435" s="196"/>
      <c r="N1435" s="196"/>
      <c r="O1435" s="196"/>
      <c r="P1435" s="196"/>
      <c r="Q1435" s="196"/>
      <c r="R1435" s="196"/>
      <c r="S1435" s="196"/>
      <c r="T1435" s="196"/>
      <c r="U1435" s="196"/>
      <c r="V1435" s="196"/>
      <c r="W1435" s="196"/>
      <c r="X1435" s="196"/>
      <c r="Y1435" s="196"/>
      <c r="Z1435" s="196"/>
      <c r="AA1435" s="196"/>
      <c r="AB1435" s="196"/>
      <c r="AC1435" s="196"/>
      <c r="AD1435" s="196"/>
      <c r="AE1435" s="196"/>
      <c r="AF1435" s="196"/>
      <c r="AG1435" s="196"/>
      <c r="AH1435" s="196"/>
      <c r="AI1435" s="196"/>
      <c r="AJ1435" s="197"/>
      <c r="AK1435" s="80"/>
      <c r="AL1435" s="80"/>
      <c r="AM1435" s="73"/>
      <c r="AN1435" s="73"/>
      <c r="AO1435" s="73"/>
      <c r="AP1435" s="73"/>
      <c r="AQ1435" s="73"/>
      <c r="AR1435" s="73"/>
      <c r="AS1435" s="73"/>
      <c r="AT1435" s="73"/>
      <c r="AU1435" s="73"/>
      <c r="AV1435" s="73"/>
      <c r="AW1435" s="73"/>
      <c r="AX1435" s="73"/>
      <c r="AY1435" s="73"/>
      <c r="AZ1435" s="73"/>
      <c r="BA1435" s="73"/>
      <c r="BB1435" s="73"/>
      <c r="BC1435" s="73"/>
      <c r="BD1435" s="73"/>
      <c r="BE1435" s="73"/>
      <c r="BF1435" s="73"/>
      <c r="BG1435" s="73"/>
      <c r="BH1435" s="73"/>
      <c r="BI1435" s="73"/>
      <c r="BJ1435" s="73"/>
      <c r="BK1435" s="73"/>
      <c r="BL1435" s="73"/>
      <c r="BM1435" s="73"/>
      <c r="BN1435" s="73"/>
      <c r="BO1435" s="73"/>
      <c r="BP1435" s="73"/>
      <c r="BQ1435" s="73"/>
      <c r="BR1435" s="73"/>
      <c r="BS1435" s="73"/>
      <c r="BT1435" s="73"/>
      <c r="BU1435" s="73"/>
      <c r="BV1435" s="73"/>
      <c r="BW1435" s="73"/>
      <c r="BX1435" s="73"/>
      <c r="BY1435" s="73"/>
      <c r="BZ1435" s="73"/>
      <c r="CA1435" s="73"/>
      <c r="CB1435" s="73"/>
      <c r="CC1435" s="73"/>
      <c r="CD1435" s="73"/>
      <c r="CE1435" s="73"/>
      <c r="CF1435" s="73"/>
      <c r="CG1435" s="73"/>
      <c r="CH1435" s="73"/>
    </row>
    <row r="1436">
      <c r="A1436" s="80"/>
      <c r="B1436" s="80"/>
      <c r="C1436" s="80"/>
      <c r="D1436" s="80"/>
      <c r="E1436" s="124"/>
      <c r="F1436" s="80"/>
      <c r="G1436" s="80"/>
      <c r="H1436" s="80"/>
      <c r="I1436" s="80"/>
      <c r="J1436" s="196"/>
      <c r="K1436" s="196"/>
      <c r="L1436" s="196"/>
      <c r="M1436" s="196"/>
      <c r="N1436" s="196"/>
      <c r="O1436" s="196"/>
      <c r="P1436" s="196"/>
      <c r="Q1436" s="196"/>
      <c r="R1436" s="196"/>
      <c r="S1436" s="196"/>
      <c r="T1436" s="196"/>
      <c r="U1436" s="196"/>
      <c r="V1436" s="196"/>
      <c r="W1436" s="196"/>
      <c r="X1436" s="196"/>
      <c r="Y1436" s="196"/>
      <c r="Z1436" s="196"/>
      <c r="AA1436" s="196"/>
      <c r="AB1436" s="196"/>
      <c r="AC1436" s="196"/>
      <c r="AD1436" s="196"/>
      <c r="AE1436" s="196"/>
      <c r="AF1436" s="196"/>
      <c r="AG1436" s="196"/>
      <c r="AH1436" s="196"/>
      <c r="AI1436" s="196"/>
      <c r="AJ1436" s="197"/>
      <c r="AK1436" s="80"/>
      <c r="AL1436" s="80"/>
      <c r="AM1436" s="73"/>
      <c r="AN1436" s="73"/>
      <c r="AO1436" s="73"/>
      <c r="AP1436" s="73"/>
      <c r="AQ1436" s="73"/>
      <c r="AR1436" s="73"/>
      <c r="AS1436" s="73"/>
      <c r="AT1436" s="73"/>
      <c r="AU1436" s="73"/>
      <c r="AV1436" s="73"/>
      <c r="AW1436" s="73"/>
      <c r="AX1436" s="73"/>
      <c r="AY1436" s="73"/>
      <c r="AZ1436" s="73"/>
      <c r="BA1436" s="73"/>
      <c r="BB1436" s="73"/>
      <c r="BC1436" s="73"/>
      <c r="BD1436" s="73"/>
      <c r="BE1436" s="73"/>
      <c r="BF1436" s="73"/>
      <c r="BG1436" s="73"/>
      <c r="BH1436" s="73"/>
      <c r="BI1436" s="73"/>
      <c r="BJ1436" s="73"/>
      <c r="BK1436" s="73"/>
      <c r="BL1436" s="73"/>
      <c r="BM1436" s="73"/>
      <c r="BN1436" s="73"/>
      <c r="BO1436" s="73"/>
      <c r="BP1436" s="73"/>
      <c r="BQ1436" s="73"/>
      <c r="BR1436" s="73"/>
      <c r="BS1436" s="73"/>
      <c r="BT1436" s="73"/>
      <c r="BU1436" s="73"/>
      <c r="BV1436" s="73"/>
      <c r="BW1436" s="73"/>
      <c r="BX1436" s="73"/>
      <c r="BY1436" s="73"/>
      <c r="BZ1436" s="73"/>
      <c r="CA1436" s="73"/>
      <c r="CB1436" s="73"/>
      <c r="CC1436" s="73"/>
      <c r="CD1436" s="73"/>
      <c r="CE1436" s="73"/>
      <c r="CF1436" s="73"/>
      <c r="CG1436" s="73"/>
      <c r="CH1436" s="73"/>
    </row>
    <row r="1437">
      <c r="A1437" s="80"/>
      <c r="B1437" s="80"/>
      <c r="C1437" s="80"/>
      <c r="D1437" s="80"/>
      <c r="E1437" s="124"/>
      <c r="F1437" s="80"/>
      <c r="G1437" s="80"/>
      <c r="H1437" s="80"/>
      <c r="I1437" s="80"/>
      <c r="J1437" s="196"/>
      <c r="K1437" s="196"/>
      <c r="L1437" s="196"/>
      <c r="M1437" s="196"/>
      <c r="N1437" s="196"/>
      <c r="O1437" s="196"/>
      <c r="P1437" s="196"/>
      <c r="Q1437" s="196"/>
      <c r="R1437" s="196"/>
      <c r="S1437" s="196"/>
      <c r="T1437" s="196"/>
      <c r="U1437" s="196"/>
      <c r="V1437" s="196"/>
      <c r="W1437" s="196"/>
      <c r="X1437" s="196"/>
      <c r="Y1437" s="196"/>
      <c r="Z1437" s="196"/>
      <c r="AA1437" s="196"/>
      <c r="AB1437" s="196"/>
      <c r="AC1437" s="196"/>
      <c r="AD1437" s="196"/>
      <c r="AE1437" s="196"/>
      <c r="AF1437" s="196"/>
      <c r="AG1437" s="196"/>
      <c r="AH1437" s="196"/>
      <c r="AI1437" s="196"/>
      <c r="AJ1437" s="197"/>
      <c r="AK1437" s="80"/>
      <c r="AL1437" s="80"/>
      <c r="AM1437" s="73"/>
      <c r="AN1437" s="73"/>
      <c r="AO1437" s="73"/>
      <c r="AP1437" s="73"/>
      <c r="AQ1437" s="73"/>
      <c r="AR1437" s="73"/>
      <c r="AS1437" s="73"/>
      <c r="AT1437" s="73"/>
      <c r="AU1437" s="73"/>
      <c r="AV1437" s="73"/>
      <c r="AW1437" s="73"/>
      <c r="AX1437" s="73"/>
      <c r="AY1437" s="73"/>
      <c r="AZ1437" s="73"/>
      <c r="BA1437" s="73"/>
      <c r="BB1437" s="73"/>
      <c r="BC1437" s="73"/>
      <c r="BD1437" s="73"/>
      <c r="BE1437" s="73"/>
      <c r="BF1437" s="73"/>
      <c r="BG1437" s="73"/>
      <c r="BH1437" s="73"/>
      <c r="BI1437" s="73"/>
      <c r="BJ1437" s="73"/>
      <c r="BK1437" s="73"/>
      <c r="BL1437" s="73"/>
      <c r="BM1437" s="73"/>
      <c r="BN1437" s="73"/>
      <c r="BO1437" s="73"/>
      <c r="BP1437" s="73"/>
      <c r="BQ1437" s="73"/>
      <c r="BR1437" s="73"/>
      <c r="BS1437" s="73"/>
      <c r="BT1437" s="73"/>
      <c r="BU1437" s="73"/>
      <c r="BV1437" s="73"/>
      <c r="BW1437" s="73"/>
      <c r="BX1437" s="73"/>
      <c r="BY1437" s="73"/>
      <c r="BZ1437" s="73"/>
      <c r="CA1437" s="73"/>
      <c r="CB1437" s="73"/>
      <c r="CC1437" s="73"/>
      <c r="CD1437" s="73"/>
      <c r="CE1437" s="73"/>
      <c r="CF1437" s="73"/>
      <c r="CG1437" s="73"/>
      <c r="CH1437" s="73"/>
    </row>
    <row r="1438">
      <c r="A1438" s="80"/>
      <c r="B1438" s="80"/>
      <c r="C1438" s="80"/>
      <c r="D1438" s="80"/>
      <c r="E1438" s="124"/>
      <c r="F1438" s="80"/>
      <c r="G1438" s="80"/>
      <c r="H1438" s="80"/>
      <c r="I1438" s="80"/>
      <c r="J1438" s="196"/>
      <c r="K1438" s="196"/>
      <c r="L1438" s="196"/>
      <c r="M1438" s="196"/>
      <c r="N1438" s="196"/>
      <c r="O1438" s="196"/>
      <c r="P1438" s="196"/>
      <c r="Q1438" s="196"/>
      <c r="R1438" s="196"/>
      <c r="S1438" s="196"/>
      <c r="T1438" s="196"/>
      <c r="U1438" s="196"/>
      <c r="V1438" s="196"/>
      <c r="W1438" s="196"/>
      <c r="X1438" s="196"/>
      <c r="Y1438" s="196"/>
      <c r="Z1438" s="196"/>
      <c r="AA1438" s="196"/>
      <c r="AB1438" s="196"/>
      <c r="AC1438" s="196"/>
      <c r="AD1438" s="196"/>
      <c r="AE1438" s="196"/>
      <c r="AF1438" s="196"/>
      <c r="AG1438" s="196"/>
      <c r="AH1438" s="196"/>
      <c r="AI1438" s="196"/>
      <c r="AJ1438" s="197"/>
      <c r="AK1438" s="80"/>
      <c r="AL1438" s="80"/>
      <c r="AM1438" s="73"/>
      <c r="AN1438" s="73"/>
      <c r="AO1438" s="73"/>
      <c r="AP1438" s="73"/>
      <c r="AQ1438" s="73"/>
      <c r="AR1438" s="73"/>
      <c r="AS1438" s="73"/>
      <c r="AT1438" s="73"/>
      <c r="AU1438" s="73"/>
      <c r="AV1438" s="73"/>
      <c r="AW1438" s="73"/>
      <c r="AX1438" s="73"/>
      <c r="AY1438" s="73"/>
      <c r="AZ1438" s="73"/>
      <c r="BA1438" s="73"/>
      <c r="BB1438" s="73"/>
      <c r="BC1438" s="73"/>
      <c r="BD1438" s="73"/>
      <c r="BE1438" s="73"/>
      <c r="BF1438" s="73"/>
      <c r="BG1438" s="73"/>
      <c r="BH1438" s="73"/>
      <c r="BI1438" s="73"/>
      <c r="BJ1438" s="73"/>
      <c r="BK1438" s="73"/>
      <c r="BL1438" s="73"/>
      <c r="BM1438" s="73"/>
      <c r="BN1438" s="73"/>
      <c r="BO1438" s="73"/>
      <c r="BP1438" s="73"/>
      <c r="BQ1438" s="73"/>
      <c r="BR1438" s="73"/>
      <c r="BS1438" s="73"/>
      <c r="BT1438" s="73"/>
      <c r="BU1438" s="73"/>
      <c r="BV1438" s="73"/>
      <c r="BW1438" s="73"/>
      <c r="BX1438" s="73"/>
      <c r="BY1438" s="73"/>
      <c r="BZ1438" s="73"/>
      <c r="CA1438" s="73"/>
      <c r="CB1438" s="73"/>
      <c r="CC1438" s="73"/>
      <c r="CD1438" s="73"/>
      <c r="CE1438" s="73"/>
      <c r="CF1438" s="73"/>
      <c r="CG1438" s="73"/>
      <c r="CH1438" s="73"/>
    </row>
    <row r="1439">
      <c r="A1439" s="80"/>
      <c r="B1439" s="80"/>
      <c r="C1439" s="80"/>
      <c r="D1439" s="80"/>
      <c r="E1439" s="124"/>
      <c r="F1439" s="80"/>
      <c r="G1439" s="80"/>
      <c r="H1439" s="80"/>
      <c r="I1439" s="80"/>
      <c r="J1439" s="196"/>
      <c r="K1439" s="196"/>
      <c r="L1439" s="196"/>
      <c r="M1439" s="196"/>
      <c r="N1439" s="196"/>
      <c r="O1439" s="196"/>
      <c r="P1439" s="196"/>
      <c r="Q1439" s="196"/>
      <c r="R1439" s="196"/>
      <c r="S1439" s="196"/>
      <c r="T1439" s="196"/>
      <c r="U1439" s="196"/>
      <c r="V1439" s="196"/>
      <c r="W1439" s="196"/>
      <c r="X1439" s="196"/>
      <c r="Y1439" s="196"/>
      <c r="Z1439" s="196"/>
      <c r="AA1439" s="196"/>
      <c r="AB1439" s="196"/>
      <c r="AC1439" s="196"/>
      <c r="AD1439" s="196"/>
      <c r="AE1439" s="196"/>
      <c r="AF1439" s="196"/>
      <c r="AG1439" s="196"/>
      <c r="AH1439" s="196"/>
      <c r="AI1439" s="196"/>
      <c r="AJ1439" s="197"/>
      <c r="AK1439" s="80"/>
      <c r="AL1439" s="80"/>
      <c r="AM1439" s="73"/>
      <c r="AN1439" s="73"/>
      <c r="AO1439" s="73"/>
      <c r="AP1439" s="73"/>
      <c r="AQ1439" s="73"/>
      <c r="AR1439" s="73"/>
      <c r="AS1439" s="73"/>
      <c r="AT1439" s="73"/>
      <c r="AU1439" s="73"/>
      <c r="AV1439" s="73"/>
      <c r="AW1439" s="73"/>
      <c r="AX1439" s="73"/>
      <c r="AY1439" s="73"/>
      <c r="AZ1439" s="73"/>
      <c r="BA1439" s="73"/>
      <c r="BB1439" s="73"/>
      <c r="BC1439" s="73"/>
      <c r="BD1439" s="73"/>
      <c r="BE1439" s="73"/>
      <c r="BF1439" s="73"/>
      <c r="BG1439" s="73"/>
      <c r="BH1439" s="73"/>
      <c r="BI1439" s="73"/>
      <c r="BJ1439" s="73"/>
      <c r="BK1439" s="73"/>
      <c r="BL1439" s="73"/>
      <c r="BM1439" s="73"/>
      <c r="BN1439" s="73"/>
      <c r="BO1439" s="73"/>
      <c r="BP1439" s="73"/>
      <c r="BQ1439" s="73"/>
      <c r="BR1439" s="73"/>
      <c r="BS1439" s="73"/>
      <c r="BT1439" s="73"/>
      <c r="BU1439" s="73"/>
      <c r="BV1439" s="73"/>
      <c r="BW1439" s="73"/>
      <c r="BX1439" s="73"/>
      <c r="BY1439" s="73"/>
      <c r="BZ1439" s="73"/>
      <c r="CA1439" s="73"/>
      <c r="CB1439" s="73"/>
      <c r="CC1439" s="73"/>
      <c r="CD1439" s="73"/>
      <c r="CE1439" s="73"/>
      <c r="CF1439" s="73"/>
      <c r="CG1439" s="73"/>
      <c r="CH1439" s="73"/>
    </row>
    <row r="1440">
      <c r="A1440" s="80"/>
      <c r="B1440" s="80"/>
      <c r="C1440" s="80"/>
      <c r="D1440" s="80"/>
      <c r="E1440" s="124"/>
      <c r="F1440" s="80"/>
      <c r="G1440" s="80"/>
      <c r="H1440" s="80"/>
      <c r="I1440" s="80"/>
      <c r="J1440" s="196"/>
      <c r="K1440" s="196"/>
      <c r="L1440" s="196"/>
      <c r="M1440" s="196"/>
      <c r="N1440" s="196"/>
      <c r="O1440" s="196"/>
      <c r="P1440" s="196"/>
      <c r="Q1440" s="196"/>
      <c r="R1440" s="196"/>
      <c r="S1440" s="196"/>
      <c r="T1440" s="196"/>
      <c r="U1440" s="196"/>
      <c r="V1440" s="196"/>
      <c r="W1440" s="196"/>
      <c r="X1440" s="196"/>
      <c r="Y1440" s="196"/>
      <c r="Z1440" s="196"/>
      <c r="AA1440" s="196"/>
      <c r="AB1440" s="196"/>
      <c r="AC1440" s="196"/>
      <c r="AD1440" s="196"/>
      <c r="AE1440" s="196"/>
      <c r="AF1440" s="196"/>
      <c r="AG1440" s="196"/>
      <c r="AH1440" s="196"/>
      <c r="AI1440" s="196"/>
      <c r="AJ1440" s="197"/>
      <c r="AK1440" s="80"/>
      <c r="AL1440" s="80"/>
      <c r="AM1440" s="73"/>
      <c r="AN1440" s="73"/>
      <c r="AO1440" s="73"/>
      <c r="AP1440" s="73"/>
      <c r="AQ1440" s="73"/>
      <c r="AR1440" s="73"/>
      <c r="AS1440" s="73"/>
      <c r="AT1440" s="73"/>
      <c r="AU1440" s="73"/>
      <c r="AV1440" s="73"/>
      <c r="AW1440" s="73"/>
      <c r="AX1440" s="73"/>
      <c r="AY1440" s="73"/>
      <c r="AZ1440" s="73"/>
      <c r="BA1440" s="73"/>
      <c r="BB1440" s="73"/>
      <c r="BC1440" s="73"/>
      <c r="BD1440" s="73"/>
      <c r="BE1440" s="73"/>
      <c r="BF1440" s="73"/>
      <c r="BG1440" s="73"/>
      <c r="BH1440" s="73"/>
      <c r="BI1440" s="73"/>
      <c r="BJ1440" s="73"/>
      <c r="BK1440" s="73"/>
      <c r="BL1440" s="73"/>
      <c r="BM1440" s="73"/>
      <c r="BN1440" s="73"/>
      <c r="BO1440" s="73"/>
      <c r="BP1440" s="73"/>
      <c r="BQ1440" s="73"/>
      <c r="BR1440" s="73"/>
      <c r="BS1440" s="73"/>
      <c r="BT1440" s="73"/>
      <c r="BU1440" s="73"/>
      <c r="BV1440" s="73"/>
      <c r="BW1440" s="73"/>
      <c r="BX1440" s="73"/>
      <c r="BY1440" s="73"/>
      <c r="BZ1440" s="73"/>
      <c r="CA1440" s="73"/>
      <c r="CB1440" s="73"/>
      <c r="CC1440" s="73"/>
      <c r="CD1440" s="73"/>
      <c r="CE1440" s="73"/>
      <c r="CF1440" s="73"/>
      <c r="CG1440" s="73"/>
      <c r="CH1440" s="73"/>
    </row>
    <row r="1441">
      <c r="A1441" s="80"/>
      <c r="B1441" s="80"/>
      <c r="C1441" s="80"/>
      <c r="D1441" s="80"/>
      <c r="E1441" s="124"/>
      <c r="F1441" s="80"/>
      <c r="G1441" s="80"/>
      <c r="H1441" s="80"/>
      <c r="I1441" s="80"/>
      <c r="J1441" s="196"/>
      <c r="K1441" s="196"/>
      <c r="L1441" s="196"/>
      <c r="M1441" s="196"/>
      <c r="N1441" s="196"/>
      <c r="O1441" s="196"/>
      <c r="P1441" s="196"/>
      <c r="Q1441" s="196"/>
      <c r="R1441" s="196"/>
      <c r="S1441" s="196"/>
      <c r="T1441" s="196"/>
      <c r="U1441" s="196"/>
      <c r="V1441" s="196"/>
      <c r="W1441" s="196"/>
      <c r="X1441" s="196"/>
      <c r="Y1441" s="196"/>
      <c r="Z1441" s="196"/>
      <c r="AA1441" s="196"/>
      <c r="AB1441" s="196"/>
      <c r="AC1441" s="196"/>
      <c r="AD1441" s="196"/>
      <c r="AE1441" s="196"/>
      <c r="AF1441" s="196"/>
      <c r="AG1441" s="196"/>
      <c r="AH1441" s="196"/>
      <c r="AI1441" s="196"/>
      <c r="AJ1441" s="197"/>
      <c r="AK1441" s="80"/>
      <c r="AL1441" s="80"/>
      <c r="AM1441" s="73"/>
      <c r="AN1441" s="73"/>
      <c r="AO1441" s="73"/>
      <c r="AP1441" s="73"/>
      <c r="AQ1441" s="73"/>
      <c r="AR1441" s="73"/>
      <c r="AS1441" s="73"/>
      <c r="AT1441" s="73"/>
      <c r="AU1441" s="73"/>
      <c r="AV1441" s="73"/>
      <c r="AW1441" s="73"/>
      <c r="AX1441" s="73"/>
      <c r="AY1441" s="73"/>
      <c r="AZ1441" s="73"/>
      <c r="BA1441" s="73"/>
      <c r="BB1441" s="73"/>
      <c r="BC1441" s="73"/>
      <c r="BD1441" s="73"/>
      <c r="BE1441" s="73"/>
      <c r="BF1441" s="73"/>
      <c r="BG1441" s="73"/>
      <c r="BH1441" s="73"/>
      <c r="BI1441" s="73"/>
      <c r="BJ1441" s="73"/>
      <c r="BK1441" s="73"/>
      <c r="BL1441" s="73"/>
      <c r="BM1441" s="73"/>
      <c r="BN1441" s="73"/>
      <c r="BO1441" s="73"/>
      <c r="BP1441" s="73"/>
      <c r="BQ1441" s="73"/>
      <c r="BR1441" s="73"/>
      <c r="BS1441" s="73"/>
      <c r="BT1441" s="73"/>
      <c r="BU1441" s="73"/>
      <c r="BV1441" s="73"/>
      <c r="BW1441" s="73"/>
      <c r="BX1441" s="73"/>
      <c r="BY1441" s="73"/>
      <c r="BZ1441" s="73"/>
      <c r="CA1441" s="73"/>
      <c r="CB1441" s="73"/>
      <c r="CC1441" s="73"/>
      <c r="CD1441" s="73"/>
      <c r="CE1441" s="73"/>
      <c r="CF1441" s="73"/>
      <c r="CG1441" s="73"/>
      <c r="CH1441" s="73"/>
    </row>
    <row r="1442">
      <c r="A1442" s="80"/>
      <c r="B1442" s="80"/>
      <c r="C1442" s="80"/>
      <c r="D1442" s="80"/>
      <c r="E1442" s="124"/>
      <c r="F1442" s="80"/>
      <c r="G1442" s="80"/>
      <c r="H1442" s="80"/>
      <c r="I1442" s="80"/>
      <c r="J1442" s="196"/>
      <c r="K1442" s="196"/>
      <c r="L1442" s="196"/>
      <c r="M1442" s="196"/>
      <c r="N1442" s="196"/>
      <c r="O1442" s="196"/>
      <c r="P1442" s="196"/>
      <c r="Q1442" s="196"/>
      <c r="R1442" s="196"/>
      <c r="S1442" s="196"/>
      <c r="T1442" s="196"/>
      <c r="U1442" s="196"/>
      <c r="V1442" s="196"/>
      <c r="W1442" s="196"/>
      <c r="X1442" s="196"/>
      <c r="Y1442" s="196"/>
      <c r="Z1442" s="196"/>
      <c r="AA1442" s="196"/>
      <c r="AB1442" s="196"/>
      <c r="AC1442" s="196"/>
      <c r="AD1442" s="196"/>
      <c r="AE1442" s="196"/>
      <c r="AF1442" s="196"/>
      <c r="AG1442" s="196"/>
      <c r="AH1442" s="196"/>
      <c r="AI1442" s="196"/>
      <c r="AJ1442" s="197"/>
      <c r="AK1442" s="80"/>
      <c r="AL1442" s="80"/>
      <c r="AM1442" s="73"/>
      <c r="AN1442" s="73"/>
      <c r="AO1442" s="73"/>
      <c r="AP1442" s="73"/>
      <c r="AQ1442" s="73"/>
      <c r="AR1442" s="73"/>
      <c r="AS1442" s="73"/>
      <c r="AT1442" s="73"/>
      <c r="AU1442" s="73"/>
      <c r="AV1442" s="73"/>
      <c r="AW1442" s="73"/>
      <c r="AX1442" s="73"/>
      <c r="AY1442" s="73"/>
      <c r="AZ1442" s="73"/>
      <c r="BA1442" s="73"/>
      <c r="BB1442" s="73"/>
      <c r="BC1442" s="73"/>
      <c r="BD1442" s="73"/>
      <c r="BE1442" s="73"/>
      <c r="BF1442" s="73"/>
      <c r="BG1442" s="73"/>
      <c r="BH1442" s="73"/>
      <c r="BI1442" s="73"/>
      <c r="BJ1442" s="73"/>
      <c r="BK1442" s="73"/>
      <c r="BL1442" s="73"/>
      <c r="BM1442" s="73"/>
      <c r="BN1442" s="73"/>
      <c r="BO1442" s="73"/>
      <c r="BP1442" s="73"/>
      <c r="BQ1442" s="73"/>
      <c r="BR1442" s="73"/>
      <c r="BS1442" s="73"/>
      <c r="BT1442" s="73"/>
      <c r="BU1442" s="73"/>
      <c r="BV1442" s="73"/>
      <c r="BW1442" s="73"/>
      <c r="BX1442" s="73"/>
      <c r="BY1442" s="73"/>
      <c r="BZ1442" s="73"/>
      <c r="CA1442" s="73"/>
      <c r="CB1442" s="73"/>
      <c r="CC1442" s="73"/>
      <c r="CD1442" s="73"/>
      <c r="CE1442" s="73"/>
      <c r="CF1442" s="73"/>
      <c r="CG1442" s="73"/>
      <c r="CH1442" s="73"/>
    </row>
    <row r="1443">
      <c r="A1443" s="80"/>
      <c r="B1443" s="80"/>
      <c r="C1443" s="80"/>
      <c r="D1443" s="80"/>
      <c r="E1443" s="124"/>
      <c r="F1443" s="80"/>
      <c r="G1443" s="80"/>
      <c r="H1443" s="80"/>
      <c r="I1443" s="80"/>
      <c r="J1443" s="196"/>
      <c r="K1443" s="196"/>
      <c r="L1443" s="196"/>
      <c r="M1443" s="196"/>
      <c r="N1443" s="196"/>
      <c r="O1443" s="196"/>
      <c r="P1443" s="196"/>
      <c r="Q1443" s="196"/>
      <c r="R1443" s="196"/>
      <c r="S1443" s="196"/>
      <c r="T1443" s="196"/>
      <c r="U1443" s="196"/>
      <c r="V1443" s="196"/>
      <c r="W1443" s="196"/>
      <c r="X1443" s="196"/>
      <c r="Y1443" s="196"/>
      <c r="Z1443" s="196"/>
      <c r="AA1443" s="196"/>
      <c r="AB1443" s="196"/>
      <c r="AC1443" s="196"/>
      <c r="AD1443" s="196"/>
      <c r="AE1443" s="196"/>
      <c r="AF1443" s="196"/>
      <c r="AG1443" s="196"/>
      <c r="AH1443" s="196"/>
      <c r="AI1443" s="196"/>
      <c r="AJ1443" s="197"/>
      <c r="AK1443" s="80"/>
      <c r="AL1443" s="80"/>
      <c r="AM1443" s="73"/>
      <c r="AN1443" s="73"/>
      <c r="AO1443" s="73"/>
      <c r="AP1443" s="73"/>
      <c r="AQ1443" s="73"/>
      <c r="AR1443" s="73"/>
      <c r="AS1443" s="73"/>
      <c r="AT1443" s="73"/>
      <c r="AU1443" s="73"/>
      <c r="AV1443" s="73"/>
      <c r="AW1443" s="73"/>
      <c r="AX1443" s="73"/>
      <c r="AY1443" s="73"/>
      <c r="AZ1443" s="73"/>
      <c r="BA1443" s="73"/>
      <c r="BB1443" s="73"/>
      <c r="BC1443" s="73"/>
      <c r="BD1443" s="73"/>
      <c r="BE1443" s="73"/>
      <c r="BF1443" s="73"/>
      <c r="BG1443" s="73"/>
      <c r="BH1443" s="73"/>
      <c r="BI1443" s="73"/>
      <c r="BJ1443" s="73"/>
      <c r="BK1443" s="73"/>
      <c r="BL1443" s="73"/>
      <c r="BM1443" s="73"/>
      <c r="BN1443" s="73"/>
      <c r="BO1443" s="73"/>
      <c r="BP1443" s="73"/>
      <c r="BQ1443" s="73"/>
      <c r="BR1443" s="73"/>
      <c r="BS1443" s="73"/>
      <c r="BT1443" s="73"/>
      <c r="BU1443" s="73"/>
      <c r="BV1443" s="73"/>
      <c r="BW1443" s="73"/>
      <c r="BX1443" s="73"/>
      <c r="BY1443" s="73"/>
      <c r="BZ1443" s="73"/>
      <c r="CA1443" s="73"/>
      <c r="CB1443" s="73"/>
      <c r="CC1443" s="73"/>
      <c r="CD1443" s="73"/>
      <c r="CE1443" s="73"/>
      <c r="CF1443" s="73"/>
      <c r="CG1443" s="73"/>
      <c r="CH1443" s="73"/>
    </row>
    <row r="1444">
      <c r="A1444" s="80"/>
      <c r="B1444" s="80"/>
      <c r="C1444" s="80"/>
      <c r="D1444" s="80"/>
      <c r="E1444" s="124"/>
      <c r="F1444" s="80"/>
      <c r="G1444" s="80"/>
      <c r="H1444" s="80"/>
      <c r="I1444" s="80"/>
      <c r="J1444" s="196"/>
      <c r="K1444" s="196"/>
      <c r="L1444" s="196"/>
      <c r="M1444" s="196"/>
      <c r="N1444" s="196"/>
      <c r="O1444" s="196"/>
      <c r="P1444" s="196"/>
      <c r="Q1444" s="196"/>
      <c r="R1444" s="196"/>
      <c r="S1444" s="196"/>
      <c r="T1444" s="196"/>
      <c r="U1444" s="196"/>
      <c r="V1444" s="196"/>
      <c r="W1444" s="196"/>
      <c r="X1444" s="196"/>
      <c r="Y1444" s="196"/>
      <c r="Z1444" s="196"/>
      <c r="AA1444" s="196"/>
      <c r="AB1444" s="196"/>
      <c r="AC1444" s="196"/>
      <c r="AD1444" s="196"/>
      <c r="AE1444" s="196"/>
      <c r="AF1444" s="196"/>
      <c r="AG1444" s="196"/>
      <c r="AH1444" s="196"/>
      <c r="AI1444" s="196"/>
      <c r="AJ1444" s="197"/>
      <c r="AK1444" s="80"/>
      <c r="AL1444" s="80"/>
      <c r="AM1444" s="73"/>
      <c r="AN1444" s="73"/>
      <c r="AO1444" s="73"/>
      <c r="AP1444" s="73"/>
      <c r="AQ1444" s="73"/>
      <c r="AR1444" s="73"/>
      <c r="AS1444" s="73"/>
      <c r="AT1444" s="73"/>
      <c r="AU1444" s="73"/>
      <c r="AV1444" s="73"/>
      <c r="AW1444" s="73"/>
      <c r="AX1444" s="73"/>
      <c r="AY1444" s="73"/>
      <c r="AZ1444" s="73"/>
      <c r="BA1444" s="73"/>
      <c r="BB1444" s="73"/>
      <c r="BC1444" s="73"/>
      <c r="BD1444" s="73"/>
      <c r="BE1444" s="73"/>
      <c r="BF1444" s="73"/>
      <c r="BG1444" s="73"/>
      <c r="BH1444" s="73"/>
      <c r="BI1444" s="73"/>
      <c r="BJ1444" s="73"/>
      <c r="BK1444" s="73"/>
      <c r="BL1444" s="73"/>
      <c r="BM1444" s="73"/>
      <c r="BN1444" s="73"/>
      <c r="BO1444" s="73"/>
      <c r="BP1444" s="73"/>
      <c r="BQ1444" s="73"/>
      <c r="BR1444" s="73"/>
      <c r="BS1444" s="73"/>
      <c r="BT1444" s="73"/>
      <c r="BU1444" s="73"/>
      <c r="BV1444" s="73"/>
      <c r="BW1444" s="73"/>
      <c r="BX1444" s="73"/>
      <c r="BY1444" s="73"/>
      <c r="BZ1444" s="73"/>
      <c r="CA1444" s="73"/>
      <c r="CB1444" s="73"/>
      <c r="CC1444" s="73"/>
      <c r="CD1444" s="73"/>
      <c r="CE1444" s="73"/>
      <c r="CF1444" s="73"/>
      <c r="CG1444" s="73"/>
      <c r="CH1444" s="73"/>
    </row>
    <row r="1445">
      <c r="A1445" s="80"/>
      <c r="B1445" s="80"/>
      <c r="C1445" s="80"/>
      <c r="D1445" s="80"/>
      <c r="E1445" s="124"/>
      <c r="F1445" s="80"/>
      <c r="G1445" s="80"/>
      <c r="H1445" s="80"/>
      <c r="I1445" s="80"/>
      <c r="J1445" s="196"/>
      <c r="K1445" s="196"/>
      <c r="L1445" s="196"/>
      <c r="M1445" s="196"/>
      <c r="N1445" s="196"/>
      <c r="O1445" s="196"/>
      <c r="P1445" s="196"/>
      <c r="Q1445" s="196"/>
      <c r="R1445" s="196"/>
      <c r="S1445" s="196"/>
      <c r="T1445" s="196"/>
      <c r="U1445" s="196"/>
      <c r="V1445" s="196"/>
      <c r="W1445" s="196"/>
      <c r="X1445" s="196"/>
      <c r="Y1445" s="196"/>
      <c r="Z1445" s="196"/>
      <c r="AA1445" s="196"/>
      <c r="AB1445" s="196"/>
      <c r="AC1445" s="196"/>
      <c r="AD1445" s="196"/>
      <c r="AE1445" s="196"/>
      <c r="AF1445" s="196"/>
      <c r="AG1445" s="196"/>
      <c r="AH1445" s="196"/>
      <c r="AI1445" s="196"/>
      <c r="AJ1445" s="197"/>
      <c r="AK1445" s="80"/>
      <c r="AL1445" s="80"/>
      <c r="AM1445" s="73"/>
      <c r="AN1445" s="73"/>
      <c r="AO1445" s="73"/>
      <c r="AP1445" s="73"/>
      <c r="AQ1445" s="73"/>
      <c r="AR1445" s="73"/>
      <c r="AS1445" s="73"/>
      <c r="AT1445" s="73"/>
      <c r="AU1445" s="73"/>
      <c r="AV1445" s="73"/>
      <c r="AW1445" s="73"/>
      <c r="AX1445" s="73"/>
      <c r="AY1445" s="73"/>
      <c r="AZ1445" s="73"/>
      <c r="BA1445" s="73"/>
      <c r="BB1445" s="73"/>
      <c r="BC1445" s="73"/>
      <c r="BD1445" s="73"/>
      <c r="BE1445" s="73"/>
      <c r="BF1445" s="73"/>
      <c r="BG1445" s="73"/>
      <c r="BH1445" s="73"/>
      <c r="BI1445" s="73"/>
      <c r="BJ1445" s="73"/>
      <c r="BK1445" s="73"/>
      <c r="BL1445" s="73"/>
      <c r="BM1445" s="73"/>
      <c r="BN1445" s="73"/>
      <c r="BO1445" s="73"/>
      <c r="BP1445" s="73"/>
      <c r="BQ1445" s="73"/>
      <c r="BR1445" s="73"/>
      <c r="BS1445" s="73"/>
      <c r="BT1445" s="73"/>
      <c r="BU1445" s="73"/>
      <c r="BV1445" s="73"/>
      <c r="BW1445" s="73"/>
      <c r="BX1445" s="73"/>
      <c r="BY1445" s="73"/>
      <c r="BZ1445" s="73"/>
      <c r="CA1445" s="73"/>
      <c r="CB1445" s="73"/>
      <c r="CC1445" s="73"/>
      <c r="CD1445" s="73"/>
      <c r="CE1445" s="73"/>
      <c r="CF1445" s="73"/>
      <c r="CG1445" s="73"/>
      <c r="CH1445" s="73"/>
    </row>
    <row r="1446">
      <c r="A1446" s="80"/>
      <c r="B1446" s="80"/>
      <c r="C1446" s="80"/>
      <c r="D1446" s="80"/>
      <c r="E1446" s="124"/>
      <c r="F1446" s="80"/>
      <c r="G1446" s="80"/>
      <c r="H1446" s="80"/>
      <c r="I1446" s="80"/>
      <c r="J1446" s="196"/>
      <c r="K1446" s="196"/>
      <c r="L1446" s="196"/>
      <c r="M1446" s="196"/>
      <c r="N1446" s="196"/>
      <c r="O1446" s="196"/>
      <c r="P1446" s="196"/>
      <c r="Q1446" s="196"/>
      <c r="R1446" s="196"/>
      <c r="S1446" s="196"/>
      <c r="T1446" s="196"/>
      <c r="U1446" s="196"/>
      <c r="V1446" s="196"/>
      <c r="W1446" s="196"/>
      <c r="X1446" s="196"/>
      <c r="Y1446" s="196"/>
      <c r="Z1446" s="196"/>
      <c r="AA1446" s="196"/>
      <c r="AB1446" s="196"/>
      <c r="AC1446" s="196"/>
      <c r="AD1446" s="196"/>
      <c r="AE1446" s="196"/>
      <c r="AF1446" s="196"/>
      <c r="AG1446" s="196"/>
      <c r="AH1446" s="196"/>
      <c r="AI1446" s="196"/>
      <c r="AJ1446" s="197"/>
      <c r="AK1446" s="80"/>
      <c r="AL1446" s="80"/>
      <c r="AM1446" s="73"/>
      <c r="AN1446" s="73"/>
      <c r="AO1446" s="73"/>
      <c r="AP1446" s="73"/>
      <c r="AQ1446" s="73"/>
      <c r="AR1446" s="73"/>
      <c r="AS1446" s="73"/>
      <c r="AT1446" s="73"/>
      <c r="AU1446" s="73"/>
      <c r="AV1446" s="73"/>
      <c r="AW1446" s="73"/>
      <c r="AX1446" s="73"/>
      <c r="AY1446" s="73"/>
      <c r="AZ1446" s="73"/>
      <c r="BA1446" s="73"/>
      <c r="BB1446" s="73"/>
      <c r="BC1446" s="73"/>
      <c r="BD1446" s="73"/>
      <c r="BE1446" s="73"/>
      <c r="BF1446" s="73"/>
      <c r="BG1446" s="73"/>
      <c r="BH1446" s="73"/>
      <c r="BI1446" s="73"/>
      <c r="BJ1446" s="73"/>
      <c r="BK1446" s="73"/>
      <c r="BL1446" s="73"/>
      <c r="BM1446" s="73"/>
      <c r="BN1446" s="73"/>
      <c r="BO1446" s="73"/>
      <c r="BP1446" s="73"/>
      <c r="BQ1446" s="73"/>
      <c r="BR1446" s="73"/>
      <c r="BS1446" s="73"/>
      <c r="BT1446" s="73"/>
      <c r="BU1446" s="73"/>
      <c r="BV1446" s="73"/>
      <c r="BW1446" s="73"/>
      <c r="BX1446" s="73"/>
      <c r="BY1446" s="73"/>
      <c r="BZ1446" s="73"/>
      <c r="CA1446" s="73"/>
      <c r="CB1446" s="73"/>
      <c r="CC1446" s="73"/>
      <c r="CD1446" s="73"/>
      <c r="CE1446" s="73"/>
      <c r="CF1446" s="73"/>
      <c r="CG1446" s="73"/>
      <c r="CH1446" s="73"/>
    </row>
    <row r="1447">
      <c r="A1447" s="80"/>
      <c r="B1447" s="80"/>
      <c r="C1447" s="80"/>
      <c r="D1447" s="80"/>
      <c r="E1447" s="124"/>
      <c r="F1447" s="80"/>
      <c r="G1447" s="80"/>
      <c r="H1447" s="80"/>
      <c r="I1447" s="80"/>
      <c r="J1447" s="196"/>
      <c r="K1447" s="196"/>
      <c r="L1447" s="196"/>
      <c r="M1447" s="196"/>
      <c r="N1447" s="196"/>
      <c r="O1447" s="196"/>
      <c r="P1447" s="196"/>
      <c r="Q1447" s="196"/>
      <c r="R1447" s="196"/>
      <c r="S1447" s="196"/>
      <c r="T1447" s="196"/>
      <c r="U1447" s="196"/>
      <c r="V1447" s="196"/>
      <c r="W1447" s="196"/>
      <c r="X1447" s="196"/>
      <c r="Y1447" s="196"/>
      <c r="Z1447" s="196"/>
      <c r="AA1447" s="196"/>
      <c r="AB1447" s="196"/>
      <c r="AC1447" s="196"/>
      <c r="AD1447" s="196"/>
      <c r="AE1447" s="196"/>
      <c r="AF1447" s="196"/>
      <c r="AG1447" s="196"/>
      <c r="AH1447" s="196"/>
      <c r="AI1447" s="196"/>
      <c r="AJ1447" s="197"/>
      <c r="AK1447" s="80"/>
      <c r="AL1447" s="80"/>
      <c r="AM1447" s="73"/>
      <c r="AN1447" s="73"/>
      <c r="AO1447" s="73"/>
      <c r="AP1447" s="73"/>
      <c r="AQ1447" s="73"/>
      <c r="AR1447" s="73"/>
      <c r="AS1447" s="73"/>
      <c r="AT1447" s="73"/>
      <c r="AU1447" s="73"/>
      <c r="AV1447" s="73"/>
      <c r="AW1447" s="73"/>
      <c r="AX1447" s="73"/>
      <c r="AY1447" s="73"/>
      <c r="AZ1447" s="73"/>
      <c r="BA1447" s="73"/>
      <c r="BB1447" s="73"/>
      <c r="BC1447" s="73"/>
      <c r="BD1447" s="73"/>
      <c r="BE1447" s="73"/>
      <c r="BF1447" s="73"/>
      <c r="BG1447" s="73"/>
      <c r="BH1447" s="73"/>
      <c r="BI1447" s="73"/>
      <c r="BJ1447" s="73"/>
      <c r="BK1447" s="73"/>
      <c r="BL1447" s="73"/>
      <c r="BM1447" s="73"/>
      <c r="BN1447" s="73"/>
      <c r="BO1447" s="73"/>
      <c r="BP1447" s="73"/>
      <c r="BQ1447" s="73"/>
      <c r="BR1447" s="73"/>
      <c r="BS1447" s="73"/>
      <c r="BT1447" s="73"/>
      <c r="BU1447" s="73"/>
      <c r="BV1447" s="73"/>
      <c r="BW1447" s="73"/>
      <c r="BX1447" s="73"/>
      <c r="BY1447" s="73"/>
      <c r="BZ1447" s="73"/>
      <c r="CA1447" s="73"/>
      <c r="CB1447" s="73"/>
      <c r="CC1447" s="73"/>
      <c r="CD1447" s="73"/>
      <c r="CE1447" s="73"/>
      <c r="CF1447" s="73"/>
      <c r="CG1447" s="73"/>
      <c r="CH1447" s="73"/>
    </row>
    <row r="1448">
      <c r="A1448" s="80"/>
      <c r="B1448" s="80"/>
      <c r="C1448" s="80"/>
      <c r="D1448" s="80"/>
      <c r="E1448" s="124"/>
      <c r="F1448" s="80"/>
      <c r="G1448" s="80"/>
      <c r="H1448" s="80"/>
      <c r="I1448" s="80"/>
      <c r="J1448" s="196"/>
      <c r="K1448" s="196"/>
      <c r="L1448" s="196"/>
      <c r="M1448" s="196"/>
      <c r="N1448" s="196"/>
      <c r="O1448" s="196"/>
      <c r="P1448" s="196"/>
      <c r="Q1448" s="196"/>
      <c r="R1448" s="196"/>
      <c r="S1448" s="196"/>
      <c r="T1448" s="196"/>
      <c r="U1448" s="196"/>
      <c r="V1448" s="196"/>
      <c r="W1448" s="196"/>
      <c r="X1448" s="196"/>
      <c r="Y1448" s="196"/>
      <c r="Z1448" s="196"/>
      <c r="AA1448" s="196"/>
      <c r="AB1448" s="196"/>
      <c r="AC1448" s="196"/>
      <c r="AD1448" s="196"/>
      <c r="AE1448" s="196"/>
      <c r="AF1448" s="196"/>
      <c r="AG1448" s="196"/>
      <c r="AH1448" s="196"/>
      <c r="AI1448" s="196"/>
      <c r="AJ1448" s="197"/>
      <c r="AK1448" s="80"/>
      <c r="AL1448" s="80"/>
      <c r="AM1448" s="73"/>
      <c r="AN1448" s="73"/>
      <c r="AO1448" s="73"/>
      <c r="AP1448" s="73"/>
      <c r="AQ1448" s="73"/>
      <c r="AR1448" s="73"/>
      <c r="AS1448" s="73"/>
      <c r="AT1448" s="73"/>
      <c r="AU1448" s="73"/>
      <c r="AV1448" s="73"/>
      <c r="AW1448" s="73"/>
      <c r="AX1448" s="73"/>
      <c r="AY1448" s="73"/>
      <c r="AZ1448" s="73"/>
      <c r="BA1448" s="73"/>
      <c r="BB1448" s="73"/>
      <c r="BC1448" s="73"/>
      <c r="BD1448" s="73"/>
      <c r="BE1448" s="73"/>
      <c r="BF1448" s="73"/>
      <c r="BG1448" s="73"/>
      <c r="BH1448" s="73"/>
      <c r="BI1448" s="73"/>
      <c r="BJ1448" s="73"/>
      <c r="BK1448" s="73"/>
      <c r="BL1448" s="73"/>
      <c r="BM1448" s="73"/>
      <c r="BN1448" s="73"/>
      <c r="BO1448" s="73"/>
      <c r="BP1448" s="73"/>
      <c r="BQ1448" s="73"/>
      <c r="BR1448" s="73"/>
      <c r="BS1448" s="73"/>
      <c r="BT1448" s="73"/>
      <c r="BU1448" s="73"/>
      <c r="BV1448" s="73"/>
      <c r="BW1448" s="73"/>
      <c r="BX1448" s="73"/>
      <c r="BY1448" s="73"/>
      <c r="BZ1448" s="73"/>
      <c r="CA1448" s="73"/>
      <c r="CB1448" s="73"/>
      <c r="CC1448" s="73"/>
      <c r="CD1448" s="73"/>
      <c r="CE1448" s="73"/>
      <c r="CF1448" s="73"/>
      <c r="CG1448" s="73"/>
      <c r="CH1448" s="73"/>
    </row>
    <row r="1449">
      <c r="A1449" s="80"/>
      <c r="B1449" s="80"/>
      <c r="C1449" s="80"/>
      <c r="D1449" s="80"/>
      <c r="E1449" s="124"/>
      <c r="F1449" s="80"/>
      <c r="G1449" s="80"/>
      <c r="H1449" s="80"/>
      <c r="I1449" s="80"/>
      <c r="J1449" s="196"/>
      <c r="K1449" s="196"/>
      <c r="L1449" s="196"/>
      <c r="M1449" s="196"/>
      <c r="N1449" s="196"/>
      <c r="O1449" s="196"/>
      <c r="P1449" s="196"/>
      <c r="Q1449" s="196"/>
      <c r="R1449" s="196"/>
      <c r="S1449" s="196"/>
      <c r="T1449" s="196"/>
      <c r="U1449" s="196"/>
      <c r="V1449" s="196"/>
      <c r="W1449" s="196"/>
      <c r="X1449" s="196"/>
      <c r="Y1449" s="196"/>
      <c r="Z1449" s="196"/>
      <c r="AA1449" s="196"/>
      <c r="AB1449" s="196"/>
      <c r="AC1449" s="196"/>
      <c r="AD1449" s="196"/>
      <c r="AE1449" s="196"/>
      <c r="AF1449" s="196"/>
      <c r="AG1449" s="196"/>
      <c r="AH1449" s="196"/>
      <c r="AI1449" s="196"/>
      <c r="AJ1449" s="197"/>
      <c r="AK1449" s="80"/>
      <c r="AL1449" s="80"/>
      <c r="AM1449" s="73"/>
      <c r="AN1449" s="73"/>
      <c r="AO1449" s="73"/>
      <c r="AP1449" s="73"/>
      <c r="AQ1449" s="73"/>
      <c r="AR1449" s="73"/>
      <c r="AS1449" s="73"/>
      <c r="AT1449" s="73"/>
      <c r="AU1449" s="73"/>
      <c r="AV1449" s="73"/>
      <c r="AW1449" s="73"/>
      <c r="AX1449" s="73"/>
      <c r="AY1449" s="73"/>
      <c r="AZ1449" s="73"/>
      <c r="BA1449" s="73"/>
      <c r="BB1449" s="73"/>
      <c r="BC1449" s="73"/>
      <c r="BD1449" s="73"/>
      <c r="BE1449" s="73"/>
      <c r="BF1449" s="73"/>
      <c r="BG1449" s="73"/>
      <c r="BH1449" s="73"/>
      <c r="BI1449" s="73"/>
      <c r="BJ1449" s="73"/>
      <c r="BK1449" s="73"/>
      <c r="BL1449" s="73"/>
      <c r="BM1449" s="73"/>
      <c r="BN1449" s="73"/>
      <c r="BO1449" s="73"/>
      <c r="BP1449" s="73"/>
      <c r="BQ1449" s="73"/>
      <c r="BR1449" s="73"/>
      <c r="BS1449" s="73"/>
      <c r="BT1449" s="73"/>
      <c r="BU1449" s="73"/>
      <c r="BV1449" s="73"/>
      <c r="BW1449" s="73"/>
      <c r="BX1449" s="73"/>
      <c r="BY1449" s="73"/>
      <c r="BZ1449" s="73"/>
      <c r="CA1449" s="73"/>
      <c r="CB1449" s="73"/>
      <c r="CC1449" s="73"/>
      <c r="CD1449" s="73"/>
      <c r="CE1449" s="73"/>
      <c r="CF1449" s="73"/>
      <c r="CG1449" s="73"/>
      <c r="CH1449" s="73"/>
    </row>
    <row r="1450">
      <c r="A1450" s="80"/>
      <c r="B1450" s="80"/>
      <c r="C1450" s="80"/>
      <c r="D1450" s="80"/>
      <c r="E1450" s="124"/>
      <c r="F1450" s="80"/>
      <c r="G1450" s="80"/>
      <c r="H1450" s="80"/>
      <c r="I1450" s="80"/>
      <c r="J1450" s="196"/>
      <c r="K1450" s="196"/>
      <c r="L1450" s="196"/>
      <c r="M1450" s="196"/>
      <c r="N1450" s="196"/>
      <c r="O1450" s="196"/>
      <c r="P1450" s="196"/>
      <c r="Q1450" s="196"/>
      <c r="R1450" s="196"/>
      <c r="S1450" s="196"/>
      <c r="T1450" s="196"/>
      <c r="U1450" s="196"/>
      <c r="V1450" s="196"/>
      <c r="W1450" s="196"/>
      <c r="X1450" s="196"/>
      <c r="Y1450" s="196"/>
      <c r="Z1450" s="196"/>
      <c r="AA1450" s="196"/>
      <c r="AB1450" s="196"/>
      <c r="AC1450" s="196"/>
      <c r="AD1450" s="196"/>
      <c r="AE1450" s="196"/>
      <c r="AF1450" s="196"/>
      <c r="AG1450" s="196"/>
      <c r="AH1450" s="196"/>
      <c r="AI1450" s="196"/>
      <c r="AJ1450" s="197"/>
      <c r="AK1450" s="80"/>
      <c r="AL1450" s="80"/>
      <c r="AM1450" s="73"/>
      <c r="AN1450" s="73"/>
      <c r="AO1450" s="73"/>
      <c r="AP1450" s="73"/>
      <c r="AQ1450" s="73"/>
      <c r="AR1450" s="73"/>
      <c r="AS1450" s="73"/>
      <c r="AT1450" s="73"/>
      <c r="AU1450" s="73"/>
      <c r="AV1450" s="73"/>
      <c r="AW1450" s="73"/>
      <c r="AX1450" s="73"/>
      <c r="AY1450" s="73"/>
      <c r="AZ1450" s="73"/>
      <c r="BA1450" s="73"/>
      <c r="BB1450" s="73"/>
      <c r="BC1450" s="73"/>
      <c r="BD1450" s="73"/>
      <c r="BE1450" s="73"/>
      <c r="BF1450" s="73"/>
      <c r="BG1450" s="73"/>
      <c r="BH1450" s="73"/>
      <c r="BI1450" s="73"/>
      <c r="BJ1450" s="73"/>
      <c r="BK1450" s="73"/>
      <c r="BL1450" s="73"/>
      <c r="BM1450" s="73"/>
      <c r="BN1450" s="73"/>
      <c r="BO1450" s="73"/>
      <c r="BP1450" s="73"/>
      <c r="BQ1450" s="73"/>
      <c r="BR1450" s="73"/>
      <c r="BS1450" s="73"/>
      <c r="BT1450" s="73"/>
      <c r="BU1450" s="73"/>
      <c r="BV1450" s="73"/>
      <c r="BW1450" s="73"/>
      <c r="BX1450" s="73"/>
      <c r="BY1450" s="73"/>
      <c r="BZ1450" s="73"/>
      <c r="CA1450" s="73"/>
      <c r="CB1450" s="73"/>
      <c r="CC1450" s="73"/>
      <c r="CD1450" s="73"/>
      <c r="CE1450" s="73"/>
      <c r="CF1450" s="73"/>
      <c r="CG1450" s="73"/>
      <c r="CH1450" s="73"/>
    </row>
    <row r="1451">
      <c r="A1451" s="80"/>
      <c r="B1451" s="80"/>
      <c r="C1451" s="80"/>
      <c r="D1451" s="80"/>
      <c r="E1451" s="124"/>
      <c r="F1451" s="80"/>
      <c r="G1451" s="80"/>
      <c r="H1451" s="80"/>
      <c r="I1451" s="80"/>
      <c r="J1451" s="196"/>
      <c r="K1451" s="196"/>
      <c r="L1451" s="196"/>
      <c r="M1451" s="196"/>
      <c r="N1451" s="196"/>
      <c r="O1451" s="196"/>
      <c r="P1451" s="196"/>
      <c r="Q1451" s="196"/>
      <c r="R1451" s="196"/>
      <c r="S1451" s="196"/>
      <c r="T1451" s="196"/>
      <c r="U1451" s="196"/>
      <c r="V1451" s="196"/>
      <c r="W1451" s="196"/>
      <c r="X1451" s="196"/>
      <c r="Y1451" s="196"/>
      <c r="Z1451" s="196"/>
      <c r="AA1451" s="196"/>
      <c r="AB1451" s="196"/>
      <c r="AC1451" s="196"/>
      <c r="AD1451" s="196"/>
      <c r="AE1451" s="196"/>
      <c r="AF1451" s="196"/>
      <c r="AG1451" s="196"/>
      <c r="AH1451" s="196"/>
      <c r="AI1451" s="196"/>
      <c r="AJ1451" s="197"/>
      <c r="AK1451" s="80"/>
      <c r="AL1451" s="80"/>
      <c r="AM1451" s="73"/>
      <c r="AN1451" s="73"/>
      <c r="AO1451" s="73"/>
      <c r="AP1451" s="73"/>
      <c r="AQ1451" s="73"/>
      <c r="AR1451" s="73"/>
      <c r="AS1451" s="73"/>
      <c r="AT1451" s="73"/>
      <c r="AU1451" s="73"/>
      <c r="AV1451" s="73"/>
      <c r="AW1451" s="73"/>
      <c r="AX1451" s="73"/>
      <c r="AY1451" s="73"/>
      <c r="AZ1451" s="73"/>
      <c r="BA1451" s="73"/>
      <c r="BB1451" s="73"/>
      <c r="BC1451" s="73"/>
      <c r="BD1451" s="73"/>
      <c r="BE1451" s="73"/>
      <c r="BF1451" s="73"/>
      <c r="BG1451" s="73"/>
      <c r="BH1451" s="73"/>
      <c r="BI1451" s="73"/>
      <c r="BJ1451" s="73"/>
      <c r="BK1451" s="73"/>
      <c r="BL1451" s="73"/>
      <c r="BM1451" s="73"/>
      <c r="BN1451" s="73"/>
      <c r="BO1451" s="73"/>
      <c r="BP1451" s="73"/>
      <c r="BQ1451" s="73"/>
      <c r="BR1451" s="73"/>
      <c r="BS1451" s="73"/>
      <c r="BT1451" s="73"/>
      <c r="BU1451" s="73"/>
      <c r="BV1451" s="73"/>
      <c r="BW1451" s="73"/>
      <c r="BX1451" s="73"/>
      <c r="BY1451" s="73"/>
      <c r="BZ1451" s="73"/>
      <c r="CA1451" s="73"/>
      <c r="CB1451" s="73"/>
      <c r="CC1451" s="73"/>
      <c r="CD1451" s="73"/>
      <c r="CE1451" s="73"/>
      <c r="CF1451" s="73"/>
      <c r="CG1451" s="73"/>
      <c r="CH1451" s="73"/>
    </row>
    <row r="1452">
      <c r="A1452" s="80"/>
      <c r="B1452" s="80"/>
      <c r="C1452" s="80"/>
      <c r="D1452" s="80"/>
      <c r="E1452" s="124"/>
      <c r="F1452" s="80"/>
      <c r="G1452" s="80"/>
      <c r="H1452" s="80"/>
      <c r="I1452" s="80"/>
      <c r="J1452" s="196"/>
      <c r="K1452" s="196"/>
      <c r="L1452" s="196"/>
      <c r="M1452" s="196"/>
      <c r="N1452" s="196"/>
      <c r="O1452" s="196"/>
      <c r="P1452" s="196"/>
      <c r="Q1452" s="196"/>
      <c r="R1452" s="196"/>
      <c r="S1452" s="196"/>
      <c r="T1452" s="196"/>
      <c r="U1452" s="196"/>
      <c r="V1452" s="196"/>
      <c r="W1452" s="196"/>
      <c r="X1452" s="196"/>
      <c r="Y1452" s="196"/>
      <c r="Z1452" s="196"/>
      <c r="AA1452" s="196"/>
      <c r="AB1452" s="196"/>
      <c r="AC1452" s="196"/>
      <c r="AD1452" s="196"/>
      <c r="AE1452" s="196"/>
      <c r="AF1452" s="196"/>
      <c r="AG1452" s="196"/>
      <c r="AH1452" s="196"/>
      <c r="AI1452" s="196"/>
      <c r="AJ1452" s="197"/>
      <c r="AK1452" s="80"/>
      <c r="AL1452" s="80"/>
      <c r="AM1452" s="73"/>
      <c r="AN1452" s="73"/>
      <c r="AO1452" s="73"/>
      <c r="AP1452" s="73"/>
      <c r="AQ1452" s="73"/>
      <c r="AR1452" s="73"/>
      <c r="AS1452" s="73"/>
      <c r="AT1452" s="73"/>
      <c r="AU1452" s="73"/>
      <c r="AV1452" s="73"/>
      <c r="AW1452" s="73"/>
      <c r="AX1452" s="73"/>
      <c r="AY1452" s="73"/>
      <c r="AZ1452" s="73"/>
      <c r="BA1452" s="73"/>
      <c r="BB1452" s="73"/>
      <c r="BC1452" s="73"/>
      <c r="BD1452" s="73"/>
      <c r="BE1452" s="73"/>
      <c r="BF1452" s="73"/>
      <c r="BG1452" s="73"/>
      <c r="BH1452" s="73"/>
      <c r="BI1452" s="73"/>
      <c r="BJ1452" s="73"/>
      <c r="BK1452" s="73"/>
      <c r="BL1452" s="73"/>
      <c r="BM1452" s="73"/>
      <c r="BN1452" s="73"/>
      <c r="BO1452" s="73"/>
      <c r="BP1452" s="73"/>
      <c r="BQ1452" s="73"/>
      <c r="BR1452" s="73"/>
      <c r="BS1452" s="73"/>
      <c r="BT1452" s="73"/>
      <c r="BU1452" s="73"/>
      <c r="BV1452" s="73"/>
      <c r="BW1452" s="73"/>
      <c r="BX1452" s="73"/>
      <c r="BY1452" s="73"/>
      <c r="BZ1452" s="73"/>
      <c r="CA1452" s="73"/>
      <c r="CB1452" s="73"/>
      <c r="CC1452" s="73"/>
      <c r="CD1452" s="73"/>
      <c r="CE1452" s="73"/>
      <c r="CF1452" s="73"/>
      <c r="CG1452" s="73"/>
      <c r="CH1452" s="73"/>
    </row>
    <row r="1453">
      <c r="A1453" s="80"/>
      <c r="B1453" s="80"/>
      <c r="C1453" s="80"/>
      <c r="D1453" s="80"/>
      <c r="E1453" s="124"/>
      <c r="F1453" s="80"/>
      <c r="G1453" s="80"/>
      <c r="H1453" s="80"/>
      <c r="I1453" s="80"/>
      <c r="J1453" s="196"/>
      <c r="K1453" s="196"/>
      <c r="L1453" s="196"/>
      <c r="M1453" s="196"/>
      <c r="N1453" s="196"/>
      <c r="O1453" s="196"/>
      <c r="P1453" s="196"/>
      <c r="Q1453" s="196"/>
      <c r="R1453" s="196"/>
      <c r="S1453" s="196"/>
      <c r="T1453" s="196"/>
      <c r="U1453" s="196"/>
      <c r="V1453" s="196"/>
      <c r="W1453" s="196"/>
      <c r="X1453" s="196"/>
      <c r="Y1453" s="196"/>
      <c r="Z1453" s="196"/>
      <c r="AA1453" s="196"/>
      <c r="AB1453" s="196"/>
      <c r="AC1453" s="196"/>
      <c r="AD1453" s="196"/>
      <c r="AE1453" s="196"/>
      <c r="AF1453" s="196"/>
      <c r="AG1453" s="196"/>
      <c r="AH1453" s="196"/>
      <c r="AI1453" s="196"/>
      <c r="AJ1453" s="197"/>
      <c r="AK1453" s="80"/>
      <c r="AL1453" s="80"/>
      <c r="AM1453" s="73"/>
      <c r="AN1453" s="73"/>
      <c r="AO1453" s="73"/>
      <c r="AP1453" s="73"/>
      <c r="AQ1453" s="73"/>
      <c r="AR1453" s="73"/>
      <c r="AS1453" s="73"/>
      <c r="AT1453" s="73"/>
      <c r="AU1453" s="73"/>
      <c r="AV1453" s="73"/>
      <c r="AW1453" s="73"/>
      <c r="AX1453" s="73"/>
      <c r="AY1453" s="73"/>
      <c r="AZ1453" s="73"/>
      <c r="BA1453" s="73"/>
      <c r="BB1453" s="73"/>
      <c r="BC1453" s="73"/>
      <c r="BD1453" s="73"/>
      <c r="BE1453" s="73"/>
      <c r="BF1453" s="73"/>
      <c r="BG1453" s="73"/>
      <c r="BH1453" s="73"/>
      <c r="BI1453" s="73"/>
      <c r="BJ1453" s="73"/>
      <c r="BK1453" s="73"/>
      <c r="BL1453" s="73"/>
      <c r="BM1453" s="73"/>
      <c r="BN1453" s="73"/>
      <c r="BO1453" s="73"/>
      <c r="BP1453" s="73"/>
      <c r="BQ1453" s="73"/>
      <c r="BR1453" s="73"/>
      <c r="BS1453" s="73"/>
      <c r="BT1453" s="73"/>
      <c r="BU1453" s="73"/>
      <c r="BV1453" s="73"/>
      <c r="BW1453" s="73"/>
      <c r="BX1453" s="73"/>
      <c r="BY1453" s="73"/>
      <c r="BZ1453" s="73"/>
      <c r="CA1453" s="73"/>
      <c r="CB1453" s="73"/>
      <c r="CC1453" s="73"/>
      <c r="CD1453" s="73"/>
      <c r="CE1453" s="73"/>
      <c r="CF1453" s="73"/>
      <c r="CG1453" s="73"/>
      <c r="CH1453" s="73"/>
    </row>
    <row r="1454">
      <c r="A1454" s="80"/>
      <c r="B1454" s="80"/>
      <c r="C1454" s="80"/>
      <c r="D1454" s="80"/>
      <c r="E1454" s="124"/>
      <c r="F1454" s="80"/>
      <c r="G1454" s="80"/>
      <c r="H1454" s="80"/>
      <c r="I1454" s="80"/>
      <c r="J1454" s="196"/>
      <c r="K1454" s="196"/>
      <c r="L1454" s="196"/>
      <c r="M1454" s="196"/>
      <c r="N1454" s="196"/>
      <c r="O1454" s="196"/>
      <c r="P1454" s="196"/>
      <c r="Q1454" s="196"/>
      <c r="R1454" s="196"/>
      <c r="S1454" s="196"/>
      <c r="T1454" s="196"/>
      <c r="U1454" s="196"/>
      <c r="V1454" s="196"/>
      <c r="W1454" s="196"/>
      <c r="X1454" s="196"/>
      <c r="Y1454" s="196"/>
      <c r="Z1454" s="196"/>
      <c r="AA1454" s="196"/>
      <c r="AB1454" s="196"/>
      <c r="AC1454" s="196"/>
      <c r="AD1454" s="196"/>
      <c r="AE1454" s="196"/>
      <c r="AF1454" s="196"/>
      <c r="AG1454" s="196"/>
      <c r="AH1454" s="196"/>
      <c r="AI1454" s="196"/>
      <c r="AJ1454" s="197"/>
      <c r="AK1454" s="80"/>
      <c r="AL1454" s="80"/>
      <c r="AM1454" s="73"/>
      <c r="AN1454" s="73"/>
      <c r="AO1454" s="73"/>
      <c r="AP1454" s="73"/>
      <c r="AQ1454" s="73"/>
      <c r="AR1454" s="73"/>
      <c r="AS1454" s="73"/>
      <c r="AT1454" s="73"/>
      <c r="AU1454" s="73"/>
      <c r="AV1454" s="73"/>
      <c r="AW1454" s="73"/>
      <c r="AX1454" s="73"/>
      <c r="AY1454" s="73"/>
      <c r="AZ1454" s="73"/>
      <c r="BA1454" s="73"/>
      <c r="BB1454" s="73"/>
      <c r="BC1454" s="73"/>
      <c r="BD1454" s="73"/>
      <c r="BE1454" s="73"/>
      <c r="BF1454" s="73"/>
      <c r="BG1454" s="73"/>
      <c r="BH1454" s="73"/>
      <c r="BI1454" s="73"/>
      <c r="BJ1454" s="73"/>
      <c r="BK1454" s="73"/>
      <c r="BL1454" s="73"/>
      <c r="BM1454" s="73"/>
      <c r="BN1454" s="73"/>
      <c r="BO1454" s="73"/>
      <c r="BP1454" s="73"/>
      <c r="BQ1454" s="73"/>
      <c r="BR1454" s="73"/>
      <c r="BS1454" s="73"/>
      <c r="BT1454" s="73"/>
      <c r="BU1454" s="73"/>
      <c r="BV1454" s="73"/>
      <c r="BW1454" s="73"/>
      <c r="BX1454" s="73"/>
      <c r="BY1454" s="73"/>
      <c r="BZ1454" s="73"/>
      <c r="CA1454" s="73"/>
      <c r="CB1454" s="73"/>
      <c r="CC1454" s="73"/>
      <c r="CD1454" s="73"/>
      <c r="CE1454" s="73"/>
      <c r="CF1454" s="73"/>
      <c r="CG1454" s="73"/>
      <c r="CH1454" s="73"/>
    </row>
    <row r="1455">
      <c r="A1455" s="80"/>
      <c r="B1455" s="80"/>
      <c r="C1455" s="80"/>
      <c r="D1455" s="80"/>
      <c r="E1455" s="124"/>
      <c r="F1455" s="80"/>
      <c r="G1455" s="80"/>
      <c r="H1455" s="80"/>
      <c r="I1455" s="80"/>
      <c r="J1455" s="196"/>
      <c r="K1455" s="196"/>
      <c r="L1455" s="196"/>
      <c r="M1455" s="196"/>
      <c r="N1455" s="196"/>
      <c r="O1455" s="196"/>
      <c r="P1455" s="196"/>
      <c r="Q1455" s="196"/>
      <c r="R1455" s="196"/>
      <c r="S1455" s="196"/>
      <c r="T1455" s="196"/>
      <c r="U1455" s="196"/>
      <c r="V1455" s="196"/>
      <c r="W1455" s="196"/>
      <c r="X1455" s="196"/>
      <c r="Y1455" s="196"/>
      <c r="Z1455" s="196"/>
      <c r="AA1455" s="196"/>
      <c r="AB1455" s="196"/>
      <c r="AC1455" s="196"/>
      <c r="AD1455" s="196"/>
      <c r="AE1455" s="196"/>
      <c r="AF1455" s="196"/>
      <c r="AG1455" s="196"/>
      <c r="AH1455" s="196"/>
      <c r="AI1455" s="196"/>
      <c r="AJ1455" s="197"/>
      <c r="AK1455" s="80"/>
      <c r="AL1455" s="80"/>
      <c r="AM1455" s="73"/>
      <c r="AN1455" s="73"/>
      <c r="AO1455" s="73"/>
      <c r="AP1455" s="73"/>
      <c r="AQ1455" s="73"/>
      <c r="AR1455" s="73"/>
      <c r="AS1455" s="73"/>
      <c r="AT1455" s="73"/>
      <c r="AU1455" s="73"/>
      <c r="AV1455" s="73"/>
      <c r="AW1455" s="73"/>
      <c r="AX1455" s="73"/>
      <c r="AY1455" s="73"/>
      <c r="AZ1455" s="73"/>
      <c r="BA1455" s="73"/>
      <c r="BB1455" s="73"/>
      <c r="BC1455" s="73"/>
      <c r="BD1455" s="73"/>
      <c r="BE1455" s="73"/>
      <c r="BF1455" s="73"/>
      <c r="BG1455" s="73"/>
      <c r="BH1455" s="73"/>
      <c r="BI1455" s="73"/>
      <c r="BJ1455" s="73"/>
      <c r="BK1455" s="73"/>
      <c r="BL1455" s="73"/>
      <c r="BM1455" s="73"/>
      <c r="BN1455" s="73"/>
      <c r="BO1455" s="73"/>
      <c r="BP1455" s="73"/>
      <c r="BQ1455" s="73"/>
      <c r="BR1455" s="73"/>
      <c r="BS1455" s="73"/>
      <c r="BT1455" s="73"/>
      <c r="BU1455" s="73"/>
      <c r="BV1455" s="73"/>
      <c r="BW1455" s="73"/>
      <c r="BX1455" s="73"/>
      <c r="BY1455" s="73"/>
      <c r="BZ1455" s="73"/>
      <c r="CA1455" s="73"/>
      <c r="CB1455" s="73"/>
      <c r="CC1455" s="73"/>
      <c r="CD1455" s="73"/>
      <c r="CE1455" s="73"/>
      <c r="CF1455" s="73"/>
      <c r="CG1455" s="73"/>
      <c r="CH1455" s="73"/>
    </row>
    <row r="1456">
      <c r="A1456" s="80"/>
      <c r="B1456" s="80"/>
      <c r="C1456" s="80"/>
      <c r="D1456" s="80"/>
      <c r="E1456" s="124"/>
      <c r="F1456" s="80"/>
      <c r="G1456" s="80"/>
      <c r="H1456" s="80"/>
      <c r="I1456" s="80"/>
      <c r="J1456" s="196"/>
      <c r="K1456" s="196"/>
      <c r="L1456" s="196"/>
      <c r="M1456" s="196"/>
      <c r="N1456" s="196"/>
      <c r="O1456" s="196"/>
      <c r="P1456" s="196"/>
      <c r="Q1456" s="196"/>
      <c r="R1456" s="196"/>
      <c r="S1456" s="196"/>
      <c r="T1456" s="196"/>
      <c r="U1456" s="196"/>
      <c r="V1456" s="196"/>
      <c r="W1456" s="196"/>
      <c r="X1456" s="196"/>
      <c r="Y1456" s="196"/>
      <c r="Z1456" s="196"/>
      <c r="AA1456" s="196"/>
      <c r="AB1456" s="196"/>
      <c r="AC1456" s="196"/>
      <c r="AD1456" s="196"/>
      <c r="AE1456" s="196"/>
      <c r="AF1456" s="196"/>
      <c r="AG1456" s="196"/>
      <c r="AH1456" s="196"/>
      <c r="AI1456" s="196"/>
      <c r="AJ1456" s="197"/>
      <c r="AK1456" s="80"/>
      <c r="AL1456" s="80"/>
      <c r="AM1456" s="73"/>
      <c r="AN1456" s="73"/>
      <c r="AO1456" s="73"/>
      <c r="AP1456" s="73"/>
      <c r="AQ1456" s="73"/>
      <c r="AR1456" s="73"/>
      <c r="AS1456" s="73"/>
      <c r="AT1456" s="73"/>
      <c r="AU1456" s="73"/>
      <c r="AV1456" s="73"/>
      <c r="AW1456" s="73"/>
      <c r="AX1456" s="73"/>
      <c r="AY1456" s="73"/>
      <c r="AZ1456" s="73"/>
      <c r="BA1456" s="73"/>
      <c r="BB1456" s="73"/>
      <c r="BC1456" s="73"/>
      <c r="BD1456" s="73"/>
      <c r="BE1456" s="73"/>
      <c r="BF1456" s="73"/>
      <c r="BG1456" s="73"/>
      <c r="BH1456" s="73"/>
      <c r="BI1456" s="73"/>
      <c r="BJ1456" s="73"/>
      <c r="BK1456" s="73"/>
      <c r="BL1456" s="73"/>
      <c r="BM1456" s="73"/>
      <c r="BN1456" s="73"/>
      <c r="BO1456" s="73"/>
      <c r="BP1456" s="73"/>
      <c r="BQ1456" s="73"/>
      <c r="BR1456" s="73"/>
      <c r="BS1456" s="73"/>
      <c r="BT1456" s="73"/>
      <c r="BU1456" s="73"/>
      <c r="BV1456" s="73"/>
      <c r="BW1456" s="73"/>
      <c r="BX1456" s="73"/>
      <c r="BY1456" s="73"/>
      <c r="BZ1456" s="73"/>
      <c r="CA1456" s="73"/>
      <c r="CB1456" s="73"/>
      <c r="CC1456" s="73"/>
      <c r="CD1456" s="73"/>
      <c r="CE1456" s="73"/>
      <c r="CF1456" s="73"/>
      <c r="CG1456" s="73"/>
      <c r="CH1456" s="73"/>
    </row>
    <row r="1457">
      <c r="A1457" s="80"/>
      <c r="B1457" s="80"/>
      <c r="C1457" s="80"/>
      <c r="D1457" s="80"/>
      <c r="E1457" s="124"/>
      <c r="F1457" s="80"/>
      <c r="G1457" s="80"/>
      <c r="H1457" s="80"/>
      <c r="I1457" s="80"/>
      <c r="J1457" s="196"/>
      <c r="K1457" s="196"/>
      <c r="L1457" s="196"/>
      <c r="M1457" s="196"/>
      <c r="N1457" s="196"/>
      <c r="O1457" s="196"/>
      <c r="P1457" s="196"/>
      <c r="Q1457" s="196"/>
      <c r="R1457" s="196"/>
      <c r="S1457" s="196"/>
      <c r="T1457" s="196"/>
      <c r="U1457" s="196"/>
      <c r="V1457" s="196"/>
      <c r="W1457" s="196"/>
      <c r="X1457" s="196"/>
      <c r="Y1457" s="196"/>
      <c r="Z1457" s="196"/>
      <c r="AA1457" s="196"/>
      <c r="AB1457" s="196"/>
      <c r="AC1457" s="196"/>
      <c r="AD1457" s="196"/>
      <c r="AE1457" s="196"/>
      <c r="AF1457" s="196"/>
      <c r="AG1457" s="196"/>
      <c r="AH1457" s="196"/>
      <c r="AI1457" s="196"/>
      <c r="AJ1457" s="197"/>
      <c r="AK1457" s="80"/>
      <c r="AL1457" s="80"/>
      <c r="AM1457" s="73"/>
      <c r="AN1457" s="73"/>
      <c r="AO1457" s="73"/>
      <c r="AP1457" s="73"/>
      <c r="AQ1457" s="73"/>
      <c r="AR1457" s="73"/>
      <c r="AS1457" s="73"/>
      <c r="AT1457" s="73"/>
      <c r="AU1457" s="73"/>
      <c r="AV1457" s="73"/>
      <c r="AW1457" s="73"/>
      <c r="AX1457" s="73"/>
      <c r="AY1457" s="73"/>
      <c r="AZ1457" s="73"/>
      <c r="BA1457" s="73"/>
      <c r="BB1457" s="73"/>
      <c r="BC1457" s="73"/>
      <c r="BD1457" s="73"/>
      <c r="BE1457" s="73"/>
      <c r="BF1457" s="73"/>
      <c r="BG1457" s="73"/>
      <c r="BH1457" s="73"/>
      <c r="BI1457" s="73"/>
      <c r="BJ1457" s="73"/>
      <c r="BK1457" s="73"/>
      <c r="BL1457" s="73"/>
      <c r="BM1457" s="73"/>
      <c r="BN1457" s="73"/>
      <c r="BO1457" s="73"/>
      <c r="BP1457" s="73"/>
      <c r="BQ1457" s="73"/>
      <c r="BR1457" s="73"/>
      <c r="BS1457" s="73"/>
      <c r="BT1457" s="73"/>
      <c r="BU1457" s="73"/>
      <c r="BV1457" s="73"/>
      <c r="BW1457" s="73"/>
      <c r="BX1457" s="73"/>
      <c r="BY1457" s="73"/>
      <c r="BZ1457" s="73"/>
      <c r="CA1457" s="73"/>
      <c r="CB1457" s="73"/>
      <c r="CC1457" s="73"/>
      <c r="CD1457" s="73"/>
      <c r="CE1457" s="73"/>
      <c r="CF1457" s="73"/>
      <c r="CG1457" s="73"/>
      <c r="CH1457" s="73"/>
    </row>
    <row r="1458">
      <c r="A1458" s="80"/>
      <c r="B1458" s="80"/>
      <c r="C1458" s="80"/>
      <c r="D1458" s="80"/>
      <c r="E1458" s="124"/>
      <c r="F1458" s="80"/>
      <c r="G1458" s="80"/>
      <c r="H1458" s="80"/>
      <c r="I1458" s="80"/>
      <c r="J1458" s="196"/>
      <c r="K1458" s="196"/>
      <c r="L1458" s="196"/>
      <c r="M1458" s="196"/>
      <c r="N1458" s="196"/>
      <c r="O1458" s="196"/>
      <c r="P1458" s="196"/>
      <c r="Q1458" s="196"/>
      <c r="R1458" s="196"/>
      <c r="S1458" s="196"/>
      <c r="T1458" s="196"/>
      <c r="U1458" s="196"/>
      <c r="V1458" s="196"/>
      <c r="W1458" s="196"/>
      <c r="X1458" s="196"/>
      <c r="Y1458" s="196"/>
      <c r="Z1458" s="196"/>
      <c r="AA1458" s="196"/>
      <c r="AB1458" s="196"/>
      <c r="AC1458" s="196"/>
      <c r="AD1458" s="196"/>
      <c r="AE1458" s="196"/>
      <c r="AF1458" s="196"/>
      <c r="AG1458" s="196"/>
      <c r="AH1458" s="196"/>
      <c r="AI1458" s="196"/>
      <c r="AJ1458" s="197"/>
      <c r="AK1458" s="80"/>
      <c r="AL1458" s="80"/>
      <c r="AM1458" s="73"/>
      <c r="AN1458" s="73"/>
      <c r="AO1458" s="73"/>
      <c r="AP1458" s="73"/>
      <c r="AQ1458" s="73"/>
      <c r="AR1458" s="73"/>
      <c r="AS1458" s="73"/>
      <c r="AT1458" s="73"/>
      <c r="AU1458" s="73"/>
      <c r="AV1458" s="73"/>
      <c r="AW1458" s="73"/>
      <c r="AX1458" s="73"/>
      <c r="AY1458" s="73"/>
      <c r="AZ1458" s="73"/>
      <c r="BA1458" s="73"/>
      <c r="BB1458" s="73"/>
      <c r="BC1458" s="73"/>
      <c r="BD1458" s="73"/>
      <c r="BE1458" s="73"/>
      <c r="BF1458" s="73"/>
      <c r="BG1458" s="73"/>
      <c r="BH1458" s="73"/>
      <c r="BI1458" s="73"/>
      <c r="BJ1458" s="73"/>
      <c r="BK1458" s="73"/>
      <c r="BL1458" s="73"/>
      <c r="BM1458" s="73"/>
      <c r="BN1458" s="73"/>
      <c r="BO1458" s="73"/>
      <c r="BP1458" s="73"/>
      <c r="BQ1458" s="73"/>
      <c r="BR1458" s="73"/>
      <c r="BS1458" s="73"/>
      <c r="BT1458" s="73"/>
      <c r="BU1458" s="73"/>
      <c r="BV1458" s="73"/>
      <c r="BW1458" s="73"/>
      <c r="BX1458" s="73"/>
      <c r="BY1458" s="73"/>
      <c r="BZ1458" s="73"/>
      <c r="CA1458" s="73"/>
      <c r="CB1458" s="73"/>
      <c r="CC1458" s="73"/>
      <c r="CD1458" s="73"/>
      <c r="CE1458" s="73"/>
      <c r="CF1458" s="73"/>
      <c r="CG1458" s="73"/>
      <c r="CH1458" s="73"/>
    </row>
    <row r="1459">
      <c r="A1459" s="80"/>
      <c r="B1459" s="80"/>
      <c r="C1459" s="80"/>
      <c r="D1459" s="80"/>
      <c r="E1459" s="124"/>
      <c r="F1459" s="80"/>
      <c r="G1459" s="80"/>
      <c r="H1459" s="80"/>
      <c r="I1459" s="80"/>
      <c r="J1459" s="196"/>
      <c r="K1459" s="196"/>
      <c r="L1459" s="196"/>
      <c r="M1459" s="196"/>
      <c r="N1459" s="196"/>
      <c r="O1459" s="196"/>
      <c r="P1459" s="196"/>
      <c r="Q1459" s="196"/>
      <c r="R1459" s="196"/>
      <c r="S1459" s="196"/>
      <c r="T1459" s="196"/>
      <c r="U1459" s="196"/>
      <c r="V1459" s="196"/>
      <c r="W1459" s="196"/>
      <c r="X1459" s="196"/>
      <c r="Y1459" s="196"/>
      <c r="Z1459" s="196"/>
      <c r="AA1459" s="196"/>
      <c r="AB1459" s="196"/>
      <c r="AC1459" s="196"/>
      <c r="AD1459" s="196"/>
      <c r="AE1459" s="196"/>
      <c r="AF1459" s="196"/>
      <c r="AG1459" s="196"/>
      <c r="AH1459" s="196"/>
      <c r="AI1459" s="196"/>
      <c r="AJ1459" s="197"/>
      <c r="AK1459" s="80"/>
      <c r="AL1459" s="80"/>
      <c r="AM1459" s="73"/>
      <c r="AN1459" s="73"/>
      <c r="AO1459" s="73"/>
      <c r="AP1459" s="73"/>
      <c r="AQ1459" s="73"/>
      <c r="AR1459" s="73"/>
      <c r="AS1459" s="73"/>
      <c r="AT1459" s="73"/>
      <c r="AU1459" s="73"/>
      <c r="AV1459" s="73"/>
      <c r="AW1459" s="73"/>
      <c r="AX1459" s="73"/>
      <c r="AY1459" s="73"/>
      <c r="AZ1459" s="73"/>
      <c r="BA1459" s="73"/>
      <c r="BB1459" s="73"/>
      <c r="BC1459" s="73"/>
      <c r="BD1459" s="73"/>
      <c r="BE1459" s="73"/>
      <c r="BF1459" s="73"/>
      <c r="BG1459" s="73"/>
      <c r="BH1459" s="73"/>
      <c r="BI1459" s="73"/>
      <c r="BJ1459" s="73"/>
      <c r="BK1459" s="73"/>
      <c r="BL1459" s="73"/>
      <c r="BM1459" s="73"/>
      <c r="BN1459" s="73"/>
      <c r="BO1459" s="73"/>
      <c r="BP1459" s="73"/>
      <c r="BQ1459" s="73"/>
      <c r="BR1459" s="73"/>
      <c r="BS1459" s="73"/>
      <c r="BT1459" s="73"/>
      <c r="BU1459" s="73"/>
      <c r="BV1459" s="73"/>
      <c r="BW1459" s="73"/>
      <c r="BX1459" s="73"/>
      <c r="BY1459" s="73"/>
      <c r="BZ1459" s="73"/>
      <c r="CA1459" s="73"/>
      <c r="CB1459" s="73"/>
      <c r="CC1459" s="73"/>
      <c r="CD1459" s="73"/>
      <c r="CE1459" s="73"/>
      <c r="CF1459" s="73"/>
      <c r="CG1459" s="73"/>
      <c r="CH1459" s="73"/>
    </row>
    <row r="1460">
      <c r="A1460" s="80"/>
      <c r="B1460" s="80"/>
      <c r="C1460" s="80"/>
      <c r="D1460" s="80"/>
      <c r="E1460" s="124"/>
      <c r="F1460" s="80"/>
      <c r="G1460" s="80"/>
      <c r="H1460" s="80"/>
      <c r="I1460" s="80"/>
      <c r="J1460" s="196"/>
      <c r="K1460" s="196"/>
      <c r="L1460" s="196"/>
      <c r="M1460" s="196"/>
      <c r="N1460" s="196"/>
      <c r="O1460" s="196"/>
      <c r="P1460" s="196"/>
      <c r="Q1460" s="196"/>
      <c r="R1460" s="196"/>
      <c r="S1460" s="196"/>
      <c r="T1460" s="196"/>
      <c r="U1460" s="196"/>
      <c r="V1460" s="196"/>
      <c r="W1460" s="196"/>
      <c r="X1460" s="196"/>
      <c r="Y1460" s="196"/>
      <c r="Z1460" s="196"/>
      <c r="AA1460" s="196"/>
      <c r="AB1460" s="196"/>
      <c r="AC1460" s="196"/>
      <c r="AD1460" s="196"/>
      <c r="AE1460" s="196"/>
      <c r="AF1460" s="196"/>
      <c r="AG1460" s="196"/>
      <c r="AH1460" s="196"/>
      <c r="AI1460" s="196"/>
      <c r="AJ1460" s="197"/>
      <c r="AK1460" s="80"/>
      <c r="AL1460" s="80"/>
      <c r="AM1460" s="73"/>
      <c r="AN1460" s="73"/>
      <c r="AO1460" s="73"/>
      <c r="AP1460" s="73"/>
      <c r="AQ1460" s="73"/>
      <c r="AR1460" s="73"/>
      <c r="AS1460" s="73"/>
      <c r="AT1460" s="73"/>
      <c r="AU1460" s="73"/>
      <c r="AV1460" s="73"/>
      <c r="AW1460" s="73"/>
      <c r="AX1460" s="73"/>
      <c r="AY1460" s="73"/>
      <c r="AZ1460" s="73"/>
      <c r="BA1460" s="73"/>
      <c r="BB1460" s="73"/>
      <c r="BC1460" s="73"/>
      <c r="BD1460" s="73"/>
      <c r="BE1460" s="73"/>
      <c r="BF1460" s="73"/>
      <c r="BG1460" s="73"/>
      <c r="BH1460" s="73"/>
      <c r="BI1460" s="73"/>
      <c r="BJ1460" s="73"/>
      <c r="BK1460" s="73"/>
      <c r="BL1460" s="73"/>
      <c r="BM1460" s="73"/>
      <c r="BN1460" s="73"/>
      <c r="BO1460" s="73"/>
      <c r="BP1460" s="73"/>
      <c r="BQ1460" s="73"/>
      <c r="BR1460" s="73"/>
      <c r="BS1460" s="73"/>
      <c r="BT1460" s="73"/>
      <c r="BU1460" s="73"/>
      <c r="BV1460" s="73"/>
      <c r="BW1460" s="73"/>
      <c r="BX1460" s="73"/>
      <c r="BY1460" s="73"/>
      <c r="BZ1460" s="73"/>
      <c r="CA1460" s="73"/>
      <c r="CB1460" s="73"/>
      <c r="CC1460" s="73"/>
      <c r="CD1460" s="73"/>
      <c r="CE1460" s="73"/>
      <c r="CF1460" s="73"/>
      <c r="CG1460" s="73"/>
      <c r="CH1460" s="73"/>
    </row>
    <row r="1461">
      <c r="A1461" s="80"/>
      <c r="B1461" s="80"/>
      <c r="C1461" s="80"/>
      <c r="D1461" s="80"/>
      <c r="E1461" s="124"/>
      <c r="F1461" s="80"/>
      <c r="G1461" s="80"/>
      <c r="H1461" s="80"/>
      <c r="I1461" s="80"/>
      <c r="J1461" s="196"/>
      <c r="K1461" s="196"/>
      <c r="L1461" s="196"/>
      <c r="M1461" s="196"/>
      <c r="N1461" s="196"/>
      <c r="O1461" s="196"/>
      <c r="P1461" s="196"/>
      <c r="Q1461" s="196"/>
      <c r="R1461" s="196"/>
      <c r="S1461" s="196"/>
      <c r="T1461" s="196"/>
      <c r="U1461" s="196"/>
      <c r="V1461" s="196"/>
      <c r="W1461" s="196"/>
      <c r="X1461" s="196"/>
      <c r="Y1461" s="196"/>
      <c r="Z1461" s="196"/>
      <c r="AA1461" s="196"/>
      <c r="AB1461" s="196"/>
      <c r="AC1461" s="196"/>
      <c r="AD1461" s="196"/>
      <c r="AE1461" s="196"/>
      <c r="AF1461" s="196"/>
      <c r="AG1461" s="196"/>
      <c r="AH1461" s="196"/>
      <c r="AI1461" s="196"/>
      <c r="AJ1461" s="197"/>
      <c r="AK1461" s="80"/>
      <c r="AL1461" s="80"/>
      <c r="AM1461" s="73"/>
      <c r="AN1461" s="73"/>
      <c r="AO1461" s="73"/>
      <c r="AP1461" s="73"/>
      <c r="AQ1461" s="73"/>
      <c r="AR1461" s="73"/>
      <c r="AS1461" s="73"/>
      <c r="AT1461" s="73"/>
      <c r="AU1461" s="73"/>
      <c r="AV1461" s="73"/>
      <c r="AW1461" s="73"/>
      <c r="AX1461" s="73"/>
      <c r="AY1461" s="73"/>
      <c r="AZ1461" s="73"/>
      <c r="BA1461" s="73"/>
      <c r="BB1461" s="73"/>
      <c r="BC1461" s="73"/>
      <c r="BD1461" s="73"/>
      <c r="BE1461" s="73"/>
      <c r="BF1461" s="73"/>
      <c r="BG1461" s="73"/>
      <c r="BH1461" s="73"/>
      <c r="BI1461" s="73"/>
      <c r="BJ1461" s="73"/>
      <c r="BK1461" s="73"/>
      <c r="BL1461" s="73"/>
      <c r="BM1461" s="73"/>
      <c r="BN1461" s="73"/>
      <c r="BO1461" s="73"/>
      <c r="BP1461" s="73"/>
      <c r="BQ1461" s="73"/>
      <c r="BR1461" s="73"/>
      <c r="BS1461" s="73"/>
      <c r="BT1461" s="73"/>
      <c r="BU1461" s="73"/>
      <c r="BV1461" s="73"/>
      <c r="BW1461" s="73"/>
      <c r="BX1461" s="73"/>
      <c r="BY1461" s="73"/>
      <c r="BZ1461" s="73"/>
      <c r="CA1461" s="73"/>
      <c r="CB1461" s="73"/>
      <c r="CC1461" s="73"/>
      <c r="CD1461" s="73"/>
      <c r="CE1461" s="73"/>
      <c r="CF1461" s="73"/>
      <c r="CG1461" s="73"/>
      <c r="CH1461" s="73"/>
    </row>
    <row r="1462">
      <c r="A1462" s="80"/>
      <c r="B1462" s="80"/>
      <c r="C1462" s="80"/>
      <c r="D1462" s="80"/>
      <c r="E1462" s="124"/>
      <c r="F1462" s="80"/>
      <c r="G1462" s="80"/>
      <c r="H1462" s="80"/>
      <c r="I1462" s="80"/>
      <c r="J1462" s="196"/>
      <c r="K1462" s="196"/>
      <c r="L1462" s="196"/>
      <c r="M1462" s="196"/>
      <c r="N1462" s="196"/>
      <c r="O1462" s="196"/>
      <c r="P1462" s="196"/>
      <c r="Q1462" s="196"/>
      <c r="R1462" s="196"/>
      <c r="S1462" s="196"/>
      <c r="T1462" s="196"/>
      <c r="U1462" s="196"/>
      <c r="V1462" s="196"/>
      <c r="W1462" s="196"/>
      <c r="X1462" s="196"/>
      <c r="Y1462" s="196"/>
      <c r="Z1462" s="196"/>
      <c r="AA1462" s="196"/>
      <c r="AB1462" s="196"/>
      <c r="AC1462" s="196"/>
      <c r="AD1462" s="196"/>
      <c r="AE1462" s="196"/>
      <c r="AF1462" s="196"/>
      <c r="AG1462" s="196"/>
      <c r="AH1462" s="196"/>
      <c r="AI1462" s="196"/>
      <c r="AJ1462" s="197"/>
      <c r="AK1462" s="80"/>
      <c r="AL1462" s="80"/>
      <c r="AM1462" s="73"/>
      <c r="AN1462" s="73"/>
      <c r="AO1462" s="73"/>
      <c r="AP1462" s="73"/>
      <c r="AQ1462" s="73"/>
      <c r="AR1462" s="73"/>
      <c r="AS1462" s="73"/>
      <c r="AT1462" s="73"/>
      <c r="AU1462" s="73"/>
      <c r="AV1462" s="73"/>
      <c r="AW1462" s="73"/>
      <c r="AX1462" s="73"/>
      <c r="AY1462" s="73"/>
      <c r="AZ1462" s="73"/>
      <c r="BA1462" s="73"/>
      <c r="BB1462" s="73"/>
      <c r="BC1462" s="73"/>
      <c r="BD1462" s="73"/>
      <c r="BE1462" s="73"/>
      <c r="BF1462" s="73"/>
      <c r="BG1462" s="73"/>
      <c r="BH1462" s="73"/>
      <c r="BI1462" s="73"/>
      <c r="BJ1462" s="73"/>
      <c r="BK1462" s="73"/>
      <c r="BL1462" s="73"/>
      <c r="BM1462" s="73"/>
      <c r="BN1462" s="73"/>
      <c r="BO1462" s="73"/>
      <c r="BP1462" s="73"/>
      <c r="BQ1462" s="73"/>
      <c r="BR1462" s="73"/>
      <c r="BS1462" s="73"/>
      <c r="BT1462" s="73"/>
      <c r="BU1462" s="73"/>
      <c r="BV1462" s="73"/>
      <c r="BW1462" s="73"/>
      <c r="BX1462" s="73"/>
      <c r="BY1462" s="73"/>
      <c r="BZ1462" s="73"/>
      <c r="CA1462" s="73"/>
      <c r="CB1462" s="73"/>
      <c r="CC1462" s="73"/>
      <c r="CD1462" s="73"/>
      <c r="CE1462" s="73"/>
      <c r="CF1462" s="73"/>
      <c r="CG1462" s="73"/>
      <c r="CH1462" s="73"/>
    </row>
    <row r="1463">
      <c r="A1463" s="80"/>
      <c r="B1463" s="80"/>
      <c r="C1463" s="80"/>
      <c r="D1463" s="80"/>
      <c r="E1463" s="124"/>
      <c r="F1463" s="80"/>
      <c r="G1463" s="80"/>
      <c r="H1463" s="80"/>
      <c r="I1463" s="80"/>
      <c r="J1463" s="196"/>
      <c r="K1463" s="196"/>
      <c r="L1463" s="196"/>
      <c r="M1463" s="196"/>
      <c r="N1463" s="196"/>
      <c r="O1463" s="196"/>
      <c r="P1463" s="196"/>
      <c r="Q1463" s="196"/>
      <c r="R1463" s="196"/>
      <c r="S1463" s="196"/>
      <c r="T1463" s="196"/>
      <c r="U1463" s="196"/>
      <c r="V1463" s="196"/>
      <c r="W1463" s="196"/>
      <c r="X1463" s="196"/>
      <c r="Y1463" s="196"/>
      <c r="Z1463" s="196"/>
      <c r="AA1463" s="196"/>
      <c r="AB1463" s="196"/>
      <c r="AC1463" s="196"/>
      <c r="AD1463" s="196"/>
      <c r="AE1463" s="196"/>
      <c r="AF1463" s="196"/>
      <c r="AG1463" s="196"/>
      <c r="AH1463" s="196"/>
      <c r="AI1463" s="196"/>
      <c r="AJ1463" s="197"/>
      <c r="AK1463" s="80"/>
      <c r="AL1463" s="80"/>
      <c r="AM1463" s="73"/>
      <c r="AN1463" s="73"/>
      <c r="AO1463" s="73"/>
      <c r="AP1463" s="73"/>
      <c r="AQ1463" s="73"/>
      <c r="AR1463" s="73"/>
      <c r="AS1463" s="73"/>
      <c r="AT1463" s="73"/>
      <c r="AU1463" s="73"/>
      <c r="AV1463" s="73"/>
      <c r="AW1463" s="73"/>
      <c r="AX1463" s="73"/>
      <c r="AY1463" s="73"/>
      <c r="AZ1463" s="73"/>
      <c r="BA1463" s="73"/>
      <c r="BB1463" s="73"/>
      <c r="BC1463" s="73"/>
      <c r="BD1463" s="73"/>
      <c r="BE1463" s="73"/>
      <c r="BF1463" s="73"/>
      <c r="BG1463" s="73"/>
      <c r="BH1463" s="73"/>
      <c r="BI1463" s="73"/>
      <c r="BJ1463" s="73"/>
      <c r="BK1463" s="73"/>
      <c r="BL1463" s="73"/>
      <c r="BM1463" s="73"/>
      <c r="BN1463" s="73"/>
      <c r="BO1463" s="73"/>
      <c r="BP1463" s="73"/>
      <c r="BQ1463" s="73"/>
      <c r="BR1463" s="73"/>
      <c r="BS1463" s="73"/>
      <c r="BT1463" s="73"/>
      <c r="BU1463" s="73"/>
      <c r="BV1463" s="73"/>
      <c r="BW1463" s="73"/>
      <c r="BX1463" s="73"/>
      <c r="BY1463" s="73"/>
      <c r="BZ1463" s="73"/>
      <c r="CA1463" s="73"/>
      <c r="CB1463" s="73"/>
      <c r="CC1463" s="73"/>
      <c r="CD1463" s="73"/>
      <c r="CE1463" s="73"/>
      <c r="CF1463" s="73"/>
      <c r="CG1463" s="73"/>
      <c r="CH1463" s="73"/>
    </row>
    <row r="1464">
      <c r="A1464" s="80"/>
      <c r="B1464" s="80"/>
      <c r="C1464" s="80"/>
      <c r="D1464" s="80"/>
      <c r="E1464" s="124"/>
      <c r="F1464" s="80"/>
      <c r="G1464" s="80"/>
      <c r="H1464" s="80"/>
      <c r="I1464" s="80"/>
      <c r="J1464" s="196"/>
      <c r="K1464" s="196"/>
      <c r="L1464" s="196"/>
      <c r="M1464" s="196"/>
      <c r="N1464" s="196"/>
      <c r="O1464" s="196"/>
      <c r="P1464" s="196"/>
      <c r="Q1464" s="196"/>
      <c r="R1464" s="196"/>
      <c r="S1464" s="196"/>
      <c r="T1464" s="196"/>
      <c r="U1464" s="196"/>
      <c r="V1464" s="196"/>
      <c r="W1464" s="196"/>
      <c r="X1464" s="196"/>
      <c r="Y1464" s="196"/>
      <c r="Z1464" s="196"/>
      <c r="AA1464" s="196"/>
      <c r="AB1464" s="196"/>
      <c r="AC1464" s="196"/>
      <c r="AD1464" s="196"/>
      <c r="AE1464" s="196"/>
      <c r="AF1464" s="196"/>
      <c r="AG1464" s="196"/>
      <c r="AH1464" s="196"/>
      <c r="AI1464" s="196"/>
      <c r="AJ1464" s="197"/>
      <c r="AK1464" s="80"/>
      <c r="AL1464" s="80"/>
      <c r="AM1464" s="73"/>
      <c r="AN1464" s="73"/>
      <c r="AO1464" s="73"/>
      <c r="AP1464" s="73"/>
      <c r="AQ1464" s="73"/>
      <c r="AR1464" s="73"/>
      <c r="AS1464" s="73"/>
      <c r="AT1464" s="73"/>
      <c r="AU1464" s="73"/>
      <c r="AV1464" s="73"/>
      <c r="AW1464" s="73"/>
      <c r="AX1464" s="73"/>
      <c r="AY1464" s="73"/>
      <c r="AZ1464" s="73"/>
      <c r="BA1464" s="73"/>
      <c r="BB1464" s="73"/>
      <c r="BC1464" s="73"/>
      <c r="BD1464" s="73"/>
      <c r="BE1464" s="73"/>
      <c r="BF1464" s="73"/>
      <c r="BG1464" s="73"/>
      <c r="BH1464" s="73"/>
      <c r="BI1464" s="73"/>
      <c r="BJ1464" s="73"/>
      <c r="BK1464" s="73"/>
      <c r="BL1464" s="73"/>
      <c r="BM1464" s="73"/>
      <c r="BN1464" s="73"/>
      <c r="BO1464" s="73"/>
      <c r="BP1464" s="73"/>
      <c r="BQ1464" s="73"/>
      <c r="BR1464" s="73"/>
      <c r="BS1464" s="73"/>
      <c r="BT1464" s="73"/>
      <c r="BU1464" s="73"/>
      <c r="BV1464" s="73"/>
      <c r="BW1464" s="73"/>
      <c r="BX1464" s="73"/>
      <c r="BY1464" s="73"/>
      <c r="BZ1464" s="73"/>
      <c r="CA1464" s="73"/>
      <c r="CB1464" s="73"/>
      <c r="CC1464" s="73"/>
      <c r="CD1464" s="73"/>
      <c r="CE1464" s="73"/>
      <c r="CF1464" s="73"/>
      <c r="CG1464" s="73"/>
      <c r="CH1464" s="73"/>
    </row>
    <row r="1465">
      <c r="A1465" s="80"/>
      <c r="B1465" s="80"/>
      <c r="C1465" s="80"/>
      <c r="D1465" s="80"/>
      <c r="E1465" s="124"/>
      <c r="F1465" s="80"/>
      <c r="G1465" s="80"/>
      <c r="H1465" s="80"/>
      <c r="I1465" s="80"/>
      <c r="J1465" s="196"/>
      <c r="K1465" s="196"/>
      <c r="L1465" s="196"/>
      <c r="M1465" s="196"/>
      <c r="N1465" s="196"/>
      <c r="O1465" s="196"/>
      <c r="P1465" s="196"/>
      <c r="Q1465" s="196"/>
      <c r="R1465" s="196"/>
      <c r="S1465" s="196"/>
      <c r="T1465" s="196"/>
      <c r="U1465" s="196"/>
      <c r="V1465" s="196"/>
      <c r="W1465" s="196"/>
      <c r="X1465" s="196"/>
      <c r="Y1465" s="196"/>
      <c r="Z1465" s="196"/>
      <c r="AA1465" s="196"/>
      <c r="AB1465" s="196"/>
      <c r="AC1465" s="196"/>
      <c r="AD1465" s="196"/>
      <c r="AE1465" s="196"/>
      <c r="AF1465" s="196"/>
      <c r="AG1465" s="196"/>
      <c r="AH1465" s="196"/>
      <c r="AI1465" s="196"/>
      <c r="AJ1465" s="197"/>
      <c r="AK1465" s="80"/>
      <c r="AL1465" s="80"/>
      <c r="AM1465" s="73"/>
      <c r="AN1465" s="73"/>
      <c r="AO1465" s="73"/>
      <c r="AP1465" s="73"/>
      <c r="AQ1465" s="73"/>
      <c r="AR1465" s="73"/>
      <c r="AS1465" s="73"/>
      <c r="AT1465" s="73"/>
      <c r="AU1465" s="73"/>
      <c r="AV1465" s="73"/>
      <c r="AW1465" s="73"/>
      <c r="AX1465" s="73"/>
      <c r="AY1465" s="73"/>
      <c r="AZ1465" s="73"/>
      <c r="BA1465" s="73"/>
      <c r="BB1465" s="73"/>
      <c r="BC1465" s="73"/>
      <c r="BD1465" s="73"/>
      <c r="BE1465" s="73"/>
      <c r="BF1465" s="73"/>
      <c r="BG1465" s="73"/>
      <c r="BH1465" s="73"/>
      <c r="BI1465" s="73"/>
      <c r="BJ1465" s="73"/>
      <c r="BK1465" s="73"/>
      <c r="BL1465" s="73"/>
      <c r="BM1465" s="73"/>
      <c r="BN1465" s="73"/>
      <c r="BO1465" s="73"/>
      <c r="BP1465" s="73"/>
      <c r="BQ1465" s="73"/>
      <c r="BR1465" s="73"/>
      <c r="BS1465" s="73"/>
      <c r="BT1465" s="73"/>
      <c r="BU1465" s="73"/>
      <c r="BV1465" s="73"/>
      <c r="BW1465" s="73"/>
      <c r="BX1465" s="73"/>
      <c r="BY1465" s="73"/>
      <c r="BZ1465" s="73"/>
      <c r="CA1465" s="73"/>
      <c r="CB1465" s="73"/>
      <c r="CC1465" s="73"/>
      <c r="CD1465" s="73"/>
      <c r="CE1465" s="73"/>
      <c r="CF1465" s="73"/>
      <c r="CG1465" s="73"/>
      <c r="CH1465" s="73"/>
    </row>
    <row r="1466">
      <c r="A1466" s="80"/>
      <c r="B1466" s="80"/>
      <c r="C1466" s="80"/>
      <c r="D1466" s="80"/>
      <c r="E1466" s="124"/>
      <c r="F1466" s="80"/>
      <c r="G1466" s="80"/>
      <c r="H1466" s="80"/>
      <c r="I1466" s="80"/>
      <c r="J1466" s="196"/>
      <c r="K1466" s="196"/>
      <c r="L1466" s="196"/>
      <c r="M1466" s="196"/>
      <c r="N1466" s="196"/>
      <c r="O1466" s="196"/>
      <c r="P1466" s="196"/>
      <c r="Q1466" s="196"/>
      <c r="R1466" s="196"/>
      <c r="S1466" s="196"/>
      <c r="T1466" s="196"/>
      <c r="U1466" s="196"/>
      <c r="V1466" s="196"/>
      <c r="W1466" s="196"/>
      <c r="X1466" s="196"/>
      <c r="Y1466" s="196"/>
      <c r="Z1466" s="196"/>
      <c r="AA1466" s="196"/>
      <c r="AB1466" s="196"/>
      <c r="AC1466" s="196"/>
      <c r="AD1466" s="196"/>
      <c r="AE1466" s="196"/>
      <c r="AF1466" s="196"/>
      <c r="AG1466" s="196"/>
      <c r="AH1466" s="196"/>
      <c r="AI1466" s="196"/>
      <c r="AJ1466" s="197"/>
      <c r="AK1466" s="80"/>
      <c r="AL1466" s="80"/>
      <c r="AM1466" s="73"/>
      <c r="AN1466" s="73"/>
      <c r="AO1466" s="73"/>
      <c r="AP1466" s="73"/>
      <c r="AQ1466" s="73"/>
      <c r="AR1466" s="73"/>
      <c r="AS1466" s="73"/>
      <c r="AT1466" s="73"/>
      <c r="AU1466" s="73"/>
      <c r="AV1466" s="73"/>
      <c r="AW1466" s="73"/>
      <c r="AX1466" s="73"/>
      <c r="AY1466" s="73"/>
      <c r="AZ1466" s="73"/>
      <c r="BA1466" s="73"/>
      <c r="BB1466" s="73"/>
      <c r="BC1466" s="73"/>
      <c r="BD1466" s="73"/>
      <c r="BE1466" s="73"/>
      <c r="BF1466" s="73"/>
      <c r="BG1466" s="73"/>
      <c r="BH1466" s="73"/>
      <c r="BI1466" s="73"/>
      <c r="BJ1466" s="73"/>
      <c r="BK1466" s="73"/>
      <c r="BL1466" s="73"/>
      <c r="BM1466" s="73"/>
      <c r="BN1466" s="73"/>
      <c r="BO1466" s="73"/>
      <c r="BP1466" s="73"/>
      <c r="BQ1466" s="73"/>
      <c r="BR1466" s="73"/>
      <c r="BS1466" s="73"/>
      <c r="BT1466" s="73"/>
      <c r="BU1466" s="73"/>
      <c r="BV1466" s="73"/>
      <c r="BW1466" s="73"/>
      <c r="BX1466" s="73"/>
      <c r="BY1466" s="73"/>
      <c r="BZ1466" s="73"/>
      <c r="CA1466" s="73"/>
      <c r="CB1466" s="73"/>
      <c r="CC1466" s="73"/>
      <c r="CD1466" s="73"/>
      <c r="CE1466" s="73"/>
      <c r="CF1466" s="73"/>
      <c r="CG1466" s="73"/>
      <c r="CH1466" s="73"/>
    </row>
    <row r="1467">
      <c r="A1467" s="80"/>
      <c r="B1467" s="80"/>
      <c r="C1467" s="80"/>
      <c r="D1467" s="80"/>
      <c r="E1467" s="124"/>
      <c r="F1467" s="80"/>
      <c r="G1467" s="80"/>
      <c r="H1467" s="80"/>
      <c r="I1467" s="80"/>
      <c r="J1467" s="196"/>
      <c r="K1467" s="196"/>
      <c r="L1467" s="196"/>
      <c r="M1467" s="196"/>
      <c r="N1467" s="196"/>
      <c r="O1467" s="196"/>
      <c r="P1467" s="196"/>
      <c r="Q1467" s="196"/>
      <c r="R1467" s="196"/>
      <c r="S1467" s="196"/>
      <c r="T1467" s="196"/>
      <c r="U1467" s="196"/>
      <c r="V1467" s="196"/>
      <c r="W1467" s="196"/>
      <c r="X1467" s="196"/>
      <c r="Y1467" s="196"/>
      <c r="Z1467" s="196"/>
      <c r="AA1467" s="196"/>
      <c r="AB1467" s="196"/>
      <c r="AC1467" s="196"/>
      <c r="AD1467" s="196"/>
      <c r="AE1467" s="196"/>
      <c r="AF1467" s="196"/>
      <c r="AG1467" s="196"/>
      <c r="AH1467" s="196"/>
      <c r="AI1467" s="196"/>
      <c r="AJ1467" s="197"/>
      <c r="AK1467" s="80"/>
      <c r="AL1467" s="80"/>
      <c r="AM1467" s="73"/>
      <c r="AN1467" s="73"/>
      <c r="AO1467" s="73"/>
      <c r="AP1467" s="73"/>
      <c r="AQ1467" s="73"/>
      <c r="AR1467" s="73"/>
      <c r="AS1467" s="73"/>
      <c r="AT1467" s="73"/>
      <c r="AU1467" s="73"/>
      <c r="AV1467" s="73"/>
      <c r="AW1467" s="73"/>
      <c r="AX1467" s="73"/>
      <c r="AY1467" s="73"/>
      <c r="AZ1467" s="73"/>
      <c r="BA1467" s="73"/>
      <c r="BB1467" s="73"/>
      <c r="BC1467" s="73"/>
      <c r="BD1467" s="73"/>
      <c r="BE1467" s="73"/>
      <c r="BF1467" s="73"/>
      <c r="BG1467" s="73"/>
      <c r="BH1467" s="73"/>
      <c r="BI1467" s="73"/>
      <c r="BJ1467" s="73"/>
      <c r="BK1467" s="73"/>
      <c r="BL1467" s="73"/>
      <c r="BM1467" s="73"/>
      <c r="BN1467" s="73"/>
      <c r="BO1467" s="73"/>
      <c r="BP1467" s="73"/>
      <c r="BQ1467" s="73"/>
      <c r="BR1467" s="73"/>
      <c r="BS1467" s="73"/>
      <c r="BT1467" s="73"/>
      <c r="BU1467" s="73"/>
      <c r="BV1467" s="73"/>
      <c r="BW1467" s="73"/>
      <c r="BX1467" s="73"/>
      <c r="BY1467" s="73"/>
      <c r="BZ1467" s="73"/>
      <c r="CA1467" s="73"/>
      <c r="CB1467" s="73"/>
      <c r="CC1467" s="73"/>
      <c r="CD1467" s="73"/>
      <c r="CE1467" s="73"/>
      <c r="CF1467" s="73"/>
      <c r="CG1467" s="73"/>
      <c r="CH1467" s="73"/>
    </row>
    <row r="1468">
      <c r="A1468" s="80"/>
      <c r="B1468" s="80"/>
      <c r="C1468" s="80"/>
      <c r="D1468" s="80"/>
      <c r="E1468" s="124"/>
      <c r="F1468" s="80"/>
      <c r="G1468" s="80"/>
      <c r="H1468" s="80"/>
      <c r="I1468" s="80"/>
      <c r="J1468" s="196"/>
      <c r="K1468" s="196"/>
      <c r="L1468" s="196"/>
      <c r="M1468" s="196"/>
      <c r="N1468" s="196"/>
      <c r="O1468" s="196"/>
      <c r="P1468" s="196"/>
      <c r="Q1468" s="196"/>
      <c r="R1468" s="196"/>
      <c r="S1468" s="196"/>
      <c r="T1468" s="196"/>
      <c r="U1468" s="196"/>
      <c r="V1468" s="196"/>
      <c r="W1468" s="196"/>
      <c r="X1468" s="196"/>
      <c r="Y1468" s="196"/>
      <c r="Z1468" s="196"/>
      <c r="AA1468" s="196"/>
      <c r="AB1468" s="196"/>
      <c r="AC1468" s="196"/>
      <c r="AD1468" s="196"/>
      <c r="AE1468" s="196"/>
      <c r="AF1468" s="196"/>
      <c r="AG1468" s="196"/>
      <c r="AH1468" s="196"/>
      <c r="AI1468" s="196"/>
      <c r="AJ1468" s="197"/>
      <c r="AK1468" s="80"/>
      <c r="AL1468" s="80"/>
      <c r="AM1468" s="73"/>
      <c r="AN1468" s="73"/>
      <c r="AO1468" s="73"/>
      <c r="AP1468" s="73"/>
      <c r="AQ1468" s="73"/>
      <c r="AR1468" s="73"/>
      <c r="AS1468" s="73"/>
      <c r="AT1468" s="73"/>
      <c r="AU1468" s="73"/>
      <c r="AV1468" s="73"/>
      <c r="AW1468" s="73"/>
      <c r="AX1468" s="73"/>
      <c r="AY1468" s="73"/>
      <c r="AZ1468" s="73"/>
      <c r="BA1468" s="73"/>
      <c r="BB1468" s="73"/>
      <c r="BC1468" s="73"/>
      <c r="BD1468" s="73"/>
      <c r="BE1468" s="73"/>
      <c r="BF1468" s="73"/>
      <c r="BG1468" s="73"/>
      <c r="BH1468" s="73"/>
      <c r="BI1468" s="73"/>
      <c r="BJ1468" s="73"/>
      <c r="BK1468" s="73"/>
      <c r="BL1468" s="73"/>
      <c r="BM1468" s="73"/>
      <c r="BN1468" s="73"/>
      <c r="BO1468" s="73"/>
      <c r="BP1468" s="73"/>
      <c r="BQ1468" s="73"/>
      <c r="BR1468" s="73"/>
      <c r="BS1468" s="73"/>
      <c r="BT1468" s="73"/>
      <c r="BU1468" s="73"/>
      <c r="BV1468" s="73"/>
      <c r="BW1468" s="73"/>
      <c r="BX1468" s="73"/>
      <c r="BY1468" s="73"/>
      <c r="BZ1468" s="73"/>
      <c r="CA1468" s="73"/>
      <c r="CB1468" s="73"/>
      <c r="CC1468" s="73"/>
      <c r="CD1468" s="73"/>
      <c r="CE1468" s="73"/>
      <c r="CF1468" s="73"/>
      <c r="CG1468" s="73"/>
      <c r="CH1468" s="73"/>
    </row>
    <row r="1469">
      <c r="A1469" s="80"/>
      <c r="B1469" s="80"/>
      <c r="C1469" s="80"/>
      <c r="D1469" s="80"/>
      <c r="E1469" s="124"/>
      <c r="F1469" s="80"/>
      <c r="G1469" s="80"/>
      <c r="H1469" s="80"/>
      <c r="I1469" s="80"/>
      <c r="J1469" s="196"/>
      <c r="K1469" s="196"/>
      <c r="L1469" s="196"/>
      <c r="M1469" s="196"/>
      <c r="N1469" s="196"/>
      <c r="O1469" s="196"/>
      <c r="P1469" s="196"/>
      <c r="Q1469" s="196"/>
      <c r="R1469" s="196"/>
      <c r="S1469" s="196"/>
      <c r="T1469" s="196"/>
      <c r="U1469" s="196"/>
      <c r="V1469" s="196"/>
      <c r="W1469" s="196"/>
      <c r="X1469" s="196"/>
      <c r="Y1469" s="196"/>
      <c r="Z1469" s="196"/>
      <c r="AA1469" s="196"/>
      <c r="AB1469" s="196"/>
      <c r="AC1469" s="196"/>
      <c r="AD1469" s="196"/>
      <c r="AE1469" s="196"/>
      <c r="AF1469" s="196"/>
      <c r="AG1469" s="196"/>
      <c r="AH1469" s="196"/>
      <c r="AI1469" s="196"/>
      <c r="AJ1469" s="197"/>
      <c r="AK1469" s="80"/>
      <c r="AL1469" s="80"/>
      <c r="AM1469" s="73"/>
      <c r="AN1469" s="73"/>
      <c r="AO1469" s="73"/>
      <c r="AP1469" s="73"/>
      <c r="AQ1469" s="73"/>
      <c r="AR1469" s="73"/>
      <c r="AS1469" s="73"/>
      <c r="AT1469" s="73"/>
      <c r="AU1469" s="73"/>
      <c r="AV1469" s="73"/>
      <c r="AW1469" s="73"/>
      <c r="AX1469" s="73"/>
      <c r="AY1469" s="73"/>
      <c r="AZ1469" s="73"/>
      <c r="BA1469" s="73"/>
      <c r="BB1469" s="73"/>
      <c r="BC1469" s="73"/>
      <c r="BD1469" s="73"/>
      <c r="BE1469" s="73"/>
      <c r="BF1469" s="73"/>
      <c r="BG1469" s="73"/>
      <c r="BH1469" s="73"/>
      <c r="BI1469" s="73"/>
      <c r="BJ1469" s="73"/>
      <c r="BK1469" s="73"/>
      <c r="BL1469" s="73"/>
      <c r="BM1469" s="73"/>
      <c r="BN1469" s="73"/>
      <c r="BO1469" s="73"/>
      <c r="BP1469" s="73"/>
      <c r="BQ1469" s="73"/>
      <c r="BR1469" s="73"/>
      <c r="BS1469" s="73"/>
      <c r="BT1469" s="73"/>
      <c r="BU1469" s="73"/>
      <c r="BV1469" s="73"/>
      <c r="BW1469" s="73"/>
      <c r="BX1469" s="73"/>
      <c r="BY1469" s="73"/>
      <c r="BZ1469" s="73"/>
      <c r="CA1469" s="73"/>
      <c r="CB1469" s="73"/>
      <c r="CC1469" s="73"/>
      <c r="CD1469" s="73"/>
      <c r="CE1469" s="73"/>
      <c r="CF1469" s="73"/>
      <c r="CG1469" s="73"/>
      <c r="CH1469" s="73"/>
    </row>
    <row r="1470">
      <c r="A1470" s="80"/>
      <c r="B1470" s="80"/>
      <c r="C1470" s="80"/>
      <c r="D1470" s="80"/>
      <c r="E1470" s="124"/>
      <c r="F1470" s="80"/>
      <c r="G1470" s="80"/>
      <c r="H1470" s="80"/>
      <c r="I1470" s="80"/>
      <c r="J1470" s="196"/>
      <c r="K1470" s="196"/>
      <c r="L1470" s="196"/>
      <c r="M1470" s="196"/>
      <c r="N1470" s="196"/>
      <c r="O1470" s="196"/>
      <c r="P1470" s="196"/>
      <c r="Q1470" s="196"/>
      <c r="R1470" s="196"/>
      <c r="S1470" s="196"/>
      <c r="T1470" s="196"/>
      <c r="U1470" s="196"/>
      <c r="V1470" s="196"/>
      <c r="W1470" s="196"/>
      <c r="X1470" s="196"/>
      <c r="Y1470" s="196"/>
      <c r="Z1470" s="196"/>
      <c r="AA1470" s="196"/>
      <c r="AB1470" s="196"/>
      <c r="AC1470" s="196"/>
      <c r="AD1470" s="196"/>
      <c r="AE1470" s="196"/>
      <c r="AF1470" s="196"/>
      <c r="AG1470" s="196"/>
      <c r="AH1470" s="196"/>
      <c r="AI1470" s="196"/>
      <c r="AJ1470" s="197"/>
      <c r="AK1470" s="80"/>
      <c r="AL1470" s="80"/>
      <c r="AM1470" s="73"/>
      <c r="AN1470" s="73"/>
      <c r="AO1470" s="73"/>
      <c r="AP1470" s="73"/>
      <c r="AQ1470" s="73"/>
      <c r="AR1470" s="73"/>
      <c r="AS1470" s="73"/>
      <c r="AT1470" s="73"/>
      <c r="AU1470" s="73"/>
      <c r="AV1470" s="73"/>
      <c r="AW1470" s="73"/>
      <c r="AX1470" s="73"/>
      <c r="AY1470" s="73"/>
      <c r="AZ1470" s="73"/>
      <c r="BA1470" s="73"/>
      <c r="BB1470" s="73"/>
      <c r="BC1470" s="73"/>
      <c r="BD1470" s="73"/>
      <c r="BE1470" s="73"/>
      <c r="BF1470" s="73"/>
      <c r="BG1470" s="73"/>
      <c r="BH1470" s="73"/>
      <c r="BI1470" s="73"/>
      <c r="BJ1470" s="73"/>
      <c r="BK1470" s="73"/>
      <c r="BL1470" s="73"/>
      <c r="BM1470" s="73"/>
      <c r="BN1470" s="73"/>
      <c r="BO1470" s="73"/>
      <c r="BP1470" s="73"/>
      <c r="BQ1470" s="73"/>
      <c r="BR1470" s="73"/>
      <c r="BS1470" s="73"/>
      <c r="BT1470" s="73"/>
      <c r="BU1470" s="73"/>
      <c r="BV1470" s="73"/>
      <c r="BW1470" s="73"/>
      <c r="BX1470" s="73"/>
      <c r="BY1470" s="73"/>
      <c r="BZ1470" s="73"/>
      <c r="CA1470" s="73"/>
      <c r="CB1470" s="73"/>
      <c r="CC1470" s="73"/>
      <c r="CD1470" s="73"/>
      <c r="CE1470" s="73"/>
      <c r="CF1470" s="73"/>
      <c r="CG1470" s="73"/>
      <c r="CH1470" s="73"/>
    </row>
    <row r="1471">
      <c r="A1471" s="80"/>
      <c r="B1471" s="80"/>
      <c r="C1471" s="80"/>
      <c r="D1471" s="80"/>
      <c r="E1471" s="124"/>
      <c r="F1471" s="80"/>
      <c r="G1471" s="80"/>
      <c r="H1471" s="80"/>
      <c r="I1471" s="80"/>
      <c r="J1471" s="196"/>
      <c r="K1471" s="196"/>
      <c r="L1471" s="196"/>
      <c r="M1471" s="196"/>
      <c r="N1471" s="196"/>
      <c r="O1471" s="196"/>
      <c r="P1471" s="196"/>
      <c r="Q1471" s="196"/>
      <c r="R1471" s="196"/>
      <c r="S1471" s="196"/>
      <c r="T1471" s="196"/>
      <c r="U1471" s="196"/>
      <c r="V1471" s="196"/>
      <c r="W1471" s="196"/>
      <c r="X1471" s="196"/>
      <c r="Y1471" s="196"/>
      <c r="Z1471" s="196"/>
      <c r="AA1471" s="196"/>
      <c r="AB1471" s="196"/>
      <c r="AC1471" s="196"/>
      <c r="AD1471" s="196"/>
      <c r="AE1471" s="196"/>
      <c r="AF1471" s="196"/>
      <c r="AG1471" s="196"/>
      <c r="AH1471" s="196"/>
      <c r="AI1471" s="196"/>
      <c r="AJ1471" s="197"/>
      <c r="AK1471" s="80"/>
      <c r="AL1471" s="80"/>
      <c r="AM1471" s="73"/>
      <c r="AN1471" s="73"/>
      <c r="AO1471" s="73"/>
      <c r="AP1471" s="73"/>
      <c r="AQ1471" s="73"/>
      <c r="AR1471" s="73"/>
      <c r="AS1471" s="73"/>
      <c r="AT1471" s="73"/>
      <c r="AU1471" s="73"/>
      <c r="AV1471" s="73"/>
      <c r="AW1471" s="73"/>
      <c r="AX1471" s="73"/>
      <c r="AY1471" s="73"/>
      <c r="AZ1471" s="73"/>
      <c r="BA1471" s="73"/>
      <c r="BB1471" s="73"/>
      <c r="BC1471" s="73"/>
      <c r="BD1471" s="73"/>
      <c r="BE1471" s="73"/>
      <c r="BF1471" s="73"/>
      <c r="BG1471" s="73"/>
      <c r="BH1471" s="73"/>
      <c r="BI1471" s="73"/>
      <c r="BJ1471" s="73"/>
      <c r="BK1471" s="73"/>
      <c r="BL1471" s="73"/>
      <c r="BM1471" s="73"/>
      <c r="BN1471" s="73"/>
      <c r="BO1471" s="73"/>
      <c r="BP1471" s="73"/>
      <c r="BQ1471" s="73"/>
      <c r="BR1471" s="73"/>
      <c r="BS1471" s="73"/>
      <c r="BT1471" s="73"/>
      <c r="BU1471" s="73"/>
      <c r="BV1471" s="73"/>
      <c r="BW1471" s="73"/>
      <c r="BX1471" s="73"/>
      <c r="BY1471" s="73"/>
      <c r="BZ1471" s="73"/>
      <c r="CA1471" s="73"/>
      <c r="CB1471" s="73"/>
      <c r="CC1471" s="73"/>
      <c r="CD1471" s="73"/>
      <c r="CE1471" s="73"/>
      <c r="CF1471" s="73"/>
      <c r="CG1471" s="73"/>
      <c r="CH1471" s="73"/>
    </row>
    <row r="1472">
      <c r="A1472" s="80"/>
      <c r="B1472" s="80"/>
      <c r="C1472" s="80"/>
      <c r="D1472" s="80"/>
      <c r="E1472" s="124"/>
      <c r="F1472" s="80"/>
      <c r="G1472" s="80"/>
      <c r="H1472" s="80"/>
      <c r="I1472" s="80"/>
      <c r="J1472" s="196"/>
      <c r="K1472" s="196"/>
      <c r="L1472" s="196"/>
      <c r="M1472" s="196"/>
      <c r="N1472" s="196"/>
      <c r="O1472" s="196"/>
      <c r="P1472" s="196"/>
      <c r="Q1472" s="196"/>
      <c r="R1472" s="196"/>
      <c r="S1472" s="196"/>
      <c r="T1472" s="196"/>
      <c r="U1472" s="196"/>
      <c r="V1472" s="196"/>
      <c r="W1472" s="196"/>
      <c r="X1472" s="196"/>
      <c r="Y1472" s="196"/>
      <c r="Z1472" s="196"/>
      <c r="AA1472" s="196"/>
      <c r="AB1472" s="196"/>
      <c r="AC1472" s="196"/>
      <c r="AD1472" s="196"/>
      <c r="AE1472" s="196"/>
      <c r="AF1472" s="196"/>
      <c r="AG1472" s="196"/>
      <c r="AH1472" s="196"/>
      <c r="AI1472" s="196"/>
      <c r="AJ1472" s="197"/>
      <c r="AK1472" s="80"/>
      <c r="AL1472" s="80"/>
      <c r="AM1472" s="73"/>
      <c r="AN1472" s="73"/>
      <c r="AO1472" s="73"/>
      <c r="AP1472" s="73"/>
      <c r="AQ1472" s="73"/>
      <c r="AR1472" s="73"/>
      <c r="AS1472" s="73"/>
      <c r="AT1472" s="73"/>
      <c r="AU1472" s="73"/>
      <c r="AV1472" s="73"/>
      <c r="AW1472" s="73"/>
      <c r="AX1472" s="73"/>
      <c r="AY1472" s="73"/>
      <c r="AZ1472" s="73"/>
      <c r="BA1472" s="73"/>
      <c r="BB1472" s="73"/>
      <c r="BC1472" s="73"/>
      <c r="BD1472" s="73"/>
      <c r="BE1472" s="73"/>
      <c r="BF1472" s="73"/>
      <c r="BG1472" s="73"/>
      <c r="BH1472" s="73"/>
      <c r="BI1472" s="73"/>
      <c r="BJ1472" s="73"/>
      <c r="BK1472" s="73"/>
      <c r="BL1472" s="73"/>
      <c r="BM1472" s="73"/>
      <c r="BN1472" s="73"/>
      <c r="BO1472" s="73"/>
      <c r="BP1472" s="73"/>
      <c r="BQ1472" s="73"/>
      <c r="BR1472" s="73"/>
      <c r="BS1472" s="73"/>
      <c r="BT1472" s="73"/>
      <c r="BU1472" s="73"/>
      <c r="BV1472" s="73"/>
      <c r="BW1472" s="73"/>
      <c r="BX1472" s="73"/>
      <c r="BY1472" s="73"/>
      <c r="BZ1472" s="73"/>
      <c r="CA1472" s="73"/>
      <c r="CB1472" s="73"/>
      <c r="CC1472" s="73"/>
      <c r="CD1472" s="73"/>
      <c r="CE1472" s="73"/>
      <c r="CF1472" s="73"/>
      <c r="CG1472" s="73"/>
      <c r="CH1472" s="73"/>
    </row>
    <row r="1473">
      <c r="A1473" s="80"/>
      <c r="B1473" s="80"/>
      <c r="C1473" s="80"/>
      <c r="D1473" s="80"/>
      <c r="E1473" s="124"/>
      <c r="F1473" s="80"/>
      <c r="G1473" s="80"/>
      <c r="H1473" s="80"/>
      <c r="I1473" s="80"/>
      <c r="J1473" s="196"/>
      <c r="K1473" s="196"/>
      <c r="L1473" s="196"/>
      <c r="M1473" s="196"/>
      <c r="N1473" s="196"/>
      <c r="O1473" s="196"/>
      <c r="P1473" s="196"/>
      <c r="Q1473" s="196"/>
      <c r="R1473" s="196"/>
      <c r="S1473" s="196"/>
      <c r="T1473" s="196"/>
      <c r="U1473" s="196"/>
      <c r="V1473" s="196"/>
      <c r="W1473" s="196"/>
      <c r="X1473" s="196"/>
      <c r="Y1473" s="196"/>
      <c r="Z1473" s="196"/>
      <c r="AA1473" s="196"/>
      <c r="AB1473" s="196"/>
      <c r="AC1473" s="196"/>
      <c r="AD1473" s="196"/>
      <c r="AE1473" s="196"/>
      <c r="AF1473" s="196"/>
      <c r="AG1473" s="196"/>
      <c r="AH1473" s="196"/>
      <c r="AI1473" s="196"/>
      <c r="AJ1473" s="197"/>
      <c r="AK1473" s="80"/>
      <c r="AL1473" s="80"/>
      <c r="AM1473" s="73"/>
      <c r="AN1473" s="73"/>
      <c r="AO1473" s="73"/>
      <c r="AP1473" s="73"/>
      <c r="AQ1473" s="73"/>
      <c r="AR1473" s="73"/>
      <c r="AS1473" s="73"/>
      <c r="AT1473" s="73"/>
      <c r="AU1473" s="73"/>
      <c r="AV1473" s="73"/>
      <c r="AW1473" s="73"/>
      <c r="AX1473" s="73"/>
      <c r="AY1473" s="73"/>
      <c r="AZ1473" s="73"/>
      <c r="BA1473" s="73"/>
      <c r="BB1473" s="73"/>
      <c r="BC1473" s="73"/>
      <c r="BD1473" s="73"/>
      <c r="BE1473" s="73"/>
      <c r="BF1473" s="73"/>
      <c r="BG1473" s="73"/>
      <c r="BH1473" s="73"/>
      <c r="BI1473" s="73"/>
      <c r="BJ1473" s="73"/>
      <c r="BK1473" s="73"/>
      <c r="BL1473" s="73"/>
      <c r="BM1473" s="73"/>
      <c r="BN1473" s="73"/>
      <c r="BO1473" s="73"/>
      <c r="BP1473" s="73"/>
      <c r="BQ1473" s="73"/>
      <c r="BR1473" s="73"/>
      <c r="BS1473" s="73"/>
      <c r="BT1473" s="73"/>
      <c r="BU1473" s="73"/>
      <c r="BV1473" s="73"/>
      <c r="BW1473" s="73"/>
      <c r="BX1473" s="73"/>
      <c r="BY1473" s="73"/>
      <c r="BZ1473" s="73"/>
      <c r="CA1473" s="73"/>
      <c r="CB1473" s="73"/>
      <c r="CC1473" s="73"/>
      <c r="CD1473" s="73"/>
      <c r="CE1473" s="73"/>
      <c r="CF1473" s="73"/>
      <c r="CG1473" s="73"/>
      <c r="CH1473" s="73"/>
    </row>
    <row r="1474">
      <c r="A1474" s="80"/>
      <c r="B1474" s="80"/>
      <c r="C1474" s="80"/>
      <c r="D1474" s="80"/>
      <c r="E1474" s="124"/>
      <c r="F1474" s="80"/>
      <c r="G1474" s="80"/>
      <c r="H1474" s="80"/>
      <c r="I1474" s="80"/>
      <c r="J1474" s="196"/>
      <c r="K1474" s="196"/>
      <c r="L1474" s="196"/>
      <c r="M1474" s="196"/>
      <c r="N1474" s="196"/>
      <c r="O1474" s="196"/>
      <c r="P1474" s="196"/>
      <c r="Q1474" s="196"/>
      <c r="R1474" s="196"/>
      <c r="S1474" s="196"/>
      <c r="T1474" s="196"/>
      <c r="U1474" s="196"/>
      <c r="V1474" s="196"/>
      <c r="W1474" s="196"/>
      <c r="X1474" s="196"/>
      <c r="Y1474" s="196"/>
      <c r="Z1474" s="196"/>
      <c r="AA1474" s="196"/>
      <c r="AB1474" s="196"/>
      <c r="AC1474" s="196"/>
      <c r="AD1474" s="196"/>
      <c r="AE1474" s="196"/>
      <c r="AF1474" s="196"/>
      <c r="AG1474" s="196"/>
      <c r="AH1474" s="196"/>
      <c r="AI1474" s="196"/>
      <c r="AJ1474" s="197"/>
      <c r="AK1474" s="80"/>
      <c r="AL1474" s="80"/>
      <c r="AM1474" s="73"/>
      <c r="AN1474" s="73"/>
      <c r="AO1474" s="73"/>
      <c r="AP1474" s="73"/>
      <c r="AQ1474" s="73"/>
      <c r="AR1474" s="73"/>
      <c r="AS1474" s="73"/>
      <c r="AT1474" s="73"/>
      <c r="AU1474" s="73"/>
      <c r="AV1474" s="73"/>
      <c r="AW1474" s="73"/>
      <c r="AX1474" s="73"/>
      <c r="AY1474" s="73"/>
      <c r="AZ1474" s="73"/>
      <c r="BA1474" s="73"/>
      <c r="BB1474" s="73"/>
      <c r="BC1474" s="73"/>
      <c r="BD1474" s="73"/>
      <c r="BE1474" s="73"/>
      <c r="BF1474" s="73"/>
      <c r="BG1474" s="73"/>
      <c r="BH1474" s="73"/>
      <c r="BI1474" s="73"/>
      <c r="BJ1474" s="73"/>
      <c r="BK1474" s="73"/>
      <c r="BL1474" s="73"/>
      <c r="BM1474" s="73"/>
      <c r="BN1474" s="73"/>
      <c r="BO1474" s="73"/>
      <c r="BP1474" s="73"/>
      <c r="BQ1474" s="73"/>
      <c r="BR1474" s="73"/>
      <c r="BS1474" s="73"/>
      <c r="BT1474" s="73"/>
      <c r="BU1474" s="73"/>
      <c r="BV1474" s="73"/>
      <c r="BW1474" s="73"/>
      <c r="BX1474" s="73"/>
      <c r="BY1474" s="73"/>
      <c r="BZ1474" s="73"/>
      <c r="CA1474" s="73"/>
      <c r="CB1474" s="73"/>
      <c r="CC1474" s="73"/>
      <c r="CD1474" s="73"/>
      <c r="CE1474" s="73"/>
      <c r="CF1474" s="73"/>
      <c r="CG1474" s="73"/>
      <c r="CH1474" s="73"/>
    </row>
    <row r="1475">
      <c r="A1475" s="80"/>
      <c r="B1475" s="80"/>
      <c r="C1475" s="80"/>
      <c r="D1475" s="80"/>
      <c r="E1475" s="124"/>
      <c r="F1475" s="80"/>
      <c r="G1475" s="80"/>
      <c r="H1475" s="80"/>
      <c r="I1475" s="80"/>
      <c r="J1475" s="196"/>
      <c r="K1475" s="196"/>
      <c r="L1475" s="196"/>
      <c r="M1475" s="196"/>
      <c r="N1475" s="196"/>
      <c r="O1475" s="196"/>
      <c r="P1475" s="196"/>
      <c r="Q1475" s="196"/>
      <c r="R1475" s="196"/>
      <c r="S1475" s="196"/>
      <c r="T1475" s="196"/>
      <c r="U1475" s="196"/>
      <c r="V1475" s="196"/>
      <c r="W1475" s="196"/>
      <c r="X1475" s="196"/>
      <c r="Y1475" s="196"/>
      <c r="Z1475" s="196"/>
      <c r="AA1475" s="196"/>
      <c r="AB1475" s="196"/>
      <c r="AC1475" s="196"/>
      <c r="AD1475" s="196"/>
      <c r="AE1475" s="196"/>
      <c r="AF1475" s="196"/>
      <c r="AG1475" s="196"/>
      <c r="AH1475" s="196"/>
      <c r="AI1475" s="196"/>
      <c r="AJ1475" s="197"/>
      <c r="AK1475" s="80"/>
      <c r="AL1475" s="80"/>
      <c r="AM1475" s="73"/>
      <c r="AN1475" s="73"/>
      <c r="AO1475" s="73"/>
      <c r="AP1475" s="73"/>
      <c r="AQ1475" s="73"/>
      <c r="AR1475" s="73"/>
      <c r="AS1475" s="73"/>
      <c r="AT1475" s="73"/>
      <c r="AU1475" s="73"/>
      <c r="AV1475" s="73"/>
      <c r="AW1475" s="73"/>
      <c r="AX1475" s="73"/>
      <c r="AY1475" s="73"/>
      <c r="AZ1475" s="73"/>
      <c r="BA1475" s="73"/>
      <c r="BB1475" s="73"/>
      <c r="BC1475" s="73"/>
      <c r="BD1475" s="73"/>
      <c r="BE1475" s="73"/>
      <c r="BF1475" s="73"/>
      <c r="BG1475" s="73"/>
      <c r="BH1475" s="73"/>
      <c r="BI1475" s="73"/>
      <c r="BJ1475" s="73"/>
      <c r="BK1475" s="73"/>
      <c r="BL1475" s="73"/>
      <c r="BM1475" s="73"/>
      <c r="BN1475" s="73"/>
      <c r="BO1475" s="73"/>
      <c r="BP1475" s="73"/>
      <c r="BQ1475" s="73"/>
      <c r="BR1475" s="73"/>
      <c r="BS1475" s="73"/>
      <c r="BT1475" s="73"/>
      <c r="BU1475" s="73"/>
      <c r="BV1475" s="73"/>
      <c r="BW1475" s="73"/>
      <c r="BX1475" s="73"/>
      <c r="BY1475" s="73"/>
      <c r="BZ1475" s="73"/>
      <c r="CA1475" s="73"/>
      <c r="CB1475" s="73"/>
      <c r="CC1475" s="73"/>
      <c r="CD1475" s="73"/>
      <c r="CE1475" s="73"/>
      <c r="CF1475" s="73"/>
      <c r="CG1475" s="73"/>
      <c r="CH1475" s="73"/>
    </row>
    <row r="1476">
      <c r="A1476" s="80"/>
      <c r="B1476" s="80"/>
      <c r="C1476" s="80"/>
      <c r="D1476" s="80"/>
      <c r="E1476" s="124"/>
      <c r="F1476" s="80"/>
      <c r="G1476" s="80"/>
      <c r="H1476" s="80"/>
      <c r="I1476" s="80"/>
      <c r="J1476" s="196"/>
      <c r="K1476" s="196"/>
      <c r="L1476" s="196"/>
      <c r="M1476" s="196"/>
      <c r="N1476" s="196"/>
      <c r="O1476" s="196"/>
      <c r="P1476" s="196"/>
      <c r="Q1476" s="196"/>
      <c r="R1476" s="196"/>
      <c r="S1476" s="196"/>
      <c r="T1476" s="196"/>
      <c r="U1476" s="196"/>
      <c r="V1476" s="196"/>
      <c r="W1476" s="196"/>
      <c r="X1476" s="196"/>
      <c r="Y1476" s="196"/>
      <c r="Z1476" s="196"/>
      <c r="AA1476" s="196"/>
      <c r="AB1476" s="196"/>
      <c r="AC1476" s="196"/>
      <c r="AD1476" s="196"/>
      <c r="AE1476" s="196"/>
      <c r="AF1476" s="196"/>
      <c r="AG1476" s="196"/>
      <c r="AH1476" s="196"/>
      <c r="AI1476" s="196"/>
      <c r="AJ1476" s="197"/>
      <c r="AK1476" s="80"/>
      <c r="AL1476" s="80"/>
      <c r="AM1476" s="73"/>
      <c r="AN1476" s="73"/>
      <c r="AO1476" s="73"/>
      <c r="AP1476" s="73"/>
      <c r="AQ1476" s="73"/>
      <c r="AR1476" s="73"/>
      <c r="AS1476" s="73"/>
      <c r="AT1476" s="73"/>
      <c r="AU1476" s="73"/>
      <c r="AV1476" s="73"/>
      <c r="AW1476" s="73"/>
      <c r="AX1476" s="73"/>
      <c r="AY1476" s="73"/>
      <c r="AZ1476" s="73"/>
      <c r="BA1476" s="73"/>
      <c r="BB1476" s="73"/>
      <c r="BC1476" s="73"/>
      <c r="BD1476" s="73"/>
      <c r="BE1476" s="73"/>
      <c r="BF1476" s="73"/>
      <c r="BG1476" s="73"/>
      <c r="BH1476" s="73"/>
      <c r="BI1476" s="73"/>
      <c r="BJ1476" s="73"/>
      <c r="BK1476" s="73"/>
      <c r="BL1476" s="73"/>
      <c r="BM1476" s="73"/>
      <c r="BN1476" s="73"/>
      <c r="BO1476" s="73"/>
      <c r="BP1476" s="73"/>
      <c r="BQ1476" s="73"/>
      <c r="BR1476" s="73"/>
      <c r="BS1476" s="73"/>
      <c r="BT1476" s="73"/>
      <c r="BU1476" s="73"/>
      <c r="BV1476" s="73"/>
      <c r="BW1476" s="73"/>
      <c r="BX1476" s="73"/>
      <c r="BY1476" s="73"/>
      <c r="BZ1476" s="73"/>
      <c r="CA1476" s="73"/>
      <c r="CB1476" s="73"/>
      <c r="CC1476" s="73"/>
      <c r="CD1476" s="73"/>
      <c r="CE1476" s="73"/>
      <c r="CF1476" s="73"/>
      <c r="CG1476" s="73"/>
      <c r="CH1476" s="73"/>
    </row>
    <row r="1477">
      <c r="A1477" s="80"/>
      <c r="B1477" s="80"/>
      <c r="C1477" s="80"/>
      <c r="D1477" s="80"/>
      <c r="E1477" s="124"/>
      <c r="F1477" s="80"/>
      <c r="G1477" s="80"/>
      <c r="H1477" s="80"/>
      <c r="I1477" s="80"/>
      <c r="J1477" s="196"/>
      <c r="K1477" s="196"/>
      <c r="L1477" s="196"/>
      <c r="M1477" s="196"/>
      <c r="N1477" s="196"/>
      <c r="O1477" s="196"/>
      <c r="P1477" s="196"/>
      <c r="Q1477" s="196"/>
      <c r="R1477" s="196"/>
      <c r="S1477" s="196"/>
      <c r="T1477" s="196"/>
      <c r="U1477" s="196"/>
      <c r="V1477" s="196"/>
      <c r="W1477" s="196"/>
      <c r="X1477" s="196"/>
      <c r="Y1477" s="196"/>
      <c r="Z1477" s="196"/>
      <c r="AA1477" s="196"/>
      <c r="AB1477" s="196"/>
      <c r="AC1477" s="196"/>
      <c r="AD1477" s="196"/>
      <c r="AE1477" s="196"/>
      <c r="AF1477" s="196"/>
      <c r="AG1477" s="196"/>
      <c r="AH1477" s="196"/>
      <c r="AI1477" s="196"/>
      <c r="AJ1477" s="197"/>
      <c r="AK1477" s="80"/>
      <c r="AL1477" s="80"/>
      <c r="AM1477" s="73"/>
      <c r="AN1477" s="73"/>
      <c r="AO1477" s="73"/>
      <c r="AP1477" s="73"/>
      <c r="AQ1477" s="73"/>
      <c r="AR1477" s="73"/>
      <c r="AS1477" s="73"/>
      <c r="AT1477" s="73"/>
      <c r="AU1477" s="73"/>
      <c r="AV1477" s="73"/>
      <c r="AW1477" s="73"/>
      <c r="AX1477" s="73"/>
      <c r="AY1477" s="73"/>
      <c r="AZ1477" s="73"/>
      <c r="BA1477" s="73"/>
      <c r="BB1477" s="73"/>
      <c r="BC1477" s="73"/>
      <c r="BD1477" s="73"/>
      <c r="BE1477" s="73"/>
      <c r="BF1477" s="73"/>
      <c r="BG1477" s="73"/>
      <c r="BH1477" s="73"/>
      <c r="BI1477" s="73"/>
      <c r="BJ1477" s="73"/>
      <c r="BK1477" s="73"/>
      <c r="BL1477" s="73"/>
      <c r="BM1477" s="73"/>
      <c r="BN1477" s="73"/>
      <c r="BO1477" s="73"/>
      <c r="BP1477" s="73"/>
      <c r="BQ1477" s="73"/>
      <c r="BR1477" s="73"/>
      <c r="BS1477" s="73"/>
      <c r="BT1477" s="73"/>
      <c r="BU1477" s="73"/>
      <c r="BV1477" s="73"/>
      <c r="BW1477" s="73"/>
      <c r="BX1477" s="73"/>
      <c r="BY1477" s="73"/>
      <c r="BZ1477" s="73"/>
      <c r="CA1477" s="73"/>
      <c r="CB1477" s="73"/>
      <c r="CC1477" s="73"/>
      <c r="CD1477" s="73"/>
      <c r="CE1477" s="73"/>
      <c r="CF1477" s="73"/>
      <c r="CG1477" s="73"/>
      <c r="CH1477" s="73"/>
    </row>
    <row r="1478">
      <c r="A1478" s="80"/>
      <c r="B1478" s="80"/>
      <c r="C1478" s="80"/>
      <c r="D1478" s="80"/>
      <c r="E1478" s="124"/>
      <c r="F1478" s="80"/>
      <c r="G1478" s="80"/>
      <c r="H1478" s="80"/>
      <c r="I1478" s="80"/>
      <c r="J1478" s="196"/>
      <c r="K1478" s="196"/>
      <c r="L1478" s="196"/>
      <c r="M1478" s="196"/>
      <c r="N1478" s="196"/>
      <c r="O1478" s="196"/>
      <c r="P1478" s="196"/>
      <c r="Q1478" s="196"/>
      <c r="R1478" s="196"/>
      <c r="S1478" s="196"/>
      <c r="T1478" s="196"/>
      <c r="U1478" s="196"/>
      <c r="V1478" s="196"/>
      <c r="W1478" s="196"/>
      <c r="X1478" s="196"/>
      <c r="Y1478" s="196"/>
      <c r="Z1478" s="196"/>
      <c r="AA1478" s="196"/>
      <c r="AB1478" s="196"/>
      <c r="AC1478" s="196"/>
      <c r="AD1478" s="196"/>
      <c r="AE1478" s="196"/>
      <c r="AF1478" s="196"/>
      <c r="AG1478" s="196"/>
      <c r="AH1478" s="196"/>
      <c r="AI1478" s="196"/>
      <c r="AJ1478" s="197"/>
      <c r="AK1478" s="80"/>
      <c r="AL1478" s="80"/>
      <c r="AM1478" s="73"/>
      <c r="AN1478" s="73"/>
      <c r="AO1478" s="73"/>
      <c r="AP1478" s="73"/>
      <c r="AQ1478" s="73"/>
      <c r="AR1478" s="73"/>
      <c r="AS1478" s="73"/>
      <c r="AT1478" s="73"/>
      <c r="AU1478" s="73"/>
      <c r="AV1478" s="73"/>
      <c r="AW1478" s="73"/>
      <c r="AX1478" s="73"/>
      <c r="AY1478" s="73"/>
      <c r="AZ1478" s="73"/>
      <c r="BA1478" s="73"/>
      <c r="BB1478" s="73"/>
      <c r="BC1478" s="73"/>
      <c r="BD1478" s="73"/>
      <c r="BE1478" s="73"/>
      <c r="BF1478" s="73"/>
      <c r="BG1478" s="73"/>
      <c r="BH1478" s="73"/>
      <c r="BI1478" s="73"/>
      <c r="BJ1478" s="73"/>
      <c r="BK1478" s="73"/>
      <c r="BL1478" s="73"/>
      <c r="BM1478" s="73"/>
      <c r="BN1478" s="73"/>
      <c r="BO1478" s="73"/>
      <c r="BP1478" s="73"/>
      <c r="BQ1478" s="73"/>
      <c r="BR1478" s="73"/>
      <c r="BS1478" s="73"/>
      <c r="BT1478" s="73"/>
      <c r="BU1478" s="73"/>
      <c r="BV1478" s="73"/>
      <c r="BW1478" s="73"/>
      <c r="BX1478" s="73"/>
      <c r="BY1478" s="73"/>
      <c r="BZ1478" s="73"/>
      <c r="CA1478" s="73"/>
      <c r="CB1478" s="73"/>
      <c r="CC1478" s="73"/>
      <c r="CD1478" s="73"/>
      <c r="CE1478" s="73"/>
      <c r="CF1478" s="73"/>
      <c r="CG1478" s="73"/>
      <c r="CH1478" s="73"/>
    </row>
    <row r="1479">
      <c r="A1479" s="80"/>
      <c r="B1479" s="80"/>
      <c r="C1479" s="80"/>
      <c r="D1479" s="80"/>
      <c r="E1479" s="124"/>
      <c r="F1479" s="80"/>
      <c r="G1479" s="80"/>
      <c r="H1479" s="80"/>
      <c r="I1479" s="80"/>
      <c r="J1479" s="196"/>
      <c r="K1479" s="196"/>
      <c r="L1479" s="196"/>
      <c r="M1479" s="196"/>
      <c r="N1479" s="196"/>
      <c r="O1479" s="196"/>
      <c r="P1479" s="196"/>
      <c r="Q1479" s="196"/>
      <c r="R1479" s="196"/>
      <c r="S1479" s="196"/>
      <c r="T1479" s="196"/>
      <c r="U1479" s="196"/>
      <c r="V1479" s="196"/>
      <c r="W1479" s="196"/>
      <c r="X1479" s="196"/>
      <c r="Y1479" s="196"/>
      <c r="Z1479" s="196"/>
      <c r="AA1479" s="196"/>
      <c r="AB1479" s="196"/>
      <c r="AC1479" s="196"/>
      <c r="AD1479" s="196"/>
      <c r="AE1479" s="196"/>
      <c r="AF1479" s="196"/>
      <c r="AG1479" s="196"/>
      <c r="AH1479" s="196"/>
      <c r="AI1479" s="196"/>
      <c r="AJ1479" s="197"/>
      <c r="AK1479" s="80"/>
      <c r="AL1479" s="80"/>
      <c r="AM1479" s="73"/>
      <c r="AN1479" s="73"/>
      <c r="AO1479" s="73"/>
      <c r="AP1479" s="73"/>
      <c r="AQ1479" s="73"/>
      <c r="AR1479" s="73"/>
      <c r="AS1479" s="73"/>
      <c r="AT1479" s="73"/>
      <c r="AU1479" s="73"/>
      <c r="AV1479" s="73"/>
      <c r="AW1479" s="73"/>
      <c r="AX1479" s="73"/>
      <c r="AY1479" s="73"/>
      <c r="AZ1479" s="73"/>
      <c r="BA1479" s="73"/>
      <c r="BB1479" s="73"/>
      <c r="BC1479" s="73"/>
      <c r="BD1479" s="73"/>
      <c r="BE1479" s="73"/>
      <c r="BF1479" s="73"/>
      <c r="BG1479" s="73"/>
      <c r="BH1479" s="73"/>
      <c r="BI1479" s="73"/>
      <c r="BJ1479" s="73"/>
      <c r="BK1479" s="73"/>
      <c r="BL1479" s="73"/>
      <c r="BM1479" s="73"/>
      <c r="BN1479" s="73"/>
      <c r="BO1479" s="73"/>
      <c r="BP1479" s="73"/>
      <c r="BQ1479" s="73"/>
      <c r="BR1479" s="73"/>
      <c r="BS1479" s="73"/>
      <c r="BT1479" s="73"/>
      <c r="BU1479" s="73"/>
      <c r="BV1479" s="73"/>
      <c r="BW1479" s="73"/>
      <c r="BX1479" s="73"/>
      <c r="BY1479" s="73"/>
      <c r="BZ1479" s="73"/>
      <c r="CA1479" s="73"/>
      <c r="CB1479" s="73"/>
      <c r="CC1479" s="73"/>
      <c r="CD1479" s="73"/>
      <c r="CE1479" s="73"/>
      <c r="CF1479" s="73"/>
      <c r="CG1479" s="73"/>
      <c r="CH1479" s="73"/>
    </row>
    <row r="1480">
      <c r="A1480" s="80"/>
      <c r="B1480" s="80"/>
      <c r="C1480" s="80"/>
      <c r="D1480" s="80"/>
      <c r="E1480" s="124"/>
      <c r="F1480" s="80"/>
      <c r="G1480" s="80"/>
      <c r="H1480" s="80"/>
      <c r="I1480" s="80"/>
      <c r="J1480" s="196"/>
      <c r="K1480" s="196"/>
      <c r="L1480" s="196"/>
      <c r="M1480" s="196"/>
      <c r="N1480" s="196"/>
      <c r="O1480" s="196"/>
      <c r="P1480" s="196"/>
      <c r="Q1480" s="196"/>
      <c r="R1480" s="196"/>
      <c r="S1480" s="196"/>
      <c r="T1480" s="196"/>
      <c r="U1480" s="196"/>
      <c r="V1480" s="196"/>
      <c r="W1480" s="196"/>
      <c r="X1480" s="196"/>
      <c r="Y1480" s="196"/>
      <c r="Z1480" s="196"/>
      <c r="AA1480" s="196"/>
      <c r="AB1480" s="196"/>
      <c r="AC1480" s="196"/>
      <c r="AD1480" s="196"/>
      <c r="AE1480" s="196"/>
      <c r="AF1480" s="196"/>
      <c r="AG1480" s="196"/>
      <c r="AH1480" s="196"/>
      <c r="AI1480" s="196"/>
      <c r="AJ1480" s="197"/>
      <c r="AK1480" s="80"/>
      <c r="AL1480" s="80"/>
      <c r="AM1480" s="73"/>
      <c r="AN1480" s="73"/>
      <c r="AO1480" s="73"/>
      <c r="AP1480" s="73"/>
      <c r="AQ1480" s="73"/>
      <c r="AR1480" s="73"/>
      <c r="AS1480" s="73"/>
      <c r="AT1480" s="73"/>
      <c r="AU1480" s="73"/>
      <c r="AV1480" s="73"/>
      <c r="AW1480" s="73"/>
      <c r="AX1480" s="73"/>
      <c r="AY1480" s="73"/>
      <c r="AZ1480" s="73"/>
      <c r="BA1480" s="73"/>
      <c r="BB1480" s="73"/>
      <c r="BC1480" s="73"/>
      <c r="BD1480" s="73"/>
      <c r="BE1480" s="73"/>
      <c r="BF1480" s="73"/>
      <c r="BG1480" s="73"/>
      <c r="BH1480" s="73"/>
      <c r="BI1480" s="73"/>
      <c r="BJ1480" s="73"/>
      <c r="BK1480" s="73"/>
      <c r="BL1480" s="73"/>
      <c r="BM1480" s="73"/>
      <c r="BN1480" s="73"/>
      <c r="BO1480" s="73"/>
      <c r="BP1480" s="73"/>
      <c r="BQ1480" s="73"/>
      <c r="BR1480" s="73"/>
      <c r="BS1480" s="73"/>
      <c r="BT1480" s="73"/>
      <c r="BU1480" s="73"/>
      <c r="BV1480" s="73"/>
      <c r="BW1480" s="73"/>
      <c r="BX1480" s="73"/>
      <c r="BY1480" s="73"/>
      <c r="BZ1480" s="73"/>
      <c r="CA1480" s="73"/>
      <c r="CB1480" s="73"/>
      <c r="CC1480" s="73"/>
      <c r="CD1480" s="73"/>
      <c r="CE1480" s="73"/>
      <c r="CF1480" s="73"/>
      <c r="CG1480" s="73"/>
      <c r="CH1480" s="73"/>
    </row>
    <row r="1481">
      <c r="A1481" s="80"/>
      <c r="B1481" s="80"/>
      <c r="C1481" s="80"/>
      <c r="D1481" s="80"/>
      <c r="E1481" s="124"/>
      <c r="F1481" s="80"/>
      <c r="G1481" s="80"/>
      <c r="H1481" s="80"/>
      <c r="I1481" s="80"/>
      <c r="J1481" s="196"/>
      <c r="K1481" s="196"/>
      <c r="L1481" s="196"/>
      <c r="M1481" s="196"/>
      <c r="N1481" s="196"/>
      <c r="O1481" s="196"/>
      <c r="P1481" s="196"/>
      <c r="Q1481" s="196"/>
      <c r="R1481" s="196"/>
      <c r="S1481" s="196"/>
      <c r="T1481" s="196"/>
      <c r="U1481" s="196"/>
      <c r="V1481" s="196"/>
      <c r="W1481" s="196"/>
      <c r="X1481" s="196"/>
      <c r="Y1481" s="196"/>
      <c r="Z1481" s="196"/>
      <c r="AA1481" s="196"/>
      <c r="AB1481" s="196"/>
      <c r="AC1481" s="196"/>
      <c r="AD1481" s="196"/>
      <c r="AE1481" s="196"/>
      <c r="AF1481" s="196"/>
      <c r="AG1481" s="196"/>
      <c r="AH1481" s="196"/>
      <c r="AI1481" s="196"/>
      <c r="AJ1481" s="197"/>
      <c r="AK1481" s="80"/>
      <c r="AL1481" s="80"/>
      <c r="AM1481" s="73"/>
      <c r="AN1481" s="73"/>
      <c r="AO1481" s="73"/>
      <c r="AP1481" s="73"/>
      <c r="AQ1481" s="73"/>
      <c r="AR1481" s="73"/>
      <c r="AS1481" s="73"/>
      <c r="AT1481" s="73"/>
      <c r="AU1481" s="73"/>
      <c r="AV1481" s="73"/>
      <c r="AW1481" s="73"/>
      <c r="AX1481" s="73"/>
      <c r="AY1481" s="73"/>
      <c r="AZ1481" s="73"/>
      <c r="BA1481" s="73"/>
      <c r="BB1481" s="73"/>
      <c r="BC1481" s="73"/>
      <c r="BD1481" s="73"/>
      <c r="BE1481" s="73"/>
      <c r="BF1481" s="73"/>
      <c r="BG1481" s="73"/>
      <c r="BH1481" s="73"/>
      <c r="BI1481" s="73"/>
      <c r="BJ1481" s="73"/>
      <c r="BK1481" s="73"/>
      <c r="BL1481" s="73"/>
      <c r="BM1481" s="73"/>
      <c r="BN1481" s="73"/>
      <c r="BO1481" s="73"/>
      <c r="BP1481" s="73"/>
      <c r="BQ1481" s="73"/>
      <c r="BR1481" s="73"/>
      <c r="BS1481" s="73"/>
      <c r="BT1481" s="73"/>
      <c r="BU1481" s="73"/>
      <c r="BV1481" s="73"/>
      <c r="BW1481" s="73"/>
      <c r="BX1481" s="73"/>
      <c r="BY1481" s="73"/>
      <c r="BZ1481" s="73"/>
      <c r="CA1481" s="73"/>
      <c r="CB1481" s="73"/>
      <c r="CC1481" s="73"/>
      <c r="CD1481" s="73"/>
      <c r="CE1481" s="73"/>
      <c r="CF1481" s="73"/>
      <c r="CG1481" s="73"/>
      <c r="CH1481" s="73"/>
    </row>
    <row r="1482">
      <c r="A1482" s="80"/>
      <c r="B1482" s="80"/>
      <c r="C1482" s="80"/>
      <c r="D1482" s="80"/>
      <c r="E1482" s="124"/>
      <c r="F1482" s="80"/>
      <c r="G1482" s="80"/>
      <c r="H1482" s="80"/>
      <c r="I1482" s="80"/>
      <c r="J1482" s="196"/>
      <c r="K1482" s="196"/>
      <c r="L1482" s="196"/>
      <c r="M1482" s="196"/>
      <c r="N1482" s="196"/>
      <c r="O1482" s="196"/>
      <c r="P1482" s="196"/>
      <c r="Q1482" s="196"/>
      <c r="R1482" s="196"/>
      <c r="S1482" s="196"/>
      <c r="T1482" s="196"/>
      <c r="U1482" s="196"/>
      <c r="V1482" s="196"/>
      <c r="W1482" s="196"/>
      <c r="X1482" s="196"/>
      <c r="Y1482" s="196"/>
      <c r="Z1482" s="196"/>
      <c r="AA1482" s="196"/>
      <c r="AB1482" s="196"/>
      <c r="AC1482" s="196"/>
      <c r="AD1482" s="196"/>
      <c r="AE1482" s="196"/>
      <c r="AF1482" s="196"/>
      <c r="AG1482" s="196"/>
      <c r="AH1482" s="196"/>
      <c r="AI1482" s="196"/>
      <c r="AJ1482" s="197"/>
      <c r="AK1482" s="80"/>
      <c r="AL1482" s="80"/>
      <c r="AM1482" s="73"/>
      <c r="AN1482" s="73"/>
      <c r="AO1482" s="73"/>
      <c r="AP1482" s="73"/>
      <c r="AQ1482" s="73"/>
      <c r="AR1482" s="73"/>
      <c r="AS1482" s="73"/>
      <c r="AT1482" s="73"/>
      <c r="AU1482" s="73"/>
      <c r="AV1482" s="73"/>
      <c r="AW1482" s="73"/>
      <c r="AX1482" s="73"/>
      <c r="AY1482" s="73"/>
      <c r="AZ1482" s="73"/>
      <c r="BA1482" s="73"/>
      <c r="BB1482" s="73"/>
      <c r="BC1482" s="73"/>
      <c r="BD1482" s="73"/>
      <c r="BE1482" s="73"/>
      <c r="BF1482" s="73"/>
      <c r="BG1482" s="73"/>
      <c r="BH1482" s="73"/>
      <c r="BI1482" s="73"/>
      <c r="BJ1482" s="73"/>
      <c r="BK1482" s="73"/>
      <c r="BL1482" s="73"/>
      <c r="BM1482" s="73"/>
      <c r="BN1482" s="73"/>
      <c r="BO1482" s="73"/>
      <c r="BP1482" s="73"/>
      <c r="BQ1482" s="73"/>
      <c r="BR1482" s="73"/>
      <c r="BS1482" s="73"/>
      <c r="BT1482" s="73"/>
      <c r="BU1482" s="73"/>
      <c r="BV1482" s="73"/>
      <c r="BW1482" s="73"/>
      <c r="BX1482" s="73"/>
      <c r="BY1482" s="73"/>
      <c r="BZ1482" s="73"/>
      <c r="CA1482" s="73"/>
      <c r="CB1482" s="73"/>
      <c r="CC1482" s="73"/>
      <c r="CD1482" s="73"/>
      <c r="CE1482" s="73"/>
      <c r="CF1482" s="73"/>
      <c r="CG1482" s="73"/>
      <c r="CH1482" s="73"/>
    </row>
    <row r="1483">
      <c r="A1483" s="80"/>
      <c r="B1483" s="80"/>
      <c r="C1483" s="80"/>
      <c r="D1483" s="80"/>
      <c r="E1483" s="124"/>
      <c r="F1483" s="80"/>
      <c r="G1483" s="80"/>
      <c r="H1483" s="80"/>
      <c r="I1483" s="80"/>
      <c r="J1483" s="196"/>
      <c r="K1483" s="196"/>
      <c r="L1483" s="196"/>
      <c r="M1483" s="196"/>
      <c r="N1483" s="196"/>
      <c r="O1483" s="196"/>
      <c r="P1483" s="196"/>
      <c r="Q1483" s="196"/>
      <c r="R1483" s="196"/>
      <c r="S1483" s="196"/>
      <c r="T1483" s="196"/>
      <c r="U1483" s="196"/>
      <c r="V1483" s="196"/>
      <c r="W1483" s="196"/>
      <c r="X1483" s="196"/>
      <c r="Y1483" s="196"/>
      <c r="Z1483" s="196"/>
      <c r="AA1483" s="196"/>
      <c r="AB1483" s="196"/>
      <c r="AC1483" s="196"/>
      <c r="AD1483" s="196"/>
      <c r="AE1483" s="196"/>
      <c r="AF1483" s="196"/>
      <c r="AG1483" s="196"/>
      <c r="AH1483" s="196"/>
      <c r="AI1483" s="196"/>
      <c r="AJ1483" s="197"/>
      <c r="AK1483" s="80"/>
      <c r="AL1483" s="80"/>
      <c r="AM1483" s="73"/>
      <c r="AN1483" s="73"/>
      <c r="AO1483" s="73"/>
      <c r="AP1483" s="73"/>
      <c r="AQ1483" s="73"/>
      <c r="AR1483" s="73"/>
      <c r="AS1483" s="73"/>
      <c r="AT1483" s="73"/>
      <c r="AU1483" s="73"/>
      <c r="AV1483" s="73"/>
      <c r="AW1483" s="73"/>
      <c r="AX1483" s="73"/>
      <c r="AY1483" s="73"/>
      <c r="AZ1483" s="73"/>
      <c r="BA1483" s="73"/>
      <c r="BB1483" s="73"/>
      <c r="BC1483" s="73"/>
      <c r="BD1483" s="73"/>
      <c r="BE1483" s="73"/>
      <c r="BF1483" s="73"/>
      <c r="BG1483" s="73"/>
      <c r="BH1483" s="73"/>
      <c r="BI1483" s="73"/>
      <c r="BJ1483" s="73"/>
      <c r="BK1483" s="73"/>
      <c r="BL1483" s="73"/>
      <c r="BM1483" s="73"/>
      <c r="BN1483" s="73"/>
      <c r="BO1483" s="73"/>
      <c r="BP1483" s="73"/>
      <c r="BQ1483" s="73"/>
      <c r="BR1483" s="73"/>
      <c r="BS1483" s="73"/>
      <c r="BT1483" s="73"/>
      <c r="BU1483" s="73"/>
      <c r="BV1483" s="73"/>
      <c r="BW1483" s="73"/>
      <c r="BX1483" s="73"/>
      <c r="BY1483" s="73"/>
      <c r="BZ1483" s="73"/>
      <c r="CA1483" s="73"/>
      <c r="CB1483" s="73"/>
      <c r="CC1483" s="73"/>
      <c r="CD1483" s="73"/>
      <c r="CE1483" s="73"/>
      <c r="CF1483" s="73"/>
      <c r="CG1483" s="73"/>
      <c r="CH1483" s="73"/>
    </row>
    <row r="1484">
      <c r="A1484" s="80"/>
      <c r="B1484" s="80"/>
      <c r="C1484" s="80"/>
      <c r="D1484" s="80"/>
      <c r="E1484" s="124"/>
      <c r="F1484" s="80"/>
      <c r="G1484" s="80"/>
      <c r="H1484" s="80"/>
      <c r="I1484" s="80"/>
      <c r="J1484" s="196"/>
      <c r="K1484" s="196"/>
      <c r="L1484" s="196"/>
      <c r="M1484" s="196"/>
      <c r="N1484" s="196"/>
      <c r="O1484" s="196"/>
      <c r="P1484" s="196"/>
      <c r="Q1484" s="196"/>
      <c r="R1484" s="196"/>
      <c r="S1484" s="196"/>
      <c r="T1484" s="196"/>
      <c r="U1484" s="196"/>
      <c r="V1484" s="196"/>
      <c r="W1484" s="196"/>
      <c r="X1484" s="196"/>
      <c r="Y1484" s="196"/>
      <c r="Z1484" s="196"/>
      <c r="AA1484" s="196"/>
      <c r="AB1484" s="196"/>
      <c r="AC1484" s="196"/>
      <c r="AD1484" s="196"/>
      <c r="AE1484" s="196"/>
      <c r="AF1484" s="196"/>
      <c r="AG1484" s="196"/>
      <c r="AH1484" s="196"/>
      <c r="AI1484" s="196"/>
      <c r="AJ1484" s="197"/>
      <c r="AK1484" s="80"/>
      <c r="AL1484" s="80"/>
      <c r="AM1484" s="73"/>
      <c r="AN1484" s="73"/>
      <c r="AO1484" s="73"/>
      <c r="AP1484" s="73"/>
      <c r="AQ1484" s="73"/>
      <c r="AR1484" s="73"/>
      <c r="AS1484" s="73"/>
      <c r="AT1484" s="73"/>
      <c r="AU1484" s="73"/>
      <c r="AV1484" s="73"/>
      <c r="AW1484" s="73"/>
      <c r="AX1484" s="73"/>
      <c r="AY1484" s="73"/>
      <c r="AZ1484" s="73"/>
      <c r="BA1484" s="73"/>
      <c r="BB1484" s="73"/>
      <c r="BC1484" s="73"/>
      <c r="BD1484" s="73"/>
      <c r="BE1484" s="73"/>
      <c r="BF1484" s="73"/>
      <c r="BG1484" s="73"/>
      <c r="BH1484" s="73"/>
      <c r="BI1484" s="73"/>
      <c r="BJ1484" s="73"/>
      <c r="BK1484" s="73"/>
      <c r="BL1484" s="73"/>
      <c r="BM1484" s="73"/>
      <c r="BN1484" s="73"/>
      <c r="BO1484" s="73"/>
      <c r="BP1484" s="73"/>
      <c r="BQ1484" s="73"/>
      <c r="BR1484" s="73"/>
      <c r="BS1484" s="73"/>
      <c r="BT1484" s="73"/>
      <c r="BU1484" s="73"/>
      <c r="BV1484" s="73"/>
      <c r="BW1484" s="73"/>
      <c r="BX1484" s="73"/>
      <c r="BY1484" s="73"/>
      <c r="BZ1484" s="73"/>
      <c r="CA1484" s="73"/>
      <c r="CB1484" s="73"/>
      <c r="CC1484" s="73"/>
      <c r="CD1484" s="73"/>
      <c r="CE1484" s="73"/>
      <c r="CF1484" s="73"/>
      <c r="CG1484" s="73"/>
      <c r="CH1484" s="73"/>
    </row>
    <row r="1485">
      <c r="A1485" s="80"/>
      <c r="B1485" s="80"/>
      <c r="C1485" s="80"/>
      <c r="D1485" s="80"/>
      <c r="E1485" s="124"/>
      <c r="F1485" s="80"/>
      <c r="G1485" s="80"/>
      <c r="H1485" s="80"/>
      <c r="I1485" s="80"/>
      <c r="J1485" s="196"/>
      <c r="K1485" s="196"/>
      <c r="L1485" s="196"/>
      <c r="M1485" s="196"/>
      <c r="N1485" s="196"/>
      <c r="O1485" s="196"/>
      <c r="P1485" s="196"/>
      <c r="Q1485" s="196"/>
      <c r="R1485" s="196"/>
      <c r="S1485" s="196"/>
      <c r="T1485" s="196"/>
      <c r="U1485" s="196"/>
      <c r="V1485" s="196"/>
      <c r="W1485" s="196"/>
      <c r="X1485" s="196"/>
      <c r="Y1485" s="196"/>
      <c r="Z1485" s="196"/>
      <c r="AA1485" s="196"/>
      <c r="AB1485" s="196"/>
      <c r="AC1485" s="196"/>
      <c r="AD1485" s="196"/>
      <c r="AE1485" s="196"/>
      <c r="AF1485" s="196"/>
      <c r="AG1485" s="196"/>
      <c r="AH1485" s="196"/>
      <c r="AI1485" s="196"/>
      <c r="AJ1485" s="197"/>
      <c r="AK1485" s="80"/>
      <c r="AL1485" s="80"/>
      <c r="AM1485" s="73"/>
      <c r="AN1485" s="73"/>
      <c r="AO1485" s="73"/>
      <c r="AP1485" s="73"/>
      <c r="AQ1485" s="73"/>
      <c r="AR1485" s="73"/>
      <c r="AS1485" s="73"/>
      <c r="AT1485" s="73"/>
      <c r="AU1485" s="73"/>
      <c r="AV1485" s="73"/>
      <c r="AW1485" s="73"/>
      <c r="AX1485" s="73"/>
      <c r="AY1485" s="73"/>
      <c r="AZ1485" s="73"/>
      <c r="BA1485" s="73"/>
      <c r="BB1485" s="73"/>
      <c r="BC1485" s="73"/>
      <c r="BD1485" s="73"/>
      <c r="BE1485" s="73"/>
      <c r="BF1485" s="73"/>
      <c r="BG1485" s="73"/>
      <c r="BH1485" s="73"/>
      <c r="BI1485" s="73"/>
      <c r="BJ1485" s="73"/>
      <c r="BK1485" s="73"/>
      <c r="BL1485" s="73"/>
      <c r="BM1485" s="73"/>
      <c r="BN1485" s="73"/>
      <c r="BO1485" s="73"/>
      <c r="BP1485" s="73"/>
      <c r="BQ1485" s="73"/>
      <c r="BR1485" s="73"/>
      <c r="BS1485" s="73"/>
      <c r="BT1485" s="73"/>
      <c r="BU1485" s="73"/>
      <c r="BV1485" s="73"/>
      <c r="BW1485" s="73"/>
      <c r="BX1485" s="73"/>
      <c r="BY1485" s="73"/>
      <c r="BZ1485" s="73"/>
      <c r="CA1485" s="73"/>
      <c r="CB1485" s="73"/>
      <c r="CC1485" s="73"/>
      <c r="CD1485" s="73"/>
      <c r="CE1485" s="73"/>
      <c r="CF1485" s="73"/>
      <c r="CG1485" s="73"/>
      <c r="CH1485" s="73"/>
    </row>
    <row r="1486">
      <c r="A1486" s="80"/>
      <c r="B1486" s="80"/>
      <c r="C1486" s="80"/>
      <c r="D1486" s="80"/>
      <c r="E1486" s="124"/>
      <c r="F1486" s="80"/>
      <c r="G1486" s="80"/>
      <c r="H1486" s="80"/>
      <c r="I1486" s="80"/>
      <c r="J1486" s="196"/>
      <c r="K1486" s="196"/>
      <c r="L1486" s="196"/>
      <c r="M1486" s="196"/>
      <c r="N1486" s="196"/>
      <c r="O1486" s="196"/>
      <c r="P1486" s="196"/>
      <c r="Q1486" s="196"/>
      <c r="R1486" s="196"/>
      <c r="S1486" s="196"/>
      <c r="T1486" s="196"/>
      <c r="U1486" s="196"/>
      <c r="V1486" s="196"/>
      <c r="W1486" s="196"/>
      <c r="X1486" s="196"/>
      <c r="Y1486" s="196"/>
      <c r="Z1486" s="196"/>
      <c r="AA1486" s="196"/>
      <c r="AB1486" s="196"/>
      <c r="AC1486" s="196"/>
      <c r="AD1486" s="196"/>
      <c r="AE1486" s="196"/>
      <c r="AF1486" s="196"/>
      <c r="AG1486" s="196"/>
      <c r="AH1486" s="196"/>
      <c r="AI1486" s="196"/>
      <c r="AJ1486" s="197"/>
      <c r="AK1486" s="80"/>
      <c r="AL1486" s="80"/>
      <c r="AM1486" s="73"/>
      <c r="AN1486" s="73"/>
      <c r="AO1486" s="73"/>
      <c r="AP1486" s="73"/>
      <c r="AQ1486" s="73"/>
      <c r="AR1486" s="73"/>
      <c r="AS1486" s="73"/>
      <c r="AT1486" s="73"/>
      <c r="AU1486" s="73"/>
      <c r="AV1486" s="73"/>
      <c r="AW1486" s="73"/>
      <c r="AX1486" s="73"/>
      <c r="AY1486" s="73"/>
      <c r="AZ1486" s="73"/>
      <c r="BA1486" s="73"/>
      <c r="BB1486" s="73"/>
      <c r="BC1486" s="73"/>
      <c r="BD1486" s="73"/>
      <c r="BE1486" s="73"/>
      <c r="BF1486" s="73"/>
      <c r="BG1486" s="73"/>
      <c r="BH1486" s="73"/>
      <c r="BI1486" s="73"/>
      <c r="BJ1486" s="73"/>
      <c r="BK1486" s="73"/>
      <c r="BL1486" s="73"/>
      <c r="BM1486" s="73"/>
      <c r="BN1486" s="73"/>
      <c r="BO1486" s="73"/>
      <c r="BP1486" s="73"/>
      <c r="BQ1486" s="73"/>
      <c r="BR1486" s="73"/>
      <c r="BS1486" s="73"/>
      <c r="BT1486" s="73"/>
      <c r="BU1486" s="73"/>
      <c r="BV1486" s="73"/>
      <c r="BW1486" s="73"/>
      <c r="BX1486" s="73"/>
      <c r="BY1486" s="73"/>
      <c r="BZ1486" s="73"/>
      <c r="CA1486" s="73"/>
      <c r="CB1486" s="73"/>
      <c r="CC1486" s="73"/>
      <c r="CD1486" s="73"/>
      <c r="CE1486" s="73"/>
      <c r="CF1486" s="73"/>
      <c r="CG1486" s="73"/>
      <c r="CH1486" s="73"/>
    </row>
    <row r="1487">
      <c r="A1487" s="80"/>
      <c r="B1487" s="80"/>
      <c r="C1487" s="80"/>
      <c r="D1487" s="80"/>
      <c r="E1487" s="124"/>
      <c r="F1487" s="80"/>
      <c r="G1487" s="80"/>
      <c r="H1487" s="80"/>
      <c r="I1487" s="80"/>
      <c r="J1487" s="196"/>
      <c r="K1487" s="196"/>
      <c r="L1487" s="196"/>
      <c r="M1487" s="196"/>
      <c r="N1487" s="196"/>
      <c r="O1487" s="196"/>
      <c r="P1487" s="196"/>
      <c r="Q1487" s="196"/>
      <c r="R1487" s="196"/>
      <c r="S1487" s="196"/>
      <c r="T1487" s="196"/>
      <c r="U1487" s="196"/>
      <c r="V1487" s="196"/>
      <c r="W1487" s="196"/>
      <c r="X1487" s="196"/>
      <c r="Y1487" s="196"/>
      <c r="Z1487" s="196"/>
      <c r="AA1487" s="196"/>
      <c r="AB1487" s="196"/>
      <c r="AC1487" s="196"/>
      <c r="AD1487" s="196"/>
      <c r="AE1487" s="196"/>
      <c r="AF1487" s="196"/>
      <c r="AG1487" s="196"/>
      <c r="AH1487" s="196"/>
      <c r="AI1487" s="196"/>
      <c r="AJ1487" s="197"/>
      <c r="AK1487" s="80"/>
      <c r="AL1487" s="80"/>
      <c r="AM1487" s="73"/>
      <c r="AN1487" s="73"/>
      <c r="AO1487" s="73"/>
      <c r="AP1487" s="73"/>
      <c r="AQ1487" s="73"/>
      <c r="AR1487" s="73"/>
      <c r="AS1487" s="73"/>
      <c r="AT1487" s="73"/>
      <c r="AU1487" s="73"/>
      <c r="AV1487" s="73"/>
      <c r="AW1487" s="73"/>
      <c r="AX1487" s="73"/>
      <c r="AY1487" s="73"/>
      <c r="AZ1487" s="73"/>
      <c r="BA1487" s="73"/>
      <c r="BB1487" s="73"/>
      <c r="BC1487" s="73"/>
      <c r="BD1487" s="73"/>
      <c r="BE1487" s="73"/>
      <c r="BF1487" s="73"/>
      <c r="BG1487" s="73"/>
      <c r="BH1487" s="73"/>
      <c r="BI1487" s="73"/>
      <c r="BJ1487" s="73"/>
      <c r="BK1487" s="73"/>
      <c r="BL1487" s="73"/>
      <c r="BM1487" s="73"/>
      <c r="BN1487" s="73"/>
      <c r="BO1487" s="73"/>
      <c r="BP1487" s="73"/>
      <c r="BQ1487" s="73"/>
      <c r="BR1487" s="73"/>
      <c r="BS1487" s="73"/>
      <c r="BT1487" s="73"/>
      <c r="BU1487" s="73"/>
      <c r="BV1487" s="73"/>
      <c r="BW1487" s="73"/>
      <c r="BX1487" s="73"/>
      <c r="BY1487" s="73"/>
      <c r="BZ1487" s="73"/>
      <c r="CA1487" s="73"/>
      <c r="CB1487" s="73"/>
      <c r="CC1487" s="73"/>
      <c r="CD1487" s="73"/>
      <c r="CE1487" s="73"/>
      <c r="CF1487" s="73"/>
      <c r="CG1487" s="73"/>
      <c r="CH1487" s="73"/>
    </row>
    <row r="1488">
      <c r="A1488" s="80"/>
      <c r="B1488" s="80"/>
      <c r="C1488" s="80"/>
      <c r="D1488" s="80"/>
      <c r="E1488" s="124"/>
      <c r="F1488" s="80"/>
      <c r="G1488" s="80"/>
      <c r="H1488" s="80"/>
      <c r="I1488" s="80"/>
      <c r="J1488" s="196"/>
      <c r="K1488" s="196"/>
      <c r="L1488" s="196"/>
      <c r="M1488" s="196"/>
      <c r="N1488" s="196"/>
      <c r="O1488" s="196"/>
      <c r="P1488" s="196"/>
      <c r="Q1488" s="196"/>
      <c r="R1488" s="196"/>
      <c r="S1488" s="196"/>
      <c r="T1488" s="196"/>
      <c r="U1488" s="196"/>
      <c r="V1488" s="196"/>
      <c r="W1488" s="196"/>
      <c r="X1488" s="196"/>
      <c r="Y1488" s="196"/>
      <c r="Z1488" s="196"/>
      <c r="AA1488" s="196"/>
      <c r="AB1488" s="196"/>
      <c r="AC1488" s="196"/>
      <c r="AD1488" s="196"/>
      <c r="AE1488" s="196"/>
      <c r="AF1488" s="196"/>
      <c r="AG1488" s="196"/>
      <c r="AH1488" s="196"/>
      <c r="AI1488" s="196"/>
      <c r="AJ1488" s="197"/>
      <c r="AK1488" s="80"/>
      <c r="AL1488" s="80"/>
      <c r="AM1488" s="73"/>
      <c r="AN1488" s="73"/>
      <c r="AO1488" s="73"/>
      <c r="AP1488" s="73"/>
      <c r="AQ1488" s="73"/>
      <c r="AR1488" s="73"/>
      <c r="AS1488" s="73"/>
      <c r="AT1488" s="73"/>
      <c r="AU1488" s="73"/>
      <c r="AV1488" s="73"/>
      <c r="AW1488" s="73"/>
      <c r="AX1488" s="73"/>
      <c r="AY1488" s="73"/>
      <c r="AZ1488" s="73"/>
      <c r="BA1488" s="73"/>
      <c r="BB1488" s="73"/>
      <c r="BC1488" s="73"/>
      <c r="BD1488" s="73"/>
      <c r="BE1488" s="73"/>
      <c r="BF1488" s="73"/>
      <c r="BG1488" s="73"/>
      <c r="BH1488" s="73"/>
      <c r="BI1488" s="73"/>
      <c r="BJ1488" s="73"/>
      <c r="BK1488" s="73"/>
      <c r="BL1488" s="73"/>
      <c r="BM1488" s="73"/>
      <c r="BN1488" s="73"/>
      <c r="BO1488" s="73"/>
      <c r="BP1488" s="73"/>
      <c r="BQ1488" s="73"/>
      <c r="BR1488" s="73"/>
      <c r="BS1488" s="73"/>
      <c r="BT1488" s="73"/>
      <c r="BU1488" s="73"/>
      <c r="BV1488" s="73"/>
      <c r="BW1488" s="73"/>
      <c r="BX1488" s="73"/>
      <c r="BY1488" s="73"/>
      <c r="BZ1488" s="73"/>
      <c r="CA1488" s="73"/>
      <c r="CB1488" s="73"/>
      <c r="CC1488" s="73"/>
      <c r="CD1488" s="73"/>
      <c r="CE1488" s="73"/>
      <c r="CF1488" s="73"/>
      <c r="CG1488" s="73"/>
      <c r="CH1488" s="73"/>
    </row>
    <row r="1489">
      <c r="A1489" s="80"/>
      <c r="B1489" s="80"/>
      <c r="C1489" s="80"/>
      <c r="D1489" s="80"/>
      <c r="E1489" s="124"/>
      <c r="F1489" s="80"/>
      <c r="G1489" s="80"/>
      <c r="H1489" s="80"/>
      <c r="I1489" s="80"/>
      <c r="J1489" s="196"/>
      <c r="K1489" s="196"/>
      <c r="L1489" s="196"/>
      <c r="M1489" s="196"/>
      <c r="N1489" s="196"/>
      <c r="O1489" s="196"/>
      <c r="P1489" s="196"/>
      <c r="Q1489" s="196"/>
      <c r="R1489" s="196"/>
      <c r="S1489" s="196"/>
      <c r="T1489" s="196"/>
      <c r="U1489" s="196"/>
      <c r="V1489" s="196"/>
      <c r="W1489" s="196"/>
      <c r="X1489" s="196"/>
      <c r="Y1489" s="196"/>
      <c r="Z1489" s="196"/>
      <c r="AA1489" s="196"/>
      <c r="AB1489" s="196"/>
      <c r="AC1489" s="196"/>
      <c r="AD1489" s="196"/>
      <c r="AE1489" s="196"/>
      <c r="AF1489" s="196"/>
      <c r="AG1489" s="196"/>
      <c r="AH1489" s="196"/>
      <c r="AI1489" s="196"/>
      <c r="AJ1489" s="197"/>
      <c r="AK1489" s="80"/>
      <c r="AL1489" s="80"/>
      <c r="AM1489" s="73"/>
      <c r="AN1489" s="73"/>
      <c r="AO1489" s="73"/>
      <c r="AP1489" s="73"/>
      <c r="AQ1489" s="73"/>
      <c r="AR1489" s="73"/>
      <c r="AS1489" s="73"/>
      <c r="AT1489" s="73"/>
      <c r="AU1489" s="73"/>
      <c r="AV1489" s="73"/>
      <c r="AW1489" s="73"/>
      <c r="AX1489" s="73"/>
      <c r="AY1489" s="73"/>
      <c r="AZ1489" s="73"/>
      <c r="BA1489" s="73"/>
      <c r="BB1489" s="73"/>
      <c r="BC1489" s="73"/>
      <c r="BD1489" s="73"/>
      <c r="BE1489" s="73"/>
      <c r="BF1489" s="73"/>
      <c r="BG1489" s="73"/>
      <c r="BH1489" s="73"/>
      <c r="BI1489" s="73"/>
      <c r="BJ1489" s="73"/>
      <c r="BK1489" s="73"/>
      <c r="BL1489" s="73"/>
      <c r="BM1489" s="73"/>
      <c r="BN1489" s="73"/>
      <c r="BO1489" s="73"/>
      <c r="BP1489" s="73"/>
      <c r="BQ1489" s="73"/>
      <c r="BR1489" s="73"/>
      <c r="BS1489" s="73"/>
      <c r="BT1489" s="73"/>
      <c r="BU1489" s="73"/>
      <c r="BV1489" s="73"/>
      <c r="BW1489" s="73"/>
      <c r="BX1489" s="73"/>
      <c r="BY1489" s="73"/>
      <c r="BZ1489" s="73"/>
      <c r="CA1489" s="73"/>
      <c r="CB1489" s="73"/>
      <c r="CC1489" s="73"/>
      <c r="CD1489" s="73"/>
      <c r="CE1489" s="73"/>
      <c r="CF1489" s="73"/>
      <c r="CG1489" s="73"/>
      <c r="CH1489" s="73"/>
    </row>
    <row r="1490">
      <c r="A1490" s="80"/>
      <c r="B1490" s="80"/>
      <c r="C1490" s="80"/>
      <c r="D1490" s="80"/>
      <c r="E1490" s="124"/>
      <c r="F1490" s="80"/>
      <c r="G1490" s="80"/>
      <c r="H1490" s="80"/>
      <c r="I1490" s="80"/>
      <c r="J1490" s="196"/>
      <c r="K1490" s="196"/>
      <c r="L1490" s="196"/>
      <c r="M1490" s="196"/>
      <c r="N1490" s="196"/>
      <c r="O1490" s="196"/>
      <c r="P1490" s="196"/>
      <c r="Q1490" s="196"/>
      <c r="R1490" s="196"/>
      <c r="S1490" s="196"/>
      <c r="T1490" s="196"/>
      <c r="U1490" s="196"/>
      <c r="V1490" s="196"/>
      <c r="W1490" s="196"/>
      <c r="X1490" s="196"/>
      <c r="Y1490" s="196"/>
      <c r="Z1490" s="196"/>
      <c r="AA1490" s="196"/>
      <c r="AB1490" s="196"/>
      <c r="AC1490" s="196"/>
      <c r="AD1490" s="196"/>
      <c r="AE1490" s="196"/>
      <c r="AF1490" s="196"/>
      <c r="AG1490" s="196"/>
      <c r="AH1490" s="196"/>
      <c r="AI1490" s="196"/>
      <c r="AJ1490" s="197"/>
      <c r="AK1490" s="80"/>
      <c r="AL1490" s="80"/>
      <c r="AM1490" s="73"/>
      <c r="AN1490" s="73"/>
      <c r="AO1490" s="73"/>
      <c r="AP1490" s="73"/>
      <c r="AQ1490" s="73"/>
      <c r="AR1490" s="73"/>
      <c r="AS1490" s="73"/>
      <c r="AT1490" s="73"/>
      <c r="AU1490" s="73"/>
      <c r="AV1490" s="73"/>
      <c r="AW1490" s="73"/>
      <c r="AX1490" s="73"/>
      <c r="AY1490" s="73"/>
      <c r="AZ1490" s="73"/>
      <c r="BA1490" s="73"/>
      <c r="BB1490" s="73"/>
      <c r="BC1490" s="73"/>
      <c r="BD1490" s="73"/>
      <c r="BE1490" s="73"/>
      <c r="BF1490" s="73"/>
      <c r="BG1490" s="73"/>
      <c r="BH1490" s="73"/>
      <c r="BI1490" s="73"/>
      <c r="BJ1490" s="73"/>
      <c r="BK1490" s="73"/>
      <c r="BL1490" s="73"/>
      <c r="BM1490" s="73"/>
      <c r="BN1490" s="73"/>
      <c r="BO1490" s="73"/>
      <c r="BP1490" s="73"/>
      <c r="BQ1490" s="73"/>
      <c r="BR1490" s="73"/>
      <c r="BS1490" s="73"/>
      <c r="BT1490" s="73"/>
      <c r="BU1490" s="73"/>
      <c r="BV1490" s="73"/>
      <c r="BW1490" s="73"/>
      <c r="BX1490" s="73"/>
      <c r="BY1490" s="73"/>
      <c r="BZ1490" s="73"/>
      <c r="CA1490" s="73"/>
      <c r="CB1490" s="73"/>
      <c r="CC1490" s="73"/>
      <c r="CD1490" s="73"/>
      <c r="CE1490" s="73"/>
      <c r="CF1490" s="73"/>
      <c r="CG1490" s="73"/>
      <c r="CH1490" s="73"/>
    </row>
    <row r="1491">
      <c r="A1491" s="80"/>
      <c r="B1491" s="80"/>
      <c r="C1491" s="80"/>
      <c r="D1491" s="80"/>
      <c r="E1491" s="124"/>
      <c r="F1491" s="80"/>
      <c r="G1491" s="80"/>
      <c r="H1491" s="80"/>
      <c r="I1491" s="80"/>
      <c r="J1491" s="196"/>
      <c r="K1491" s="196"/>
      <c r="L1491" s="196"/>
      <c r="M1491" s="196"/>
      <c r="N1491" s="196"/>
      <c r="O1491" s="196"/>
      <c r="P1491" s="196"/>
      <c r="Q1491" s="196"/>
      <c r="R1491" s="196"/>
      <c r="S1491" s="196"/>
      <c r="T1491" s="196"/>
      <c r="U1491" s="196"/>
      <c r="V1491" s="196"/>
      <c r="W1491" s="196"/>
      <c r="X1491" s="196"/>
      <c r="Y1491" s="196"/>
      <c r="Z1491" s="196"/>
      <c r="AA1491" s="196"/>
      <c r="AB1491" s="196"/>
      <c r="AC1491" s="196"/>
      <c r="AD1491" s="196"/>
      <c r="AE1491" s="196"/>
      <c r="AF1491" s="196"/>
      <c r="AG1491" s="196"/>
      <c r="AH1491" s="196"/>
      <c r="AI1491" s="196"/>
      <c r="AJ1491" s="197"/>
      <c r="AK1491" s="80"/>
      <c r="AL1491" s="80"/>
      <c r="AM1491" s="73"/>
      <c r="AN1491" s="73"/>
      <c r="AO1491" s="73"/>
      <c r="AP1491" s="73"/>
      <c r="AQ1491" s="73"/>
      <c r="AR1491" s="73"/>
      <c r="AS1491" s="73"/>
      <c r="AT1491" s="73"/>
      <c r="AU1491" s="73"/>
      <c r="AV1491" s="73"/>
      <c r="AW1491" s="73"/>
      <c r="AX1491" s="73"/>
      <c r="AY1491" s="73"/>
      <c r="AZ1491" s="73"/>
      <c r="BA1491" s="73"/>
      <c r="BB1491" s="73"/>
      <c r="BC1491" s="73"/>
      <c r="BD1491" s="73"/>
      <c r="BE1491" s="73"/>
      <c r="BF1491" s="73"/>
      <c r="BG1491" s="73"/>
      <c r="BH1491" s="73"/>
      <c r="BI1491" s="73"/>
      <c r="BJ1491" s="73"/>
      <c r="BK1491" s="73"/>
      <c r="BL1491" s="73"/>
      <c r="BM1491" s="73"/>
      <c r="BN1491" s="73"/>
      <c r="BO1491" s="73"/>
      <c r="BP1491" s="73"/>
      <c r="BQ1491" s="73"/>
      <c r="BR1491" s="73"/>
      <c r="BS1491" s="73"/>
      <c r="BT1491" s="73"/>
      <c r="BU1491" s="73"/>
      <c r="BV1491" s="73"/>
      <c r="BW1491" s="73"/>
      <c r="BX1491" s="73"/>
      <c r="BY1491" s="73"/>
      <c r="BZ1491" s="73"/>
      <c r="CA1491" s="73"/>
      <c r="CB1491" s="73"/>
      <c r="CC1491" s="73"/>
      <c r="CD1491" s="73"/>
      <c r="CE1491" s="73"/>
      <c r="CF1491" s="73"/>
      <c r="CG1491" s="73"/>
      <c r="CH1491" s="73"/>
    </row>
    <row r="1492">
      <c r="A1492" s="80"/>
      <c r="B1492" s="80"/>
      <c r="C1492" s="80"/>
      <c r="D1492" s="80"/>
      <c r="E1492" s="124"/>
      <c r="F1492" s="80"/>
      <c r="G1492" s="80"/>
      <c r="H1492" s="80"/>
      <c r="I1492" s="80"/>
      <c r="J1492" s="196"/>
      <c r="K1492" s="196"/>
      <c r="L1492" s="196"/>
      <c r="M1492" s="196"/>
      <c r="N1492" s="196"/>
      <c r="O1492" s="196"/>
      <c r="P1492" s="196"/>
      <c r="Q1492" s="196"/>
      <c r="R1492" s="196"/>
      <c r="S1492" s="196"/>
      <c r="T1492" s="196"/>
      <c r="U1492" s="196"/>
      <c r="V1492" s="196"/>
      <c r="W1492" s="196"/>
      <c r="X1492" s="196"/>
      <c r="Y1492" s="196"/>
      <c r="Z1492" s="196"/>
      <c r="AA1492" s="196"/>
      <c r="AB1492" s="196"/>
      <c r="AC1492" s="196"/>
      <c r="AD1492" s="196"/>
      <c r="AE1492" s="196"/>
      <c r="AF1492" s="196"/>
      <c r="AG1492" s="196"/>
      <c r="AH1492" s="196"/>
      <c r="AI1492" s="196"/>
      <c r="AJ1492" s="197"/>
      <c r="AK1492" s="80"/>
      <c r="AL1492" s="80"/>
      <c r="AM1492" s="73"/>
      <c r="AN1492" s="73"/>
      <c r="AO1492" s="73"/>
      <c r="AP1492" s="73"/>
      <c r="AQ1492" s="73"/>
      <c r="AR1492" s="73"/>
      <c r="AS1492" s="73"/>
      <c r="AT1492" s="73"/>
      <c r="AU1492" s="73"/>
      <c r="AV1492" s="73"/>
      <c r="AW1492" s="73"/>
      <c r="AX1492" s="73"/>
      <c r="AY1492" s="73"/>
      <c r="AZ1492" s="73"/>
      <c r="BA1492" s="73"/>
      <c r="BB1492" s="73"/>
      <c r="BC1492" s="73"/>
      <c r="BD1492" s="73"/>
      <c r="BE1492" s="73"/>
      <c r="BF1492" s="73"/>
      <c r="BG1492" s="73"/>
      <c r="BH1492" s="73"/>
      <c r="BI1492" s="73"/>
      <c r="BJ1492" s="73"/>
      <c r="BK1492" s="73"/>
      <c r="BL1492" s="73"/>
      <c r="BM1492" s="73"/>
      <c r="BN1492" s="73"/>
      <c r="BO1492" s="73"/>
      <c r="BP1492" s="73"/>
      <c r="BQ1492" s="73"/>
      <c r="BR1492" s="73"/>
      <c r="BS1492" s="73"/>
      <c r="BT1492" s="73"/>
      <c r="BU1492" s="73"/>
      <c r="BV1492" s="73"/>
      <c r="BW1492" s="73"/>
      <c r="BX1492" s="73"/>
      <c r="BY1492" s="73"/>
      <c r="BZ1492" s="73"/>
      <c r="CA1492" s="73"/>
      <c r="CB1492" s="73"/>
      <c r="CC1492" s="73"/>
      <c r="CD1492" s="73"/>
      <c r="CE1492" s="73"/>
      <c r="CF1492" s="73"/>
      <c r="CG1492" s="73"/>
      <c r="CH1492" s="73"/>
    </row>
    <row r="1493">
      <c r="A1493" s="80"/>
      <c r="B1493" s="80"/>
      <c r="C1493" s="80"/>
      <c r="D1493" s="80"/>
      <c r="E1493" s="124"/>
      <c r="F1493" s="80"/>
      <c r="G1493" s="80"/>
      <c r="H1493" s="80"/>
      <c r="I1493" s="80"/>
      <c r="J1493" s="196"/>
      <c r="K1493" s="196"/>
      <c r="L1493" s="196"/>
      <c r="M1493" s="196"/>
      <c r="N1493" s="196"/>
      <c r="O1493" s="196"/>
      <c r="P1493" s="196"/>
      <c r="Q1493" s="196"/>
      <c r="R1493" s="196"/>
      <c r="S1493" s="196"/>
      <c r="T1493" s="196"/>
      <c r="U1493" s="196"/>
      <c r="V1493" s="196"/>
      <c r="W1493" s="196"/>
      <c r="X1493" s="196"/>
      <c r="Y1493" s="196"/>
      <c r="Z1493" s="196"/>
      <c r="AA1493" s="196"/>
      <c r="AB1493" s="196"/>
      <c r="AC1493" s="196"/>
      <c r="AD1493" s="196"/>
      <c r="AE1493" s="196"/>
      <c r="AF1493" s="196"/>
      <c r="AG1493" s="196"/>
      <c r="AH1493" s="196"/>
      <c r="AI1493" s="196"/>
      <c r="AJ1493" s="197"/>
      <c r="AK1493" s="80"/>
      <c r="AL1493" s="80"/>
      <c r="AM1493" s="73"/>
      <c r="AN1493" s="73"/>
      <c r="AO1493" s="73"/>
      <c r="AP1493" s="73"/>
      <c r="AQ1493" s="73"/>
      <c r="AR1493" s="73"/>
      <c r="AS1493" s="73"/>
      <c r="AT1493" s="73"/>
      <c r="AU1493" s="73"/>
      <c r="AV1493" s="73"/>
      <c r="AW1493" s="73"/>
      <c r="AX1493" s="73"/>
      <c r="AY1493" s="73"/>
      <c r="AZ1493" s="73"/>
      <c r="BA1493" s="73"/>
      <c r="BB1493" s="73"/>
      <c r="BC1493" s="73"/>
      <c r="BD1493" s="73"/>
      <c r="BE1493" s="73"/>
      <c r="BF1493" s="73"/>
      <c r="BG1493" s="73"/>
      <c r="BH1493" s="73"/>
      <c r="BI1493" s="73"/>
      <c r="BJ1493" s="73"/>
      <c r="BK1493" s="73"/>
      <c r="BL1493" s="73"/>
      <c r="BM1493" s="73"/>
      <c r="BN1493" s="73"/>
      <c r="BO1493" s="73"/>
      <c r="BP1493" s="73"/>
      <c r="BQ1493" s="73"/>
      <c r="BR1493" s="73"/>
      <c r="BS1493" s="73"/>
      <c r="BT1493" s="73"/>
      <c r="BU1493" s="73"/>
      <c r="BV1493" s="73"/>
      <c r="BW1493" s="73"/>
      <c r="BX1493" s="73"/>
      <c r="BY1493" s="73"/>
      <c r="BZ1493" s="73"/>
      <c r="CA1493" s="73"/>
      <c r="CB1493" s="73"/>
      <c r="CC1493" s="73"/>
      <c r="CD1493" s="73"/>
      <c r="CE1493" s="73"/>
      <c r="CF1493" s="73"/>
      <c r="CG1493" s="73"/>
      <c r="CH1493" s="73"/>
    </row>
    <row r="1494">
      <c r="A1494" s="80"/>
      <c r="B1494" s="80"/>
      <c r="C1494" s="80"/>
      <c r="D1494" s="80"/>
      <c r="E1494" s="124"/>
      <c r="F1494" s="80"/>
      <c r="G1494" s="80"/>
      <c r="H1494" s="80"/>
      <c r="I1494" s="80"/>
      <c r="J1494" s="196"/>
      <c r="K1494" s="196"/>
      <c r="L1494" s="196"/>
      <c r="M1494" s="196"/>
      <c r="N1494" s="196"/>
      <c r="O1494" s="196"/>
      <c r="P1494" s="196"/>
      <c r="Q1494" s="196"/>
      <c r="R1494" s="196"/>
      <c r="S1494" s="196"/>
      <c r="T1494" s="196"/>
      <c r="U1494" s="196"/>
      <c r="V1494" s="196"/>
      <c r="W1494" s="196"/>
      <c r="X1494" s="196"/>
      <c r="Y1494" s="196"/>
      <c r="Z1494" s="196"/>
      <c r="AA1494" s="196"/>
      <c r="AB1494" s="196"/>
      <c r="AC1494" s="196"/>
      <c r="AD1494" s="196"/>
      <c r="AE1494" s="196"/>
      <c r="AF1494" s="196"/>
      <c r="AG1494" s="196"/>
      <c r="AH1494" s="196"/>
      <c r="AI1494" s="196"/>
      <c r="AJ1494" s="197"/>
      <c r="AK1494" s="80"/>
      <c r="AL1494" s="80"/>
      <c r="AM1494" s="73"/>
      <c r="AN1494" s="73"/>
      <c r="AO1494" s="73"/>
      <c r="AP1494" s="73"/>
      <c r="AQ1494" s="73"/>
      <c r="AR1494" s="73"/>
      <c r="AS1494" s="73"/>
      <c r="AT1494" s="73"/>
      <c r="AU1494" s="73"/>
      <c r="AV1494" s="73"/>
      <c r="AW1494" s="73"/>
      <c r="AX1494" s="73"/>
      <c r="AY1494" s="73"/>
      <c r="AZ1494" s="73"/>
      <c r="BA1494" s="73"/>
      <c r="BB1494" s="73"/>
      <c r="BC1494" s="73"/>
      <c r="BD1494" s="73"/>
      <c r="BE1494" s="73"/>
      <c r="BF1494" s="73"/>
      <c r="BG1494" s="73"/>
      <c r="BH1494" s="73"/>
      <c r="BI1494" s="73"/>
      <c r="BJ1494" s="73"/>
      <c r="BK1494" s="73"/>
      <c r="BL1494" s="73"/>
      <c r="BM1494" s="73"/>
      <c r="BN1494" s="73"/>
      <c r="BO1494" s="73"/>
      <c r="BP1494" s="73"/>
      <c r="BQ1494" s="73"/>
      <c r="BR1494" s="73"/>
      <c r="BS1494" s="73"/>
      <c r="BT1494" s="73"/>
      <c r="BU1494" s="73"/>
      <c r="BV1494" s="73"/>
      <c r="BW1494" s="73"/>
      <c r="BX1494" s="73"/>
      <c r="BY1494" s="73"/>
      <c r="BZ1494" s="73"/>
      <c r="CA1494" s="73"/>
      <c r="CB1494" s="73"/>
      <c r="CC1494" s="73"/>
      <c r="CD1494" s="73"/>
      <c r="CE1494" s="73"/>
      <c r="CF1494" s="73"/>
      <c r="CG1494" s="73"/>
      <c r="CH1494" s="73"/>
    </row>
    <row r="1495">
      <c r="A1495" s="80"/>
      <c r="B1495" s="80"/>
      <c r="C1495" s="80"/>
      <c r="D1495" s="80"/>
      <c r="E1495" s="124"/>
      <c r="F1495" s="80"/>
      <c r="G1495" s="80"/>
      <c r="H1495" s="80"/>
      <c r="I1495" s="80"/>
      <c r="J1495" s="196"/>
      <c r="K1495" s="196"/>
      <c r="L1495" s="196"/>
      <c r="M1495" s="196"/>
      <c r="N1495" s="196"/>
      <c r="O1495" s="196"/>
      <c r="P1495" s="196"/>
      <c r="Q1495" s="196"/>
      <c r="R1495" s="196"/>
      <c r="S1495" s="196"/>
      <c r="T1495" s="196"/>
      <c r="U1495" s="196"/>
      <c r="V1495" s="196"/>
      <c r="W1495" s="196"/>
      <c r="X1495" s="196"/>
      <c r="Y1495" s="196"/>
      <c r="Z1495" s="196"/>
      <c r="AA1495" s="196"/>
      <c r="AB1495" s="196"/>
      <c r="AC1495" s="196"/>
      <c r="AD1495" s="196"/>
      <c r="AE1495" s="196"/>
      <c r="AF1495" s="196"/>
      <c r="AG1495" s="196"/>
      <c r="AH1495" s="196"/>
      <c r="AI1495" s="196"/>
      <c r="AJ1495" s="197"/>
      <c r="AK1495" s="80"/>
      <c r="AL1495" s="80"/>
      <c r="AM1495" s="73"/>
      <c r="AN1495" s="73"/>
      <c r="AO1495" s="73"/>
      <c r="AP1495" s="73"/>
      <c r="AQ1495" s="73"/>
      <c r="AR1495" s="73"/>
      <c r="AS1495" s="73"/>
      <c r="AT1495" s="73"/>
      <c r="AU1495" s="73"/>
      <c r="AV1495" s="73"/>
      <c r="AW1495" s="73"/>
      <c r="AX1495" s="73"/>
      <c r="AY1495" s="73"/>
      <c r="AZ1495" s="73"/>
      <c r="BA1495" s="73"/>
      <c r="BB1495" s="73"/>
      <c r="BC1495" s="73"/>
      <c r="BD1495" s="73"/>
      <c r="BE1495" s="73"/>
      <c r="BF1495" s="73"/>
      <c r="BG1495" s="73"/>
      <c r="BH1495" s="73"/>
      <c r="BI1495" s="73"/>
      <c r="BJ1495" s="73"/>
      <c r="BK1495" s="73"/>
      <c r="BL1495" s="73"/>
      <c r="BM1495" s="73"/>
      <c r="BN1495" s="73"/>
      <c r="BO1495" s="73"/>
      <c r="BP1495" s="73"/>
      <c r="BQ1495" s="73"/>
      <c r="BR1495" s="73"/>
      <c r="BS1495" s="73"/>
      <c r="BT1495" s="73"/>
      <c r="BU1495" s="73"/>
      <c r="BV1495" s="73"/>
      <c r="BW1495" s="73"/>
      <c r="BX1495" s="73"/>
      <c r="BY1495" s="73"/>
      <c r="BZ1495" s="73"/>
      <c r="CA1495" s="73"/>
      <c r="CB1495" s="73"/>
      <c r="CC1495" s="73"/>
      <c r="CD1495" s="73"/>
      <c r="CE1495" s="73"/>
      <c r="CF1495" s="73"/>
      <c r="CG1495" s="73"/>
      <c r="CH1495" s="73"/>
    </row>
    <row r="1496">
      <c r="A1496" s="80"/>
      <c r="B1496" s="80"/>
      <c r="C1496" s="80"/>
      <c r="D1496" s="80"/>
      <c r="E1496" s="124"/>
      <c r="F1496" s="80"/>
      <c r="G1496" s="80"/>
      <c r="H1496" s="80"/>
      <c r="I1496" s="80"/>
      <c r="J1496" s="196"/>
      <c r="K1496" s="196"/>
      <c r="L1496" s="196"/>
      <c r="M1496" s="196"/>
      <c r="N1496" s="196"/>
      <c r="O1496" s="196"/>
      <c r="P1496" s="196"/>
      <c r="Q1496" s="196"/>
      <c r="R1496" s="196"/>
      <c r="S1496" s="196"/>
      <c r="T1496" s="196"/>
      <c r="U1496" s="196"/>
      <c r="V1496" s="196"/>
      <c r="W1496" s="196"/>
      <c r="X1496" s="196"/>
      <c r="Y1496" s="196"/>
      <c r="Z1496" s="196"/>
      <c r="AA1496" s="196"/>
      <c r="AB1496" s="196"/>
      <c r="AC1496" s="196"/>
      <c r="AD1496" s="196"/>
      <c r="AE1496" s="196"/>
      <c r="AF1496" s="196"/>
      <c r="AG1496" s="196"/>
      <c r="AH1496" s="196"/>
      <c r="AI1496" s="196"/>
      <c r="AJ1496" s="197"/>
      <c r="AK1496" s="80"/>
      <c r="AL1496" s="80"/>
      <c r="AM1496" s="73"/>
      <c r="AN1496" s="73"/>
      <c r="AO1496" s="73"/>
      <c r="AP1496" s="73"/>
      <c r="AQ1496" s="73"/>
      <c r="AR1496" s="73"/>
      <c r="AS1496" s="73"/>
      <c r="AT1496" s="73"/>
      <c r="AU1496" s="73"/>
      <c r="AV1496" s="73"/>
      <c r="AW1496" s="73"/>
      <c r="AX1496" s="73"/>
      <c r="AY1496" s="73"/>
      <c r="AZ1496" s="73"/>
      <c r="BA1496" s="73"/>
      <c r="BB1496" s="73"/>
      <c r="BC1496" s="73"/>
      <c r="BD1496" s="73"/>
      <c r="BE1496" s="73"/>
      <c r="BF1496" s="73"/>
      <c r="BG1496" s="73"/>
      <c r="BH1496" s="73"/>
      <c r="BI1496" s="73"/>
      <c r="BJ1496" s="73"/>
      <c r="BK1496" s="73"/>
      <c r="BL1496" s="73"/>
      <c r="BM1496" s="73"/>
      <c r="BN1496" s="73"/>
      <c r="BO1496" s="73"/>
      <c r="BP1496" s="73"/>
      <c r="BQ1496" s="73"/>
      <c r="BR1496" s="73"/>
      <c r="BS1496" s="73"/>
      <c r="BT1496" s="73"/>
      <c r="BU1496" s="73"/>
      <c r="BV1496" s="73"/>
      <c r="BW1496" s="73"/>
      <c r="BX1496" s="73"/>
      <c r="BY1496" s="73"/>
      <c r="BZ1496" s="73"/>
      <c r="CA1496" s="73"/>
      <c r="CB1496" s="73"/>
      <c r="CC1496" s="73"/>
      <c r="CD1496" s="73"/>
      <c r="CE1496" s="73"/>
      <c r="CF1496" s="73"/>
      <c r="CG1496" s="73"/>
      <c r="CH1496" s="73"/>
    </row>
    <row r="1497">
      <c r="A1497" s="80"/>
      <c r="B1497" s="80"/>
      <c r="C1497" s="80"/>
      <c r="D1497" s="80"/>
      <c r="E1497" s="124"/>
      <c r="F1497" s="80"/>
      <c r="G1497" s="80"/>
      <c r="H1497" s="80"/>
      <c r="I1497" s="80"/>
      <c r="J1497" s="196"/>
      <c r="K1497" s="196"/>
      <c r="L1497" s="196"/>
      <c r="M1497" s="196"/>
      <c r="N1497" s="196"/>
      <c r="O1497" s="196"/>
      <c r="P1497" s="196"/>
      <c r="Q1497" s="196"/>
      <c r="R1497" s="196"/>
      <c r="S1497" s="196"/>
      <c r="T1497" s="196"/>
      <c r="U1497" s="196"/>
      <c r="V1497" s="196"/>
      <c r="W1497" s="196"/>
      <c r="X1497" s="196"/>
      <c r="Y1497" s="196"/>
      <c r="Z1497" s="196"/>
      <c r="AA1497" s="196"/>
      <c r="AB1497" s="196"/>
      <c r="AC1497" s="196"/>
      <c r="AD1497" s="196"/>
      <c r="AE1497" s="196"/>
      <c r="AF1497" s="196"/>
      <c r="AG1497" s="196"/>
      <c r="AH1497" s="196"/>
      <c r="AI1497" s="196"/>
      <c r="AJ1497" s="197"/>
      <c r="AK1497" s="80"/>
      <c r="AL1497" s="80"/>
      <c r="AM1497" s="73"/>
      <c r="AN1497" s="73"/>
      <c r="AO1497" s="73"/>
      <c r="AP1497" s="73"/>
      <c r="AQ1497" s="73"/>
      <c r="AR1497" s="73"/>
      <c r="AS1497" s="73"/>
      <c r="AT1497" s="73"/>
      <c r="AU1497" s="73"/>
      <c r="AV1497" s="73"/>
      <c r="AW1497" s="73"/>
      <c r="AX1497" s="73"/>
      <c r="AY1497" s="73"/>
      <c r="AZ1497" s="73"/>
      <c r="BA1497" s="73"/>
      <c r="BB1497" s="73"/>
      <c r="BC1497" s="73"/>
      <c r="BD1497" s="73"/>
      <c r="BE1497" s="73"/>
      <c r="BF1497" s="73"/>
      <c r="BG1497" s="73"/>
      <c r="BH1497" s="73"/>
      <c r="BI1497" s="73"/>
      <c r="BJ1497" s="73"/>
      <c r="BK1497" s="73"/>
      <c r="BL1497" s="73"/>
      <c r="BM1497" s="73"/>
      <c r="BN1497" s="73"/>
      <c r="BO1497" s="73"/>
      <c r="BP1497" s="73"/>
      <c r="BQ1497" s="73"/>
      <c r="BR1497" s="73"/>
      <c r="BS1497" s="73"/>
      <c r="BT1497" s="73"/>
      <c r="BU1497" s="73"/>
      <c r="BV1497" s="73"/>
      <c r="BW1497" s="73"/>
      <c r="BX1497" s="73"/>
      <c r="BY1497" s="73"/>
      <c r="BZ1497" s="73"/>
      <c r="CA1497" s="73"/>
      <c r="CB1497" s="73"/>
      <c r="CC1497" s="73"/>
      <c r="CD1497" s="73"/>
      <c r="CE1497" s="73"/>
      <c r="CF1497" s="73"/>
      <c r="CG1497" s="73"/>
      <c r="CH1497" s="73"/>
    </row>
    <row r="1498">
      <c r="A1498" s="80"/>
      <c r="B1498" s="80"/>
      <c r="C1498" s="80"/>
      <c r="D1498" s="80"/>
      <c r="E1498" s="124"/>
      <c r="F1498" s="80"/>
      <c r="G1498" s="80"/>
      <c r="H1498" s="80"/>
      <c r="I1498" s="80"/>
      <c r="J1498" s="196"/>
      <c r="K1498" s="196"/>
      <c r="L1498" s="196"/>
      <c r="M1498" s="196"/>
      <c r="N1498" s="196"/>
      <c r="O1498" s="196"/>
      <c r="P1498" s="196"/>
      <c r="Q1498" s="196"/>
      <c r="R1498" s="196"/>
      <c r="S1498" s="196"/>
      <c r="T1498" s="196"/>
      <c r="U1498" s="196"/>
      <c r="V1498" s="196"/>
      <c r="W1498" s="196"/>
      <c r="X1498" s="196"/>
      <c r="Y1498" s="196"/>
      <c r="Z1498" s="196"/>
      <c r="AA1498" s="196"/>
      <c r="AB1498" s="196"/>
      <c r="AC1498" s="196"/>
      <c r="AD1498" s="196"/>
      <c r="AE1498" s="196"/>
      <c r="AF1498" s="196"/>
      <c r="AG1498" s="196"/>
      <c r="AH1498" s="196"/>
      <c r="AI1498" s="196"/>
      <c r="AJ1498" s="197"/>
      <c r="AK1498" s="80"/>
      <c r="AL1498" s="80"/>
      <c r="AM1498" s="73"/>
      <c r="AN1498" s="73"/>
      <c r="AO1498" s="73"/>
      <c r="AP1498" s="73"/>
      <c r="AQ1498" s="73"/>
      <c r="AR1498" s="73"/>
      <c r="AS1498" s="73"/>
      <c r="AT1498" s="73"/>
      <c r="AU1498" s="73"/>
      <c r="AV1498" s="73"/>
      <c r="AW1498" s="73"/>
      <c r="AX1498" s="73"/>
      <c r="AY1498" s="73"/>
      <c r="AZ1498" s="73"/>
      <c r="BA1498" s="73"/>
      <c r="BB1498" s="73"/>
      <c r="BC1498" s="73"/>
      <c r="BD1498" s="73"/>
      <c r="BE1498" s="73"/>
      <c r="BF1498" s="73"/>
      <c r="BG1498" s="73"/>
      <c r="BH1498" s="73"/>
      <c r="BI1498" s="73"/>
      <c r="BJ1498" s="73"/>
      <c r="BK1498" s="73"/>
      <c r="BL1498" s="73"/>
      <c r="BM1498" s="73"/>
      <c r="BN1498" s="73"/>
      <c r="BO1498" s="73"/>
      <c r="BP1498" s="73"/>
      <c r="BQ1498" s="73"/>
      <c r="BR1498" s="73"/>
      <c r="BS1498" s="73"/>
      <c r="BT1498" s="73"/>
      <c r="BU1498" s="73"/>
      <c r="BV1498" s="73"/>
      <c r="BW1498" s="73"/>
      <c r="BX1498" s="73"/>
      <c r="BY1498" s="73"/>
      <c r="BZ1498" s="73"/>
      <c r="CA1498" s="73"/>
      <c r="CB1498" s="73"/>
      <c r="CC1498" s="73"/>
      <c r="CD1498" s="73"/>
      <c r="CE1498" s="73"/>
      <c r="CF1498" s="73"/>
      <c r="CG1498" s="73"/>
      <c r="CH1498" s="73"/>
    </row>
    <row r="1499">
      <c r="A1499" s="80"/>
      <c r="B1499" s="80"/>
      <c r="C1499" s="80"/>
      <c r="D1499" s="80"/>
      <c r="E1499" s="124"/>
      <c r="F1499" s="80"/>
      <c r="G1499" s="80"/>
      <c r="H1499" s="80"/>
      <c r="I1499" s="80"/>
      <c r="J1499" s="196"/>
      <c r="K1499" s="196"/>
      <c r="L1499" s="196"/>
      <c r="M1499" s="196"/>
      <c r="N1499" s="196"/>
      <c r="O1499" s="196"/>
      <c r="P1499" s="196"/>
      <c r="Q1499" s="196"/>
      <c r="R1499" s="196"/>
      <c r="S1499" s="196"/>
      <c r="T1499" s="196"/>
      <c r="U1499" s="196"/>
      <c r="V1499" s="196"/>
      <c r="W1499" s="196"/>
      <c r="X1499" s="196"/>
      <c r="Y1499" s="196"/>
      <c r="Z1499" s="196"/>
      <c r="AA1499" s="196"/>
      <c r="AB1499" s="196"/>
      <c r="AC1499" s="196"/>
      <c r="AD1499" s="196"/>
      <c r="AE1499" s="196"/>
      <c r="AF1499" s="196"/>
      <c r="AG1499" s="196"/>
      <c r="AH1499" s="196"/>
      <c r="AI1499" s="196"/>
      <c r="AJ1499" s="197"/>
      <c r="AK1499" s="80"/>
      <c r="AL1499" s="80"/>
      <c r="AM1499" s="73"/>
      <c r="AN1499" s="73"/>
      <c r="AO1499" s="73"/>
      <c r="AP1499" s="73"/>
      <c r="AQ1499" s="73"/>
      <c r="AR1499" s="73"/>
      <c r="AS1499" s="73"/>
      <c r="AT1499" s="73"/>
      <c r="AU1499" s="73"/>
      <c r="AV1499" s="73"/>
      <c r="AW1499" s="73"/>
      <c r="AX1499" s="73"/>
      <c r="AY1499" s="73"/>
      <c r="AZ1499" s="73"/>
      <c r="BA1499" s="73"/>
      <c r="BB1499" s="73"/>
      <c r="BC1499" s="73"/>
      <c r="BD1499" s="73"/>
      <c r="BE1499" s="73"/>
      <c r="BF1499" s="73"/>
      <c r="BG1499" s="73"/>
      <c r="BH1499" s="73"/>
      <c r="BI1499" s="73"/>
      <c r="BJ1499" s="73"/>
      <c r="BK1499" s="73"/>
      <c r="BL1499" s="73"/>
      <c r="BM1499" s="73"/>
      <c r="BN1499" s="73"/>
      <c r="BO1499" s="73"/>
      <c r="BP1499" s="73"/>
      <c r="BQ1499" s="73"/>
      <c r="BR1499" s="73"/>
      <c r="BS1499" s="73"/>
      <c r="BT1499" s="73"/>
      <c r="BU1499" s="73"/>
      <c r="BV1499" s="73"/>
      <c r="BW1499" s="73"/>
      <c r="BX1499" s="73"/>
      <c r="BY1499" s="73"/>
      <c r="BZ1499" s="73"/>
      <c r="CA1499" s="73"/>
      <c r="CB1499" s="73"/>
      <c r="CC1499" s="73"/>
      <c r="CD1499" s="73"/>
      <c r="CE1499" s="73"/>
      <c r="CF1499" s="73"/>
      <c r="CG1499" s="73"/>
      <c r="CH1499" s="73"/>
    </row>
    <row r="1500">
      <c r="A1500" s="80"/>
      <c r="B1500" s="80"/>
      <c r="C1500" s="80"/>
      <c r="D1500" s="80"/>
      <c r="E1500" s="124"/>
      <c r="F1500" s="80"/>
      <c r="G1500" s="80"/>
      <c r="H1500" s="80"/>
      <c r="I1500" s="80"/>
      <c r="J1500" s="196"/>
      <c r="K1500" s="196"/>
      <c r="L1500" s="196"/>
      <c r="M1500" s="196"/>
      <c r="N1500" s="196"/>
      <c r="O1500" s="196"/>
      <c r="P1500" s="196"/>
      <c r="Q1500" s="196"/>
      <c r="R1500" s="196"/>
      <c r="S1500" s="196"/>
      <c r="T1500" s="196"/>
      <c r="U1500" s="196"/>
      <c r="V1500" s="196"/>
      <c r="W1500" s="196"/>
      <c r="X1500" s="196"/>
      <c r="Y1500" s="196"/>
      <c r="Z1500" s="196"/>
      <c r="AA1500" s="196"/>
      <c r="AB1500" s="196"/>
      <c r="AC1500" s="196"/>
      <c r="AD1500" s="196"/>
      <c r="AE1500" s="196"/>
      <c r="AF1500" s="196"/>
      <c r="AG1500" s="196"/>
      <c r="AH1500" s="196"/>
      <c r="AI1500" s="196"/>
      <c r="AJ1500" s="197"/>
      <c r="AK1500" s="80"/>
      <c r="AL1500" s="80"/>
      <c r="AM1500" s="73"/>
      <c r="AN1500" s="73"/>
      <c r="AO1500" s="73"/>
      <c r="AP1500" s="73"/>
      <c r="AQ1500" s="73"/>
      <c r="AR1500" s="73"/>
      <c r="AS1500" s="73"/>
      <c r="AT1500" s="73"/>
      <c r="AU1500" s="73"/>
      <c r="AV1500" s="73"/>
      <c r="AW1500" s="73"/>
      <c r="AX1500" s="73"/>
      <c r="AY1500" s="73"/>
      <c r="AZ1500" s="73"/>
      <c r="BA1500" s="73"/>
      <c r="BB1500" s="73"/>
      <c r="BC1500" s="73"/>
      <c r="BD1500" s="73"/>
      <c r="BE1500" s="73"/>
      <c r="BF1500" s="73"/>
      <c r="BG1500" s="73"/>
      <c r="BH1500" s="73"/>
      <c r="BI1500" s="73"/>
      <c r="BJ1500" s="73"/>
      <c r="BK1500" s="73"/>
      <c r="BL1500" s="73"/>
      <c r="BM1500" s="73"/>
      <c r="BN1500" s="73"/>
      <c r="BO1500" s="73"/>
      <c r="BP1500" s="73"/>
      <c r="BQ1500" s="73"/>
      <c r="BR1500" s="73"/>
      <c r="BS1500" s="73"/>
      <c r="BT1500" s="73"/>
      <c r="BU1500" s="73"/>
      <c r="BV1500" s="73"/>
      <c r="BW1500" s="73"/>
      <c r="BX1500" s="73"/>
      <c r="BY1500" s="73"/>
      <c r="BZ1500" s="73"/>
      <c r="CA1500" s="73"/>
      <c r="CB1500" s="73"/>
      <c r="CC1500" s="73"/>
      <c r="CD1500" s="73"/>
      <c r="CE1500" s="73"/>
      <c r="CF1500" s="73"/>
      <c r="CG1500" s="73"/>
      <c r="CH1500" s="73"/>
    </row>
    <row r="1501">
      <c r="A1501" s="80"/>
      <c r="B1501" s="80"/>
      <c r="C1501" s="80"/>
      <c r="D1501" s="80"/>
      <c r="E1501" s="124"/>
      <c r="F1501" s="80"/>
      <c r="G1501" s="80"/>
      <c r="H1501" s="80"/>
      <c r="I1501" s="80"/>
      <c r="J1501" s="196"/>
      <c r="K1501" s="196"/>
      <c r="L1501" s="196"/>
      <c r="M1501" s="196"/>
      <c r="N1501" s="196"/>
      <c r="O1501" s="196"/>
      <c r="P1501" s="196"/>
      <c r="Q1501" s="196"/>
      <c r="R1501" s="196"/>
      <c r="S1501" s="196"/>
      <c r="T1501" s="196"/>
      <c r="U1501" s="196"/>
      <c r="V1501" s="196"/>
      <c r="W1501" s="196"/>
      <c r="X1501" s="196"/>
      <c r="Y1501" s="196"/>
      <c r="Z1501" s="196"/>
      <c r="AA1501" s="196"/>
      <c r="AB1501" s="196"/>
      <c r="AC1501" s="196"/>
      <c r="AD1501" s="196"/>
      <c r="AE1501" s="196"/>
      <c r="AF1501" s="196"/>
      <c r="AG1501" s="196"/>
      <c r="AH1501" s="196"/>
      <c r="AI1501" s="196"/>
      <c r="AJ1501" s="197"/>
      <c r="AK1501" s="80"/>
      <c r="AL1501" s="80"/>
      <c r="AM1501" s="73"/>
      <c r="AN1501" s="73"/>
      <c r="AO1501" s="73"/>
      <c r="AP1501" s="73"/>
      <c r="AQ1501" s="73"/>
      <c r="AR1501" s="73"/>
      <c r="AS1501" s="73"/>
      <c r="AT1501" s="73"/>
      <c r="AU1501" s="73"/>
      <c r="AV1501" s="73"/>
      <c r="AW1501" s="73"/>
      <c r="AX1501" s="73"/>
      <c r="AY1501" s="73"/>
      <c r="AZ1501" s="73"/>
      <c r="BA1501" s="73"/>
      <c r="BB1501" s="73"/>
      <c r="BC1501" s="73"/>
      <c r="BD1501" s="73"/>
      <c r="BE1501" s="73"/>
      <c r="BF1501" s="73"/>
      <c r="BG1501" s="73"/>
      <c r="BH1501" s="73"/>
      <c r="BI1501" s="73"/>
      <c r="BJ1501" s="73"/>
      <c r="BK1501" s="73"/>
      <c r="BL1501" s="73"/>
      <c r="BM1501" s="73"/>
      <c r="BN1501" s="73"/>
      <c r="BO1501" s="73"/>
      <c r="BP1501" s="73"/>
      <c r="BQ1501" s="73"/>
      <c r="BR1501" s="73"/>
      <c r="BS1501" s="73"/>
      <c r="BT1501" s="73"/>
      <c r="BU1501" s="73"/>
      <c r="BV1501" s="73"/>
      <c r="BW1501" s="73"/>
      <c r="BX1501" s="73"/>
      <c r="BY1501" s="73"/>
      <c r="BZ1501" s="73"/>
      <c r="CA1501" s="73"/>
      <c r="CB1501" s="73"/>
      <c r="CC1501" s="73"/>
      <c r="CD1501" s="73"/>
      <c r="CE1501" s="73"/>
      <c r="CF1501" s="73"/>
      <c r="CG1501" s="73"/>
      <c r="CH1501" s="73"/>
    </row>
    <row r="1502">
      <c r="A1502" s="80"/>
      <c r="B1502" s="80"/>
      <c r="C1502" s="80"/>
      <c r="D1502" s="80"/>
      <c r="E1502" s="124"/>
      <c r="F1502" s="80"/>
      <c r="G1502" s="80"/>
      <c r="H1502" s="80"/>
      <c r="I1502" s="80"/>
      <c r="J1502" s="196"/>
      <c r="K1502" s="196"/>
      <c r="L1502" s="196"/>
      <c r="M1502" s="196"/>
      <c r="N1502" s="196"/>
      <c r="O1502" s="196"/>
      <c r="P1502" s="196"/>
      <c r="Q1502" s="196"/>
      <c r="R1502" s="196"/>
      <c r="S1502" s="196"/>
      <c r="T1502" s="196"/>
      <c r="U1502" s="196"/>
      <c r="V1502" s="196"/>
      <c r="W1502" s="196"/>
      <c r="X1502" s="196"/>
      <c r="Y1502" s="196"/>
      <c r="Z1502" s="196"/>
      <c r="AA1502" s="196"/>
      <c r="AB1502" s="196"/>
      <c r="AC1502" s="196"/>
      <c r="AD1502" s="196"/>
      <c r="AE1502" s="196"/>
      <c r="AF1502" s="196"/>
      <c r="AG1502" s="196"/>
      <c r="AH1502" s="196"/>
      <c r="AI1502" s="196"/>
      <c r="AJ1502" s="197"/>
      <c r="AK1502" s="80"/>
      <c r="AL1502" s="80"/>
      <c r="AM1502" s="73"/>
      <c r="AN1502" s="73"/>
      <c r="AO1502" s="73"/>
      <c r="AP1502" s="73"/>
      <c r="AQ1502" s="73"/>
      <c r="AR1502" s="73"/>
      <c r="AS1502" s="73"/>
      <c r="AT1502" s="73"/>
      <c r="AU1502" s="73"/>
      <c r="AV1502" s="73"/>
      <c r="AW1502" s="73"/>
      <c r="AX1502" s="73"/>
      <c r="AY1502" s="73"/>
      <c r="AZ1502" s="73"/>
      <c r="BA1502" s="73"/>
      <c r="BB1502" s="73"/>
      <c r="BC1502" s="73"/>
      <c r="BD1502" s="73"/>
      <c r="BE1502" s="73"/>
      <c r="BF1502" s="73"/>
      <c r="BG1502" s="73"/>
      <c r="BH1502" s="73"/>
      <c r="BI1502" s="73"/>
      <c r="BJ1502" s="73"/>
      <c r="BK1502" s="73"/>
      <c r="BL1502" s="73"/>
      <c r="BM1502" s="73"/>
      <c r="BN1502" s="73"/>
      <c r="BO1502" s="73"/>
      <c r="BP1502" s="73"/>
      <c r="BQ1502" s="73"/>
      <c r="BR1502" s="73"/>
      <c r="BS1502" s="73"/>
      <c r="BT1502" s="73"/>
      <c r="BU1502" s="73"/>
      <c r="BV1502" s="73"/>
      <c r="BW1502" s="73"/>
      <c r="BX1502" s="73"/>
      <c r="BY1502" s="73"/>
      <c r="BZ1502" s="73"/>
      <c r="CA1502" s="73"/>
      <c r="CB1502" s="73"/>
      <c r="CC1502" s="73"/>
      <c r="CD1502" s="73"/>
      <c r="CE1502" s="73"/>
      <c r="CF1502" s="73"/>
      <c r="CG1502" s="73"/>
      <c r="CH1502" s="73"/>
    </row>
    <row r="1503">
      <c r="A1503" s="80"/>
      <c r="B1503" s="80"/>
      <c r="C1503" s="80"/>
      <c r="D1503" s="80"/>
      <c r="E1503" s="124"/>
      <c r="F1503" s="80"/>
      <c r="G1503" s="80"/>
      <c r="H1503" s="80"/>
      <c r="I1503" s="80"/>
      <c r="J1503" s="196"/>
      <c r="K1503" s="196"/>
      <c r="L1503" s="196"/>
      <c r="M1503" s="196"/>
      <c r="N1503" s="196"/>
      <c r="O1503" s="196"/>
      <c r="P1503" s="196"/>
      <c r="Q1503" s="196"/>
      <c r="R1503" s="196"/>
      <c r="S1503" s="196"/>
      <c r="T1503" s="196"/>
      <c r="U1503" s="196"/>
      <c r="V1503" s="196"/>
      <c r="W1503" s="196"/>
      <c r="X1503" s="196"/>
      <c r="Y1503" s="196"/>
      <c r="Z1503" s="196"/>
      <c r="AA1503" s="196"/>
      <c r="AB1503" s="196"/>
      <c r="AC1503" s="196"/>
      <c r="AD1503" s="196"/>
      <c r="AE1503" s="196"/>
      <c r="AF1503" s="196"/>
      <c r="AG1503" s="196"/>
      <c r="AH1503" s="196"/>
      <c r="AI1503" s="196"/>
      <c r="AJ1503" s="197"/>
      <c r="AK1503" s="80"/>
      <c r="AL1503" s="80"/>
      <c r="AM1503" s="73"/>
      <c r="AN1503" s="73"/>
      <c r="AO1503" s="73"/>
      <c r="AP1503" s="73"/>
      <c r="AQ1503" s="73"/>
      <c r="AR1503" s="73"/>
      <c r="AS1503" s="73"/>
      <c r="AT1503" s="73"/>
      <c r="AU1503" s="73"/>
      <c r="AV1503" s="73"/>
      <c r="AW1503" s="73"/>
      <c r="AX1503" s="73"/>
      <c r="AY1503" s="73"/>
      <c r="AZ1503" s="73"/>
      <c r="BA1503" s="73"/>
      <c r="BB1503" s="73"/>
      <c r="BC1503" s="73"/>
      <c r="BD1503" s="73"/>
      <c r="BE1503" s="73"/>
      <c r="BF1503" s="73"/>
      <c r="BG1503" s="73"/>
      <c r="BH1503" s="73"/>
      <c r="BI1503" s="73"/>
      <c r="BJ1503" s="73"/>
      <c r="BK1503" s="73"/>
      <c r="BL1503" s="73"/>
      <c r="BM1503" s="73"/>
      <c r="BN1503" s="73"/>
      <c r="BO1503" s="73"/>
      <c r="BP1503" s="73"/>
      <c r="BQ1503" s="73"/>
      <c r="BR1503" s="73"/>
      <c r="BS1503" s="73"/>
      <c r="BT1503" s="73"/>
      <c r="BU1503" s="73"/>
      <c r="BV1503" s="73"/>
      <c r="BW1503" s="73"/>
      <c r="BX1503" s="73"/>
      <c r="BY1503" s="73"/>
      <c r="BZ1503" s="73"/>
      <c r="CA1503" s="73"/>
      <c r="CB1503" s="73"/>
      <c r="CC1503" s="73"/>
      <c r="CD1503" s="73"/>
      <c r="CE1503" s="73"/>
      <c r="CF1503" s="73"/>
      <c r="CG1503" s="73"/>
      <c r="CH1503" s="73"/>
    </row>
    <row r="1504">
      <c r="A1504" s="80"/>
      <c r="B1504" s="80"/>
      <c r="C1504" s="80"/>
      <c r="D1504" s="80"/>
      <c r="E1504" s="124"/>
      <c r="F1504" s="80"/>
      <c r="G1504" s="80"/>
      <c r="H1504" s="80"/>
      <c r="I1504" s="80"/>
      <c r="J1504" s="196"/>
      <c r="K1504" s="196"/>
      <c r="L1504" s="196"/>
      <c r="M1504" s="196"/>
      <c r="N1504" s="196"/>
      <c r="O1504" s="196"/>
      <c r="P1504" s="196"/>
      <c r="Q1504" s="196"/>
      <c r="R1504" s="196"/>
      <c r="S1504" s="196"/>
      <c r="T1504" s="196"/>
      <c r="U1504" s="196"/>
      <c r="V1504" s="196"/>
      <c r="W1504" s="196"/>
      <c r="X1504" s="196"/>
      <c r="Y1504" s="196"/>
      <c r="Z1504" s="196"/>
      <c r="AA1504" s="196"/>
      <c r="AB1504" s="196"/>
      <c r="AC1504" s="196"/>
      <c r="AD1504" s="196"/>
      <c r="AE1504" s="196"/>
      <c r="AF1504" s="196"/>
      <c r="AG1504" s="196"/>
      <c r="AH1504" s="196"/>
      <c r="AI1504" s="196"/>
      <c r="AJ1504" s="197"/>
      <c r="AK1504" s="80"/>
      <c r="AL1504" s="80"/>
      <c r="AM1504" s="73"/>
      <c r="AN1504" s="73"/>
      <c r="AO1504" s="73"/>
      <c r="AP1504" s="73"/>
      <c r="AQ1504" s="73"/>
      <c r="AR1504" s="73"/>
      <c r="AS1504" s="73"/>
      <c r="AT1504" s="73"/>
      <c r="AU1504" s="73"/>
      <c r="AV1504" s="73"/>
      <c r="AW1504" s="73"/>
      <c r="AX1504" s="73"/>
      <c r="AY1504" s="73"/>
      <c r="AZ1504" s="73"/>
      <c r="BA1504" s="73"/>
      <c r="BB1504" s="73"/>
      <c r="BC1504" s="73"/>
      <c r="BD1504" s="73"/>
      <c r="BE1504" s="73"/>
      <c r="BF1504" s="73"/>
      <c r="BG1504" s="73"/>
      <c r="BH1504" s="73"/>
      <c r="BI1504" s="73"/>
      <c r="BJ1504" s="73"/>
      <c r="BK1504" s="73"/>
      <c r="BL1504" s="73"/>
      <c r="BM1504" s="73"/>
      <c r="BN1504" s="73"/>
      <c r="BO1504" s="73"/>
      <c r="BP1504" s="73"/>
      <c r="BQ1504" s="73"/>
      <c r="BR1504" s="73"/>
      <c r="BS1504" s="73"/>
      <c r="BT1504" s="73"/>
      <c r="BU1504" s="73"/>
      <c r="BV1504" s="73"/>
      <c r="BW1504" s="73"/>
      <c r="BX1504" s="73"/>
      <c r="BY1504" s="73"/>
      <c r="BZ1504" s="73"/>
      <c r="CA1504" s="73"/>
      <c r="CB1504" s="73"/>
      <c r="CC1504" s="73"/>
      <c r="CD1504" s="73"/>
      <c r="CE1504" s="73"/>
      <c r="CF1504" s="73"/>
      <c r="CG1504" s="73"/>
      <c r="CH1504" s="73"/>
    </row>
    <row r="1505">
      <c r="A1505" s="80"/>
      <c r="B1505" s="80"/>
      <c r="C1505" s="80"/>
      <c r="D1505" s="80"/>
      <c r="E1505" s="124"/>
      <c r="F1505" s="80"/>
      <c r="G1505" s="80"/>
      <c r="H1505" s="80"/>
      <c r="I1505" s="80"/>
      <c r="J1505" s="196"/>
      <c r="K1505" s="196"/>
      <c r="L1505" s="196"/>
      <c r="M1505" s="196"/>
      <c r="N1505" s="196"/>
      <c r="O1505" s="196"/>
      <c r="P1505" s="196"/>
      <c r="Q1505" s="196"/>
      <c r="R1505" s="196"/>
      <c r="S1505" s="196"/>
      <c r="T1505" s="196"/>
      <c r="U1505" s="196"/>
      <c r="V1505" s="196"/>
      <c r="W1505" s="196"/>
      <c r="X1505" s="196"/>
      <c r="Y1505" s="196"/>
      <c r="Z1505" s="196"/>
      <c r="AA1505" s="196"/>
      <c r="AB1505" s="196"/>
      <c r="AC1505" s="196"/>
      <c r="AD1505" s="196"/>
      <c r="AE1505" s="196"/>
      <c r="AF1505" s="196"/>
      <c r="AG1505" s="196"/>
      <c r="AH1505" s="196"/>
      <c r="AI1505" s="196"/>
      <c r="AJ1505" s="197"/>
      <c r="AK1505" s="80"/>
      <c r="AL1505" s="80"/>
      <c r="AM1505" s="73"/>
      <c r="AN1505" s="73"/>
      <c r="AO1505" s="73"/>
      <c r="AP1505" s="73"/>
      <c r="AQ1505" s="73"/>
      <c r="AR1505" s="73"/>
      <c r="AS1505" s="73"/>
      <c r="AT1505" s="73"/>
      <c r="AU1505" s="73"/>
      <c r="AV1505" s="73"/>
      <c r="AW1505" s="73"/>
      <c r="AX1505" s="73"/>
      <c r="AY1505" s="73"/>
      <c r="AZ1505" s="73"/>
      <c r="BA1505" s="73"/>
      <c r="BB1505" s="73"/>
      <c r="BC1505" s="73"/>
      <c r="BD1505" s="73"/>
      <c r="BE1505" s="73"/>
      <c r="BF1505" s="73"/>
      <c r="BG1505" s="73"/>
      <c r="BH1505" s="73"/>
      <c r="BI1505" s="73"/>
      <c r="BJ1505" s="73"/>
      <c r="BK1505" s="73"/>
      <c r="BL1505" s="73"/>
      <c r="BM1505" s="73"/>
      <c r="BN1505" s="73"/>
      <c r="BO1505" s="73"/>
      <c r="BP1505" s="73"/>
      <c r="BQ1505" s="73"/>
      <c r="BR1505" s="73"/>
      <c r="BS1505" s="73"/>
      <c r="BT1505" s="73"/>
      <c r="BU1505" s="73"/>
      <c r="BV1505" s="73"/>
      <c r="BW1505" s="73"/>
      <c r="BX1505" s="73"/>
      <c r="BY1505" s="73"/>
      <c r="BZ1505" s="73"/>
      <c r="CA1505" s="73"/>
      <c r="CB1505" s="73"/>
      <c r="CC1505" s="73"/>
      <c r="CD1505" s="73"/>
      <c r="CE1505" s="73"/>
      <c r="CF1505" s="73"/>
      <c r="CG1505" s="73"/>
      <c r="CH1505" s="73"/>
    </row>
    <row r="1506">
      <c r="A1506" s="80"/>
      <c r="B1506" s="80"/>
      <c r="C1506" s="80"/>
      <c r="D1506" s="80"/>
      <c r="E1506" s="124"/>
      <c r="F1506" s="80"/>
      <c r="G1506" s="80"/>
      <c r="H1506" s="80"/>
      <c r="I1506" s="80"/>
      <c r="J1506" s="196"/>
      <c r="K1506" s="196"/>
      <c r="L1506" s="196"/>
      <c r="M1506" s="196"/>
      <c r="N1506" s="196"/>
      <c r="O1506" s="196"/>
      <c r="P1506" s="196"/>
      <c r="Q1506" s="196"/>
      <c r="R1506" s="196"/>
      <c r="S1506" s="196"/>
      <c r="T1506" s="196"/>
      <c r="U1506" s="196"/>
      <c r="V1506" s="196"/>
      <c r="W1506" s="196"/>
      <c r="X1506" s="196"/>
      <c r="Y1506" s="196"/>
      <c r="Z1506" s="196"/>
      <c r="AA1506" s="196"/>
      <c r="AB1506" s="196"/>
      <c r="AC1506" s="196"/>
      <c r="AD1506" s="196"/>
      <c r="AE1506" s="196"/>
      <c r="AF1506" s="196"/>
      <c r="AG1506" s="196"/>
      <c r="AH1506" s="196"/>
      <c r="AI1506" s="196"/>
      <c r="AJ1506" s="197"/>
      <c r="AK1506" s="80"/>
      <c r="AL1506" s="80"/>
      <c r="AM1506" s="73"/>
      <c r="AN1506" s="73"/>
      <c r="AO1506" s="73"/>
      <c r="AP1506" s="73"/>
      <c r="AQ1506" s="73"/>
      <c r="AR1506" s="73"/>
      <c r="AS1506" s="73"/>
      <c r="AT1506" s="73"/>
      <c r="AU1506" s="73"/>
      <c r="AV1506" s="73"/>
      <c r="AW1506" s="73"/>
      <c r="AX1506" s="73"/>
      <c r="AY1506" s="73"/>
      <c r="AZ1506" s="73"/>
      <c r="BA1506" s="73"/>
      <c r="BB1506" s="73"/>
      <c r="BC1506" s="73"/>
      <c r="BD1506" s="73"/>
      <c r="BE1506" s="73"/>
      <c r="BF1506" s="73"/>
      <c r="BG1506" s="73"/>
      <c r="BH1506" s="73"/>
      <c r="BI1506" s="73"/>
      <c r="BJ1506" s="73"/>
      <c r="BK1506" s="73"/>
      <c r="BL1506" s="73"/>
      <c r="BM1506" s="73"/>
      <c r="BN1506" s="73"/>
      <c r="BO1506" s="73"/>
      <c r="BP1506" s="73"/>
      <c r="BQ1506" s="73"/>
      <c r="BR1506" s="73"/>
      <c r="BS1506" s="73"/>
      <c r="BT1506" s="73"/>
      <c r="BU1506" s="73"/>
      <c r="BV1506" s="73"/>
      <c r="BW1506" s="73"/>
      <c r="BX1506" s="73"/>
      <c r="BY1506" s="73"/>
      <c r="BZ1506" s="73"/>
      <c r="CA1506" s="73"/>
      <c r="CB1506" s="73"/>
      <c r="CC1506" s="73"/>
      <c r="CD1506" s="73"/>
      <c r="CE1506" s="73"/>
      <c r="CF1506" s="73"/>
      <c r="CG1506" s="73"/>
      <c r="CH1506" s="73"/>
    </row>
    <row r="1507">
      <c r="A1507" s="80"/>
      <c r="B1507" s="80"/>
      <c r="C1507" s="80"/>
      <c r="D1507" s="80"/>
      <c r="E1507" s="124"/>
      <c r="F1507" s="80"/>
      <c r="G1507" s="80"/>
      <c r="H1507" s="80"/>
      <c r="I1507" s="80"/>
      <c r="J1507" s="196"/>
      <c r="K1507" s="196"/>
      <c r="L1507" s="196"/>
      <c r="M1507" s="196"/>
      <c r="N1507" s="196"/>
      <c r="O1507" s="196"/>
      <c r="P1507" s="196"/>
      <c r="Q1507" s="196"/>
      <c r="R1507" s="196"/>
      <c r="S1507" s="196"/>
      <c r="T1507" s="196"/>
      <c r="U1507" s="196"/>
      <c r="V1507" s="196"/>
      <c r="W1507" s="196"/>
      <c r="X1507" s="196"/>
      <c r="Y1507" s="196"/>
      <c r="Z1507" s="196"/>
      <c r="AA1507" s="196"/>
      <c r="AB1507" s="196"/>
      <c r="AC1507" s="196"/>
      <c r="AD1507" s="196"/>
      <c r="AE1507" s="196"/>
      <c r="AF1507" s="196"/>
      <c r="AG1507" s="196"/>
      <c r="AH1507" s="196"/>
      <c r="AI1507" s="196"/>
      <c r="AJ1507" s="197"/>
      <c r="AK1507" s="80"/>
      <c r="AL1507" s="80"/>
      <c r="AM1507" s="73"/>
      <c r="AN1507" s="73"/>
      <c r="AO1507" s="73"/>
      <c r="AP1507" s="73"/>
      <c r="AQ1507" s="73"/>
      <c r="AR1507" s="73"/>
      <c r="AS1507" s="73"/>
      <c r="AT1507" s="73"/>
      <c r="AU1507" s="73"/>
      <c r="AV1507" s="73"/>
      <c r="AW1507" s="73"/>
      <c r="AX1507" s="73"/>
      <c r="AY1507" s="73"/>
      <c r="AZ1507" s="73"/>
      <c r="BA1507" s="73"/>
      <c r="BB1507" s="73"/>
      <c r="BC1507" s="73"/>
      <c r="BD1507" s="73"/>
      <c r="BE1507" s="73"/>
      <c r="BF1507" s="73"/>
      <c r="BG1507" s="73"/>
      <c r="BH1507" s="73"/>
      <c r="BI1507" s="73"/>
      <c r="BJ1507" s="73"/>
      <c r="BK1507" s="73"/>
      <c r="BL1507" s="73"/>
      <c r="BM1507" s="73"/>
      <c r="BN1507" s="73"/>
      <c r="BO1507" s="73"/>
      <c r="BP1507" s="73"/>
      <c r="BQ1507" s="73"/>
      <c r="BR1507" s="73"/>
      <c r="BS1507" s="73"/>
      <c r="BT1507" s="73"/>
      <c r="BU1507" s="73"/>
      <c r="BV1507" s="73"/>
      <c r="BW1507" s="73"/>
      <c r="BX1507" s="73"/>
      <c r="BY1507" s="73"/>
      <c r="BZ1507" s="73"/>
      <c r="CA1507" s="73"/>
      <c r="CB1507" s="73"/>
      <c r="CC1507" s="73"/>
      <c r="CD1507" s="73"/>
      <c r="CE1507" s="73"/>
      <c r="CF1507" s="73"/>
      <c r="CG1507" s="73"/>
      <c r="CH1507" s="73"/>
    </row>
    <row r="1508">
      <c r="A1508" s="80"/>
      <c r="B1508" s="80"/>
      <c r="C1508" s="80"/>
      <c r="D1508" s="80"/>
      <c r="E1508" s="124"/>
      <c r="F1508" s="80"/>
      <c r="G1508" s="80"/>
      <c r="H1508" s="80"/>
      <c r="I1508" s="80"/>
      <c r="J1508" s="196"/>
      <c r="K1508" s="196"/>
      <c r="L1508" s="196"/>
      <c r="M1508" s="196"/>
      <c r="N1508" s="196"/>
      <c r="O1508" s="196"/>
      <c r="P1508" s="196"/>
      <c r="Q1508" s="196"/>
      <c r="R1508" s="196"/>
      <c r="S1508" s="196"/>
      <c r="T1508" s="196"/>
      <c r="U1508" s="196"/>
      <c r="V1508" s="196"/>
      <c r="W1508" s="196"/>
      <c r="X1508" s="196"/>
      <c r="Y1508" s="196"/>
      <c r="Z1508" s="196"/>
      <c r="AA1508" s="196"/>
      <c r="AB1508" s="196"/>
      <c r="AC1508" s="196"/>
      <c r="AD1508" s="196"/>
      <c r="AE1508" s="196"/>
      <c r="AF1508" s="196"/>
      <c r="AG1508" s="196"/>
      <c r="AH1508" s="196"/>
      <c r="AI1508" s="196"/>
      <c r="AJ1508" s="197"/>
      <c r="AK1508" s="80"/>
      <c r="AL1508" s="80"/>
      <c r="AM1508" s="73"/>
      <c r="AN1508" s="73"/>
      <c r="AO1508" s="73"/>
      <c r="AP1508" s="73"/>
      <c r="AQ1508" s="73"/>
      <c r="AR1508" s="73"/>
      <c r="AS1508" s="73"/>
      <c r="AT1508" s="73"/>
      <c r="AU1508" s="73"/>
      <c r="AV1508" s="73"/>
      <c r="AW1508" s="73"/>
      <c r="AX1508" s="73"/>
      <c r="AY1508" s="73"/>
      <c r="AZ1508" s="73"/>
      <c r="BA1508" s="73"/>
      <c r="BB1508" s="73"/>
      <c r="BC1508" s="73"/>
      <c r="BD1508" s="73"/>
      <c r="BE1508" s="73"/>
      <c r="BF1508" s="73"/>
      <c r="BG1508" s="73"/>
      <c r="BH1508" s="73"/>
      <c r="BI1508" s="73"/>
      <c r="BJ1508" s="73"/>
      <c r="BK1508" s="73"/>
      <c r="BL1508" s="73"/>
      <c r="BM1508" s="73"/>
      <c r="BN1508" s="73"/>
      <c r="BO1508" s="73"/>
      <c r="BP1508" s="73"/>
      <c r="BQ1508" s="73"/>
      <c r="BR1508" s="73"/>
      <c r="BS1508" s="73"/>
      <c r="BT1508" s="73"/>
      <c r="BU1508" s="73"/>
      <c r="BV1508" s="73"/>
      <c r="BW1508" s="73"/>
      <c r="BX1508" s="73"/>
      <c r="BY1508" s="73"/>
      <c r="BZ1508" s="73"/>
      <c r="CA1508" s="73"/>
      <c r="CB1508" s="73"/>
      <c r="CC1508" s="73"/>
      <c r="CD1508" s="73"/>
      <c r="CE1508" s="73"/>
      <c r="CF1508" s="73"/>
      <c r="CG1508" s="73"/>
      <c r="CH1508" s="73"/>
    </row>
    <row r="1509">
      <c r="A1509" s="80"/>
      <c r="B1509" s="80"/>
      <c r="C1509" s="80"/>
      <c r="D1509" s="80"/>
      <c r="E1509" s="124"/>
      <c r="F1509" s="80"/>
      <c r="G1509" s="80"/>
      <c r="H1509" s="80"/>
      <c r="I1509" s="80"/>
      <c r="J1509" s="196"/>
      <c r="K1509" s="196"/>
      <c r="L1509" s="196"/>
      <c r="M1509" s="196"/>
      <c r="N1509" s="196"/>
      <c r="O1509" s="196"/>
      <c r="P1509" s="196"/>
      <c r="Q1509" s="196"/>
      <c r="R1509" s="196"/>
      <c r="S1509" s="196"/>
      <c r="T1509" s="196"/>
      <c r="U1509" s="196"/>
      <c r="V1509" s="196"/>
      <c r="W1509" s="196"/>
      <c r="X1509" s="196"/>
      <c r="Y1509" s="196"/>
      <c r="Z1509" s="196"/>
      <c r="AA1509" s="196"/>
      <c r="AB1509" s="196"/>
      <c r="AC1509" s="196"/>
      <c r="AD1509" s="196"/>
      <c r="AE1509" s="196"/>
      <c r="AF1509" s="196"/>
      <c r="AG1509" s="196"/>
      <c r="AH1509" s="196"/>
      <c r="AI1509" s="196"/>
      <c r="AJ1509" s="197"/>
      <c r="AK1509" s="80"/>
      <c r="AL1509" s="80"/>
      <c r="AM1509" s="73"/>
      <c r="AN1509" s="73"/>
      <c r="AO1509" s="73"/>
      <c r="AP1509" s="73"/>
      <c r="AQ1509" s="73"/>
      <c r="AR1509" s="73"/>
      <c r="AS1509" s="73"/>
      <c r="AT1509" s="73"/>
      <c r="AU1509" s="73"/>
      <c r="AV1509" s="73"/>
      <c r="AW1509" s="73"/>
      <c r="AX1509" s="73"/>
      <c r="AY1509" s="73"/>
      <c r="AZ1509" s="73"/>
      <c r="BA1509" s="73"/>
      <c r="BB1509" s="73"/>
      <c r="BC1509" s="73"/>
      <c r="BD1509" s="73"/>
      <c r="BE1509" s="73"/>
      <c r="BF1509" s="73"/>
      <c r="BG1509" s="73"/>
      <c r="BH1509" s="73"/>
      <c r="BI1509" s="73"/>
      <c r="BJ1509" s="73"/>
      <c r="BK1509" s="73"/>
      <c r="BL1509" s="73"/>
      <c r="BM1509" s="73"/>
      <c r="BN1509" s="73"/>
      <c r="BO1509" s="73"/>
      <c r="BP1509" s="73"/>
      <c r="BQ1509" s="73"/>
      <c r="BR1509" s="73"/>
      <c r="BS1509" s="73"/>
      <c r="BT1509" s="73"/>
      <c r="BU1509" s="73"/>
      <c r="BV1509" s="73"/>
      <c r="BW1509" s="73"/>
      <c r="BX1509" s="73"/>
      <c r="BY1509" s="73"/>
      <c r="BZ1509" s="73"/>
      <c r="CA1509" s="73"/>
      <c r="CB1509" s="73"/>
      <c r="CC1509" s="73"/>
      <c r="CD1509" s="73"/>
      <c r="CE1509" s="73"/>
      <c r="CF1509" s="73"/>
      <c r="CG1509" s="73"/>
      <c r="CH1509" s="73"/>
    </row>
    <row r="1510">
      <c r="A1510" s="80"/>
      <c r="B1510" s="80"/>
      <c r="C1510" s="80"/>
      <c r="D1510" s="80"/>
      <c r="E1510" s="124"/>
      <c r="F1510" s="80"/>
      <c r="G1510" s="80"/>
      <c r="H1510" s="80"/>
      <c r="I1510" s="80"/>
      <c r="J1510" s="196"/>
      <c r="K1510" s="196"/>
      <c r="L1510" s="196"/>
      <c r="M1510" s="196"/>
      <c r="N1510" s="196"/>
      <c r="O1510" s="196"/>
      <c r="P1510" s="196"/>
      <c r="Q1510" s="196"/>
      <c r="R1510" s="196"/>
      <c r="S1510" s="196"/>
      <c r="T1510" s="196"/>
      <c r="U1510" s="196"/>
      <c r="V1510" s="196"/>
      <c r="W1510" s="196"/>
      <c r="X1510" s="196"/>
      <c r="Y1510" s="196"/>
      <c r="Z1510" s="196"/>
      <c r="AA1510" s="196"/>
      <c r="AB1510" s="196"/>
      <c r="AC1510" s="196"/>
      <c r="AD1510" s="196"/>
      <c r="AE1510" s="196"/>
      <c r="AF1510" s="196"/>
      <c r="AG1510" s="196"/>
      <c r="AH1510" s="196"/>
      <c r="AI1510" s="196"/>
      <c r="AJ1510" s="197"/>
      <c r="AK1510" s="80"/>
      <c r="AL1510" s="80"/>
      <c r="AM1510" s="73"/>
      <c r="AN1510" s="73"/>
      <c r="AO1510" s="73"/>
      <c r="AP1510" s="73"/>
      <c r="AQ1510" s="73"/>
      <c r="AR1510" s="73"/>
      <c r="AS1510" s="73"/>
      <c r="AT1510" s="73"/>
      <c r="AU1510" s="73"/>
      <c r="AV1510" s="73"/>
      <c r="AW1510" s="73"/>
      <c r="AX1510" s="73"/>
      <c r="AY1510" s="73"/>
      <c r="AZ1510" s="73"/>
      <c r="BA1510" s="73"/>
      <c r="BB1510" s="73"/>
      <c r="BC1510" s="73"/>
      <c r="BD1510" s="73"/>
      <c r="BE1510" s="73"/>
      <c r="BF1510" s="73"/>
      <c r="BG1510" s="73"/>
      <c r="BH1510" s="73"/>
      <c r="BI1510" s="73"/>
      <c r="BJ1510" s="73"/>
      <c r="BK1510" s="73"/>
      <c r="BL1510" s="73"/>
      <c r="BM1510" s="73"/>
      <c r="BN1510" s="73"/>
      <c r="BO1510" s="73"/>
      <c r="BP1510" s="73"/>
      <c r="BQ1510" s="73"/>
      <c r="BR1510" s="73"/>
      <c r="BS1510" s="73"/>
      <c r="BT1510" s="73"/>
      <c r="BU1510" s="73"/>
      <c r="BV1510" s="73"/>
      <c r="BW1510" s="73"/>
      <c r="BX1510" s="73"/>
      <c r="BY1510" s="73"/>
      <c r="BZ1510" s="73"/>
      <c r="CA1510" s="73"/>
      <c r="CB1510" s="73"/>
      <c r="CC1510" s="73"/>
      <c r="CD1510" s="73"/>
      <c r="CE1510" s="73"/>
      <c r="CF1510" s="73"/>
      <c r="CG1510" s="73"/>
      <c r="CH1510" s="73"/>
    </row>
    <row r="1511">
      <c r="A1511" s="80"/>
      <c r="B1511" s="80"/>
      <c r="C1511" s="80"/>
      <c r="D1511" s="80"/>
      <c r="E1511" s="124"/>
      <c r="F1511" s="80"/>
      <c r="G1511" s="80"/>
      <c r="H1511" s="80"/>
      <c r="I1511" s="80"/>
      <c r="J1511" s="196"/>
      <c r="K1511" s="196"/>
      <c r="L1511" s="196"/>
      <c r="M1511" s="196"/>
      <c r="N1511" s="196"/>
      <c r="O1511" s="196"/>
      <c r="P1511" s="196"/>
      <c r="Q1511" s="196"/>
      <c r="R1511" s="196"/>
      <c r="S1511" s="196"/>
      <c r="T1511" s="196"/>
      <c r="U1511" s="196"/>
      <c r="V1511" s="196"/>
      <c r="W1511" s="196"/>
      <c r="X1511" s="196"/>
      <c r="Y1511" s="196"/>
      <c r="Z1511" s="196"/>
      <c r="AA1511" s="196"/>
      <c r="AB1511" s="196"/>
      <c r="AC1511" s="196"/>
      <c r="AD1511" s="196"/>
      <c r="AE1511" s="196"/>
      <c r="AF1511" s="196"/>
      <c r="AG1511" s="196"/>
      <c r="AH1511" s="196"/>
      <c r="AI1511" s="196"/>
      <c r="AJ1511" s="197"/>
      <c r="AK1511" s="80"/>
      <c r="AL1511" s="80"/>
      <c r="AM1511" s="73"/>
      <c r="AN1511" s="73"/>
      <c r="AO1511" s="73"/>
      <c r="AP1511" s="73"/>
      <c r="AQ1511" s="73"/>
      <c r="AR1511" s="73"/>
      <c r="AS1511" s="73"/>
      <c r="AT1511" s="73"/>
      <c r="AU1511" s="73"/>
      <c r="AV1511" s="73"/>
      <c r="AW1511" s="73"/>
      <c r="AX1511" s="73"/>
      <c r="AY1511" s="73"/>
      <c r="AZ1511" s="73"/>
      <c r="BA1511" s="73"/>
      <c r="BB1511" s="73"/>
      <c r="BC1511" s="73"/>
      <c r="BD1511" s="73"/>
      <c r="BE1511" s="73"/>
      <c r="BF1511" s="73"/>
      <c r="BG1511" s="73"/>
      <c r="BH1511" s="73"/>
      <c r="BI1511" s="73"/>
      <c r="BJ1511" s="73"/>
      <c r="BK1511" s="73"/>
      <c r="BL1511" s="73"/>
      <c r="BM1511" s="73"/>
      <c r="BN1511" s="73"/>
      <c r="BO1511" s="73"/>
      <c r="BP1511" s="73"/>
      <c r="BQ1511" s="73"/>
      <c r="BR1511" s="73"/>
      <c r="BS1511" s="73"/>
      <c r="BT1511" s="73"/>
      <c r="BU1511" s="73"/>
      <c r="BV1511" s="73"/>
      <c r="BW1511" s="73"/>
      <c r="BX1511" s="73"/>
      <c r="BY1511" s="73"/>
      <c r="BZ1511" s="73"/>
      <c r="CA1511" s="73"/>
      <c r="CB1511" s="73"/>
      <c r="CC1511" s="73"/>
      <c r="CD1511" s="73"/>
      <c r="CE1511" s="73"/>
      <c r="CF1511" s="73"/>
      <c r="CG1511" s="73"/>
      <c r="CH1511" s="73"/>
    </row>
    <row r="1512">
      <c r="A1512" s="80"/>
      <c r="B1512" s="80"/>
      <c r="C1512" s="80"/>
      <c r="D1512" s="80"/>
      <c r="E1512" s="124"/>
      <c r="F1512" s="80"/>
      <c r="G1512" s="80"/>
      <c r="H1512" s="80"/>
      <c r="I1512" s="80"/>
      <c r="J1512" s="196"/>
      <c r="K1512" s="196"/>
      <c r="L1512" s="196"/>
      <c r="M1512" s="196"/>
      <c r="N1512" s="196"/>
      <c r="O1512" s="196"/>
      <c r="P1512" s="196"/>
      <c r="Q1512" s="196"/>
      <c r="R1512" s="196"/>
      <c r="S1512" s="196"/>
      <c r="T1512" s="196"/>
      <c r="U1512" s="196"/>
      <c r="V1512" s="196"/>
      <c r="W1512" s="196"/>
      <c r="X1512" s="196"/>
      <c r="Y1512" s="196"/>
      <c r="Z1512" s="196"/>
      <c r="AA1512" s="196"/>
      <c r="AB1512" s="196"/>
      <c r="AC1512" s="196"/>
      <c r="AD1512" s="196"/>
      <c r="AE1512" s="196"/>
      <c r="AF1512" s="196"/>
      <c r="AG1512" s="196"/>
      <c r="AH1512" s="196"/>
      <c r="AI1512" s="196"/>
      <c r="AJ1512" s="197"/>
      <c r="AK1512" s="80"/>
      <c r="AL1512" s="80"/>
      <c r="AM1512" s="73"/>
      <c r="AN1512" s="73"/>
      <c r="AO1512" s="73"/>
      <c r="AP1512" s="73"/>
      <c r="AQ1512" s="73"/>
      <c r="AR1512" s="73"/>
      <c r="AS1512" s="73"/>
      <c r="AT1512" s="73"/>
      <c r="AU1512" s="73"/>
      <c r="AV1512" s="73"/>
      <c r="AW1512" s="73"/>
      <c r="AX1512" s="73"/>
      <c r="AY1512" s="73"/>
      <c r="AZ1512" s="73"/>
      <c r="BA1512" s="73"/>
      <c r="BB1512" s="73"/>
      <c r="BC1512" s="73"/>
      <c r="BD1512" s="73"/>
      <c r="BE1512" s="73"/>
      <c r="BF1512" s="73"/>
      <c r="BG1512" s="73"/>
      <c r="BH1512" s="73"/>
      <c r="BI1512" s="73"/>
      <c r="BJ1512" s="73"/>
      <c r="BK1512" s="73"/>
      <c r="BL1512" s="73"/>
      <c r="BM1512" s="73"/>
      <c r="BN1512" s="73"/>
      <c r="BO1512" s="73"/>
      <c r="BP1512" s="73"/>
      <c r="BQ1512" s="73"/>
      <c r="BR1512" s="73"/>
      <c r="BS1512" s="73"/>
      <c r="BT1512" s="73"/>
      <c r="BU1512" s="73"/>
      <c r="BV1512" s="73"/>
      <c r="BW1512" s="73"/>
      <c r="BX1512" s="73"/>
      <c r="BY1512" s="73"/>
      <c r="BZ1512" s="73"/>
      <c r="CA1512" s="73"/>
      <c r="CB1512" s="73"/>
      <c r="CC1512" s="73"/>
      <c r="CD1512" s="73"/>
      <c r="CE1512" s="73"/>
      <c r="CF1512" s="73"/>
      <c r="CG1512" s="73"/>
      <c r="CH1512" s="73"/>
    </row>
    <row r="1513">
      <c r="A1513" s="80"/>
      <c r="B1513" s="80"/>
      <c r="C1513" s="80"/>
      <c r="D1513" s="80"/>
      <c r="E1513" s="124"/>
      <c r="F1513" s="80"/>
      <c r="G1513" s="80"/>
      <c r="H1513" s="80"/>
      <c r="I1513" s="80"/>
      <c r="J1513" s="196"/>
      <c r="K1513" s="196"/>
      <c r="L1513" s="196"/>
      <c r="M1513" s="196"/>
      <c r="N1513" s="196"/>
      <c r="O1513" s="196"/>
      <c r="P1513" s="196"/>
      <c r="Q1513" s="196"/>
      <c r="R1513" s="196"/>
      <c r="S1513" s="196"/>
      <c r="T1513" s="196"/>
      <c r="U1513" s="196"/>
      <c r="V1513" s="196"/>
      <c r="W1513" s="196"/>
      <c r="X1513" s="196"/>
      <c r="Y1513" s="196"/>
      <c r="Z1513" s="196"/>
      <c r="AA1513" s="196"/>
      <c r="AB1513" s="196"/>
      <c r="AC1513" s="196"/>
      <c r="AD1513" s="196"/>
      <c r="AE1513" s="196"/>
      <c r="AF1513" s="196"/>
      <c r="AG1513" s="196"/>
      <c r="AH1513" s="196"/>
      <c r="AI1513" s="196"/>
      <c r="AJ1513" s="197"/>
      <c r="AK1513" s="80"/>
      <c r="AL1513" s="80"/>
      <c r="AM1513" s="73"/>
      <c r="AN1513" s="73"/>
      <c r="AO1513" s="73"/>
      <c r="AP1513" s="73"/>
      <c r="AQ1513" s="73"/>
      <c r="AR1513" s="73"/>
      <c r="AS1513" s="73"/>
      <c r="AT1513" s="73"/>
      <c r="AU1513" s="73"/>
      <c r="AV1513" s="73"/>
      <c r="AW1513" s="73"/>
      <c r="AX1513" s="73"/>
      <c r="AY1513" s="73"/>
      <c r="AZ1513" s="73"/>
      <c r="BA1513" s="73"/>
      <c r="BB1513" s="73"/>
      <c r="BC1513" s="73"/>
      <c r="BD1513" s="73"/>
      <c r="BE1513" s="73"/>
      <c r="BF1513" s="73"/>
      <c r="BG1513" s="73"/>
      <c r="BH1513" s="73"/>
      <c r="BI1513" s="73"/>
      <c r="BJ1513" s="73"/>
      <c r="BK1513" s="73"/>
      <c r="BL1513" s="73"/>
      <c r="BM1513" s="73"/>
      <c r="BN1513" s="73"/>
      <c r="BO1513" s="73"/>
      <c r="BP1513" s="73"/>
      <c r="BQ1513" s="73"/>
      <c r="BR1513" s="73"/>
      <c r="BS1513" s="73"/>
      <c r="BT1513" s="73"/>
      <c r="BU1513" s="73"/>
      <c r="BV1513" s="73"/>
      <c r="BW1513" s="73"/>
      <c r="BX1513" s="73"/>
      <c r="BY1513" s="73"/>
      <c r="BZ1513" s="73"/>
      <c r="CA1513" s="73"/>
      <c r="CB1513" s="73"/>
      <c r="CC1513" s="73"/>
      <c r="CD1513" s="73"/>
      <c r="CE1513" s="73"/>
      <c r="CF1513" s="73"/>
      <c r="CG1513" s="73"/>
      <c r="CH1513" s="73"/>
    </row>
    <row r="1514">
      <c r="A1514" s="80"/>
      <c r="B1514" s="80"/>
      <c r="C1514" s="80"/>
      <c r="D1514" s="80"/>
      <c r="E1514" s="124"/>
      <c r="F1514" s="80"/>
      <c r="G1514" s="80"/>
      <c r="H1514" s="80"/>
      <c r="I1514" s="80"/>
      <c r="J1514" s="196"/>
      <c r="K1514" s="196"/>
      <c r="L1514" s="196"/>
      <c r="M1514" s="196"/>
      <c r="N1514" s="196"/>
      <c r="O1514" s="196"/>
      <c r="P1514" s="196"/>
      <c r="Q1514" s="196"/>
      <c r="R1514" s="196"/>
      <c r="S1514" s="196"/>
      <c r="T1514" s="196"/>
      <c r="U1514" s="196"/>
      <c r="V1514" s="196"/>
      <c r="W1514" s="196"/>
      <c r="X1514" s="196"/>
      <c r="Y1514" s="196"/>
      <c r="Z1514" s="196"/>
      <c r="AA1514" s="196"/>
      <c r="AB1514" s="196"/>
      <c r="AC1514" s="196"/>
      <c r="AD1514" s="196"/>
      <c r="AE1514" s="196"/>
      <c r="AF1514" s="196"/>
      <c r="AG1514" s="196"/>
      <c r="AH1514" s="196"/>
      <c r="AI1514" s="196"/>
      <c r="AJ1514" s="197"/>
      <c r="AK1514" s="80"/>
      <c r="AL1514" s="80"/>
      <c r="AM1514" s="73"/>
      <c r="AN1514" s="73"/>
      <c r="AO1514" s="73"/>
      <c r="AP1514" s="73"/>
      <c r="AQ1514" s="73"/>
      <c r="AR1514" s="73"/>
      <c r="AS1514" s="73"/>
      <c r="AT1514" s="73"/>
      <c r="AU1514" s="73"/>
      <c r="AV1514" s="73"/>
      <c r="AW1514" s="73"/>
      <c r="AX1514" s="73"/>
      <c r="AY1514" s="73"/>
      <c r="AZ1514" s="73"/>
      <c r="BA1514" s="73"/>
      <c r="BB1514" s="73"/>
      <c r="BC1514" s="73"/>
      <c r="BD1514" s="73"/>
      <c r="BE1514" s="73"/>
      <c r="BF1514" s="73"/>
      <c r="BG1514" s="73"/>
      <c r="BH1514" s="73"/>
      <c r="BI1514" s="73"/>
      <c r="BJ1514" s="73"/>
      <c r="BK1514" s="73"/>
      <c r="BL1514" s="73"/>
      <c r="BM1514" s="73"/>
      <c r="BN1514" s="73"/>
      <c r="BO1514" s="73"/>
      <c r="BP1514" s="73"/>
      <c r="BQ1514" s="73"/>
      <c r="BR1514" s="73"/>
      <c r="BS1514" s="73"/>
      <c r="BT1514" s="73"/>
      <c r="BU1514" s="73"/>
      <c r="BV1514" s="73"/>
      <c r="BW1514" s="73"/>
      <c r="BX1514" s="73"/>
      <c r="BY1514" s="73"/>
      <c r="BZ1514" s="73"/>
      <c r="CA1514" s="73"/>
      <c r="CB1514" s="73"/>
      <c r="CC1514" s="73"/>
      <c r="CD1514" s="73"/>
      <c r="CE1514" s="73"/>
      <c r="CF1514" s="73"/>
      <c r="CG1514" s="73"/>
      <c r="CH1514" s="73"/>
    </row>
    <row r="1515">
      <c r="A1515" s="80"/>
      <c r="B1515" s="80"/>
      <c r="C1515" s="80"/>
      <c r="D1515" s="80"/>
      <c r="E1515" s="124"/>
      <c r="F1515" s="80"/>
      <c r="G1515" s="80"/>
      <c r="H1515" s="80"/>
      <c r="I1515" s="80"/>
      <c r="J1515" s="196"/>
      <c r="K1515" s="196"/>
      <c r="L1515" s="196"/>
      <c r="M1515" s="196"/>
      <c r="N1515" s="196"/>
      <c r="O1515" s="196"/>
      <c r="P1515" s="196"/>
      <c r="Q1515" s="196"/>
      <c r="R1515" s="196"/>
      <c r="S1515" s="196"/>
      <c r="T1515" s="196"/>
      <c r="U1515" s="196"/>
      <c r="V1515" s="196"/>
      <c r="W1515" s="196"/>
      <c r="X1515" s="196"/>
      <c r="Y1515" s="196"/>
      <c r="Z1515" s="196"/>
      <c r="AA1515" s="196"/>
      <c r="AB1515" s="196"/>
      <c r="AC1515" s="196"/>
      <c r="AD1515" s="196"/>
      <c r="AE1515" s="196"/>
      <c r="AF1515" s="196"/>
      <c r="AG1515" s="196"/>
      <c r="AH1515" s="196"/>
      <c r="AI1515" s="196"/>
      <c r="AJ1515" s="197"/>
      <c r="AK1515" s="80"/>
      <c r="AL1515" s="80"/>
      <c r="AM1515" s="73"/>
      <c r="AN1515" s="73"/>
      <c r="AO1515" s="73"/>
      <c r="AP1515" s="73"/>
      <c r="AQ1515" s="73"/>
      <c r="AR1515" s="73"/>
      <c r="AS1515" s="73"/>
      <c r="AT1515" s="73"/>
      <c r="AU1515" s="73"/>
      <c r="AV1515" s="73"/>
      <c r="AW1515" s="73"/>
      <c r="AX1515" s="73"/>
      <c r="AY1515" s="73"/>
      <c r="AZ1515" s="73"/>
      <c r="BA1515" s="73"/>
      <c r="BB1515" s="73"/>
      <c r="BC1515" s="73"/>
      <c r="BD1515" s="73"/>
      <c r="BE1515" s="73"/>
      <c r="BF1515" s="73"/>
      <c r="BG1515" s="73"/>
      <c r="BH1515" s="73"/>
      <c r="BI1515" s="73"/>
      <c r="BJ1515" s="73"/>
      <c r="BK1515" s="73"/>
      <c r="BL1515" s="73"/>
      <c r="BM1515" s="73"/>
      <c r="BN1515" s="73"/>
      <c r="BO1515" s="73"/>
      <c r="BP1515" s="73"/>
      <c r="BQ1515" s="73"/>
      <c r="BR1515" s="73"/>
      <c r="BS1515" s="73"/>
      <c r="BT1515" s="73"/>
      <c r="BU1515" s="73"/>
      <c r="BV1515" s="73"/>
      <c r="BW1515" s="73"/>
      <c r="BX1515" s="73"/>
      <c r="BY1515" s="73"/>
      <c r="BZ1515" s="73"/>
      <c r="CA1515" s="73"/>
      <c r="CB1515" s="73"/>
      <c r="CC1515" s="73"/>
      <c r="CD1515" s="73"/>
      <c r="CE1515" s="73"/>
      <c r="CF1515" s="73"/>
      <c r="CG1515" s="73"/>
      <c r="CH1515" s="73"/>
    </row>
    <row r="1516">
      <c r="A1516" s="80"/>
      <c r="B1516" s="80"/>
      <c r="C1516" s="80"/>
      <c r="D1516" s="80"/>
      <c r="E1516" s="124"/>
      <c r="F1516" s="80"/>
      <c r="G1516" s="80"/>
      <c r="H1516" s="80"/>
      <c r="I1516" s="80"/>
      <c r="J1516" s="196"/>
      <c r="K1516" s="196"/>
      <c r="L1516" s="196"/>
      <c r="M1516" s="196"/>
      <c r="N1516" s="196"/>
      <c r="O1516" s="196"/>
      <c r="P1516" s="196"/>
      <c r="Q1516" s="196"/>
      <c r="R1516" s="196"/>
      <c r="S1516" s="196"/>
      <c r="T1516" s="196"/>
      <c r="U1516" s="196"/>
      <c r="V1516" s="196"/>
      <c r="W1516" s="196"/>
      <c r="X1516" s="196"/>
      <c r="Y1516" s="196"/>
      <c r="Z1516" s="196"/>
      <c r="AA1516" s="196"/>
      <c r="AB1516" s="196"/>
      <c r="AC1516" s="196"/>
      <c r="AD1516" s="196"/>
      <c r="AE1516" s="196"/>
      <c r="AF1516" s="196"/>
      <c r="AG1516" s="196"/>
      <c r="AH1516" s="196"/>
      <c r="AI1516" s="196"/>
      <c r="AJ1516" s="197"/>
      <c r="AK1516" s="80"/>
      <c r="AL1516" s="80"/>
      <c r="AM1516" s="73"/>
      <c r="AN1516" s="73"/>
      <c r="AO1516" s="73"/>
      <c r="AP1516" s="73"/>
      <c r="AQ1516" s="73"/>
      <c r="AR1516" s="73"/>
      <c r="AS1516" s="73"/>
      <c r="AT1516" s="73"/>
      <c r="AU1516" s="73"/>
      <c r="AV1516" s="73"/>
      <c r="AW1516" s="73"/>
      <c r="AX1516" s="73"/>
      <c r="AY1516" s="73"/>
      <c r="AZ1516" s="73"/>
      <c r="BA1516" s="73"/>
      <c r="BB1516" s="73"/>
      <c r="BC1516" s="73"/>
      <c r="BD1516" s="73"/>
      <c r="BE1516" s="73"/>
      <c r="BF1516" s="73"/>
      <c r="BG1516" s="73"/>
      <c r="BH1516" s="73"/>
      <c r="BI1516" s="73"/>
      <c r="BJ1516" s="73"/>
      <c r="BK1516" s="73"/>
      <c r="BL1516" s="73"/>
      <c r="BM1516" s="73"/>
      <c r="BN1516" s="73"/>
      <c r="BO1516" s="73"/>
      <c r="BP1516" s="73"/>
      <c r="BQ1516" s="73"/>
      <c r="BR1516" s="73"/>
      <c r="BS1516" s="73"/>
      <c r="BT1516" s="73"/>
      <c r="BU1516" s="73"/>
      <c r="BV1516" s="73"/>
      <c r="BW1516" s="73"/>
      <c r="BX1516" s="73"/>
      <c r="BY1516" s="73"/>
      <c r="BZ1516" s="73"/>
      <c r="CA1516" s="73"/>
      <c r="CB1516" s="73"/>
      <c r="CC1516" s="73"/>
      <c r="CD1516" s="73"/>
      <c r="CE1516" s="73"/>
      <c r="CF1516" s="73"/>
      <c r="CG1516" s="73"/>
      <c r="CH1516" s="73"/>
    </row>
    <row r="1517">
      <c r="A1517" s="80"/>
      <c r="B1517" s="80"/>
      <c r="C1517" s="80"/>
      <c r="D1517" s="80"/>
      <c r="E1517" s="124"/>
      <c r="F1517" s="80"/>
      <c r="G1517" s="80"/>
      <c r="H1517" s="80"/>
      <c r="I1517" s="80"/>
      <c r="J1517" s="196"/>
      <c r="K1517" s="196"/>
      <c r="L1517" s="196"/>
      <c r="M1517" s="196"/>
      <c r="N1517" s="196"/>
      <c r="O1517" s="196"/>
      <c r="P1517" s="196"/>
      <c r="Q1517" s="196"/>
      <c r="R1517" s="196"/>
      <c r="S1517" s="196"/>
      <c r="T1517" s="196"/>
      <c r="U1517" s="196"/>
      <c r="V1517" s="196"/>
      <c r="W1517" s="196"/>
      <c r="X1517" s="196"/>
      <c r="Y1517" s="196"/>
      <c r="Z1517" s="196"/>
      <c r="AA1517" s="196"/>
      <c r="AB1517" s="196"/>
      <c r="AC1517" s="196"/>
      <c r="AD1517" s="196"/>
      <c r="AE1517" s="196"/>
      <c r="AF1517" s="196"/>
      <c r="AG1517" s="196"/>
      <c r="AH1517" s="196"/>
      <c r="AI1517" s="196"/>
      <c r="AJ1517" s="197"/>
      <c r="AK1517" s="80"/>
      <c r="AL1517" s="80"/>
      <c r="AM1517" s="73"/>
      <c r="AN1517" s="73"/>
      <c r="AO1517" s="73"/>
      <c r="AP1517" s="73"/>
      <c r="AQ1517" s="73"/>
      <c r="AR1517" s="73"/>
      <c r="AS1517" s="73"/>
      <c r="AT1517" s="73"/>
      <c r="AU1517" s="73"/>
      <c r="AV1517" s="73"/>
      <c r="AW1517" s="73"/>
      <c r="AX1517" s="73"/>
      <c r="AY1517" s="73"/>
      <c r="AZ1517" s="73"/>
      <c r="BA1517" s="73"/>
      <c r="BB1517" s="73"/>
      <c r="BC1517" s="73"/>
      <c r="BD1517" s="73"/>
      <c r="BE1517" s="73"/>
      <c r="BF1517" s="73"/>
      <c r="BG1517" s="73"/>
      <c r="BH1517" s="73"/>
      <c r="BI1517" s="73"/>
      <c r="BJ1517" s="73"/>
      <c r="BK1517" s="73"/>
      <c r="BL1517" s="73"/>
      <c r="BM1517" s="73"/>
      <c r="BN1517" s="73"/>
      <c r="BO1517" s="73"/>
      <c r="BP1517" s="73"/>
      <c r="BQ1517" s="73"/>
      <c r="BR1517" s="73"/>
      <c r="BS1517" s="73"/>
      <c r="BT1517" s="73"/>
      <c r="BU1517" s="73"/>
      <c r="BV1517" s="73"/>
      <c r="BW1517" s="73"/>
      <c r="BX1517" s="73"/>
      <c r="BY1517" s="73"/>
      <c r="BZ1517" s="73"/>
      <c r="CA1517" s="73"/>
      <c r="CB1517" s="73"/>
      <c r="CC1517" s="73"/>
      <c r="CD1517" s="73"/>
      <c r="CE1517" s="73"/>
      <c r="CF1517" s="73"/>
      <c r="CG1517" s="73"/>
      <c r="CH1517" s="73"/>
    </row>
    <row r="1518">
      <c r="A1518" s="80"/>
      <c r="B1518" s="80"/>
      <c r="C1518" s="80"/>
      <c r="D1518" s="80"/>
      <c r="E1518" s="124"/>
      <c r="F1518" s="80"/>
      <c r="G1518" s="80"/>
      <c r="H1518" s="80"/>
      <c r="I1518" s="80"/>
      <c r="J1518" s="196"/>
      <c r="K1518" s="196"/>
      <c r="L1518" s="196"/>
      <c r="M1518" s="196"/>
      <c r="N1518" s="196"/>
      <c r="O1518" s="196"/>
      <c r="P1518" s="196"/>
      <c r="Q1518" s="196"/>
      <c r="R1518" s="196"/>
      <c r="S1518" s="196"/>
      <c r="T1518" s="196"/>
      <c r="U1518" s="196"/>
      <c r="V1518" s="196"/>
      <c r="W1518" s="196"/>
      <c r="X1518" s="196"/>
      <c r="Y1518" s="196"/>
      <c r="Z1518" s="196"/>
      <c r="AA1518" s="196"/>
      <c r="AB1518" s="196"/>
      <c r="AC1518" s="196"/>
      <c r="AD1518" s="196"/>
      <c r="AE1518" s="196"/>
      <c r="AF1518" s="196"/>
      <c r="AG1518" s="196"/>
      <c r="AH1518" s="196"/>
      <c r="AI1518" s="196"/>
      <c r="AJ1518" s="197"/>
      <c r="AK1518" s="80"/>
      <c r="AL1518" s="80"/>
      <c r="AM1518" s="73"/>
      <c r="AN1518" s="73"/>
      <c r="AO1518" s="73"/>
      <c r="AP1518" s="73"/>
      <c r="AQ1518" s="73"/>
      <c r="AR1518" s="73"/>
      <c r="AS1518" s="73"/>
      <c r="AT1518" s="73"/>
      <c r="AU1518" s="73"/>
      <c r="AV1518" s="73"/>
      <c r="AW1518" s="73"/>
      <c r="AX1518" s="73"/>
      <c r="AY1518" s="73"/>
      <c r="AZ1518" s="73"/>
      <c r="BA1518" s="73"/>
      <c r="BB1518" s="73"/>
      <c r="BC1518" s="73"/>
      <c r="BD1518" s="73"/>
      <c r="BE1518" s="73"/>
      <c r="BF1518" s="73"/>
      <c r="BG1518" s="73"/>
      <c r="BH1518" s="73"/>
      <c r="BI1518" s="73"/>
      <c r="BJ1518" s="73"/>
      <c r="BK1518" s="73"/>
      <c r="BL1518" s="73"/>
      <c r="BM1518" s="73"/>
      <c r="BN1518" s="73"/>
      <c r="BO1518" s="73"/>
      <c r="BP1518" s="73"/>
      <c r="BQ1518" s="73"/>
      <c r="BR1518" s="73"/>
      <c r="BS1518" s="73"/>
      <c r="BT1518" s="73"/>
      <c r="BU1518" s="73"/>
      <c r="BV1518" s="73"/>
      <c r="BW1518" s="73"/>
      <c r="BX1518" s="73"/>
      <c r="BY1518" s="73"/>
      <c r="BZ1518" s="73"/>
      <c r="CA1518" s="73"/>
      <c r="CB1518" s="73"/>
      <c r="CC1518" s="73"/>
      <c r="CD1518" s="73"/>
      <c r="CE1518" s="73"/>
      <c r="CF1518" s="73"/>
      <c r="CG1518" s="73"/>
      <c r="CH1518" s="73"/>
    </row>
    <row r="1519">
      <c r="A1519" s="80"/>
      <c r="B1519" s="80"/>
      <c r="C1519" s="80"/>
      <c r="D1519" s="80"/>
      <c r="E1519" s="124"/>
      <c r="F1519" s="80"/>
      <c r="G1519" s="80"/>
      <c r="H1519" s="80"/>
      <c r="I1519" s="80"/>
      <c r="J1519" s="196"/>
      <c r="K1519" s="196"/>
      <c r="L1519" s="196"/>
      <c r="M1519" s="196"/>
      <c r="N1519" s="196"/>
      <c r="O1519" s="196"/>
      <c r="P1519" s="196"/>
      <c r="Q1519" s="196"/>
      <c r="R1519" s="196"/>
      <c r="S1519" s="196"/>
      <c r="T1519" s="196"/>
      <c r="U1519" s="196"/>
      <c r="V1519" s="196"/>
      <c r="W1519" s="196"/>
      <c r="X1519" s="196"/>
      <c r="Y1519" s="196"/>
      <c r="Z1519" s="196"/>
      <c r="AA1519" s="196"/>
      <c r="AB1519" s="196"/>
      <c r="AC1519" s="196"/>
      <c r="AD1519" s="196"/>
      <c r="AE1519" s="196"/>
      <c r="AF1519" s="196"/>
      <c r="AG1519" s="196"/>
      <c r="AH1519" s="196"/>
      <c r="AI1519" s="196"/>
      <c r="AJ1519" s="197"/>
      <c r="AK1519" s="80"/>
      <c r="AL1519" s="80"/>
      <c r="AM1519" s="73"/>
      <c r="AN1519" s="73"/>
      <c r="AO1519" s="73"/>
      <c r="AP1519" s="73"/>
      <c r="AQ1519" s="73"/>
      <c r="AR1519" s="73"/>
      <c r="AS1519" s="73"/>
      <c r="AT1519" s="73"/>
      <c r="AU1519" s="73"/>
      <c r="AV1519" s="73"/>
      <c r="AW1519" s="73"/>
      <c r="AX1519" s="73"/>
      <c r="AY1519" s="73"/>
      <c r="AZ1519" s="73"/>
      <c r="BA1519" s="73"/>
      <c r="BB1519" s="73"/>
      <c r="BC1519" s="73"/>
      <c r="BD1519" s="73"/>
      <c r="BE1519" s="73"/>
      <c r="BF1519" s="73"/>
      <c r="BG1519" s="73"/>
      <c r="BH1519" s="73"/>
      <c r="BI1519" s="73"/>
      <c r="BJ1519" s="73"/>
      <c r="BK1519" s="73"/>
      <c r="BL1519" s="73"/>
      <c r="BM1519" s="73"/>
      <c r="BN1519" s="73"/>
      <c r="BO1519" s="73"/>
      <c r="BP1519" s="73"/>
      <c r="BQ1519" s="73"/>
      <c r="BR1519" s="73"/>
      <c r="BS1519" s="73"/>
      <c r="BT1519" s="73"/>
      <c r="BU1519" s="73"/>
      <c r="BV1519" s="73"/>
      <c r="BW1519" s="73"/>
      <c r="BX1519" s="73"/>
      <c r="BY1519" s="73"/>
      <c r="BZ1519" s="73"/>
      <c r="CA1519" s="73"/>
      <c r="CB1519" s="73"/>
      <c r="CC1519" s="73"/>
      <c r="CD1519" s="73"/>
      <c r="CE1519" s="73"/>
      <c r="CF1519" s="73"/>
      <c r="CG1519" s="73"/>
      <c r="CH1519" s="73"/>
    </row>
    <row r="1520">
      <c r="A1520" s="80"/>
      <c r="B1520" s="80"/>
      <c r="C1520" s="80"/>
      <c r="D1520" s="80"/>
      <c r="E1520" s="124"/>
      <c r="F1520" s="80"/>
      <c r="G1520" s="80"/>
      <c r="H1520" s="80"/>
      <c r="I1520" s="80"/>
      <c r="J1520" s="196"/>
      <c r="K1520" s="196"/>
      <c r="L1520" s="196"/>
      <c r="M1520" s="196"/>
      <c r="N1520" s="196"/>
      <c r="O1520" s="196"/>
      <c r="P1520" s="196"/>
      <c r="Q1520" s="196"/>
      <c r="R1520" s="196"/>
      <c r="S1520" s="196"/>
      <c r="T1520" s="196"/>
      <c r="U1520" s="196"/>
      <c r="V1520" s="196"/>
      <c r="W1520" s="196"/>
      <c r="X1520" s="196"/>
      <c r="Y1520" s="196"/>
      <c r="Z1520" s="196"/>
      <c r="AA1520" s="196"/>
      <c r="AB1520" s="196"/>
      <c r="AC1520" s="196"/>
      <c r="AD1520" s="196"/>
      <c r="AE1520" s="196"/>
      <c r="AF1520" s="196"/>
      <c r="AG1520" s="196"/>
      <c r="AH1520" s="196"/>
      <c r="AI1520" s="196"/>
      <c r="AJ1520" s="197"/>
      <c r="AK1520" s="80"/>
      <c r="AL1520" s="80"/>
      <c r="AM1520" s="73"/>
      <c r="AN1520" s="73"/>
      <c r="AO1520" s="73"/>
      <c r="AP1520" s="73"/>
      <c r="AQ1520" s="73"/>
      <c r="AR1520" s="73"/>
      <c r="AS1520" s="73"/>
      <c r="AT1520" s="73"/>
      <c r="AU1520" s="73"/>
      <c r="AV1520" s="73"/>
      <c r="AW1520" s="73"/>
      <c r="AX1520" s="73"/>
      <c r="AY1520" s="73"/>
      <c r="AZ1520" s="73"/>
      <c r="BA1520" s="73"/>
      <c r="BB1520" s="73"/>
      <c r="BC1520" s="73"/>
      <c r="BD1520" s="73"/>
      <c r="BE1520" s="73"/>
      <c r="BF1520" s="73"/>
      <c r="BG1520" s="73"/>
      <c r="BH1520" s="73"/>
      <c r="BI1520" s="73"/>
      <c r="BJ1520" s="73"/>
      <c r="BK1520" s="73"/>
      <c r="BL1520" s="73"/>
      <c r="BM1520" s="73"/>
      <c r="BN1520" s="73"/>
      <c r="BO1520" s="73"/>
      <c r="BP1520" s="73"/>
      <c r="BQ1520" s="73"/>
      <c r="BR1520" s="73"/>
      <c r="BS1520" s="73"/>
      <c r="BT1520" s="73"/>
      <c r="BU1520" s="73"/>
      <c r="BV1520" s="73"/>
      <c r="BW1520" s="73"/>
      <c r="BX1520" s="73"/>
      <c r="BY1520" s="73"/>
      <c r="BZ1520" s="73"/>
      <c r="CA1520" s="73"/>
      <c r="CB1520" s="73"/>
      <c r="CC1520" s="73"/>
      <c r="CD1520" s="73"/>
      <c r="CE1520" s="73"/>
      <c r="CF1520" s="73"/>
      <c r="CG1520" s="73"/>
      <c r="CH1520" s="73"/>
    </row>
    <row r="1521">
      <c r="A1521" s="80"/>
      <c r="B1521" s="80"/>
      <c r="C1521" s="80"/>
      <c r="D1521" s="80"/>
      <c r="E1521" s="124"/>
      <c r="F1521" s="80"/>
      <c r="G1521" s="80"/>
      <c r="H1521" s="80"/>
      <c r="I1521" s="80"/>
      <c r="J1521" s="196"/>
      <c r="K1521" s="196"/>
      <c r="L1521" s="196"/>
      <c r="M1521" s="196"/>
      <c r="N1521" s="196"/>
      <c r="O1521" s="196"/>
      <c r="P1521" s="196"/>
      <c r="Q1521" s="196"/>
      <c r="R1521" s="196"/>
      <c r="S1521" s="196"/>
      <c r="T1521" s="196"/>
      <c r="U1521" s="196"/>
      <c r="V1521" s="196"/>
      <c r="W1521" s="196"/>
      <c r="X1521" s="196"/>
      <c r="Y1521" s="196"/>
      <c r="Z1521" s="196"/>
      <c r="AA1521" s="196"/>
      <c r="AB1521" s="196"/>
      <c r="AC1521" s="196"/>
      <c r="AD1521" s="196"/>
      <c r="AE1521" s="196"/>
      <c r="AF1521" s="196"/>
      <c r="AG1521" s="196"/>
      <c r="AH1521" s="196"/>
      <c r="AI1521" s="196"/>
      <c r="AJ1521" s="197"/>
      <c r="AK1521" s="80"/>
      <c r="AL1521" s="80"/>
      <c r="AM1521" s="73"/>
      <c r="AN1521" s="73"/>
      <c r="AO1521" s="73"/>
      <c r="AP1521" s="73"/>
      <c r="AQ1521" s="73"/>
      <c r="AR1521" s="73"/>
      <c r="AS1521" s="73"/>
      <c r="AT1521" s="73"/>
      <c r="AU1521" s="73"/>
      <c r="AV1521" s="73"/>
      <c r="AW1521" s="73"/>
      <c r="AX1521" s="73"/>
      <c r="AY1521" s="73"/>
      <c r="AZ1521" s="73"/>
      <c r="BA1521" s="73"/>
      <c r="BB1521" s="73"/>
      <c r="BC1521" s="73"/>
      <c r="BD1521" s="73"/>
      <c r="BE1521" s="73"/>
      <c r="BF1521" s="73"/>
      <c r="BG1521" s="73"/>
      <c r="BH1521" s="73"/>
      <c r="BI1521" s="73"/>
      <c r="BJ1521" s="73"/>
      <c r="BK1521" s="73"/>
      <c r="BL1521" s="73"/>
      <c r="BM1521" s="73"/>
      <c r="BN1521" s="73"/>
      <c r="BO1521" s="73"/>
      <c r="BP1521" s="73"/>
      <c r="BQ1521" s="73"/>
      <c r="BR1521" s="73"/>
      <c r="BS1521" s="73"/>
      <c r="BT1521" s="73"/>
      <c r="BU1521" s="73"/>
      <c r="BV1521" s="73"/>
      <c r="BW1521" s="73"/>
      <c r="BX1521" s="73"/>
      <c r="BY1521" s="73"/>
      <c r="BZ1521" s="73"/>
      <c r="CA1521" s="73"/>
      <c r="CB1521" s="73"/>
      <c r="CC1521" s="73"/>
      <c r="CD1521" s="73"/>
      <c r="CE1521" s="73"/>
      <c r="CF1521" s="73"/>
      <c r="CG1521" s="73"/>
      <c r="CH1521" s="73"/>
    </row>
    <row r="1522">
      <c r="A1522" s="80"/>
      <c r="B1522" s="80"/>
      <c r="C1522" s="80"/>
      <c r="D1522" s="80"/>
      <c r="E1522" s="124"/>
      <c r="F1522" s="80"/>
      <c r="G1522" s="80"/>
      <c r="H1522" s="80"/>
      <c r="I1522" s="80"/>
      <c r="J1522" s="196"/>
      <c r="K1522" s="196"/>
      <c r="L1522" s="196"/>
      <c r="M1522" s="196"/>
      <c r="N1522" s="196"/>
      <c r="O1522" s="196"/>
      <c r="P1522" s="196"/>
      <c r="Q1522" s="196"/>
      <c r="R1522" s="196"/>
      <c r="S1522" s="196"/>
      <c r="T1522" s="196"/>
      <c r="U1522" s="196"/>
      <c r="V1522" s="196"/>
      <c r="W1522" s="196"/>
      <c r="X1522" s="196"/>
      <c r="Y1522" s="196"/>
      <c r="Z1522" s="196"/>
      <c r="AA1522" s="196"/>
      <c r="AB1522" s="196"/>
      <c r="AC1522" s="196"/>
      <c r="AD1522" s="196"/>
      <c r="AE1522" s="196"/>
      <c r="AF1522" s="196"/>
      <c r="AG1522" s="196"/>
      <c r="AH1522" s="196"/>
      <c r="AI1522" s="196"/>
      <c r="AJ1522" s="197"/>
      <c r="AK1522" s="80"/>
      <c r="AL1522" s="80"/>
      <c r="AM1522" s="73"/>
      <c r="AN1522" s="73"/>
      <c r="AO1522" s="73"/>
      <c r="AP1522" s="73"/>
      <c r="AQ1522" s="73"/>
      <c r="AR1522" s="73"/>
      <c r="AS1522" s="73"/>
      <c r="AT1522" s="73"/>
      <c r="AU1522" s="73"/>
      <c r="AV1522" s="73"/>
      <c r="AW1522" s="73"/>
      <c r="AX1522" s="73"/>
      <c r="AY1522" s="73"/>
      <c r="AZ1522" s="73"/>
      <c r="BA1522" s="73"/>
      <c r="BB1522" s="73"/>
      <c r="BC1522" s="73"/>
      <c r="BD1522" s="73"/>
      <c r="BE1522" s="73"/>
      <c r="BF1522" s="73"/>
      <c r="BG1522" s="73"/>
      <c r="BH1522" s="73"/>
      <c r="BI1522" s="73"/>
      <c r="BJ1522" s="73"/>
      <c r="BK1522" s="73"/>
      <c r="BL1522" s="73"/>
      <c r="BM1522" s="73"/>
      <c r="BN1522" s="73"/>
      <c r="BO1522" s="73"/>
      <c r="BP1522" s="73"/>
      <c r="BQ1522" s="73"/>
      <c r="BR1522" s="73"/>
      <c r="BS1522" s="73"/>
      <c r="BT1522" s="73"/>
      <c r="BU1522" s="73"/>
      <c r="BV1522" s="73"/>
      <c r="BW1522" s="73"/>
      <c r="BX1522" s="73"/>
      <c r="BY1522" s="73"/>
      <c r="BZ1522" s="73"/>
      <c r="CA1522" s="73"/>
      <c r="CB1522" s="73"/>
      <c r="CC1522" s="73"/>
      <c r="CD1522" s="73"/>
      <c r="CE1522" s="73"/>
      <c r="CF1522" s="73"/>
      <c r="CG1522" s="73"/>
      <c r="CH1522" s="73"/>
    </row>
    <row r="1523">
      <c r="A1523" s="80"/>
      <c r="B1523" s="80"/>
      <c r="C1523" s="80"/>
      <c r="D1523" s="80"/>
      <c r="E1523" s="124"/>
      <c r="F1523" s="80"/>
      <c r="G1523" s="80"/>
      <c r="H1523" s="80"/>
      <c r="I1523" s="80"/>
      <c r="J1523" s="196"/>
      <c r="K1523" s="196"/>
      <c r="L1523" s="196"/>
      <c r="M1523" s="196"/>
      <c r="N1523" s="196"/>
      <c r="O1523" s="196"/>
      <c r="P1523" s="196"/>
      <c r="Q1523" s="196"/>
      <c r="R1523" s="196"/>
      <c r="S1523" s="196"/>
      <c r="T1523" s="196"/>
      <c r="U1523" s="196"/>
      <c r="V1523" s="196"/>
      <c r="W1523" s="196"/>
      <c r="X1523" s="196"/>
      <c r="Y1523" s="196"/>
      <c r="Z1523" s="196"/>
      <c r="AA1523" s="196"/>
      <c r="AB1523" s="196"/>
      <c r="AC1523" s="196"/>
      <c r="AD1523" s="196"/>
      <c r="AE1523" s="196"/>
      <c r="AF1523" s="196"/>
      <c r="AG1523" s="196"/>
      <c r="AH1523" s="196"/>
      <c r="AI1523" s="196"/>
      <c r="AJ1523" s="197"/>
      <c r="AK1523" s="80"/>
      <c r="AL1523" s="80"/>
      <c r="AM1523" s="73"/>
      <c r="AN1523" s="73"/>
      <c r="AO1523" s="73"/>
      <c r="AP1523" s="73"/>
      <c r="AQ1523" s="73"/>
      <c r="AR1523" s="73"/>
      <c r="AS1523" s="73"/>
      <c r="AT1523" s="73"/>
      <c r="AU1523" s="73"/>
      <c r="AV1523" s="73"/>
      <c r="AW1523" s="73"/>
      <c r="AX1523" s="73"/>
      <c r="AY1523" s="73"/>
      <c r="AZ1523" s="73"/>
      <c r="BA1523" s="73"/>
      <c r="BB1523" s="73"/>
      <c r="BC1523" s="73"/>
      <c r="BD1523" s="73"/>
      <c r="BE1523" s="73"/>
      <c r="BF1523" s="73"/>
      <c r="BG1523" s="73"/>
      <c r="BH1523" s="73"/>
      <c r="BI1523" s="73"/>
      <c r="BJ1523" s="73"/>
      <c r="BK1523" s="73"/>
      <c r="BL1523" s="73"/>
      <c r="BM1523" s="73"/>
      <c r="BN1523" s="73"/>
      <c r="BO1523" s="73"/>
      <c r="BP1523" s="73"/>
      <c r="BQ1523" s="73"/>
      <c r="BR1523" s="73"/>
      <c r="BS1523" s="73"/>
      <c r="BT1523" s="73"/>
      <c r="BU1523" s="73"/>
      <c r="BV1523" s="73"/>
      <c r="BW1523" s="73"/>
      <c r="BX1523" s="73"/>
      <c r="BY1523" s="73"/>
      <c r="BZ1523" s="73"/>
      <c r="CA1523" s="73"/>
      <c r="CB1523" s="73"/>
      <c r="CC1523" s="73"/>
      <c r="CD1523" s="73"/>
      <c r="CE1523" s="73"/>
      <c r="CF1523" s="73"/>
      <c r="CG1523" s="73"/>
      <c r="CH1523" s="73"/>
    </row>
    <row r="1524">
      <c r="A1524" s="80"/>
      <c r="B1524" s="80"/>
      <c r="C1524" s="80"/>
      <c r="D1524" s="80"/>
      <c r="E1524" s="124"/>
      <c r="F1524" s="80"/>
      <c r="G1524" s="80"/>
      <c r="H1524" s="80"/>
      <c r="I1524" s="80"/>
      <c r="J1524" s="196"/>
      <c r="K1524" s="196"/>
      <c r="L1524" s="196"/>
      <c r="M1524" s="196"/>
      <c r="N1524" s="196"/>
      <c r="O1524" s="196"/>
      <c r="P1524" s="196"/>
      <c r="Q1524" s="196"/>
      <c r="R1524" s="196"/>
      <c r="S1524" s="196"/>
      <c r="T1524" s="196"/>
      <c r="U1524" s="196"/>
      <c r="V1524" s="196"/>
      <c r="W1524" s="196"/>
      <c r="X1524" s="196"/>
      <c r="Y1524" s="196"/>
      <c r="Z1524" s="196"/>
      <c r="AA1524" s="196"/>
      <c r="AB1524" s="196"/>
      <c r="AC1524" s="196"/>
      <c r="AD1524" s="196"/>
      <c r="AE1524" s="196"/>
      <c r="AF1524" s="196"/>
      <c r="AG1524" s="196"/>
      <c r="AH1524" s="196"/>
      <c r="AI1524" s="196"/>
      <c r="AJ1524" s="197"/>
      <c r="AK1524" s="80"/>
      <c r="AL1524" s="80"/>
      <c r="AM1524" s="73"/>
      <c r="AN1524" s="73"/>
      <c r="AO1524" s="73"/>
      <c r="AP1524" s="73"/>
      <c r="AQ1524" s="73"/>
      <c r="AR1524" s="73"/>
      <c r="AS1524" s="73"/>
      <c r="AT1524" s="73"/>
      <c r="AU1524" s="73"/>
      <c r="AV1524" s="73"/>
      <c r="AW1524" s="73"/>
      <c r="AX1524" s="73"/>
      <c r="AY1524" s="73"/>
      <c r="AZ1524" s="73"/>
      <c r="BA1524" s="73"/>
      <c r="BB1524" s="73"/>
      <c r="BC1524" s="73"/>
      <c r="BD1524" s="73"/>
      <c r="BE1524" s="73"/>
      <c r="BF1524" s="73"/>
      <c r="BG1524" s="73"/>
      <c r="BH1524" s="73"/>
      <c r="BI1524" s="73"/>
      <c r="BJ1524" s="73"/>
      <c r="BK1524" s="73"/>
      <c r="BL1524" s="73"/>
      <c r="BM1524" s="73"/>
      <c r="BN1524" s="73"/>
      <c r="BO1524" s="73"/>
      <c r="BP1524" s="73"/>
      <c r="BQ1524" s="73"/>
      <c r="BR1524" s="73"/>
      <c r="BS1524" s="73"/>
      <c r="BT1524" s="73"/>
      <c r="BU1524" s="73"/>
      <c r="BV1524" s="73"/>
      <c r="BW1524" s="73"/>
      <c r="BX1524" s="73"/>
      <c r="BY1524" s="73"/>
      <c r="BZ1524" s="73"/>
      <c r="CA1524" s="73"/>
      <c r="CB1524" s="73"/>
      <c r="CC1524" s="73"/>
      <c r="CD1524" s="73"/>
      <c r="CE1524" s="73"/>
      <c r="CF1524" s="73"/>
      <c r="CG1524" s="73"/>
      <c r="CH1524" s="73"/>
    </row>
    <row r="1525">
      <c r="A1525" s="80"/>
      <c r="B1525" s="80"/>
      <c r="C1525" s="80"/>
      <c r="D1525" s="80"/>
      <c r="E1525" s="124"/>
      <c r="F1525" s="80"/>
      <c r="G1525" s="80"/>
      <c r="H1525" s="80"/>
      <c r="I1525" s="80"/>
      <c r="J1525" s="196"/>
      <c r="K1525" s="196"/>
      <c r="L1525" s="196"/>
      <c r="M1525" s="196"/>
      <c r="N1525" s="196"/>
      <c r="O1525" s="196"/>
      <c r="P1525" s="196"/>
      <c r="Q1525" s="196"/>
      <c r="R1525" s="196"/>
      <c r="S1525" s="196"/>
      <c r="T1525" s="196"/>
      <c r="U1525" s="196"/>
      <c r="V1525" s="196"/>
      <c r="W1525" s="196"/>
      <c r="X1525" s="196"/>
      <c r="Y1525" s="196"/>
      <c r="Z1525" s="196"/>
      <c r="AA1525" s="196"/>
      <c r="AB1525" s="196"/>
      <c r="AC1525" s="196"/>
      <c r="AD1525" s="196"/>
      <c r="AE1525" s="196"/>
      <c r="AF1525" s="196"/>
      <c r="AG1525" s="196"/>
      <c r="AH1525" s="196"/>
      <c r="AI1525" s="196"/>
      <c r="AJ1525" s="197"/>
      <c r="AK1525" s="80"/>
      <c r="AL1525" s="80"/>
      <c r="AM1525" s="73"/>
      <c r="AN1525" s="73"/>
      <c r="AO1525" s="73"/>
      <c r="AP1525" s="73"/>
      <c r="AQ1525" s="73"/>
      <c r="AR1525" s="73"/>
      <c r="AS1525" s="73"/>
      <c r="AT1525" s="73"/>
      <c r="AU1525" s="73"/>
      <c r="AV1525" s="73"/>
      <c r="AW1525" s="73"/>
      <c r="AX1525" s="73"/>
      <c r="AY1525" s="73"/>
      <c r="AZ1525" s="73"/>
      <c r="BA1525" s="73"/>
      <c r="BB1525" s="73"/>
      <c r="BC1525" s="73"/>
      <c r="BD1525" s="73"/>
      <c r="BE1525" s="73"/>
      <c r="BF1525" s="73"/>
      <c r="BG1525" s="73"/>
      <c r="BH1525" s="73"/>
      <c r="BI1525" s="73"/>
      <c r="BJ1525" s="73"/>
      <c r="BK1525" s="73"/>
      <c r="BL1525" s="73"/>
      <c r="BM1525" s="73"/>
      <c r="BN1525" s="73"/>
      <c r="BO1525" s="73"/>
      <c r="BP1525" s="73"/>
      <c r="BQ1525" s="73"/>
      <c r="BR1525" s="73"/>
      <c r="BS1525" s="73"/>
      <c r="BT1525" s="73"/>
      <c r="BU1525" s="73"/>
      <c r="BV1525" s="73"/>
      <c r="BW1525" s="73"/>
      <c r="BX1525" s="73"/>
      <c r="BY1525" s="73"/>
      <c r="BZ1525" s="73"/>
      <c r="CA1525" s="73"/>
      <c r="CB1525" s="73"/>
      <c r="CC1525" s="73"/>
      <c r="CD1525" s="73"/>
      <c r="CE1525" s="73"/>
      <c r="CF1525" s="73"/>
      <c r="CG1525" s="73"/>
      <c r="CH1525" s="73"/>
    </row>
    <row r="1526">
      <c r="A1526" s="80"/>
      <c r="B1526" s="80"/>
      <c r="C1526" s="80"/>
      <c r="D1526" s="80"/>
      <c r="E1526" s="124"/>
      <c r="F1526" s="80"/>
      <c r="G1526" s="80"/>
      <c r="H1526" s="80"/>
      <c r="I1526" s="80"/>
      <c r="J1526" s="196"/>
      <c r="K1526" s="196"/>
      <c r="L1526" s="196"/>
      <c r="M1526" s="196"/>
      <c r="N1526" s="196"/>
      <c r="O1526" s="196"/>
      <c r="P1526" s="196"/>
      <c r="Q1526" s="196"/>
      <c r="R1526" s="196"/>
      <c r="S1526" s="196"/>
      <c r="T1526" s="196"/>
      <c r="U1526" s="196"/>
      <c r="V1526" s="196"/>
      <c r="W1526" s="196"/>
      <c r="X1526" s="196"/>
      <c r="Y1526" s="196"/>
      <c r="Z1526" s="196"/>
      <c r="AA1526" s="196"/>
      <c r="AB1526" s="196"/>
      <c r="AC1526" s="196"/>
      <c r="AD1526" s="196"/>
      <c r="AE1526" s="196"/>
      <c r="AF1526" s="196"/>
      <c r="AG1526" s="196"/>
      <c r="AH1526" s="196"/>
      <c r="AI1526" s="196"/>
      <c r="AJ1526" s="197"/>
      <c r="AK1526" s="80"/>
      <c r="AL1526" s="80"/>
      <c r="AM1526" s="73"/>
      <c r="AN1526" s="73"/>
      <c r="AO1526" s="73"/>
      <c r="AP1526" s="73"/>
      <c r="AQ1526" s="73"/>
      <c r="AR1526" s="73"/>
      <c r="AS1526" s="73"/>
      <c r="AT1526" s="73"/>
      <c r="AU1526" s="73"/>
      <c r="AV1526" s="73"/>
      <c r="AW1526" s="73"/>
      <c r="AX1526" s="73"/>
      <c r="AY1526" s="73"/>
      <c r="AZ1526" s="73"/>
      <c r="BA1526" s="73"/>
      <c r="BB1526" s="73"/>
      <c r="BC1526" s="73"/>
      <c r="BD1526" s="73"/>
      <c r="BE1526" s="73"/>
      <c r="BF1526" s="73"/>
      <c r="BG1526" s="73"/>
      <c r="BH1526" s="73"/>
      <c r="BI1526" s="73"/>
      <c r="BJ1526" s="73"/>
      <c r="BK1526" s="73"/>
      <c r="BL1526" s="73"/>
      <c r="BM1526" s="73"/>
      <c r="BN1526" s="73"/>
      <c r="BO1526" s="73"/>
      <c r="BP1526" s="73"/>
      <c r="BQ1526" s="73"/>
      <c r="BR1526" s="73"/>
      <c r="BS1526" s="73"/>
      <c r="BT1526" s="73"/>
      <c r="BU1526" s="73"/>
      <c r="BV1526" s="73"/>
      <c r="BW1526" s="73"/>
      <c r="BX1526" s="73"/>
      <c r="BY1526" s="73"/>
      <c r="BZ1526" s="73"/>
      <c r="CA1526" s="73"/>
      <c r="CB1526" s="73"/>
      <c r="CC1526" s="73"/>
      <c r="CD1526" s="73"/>
      <c r="CE1526" s="73"/>
      <c r="CF1526" s="73"/>
      <c r="CG1526" s="73"/>
      <c r="CH1526" s="73"/>
    </row>
    <row r="1527">
      <c r="A1527" s="80"/>
      <c r="B1527" s="80"/>
      <c r="C1527" s="80"/>
      <c r="D1527" s="80"/>
      <c r="E1527" s="124"/>
      <c r="F1527" s="80"/>
      <c r="G1527" s="80"/>
      <c r="H1527" s="80"/>
      <c r="I1527" s="80"/>
      <c r="J1527" s="196"/>
      <c r="K1527" s="196"/>
      <c r="L1527" s="196"/>
      <c r="M1527" s="196"/>
      <c r="N1527" s="196"/>
      <c r="O1527" s="196"/>
      <c r="P1527" s="196"/>
      <c r="Q1527" s="196"/>
      <c r="R1527" s="196"/>
      <c r="S1527" s="196"/>
      <c r="T1527" s="196"/>
      <c r="U1527" s="196"/>
      <c r="V1527" s="196"/>
      <c r="W1527" s="196"/>
      <c r="X1527" s="196"/>
      <c r="Y1527" s="196"/>
      <c r="Z1527" s="196"/>
      <c r="AA1527" s="196"/>
      <c r="AB1527" s="196"/>
      <c r="AC1527" s="196"/>
      <c r="AD1527" s="196"/>
      <c r="AE1527" s="196"/>
      <c r="AF1527" s="196"/>
      <c r="AG1527" s="196"/>
      <c r="AH1527" s="196"/>
      <c r="AI1527" s="196"/>
      <c r="AJ1527" s="197"/>
      <c r="AK1527" s="80"/>
      <c r="AL1527" s="80"/>
      <c r="AM1527" s="73"/>
      <c r="AN1527" s="73"/>
      <c r="AO1527" s="73"/>
      <c r="AP1527" s="73"/>
      <c r="AQ1527" s="73"/>
      <c r="AR1527" s="73"/>
      <c r="AS1527" s="73"/>
      <c r="AT1527" s="73"/>
      <c r="AU1527" s="73"/>
      <c r="AV1527" s="73"/>
      <c r="AW1527" s="73"/>
      <c r="AX1527" s="73"/>
      <c r="AY1527" s="73"/>
      <c r="AZ1527" s="73"/>
      <c r="BA1527" s="73"/>
      <c r="BB1527" s="73"/>
      <c r="BC1527" s="73"/>
      <c r="BD1527" s="73"/>
      <c r="BE1527" s="73"/>
      <c r="BF1527" s="73"/>
      <c r="BG1527" s="73"/>
      <c r="BH1527" s="73"/>
      <c r="BI1527" s="73"/>
      <c r="BJ1527" s="73"/>
      <c r="BK1527" s="73"/>
      <c r="BL1527" s="73"/>
      <c r="BM1527" s="73"/>
      <c r="BN1527" s="73"/>
      <c r="BO1527" s="73"/>
      <c r="BP1527" s="73"/>
      <c r="BQ1527" s="73"/>
      <c r="BR1527" s="73"/>
      <c r="BS1527" s="73"/>
      <c r="BT1527" s="73"/>
      <c r="BU1527" s="73"/>
      <c r="BV1527" s="73"/>
      <c r="BW1527" s="73"/>
      <c r="BX1527" s="73"/>
      <c r="BY1527" s="73"/>
      <c r="BZ1527" s="73"/>
      <c r="CA1527" s="73"/>
      <c r="CB1527" s="73"/>
      <c r="CC1527" s="73"/>
      <c r="CD1527" s="73"/>
      <c r="CE1527" s="73"/>
      <c r="CF1527" s="73"/>
      <c r="CG1527" s="73"/>
      <c r="CH1527" s="73"/>
    </row>
    <row r="1528">
      <c r="A1528" s="80"/>
      <c r="B1528" s="80"/>
      <c r="C1528" s="80"/>
      <c r="D1528" s="80"/>
      <c r="E1528" s="124"/>
      <c r="F1528" s="80"/>
      <c r="G1528" s="80"/>
      <c r="H1528" s="80"/>
      <c r="I1528" s="80"/>
      <c r="J1528" s="196"/>
      <c r="K1528" s="196"/>
      <c r="L1528" s="196"/>
      <c r="M1528" s="196"/>
      <c r="N1528" s="196"/>
      <c r="O1528" s="196"/>
      <c r="P1528" s="196"/>
      <c r="Q1528" s="196"/>
      <c r="R1528" s="196"/>
      <c r="S1528" s="196"/>
      <c r="T1528" s="196"/>
      <c r="U1528" s="196"/>
      <c r="V1528" s="196"/>
      <c r="W1528" s="196"/>
      <c r="X1528" s="196"/>
      <c r="Y1528" s="196"/>
      <c r="Z1528" s="196"/>
      <c r="AA1528" s="196"/>
      <c r="AB1528" s="196"/>
      <c r="AC1528" s="196"/>
      <c r="AD1528" s="196"/>
      <c r="AE1528" s="196"/>
      <c r="AF1528" s="196"/>
      <c r="AG1528" s="196"/>
      <c r="AH1528" s="196"/>
      <c r="AI1528" s="196"/>
      <c r="AJ1528" s="197"/>
      <c r="AK1528" s="80"/>
      <c r="AL1528" s="80"/>
      <c r="AM1528" s="73"/>
      <c r="AN1528" s="73"/>
      <c r="AO1528" s="73"/>
      <c r="AP1528" s="73"/>
      <c r="AQ1528" s="73"/>
      <c r="AR1528" s="73"/>
      <c r="AS1528" s="73"/>
      <c r="AT1528" s="73"/>
      <c r="AU1528" s="73"/>
      <c r="AV1528" s="73"/>
      <c r="AW1528" s="73"/>
      <c r="AX1528" s="73"/>
      <c r="AY1528" s="73"/>
      <c r="AZ1528" s="73"/>
      <c r="BA1528" s="73"/>
      <c r="BB1528" s="73"/>
      <c r="BC1528" s="73"/>
      <c r="BD1528" s="73"/>
      <c r="BE1528" s="73"/>
      <c r="BF1528" s="73"/>
      <c r="BG1528" s="73"/>
      <c r="BH1528" s="73"/>
      <c r="BI1528" s="73"/>
      <c r="BJ1528" s="73"/>
      <c r="BK1528" s="73"/>
      <c r="BL1528" s="73"/>
      <c r="BM1528" s="73"/>
      <c r="BN1528" s="73"/>
      <c r="BO1528" s="73"/>
      <c r="BP1528" s="73"/>
      <c r="BQ1528" s="73"/>
      <c r="BR1528" s="73"/>
      <c r="BS1528" s="73"/>
      <c r="BT1528" s="73"/>
      <c r="BU1528" s="73"/>
      <c r="BV1528" s="73"/>
      <c r="BW1528" s="73"/>
      <c r="BX1528" s="73"/>
      <c r="BY1528" s="73"/>
      <c r="BZ1528" s="73"/>
      <c r="CA1528" s="73"/>
      <c r="CB1528" s="73"/>
      <c r="CC1528" s="73"/>
      <c r="CD1528" s="73"/>
      <c r="CE1528" s="73"/>
      <c r="CF1528" s="73"/>
      <c r="CG1528" s="73"/>
      <c r="CH1528" s="73"/>
    </row>
    <row r="1529">
      <c r="A1529" s="80"/>
      <c r="B1529" s="80"/>
      <c r="C1529" s="80"/>
      <c r="D1529" s="80"/>
      <c r="E1529" s="124"/>
      <c r="F1529" s="80"/>
      <c r="G1529" s="80"/>
      <c r="H1529" s="80"/>
      <c r="I1529" s="80"/>
      <c r="J1529" s="196"/>
      <c r="K1529" s="196"/>
      <c r="L1529" s="196"/>
      <c r="M1529" s="196"/>
      <c r="N1529" s="196"/>
      <c r="O1529" s="196"/>
      <c r="P1529" s="196"/>
      <c r="Q1529" s="196"/>
      <c r="R1529" s="196"/>
      <c r="S1529" s="196"/>
      <c r="T1529" s="196"/>
      <c r="U1529" s="196"/>
      <c r="V1529" s="196"/>
      <c r="W1529" s="196"/>
      <c r="X1529" s="196"/>
      <c r="Y1529" s="196"/>
      <c r="Z1529" s="196"/>
      <c r="AA1529" s="196"/>
      <c r="AB1529" s="196"/>
      <c r="AC1529" s="196"/>
      <c r="AD1529" s="196"/>
      <c r="AE1529" s="196"/>
      <c r="AF1529" s="196"/>
      <c r="AG1529" s="196"/>
      <c r="AH1529" s="196"/>
      <c r="AI1529" s="196"/>
      <c r="AJ1529" s="197"/>
      <c r="AK1529" s="80"/>
      <c r="AL1529" s="80"/>
      <c r="AM1529" s="73"/>
      <c r="AN1529" s="73"/>
      <c r="AO1529" s="73"/>
      <c r="AP1529" s="73"/>
      <c r="AQ1529" s="73"/>
      <c r="AR1529" s="73"/>
      <c r="AS1529" s="73"/>
      <c r="AT1529" s="73"/>
      <c r="AU1529" s="73"/>
      <c r="AV1529" s="73"/>
      <c r="AW1529" s="73"/>
      <c r="AX1529" s="73"/>
      <c r="AY1529" s="73"/>
      <c r="AZ1529" s="73"/>
      <c r="BA1529" s="73"/>
      <c r="BB1529" s="73"/>
      <c r="BC1529" s="73"/>
      <c r="BD1529" s="73"/>
      <c r="BE1529" s="73"/>
      <c r="BF1529" s="73"/>
      <c r="BG1529" s="73"/>
      <c r="BH1529" s="73"/>
      <c r="BI1529" s="73"/>
      <c r="BJ1529" s="73"/>
      <c r="BK1529" s="73"/>
      <c r="BL1529" s="73"/>
      <c r="BM1529" s="73"/>
      <c r="BN1529" s="73"/>
      <c r="BO1529" s="73"/>
      <c r="BP1529" s="73"/>
      <c r="BQ1529" s="73"/>
      <c r="BR1529" s="73"/>
      <c r="BS1529" s="73"/>
      <c r="BT1529" s="73"/>
      <c r="BU1529" s="73"/>
      <c r="BV1529" s="73"/>
      <c r="BW1529" s="73"/>
      <c r="BX1529" s="73"/>
      <c r="BY1529" s="73"/>
      <c r="BZ1529" s="73"/>
      <c r="CA1529" s="73"/>
      <c r="CB1529" s="73"/>
      <c r="CC1529" s="73"/>
      <c r="CD1529" s="73"/>
      <c r="CE1529" s="73"/>
      <c r="CF1529" s="73"/>
      <c r="CG1529" s="73"/>
      <c r="CH1529" s="73"/>
    </row>
    <row r="1530">
      <c r="A1530" s="80"/>
      <c r="B1530" s="80"/>
      <c r="C1530" s="80"/>
      <c r="D1530" s="80"/>
      <c r="E1530" s="124"/>
      <c r="F1530" s="80"/>
      <c r="G1530" s="80"/>
      <c r="H1530" s="80"/>
      <c r="I1530" s="80"/>
      <c r="J1530" s="196"/>
      <c r="K1530" s="196"/>
      <c r="L1530" s="196"/>
      <c r="M1530" s="196"/>
      <c r="N1530" s="196"/>
      <c r="O1530" s="196"/>
      <c r="P1530" s="196"/>
      <c r="Q1530" s="196"/>
      <c r="R1530" s="196"/>
      <c r="S1530" s="196"/>
      <c r="T1530" s="196"/>
      <c r="U1530" s="196"/>
      <c r="V1530" s="196"/>
      <c r="W1530" s="196"/>
      <c r="X1530" s="196"/>
      <c r="Y1530" s="196"/>
      <c r="Z1530" s="196"/>
      <c r="AA1530" s="196"/>
      <c r="AB1530" s="196"/>
      <c r="AC1530" s="196"/>
      <c r="AD1530" s="196"/>
      <c r="AE1530" s="196"/>
      <c r="AF1530" s="196"/>
      <c r="AG1530" s="196"/>
      <c r="AH1530" s="196"/>
      <c r="AI1530" s="196"/>
      <c r="AJ1530" s="197"/>
      <c r="AK1530" s="80"/>
      <c r="AL1530" s="80"/>
      <c r="AM1530" s="73"/>
      <c r="AN1530" s="73"/>
      <c r="AO1530" s="73"/>
      <c r="AP1530" s="73"/>
      <c r="AQ1530" s="73"/>
      <c r="AR1530" s="73"/>
      <c r="AS1530" s="73"/>
      <c r="AT1530" s="73"/>
      <c r="AU1530" s="73"/>
      <c r="AV1530" s="73"/>
      <c r="AW1530" s="73"/>
      <c r="AX1530" s="73"/>
      <c r="AY1530" s="73"/>
      <c r="AZ1530" s="73"/>
      <c r="BA1530" s="73"/>
      <c r="BB1530" s="73"/>
      <c r="BC1530" s="73"/>
      <c r="BD1530" s="73"/>
      <c r="BE1530" s="73"/>
      <c r="BF1530" s="73"/>
      <c r="BG1530" s="73"/>
      <c r="BH1530" s="73"/>
      <c r="BI1530" s="73"/>
      <c r="BJ1530" s="73"/>
      <c r="BK1530" s="73"/>
      <c r="BL1530" s="73"/>
      <c r="BM1530" s="73"/>
      <c r="BN1530" s="73"/>
      <c r="BO1530" s="73"/>
      <c r="BP1530" s="73"/>
      <c r="BQ1530" s="73"/>
      <c r="BR1530" s="73"/>
      <c r="BS1530" s="73"/>
      <c r="BT1530" s="73"/>
      <c r="BU1530" s="73"/>
      <c r="BV1530" s="73"/>
      <c r="BW1530" s="73"/>
      <c r="BX1530" s="73"/>
      <c r="BY1530" s="73"/>
      <c r="BZ1530" s="73"/>
      <c r="CA1530" s="73"/>
      <c r="CB1530" s="73"/>
      <c r="CC1530" s="73"/>
      <c r="CD1530" s="73"/>
      <c r="CE1530" s="73"/>
      <c r="CF1530" s="73"/>
      <c r="CG1530" s="73"/>
      <c r="CH1530" s="73"/>
    </row>
    <row r="1531">
      <c r="A1531" s="80"/>
      <c r="B1531" s="80"/>
      <c r="C1531" s="80"/>
      <c r="D1531" s="80"/>
      <c r="E1531" s="124"/>
      <c r="F1531" s="80"/>
      <c r="G1531" s="80"/>
      <c r="H1531" s="80"/>
      <c r="I1531" s="80"/>
      <c r="J1531" s="196"/>
      <c r="K1531" s="196"/>
      <c r="L1531" s="196"/>
      <c r="M1531" s="196"/>
      <c r="N1531" s="196"/>
      <c r="O1531" s="196"/>
      <c r="P1531" s="196"/>
      <c r="Q1531" s="196"/>
      <c r="R1531" s="196"/>
      <c r="S1531" s="196"/>
      <c r="T1531" s="196"/>
      <c r="U1531" s="196"/>
      <c r="V1531" s="196"/>
      <c r="W1531" s="196"/>
      <c r="X1531" s="196"/>
      <c r="Y1531" s="196"/>
      <c r="Z1531" s="196"/>
      <c r="AA1531" s="196"/>
      <c r="AB1531" s="196"/>
      <c r="AC1531" s="196"/>
      <c r="AD1531" s="196"/>
      <c r="AE1531" s="196"/>
      <c r="AF1531" s="196"/>
      <c r="AG1531" s="196"/>
      <c r="AH1531" s="196"/>
      <c r="AI1531" s="196"/>
      <c r="AJ1531" s="197"/>
      <c r="AK1531" s="80"/>
      <c r="AL1531" s="80"/>
      <c r="AM1531" s="73"/>
      <c r="AN1531" s="73"/>
      <c r="AO1531" s="73"/>
      <c r="AP1531" s="73"/>
      <c r="AQ1531" s="73"/>
      <c r="AR1531" s="73"/>
      <c r="AS1531" s="73"/>
      <c r="AT1531" s="73"/>
      <c r="AU1531" s="73"/>
      <c r="AV1531" s="73"/>
      <c r="AW1531" s="73"/>
      <c r="AX1531" s="73"/>
      <c r="AY1531" s="73"/>
      <c r="AZ1531" s="73"/>
      <c r="BA1531" s="73"/>
      <c r="BB1531" s="73"/>
      <c r="BC1531" s="73"/>
      <c r="BD1531" s="73"/>
      <c r="BE1531" s="73"/>
      <c r="BF1531" s="73"/>
      <c r="BG1531" s="73"/>
      <c r="BH1531" s="73"/>
      <c r="BI1531" s="73"/>
      <c r="BJ1531" s="73"/>
      <c r="BK1531" s="73"/>
      <c r="BL1531" s="73"/>
      <c r="BM1531" s="73"/>
      <c r="BN1531" s="73"/>
      <c r="BO1531" s="73"/>
      <c r="BP1531" s="73"/>
      <c r="BQ1531" s="73"/>
      <c r="BR1531" s="73"/>
      <c r="BS1531" s="73"/>
      <c r="BT1531" s="73"/>
      <c r="BU1531" s="73"/>
      <c r="BV1531" s="73"/>
      <c r="BW1531" s="73"/>
      <c r="BX1531" s="73"/>
      <c r="BY1531" s="73"/>
      <c r="BZ1531" s="73"/>
      <c r="CA1531" s="73"/>
      <c r="CB1531" s="73"/>
      <c r="CC1531" s="73"/>
      <c r="CD1531" s="73"/>
      <c r="CE1531" s="73"/>
      <c r="CF1531" s="73"/>
      <c r="CG1531" s="73"/>
      <c r="CH1531" s="73"/>
    </row>
    <row r="1532">
      <c r="A1532" s="80"/>
      <c r="B1532" s="80"/>
      <c r="C1532" s="80"/>
      <c r="D1532" s="80"/>
      <c r="E1532" s="124"/>
      <c r="F1532" s="80"/>
      <c r="G1532" s="80"/>
      <c r="H1532" s="80"/>
      <c r="I1532" s="80"/>
      <c r="J1532" s="196"/>
      <c r="K1532" s="196"/>
      <c r="L1532" s="196"/>
      <c r="M1532" s="196"/>
      <c r="N1532" s="196"/>
      <c r="O1532" s="196"/>
      <c r="P1532" s="196"/>
      <c r="Q1532" s="196"/>
      <c r="R1532" s="196"/>
      <c r="S1532" s="196"/>
      <c r="T1532" s="196"/>
      <c r="U1532" s="196"/>
      <c r="V1532" s="196"/>
      <c r="W1532" s="196"/>
      <c r="X1532" s="196"/>
      <c r="Y1532" s="196"/>
      <c r="Z1532" s="196"/>
      <c r="AA1532" s="196"/>
      <c r="AB1532" s="196"/>
      <c r="AC1532" s="196"/>
      <c r="AD1532" s="196"/>
      <c r="AE1532" s="196"/>
      <c r="AF1532" s="196"/>
      <c r="AG1532" s="196"/>
      <c r="AH1532" s="196"/>
      <c r="AI1532" s="196"/>
      <c r="AJ1532" s="197"/>
      <c r="AK1532" s="80"/>
      <c r="AL1532" s="80"/>
      <c r="AM1532" s="73"/>
      <c r="AN1532" s="73"/>
      <c r="AO1532" s="73"/>
      <c r="AP1532" s="73"/>
      <c r="AQ1532" s="73"/>
      <c r="AR1532" s="73"/>
      <c r="AS1532" s="73"/>
      <c r="AT1532" s="73"/>
      <c r="AU1532" s="73"/>
      <c r="AV1532" s="73"/>
      <c r="AW1532" s="73"/>
      <c r="AX1532" s="73"/>
      <c r="AY1532" s="73"/>
      <c r="AZ1532" s="73"/>
      <c r="BA1532" s="73"/>
      <c r="BB1532" s="73"/>
      <c r="BC1532" s="73"/>
      <c r="BD1532" s="73"/>
      <c r="BE1532" s="73"/>
      <c r="BF1532" s="73"/>
      <c r="BG1532" s="73"/>
      <c r="BH1532" s="73"/>
      <c r="BI1532" s="73"/>
      <c r="BJ1532" s="73"/>
      <c r="BK1532" s="73"/>
      <c r="BL1532" s="73"/>
      <c r="BM1532" s="73"/>
      <c r="BN1532" s="73"/>
      <c r="BO1532" s="73"/>
      <c r="BP1532" s="73"/>
      <c r="BQ1532" s="73"/>
      <c r="BR1532" s="73"/>
      <c r="BS1532" s="73"/>
      <c r="BT1532" s="73"/>
      <c r="BU1532" s="73"/>
      <c r="BV1532" s="73"/>
      <c r="BW1532" s="73"/>
      <c r="BX1532" s="73"/>
      <c r="BY1532" s="73"/>
      <c r="BZ1532" s="73"/>
      <c r="CA1532" s="73"/>
      <c r="CB1532" s="73"/>
      <c r="CC1532" s="73"/>
      <c r="CD1532" s="73"/>
      <c r="CE1532" s="73"/>
      <c r="CF1532" s="73"/>
      <c r="CG1532" s="73"/>
      <c r="CH1532" s="73"/>
    </row>
    <row r="1533">
      <c r="A1533" s="80"/>
      <c r="B1533" s="80"/>
      <c r="C1533" s="80"/>
      <c r="D1533" s="80"/>
      <c r="E1533" s="124"/>
      <c r="F1533" s="80"/>
      <c r="G1533" s="80"/>
      <c r="H1533" s="80"/>
      <c r="I1533" s="80"/>
      <c r="J1533" s="196"/>
      <c r="K1533" s="196"/>
      <c r="L1533" s="196"/>
      <c r="M1533" s="196"/>
      <c r="N1533" s="196"/>
      <c r="O1533" s="196"/>
      <c r="P1533" s="196"/>
      <c r="Q1533" s="196"/>
      <c r="R1533" s="196"/>
      <c r="S1533" s="196"/>
      <c r="T1533" s="196"/>
      <c r="U1533" s="196"/>
      <c r="V1533" s="196"/>
      <c r="W1533" s="196"/>
      <c r="X1533" s="196"/>
      <c r="Y1533" s="196"/>
      <c r="Z1533" s="196"/>
      <c r="AA1533" s="196"/>
      <c r="AB1533" s="196"/>
      <c r="AC1533" s="196"/>
      <c r="AD1533" s="196"/>
      <c r="AE1533" s="196"/>
      <c r="AF1533" s="196"/>
      <c r="AG1533" s="196"/>
      <c r="AH1533" s="196"/>
      <c r="AI1533" s="196"/>
      <c r="AJ1533" s="197"/>
      <c r="AK1533" s="80"/>
      <c r="AL1533" s="80"/>
      <c r="AM1533" s="73"/>
      <c r="AN1533" s="73"/>
      <c r="AO1533" s="73"/>
      <c r="AP1533" s="73"/>
      <c r="AQ1533" s="73"/>
      <c r="AR1533" s="73"/>
      <c r="AS1533" s="73"/>
      <c r="AT1533" s="73"/>
      <c r="AU1533" s="73"/>
      <c r="AV1533" s="73"/>
      <c r="AW1533" s="73"/>
      <c r="AX1533" s="73"/>
      <c r="AY1533" s="73"/>
      <c r="AZ1533" s="73"/>
      <c r="BA1533" s="73"/>
      <c r="BB1533" s="73"/>
      <c r="BC1533" s="73"/>
      <c r="BD1533" s="73"/>
      <c r="BE1533" s="73"/>
      <c r="BF1533" s="73"/>
      <c r="BG1533" s="73"/>
      <c r="BH1533" s="73"/>
      <c r="BI1533" s="73"/>
      <c r="BJ1533" s="73"/>
      <c r="BK1533" s="73"/>
      <c r="BL1533" s="73"/>
      <c r="BM1533" s="73"/>
      <c r="BN1533" s="73"/>
      <c r="BO1533" s="73"/>
      <c r="BP1533" s="73"/>
      <c r="BQ1533" s="73"/>
      <c r="BR1533" s="73"/>
      <c r="BS1533" s="73"/>
      <c r="BT1533" s="73"/>
      <c r="BU1533" s="73"/>
      <c r="BV1533" s="73"/>
      <c r="BW1533" s="73"/>
      <c r="BX1533" s="73"/>
      <c r="BY1533" s="73"/>
      <c r="BZ1533" s="73"/>
      <c r="CA1533" s="73"/>
      <c r="CB1533" s="73"/>
      <c r="CC1533" s="73"/>
      <c r="CD1533" s="73"/>
      <c r="CE1533" s="73"/>
      <c r="CF1533" s="73"/>
      <c r="CG1533" s="73"/>
      <c r="CH1533" s="73"/>
    </row>
    <row r="1534">
      <c r="A1534" s="80"/>
      <c r="B1534" s="80"/>
      <c r="C1534" s="80"/>
      <c r="D1534" s="80"/>
      <c r="E1534" s="124"/>
      <c r="F1534" s="80"/>
      <c r="G1534" s="80"/>
      <c r="H1534" s="80"/>
      <c r="I1534" s="80"/>
      <c r="J1534" s="196"/>
      <c r="K1534" s="196"/>
      <c r="L1534" s="196"/>
      <c r="M1534" s="196"/>
      <c r="N1534" s="196"/>
      <c r="O1534" s="196"/>
      <c r="P1534" s="196"/>
      <c r="Q1534" s="196"/>
      <c r="R1534" s="196"/>
      <c r="S1534" s="196"/>
      <c r="T1534" s="196"/>
      <c r="U1534" s="196"/>
      <c r="V1534" s="196"/>
      <c r="W1534" s="196"/>
      <c r="X1534" s="196"/>
      <c r="Y1534" s="196"/>
      <c r="Z1534" s="196"/>
      <c r="AA1534" s="196"/>
      <c r="AB1534" s="196"/>
      <c r="AC1534" s="196"/>
      <c r="AD1534" s="196"/>
      <c r="AE1534" s="196"/>
      <c r="AF1534" s="196"/>
      <c r="AG1534" s="196"/>
      <c r="AH1534" s="196"/>
      <c r="AI1534" s="196"/>
      <c r="AJ1534" s="197"/>
      <c r="AK1534" s="80"/>
      <c r="AL1534" s="80"/>
      <c r="AM1534" s="73"/>
      <c r="AN1534" s="73"/>
      <c r="AO1534" s="73"/>
      <c r="AP1534" s="73"/>
      <c r="AQ1534" s="73"/>
      <c r="AR1534" s="73"/>
      <c r="AS1534" s="73"/>
      <c r="AT1534" s="73"/>
      <c r="AU1534" s="73"/>
      <c r="AV1534" s="73"/>
      <c r="AW1534" s="73"/>
      <c r="AX1534" s="73"/>
      <c r="AY1534" s="73"/>
      <c r="AZ1534" s="73"/>
      <c r="BA1534" s="73"/>
      <c r="BB1534" s="73"/>
      <c r="BC1534" s="73"/>
      <c r="BD1534" s="73"/>
      <c r="BE1534" s="73"/>
      <c r="BF1534" s="73"/>
      <c r="BG1534" s="73"/>
      <c r="BH1534" s="73"/>
      <c r="BI1534" s="73"/>
      <c r="BJ1534" s="73"/>
      <c r="BK1534" s="73"/>
      <c r="BL1534" s="73"/>
      <c r="BM1534" s="73"/>
      <c r="BN1534" s="73"/>
      <c r="BO1534" s="73"/>
      <c r="BP1534" s="73"/>
      <c r="BQ1534" s="73"/>
      <c r="BR1534" s="73"/>
      <c r="BS1534" s="73"/>
      <c r="BT1534" s="73"/>
      <c r="BU1534" s="73"/>
      <c r="BV1534" s="73"/>
      <c r="BW1534" s="73"/>
      <c r="BX1534" s="73"/>
      <c r="BY1534" s="73"/>
      <c r="BZ1534" s="73"/>
      <c r="CA1534" s="73"/>
      <c r="CB1534" s="73"/>
      <c r="CC1534" s="73"/>
      <c r="CD1534" s="73"/>
      <c r="CE1534" s="73"/>
      <c r="CF1534" s="73"/>
      <c r="CG1534" s="73"/>
      <c r="CH1534" s="73"/>
    </row>
    <row r="1535">
      <c r="A1535" s="80"/>
      <c r="B1535" s="80"/>
      <c r="C1535" s="80"/>
      <c r="D1535" s="80"/>
      <c r="E1535" s="124"/>
      <c r="F1535" s="80"/>
      <c r="G1535" s="80"/>
      <c r="H1535" s="80"/>
      <c r="I1535" s="80"/>
      <c r="J1535" s="196"/>
      <c r="K1535" s="196"/>
      <c r="L1535" s="196"/>
      <c r="M1535" s="196"/>
      <c r="N1535" s="196"/>
      <c r="O1535" s="196"/>
      <c r="P1535" s="196"/>
      <c r="Q1535" s="196"/>
      <c r="R1535" s="196"/>
      <c r="S1535" s="196"/>
      <c r="T1535" s="196"/>
      <c r="U1535" s="196"/>
      <c r="V1535" s="196"/>
      <c r="W1535" s="196"/>
      <c r="X1535" s="196"/>
      <c r="Y1535" s="196"/>
      <c r="Z1535" s="196"/>
      <c r="AA1535" s="196"/>
      <c r="AB1535" s="196"/>
      <c r="AC1535" s="196"/>
      <c r="AD1535" s="196"/>
      <c r="AE1535" s="196"/>
      <c r="AF1535" s="196"/>
      <c r="AG1535" s="196"/>
      <c r="AH1535" s="196"/>
      <c r="AI1535" s="196"/>
      <c r="AJ1535" s="197"/>
      <c r="AK1535" s="80"/>
      <c r="AL1535" s="80"/>
      <c r="AM1535" s="73"/>
      <c r="AN1535" s="73"/>
      <c r="AO1535" s="73"/>
      <c r="AP1535" s="73"/>
      <c r="AQ1535" s="73"/>
      <c r="AR1535" s="73"/>
      <c r="AS1535" s="73"/>
      <c r="AT1535" s="73"/>
      <c r="AU1535" s="73"/>
      <c r="AV1535" s="73"/>
      <c r="AW1535" s="73"/>
      <c r="AX1535" s="73"/>
      <c r="AY1535" s="73"/>
      <c r="AZ1535" s="73"/>
      <c r="BA1535" s="73"/>
      <c r="BB1535" s="73"/>
      <c r="BC1535" s="73"/>
      <c r="BD1535" s="73"/>
      <c r="BE1535" s="73"/>
      <c r="BF1535" s="73"/>
      <c r="BG1535" s="73"/>
      <c r="BH1535" s="73"/>
      <c r="BI1535" s="73"/>
      <c r="BJ1535" s="73"/>
      <c r="BK1535" s="73"/>
      <c r="BL1535" s="73"/>
      <c r="BM1535" s="73"/>
      <c r="BN1535" s="73"/>
      <c r="BO1535" s="73"/>
      <c r="BP1535" s="73"/>
      <c r="BQ1535" s="73"/>
      <c r="BR1535" s="73"/>
      <c r="BS1535" s="73"/>
      <c r="BT1535" s="73"/>
      <c r="BU1535" s="73"/>
      <c r="BV1535" s="73"/>
      <c r="BW1535" s="73"/>
      <c r="BX1535" s="73"/>
      <c r="BY1535" s="73"/>
      <c r="BZ1535" s="73"/>
      <c r="CA1535" s="73"/>
      <c r="CB1535" s="73"/>
      <c r="CC1535" s="73"/>
      <c r="CD1535" s="73"/>
      <c r="CE1535" s="73"/>
      <c r="CF1535" s="73"/>
      <c r="CG1535" s="73"/>
      <c r="CH1535" s="73"/>
    </row>
    <row r="1536">
      <c r="A1536" s="80"/>
      <c r="B1536" s="80"/>
      <c r="C1536" s="80"/>
      <c r="D1536" s="80"/>
      <c r="E1536" s="124"/>
      <c r="F1536" s="80"/>
      <c r="G1536" s="80"/>
      <c r="H1536" s="80"/>
      <c r="I1536" s="80"/>
      <c r="J1536" s="196"/>
      <c r="K1536" s="196"/>
      <c r="L1536" s="196"/>
      <c r="M1536" s="196"/>
      <c r="N1536" s="196"/>
      <c r="O1536" s="196"/>
      <c r="P1536" s="196"/>
      <c r="Q1536" s="196"/>
      <c r="R1536" s="196"/>
      <c r="S1536" s="196"/>
      <c r="T1536" s="196"/>
      <c r="U1536" s="196"/>
      <c r="V1536" s="196"/>
      <c r="W1536" s="196"/>
      <c r="X1536" s="196"/>
      <c r="Y1536" s="196"/>
      <c r="Z1536" s="196"/>
      <c r="AA1536" s="196"/>
      <c r="AB1536" s="196"/>
      <c r="AC1536" s="196"/>
      <c r="AD1536" s="196"/>
      <c r="AE1536" s="196"/>
      <c r="AF1536" s="196"/>
      <c r="AG1536" s="196"/>
      <c r="AH1536" s="196"/>
      <c r="AI1536" s="196"/>
      <c r="AJ1536" s="197"/>
      <c r="AK1536" s="80"/>
      <c r="AL1536" s="80"/>
      <c r="AM1536" s="73"/>
      <c r="AN1536" s="73"/>
      <c r="AO1536" s="73"/>
      <c r="AP1536" s="73"/>
      <c r="AQ1536" s="73"/>
      <c r="AR1536" s="73"/>
      <c r="AS1536" s="73"/>
      <c r="AT1536" s="73"/>
      <c r="AU1536" s="73"/>
      <c r="AV1536" s="73"/>
      <c r="AW1536" s="73"/>
      <c r="AX1536" s="73"/>
      <c r="AY1536" s="73"/>
      <c r="AZ1536" s="73"/>
      <c r="BA1536" s="73"/>
      <c r="BB1536" s="73"/>
      <c r="BC1536" s="73"/>
      <c r="BD1536" s="73"/>
      <c r="BE1536" s="73"/>
      <c r="BF1536" s="73"/>
      <c r="BG1536" s="73"/>
      <c r="BH1536" s="73"/>
      <c r="BI1536" s="73"/>
      <c r="BJ1536" s="73"/>
      <c r="BK1536" s="73"/>
      <c r="BL1536" s="73"/>
      <c r="BM1536" s="73"/>
      <c r="BN1536" s="73"/>
      <c r="BO1536" s="73"/>
      <c r="BP1536" s="73"/>
      <c r="BQ1536" s="73"/>
      <c r="BR1536" s="73"/>
      <c r="BS1536" s="73"/>
      <c r="BT1536" s="73"/>
      <c r="BU1536" s="73"/>
      <c r="BV1536" s="73"/>
      <c r="BW1536" s="73"/>
      <c r="BX1536" s="73"/>
      <c r="BY1536" s="73"/>
      <c r="BZ1536" s="73"/>
      <c r="CA1536" s="73"/>
      <c r="CB1536" s="73"/>
      <c r="CC1536" s="73"/>
      <c r="CD1536" s="73"/>
      <c r="CE1536" s="73"/>
      <c r="CF1536" s="73"/>
      <c r="CG1536" s="73"/>
      <c r="CH1536" s="73"/>
    </row>
    <row r="1537">
      <c r="A1537" s="80"/>
      <c r="B1537" s="80"/>
      <c r="C1537" s="80"/>
      <c r="D1537" s="80"/>
      <c r="E1537" s="124"/>
      <c r="F1537" s="80"/>
      <c r="G1537" s="80"/>
      <c r="H1537" s="80"/>
      <c r="I1537" s="80"/>
      <c r="J1537" s="196"/>
      <c r="K1537" s="196"/>
      <c r="L1537" s="196"/>
      <c r="M1537" s="196"/>
      <c r="N1537" s="196"/>
      <c r="O1537" s="196"/>
      <c r="P1537" s="196"/>
      <c r="Q1537" s="196"/>
      <c r="R1537" s="196"/>
      <c r="S1537" s="196"/>
      <c r="T1537" s="196"/>
      <c r="U1537" s="196"/>
      <c r="V1537" s="196"/>
      <c r="W1537" s="196"/>
      <c r="X1537" s="196"/>
      <c r="Y1537" s="196"/>
      <c r="Z1537" s="196"/>
      <c r="AA1537" s="196"/>
      <c r="AB1537" s="196"/>
      <c r="AC1537" s="196"/>
      <c r="AD1537" s="196"/>
      <c r="AE1537" s="196"/>
      <c r="AF1537" s="196"/>
      <c r="AG1537" s="196"/>
      <c r="AH1537" s="196"/>
      <c r="AI1537" s="196"/>
      <c r="AJ1537" s="197"/>
      <c r="AK1537" s="80"/>
      <c r="AL1537" s="80"/>
      <c r="AM1537" s="73"/>
      <c r="AN1537" s="73"/>
      <c r="AO1537" s="73"/>
      <c r="AP1537" s="73"/>
      <c r="AQ1537" s="73"/>
      <c r="AR1537" s="73"/>
      <c r="AS1537" s="73"/>
      <c r="AT1537" s="73"/>
      <c r="AU1537" s="73"/>
      <c r="AV1537" s="73"/>
      <c r="AW1537" s="73"/>
      <c r="AX1537" s="73"/>
      <c r="AY1537" s="73"/>
      <c r="AZ1537" s="73"/>
      <c r="BA1537" s="73"/>
      <c r="BB1537" s="73"/>
      <c r="BC1537" s="73"/>
      <c r="BD1537" s="73"/>
      <c r="BE1537" s="73"/>
      <c r="BF1537" s="73"/>
      <c r="BG1537" s="73"/>
      <c r="BH1537" s="73"/>
      <c r="BI1537" s="73"/>
      <c r="BJ1537" s="73"/>
      <c r="BK1537" s="73"/>
      <c r="BL1537" s="73"/>
      <c r="BM1537" s="73"/>
      <c r="BN1537" s="73"/>
      <c r="BO1537" s="73"/>
      <c r="BP1537" s="73"/>
      <c r="BQ1537" s="73"/>
      <c r="BR1537" s="73"/>
      <c r="BS1537" s="73"/>
      <c r="BT1537" s="73"/>
      <c r="BU1537" s="73"/>
      <c r="BV1537" s="73"/>
      <c r="BW1537" s="73"/>
      <c r="BX1537" s="73"/>
      <c r="BY1537" s="73"/>
      <c r="BZ1537" s="73"/>
      <c r="CA1537" s="73"/>
      <c r="CB1537" s="73"/>
      <c r="CC1537" s="73"/>
      <c r="CD1537" s="73"/>
      <c r="CE1537" s="73"/>
      <c r="CF1537" s="73"/>
      <c r="CG1537" s="73"/>
      <c r="CH1537" s="73"/>
    </row>
    <row r="1538">
      <c r="A1538" s="80"/>
      <c r="B1538" s="80"/>
      <c r="C1538" s="80"/>
      <c r="D1538" s="80"/>
      <c r="E1538" s="124"/>
      <c r="F1538" s="80"/>
      <c r="G1538" s="80"/>
      <c r="H1538" s="80"/>
      <c r="I1538" s="80"/>
      <c r="J1538" s="196"/>
      <c r="K1538" s="196"/>
      <c r="L1538" s="196"/>
      <c r="M1538" s="196"/>
      <c r="N1538" s="196"/>
      <c r="O1538" s="196"/>
      <c r="P1538" s="196"/>
      <c r="Q1538" s="196"/>
      <c r="R1538" s="196"/>
      <c r="S1538" s="196"/>
      <c r="T1538" s="196"/>
      <c r="U1538" s="196"/>
      <c r="V1538" s="196"/>
      <c r="W1538" s="196"/>
      <c r="X1538" s="196"/>
      <c r="Y1538" s="196"/>
      <c r="Z1538" s="196"/>
      <c r="AA1538" s="196"/>
      <c r="AB1538" s="196"/>
      <c r="AC1538" s="196"/>
      <c r="AD1538" s="196"/>
      <c r="AE1538" s="196"/>
      <c r="AF1538" s="196"/>
      <c r="AG1538" s="196"/>
      <c r="AH1538" s="196"/>
      <c r="AI1538" s="196"/>
      <c r="AJ1538" s="197"/>
      <c r="AK1538" s="80"/>
      <c r="AL1538" s="80"/>
      <c r="AM1538" s="73"/>
      <c r="AN1538" s="73"/>
      <c r="AO1538" s="73"/>
      <c r="AP1538" s="73"/>
      <c r="AQ1538" s="73"/>
      <c r="AR1538" s="73"/>
      <c r="AS1538" s="73"/>
      <c r="AT1538" s="73"/>
      <c r="AU1538" s="73"/>
      <c r="AV1538" s="73"/>
      <c r="AW1538" s="73"/>
      <c r="AX1538" s="73"/>
      <c r="AY1538" s="73"/>
      <c r="AZ1538" s="73"/>
      <c r="BA1538" s="73"/>
      <c r="BB1538" s="73"/>
      <c r="BC1538" s="73"/>
      <c r="BD1538" s="73"/>
      <c r="BE1538" s="73"/>
      <c r="BF1538" s="73"/>
      <c r="BG1538" s="73"/>
      <c r="BH1538" s="73"/>
      <c r="BI1538" s="73"/>
      <c r="BJ1538" s="73"/>
      <c r="BK1538" s="73"/>
      <c r="BL1538" s="73"/>
      <c r="BM1538" s="73"/>
      <c r="BN1538" s="73"/>
      <c r="BO1538" s="73"/>
      <c r="BP1538" s="73"/>
      <c r="BQ1538" s="73"/>
      <c r="BR1538" s="73"/>
      <c r="BS1538" s="73"/>
      <c r="BT1538" s="73"/>
      <c r="BU1538" s="73"/>
      <c r="BV1538" s="73"/>
      <c r="BW1538" s="73"/>
      <c r="BX1538" s="73"/>
      <c r="BY1538" s="73"/>
      <c r="BZ1538" s="73"/>
      <c r="CA1538" s="73"/>
      <c r="CB1538" s="73"/>
      <c r="CC1538" s="73"/>
      <c r="CD1538" s="73"/>
      <c r="CE1538" s="73"/>
      <c r="CF1538" s="73"/>
      <c r="CG1538" s="73"/>
      <c r="CH1538" s="73"/>
    </row>
    <row r="1539">
      <c r="A1539" s="80"/>
      <c r="B1539" s="80"/>
      <c r="C1539" s="80"/>
      <c r="D1539" s="80"/>
      <c r="E1539" s="124"/>
      <c r="F1539" s="80"/>
      <c r="G1539" s="80"/>
      <c r="H1539" s="80"/>
      <c r="I1539" s="80"/>
      <c r="J1539" s="196"/>
      <c r="K1539" s="196"/>
      <c r="L1539" s="196"/>
      <c r="M1539" s="196"/>
      <c r="N1539" s="196"/>
      <c r="O1539" s="196"/>
      <c r="P1539" s="196"/>
      <c r="Q1539" s="196"/>
      <c r="R1539" s="196"/>
      <c r="S1539" s="196"/>
      <c r="T1539" s="196"/>
      <c r="U1539" s="196"/>
      <c r="V1539" s="196"/>
      <c r="W1539" s="196"/>
      <c r="X1539" s="196"/>
      <c r="Y1539" s="196"/>
      <c r="Z1539" s="196"/>
      <c r="AA1539" s="196"/>
      <c r="AB1539" s="196"/>
      <c r="AC1539" s="196"/>
      <c r="AD1539" s="196"/>
      <c r="AE1539" s="196"/>
      <c r="AF1539" s="196"/>
      <c r="AG1539" s="196"/>
      <c r="AH1539" s="196"/>
      <c r="AI1539" s="196"/>
      <c r="AJ1539" s="197"/>
      <c r="AK1539" s="80"/>
      <c r="AL1539" s="80"/>
      <c r="AM1539" s="73"/>
      <c r="AN1539" s="73"/>
      <c r="AO1539" s="73"/>
      <c r="AP1539" s="73"/>
      <c r="AQ1539" s="73"/>
      <c r="AR1539" s="73"/>
      <c r="AS1539" s="73"/>
      <c r="AT1539" s="73"/>
      <c r="AU1539" s="73"/>
      <c r="AV1539" s="73"/>
      <c r="AW1539" s="73"/>
      <c r="AX1539" s="73"/>
      <c r="AY1539" s="73"/>
      <c r="AZ1539" s="73"/>
      <c r="BA1539" s="73"/>
      <c r="BB1539" s="73"/>
      <c r="BC1539" s="73"/>
      <c r="BD1539" s="73"/>
      <c r="BE1539" s="73"/>
      <c r="BF1539" s="73"/>
      <c r="BG1539" s="73"/>
      <c r="BH1539" s="73"/>
      <c r="BI1539" s="73"/>
      <c r="BJ1539" s="73"/>
      <c r="BK1539" s="73"/>
      <c r="BL1539" s="73"/>
      <c r="BM1539" s="73"/>
      <c r="BN1539" s="73"/>
      <c r="BO1539" s="73"/>
      <c r="BP1539" s="73"/>
      <c r="BQ1539" s="73"/>
      <c r="BR1539" s="73"/>
      <c r="BS1539" s="73"/>
      <c r="BT1539" s="73"/>
      <c r="BU1539" s="73"/>
      <c r="BV1539" s="73"/>
      <c r="BW1539" s="73"/>
      <c r="BX1539" s="73"/>
      <c r="BY1539" s="73"/>
      <c r="BZ1539" s="73"/>
      <c r="CA1539" s="73"/>
      <c r="CB1539" s="73"/>
      <c r="CC1539" s="73"/>
      <c r="CD1539" s="73"/>
      <c r="CE1539" s="73"/>
      <c r="CF1539" s="73"/>
      <c r="CG1539" s="73"/>
      <c r="CH1539" s="73"/>
    </row>
    <row r="1540">
      <c r="A1540" s="80"/>
      <c r="B1540" s="80"/>
      <c r="C1540" s="80"/>
      <c r="D1540" s="80"/>
      <c r="E1540" s="124"/>
      <c r="F1540" s="80"/>
      <c r="G1540" s="80"/>
      <c r="H1540" s="80"/>
      <c r="I1540" s="80"/>
      <c r="J1540" s="196"/>
      <c r="K1540" s="196"/>
      <c r="L1540" s="196"/>
      <c r="M1540" s="196"/>
      <c r="N1540" s="196"/>
      <c r="O1540" s="196"/>
      <c r="P1540" s="196"/>
      <c r="Q1540" s="196"/>
      <c r="R1540" s="196"/>
      <c r="S1540" s="196"/>
      <c r="T1540" s="196"/>
      <c r="U1540" s="196"/>
      <c r="V1540" s="196"/>
      <c r="W1540" s="196"/>
      <c r="X1540" s="196"/>
      <c r="Y1540" s="196"/>
      <c r="Z1540" s="196"/>
      <c r="AA1540" s="196"/>
      <c r="AB1540" s="196"/>
      <c r="AC1540" s="196"/>
      <c r="AD1540" s="196"/>
      <c r="AE1540" s="196"/>
      <c r="AF1540" s="196"/>
      <c r="AG1540" s="196"/>
      <c r="AH1540" s="196"/>
      <c r="AI1540" s="196"/>
      <c r="AJ1540" s="197"/>
      <c r="AK1540" s="80"/>
      <c r="AL1540" s="80"/>
      <c r="AM1540" s="73"/>
      <c r="AN1540" s="73"/>
      <c r="AO1540" s="73"/>
      <c r="AP1540" s="73"/>
      <c r="AQ1540" s="73"/>
      <c r="AR1540" s="73"/>
      <c r="AS1540" s="73"/>
      <c r="AT1540" s="73"/>
      <c r="AU1540" s="73"/>
      <c r="AV1540" s="73"/>
      <c r="AW1540" s="73"/>
      <c r="AX1540" s="73"/>
      <c r="AY1540" s="73"/>
      <c r="AZ1540" s="73"/>
      <c r="BA1540" s="73"/>
      <c r="BB1540" s="73"/>
      <c r="BC1540" s="73"/>
      <c r="BD1540" s="73"/>
      <c r="BE1540" s="73"/>
      <c r="BF1540" s="73"/>
      <c r="BG1540" s="73"/>
      <c r="BH1540" s="73"/>
      <c r="BI1540" s="73"/>
      <c r="BJ1540" s="73"/>
      <c r="BK1540" s="73"/>
      <c r="BL1540" s="73"/>
      <c r="BM1540" s="73"/>
      <c r="BN1540" s="73"/>
      <c r="BO1540" s="73"/>
      <c r="BP1540" s="73"/>
      <c r="BQ1540" s="73"/>
      <c r="BR1540" s="73"/>
      <c r="BS1540" s="73"/>
      <c r="BT1540" s="73"/>
      <c r="BU1540" s="73"/>
      <c r="BV1540" s="73"/>
      <c r="BW1540" s="73"/>
      <c r="BX1540" s="73"/>
      <c r="BY1540" s="73"/>
      <c r="BZ1540" s="73"/>
      <c r="CA1540" s="73"/>
      <c r="CB1540" s="73"/>
      <c r="CC1540" s="73"/>
      <c r="CD1540" s="73"/>
      <c r="CE1540" s="73"/>
      <c r="CF1540" s="73"/>
      <c r="CG1540" s="73"/>
      <c r="CH1540" s="73"/>
    </row>
    <row r="1541">
      <c r="A1541" s="80"/>
      <c r="B1541" s="80"/>
      <c r="C1541" s="80"/>
      <c r="D1541" s="80"/>
      <c r="E1541" s="124"/>
      <c r="F1541" s="80"/>
      <c r="G1541" s="80"/>
      <c r="H1541" s="80"/>
      <c r="I1541" s="80"/>
      <c r="J1541" s="196"/>
      <c r="K1541" s="196"/>
      <c r="L1541" s="196"/>
      <c r="M1541" s="196"/>
      <c r="N1541" s="196"/>
      <c r="O1541" s="196"/>
      <c r="P1541" s="196"/>
      <c r="Q1541" s="196"/>
      <c r="R1541" s="196"/>
      <c r="S1541" s="196"/>
      <c r="T1541" s="196"/>
      <c r="U1541" s="196"/>
      <c r="V1541" s="196"/>
      <c r="W1541" s="196"/>
      <c r="X1541" s="196"/>
      <c r="Y1541" s="196"/>
      <c r="Z1541" s="196"/>
      <c r="AA1541" s="196"/>
      <c r="AB1541" s="196"/>
      <c r="AC1541" s="196"/>
      <c r="AD1541" s="196"/>
      <c r="AE1541" s="196"/>
      <c r="AF1541" s="196"/>
      <c r="AG1541" s="196"/>
      <c r="AH1541" s="196"/>
      <c r="AI1541" s="196"/>
      <c r="AJ1541" s="197"/>
      <c r="AK1541" s="80"/>
      <c r="AL1541" s="80"/>
      <c r="AM1541" s="73"/>
      <c r="AN1541" s="73"/>
      <c r="AO1541" s="73"/>
      <c r="AP1541" s="73"/>
      <c r="AQ1541" s="73"/>
      <c r="AR1541" s="73"/>
      <c r="AS1541" s="73"/>
      <c r="AT1541" s="73"/>
      <c r="AU1541" s="73"/>
      <c r="AV1541" s="73"/>
      <c r="AW1541" s="73"/>
      <c r="AX1541" s="73"/>
      <c r="AY1541" s="73"/>
      <c r="AZ1541" s="73"/>
      <c r="BA1541" s="73"/>
      <c r="BB1541" s="73"/>
      <c r="BC1541" s="73"/>
      <c r="BD1541" s="73"/>
      <c r="BE1541" s="73"/>
      <c r="BF1541" s="73"/>
      <c r="BG1541" s="73"/>
      <c r="BH1541" s="73"/>
      <c r="BI1541" s="73"/>
      <c r="BJ1541" s="73"/>
      <c r="BK1541" s="73"/>
      <c r="BL1541" s="73"/>
      <c r="BM1541" s="73"/>
      <c r="BN1541" s="73"/>
      <c r="BO1541" s="73"/>
      <c r="BP1541" s="73"/>
      <c r="BQ1541" s="73"/>
      <c r="BR1541" s="73"/>
      <c r="BS1541" s="73"/>
      <c r="BT1541" s="73"/>
      <c r="BU1541" s="73"/>
      <c r="BV1541" s="73"/>
      <c r="BW1541" s="73"/>
      <c r="BX1541" s="73"/>
      <c r="BY1541" s="73"/>
      <c r="BZ1541" s="73"/>
      <c r="CA1541" s="73"/>
      <c r="CB1541" s="73"/>
      <c r="CC1541" s="73"/>
      <c r="CD1541" s="73"/>
      <c r="CE1541" s="73"/>
      <c r="CF1541" s="73"/>
      <c r="CG1541" s="73"/>
      <c r="CH1541" s="73"/>
    </row>
    <row r="1542">
      <c r="A1542" s="80"/>
      <c r="B1542" s="80"/>
      <c r="C1542" s="80"/>
      <c r="D1542" s="80"/>
      <c r="E1542" s="124"/>
      <c r="F1542" s="80"/>
      <c r="G1542" s="80"/>
      <c r="H1542" s="80"/>
      <c r="I1542" s="80"/>
      <c r="J1542" s="196"/>
      <c r="K1542" s="196"/>
      <c r="L1542" s="196"/>
      <c r="M1542" s="196"/>
      <c r="N1542" s="196"/>
      <c r="O1542" s="196"/>
      <c r="P1542" s="196"/>
      <c r="Q1542" s="196"/>
      <c r="R1542" s="196"/>
      <c r="S1542" s="196"/>
      <c r="T1542" s="196"/>
      <c r="U1542" s="196"/>
      <c r="V1542" s="196"/>
      <c r="W1542" s="196"/>
      <c r="X1542" s="196"/>
      <c r="Y1542" s="196"/>
      <c r="Z1542" s="196"/>
      <c r="AA1542" s="196"/>
      <c r="AB1542" s="196"/>
      <c r="AC1542" s="196"/>
      <c r="AD1542" s="196"/>
      <c r="AE1542" s="196"/>
      <c r="AF1542" s="196"/>
      <c r="AG1542" s="196"/>
      <c r="AH1542" s="196"/>
      <c r="AI1542" s="196"/>
      <c r="AJ1542" s="197"/>
      <c r="AK1542" s="80"/>
      <c r="AL1542" s="80"/>
      <c r="AM1542" s="73"/>
      <c r="AN1542" s="73"/>
      <c r="AO1542" s="73"/>
      <c r="AP1542" s="73"/>
      <c r="AQ1542" s="73"/>
      <c r="AR1542" s="73"/>
      <c r="AS1542" s="73"/>
      <c r="AT1542" s="73"/>
      <c r="AU1542" s="73"/>
      <c r="AV1542" s="73"/>
      <c r="AW1542" s="73"/>
      <c r="AX1542" s="73"/>
      <c r="AY1542" s="73"/>
      <c r="AZ1542" s="73"/>
      <c r="BA1542" s="73"/>
      <c r="BB1542" s="73"/>
      <c r="BC1542" s="73"/>
      <c r="BD1542" s="73"/>
      <c r="BE1542" s="73"/>
      <c r="BF1542" s="73"/>
      <c r="BG1542" s="73"/>
      <c r="BH1542" s="73"/>
      <c r="BI1542" s="73"/>
      <c r="BJ1542" s="73"/>
      <c r="BK1542" s="73"/>
      <c r="BL1542" s="73"/>
      <c r="BM1542" s="73"/>
      <c r="BN1542" s="73"/>
      <c r="BO1542" s="73"/>
      <c r="BP1542" s="73"/>
      <c r="BQ1542" s="73"/>
      <c r="BR1542" s="73"/>
      <c r="BS1542" s="73"/>
      <c r="BT1542" s="73"/>
      <c r="BU1542" s="73"/>
      <c r="BV1542" s="73"/>
      <c r="BW1542" s="73"/>
      <c r="BX1542" s="73"/>
      <c r="BY1542" s="73"/>
      <c r="BZ1542" s="73"/>
      <c r="CA1542" s="73"/>
      <c r="CB1542" s="73"/>
      <c r="CC1542" s="73"/>
      <c r="CD1542" s="73"/>
      <c r="CE1542" s="73"/>
      <c r="CF1542" s="73"/>
      <c r="CG1542" s="73"/>
      <c r="CH1542" s="73"/>
    </row>
    <row r="1543">
      <c r="A1543" s="80"/>
      <c r="B1543" s="80"/>
      <c r="C1543" s="80"/>
      <c r="D1543" s="80"/>
      <c r="E1543" s="124"/>
      <c r="F1543" s="80"/>
      <c r="G1543" s="80"/>
      <c r="H1543" s="80"/>
      <c r="I1543" s="80"/>
      <c r="J1543" s="196"/>
      <c r="K1543" s="196"/>
      <c r="L1543" s="196"/>
      <c r="M1543" s="196"/>
      <c r="N1543" s="196"/>
      <c r="O1543" s="196"/>
      <c r="P1543" s="196"/>
      <c r="Q1543" s="196"/>
      <c r="R1543" s="196"/>
      <c r="S1543" s="196"/>
      <c r="T1543" s="196"/>
      <c r="U1543" s="196"/>
      <c r="V1543" s="196"/>
      <c r="W1543" s="196"/>
      <c r="X1543" s="196"/>
      <c r="Y1543" s="196"/>
      <c r="Z1543" s="196"/>
      <c r="AA1543" s="196"/>
      <c r="AB1543" s="196"/>
      <c r="AC1543" s="196"/>
      <c r="AD1543" s="196"/>
      <c r="AE1543" s="196"/>
      <c r="AF1543" s="196"/>
      <c r="AG1543" s="196"/>
      <c r="AH1543" s="196"/>
      <c r="AI1543" s="196"/>
      <c r="AJ1543" s="197"/>
      <c r="AK1543" s="80"/>
      <c r="AL1543" s="80"/>
      <c r="AM1543" s="73"/>
      <c r="AN1543" s="73"/>
      <c r="AO1543" s="73"/>
      <c r="AP1543" s="73"/>
      <c r="AQ1543" s="73"/>
      <c r="AR1543" s="73"/>
      <c r="AS1543" s="73"/>
      <c r="AT1543" s="73"/>
      <c r="AU1543" s="73"/>
      <c r="AV1543" s="73"/>
      <c r="AW1543" s="73"/>
      <c r="AX1543" s="73"/>
      <c r="AY1543" s="73"/>
      <c r="AZ1543" s="73"/>
      <c r="BA1543" s="73"/>
      <c r="BB1543" s="73"/>
      <c r="BC1543" s="73"/>
      <c r="BD1543" s="73"/>
      <c r="BE1543" s="73"/>
      <c r="BF1543" s="73"/>
      <c r="BG1543" s="73"/>
      <c r="BH1543" s="73"/>
      <c r="BI1543" s="73"/>
      <c r="BJ1543" s="73"/>
      <c r="BK1543" s="73"/>
      <c r="BL1543" s="73"/>
      <c r="BM1543" s="73"/>
      <c r="BN1543" s="73"/>
      <c r="BO1543" s="73"/>
      <c r="BP1543" s="73"/>
      <c r="BQ1543" s="73"/>
      <c r="BR1543" s="73"/>
      <c r="BS1543" s="73"/>
      <c r="BT1543" s="73"/>
      <c r="BU1543" s="73"/>
      <c r="BV1543" s="73"/>
      <c r="BW1543" s="73"/>
      <c r="BX1543" s="73"/>
      <c r="BY1543" s="73"/>
      <c r="BZ1543" s="73"/>
      <c r="CA1543" s="73"/>
      <c r="CB1543" s="73"/>
      <c r="CC1543" s="73"/>
      <c r="CD1543" s="73"/>
      <c r="CE1543" s="73"/>
      <c r="CF1543" s="73"/>
      <c r="CG1543" s="73"/>
      <c r="CH1543" s="73"/>
    </row>
    <row r="1544">
      <c r="A1544" s="80"/>
      <c r="B1544" s="80"/>
      <c r="C1544" s="80"/>
      <c r="D1544" s="80"/>
      <c r="E1544" s="124"/>
      <c r="F1544" s="80"/>
      <c r="G1544" s="80"/>
      <c r="H1544" s="80"/>
      <c r="I1544" s="80"/>
      <c r="J1544" s="196"/>
      <c r="K1544" s="196"/>
      <c r="L1544" s="196"/>
      <c r="M1544" s="196"/>
      <c r="N1544" s="196"/>
      <c r="O1544" s="196"/>
      <c r="P1544" s="196"/>
      <c r="Q1544" s="196"/>
      <c r="R1544" s="196"/>
      <c r="S1544" s="196"/>
      <c r="T1544" s="196"/>
      <c r="U1544" s="196"/>
      <c r="V1544" s="196"/>
      <c r="W1544" s="196"/>
      <c r="X1544" s="196"/>
      <c r="Y1544" s="196"/>
      <c r="Z1544" s="196"/>
      <c r="AA1544" s="196"/>
      <c r="AB1544" s="196"/>
      <c r="AC1544" s="196"/>
      <c r="AD1544" s="196"/>
      <c r="AE1544" s="196"/>
      <c r="AF1544" s="196"/>
      <c r="AG1544" s="196"/>
      <c r="AH1544" s="196"/>
      <c r="AI1544" s="196"/>
      <c r="AJ1544" s="197"/>
      <c r="AK1544" s="80"/>
      <c r="AL1544" s="80"/>
      <c r="AM1544" s="73"/>
      <c r="AN1544" s="73"/>
      <c r="AO1544" s="73"/>
      <c r="AP1544" s="73"/>
      <c r="AQ1544" s="73"/>
      <c r="AR1544" s="73"/>
      <c r="AS1544" s="73"/>
      <c r="AT1544" s="73"/>
      <c r="AU1544" s="73"/>
      <c r="AV1544" s="73"/>
      <c r="AW1544" s="73"/>
      <c r="AX1544" s="73"/>
      <c r="AY1544" s="73"/>
      <c r="AZ1544" s="73"/>
      <c r="BA1544" s="73"/>
      <c r="BB1544" s="73"/>
      <c r="BC1544" s="73"/>
      <c r="BD1544" s="73"/>
      <c r="BE1544" s="73"/>
      <c r="BF1544" s="73"/>
      <c r="BG1544" s="73"/>
      <c r="BH1544" s="73"/>
      <c r="BI1544" s="73"/>
      <c r="BJ1544" s="73"/>
      <c r="BK1544" s="73"/>
      <c r="BL1544" s="73"/>
      <c r="BM1544" s="73"/>
      <c r="BN1544" s="73"/>
      <c r="BO1544" s="73"/>
      <c r="BP1544" s="73"/>
      <c r="BQ1544" s="73"/>
      <c r="BR1544" s="73"/>
      <c r="BS1544" s="73"/>
      <c r="BT1544" s="73"/>
      <c r="BU1544" s="73"/>
      <c r="BV1544" s="73"/>
      <c r="BW1544" s="73"/>
      <c r="BX1544" s="73"/>
      <c r="BY1544" s="73"/>
      <c r="BZ1544" s="73"/>
      <c r="CA1544" s="73"/>
      <c r="CB1544" s="73"/>
      <c r="CC1544" s="73"/>
      <c r="CD1544" s="73"/>
      <c r="CE1544" s="73"/>
      <c r="CF1544" s="73"/>
      <c r="CG1544" s="73"/>
      <c r="CH1544" s="73"/>
    </row>
    <row r="1545">
      <c r="A1545" s="80"/>
      <c r="B1545" s="80"/>
      <c r="C1545" s="80"/>
      <c r="D1545" s="80"/>
      <c r="E1545" s="124"/>
      <c r="F1545" s="80"/>
      <c r="G1545" s="80"/>
      <c r="H1545" s="80"/>
      <c r="I1545" s="80"/>
      <c r="J1545" s="196"/>
      <c r="K1545" s="196"/>
      <c r="L1545" s="196"/>
      <c r="M1545" s="196"/>
      <c r="N1545" s="196"/>
      <c r="O1545" s="196"/>
      <c r="P1545" s="196"/>
      <c r="Q1545" s="196"/>
      <c r="R1545" s="196"/>
      <c r="S1545" s="196"/>
      <c r="T1545" s="196"/>
      <c r="U1545" s="196"/>
      <c r="V1545" s="196"/>
      <c r="W1545" s="196"/>
      <c r="X1545" s="196"/>
      <c r="Y1545" s="196"/>
      <c r="Z1545" s="196"/>
      <c r="AA1545" s="196"/>
      <c r="AB1545" s="196"/>
      <c r="AC1545" s="196"/>
      <c r="AD1545" s="196"/>
      <c r="AE1545" s="196"/>
      <c r="AF1545" s="196"/>
      <c r="AG1545" s="196"/>
      <c r="AH1545" s="196"/>
      <c r="AI1545" s="196"/>
      <c r="AJ1545" s="197"/>
      <c r="AK1545" s="80"/>
      <c r="AL1545" s="80"/>
      <c r="AM1545" s="73"/>
      <c r="AN1545" s="73"/>
      <c r="AO1545" s="73"/>
      <c r="AP1545" s="73"/>
      <c r="AQ1545" s="73"/>
      <c r="AR1545" s="73"/>
      <c r="AS1545" s="73"/>
      <c r="AT1545" s="73"/>
      <c r="AU1545" s="73"/>
      <c r="AV1545" s="73"/>
      <c r="AW1545" s="73"/>
      <c r="AX1545" s="73"/>
      <c r="AY1545" s="73"/>
      <c r="AZ1545" s="73"/>
      <c r="BA1545" s="73"/>
      <c r="BB1545" s="73"/>
      <c r="BC1545" s="73"/>
      <c r="BD1545" s="73"/>
      <c r="BE1545" s="73"/>
      <c r="BF1545" s="73"/>
      <c r="BG1545" s="73"/>
      <c r="BH1545" s="73"/>
      <c r="BI1545" s="73"/>
      <c r="BJ1545" s="73"/>
      <c r="BK1545" s="73"/>
      <c r="BL1545" s="73"/>
      <c r="BM1545" s="73"/>
      <c r="BN1545" s="73"/>
      <c r="BO1545" s="73"/>
      <c r="BP1545" s="73"/>
      <c r="BQ1545" s="73"/>
      <c r="BR1545" s="73"/>
      <c r="BS1545" s="73"/>
      <c r="BT1545" s="73"/>
      <c r="BU1545" s="73"/>
      <c r="BV1545" s="73"/>
      <c r="BW1545" s="73"/>
      <c r="BX1545" s="73"/>
      <c r="BY1545" s="73"/>
      <c r="BZ1545" s="73"/>
      <c r="CA1545" s="73"/>
      <c r="CB1545" s="73"/>
      <c r="CC1545" s="73"/>
      <c r="CD1545" s="73"/>
      <c r="CE1545" s="73"/>
      <c r="CF1545" s="73"/>
      <c r="CG1545" s="73"/>
      <c r="CH1545" s="73"/>
    </row>
    <row r="1546">
      <c r="A1546" s="80"/>
      <c r="B1546" s="80"/>
      <c r="C1546" s="80"/>
      <c r="D1546" s="80"/>
      <c r="E1546" s="124"/>
      <c r="F1546" s="80"/>
      <c r="G1546" s="80"/>
      <c r="H1546" s="80"/>
      <c r="I1546" s="80"/>
      <c r="J1546" s="196"/>
      <c r="K1546" s="196"/>
      <c r="L1546" s="196"/>
      <c r="M1546" s="196"/>
      <c r="N1546" s="196"/>
      <c r="O1546" s="196"/>
      <c r="P1546" s="196"/>
      <c r="Q1546" s="196"/>
      <c r="R1546" s="196"/>
      <c r="S1546" s="196"/>
      <c r="T1546" s="196"/>
      <c r="U1546" s="196"/>
      <c r="V1546" s="196"/>
      <c r="W1546" s="196"/>
      <c r="X1546" s="196"/>
      <c r="Y1546" s="196"/>
      <c r="Z1546" s="196"/>
      <c r="AA1546" s="196"/>
      <c r="AB1546" s="196"/>
      <c r="AC1546" s="196"/>
      <c r="AD1546" s="196"/>
      <c r="AE1546" s="196"/>
      <c r="AF1546" s="196"/>
      <c r="AG1546" s="196"/>
      <c r="AH1546" s="196"/>
      <c r="AI1546" s="196"/>
      <c r="AJ1546" s="197"/>
      <c r="AK1546" s="80"/>
      <c r="AL1546" s="80"/>
      <c r="AM1546" s="73"/>
      <c r="AN1546" s="73"/>
      <c r="AO1546" s="73"/>
      <c r="AP1546" s="73"/>
      <c r="AQ1546" s="73"/>
      <c r="AR1546" s="73"/>
      <c r="AS1546" s="73"/>
      <c r="AT1546" s="73"/>
      <c r="AU1546" s="73"/>
      <c r="AV1546" s="73"/>
      <c r="AW1546" s="73"/>
      <c r="AX1546" s="73"/>
      <c r="AY1546" s="73"/>
      <c r="AZ1546" s="73"/>
      <c r="BA1546" s="73"/>
      <c r="BB1546" s="73"/>
      <c r="BC1546" s="73"/>
      <c r="BD1546" s="73"/>
      <c r="BE1546" s="73"/>
      <c r="BF1546" s="73"/>
      <c r="BG1546" s="73"/>
      <c r="BH1546" s="73"/>
      <c r="BI1546" s="73"/>
      <c r="BJ1546" s="73"/>
      <c r="BK1546" s="73"/>
      <c r="BL1546" s="73"/>
      <c r="BM1546" s="73"/>
      <c r="BN1546" s="73"/>
      <c r="BO1546" s="73"/>
      <c r="BP1546" s="73"/>
      <c r="BQ1546" s="73"/>
      <c r="BR1546" s="73"/>
      <c r="BS1546" s="73"/>
      <c r="BT1546" s="73"/>
      <c r="BU1546" s="73"/>
      <c r="BV1546" s="73"/>
      <c r="BW1546" s="73"/>
      <c r="BX1546" s="73"/>
      <c r="BY1546" s="73"/>
      <c r="BZ1546" s="73"/>
      <c r="CA1546" s="73"/>
      <c r="CB1546" s="73"/>
      <c r="CC1546" s="73"/>
      <c r="CD1546" s="73"/>
      <c r="CE1546" s="73"/>
      <c r="CF1546" s="73"/>
      <c r="CG1546" s="73"/>
      <c r="CH1546" s="73"/>
    </row>
    <row r="1547">
      <c r="A1547" s="80"/>
      <c r="B1547" s="80"/>
      <c r="C1547" s="80"/>
      <c r="D1547" s="80"/>
      <c r="E1547" s="124"/>
      <c r="F1547" s="80"/>
      <c r="G1547" s="80"/>
      <c r="H1547" s="80"/>
      <c r="I1547" s="80"/>
      <c r="J1547" s="196"/>
      <c r="K1547" s="196"/>
      <c r="L1547" s="196"/>
      <c r="M1547" s="196"/>
      <c r="N1547" s="196"/>
      <c r="O1547" s="196"/>
      <c r="P1547" s="196"/>
      <c r="Q1547" s="196"/>
      <c r="R1547" s="196"/>
      <c r="S1547" s="196"/>
      <c r="T1547" s="196"/>
      <c r="U1547" s="196"/>
      <c r="V1547" s="196"/>
      <c r="W1547" s="196"/>
      <c r="X1547" s="196"/>
      <c r="Y1547" s="196"/>
      <c r="Z1547" s="196"/>
      <c r="AA1547" s="196"/>
      <c r="AB1547" s="196"/>
      <c r="AC1547" s="196"/>
      <c r="AD1547" s="196"/>
      <c r="AE1547" s="196"/>
      <c r="AF1547" s="196"/>
      <c r="AG1547" s="196"/>
      <c r="AH1547" s="196"/>
      <c r="AI1547" s="196"/>
      <c r="AJ1547" s="197"/>
      <c r="AK1547" s="80"/>
      <c r="AL1547" s="80"/>
      <c r="AM1547" s="73"/>
      <c r="AN1547" s="73"/>
      <c r="AO1547" s="73"/>
      <c r="AP1547" s="73"/>
      <c r="AQ1547" s="73"/>
      <c r="AR1547" s="73"/>
      <c r="AS1547" s="73"/>
      <c r="AT1547" s="73"/>
      <c r="AU1547" s="73"/>
      <c r="AV1547" s="73"/>
      <c r="AW1547" s="73"/>
      <c r="AX1547" s="73"/>
      <c r="AY1547" s="73"/>
      <c r="AZ1547" s="73"/>
      <c r="BA1547" s="73"/>
      <c r="BB1547" s="73"/>
      <c r="BC1547" s="73"/>
      <c r="BD1547" s="73"/>
      <c r="BE1547" s="73"/>
      <c r="BF1547" s="73"/>
      <c r="BG1547" s="73"/>
      <c r="BH1547" s="73"/>
      <c r="BI1547" s="73"/>
      <c r="BJ1547" s="73"/>
      <c r="BK1547" s="73"/>
      <c r="BL1547" s="73"/>
      <c r="BM1547" s="73"/>
      <c r="BN1547" s="73"/>
      <c r="BO1547" s="73"/>
      <c r="BP1547" s="73"/>
      <c r="BQ1547" s="73"/>
      <c r="BR1547" s="73"/>
      <c r="BS1547" s="73"/>
      <c r="BT1547" s="73"/>
      <c r="BU1547" s="73"/>
      <c r="BV1547" s="73"/>
      <c r="BW1547" s="73"/>
      <c r="BX1547" s="73"/>
      <c r="BY1547" s="73"/>
      <c r="BZ1547" s="73"/>
      <c r="CA1547" s="73"/>
      <c r="CB1547" s="73"/>
      <c r="CC1547" s="73"/>
      <c r="CD1547" s="73"/>
      <c r="CE1547" s="73"/>
      <c r="CF1547" s="73"/>
      <c r="CG1547" s="73"/>
      <c r="CH1547" s="73"/>
    </row>
    <row r="1548">
      <c r="A1548" s="80"/>
      <c r="B1548" s="80"/>
      <c r="C1548" s="80"/>
      <c r="D1548" s="80"/>
      <c r="E1548" s="124"/>
      <c r="F1548" s="80"/>
      <c r="G1548" s="80"/>
      <c r="H1548" s="80"/>
      <c r="I1548" s="80"/>
      <c r="J1548" s="196"/>
      <c r="K1548" s="196"/>
      <c r="L1548" s="196"/>
      <c r="M1548" s="196"/>
      <c r="N1548" s="196"/>
      <c r="O1548" s="196"/>
      <c r="P1548" s="196"/>
      <c r="Q1548" s="196"/>
      <c r="R1548" s="196"/>
      <c r="S1548" s="196"/>
      <c r="T1548" s="196"/>
      <c r="U1548" s="196"/>
      <c r="V1548" s="196"/>
      <c r="W1548" s="196"/>
      <c r="X1548" s="196"/>
      <c r="Y1548" s="196"/>
      <c r="Z1548" s="196"/>
      <c r="AA1548" s="196"/>
      <c r="AB1548" s="196"/>
      <c r="AC1548" s="196"/>
      <c r="AD1548" s="196"/>
      <c r="AE1548" s="196"/>
      <c r="AF1548" s="196"/>
      <c r="AG1548" s="196"/>
      <c r="AH1548" s="196"/>
      <c r="AI1548" s="196"/>
      <c r="AJ1548" s="197"/>
      <c r="AK1548" s="80"/>
      <c r="AL1548" s="80"/>
      <c r="AM1548" s="73"/>
      <c r="AN1548" s="73"/>
      <c r="AO1548" s="73"/>
      <c r="AP1548" s="73"/>
      <c r="AQ1548" s="73"/>
      <c r="AR1548" s="73"/>
      <c r="AS1548" s="73"/>
      <c r="AT1548" s="73"/>
      <c r="AU1548" s="73"/>
      <c r="AV1548" s="73"/>
      <c r="AW1548" s="73"/>
      <c r="AX1548" s="73"/>
      <c r="AY1548" s="73"/>
      <c r="AZ1548" s="73"/>
      <c r="BA1548" s="73"/>
      <c r="BB1548" s="73"/>
      <c r="BC1548" s="73"/>
      <c r="BD1548" s="73"/>
      <c r="BE1548" s="73"/>
      <c r="BF1548" s="73"/>
      <c r="BG1548" s="73"/>
      <c r="BH1548" s="73"/>
      <c r="BI1548" s="73"/>
      <c r="BJ1548" s="73"/>
      <c r="BK1548" s="73"/>
      <c r="BL1548" s="73"/>
      <c r="BM1548" s="73"/>
      <c r="BN1548" s="73"/>
      <c r="BO1548" s="73"/>
      <c r="BP1548" s="73"/>
      <c r="BQ1548" s="73"/>
      <c r="BR1548" s="73"/>
      <c r="BS1548" s="73"/>
      <c r="BT1548" s="73"/>
      <c r="BU1548" s="73"/>
      <c r="BV1548" s="73"/>
      <c r="BW1548" s="73"/>
      <c r="BX1548" s="73"/>
      <c r="BY1548" s="73"/>
      <c r="BZ1548" s="73"/>
      <c r="CA1548" s="73"/>
      <c r="CB1548" s="73"/>
      <c r="CC1548" s="73"/>
      <c r="CD1548" s="73"/>
      <c r="CE1548" s="73"/>
      <c r="CF1548" s="73"/>
      <c r="CG1548" s="73"/>
      <c r="CH1548" s="73"/>
    </row>
    <row r="1549">
      <c r="A1549" s="80"/>
      <c r="B1549" s="80"/>
      <c r="C1549" s="80"/>
      <c r="D1549" s="80"/>
      <c r="E1549" s="124"/>
      <c r="F1549" s="80"/>
      <c r="G1549" s="80"/>
      <c r="H1549" s="80"/>
      <c r="I1549" s="80"/>
      <c r="J1549" s="196"/>
      <c r="K1549" s="196"/>
      <c r="L1549" s="196"/>
      <c r="M1549" s="196"/>
      <c r="N1549" s="196"/>
      <c r="O1549" s="196"/>
      <c r="P1549" s="196"/>
      <c r="Q1549" s="196"/>
      <c r="R1549" s="196"/>
      <c r="S1549" s="196"/>
      <c r="T1549" s="196"/>
      <c r="U1549" s="196"/>
      <c r="V1549" s="196"/>
      <c r="W1549" s="196"/>
      <c r="X1549" s="196"/>
      <c r="Y1549" s="196"/>
      <c r="Z1549" s="196"/>
      <c r="AA1549" s="196"/>
      <c r="AB1549" s="196"/>
      <c r="AC1549" s="196"/>
      <c r="AD1549" s="196"/>
      <c r="AE1549" s="196"/>
      <c r="AF1549" s="196"/>
      <c r="AG1549" s="196"/>
      <c r="AH1549" s="196"/>
      <c r="AI1549" s="196"/>
      <c r="AJ1549" s="197"/>
      <c r="AK1549" s="80"/>
      <c r="AL1549" s="80"/>
      <c r="AM1549" s="73"/>
      <c r="AN1549" s="73"/>
      <c r="AO1549" s="73"/>
      <c r="AP1549" s="73"/>
      <c r="AQ1549" s="73"/>
      <c r="AR1549" s="73"/>
      <c r="AS1549" s="73"/>
      <c r="AT1549" s="73"/>
      <c r="AU1549" s="73"/>
      <c r="AV1549" s="73"/>
      <c r="AW1549" s="73"/>
      <c r="AX1549" s="73"/>
      <c r="AY1549" s="73"/>
      <c r="AZ1549" s="73"/>
      <c r="BA1549" s="73"/>
      <c r="BB1549" s="73"/>
      <c r="BC1549" s="73"/>
      <c r="BD1549" s="73"/>
      <c r="BE1549" s="73"/>
      <c r="BF1549" s="73"/>
      <c r="BG1549" s="73"/>
      <c r="BH1549" s="73"/>
      <c r="BI1549" s="73"/>
      <c r="BJ1549" s="73"/>
      <c r="BK1549" s="73"/>
      <c r="BL1549" s="73"/>
      <c r="BM1549" s="73"/>
      <c r="BN1549" s="73"/>
      <c r="BO1549" s="73"/>
      <c r="BP1549" s="73"/>
      <c r="BQ1549" s="73"/>
      <c r="BR1549" s="73"/>
      <c r="BS1549" s="73"/>
      <c r="BT1549" s="73"/>
      <c r="BU1549" s="73"/>
      <c r="BV1549" s="73"/>
      <c r="BW1549" s="73"/>
      <c r="BX1549" s="73"/>
      <c r="BY1549" s="73"/>
      <c r="BZ1549" s="73"/>
      <c r="CA1549" s="73"/>
      <c r="CB1549" s="73"/>
      <c r="CC1549" s="73"/>
      <c r="CD1549" s="73"/>
      <c r="CE1549" s="73"/>
      <c r="CF1549" s="73"/>
      <c r="CG1549" s="73"/>
      <c r="CH1549" s="73"/>
    </row>
    <row r="1550">
      <c r="A1550" s="80"/>
      <c r="B1550" s="80"/>
      <c r="C1550" s="80"/>
      <c r="D1550" s="80"/>
      <c r="E1550" s="124"/>
      <c r="F1550" s="80"/>
      <c r="G1550" s="80"/>
      <c r="H1550" s="80"/>
      <c r="I1550" s="80"/>
      <c r="J1550" s="196"/>
      <c r="K1550" s="196"/>
      <c r="L1550" s="196"/>
      <c r="M1550" s="196"/>
      <c r="N1550" s="196"/>
      <c r="O1550" s="196"/>
      <c r="P1550" s="196"/>
      <c r="Q1550" s="196"/>
      <c r="R1550" s="196"/>
      <c r="S1550" s="196"/>
      <c r="T1550" s="196"/>
      <c r="U1550" s="196"/>
      <c r="V1550" s="196"/>
      <c r="W1550" s="196"/>
      <c r="X1550" s="196"/>
      <c r="Y1550" s="196"/>
      <c r="Z1550" s="196"/>
      <c r="AA1550" s="196"/>
      <c r="AB1550" s="196"/>
      <c r="AC1550" s="196"/>
      <c r="AD1550" s="196"/>
      <c r="AE1550" s="196"/>
      <c r="AF1550" s="196"/>
      <c r="AG1550" s="196"/>
      <c r="AH1550" s="196"/>
      <c r="AI1550" s="196"/>
      <c r="AJ1550" s="197"/>
      <c r="AK1550" s="80"/>
      <c r="AL1550" s="80"/>
      <c r="AM1550" s="73"/>
      <c r="AN1550" s="73"/>
      <c r="AO1550" s="73"/>
      <c r="AP1550" s="73"/>
      <c r="AQ1550" s="73"/>
      <c r="AR1550" s="73"/>
      <c r="AS1550" s="73"/>
      <c r="AT1550" s="73"/>
      <c r="AU1550" s="73"/>
      <c r="AV1550" s="73"/>
      <c r="AW1550" s="73"/>
      <c r="AX1550" s="73"/>
      <c r="AY1550" s="73"/>
      <c r="AZ1550" s="73"/>
      <c r="BA1550" s="73"/>
      <c r="BB1550" s="73"/>
      <c r="BC1550" s="73"/>
      <c r="BD1550" s="73"/>
      <c r="BE1550" s="73"/>
      <c r="BF1550" s="73"/>
      <c r="BG1550" s="73"/>
      <c r="BH1550" s="73"/>
      <c r="BI1550" s="73"/>
      <c r="BJ1550" s="73"/>
      <c r="BK1550" s="73"/>
      <c r="BL1550" s="73"/>
      <c r="BM1550" s="73"/>
      <c r="BN1550" s="73"/>
      <c r="BO1550" s="73"/>
      <c r="BP1550" s="73"/>
      <c r="BQ1550" s="73"/>
      <c r="BR1550" s="73"/>
      <c r="BS1550" s="73"/>
      <c r="BT1550" s="73"/>
      <c r="BU1550" s="73"/>
      <c r="BV1550" s="73"/>
      <c r="BW1550" s="73"/>
      <c r="BX1550" s="73"/>
      <c r="BY1550" s="73"/>
      <c r="BZ1550" s="73"/>
      <c r="CA1550" s="73"/>
      <c r="CB1550" s="73"/>
      <c r="CC1550" s="73"/>
      <c r="CD1550" s="73"/>
      <c r="CE1550" s="73"/>
      <c r="CF1550" s="73"/>
      <c r="CG1550" s="73"/>
      <c r="CH1550" s="73"/>
    </row>
    <row r="1551">
      <c r="A1551" s="80"/>
      <c r="B1551" s="80"/>
      <c r="C1551" s="80"/>
      <c r="D1551" s="80"/>
      <c r="E1551" s="124"/>
      <c r="F1551" s="80"/>
      <c r="G1551" s="80"/>
      <c r="H1551" s="80"/>
      <c r="I1551" s="80"/>
      <c r="J1551" s="196"/>
      <c r="K1551" s="196"/>
      <c r="L1551" s="196"/>
      <c r="M1551" s="196"/>
      <c r="N1551" s="196"/>
      <c r="O1551" s="196"/>
      <c r="P1551" s="196"/>
      <c r="Q1551" s="196"/>
      <c r="R1551" s="196"/>
      <c r="S1551" s="196"/>
      <c r="T1551" s="196"/>
      <c r="U1551" s="196"/>
      <c r="V1551" s="196"/>
      <c r="W1551" s="196"/>
      <c r="X1551" s="196"/>
      <c r="Y1551" s="196"/>
      <c r="Z1551" s="196"/>
      <c r="AA1551" s="196"/>
      <c r="AB1551" s="196"/>
      <c r="AC1551" s="196"/>
      <c r="AD1551" s="196"/>
      <c r="AE1551" s="196"/>
      <c r="AF1551" s="196"/>
      <c r="AG1551" s="196"/>
      <c r="AH1551" s="196"/>
      <c r="AI1551" s="196"/>
      <c r="AJ1551" s="197"/>
      <c r="AK1551" s="80"/>
      <c r="AL1551" s="80"/>
      <c r="AM1551" s="73"/>
      <c r="AN1551" s="73"/>
      <c r="AO1551" s="73"/>
      <c r="AP1551" s="73"/>
      <c r="AQ1551" s="73"/>
      <c r="AR1551" s="73"/>
      <c r="AS1551" s="73"/>
      <c r="AT1551" s="73"/>
      <c r="AU1551" s="73"/>
      <c r="AV1551" s="73"/>
      <c r="AW1551" s="73"/>
      <c r="AX1551" s="73"/>
      <c r="AY1551" s="73"/>
      <c r="AZ1551" s="73"/>
      <c r="BA1551" s="73"/>
      <c r="BB1551" s="73"/>
      <c r="BC1551" s="73"/>
      <c r="BD1551" s="73"/>
      <c r="BE1551" s="73"/>
      <c r="BF1551" s="73"/>
      <c r="BG1551" s="73"/>
      <c r="BH1551" s="73"/>
      <c r="BI1551" s="73"/>
      <c r="BJ1551" s="73"/>
      <c r="BK1551" s="73"/>
      <c r="BL1551" s="73"/>
      <c r="BM1551" s="73"/>
      <c r="BN1551" s="73"/>
      <c r="BO1551" s="73"/>
      <c r="BP1551" s="73"/>
      <c r="BQ1551" s="73"/>
      <c r="BR1551" s="73"/>
      <c r="BS1551" s="73"/>
      <c r="BT1551" s="73"/>
      <c r="BU1551" s="73"/>
      <c r="BV1551" s="73"/>
      <c r="BW1551" s="73"/>
      <c r="BX1551" s="73"/>
      <c r="BY1551" s="73"/>
      <c r="BZ1551" s="73"/>
      <c r="CA1551" s="73"/>
      <c r="CB1551" s="73"/>
      <c r="CC1551" s="73"/>
      <c r="CD1551" s="73"/>
      <c r="CE1551" s="73"/>
      <c r="CF1551" s="73"/>
      <c r="CG1551" s="73"/>
      <c r="CH1551" s="73"/>
    </row>
    <row r="1552">
      <c r="A1552" s="80"/>
      <c r="B1552" s="80"/>
      <c r="C1552" s="80"/>
      <c r="D1552" s="80"/>
      <c r="E1552" s="124"/>
      <c r="F1552" s="80"/>
      <c r="G1552" s="80"/>
      <c r="H1552" s="80"/>
      <c r="I1552" s="80"/>
      <c r="J1552" s="196"/>
      <c r="K1552" s="196"/>
      <c r="L1552" s="196"/>
      <c r="M1552" s="196"/>
      <c r="N1552" s="196"/>
      <c r="O1552" s="196"/>
      <c r="P1552" s="196"/>
      <c r="Q1552" s="196"/>
      <c r="R1552" s="196"/>
      <c r="S1552" s="196"/>
      <c r="T1552" s="196"/>
      <c r="U1552" s="196"/>
      <c r="V1552" s="196"/>
      <c r="W1552" s="196"/>
      <c r="X1552" s="196"/>
      <c r="Y1552" s="196"/>
      <c r="Z1552" s="196"/>
      <c r="AA1552" s="196"/>
      <c r="AB1552" s="196"/>
      <c r="AC1552" s="196"/>
      <c r="AD1552" s="196"/>
      <c r="AE1552" s="196"/>
      <c r="AF1552" s="196"/>
      <c r="AG1552" s="196"/>
      <c r="AH1552" s="196"/>
      <c r="AI1552" s="196"/>
      <c r="AJ1552" s="197"/>
      <c r="AK1552" s="80"/>
      <c r="AL1552" s="80"/>
      <c r="AM1552" s="73"/>
      <c r="AN1552" s="73"/>
      <c r="AO1552" s="73"/>
      <c r="AP1552" s="73"/>
      <c r="AQ1552" s="73"/>
      <c r="AR1552" s="73"/>
      <c r="AS1552" s="73"/>
      <c r="AT1552" s="73"/>
      <c r="AU1552" s="73"/>
      <c r="AV1552" s="73"/>
      <c r="AW1552" s="73"/>
      <c r="AX1552" s="73"/>
      <c r="AY1552" s="73"/>
      <c r="AZ1552" s="73"/>
      <c r="BA1552" s="73"/>
      <c r="BB1552" s="73"/>
      <c r="BC1552" s="73"/>
      <c r="BD1552" s="73"/>
      <c r="BE1552" s="73"/>
      <c r="BF1552" s="73"/>
      <c r="BG1552" s="73"/>
      <c r="BH1552" s="73"/>
      <c r="BI1552" s="73"/>
      <c r="BJ1552" s="73"/>
      <c r="BK1552" s="73"/>
      <c r="BL1552" s="73"/>
      <c r="BM1552" s="73"/>
      <c r="BN1552" s="73"/>
      <c r="BO1552" s="73"/>
      <c r="BP1552" s="73"/>
      <c r="BQ1552" s="73"/>
      <c r="BR1552" s="73"/>
      <c r="BS1552" s="73"/>
      <c r="BT1552" s="73"/>
      <c r="BU1552" s="73"/>
      <c r="BV1552" s="73"/>
      <c r="BW1552" s="73"/>
      <c r="BX1552" s="73"/>
      <c r="BY1552" s="73"/>
      <c r="BZ1552" s="73"/>
      <c r="CA1552" s="73"/>
      <c r="CB1552" s="73"/>
      <c r="CC1552" s="73"/>
      <c r="CD1552" s="73"/>
      <c r="CE1552" s="73"/>
      <c r="CF1552" s="73"/>
      <c r="CG1552" s="73"/>
      <c r="CH1552" s="73"/>
    </row>
    <row r="1553">
      <c r="A1553" s="80"/>
      <c r="B1553" s="80"/>
      <c r="C1553" s="80"/>
      <c r="D1553" s="80"/>
      <c r="E1553" s="124"/>
      <c r="F1553" s="80"/>
      <c r="G1553" s="80"/>
      <c r="H1553" s="80"/>
      <c r="I1553" s="80"/>
      <c r="J1553" s="196"/>
      <c r="K1553" s="196"/>
      <c r="L1553" s="196"/>
      <c r="M1553" s="196"/>
      <c r="N1553" s="196"/>
      <c r="O1553" s="196"/>
      <c r="P1553" s="196"/>
      <c r="Q1553" s="196"/>
      <c r="R1553" s="196"/>
      <c r="S1553" s="196"/>
      <c r="T1553" s="196"/>
      <c r="U1553" s="196"/>
      <c r="V1553" s="196"/>
      <c r="W1553" s="196"/>
      <c r="X1553" s="196"/>
      <c r="Y1553" s="196"/>
      <c r="Z1553" s="196"/>
      <c r="AA1553" s="196"/>
      <c r="AB1553" s="196"/>
      <c r="AC1553" s="196"/>
      <c r="AD1553" s="196"/>
      <c r="AE1553" s="196"/>
      <c r="AF1553" s="196"/>
      <c r="AG1553" s="196"/>
      <c r="AH1553" s="196"/>
      <c r="AI1553" s="196"/>
      <c r="AJ1553" s="197"/>
      <c r="AK1553" s="80"/>
      <c r="AL1553" s="80"/>
      <c r="AM1553" s="73"/>
      <c r="AN1553" s="73"/>
      <c r="AO1553" s="73"/>
      <c r="AP1553" s="73"/>
      <c r="AQ1553" s="73"/>
      <c r="AR1553" s="73"/>
      <c r="AS1553" s="73"/>
      <c r="AT1553" s="73"/>
      <c r="AU1553" s="73"/>
      <c r="AV1553" s="73"/>
      <c r="AW1553" s="73"/>
      <c r="AX1553" s="73"/>
      <c r="AY1553" s="73"/>
      <c r="AZ1553" s="73"/>
      <c r="BA1553" s="73"/>
      <c r="BB1553" s="73"/>
      <c r="BC1553" s="73"/>
      <c r="BD1553" s="73"/>
      <c r="BE1553" s="73"/>
      <c r="BF1553" s="73"/>
      <c r="BG1553" s="73"/>
      <c r="BH1553" s="73"/>
      <c r="BI1553" s="73"/>
      <c r="BJ1553" s="73"/>
      <c r="BK1553" s="73"/>
      <c r="BL1553" s="73"/>
      <c r="BM1553" s="73"/>
      <c r="BN1553" s="73"/>
      <c r="BO1553" s="73"/>
      <c r="BP1553" s="73"/>
      <c r="BQ1553" s="73"/>
      <c r="BR1553" s="73"/>
      <c r="BS1553" s="73"/>
      <c r="BT1553" s="73"/>
      <c r="BU1553" s="73"/>
      <c r="BV1553" s="73"/>
      <c r="BW1553" s="73"/>
      <c r="BX1553" s="73"/>
      <c r="BY1553" s="73"/>
      <c r="BZ1553" s="73"/>
      <c r="CA1553" s="73"/>
      <c r="CB1553" s="73"/>
      <c r="CC1553" s="73"/>
      <c r="CD1553" s="73"/>
      <c r="CE1553" s="73"/>
      <c r="CF1553" s="73"/>
      <c r="CG1553" s="73"/>
      <c r="CH1553" s="73"/>
    </row>
    <row r="1554">
      <c r="A1554" s="80"/>
      <c r="B1554" s="80"/>
      <c r="C1554" s="80"/>
      <c r="D1554" s="80"/>
      <c r="E1554" s="124"/>
      <c r="F1554" s="80"/>
      <c r="G1554" s="80"/>
      <c r="H1554" s="80"/>
      <c r="I1554" s="80"/>
      <c r="J1554" s="196"/>
      <c r="K1554" s="196"/>
      <c r="L1554" s="196"/>
      <c r="M1554" s="196"/>
      <c r="N1554" s="196"/>
      <c r="O1554" s="196"/>
      <c r="P1554" s="196"/>
      <c r="Q1554" s="196"/>
      <c r="R1554" s="196"/>
      <c r="S1554" s="196"/>
      <c r="T1554" s="196"/>
      <c r="U1554" s="196"/>
      <c r="V1554" s="196"/>
      <c r="W1554" s="196"/>
      <c r="X1554" s="196"/>
      <c r="Y1554" s="196"/>
      <c r="Z1554" s="196"/>
      <c r="AA1554" s="196"/>
      <c r="AB1554" s="196"/>
      <c r="AC1554" s="196"/>
      <c r="AD1554" s="196"/>
      <c r="AE1554" s="196"/>
      <c r="AF1554" s="196"/>
      <c r="AG1554" s="196"/>
      <c r="AH1554" s="196"/>
      <c r="AI1554" s="196"/>
      <c r="AJ1554" s="197"/>
      <c r="AK1554" s="80"/>
      <c r="AL1554" s="80"/>
      <c r="AM1554" s="73"/>
      <c r="AN1554" s="73"/>
      <c r="AO1554" s="73"/>
      <c r="AP1554" s="73"/>
      <c r="AQ1554" s="73"/>
      <c r="AR1554" s="73"/>
      <c r="AS1554" s="73"/>
      <c r="AT1554" s="73"/>
      <c r="AU1554" s="73"/>
      <c r="AV1554" s="73"/>
      <c r="AW1554" s="73"/>
      <c r="AX1554" s="73"/>
      <c r="AY1554" s="73"/>
      <c r="AZ1554" s="73"/>
      <c r="BA1554" s="73"/>
      <c r="BB1554" s="73"/>
      <c r="BC1554" s="73"/>
      <c r="BD1554" s="73"/>
      <c r="BE1554" s="73"/>
      <c r="BF1554" s="73"/>
      <c r="BG1554" s="73"/>
      <c r="BH1554" s="73"/>
      <c r="BI1554" s="73"/>
      <c r="BJ1554" s="73"/>
      <c r="BK1554" s="73"/>
      <c r="BL1554" s="73"/>
      <c r="BM1554" s="73"/>
      <c r="BN1554" s="73"/>
      <c r="BO1554" s="73"/>
      <c r="BP1554" s="73"/>
      <c r="BQ1554" s="73"/>
      <c r="BR1554" s="73"/>
      <c r="BS1554" s="73"/>
      <c r="BT1554" s="73"/>
      <c r="BU1554" s="73"/>
      <c r="BV1554" s="73"/>
      <c r="BW1554" s="73"/>
      <c r="BX1554" s="73"/>
      <c r="BY1554" s="73"/>
      <c r="BZ1554" s="73"/>
      <c r="CA1554" s="73"/>
      <c r="CB1554" s="73"/>
      <c r="CC1554" s="73"/>
      <c r="CD1554" s="73"/>
      <c r="CE1554" s="73"/>
      <c r="CF1554" s="73"/>
      <c r="CG1554" s="73"/>
      <c r="CH1554" s="73"/>
    </row>
    <row r="1555">
      <c r="A1555" s="80"/>
      <c r="B1555" s="80"/>
      <c r="C1555" s="80"/>
      <c r="D1555" s="80"/>
      <c r="E1555" s="124"/>
      <c r="F1555" s="80"/>
      <c r="G1555" s="80"/>
      <c r="H1555" s="80"/>
      <c r="I1555" s="80"/>
      <c r="J1555" s="196"/>
      <c r="K1555" s="196"/>
      <c r="L1555" s="196"/>
      <c r="M1555" s="196"/>
      <c r="N1555" s="196"/>
      <c r="O1555" s="196"/>
      <c r="P1555" s="196"/>
      <c r="Q1555" s="196"/>
      <c r="R1555" s="196"/>
      <c r="S1555" s="196"/>
      <c r="T1555" s="196"/>
      <c r="U1555" s="196"/>
      <c r="V1555" s="196"/>
      <c r="W1555" s="196"/>
      <c r="X1555" s="196"/>
      <c r="Y1555" s="196"/>
      <c r="Z1555" s="196"/>
      <c r="AA1555" s="196"/>
      <c r="AB1555" s="196"/>
      <c r="AC1555" s="196"/>
      <c r="AD1555" s="196"/>
      <c r="AE1555" s="196"/>
      <c r="AF1555" s="196"/>
      <c r="AG1555" s="196"/>
      <c r="AH1555" s="196"/>
      <c r="AI1555" s="196"/>
      <c r="AJ1555" s="197"/>
      <c r="AK1555" s="80"/>
      <c r="AL1555" s="80"/>
      <c r="AM1555" s="73"/>
      <c r="AN1555" s="73"/>
      <c r="AO1555" s="73"/>
      <c r="AP1555" s="73"/>
      <c r="AQ1555" s="73"/>
      <c r="AR1555" s="73"/>
      <c r="AS1555" s="73"/>
      <c r="AT1555" s="73"/>
      <c r="AU1555" s="73"/>
      <c r="AV1555" s="73"/>
      <c r="AW1555" s="73"/>
      <c r="AX1555" s="73"/>
      <c r="AY1555" s="73"/>
      <c r="AZ1555" s="73"/>
      <c r="BA1555" s="73"/>
      <c r="BB1555" s="73"/>
      <c r="BC1555" s="73"/>
      <c r="BD1555" s="73"/>
      <c r="BE1555" s="73"/>
      <c r="BF1555" s="73"/>
      <c r="BG1555" s="73"/>
      <c r="BH1555" s="73"/>
      <c r="BI1555" s="73"/>
      <c r="BJ1555" s="73"/>
      <c r="BK1555" s="73"/>
      <c r="BL1555" s="73"/>
      <c r="BM1555" s="73"/>
      <c r="BN1555" s="73"/>
      <c r="BO1555" s="73"/>
      <c r="BP1555" s="73"/>
      <c r="BQ1555" s="73"/>
      <c r="BR1555" s="73"/>
      <c r="BS1555" s="73"/>
      <c r="BT1555" s="73"/>
      <c r="BU1555" s="73"/>
      <c r="BV1555" s="73"/>
      <c r="BW1555" s="73"/>
      <c r="BX1555" s="73"/>
      <c r="BY1555" s="73"/>
      <c r="BZ1555" s="73"/>
      <c r="CA1555" s="73"/>
      <c r="CB1555" s="73"/>
      <c r="CC1555" s="73"/>
      <c r="CD1555" s="73"/>
      <c r="CE1555" s="73"/>
      <c r="CF1555" s="73"/>
      <c r="CG1555" s="73"/>
      <c r="CH1555" s="73"/>
    </row>
    <row r="1556">
      <c r="A1556" s="80"/>
      <c r="B1556" s="80"/>
      <c r="C1556" s="80"/>
      <c r="D1556" s="80"/>
      <c r="E1556" s="124"/>
      <c r="F1556" s="80"/>
      <c r="G1556" s="80"/>
      <c r="H1556" s="80"/>
      <c r="I1556" s="80"/>
      <c r="J1556" s="196"/>
      <c r="K1556" s="196"/>
      <c r="L1556" s="196"/>
      <c r="M1556" s="196"/>
      <c r="N1556" s="196"/>
      <c r="O1556" s="196"/>
      <c r="P1556" s="196"/>
      <c r="Q1556" s="196"/>
      <c r="R1556" s="196"/>
      <c r="S1556" s="196"/>
      <c r="T1556" s="196"/>
      <c r="U1556" s="196"/>
      <c r="V1556" s="196"/>
      <c r="W1556" s="196"/>
      <c r="X1556" s="196"/>
      <c r="Y1556" s="196"/>
      <c r="Z1556" s="196"/>
      <c r="AA1556" s="196"/>
      <c r="AB1556" s="196"/>
      <c r="AC1556" s="196"/>
      <c r="AD1556" s="196"/>
      <c r="AE1556" s="196"/>
      <c r="AF1556" s="196"/>
      <c r="AG1556" s="196"/>
      <c r="AH1556" s="196"/>
      <c r="AI1556" s="196"/>
      <c r="AJ1556" s="197"/>
      <c r="AK1556" s="80"/>
      <c r="AL1556" s="80"/>
      <c r="AM1556" s="73"/>
      <c r="AN1556" s="73"/>
      <c r="AO1556" s="73"/>
      <c r="AP1556" s="73"/>
      <c r="AQ1556" s="73"/>
      <c r="AR1556" s="73"/>
      <c r="AS1556" s="73"/>
      <c r="AT1556" s="73"/>
      <c r="AU1556" s="73"/>
      <c r="AV1556" s="73"/>
      <c r="AW1556" s="73"/>
      <c r="AX1556" s="73"/>
      <c r="AY1556" s="73"/>
      <c r="AZ1556" s="73"/>
      <c r="BA1556" s="73"/>
      <c r="BB1556" s="73"/>
      <c r="BC1556" s="73"/>
      <c r="BD1556" s="73"/>
      <c r="BE1556" s="73"/>
      <c r="BF1556" s="73"/>
      <c r="BG1556" s="73"/>
      <c r="BH1556" s="73"/>
      <c r="BI1556" s="73"/>
      <c r="BJ1556" s="73"/>
      <c r="BK1556" s="73"/>
      <c r="BL1556" s="73"/>
      <c r="BM1556" s="73"/>
      <c r="BN1556" s="73"/>
      <c r="BO1556" s="73"/>
      <c r="BP1556" s="73"/>
      <c r="BQ1556" s="73"/>
      <c r="BR1556" s="73"/>
      <c r="BS1556" s="73"/>
      <c r="BT1556" s="73"/>
      <c r="BU1556" s="73"/>
      <c r="BV1556" s="73"/>
      <c r="BW1556" s="73"/>
      <c r="BX1556" s="73"/>
      <c r="BY1556" s="73"/>
      <c r="BZ1556" s="73"/>
      <c r="CA1556" s="73"/>
      <c r="CB1556" s="73"/>
      <c r="CC1556" s="73"/>
      <c r="CD1556" s="73"/>
      <c r="CE1556" s="73"/>
      <c r="CF1556" s="73"/>
      <c r="CG1556" s="73"/>
      <c r="CH1556" s="73"/>
    </row>
    <row r="1557">
      <c r="A1557" s="80"/>
      <c r="B1557" s="80"/>
      <c r="C1557" s="80"/>
      <c r="D1557" s="80"/>
      <c r="E1557" s="124"/>
      <c r="F1557" s="80"/>
      <c r="G1557" s="80"/>
      <c r="H1557" s="80"/>
      <c r="I1557" s="80"/>
      <c r="J1557" s="196"/>
      <c r="K1557" s="196"/>
      <c r="L1557" s="196"/>
      <c r="M1557" s="196"/>
      <c r="N1557" s="196"/>
      <c r="O1557" s="196"/>
      <c r="P1557" s="196"/>
      <c r="Q1557" s="196"/>
      <c r="R1557" s="196"/>
      <c r="S1557" s="196"/>
      <c r="T1557" s="196"/>
      <c r="U1557" s="196"/>
      <c r="V1557" s="196"/>
      <c r="W1557" s="196"/>
      <c r="X1557" s="196"/>
      <c r="Y1557" s="196"/>
      <c r="Z1557" s="196"/>
      <c r="AA1557" s="196"/>
      <c r="AB1557" s="196"/>
      <c r="AC1557" s="196"/>
      <c r="AD1557" s="196"/>
      <c r="AE1557" s="196"/>
      <c r="AF1557" s="196"/>
      <c r="AG1557" s="196"/>
      <c r="AH1557" s="196"/>
      <c r="AI1557" s="196"/>
      <c r="AJ1557" s="197"/>
      <c r="AK1557" s="80"/>
      <c r="AL1557" s="80"/>
      <c r="AM1557" s="73"/>
      <c r="AN1557" s="73"/>
      <c r="AO1557" s="73"/>
      <c r="AP1557" s="73"/>
      <c r="AQ1557" s="73"/>
      <c r="AR1557" s="73"/>
      <c r="AS1557" s="73"/>
      <c r="AT1557" s="73"/>
      <c r="AU1557" s="73"/>
      <c r="AV1557" s="73"/>
      <c r="AW1557" s="73"/>
      <c r="AX1557" s="73"/>
      <c r="AY1557" s="73"/>
      <c r="AZ1557" s="73"/>
      <c r="BA1557" s="73"/>
      <c r="BB1557" s="73"/>
      <c r="BC1557" s="73"/>
      <c r="BD1557" s="73"/>
      <c r="BE1557" s="73"/>
      <c r="BF1557" s="73"/>
      <c r="BG1557" s="73"/>
      <c r="BH1557" s="73"/>
      <c r="BI1557" s="73"/>
      <c r="BJ1557" s="73"/>
      <c r="BK1557" s="73"/>
      <c r="BL1557" s="73"/>
      <c r="BM1557" s="73"/>
      <c r="BN1557" s="73"/>
      <c r="BO1557" s="73"/>
      <c r="BP1557" s="73"/>
      <c r="BQ1557" s="73"/>
      <c r="BR1557" s="73"/>
      <c r="BS1557" s="73"/>
      <c r="BT1557" s="73"/>
      <c r="BU1557" s="73"/>
      <c r="BV1557" s="73"/>
      <c r="BW1557" s="73"/>
      <c r="BX1557" s="73"/>
      <c r="BY1557" s="73"/>
      <c r="BZ1557" s="73"/>
      <c r="CA1557" s="73"/>
      <c r="CB1557" s="73"/>
      <c r="CC1557" s="73"/>
      <c r="CD1557" s="73"/>
      <c r="CE1557" s="73"/>
      <c r="CF1557" s="73"/>
      <c r="CG1557" s="73"/>
      <c r="CH1557" s="73"/>
    </row>
    <row r="1558">
      <c r="A1558" s="80"/>
      <c r="B1558" s="80"/>
      <c r="C1558" s="80"/>
      <c r="D1558" s="80"/>
      <c r="E1558" s="124"/>
      <c r="F1558" s="80"/>
      <c r="G1558" s="80"/>
      <c r="H1558" s="80"/>
      <c r="I1558" s="80"/>
      <c r="J1558" s="196"/>
      <c r="K1558" s="196"/>
      <c r="L1558" s="196"/>
      <c r="M1558" s="196"/>
      <c r="N1558" s="196"/>
      <c r="O1558" s="196"/>
      <c r="P1558" s="196"/>
      <c r="Q1558" s="196"/>
      <c r="R1558" s="196"/>
      <c r="S1558" s="196"/>
      <c r="T1558" s="196"/>
      <c r="U1558" s="196"/>
      <c r="V1558" s="196"/>
      <c r="W1558" s="196"/>
      <c r="X1558" s="196"/>
      <c r="Y1558" s="196"/>
      <c r="Z1558" s="196"/>
      <c r="AA1558" s="196"/>
      <c r="AB1558" s="196"/>
      <c r="AC1558" s="196"/>
      <c r="AD1558" s="196"/>
      <c r="AE1558" s="196"/>
      <c r="AF1558" s="196"/>
      <c r="AG1558" s="196"/>
      <c r="AH1558" s="196"/>
      <c r="AI1558" s="196"/>
      <c r="AJ1558" s="197"/>
      <c r="AK1558" s="80"/>
      <c r="AL1558" s="80"/>
      <c r="AM1558" s="73"/>
      <c r="AN1558" s="73"/>
      <c r="AO1558" s="73"/>
      <c r="AP1558" s="73"/>
      <c r="AQ1558" s="73"/>
      <c r="AR1558" s="73"/>
      <c r="AS1558" s="73"/>
      <c r="AT1558" s="73"/>
      <c r="AU1558" s="73"/>
      <c r="AV1558" s="73"/>
      <c r="AW1558" s="73"/>
      <c r="AX1558" s="73"/>
      <c r="AY1558" s="73"/>
      <c r="AZ1558" s="73"/>
      <c r="BA1558" s="73"/>
      <c r="BB1558" s="73"/>
      <c r="BC1558" s="73"/>
      <c r="BD1558" s="73"/>
      <c r="BE1558" s="73"/>
      <c r="BF1558" s="73"/>
      <c r="BG1558" s="73"/>
      <c r="BH1558" s="73"/>
      <c r="BI1558" s="73"/>
      <c r="BJ1558" s="73"/>
      <c r="BK1558" s="73"/>
      <c r="BL1558" s="73"/>
      <c r="BM1558" s="73"/>
      <c r="BN1558" s="73"/>
      <c r="BO1558" s="73"/>
      <c r="BP1558" s="73"/>
      <c r="BQ1558" s="73"/>
      <c r="BR1558" s="73"/>
      <c r="BS1558" s="73"/>
      <c r="BT1558" s="73"/>
      <c r="BU1558" s="73"/>
      <c r="BV1558" s="73"/>
      <c r="BW1558" s="73"/>
      <c r="BX1558" s="73"/>
      <c r="BY1558" s="73"/>
      <c r="BZ1558" s="73"/>
      <c r="CA1558" s="73"/>
      <c r="CB1558" s="73"/>
      <c r="CC1558" s="73"/>
      <c r="CD1558" s="73"/>
      <c r="CE1558" s="73"/>
      <c r="CF1558" s="73"/>
      <c r="CG1558" s="73"/>
      <c r="CH1558" s="73"/>
    </row>
    <row r="1559">
      <c r="A1559" s="80"/>
      <c r="B1559" s="80"/>
      <c r="C1559" s="80"/>
      <c r="D1559" s="80"/>
      <c r="E1559" s="124"/>
      <c r="F1559" s="80"/>
      <c r="G1559" s="80"/>
      <c r="H1559" s="80"/>
      <c r="I1559" s="80"/>
      <c r="J1559" s="196"/>
      <c r="K1559" s="196"/>
      <c r="L1559" s="196"/>
      <c r="M1559" s="196"/>
      <c r="N1559" s="196"/>
      <c r="O1559" s="196"/>
      <c r="P1559" s="196"/>
      <c r="Q1559" s="196"/>
      <c r="R1559" s="196"/>
      <c r="S1559" s="196"/>
      <c r="T1559" s="196"/>
      <c r="U1559" s="196"/>
      <c r="V1559" s="196"/>
      <c r="W1559" s="196"/>
      <c r="X1559" s="196"/>
      <c r="Y1559" s="196"/>
      <c r="Z1559" s="196"/>
      <c r="AA1559" s="196"/>
      <c r="AB1559" s="196"/>
      <c r="AC1559" s="196"/>
      <c r="AD1559" s="196"/>
      <c r="AE1559" s="196"/>
      <c r="AF1559" s="196"/>
      <c r="AG1559" s="196"/>
      <c r="AH1559" s="196"/>
      <c r="AI1559" s="196"/>
      <c r="AJ1559" s="197"/>
      <c r="AK1559" s="80"/>
      <c r="AL1559" s="80"/>
      <c r="AM1559" s="73"/>
      <c r="AN1559" s="73"/>
      <c r="AO1559" s="73"/>
      <c r="AP1559" s="73"/>
      <c r="AQ1559" s="73"/>
      <c r="AR1559" s="73"/>
      <c r="AS1559" s="73"/>
      <c r="AT1559" s="73"/>
      <c r="AU1559" s="73"/>
      <c r="AV1559" s="73"/>
      <c r="AW1559" s="73"/>
      <c r="AX1559" s="73"/>
      <c r="AY1559" s="73"/>
      <c r="AZ1559" s="73"/>
      <c r="BA1559" s="73"/>
      <c r="BB1559" s="73"/>
      <c r="BC1559" s="73"/>
      <c r="BD1559" s="73"/>
      <c r="BE1559" s="73"/>
      <c r="BF1559" s="73"/>
      <c r="BG1559" s="73"/>
      <c r="BH1559" s="73"/>
      <c r="BI1559" s="73"/>
      <c r="BJ1559" s="73"/>
      <c r="BK1559" s="73"/>
      <c r="BL1559" s="73"/>
      <c r="BM1559" s="73"/>
      <c r="BN1559" s="73"/>
      <c r="BO1559" s="73"/>
      <c r="BP1559" s="73"/>
      <c r="BQ1559" s="73"/>
      <c r="BR1559" s="73"/>
      <c r="BS1559" s="73"/>
      <c r="BT1559" s="73"/>
      <c r="BU1559" s="73"/>
      <c r="BV1559" s="73"/>
      <c r="BW1559" s="73"/>
      <c r="BX1559" s="73"/>
      <c r="BY1559" s="73"/>
      <c r="BZ1559" s="73"/>
      <c r="CA1559" s="73"/>
      <c r="CB1559" s="73"/>
      <c r="CC1559" s="73"/>
      <c r="CD1559" s="73"/>
      <c r="CE1559" s="73"/>
      <c r="CF1559" s="73"/>
      <c r="CG1559" s="73"/>
      <c r="CH1559" s="73"/>
    </row>
    <row r="1560">
      <c r="A1560" s="80"/>
      <c r="B1560" s="80"/>
      <c r="C1560" s="80"/>
      <c r="D1560" s="80"/>
      <c r="E1560" s="124"/>
      <c r="F1560" s="80"/>
      <c r="G1560" s="80"/>
      <c r="H1560" s="80"/>
      <c r="I1560" s="80"/>
      <c r="J1560" s="196"/>
      <c r="K1560" s="196"/>
      <c r="L1560" s="196"/>
      <c r="M1560" s="196"/>
      <c r="N1560" s="196"/>
      <c r="O1560" s="196"/>
      <c r="P1560" s="196"/>
      <c r="Q1560" s="196"/>
      <c r="R1560" s="196"/>
      <c r="S1560" s="196"/>
      <c r="T1560" s="196"/>
      <c r="U1560" s="196"/>
      <c r="V1560" s="196"/>
      <c r="W1560" s="196"/>
      <c r="X1560" s="196"/>
      <c r="Y1560" s="196"/>
      <c r="Z1560" s="196"/>
      <c r="AA1560" s="196"/>
      <c r="AB1560" s="196"/>
      <c r="AC1560" s="196"/>
      <c r="AD1560" s="196"/>
      <c r="AE1560" s="196"/>
      <c r="AF1560" s="196"/>
      <c r="AG1560" s="196"/>
      <c r="AH1560" s="196"/>
      <c r="AI1560" s="196"/>
      <c r="AJ1560" s="197"/>
      <c r="AK1560" s="80"/>
      <c r="AL1560" s="80"/>
      <c r="AM1560" s="73"/>
      <c r="AN1560" s="73"/>
      <c r="AO1560" s="73"/>
      <c r="AP1560" s="73"/>
      <c r="AQ1560" s="73"/>
      <c r="AR1560" s="73"/>
      <c r="AS1560" s="73"/>
      <c r="AT1560" s="73"/>
      <c r="AU1560" s="73"/>
      <c r="AV1560" s="73"/>
      <c r="AW1560" s="73"/>
      <c r="AX1560" s="73"/>
      <c r="AY1560" s="73"/>
      <c r="AZ1560" s="73"/>
      <c r="BA1560" s="73"/>
      <c r="BB1560" s="73"/>
      <c r="BC1560" s="73"/>
      <c r="BD1560" s="73"/>
      <c r="BE1560" s="73"/>
      <c r="BF1560" s="73"/>
      <c r="BG1560" s="73"/>
      <c r="BH1560" s="73"/>
      <c r="BI1560" s="73"/>
      <c r="BJ1560" s="73"/>
      <c r="BK1560" s="73"/>
      <c r="BL1560" s="73"/>
      <c r="BM1560" s="73"/>
      <c r="BN1560" s="73"/>
      <c r="BO1560" s="73"/>
      <c r="BP1560" s="73"/>
      <c r="BQ1560" s="73"/>
      <c r="BR1560" s="73"/>
      <c r="BS1560" s="73"/>
      <c r="BT1560" s="73"/>
      <c r="BU1560" s="73"/>
      <c r="BV1560" s="73"/>
      <c r="BW1560" s="73"/>
      <c r="BX1560" s="73"/>
      <c r="BY1560" s="73"/>
      <c r="BZ1560" s="73"/>
      <c r="CA1560" s="73"/>
      <c r="CB1560" s="73"/>
      <c r="CC1560" s="73"/>
      <c r="CD1560" s="73"/>
      <c r="CE1560" s="73"/>
      <c r="CF1560" s="73"/>
      <c r="CG1560" s="73"/>
      <c r="CH1560" s="73"/>
    </row>
    <row r="1561">
      <c r="A1561" s="80"/>
      <c r="B1561" s="80"/>
      <c r="C1561" s="80"/>
      <c r="D1561" s="80"/>
      <c r="E1561" s="124"/>
      <c r="F1561" s="80"/>
      <c r="G1561" s="80"/>
      <c r="H1561" s="80"/>
      <c r="I1561" s="80"/>
      <c r="J1561" s="196"/>
      <c r="K1561" s="196"/>
      <c r="L1561" s="196"/>
      <c r="M1561" s="196"/>
      <c r="N1561" s="196"/>
      <c r="O1561" s="196"/>
      <c r="P1561" s="196"/>
      <c r="Q1561" s="196"/>
      <c r="R1561" s="196"/>
      <c r="S1561" s="196"/>
      <c r="T1561" s="196"/>
      <c r="U1561" s="196"/>
      <c r="V1561" s="196"/>
      <c r="W1561" s="196"/>
      <c r="X1561" s="196"/>
      <c r="Y1561" s="196"/>
      <c r="Z1561" s="196"/>
      <c r="AA1561" s="196"/>
      <c r="AB1561" s="196"/>
      <c r="AC1561" s="196"/>
      <c r="AD1561" s="196"/>
      <c r="AE1561" s="196"/>
      <c r="AF1561" s="196"/>
      <c r="AG1561" s="196"/>
      <c r="AH1561" s="196"/>
      <c r="AI1561" s="196"/>
      <c r="AJ1561" s="197"/>
      <c r="AK1561" s="80"/>
      <c r="AL1561" s="80"/>
      <c r="AM1561" s="73"/>
      <c r="AN1561" s="73"/>
      <c r="AO1561" s="73"/>
      <c r="AP1561" s="73"/>
      <c r="AQ1561" s="73"/>
      <c r="AR1561" s="73"/>
      <c r="AS1561" s="73"/>
      <c r="AT1561" s="73"/>
      <c r="AU1561" s="73"/>
      <c r="AV1561" s="73"/>
      <c r="AW1561" s="73"/>
      <c r="AX1561" s="73"/>
      <c r="AY1561" s="73"/>
      <c r="AZ1561" s="73"/>
      <c r="BA1561" s="73"/>
      <c r="BB1561" s="73"/>
      <c r="BC1561" s="73"/>
      <c r="BD1561" s="73"/>
      <c r="BE1561" s="73"/>
      <c r="BF1561" s="73"/>
      <c r="BG1561" s="73"/>
      <c r="BH1561" s="73"/>
      <c r="BI1561" s="73"/>
      <c r="BJ1561" s="73"/>
      <c r="BK1561" s="73"/>
      <c r="BL1561" s="73"/>
      <c r="BM1561" s="73"/>
      <c r="BN1561" s="73"/>
      <c r="BO1561" s="73"/>
      <c r="BP1561" s="73"/>
      <c r="BQ1561" s="73"/>
      <c r="BR1561" s="73"/>
      <c r="BS1561" s="73"/>
      <c r="BT1561" s="73"/>
      <c r="BU1561" s="73"/>
      <c r="BV1561" s="73"/>
      <c r="BW1561" s="73"/>
      <c r="BX1561" s="73"/>
      <c r="BY1561" s="73"/>
      <c r="BZ1561" s="73"/>
      <c r="CA1561" s="73"/>
      <c r="CB1561" s="73"/>
      <c r="CC1561" s="73"/>
      <c r="CD1561" s="73"/>
      <c r="CE1561" s="73"/>
      <c r="CF1561" s="73"/>
      <c r="CG1561" s="73"/>
      <c r="CH1561" s="73"/>
    </row>
    <row r="1562">
      <c r="A1562" s="80"/>
      <c r="B1562" s="80"/>
      <c r="C1562" s="80"/>
      <c r="D1562" s="80"/>
      <c r="E1562" s="124"/>
      <c r="F1562" s="80"/>
      <c r="G1562" s="80"/>
      <c r="H1562" s="80"/>
      <c r="I1562" s="80"/>
      <c r="J1562" s="196"/>
      <c r="K1562" s="196"/>
      <c r="L1562" s="196"/>
      <c r="M1562" s="196"/>
      <c r="N1562" s="196"/>
      <c r="O1562" s="196"/>
      <c r="P1562" s="196"/>
      <c r="Q1562" s="196"/>
      <c r="R1562" s="196"/>
      <c r="S1562" s="196"/>
      <c r="T1562" s="196"/>
      <c r="U1562" s="196"/>
      <c r="V1562" s="196"/>
      <c r="W1562" s="196"/>
      <c r="X1562" s="196"/>
      <c r="Y1562" s="196"/>
      <c r="Z1562" s="196"/>
      <c r="AA1562" s="196"/>
      <c r="AB1562" s="196"/>
      <c r="AC1562" s="196"/>
      <c r="AD1562" s="196"/>
      <c r="AE1562" s="196"/>
      <c r="AF1562" s="196"/>
      <c r="AG1562" s="196"/>
      <c r="AH1562" s="196"/>
      <c r="AI1562" s="196"/>
      <c r="AJ1562" s="197"/>
      <c r="AK1562" s="80"/>
      <c r="AL1562" s="80"/>
      <c r="AM1562" s="73"/>
      <c r="AN1562" s="73"/>
      <c r="AO1562" s="73"/>
      <c r="AP1562" s="73"/>
      <c r="AQ1562" s="73"/>
      <c r="AR1562" s="73"/>
      <c r="AS1562" s="73"/>
      <c r="AT1562" s="73"/>
      <c r="AU1562" s="73"/>
      <c r="AV1562" s="73"/>
      <c r="AW1562" s="73"/>
      <c r="AX1562" s="73"/>
      <c r="AY1562" s="73"/>
      <c r="AZ1562" s="73"/>
      <c r="BA1562" s="73"/>
      <c r="BB1562" s="73"/>
      <c r="BC1562" s="73"/>
      <c r="BD1562" s="73"/>
      <c r="BE1562" s="73"/>
      <c r="BF1562" s="73"/>
      <c r="BG1562" s="73"/>
      <c r="BH1562" s="73"/>
      <c r="BI1562" s="73"/>
      <c r="BJ1562" s="73"/>
      <c r="BK1562" s="73"/>
      <c r="BL1562" s="73"/>
      <c r="BM1562" s="73"/>
      <c r="BN1562" s="73"/>
      <c r="BO1562" s="73"/>
      <c r="BP1562" s="73"/>
      <c r="BQ1562" s="73"/>
      <c r="BR1562" s="73"/>
      <c r="BS1562" s="73"/>
      <c r="BT1562" s="73"/>
      <c r="BU1562" s="73"/>
      <c r="BV1562" s="73"/>
      <c r="BW1562" s="73"/>
      <c r="BX1562" s="73"/>
      <c r="BY1562" s="73"/>
      <c r="BZ1562" s="73"/>
      <c r="CA1562" s="73"/>
      <c r="CB1562" s="73"/>
      <c r="CC1562" s="73"/>
      <c r="CD1562" s="73"/>
      <c r="CE1562" s="73"/>
      <c r="CF1562" s="73"/>
      <c r="CG1562" s="73"/>
      <c r="CH1562" s="73"/>
    </row>
    <row r="1563">
      <c r="A1563" s="80"/>
      <c r="B1563" s="80"/>
      <c r="C1563" s="80"/>
      <c r="D1563" s="80"/>
      <c r="E1563" s="124"/>
      <c r="F1563" s="80"/>
      <c r="G1563" s="80"/>
      <c r="H1563" s="80"/>
      <c r="I1563" s="80"/>
      <c r="J1563" s="196"/>
      <c r="K1563" s="196"/>
      <c r="L1563" s="196"/>
      <c r="M1563" s="196"/>
      <c r="N1563" s="196"/>
      <c r="O1563" s="196"/>
      <c r="P1563" s="196"/>
      <c r="Q1563" s="196"/>
      <c r="R1563" s="196"/>
      <c r="S1563" s="196"/>
      <c r="T1563" s="196"/>
      <c r="U1563" s="196"/>
      <c r="V1563" s="196"/>
      <c r="W1563" s="196"/>
      <c r="X1563" s="196"/>
      <c r="Y1563" s="196"/>
      <c r="Z1563" s="196"/>
      <c r="AA1563" s="196"/>
      <c r="AB1563" s="196"/>
      <c r="AC1563" s="196"/>
      <c r="AD1563" s="196"/>
      <c r="AE1563" s="196"/>
      <c r="AF1563" s="196"/>
      <c r="AG1563" s="196"/>
      <c r="AH1563" s="196"/>
      <c r="AI1563" s="196"/>
      <c r="AJ1563" s="197"/>
      <c r="AK1563" s="80"/>
      <c r="AL1563" s="80"/>
      <c r="AM1563" s="73"/>
      <c r="AN1563" s="73"/>
      <c r="AO1563" s="73"/>
      <c r="AP1563" s="73"/>
      <c r="AQ1563" s="73"/>
      <c r="AR1563" s="73"/>
      <c r="AS1563" s="73"/>
      <c r="AT1563" s="73"/>
      <c r="AU1563" s="73"/>
      <c r="AV1563" s="73"/>
      <c r="AW1563" s="73"/>
      <c r="AX1563" s="73"/>
      <c r="AY1563" s="73"/>
      <c r="AZ1563" s="73"/>
      <c r="BA1563" s="73"/>
      <c r="BB1563" s="73"/>
      <c r="BC1563" s="73"/>
      <c r="BD1563" s="73"/>
      <c r="BE1563" s="73"/>
      <c r="BF1563" s="73"/>
      <c r="BG1563" s="73"/>
      <c r="BH1563" s="73"/>
      <c r="BI1563" s="73"/>
      <c r="BJ1563" s="73"/>
      <c r="BK1563" s="73"/>
      <c r="BL1563" s="73"/>
      <c r="BM1563" s="73"/>
      <c r="BN1563" s="73"/>
      <c r="BO1563" s="73"/>
      <c r="BP1563" s="73"/>
      <c r="BQ1563" s="73"/>
      <c r="BR1563" s="73"/>
      <c r="BS1563" s="73"/>
      <c r="BT1563" s="73"/>
      <c r="BU1563" s="73"/>
      <c r="BV1563" s="73"/>
      <c r="BW1563" s="73"/>
      <c r="BX1563" s="73"/>
      <c r="BY1563" s="73"/>
      <c r="BZ1563" s="73"/>
      <c r="CA1563" s="73"/>
      <c r="CB1563" s="73"/>
      <c r="CC1563" s="73"/>
      <c r="CD1563" s="73"/>
      <c r="CE1563" s="73"/>
      <c r="CF1563" s="73"/>
      <c r="CG1563" s="73"/>
      <c r="CH1563" s="73"/>
    </row>
    <row r="1564">
      <c r="A1564" s="80"/>
      <c r="B1564" s="80"/>
      <c r="C1564" s="80"/>
      <c r="D1564" s="80"/>
      <c r="E1564" s="124"/>
      <c r="F1564" s="80"/>
      <c r="G1564" s="80"/>
      <c r="H1564" s="80"/>
      <c r="I1564" s="80"/>
      <c r="J1564" s="196"/>
      <c r="K1564" s="196"/>
      <c r="L1564" s="196"/>
      <c r="M1564" s="196"/>
      <c r="N1564" s="196"/>
      <c r="O1564" s="196"/>
      <c r="P1564" s="196"/>
      <c r="Q1564" s="196"/>
      <c r="R1564" s="196"/>
      <c r="S1564" s="196"/>
      <c r="T1564" s="196"/>
      <c r="U1564" s="196"/>
      <c r="V1564" s="196"/>
      <c r="W1564" s="196"/>
      <c r="X1564" s="196"/>
      <c r="Y1564" s="196"/>
      <c r="Z1564" s="196"/>
      <c r="AA1564" s="196"/>
      <c r="AB1564" s="196"/>
      <c r="AC1564" s="196"/>
      <c r="AD1564" s="196"/>
      <c r="AE1564" s="196"/>
      <c r="AF1564" s="196"/>
      <c r="AG1564" s="196"/>
      <c r="AH1564" s="196"/>
      <c r="AI1564" s="196"/>
      <c r="AJ1564" s="197"/>
      <c r="AK1564" s="80"/>
      <c r="AL1564" s="80"/>
      <c r="AM1564" s="73"/>
      <c r="AN1564" s="73"/>
      <c r="AO1564" s="73"/>
      <c r="AP1564" s="73"/>
      <c r="AQ1564" s="73"/>
      <c r="AR1564" s="73"/>
      <c r="AS1564" s="73"/>
      <c r="AT1564" s="73"/>
      <c r="AU1564" s="73"/>
      <c r="AV1564" s="73"/>
      <c r="AW1564" s="73"/>
      <c r="AX1564" s="73"/>
      <c r="AY1564" s="73"/>
      <c r="AZ1564" s="73"/>
      <c r="BA1564" s="73"/>
      <c r="BB1564" s="73"/>
      <c r="BC1564" s="73"/>
      <c r="BD1564" s="73"/>
      <c r="BE1564" s="73"/>
      <c r="BF1564" s="73"/>
      <c r="BG1564" s="73"/>
      <c r="BH1564" s="73"/>
      <c r="BI1564" s="73"/>
      <c r="BJ1564" s="73"/>
      <c r="BK1564" s="73"/>
      <c r="BL1564" s="73"/>
      <c r="BM1564" s="73"/>
      <c r="BN1564" s="73"/>
      <c r="BO1564" s="73"/>
      <c r="BP1564" s="73"/>
      <c r="BQ1564" s="73"/>
      <c r="BR1564" s="73"/>
      <c r="BS1564" s="73"/>
      <c r="BT1564" s="73"/>
      <c r="BU1564" s="73"/>
      <c r="BV1564" s="73"/>
      <c r="BW1564" s="73"/>
      <c r="BX1564" s="73"/>
      <c r="BY1564" s="73"/>
      <c r="BZ1564" s="73"/>
      <c r="CA1564" s="73"/>
      <c r="CB1564" s="73"/>
      <c r="CC1564" s="73"/>
      <c r="CD1564" s="73"/>
      <c r="CE1564" s="73"/>
      <c r="CF1564" s="73"/>
      <c r="CG1564" s="73"/>
      <c r="CH1564" s="73"/>
    </row>
    <row r="1565">
      <c r="A1565" s="80"/>
      <c r="B1565" s="80"/>
      <c r="C1565" s="80"/>
      <c r="D1565" s="80"/>
      <c r="E1565" s="124"/>
      <c r="F1565" s="80"/>
      <c r="G1565" s="80"/>
      <c r="H1565" s="80"/>
      <c r="I1565" s="80"/>
      <c r="J1565" s="196"/>
      <c r="K1565" s="196"/>
      <c r="L1565" s="196"/>
      <c r="M1565" s="196"/>
      <c r="N1565" s="196"/>
      <c r="O1565" s="196"/>
      <c r="P1565" s="196"/>
      <c r="Q1565" s="196"/>
      <c r="R1565" s="196"/>
      <c r="S1565" s="196"/>
      <c r="T1565" s="196"/>
      <c r="U1565" s="196"/>
      <c r="V1565" s="196"/>
      <c r="W1565" s="196"/>
      <c r="X1565" s="196"/>
      <c r="Y1565" s="196"/>
      <c r="Z1565" s="196"/>
      <c r="AA1565" s="196"/>
      <c r="AB1565" s="196"/>
      <c r="AC1565" s="196"/>
      <c r="AD1565" s="196"/>
      <c r="AE1565" s="196"/>
      <c r="AF1565" s="196"/>
      <c r="AG1565" s="196"/>
      <c r="AH1565" s="196"/>
      <c r="AI1565" s="196"/>
      <c r="AJ1565" s="197"/>
      <c r="AK1565" s="80"/>
      <c r="AL1565" s="80"/>
      <c r="AM1565" s="73"/>
      <c r="AN1565" s="73"/>
      <c r="AO1565" s="73"/>
      <c r="AP1565" s="73"/>
      <c r="AQ1565" s="73"/>
      <c r="AR1565" s="73"/>
      <c r="AS1565" s="73"/>
      <c r="AT1565" s="73"/>
      <c r="AU1565" s="73"/>
      <c r="AV1565" s="73"/>
      <c r="AW1565" s="73"/>
      <c r="AX1565" s="73"/>
      <c r="AY1565" s="73"/>
      <c r="AZ1565" s="73"/>
      <c r="BA1565" s="73"/>
      <c r="BB1565" s="73"/>
      <c r="BC1565" s="73"/>
      <c r="BD1565" s="73"/>
      <c r="BE1565" s="73"/>
      <c r="BF1565" s="73"/>
      <c r="BG1565" s="73"/>
      <c r="BH1565" s="73"/>
      <c r="BI1565" s="73"/>
      <c r="BJ1565" s="73"/>
      <c r="BK1565" s="73"/>
      <c r="BL1565" s="73"/>
      <c r="BM1565" s="73"/>
      <c r="BN1565" s="73"/>
      <c r="BO1565" s="73"/>
      <c r="BP1565" s="73"/>
      <c r="BQ1565" s="73"/>
      <c r="BR1565" s="73"/>
      <c r="BS1565" s="73"/>
      <c r="BT1565" s="73"/>
      <c r="BU1565" s="73"/>
      <c r="BV1565" s="73"/>
      <c r="BW1565" s="73"/>
      <c r="BX1565" s="73"/>
      <c r="BY1565" s="73"/>
      <c r="BZ1565" s="73"/>
      <c r="CA1565" s="73"/>
      <c r="CB1565" s="73"/>
      <c r="CC1565" s="73"/>
      <c r="CD1565" s="73"/>
      <c r="CE1565" s="73"/>
      <c r="CF1565" s="73"/>
      <c r="CG1565" s="73"/>
      <c r="CH1565" s="73"/>
    </row>
    <row r="1566">
      <c r="A1566" s="80"/>
      <c r="B1566" s="80"/>
      <c r="C1566" s="80"/>
      <c r="D1566" s="80"/>
      <c r="E1566" s="124"/>
      <c r="F1566" s="80"/>
      <c r="G1566" s="80"/>
      <c r="H1566" s="80"/>
      <c r="I1566" s="80"/>
      <c r="J1566" s="196"/>
      <c r="K1566" s="196"/>
      <c r="L1566" s="196"/>
      <c r="M1566" s="196"/>
      <c r="N1566" s="196"/>
      <c r="O1566" s="196"/>
      <c r="P1566" s="196"/>
      <c r="Q1566" s="196"/>
      <c r="R1566" s="196"/>
      <c r="S1566" s="196"/>
      <c r="T1566" s="196"/>
      <c r="U1566" s="196"/>
      <c r="V1566" s="196"/>
      <c r="W1566" s="196"/>
      <c r="X1566" s="196"/>
      <c r="Y1566" s="196"/>
      <c r="Z1566" s="196"/>
      <c r="AA1566" s="196"/>
      <c r="AB1566" s="196"/>
      <c r="AC1566" s="196"/>
      <c r="AD1566" s="196"/>
      <c r="AE1566" s="196"/>
      <c r="AF1566" s="196"/>
      <c r="AG1566" s="196"/>
      <c r="AH1566" s="196"/>
      <c r="AI1566" s="196"/>
      <c r="AJ1566" s="197"/>
      <c r="AK1566" s="80"/>
      <c r="AL1566" s="80"/>
      <c r="AM1566" s="73"/>
      <c r="AN1566" s="73"/>
      <c r="AO1566" s="73"/>
      <c r="AP1566" s="73"/>
      <c r="AQ1566" s="73"/>
      <c r="AR1566" s="73"/>
      <c r="AS1566" s="73"/>
      <c r="AT1566" s="73"/>
      <c r="AU1566" s="73"/>
      <c r="AV1566" s="73"/>
      <c r="AW1566" s="73"/>
      <c r="AX1566" s="73"/>
      <c r="AY1566" s="73"/>
      <c r="AZ1566" s="73"/>
      <c r="BA1566" s="73"/>
      <c r="BB1566" s="73"/>
      <c r="BC1566" s="73"/>
      <c r="BD1566" s="73"/>
      <c r="BE1566" s="73"/>
      <c r="BF1566" s="73"/>
      <c r="BG1566" s="73"/>
      <c r="BH1566" s="73"/>
      <c r="BI1566" s="73"/>
      <c r="BJ1566" s="73"/>
      <c r="BK1566" s="73"/>
      <c r="BL1566" s="73"/>
      <c r="BM1566" s="73"/>
      <c r="BN1566" s="73"/>
      <c r="BO1566" s="73"/>
      <c r="BP1566" s="73"/>
      <c r="BQ1566" s="73"/>
      <c r="BR1566" s="73"/>
      <c r="BS1566" s="73"/>
      <c r="BT1566" s="73"/>
      <c r="BU1566" s="73"/>
      <c r="BV1566" s="73"/>
      <c r="BW1566" s="73"/>
      <c r="BX1566" s="73"/>
      <c r="BY1566" s="73"/>
      <c r="BZ1566" s="73"/>
      <c r="CA1566" s="73"/>
      <c r="CB1566" s="73"/>
      <c r="CC1566" s="73"/>
      <c r="CD1566" s="73"/>
      <c r="CE1566" s="73"/>
      <c r="CF1566" s="73"/>
      <c r="CG1566" s="73"/>
      <c r="CH1566" s="73"/>
    </row>
    <row r="1567">
      <c r="A1567" s="80"/>
      <c r="B1567" s="80"/>
      <c r="C1567" s="80"/>
      <c r="D1567" s="80"/>
      <c r="E1567" s="124"/>
      <c r="F1567" s="80"/>
      <c r="G1567" s="80"/>
      <c r="H1567" s="80"/>
      <c r="I1567" s="80"/>
      <c r="J1567" s="196"/>
      <c r="K1567" s="196"/>
      <c r="L1567" s="196"/>
      <c r="M1567" s="196"/>
      <c r="N1567" s="196"/>
      <c r="O1567" s="196"/>
      <c r="P1567" s="196"/>
      <c r="Q1567" s="196"/>
      <c r="R1567" s="196"/>
      <c r="S1567" s="196"/>
      <c r="T1567" s="196"/>
      <c r="U1567" s="196"/>
      <c r="V1567" s="196"/>
      <c r="W1567" s="196"/>
      <c r="X1567" s="196"/>
      <c r="Y1567" s="196"/>
      <c r="Z1567" s="196"/>
      <c r="AA1567" s="196"/>
      <c r="AB1567" s="196"/>
      <c r="AC1567" s="196"/>
      <c r="AD1567" s="196"/>
      <c r="AE1567" s="196"/>
      <c r="AF1567" s="196"/>
      <c r="AG1567" s="196"/>
      <c r="AH1567" s="196"/>
      <c r="AI1567" s="196"/>
      <c r="AJ1567" s="197"/>
      <c r="AK1567" s="80"/>
      <c r="AL1567" s="80"/>
      <c r="AM1567" s="73"/>
      <c r="AN1567" s="73"/>
      <c r="AO1567" s="73"/>
      <c r="AP1567" s="73"/>
      <c r="AQ1567" s="73"/>
      <c r="AR1567" s="73"/>
      <c r="AS1567" s="73"/>
      <c r="AT1567" s="73"/>
      <c r="AU1567" s="73"/>
      <c r="AV1567" s="73"/>
      <c r="AW1567" s="73"/>
      <c r="AX1567" s="73"/>
      <c r="AY1567" s="73"/>
      <c r="AZ1567" s="73"/>
      <c r="BA1567" s="73"/>
      <c r="BB1567" s="73"/>
      <c r="BC1567" s="73"/>
      <c r="BD1567" s="73"/>
      <c r="BE1567" s="73"/>
      <c r="BF1567" s="73"/>
      <c r="BG1567" s="73"/>
      <c r="BH1567" s="73"/>
      <c r="BI1567" s="73"/>
      <c r="BJ1567" s="73"/>
      <c r="BK1567" s="73"/>
      <c r="BL1567" s="73"/>
      <c r="BM1567" s="73"/>
      <c r="BN1567" s="73"/>
      <c r="BO1567" s="73"/>
      <c r="BP1567" s="73"/>
      <c r="BQ1567" s="73"/>
      <c r="BR1567" s="73"/>
      <c r="BS1567" s="73"/>
      <c r="BT1567" s="73"/>
      <c r="BU1567" s="73"/>
      <c r="BV1567" s="73"/>
      <c r="BW1567" s="73"/>
      <c r="BX1567" s="73"/>
      <c r="BY1567" s="73"/>
      <c r="BZ1567" s="73"/>
      <c r="CA1567" s="73"/>
      <c r="CB1567" s="73"/>
      <c r="CC1567" s="73"/>
      <c r="CD1567" s="73"/>
      <c r="CE1567" s="73"/>
      <c r="CF1567" s="73"/>
      <c r="CG1567" s="73"/>
      <c r="CH1567" s="73"/>
    </row>
    <row r="1568">
      <c r="A1568" s="80"/>
      <c r="B1568" s="80"/>
      <c r="C1568" s="80"/>
      <c r="D1568" s="80"/>
      <c r="E1568" s="124"/>
      <c r="F1568" s="80"/>
      <c r="G1568" s="80"/>
      <c r="H1568" s="80"/>
      <c r="I1568" s="80"/>
      <c r="J1568" s="196"/>
      <c r="K1568" s="196"/>
      <c r="L1568" s="196"/>
      <c r="M1568" s="196"/>
      <c r="N1568" s="196"/>
      <c r="O1568" s="196"/>
      <c r="P1568" s="196"/>
      <c r="Q1568" s="196"/>
      <c r="R1568" s="196"/>
      <c r="S1568" s="196"/>
      <c r="T1568" s="196"/>
      <c r="U1568" s="196"/>
      <c r="V1568" s="196"/>
      <c r="W1568" s="196"/>
      <c r="X1568" s="196"/>
      <c r="Y1568" s="196"/>
      <c r="Z1568" s="196"/>
      <c r="AA1568" s="196"/>
      <c r="AB1568" s="196"/>
      <c r="AC1568" s="196"/>
      <c r="AD1568" s="196"/>
      <c r="AE1568" s="196"/>
      <c r="AF1568" s="196"/>
      <c r="AG1568" s="196"/>
      <c r="AH1568" s="196"/>
      <c r="AI1568" s="196"/>
      <c r="AJ1568" s="197"/>
      <c r="AK1568" s="80"/>
      <c r="AL1568" s="80"/>
      <c r="AM1568" s="73"/>
      <c r="AN1568" s="73"/>
      <c r="AO1568" s="73"/>
      <c r="AP1568" s="73"/>
      <c r="AQ1568" s="73"/>
      <c r="AR1568" s="73"/>
      <c r="AS1568" s="73"/>
      <c r="AT1568" s="73"/>
      <c r="AU1568" s="73"/>
      <c r="AV1568" s="73"/>
      <c r="AW1568" s="73"/>
      <c r="AX1568" s="73"/>
      <c r="AY1568" s="73"/>
      <c r="AZ1568" s="73"/>
      <c r="BA1568" s="73"/>
      <c r="BB1568" s="73"/>
      <c r="BC1568" s="73"/>
      <c r="BD1568" s="73"/>
      <c r="BE1568" s="73"/>
      <c r="BF1568" s="73"/>
      <c r="BG1568" s="73"/>
      <c r="BH1568" s="73"/>
      <c r="BI1568" s="73"/>
      <c r="BJ1568" s="73"/>
      <c r="BK1568" s="73"/>
      <c r="BL1568" s="73"/>
      <c r="BM1568" s="73"/>
      <c r="BN1568" s="73"/>
      <c r="BO1568" s="73"/>
      <c r="BP1568" s="73"/>
      <c r="BQ1568" s="73"/>
      <c r="BR1568" s="73"/>
      <c r="BS1568" s="73"/>
      <c r="BT1568" s="73"/>
      <c r="BU1568" s="73"/>
      <c r="BV1568" s="73"/>
      <c r="BW1568" s="73"/>
      <c r="BX1568" s="73"/>
      <c r="BY1568" s="73"/>
      <c r="BZ1568" s="73"/>
      <c r="CA1568" s="73"/>
      <c r="CB1568" s="73"/>
      <c r="CC1568" s="73"/>
      <c r="CD1568" s="73"/>
      <c r="CE1568" s="73"/>
      <c r="CF1568" s="73"/>
      <c r="CG1568" s="73"/>
      <c r="CH1568" s="73"/>
    </row>
    <row r="1569">
      <c r="A1569" s="80"/>
      <c r="B1569" s="80"/>
      <c r="C1569" s="80"/>
      <c r="D1569" s="80"/>
      <c r="E1569" s="124"/>
      <c r="F1569" s="80"/>
      <c r="G1569" s="80"/>
      <c r="H1569" s="80"/>
      <c r="I1569" s="80"/>
      <c r="J1569" s="196"/>
      <c r="K1569" s="196"/>
      <c r="L1569" s="196"/>
      <c r="M1569" s="196"/>
      <c r="N1569" s="196"/>
      <c r="O1569" s="196"/>
      <c r="P1569" s="196"/>
      <c r="Q1569" s="196"/>
      <c r="R1569" s="196"/>
      <c r="S1569" s="196"/>
      <c r="T1569" s="196"/>
      <c r="U1569" s="196"/>
      <c r="V1569" s="196"/>
      <c r="W1569" s="196"/>
      <c r="X1569" s="196"/>
      <c r="Y1569" s="196"/>
      <c r="Z1569" s="196"/>
      <c r="AA1569" s="196"/>
      <c r="AB1569" s="196"/>
      <c r="AC1569" s="196"/>
      <c r="AD1569" s="196"/>
      <c r="AE1569" s="196"/>
      <c r="AF1569" s="196"/>
      <c r="AG1569" s="196"/>
      <c r="AH1569" s="196"/>
      <c r="AI1569" s="196"/>
      <c r="AJ1569" s="197"/>
      <c r="AK1569" s="80"/>
      <c r="AL1569" s="80"/>
      <c r="AM1569" s="73"/>
      <c r="AN1569" s="73"/>
      <c r="AO1569" s="73"/>
      <c r="AP1569" s="73"/>
      <c r="AQ1569" s="73"/>
      <c r="AR1569" s="73"/>
      <c r="AS1569" s="73"/>
      <c r="AT1569" s="73"/>
      <c r="AU1569" s="73"/>
      <c r="AV1569" s="73"/>
      <c r="AW1569" s="73"/>
      <c r="AX1569" s="73"/>
      <c r="AY1569" s="73"/>
      <c r="AZ1569" s="73"/>
      <c r="BA1569" s="73"/>
      <c r="BB1569" s="73"/>
      <c r="BC1569" s="73"/>
      <c r="BD1569" s="73"/>
      <c r="BE1569" s="73"/>
      <c r="BF1569" s="73"/>
      <c r="BG1569" s="73"/>
      <c r="BH1569" s="73"/>
      <c r="BI1569" s="73"/>
      <c r="BJ1569" s="73"/>
      <c r="BK1569" s="73"/>
      <c r="BL1569" s="73"/>
      <c r="BM1569" s="73"/>
      <c r="BN1569" s="73"/>
      <c r="BO1569" s="73"/>
      <c r="BP1569" s="73"/>
      <c r="BQ1569" s="73"/>
      <c r="BR1569" s="73"/>
      <c r="BS1569" s="73"/>
      <c r="BT1569" s="73"/>
      <c r="BU1569" s="73"/>
      <c r="BV1569" s="73"/>
      <c r="BW1569" s="73"/>
      <c r="BX1569" s="73"/>
      <c r="BY1569" s="73"/>
      <c r="BZ1569" s="73"/>
      <c r="CA1569" s="73"/>
      <c r="CB1569" s="73"/>
      <c r="CC1569" s="73"/>
      <c r="CD1569" s="73"/>
      <c r="CE1569" s="73"/>
      <c r="CF1569" s="73"/>
      <c r="CG1569" s="73"/>
      <c r="CH1569" s="73"/>
    </row>
    <row r="1570">
      <c r="A1570" s="80"/>
      <c r="B1570" s="80"/>
      <c r="C1570" s="80"/>
      <c r="D1570" s="80"/>
      <c r="E1570" s="124"/>
      <c r="F1570" s="80"/>
      <c r="G1570" s="80"/>
      <c r="H1570" s="80"/>
      <c r="I1570" s="80"/>
      <c r="J1570" s="196"/>
      <c r="K1570" s="196"/>
      <c r="L1570" s="196"/>
      <c r="M1570" s="196"/>
      <c r="N1570" s="196"/>
      <c r="O1570" s="196"/>
      <c r="P1570" s="196"/>
      <c r="Q1570" s="196"/>
      <c r="R1570" s="196"/>
      <c r="S1570" s="196"/>
      <c r="T1570" s="196"/>
      <c r="U1570" s="196"/>
      <c r="V1570" s="196"/>
      <c r="W1570" s="196"/>
      <c r="X1570" s="196"/>
      <c r="Y1570" s="196"/>
      <c r="Z1570" s="196"/>
      <c r="AA1570" s="196"/>
      <c r="AB1570" s="196"/>
      <c r="AC1570" s="196"/>
      <c r="AD1570" s="196"/>
      <c r="AE1570" s="196"/>
      <c r="AF1570" s="196"/>
      <c r="AG1570" s="196"/>
      <c r="AH1570" s="196"/>
      <c r="AI1570" s="196"/>
      <c r="AJ1570" s="197"/>
      <c r="AK1570" s="80"/>
      <c r="AL1570" s="80"/>
      <c r="AM1570" s="73"/>
      <c r="AN1570" s="73"/>
      <c r="AO1570" s="73"/>
      <c r="AP1570" s="73"/>
      <c r="AQ1570" s="73"/>
      <c r="AR1570" s="73"/>
      <c r="AS1570" s="73"/>
      <c r="AT1570" s="73"/>
      <c r="AU1570" s="73"/>
      <c r="AV1570" s="73"/>
      <c r="AW1570" s="73"/>
      <c r="AX1570" s="73"/>
      <c r="AY1570" s="73"/>
      <c r="AZ1570" s="73"/>
      <c r="BA1570" s="73"/>
      <c r="BB1570" s="73"/>
      <c r="BC1570" s="73"/>
      <c r="BD1570" s="73"/>
      <c r="BE1570" s="73"/>
      <c r="BF1570" s="73"/>
      <c r="BG1570" s="73"/>
      <c r="BH1570" s="73"/>
      <c r="BI1570" s="73"/>
      <c r="BJ1570" s="73"/>
      <c r="BK1570" s="73"/>
      <c r="BL1570" s="73"/>
      <c r="BM1570" s="73"/>
      <c r="BN1570" s="73"/>
      <c r="BO1570" s="73"/>
      <c r="BP1570" s="73"/>
      <c r="BQ1570" s="73"/>
      <c r="BR1570" s="73"/>
      <c r="BS1570" s="73"/>
      <c r="BT1570" s="73"/>
      <c r="BU1570" s="73"/>
      <c r="BV1570" s="73"/>
      <c r="BW1570" s="73"/>
      <c r="BX1570" s="73"/>
      <c r="BY1570" s="73"/>
      <c r="BZ1570" s="73"/>
      <c r="CA1570" s="73"/>
      <c r="CB1570" s="73"/>
      <c r="CC1570" s="73"/>
      <c r="CD1570" s="73"/>
      <c r="CE1570" s="73"/>
      <c r="CF1570" s="73"/>
      <c r="CG1570" s="73"/>
      <c r="CH1570" s="73"/>
    </row>
    <row r="1571">
      <c r="A1571" s="80"/>
      <c r="B1571" s="80"/>
      <c r="C1571" s="80"/>
      <c r="D1571" s="80"/>
      <c r="E1571" s="124"/>
      <c r="F1571" s="80"/>
      <c r="G1571" s="80"/>
      <c r="H1571" s="80"/>
      <c r="I1571" s="80"/>
      <c r="J1571" s="196"/>
      <c r="K1571" s="196"/>
      <c r="L1571" s="196"/>
      <c r="M1571" s="196"/>
      <c r="N1571" s="196"/>
      <c r="O1571" s="196"/>
      <c r="P1571" s="196"/>
      <c r="Q1571" s="196"/>
      <c r="R1571" s="196"/>
      <c r="S1571" s="196"/>
      <c r="T1571" s="196"/>
      <c r="U1571" s="196"/>
      <c r="V1571" s="196"/>
      <c r="W1571" s="196"/>
      <c r="X1571" s="196"/>
      <c r="Y1571" s="196"/>
      <c r="Z1571" s="196"/>
      <c r="AA1571" s="196"/>
      <c r="AB1571" s="196"/>
      <c r="AC1571" s="196"/>
      <c r="AD1571" s="196"/>
      <c r="AE1571" s="196"/>
      <c r="AF1571" s="196"/>
      <c r="AG1571" s="196"/>
      <c r="AH1571" s="196"/>
      <c r="AI1571" s="196"/>
      <c r="AJ1571" s="197"/>
      <c r="AK1571" s="80"/>
      <c r="AL1571" s="80"/>
      <c r="AM1571" s="73"/>
      <c r="AN1571" s="73"/>
      <c r="AO1571" s="73"/>
      <c r="AP1571" s="73"/>
      <c r="AQ1571" s="73"/>
      <c r="AR1571" s="73"/>
      <c r="AS1571" s="73"/>
      <c r="AT1571" s="73"/>
      <c r="AU1571" s="73"/>
      <c r="AV1571" s="73"/>
      <c r="AW1571" s="73"/>
      <c r="AX1571" s="73"/>
      <c r="AY1571" s="73"/>
      <c r="AZ1571" s="73"/>
      <c r="BA1571" s="73"/>
      <c r="BB1571" s="73"/>
      <c r="BC1571" s="73"/>
      <c r="BD1571" s="73"/>
      <c r="BE1571" s="73"/>
      <c r="BF1571" s="73"/>
      <c r="BG1571" s="73"/>
      <c r="BH1571" s="73"/>
      <c r="BI1571" s="73"/>
      <c r="BJ1571" s="73"/>
      <c r="BK1571" s="73"/>
      <c r="BL1571" s="73"/>
      <c r="BM1571" s="73"/>
      <c r="BN1571" s="73"/>
      <c r="BO1571" s="73"/>
      <c r="BP1571" s="73"/>
      <c r="BQ1571" s="73"/>
      <c r="BR1571" s="73"/>
      <c r="BS1571" s="73"/>
      <c r="BT1571" s="73"/>
      <c r="BU1571" s="73"/>
      <c r="BV1571" s="73"/>
      <c r="BW1571" s="73"/>
      <c r="BX1571" s="73"/>
      <c r="BY1571" s="73"/>
      <c r="BZ1571" s="73"/>
      <c r="CA1571" s="73"/>
      <c r="CB1571" s="73"/>
      <c r="CC1571" s="73"/>
      <c r="CD1571" s="73"/>
      <c r="CE1571" s="73"/>
      <c r="CF1571" s="73"/>
      <c r="CG1571" s="73"/>
      <c r="CH1571" s="73"/>
    </row>
    <row r="1572">
      <c r="A1572" s="80"/>
      <c r="B1572" s="80"/>
      <c r="C1572" s="80"/>
      <c r="D1572" s="80"/>
      <c r="E1572" s="124"/>
      <c r="F1572" s="80"/>
      <c r="G1572" s="80"/>
      <c r="H1572" s="80"/>
      <c r="I1572" s="80"/>
      <c r="J1572" s="196"/>
      <c r="K1572" s="196"/>
      <c r="L1572" s="196"/>
      <c r="M1572" s="196"/>
      <c r="N1572" s="196"/>
      <c r="O1572" s="196"/>
      <c r="P1572" s="196"/>
      <c r="Q1572" s="196"/>
      <c r="R1572" s="196"/>
      <c r="S1572" s="196"/>
      <c r="T1572" s="196"/>
      <c r="U1572" s="196"/>
      <c r="V1572" s="196"/>
      <c r="W1572" s="196"/>
      <c r="X1572" s="196"/>
      <c r="Y1572" s="196"/>
      <c r="Z1572" s="196"/>
      <c r="AA1572" s="196"/>
      <c r="AB1572" s="196"/>
      <c r="AC1572" s="196"/>
      <c r="AD1572" s="196"/>
      <c r="AE1572" s="196"/>
      <c r="AF1572" s="196"/>
      <c r="AG1572" s="196"/>
      <c r="AH1572" s="196"/>
      <c r="AI1572" s="196"/>
      <c r="AJ1572" s="197"/>
      <c r="AK1572" s="80"/>
      <c r="AL1572" s="80"/>
      <c r="AM1572" s="73"/>
      <c r="AN1572" s="73"/>
      <c r="AO1572" s="73"/>
      <c r="AP1572" s="73"/>
      <c r="AQ1572" s="73"/>
      <c r="AR1572" s="73"/>
      <c r="AS1572" s="73"/>
      <c r="AT1572" s="73"/>
      <c r="AU1572" s="73"/>
      <c r="AV1572" s="73"/>
      <c r="AW1572" s="73"/>
      <c r="AX1572" s="73"/>
      <c r="AY1572" s="73"/>
      <c r="AZ1572" s="73"/>
      <c r="BA1572" s="73"/>
      <c r="BB1572" s="73"/>
      <c r="BC1572" s="73"/>
      <c r="BD1572" s="73"/>
      <c r="BE1572" s="73"/>
      <c r="BF1572" s="73"/>
      <c r="BG1572" s="73"/>
      <c r="BH1572" s="73"/>
      <c r="BI1572" s="73"/>
      <c r="BJ1572" s="73"/>
      <c r="BK1572" s="73"/>
      <c r="BL1572" s="73"/>
      <c r="BM1572" s="73"/>
      <c r="BN1572" s="73"/>
      <c r="BO1572" s="73"/>
      <c r="BP1572" s="73"/>
      <c r="BQ1572" s="73"/>
      <c r="BR1572" s="73"/>
      <c r="BS1572" s="73"/>
      <c r="BT1572" s="73"/>
      <c r="BU1572" s="73"/>
      <c r="BV1572" s="73"/>
      <c r="BW1572" s="73"/>
      <c r="BX1572" s="73"/>
      <c r="BY1572" s="73"/>
      <c r="BZ1572" s="73"/>
      <c r="CA1572" s="73"/>
      <c r="CB1572" s="73"/>
      <c r="CC1572" s="73"/>
      <c r="CD1572" s="73"/>
      <c r="CE1572" s="73"/>
      <c r="CF1572" s="73"/>
      <c r="CG1572" s="73"/>
      <c r="CH1572" s="73"/>
    </row>
    <row r="1573">
      <c r="A1573" s="80"/>
      <c r="B1573" s="80"/>
      <c r="C1573" s="80"/>
      <c r="D1573" s="80"/>
      <c r="E1573" s="124"/>
      <c r="F1573" s="80"/>
      <c r="G1573" s="80"/>
      <c r="H1573" s="80"/>
      <c r="I1573" s="80"/>
      <c r="J1573" s="196"/>
      <c r="K1573" s="196"/>
      <c r="L1573" s="196"/>
      <c r="M1573" s="196"/>
      <c r="N1573" s="196"/>
      <c r="O1573" s="196"/>
      <c r="P1573" s="196"/>
      <c r="Q1573" s="196"/>
      <c r="R1573" s="196"/>
      <c r="S1573" s="196"/>
      <c r="T1573" s="196"/>
      <c r="U1573" s="196"/>
      <c r="V1573" s="196"/>
      <c r="W1573" s="196"/>
      <c r="X1573" s="196"/>
      <c r="Y1573" s="196"/>
      <c r="Z1573" s="196"/>
      <c r="AA1573" s="196"/>
      <c r="AB1573" s="196"/>
      <c r="AC1573" s="196"/>
      <c r="AD1573" s="196"/>
      <c r="AE1573" s="196"/>
      <c r="AF1573" s="196"/>
      <c r="AG1573" s="196"/>
      <c r="AH1573" s="196"/>
      <c r="AI1573" s="196"/>
      <c r="AJ1573" s="197"/>
      <c r="AK1573" s="80"/>
      <c r="AL1573" s="80"/>
      <c r="AM1573" s="73"/>
      <c r="AN1573" s="73"/>
      <c r="AO1573" s="73"/>
      <c r="AP1573" s="73"/>
      <c r="AQ1573" s="73"/>
      <c r="AR1573" s="73"/>
      <c r="AS1573" s="73"/>
      <c r="AT1573" s="73"/>
      <c r="AU1573" s="73"/>
      <c r="AV1573" s="73"/>
      <c r="AW1573" s="73"/>
      <c r="AX1573" s="73"/>
      <c r="AY1573" s="73"/>
      <c r="AZ1573" s="73"/>
      <c r="BA1573" s="73"/>
      <c r="BB1573" s="73"/>
      <c r="BC1573" s="73"/>
      <c r="BD1573" s="73"/>
      <c r="BE1573" s="73"/>
      <c r="BF1573" s="73"/>
      <c r="BG1573" s="73"/>
      <c r="BH1573" s="73"/>
      <c r="BI1573" s="73"/>
      <c r="BJ1573" s="73"/>
      <c r="BK1573" s="73"/>
      <c r="BL1573" s="73"/>
      <c r="BM1573" s="73"/>
      <c r="BN1573" s="73"/>
      <c r="BO1573" s="73"/>
      <c r="BP1573" s="73"/>
      <c r="BQ1573" s="73"/>
      <c r="BR1573" s="73"/>
      <c r="BS1573" s="73"/>
      <c r="BT1573" s="73"/>
      <c r="BU1573" s="73"/>
      <c r="BV1573" s="73"/>
      <c r="BW1573" s="73"/>
      <c r="BX1573" s="73"/>
      <c r="BY1573" s="73"/>
      <c r="BZ1573" s="73"/>
      <c r="CA1573" s="73"/>
      <c r="CB1573" s="73"/>
      <c r="CC1573" s="73"/>
      <c r="CD1573" s="73"/>
      <c r="CE1573" s="73"/>
      <c r="CF1573" s="73"/>
      <c r="CG1573" s="73"/>
      <c r="CH1573" s="73"/>
    </row>
    <row r="1574">
      <c r="A1574" s="80"/>
      <c r="B1574" s="80"/>
      <c r="C1574" s="80"/>
      <c r="D1574" s="80"/>
      <c r="E1574" s="124"/>
      <c r="F1574" s="80"/>
      <c r="G1574" s="80"/>
      <c r="H1574" s="80"/>
      <c r="I1574" s="80"/>
      <c r="J1574" s="196"/>
      <c r="K1574" s="196"/>
      <c r="L1574" s="196"/>
      <c r="M1574" s="196"/>
      <c r="N1574" s="196"/>
      <c r="O1574" s="196"/>
      <c r="P1574" s="196"/>
      <c r="Q1574" s="196"/>
      <c r="R1574" s="196"/>
      <c r="S1574" s="196"/>
      <c r="T1574" s="196"/>
      <c r="U1574" s="196"/>
      <c r="V1574" s="196"/>
      <c r="W1574" s="196"/>
      <c r="X1574" s="196"/>
      <c r="Y1574" s="196"/>
      <c r="Z1574" s="196"/>
      <c r="AA1574" s="196"/>
      <c r="AB1574" s="196"/>
      <c r="AC1574" s="196"/>
      <c r="AD1574" s="196"/>
      <c r="AE1574" s="196"/>
      <c r="AF1574" s="196"/>
      <c r="AG1574" s="196"/>
      <c r="AH1574" s="196"/>
      <c r="AI1574" s="196"/>
      <c r="AJ1574" s="197"/>
      <c r="AK1574" s="80"/>
      <c r="AL1574" s="80"/>
      <c r="AM1574" s="73"/>
      <c r="AN1574" s="73"/>
      <c r="AO1574" s="73"/>
      <c r="AP1574" s="73"/>
      <c r="AQ1574" s="73"/>
      <c r="AR1574" s="73"/>
      <c r="AS1574" s="73"/>
      <c r="AT1574" s="73"/>
      <c r="AU1574" s="73"/>
      <c r="AV1574" s="73"/>
      <c r="AW1574" s="73"/>
      <c r="AX1574" s="73"/>
      <c r="AY1574" s="73"/>
      <c r="AZ1574" s="73"/>
      <c r="BA1574" s="73"/>
      <c r="BB1574" s="73"/>
      <c r="BC1574" s="73"/>
      <c r="BD1574" s="73"/>
      <c r="BE1574" s="73"/>
      <c r="BF1574" s="73"/>
      <c r="BG1574" s="73"/>
      <c r="BH1574" s="73"/>
      <c r="BI1574" s="73"/>
      <c r="BJ1574" s="73"/>
      <c r="BK1574" s="73"/>
      <c r="BL1574" s="73"/>
      <c r="BM1574" s="73"/>
      <c r="BN1574" s="73"/>
      <c r="BO1574" s="73"/>
      <c r="BP1574" s="73"/>
      <c r="BQ1574" s="73"/>
      <c r="BR1574" s="73"/>
      <c r="BS1574" s="73"/>
      <c r="BT1574" s="73"/>
      <c r="BU1574" s="73"/>
      <c r="BV1574" s="73"/>
      <c r="BW1574" s="73"/>
      <c r="BX1574" s="73"/>
      <c r="BY1574" s="73"/>
      <c r="BZ1574" s="73"/>
      <c r="CA1574" s="73"/>
      <c r="CB1574" s="73"/>
      <c r="CC1574" s="73"/>
      <c r="CD1574" s="73"/>
      <c r="CE1574" s="73"/>
      <c r="CF1574" s="73"/>
      <c r="CG1574" s="73"/>
      <c r="CH1574" s="73"/>
    </row>
    <row r="1575">
      <c r="A1575" s="80"/>
      <c r="B1575" s="80"/>
      <c r="C1575" s="80"/>
      <c r="D1575" s="80"/>
      <c r="E1575" s="124"/>
      <c r="F1575" s="80"/>
      <c r="G1575" s="80"/>
      <c r="H1575" s="80"/>
      <c r="I1575" s="80"/>
      <c r="J1575" s="196"/>
      <c r="K1575" s="196"/>
      <c r="L1575" s="196"/>
      <c r="M1575" s="196"/>
      <c r="N1575" s="196"/>
      <c r="O1575" s="196"/>
      <c r="P1575" s="196"/>
      <c r="Q1575" s="196"/>
      <c r="R1575" s="196"/>
      <c r="S1575" s="196"/>
      <c r="T1575" s="196"/>
      <c r="U1575" s="196"/>
      <c r="V1575" s="196"/>
      <c r="W1575" s="196"/>
      <c r="X1575" s="196"/>
      <c r="Y1575" s="196"/>
      <c r="Z1575" s="196"/>
      <c r="AA1575" s="196"/>
      <c r="AB1575" s="196"/>
      <c r="AC1575" s="196"/>
      <c r="AD1575" s="196"/>
      <c r="AE1575" s="196"/>
      <c r="AF1575" s="196"/>
      <c r="AG1575" s="196"/>
      <c r="AH1575" s="196"/>
      <c r="AI1575" s="196"/>
      <c r="AJ1575" s="197"/>
      <c r="AK1575" s="80"/>
      <c r="AL1575" s="80"/>
      <c r="AM1575" s="73"/>
      <c r="AN1575" s="73"/>
      <c r="AO1575" s="73"/>
      <c r="AP1575" s="73"/>
      <c r="AQ1575" s="73"/>
      <c r="AR1575" s="73"/>
      <c r="AS1575" s="73"/>
      <c r="AT1575" s="73"/>
      <c r="AU1575" s="73"/>
      <c r="AV1575" s="73"/>
      <c r="AW1575" s="73"/>
      <c r="AX1575" s="73"/>
      <c r="AY1575" s="73"/>
      <c r="AZ1575" s="73"/>
      <c r="BA1575" s="73"/>
      <c r="BB1575" s="73"/>
      <c r="BC1575" s="73"/>
      <c r="BD1575" s="73"/>
      <c r="BE1575" s="73"/>
      <c r="BF1575" s="73"/>
      <c r="BG1575" s="73"/>
      <c r="BH1575" s="73"/>
      <c r="BI1575" s="73"/>
      <c r="BJ1575" s="73"/>
      <c r="BK1575" s="73"/>
      <c r="BL1575" s="73"/>
      <c r="BM1575" s="73"/>
      <c r="BN1575" s="73"/>
      <c r="BO1575" s="73"/>
      <c r="BP1575" s="73"/>
      <c r="BQ1575" s="73"/>
      <c r="BR1575" s="73"/>
      <c r="BS1575" s="73"/>
      <c r="BT1575" s="73"/>
      <c r="BU1575" s="73"/>
      <c r="BV1575" s="73"/>
      <c r="BW1575" s="73"/>
      <c r="BX1575" s="73"/>
      <c r="BY1575" s="73"/>
      <c r="BZ1575" s="73"/>
      <c r="CA1575" s="73"/>
      <c r="CB1575" s="73"/>
      <c r="CC1575" s="73"/>
      <c r="CD1575" s="73"/>
      <c r="CE1575" s="73"/>
      <c r="CF1575" s="73"/>
      <c r="CG1575" s="73"/>
      <c r="CH1575" s="73"/>
    </row>
    <row r="1576">
      <c r="A1576" s="80"/>
      <c r="B1576" s="80"/>
      <c r="C1576" s="80"/>
      <c r="D1576" s="80"/>
      <c r="E1576" s="124"/>
      <c r="F1576" s="80"/>
      <c r="G1576" s="80"/>
      <c r="H1576" s="80"/>
      <c r="I1576" s="80"/>
      <c r="J1576" s="196"/>
      <c r="K1576" s="196"/>
      <c r="L1576" s="196"/>
      <c r="M1576" s="196"/>
      <c r="N1576" s="196"/>
      <c r="O1576" s="196"/>
      <c r="P1576" s="196"/>
      <c r="Q1576" s="196"/>
      <c r="R1576" s="196"/>
      <c r="S1576" s="196"/>
      <c r="T1576" s="196"/>
      <c r="U1576" s="196"/>
      <c r="V1576" s="196"/>
      <c r="W1576" s="196"/>
      <c r="X1576" s="196"/>
      <c r="Y1576" s="196"/>
      <c r="Z1576" s="196"/>
      <c r="AA1576" s="196"/>
      <c r="AB1576" s="196"/>
      <c r="AC1576" s="196"/>
      <c r="AD1576" s="196"/>
      <c r="AE1576" s="196"/>
      <c r="AF1576" s="196"/>
      <c r="AG1576" s="196"/>
      <c r="AH1576" s="196"/>
      <c r="AI1576" s="196"/>
      <c r="AJ1576" s="197"/>
      <c r="AK1576" s="80"/>
      <c r="AL1576" s="80"/>
      <c r="AM1576" s="73"/>
      <c r="AN1576" s="73"/>
      <c r="AO1576" s="73"/>
      <c r="AP1576" s="73"/>
      <c r="AQ1576" s="73"/>
      <c r="AR1576" s="73"/>
      <c r="AS1576" s="73"/>
      <c r="AT1576" s="73"/>
      <c r="AU1576" s="73"/>
      <c r="AV1576" s="73"/>
      <c r="AW1576" s="73"/>
      <c r="AX1576" s="73"/>
      <c r="AY1576" s="73"/>
      <c r="AZ1576" s="73"/>
      <c r="BA1576" s="73"/>
      <c r="BB1576" s="73"/>
      <c r="BC1576" s="73"/>
      <c r="BD1576" s="73"/>
      <c r="BE1576" s="73"/>
      <c r="BF1576" s="73"/>
      <c r="BG1576" s="73"/>
      <c r="BH1576" s="73"/>
      <c r="BI1576" s="73"/>
      <c r="BJ1576" s="73"/>
      <c r="BK1576" s="73"/>
      <c r="BL1576" s="73"/>
      <c r="BM1576" s="73"/>
      <c r="BN1576" s="73"/>
      <c r="BO1576" s="73"/>
      <c r="BP1576" s="73"/>
      <c r="BQ1576" s="73"/>
      <c r="BR1576" s="73"/>
      <c r="BS1576" s="73"/>
      <c r="BT1576" s="73"/>
      <c r="BU1576" s="73"/>
      <c r="BV1576" s="73"/>
      <c r="BW1576" s="73"/>
      <c r="BX1576" s="73"/>
      <c r="BY1576" s="73"/>
      <c r="BZ1576" s="73"/>
      <c r="CA1576" s="73"/>
      <c r="CB1576" s="73"/>
      <c r="CC1576" s="73"/>
      <c r="CD1576" s="73"/>
      <c r="CE1576" s="73"/>
      <c r="CF1576" s="73"/>
      <c r="CG1576" s="73"/>
      <c r="CH1576" s="73"/>
    </row>
    <row r="1577">
      <c r="A1577" s="80"/>
      <c r="B1577" s="80"/>
      <c r="C1577" s="80"/>
      <c r="D1577" s="80"/>
      <c r="E1577" s="124"/>
      <c r="F1577" s="80"/>
      <c r="G1577" s="80"/>
      <c r="H1577" s="80"/>
      <c r="I1577" s="80"/>
      <c r="J1577" s="196"/>
      <c r="K1577" s="196"/>
      <c r="L1577" s="196"/>
      <c r="M1577" s="196"/>
      <c r="N1577" s="196"/>
      <c r="O1577" s="196"/>
      <c r="P1577" s="196"/>
      <c r="Q1577" s="196"/>
      <c r="R1577" s="196"/>
      <c r="S1577" s="196"/>
      <c r="T1577" s="196"/>
      <c r="U1577" s="196"/>
      <c r="V1577" s="196"/>
      <c r="W1577" s="196"/>
      <c r="X1577" s="196"/>
      <c r="Y1577" s="196"/>
      <c r="Z1577" s="196"/>
      <c r="AA1577" s="196"/>
      <c r="AB1577" s="196"/>
      <c r="AC1577" s="196"/>
      <c r="AD1577" s="196"/>
      <c r="AE1577" s="196"/>
      <c r="AF1577" s="196"/>
      <c r="AG1577" s="196"/>
      <c r="AH1577" s="196"/>
      <c r="AI1577" s="196"/>
      <c r="AJ1577" s="197"/>
      <c r="AK1577" s="80"/>
      <c r="AL1577" s="80"/>
      <c r="AM1577" s="73"/>
      <c r="AN1577" s="73"/>
      <c r="AO1577" s="73"/>
      <c r="AP1577" s="73"/>
      <c r="AQ1577" s="73"/>
      <c r="AR1577" s="73"/>
      <c r="AS1577" s="73"/>
      <c r="AT1577" s="73"/>
      <c r="AU1577" s="73"/>
      <c r="AV1577" s="73"/>
      <c r="AW1577" s="73"/>
      <c r="AX1577" s="73"/>
      <c r="AY1577" s="73"/>
      <c r="AZ1577" s="73"/>
      <c r="BA1577" s="73"/>
      <c r="BB1577" s="73"/>
      <c r="BC1577" s="73"/>
      <c r="BD1577" s="73"/>
      <c r="BE1577" s="73"/>
      <c r="BF1577" s="73"/>
      <c r="BG1577" s="73"/>
      <c r="BH1577" s="73"/>
      <c r="BI1577" s="73"/>
      <c r="BJ1577" s="73"/>
      <c r="BK1577" s="73"/>
      <c r="BL1577" s="73"/>
      <c r="BM1577" s="73"/>
      <c r="BN1577" s="73"/>
      <c r="BO1577" s="73"/>
      <c r="BP1577" s="73"/>
      <c r="BQ1577" s="73"/>
      <c r="BR1577" s="73"/>
      <c r="BS1577" s="73"/>
      <c r="BT1577" s="73"/>
      <c r="BU1577" s="73"/>
      <c r="BV1577" s="73"/>
      <c r="BW1577" s="73"/>
      <c r="BX1577" s="73"/>
      <c r="BY1577" s="73"/>
      <c r="BZ1577" s="73"/>
      <c r="CA1577" s="73"/>
      <c r="CB1577" s="73"/>
      <c r="CC1577" s="73"/>
      <c r="CD1577" s="73"/>
      <c r="CE1577" s="73"/>
      <c r="CF1577" s="73"/>
      <c r="CG1577" s="73"/>
      <c r="CH1577" s="73"/>
    </row>
    <row r="1578">
      <c r="A1578" s="80"/>
      <c r="B1578" s="80"/>
      <c r="C1578" s="80"/>
      <c r="D1578" s="80"/>
      <c r="E1578" s="124"/>
      <c r="F1578" s="80"/>
      <c r="G1578" s="80"/>
      <c r="H1578" s="80"/>
      <c r="I1578" s="80"/>
      <c r="J1578" s="196"/>
      <c r="K1578" s="196"/>
      <c r="L1578" s="196"/>
      <c r="M1578" s="196"/>
      <c r="N1578" s="196"/>
      <c r="O1578" s="196"/>
      <c r="P1578" s="196"/>
      <c r="Q1578" s="196"/>
      <c r="R1578" s="196"/>
      <c r="S1578" s="196"/>
      <c r="T1578" s="196"/>
      <c r="U1578" s="196"/>
      <c r="V1578" s="196"/>
      <c r="W1578" s="196"/>
      <c r="X1578" s="196"/>
      <c r="Y1578" s="196"/>
      <c r="Z1578" s="196"/>
      <c r="AA1578" s="196"/>
      <c r="AB1578" s="196"/>
      <c r="AC1578" s="196"/>
      <c r="AD1578" s="196"/>
      <c r="AE1578" s="196"/>
      <c r="AF1578" s="196"/>
      <c r="AG1578" s="196"/>
      <c r="AH1578" s="196"/>
      <c r="AI1578" s="196"/>
      <c r="AJ1578" s="197"/>
      <c r="AK1578" s="80"/>
      <c r="AL1578" s="80"/>
      <c r="AM1578" s="73"/>
      <c r="AN1578" s="73"/>
      <c r="AO1578" s="73"/>
      <c r="AP1578" s="73"/>
      <c r="AQ1578" s="73"/>
      <c r="AR1578" s="73"/>
      <c r="AS1578" s="73"/>
      <c r="AT1578" s="73"/>
      <c r="AU1578" s="73"/>
      <c r="AV1578" s="73"/>
      <c r="AW1578" s="73"/>
      <c r="AX1578" s="73"/>
      <c r="AY1578" s="73"/>
      <c r="AZ1578" s="73"/>
      <c r="BA1578" s="73"/>
      <c r="BB1578" s="73"/>
      <c r="BC1578" s="73"/>
      <c r="BD1578" s="73"/>
      <c r="BE1578" s="73"/>
      <c r="BF1578" s="73"/>
      <c r="BG1578" s="73"/>
      <c r="BH1578" s="73"/>
      <c r="BI1578" s="73"/>
      <c r="BJ1578" s="73"/>
      <c r="BK1578" s="73"/>
      <c r="BL1578" s="73"/>
      <c r="BM1578" s="73"/>
      <c r="BN1578" s="73"/>
      <c r="BO1578" s="73"/>
      <c r="BP1578" s="73"/>
      <c r="BQ1578" s="73"/>
      <c r="BR1578" s="73"/>
      <c r="BS1578" s="73"/>
      <c r="BT1578" s="73"/>
      <c r="BU1578" s="73"/>
      <c r="BV1578" s="73"/>
      <c r="BW1578" s="73"/>
      <c r="BX1578" s="73"/>
      <c r="BY1578" s="73"/>
      <c r="BZ1578" s="73"/>
      <c r="CA1578" s="73"/>
      <c r="CB1578" s="73"/>
      <c r="CC1578" s="73"/>
      <c r="CD1578" s="73"/>
      <c r="CE1578" s="73"/>
      <c r="CF1578" s="73"/>
      <c r="CG1578" s="73"/>
      <c r="CH1578" s="73"/>
    </row>
    <row r="1579">
      <c r="A1579" s="80"/>
      <c r="B1579" s="80"/>
      <c r="C1579" s="80"/>
      <c r="D1579" s="80"/>
      <c r="E1579" s="124"/>
      <c r="F1579" s="80"/>
      <c r="G1579" s="80"/>
      <c r="H1579" s="80"/>
      <c r="I1579" s="80"/>
      <c r="J1579" s="196"/>
      <c r="K1579" s="196"/>
      <c r="L1579" s="196"/>
      <c r="M1579" s="196"/>
      <c r="N1579" s="196"/>
      <c r="O1579" s="196"/>
      <c r="P1579" s="196"/>
      <c r="Q1579" s="196"/>
      <c r="R1579" s="196"/>
      <c r="S1579" s="196"/>
      <c r="T1579" s="196"/>
      <c r="U1579" s="196"/>
      <c r="V1579" s="196"/>
      <c r="W1579" s="196"/>
      <c r="X1579" s="196"/>
      <c r="Y1579" s="196"/>
      <c r="Z1579" s="196"/>
      <c r="AA1579" s="196"/>
      <c r="AB1579" s="196"/>
      <c r="AC1579" s="196"/>
      <c r="AD1579" s="196"/>
      <c r="AE1579" s="196"/>
      <c r="AF1579" s="196"/>
      <c r="AG1579" s="196"/>
      <c r="AH1579" s="196"/>
      <c r="AI1579" s="196"/>
      <c r="AJ1579" s="197"/>
      <c r="AK1579" s="80"/>
      <c r="AL1579" s="80"/>
      <c r="AM1579" s="73"/>
      <c r="AN1579" s="73"/>
      <c r="AO1579" s="73"/>
      <c r="AP1579" s="73"/>
      <c r="AQ1579" s="73"/>
      <c r="AR1579" s="73"/>
      <c r="AS1579" s="73"/>
      <c r="AT1579" s="73"/>
      <c r="AU1579" s="73"/>
      <c r="AV1579" s="73"/>
      <c r="AW1579" s="73"/>
      <c r="AX1579" s="73"/>
      <c r="AY1579" s="73"/>
      <c r="AZ1579" s="73"/>
      <c r="BA1579" s="73"/>
      <c r="BB1579" s="73"/>
      <c r="BC1579" s="73"/>
      <c r="BD1579" s="73"/>
      <c r="BE1579" s="73"/>
      <c r="BF1579" s="73"/>
      <c r="BG1579" s="73"/>
      <c r="BH1579" s="73"/>
      <c r="BI1579" s="73"/>
      <c r="BJ1579" s="73"/>
      <c r="BK1579" s="73"/>
      <c r="BL1579" s="73"/>
      <c r="BM1579" s="73"/>
      <c r="BN1579" s="73"/>
      <c r="BO1579" s="73"/>
      <c r="BP1579" s="73"/>
      <c r="BQ1579" s="73"/>
      <c r="BR1579" s="73"/>
      <c r="BS1579" s="73"/>
      <c r="BT1579" s="73"/>
      <c r="BU1579" s="73"/>
      <c r="BV1579" s="73"/>
      <c r="BW1579" s="73"/>
      <c r="BX1579" s="73"/>
      <c r="BY1579" s="73"/>
      <c r="BZ1579" s="73"/>
      <c r="CA1579" s="73"/>
      <c r="CB1579" s="73"/>
      <c r="CC1579" s="73"/>
      <c r="CD1579" s="73"/>
      <c r="CE1579" s="73"/>
      <c r="CF1579" s="73"/>
      <c r="CG1579" s="73"/>
      <c r="CH1579" s="73"/>
    </row>
    <row r="1580">
      <c r="A1580" s="80"/>
      <c r="B1580" s="80"/>
      <c r="C1580" s="80"/>
      <c r="D1580" s="80"/>
      <c r="E1580" s="124"/>
      <c r="F1580" s="80"/>
      <c r="G1580" s="80"/>
      <c r="H1580" s="80"/>
      <c r="I1580" s="80"/>
      <c r="J1580" s="196"/>
      <c r="K1580" s="196"/>
      <c r="L1580" s="196"/>
      <c r="M1580" s="196"/>
      <c r="N1580" s="196"/>
      <c r="O1580" s="196"/>
      <c r="P1580" s="196"/>
      <c r="Q1580" s="196"/>
      <c r="R1580" s="196"/>
      <c r="S1580" s="196"/>
      <c r="T1580" s="196"/>
      <c r="U1580" s="196"/>
      <c r="V1580" s="196"/>
      <c r="W1580" s="196"/>
      <c r="X1580" s="196"/>
      <c r="Y1580" s="196"/>
      <c r="Z1580" s="196"/>
      <c r="AA1580" s="196"/>
      <c r="AB1580" s="196"/>
      <c r="AC1580" s="196"/>
      <c r="AD1580" s="196"/>
      <c r="AE1580" s="196"/>
      <c r="AF1580" s="196"/>
      <c r="AG1580" s="196"/>
      <c r="AH1580" s="196"/>
      <c r="AI1580" s="196"/>
      <c r="AJ1580" s="197"/>
      <c r="AK1580" s="80"/>
      <c r="AL1580" s="80"/>
      <c r="AM1580" s="73"/>
      <c r="AN1580" s="73"/>
      <c r="AO1580" s="73"/>
      <c r="AP1580" s="73"/>
      <c r="AQ1580" s="73"/>
      <c r="AR1580" s="73"/>
      <c r="AS1580" s="73"/>
      <c r="AT1580" s="73"/>
      <c r="AU1580" s="73"/>
      <c r="AV1580" s="73"/>
      <c r="AW1580" s="73"/>
      <c r="AX1580" s="73"/>
      <c r="AY1580" s="73"/>
      <c r="AZ1580" s="73"/>
      <c r="BA1580" s="73"/>
      <c r="BB1580" s="73"/>
      <c r="BC1580" s="73"/>
      <c r="BD1580" s="73"/>
      <c r="BE1580" s="73"/>
      <c r="BF1580" s="73"/>
      <c r="BG1580" s="73"/>
      <c r="BH1580" s="73"/>
      <c r="BI1580" s="73"/>
      <c r="BJ1580" s="73"/>
      <c r="BK1580" s="73"/>
      <c r="BL1580" s="73"/>
      <c r="BM1580" s="73"/>
      <c r="BN1580" s="73"/>
      <c r="BO1580" s="73"/>
      <c r="BP1580" s="73"/>
      <c r="BQ1580" s="73"/>
      <c r="BR1580" s="73"/>
      <c r="BS1580" s="73"/>
      <c r="BT1580" s="73"/>
      <c r="BU1580" s="73"/>
      <c r="BV1580" s="73"/>
      <c r="BW1580" s="73"/>
      <c r="BX1580" s="73"/>
      <c r="BY1580" s="73"/>
      <c r="BZ1580" s="73"/>
      <c r="CA1580" s="73"/>
      <c r="CB1580" s="73"/>
      <c r="CC1580" s="73"/>
      <c r="CD1580" s="73"/>
      <c r="CE1580" s="73"/>
      <c r="CF1580" s="73"/>
      <c r="CG1580" s="73"/>
      <c r="CH1580" s="73"/>
    </row>
    <row r="1581">
      <c r="A1581" s="80"/>
      <c r="B1581" s="80"/>
      <c r="C1581" s="80"/>
      <c r="D1581" s="80"/>
      <c r="E1581" s="124"/>
      <c r="F1581" s="80"/>
      <c r="G1581" s="80"/>
      <c r="H1581" s="80"/>
      <c r="I1581" s="80"/>
      <c r="J1581" s="196"/>
      <c r="K1581" s="196"/>
      <c r="L1581" s="196"/>
      <c r="M1581" s="196"/>
      <c r="N1581" s="196"/>
      <c r="O1581" s="196"/>
      <c r="P1581" s="196"/>
      <c r="Q1581" s="196"/>
      <c r="R1581" s="196"/>
      <c r="S1581" s="196"/>
      <c r="T1581" s="196"/>
      <c r="U1581" s="196"/>
      <c r="V1581" s="196"/>
      <c r="W1581" s="196"/>
      <c r="X1581" s="196"/>
      <c r="Y1581" s="196"/>
      <c r="Z1581" s="196"/>
      <c r="AA1581" s="196"/>
      <c r="AB1581" s="196"/>
      <c r="AC1581" s="196"/>
      <c r="AD1581" s="196"/>
      <c r="AE1581" s="196"/>
      <c r="AF1581" s="196"/>
      <c r="AG1581" s="196"/>
      <c r="AH1581" s="196"/>
      <c r="AI1581" s="196"/>
      <c r="AJ1581" s="197"/>
      <c r="AK1581" s="80"/>
      <c r="AL1581" s="80"/>
      <c r="AM1581" s="73"/>
      <c r="AN1581" s="73"/>
      <c r="AO1581" s="73"/>
      <c r="AP1581" s="73"/>
      <c r="AQ1581" s="73"/>
      <c r="AR1581" s="73"/>
      <c r="AS1581" s="73"/>
      <c r="AT1581" s="73"/>
      <c r="AU1581" s="73"/>
      <c r="AV1581" s="73"/>
      <c r="AW1581" s="73"/>
      <c r="AX1581" s="73"/>
      <c r="AY1581" s="73"/>
      <c r="AZ1581" s="73"/>
      <c r="BA1581" s="73"/>
      <c r="BB1581" s="73"/>
      <c r="BC1581" s="73"/>
      <c r="BD1581" s="73"/>
      <c r="BE1581" s="73"/>
      <c r="BF1581" s="73"/>
      <c r="BG1581" s="73"/>
      <c r="BH1581" s="73"/>
      <c r="BI1581" s="73"/>
      <c r="BJ1581" s="73"/>
      <c r="BK1581" s="73"/>
      <c r="BL1581" s="73"/>
      <c r="BM1581" s="73"/>
      <c r="BN1581" s="73"/>
      <c r="BO1581" s="73"/>
      <c r="BP1581" s="73"/>
      <c r="BQ1581" s="73"/>
      <c r="BR1581" s="73"/>
      <c r="BS1581" s="73"/>
      <c r="BT1581" s="73"/>
      <c r="BU1581" s="73"/>
      <c r="BV1581" s="73"/>
      <c r="BW1581" s="73"/>
      <c r="BX1581" s="73"/>
      <c r="BY1581" s="73"/>
      <c r="BZ1581" s="73"/>
      <c r="CA1581" s="73"/>
      <c r="CB1581" s="73"/>
      <c r="CC1581" s="73"/>
      <c r="CD1581" s="73"/>
      <c r="CE1581" s="73"/>
      <c r="CF1581" s="73"/>
      <c r="CG1581" s="73"/>
      <c r="CH1581" s="73"/>
    </row>
    <row r="1582">
      <c r="A1582" s="80"/>
      <c r="B1582" s="80"/>
      <c r="C1582" s="80"/>
      <c r="D1582" s="80"/>
      <c r="E1582" s="124"/>
      <c r="F1582" s="80"/>
      <c r="G1582" s="80"/>
      <c r="H1582" s="80"/>
      <c r="I1582" s="80"/>
      <c r="J1582" s="196"/>
      <c r="K1582" s="196"/>
      <c r="L1582" s="196"/>
      <c r="M1582" s="196"/>
      <c r="N1582" s="196"/>
      <c r="O1582" s="196"/>
      <c r="P1582" s="196"/>
      <c r="Q1582" s="196"/>
      <c r="R1582" s="196"/>
      <c r="S1582" s="196"/>
      <c r="T1582" s="196"/>
      <c r="U1582" s="196"/>
      <c r="V1582" s="196"/>
      <c r="W1582" s="196"/>
      <c r="X1582" s="196"/>
      <c r="Y1582" s="196"/>
      <c r="Z1582" s="196"/>
      <c r="AA1582" s="196"/>
      <c r="AB1582" s="196"/>
      <c r="AC1582" s="196"/>
      <c r="AD1582" s="196"/>
      <c r="AE1582" s="196"/>
      <c r="AF1582" s="196"/>
      <c r="AG1582" s="196"/>
      <c r="AH1582" s="196"/>
      <c r="AI1582" s="196"/>
      <c r="AJ1582" s="197"/>
      <c r="AK1582" s="80"/>
      <c r="AL1582" s="80"/>
      <c r="AM1582" s="73"/>
      <c r="AN1582" s="73"/>
      <c r="AO1582" s="73"/>
      <c r="AP1582" s="73"/>
      <c r="AQ1582" s="73"/>
      <c r="AR1582" s="73"/>
      <c r="AS1582" s="73"/>
      <c r="AT1582" s="73"/>
      <c r="AU1582" s="73"/>
      <c r="AV1582" s="73"/>
      <c r="AW1582" s="73"/>
      <c r="AX1582" s="73"/>
      <c r="AY1582" s="73"/>
      <c r="AZ1582" s="73"/>
      <c r="BA1582" s="73"/>
      <c r="BB1582" s="73"/>
      <c r="BC1582" s="73"/>
      <c r="BD1582" s="73"/>
      <c r="BE1582" s="73"/>
      <c r="BF1582" s="73"/>
      <c r="BG1582" s="73"/>
      <c r="BH1582" s="73"/>
      <c r="BI1582" s="73"/>
      <c r="BJ1582" s="73"/>
      <c r="BK1582" s="73"/>
      <c r="BL1582" s="73"/>
      <c r="BM1582" s="73"/>
      <c r="BN1582" s="73"/>
      <c r="BO1582" s="73"/>
      <c r="BP1582" s="73"/>
      <c r="BQ1582" s="73"/>
      <c r="BR1582" s="73"/>
      <c r="BS1582" s="73"/>
      <c r="BT1582" s="73"/>
      <c r="BU1582" s="73"/>
      <c r="BV1582" s="73"/>
      <c r="BW1582" s="73"/>
      <c r="BX1582" s="73"/>
      <c r="BY1582" s="73"/>
      <c r="BZ1582" s="73"/>
      <c r="CA1582" s="73"/>
      <c r="CB1582" s="73"/>
      <c r="CC1582" s="73"/>
      <c r="CD1582" s="73"/>
      <c r="CE1582" s="73"/>
      <c r="CF1582" s="73"/>
      <c r="CG1582" s="73"/>
      <c r="CH1582" s="73"/>
    </row>
    <row r="1583">
      <c r="A1583" s="80"/>
      <c r="B1583" s="80"/>
      <c r="C1583" s="80"/>
      <c r="D1583" s="80"/>
      <c r="E1583" s="124"/>
      <c r="F1583" s="80"/>
      <c r="G1583" s="80"/>
      <c r="H1583" s="80"/>
      <c r="I1583" s="80"/>
      <c r="J1583" s="196"/>
      <c r="K1583" s="196"/>
      <c r="L1583" s="196"/>
      <c r="M1583" s="196"/>
      <c r="N1583" s="196"/>
      <c r="O1583" s="196"/>
      <c r="P1583" s="196"/>
      <c r="Q1583" s="196"/>
      <c r="R1583" s="196"/>
      <c r="S1583" s="196"/>
      <c r="T1583" s="196"/>
      <c r="U1583" s="196"/>
      <c r="V1583" s="196"/>
      <c r="W1583" s="196"/>
      <c r="X1583" s="196"/>
      <c r="Y1583" s="196"/>
      <c r="Z1583" s="196"/>
      <c r="AA1583" s="196"/>
      <c r="AB1583" s="196"/>
      <c r="AC1583" s="196"/>
      <c r="AD1583" s="196"/>
      <c r="AE1583" s="196"/>
      <c r="AF1583" s="196"/>
      <c r="AG1583" s="196"/>
      <c r="AH1583" s="196"/>
      <c r="AI1583" s="196"/>
      <c r="AJ1583" s="197"/>
      <c r="AK1583" s="80"/>
      <c r="AL1583" s="80"/>
      <c r="AM1583" s="73"/>
      <c r="AN1583" s="73"/>
      <c r="AO1583" s="73"/>
      <c r="AP1583" s="73"/>
      <c r="AQ1583" s="73"/>
      <c r="AR1583" s="73"/>
      <c r="AS1583" s="73"/>
      <c r="AT1583" s="73"/>
      <c r="AU1583" s="73"/>
      <c r="AV1583" s="73"/>
      <c r="AW1583" s="73"/>
      <c r="AX1583" s="73"/>
      <c r="AY1583" s="73"/>
      <c r="AZ1583" s="73"/>
      <c r="BA1583" s="73"/>
      <c r="BB1583" s="73"/>
      <c r="BC1583" s="73"/>
      <c r="BD1583" s="73"/>
      <c r="BE1583" s="73"/>
      <c r="BF1583" s="73"/>
      <c r="BG1583" s="73"/>
      <c r="BH1583" s="73"/>
      <c r="BI1583" s="73"/>
      <c r="BJ1583" s="73"/>
      <c r="BK1583" s="73"/>
      <c r="BL1583" s="73"/>
      <c r="BM1583" s="73"/>
      <c r="BN1583" s="73"/>
      <c r="BO1583" s="73"/>
      <c r="BP1583" s="73"/>
      <c r="BQ1583" s="73"/>
      <c r="BR1583" s="73"/>
      <c r="BS1583" s="73"/>
      <c r="BT1583" s="73"/>
      <c r="BU1583" s="73"/>
      <c r="BV1583" s="73"/>
      <c r="BW1583" s="73"/>
      <c r="BX1583" s="73"/>
      <c r="BY1583" s="73"/>
      <c r="BZ1583" s="73"/>
      <c r="CA1583" s="73"/>
      <c r="CB1583" s="73"/>
      <c r="CC1583" s="73"/>
      <c r="CD1583" s="73"/>
      <c r="CE1583" s="73"/>
      <c r="CF1583" s="73"/>
      <c r="CG1583" s="73"/>
      <c r="CH1583" s="73"/>
    </row>
    <row r="1584">
      <c r="A1584" s="80"/>
      <c r="B1584" s="80"/>
      <c r="C1584" s="80"/>
      <c r="D1584" s="80"/>
      <c r="E1584" s="124"/>
      <c r="F1584" s="80"/>
      <c r="G1584" s="80"/>
      <c r="H1584" s="80"/>
      <c r="I1584" s="80"/>
      <c r="J1584" s="196"/>
      <c r="K1584" s="196"/>
      <c r="L1584" s="196"/>
      <c r="M1584" s="196"/>
      <c r="N1584" s="196"/>
      <c r="O1584" s="196"/>
      <c r="P1584" s="196"/>
      <c r="Q1584" s="196"/>
      <c r="R1584" s="196"/>
      <c r="S1584" s="196"/>
      <c r="T1584" s="196"/>
      <c r="U1584" s="196"/>
      <c r="V1584" s="196"/>
      <c r="W1584" s="196"/>
      <c r="X1584" s="196"/>
      <c r="Y1584" s="196"/>
      <c r="Z1584" s="196"/>
      <c r="AA1584" s="196"/>
      <c r="AB1584" s="196"/>
      <c r="AC1584" s="196"/>
      <c r="AD1584" s="196"/>
      <c r="AE1584" s="196"/>
      <c r="AF1584" s="196"/>
      <c r="AG1584" s="196"/>
      <c r="AH1584" s="196"/>
      <c r="AI1584" s="196"/>
      <c r="AJ1584" s="197"/>
      <c r="AK1584" s="80"/>
      <c r="AL1584" s="80"/>
      <c r="AM1584" s="73"/>
      <c r="AN1584" s="73"/>
      <c r="AO1584" s="73"/>
      <c r="AP1584" s="73"/>
      <c r="AQ1584" s="73"/>
      <c r="AR1584" s="73"/>
      <c r="AS1584" s="73"/>
      <c r="AT1584" s="73"/>
      <c r="AU1584" s="73"/>
      <c r="AV1584" s="73"/>
      <c r="AW1584" s="73"/>
      <c r="AX1584" s="73"/>
      <c r="AY1584" s="73"/>
      <c r="AZ1584" s="73"/>
      <c r="BA1584" s="73"/>
      <c r="BB1584" s="73"/>
      <c r="BC1584" s="73"/>
      <c r="BD1584" s="73"/>
      <c r="BE1584" s="73"/>
      <c r="BF1584" s="73"/>
      <c r="BG1584" s="73"/>
      <c r="BH1584" s="73"/>
      <c r="BI1584" s="73"/>
      <c r="BJ1584" s="73"/>
      <c r="BK1584" s="73"/>
      <c r="BL1584" s="73"/>
      <c r="BM1584" s="73"/>
      <c r="BN1584" s="73"/>
      <c r="BO1584" s="73"/>
      <c r="BP1584" s="73"/>
      <c r="BQ1584" s="73"/>
      <c r="BR1584" s="73"/>
      <c r="BS1584" s="73"/>
      <c r="BT1584" s="73"/>
      <c r="BU1584" s="73"/>
      <c r="BV1584" s="73"/>
      <c r="BW1584" s="73"/>
      <c r="BX1584" s="73"/>
      <c r="BY1584" s="73"/>
      <c r="BZ1584" s="73"/>
      <c r="CA1584" s="73"/>
      <c r="CB1584" s="73"/>
      <c r="CC1584" s="73"/>
      <c r="CD1584" s="73"/>
      <c r="CE1584" s="73"/>
      <c r="CF1584" s="73"/>
      <c r="CG1584" s="73"/>
      <c r="CH1584" s="73"/>
    </row>
    <row r="1585">
      <c r="A1585" s="80"/>
      <c r="B1585" s="80"/>
      <c r="C1585" s="80"/>
      <c r="D1585" s="80"/>
      <c r="E1585" s="124"/>
      <c r="F1585" s="80"/>
      <c r="G1585" s="80"/>
      <c r="H1585" s="80"/>
      <c r="I1585" s="80"/>
      <c r="J1585" s="196"/>
      <c r="K1585" s="196"/>
      <c r="L1585" s="196"/>
      <c r="M1585" s="196"/>
      <c r="N1585" s="196"/>
      <c r="O1585" s="196"/>
      <c r="P1585" s="196"/>
      <c r="Q1585" s="196"/>
      <c r="R1585" s="196"/>
      <c r="S1585" s="196"/>
      <c r="T1585" s="196"/>
      <c r="U1585" s="196"/>
      <c r="V1585" s="196"/>
      <c r="W1585" s="196"/>
      <c r="X1585" s="196"/>
      <c r="Y1585" s="196"/>
      <c r="Z1585" s="196"/>
      <c r="AA1585" s="196"/>
      <c r="AB1585" s="196"/>
      <c r="AC1585" s="196"/>
      <c r="AD1585" s="196"/>
      <c r="AE1585" s="196"/>
      <c r="AF1585" s="196"/>
      <c r="AG1585" s="196"/>
      <c r="AH1585" s="196"/>
      <c r="AI1585" s="196"/>
      <c r="AJ1585" s="197"/>
      <c r="AK1585" s="80"/>
      <c r="AL1585" s="80"/>
      <c r="AM1585" s="73"/>
      <c r="AN1585" s="73"/>
      <c r="AO1585" s="73"/>
      <c r="AP1585" s="73"/>
      <c r="AQ1585" s="73"/>
      <c r="AR1585" s="73"/>
      <c r="AS1585" s="73"/>
      <c r="AT1585" s="73"/>
      <c r="AU1585" s="73"/>
      <c r="AV1585" s="73"/>
      <c r="AW1585" s="73"/>
      <c r="AX1585" s="73"/>
      <c r="AY1585" s="73"/>
      <c r="AZ1585" s="73"/>
      <c r="BA1585" s="73"/>
      <c r="BB1585" s="73"/>
      <c r="BC1585" s="73"/>
      <c r="BD1585" s="73"/>
      <c r="BE1585" s="73"/>
      <c r="BF1585" s="73"/>
      <c r="BG1585" s="73"/>
      <c r="BH1585" s="73"/>
      <c r="BI1585" s="73"/>
      <c r="BJ1585" s="73"/>
      <c r="BK1585" s="73"/>
      <c r="BL1585" s="73"/>
      <c r="BM1585" s="73"/>
      <c r="BN1585" s="73"/>
      <c r="BO1585" s="73"/>
      <c r="BP1585" s="73"/>
      <c r="BQ1585" s="73"/>
      <c r="BR1585" s="73"/>
      <c r="BS1585" s="73"/>
      <c r="BT1585" s="73"/>
      <c r="BU1585" s="73"/>
      <c r="BV1585" s="73"/>
      <c r="BW1585" s="73"/>
      <c r="BX1585" s="73"/>
      <c r="BY1585" s="73"/>
      <c r="BZ1585" s="73"/>
      <c r="CA1585" s="73"/>
      <c r="CB1585" s="73"/>
      <c r="CC1585" s="73"/>
      <c r="CD1585" s="73"/>
      <c r="CE1585" s="73"/>
      <c r="CF1585" s="73"/>
      <c r="CG1585" s="73"/>
      <c r="CH1585" s="73"/>
    </row>
    <row r="1586">
      <c r="A1586" s="80"/>
      <c r="B1586" s="80"/>
      <c r="C1586" s="80"/>
      <c r="D1586" s="80"/>
      <c r="E1586" s="124"/>
      <c r="F1586" s="80"/>
      <c r="G1586" s="80"/>
      <c r="H1586" s="80"/>
      <c r="I1586" s="80"/>
      <c r="J1586" s="196"/>
      <c r="K1586" s="196"/>
      <c r="L1586" s="196"/>
      <c r="M1586" s="196"/>
      <c r="N1586" s="196"/>
      <c r="O1586" s="196"/>
      <c r="P1586" s="196"/>
      <c r="Q1586" s="196"/>
      <c r="R1586" s="196"/>
      <c r="S1586" s="196"/>
      <c r="T1586" s="196"/>
      <c r="U1586" s="196"/>
      <c r="V1586" s="196"/>
      <c r="W1586" s="196"/>
      <c r="X1586" s="196"/>
      <c r="Y1586" s="196"/>
      <c r="Z1586" s="196"/>
      <c r="AA1586" s="196"/>
      <c r="AB1586" s="196"/>
      <c r="AC1586" s="196"/>
      <c r="AD1586" s="196"/>
      <c r="AE1586" s="196"/>
      <c r="AF1586" s="196"/>
      <c r="AG1586" s="196"/>
      <c r="AH1586" s="196"/>
      <c r="AI1586" s="196"/>
      <c r="AJ1586" s="197"/>
      <c r="AK1586" s="80"/>
      <c r="AL1586" s="80"/>
      <c r="AM1586" s="73"/>
      <c r="AN1586" s="73"/>
      <c r="AO1586" s="73"/>
      <c r="AP1586" s="73"/>
      <c r="AQ1586" s="73"/>
      <c r="AR1586" s="73"/>
      <c r="AS1586" s="73"/>
      <c r="AT1586" s="73"/>
      <c r="AU1586" s="73"/>
      <c r="AV1586" s="73"/>
      <c r="AW1586" s="73"/>
      <c r="AX1586" s="73"/>
      <c r="AY1586" s="73"/>
      <c r="AZ1586" s="73"/>
      <c r="BA1586" s="73"/>
      <c r="BB1586" s="73"/>
      <c r="BC1586" s="73"/>
      <c r="BD1586" s="73"/>
      <c r="BE1586" s="73"/>
      <c r="BF1586" s="73"/>
      <c r="BG1586" s="73"/>
      <c r="BH1586" s="73"/>
      <c r="BI1586" s="73"/>
      <c r="BJ1586" s="73"/>
      <c r="BK1586" s="73"/>
      <c r="BL1586" s="73"/>
      <c r="BM1586" s="73"/>
      <c r="BN1586" s="73"/>
      <c r="BO1586" s="73"/>
      <c r="BP1586" s="73"/>
      <c r="BQ1586" s="73"/>
      <c r="BR1586" s="73"/>
      <c r="BS1586" s="73"/>
      <c r="BT1586" s="73"/>
      <c r="BU1586" s="73"/>
      <c r="BV1586" s="73"/>
      <c r="BW1586" s="73"/>
      <c r="BX1586" s="73"/>
      <c r="BY1586" s="73"/>
      <c r="BZ1586" s="73"/>
      <c r="CA1586" s="73"/>
      <c r="CB1586" s="73"/>
      <c r="CC1586" s="73"/>
      <c r="CD1586" s="73"/>
      <c r="CE1586" s="73"/>
      <c r="CF1586" s="73"/>
      <c r="CG1586" s="73"/>
      <c r="CH1586" s="73"/>
    </row>
    <row r="1587">
      <c r="A1587" s="80"/>
      <c r="B1587" s="80"/>
      <c r="C1587" s="80"/>
      <c r="D1587" s="80"/>
      <c r="E1587" s="124"/>
      <c r="F1587" s="80"/>
      <c r="G1587" s="80"/>
      <c r="H1587" s="80"/>
      <c r="I1587" s="80"/>
      <c r="J1587" s="196"/>
      <c r="K1587" s="196"/>
      <c r="L1587" s="196"/>
      <c r="M1587" s="196"/>
      <c r="N1587" s="196"/>
      <c r="O1587" s="196"/>
      <c r="P1587" s="196"/>
      <c r="Q1587" s="196"/>
      <c r="R1587" s="196"/>
      <c r="S1587" s="196"/>
      <c r="T1587" s="196"/>
      <c r="U1587" s="196"/>
      <c r="V1587" s="196"/>
      <c r="W1587" s="196"/>
      <c r="X1587" s="196"/>
      <c r="Y1587" s="196"/>
      <c r="Z1587" s="196"/>
      <c r="AA1587" s="196"/>
      <c r="AB1587" s="196"/>
      <c r="AC1587" s="196"/>
      <c r="AD1587" s="196"/>
      <c r="AE1587" s="196"/>
      <c r="AF1587" s="196"/>
      <c r="AG1587" s="196"/>
      <c r="AH1587" s="196"/>
      <c r="AI1587" s="196"/>
      <c r="AJ1587" s="197"/>
      <c r="AK1587" s="80"/>
      <c r="AL1587" s="80"/>
      <c r="AM1587" s="73"/>
      <c r="AN1587" s="73"/>
      <c r="AO1587" s="73"/>
      <c r="AP1587" s="73"/>
      <c r="AQ1587" s="73"/>
      <c r="AR1587" s="73"/>
      <c r="AS1587" s="73"/>
      <c r="AT1587" s="73"/>
      <c r="AU1587" s="73"/>
      <c r="AV1587" s="73"/>
      <c r="AW1587" s="73"/>
      <c r="AX1587" s="73"/>
      <c r="AY1587" s="73"/>
      <c r="AZ1587" s="73"/>
      <c r="BA1587" s="73"/>
      <c r="BB1587" s="73"/>
      <c r="BC1587" s="73"/>
      <c r="BD1587" s="73"/>
      <c r="BE1587" s="73"/>
      <c r="BF1587" s="73"/>
      <c r="BG1587" s="73"/>
      <c r="BH1587" s="73"/>
      <c r="BI1587" s="73"/>
      <c r="BJ1587" s="73"/>
      <c r="BK1587" s="73"/>
      <c r="BL1587" s="73"/>
      <c r="BM1587" s="73"/>
      <c r="BN1587" s="73"/>
      <c r="BO1587" s="73"/>
      <c r="BP1587" s="73"/>
      <c r="BQ1587" s="73"/>
      <c r="BR1587" s="73"/>
      <c r="BS1587" s="73"/>
      <c r="BT1587" s="73"/>
      <c r="BU1587" s="73"/>
      <c r="BV1587" s="73"/>
      <c r="BW1587" s="73"/>
      <c r="BX1587" s="73"/>
      <c r="BY1587" s="73"/>
      <c r="BZ1587" s="73"/>
      <c r="CA1587" s="73"/>
      <c r="CB1587" s="73"/>
      <c r="CC1587" s="73"/>
      <c r="CD1587" s="73"/>
      <c r="CE1587" s="73"/>
      <c r="CF1587" s="73"/>
      <c r="CG1587" s="73"/>
      <c r="CH1587" s="73"/>
    </row>
    <row r="1588">
      <c r="A1588" s="80"/>
      <c r="B1588" s="80"/>
      <c r="C1588" s="80"/>
      <c r="D1588" s="80"/>
      <c r="E1588" s="124"/>
      <c r="F1588" s="80"/>
      <c r="G1588" s="80"/>
      <c r="H1588" s="80"/>
      <c r="I1588" s="80"/>
      <c r="J1588" s="196"/>
      <c r="K1588" s="196"/>
      <c r="L1588" s="196"/>
      <c r="M1588" s="196"/>
      <c r="N1588" s="196"/>
      <c r="O1588" s="196"/>
      <c r="P1588" s="196"/>
      <c r="Q1588" s="196"/>
      <c r="R1588" s="196"/>
      <c r="S1588" s="196"/>
      <c r="T1588" s="196"/>
      <c r="U1588" s="196"/>
      <c r="V1588" s="196"/>
      <c r="W1588" s="196"/>
      <c r="X1588" s="196"/>
      <c r="Y1588" s="196"/>
      <c r="Z1588" s="196"/>
      <c r="AA1588" s="196"/>
      <c r="AB1588" s="196"/>
      <c r="AC1588" s="196"/>
      <c r="AD1588" s="196"/>
      <c r="AE1588" s="196"/>
      <c r="AF1588" s="196"/>
      <c r="AG1588" s="196"/>
      <c r="AH1588" s="196"/>
      <c r="AI1588" s="196"/>
      <c r="AJ1588" s="197"/>
      <c r="AK1588" s="80"/>
      <c r="AL1588" s="80"/>
      <c r="AM1588" s="73"/>
      <c r="AN1588" s="73"/>
      <c r="AO1588" s="73"/>
      <c r="AP1588" s="73"/>
      <c r="AQ1588" s="73"/>
      <c r="AR1588" s="73"/>
      <c r="AS1588" s="73"/>
      <c r="AT1588" s="73"/>
      <c r="AU1588" s="73"/>
      <c r="AV1588" s="73"/>
      <c r="AW1588" s="73"/>
      <c r="AX1588" s="73"/>
      <c r="AY1588" s="73"/>
      <c r="AZ1588" s="73"/>
      <c r="BA1588" s="73"/>
      <c r="BB1588" s="73"/>
      <c r="BC1588" s="73"/>
      <c r="BD1588" s="73"/>
      <c r="BE1588" s="73"/>
      <c r="BF1588" s="73"/>
      <c r="BG1588" s="73"/>
      <c r="BH1588" s="73"/>
      <c r="BI1588" s="73"/>
      <c r="BJ1588" s="73"/>
      <c r="BK1588" s="73"/>
      <c r="BL1588" s="73"/>
      <c r="BM1588" s="73"/>
      <c r="BN1588" s="73"/>
      <c r="BO1588" s="73"/>
      <c r="BP1588" s="73"/>
      <c r="BQ1588" s="73"/>
      <c r="BR1588" s="73"/>
      <c r="BS1588" s="73"/>
      <c r="BT1588" s="73"/>
      <c r="BU1588" s="73"/>
      <c r="BV1588" s="73"/>
      <c r="BW1588" s="73"/>
      <c r="BX1588" s="73"/>
      <c r="BY1588" s="73"/>
      <c r="BZ1588" s="73"/>
      <c r="CA1588" s="73"/>
      <c r="CB1588" s="73"/>
      <c r="CC1588" s="73"/>
      <c r="CD1588" s="73"/>
      <c r="CE1588" s="73"/>
      <c r="CF1588" s="73"/>
      <c r="CG1588" s="73"/>
      <c r="CH1588" s="73"/>
    </row>
    <row r="1589">
      <c r="A1589" s="80"/>
      <c r="B1589" s="80"/>
      <c r="C1589" s="80"/>
      <c r="D1589" s="80"/>
      <c r="E1589" s="124"/>
      <c r="F1589" s="80"/>
      <c r="G1589" s="80"/>
      <c r="H1589" s="80"/>
      <c r="I1589" s="80"/>
      <c r="J1589" s="196"/>
      <c r="K1589" s="196"/>
      <c r="L1589" s="196"/>
      <c r="M1589" s="196"/>
      <c r="N1589" s="196"/>
      <c r="O1589" s="196"/>
      <c r="P1589" s="196"/>
      <c r="Q1589" s="196"/>
      <c r="R1589" s="196"/>
      <c r="S1589" s="196"/>
      <c r="T1589" s="196"/>
      <c r="U1589" s="196"/>
      <c r="V1589" s="196"/>
      <c r="W1589" s="196"/>
      <c r="X1589" s="196"/>
      <c r="Y1589" s="196"/>
      <c r="Z1589" s="196"/>
      <c r="AA1589" s="196"/>
      <c r="AB1589" s="196"/>
      <c r="AC1589" s="196"/>
      <c r="AD1589" s="196"/>
      <c r="AE1589" s="196"/>
      <c r="AF1589" s="196"/>
      <c r="AG1589" s="196"/>
      <c r="AH1589" s="196"/>
      <c r="AI1589" s="196"/>
      <c r="AJ1589" s="197"/>
      <c r="AK1589" s="80"/>
      <c r="AL1589" s="80"/>
      <c r="AM1589" s="73"/>
      <c r="AN1589" s="73"/>
      <c r="AO1589" s="73"/>
      <c r="AP1589" s="73"/>
      <c r="AQ1589" s="73"/>
      <c r="AR1589" s="73"/>
      <c r="AS1589" s="73"/>
      <c r="AT1589" s="73"/>
      <c r="AU1589" s="73"/>
      <c r="AV1589" s="73"/>
      <c r="AW1589" s="73"/>
      <c r="AX1589" s="73"/>
      <c r="AY1589" s="73"/>
      <c r="AZ1589" s="73"/>
      <c r="BA1589" s="73"/>
      <c r="BB1589" s="73"/>
      <c r="BC1589" s="73"/>
      <c r="BD1589" s="73"/>
      <c r="BE1589" s="73"/>
      <c r="BF1589" s="73"/>
      <c r="BG1589" s="73"/>
      <c r="BH1589" s="73"/>
      <c r="BI1589" s="73"/>
      <c r="BJ1589" s="73"/>
      <c r="BK1589" s="73"/>
      <c r="BL1589" s="73"/>
      <c r="BM1589" s="73"/>
      <c r="BN1589" s="73"/>
      <c r="BO1589" s="73"/>
      <c r="BP1589" s="73"/>
      <c r="BQ1589" s="73"/>
      <c r="BR1589" s="73"/>
      <c r="BS1589" s="73"/>
      <c r="BT1589" s="73"/>
      <c r="BU1589" s="73"/>
      <c r="BV1589" s="73"/>
      <c r="BW1589" s="73"/>
      <c r="BX1589" s="73"/>
      <c r="BY1589" s="73"/>
      <c r="BZ1589" s="73"/>
      <c r="CA1589" s="73"/>
      <c r="CB1589" s="73"/>
      <c r="CC1589" s="73"/>
      <c r="CD1589" s="73"/>
      <c r="CE1589" s="73"/>
      <c r="CF1589" s="73"/>
      <c r="CG1589" s="73"/>
      <c r="CH1589" s="73"/>
    </row>
    <row r="1590">
      <c r="A1590" s="80"/>
      <c r="B1590" s="80"/>
      <c r="C1590" s="80"/>
      <c r="D1590" s="80"/>
      <c r="E1590" s="124"/>
      <c r="F1590" s="80"/>
      <c r="G1590" s="80"/>
      <c r="H1590" s="80"/>
      <c r="I1590" s="80"/>
      <c r="J1590" s="196"/>
      <c r="K1590" s="196"/>
      <c r="L1590" s="196"/>
      <c r="M1590" s="196"/>
      <c r="N1590" s="196"/>
      <c r="O1590" s="196"/>
      <c r="P1590" s="196"/>
      <c r="Q1590" s="196"/>
      <c r="R1590" s="196"/>
      <c r="S1590" s="196"/>
      <c r="T1590" s="196"/>
      <c r="U1590" s="196"/>
      <c r="V1590" s="196"/>
      <c r="W1590" s="196"/>
      <c r="X1590" s="196"/>
      <c r="Y1590" s="196"/>
      <c r="Z1590" s="196"/>
      <c r="AA1590" s="196"/>
      <c r="AB1590" s="196"/>
      <c r="AC1590" s="196"/>
      <c r="AD1590" s="196"/>
      <c r="AE1590" s="196"/>
      <c r="AF1590" s="196"/>
      <c r="AG1590" s="196"/>
      <c r="AH1590" s="196"/>
      <c r="AI1590" s="196"/>
      <c r="AJ1590" s="197"/>
      <c r="AK1590" s="80"/>
      <c r="AL1590" s="80"/>
      <c r="AM1590" s="73"/>
      <c r="AN1590" s="73"/>
      <c r="AO1590" s="73"/>
      <c r="AP1590" s="73"/>
      <c r="AQ1590" s="73"/>
      <c r="AR1590" s="73"/>
      <c r="AS1590" s="73"/>
      <c r="AT1590" s="73"/>
      <c r="AU1590" s="73"/>
      <c r="AV1590" s="73"/>
      <c r="AW1590" s="73"/>
      <c r="AX1590" s="73"/>
      <c r="AY1590" s="73"/>
      <c r="AZ1590" s="73"/>
      <c r="BA1590" s="73"/>
      <c r="BB1590" s="73"/>
      <c r="BC1590" s="73"/>
      <c r="BD1590" s="73"/>
      <c r="BE1590" s="73"/>
      <c r="BF1590" s="73"/>
      <c r="BG1590" s="73"/>
      <c r="BH1590" s="73"/>
      <c r="BI1590" s="73"/>
      <c r="BJ1590" s="73"/>
      <c r="BK1590" s="73"/>
      <c r="BL1590" s="73"/>
      <c r="BM1590" s="73"/>
      <c r="BN1590" s="73"/>
      <c r="BO1590" s="73"/>
      <c r="BP1590" s="73"/>
      <c r="BQ1590" s="73"/>
      <c r="BR1590" s="73"/>
      <c r="BS1590" s="73"/>
      <c r="BT1590" s="73"/>
      <c r="BU1590" s="73"/>
      <c r="BV1590" s="73"/>
      <c r="BW1590" s="73"/>
      <c r="BX1590" s="73"/>
      <c r="BY1590" s="73"/>
      <c r="BZ1590" s="73"/>
      <c r="CA1590" s="73"/>
      <c r="CB1590" s="73"/>
      <c r="CC1590" s="73"/>
      <c r="CD1590" s="73"/>
      <c r="CE1590" s="73"/>
      <c r="CF1590" s="73"/>
      <c r="CG1590" s="73"/>
      <c r="CH1590" s="73"/>
    </row>
    <row r="1591">
      <c r="A1591" s="80"/>
      <c r="B1591" s="80"/>
      <c r="C1591" s="80"/>
      <c r="D1591" s="80"/>
      <c r="E1591" s="124"/>
      <c r="F1591" s="80"/>
      <c r="G1591" s="80"/>
      <c r="H1591" s="80"/>
      <c r="I1591" s="80"/>
      <c r="J1591" s="196"/>
      <c r="K1591" s="196"/>
      <c r="L1591" s="196"/>
      <c r="M1591" s="196"/>
      <c r="N1591" s="196"/>
      <c r="O1591" s="196"/>
      <c r="P1591" s="196"/>
      <c r="Q1591" s="196"/>
      <c r="R1591" s="196"/>
      <c r="S1591" s="196"/>
      <c r="T1591" s="196"/>
      <c r="U1591" s="196"/>
      <c r="V1591" s="196"/>
      <c r="W1591" s="196"/>
      <c r="X1591" s="196"/>
      <c r="Y1591" s="196"/>
      <c r="Z1591" s="196"/>
      <c r="AA1591" s="196"/>
      <c r="AB1591" s="196"/>
      <c r="AC1591" s="196"/>
      <c r="AD1591" s="196"/>
      <c r="AE1591" s="196"/>
      <c r="AF1591" s="196"/>
      <c r="AG1591" s="196"/>
      <c r="AH1591" s="196"/>
      <c r="AI1591" s="196"/>
      <c r="AJ1591" s="197"/>
      <c r="AK1591" s="80"/>
      <c r="AL1591" s="80"/>
      <c r="AM1591" s="73"/>
      <c r="AN1591" s="73"/>
      <c r="AO1591" s="73"/>
      <c r="AP1591" s="73"/>
      <c r="AQ1591" s="73"/>
      <c r="AR1591" s="73"/>
      <c r="AS1591" s="73"/>
      <c r="AT1591" s="73"/>
      <c r="AU1591" s="73"/>
      <c r="AV1591" s="73"/>
      <c r="AW1591" s="73"/>
      <c r="AX1591" s="73"/>
      <c r="AY1591" s="73"/>
      <c r="AZ1591" s="73"/>
      <c r="BA1591" s="73"/>
      <c r="BB1591" s="73"/>
      <c r="BC1591" s="73"/>
      <c r="BD1591" s="73"/>
      <c r="BE1591" s="73"/>
      <c r="BF1591" s="73"/>
      <c r="BG1591" s="73"/>
      <c r="BH1591" s="73"/>
      <c r="BI1591" s="73"/>
      <c r="BJ1591" s="73"/>
      <c r="BK1591" s="73"/>
      <c r="BL1591" s="73"/>
      <c r="BM1591" s="73"/>
      <c r="BN1591" s="73"/>
      <c r="BO1591" s="73"/>
      <c r="BP1591" s="73"/>
      <c r="BQ1591" s="73"/>
      <c r="BR1591" s="73"/>
      <c r="BS1591" s="73"/>
      <c r="BT1591" s="73"/>
      <c r="BU1591" s="73"/>
      <c r="BV1591" s="73"/>
      <c r="BW1591" s="73"/>
      <c r="BX1591" s="73"/>
      <c r="BY1591" s="73"/>
      <c r="BZ1591" s="73"/>
      <c r="CA1591" s="73"/>
      <c r="CB1591" s="73"/>
      <c r="CC1591" s="73"/>
      <c r="CD1591" s="73"/>
      <c r="CE1591" s="73"/>
      <c r="CF1591" s="73"/>
      <c r="CG1591" s="73"/>
      <c r="CH1591" s="73"/>
    </row>
    <row r="1592">
      <c r="A1592" s="80"/>
      <c r="B1592" s="80"/>
      <c r="C1592" s="80"/>
      <c r="D1592" s="80"/>
      <c r="E1592" s="124"/>
      <c r="F1592" s="80"/>
      <c r="G1592" s="80"/>
      <c r="H1592" s="80"/>
      <c r="I1592" s="80"/>
      <c r="J1592" s="196"/>
      <c r="K1592" s="196"/>
      <c r="L1592" s="196"/>
      <c r="M1592" s="196"/>
      <c r="N1592" s="196"/>
      <c r="O1592" s="196"/>
      <c r="P1592" s="196"/>
      <c r="Q1592" s="196"/>
      <c r="R1592" s="196"/>
      <c r="S1592" s="196"/>
      <c r="T1592" s="196"/>
      <c r="U1592" s="196"/>
      <c r="V1592" s="196"/>
      <c r="W1592" s="196"/>
      <c r="X1592" s="196"/>
      <c r="Y1592" s="196"/>
      <c r="Z1592" s="196"/>
      <c r="AA1592" s="196"/>
      <c r="AB1592" s="196"/>
      <c r="AC1592" s="196"/>
      <c r="AD1592" s="196"/>
      <c r="AE1592" s="196"/>
      <c r="AF1592" s="196"/>
      <c r="AG1592" s="196"/>
      <c r="AH1592" s="196"/>
      <c r="AI1592" s="196"/>
      <c r="AJ1592" s="197"/>
      <c r="AK1592" s="80"/>
      <c r="AL1592" s="80"/>
      <c r="AM1592" s="73"/>
      <c r="AN1592" s="73"/>
      <c r="AO1592" s="73"/>
      <c r="AP1592" s="73"/>
      <c r="AQ1592" s="73"/>
      <c r="AR1592" s="73"/>
      <c r="AS1592" s="73"/>
      <c r="AT1592" s="73"/>
      <c r="AU1592" s="73"/>
      <c r="AV1592" s="73"/>
      <c r="AW1592" s="73"/>
      <c r="AX1592" s="73"/>
      <c r="AY1592" s="73"/>
      <c r="AZ1592" s="73"/>
      <c r="BA1592" s="73"/>
      <c r="BB1592" s="73"/>
      <c r="BC1592" s="73"/>
      <c r="BD1592" s="73"/>
      <c r="BE1592" s="73"/>
      <c r="BF1592" s="73"/>
      <c r="BG1592" s="73"/>
      <c r="BH1592" s="73"/>
      <c r="BI1592" s="73"/>
      <c r="BJ1592" s="73"/>
      <c r="BK1592" s="73"/>
      <c r="BL1592" s="73"/>
      <c r="BM1592" s="73"/>
      <c r="BN1592" s="73"/>
      <c r="BO1592" s="73"/>
      <c r="BP1592" s="73"/>
      <c r="BQ1592" s="73"/>
      <c r="BR1592" s="73"/>
      <c r="BS1592" s="73"/>
      <c r="BT1592" s="73"/>
      <c r="BU1592" s="73"/>
      <c r="BV1592" s="73"/>
      <c r="BW1592" s="73"/>
      <c r="BX1592" s="73"/>
      <c r="BY1592" s="73"/>
      <c r="BZ1592" s="73"/>
      <c r="CA1592" s="73"/>
      <c r="CB1592" s="73"/>
      <c r="CC1592" s="73"/>
      <c r="CD1592" s="73"/>
      <c r="CE1592" s="73"/>
      <c r="CF1592" s="73"/>
      <c r="CG1592" s="73"/>
      <c r="CH1592" s="73"/>
    </row>
    <row r="1593">
      <c r="A1593" s="80"/>
      <c r="B1593" s="80"/>
      <c r="C1593" s="80"/>
      <c r="D1593" s="80"/>
      <c r="E1593" s="124"/>
      <c r="F1593" s="80"/>
      <c r="G1593" s="80"/>
      <c r="H1593" s="80"/>
      <c r="I1593" s="80"/>
      <c r="J1593" s="196"/>
      <c r="K1593" s="196"/>
      <c r="L1593" s="196"/>
      <c r="M1593" s="196"/>
      <c r="N1593" s="196"/>
      <c r="O1593" s="196"/>
      <c r="P1593" s="196"/>
      <c r="Q1593" s="196"/>
      <c r="R1593" s="196"/>
      <c r="S1593" s="196"/>
      <c r="T1593" s="196"/>
      <c r="U1593" s="196"/>
      <c r="V1593" s="196"/>
      <c r="W1593" s="196"/>
      <c r="X1593" s="196"/>
      <c r="Y1593" s="196"/>
      <c r="Z1593" s="196"/>
      <c r="AA1593" s="196"/>
      <c r="AB1593" s="196"/>
      <c r="AC1593" s="196"/>
      <c r="AD1593" s="196"/>
      <c r="AE1593" s="196"/>
      <c r="AF1593" s="196"/>
      <c r="AG1593" s="196"/>
      <c r="AH1593" s="196"/>
      <c r="AI1593" s="196"/>
      <c r="AJ1593" s="197"/>
      <c r="AK1593" s="80"/>
      <c r="AL1593" s="80"/>
      <c r="AM1593" s="73"/>
      <c r="AN1593" s="73"/>
      <c r="AO1593" s="73"/>
      <c r="AP1593" s="73"/>
      <c r="AQ1593" s="73"/>
      <c r="AR1593" s="73"/>
      <c r="AS1593" s="73"/>
      <c r="AT1593" s="73"/>
      <c r="AU1593" s="73"/>
      <c r="AV1593" s="73"/>
      <c r="AW1593" s="73"/>
      <c r="AX1593" s="73"/>
      <c r="AY1593" s="73"/>
      <c r="AZ1593" s="73"/>
      <c r="BA1593" s="73"/>
      <c r="BB1593" s="73"/>
      <c r="BC1593" s="73"/>
      <c r="BD1593" s="73"/>
      <c r="BE1593" s="73"/>
      <c r="BF1593" s="73"/>
      <c r="BG1593" s="73"/>
      <c r="BH1593" s="73"/>
      <c r="BI1593" s="73"/>
      <c r="BJ1593" s="73"/>
      <c r="BK1593" s="73"/>
      <c r="BL1593" s="73"/>
      <c r="BM1593" s="73"/>
      <c r="BN1593" s="73"/>
      <c r="BO1593" s="73"/>
      <c r="BP1593" s="73"/>
      <c r="BQ1593" s="73"/>
      <c r="BR1593" s="73"/>
      <c r="BS1593" s="73"/>
      <c r="BT1593" s="73"/>
      <c r="BU1593" s="73"/>
      <c r="BV1593" s="73"/>
      <c r="BW1593" s="73"/>
      <c r="BX1593" s="73"/>
      <c r="BY1593" s="73"/>
      <c r="BZ1593" s="73"/>
      <c r="CA1593" s="73"/>
      <c r="CB1593" s="73"/>
      <c r="CC1593" s="73"/>
      <c r="CD1593" s="73"/>
      <c r="CE1593" s="73"/>
      <c r="CF1593" s="73"/>
      <c r="CG1593" s="73"/>
      <c r="CH1593" s="73"/>
    </row>
    <row r="1594">
      <c r="A1594" s="80"/>
      <c r="B1594" s="80"/>
      <c r="C1594" s="80"/>
      <c r="D1594" s="80"/>
      <c r="E1594" s="124"/>
      <c r="F1594" s="80"/>
      <c r="G1594" s="80"/>
      <c r="H1594" s="80"/>
      <c r="I1594" s="80"/>
      <c r="J1594" s="196"/>
      <c r="K1594" s="196"/>
      <c r="L1594" s="196"/>
      <c r="M1594" s="196"/>
      <c r="N1594" s="196"/>
      <c r="O1594" s="196"/>
      <c r="P1594" s="196"/>
      <c r="Q1594" s="196"/>
      <c r="R1594" s="196"/>
      <c r="S1594" s="196"/>
      <c r="T1594" s="196"/>
      <c r="U1594" s="196"/>
      <c r="V1594" s="196"/>
      <c r="W1594" s="196"/>
      <c r="X1594" s="196"/>
      <c r="Y1594" s="196"/>
      <c r="Z1594" s="196"/>
      <c r="AA1594" s="196"/>
      <c r="AB1594" s="196"/>
      <c r="AC1594" s="196"/>
      <c r="AD1594" s="196"/>
      <c r="AE1594" s="196"/>
      <c r="AF1594" s="196"/>
      <c r="AG1594" s="196"/>
      <c r="AH1594" s="196"/>
      <c r="AI1594" s="196"/>
      <c r="AJ1594" s="197"/>
      <c r="AK1594" s="80"/>
      <c r="AL1594" s="80"/>
      <c r="AM1594" s="73"/>
      <c r="AN1594" s="73"/>
      <c r="AO1594" s="73"/>
      <c r="AP1594" s="73"/>
      <c r="AQ1594" s="73"/>
      <c r="AR1594" s="73"/>
      <c r="AS1594" s="73"/>
      <c r="AT1594" s="73"/>
      <c r="AU1594" s="73"/>
      <c r="AV1594" s="73"/>
      <c r="AW1594" s="73"/>
      <c r="AX1594" s="73"/>
      <c r="AY1594" s="73"/>
      <c r="AZ1594" s="73"/>
      <c r="BA1594" s="73"/>
      <c r="BB1594" s="73"/>
      <c r="BC1594" s="73"/>
      <c r="BD1594" s="73"/>
      <c r="BE1594" s="73"/>
      <c r="BF1594" s="73"/>
      <c r="BG1594" s="73"/>
      <c r="BH1594" s="73"/>
      <c r="BI1594" s="73"/>
      <c r="BJ1594" s="73"/>
      <c r="BK1594" s="73"/>
      <c r="BL1594" s="73"/>
      <c r="BM1594" s="73"/>
      <c r="BN1594" s="73"/>
      <c r="BO1594" s="73"/>
      <c r="BP1594" s="73"/>
      <c r="BQ1594" s="73"/>
      <c r="BR1594" s="73"/>
      <c r="BS1594" s="73"/>
      <c r="BT1594" s="73"/>
      <c r="BU1594" s="73"/>
      <c r="BV1594" s="73"/>
      <c r="BW1594" s="73"/>
      <c r="BX1594" s="73"/>
      <c r="BY1594" s="73"/>
      <c r="BZ1594" s="73"/>
      <c r="CA1594" s="73"/>
      <c r="CB1594" s="73"/>
      <c r="CC1594" s="73"/>
      <c r="CD1594" s="73"/>
      <c r="CE1594" s="73"/>
      <c r="CF1594" s="73"/>
      <c r="CG1594" s="73"/>
      <c r="CH1594" s="73"/>
    </row>
    <row r="1595">
      <c r="A1595" s="80"/>
      <c r="B1595" s="80"/>
      <c r="C1595" s="80"/>
      <c r="D1595" s="80"/>
      <c r="E1595" s="124"/>
      <c r="F1595" s="80"/>
      <c r="G1595" s="80"/>
      <c r="H1595" s="80"/>
      <c r="I1595" s="80"/>
      <c r="J1595" s="196"/>
      <c r="K1595" s="196"/>
      <c r="L1595" s="196"/>
      <c r="M1595" s="196"/>
      <c r="N1595" s="196"/>
      <c r="O1595" s="196"/>
      <c r="P1595" s="196"/>
      <c r="Q1595" s="196"/>
      <c r="R1595" s="196"/>
      <c r="S1595" s="196"/>
      <c r="T1595" s="196"/>
      <c r="U1595" s="196"/>
      <c r="V1595" s="196"/>
      <c r="W1595" s="196"/>
      <c r="X1595" s="196"/>
      <c r="Y1595" s="196"/>
      <c r="Z1595" s="196"/>
      <c r="AA1595" s="196"/>
      <c r="AB1595" s="196"/>
      <c r="AC1595" s="196"/>
      <c r="AD1595" s="196"/>
      <c r="AE1595" s="196"/>
      <c r="AF1595" s="196"/>
      <c r="AG1595" s="196"/>
      <c r="AH1595" s="196"/>
      <c r="AI1595" s="196"/>
      <c r="AJ1595" s="197"/>
      <c r="AK1595" s="80"/>
      <c r="AL1595" s="80"/>
      <c r="AM1595" s="73"/>
      <c r="AN1595" s="73"/>
      <c r="AO1595" s="73"/>
      <c r="AP1595" s="73"/>
      <c r="AQ1595" s="73"/>
      <c r="AR1595" s="73"/>
      <c r="AS1595" s="73"/>
      <c r="AT1595" s="73"/>
      <c r="AU1595" s="73"/>
      <c r="AV1595" s="73"/>
      <c r="AW1595" s="73"/>
      <c r="AX1595" s="73"/>
      <c r="AY1595" s="73"/>
      <c r="AZ1595" s="73"/>
      <c r="BA1595" s="73"/>
      <c r="BB1595" s="73"/>
      <c r="BC1595" s="73"/>
      <c r="BD1595" s="73"/>
      <c r="BE1595" s="73"/>
      <c r="BF1595" s="73"/>
      <c r="BG1595" s="73"/>
      <c r="BH1595" s="73"/>
      <c r="BI1595" s="73"/>
      <c r="BJ1595" s="73"/>
      <c r="BK1595" s="73"/>
      <c r="BL1595" s="73"/>
      <c r="BM1595" s="73"/>
      <c r="BN1595" s="73"/>
      <c r="BO1595" s="73"/>
      <c r="BP1595" s="73"/>
      <c r="BQ1595" s="73"/>
      <c r="BR1595" s="73"/>
      <c r="BS1595" s="73"/>
      <c r="BT1595" s="73"/>
      <c r="BU1595" s="73"/>
      <c r="BV1595" s="73"/>
      <c r="BW1595" s="73"/>
      <c r="BX1595" s="73"/>
      <c r="BY1595" s="73"/>
      <c r="BZ1595" s="73"/>
      <c r="CA1595" s="73"/>
      <c r="CB1595" s="73"/>
      <c r="CC1595" s="73"/>
      <c r="CD1595" s="73"/>
      <c r="CE1595" s="73"/>
      <c r="CF1595" s="73"/>
      <c r="CG1595" s="73"/>
      <c r="CH1595" s="73"/>
    </row>
    <row r="1596">
      <c r="A1596" s="80"/>
      <c r="B1596" s="80"/>
      <c r="C1596" s="80"/>
      <c r="D1596" s="80"/>
      <c r="E1596" s="124"/>
      <c r="F1596" s="80"/>
      <c r="G1596" s="80"/>
      <c r="H1596" s="80"/>
      <c r="I1596" s="80"/>
      <c r="J1596" s="196"/>
      <c r="K1596" s="196"/>
      <c r="L1596" s="196"/>
      <c r="M1596" s="196"/>
      <c r="N1596" s="196"/>
      <c r="O1596" s="196"/>
      <c r="P1596" s="196"/>
      <c r="Q1596" s="196"/>
      <c r="R1596" s="196"/>
      <c r="S1596" s="196"/>
      <c r="T1596" s="196"/>
      <c r="U1596" s="196"/>
      <c r="V1596" s="196"/>
      <c r="W1596" s="196"/>
      <c r="X1596" s="196"/>
      <c r="Y1596" s="196"/>
      <c r="Z1596" s="196"/>
      <c r="AA1596" s="196"/>
      <c r="AB1596" s="196"/>
      <c r="AC1596" s="196"/>
      <c r="AD1596" s="196"/>
      <c r="AE1596" s="196"/>
      <c r="AF1596" s="196"/>
      <c r="AG1596" s="196"/>
      <c r="AH1596" s="196"/>
      <c r="AI1596" s="196"/>
      <c r="AJ1596" s="197"/>
      <c r="AK1596" s="80"/>
      <c r="AL1596" s="80"/>
      <c r="AM1596" s="73"/>
      <c r="AN1596" s="73"/>
      <c r="AO1596" s="73"/>
      <c r="AP1596" s="73"/>
      <c r="AQ1596" s="73"/>
      <c r="AR1596" s="73"/>
      <c r="AS1596" s="73"/>
      <c r="AT1596" s="73"/>
      <c r="AU1596" s="73"/>
      <c r="AV1596" s="73"/>
      <c r="AW1596" s="73"/>
      <c r="AX1596" s="73"/>
      <c r="AY1596" s="73"/>
      <c r="AZ1596" s="73"/>
      <c r="BA1596" s="73"/>
      <c r="BB1596" s="73"/>
      <c r="BC1596" s="73"/>
      <c r="BD1596" s="73"/>
      <c r="BE1596" s="73"/>
      <c r="BF1596" s="73"/>
      <c r="BG1596" s="73"/>
      <c r="BH1596" s="73"/>
      <c r="BI1596" s="73"/>
      <c r="BJ1596" s="73"/>
      <c r="BK1596" s="73"/>
      <c r="BL1596" s="73"/>
      <c r="BM1596" s="73"/>
      <c r="BN1596" s="73"/>
      <c r="BO1596" s="73"/>
      <c r="BP1596" s="73"/>
      <c r="BQ1596" s="73"/>
      <c r="BR1596" s="73"/>
      <c r="BS1596" s="73"/>
      <c r="BT1596" s="73"/>
      <c r="BU1596" s="73"/>
      <c r="BV1596" s="73"/>
      <c r="BW1596" s="73"/>
      <c r="BX1596" s="73"/>
      <c r="BY1596" s="73"/>
      <c r="BZ1596" s="73"/>
      <c r="CA1596" s="73"/>
      <c r="CB1596" s="73"/>
      <c r="CC1596" s="73"/>
      <c r="CD1596" s="73"/>
      <c r="CE1596" s="73"/>
      <c r="CF1596" s="73"/>
      <c r="CG1596" s="73"/>
      <c r="CH1596" s="73"/>
    </row>
    <row r="1597">
      <c r="A1597" s="80"/>
      <c r="B1597" s="80"/>
      <c r="C1597" s="80"/>
      <c r="D1597" s="80"/>
      <c r="E1597" s="124"/>
      <c r="F1597" s="80"/>
      <c r="G1597" s="80"/>
      <c r="H1597" s="80"/>
      <c r="I1597" s="80"/>
      <c r="J1597" s="196"/>
      <c r="K1597" s="196"/>
      <c r="L1597" s="196"/>
      <c r="M1597" s="196"/>
      <c r="N1597" s="196"/>
      <c r="O1597" s="196"/>
      <c r="P1597" s="196"/>
      <c r="Q1597" s="196"/>
      <c r="R1597" s="196"/>
      <c r="S1597" s="196"/>
      <c r="T1597" s="196"/>
      <c r="U1597" s="196"/>
      <c r="V1597" s="196"/>
      <c r="W1597" s="196"/>
      <c r="X1597" s="196"/>
      <c r="Y1597" s="196"/>
      <c r="Z1597" s="196"/>
      <c r="AA1597" s="196"/>
      <c r="AB1597" s="196"/>
      <c r="AC1597" s="196"/>
      <c r="AD1597" s="196"/>
      <c r="AE1597" s="196"/>
      <c r="AF1597" s="196"/>
      <c r="AG1597" s="196"/>
      <c r="AH1597" s="196"/>
      <c r="AI1597" s="196"/>
      <c r="AJ1597" s="197"/>
      <c r="AK1597" s="80"/>
      <c r="AL1597" s="80"/>
      <c r="AM1597" s="73"/>
      <c r="AN1597" s="73"/>
      <c r="AO1597" s="73"/>
      <c r="AP1597" s="73"/>
      <c r="AQ1597" s="73"/>
      <c r="AR1597" s="73"/>
      <c r="AS1597" s="73"/>
      <c r="AT1597" s="73"/>
      <c r="AU1597" s="73"/>
      <c r="AV1597" s="73"/>
      <c r="AW1597" s="73"/>
      <c r="AX1597" s="73"/>
      <c r="AY1597" s="73"/>
      <c r="AZ1597" s="73"/>
      <c r="BA1597" s="73"/>
      <c r="BB1597" s="73"/>
      <c r="BC1597" s="73"/>
      <c r="BD1597" s="73"/>
      <c r="BE1597" s="73"/>
      <c r="BF1597" s="73"/>
      <c r="BG1597" s="73"/>
      <c r="BH1597" s="73"/>
      <c r="BI1597" s="73"/>
      <c r="BJ1597" s="73"/>
      <c r="BK1597" s="73"/>
      <c r="BL1597" s="73"/>
      <c r="BM1597" s="73"/>
      <c r="BN1597" s="73"/>
      <c r="BO1597" s="73"/>
      <c r="BP1597" s="73"/>
      <c r="BQ1597" s="73"/>
      <c r="BR1597" s="73"/>
      <c r="BS1597" s="73"/>
      <c r="BT1597" s="73"/>
      <c r="BU1597" s="73"/>
      <c r="BV1597" s="73"/>
      <c r="BW1597" s="73"/>
      <c r="BX1597" s="73"/>
      <c r="BY1597" s="73"/>
      <c r="BZ1597" s="73"/>
      <c r="CA1597" s="73"/>
      <c r="CB1597" s="73"/>
      <c r="CC1597" s="73"/>
      <c r="CD1597" s="73"/>
      <c r="CE1597" s="73"/>
      <c r="CF1597" s="73"/>
      <c r="CG1597" s="73"/>
      <c r="CH1597" s="73"/>
    </row>
    <row r="1598">
      <c r="A1598" s="80"/>
      <c r="B1598" s="80"/>
      <c r="C1598" s="80"/>
      <c r="D1598" s="80"/>
      <c r="E1598" s="124"/>
      <c r="F1598" s="80"/>
      <c r="G1598" s="80"/>
      <c r="H1598" s="80"/>
      <c r="I1598" s="80"/>
      <c r="J1598" s="196"/>
      <c r="K1598" s="196"/>
      <c r="L1598" s="196"/>
      <c r="M1598" s="196"/>
      <c r="N1598" s="196"/>
      <c r="O1598" s="196"/>
      <c r="P1598" s="196"/>
      <c r="Q1598" s="196"/>
      <c r="R1598" s="196"/>
      <c r="S1598" s="196"/>
      <c r="T1598" s="196"/>
      <c r="U1598" s="196"/>
      <c r="V1598" s="196"/>
      <c r="W1598" s="196"/>
      <c r="X1598" s="196"/>
      <c r="Y1598" s="196"/>
      <c r="Z1598" s="196"/>
      <c r="AA1598" s="196"/>
      <c r="AB1598" s="196"/>
      <c r="AC1598" s="196"/>
      <c r="AD1598" s="196"/>
      <c r="AE1598" s="196"/>
      <c r="AF1598" s="196"/>
      <c r="AG1598" s="196"/>
      <c r="AH1598" s="196"/>
      <c r="AI1598" s="196"/>
      <c r="AJ1598" s="197"/>
      <c r="AK1598" s="80"/>
      <c r="AL1598" s="80"/>
      <c r="AM1598" s="73"/>
      <c r="AN1598" s="73"/>
      <c r="AO1598" s="73"/>
      <c r="AP1598" s="73"/>
      <c r="AQ1598" s="73"/>
      <c r="AR1598" s="73"/>
      <c r="AS1598" s="73"/>
      <c r="AT1598" s="73"/>
      <c r="AU1598" s="73"/>
      <c r="AV1598" s="73"/>
      <c r="AW1598" s="73"/>
      <c r="AX1598" s="73"/>
      <c r="AY1598" s="73"/>
      <c r="AZ1598" s="73"/>
      <c r="BA1598" s="73"/>
      <c r="BB1598" s="73"/>
      <c r="BC1598" s="73"/>
      <c r="BD1598" s="73"/>
      <c r="BE1598" s="73"/>
      <c r="BF1598" s="73"/>
      <c r="BG1598" s="73"/>
      <c r="BH1598" s="73"/>
      <c r="BI1598" s="73"/>
      <c r="BJ1598" s="73"/>
      <c r="BK1598" s="73"/>
      <c r="BL1598" s="73"/>
      <c r="BM1598" s="73"/>
      <c r="BN1598" s="73"/>
      <c r="BO1598" s="73"/>
      <c r="BP1598" s="73"/>
      <c r="BQ1598" s="73"/>
      <c r="BR1598" s="73"/>
      <c r="BS1598" s="73"/>
      <c r="BT1598" s="73"/>
      <c r="BU1598" s="73"/>
      <c r="BV1598" s="73"/>
      <c r="BW1598" s="73"/>
      <c r="BX1598" s="73"/>
      <c r="BY1598" s="73"/>
      <c r="BZ1598" s="73"/>
      <c r="CA1598" s="73"/>
      <c r="CB1598" s="73"/>
      <c r="CC1598" s="73"/>
      <c r="CD1598" s="73"/>
      <c r="CE1598" s="73"/>
      <c r="CF1598" s="73"/>
      <c r="CG1598" s="73"/>
      <c r="CH1598" s="73"/>
    </row>
    <row r="1599">
      <c r="A1599" s="80"/>
      <c r="B1599" s="80"/>
      <c r="C1599" s="80"/>
      <c r="D1599" s="80"/>
      <c r="E1599" s="124"/>
      <c r="F1599" s="80"/>
      <c r="G1599" s="80"/>
      <c r="H1599" s="80"/>
      <c r="I1599" s="80"/>
      <c r="J1599" s="196"/>
      <c r="K1599" s="196"/>
      <c r="L1599" s="196"/>
      <c r="M1599" s="196"/>
      <c r="N1599" s="196"/>
      <c r="O1599" s="196"/>
      <c r="P1599" s="196"/>
      <c r="Q1599" s="196"/>
      <c r="R1599" s="196"/>
      <c r="S1599" s="196"/>
      <c r="T1599" s="196"/>
      <c r="U1599" s="196"/>
      <c r="V1599" s="196"/>
      <c r="W1599" s="196"/>
      <c r="X1599" s="196"/>
      <c r="Y1599" s="196"/>
      <c r="Z1599" s="196"/>
      <c r="AA1599" s="196"/>
      <c r="AB1599" s="196"/>
      <c r="AC1599" s="196"/>
      <c r="AD1599" s="196"/>
      <c r="AE1599" s="196"/>
      <c r="AF1599" s="196"/>
      <c r="AG1599" s="196"/>
      <c r="AH1599" s="196"/>
      <c r="AI1599" s="196"/>
      <c r="AJ1599" s="197"/>
      <c r="AK1599" s="80"/>
      <c r="AL1599" s="80"/>
      <c r="AM1599" s="73"/>
      <c r="AN1599" s="73"/>
      <c r="AO1599" s="73"/>
      <c r="AP1599" s="73"/>
      <c r="AQ1599" s="73"/>
      <c r="AR1599" s="73"/>
      <c r="AS1599" s="73"/>
      <c r="AT1599" s="73"/>
      <c r="AU1599" s="73"/>
      <c r="AV1599" s="73"/>
      <c r="AW1599" s="73"/>
      <c r="AX1599" s="73"/>
      <c r="AY1599" s="73"/>
      <c r="AZ1599" s="73"/>
      <c r="BA1599" s="73"/>
      <c r="BB1599" s="73"/>
      <c r="BC1599" s="73"/>
      <c r="BD1599" s="73"/>
      <c r="BE1599" s="73"/>
      <c r="BF1599" s="73"/>
      <c r="BG1599" s="73"/>
      <c r="BH1599" s="73"/>
      <c r="BI1599" s="73"/>
      <c r="BJ1599" s="73"/>
      <c r="BK1599" s="73"/>
      <c r="BL1599" s="73"/>
      <c r="BM1599" s="73"/>
      <c r="BN1599" s="73"/>
      <c r="BO1599" s="73"/>
      <c r="BP1599" s="73"/>
      <c r="BQ1599" s="73"/>
      <c r="BR1599" s="73"/>
      <c r="BS1599" s="73"/>
      <c r="BT1599" s="73"/>
      <c r="BU1599" s="73"/>
      <c r="BV1599" s="73"/>
      <c r="BW1599" s="73"/>
      <c r="BX1599" s="73"/>
      <c r="BY1599" s="73"/>
      <c r="BZ1599" s="73"/>
      <c r="CA1599" s="73"/>
      <c r="CB1599" s="73"/>
      <c r="CC1599" s="73"/>
      <c r="CD1599" s="73"/>
      <c r="CE1599" s="73"/>
      <c r="CF1599" s="73"/>
      <c r="CG1599" s="73"/>
      <c r="CH1599" s="73"/>
    </row>
    <row r="1600">
      <c r="A1600" s="80"/>
      <c r="B1600" s="80"/>
      <c r="C1600" s="80"/>
      <c r="D1600" s="80"/>
      <c r="E1600" s="124"/>
      <c r="F1600" s="80"/>
      <c r="G1600" s="80"/>
      <c r="H1600" s="80"/>
      <c r="I1600" s="80"/>
      <c r="J1600" s="196"/>
      <c r="K1600" s="196"/>
      <c r="L1600" s="196"/>
      <c r="M1600" s="196"/>
      <c r="N1600" s="196"/>
      <c r="O1600" s="196"/>
      <c r="P1600" s="196"/>
      <c r="Q1600" s="196"/>
      <c r="R1600" s="196"/>
      <c r="S1600" s="196"/>
      <c r="T1600" s="196"/>
      <c r="U1600" s="196"/>
      <c r="V1600" s="196"/>
      <c r="W1600" s="196"/>
      <c r="X1600" s="196"/>
      <c r="Y1600" s="196"/>
      <c r="Z1600" s="196"/>
      <c r="AA1600" s="196"/>
      <c r="AB1600" s="196"/>
      <c r="AC1600" s="196"/>
      <c r="AD1600" s="196"/>
      <c r="AE1600" s="196"/>
      <c r="AF1600" s="196"/>
      <c r="AG1600" s="196"/>
      <c r="AH1600" s="196"/>
      <c r="AI1600" s="196"/>
      <c r="AJ1600" s="197"/>
      <c r="AK1600" s="80"/>
      <c r="AL1600" s="80"/>
      <c r="AM1600" s="73"/>
      <c r="AN1600" s="73"/>
      <c r="AO1600" s="73"/>
      <c r="AP1600" s="73"/>
      <c r="AQ1600" s="73"/>
      <c r="AR1600" s="73"/>
      <c r="AS1600" s="73"/>
      <c r="AT1600" s="73"/>
      <c r="AU1600" s="73"/>
      <c r="AV1600" s="73"/>
      <c r="AW1600" s="73"/>
      <c r="AX1600" s="73"/>
      <c r="AY1600" s="73"/>
      <c r="AZ1600" s="73"/>
      <c r="BA1600" s="73"/>
      <c r="BB1600" s="73"/>
      <c r="BC1600" s="73"/>
      <c r="BD1600" s="73"/>
      <c r="BE1600" s="73"/>
      <c r="BF1600" s="73"/>
      <c r="BG1600" s="73"/>
      <c r="BH1600" s="73"/>
      <c r="BI1600" s="73"/>
      <c r="BJ1600" s="73"/>
      <c r="BK1600" s="73"/>
      <c r="BL1600" s="73"/>
      <c r="BM1600" s="73"/>
      <c r="BN1600" s="73"/>
      <c r="BO1600" s="73"/>
      <c r="BP1600" s="73"/>
      <c r="BQ1600" s="73"/>
      <c r="BR1600" s="73"/>
      <c r="BS1600" s="73"/>
      <c r="BT1600" s="73"/>
      <c r="BU1600" s="73"/>
      <c r="BV1600" s="73"/>
      <c r="BW1600" s="73"/>
      <c r="BX1600" s="73"/>
      <c r="BY1600" s="73"/>
      <c r="BZ1600" s="73"/>
      <c r="CA1600" s="73"/>
      <c r="CB1600" s="73"/>
      <c r="CC1600" s="73"/>
      <c r="CD1600" s="73"/>
      <c r="CE1600" s="73"/>
      <c r="CF1600" s="73"/>
      <c r="CG1600" s="73"/>
      <c r="CH1600" s="73"/>
    </row>
    <row r="1601">
      <c r="A1601" s="80"/>
      <c r="B1601" s="80"/>
      <c r="C1601" s="80"/>
      <c r="D1601" s="80"/>
      <c r="E1601" s="124"/>
      <c r="F1601" s="80"/>
      <c r="G1601" s="80"/>
      <c r="H1601" s="80"/>
      <c r="I1601" s="80"/>
      <c r="J1601" s="196"/>
      <c r="K1601" s="196"/>
      <c r="L1601" s="196"/>
      <c r="M1601" s="196"/>
      <c r="N1601" s="196"/>
      <c r="O1601" s="196"/>
      <c r="P1601" s="196"/>
      <c r="Q1601" s="196"/>
      <c r="R1601" s="196"/>
      <c r="S1601" s="196"/>
      <c r="T1601" s="196"/>
      <c r="U1601" s="196"/>
      <c r="V1601" s="196"/>
      <c r="W1601" s="196"/>
      <c r="X1601" s="196"/>
      <c r="Y1601" s="196"/>
      <c r="Z1601" s="196"/>
      <c r="AA1601" s="196"/>
      <c r="AB1601" s="196"/>
      <c r="AC1601" s="196"/>
      <c r="AD1601" s="196"/>
      <c r="AE1601" s="196"/>
      <c r="AF1601" s="196"/>
      <c r="AG1601" s="196"/>
      <c r="AH1601" s="196"/>
      <c r="AI1601" s="196"/>
      <c r="AJ1601" s="197"/>
      <c r="AK1601" s="80"/>
      <c r="AL1601" s="80"/>
      <c r="AM1601" s="73"/>
      <c r="AN1601" s="73"/>
      <c r="AO1601" s="73"/>
      <c r="AP1601" s="73"/>
      <c r="AQ1601" s="73"/>
      <c r="AR1601" s="73"/>
      <c r="AS1601" s="73"/>
      <c r="AT1601" s="73"/>
      <c r="AU1601" s="73"/>
      <c r="AV1601" s="73"/>
      <c r="AW1601" s="73"/>
      <c r="AX1601" s="73"/>
      <c r="AY1601" s="73"/>
      <c r="AZ1601" s="73"/>
      <c r="BA1601" s="73"/>
      <c r="BB1601" s="73"/>
      <c r="BC1601" s="73"/>
      <c r="BD1601" s="73"/>
      <c r="BE1601" s="73"/>
      <c r="BF1601" s="73"/>
      <c r="BG1601" s="73"/>
      <c r="BH1601" s="73"/>
      <c r="BI1601" s="73"/>
      <c r="BJ1601" s="73"/>
      <c r="BK1601" s="73"/>
      <c r="BL1601" s="73"/>
      <c r="BM1601" s="73"/>
      <c r="BN1601" s="73"/>
      <c r="BO1601" s="73"/>
      <c r="BP1601" s="73"/>
      <c r="BQ1601" s="73"/>
      <c r="BR1601" s="73"/>
      <c r="BS1601" s="73"/>
      <c r="BT1601" s="73"/>
      <c r="BU1601" s="73"/>
      <c r="BV1601" s="73"/>
      <c r="BW1601" s="73"/>
      <c r="BX1601" s="73"/>
      <c r="BY1601" s="73"/>
      <c r="BZ1601" s="73"/>
      <c r="CA1601" s="73"/>
      <c r="CB1601" s="73"/>
      <c r="CC1601" s="73"/>
      <c r="CD1601" s="73"/>
      <c r="CE1601" s="73"/>
      <c r="CF1601" s="73"/>
      <c r="CG1601" s="73"/>
      <c r="CH1601" s="73"/>
    </row>
    <row r="1602">
      <c r="A1602" s="80"/>
      <c r="B1602" s="80"/>
      <c r="C1602" s="80"/>
      <c r="D1602" s="80"/>
      <c r="E1602" s="124"/>
      <c r="F1602" s="80"/>
      <c r="G1602" s="80"/>
      <c r="H1602" s="80"/>
      <c r="I1602" s="80"/>
      <c r="J1602" s="196"/>
      <c r="K1602" s="196"/>
      <c r="L1602" s="196"/>
      <c r="M1602" s="196"/>
      <c r="N1602" s="196"/>
      <c r="O1602" s="196"/>
      <c r="P1602" s="196"/>
      <c r="Q1602" s="196"/>
      <c r="R1602" s="196"/>
      <c r="S1602" s="196"/>
      <c r="T1602" s="196"/>
      <c r="U1602" s="196"/>
      <c r="V1602" s="196"/>
      <c r="W1602" s="196"/>
      <c r="X1602" s="196"/>
      <c r="Y1602" s="196"/>
      <c r="Z1602" s="196"/>
      <c r="AA1602" s="196"/>
      <c r="AB1602" s="196"/>
      <c r="AC1602" s="196"/>
      <c r="AD1602" s="196"/>
      <c r="AE1602" s="196"/>
      <c r="AF1602" s="196"/>
      <c r="AG1602" s="196"/>
      <c r="AH1602" s="196"/>
      <c r="AI1602" s="196"/>
      <c r="AJ1602" s="197"/>
      <c r="AK1602" s="80"/>
      <c r="AL1602" s="80"/>
      <c r="AM1602" s="73"/>
      <c r="AN1602" s="73"/>
      <c r="AO1602" s="73"/>
      <c r="AP1602" s="73"/>
      <c r="AQ1602" s="73"/>
      <c r="AR1602" s="73"/>
      <c r="AS1602" s="73"/>
      <c r="AT1602" s="73"/>
      <c r="AU1602" s="73"/>
      <c r="AV1602" s="73"/>
      <c r="AW1602" s="73"/>
      <c r="AX1602" s="73"/>
      <c r="AY1602" s="73"/>
      <c r="AZ1602" s="73"/>
      <c r="BA1602" s="73"/>
      <c r="BB1602" s="73"/>
      <c r="BC1602" s="73"/>
      <c r="BD1602" s="73"/>
      <c r="BE1602" s="73"/>
      <c r="BF1602" s="73"/>
      <c r="BG1602" s="73"/>
      <c r="BH1602" s="73"/>
      <c r="BI1602" s="73"/>
      <c r="BJ1602" s="73"/>
      <c r="BK1602" s="73"/>
      <c r="BL1602" s="73"/>
      <c r="BM1602" s="73"/>
      <c r="BN1602" s="73"/>
      <c r="BO1602" s="73"/>
      <c r="BP1602" s="73"/>
      <c r="BQ1602" s="73"/>
      <c r="BR1602" s="73"/>
      <c r="BS1602" s="73"/>
      <c r="BT1602" s="73"/>
      <c r="BU1602" s="73"/>
      <c r="BV1602" s="73"/>
      <c r="BW1602" s="73"/>
      <c r="BX1602" s="73"/>
      <c r="BY1602" s="73"/>
      <c r="BZ1602" s="73"/>
      <c r="CA1602" s="73"/>
      <c r="CB1602" s="73"/>
      <c r="CC1602" s="73"/>
      <c r="CD1602" s="73"/>
      <c r="CE1602" s="73"/>
      <c r="CF1602" s="73"/>
      <c r="CG1602" s="73"/>
      <c r="CH1602" s="73"/>
    </row>
    <row r="1603">
      <c r="A1603" s="80"/>
      <c r="B1603" s="80"/>
      <c r="C1603" s="80"/>
      <c r="D1603" s="80"/>
      <c r="E1603" s="124"/>
      <c r="F1603" s="80"/>
      <c r="G1603" s="80"/>
      <c r="H1603" s="80"/>
      <c r="I1603" s="80"/>
      <c r="J1603" s="196"/>
      <c r="K1603" s="196"/>
      <c r="L1603" s="196"/>
      <c r="M1603" s="196"/>
      <c r="N1603" s="196"/>
      <c r="O1603" s="196"/>
      <c r="P1603" s="196"/>
      <c r="Q1603" s="196"/>
      <c r="R1603" s="196"/>
      <c r="S1603" s="196"/>
      <c r="T1603" s="196"/>
      <c r="U1603" s="196"/>
      <c r="V1603" s="196"/>
      <c r="W1603" s="196"/>
      <c r="X1603" s="196"/>
      <c r="Y1603" s="196"/>
      <c r="Z1603" s="196"/>
      <c r="AA1603" s="196"/>
      <c r="AB1603" s="196"/>
      <c r="AC1603" s="196"/>
      <c r="AD1603" s="196"/>
      <c r="AE1603" s="196"/>
      <c r="AF1603" s="196"/>
      <c r="AG1603" s="196"/>
      <c r="AH1603" s="196"/>
      <c r="AI1603" s="196"/>
      <c r="AJ1603" s="197"/>
      <c r="AK1603" s="80"/>
      <c r="AL1603" s="80"/>
      <c r="AM1603" s="73"/>
      <c r="AN1603" s="73"/>
      <c r="AO1603" s="73"/>
      <c r="AP1603" s="73"/>
      <c r="AQ1603" s="73"/>
      <c r="AR1603" s="73"/>
      <c r="AS1603" s="73"/>
      <c r="AT1603" s="73"/>
      <c r="AU1603" s="73"/>
      <c r="AV1603" s="73"/>
      <c r="AW1603" s="73"/>
      <c r="AX1603" s="73"/>
      <c r="AY1603" s="73"/>
      <c r="AZ1603" s="73"/>
      <c r="BA1603" s="73"/>
      <c r="BB1603" s="73"/>
      <c r="BC1603" s="73"/>
      <c r="BD1603" s="73"/>
      <c r="BE1603" s="73"/>
      <c r="BF1603" s="73"/>
      <c r="BG1603" s="73"/>
      <c r="BH1603" s="73"/>
      <c r="BI1603" s="73"/>
      <c r="BJ1603" s="73"/>
      <c r="BK1603" s="73"/>
      <c r="BL1603" s="73"/>
      <c r="BM1603" s="73"/>
      <c r="BN1603" s="73"/>
      <c r="BO1603" s="73"/>
      <c r="BP1603" s="73"/>
      <c r="BQ1603" s="73"/>
      <c r="BR1603" s="73"/>
      <c r="BS1603" s="73"/>
      <c r="BT1603" s="73"/>
      <c r="BU1603" s="73"/>
      <c r="BV1603" s="73"/>
      <c r="BW1603" s="73"/>
      <c r="BX1603" s="73"/>
      <c r="BY1603" s="73"/>
      <c r="BZ1603" s="73"/>
      <c r="CA1603" s="73"/>
      <c r="CB1603" s="73"/>
      <c r="CC1603" s="73"/>
      <c r="CD1603" s="73"/>
      <c r="CE1603" s="73"/>
      <c r="CF1603" s="73"/>
      <c r="CG1603" s="73"/>
      <c r="CH1603" s="73"/>
    </row>
    <row r="1604">
      <c r="A1604" s="80"/>
      <c r="B1604" s="80"/>
      <c r="C1604" s="80"/>
      <c r="D1604" s="80"/>
      <c r="E1604" s="124"/>
      <c r="F1604" s="80"/>
      <c r="G1604" s="80"/>
      <c r="H1604" s="80"/>
      <c r="I1604" s="80"/>
      <c r="J1604" s="196"/>
      <c r="K1604" s="196"/>
      <c r="L1604" s="196"/>
      <c r="M1604" s="196"/>
      <c r="N1604" s="196"/>
      <c r="O1604" s="196"/>
      <c r="P1604" s="196"/>
      <c r="Q1604" s="196"/>
      <c r="R1604" s="196"/>
      <c r="S1604" s="196"/>
      <c r="T1604" s="196"/>
      <c r="U1604" s="196"/>
      <c r="V1604" s="196"/>
      <c r="W1604" s="196"/>
      <c r="X1604" s="196"/>
      <c r="Y1604" s="196"/>
      <c r="Z1604" s="196"/>
      <c r="AA1604" s="196"/>
      <c r="AB1604" s="196"/>
      <c r="AC1604" s="196"/>
      <c r="AD1604" s="196"/>
      <c r="AE1604" s="196"/>
      <c r="AF1604" s="196"/>
      <c r="AG1604" s="196"/>
      <c r="AH1604" s="196"/>
      <c r="AI1604" s="196"/>
      <c r="AJ1604" s="197"/>
      <c r="AK1604" s="80"/>
      <c r="AL1604" s="80"/>
      <c r="AM1604" s="73"/>
      <c r="AN1604" s="73"/>
      <c r="AO1604" s="73"/>
      <c r="AP1604" s="73"/>
      <c r="AQ1604" s="73"/>
      <c r="AR1604" s="73"/>
      <c r="AS1604" s="73"/>
      <c r="AT1604" s="73"/>
      <c r="AU1604" s="73"/>
      <c r="AV1604" s="73"/>
      <c r="AW1604" s="73"/>
      <c r="AX1604" s="73"/>
      <c r="AY1604" s="73"/>
      <c r="AZ1604" s="73"/>
      <c r="BA1604" s="73"/>
      <c r="BB1604" s="73"/>
      <c r="BC1604" s="73"/>
      <c r="BD1604" s="73"/>
      <c r="BE1604" s="73"/>
      <c r="BF1604" s="73"/>
      <c r="BG1604" s="73"/>
      <c r="BH1604" s="73"/>
      <c r="BI1604" s="73"/>
      <c r="BJ1604" s="73"/>
      <c r="BK1604" s="73"/>
      <c r="BL1604" s="73"/>
      <c r="BM1604" s="73"/>
      <c r="BN1604" s="73"/>
      <c r="BO1604" s="73"/>
      <c r="BP1604" s="73"/>
      <c r="BQ1604" s="73"/>
      <c r="BR1604" s="73"/>
      <c r="BS1604" s="73"/>
      <c r="BT1604" s="73"/>
      <c r="BU1604" s="73"/>
      <c r="BV1604" s="73"/>
      <c r="BW1604" s="73"/>
      <c r="BX1604" s="73"/>
      <c r="BY1604" s="73"/>
      <c r="BZ1604" s="73"/>
      <c r="CA1604" s="73"/>
      <c r="CB1604" s="73"/>
      <c r="CC1604" s="73"/>
      <c r="CD1604" s="73"/>
      <c r="CE1604" s="73"/>
      <c r="CF1604" s="73"/>
      <c r="CG1604" s="73"/>
      <c r="CH1604" s="73"/>
    </row>
    <row r="1605">
      <c r="A1605" s="80"/>
      <c r="B1605" s="80"/>
      <c r="C1605" s="80"/>
      <c r="D1605" s="80"/>
      <c r="E1605" s="124"/>
      <c r="F1605" s="80"/>
      <c r="G1605" s="80"/>
      <c r="H1605" s="80"/>
      <c r="I1605" s="80"/>
      <c r="J1605" s="196"/>
      <c r="K1605" s="196"/>
      <c r="L1605" s="196"/>
      <c r="M1605" s="196"/>
      <c r="N1605" s="196"/>
      <c r="O1605" s="196"/>
      <c r="P1605" s="196"/>
      <c r="Q1605" s="196"/>
      <c r="R1605" s="196"/>
      <c r="S1605" s="196"/>
      <c r="T1605" s="196"/>
      <c r="U1605" s="196"/>
      <c r="V1605" s="196"/>
      <c r="W1605" s="196"/>
      <c r="X1605" s="196"/>
      <c r="Y1605" s="196"/>
      <c r="Z1605" s="196"/>
      <c r="AA1605" s="196"/>
      <c r="AB1605" s="196"/>
      <c r="AC1605" s="196"/>
      <c r="AD1605" s="196"/>
      <c r="AE1605" s="196"/>
      <c r="AF1605" s="196"/>
      <c r="AG1605" s="196"/>
      <c r="AH1605" s="196"/>
      <c r="AI1605" s="196"/>
      <c r="AJ1605" s="197"/>
      <c r="AK1605" s="80"/>
      <c r="AL1605" s="80"/>
      <c r="AM1605" s="73"/>
      <c r="AN1605" s="73"/>
      <c r="AO1605" s="73"/>
      <c r="AP1605" s="73"/>
      <c r="AQ1605" s="73"/>
      <c r="AR1605" s="73"/>
      <c r="AS1605" s="73"/>
      <c r="AT1605" s="73"/>
      <c r="AU1605" s="73"/>
      <c r="AV1605" s="73"/>
      <c r="AW1605" s="73"/>
      <c r="AX1605" s="73"/>
      <c r="AY1605" s="73"/>
      <c r="AZ1605" s="73"/>
      <c r="BA1605" s="73"/>
      <c r="BB1605" s="73"/>
      <c r="BC1605" s="73"/>
      <c r="BD1605" s="73"/>
      <c r="BE1605" s="73"/>
      <c r="BF1605" s="73"/>
      <c r="BG1605" s="73"/>
      <c r="BH1605" s="73"/>
      <c r="BI1605" s="73"/>
      <c r="BJ1605" s="73"/>
      <c r="BK1605" s="73"/>
      <c r="BL1605" s="73"/>
      <c r="BM1605" s="73"/>
      <c r="BN1605" s="73"/>
      <c r="BO1605" s="73"/>
      <c r="BP1605" s="73"/>
      <c r="BQ1605" s="73"/>
      <c r="BR1605" s="73"/>
      <c r="BS1605" s="73"/>
      <c r="BT1605" s="73"/>
      <c r="BU1605" s="73"/>
      <c r="BV1605" s="73"/>
      <c r="BW1605" s="73"/>
      <c r="BX1605" s="73"/>
      <c r="BY1605" s="73"/>
      <c r="BZ1605" s="73"/>
      <c r="CA1605" s="73"/>
      <c r="CB1605" s="73"/>
      <c r="CC1605" s="73"/>
      <c r="CD1605" s="73"/>
      <c r="CE1605" s="73"/>
      <c r="CF1605" s="73"/>
      <c r="CG1605" s="73"/>
      <c r="CH1605" s="73"/>
    </row>
    <row r="1606">
      <c r="A1606" s="80"/>
      <c r="B1606" s="80"/>
      <c r="C1606" s="80"/>
      <c r="D1606" s="80"/>
      <c r="E1606" s="124"/>
      <c r="F1606" s="80"/>
      <c r="G1606" s="80"/>
      <c r="H1606" s="80"/>
      <c r="I1606" s="80"/>
      <c r="J1606" s="196"/>
      <c r="K1606" s="196"/>
      <c r="L1606" s="196"/>
      <c r="M1606" s="196"/>
      <c r="N1606" s="196"/>
      <c r="O1606" s="196"/>
      <c r="P1606" s="196"/>
      <c r="Q1606" s="196"/>
      <c r="R1606" s="196"/>
      <c r="S1606" s="196"/>
      <c r="T1606" s="196"/>
      <c r="U1606" s="196"/>
      <c r="V1606" s="196"/>
      <c r="W1606" s="196"/>
      <c r="X1606" s="196"/>
      <c r="Y1606" s="196"/>
      <c r="Z1606" s="196"/>
      <c r="AA1606" s="196"/>
      <c r="AB1606" s="196"/>
      <c r="AC1606" s="196"/>
      <c r="AD1606" s="196"/>
      <c r="AE1606" s="196"/>
      <c r="AF1606" s="196"/>
      <c r="AG1606" s="196"/>
      <c r="AH1606" s="196"/>
      <c r="AI1606" s="196"/>
      <c r="AJ1606" s="197"/>
      <c r="AK1606" s="80"/>
      <c r="AL1606" s="80"/>
      <c r="AM1606" s="73"/>
      <c r="AN1606" s="73"/>
      <c r="AO1606" s="73"/>
      <c r="AP1606" s="73"/>
      <c r="AQ1606" s="73"/>
      <c r="AR1606" s="73"/>
      <c r="AS1606" s="73"/>
      <c r="AT1606" s="73"/>
      <c r="AU1606" s="73"/>
      <c r="AV1606" s="73"/>
      <c r="AW1606" s="73"/>
      <c r="AX1606" s="73"/>
      <c r="AY1606" s="73"/>
      <c r="AZ1606" s="73"/>
      <c r="BA1606" s="73"/>
      <c r="BB1606" s="73"/>
      <c r="BC1606" s="73"/>
      <c r="BD1606" s="73"/>
      <c r="BE1606" s="73"/>
      <c r="BF1606" s="73"/>
      <c r="BG1606" s="73"/>
      <c r="BH1606" s="73"/>
      <c r="BI1606" s="73"/>
      <c r="BJ1606" s="73"/>
      <c r="BK1606" s="73"/>
      <c r="BL1606" s="73"/>
      <c r="BM1606" s="73"/>
      <c r="BN1606" s="73"/>
      <c r="BO1606" s="73"/>
      <c r="BP1606" s="73"/>
      <c r="BQ1606" s="73"/>
      <c r="BR1606" s="73"/>
      <c r="BS1606" s="73"/>
      <c r="BT1606" s="73"/>
      <c r="BU1606" s="73"/>
      <c r="BV1606" s="73"/>
      <c r="BW1606" s="73"/>
      <c r="BX1606" s="73"/>
      <c r="BY1606" s="73"/>
      <c r="BZ1606" s="73"/>
      <c r="CA1606" s="73"/>
      <c r="CB1606" s="73"/>
      <c r="CC1606" s="73"/>
      <c r="CD1606" s="73"/>
      <c r="CE1606" s="73"/>
      <c r="CF1606" s="73"/>
      <c r="CG1606" s="73"/>
      <c r="CH1606" s="73"/>
    </row>
    <row r="1607">
      <c r="A1607" s="80"/>
      <c r="B1607" s="80"/>
      <c r="C1607" s="80"/>
      <c r="D1607" s="80"/>
      <c r="E1607" s="124"/>
      <c r="F1607" s="80"/>
      <c r="G1607" s="80"/>
      <c r="H1607" s="80"/>
      <c r="I1607" s="80"/>
      <c r="J1607" s="196"/>
      <c r="K1607" s="196"/>
      <c r="L1607" s="196"/>
      <c r="M1607" s="196"/>
      <c r="N1607" s="196"/>
      <c r="O1607" s="196"/>
      <c r="P1607" s="196"/>
      <c r="Q1607" s="196"/>
      <c r="R1607" s="196"/>
      <c r="S1607" s="196"/>
      <c r="T1607" s="196"/>
      <c r="U1607" s="196"/>
      <c r="V1607" s="196"/>
      <c r="W1607" s="196"/>
      <c r="X1607" s="196"/>
      <c r="Y1607" s="196"/>
      <c r="Z1607" s="196"/>
      <c r="AA1607" s="196"/>
      <c r="AB1607" s="196"/>
      <c r="AC1607" s="196"/>
      <c r="AD1607" s="196"/>
      <c r="AE1607" s="196"/>
      <c r="AF1607" s="196"/>
      <c r="AG1607" s="196"/>
      <c r="AH1607" s="196"/>
      <c r="AI1607" s="196"/>
      <c r="AJ1607" s="197"/>
      <c r="AK1607" s="80"/>
      <c r="AL1607" s="80"/>
      <c r="AM1607" s="73"/>
      <c r="AN1607" s="73"/>
      <c r="AO1607" s="73"/>
      <c r="AP1607" s="73"/>
      <c r="AQ1607" s="73"/>
      <c r="AR1607" s="73"/>
      <c r="AS1607" s="73"/>
      <c r="AT1607" s="73"/>
      <c r="AU1607" s="73"/>
      <c r="AV1607" s="73"/>
      <c r="AW1607" s="73"/>
      <c r="AX1607" s="73"/>
      <c r="AY1607" s="73"/>
      <c r="AZ1607" s="73"/>
      <c r="BA1607" s="73"/>
      <c r="BB1607" s="73"/>
      <c r="BC1607" s="73"/>
      <c r="BD1607" s="73"/>
      <c r="BE1607" s="73"/>
      <c r="BF1607" s="73"/>
      <c r="BG1607" s="73"/>
      <c r="BH1607" s="73"/>
      <c r="BI1607" s="73"/>
      <c r="BJ1607" s="73"/>
      <c r="BK1607" s="73"/>
      <c r="BL1607" s="73"/>
      <c r="BM1607" s="73"/>
      <c r="BN1607" s="73"/>
      <c r="BO1607" s="73"/>
      <c r="BP1607" s="73"/>
      <c r="BQ1607" s="73"/>
      <c r="BR1607" s="73"/>
      <c r="BS1607" s="73"/>
      <c r="BT1607" s="73"/>
      <c r="BU1607" s="73"/>
      <c r="BV1607" s="73"/>
      <c r="BW1607" s="73"/>
      <c r="BX1607" s="73"/>
      <c r="BY1607" s="73"/>
      <c r="BZ1607" s="73"/>
      <c r="CA1607" s="73"/>
      <c r="CB1607" s="73"/>
      <c r="CC1607" s="73"/>
      <c r="CD1607" s="73"/>
      <c r="CE1607" s="73"/>
      <c r="CF1607" s="73"/>
      <c r="CG1607" s="73"/>
      <c r="CH1607" s="73"/>
    </row>
    <row r="1608">
      <c r="A1608" s="80"/>
      <c r="B1608" s="80"/>
      <c r="C1608" s="80"/>
      <c r="D1608" s="80"/>
      <c r="E1608" s="124"/>
      <c r="F1608" s="80"/>
      <c r="G1608" s="80"/>
      <c r="H1608" s="80"/>
      <c r="I1608" s="80"/>
      <c r="J1608" s="196"/>
      <c r="K1608" s="196"/>
      <c r="L1608" s="196"/>
      <c r="M1608" s="196"/>
      <c r="N1608" s="196"/>
      <c r="O1608" s="196"/>
      <c r="P1608" s="196"/>
      <c r="Q1608" s="196"/>
      <c r="R1608" s="196"/>
      <c r="S1608" s="196"/>
      <c r="T1608" s="196"/>
      <c r="U1608" s="196"/>
      <c r="V1608" s="196"/>
      <c r="W1608" s="196"/>
      <c r="X1608" s="196"/>
      <c r="Y1608" s="196"/>
      <c r="Z1608" s="196"/>
      <c r="AA1608" s="196"/>
      <c r="AB1608" s="196"/>
      <c r="AC1608" s="196"/>
      <c r="AD1608" s="196"/>
      <c r="AE1608" s="196"/>
      <c r="AF1608" s="196"/>
      <c r="AG1608" s="196"/>
      <c r="AH1608" s="196"/>
      <c r="AI1608" s="196"/>
      <c r="AJ1608" s="197"/>
      <c r="AK1608" s="80"/>
      <c r="AL1608" s="80"/>
      <c r="AM1608" s="73"/>
      <c r="AN1608" s="73"/>
      <c r="AO1608" s="73"/>
      <c r="AP1608" s="73"/>
      <c r="AQ1608" s="73"/>
      <c r="AR1608" s="73"/>
      <c r="AS1608" s="73"/>
      <c r="AT1608" s="73"/>
      <c r="AU1608" s="73"/>
      <c r="AV1608" s="73"/>
      <c r="AW1608" s="73"/>
      <c r="AX1608" s="73"/>
      <c r="AY1608" s="73"/>
      <c r="AZ1608" s="73"/>
      <c r="BA1608" s="73"/>
      <c r="BB1608" s="73"/>
      <c r="BC1608" s="73"/>
      <c r="BD1608" s="73"/>
      <c r="BE1608" s="73"/>
      <c r="BF1608" s="73"/>
      <c r="BG1608" s="73"/>
      <c r="BH1608" s="73"/>
      <c r="BI1608" s="73"/>
      <c r="BJ1608" s="73"/>
      <c r="BK1608" s="73"/>
      <c r="BL1608" s="73"/>
      <c r="BM1608" s="73"/>
      <c r="BN1608" s="73"/>
      <c r="BO1608" s="73"/>
      <c r="BP1608" s="73"/>
      <c r="BQ1608" s="73"/>
      <c r="BR1608" s="73"/>
      <c r="BS1608" s="73"/>
      <c r="BT1608" s="73"/>
      <c r="BU1608" s="73"/>
      <c r="BV1608" s="73"/>
      <c r="BW1608" s="73"/>
      <c r="BX1608" s="73"/>
      <c r="BY1608" s="73"/>
      <c r="BZ1608" s="73"/>
      <c r="CA1608" s="73"/>
      <c r="CB1608" s="73"/>
      <c r="CC1608" s="73"/>
      <c r="CD1608" s="73"/>
      <c r="CE1608" s="73"/>
      <c r="CF1608" s="73"/>
      <c r="CG1608" s="73"/>
      <c r="CH1608" s="73"/>
    </row>
    <row r="1609">
      <c r="A1609" s="80"/>
      <c r="B1609" s="80"/>
      <c r="C1609" s="80"/>
      <c r="D1609" s="80"/>
      <c r="E1609" s="124"/>
      <c r="F1609" s="80"/>
      <c r="G1609" s="80"/>
      <c r="H1609" s="80"/>
      <c r="I1609" s="80"/>
      <c r="J1609" s="196"/>
      <c r="K1609" s="196"/>
      <c r="L1609" s="196"/>
      <c r="M1609" s="196"/>
      <c r="N1609" s="196"/>
      <c r="O1609" s="196"/>
      <c r="P1609" s="196"/>
      <c r="Q1609" s="196"/>
      <c r="R1609" s="196"/>
      <c r="S1609" s="196"/>
      <c r="T1609" s="196"/>
      <c r="U1609" s="196"/>
      <c r="V1609" s="196"/>
      <c r="W1609" s="196"/>
      <c r="X1609" s="196"/>
      <c r="Y1609" s="196"/>
      <c r="Z1609" s="196"/>
      <c r="AA1609" s="196"/>
      <c r="AB1609" s="196"/>
      <c r="AC1609" s="196"/>
      <c r="AD1609" s="196"/>
      <c r="AE1609" s="196"/>
      <c r="AF1609" s="196"/>
      <c r="AG1609" s="196"/>
      <c r="AH1609" s="196"/>
      <c r="AI1609" s="196"/>
      <c r="AJ1609" s="197"/>
      <c r="AK1609" s="80"/>
      <c r="AL1609" s="80"/>
      <c r="AM1609" s="73"/>
      <c r="AN1609" s="73"/>
      <c r="AO1609" s="73"/>
      <c r="AP1609" s="73"/>
      <c r="AQ1609" s="73"/>
      <c r="AR1609" s="73"/>
      <c r="AS1609" s="73"/>
      <c r="AT1609" s="73"/>
      <c r="AU1609" s="73"/>
      <c r="AV1609" s="73"/>
      <c r="AW1609" s="73"/>
      <c r="AX1609" s="73"/>
      <c r="AY1609" s="73"/>
      <c r="AZ1609" s="73"/>
      <c r="BA1609" s="73"/>
      <c r="BB1609" s="73"/>
      <c r="BC1609" s="73"/>
      <c r="BD1609" s="73"/>
      <c r="BE1609" s="73"/>
      <c r="BF1609" s="73"/>
      <c r="BG1609" s="73"/>
      <c r="BH1609" s="73"/>
      <c r="BI1609" s="73"/>
      <c r="BJ1609" s="73"/>
      <c r="BK1609" s="73"/>
      <c r="BL1609" s="73"/>
      <c r="BM1609" s="73"/>
      <c r="BN1609" s="73"/>
      <c r="BO1609" s="73"/>
      <c r="BP1609" s="73"/>
      <c r="BQ1609" s="73"/>
      <c r="BR1609" s="73"/>
      <c r="BS1609" s="73"/>
      <c r="BT1609" s="73"/>
      <c r="BU1609" s="73"/>
      <c r="BV1609" s="73"/>
      <c r="BW1609" s="73"/>
      <c r="BX1609" s="73"/>
      <c r="BY1609" s="73"/>
      <c r="BZ1609" s="73"/>
      <c r="CA1609" s="73"/>
      <c r="CB1609" s="73"/>
      <c r="CC1609" s="73"/>
      <c r="CD1609" s="73"/>
      <c r="CE1609" s="73"/>
      <c r="CF1609" s="73"/>
      <c r="CG1609" s="73"/>
      <c r="CH1609" s="73"/>
    </row>
    <row r="1610">
      <c r="A1610" s="80"/>
      <c r="B1610" s="80"/>
      <c r="C1610" s="80"/>
      <c r="D1610" s="80"/>
      <c r="E1610" s="124"/>
      <c r="F1610" s="80"/>
      <c r="G1610" s="80"/>
      <c r="H1610" s="80"/>
      <c r="I1610" s="80"/>
      <c r="J1610" s="196"/>
      <c r="K1610" s="196"/>
      <c r="L1610" s="196"/>
      <c r="M1610" s="196"/>
      <c r="N1610" s="196"/>
      <c r="O1610" s="196"/>
      <c r="P1610" s="196"/>
      <c r="Q1610" s="196"/>
      <c r="R1610" s="196"/>
      <c r="S1610" s="196"/>
      <c r="T1610" s="196"/>
      <c r="U1610" s="196"/>
      <c r="V1610" s="196"/>
      <c r="W1610" s="196"/>
      <c r="X1610" s="196"/>
      <c r="Y1610" s="196"/>
      <c r="Z1610" s="196"/>
      <c r="AA1610" s="196"/>
      <c r="AB1610" s="196"/>
      <c r="AC1610" s="196"/>
      <c r="AD1610" s="196"/>
      <c r="AE1610" s="196"/>
      <c r="AF1610" s="196"/>
      <c r="AG1610" s="196"/>
      <c r="AH1610" s="196"/>
      <c r="AI1610" s="196"/>
      <c r="AJ1610" s="197"/>
      <c r="AK1610" s="80"/>
      <c r="AL1610" s="80"/>
      <c r="AM1610" s="73"/>
      <c r="AN1610" s="73"/>
      <c r="AO1610" s="73"/>
      <c r="AP1610" s="73"/>
      <c r="AQ1610" s="73"/>
      <c r="AR1610" s="73"/>
      <c r="AS1610" s="73"/>
      <c r="AT1610" s="73"/>
      <c r="AU1610" s="73"/>
      <c r="AV1610" s="73"/>
      <c r="AW1610" s="73"/>
      <c r="AX1610" s="73"/>
      <c r="AY1610" s="73"/>
      <c r="AZ1610" s="73"/>
      <c r="BA1610" s="73"/>
      <c r="BB1610" s="73"/>
      <c r="BC1610" s="73"/>
      <c r="BD1610" s="73"/>
      <c r="BE1610" s="73"/>
      <c r="BF1610" s="73"/>
      <c r="BG1610" s="73"/>
      <c r="BH1610" s="73"/>
      <c r="BI1610" s="73"/>
      <c r="BJ1610" s="73"/>
      <c r="BK1610" s="73"/>
      <c r="BL1610" s="73"/>
      <c r="BM1610" s="73"/>
      <c r="BN1610" s="73"/>
      <c r="BO1610" s="73"/>
      <c r="BP1610" s="73"/>
      <c r="BQ1610" s="73"/>
      <c r="BR1610" s="73"/>
      <c r="BS1610" s="73"/>
      <c r="BT1610" s="73"/>
      <c r="BU1610" s="73"/>
      <c r="BV1610" s="73"/>
      <c r="BW1610" s="73"/>
      <c r="BX1610" s="73"/>
      <c r="BY1610" s="73"/>
      <c r="BZ1610" s="73"/>
      <c r="CA1610" s="73"/>
      <c r="CB1610" s="73"/>
      <c r="CC1610" s="73"/>
      <c r="CD1610" s="73"/>
      <c r="CE1610" s="73"/>
      <c r="CF1610" s="73"/>
      <c r="CG1610" s="73"/>
      <c r="CH1610" s="73"/>
    </row>
    <row r="1611">
      <c r="A1611" s="80"/>
      <c r="B1611" s="80"/>
      <c r="C1611" s="80"/>
      <c r="D1611" s="80"/>
      <c r="E1611" s="124"/>
      <c r="F1611" s="80"/>
      <c r="G1611" s="80"/>
      <c r="H1611" s="80"/>
      <c r="I1611" s="80"/>
      <c r="J1611" s="196"/>
      <c r="K1611" s="196"/>
      <c r="L1611" s="196"/>
      <c r="M1611" s="196"/>
      <c r="N1611" s="196"/>
      <c r="O1611" s="196"/>
      <c r="P1611" s="196"/>
      <c r="Q1611" s="196"/>
      <c r="R1611" s="196"/>
      <c r="S1611" s="196"/>
      <c r="T1611" s="196"/>
      <c r="U1611" s="196"/>
      <c r="V1611" s="196"/>
      <c r="W1611" s="196"/>
      <c r="X1611" s="196"/>
      <c r="Y1611" s="196"/>
      <c r="Z1611" s="196"/>
      <c r="AA1611" s="196"/>
      <c r="AB1611" s="196"/>
      <c r="AC1611" s="196"/>
      <c r="AD1611" s="196"/>
      <c r="AE1611" s="196"/>
      <c r="AF1611" s="196"/>
      <c r="AG1611" s="196"/>
      <c r="AH1611" s="196"/>
      <c r="AI1611" s="196"/>
      <c r="AJ1611" s="197"/>
      <c r="AK1611" s="80"/>
      <c r="AL1611" s="80"/>
      <c r="AM1611" s="73"/>
      <c r="AN1611" s="73"/>
      <c r="AO1611" s="73"/>
      <c r="AP1611" s="73"/>
      <c r="AQ1611" s="73"/>
      <c r="AR1611" s="73"/>
      <c r="AS1611" s="73"/>
      <c r="AT1611" s="73"/>
      <c r="AU1611" s="73"/>
      <c r="AV1611" s="73"/>
      <c r="AW1611" s="73"/>
      <c r="AX1611" s="73"/>
      <c r="AY1611" s="73"/>
      <c r="AZ1611" s="73"/>
      <c r="BA1611" s="73"/>
      <c r="BB1611" s="73"/>
      <c r="BC1611" s="73"/>
      <c r="BD1611" s="73"/>
      <c r="BE1611" s="73"/>
      <c r="BF1611" s="73"/>
      <c r="BG1611" s="73"/>
      <c r="BH1611" s="73"/>
      <c r="BI1611" s="73"/>
      <c r="BJ1611" s="73"/>
      <c r="BK1611" s="73"/>
      <c r="BL1611" s="73"/>
      <c r="BM1611" s="73"/>
      <c r="BN1611" s="73"/>
      <c r="BO1611" s="73"/>
      <c r="BP1611" s="73"/>
      <c r="BQ1611" s="73"/>
      <c r="BR1611" s="73"/>
      <c r="BS1611" s="73"/>
      <c r="BT1611" s="73"/>
      <c r="BU1611" s="73"/>
      <c r="BV1611" s="73"/>
      <c r="BW1611" s="73"/>
      <c r="BX1611" s="73"/>
      <c r="BY1611" s="73"/>
      <c r="BZ1611" s="73"/>
      <c r="CA1611" s="73"/>
      <c r="CB1611" s="73"/>
      <c r="CC1611" s="73"/>
      <c r="CD1611" s="73"/>
      <c r="CE1611" s="73"/>
      <c r="CF1611" s="73"/>
      <c r="CG1611" s="73"/>
      <c r="CH1611" s="73"/>
    </row>
    <row r="1612">
      <c r="A1612" s="80"/>
      <c r="B1612" s="80"/>
      <c r="C1612" s="80"/>
      <c r="D1612" s="80"/>
      <c r="E1612" s="124"/>
      <c r="F1612" s="80"/>
      <c r="G1612" s="80"/>
      <c r="H1612" s="80"/>
      <c r="I1612" s="80"/>
      <c r="J1612" s="196"/>
      <c r="K1612" s="196"/>
      <c r="L1612" s="196"/>
      <c r="M1612" s="196"/>
      <c r="N1612" s="196"/>
      <c r="O1612" s="196"/>
      <c r="P1612" s="196"/>
      <c r="Q1612" s="196"/>
      <c r="R1612" s="196"/>
      <c r="S1612" s="196"/>
      <c r="T1612" s="196"/>
      <c r="U1612" s="196"/>
      <c r="V1612" s="196"/>
      <c r="W1612" s="196"/>
      <c r="X1612" s="196"/>
      <c r="Y1612" s="196"/>
      <c r="Z1612" s="196"/>
      <c r="AA1612" s="196"/>
      <c r="AB1612" s="196"/>
      <c r="AC1612" s="196"/>
      <c r="AD1612" s="196"/>
      <c r="AE1612" s="196"/>
      <c r="AF1612" s="196"/>
      <c r="AG1612" s="196"/>
      <c r="AH1612" s="196"/>
      <c r="AI1612" s="196"/>
      <c r="AJ1612" s="197"/>
      <c r="AK1612" s="80"/>
      <c r="AL1612" s="80"/>
      <c r="AM1612" s="73"/>
      <c r="AN1612" s="73"/>
      <c r="AO1612" s="73"/>
      <c r="AP1612" s="73"/>
      <c r="AQ1612" s="73"/>
      <c r="AR1612" s="73"/>
      <c r="AS1612" s="73"/>
      <c r="AT1612" s="73"/>
      <c r="AU1612" s="73"/>
      <c r="AV1612" s="73"/>
      <c r="AW1612" s="73"/>
      <c r="AX1612" s="73"/>
      <c r="AY1612" s="73"/>
      <c r="AZ1612" s="73"/>
      <c r="BA1612" s="73"/>
      <c r="BB1612" s="73"/>
      <c r="BC1612" s="73"/>
      <c r="BD1612" s="73"/>
      <c r="BE1612" s="73"/>
      <c r="BF1612" s="73"/>
      <c r="BG1612" s="73"/>
      <c r="BH1612" s="73"/>
      <c r="BI1612" s="73"/>
      <c r="BJ1612" s="73"/>
      <c r="BK1612" s="73"/>
      <c r="BL1612" s="73"/>
      <c r="BM1612" s="73"/>
      <c r="BN1612" s="73"/>
      <c r="BO1612" s="73"/>
      <c r="BP1612" s="73"/>
      <c r="BQ1612" s="73"/>
      <c r="BR1612" s="73"/>
      <c r="BS1612" s="73"/>
      <c r="BT1612" s="73"/>
      <c r="BU1612" s="73"/>
      <c r="BV1612" s="73"/>
      <c r="BW1612" s="73"/>
      <c r="BX1612" s="73"/>
      <c r="BY1612" s="73"/>
      <c r="BZ1612" s="73"/>
      <c r="CA1612" s="73"/>
      <c r="CB1612" s="73"/>
      <c r="CC1612" s="73"/>
      <c r="CD1612" s="73"/>
      <c r="CE1612" s="73"/>
      <c r="CF1612" s="73"/>
      <c r="CG1612" s="73"/>
      <c r="CH1612" s="73"/>
    </row>
    <row r="1613">
      <c r="A1613" s="80"/>
      <c r="B1613" s="80"/>
      <c r="C1613" s="80"/>
      <c r="D1613" s="80"/>
      <c r="E1613" s="124"/>
      <c r="F1613" s="80"/>
      <c r="G1613" s="80"/>
      <c r="H1613" s="80"/>
      <c r="I1613" s="80"/>
      <c r="J1613" s="196"/>
      <c r="K1613" s="196"/>
      <c r="L1613" s="196"/>
      <c r="M1613" s="196"/>
      <c r="N1613" s="196"/>
      <c r="O1613" s="196"/>
      <c r="P1613" s="196"/>
      <c r="Q1613" s="196"/>
      <c r="R1613" s="196"/>
      <c r="S1613" s="196"/>
      <c r="T1613" s="196"/>
      <c r="U1613" s="196"/>
      <c r="V1613" s="196"/>
      <c r="W1613" s="196"/>
      <c r="X1613" s="196"/>
      <c r="Y1613" s="196"/>
      <c r="Z1613" s="196"/>
      <c r="AA1613" s="196"/>
      <c r="AB1613" s="196"/>
      <c r="AC1613" s="196"/>
      <c r="AD1613" s="196"/>
      <c r="AE1613" s="196"/>
      <c r="AF1613" s="196"/>
      <c r="AG1613" s="196"/>
      <c r="AH1613" s="196"/>
      <c r="AI1613" s="196"/>
      <c r="AJ1613" s="197"/>
      <c r="AK1613" s="80"/>
      <c r="AL1613" s="80"/>
      <c r="AM1613" s="73"/>
      <c r="AN1613" s="73"/>
      <c r="AO1613" s="73"/>
      <c r="AP1613" s="73"/>
      <c r="AQ1613" s="73"/>
      <c r="AR1613" s="73"/>
      <c r="AS1613" s="73"/>
      <c r="AT1613" s="73"/>
      <c r="AU1613" s="73"/>
      <c r="AV1613" s="73"/>
      <c r="AW1613" s="73"/>
      <c r="AX1613" s="73"/>
      <c r="AY1613" s="73"/>
      <c r="AZ1613" s="73"/>
      <c r="BA1613" s="73"/>
      <c r="BB1613" s="73"/>
      <c r="BC1613" s="73"/>
      <c r="BD1613" s="73"/>
      <c r="BE1613" s="73"/>
      <c r="BF1613" s="73"/>
      <c r="BG1613" s="73"/>
      <c r="BH1613" s="73"/>
      <c r="BI1613" s="73"/>
      <c r="BJ1613" s="73"/>
      <c r="BK1613" s="73"/>
      <c r="BL1613" s="73"/>
      <c r="BM1613" s="73"/>
      <c r="BN1613" s="73"/>
      <c r="BO1613" s="73"/>
      <c r="BP1613" s="73"/>
      <c r="BQ1613" s="73"/>
      <c r="BR1613" s="73"/>
      <c r="BS1613" s="73"/>
      <c r="BT1613" s="73"/>
      <c r="BU1613" s="73"/>
      <c r="BV1613" s="73"/>
      <c r="BW1613" s="73"/>
      <c r="BX1613" s="73"/>
      <c r="BY1613" s="73"/>
      <c r="BZ1613" s="73"/>
      <c r="CA1613" s="73"/>
      <c r="CB1613" s="73"/>
      <c r="CC1613" s="73"/>
      <c r="CD1613" s="73"/>
      <c r="CE1613" s="73"/>
      <c r="CF1613" s="73"/>
      <c r="CG1613" s="73"/>
      <c r="CH1613" s="73"/>
    </row>
    <row r="1614">
      <c r="A1614" s="80"/>
      <c r="B1614" s="80"/>
      <c r="C1614" s="80"/>
      <c r="D1614" s="80"/>
      <c r="E1614" s="124"/>
      <c r="F1614" s="80"/>
      <c r="G1614" s="80"/>
      <c r="H1614" s="80"/>
      <c r="I1614" s="80"/>
      <c r="J1614" s="196"/>
      <c r="K1614" s="196"/>
      <c r="L1614" s="196"/>
      <c r="M1614" s="196"/>
      <c r="N1614" s="196"/>
      <c r="O1614" s="196"/>
      <c r="P1614" s="196"/>
      <c r="Q1614" s="196"/>
      <c r="R1614" s="196"/>
      <c r="S1614" s="196"/>
      <c r="T1614" s="196"/>
      <c r="U1614" s="196"/>
      <c r="V1614" s="196"/>
      <c r="W1614" s="196"/>
      <c r="X1614" s="196"/>
      <c r="Y1614" s="196"/>
      <c r="Z1614" s="196"/>
      <c r="AA1614" s="196"/>
      <c r="AB1614" s="196"/>
      <c r="AC1614" s="196"/>
      <c r="AD1614" s="196"/>
      <c r="AE1614" s="196"/>
      <c r="AF1614" s="196"/>
      <c r="AG1614" s="196"/>
      <c r="AH1614" s="196"/>
      <c r="AI1614" s="196"/>
      <c r="AJ1614" s="197"/>
      <c r="AK1614" s="80"/>
      <c r="AL1614" s="80"/>
      <c r="AM1614" s="73"/>
      <c r="AN1614" s="73"/>
      <c r="AO1614" s="73"/>
      <c r="AP1614" s="73"/>
      <c r="AQ1614" s="73"/>
      <c r="AR1614" s="73"/>
      <c r="AS1614" s="73"/>
      <c r="AT1614" s="73"/>
      <c r="AU1614" s="73"/>
      <c r="AV1614" s="73"/>
      <c r="AW1614" s="73"/>
      <c r="AX1614" s="73"/>
      <c r="AY1614" s="73"/>
      <c r="AZ1614" s="73"/>
      <c r="BA1614" s="73"/>
      <c r="BB1614" s="73"/>
      <c r="BC1614" s="73"/>
      <c r="BD1614" s="73"/>
      <c r="BE1614" s="73"/>
      <c r="BF1614" s="73"/>
      <c r="BG1614" s="73"/>
      <c r="BH1614" s="73"/>
      <c r="BI1614" s="73"/>
      <c r="BJ1614" s="73"/>
      <c r="BK1614" s="73"/>
      <c r="BL1614" s="73"/>
      <c r="BM1614" s="73"/>
      <c r="BN1614" s="73"/>
      <c r="BO1614" s="73"/>
      <c r="BP1614" s="73"/>
      <c r="BQ1614" s="73"/>
      <c r="BR1614" s="73"/>
      <c r="BS1614" s="73"/>
      <c r="BT1614" s="73"/>
      <c r="BU1614" s="73"/>
      <c r="BV1614" s="73"/>
      <c r="BW1614" s="73"/>
      <c r="BX1614" s="73"/>
      <c r="BY1614" s="73"/>
      <c r="BZ1614" s="73"/>
      <c r="CA1614" s="73"/>
      <c r="CB1614" s="73"/>
      <c r="CC1614" s="73"/>
      <c r="CD1614" s="73"/>
      <c r="CE1614" s="73"/>
      <c r="CF1614" s="73"/>
      <c r="CG1614" s="73"/>
      <c r="CH1614" s="73"/>
    </row>
    <row r="1615">
      <c r="A1615" s="80"/>
      <c r="B1615" s="80"/>
      <c r="C1615" s="80"/>
      <c r="D1615" s="80"/>
      <c r="E1615" s="124"/>
      <c r="F1615" s="80"/>
      <c r="G1615" s="80"/>
      <c r="H1615" s="80"/>
      <c r="I1615" s="80"/>
      <c r="J1615" s="196"/>
      <c r="K1615" s="196"/>
      <c r="L1615" s="196"/>
      <c r="M1615" s="196"/>
      <c r="N1615" s="196"/>
      <c r="O1615" s="196"/>
      <c r="P1615" s="196"/>
      <c r="Q1615" s="196"/>
      <c r="R1615" s="196"/>
      <c r="S1615" s="196"/>
      <c r="T1615" s="196"/>
      <c r="U1615" s="196"/>
      <c r="V1615" s="196"/>
      <c r="W1615" s="196"/>
      <c r="X1615" s="196"/>
      <c r="Y1615" s="196"/>
      <c r="Z1615" s="196"/>
      <c r="AA1615" s="196"/>
      <c r="AB1615" s="196"/>
      <c r="AC1615" s="196"/>
      <c r="AD1615" s="196"/>
      <c r="AE1615" s="196"/>
      <c r="AF1615" s="196"/>
      <c r="AG1615" s="196"/>
      <c r="AH1615" s="196"/>
      <c r="AI1615" s="196"/>
      <c r="AJ1615" s="197"/>
      <c r="AK1615" s="80"/>
      <c r="AL1615" s="80"/>
      <c r="AM1615" s="73"/>
      <c r="AN1615" s="73"/>
      <c r="AO1615" s="73"/>
      <c r="AP1615" s="73"/>
      <c r="AQ1615" s="73"/>
      <c r="AR1615" s="73"/>
      <c r="AS1615" s="73"/>
      <c r="AT1615" s="73"/>
      <c r="AU1615" s="73"/>
      <c r="AV1615" s="73"/>
      <c r="AW1615" s="73"/>
      <c r="AX1615" s="73"/>
      <c r="AY1615" s="73"/>
      <c r="AZ1615" s="73"/>
      <c r="BA1615" s="73"/>
      <c r="BB1615" s="73"/>
      <c r="BC1615" s="73"/>
      <c r="BD1615" s="73"/>
      <c r="BE1615" s="73"/>
      <c r="BF1615" s="73"/>
      <c r="BG1615" s="73"/>
      <c r="BH1615" s="73"/>
      <c r="BI1615" s="73"/>
      <c r="BJ1615" s="73"/>
      <c r="BK1615" s="73"/>
      <c r="BL1615" s="73"/>
      <c r="BM1615" s="73"/>
      <c r="BN1615" s="73"/>
      <c r="BO1615" s="73"/>
      <c r="BP1615" s="73"/>
      <c r="BQ1615" s="73"/>
      <c r="BR1615" s="73"/>
      <c r="BS1615" s="73"/>
      <c r="BT1615" s="73"/>
      <c r="BU1615" s="73"/>
      <c r="BV1615" s="73"/>
      <c r="BW1615" s="73"/>
      <c r="BX1615" s="73"/>
      <c r="BY1615" s="73"/>
      <c r="BZ1615" s="73"/>
      <c r="CA1615" s="73"/>
      <c r="CB1615" s="73"/>
      <c r="CC1615" s="73"/>
      <c r="CD1615" s="73"/>
      <c r="CE1615" s="73"/>
      <c r="CF1615" s="73"/>
      <c r="CG1615" s="73"/>
      <c r="CH1615" s="73"/>
    </row>
    <row r="1616">
      <c r="A1616" s="80"/>
      <c r="B1616" s="80"/>
      <c r="C1616" s="80"/>
      <c r="D1616" s="80"/>
      <c r="E1616" s="124"/>
      <c r="F1616" s="80"/>
      <c r="G1616" s="80"/>
      <c r="H1616" s="80"/>
      <c r="I1616" s="80"/>
      <c r="J1616" s="196"/>
      <c r="K1616" s="196"/>
      <c r="L1616" s="196"/>
      <c r="M1616" s="196"/>
      <c r="N1616" s="196"/>
      <c r="O1616" s="196"/>
      <c r="P1616" s="196"/>
      <c r="Q1616" s="196"/>
      <c r="R1616" s="196"/>
      <c r="S1616" s="196"/>
      <c r="T1616" s="196"/>
      <c r="U1616" s="196"/>
      <c r="V1616" s="196"/>
      <c r="W1616" s="196"/>
      <c r="X1616" s="196"/>
      <c r="Y1616" s="196"/>
      <c r="Z1616" s="196"/>
      <c r="AA1616" s="196"/>
      <c r="AB1616" s="196"/>
      <c r="AC1616" s="196"/>
      <c r="AD1616" s="196"/>
      <c r="AE1616" s="196"/>
      <c r="AF1616" s="196"/>
      <c r="AG1616" s="196"/>
      <c r="AH1616" s="196"/>
      <c r="AI1616" s="196"/>
      <c r="AJ1616" s="197"/>
      <c r="AK1616" s="80"/>
      <c r="AL1616" s="80"/>
      <c r="AM1616" s="73"/>
      <c r="AN1616" s="73"/>
      <c r="AO1616" s="73"/>
      <c r="AP1616" s="73"/>
      <c r="AQ1616" s="73"/>
      <c r="AR1616" s="73"/>
      <c r="AS1616" s="73"/>
      <c r="AT1616" s="73"/>
      <c r="AU1616" s="73"/>
      <c r="AV1616" s="73"/>
      <c r="AW1616" s="73"/>
      <c r="AX1616" s="73"/>
      <c r="AY1616" s="73"/>
      <c r="AZ1616" s="73"/>
      <c r="BA1616" s="73"/>
      <c r="BB1616" s="73"/>
      <c r="BC1616" s="73"/>
      <c r="BD1616" s="73"/>
      <c r="BE1616" s="73"/>
      <c r="BF1616" s="73"/>
      <c r="BG1616" s="73"/>
      <c r="BH1616" s="73"/>
      <c r="BI1616" s="73"/>
      <c r="BJ1616" s="73"/>
      <c r="BK1616" s="73"/>
      <c r="BL1616" s="73"/>
      <c r="BM1616" s="73"/>
      <c r="BN1616" s="73"/>
      <c r="BO1616" s="73"/>
      <c r="BP1616" s="73"/>
      <c r="BQ1616" s="73"/>
      <c r="BR1616" s="73"/>
      <c r="BS1616" s="73"/>
      <c r="BT1616" s="73"/>
      <c r="BU1616" s="73"/>
      <c r="BV1616" s="73"/>
      <c r="BW1616" s="73"/>
      <c r="BX1616" s="73"/>
      <c r="BY1616" s="73"/>
      <c r="BZ1616" s="73"/>
      <c r="CA1616" s="73"/>
      <c r="CB1616" s="73"/>
      <c r="CC1616" s="73"/>
      <c r="CD1616" s="73"/>
      <c r="CE1616" s="73"/>
      <c r="CF1616" s="73"/>
      <c r="CG1616" s="73"/>
      <c r="CH1616" s="73"/>
    </row>
    <row r="1617">
      <c r="A1617" s="80"/>
      <c r="B1617" s="80"/>
      <c r="C1617" s="80"/>
      <c r="D1617" s="80"/>
      <c r="E1617" s="124"/>
      <c r="F1617" s="80"/>
      <c r="G1617" s="80"/>
      <c r="H1617" s="80"/>
      <c r="I1617" s="80"/>
      <c r="J1617" s="196"/>
      <c r="K1617" s="196"/>
      <c r="L1617" s="196"/>
      <c r="M1617" s="196"/>
      <c r="N1617" s="196"/>
      <c r="O1617" s="196"/>
      <c r="P1617" s="196"/>
      <c r="Q1617" s="196"/>
      <c r="R1617" s="196"/>
      <c r="S1617" s="196"/>
      <c r="T1617" s="196"/>
      <c r="U1617" s="196"/>
      <c r="V1617" s="196"/>
      <c r="W1617" s="196"/>
      <c r="X1617" s="196"/>
      <c r="Y1617" s="196"/>
      <c r="Z1617" s="196"/>
      <c r="AA1617" s="196"/>
      <c r="AB1617" s="196"/>
      <c r="AC1617" s="196"/>
      <c r="AD1617" s="196"/>
      <c r="AE1617" s="196"/>
      <c r="AF1617" s="196"/>
      <c r="AG1617" s="196"/>
      <c r="AH1617" s="196"/>
      <c r="AI1617" s="196"/>
      <c r="AJ1617" s="197"/>
      <c r="AK1617" s="80"/>
      <c r="AL1617" s="80"/>
      <c r="AM1617" s="73"/>
      <c r="AN1617" s="73"/>
      <c r="AO1617" s="73"/>
      <c r="AP1617" s="73"/>
      <c r="AQ1617" s="73"/>
      <c r="AR1617" s="73"/>
      <c r="AS1617" s="73"/>
      <c r="AT1617" s="73"/>
      <c r="AU1617" s="73"/>
      <c r="AV1617" s="73"/>
      <c r="AW1617" s="73"/>
      <c r="AX1617" s="73"/>
      <c r="AY1617" s="73"/>
      <c r="AZ1617" s="73"/>
      <c r="BA1617" s="73"/>
      <c r="BB1617" s="73"/>
      <c r="BC1617" s="73"/>
      <c r="BD1617" s="73"/>
      <c r="BE1617" s="73"/>
      <c r="BF1617" s="73"/>
      <c r="BG1617" s="73"/>
      <c r="BH1617" s="73"/>
      <c r="BI1617" s="73"/>
      <c r="BJ1617" s="73"/>
      <c r="BK1617" s="73"/>
      <c r="BL1617" s="73"/>
      <c r="BM1617" s="73"/>
      <c r="BN1617" s="73"/>
      <c r="BO1617" s="73"/>
      <c r="BP1617" s="73"/>
      <c r="BQ1617" s="73"/>
      <c r="BR1617" s="73"/>
      <c r="BS1617" s="73"/>
      <c r="BT1617" s="73"/>
      <c r="BU1617" s="73"/>
      <c r="BV1617" s="73"/>
      <c r="BW1617" s="73"/>
      <c r="BX1617" s="73"/>
      <c r="BY1617" s="73"/>
      <c r="BZ1617" s="73"/>
      <c r="CA1617" s="73"/>
      <c r="CB1617" s="73"/>
      <c r="CC1617" s="73"/>
      <c r="CD1617" s="73"/>
      <c r="CE1617" s="73"/>
      <c r="CF1617" s="73"/>
      <c r="CG1617" s="73"/>
      <c r="CH1617" s="73"/>
    </row>
    <row r="1618">
      <c r="A1618" s="80"/>
      <c r="B1618" s="80"/>
      <c r="C1618" s="80"/>
      <c r="D1618" s="80"/>
      <c r="E1618" s="124"/>
      <c r="F1618" s="80"/>
      <c r="G1618" s="80"/>
      <c r="H1618" s="80"/>
      <c r="I1618" s="80"/>
      <c r="J1618" s="196"/>
      <c r="K1618" s="196"/>
      <c r="L1618" s="196"/>
      <c r="M1618" s="196"/>
      <c r="N1618" s="196"/>
      <c r="O1618" s="196"/>
      <c r="P1618" s="196"/>
      <c r="Q1618" s="196"/>
      <c r="R1618" s="196"/>
      <c r="S1618" s="196"/>
      <c r="T1618" s="196"/>
      <c r="U1618" s="196"/>
      <c r="V1618" s="196"/>
      <c r="W1618" s="196"/>
      <c r="X1618" s="196"/>
      <c r="Y1618" s="196"/>
      <c r="Z1618" s="196"/>
      <c r="AA1618" s="196"/>
      <c r="AB1618" s="196"/>
      <c r="AC1618" s="196"/>
      <c r="AD1618" s="196"/>
      <c r="AE1618" s="196"/>
      <c r="AF1618" s="196"/>
      <c r="AG1618" s="196"/>
      <c r="AH1618" s="196"/>
      <c r="AI1618" s="196"/>
      <c r="AJ1618" s="197"/>
      <c r="AK1618" s="80"/>
      <c r="AL1618" s="80"/>
      <c r="AM1618" s="73"/>
      <c r="AN1618" s="73"/>
      <c r="AO1618" s="73"/>
      <c r="AP1618" s="73"/>
      <c r="AQ1618" s="73"/>
      <c r="AR1618" s="73"/>
      <c r="AS1618" s="73"/>
      <c r="AT1618" s="73"/>
      <c r="AU1618" s="73"/>
      <c r="AV1618" s="73"/>
      <c r="AW1618" s="73"/>
      <c r="AX1618" s="73"/>
      <c r="AY1618" s="73"/>
      <c r="AZ1618" s="73"/>
      <c r="BA1618" s="73"/>
      <c r="BB1618" s="73"/>
      <c r="BC1618" s="73"/>
      <c r="BD1618" s="73"/>
      <c r="BE1618" s="73"/>
      <c r="BF1618" s="73"/>
      <c r="BG1618" s="73"/>
      <c r="BH1618" s="73"/>
      <c r="BI1618" s="73"/>
      <c r="BJ1618" s="73"/>
      <c r="BK1618" s="73"/>
      <c r="BL1618" s="73"/>
      <c r="BM1618" s="73"/>
      <c r="BN1618" s="73"/>
      <c r="BO1618" s="73"/>
      <c r="BP1618" s="73"/>
      <c r="BQ1618" s="73"/>
      <c r="BR1618" s="73"/>
      <c r="BS1618" s="73"/>
      <c r="BT1618" s="73"/>
      <c r="BU1618" s="73"/>
      <c r="BV1618" s="73"/>
      <c r="BW1618" s="73"/>
      <c r="BX1618" s="73"/>
      <c r="BY1618" s="73"/>
      <c r="BZ1618" s="73"/>
      <c r="CA1618" s="73"/>
      <c r="CB1618" s="73"/>
      <c r="CC1618" s="73"/>
      <c r="CD1618" s="73"/>
      <c r="CE1618" s="73"/>
      <c r="CF1618" s="73"/>
      <c r="CG1618" s="73"/>
      <c r="CH1618" s="73"/>
    </row>
    <row r="1619">
      <c r="A1619" s="80"/>
      <c r="B1619" s="80"/>
      <c r="C1619" s="80"/>
      <c r="D1619" s="80"/>
      <c r="E1619" s="124"/>
      <c r="F1619" s="80"/>
      <c r="G1619" s="80"/>
      <c r="H1619" s="80"/>
      <c r="I1619" s="80"/>
      <c r="J1619" s="196"/>
      <c r="K1619" s="196"/>
      <c r="L1619" s="196"/>
      <c r="M1619" s="196"/>
      <c r="N1619" s="196"/>
      <c r="O1619" s="196"/>
      <c r="P1619" s="196"/>
      <c r="Q1619" s="196"/>
      <c r="R1619" s="196"/>
      <c r="S1619" s="196"/>
      <c r="T1619" s="196"/>
      <c r="U1619" s="196"/>
      <c r="V1619" s="196"/>
      <c r="W1619" s="196"/>
      <c r="X1619" s="196"/>
      <c r="Y1619" s="196"/>
      <c r="Z1619" s="196"/>
      <c r="AA1619" s="196"/>
      <c r="AB1619" s="196"/>
      <c r="AC1619" s="196"/>
      <c r="AD1619" s="196"/>
      <c r="AE1619" s="196"/>
      <c r="AF1619" s="196"/>
      <c r="AG1619" s="196"/>
      <c r="AH1619" s="196"/>
      <c r="AI1619" s="196"/>
      <c r="AJ1619" s="197"/>
      <c r="AK1619" s="80"/>
      <c r="AL1619" s="80"/>
      <c r="AM1619" s="73"/>
      <c r="AN1619" s="73"/>
      <c r="AO1619" s="73"/>
      <c r="AP1619" s="73"/>
      <c r="AQ1619" s="73"/>
      <c r="AR1619" s="73"/>
      <c r="AS1619" s="73"/>
      <c r="AT1619" s="73"/>
      <c r="AU1619" s="73"/>
      <c r="AV1619" s="73"/>
      <c r="AW1619" s="73"/>
      <c r="AX1619" s="73"/>
      <c r="AY1619" s="73"/>
      <c r="AZ1619" s="73"/>
      <c r="BA1619" s="73"/>
      <c r="BB1619" s="73"/>
      <c r="BC1619" s="73"/>
      <c r="BD1619" s="73"/>
      <c r="BE1619" s="73"/>
      <c r="BF1619" s="73"/>
      <c r="BG1619" s="73"/>
      <c r="BH1619" s="73"/>
      <c r="BI1619" s="73"/>
      <c r="BJ1619" s="73"/>
      <c r="BK1619" s="73"/>
      <c r="BL1619" s="73"/>
      <c r="BM1619" s="73"/>
      <c r="BN1619" s="73"/>
      <c r="BO1619" s="73"/>
      <c r="BP1619" s="73"/>
      <c r="BQ1619" s="73"/>
      <c r="BR1619" s="73"/>
      <c r="BS1619" s="73"/>
      <c r="BT1619" s="73"/>
      <c r="BU1619" s="73"/>
      <c r="BV1619" s="73"/>
      <c r="BW1619" s="73"/>
      <c r="BX1619" s="73"/>
      <c r="BY1619" s="73"/>
      <c r="BZ1619" s="73"/>
      <c r="CA1619" s="73"/>
      <c r="CB1619" s="73"/>
      <c r="CC1619" s="73"/>
      <c r="CD1619" s="73"/>
      <c r="CE1619" s="73"/>
      <c r="CF1619" s="73"/>
      <c r="CG1619" s="73"/>
      <c r="CH1619" s="73"/>
    </row>
    <row r="1620">
      <c r="A1620" s="80"/>
      <c r="B1620" s="80"/>
      <c r="C1620" s="80"/>
      <c r="D1620" s="80"/>
      <c r="E1620" s="124"/>
      <c r="F1620" s="80"/>
      <c r="G1620" s="80"/>
      <c r="H1620" s="80"/>
      <c r="I1620" s="80"/>
      <c r="J1620" s="196"/>
      <c r="K1620" s="196"/>
      <c r="L1620" s="196"/>
      <c r="M1620" s="196"/>
      <c r="N1620" s="196"/>
      <c r="O1620" s="196"/>
      <c r="P1620" s="196"/>
      <c r="Q1620" s="196"/>
      <c r="R1620" s="196"/>
      <c r="S1620" s="196"/>
      <c r="T1620" s="196"/>
      <c r="U1620" s="196"/>
      <c r="V1620" s="196"/>
      <c r="W1620" s="196"/>
      <c r="X1620" s="196"/>
      <c r="Y1620" s="196"/>
      <c r="Z1620" s="196"/>
      <c r="AA1620" s="196"/>
      <c r="AB1620" s="196"/>
      <c r="AC1620" s="196"/>
      <c r="AD1620" s="196"/>
      <c r="AE1620" s="196"/>
      <c r="AF1620" s="196"/>
      <c r="AG1620" s="196"/>
      <c r="AH1620" s="196"/>
      <c r="AI1620" s="196"/>
      <c r="AJ1620" s="197"/>
      <c r="AK1620" s="80"/>
      <c r="AL1620" s="80"/>
      <c r="AM1620" s="73"/>
      <c r="AN1620" s="73"/>
      <c r="AO1620" s="73"/>
      <c r="AP1620" s="73"/>
      <c r="AQ1620" s="73"/>
      <c r="AR1620" s="73"/>
      <c r="AS1620" s="73"/>
      <c r="AT1620" s="73"/>
      <c r="AU1620" s="73"/>
      <c r="AV1620" s="73"/>
      <c r="AW1620" s="73"/>
      <c r="AX1620" s="73"/>
      <c r="AY1620" s="73"/>
      <c r="AZ1620" s="73"/>
      <c r="BA1620" s="73"/>
      <c r="BB1620" s="73"/>
      <c r="BC1620" s="73"/>
      <c r="BD1620" s="73"/>
      <c r="BE1620" s="73"/>
      <c r="BF1620" s="73"/>
      <c r="BG1620" s="73"/>
      <c r="BH1620" s="73"/>
      <c r="BI1620" s="73"/>
      <c r="BJ1620" s="73"/>
      <c r="BK1620" s="73"/>
      <c r="BL1620" s="73"/>
      <c r="BM1620" s="73"/>
      <c r="BN1620" s="73"/>
      <c r="BO1620" s="73"/>
      <c r="BP1620" s="73"/>
      <c r="BQ1620" s="73"/>
      <c r="BR1620" s="73"/>
      <c r="BS1620" s="73"/>
      <c r="BT1620" s="73"/>
      <c r="BU1620" s="73"/>
      <c r="BV1620" s="73"/>
      <c r="BW1620" s="73"/>
      <c r="BX1620" s="73"/>
      <c r="BY1620" s="73"/>
      <c r="BZ1620" s="73"/>
      <c r="CA1620" s="73"/>
      <c r="CB1620" s="73"/>
      <c r="CC1620" s="73"/>
      <c r="CD1620" s="73"/>
      <c r="CE1620" s="73"/>
      <c r="CF1620" s="73"/>
      <c r="CG1620" s="73"/>
      <c r="CH1620" s="73"/>
    </row>
    <row r="1621">
      <c r="A1621" s="80"/>
      <c r="B1621" s="80"/>
      <c r="C1621" s="80"/>
      <c r="D1621" s="80"/>
      <c r="E1621" s="124"/>
      <c r="F1621" s="80"/>
      <c r="G1621" s="80"/>
      <c r="H1621" s="80"/>
      <c r="I1621" s="80"/>
      <c r="J1621" s="196"/>
      <c r="K1621" s="196"/>
      <c r="L1621" s="196"/>
      <c r="M1621" s="196"/>
      <c r="N1621" s="196"/>
      <c r="O1621" s="196"/>
      <c r="P1621" s="196"/>
      <c r="Q1621" s="196"/>
      <c r="R1621" s="196"/>
      <c r="S1621" s="196"/>
      <c r="T1621" s="196"/>
      <c r="U1621" s="196"/>
      <c r="V1621" s="196"/>
      <c r="W1621" s="196"/>
      <c r="X1621" s="196"/>
      <c r="Y1621" s="196"/>
      <c r="Z1621" s="196"/>
      <c r="AA1621" s="196"/>
      <c r="AB1621" s="196"/>
      <c r="AC1621" s="196"/>
      <c r="AD1621" s="196"/>
      <c r="AE1621" s="196"/>
      <c r="AF1621" s="196"/>
      <c r="AG1621" s="196"/>
      <c r="AH1621" s="196"/>
      <c r="AI1621" s="196"/>
      <c r="AJ1621" s="197"/>
      <c r="AK1621" s="80"/>
      <c r="AL1621" s="80"/>
      <c r="AM1621" s="73"/>
      <c r="AN1621" s="73"/>
      <c r="AO1621" s="73"/>
      <c r="AP1621" s="73"/>
      <c r="AQ1621" s="73"/>
      <c r="AR1621" s="73"/>
      <c r="AS1621" s="73"/>
      <c r="AT1621" s="73"/>
      <c r="AU1621" s="73"/>
      <c r="AV1621" s="73"/>
      <c r="AW1621" s="73"/>
      <c r="AX1621" s="73"/>
      <c r="AY1621" s="73"/>
      <c r="AZ1621" s="73"/>
      <c r="BA1621" s="73"/>
      <c r="BB1621" s="73"/>
      <c r="BC1621" s="73"/>
      <c r="BD1621" s="73"/>
      <c r="BE1621" s="73"/>
      <c r="BF1621" s="73"/>
      <c r="BG1621" s="73"/>
      <c r="BH1621" s="73"/>
      <c r="BI1621" s="73"/>
      <c r="BJ1621" s="73"/>
      <c r="BK1621" s="73"/>
      <c r="BL1621" s="73"/>
      <c r="BM1621" s="73"/>
      <c r="BN1621" s="73"/>
      <c r="BO1621" s="73"/>
      <c r="BP1621" s="73"/>
      <c r="BQ1621" s="73"/>
      <c r="BR1621" s="73"/>
      <c r="BS1621" s="73"/>
      <c r="BT1621" s="73"/>
      <c r="BU1621" s="73"/>
      <c r="BV1621" s="73"/>
      <c r="BW1621" s="73"/>
      <c r="BX1621" s="73"/>
      <c r="BY1621" s="73"/>
      <c r="BZ1621" s="73"/>
      <c r="CA1621" s="73"/>
      <c r="CB1621" s="73"/>
      <c r="CC1621" s="73"/>
      <c r="CD1621" s="73"/>
      <c r="CE1621" s="73"/>
      <c r="CF1621" s="73"/>
      <c r="CG1621" s="73"/>
      <c r="CH1621" s="73"/>
    </row>
    <row r="1622">
      <c r="A1622" s="80"/>
      <c r="B1622" s="80"/>
      <c r="C1622" s="80"/>
      <c r="D1622" s="80"/>
      <c r="E1622" s="124"/>
      <c r="F1622" s="80"/>
      <c r="G1622" s="80"/>
      <c r="H1622" s="80"/>
      <c r="I1622" s="80"/>
      <c r="J1622" s="196"/>
      <c r="K1622" s="196"/>
      <c r="L1622" s="196"/>
      <c r="M1622" s="196"/>
      <c r="N1622" s="196"/>
      <c r="O1622" s="196"/>
      <c r="P1622" s="196"/>
      <c r="Q1622" s="196"/>
      <c r="R1622" s="196"/>
      <c r="S1622" s="196"/>
      <c r="T1622" s="196"/>
      <c r="U1622" s="196"/>
      <c r="V1622" s="196"/>
      <c r="W1622" s="196"/>
      <c r="X1622" s="196"/>
      <c r="Y1622" s="196"/>
      <c r="Z1622" s="196"/>
      <c r="AA1622" s="196"/>
      <c r="AB1622" s="196"/>
      <c r="AC1622" s="196"/>
      <c r="AD1622" s="196"/>
      <c r="AE1622" s="196"/>
      <c r="AF1622" s="196"/>
      <c r="AG1622" s="196"/>
      <c r="AH1622" s="196"/>
      <c r="AI1622" s="196"/>
      <c r="AJ1622" s="197"/>
      <c r="AK1622" s="80"/>
      <c r="AL1622" s="80"/>
      <c r="AM1622" s="73"/>
      <c r="AN1622" s="73"/>
      <c r="AO1622" s="73"/>
      <c r="AP1622" s="73"/>
      <c r="AQ1622" s="73"/>
      <c r="AR1622" s="73"/>
      <c r="AS1622" s="73"/>
      <c r="AT1622" s="73"/>
      <c r="AU1622" s="73"/>
      <c r="AV1622" s="73"/>
      <c r="AW1622" s="73"/>
      <c r="AX1622" s="73"/>
      <c r="AY1622" s="73"/>
      <c r="AZ1622" s="73"/>
      <c r="BA1622" s="73"/>
      <c r="BB1622" s="73"/>
      <c r="BC1622" s="73"/>
      <c r="BD1622" s="73"/>
      <c r="BE1622" s="73"/>
      <c r="BF1622" s="73"/>
      <c r="BG1622" s="73"/>
      <c r="BH1622" s="73"/>
      <c r="BI1622" s="73"/>
      <c r="BJ1622" s="73"/>
      <c r="BK1622" s="73"/>
      <c r="BL1622" s="73"/>
      <c r="BM1622" s="73"/>
      <c r="BN1622" s="73"/>
      <c r="BO1622" s="73"/>
      <c r="BP1622" s="73"/>
      <c r="BQ1622" s="73"/>
      <c r="BR1622" s="73"/>
      <c r="BS1622" s="73"/>
      <c r="BT1622" s="73"/>
      <c r="BU1622" s="73"/>
      <c r="BV1622" s="73"/>
      <c r="BW1622" s="73"/>
      <c r="BX1622" s="73"/>
      <c r="BY1622" s="73"/>
      <c r="BZ1622" s="73"/>
      <c r="CA1622" s="73"/>
      <c r="CB1622" s="73"/>
      <c r="CC1622" s="73"/>
      <c r="CD1622" s="73"/>
      <c r="CE1622" s="73"/>
      <c r="CF1622" s="73"/>
      <c r="CG1622" s="73"/>
      <c r="CH1622" s="73"/>
    </row>
    <row r="1623">
      <c r="A1623" s="80"/>
      <c r="B1623" s="80"/>
      <c r="C1623" s="80"/>
      <c r="D1623" s="80"/>
      <c r="E1623" s="124"/>
      <c r="F1623" s="80"/>
      <c r="G1623" s="80"/>
      <c r="H1623" s="80"/>
      <c r="I1623" s="80"/>
      <c r="J1623" s="196"/>
      <c r="K1623" s="196"/>
      <c r="L1623" s="196"/>
      <c r="M1623" s="196"/>
      <c r="N1623" s="196"/>
      <c r="O1623" s="196"/>
      <c r="P1623" s="196"/>
      <c r="Q1623" s="196"/>
      <c r="R1623" s="196"/>
      <c r="S1623" s="196"/>
      <c r="T1623" s="196"/>
      <c r="U1623" s="196"/>
      <c r="V1623" s="196"/>
      <c r="W1623" s="196"/>
      <c r="X1623" s="196"/>
      <c r="Y1623" s="196"/>
      <c r="Z1623" s="196"/>
      <c r="AA1623" s="196"/>
      <c r="AB1623" s="196"/>
      <c r="AC1623" s="196"/>
      <c r="AD1623" s="196"/>
      <c r="AE1623" s="196"/>
      <c r="AF1623" s="196"/>
      <c r="AG1623" s="196"/>
      <c r="AH1623" s="196"/>
      <c r="AI1623" s="196"/>
      <c r="AJ1623" s="197"/>
      <c r="AK1623" s="80"/>
      <c r="AL1623" s="80"/>
      <c r="AM1623" s="73"/>
      <c r="AN1623" s="73"/>
      <c r="AO1623" s="73"/>
      <c r="AP1623" s="73"/>
      <c r="AQ1623" s="73"/>
      <c r="AR1623" s="73"/>
      <c r="AS1623" s="73"/>
      <c r="AT1623" s="73"/>
      <c r="AU1623" s="73"/>
      <c r="AV1623" s="73"/>
      <c r="AW1623" s="73"/>
      <c r="AX1623" s="73"/>
      <c r="AY1623" s="73"/>
      <c r="AZ1623" s="73"/>
      <c r="BA1623" s="73"/>
      <c r="BB1623" s="73"/>
      <c r="BC1623" s="73"/>
      <c r="BD1623" s="73"/>
      <c r="BE1623" s="73"/>
      <c r="BF1623" s="73"/>
      <c r="BG1623" s="73"/>
      <c r="BH1623" s="73"/>
      <c r="BI1623" s="73"/>
      <c r="BJ1623" s="73"/>
      <c r="BK1623" s="73"/>
      <c r="BL1623" s="73"/>
      <c r="BM1623" s="73"/>
      <c r="BN1623" s="73"/>
      <c r="BO1623" s="73"/>
      <c r="BP1623" s="73"/>
      <c r="BQ1623" s="73"/>
      <c r="BR1623" s="73"/>
      <c r="BS1623" s="73"/>
      <c r="BT1623" s="73"/>
      <c r="BU1623" s="73"/>
      <c r="BV1623" s="73"/>
      <c r="BW1623" s="73"/>
      <c r="BX1623" s="73"/>
      <c r="BY1623" s="73"/>
      <c r="BZ1623" s="73"/>
      <c r="CA1623" s="73"/>
      <c r="CB1623" s="73"/>
      <c r="CC1623" s="73"/>
      <c r="CD1623" s="73"/>
      <c r="CE1623" s="73"/>
      <c r="CF1623" s="73"/>
      <c r="CG1623" s="73"/>
      <c r="CH1623" s="73"/>
    </row>
    <row r="1624">
      <c r="A1624" s="80"/>
      <c r="B1624" s="80"/>
      <c r="C1624" s="80"/>
      <c r="D1624" s="80"/>
      <c r="E1624" s="124"/>
      <c r="F1624" s="80"/>
      <c r="G1624" s="80"/>
      <c r="H1624" s="80"/>
      <c r="I1624" s="80"/>
      <c r="J1624" s="196"/>
      <c r="K1624" s="196"/>
      <c r="L1624" s="196"/>
      <c r="M1624" s="196"/>
      <c r="N1624" s="196"/>
      <c r="O1624" s="196"/>
      <c r="P1624" s="196"/>
      <c r="Q1624" s="196"/>
      <c r="R1624" s="196"/>
      <c r="S1624" s="196"/>
      <c r="T1624" s="196"/>
      <c r="U1624" s="196"/>
      <c r="V1624" s="196"/>
      <c r="W1624" s="196"/>
      <c r="X1624" s="196"/>
      <c r="Y1624" s="196"/>
      <c r="Z1624" s="196"/>
      <c r="AA1624" s="196"/>
      <c r="AB1624" s="196"/>
      <c r="AC1624" s="196"/>
      <c r="AD1624" s="196"/>
      <c r="AE1624" s="196"/>
      <c r="AF1624" s="196"/>
      <c r="AG1624" s="196"/>
      <c r="AH1624" s="196"/>
      <c r="AI1624" s="196"/>
      <c r="AJ1624" s="197"/>
      <c r="AK1624" s="80"/>
      <c r="AL1624" s="80"/>
      <c r="AM1624" s="73"/>
      <c r="AN1624" s="73"/>
      <c r="AO1624" s="73"/>
      <c r="AP1624" s="73"/>
      <c r="AQ1624" s="73"/>
      <c r="AR1624" s="73"/>
      <c r="AS1624" s="73"/>
      <c r="AT1624" s="73"/>
      <c r="AU1624" s="73"/>
      <c r="AV1624" s="73"/>
      <c r="AW1624" s="73"/>
      <c r="AX1624" s="73"/>
      <c r="AY1624" s="73"/>
      <c r="AZ1624" s="73"/>
      <c r="BA1624" s="73"/>
      <c r="BB1624" s="73"/>
      <c r="BC1624" s="73"/>
      <c r="BD1624" s="73"/>
      <c r="BE1624" s="73"/>
      <c r="BF1624" s="73"/>
      <c r="BG1624" s="73"/>
      <c r="BH1624" s="73"/>
      <c r="BI1624" s="73"/>
      <c r="BJ1624" s="73"/>
      <c r="BK1624" s="73"/>
      <c r="BL1624" s="73"/>
      <c r="BM1624" s="73"/>
      <c r="BN1624" s="73"/>
      <c r="BO1624" s="73"/>
      <c r="BP1624" s="73"/>
      <c r="BQ1624" s="73"/>
      <c r="BR1624" s="73"/>
      <c r="BS1624" s="73"/>
      <c r="BT1624" s="73"/>
      <c r="BU1624" s="73"/>
      <c r="BV1624" s="73"/>
      <c r="BW1624" s="73"/>
      <c r="BX1624" s="73"/>
      <c r="BY1624" s="73"/>
      <c r="BZ1624" s="73"/>
      <c r="CA1624" s="73"/>
      <c r="CB1624" s="73"/>
      <c r="CC1624" s="73"/>
      <c r="CD1624" s="73"/>
      <c r="CE1624" s="73"/>
      <c r="CF1624" s="73"/>
      <c r="CG1624" s="73"/>
      <c r="CH1624" s="73"/>
    </row>
    <row r="1625">
      <c r="A1625" s="80"/>
      <c r="B1625" s="80"/>
      <c r="C1625" s="80"/>
      <c r="D1625" s="80"/>
      <c r="E1625" s="124"/>
      <c r="F1625" s="80"/>
      <c r="G1625" s="80"/>
      <c r="H1625" s="80"/>
      <c r="I1625" s="80"/>
      <c r="J1625" s="196"/>
      <c r="K1625" s="196"/>
      <c r="L1625" s="196"/>
      <c r="M1625" s="196"/>
      <c r="N1625" s="196"/>
      <c r="O1625" s="196"/>
      <c r="P1625" s="196"/>
      <c r="Q1625" s="196"/>
      <c r="R1625" s="196"/>
      <c r="S1625" s="196"/>
      <c r="T1625" s="196"/>
      <c r="U1625" s="196"/>
      <c r="V1625" s="196"/>
      <c r="W1625" s="196"/>
      <c r="X1625" s="196"/>
      <c r="Y1625" s="196"/>
      <c r="Z1625" s="196"/>
      <c r="AA1625" s="196"/>
      <c r="AB1625" s="196"/>
      <c r="AC1625" s="196"/>
      <c r="AD1625" s="196"/>
      <c r="AE1625" s="196"/>
      <c r="AF1625" s="196"/>
      <c r="AG1625" s="196"/>
      <c r="AH1625" s="196"/>
      <c r="AI1625" s="196"/>
      <c r="AJ1625" s="197"/>
      <c r="AK1625" s="80"/>
      <c r="AL1625" s="80"/>
      <c r="AM1625" s="73"/>
      <c r="AN1625" s="73"/>
      <c r="AO1625" s="73"/>
      <c r="AP1625" s="73"/>
      <c r="AQ1625" s="73"/>
      <c r="AR1625" s="73"/>
      <c r="AS1625" s="73"/>
      <c r="AT1625" s="73"/>
      <c r="AU1625" s="73"/>
      <c r="AV1625" s="73"/>
      <c r="AW1625" s="73"/>
      <c r="AX1625" s="73"/>
      <c r="AY1625" s="73"/>
      <c r="AZ1625" s="73"/>
      <c r="BA1625" s="73"/>
      <c r="BB1625" s="73"/>
      <c r="BC1625" s="73"/>
      <c r="BD1625" s="73"/>
      <c r="BE1625" s="73"/>
      <c r="BF1625" s="73"/>
      <c r="BG1625" s="73"/>
      <c r="BH1625" s="73"/>
      <c r="BI1625" s="73"/>
      <c r="BJ1625" s="73"/>
      <c r="BK1625" s="73"/>
      <c r="BL1625" s="73"/>
      <c r="BM1625" s="73"/>
      <c r="BN1625" s="73"/>
      <c r="BO1625" s="73"/>
      <c r="BP1625" s="73"/>
      <c r="BQ1625" s="73"/>
      <c r="BR1625" s="73"/>
      <c r="BS1625" s="73"/>
      <c r="BT1625" s="73"/>
      <c r="BU1625" s="73"/>
      <c r="BV1625" s="73"/>
      <c r="BW1625" s="73"/>
      <c r="BX1625" s="73"/>
      <c r="BY1625" s="73"/>
      <c r="BZ1625" s="73"/>
      <c r="CA1625" s="73"/>
      <c r="CB1625" s="73"/>
      <c r="CC1625" s="73"/>
      <c r="CD1625" s="73"/>
      <c r="CE1625" s="73"/>
      <c r="CF1625" s="73"/>
      <c r="CG1625" s="73"/>
      <c r="CH1625" s="73"/>
    </row>
    <row r="1626">
      <c r="A1626" s="80"/>
      <c r="B1626" s="80"/>
      <c r="C1626" s="80"/>
      <c r="D1626" s="80"/>
      <c r="E1626" s="124"/>
      <c r="F1626" s="80"/>
      <c r="G1626" s="80"/>
      <c r="H1626" s="80"/>
      <c r="I1626" s="80"/>
      <c r="J1626" s="196"/>
      <c r="K1626" s="196"/>
      <c r="L1626" s="196"/>
      <c r="M1626" s="196"/>
      <c r="N1626" s="196"/>
      <c r="O1626" s="196"/>
      <c r="P1626" s="196"/>
      <c r="Q1626" s="196"/>
      <c r="R1626" s="196"/>
      <c r="S1626" s="196"/>
      <c r="T1626" s="196"/>
      <c r="U1626" s="196"/>
      <c r="V1626" s="196"/>
      <c r="W1626" s="196"/>
      <c r="X1626" s="196"/>
      <c r="Y1626" s="196"/>
      <c r="Z1626" s="196"/>
      <c r="AA1626" s="196"/>
      <c r="AB1626" s="196"/>
      <c r="AC1626" s="196"/>
      <c r="AD1626" s="196"/>
      <c r="AE1626" s="196"/>
      <c r="AF1626" s="196"/>
      <c r="AG1626" s="196"/>
      <c r="AH1626" s="196"/>
      <c r="AI1626" s="196"/>
      <c r="AJ1626" s="197"/>
      <c r="AK1626" s="80"/>
      <c r="AL1626" s="80"/>
      <c r="AM1626" s="73"/>
      <c r="AN1626" s="73"/>
      <c r="AO1626" s="73"/>
      <c r="AP1626" s="73"/>
      <c r="AQ1626" s="73"/>
      <c r="AR1626" s="73"/>
      <c r="AS1626" s="73"/>
      <c r="AT1626" s="73"/>
      <c r="AU1626" s="73"/>
      <c r="AV1626" s="73"/>
      <c r="AW1626" s="73"/>
      <c r="AX1626" s="73"/>
      <c r="AY1626" s="73"/>
      <c r="AZ1626" s="73"/>
      <c r="BA1626" s="73"/>
      <c r="BB1626" s="73"/>
      <c r="BC1626" s="73"/>
      <c r="BD1626" s="73"/>
      <c r="BE1626" s="73"/>
      <c r="BF1626" s="73"/>
      <c r="BG1626" s="73"/>
      <c r="BH1626" s="73"/>
      <c r="BI1626" s="73"/>
      <c r="BJ1626" s="73"/>
      <c r="BK1626" s="73"/>
      <c r="BL1626" s="73"/>
      <c r="BM1626" s="73"/>
      <c r="BN1626" s="73"/>
      <c r="BO1626" s="73"/>
      <c r="BP1626" s="73"/>
      <c r="BQ1626" s="73"/>
      <c r="BR1626" s="73"/>
      <c r="BS1626" s="73"/>
      <c r="BT1626" s="73"/>
      <c r="BU1626" s="73"/>
      <c r="BV1626" s="73"/>
      <c r="BW1626" s="73"/>
      <c r="BX1626" s="73"/>
      <c r="BY1626" s="73"/>
      <c r="BZ1626" s="73"/>
      <c r="CA1626" s="73"/>
      <c r="CB1626" s="73"/>
      <c r="CC1626" s="73"/>
      <c r="CD1626" s="73"/>
      <c r="CE1626" s="73"/>
      <c r="CF1626" s="73"/>
      <c r="CG1626" s="73"/>
      <c r="CH1626" s="73"/>
    </row>
    <row r="1627">
      <c r="A1627" s="80"/>
      <c r="B1627" s="80"/>
      <c r="C1627" s="80"/>
      <c r="D1627" s="80"/>
      <c r="E1627" s="124"/>
      <c r="F1627" s="80"/>
      <c r="G1627" s="80"/>
      <c r="H1627" s="80"/>
      <c r="I1627" s="80"/>
      <c r="J1627" s="196"/>
      <c r="K1627" s="196"/>
      <c r="L1627" s="196"/>
      <c r="M1627" s="196"/>
      <c r="N1627" s="196"/>
      <c r="O1627" s="196"/>
      <c r="P1627" s="196"/>
      <c r="Q1627" s="196"/>
      <c r="R1627" s="196"/>
      <c r="S1627" s="196"/>
      <c r="T1627" s="196"/>
      <c r="U1627" s="196"/>
      <c r="V1627" s="196"/>
      <c r="W1627" s="196"/>
      <c r="X1627" s="196"/>
      <c r="Y1627" s="196"/>
      <c r="Z1627" s="196"/>
      <c r="AA1627" s="196"/>
      <c r="AB1627" s="196"/>
      <c r="AC1627" s="196"/>
      <c r="AD1627" s="196"/>
      <c r="AE1627" s="196"/>
      <c r="AF1627" s="196"/>
      <c r="AG1627" s="196"/>
      <c r="AH1627" s="196"/>
      <c r="AI1627" s="196"/>
      <c r="AJ1627" s="197"/>
      <c r="AK1627" s="80"/>
      <c r="AL1627" s="80"/>
      <c r="AM1627" s="73"/>
      <c r="AN1627" s="73"/>
      <c r="AO1627" s="73"/>
      <c r="AP1627" s="73"/>
      <c r="AQ1627" s="73"/>
      <c r="AR1627" s="73"/>
      <c r="AS1627" s="73"/>
      <c r="AT1627" s="73"/>
      <c r="AU1627" s="73"/>
      <c r="AV1627" s="73"/>
      <c r="AW1627" s="73"/>
      <c r="AX1627" s="73"/>
      <c r="AY1627" s="73"/>
      <c r="AZ1627" s="73"/>
      <c r="BA1627" s="73"/>
      <c r="BB1627" s="73"/>
      <c r="BC1627" s="73"/>
      <c r="BD1627" s="73"/>
      <c r="BE1627" s="73"/>
      <c r="BF1627" s="73"/>
      <c r="BG1627" s="73"/>
      <c r="BH1627" s="73"/>
      <c r="BI1627" s="73"/>
      <c r="BJ1627" s="73"/>
      <c r="BK1627" s="73"/>
      <c r="BL1627" s="73"/>
      <c r="BM1627" s="73"/>
      <c r="BN1627" s="73"/>
      <c r="BO1627" s="73"/>
      <c r="BP1627" s="73"/>
      <c r="BQ1627" s="73"/>
      <c r="BR1627" s="73"/>
      <c r="BS1627" s="73"/>
      <c r="BT1627" s="73"/>
      <c r="BU1627" s="73"/>
      <c r="BV1627" s="73"/>
      <c r="BW1627" s="73"/>
      <c r="BX1627" s="73"/>
      <c r="BY1627" s="73"/>
      <c r="BZ1627" s="73"/>
      <c r="CA1627" s="73"/>
      <c r="CB1627" s="73"/>
      <c r="CC1627" s="73"/>
      <c r="CD1627" s="73"/>
      <c r="CE1627" s="73"/>
      <c r="CF1627" s="73"/>
      <c r="CG1627" s="73"/>
      <c r="CH1627" s="73"/>
    </row>
    <row r="1628">
      <c r="A1628" s="80"/>
      <c r="B1628" s="80"/>
      <c r="C1628" s="80"/>
      <c r="D1628" s="80"/>
      <c r="E1628" s="124"/>
      <c r="F1628" s="80"/>
      <c r="G1628" s="80"/>
      <c r="H1628" s="80"/>
      <c r="I1628" s="80"/>
      <c r="J1628" s="196"/>
      <c r="K1628" s="196"/>
      <c r="L1628" s="196"/>
      <c r="M1628" s="196"/>
      <c r="N1628" s="196"/>
      <c r="O1628" s="196"/>
      <c r="P1628" s="196"/>
      <c r="Q1628" s="196"/>
      <c r="R1628" s="196"/>
      <c r="S1628" s="196"/>
      <c r="T1628" s="196"/>
      <c r="U1628" s="196"/>
      <c r="V1628" s="196"/>
      <c r="W1628" s="196"/>
      <c r="X1628" s="196"/>
      <c r="Y1628" s="196"/>
      <c r="Z1628" s="196"/>
      <c r="AA1628" s="196"/>
      <c r="AB1628" s="196"/>
      <c r="AC1628" s="196"/>
      <c r="AD1628" s="196"/>
      <c r="AE1628" s="196"/>
      <c r="AF1628" s="196"/>
      <c r="AG1628" s="196"/>
      <c r="AH1628" s="196"/>
      <c r="AI1628" s="196"/>
      <c r="AJ1628" s="197"/>
      <c r="AK1628" s="80"/>
      <c r="AL1628" s="80"/>
      <c r="AM1628" s="73"/>
      <c r="AN1628" s="73"/>
      <c r="AO1628" s="73"/>
      <c r="AP1628" s="73"/>
      <c r="AQ1628" s="73"/>
      <c r="AR1628" s="73"/>
      <c r="AS1628" s="73"/>
      <c r="AT1628" s="73"/>
      <c r="AU1628" s="73"/>
      <c r="AV1628" s="73"/>
      <c r="AW1628" s="73"/>
      <c r="AX1628" s="73"/>
      <c r="AY1628" s="73"/>
      <c r="AZ1628" s="73"/>
      <c r="BA1628" s="73"/>
      <c r="BB1628" s="73"/>
      <c r="BC1628" s="73"/>
      <c r="BD1628" s="73"/>
      <c r="BE1628" s="73"/>
      <c r="BF1628" s="73"/>
      <c r="BG1628" s="73"/>
      <c r="BH1628" s="73"/>
      <c r="BI1628" s="73"/>
      <c r="BJ1628" s="73"/>
      <c r="BK1628" s="73"/>
      <c r="BL1628" s="73"/>
      <c r="BM1628" s="73"/>
      <c r="BN1628" s="73"/>
      <c r="BO1628" s="73"/>
      <c r="BP1628" s="73"/>
      <c r="BQ1628" s="73"/>
      <c r="BR1628" s="73"/>
      <c r="BS1628" s="73"/>
      <c r="BT1628" s="73"/>
      <c r="BU1628" s="73"/>
      <c r="BV1628" s="73"/>
      <c r="BW1628" s="73"/>
      <c r="BX1628" s="73"/>
      <c r="BY1628" s="73"/>
      <c r="BZ1628" s="73"/>
      <c r="CA1628" s="73"/>
      <c r="CB1628" s="73"/>
      <c r="CC1628" s="73"/>
      <c r="CD1628" s="73"/>
      <c r="CE1628" s="73"/>
      <c r="CF1628" s="73"/>
      <c r="CG1628" s="73"/>
      <c r="CH1628" s="73"/>
    </row>
    <row r="1629">
      <c r="A1629" s="80"/>
      <c r="B1629" s="80"/>
      <c r="C1629" s="80"/>
      <c r="D1629" s="80"/>
      <c r="E1629" s="124"/>
      <c r="F1629" s="80"/>
      <c r="G1629" s="80"/>
      <c r="H1629" s="80"/>
      <c r="I1629" s="80"/>
      <c r="J1629" s="196"/>
      <c r="K1629" s="196"/>
      <c r="L1629" s="196"/>
      <c r="M1629" s="196"/>
      <c r="N1629" s="196"/>
      <c r="O1629" s="196"/>
      <c r="P1629" s="196"/>
      <c r="Q1629" s="196"/>
      <c r="R1629" s="196"/>
      <c r="S1629" s="196"/>
      <c r="T1629" s="196"/>
      <c r="U1629" s="196"/>
      <c r="V1629" s="196"/>
      <c r="W1629" s="196"/>
      <c r="X1629" s="196"/>
      <c r="Y1629" s="196"/>
      <c r="Z1629" s="196"/>
      <c r="AA1629" s="196"/>
      <c r="AB1629" s="196"/>
      <c r="AC1629" s="196"/>
      <c r="AD1629" s="196"/>
      <c r="AE1629" s="196"/>
      <c r="AF1629" s="196"/>
      <c r="AG1629" s="196"/>
      <c r="AH1629" s="196"/>
      <c r="AI1629" s="196"/>
      <c r="AJ1629" s="197"/>
      <c r="AK1629" s="80"/>
      <c r="AL1629" s="80"/>
      <c r="AM1629" s="73"/>
      <c r="AN1629" s="73"/>
      <c r="AO1629" s="73"/>
      <c r="AP1629" s="73"/>
      <c r="AQ1629" s="73"/>
      <c r="AR1629" s="73"/>
      <c r="AS1629" s="73"/>
      <c r="AT1629" s="73"/>
      <c r="AU1629" s="73"/>
      <c r="AV1629" s="73"/>
      <c r="AW1629" s="73"/>
      <c r="AX1629" s="73"/>
      <c r="AY1629" s="73"/>
      <c r="AZ1629" s="73"/>
      <c r="BA1629" s="73"/>
      <c r="BB1629" s="73"/>
      <c r="BC1629" s="73"/>
      <c r="BD1629" s="73"/>
      <c r="BE1629" s="73"/>
      <c r="BF1629" s="73"/>
      <c r="BG1629" s="73"/>
      <c r="BH1629" s="73"/>
      <c r="BI1629" s="73"/>
      <c r="BJ1629" s="73"/>
      <c r="BK1629" s="73"/>
      <c r="BL1629" s="73"/>
      <c r="BM1629" s="73"/>
      <c r="BN1629" s="73"/>
      <c r="BO1629" s="73"/>
      <c r="BP1629" s="73"/>
      <c r="BQ1629" s="73"/>
      <c r="BR1629" s="73"/>
      <c r="BS1629" s="73"/>
      <c r="BT1629" s="73"/>
      <c r="BU1629" s="73"/>
      <c r="BV1629" s="73"/>
      <c r="BW1629" s="73"/>
      <c r="BX1629" s="73"/>
      <c r="BY1629" s="73"/>
      <c r="BZ1629" s="73"/>
      <c r="CA1629" s="73"/>
      <c r="CB1629" s="73"/>
      <c r="CC1629" s="73"/>
      <c r="CD1629" s="73"/>
      <c r="CE1629" s="73"/>
      <c r="CF1629" s="73"/>
      <c r="CG1629" s="73"/>
      <c r="CH1629" s="73"/>
    </row>
    <row r="1630">
      <c r="A1630" s="80"/>
      <c r="B1630" s="80"/>
      <c r="C1630" s="80"/>
      <c r="D1630" s="80"/>
      <c r="E1630" s="124"/>
      <c r="F1630" s="80"/>
      <c r="G1630" s="80"/>
      <c r="H1630" s="80"/>
      <c r="I1630" s="80"/>
      <c r="J1630" s="196"/>
      <c r="K1630" s="196"/>
      <c r="L1630" s="196"/>
      <c r="M1630" s="196"/>
      <c r="N1630" s="196"/>
      <c r="O1630" s="196"/>
      <c r="P1630" s="196"/>
      <c r="Q1630" s="196"/>
      <c r="R1630" s="196"/>
      <c r="S1630" s="196"/>
      <c r="T1630" s="196"/>
      <c r="U1630" s="196"/>
      <c r="V1630" s="196"/>
      <c r="W1630" s="196"/>
      <c r="X1630" s="196"/>
      <c r="Y1630" s="196"/>
      <c r="Z1630" s="196"/>
      <c r="AA1630" s="196"/>
      <c r="AB1630" s="196"/>
      <c r="AC1630" s="196"/>
      <c r="AD1630" s="196"/>
      <c r="AE1630" s="196"/>
      <c r="AF1630" s="196"/>
      <c r="AG1630" s="196"/>
      <c r="AH1630" s="196"/>
      <c r="AI1630" s="196"/>
      <c r="AJ1630" s="197"/>
      <c r="AK1630" s="80"/>
      <c r="AL1630" s="80"/>
      <c r="AM1630" s="73"/>
      <c r="AN1630" s="73"/>
      <c r="AO1630" s="73"/>
      <c r="AP1630" s="73"/>
      <c r="AQ1630" s="73"/>
      <c r="AR1630" s="73"/>
      <c r="AS1630" s="73"/>
      <c r="AT1630" s="73"/>
      <c r="AU1630" s="73"/>
      <c r="AV1630" s="73"/>
      <c r="AW1630" s="73"/>
      <c r="AX1630" s="73"/>
      <c r="AY1630" s="73"/>
      <c r="AZ1630" s="73"/>
      <c r="BA1630" s="73"/>
      <c r="BB1630" s="73"/>
      <c r="BC1630" s="73"/>
      <c r="BD1630" s="73"/>
      <c r="BE1630" s="73"/>
      <c r="BF1630" s="73"/>
      <c r="BG1630" s="73"/>
      <c r="BH1630" s="73"/>
      <c r="BI1630" s="73"/>
      <c r="BJ1630" s="73"/>
      <c r="BK1630" s="73"/>
      <c r="BL1630" s="73"/>
      <c r="BM1630" s="73"/>
      <c r="BN1630" s="73"/>
      <c r="BO1630" s="73"/>
      <c r="BP1630" s="73"/>
      <c r="BQ1630" s="73"/>
      <c r="BR1630" s="73"/>
      <c r="BS1630" s="73"/>
      <c r="BT1630" s="73"/>
      <c r="BU1630" s="73"/>
      <c r="BV1630" s="73"/>
      <c r="BW1630" s="73"/>
      <c r="BX1630" s="73"/>
      <c r="BY1630" s="73"/>
      <c r="BZ1630" s="73"/>
      <c r="CA1630" s="73"/>
      <c r="CB1630" s="73"/>
      <c r="CC1630" s="73"/>
      <c r="CD1630" s="73"/>
      <c r="CE1630" s="73"/>
      <c r="CF1630" s="73"/>
      <c r="CG1630" s="73"/>
      <c r="CH1630" s="73"/>
    </row>
    <row r="1631">
      <c r="A1631" s="80"/>
      <c r="B1631" s="80"/>
      <c r="C1631" s="80"/>
      <c r="D1631" s="80"/>
      <c r="E1631" s="124"/>
      <c r="F1631" s="80"/>
      <c r="G1631" s="80"/>
      <c r="H1631" s="80"/>
      <c r="I1631" s="80"/>
      <c r="J1631" s="196"/>
      <c r="K1631" s="196"/>
      <c r="L1631" s="196"/>
      <c r="M1631" s="196"/>
      <c r="N1631" s="196"/>
      <c r="O1631" s="196"/>
      <c r="P1631" s="196"/>
      <c r="Q1631" s="196"/>
      <c r="R1631" s="196"/>
      <c r="S1631" s="196"/>
      <c r="T1631" s="196"/>
      <c r="U1631" s="196"/>
      <c r="V1631" s="196"/>
      <c r="W1631" s="196"/>
      <c r="X1631" s="196"/>
      <c r="Y1631" s="196"/>
      <c r="Z1631" s="196"/>
      <c r="AA1631" s="196"/>
      <c r="AB1631" s="196"/>
      <c r="AC1631" s="196"/>
      <c r="AD1631" s="196"/>
      <c r="AE1631" s="196"/>
      <c r="AF1631" s="196"/>
      <c r="AG1631" s="196"/>
      <c r="AH1631" s="196"/>
      <c r="AI1631" s="196"/>
      <c r="AJ1631" s="197"/>
      <c r="AK1631" s="80"/>
      <c r="AL1631" s="80"/>
      <c r="AM1631" s="73"/>
      <c r="AN1631" s="73"/>
      <c r="AO1631" s="73"/>
      <c r="AP1631" s="73"/>
      <c r="AQ1631" s="73"/>
      <c r="AR1631" s="73"/>
      <c r="AS1631" s="73"/>
      <c r="AT1631" s="73"/>
      <c r="AU1631" s="73"/>
      <c r="AV1631" s="73"/>
      <c r="AW1631" s="73"/>
      <c r="AX1631" s="73"/>
      <c r="AY1631" s="73"/>
      <c r="AZ1631" s="73"/>
      <c r="BA1631" s="73"/>
      <c r="BB1631" s="73"/>
      <c r="BC1631" s="73"/>
      <c r="BD1631" s="73"/>
      <c r="BE1631" s="73"/>
      <c r="BF1631" s="73"/>
      <c r="BG1631" s="73"/>
      <c r="BH1631" s="73"/>
      <c r="BI1631" s="73"/>
      <c r="BJ1631" s="73"/>
      <c r="BK1631" s="73"/>
      <c r="BL1631" s="73"/>
      <c r="BM1631" s="73"/>
      <c r="BN1631" s="73"/>
      <c r="BO1631" s="73"/>
      <c r="BP1631" s="73"/>
      <c r="BQ1631" s="73"/>
      <c r="BR1631" s="73"/>
      <c r="BS1631" s="73"/>
      <c r="BT1631" s="73"/>
      <c r="BU1631" s="73"/>
      <c r="BV1631" s="73"/>
      <c r="BW1631" s="73"/>
      <c r="BX1631" s="73"/>
      <c r="BY1631" s="73"/>
      <c r="BZ1631" s="73"/>
      <c r="CA1631" s="73"/>
      <c r="CB1631" s="73"/>
      <c r="CC1631" s="73"/>
      <c r="CD1631" s="73"/>
      <c r="CE1631" s="73"/>
      <c r="CF1631" s="73"/>
      <c r="CG1631" s="73"/>
      <c r="CH1631" s="73"/>
    </row>
    <row r="1632">
      <c r="A1632" s="80"/>
      <c r="B1632" s="80"/>
      <c r="C1632" s="80"/>
      <c r="D1632" s="80"/>
      <c r="E1632" s="124"/>
      <c r="F1632" s="80"/>
      <c r="G1632" s="80"/>
      <c r="H1632" s="80"/>
      <c r="I1632" s="80"/>
      <c r="J1632" s="196"/>
      <c r="K1632" s="196"/>
      <c r="L1632" s="196"/>
      <c r="M1632" s="196"/>
      <c r="N1632" s="196"/>
      <c r="O1632" s="196"/>
      <c r="P1632" s="196"/>
      <c r="Q1632" s="196"/>
      <c r="R1632" s="196"/>
      <c r="S1632" s="196"/>
      <c r="T1632" s="196"/>
      <c r="U1632" s="196"/>
      <c r="V1632" s="196"/>
      <c r="W1632" s="196"/>
      <c r="X1632" s="196"/>
      <c r="Y1632" s="196"/>
      <c r="Z1632" s="196"/>
      <c r="AA1632" s="196"/>
      <c r="AB1632" s="196"/>
      <c r="AC1632" s="196"/>
      <c r="AD1632" s="196"/>
      <c r="AE1632" s="196"/>
      <c r="AF1632" s="196"/>
      <c r="AG1632" s="196"/>
      <c r="AH1632" s="196"/>
      <c r="AI1632" s="196"/>
      <c r="AJ1632" s="197"/>
      <c r="AK1632" s="80"/>
      <c r="AL1632" s="80"/>
      <c r="AM1632" s="73"/>
      <c r="AN1632" s="73"/>
      <c r="AO1632" s="73"/>
      <c r="AP1632" s="73"/>
      <c r="AQ1632" s="73"/>
      <c r="AR1632" s="73"/>
      <c r="AS1632" s="73"/>
      <c r="AT1632" s="73"/>
      <c r="AU1632" s="73"/>
      <c r="AV1632" s="73"/>
      <c r="AW1632" s="73"/>
      <c r="AX1632" s="73"/>
      <c r="AY1632" s="73"/>
      <c r="AZ1632" s="73"/>
      <c r="BA1632" s="73"/>
      <c r="BB1632" s="73"/>
      <c r="BC1632" s="73"/>
      <c r="BD1632" s="73"/>
      <c r="BE1632" s="73"/>
      <c r="BF1632" s="73"/>
      <c r="BG1632" s="73"/>
      <c r="BH1632" s="73"/>
      <c r="BI1632" s="73"/>
      <c r="BJ1632" s="73"/>
      <c r="BK1632" s="73"/>
      <c r="BL1632" s="73"/>
      <c r="BM1632" s="73"/>
      <c r="BN1632" s="73"/>
      <c r="BO1632" s="73"/>
      <c r="BP1632" s="73"/>
      <c r="BQ1632" s="73"/>
      <c r="BR1632" s="73"/>
      <c r="BS1632" s="73"/>
      <c r="BT1632" s="73"/>
      <c r="BU1632" s="73"/>
      <c r="BV1632" s="73"/>
      <c r="BW1632" s="73"/>
      <c r="BX1632" s="73"/>
      <c r="BY1632" s="73"/>
      <c r="BZ1632" s="73"/>
      <c r="CA1632" s="73"/>
      <c r="CB1632" s="73"/>
      <c r="CC1632" s="73"/>
      <c r="CD1632" s="73"/>
      <c r="CE1632" s="73"/>
      <c r="CF1632" s="73"/>
      <c r="CG1632" s="73"/>
      <c r="CH1632" s="73"/>
    </row>
    <row r="1633">
      <c r="A1633" s="80"/>
      <c r="B1633" s="80"/>
      <c r="C1633" s="80"/>
      <c r="D1633" s="80"/>
      <c r="E1633" s="124"/>
      <c r="F1633" s="80"/>
      <c r="G1633" s="80"/>
      <c r="H1633" s="80"/>
      <c r="I1633" s="80"/>
      <c r="J1633" s="196"/>
      <c r="K1633" s="196"/>
      <c r="L1633" s="196"/>
      <c r="M1633" s="196"/>
      <c r="N1633" s="196"/>
      <c r="O1633" s="196"/>
      <c r="P1633" s="196"/>
      <c r="Q1633" s="196"/>
      <c r="R1633" s="196"/>
      <c r="S1633" s="196"/>
      <c r="T1633" s="196"/>
      <c r="U1633" s="196"/>
      <c r="V1633" s="196"/>
      <c r="W1633" s="196"/>
      <c r="X1633" s="196"/>
      <c r="Y1633" s="196"/>
      <c r="Z1633" s="196"/>
      <c r="AA1633" s="196"/>
      <c r="AB1633" s="196"/>
      <c r="AC1633" s="196"/>
      <c r="AD1633" s="196"/>
      <c r="AE1633" s="196"/>
      <c r="AF1633" s="196"/>
      <c r="AG1633" s="196"/>
      <c r="AH1633" s="196"/>
      <c r="AI1633" s="196"/>
      <c r="AJ1633" s="197"/>
      <c r="AK1633" s="80"/>
      <c r="AL1633" s="80"/>
      <c r="AM1633" s="73"/>
      <c r="AN1633" s="73"/>
      <c r="AO1633" s="73"/>
      <c r="AP1633" s="73"/>
      <c r="AQ1633" s="73"/>
      <c r="AR1633" s="73"/>
      <c r="AS1633" s="73"/>
      <c r="AT1633" s="73"/>
      <c r="AU1633" s="73"/>
      <c r="AV1633" s="73"/>
      <c r="AW1633" s="73"/>
      <c r="AX1633" s="73"/>
      <c r="AY1633" s="73"/>
      <c r="AZ1633" s="73"/>
      <c r="BA1633" s="73"/>
      <c r="BB1633" s="73"/>
      <c r="BC1633" s="73"/>
      <c r="BD1633" s="73"/>
      <c r="BE1633" s="73"/>
      <c r="BF1633" s="73"/>
      <c r="BG1633" s="73"/>
      <c r="BH1633" s="73"/>
      <c r="BI1633" s="73"/>
      <c r="BJ1633" s="73"/>
      <c r="BK1633" s="73"/>
      <c r="BL1633" s="73"/>
      <c r="BM1633" s="73"/>
      <c r="BN1633" s="73"/>
      <c r="BO1633" s="73"/>
      <c r="BP1633" s="73"/>
      <c r="BQ1633" s="73"/>
      <c r="BR1633" s="73"/>
      <c r="BS1633" s="73"/>
      <c r="BT1633" s="73"/>
      <c r="BU1633" s="73"/>
      <c r="BV1633" s="73"/>
      <c r="BW1633" s="73"/>
      <c r="BX1633" s="73"/>
      <c r="BY1633" s="73"/>
      <c r="BZ1633" s="73"/>
      <c r="CA1633" s="73"/>
      <c r="CB1633" s="73"/>
      <c r="CC1633" s="73"/>
      <c r="CD1633" s="73"/>
      <c r="CE1633" s="73"/>
      <c r="CF1633" s="73"/>
      <c r="CG1633" s="73"/>
      <c r="CH1633" s="73"/>
    </row>
    <row r="1634">
      <c r="A1634" s="80"/>
      <c r="B1634" s="80"/>
      <c r="C1634" s="80"/>
      <c r="D1634" s="80"/>
      <c r="E1634" s="124"/>
      <c r="F1634" s="80"/>
      <c r="G1634" s="80"/>
      <c r="H1634" s="80"/>
      <c r="I1634" s="80"/>
      <c r="J1634" s="196"/>
      <c r="K1634" s="196"/>
      <c r="L1634" s="196"/>
      <c r="M1634" s="196"/>
      <c r="N1634" s="196"/>
      <c r="O1634" s="196"/>
      <c r="P1634" s="196"/>
      <c r="Q1634" s="196"/>
      <c r="R1634" s="196"/>
      <c r="S1634" s="196"/>
      <c r="T1634" s="196"/>
      <c r="U1634" s="196"/>
      <c r="V1634" s="196"/>
      <c r="W1634" s="196"/>
      <c r="X1634" s="196"/>
      <c r="Y1634" s="196"/>
      <c r="Z1634" s="196"/>
      <c r="AA1634" s="196"/>
      <c r="AB1634" s="196"/>
      <c r="AC1634" s="196"/>
      <c r="AD1634" s="196"/>
      <c r="AE1634" s="196"/>
      <c r="AF1634" s="196"/>
      <c r="AG1634" s="196"/>
      <c r="AH1634" s="196"/>
      <c r="AI1634" s="196"/>
      <c r="AJ1634" s="197"/>
      <c r="AK1634" s="80"/>
      <c r="AL1634" s="80"/>
      <c r="AM1634" s="73"/>
      <c r="AN1634" s="73"/>
      <c r="AO1634" s="73"/>
      <c r="AP1634" s="73"/>
      <c r="AQ1634" s="73"/>
      <c r="AR1634" s="73"/>
      <c r="AS1634" s="73"/>
      <c r="AT1634" s="73"/>
      <c r="AU1634" s="73"/>
      <c r="AV1634" s="73"/>
      <c r="AW1634" s="73"/>
      <c r="AX1634" s="73"/>
      <c r="AY1634" s="73"/>
      <c r="AZ1634" s="73"/>
      <c r="BA1634" s="73"/>
      <c r="BB1634" s="73"/>
      <c r="BC1634" s="73"/>
      <c r="BD1634" s="73"/>
      <c r="BE1634" s="73"/>
      <c r="BF1634" s="73"/>
      <c r="BG1634" s="73"/>
      <c r="BH1634" s="73"/>
      <c r="BI1634" s="73"/>
      <c r="BJ1634" s="73"/>
      <c r="BK1634" s="73"/>
      <c r="BL1634" s="73"/>
      <c r="BM1634" s="73"/>
      <c r="BN1634" s="73"/>
      <c r="BO1634" s="73"/>
      <c r="BP1634" s="73"/>
      <c r="BQ1634" s="73"/>
      <c r="BR1634" s="73"/>
      <c r="BS1634" s="73"/>
      <c r="BT1634" s="73"/>
      <c r="BU1634" s="73"/>
      <c r="BV1634" s="73"/>
      <c r="BW1634" s="73"/>
      <c r="BX1634" s="73"/>
      <c r="BY1634" s="73"/>
      <c r="BZ1634" s="73"/>
      <c r="CA1634" s="73"/>
      <c r="CB1634" s="73"/>
      <c r="CC1634" s="73"/>
      <c r="CD1634" s="73"/>
      <c r="CE1634" s="73"/>
      <c r="CF1634" s="73"/>
      <c r="CG1634" s="73"/>
      <c r="CH1634" s="73"/>
    </row>
    <row r="1635">
      <c r="A1635" s="80"/>
      <c r="B1635" s="80"/>
      <c r="C1635" s="80"/>
      <c r="D1635" s="80"/>
      <c r="E1635" s="124"/>
      <c r="F1635" s="80"/>
      <c r="G1635" s="80"/>
      <c r="H1635" s="80"/>
      <c r="I1635" s="80"/>
      <c r="J1635" s="196"/>
      <c r="K1635" s="196"/>
      <c r="L1635" s="196"/>
      <c r="M1635" s="196"/>
      <c r="N1635" s="196"/>
      <c r="O1635" s="196"/>
      <c r="P1635" s="196"/>
      <c r="Q1635" s="196"/>
      <c r="R1635" s="196"/>
      <c r="S1635" s="196"/>
      <c r="T1635" s="196"/>
      <c r="U1635" s="196"/>
      <c r="V1635" s="196"/>
      <c r="W1635" s="196"/>
      <c r="X1635" s="196"/>
      <c r="Y1635" s="196"/>
      <c r="Z1635" s="196"/>
      <c r="AA1635" s="196"/>
      <c r="AB1635" s="196"/>
      <c r="AC1635" s="196"/>
      <c r="AD1635" s="196"/>
      <c r="AE1635" s="196"/>
      <c r="AF1635" s="196"/>
      <c r="AG1635" s="196"/>
      <c r="AH1635" s="196"/>
      <c r="AI1635" s="196"/>
      <c r="AJ1635" s="197"/>
      <c r="AK1635" s="80"/>
      <c r="AL1635" s="80"/>
      <c r="AM1635" s="73"/>
      <c r="AN1635" s="73"/>
      <c r="AO1635" s="73"/>
      <c r="AP1635" s="73"/>
      <c r="AQ1635" s="73"/>
      <c r="AR1635" s="73"/>
      <c r="AS1635" s="73"/>
      <c r="AT1635" s="73"/>
      <c r="AU1635" s="73"/>
      <c r="AV1635" s="73"/>
      <c r="AW1635" s="73"/>
      <c r="AX1635" s="73"/>
      <c r="AY1635" s="73"/>
      <c r="AZ1635" s="73"/>
      <c r="BA1635" s="73"/>
      <c r="BB1635" s="73"/>
      <c r="BC1635" s="73"/>
      <c r="BD1635" s="73"/>
      <c r="BE1635" s="73"/>
      <c r="BF1635" s="73"/>
      <c r="BG1635" s="73"/>
      <c r="BH1635" s="73"/>
      <c r="BI1635" s="73"/>
      <c r="BJ1635" s="73"/>
      <c r="BK1635" s="73"/>
      <c r="BL1635" s="73"/>
      <c r="BM1635" s="73"/>
      <c r="BN1635" s="73"/>
      <c r="BO1635" s="73"/>
      <c r="BP1635" s="73"/>
      <c r="BQ1635" s="73"/>
      <c r="BR1635" s="73"/>
      <c r="BS1635" s="73"/>
      <c r="BT1635" s="73"/>
      <c r="BU1635" s="73"/>
      <c r="BV1635" s="73"/>
      <c r="BW1635" s="73"/>
      <c r="BX1635" s="73"/>
      <c r="BY1635" s="73"/>
      <c r="BZ1635" s="73"/>
      <c r="CA1635" s="73"/>
      <c r="CB1635" s="73"/>
      <c r="CC1635" s="73"/>
      <c r="CD1635" s="73"/>
      <c r="CE1635" s="73"/>
      <c r="CF1635" s="73"/>
      <c r="CG1635" s="73"/>
      <c r="CH1635" s="73"/>
    </row>
    <row r="1636">
      <c r="A1636" s="80"/>
      <c r="B1636" s="80"/>
      <c r="C1636" s="80"/>
      <c r="D1636" s="80"/>
      <c r="E1636" s="124"/>
      <c r="F1636" s="80"/>
      <c r="G1636" s="80"/>
      <c r="H1636" s="80"/>
      <c r="I1636" s="80"/>
      <c r="J1636" s="196"/>
      <c r="K1636" s="196"/>
      <c r="L1636" s="196"/>
      <c r="M1636" s="196"/>
      <c r="N1636" s="196"/>
      <c r="O1636" s="196"/>
      <c r="P1636" s="196"/>
      <c r="Q1636" s="196"/>
      <c r="R1636" s="196"/>
      <c r="S1636" s="196"/>
      <c r="T1636" s="196"/>
      <c r="U1636" s="196"/>
      <c r="V1636" s="196"/>
      <c r="W1636" s="196"/>
      <c r="X1636" s="196"/>
      <c r="Y1636" s="196"/>
      <c r="Z1636" s="196"/>
      <c r="AA1636" s="196"/>
      <c r="AB1636" s="196"/>
      <c r="AC1636" s="196"/>
      <c r="AD1636" s="196"/>
      <c r="AE1636" s="196"/>
      <c r="AF1636" s="196"/>
      <c r="AG1636" s="196"/>
      <c r="AH1636" s="196"/>
      <c r="AI1636" s="196"/>
      <c r="AJ1636" s="197"/>
      <c r="AK1636" s="80"/>
      <c r="AL1636" s="80"/>
      <c r="AM1636" s="73"/>
      <c r="AN1636" s="73"/>
      <c r="AO1636" s="73"/>
      <c r="AP1636" s="73"/>
      <c r="AQ1636" s="73"/>
      <c r="AR1636" s="73"/>
      <c r="AS1636" s="73"/>
      <c r="AT1636" s="73"/>
      <c r="AU1636" s="73"/>
      <c r="AV1636" s="73"/>
      <c r="AW1636" s="73"/>
      <c r="AX1636" s="73"/>
      <c r="AY1636" s="73"/>
      <c r="AZ1636" s="73"/>
      <c r="BA1636" s="73"/>
      <c r="BB1636" s="73"/>
      <c r="BC1636" s="73"/>
      <c r="BD1636" s="73"/>
      <c r="BE1636" s="73"/>
      <c r="BF1636" s="73"/>
      <c r="BG1636" s="73"/>
      <c r="BH1636" s="73"/>
      <c r="BI1636" s="73"/>
      <c r="BJ1636" s="73"/>
      <c r="BK1636" s="73"/>
      <c r="BL1636" s="73"/>
      <c r="BM1636" s="73"/>
      <c r="BN1636" s="73"/>
      <c r="BO1636" s="73"/>
      <c r="BP1636" s="73"/>
      <c r="BQ1636" s="73"/>
      <c r="BR1636" s="73"/>
      <c r="BS1636" s="73"/>
      <c r="BT1636" s="73"/>
      <c r="BU1636" s="73"/>
      <c r="BV1636" s="73"/>
      <c r="BW1636" s="73"/>
      <c r="BX1636" s="73"/>
      <c r="BY1636" s="73"/>
      <c r="BZ1636" s="73"/>
      <c r="CA1636" s="73"/>
      <c r="CB1636" s="73"/>
      <c r="CC1636" s="73"/>
      <c r="CD1636" s="73"/>
      <c r="CE1636" s="73"/>
      <c r="CF1636" s="73"/>
      <c r="CG1636" s="73"/>
      <c r="CH1636" s="73"/>
    </row>
    <row r="1637">
      <c r="A1637" s="80"/>
      <c r="B1637" s="80"/>
      <c r="C1637" s="80"/>
      <c r="D1637" s="80"/>
      <c r="E1637" s="124"/>
      <c r="F1637" s="80"/>
      <c r="G1637" s="80"/>
      <c r="H1637" s="80"/>
      <c r="I1637" s="80"/>
      <c r="J1637" s="196"/>
      <c r="K1637" s="196"/>
      <c r="L1637" s="196"/>
      <c r="M1637" s="196"/>
      <c r="N1637" s="196"/>
      <c r="O1637" s="196"/>
      <c r="P1637" s="196"/>
      <c r="Q1637" s="196"/>
      <c r="R1637" s="196"/>
      <c r="S1637" s="196"/>
      <c r="T1637" s="196"/>
      <c r="U1637" s="196"/>
      <c r="V1637" s="196"/>
      <c r="W1637" s="196"/>
      <c r="X1637" s="196"/>
      <c r="Y1637" s="196"/>
      <c r="Z1637" s="196"/>
      <c r="AA1637" s="196"/>
      <c r="AB1637" s="196"/>
      <c r="AC1637" s="196"/>
      <c r="AD1637" s="196"/>
      <c r="AE1637" s="196"/>
      <c r="AF1637" s="196"/>
      <c r="AG1637" s="196"/>
      <c r="AH1637" s="196"/>
      <c r="AI1637" s="196"/>
      <c r="AJ1637" s="197"/>
      <c r="AK1637" s="80"/>
      <c r="AL1637" s="80"/>
      <c r="AM1637" s="73"/>
      <c r="AN1637" s="73"/>
      <c r="AO1637" s="73"/>
      <c r="AP1637" s="73"/>
      <c r="AQ1637" s="73"/>
      <c r="AR1637" s="73"/>
      <c r="AS1637" s="73"/>
      <c r="AT1637" s="73"/>
      <c r="AU1637" s="73"/>
      <c r="AV1637" s="73"/>
      <c r="AW1637" s="73"/>
      <c r="AX1637" s="73"/>
      <c r="AY1637" s="73"/>
      <c r="AZ1637" s="73"/>
      <c r="BA1637" s="73"/>
      <c r="BB1637" s="73"/>
      <c r="BC1637" s="73"/>
      <c r="BD1637" s="73"/>
      <c r="BE1637" s="73"/>
      <c r="BF1637" s="73"/>
      <c r="BG1637" s="73"/>
      <c r="BH1637" s="73"/>
      <c r="BI1637" s="73"/>
      <c r="BJ1637" s="73"/>
      <c r="BK1637" s="73"/>
      <c r="BL1637" s="73"/>
      <c r="BM1637" s="73"/>
      <c r="BN1637" s="73"/>
      <c r="BO1637" s="73"/>
      <c r="BP1637" s="73"/>
      <c r="BQ1637" s="73"/>
      <c r="BR1637" s="73"/>
      <c r="BS1637" s="73"/>
      <c r="BT1637" s="73"/>
      <c r="BU1637" s="73"/>
      <c r="BV1637" s="73"/>
      <c r="BW1637" s="73"/>
      <c r="BX1637" s="73"/>
      <c r="BY1637" s="73"/>
      <c r="BZ1637" s="73"/>
      <c r="CA1637" s="73"/>
      <c r="CB1637" s="73"/>
      <c r="CC1637" s="73"/>
      <c r="CD1637" s="73"/>
      <c r="CE1637" s="73"/>
      <c r="CF1637" s="73"/>
      <c r="CG1637" s="73"/>
      <c r="CH1637" s="73"/>
    </row>
    <row r="1638">
      <c r="A1638" s="80"/>
      <c r="B1638" s="80"/>
      <c r="C1638" s="80"/>
      <c r="D1638" s="80"/>
      <c r="E1638" s="124"/>
      <c r="F1638" s="80"/>
      <c r="G1638" s="80"/>
      <c r="H1638" s="80"/>
      <c r="I1638" s="80"/>
      <c r="J1638" s="196"/>
      <c r="K1638" s="196"/>
      <c r="L1638" s="196"/>
      <c r="M1638" s="196"/>
      <c r="N1638" s="196"/>
      <c r="O1638" s="196"/>
      <c r="P1638" s="196"/>
      <c r="Q1638" s="196"/>
      <c r="R1638" s="196"/>
      <c r="S1638" s="196"/>
      <c r="T1638" s="196"/>
      <c r="U1638" s="196"/>
      <c r="V1638" s="196"/>
      <c r="W1638" s="196"/>
      <c r="X1638" s="196"/>
      <c r="Y1638" s="196"/>
      <c r="Z1638" s="196"/>
      <c r="AA1638" s="196"/>
      <c r="AB1638" s="196"/>
      <c r="AC1638" s="196"/>
      <c r="AD1638" s="196"/>
      <c r="AE1638" s="196"/>
      <c r="AF1638" s="196"/>
      <c r="AG1638" s="196"/>
      <c r="AH1638" s="196"/>
      <c r="AI1638" s="196"/>
      <c r="AJ1638" s="197"/>
      <c r="AK1638" s="80"/>
      <c r="AL1638" s="80"/>
      <c r="AM1638" s="73"/>
      <c r="AN1638" s="73"/>
      <c r="AO1638" s="73"/>
      <c r="AP1638" s="73"/>
      <c r="AQ1638" s="73"/>
      <c r="AR1638" s="73"/>
      <c r="AS1638" s="73"/>
      <c r="AT1638" s="73"/>
      <c r="AU1638" s="73"/>
      <c r="AV1638" s="73"/>
      <c r="AW1638" s="73"/>
      <c r="AX1638" s="73"/>
      <c r="AY1638" s="73"/>
      <c r="AZ1638" s="73"/>
      <c r="BA1638" s="73"/>
      <c r="BB1638" s="73"/>
      <c r="BC1638" s="73"/>
      <c r="BD1638" s="73"/>
      <c r="BE1638" s="73"/>
      <c r="BF1638" s="73"/>
      <c r="BG1638" s="73"/>
      <c r="BH1638" s="73"/>
      <c r="BI1638" s="73"/>
      <c r="BJ1638" s="73"/>
      <c r="BK1638" s="73"/>
      <c r="BL1638" s="73"/>
      <c r="BM1638" s="73"/>
      <c r="BN1638" s="73"/>
      <c r="BO1638" s="73"/>
      <c r="BP1638" s="73"/>
      <c r="BQ1638" s="73"/>
      <c r="BR1638" s="73"/>
      <c r="BS1638" s="73"/>
      <c r="BT1638" s="73"/>
      <c r="BU1638" s="73"/>
      <c r="BV1638" s="73"/>
      <c r="BW1638" s="73"/>
      <c r="BX1638" s="73"/>
      <c r="BY1638" s="73"/>
      <c r="BZ1638" s="73"/>
      <c r="CA1638" s="73"/>
      <c r="CB1638" s="73"/>
      <c r="CC1638" s="73"/>
      <c r="CD1638" s="73"/>
      <c r="CE1638" s="73"/>
      <c r="CF1638" s="73"/>
      <c r="CG1638" s="73"/>
      <c r="CH1638" s="73"/>
    </row>
    <row r="1639">
      <c r="A1639" s="80"/>
      <c r="B1639" s="80"/>
      <c r="C1639" s="80"/>
      <c r="D1639" s="80"/>
      <c r="E1639" s="124"/>
      <c r="F1639" s="80"/>
      <c r="G1639" s="80"/>
      <c r="H1639" s="80"/>
      <c r="I1639" s="80"/>
      <c r="J1639" s="196"/>
      <c r="K1639" s="196"/>
      <c r="L1639" s="196"/>
      <c r="M1639" s="196"/>
      <c r="N1639" s="196"/>
      <c r="O1639" s="196"/>
      <c r="P1639" s="196"/>
      <c r="Q1639" s="196"/>
      <c r="R1639" s="196"/>
      <c r="S1639" s="196"/>
      <c r="T1639" s="196"/>
      <c r="U1639" s="196"/>
      <c r="V1639" s="196"/>
      <c r="W1639" s="196"/>
      <c r="X1639" s="196"/>
      <c r="Y1639" s="196"/>
      <c r="Z1639" s="196"/>
      <c r="AA1639" s="196"/>
      <c r="AB1639" s="196"/>
      <c r="AC1639" s="196"/>
      <c r="AD1639" s="196"/>
      <c r="AE1639" s="196"/>
      <c r="AF1639" s="196"/>
      <c r="AG1639" s="196"/>
      <c r="AH1639" s="196"/>
      <c r="AI1639" s="196"/>
      <c r="AJ1639" s="197"/>
      <c r="AK1639" s="80"/>
      <c r="AL1639" s="80"/>
      <c r="AM1639" s="73"/>
      <c r="AN1639" s="73"/>
      <c r="AO1639" s="73"/>
      <c r="AP1639" s="73"/>
      <c r="AQ1639" s="73"/>
      <c r="AR1639" s="73"/>
      <c r="AS1639" s="73"/>
      <c r="AT1639" s="73"/>
      <c r="AU1639" s="73"/>
      <c r="AV1639" s="73"/>
      <c r="AW1639" s="73"/>
      <c r="AX1639" s="73"/>
      <c r="AY1639" s="73"/>
      <c r="AZ1639" s="73"/>
      <c r="BA1639" s="73"/>
      <c r="BB1639" s="73"/>
      <c r="BC1639" s="73"/>
      <c r="BD1639" s="73"/>
      <c r="BE1639" s="73"/>
      <c r="BF1639" s="73"/>
      <c r="BG1639" s="73"/>
      <c r="BH1639" s="73"/>
      <c r="BI1639" s="73"/>
      <c r="BJ1639" s="73"/>
      <c r="BK1639" s="73"/>
      <c r="BL1639" s="73"/>
      <c r="BM1639" s="73"/>
      <c r="BN1639" s="73"/>
      <c r="BO1639" s="73"/>
      <c r="BP1639" s="73"/>
      <c r="BQ1639" s="73"/>
      <c r="BR1639" s="73"/>
      <c r="BS1639" s="73"/>
      <c r="BT1639" s="73"/>
      <c r="BU1639" s="73"/>
      <c r="BV1639" s="73"/>
      <c r="BW1639" s="73"/>
      <c r="BX1639" s="73"/>
      <c r="BY1639" s="73"/>
      <c r="BZ1639" s="73"/>
      <c r="CA1639" s="73"/>
      <c r="CB1639" s="73"/>
      <c r="CC1639" s="73"/>
      <c r="CD1639" s="73"/>
      <c r="CE1639" s="73"/>
      <c r="CF1639" s="73"/>
      <c r="CG1639" s="73"/>
      <c r="CH1639" s="73"/>
    </row>
    <row r="1640">
      <c r="A1640" s="80"/>
      <c r="B1640" s="80"/>
      <c r="C1640" s="80"/>
      <c r="D1640" s="80"/>
      <c r="E1640" s="124"/>
      <c r="F1640" s="80"/>
      <c r="G1640" s="80"/>
      <c r="H1640" s="80"/>
      <c r="I1640" s="80"/>
      <c r="J1640" s="196"/>
      <c r="K1640" s="196"/>
      <c r="L1640" s="196"/>
      <c r="M1640" s="196"/>
      <c r="N1640" s="196"/>
      <c r="O1640" s="196"/>
      <c r="P1640" s="196"/>
      <c r="Q1640" s="196"/>
      <c r="R1640" s="196"/>
      <c r="S1640" s="196"/>
      <c r="T1640" s="196"/>
      <c r="U1640" s="196"/>
      <c r="V1640" s="196"/>
      <c r="W1640" s="196"/>
      <c r="X1640" s="196"/>
      <c r="Y1640" s="196"/>
      <c r="Z1640" s="196"/>
      <c r="AA1640" s="196"/>
      <c r="AB1640" s="196"/>
      <c r="AC1640" s="196"/>
      <c r="AD1640" s="196"/>
      <c r="AE1640" s="196"/>
      <c r="AF1640" s="196"/>
      <c r="AG1640" s="196"/>
      <c r="AH1640" s="196"/>
      <c r="AI1640" s="196"/>
      <c r="AJ1640" s="197"/>
      <c r="AK1640" s="80"/>
      <c r="AL1640" s="80"/>
      <c r="AM1640" s="73"/>
      <c r="AN1640" s="73"/>
      <c r="AO1640" s="73"/>
      <c r="AP1640" s="73"/>
      <c r="AQ1640" s="73"/>
      <c r="AR1640" s="73"/>
      <c r="AS1640" s="73"/>
      <c r="AT1640" s="73"/>
      <c r="AU1640" s="73"/>
      <c r="AV1640" s="73"/>
      <c r="AW1640" s="73"/>
      <c r="AX1640" s="73"/>
      <c r="AY1640" s="73"/>
      <c r="AZ1640" s="73"/>
      <c r="BA1640" s="73"/>
      <c r="BB1640" s="73"/>
      <c r="BC1640" s="73"/>
      <c r="BD1640" s="73"/>
      <c r="BE1640" s="73"/>
      <c r="BF1640" s="73"/>
      <c r="BG1640" s="73"/>
      <c r="BH1640" s="73"/>
      <c r="BI1640" s="73"/>
      <c r="BJ1640" s="73"/>
      <c r="BK1640" s="73"/>
      <c r="BL1640" s="73"/>
      <c r="BM1640" s="73"/>
      <c r="BN1640" s="73"/>
      <c r="BO1640" s="73"/>
      <c r="BP1640" s="73"/>
      <c r="BQ1640" s="73"/>
      <c r="BR1640" s="73"/>
      <c r="BS1640" s="73"/>
      <c r="BT1640" s="73"/>
      <c r="BU1640" s="73"/>
      <c r="BV1640" s="73"/>
      <c r="BW1640" s="73"/>
      <c r="BX1640" s="73"/>
      <c r="BY1640" s="73"/>
      <c r="BZ1640" s="73"/>
      <c r="CA1640" s="73"/>
      <c r="CB1640" s="73"/>
      <c r="CC1640" s="73"/>
      <c r="CD1640" s="73"/>
      <c r="CE1640" s="73"/>
      <c r="CF1640" s="73"/>
      <c r="CG1640" s="73"/>
      <c r="CH1640" s="73"/>
    </row>
    <row r="1641">
      <c r="A1641" s="80"/>
      <c r="B1641" s="80"/>
      <c r="C1641" s="80"/>
      <c r="D1641" s="80"/>
      <c r="E1641" s="124"/>
      <c r="F1641" s="80"/>
      <c r="G1641" s="80"/>
      <c r="H1641" s="80"/>
      <c r="I1641" s="80"/>
      <c r="J1641" s="196"/>
      <c r="K1641" s="196"/>
      <c r="L1641" s="196"/>
      <c r="M1641" s="196"/>
      <c r="N1641" s="196"/>
      <c r="O1641" s="196"/>
      <c r="P1641" s="196"/>
      <c r="Q1641" s="196"/>
      <c r="R1641" s="196"/>
      <c r="S1641" s="196"/>
      <c r="T1641" s="196"/>
      <c r="U1641" s="196"/>
      <c r="V1641" s="196"/>
      <c r="W1641" s="196"/>
      <c r="X1641" s="196"/>
      <c r="Y1641" s="196"/>
      <c r="Z1641" s="196"/>
      <c r="AA1641" s="196"/>
      <c r="AB1641" s="196"/>
      <c r="AC1641" s="196"/>
      <c r="AD1641" s="196"/>
      <c r="AE1641" s="196"/>
      <c r="AF1641" s="196"/>
      <c r="AG1641" s="196"/>
      <c r="AH1641" s="196"/>
      <c r="AI1641" s="196"/>
      <c r="AJ1641" s="197"/>
      <c r="AK1641" s="80"/>
      <c r="AL1641" s="80"/>
      <c r="AM1641" s="73"/>
      <c r="AN1641" s="73"/>
      <c r="AO1641" s="73"/>
      <c r="AP1641" s="73"/>
      <c r="AQ1641" s="73"/>
      <c r="AR1641" s="73"/>
      <c r="AS1641" s="73"/>
      <c r="AT1641" s="73"/>
      <c r="AU1641" s="73"/>
      <c r="AV1641" s="73"/>
      <c r="AW1641" s="73"/>
      <c r="AX1641" s="73"/>
      <c r="AY1641" s="73"/>
      <c r="AZ1641" s="73"/>
      <c r="BA1641" s="73"/>
      <c r="BB1641" s="73"/>
      <c r="BC1641" s="73"/>
      <c r="BD1641" s="73"/>
      <c r="BE1641" s="73"/>
      <c r="BF1641" s="73"/>
      <c r="BG1641" s="73"/>
      <c r="BH1641" s="73"/>
      <c r="BI1641" s="73"/>
      <c r="BJ1641" s="73"/>
      <c r="BK1641" s="73"/>
      <c r="BL1641" s="73"/>
      <c r="BM1641" s="73"/>
      <c r="BN1641" s="73"/>
      <c r="BO1641" s="73"/>
      <c r="BP1641" s="73"/>
      <c r="BQ1641" s="73"/>
      <c r="BR1641" s="73"/>
      <c r="BS1641" s="73"/>
      <c r="BT1641" s="73"/>
      <c r="BU1641" s="73"/>
      <c r="BV1641" s="73"/>
      <c r="BW1641" s="73"/>
      <c r="BX1641" s="73"/>
      <c r="BY1641" s="73"/>
      <c r="BZ1641" s="73"/>
      <c r="CA1641" s="73"/>
      <c r="CB1641" s="73"/>
      <c r="CC1641" s="73"/>
      <c r="CD1641" s="73"/>
      <c r="CE1641" s="73"/>
      <c r="CF1641" s="73"/>
      <c r="CG1641" s="73"/>
      <c r="CH1641" s="73"/>
    </row>
    <row r="1642">
      <c r="A1642" s="80"/>
      <c r="B1642" s="80"/>
      <c r="C1642" s="80"/>
      <c r="D1642" s="80"/>
      <c r="E1642" s="124"/>
      <c r="F1642" s="80"/>
      <c r="G1642" s="80"/>
      <c r="H1642" s="80"/>
      <c r="I1642" s="80"/>
      <c r="J1642" s="196"/>
      <c r="K1642" s="196"/>
      <c r="L1642" s="196"/>
      <c r="M1642" s="196"/>
      <c r="N1642" s="196"/>
      <c r="O1642" s="196"/>
      <c r="P1642" s="196"/>
      <c r="Q1642" s="196"/>
      <c r="R1642" s="196"/>
      <c r="S1642" s="196"/>
      <c r="T1642" s="196"/>
      <c r="U1642" s="196"/>
      <c r="V1642" s="196"/>
      <c r="W1642" s="196"/>
      <c r="X1642" s="196"/>
      <c r="Y1642" s="196"/>
      <c r="Z1642" s="196"/>
      <c r="AA1642" s="196"/>
      <c r="AB1642" s="196"/>
      <c r="AC1642" s="196"/>
      <c r="AD1642" s="196"/>
      <c r="AE1642" s="196"/>
      <c r="AF1642" s="196"/>
      <c r="AG1642" s="196"/>
      <c r="AH1642" s="196"/>
      <c r="AI1642" s="196"/>
      <c r="AJ1642" s="197"/>
      <c r="AK1642" s="80"/>
      <c r="AL1642" s="80"/>
      <c r="AM1642" s="73"/>
      <c r="AN1642" s="73"/>
      <c r="AO1642" s="73"/>
      <c r="AP1642" s="73"/>
      <c r="AQ1642" s="73"/>
      <c r="AR1642" s="73"/>
      <c r="AS1642" s="73"/>
      <c r="AT1642" s="73"/>
      <c r="AU1642" s="73"/>
      <c r="AV1642" s="73"/>
      <c r="AW1642" s="73"/>
      <c r="AX1642" s="73"/>
      <c r="AY1642" s="73"/>
      <c r="AZ1642" s="73"/>
      <c r="BA1642" s="73"/>
      <c r="BB1642" s="73"/>
      <c r="BC1642" s="73"/>
      <c r="BD1642" s="73"/>
      <c r="BE1642" s="73"/>
      <c r="BF1642" s="73"/>
      <c r="BG1642" s="73"/>
      <c r="BH1642" s="73"/>
      <c r="BI1642" s="73"/>
      <c r="BJ1642" s="73"/>
      <c r="BK1642" s="73"/>
      <c r="BL1642" s="73"/>
      <c r="BM1642" s="73"/>
      <c r="BN1642" s="73"/>
      <c r="BO1642" s="73"/>
      <c r="BP1642" s="73"/>
      <c r="BQ1642" s="73"/>
      <c r="BR1642" s="73"/>
      <c r="BS1642" s="73"/>
      <c r="BT1642" s="73"/>
      <c r="BU1642" s="73"/>
      <c r="BV1642" s="73"/>
      <c r="BW1642" s="73"/>
      <c r="BX1642" s="73"/>
      <c r="BY1642" s="73"/>
      <c r="BZ1642" s="73"/>
      <c r="CA1642" s="73"/>
      <c r="CB1642" s="73"/>
      <c r="CC1642" s="73"/>
      <c r="CD1642" s="73"/>
      <c r="CE1642" s="73"/>
      <c r="CF1642" s="73"/>
      <c r="CG1642" s="73"/>
      <c r="CH1642" s="73"/>
    </row>
    <row r="1643">
      <c r="A1643" s="80"/>
      <c r="B1643" s="80"/>
      <c r="C1643" s="80"/>
      <c r="D1643" s="80"/>
      <c r="E1643" s="124"/>
      <c r="F1643" s="80"/>
      <c r="G1643" s="80"/>
      <c r="H1643" s="80"/>
      <c r="I1643" s="80"/>
      <c r="J1643" s="196"/>
      <c r="K1643" s="196"/>
      <c r="L1643" s="196"/>
      <c r="M1643" s="196"/>
      <c r="N1643" s="196"/>
      <c r="O1643" s="196"/>
      <c r="P1643" s="196"/>
      <c r="Q1643" s="196"/>
      <c r="R1643" s="196"/>
      <c r="S1643" s="196"/>
      <c r="T1643" s="196"/>
      <c r="U1643" s="196"/>
      <c r="V1643" s="196"/>
      <c r="W1643" s="196"/>
      <c r="X1643" s="196"/>
      <c r="Y1643" s="196"/>
      <c r="Z1643" s="196"/>
      <c r="AA1643" s="196"/>
      <c r="AB1643" s="196"/>
      <c r="AC1643" s="196"/>
      <c r="AD1643" s="196"/>
      <c r="AE1643" s="196"/>
      <c r="AF1643" s="196"/>
      <c r="AG1643" s="196"/>
      <c r="AH1643" s="196"/>
      <c r="AI1643" s="196"/>
      <c r="AJ1643" s="197"/>
      <c r="AK1643" s="80"/>
      <c r="AL1643" s="80"/>
      <c r="AM1643" s="73"/>
      <c r="AN1643" s="73"/>
      <c r="AO1643" s="73"/>
      <c r="AP1643" s="73"/>
      <c r="AQ1643" s="73"/>
      <c r="AR1643" s="73"/>
      <c r="AS1643" s="73"/>
      <c r="AT1643" s="73"/>
      <c r="AU1643" s="73"/>
      <c r="AV1643" s="73"/>
      <c r="AW1643" s="73"/>
      <c r="AX1643" s="73"/>
      <c r="AY1643" s="73"/>
      <c r="AZ1643" s="73"/>
      <c r="BA1643" s="73"/>
      <c r="BB1643" s="73"/>
      <c r="BC1643" s="73"/>
      <c r="BD1643" s="73"/>
      <c r="BE1643" s="73"/>
      <c r="BF1643" s="73"/>
      <c r="BG1643" s="73"/>
      <c r="BH1643" s="73"/>
      <c r="BI1643" s="73"/>
      <c r="BJ1643" s="73"/>
      <c r="BK1643" s="73"/>
      <c r="BL1643" s="73"/>
      <c r="BM1643" s="73"/>
      <c r="BN1643" s="73"/>
      <c r="BO1643" s="73"/>
      <c r="BP1643" s="73"/>
      <c r="BQ1643" s="73"/>
      <c r="BR1643" s="73"/>
      <c r="BS1643" s="73"/>
      <c r="BT1643" s="73"/>
      <c r="BU1643" s="73"/>
      <c r="BV1643" s="73"/>
      <c r="BW1643" s="73"/>
      <c r="BX1643" s="73"/>
      <c r="BY1643" s="73"/>
      <c r="BZ1643" s="73"/>
      <c r="CA1643" s="73"/>
      <c r="CB1643" s="73"/>
      <c r="CC1643" s="73"/>
      <c r="CD1643" s="73"/>
      <c r="CE1643" s="73"/>
      <c r="CF1643" s="73"/>
      <c r="CG1643" s="73"/>
      <c r="CH1643" s="73"/>
    </row>
    <row r="1644">
      <c r="A1644" s="80"/>
      <c r="B1644" s="80"/>
      <c r="C1644" s="80"/>
      <c r="D1644" s="80"/>
      <c r="E1644" s="124"/>
      <c r="F1644" s="80"/>
      <c r="G1644" s="80"/>
      <c r="H1644" s="80"/>
      <c r="I1644" s="80"/>
      <c r="J1644" s="196"/>
      <c r="K1644" s="196"/>
      <c r="L1644" s="196"/>
      <c r="M1644" s="196"/>
      <c r="N1644" s="196"/>
      <c r="O1644" s="196"/>
      <c r="P1644" s="196"/>
      <c r="Q1644" s="196"/>
      <c r="R1644" s="196"/>
      <c r="S1644" s="196"/>
      <c r="T1644" s="196"/>
      <c r="U1644" s="196"/>
      <c r="V1644" s="196"/>
      <c r="W1644" s="196"/>
      <c r="X1644" s="196"/>
      <c r="Y1644" s="196"/>
      <c r="Z1644" s="196"/>
      <c r="AA1644" s="196"/>
      <c r="AB1644" s="196"/>
      <c r="AC1644" s="196"/>
      <c r="AD1644" s="196"/>
      <c r="AE1644" s="196"/>
      <c r="AF1644" s="196"/>
      <c r="AG1644" s="196"/>
      <c r="AH1644" s="196"/>
      <c r="AI1644" s="196"/>
      <c r="AJ1644" s="197"/>
      <c r="AK1644" s="80"/>
      <c r="AL1644" s="80"/>
      <c r="AM1644" s="73"/>
      <c r="AN1644" s="73"/>
      <c r="AO1644" s="73"/>
      <c r="AP1644" s="73"/>
      <c r="AQ1644" s="73"/>
      <c r="AR1644" s="73"/>
      <c r="AS1644" s="73"/>
      <c r="AT1644" s="73"/>
      <c r="AU1644" s="73"/>
      <c r="AV1644" s="73"/>
      <c r="AW1644" s="73"/>
      <c r="AX1644" s="73"/>
      <c r="AY1644" s="73"/>
      <c r="AZ1644" s="73"/>
      <c r="BA1644" s="73"/>
      <c r="BB1644" s="73"/>
      <c r="BC1644" s="73"/>
      <c r="BD1644" s="73"/>
      <c r="BE1644" s="73"/>
      <c r="BF1644" s="73"/>
      <c r="BG1644" s="73"/>
      <c r="BH1644" s="73"/>
      <c r="BI1644" s="73"/>
      <c r="BJ1644" s="73"/>
      <c r="BK1644" s="73"/>
      <c r="BL1644" s="73"/>
      <c r="BM1644" s="73"/>
      <c r="BN1644" s="73"/>
      <c r="BO1644" s="73"/>
      <c r="BP1644" s="73"/>
      <c r="BQ1644" s="73"/>
      <c r="BR1644" s="73"/>
      <c r="BS1644" s="73"/>
      <c r="BT1644" s="73"/>
      <c r="BU1644" s="73"/>
      <c r="BV1644" s="73"/>
      <c r="BW1644" s="73"/>
      <c r="BX1644" s="73"/>
      <c r="BY1644" s="73"/>
      <c r="BZ1644" s="73"/>
      <c r="CA1644" s="73"/>
      <c r="CB1644" s="73"/>
      <c r="CC1644" s="73"/>
      <c r="CD1644" s="73"/>
      <c r="CE1644" s="73"/>
      <c r="CF1644" s="73"/>
      <c r="CG1644" s="73"/>
      <c r="CH1644" s="73"/>
    </row>
    <row r="1645">
      <c r="A1645" s="80"/>
      <c r="B1645" s="80"/>
      <c r="C1645" s="80"/>
      <c r="D1645" s="80"/>
      <c r="E1645" s="124"/>
      <c r="F1645" s="80"/>
      <c r="G1645" s="80"/>
      <c r="H1645" s="80"/>
      <c r="I1645" s="80"/>
      <c r="J1645" s="196"/>
      <c r="K1645" s="196"/>
      <c r="L1645" s="196"/>
      <c r="M1645" s="196"/>
      <c r="N1645" s="196"/>
      <c r="O1645" s="196"/>
      <c r="P1645" s="196"/>
      <c r="Q1645" s="196"/>
      <c r="R1645" s="196"/>
      <c r="S1645" s="196"/>
      <c r="T1645" s="196"/>
      <c r="U1645" s="196"/>
      <c r="V1645" s="196"/>
      <c r="W1645" s="196"/>
      <c r="X1645" s="196"/>
      <c r="Y1645" s="196"/>
      <c r="Z1645" s="196"/>
      <c r="AA1645" s="196"/>
      <c r="AB1645" s="196"/>
      <c r="AC1645" s="196"/>
      <c r="AD1645" s="196"/>
      <c r="AE1645" s="196"/>
      <c r="AF1645" s="196"/>
      <c r="AG1645" s="196"/>
      <c r="AH1645" s="196"/>
      <c r="AI1645" s="196"/>
      <c r="AJ1645" s="197"/>
      <c r="AK1645" s="80"/>
      <c r="AL1645" s="80"/>
      <c r="AM1645" s="73"/>
      <c r="AN1645" s="73"/>
      <c r="AO1645" s="73"/>
      <c r="AP1645" s="73"/>
      <c r="AQ1645" s="73"/>
      <c r="AR1645" s="73"/>
      <c r="AS1645" s="73"/>
      <c r="AT1645" s="73"/>
      <c r="AU1645" s="73"/>
      <c r="AV1645" s="73"/>
      <c r="AW1645" s="73"/>
      <c r="AX1645" s="73"/>
      <c r="AY1645" s="73"/>
      <c r="AZ1645" s="73"/>
      <c r="BA1645" s="73"/>
      <c r="BB1645" s="73"/>
      <c r="BC1645" s="73"/>
      <c r="BD1645" s="73"/>
      <c r="BE1645" s="73"/>
      <c r="BF1645" s="73"/>
      <c r="BG1645" s="73"/>
      <c r="BH1645" s="73"/>
      <c r="BI1645" s="73"/>
      <c r="BJ1645" s="73"/>
      <c r="BK1645" s="73"/>
      <c r="BL1645" s="73"/>
      <c r="BM1645" s="73"/>
      <c r="BN1645" s="73"/>
      <c r="BO1645" s="73"/>
      <c r="BP1645" s="73"/>
      <c r="BQ1645" s="73"/>
      <c r="BR1645" s="73"/>
      <c r="BS1645" s="73"/>
      <c r="BT1645" s="73"/>
      <c r="BU1645" s="73"/>
      <c r="BV1645" s="73"/>
      <c r="BW1645" s="73"/>
      <c r="BX1645" s="73"/>
      <c r="BY1645" s="73"/>
      <c r="BZ1645" s="73"/>
      <c r="CA1645" s="73"/>
      <c r="CB1645" s="73"/>
      <c r="CC1645" s="73"/>
      <c r="CD1645" s="73"/>
      <c r="CE1645" s="73"/>
      <c r="CF1645" s="73"/>
      <c r="CG1645" s="73"/>
      <c r="CH1645" s="73"/>
    </row>
    <row r="1646">
      <c r="A1646" s="80"/>
      <c r="B1646" s="80"/>
      <c r="C1646" s="80"/>
      <c r="D1646" s="80"/>
      <c r="E1646" s="124"/>
      <c r="F1646" s="80"/>
      <c r="G1646" s="80"/>
      <c r="H1646" s="80"/>
      <c r="I1646" s="80"/>
      <c r="J1646" s="196"/>
      <c r="K1646" s="196"/>
      <c r="L1646" s="196"/>
      <c r="M1646" s="196"/>
      <c r="N1646" s="196"/>
      <c r="O1646" s="196"/>
      <c r="P1646" s="196"/>
      <c r="Q1646" s="196"/>
      <c r="R1646" s="196"/>
      <c r="S1646" s="196"/>
      <c r="T1646" s="196"/>
      <c r="U1646" s="196"/>
      <c r="V1646" s="196"/>
      <c r="W1646" s="196"/>
      <c r="X1646" s="196"/>
      <c r="Y1646" s="196"/>
      <c r="Z1646" s="196"/>
      <c r="AA1646" s="196"/>
      <c r="AB1646" s="196"/>
      <c r="AC1646" s="196"/>
      <c r="AD1646" s="196"/>
      <c r="AE1646" s="196"/>
      <c r="AF1646" s="196"/>
      <c r="AG1646" s="196"/>
      <c r="AH1646" s="196"/>
      <c r="AI1646" s="196"/>
      <c r="AJ1646" s="197"/>
      <c r="AK1646" s="80"/>
      <c r="AL1646" s="80"/>
      <c r="AM1646" s="73"/>
      <c r="AN1646" s="73"/>
      <c r="AO1646" s="73"/>
      <c r="AP1646" s="73"/>
      <c r="AQ1646" s="73"/>
      <c r="AR1646" s="73"/>
      <c r="AS1646" s="73"/>
      <c r="AT1646" s="73"/>
      <c r="AU1646" s="73"/>
      <c r="AV1646" s="73"/>
      <c r="AW1646" s="73"/>
      <c r="AX1646" s="73"/>
      <c r="AY1646" s="73"/>
      <c r="AZ1646" s="73"/>
      <c r="BA1646" s="73"/>
      <c r="BB1646" s="73"/>
      <c r="BC1646" s="73"/>
      <c r="BD1646" s="73"/>
      <c r="BE1646" s="73"/>
      <c r="BF1646" s="73"/>
      <c r="BG1646" s="73"/>
      <c r="BH1646" s="73"/>
      <c r="BI1646" s="73"/>
      <c r="BJ1646" s="73"/>
      <c r="BK1646" s="73"/>
      <c r="BL1646" s="73"/>
      <c r="BM1646" s="73"/>
      <c r="BN1646" s="73"/>
      <c r="BO1646" s="73"/>
      <c r="BP1646" s="73"/>
      <c r="BQ1646" s="73"/>
      <c r="BR1646" s="73"/>
      <c r="BS1646" s="73"/>
      <c r="BT1646" s="73"/>
      <c r="BU1646" s="73"/>
      <c r="BV1646" s="73"/>
      <c r="BW1646" s="73"/>
      <c r="BX1646" s="73"/>
      <c r="BY1646" s="73"/>
      <c r="BZ1646" s="73"/>
      <c r="CA1646" s="73"/>
      <c r="CB1646" s="73"/>
      <c r="CC1646" s="73"/>
      <c r="CD1646" s="73"/>
      <c r="CE1646" s="73"/>
      <c r="CF1646" s="73"/>
      <c r="CG1646" s="73"/>
      <c r="CH1646" s="73"/>
    </row>
    <row r="1647">
      <c r="A1647" s="80"/>
      <c r="B1647" s="80"/>
      <c r="C1647" s="80"/>
      <c r="D1647" s="80"/>
      <c r="E1647" s="124"/>
      <c r="F1647" s="80"/>
      <c r="G1647" s="80"/>
      <c r="H1647" s="80"/>
      <c r="I1647" s="80"/>
      <c r="J1647" s="196"/>
      <c r="K1647" s="196"/>
      <c r="L1647" s="196"/>
      <c r="M1647" s="196"/>
      <c r="N1647" s="196"/>
      <c r="O1647" s="196"/>
      <c r="P1647" s="196"/>
      <c r="Q1647" s="196"/>
      <c r="R1647" s="196"/>
      <c r="S1647" s="196"/>
      <c r="T1647" s="196"/>
      <c r="U1647" s="196"/>
      <c r="V1647" s="196"/>
      <c r="W1647" s="196"/>
      <c r="X1647" s="196"/>
      <c r="Y1647" s="196"/>
      <c r="Z1647" s="196"/>
      <c r="AA1647" s="196"/>
      <c r="AB1647" s="196"/>
      <c r="AC1647" s="196"/>
      <c r="AD1647" s="196"/>
      <c r="AE1647" s="196"/>
      <c r="AF1647" s="196"/>
      <c r="AG1647" s="196"/>
      <c r="AH1647" s="196"/>
      <c r="AI1647" s="196"/>
      <c r="AJ1647" s="197"/>
      <c r="AK1647" s="80"/>
      <c r="AL1647" s="80"/>
      <c r="AM1647" s="73"/>
      <c r="AN1647" s="73"/>
      <c r="AO1647" s="73"/>
      <c r="AP1647" s="73"/>
      <c r="AQ1647" s="73"/>
      <c r="AR1647" s="73"/>
      <c r="AS1647" s="73"/>
      <c r="AT1647" s="73"/>
      <c r="AU1647" s="73"/>
      <c r="AV1647" s="73"/>
      <c r="AW1647" s="73"/>
      <c r="AX1647" s="73"/>
      <c r="AY1647" s="73"/>
      <c r="AZ1647" s="73"/>
      <c r="BA1647" s="73"/>
      <c r="BB1647" s="73"/>
      <c r="BC1647" s="73"/>
      <c r="BD1647" s="73"/>
      <c r="BE1647" s="73"/>
      <c r="BF1647" s="73"/>
      <c r="BG1647" s="73"/>
      <c r="BH1647" s="73"/>
      <c r="BI1647" s="73"/>
      <c r="BJ1647" s="73"/>
      <c r="BK1647" s="73"/>
      <c r="BL1647" s="73"/>
      <c r="BM1647" s="73"/>
      <c r="BN1647" s="73"/>
      <c r="BO1647" s="73"/>
      <c r="BP1647" s="73"/>
      <c r="BQ1647" s="73"/>
      <c r="BR1647" s="73"/>
      <c r="BS1647" s="73"/>
      <c r="BT1647" s="73"/>
      <c r="BU1647" s="73"/>
      <c r="BV1647" s="73"/>
      <c r="BW1647" s="73"/>
      <c r="BX1647" s="73"/>
      <c r="BY1647" s="73"/>
      <c r="BZ1647" s="73"/>
      <c r="CA1647" s="73"/>
      <c r="CB1647" s="73"/>
      <c r="CC1647" s="73"/>
      <c r="CD1647" s="73"/>
      <c r="CE1647" s="73"/>
      <c r="CF1647" s="73"/>
      <c r="CG1647" s="73"/>
      <c r="CH1647" s="73"/>
    </row>
    <row r="1648">
      <c r="A1648" s="80"/>
      <c r="B1648" s="80"/>
      <c r="C1648" s="80"/>
      <c r="D1648" s="80"/>
      <c r="E1648" s="124"/>
      <c r="F1648" s="80"/>
      <c r="G1648" s="80"/>
      <c r="H1648" s="80"/>
      <c r="I1648" s="80"/>
      <c r="J1648" s="196"/>
      <c r="K1648" s="196"/>
      <c r="L1648" s="196"/>
      <c r="M1648" s="196"/>
      <c r="N1648" s="196"/>
      <c r="O1648" s="196"/>
      <c r="P1648" s="196"/>
      <c r="Q1648" s="196"/>
      <c r="R1648" s="196"/>
      <c r="S1648" s="196"/>
      <c r="T1648" s="196"/>
      <c r="U1648" s="196"/>
      <c r="V1648" s="196"/>
      <c r="W1648" s="196"/>
      <c r="X1648" s="196"/>
      <c r="Y1648" s="196"/>
      <c r="Z1648" s="196"/>
      <c r="AA1648" s="196"/>
      <c r="AB1648" s="196"/>
      <c r="AC1648" s="196"/>
      <c r="AD1648" s="196"/>
      <c r="AE1648" s="196"/>
      <c r="AF1648" s="196"/>
      <c r="AG1648" s="196"/>
      <c r="AH1648" s="196"/>
      <c r="AI1648" s="196"/>
      <c r="AJ1648" s="197"/>
      <c r="AK1648" s="80"/>
      <c r="AL1648" s="80"/>
      <c r="AM1648" s="73"/>
      <c r="AN1648" s="73"/>
      <c r="AO1648" s="73"/>
      <c r="AP1648" s="73"/>
      <c r="AQ1648" s="73"/>
      <c r="AR1648" s="73"/>
      <c r="AS1648" s="73"/>
      <c r="AT1648" s="73"/>
      <c r="AU1648" s="73"/>
      <c r="AV1648" s="73"/>
      <c r="AW1648" s="73"/>
      <c r="AX1648" s="73"/>
      <c r="AY1648" s="73"/>
      <c r="AZ1648" s="73"/>
      <c r="BA1648" s="73"/>
      <c r="BB1648" s="73"/>
      <c r="BC1648" s="73"/>
      <c r="BD1648" s="73"/>
      <c r="BE1648" s="73"/>
      <c r="BF1648" s="73"/>
      <c r="BG1648" s="73"/>
      <c r="BH1648" s="73"/>
      <c r="BI1648" s="73"/>
      <c r="BJ1648" s="73"/>
      <c r="BK1648" s="73"/>
      <c r="BL1648" s="73"/>
      <c r="BM1648" s="73"/>
      <c r="BN1648" s="73"/>
      <c r="BO1648" s="73"/>
      <c r="BP1648" s="73"/>
      <c r="BQ1648" s="73"/>
      <c r="BR1648" s="73"/>
      <c r="BS1648" s="73"/>
      <c r="BT1648" s="73"/>
      <c r="BU1648" s="73"/>
      <c r="BV1648" s="73"/>
      <c r="BW1648" s="73"/>
      <c r="BX1648" s="73"/>
      <c r="BY1648" s="73"/>
      <c r="BZ1648" s="73"/>
      <c r="CA1648" s="73"/>
      <c r="CB1648" s="73"/>
      <c r="CC1648" s="73"/>
      <c r="CD1648" s="73"/>
      <c r="CE1648" s="73"/>
      <c r="CF1648" s="73"/>
      <c r="CG1648" s="73"/>
      <c r="CH1648" s="73"/>
    </row>
    <row r="1649">
      <c r="A1649" s="80"/>
      <c r="B1649" s="80"/>
      <c r="C1649" s="80"/>
      <c r="D1649" s="80"/>
      <c r="E1649" s="124"/>
      <c r="F1649" s="80"/>
      <c r="G1649" s="80"/>
      <c r="H1649" s="80"/>
      <c r="I1649" s="80"/>
      <c r="J1649" s="196"/>
      <c r="K1649" s="196"/>
      <c r="L1649" s="196"/>
      <c r="M1649" s="196"/>
      <c r="N1649" s="196"/>
      <c r="O1649" s="196"/>
      <c r="P1649" s="196"/>
      <c r="Q1649" s="196"/>
      <c r="R1649" s="196"/>
      <c r="S1649" s="196"/>
      <c r="T1649" s="196"/>
      <c r="U1649" s="196"/>
      <c r="V1649" s="196"/>
      <c r="W1649" s="196"/>
      <c r="X1649" s="196"/>
      <c r="Y1649" s="196"/>
      <c r="Z1649" s="196"/>
      <c r="AA1649" s="196"/>
      <c r="AB1649" s="196"/>
      <c r="AC1649" s="196"/>
      <c r="AD1649" s="196"/>
      <c r="AE1649" s="196"/>
      <c r="AF1649" s="196"/>
      <c r="AG1649" s="196"/>
      <c r="AH1649" s="196"/>
      <c r="AI1649" s="196"/>
      <c r="AJ1649" s="197"/>
      <c r="AK1649" s="80"/>
      <c r="AL1649" s="80"/>
      <c r="AM1649" s="73"/>
      <c r="AN1649" s="73"/>
      <c r="AO1649" s="73"/>
      <c r="AP1649" s="73"/>
      <c r="AQ1649" s="73"/>
      <c r="AR1649" s="73"/>
      <c r="AS1649" s="73"/>
      <c r="AT1649" s="73"/>
      <c r="AU1649" s="73"/>
      <c r="AV1649" s="73"/>
      <c r="AW1649" s="73"/>
      <c r="AX1649" s="73"/>
      <c r="AY1649" s="73"/>
      <c r="AZ1649" s="73"/>
      <c r="BA1649" s="73"/>
      <c r="BB1649" s="73"/>
      <c r="BC1649" s="73"/>
      <c r="BD1649" s="73"/>
      <c r="BE1649" s="73"/>
      <c r="BF1649" s="73"/>
      <c r="BG1649" s="73"/>
      <c r="BH1649" s="73"/>
      <c r="BI1649" s="73"/>
      <c r="BJ1649" s="73"/>
      <c r="BK1649" s="73"/>
      <c r="BL1649" s="73"/>
      <c r="BM1649" s="73"/>
      <c r="BN1649" s="73"/>
      <c r="BO1649" s="73"/>
      <c r="BP1649" s="73"/>
      <c r="BQ1649" s="73"/>
      <c r="BR1649" s="73"/>
      <c r="BS1649" s="73"/>
      <c r="BT1649" s="73"/>
      <c r="BU1649" s="73"/>
      <c r="BV1649" s="73"/>
      <c r="BW1649" s="73"/>
      <c r="BX1649" s="73"/>
      <c r="BY1649" s="73"/>
      <c r="BZ1649" s="73"/>
      <c r="CA1649" s="73"/>
      <c r="CB1649" s="73"/>
      <c r="CC1649" s="73"/>
      <c r="CD1649" s="73"/>
      <c r="CE1649" s="73"/>
      <c r="CF1649" s="73"/>
      <c r="CG1649" s="73"/>
      <c r="CH1649" s="73"/>
    </row>
    <row r="1650">
      <c r="A1650" s="80"/>
      <c r="B1650" s="80"/>
      <c r="C1650" s="80"/>
      <c r="D1650" s="80"/>
      <c r="E1650" s="124"/>
      <c r="F1650" s="80"/>
      <c r="G1650" s="80"/>
      <c r="H1650" s="80"/>
      <c r="I1650" s="80"/>
      <c r="J1650" s="196"/>
      <c r="K1650" s="196"/>
      <c r="L1650" s="196"/>
      <c r="M1650" s="196"/>
      <c r="N1650" s="196"/>
      <c r="O1650" s="196"/>
      <c r="P1650" s="196"/>
      <c r="Q1650" s="196"/>
      <c r="R1650" s="196"/>
      <c r="S1650" s="196"/>
      <c r="T1650" s="196"/>
      <c r="U1650" s="196"/>
      <c r="V1650" s="196"/>
      <c r="W1650" s="196"/>
      <c r="X1650" s="196"/>
      <c r="Y1650" s="196"/>
      <c r="Z1650" s="196"/>
      <c r="AA1650" s="196"/>
      <c r="AB1650" s="196"/>
      <c r="AC1650" s="196"/>
      <c r="AD1650" s="196"/>
      <c r="AE1650" s="196"/>
      <c r="AF1650" s="196"/>
      <c r="AG1650" s="196"/>
      <c r="AH1650" s="196"/>
      <c r="AI1650" s="196"/>
      <c r="AJ1650" s="197"/>
      <c r="AK1650" s="80"/>
      <c r="AL1650" s="80"/>
      <c r="AM1650" s="73"/>
      <c r="AN1650" s="73"/>
      <c r="AO1650" s="73"/>
      <c r="AP1650" s="73"/>
      <c r="AQ1650" s="73"/>
      <c r="AR1650" s="73"/>
      <c r="AS1650" s="73"/>
      <c r="AT1650" s="73"/>
      <c r="AU1650" s="73"/>
      <c r="AV1650" s="73"/>
      <c r="AW1650" s="73"/>
      <c r="AX1650" s="73"/>
      <c r="AY1650" s="73"/>
      <c r="AZ1650" s="73"/>
      <c r="BA1650" s="73"/>
      <c r="BB1650" s="73"/>
      <c r="BC1650" s="73"/>
      <c r="BD1650" s="73"/>
      <c r="BE1650" s="73"/>
      <c r="BF1650" s="73"/>
      <c r="BG1650" s="73"/>
      <c r="BH1650" s="73"/>
      <c r="BI1650" s="73"/>
      <c r="BJ1650" s="73"/>
      <c r="BK1650" s="73"/>
      <c r="BL1650" s="73"/>
      <c r="BM1650" s="73"/>
      <c r="BN1650" s="73"/>
      <c r="BO1650" s="73"/>
      <c r="BP1650" s="73"/>
      <c r="BQ1650" s="73"/>
      <c r="BR1650" s="73"/>
      <c r="BS1650" s="73"/>
      <c r="BT1650" s="73"/>
      <c r="BU1650" s="73"/>
      <c r="BV1650" s="73"/>
      <c r="BW1650" s="73"/>
      <c r="BX1650" s="73"/>
      <c r="BY1650" s="73"/>
      <c r="BZ1650" s="73"/>
      <c r="CA1650" s="73"/>
      <c r="CB1650" s="73"/>
      <c r="CC1650" s="73"/>
      <c r="CD1650" s="73"/>
      <c r="CE1650" s="73"/>
      <c r="CF1650" s="73"/>
      <c r="CG1650" s="73"/>
      <c r="CH1650" s="73"/>
    </row>
    <row r="1651">
      <c r="A1651" s="80"/>
      <c r="B1651" s="80"/>
      <c r="C1651" s="80"/>
      <c r="D1651" s="80"/>
      <c r="E1651" s="124"/>
      <c r="F1651" s="80"/>
      <c r="G1651" s="80"/>
      <c r="H1651" s="80"/>
      <c r="I1651" s="80"/>
      <c r="J1651" s="196"/>
      <c r="K1651" s="196"/>
      <c r="L1651" s="196"/>
      <c r="M1651" s="196"/>
      <c r="N1651" s="196"/>
      <c r="O1651" s="196"/>
      <c r="P1651" s="196"/>
      <c r="Q1651" s="196"/>
      <c r="R1651" s="196"/>
      <c r="S1651" s="196"/>
      <c r="T1651" s="196"/>
      <c r="U1651" s="196"/>
      <c r="V1651" s="196"/>
      <c r="W1651" s="196"/>
      <c r="X1651" s="196"/>
      <c r="Y1651" s="196"/>
      <c r="Z1651" s="196"/>
      <c r="AA1651" s="196"/>
      <c r="AB1651" s="196"/>
      <c r="AC1651" s="196"/>
      <c r="AD1651" s="196"/>
      <c r="AE1651" s="196"/>
      <c r="AF1651" s="196"/>
      <c r="AG1651" s="196"/>
      <c r="AH1651" s="196"/>
      <c r="AI1651" s="196"/>
      <c r="AJ1651" s="197"/>
      <c r="AK1651" s="80"/>
      <c r="AL1651" s="80"/>
      <c r="AM1651" s="73"/>
      <c r="AN1651" s="73"/>
      <c r="AO1651" s="73"/>
      <c r="AP1651" s="73"/>
      <c r="AQ1651" s="73"/>
      <c r="AR1651" s="73"/>
      <c r="AS1651" s="73"/>
      <c r="AT1651" s="73"/>
      <c r="AU1651" s="73"/>
      <c r="AV1651" s="73"/>
      <c r="AW1651" s="73"/>
      <c r="AX1651" s="73"/>
      <c r="AY1651" s="73"/>
      <c r="AZ1651" s="73"/>
      <c r="BA1651" s="73"/>
      <c r="BB1651" s="73"/>
      <c r="BC1651" s="73"/>
      <c r="BD1651" s="73"/>
      <c r="BE1651" s="73"/>
      <c r="BF1651" s="73"/>
      <c r="BG1651" s="73"/>
      <c r="BH1651" s="73"/>
      <c r="BI1651" s="73"/>
      <c r="BJ1651" s="73"/>
      <c r="BK1651" s="73"/>
      <c r="BL1651" s="73"/>
      <c r="BM1651" s="73"/>
      <c r="BN1651" s="73"/>
      <c r="BO1651" s="73"/>
      <c r="BP1651" s="73"/>
      <c r="BQ1651" s="73"/>
      <c r="BR1651" s="73"/>
      <c r="BS1651" s="73"/>
      <c r="BT1651" s="73"/>
      <c r="BU1651" s="73"/>
      <c r="BV1651" s="73"/>
      <c r="BW1651" s="73"/>
      <c r="BX1651" s="73"/>
      <c r="BY1651" s="73"/>
      <c r="BZ1651" s="73"/>
      <c r="CA1651" s="73"/>
      <c r="CB1651" s="73"/>
      <c r="CC1651" s="73"/>
      <c r="CD1651" s="73"/>
      <c r="CE1651" s="73"/>
      <c r="CF1651" s="73"/>
      <c r="CG1651" s="73"/>
      <c r="CH1651" s="73"/>
    </row>
    <row r="1652">
      <c r="A1652" s="80"/>
      <c r="B1652" s="80"/>
      <c r="C1652" s="80"/>
      <c r="D1652" s="80"/>
      <c r="E1652" s="124"/>
      <c r="F1652" s="80"/>
      <c r="G1652" s="80"/>
      <c r="H1652" s="80"/>
      <c r="I1652" s="80"/>
      <c r="J1652" s="196"/>
      <c r="K1652" s="196"/>
      <c r="L1652" s="196"/>
      <c r="M1652" s="196"/>
      <c r="N1652" s="196"/>
      <c r="O1652" s="196"/>
      <c r="P1652" s="196"/>
      <c r="Q1652" s="196"/>
      <c r="R1652" s="196"/>
      <c r="S1652" s="196"/>
      <c r="T1652" s="196"/>
      <c r="U1652" s="196"/>
      <c r="V1652" s="196"/>
      <c r="W1652" s="196"/>
      <c r="X1652" s="196"/>
      <c r="Y1652" s="196"/>
      <c r="Z1652" s="196"/>
      <c r="AA1652" s="196"/>
      <c r="AB1652" s="196"/>
      <c r="AC1652" s="196"/>
      <c r="AD1652" s="196"/>
      <c r="AE1652" s="196"/>
      <c r="AF1652" s="196"/>
      <c r="AG1652" s="196"/>
      <c r="AH1652" s="196"/>
      <c r="AI1652" s="196"/>
      <c r="AJ1652" s="197"/>
      <c r="AK1652" s="80"/>
      <c r="AL1652" s="80"/>
      <c r="AM1652" s="73"/>
      <c r="AN1652" s="73"/>
      <c r="AO1652" s="73"/>
      <c r="AP1652" s="73"/>
      <c r="AQ1652" s="73"/>
      <c r="AR1652" s="73"/>
      <c r="AS1652" s="73"/>
      <c r="AT1652" s="73"/>
      <c r="AU1652" s="73"/>
      <c r="AV1652" s="73"/>
      <c r="AW1652" s="73"/>
      <c r="AX1652" s="73"/>
      <c r="AY1652" s="73"/>
      <c r="AZ1652" s="73"/>
      <c r="BA1652" s="73"/>
      <c r="BB1652" s="73"/>
      <c r="BC1652" s="73"/>
      <c r="BD1652" s="73"/>
      <c r="BE1652" s="73"/>
      <c r="BF1652" s="73"/>
      <c r="BG1652" s="73"/>
      <c r="BH1652" s="73"/>
      <c r="BI1652" s="73"/>
      <c r="BJ1652" s="73"/>
      <c r="BK1652" s="73"/>
      <c r="BL1652" s="73"/>
      <c r="BM1652" s="73"/>
      <c r="BN1652" s="73"/>
      <c r="BO1652" s="73"/>
      <c r="BP1652" s="73"/>
      <c r="BQ1652" s="73"/>
      <c r="BR1652" s="73"/>
      <c r="BS1652" s="73"/>
      <c r="BT1652" s="73"/>
      <c r="BU1652" s="73"/>
      <c r="BV1652" s="73"/>
      <c r="BW1652" s="73"/>
      <c r="BX1652" s="73"/>
      <c r="BY1652" s="73"/>
      <c r="BZ1652" s="73"/>
      <c r="CA1652" s="73"/>
      <c r="CB1652" s="73"/>
      <c r="CC1652" s="73"/>
      <c r="CD1652" s="73"/>
      <c r="CE1652" s="73"/>
      <c r="CF1652" s="73"/>
      <c r="CG1652" s="73"/>
      <c r="CH1652" s="73"/>
    </row>
    <row r="1653">
      <c r="A1653" s="80"/>
      <c r="B1653" s="80"/>
      <c r="C1653" s="80"/>
      <c r="D1653" s="80"/>
      <c r="E1653" s="124"/>
      <c r="F1653" s="80"/>
      <c r="G1653" s="80"/>
      <c r="H1653" s="80"/>
      <c r="I1653" s="80"/>
      <c r="J1653" s="196"/>
      <c r="K1653" s="196"/>
      <c r="L1653" s="196"/>
      <c r="M1653" s="196"/>
      <c r="N1653" s="196"/>
      <c r="O1653" s="196"/>
      <c r="P1653" s="196"/>
      <c r="Q1653" s="196"/>
      <c r="R1653" s="196"/>
      <c r="S1653" s="196"/>
      <c r="T1653" s="196"/>
      <c r="U1653" s="196"/>
      <c r="V1653" s="196"/>
      <c r="W1653" s="196"/>
      <c r="X1653" s="196"/>
      <c r="Y1653" s="196"/>
      <c r="Z1653" s="196"/>
      <c r="AA1653" s="196"/>
      <c r="AB1653" s="196"/>
      <c r="AC1653" s="196"/>
      <c r="AD1653" s="196"/>
      <c r="AE1653" s="196"/>
      <c r="AF1653" s="196"/>
      <c r="AG1653" s="196"/>
      <c r="AH1653" s="196"/>
      <c r="AI1653" s="196"/>
      <c r="AJ1653" s="197"/>
      <c r="AK1653" s="80"/>
      <c r="AL1653" s="80"/>
      <c r="AM1653" s="73"/>
      <c r="AN1653" s="73"/>
      <c r="AO1653" s="73"/>
      <c r="AP1653" s="73"/>
      <c r="AQ1653" s="73"/>
      <c r="AR1653" s="73"/>
      <c r="AS1653" s="73"/>
      <c r="AT1653" s="73"/>
      <c r="AU1653" s="73"/>
      <c r="AV1653" s="73"/>
      <c r="AW1653" s="73"/>
      <c r="AX1653" s="73"/>
      <c r="AY1653" s="73"/>
      <c r="AZ1653" s="73"/>
      <c r="BA1653" s="73"/>
      <c r="BB1653" s="73"/>
      <c r="BC1653" s="73"/>
      <c r="BD1653" s="73"/>
      <c r="BE1653" s="73"/>
      <c r="BF1653" s="73"/>
      <c r="BG1653" s="73"/>
      <c r="BH1653" s="73"/>
      <c r="BI1653" s="73"/>
      <c r="BJ1653" s="73"/>
      <c r="BK1653" s="73"/>
      <c r="BL1653" s="73"/>
      <c r="BM1653" s="73"/>
      <c r="BN1653" s="73"/>
      <c r="BO1653" s="73"/>
      <c r="BP1653" s="73"/>
      <c r="BQ1653" s="73"/>
      <c r="BR1653" s="73"/>
      <c r="BS1653" s="73"/>
      <c r="BT1653" s="73"/>
      <c r="BU1653" s="73"/>
      <c r="BV1653" s="73"/>
      <c r="BW1653" s="73"/>
      <c r="BX1653" s="73"/>
      <c r="BY1653" s="73"/>
      <c r="BZ1653" s="73"/>
      <c r="CA1653" s="73"/>
      <c r="CB1653" s="73"/>
      <c r="CC1653" s="73"/>
      <c r="CD1653" s="73"/>
      <c r="CE1653" s="73"/>
      <c r="CF1653" s="73"/>
      <c r="CG1653" s="73"/>
      <c r="CH1653" s="73"/>
    </row>
    <row r="1654">
      <c r="A1654" s="80"/>
      <c r="B1654" s="80"/>
      <c r="C1654" s="80"/>
      <c r="D1654" s="80"/>
      <c r="E1654" s="124"/>
      <c r="F1654" s="80"/>
      <c r="G1654" s="80"/>
      <c r="H1654" s="80"/>
      <c r="I1654" s="80"/>
      <c r="J1654" s="196"/>
      <c r="K1654" s="196"/>
      <c r="L1654" s="196"/>
      <c r="M1654" s="196"/>
      <c r="N1654" s="196"/>
      <c r="O1654" s="196"/>
      <c r="P1654" s="196"/>
      <c r="Q1654" s="196"/>
      <c r="R1654" s="196"/>
      <c r="S1654" s="196"/>
      <c r="T1654" s="196"/>
      <c r="U1654" s="196"/>
      <c r="V1654" s="196"/>
      <c r="W1654" s="196"/>
      <c r="X1654" s="196"/>
      <c r="Y1654" s="196"/>
      <c r="Z1654" s="196"/>
      <c r="AA1654" s="196"/>
      <c r="AB1654" s="196"/>
      <c r="AC1654" s="196"/>
      <c r="AD1654" s="196"/>
      <c r="AE1654" s="196"/>
      <c r="AF1654" s="196"/>
      <c r="AG1654" s="196"/>
      <c r="AH1654" s="196"/>
      <c r="AI1654" s="196"/>
      <c r="AJ1654" s="197"/>
      <c r="AK1654" s="80"/>
      <c r="AL1654" s="80"/>
      <c r="AM1654" s="73"/>
      <c r="AN1654" s="73"/>
      <c r="AO1654" s="73"/>
      <c r="AP1654" s="73"/>
      <c r="AQ1654" s="73"/>
      <c r="AR1654" s="73"/>
      <c r="AS1654" s="73"/>
      <c r="AT1654" s="73"/>
      <c r="AU1654" s="73"/>
      <c r="AV1654" s="73"/>
      <c r="AW1654" s="73"/>
      <c r="AX1654" s="73"/>
      <c r="AY1654" s="73"/>
      <c r="AZ1654" s="73"/>
      <c r="BA1654" s="73"/>
      <c r="BB1654" s="73"/>
      <c r="BC1654" s="73"/>
      <c r="BD1654" s="73"/>
      <c r="BE1654" s="73"/>
      <c r="BF1654" s="73"/>
      <c r="BG1654" s="73"/>
      <c r="BH1654" s="73"/>
      <c r="BI1654" s="73"/>
      <c r="BJ1654" s="73"/>
      <c r="BK1654" s="73"/>
      <c r="BL1654" s="73"/>
      <c r="BM1654" s="73"/>
      <c r="BN1654" s="73"/>
      <c r="BO1654" s="73"/>
      <c r="BP1654" s="73"/>
      <c r="BQ1654" s="73"/>
      <c r="BR1654" s="73"/>
      <c r="BS1654" s="73"/>
      <c r="BT1654" s="73"/>
      <c r="BU1654" s="73"/>
      <c r="BV1654" s="73"/>
      <c r="BW1654" s="73"/>
      <c r="BX1654" s="73"/>
      <c r="BY1654" s="73"/>
      <c r="BZ1654" s="73"/>
      <c r="CA1654" s="73"/>
      <c r="CB1654" s="73"/>
      <c r="CC1654" s="73"/>
      <c r="CD1654" s="73"/>
      <c r="CE1654" s="73"/>
      <c r="CF1654" s="73"/>
      <c r="CG1654" s="73"/>
      <c r="CH1654" s="73"/>
    </row>
    <row r="1655">
      <c r="A1655" s="80"/>
      <c r="B1655" s="80"/>
      <c r="C1655" s="80"/>
      <c r="D1655" s="80"/>
      <c r="E1655" s="124"/>
      <c r="F1655" s="80"/>
      <c r="G1655" s="80"/>
      <c r="H1655" s="80"/>
      <c r="I1655" s="80"/>
      <c r="J1655" s="196"/>
      <c r="K1655" s="196"/>
      <c r="L1655" s="196"/>
      <c r="M1655" s="196"/>
      <c r="N1655" s="196"/>
      <c r="O1655" s="196"/>
      <c r="P1655" s="196"/>
      <c r="Q1655" s="196"/>
      <c r="R1655" s="196"/>
      <c r="S1655" s="196"/>
      <c r="T1655" s="196"/>
      <c r="U1655" s="196"/>
      <c r="V1655" s="196"/>
      <c r="W1655" s="196"/>
      <c r="X1655" s="196"/>
      <c r="Y1655" s="196"/>
      <c r="Z1655" s="196"/>
      <c r="AA1655" s="196"/>
      <c r="AB1655" s="196"/>
      <c r="AC1655" s="196"/>
      <c r="AD1655" s="196"/>
      <c r="AE1655" s="196"/>
      <c r="AF1655" s="196"/>
      <c r="AG1655" s="196"/>
      <c r="AH1655" s="196"/>
      <c r="AI1655" s="196"/>
      <c r="AJ1655" s="197"/>
      <c r="AK1655" s="80"/>
      <c r="AL1655" s="80"/>
      <c r="AM1655" s="73"/>
      <c r="AN1655" s="73"/>
      <c r="AO1655" s="73"/>
      <c r="AP1655" s="73"/>
      <c r="AQ1655" s="73"/>
      <c r="AR1655" s="73"/>
      <c r="AS1655" s="73"/>
      <c r="AT1655" s="73"/>
      <c r="AU1655" s="73"/>
      <c r="AV1655" s="73"/>
      <c r="AW1655" s="73"/>
      <c r="AX1655" s="73"/>
      <c r="AY1655" s="73"/>
      <c r="AZ1655" s="73"/>
      <c r="BA1655" s="73"/>
      <c r="BB1655" s="73"/>
      <c r="BC1655" s="73"/>
      <c r="BD1655" s="73"/>
      <c r="BE1655" s="73"/>
      <c r="BF1655" s="73"/>
      <c r="BG1655" s="73"/>
      <c r="BH1655" s="73"/>
      <c r="BI1655" s="73"/>
      <c r="BJ1655" s="73"/>
      <c r="BK1655" s="73"/>
      <c r="BL1655" s="73"/>
      <c r="BM1655" s="73"/>
      <c r="BN1655" s="73"/>
      <c r="BO1655" s="73"/>
      <c r="BP1655" s="73"/>
      <c r="BQ1655" s="73"/>
      <c r="BR1655" s="73"/>
      <c r="BS1655" s="73"/>
      <c r="BT1655" s="73"/>
      <c r="BU1655" s="73"/>
      <c r="BV1655" s="73"/>
      <c r="BW1655" s="73"/>
      <c r="BX1655" s="73"/>
      <c r="BY1655" s="73"/>
      <c r="BZ1655" s="73"/>
      <c r="CA1655" s="73"/>
      <c r="CB1655" s="73"/>
      <c r="CC1655" s="73"/>
      <c r="CD1655" s="73"/>
      <c r="CE1655" s="73"/>
      <c r="CF1655" s="73"/>
      <c r="CG1655" s="73"/>
      <c r="CH1655" s="73"/>
    </row>
    <row r="1656">
      <c r="A1656" s="80"/>
      <c r="B1656" s="80"/>
      <c r="C1656" s="80"/>
      <c r="D1656" s="80"/>
      <c r="E1656" s="124"/>
      <c r="F1656" s="80"/>
      <c r="G1656" s="80"/>
      <c r="H1656" s="80"/>
      <c r="I1656" s="80"/>
      <c r="J1656" s="196"/>
      <c r="K1656" s="196"/>
      <c r="L1656" s="196"/>
      <c r="M1656" s="196"/>
      <c r="N1656" s="196"/>
      <c r="O1656" s="196"/>
      <c r="P1656" s="196"/>
      <c r="Q1656" s="196"/>
      <c r="R1656" s="196"/>
      <c r="S1656" s="196"/>
      <c r="T1656" s="196"/>
      <c r="U1656" s="196"/>
      <c r="V1656" s="196"/>
      <c r="W1656" s="196"/>
      <c r="X1656" s="196"/>
      <c r="Y1656" s="196"/>
      <c r="Z1656" s="196"/>
      <c r="AA1656" s="196"/>
      <c r="AB1656" s="196"/>
      <c r="AC1656" s="196"/>
      <c r="AD1656" s="196"/>
      <c r="AE1656" s="196"/>
      <c r="AF1656" s="196"/>
      <c r="AG1656" s="196"/>
      <c r="AH1656" s="196"/>
      <c r="AI1656" s="196"/>
      <c r="AJ1656" s="197"/>
      <c r="AK1656" s="80"/>
      <c r="AL1656" s="80"/>
      <c r="AM1656" s="73"/>
      <c r="AN1656" s="73"/>
      <c r="AO1656" s="73"/>
      <c r="AP1656" s="73"/>
      <c r="AQ1656" s="73"/>
      <c r="AR1656" s="73"/>
      <c r="AS1656" s="73"/>
      <c r="AT1656" s="73"/>
      <c r="AU1656" s="73"/>
      <c r="AV1656" s="73"/>
      <c r="AW1656" s="73"/>
      <c r="AX1656" s="73"/>
      <c r="AY1656" s="73"/>
      <c r="AZ1656" s="73"/>
      <c r="BA1656" s="73"/>
      <c r="BB1656" s="73"/>
      <c r="BC1656" s="73"/>
      <c r="BD1656" s="73"/>
      <c r="BE1656" s="73"/>
      <c r="BF1656" s="73"/>
      <c r="BG1656" s="73"/>
      <c r="BH1656" s="73"/>
      <c r="BI1656" s="73"/>
      <c r="BJ1656" s="73"/>
      <c r="BK1656" s="73"/>
      <c r="BL1656" s="73"/>
      <c r="BM1656" s="73"/>
      <c r="BN1656" s="73"/>
      <c r="BO1656" s="73"/>
      <c r="BP1656" s="73"/>
      <c r="BQ1656" s="73"/>
      <c r="BR1656" s="73"/>
      <c r="BS1656" s="73"/>
      <c r="BT1656" s="73"/>
      <c r="BU1656" s="73"/>
      <c r="BV1656" s="73"/>
      <c r="BW1656" s="73"/>
      <c r="BX1656" s="73"/>
      <c r="BY1656" s="73"/>
      <c r="BZ1656" s="73"/>
      <c r="CA1656" s="73"/>
      <c r="CB1656" s="73"/>
      <c r="CC1656" s="73"/>
      <c r="CD1656" s="73"/>
      <c r="CE1656" s="73"/>
      <c r="CF1656" s="73"/>
      <c r="CG1656" s="73"/>
      <c r="CH1656" s="73"/>
    </row>
    <row r="1657">
      <c r="A1657" s="80"/>
      <c r="B1657" s="80"/>
      <c r="C1657" s="80"/>
      <c r="D1657" s="80"/>
      <c r="E1657" s="124"/>
      <c r="F1657" s="80"/>
      <c r="G1657" s="80"/>
      <c r="H1657" s="80"/>
      <c r="I1657" s="80"/>
      <c r="J1657" s="196"/>
      <c r="K1657" s="196"/>
      <c r="L1657" s="196"/>
      <c r="M1657" s="196"/>
      <c r="N1657" s="196"/>
      <c r="O1657" s="196"/>
      <c r="P1657" s="196"/>
      <c r="Q1657" s="196"/>
      <c r="R1657" s="196"/>
      <c r="S1657" s="196"/>
      <c r="T1657" s="196"/>
      <c r="U1657" s="196"/>
      <c r="V1657" s="196"/>
      <c r="W1657" s="196"/>
      <c r="X1657" s="196"/>
      <c r="Y1657" s="196"/>
      <c r="Z1657" s="196"/>
      <c r="AA1657" s="196"/>
      <c r="AB1657" s="196"/>
      <c r="AC1657" s="196"/>
      <c r="AD1657" s="196"/>
      <c r="AE1657" s="196"/>
      <c r="AF1657" s="196"/>
      <c r="AG1657" s="196"/>
      <c r="AH1657" s="196"/>
      <c r="AI1657" s="196"/>
      <c r="AJ1657" s="197"/>
      <c r="AK1657" s="80"/>
      <c r="AL1657" s="80"/>
      <c r="AM1657" s="73"/>
      <c r="AN1657" s="73"/>
      <c r="AO1657" s="73"/>
      <c r="AP1657" s="73"/>
      <c r="AQ1657" s="73"/>
      <c r="AR1657" s="73"/>
      <c r="AS1657" s="73"/>
      <c r="AT1657" s="73"/>
      <c r="AU1657" s="73"/>
      <c r="AV1657" s="73"/>
      <c r="AW1657" s="73"/>
      <c r="AX1657" s="73"/>
      <c r="AY1657" s="73"/>
      <c r="AZ1657" s="73"/>
      <c r="BA1657" s="73"/>
      <c r="BB1657" s="73"/>
      <c r="BC1657" s="73"/>
      <c r="BD1657" s="73"/>
      <c r="BE1657" s="73"/>
      <c r="BF1657" s="73"/>
      <c r="BG1657" s="73"/>
      <c r="BH1657" s="73"/>
      <c r="BI1657" s="73"/>
      <c r="BJ1657" s="73"/>
      <c r="BK1657" s="73"/>
      <c r="BL1657" s="73"/>
      <c r="BM1657" s="73"/>
      <c r="BN1657" s="73"/>
      <c r="BO1657" s="73"/>
      <c r="BP1657" s="73"/>
      <c r="BQ1657" s="73"/>
      <c r="BR1657" s="73"/>
      <c r="BS1657" s="73"/>
      <c r="BT1657" s="73"/>
      <c r="BU1657" s="73"/>
      <c r="BV1657" s="73"/>
      <c r="BW1657" s="73"/>
      <c r="BX1657" s="73"/>
      <c r="BY1657" s="73"/>
      <c r="BZ1657" s="73"/>
      <c r="CA1657" s="73"/>
      <c r="CB1657" s="73"/>
      <c r="CC1657" s="73"/>
      <c r="CD1657" s="73"/>
      <c r="CE1657" s="73"/>
      <c r="CF1657" s="73"/>
      <c r="CG1657" s="73"/>
      <c r="CH1657" s="73"/>
    </row>
    <row r="1658">
      <c r="A1658" s="80"/>
      <c r="B1658" s="80"/>
      <c r="C1658" s="80"/>
      <c r="D1658" s="80"/>
      <c r="E1658" s="124"/>
      <c r="F1658" s="80"/>
      <c r="G1658" s="80"/>
      <c r="H1658" s="80"/>
      <c r="I1658" s="80"/>
      <c r="J1658" s="196"/>
      <c r="K1658" s="196"/>
      <c r="L1658" s="196"/>
      <c r="M1658" s="196"/>
      <c r="N1658" s="196"/>
      <c r="O1658" s="196"/>
      <c r="P1658" s="196"/>
      <c r="Q1658" s="196"/>
      <c r="R1658" s="196"/>
      <c r="S1658" s="196"/>
      <c r="T1658" s="196"/>
      <c r="U1658" s="196"/>
      <c r="V1658" s="196"/>
      <c r="W1658" s="196"/>
      <c r="X1658" s="196"/>
      <c r="Y1658" s="196"/>
      <c r="Z1658" s="196"/>
      <c r="AA1658" s="196"/>
      <c r="AB1658" s="196"/>
      <c r="AC1658" s="196"/>
      <c r="AD1658" s="196"/>
      <c r="AE1658" s="196"/>
      <c r="AF1658" s="196"/>
      <c r="AG1658" s="196"/>
      <c r="AH1658" s="196"/>
      <c r="AI1658" s="196"/>
      <c r="AJ1658" s="197"/>
      <c r="AK1658" s="80"/>
      <c r="AL1658" s="80"/>
      <c r="AM1658" s="73"/>
      <c r="AN1658" s="73"/>
      <c r="AO1658" s="73"/>
      <c r="AP1658" s="73"/>
      <c r="AQ1658" s="73"/>
      <c r="AR1658" s="73"/>
      <c r="AS1658" s="73"/>
      <c r="AT1658" s="73"/>
      <c r="AU1658" s="73"/>
      <c r="AV1658" s="73"/>
      <c r="AW1658" s="73"/>
      <c r="AX1658" s="73"/>
      <c r="AY1658" s="73"/>
      <c r="AZ1658" s="73"/>
      <c r="BA1658" s="73"/>
      <c r="BB1658" s="73"/>
      <c r="BC1658" s="73"/>
      <c r="BD1658" s="73"/>
      <c r="BE1658" s="73"/>
      <c r="BF1658" s="73"/>
      <c r="BG1658" s="73"/>
      <c r="BH1658" s="73"/>
      <c r="BI1658" s="73"/>
      <c r="BJ1658" s="73"/>
      <c r="BK1658" s="73"/>
      <c r="BL1658" s="73"/>
      <c r="BM1658" s="73"/>
      <c r="BN1658" s="73"/>
      <c r="BO1658" s="73"/>
      <c r="BP1658" s="73"/>
      <c r="BQ1658" s="73"/>
      <c r="BR1658" s="73"/>
      <c r="BS1658" s="73"/>
      <c r="BT1658" s="73"/>
      <c r="BU1658" s="73"/>
      <c r="BV1658" s="73"/>
      <c r="BW1658" s="73"/>
      <c r="BX1658" s="73"/>
      <c r="BY1658" s="73"/>
      <c r="BZ1658" s="73"/>
      <c r="CA1658" s="73"/>
      <c r="CB1658" s="73"/>
      <c r="CC1658" s="73"/>
      <c r="CD1658" s="73"/>
      <c r="CE1658" s="73"/>
      <c r="CF1658" s="73"/>
      <c r="CG1658" s="73"/>
      <c r="CH1658" s="73"/>
    </row>
    <row r="1659">
      <c r="A1659" s="80"/>
      <c r="B1659" s="80"/>
      <c r="C1659" s="80"/>
      <c r="D1659" s="80"/>
      <c r="E1659" s="124"/>
      <c r="F1659" s="80"/>
      <c r="G1659" s="80"/>
      <c r="H1659" s="80"/>
      <c r="I1659" s="80"/>
      <c r="J1659" s="196"/>
      <c r="K1659" s="196"/>
      <c r="L1659" s="196"/>
      <c r="M1659" s="196"/>
      <c r="N1659" s="196"/>
      <c r="O1659" s="196"/>
      <c r="P1659" s="196"/>
      <c r="Q1659" s="196"/>
      <c r="R1659" s="196"/>
      <c r="S1659" s="196"/>
      <c r="T1659" s="196"/>
      <c r="U1659" s="196"/>
      <c r="V1659" s="196"/>
      <c r="W1659" s="196"/>
      <c r="X1659" s="196"/>
      <c r="Y1659" s="196"/>
      <c r="Z1659" s="196"/>
      <c r="AA1659" s="196"/>
      <c r="AB1659" s="196"/>
      <c r="AC1659" s="196"/>
      <c r="AD1659" s="196"/>
      <c r="AE1659" s="196"/>
      <c r="AF1659" s="196"/>
      <c r="AG1659" s="196"/>
      <c r="AH1659" s="196"/>
      <c r="AI1659" s="196"/>
      <c r="AJ1659" s="197"/>
      <c r="AK1659" s="80"/>
      <c r="AL1659" s="80"/>
      <c r="AM1659" s="73"/>
      <c r="AN1659" s="73"/>
      <c r="AO1659" s="73"/>
      <c r="AP1659" s="73"/>
      <c r="AQ1659" s="73"/>
      <c r="AR1659" s="73"/>
      <c r="AS1659" s="73"/>
      <c r="AT1659" s="73"/>
      <c r="AU1659" s="73"/>
      <c r="AV1659" s="73"/>
      <c r="AW1659" s="73"/>
      <c r="AX1659" s="73"/>
      <c r="AY1659" s="73"/>
      <c r="AZ1659" s="73"/>
      <c r="BA1659" s="73"/>
      <c r="BB1659" s="73"/>
      <c r="BC1659" s="73"/>
      <c r="BD1659" s="73"/>
      <c r="BE1659" s="73"/>
      <c r="BF1659" s="73"/>
      <c r="BG1659" s="73"/>
      <c r="BH1659" s="73"/>
      <c r="BI1659" s="73"/>
      <c r="BJ1659" s="73"/>
      <c r="BK1659" s="73"/>
      <c r="BL1659" s="73"/>
      <c r="BM1659" s="73"/>
      <c r="BN1659" s="73"/>
      <c r="BO1659" s="73"/>
      <c r="BP1659" s="73"/>
      <c r="BQ1659" s="73"/>
      <c r="BR1659" s="73"/>
      <c r="BS1659" s="73"/>
      <c r="BT1659" s="73"/>
      <c r="BU1659" s="73"/>
      <c r="BV1659" s="73"/>
      <c r="BW1659" s="73"/>
      <c r="BX1659" s="73"/>
      <c r="BY1659" s="73"/>
      <c r="BZ1659" s="73"/>
      <c r="CA1659" s="73"/>
      <c r="CB1659" s="73"/>
      <c r="CC1659" s="73"/>
      <c r="CD1659" s="73"/>
      <c r="CE1659" s="73"/>
      <c r="CF1659" s="73"/>
      <c r="CG1659" s="73"/>
      <c r="CH1659" s="73"/>
    </row>
    <row r="1660">
      <c r="A1660" s="80"/>
      <c r="B1660" s="80"/>
      <c r="C1660" s="80"/>
      <c r="D1660" s="80"/>
      <c r="E1660" s="124"/>
      <c r="F1660" s="80"/>
      <c r="G1660" s="80"/>
      <c r="H1660" s="80"/>
      <c r="I1660" s="80"/>
      <c r="J1660" s="196"/>
      <c r="K1660" s="196"/>
      <c r="L1660" s="196"/>
      <c r="M1660" s="196"/>
      <c r="N1660" s="196"/>
      <c r="O1660" s="196"/>
      <c r="P1660" s="196"/>
      <c r="Q1660" s="196"/>
      <c r="R1660" s="196"/>
      <c r="S1660" s="196"/>
      <c r="T1660" s="196"/>
      <c r="U1660" s="196"/>
      <c r="V1660" s="196"/>
      <c r="W1660" s="196"/>
      <c r="X1660" s="196"/>
      <c r="Y1660" s="196"/>
      <c r="Z1660" s="196"/>
      <c r="AA1660" s="196"/>
      <c r="AB1660" s="196"/>
      <c r="AC1660" s="196"/>
      <c r="AD1660" s="196"/>
      <c r="AE1660" s="196"/>
      <c r="AF1660" s="196"/>
      <c r="AG1660" s="196"/>
      <c r="AH1660" s="196"/>
      <c r="AI1660" s="196"/>
      <c r="AJ1660" s="197"/>
      <c r="AK1660" s="80"/>
      <c r="AL1660" s="80"/>
      <c r="AM1660" s="73"/>
      <c r="AN1660" s="73"/>
      <c r="AO1660" s="73"/>
      <c r="AP1660" s="73"/>
      <c r="AQ1660" s="73"/>
      <c r="AR1660" s="73"/>
      <c r="AS1660" s="73"/>
      <c r="AT1660" s="73"/>
      <c r="AU1660" s="73"/>
      <c r="AV1660" s="73"/>
      <c r="AW1660" s="73"/>
      <c r="AX1660" s="73"/>
      <c r="AY1660" s="73"/>
      <c r="AZ1660" s="73"/>
      <c r="BA1660" s="73"/>
      <c r="BB1660" s="73"/>
      <c r="BC1660" s="73"/>
      <c r="BD1660" s="73"/>
      <c r="BE1660" s="73"/>
      <c r="BF1660" s="73"/>
      <c r="BG1660" s="73"/>
      <c r="BH1660" s="73"/>
      <c r="BI1660" s="73"/>
      <c r="BJ1660" s="73"/>
      <c r="BK1660" s="73"/>
      <c r="BL1660" s="73"/>
      <c r="BM1660" s="73"/>
      <c r="BN1660" s="73"/>
      <c r="BO1660" s="73"/>
      <c r="BP1660" s="73"/>
      <c r="BQ1660" s="73"/>
      <c r="BR1660" s="73"/>
      <c r="BS1660" s="73"/>
      <c r="BT1660" s="73"/>
      <c r="BU1660" s="73"/>
      <c r="BV1660" s="73"/>
      <c r="BW1660" s="73"/>
      <c r="BX1660" s="73"/>
      <c r="BY1660" s="73"/>
      <c r="BZ1660" s="73"/>
      <c r="CA1660" s="73"/>
      <c r="CB1660" s="73"/>
      <c r="CC1660" s="73"/>
      <c r="CD1660" s="73"/>
      <c r="CE1660" s="73"/>
      <c r="CF1660" s="73"/>
      <c r="CG1660" s="73"/>
      <c r="CH1660" s="73"/>
    </row>
    <row r="1661">
      <c r="A1661" s="80"/>
      <c r="B1661" s="80"/>
      <c r="C1661" s="80"/>
      <c r="D1661" s="80"/>
      <c r="E1661" s="124"/>
      <c r="F1661" s="80"/>
      <c r="G1661" s="80"/>
      <c r="H1661" s="80"/>
      <c r="I1661" s="80"/>
      <c r="J1661" s="196"/>
      <c r="K1661" s="196"/>
      <c r="L1661" s="196"/>
      <c r="M1661" s="196"/>
      <c r="N1661" s="196"/>
      <c r="O1661" s="196"/>
      <c r="P1661" s="196"/>
      <c r="Q1661" s="196"/>
      <c r="R1661" s="196"/>
      <c r="S1661" s="196"/>
      <c r="T1661" s="196"/>
      <c r="U1661" s="196"/>
      <c r="V1661" s="196"/>
      <c r="W1661" s="196"/>
      <c r="X1661" s="196"/>
      <c r="Y1661" s="196"/>
      <c r="Z1661" s="196"/>
      <c r="AA1661" s="196"/>
      <c r="AB1661" s="196"/>
      <c r="AC1661" s="196"/>
      <c r="AD1661" s="196"/>
      <c r="AE1661" s="196"/>
      <c r="AF1661" s="196"/>
      <c r="AG1661" s="196"/>
      <c r="AH1661" s="196"/>
      <c r="AI1661" s="196"/>
      <c r="AJ1661" s="197"/>
      <c r="AK1661" s="80"/>
      <c r="AL1661" s="80"/>
      <c r="AM1661" s="73"/>
      <c r="AN1661" s="73"/>
      <c r="AO1661" s="73"/>
      <c r="AP1661" s="73"/>
      <c r="AQ1661" s="73"/>
      <c r="AR1661" s="73"/>
      <c r="AS1661" s="73"/>
      <c r="AT1661" s="73"/>
      <c r="AU1661" s="73"/>
      <c r="AV1661" s="73"/>
      <c r="AW1661" s="73"/>
      <c r="AX1661" s="73"/>
      <c r="AY1661" s="73"/>
      <c r="AZ1661" s="73"/>
      <c r="BA1661" s="73"/>
      <c r="BB1661" s="73"/>
      <c r="BC1661" s="73"/>
      <c r="BD1661" s="73"/>
      <c r="BE1661" s="73"/>
      <c r="BF1661" s="73"/>
      <c r="BG1661" s="73"/>
      <c r="BH1661" s="73"/>
      <c r="BI1661" s="73"/>
      <c r="BJ1661" s="73"/>
      <c r="BK1661" s="73"/>
      <c r="BL1661" s="73"/>
      <c r="BM1661" s="73"/>
      <c r="BN1661" s="73"/>
      <c r="BO1661" s="73"/>
      <c r="BP1661" s="73"/>
      <c r="BQ1661" s="73"/>
      <c r="BR1661" s="73"/>
      <c r="BS1661" s="73"/>
      <c r="BT1661" s="73"/>
      <c r="BU1661" s="73"/>
      <c r="BV1661" s="73"/>
      <c r="BW1661" s="73"/>
      <c r="BX1661" s="73"/>
      <c r="BY1661" s="73"/>
      <c r="BZ1661" s="73"/>
      <c r="CA1661" s="73"/>
      <c r="CB1661" s="73"/>
      <c r="CC1661" s="73"/>
      <c r="CD1661" s="73"/>
      <c r="CE1661" s="73"/>
      <c r="CF1661" s="73"/>
      <c r="CG1661" s="73"/>
      <c r="CH1661" s="73"/>
    </row>
    <row r="1662">
      <c r="A1662" s="80"/>
      <c r="B1662" s="80"/>
      <c r="C1662" s="80"/>
      <c r="D1662" s="80"/>
      <c r="E1662" s="124"/>
      <c r="F1662" s="80"/>
      <c r="G1662" s="80"/>
      <c r="H1662" s="80"/>
      <c r="I1662" s="80"/>
      <c r="J1662" s="196"/>
      <c r="K1662" s="196"/>
      <c r="L1662" s="196"/>
      <c r="M1662" s="196"/>
      <c r="N1662" s="196"/>
      <c r="O1662" s="196"/>
      <c r="P1662" s="196"/>
      <c r="Q1662" s="196"/>
      <c r="R1662" s="196"/>
      <c r="S1662" s="196"/>
      <c r="T1662" s="196"/>
      <c r="U1662" s="196"/>
      <c r="V1662" s="196"/>
      <c r="W1662" s="196"/>
      <c r="X1662" s="196"/>
      <c r="Y1662" s="196"/>
      <c r="Z1662" s="196"/>
      <c r="AA1662" s="196"/>
      <c r="AB1662" s="196"/>
      <c r="AC1662" s="196"/>
      <c r="AD1662" s="196"/>
      <c r="AE1662" s="196"/>
      <c r="AF1662" s="196"/>
      <c r="AG1662" s="196"/>
      <c r="AH1662" s="196"/>
      <c r="AI1662" s="196"/>
      <c r="AJ1662" s="197"/>
      <c r="AK1662" s="80"/>
      <c r="AL1662" s="80"/>
      <c r="AM1662" s="73"/>
      <c r="AN1662" s="73"/>
      <c r="AO1662" s="73"/>
      <c r="AP1662" s="73"/>
      <c r="AQ1662" s="73"/>
      <c r="AR1662" s="73"/>
      <c r="AS1662" s="73"/>
      <c r="AT1662" s="73"/>
      <c r="AU1662" s="73"/>
      <c r="AV1662" s="73"/>
      <c r="AW1662" s="73"/>
      <c r="AX1662" s="73"/>
      <c r="AY1662" s="73"/>
      <c r="AZ1662" s="73"/>
      <c r="BA1662" s="73"/>
      <c r="BB1662" s="73"/>
      <c r="BC1662" s="73"/>
      <c r="BD1662" s="73"/>
      <c r="BE1662" s="73"/>
      <c r="BF1662" s="73"/>
      <c r="BG1662" s="73"/>
      <c r="BH1662" s="73"/>
      <c r="BI1662" s="73"/>
      <c r="BJ1662" s="73"/>
      <c r="BK1662" s="73"/>
      <c r="BL1662" s="73"/>
      <c r="BM1662" s="73"/>
      <c r="BN1662" s="73"/>
      <c r="BO1662" s="73"/>
      <c r="BP1662" s="73"/>
      <c r="BQ1662" s="73"/>
      <c r="BR1662" s="73"/>
      <c r="BS1662" s="73"/>
      <c r="BT1662" s="73"/>
      <c r="BU1662" s="73"/>
      <c r="BV1662" s="73"/>
      <c r="BW1662" s="73"/>
      <c r="BX1662" s="73"/>
      <c r="BY1662" s="73"/>
      <c r="BZ1662" s="73"/>
      <c r="CA1662" s="73"/>
      <c r="CB1662" s="73"/>
      <c r="CC1662" s="73"/>
      <c r="CD1662" s="73"/>
      <c r="CE1662" s="73"/>
      <c r="CF1662" s="73"/>
      <c r="CG1662" s="73"/>
      <c r="CH1662" s="73"/>
    </row>
    <row r="1663">
      <c r="A1663" s="80"/>
      <c r="B1663" s="80"/>
      <c r="C1663" s="80"/>
      <c r="D1663" s="80"/>
      <c r="E1663" s="124"/>
      <c r="F1663" s="80"/>
      <c r="G1663" s="80"/>
      <c r="H1663" s="80"/>
      <c r="I1663" s="80"/>
      <c r="J1663" s="196"/>
      <c r="K1663" s="196"/>
      <c r="L1663" s="196"/>
      <c r="M1663" s="196"/>
      <c r="N1663" s="196"/>
      <c r="O1663" s="196"/>
      <c r="P1663" s="196"/>
      <c r="Q1663" s="196"/>
      <c r="R1663" s="196"/>
      <c r="S1663" s="196"/>
      <c r="T1663" s="196"/>
      <c r="U1663" s="196"/>
      <c r="V1663" s="196"/>
      <c r="W1663" s="196"/>
      <c r="X1663" s="196"/>
      <c r="Y1663" s="196"/>
      <c r="Z1663" s="196"/>
      <c r="AA1663" s="196"/>
      <c r="AB1663" s="196"/>
      <c r="AC1663" s="196"/>
      <c r="AD1663" s="196"/>
      <c r="AE1663" s="196"/>
      <c r="AF1663" s="196"/>
      <c r="AG1663" s="196"/>
      <c r="AH1663" s="196"/>
      <c r="AI1663" s="196"/>
      <c r="AJ1663" s="197"/>
      <c r="AK1663" s="80"/>
      <c r="AL1663" s="80"/>
      <c r="AM1663" s="73"/>
      <c r="AN1663" s="73"/>
      <c r="AO1663" s="73"/>
      <c r="AP1663" s="73"/>
      <c r="AQ1663" s="73"/>
      <c r="AR1663" s="73"/>
      <c r="AS1663" s="73"/>
      <c r="AT1663" s="73"/>
      <c r="AU1663" s="73"/>
      <c r="AV1663" s="73"/>
      <c r="AW1663" s="73"/>
      <c r="AX1663" s="73"/>
      <c r="AY1663" s="73"/>
      <c r="AZ1663" s="73"/>
      <c r="BA1663" s="73"/>
      <c r="BB1663" s="73"/>
      <c r="BC1663" s="73"/>
      <c r="BD1663" s="73"/>
      <c r="BE1663" s="73"/>
      <c r="BF1663" s="73"/>
      <c r="BG1663" s="73"/>
      <c r="BH1663" s="73"/>
      <c r="BI1663" s="73"/>
      <c r="BJ1663" s="73"/>
      <c r="BK1663" s="73"/>
      <c r="BL1663" s="73"/>
      <c r="BM1663" s="73"/>
      <c r="BN1663" s="73"/>
      <c r="BO1663" s="73"/>
      <c r="BP1663" s="73"/>
      <c r="BQ1663" s="73"/>
      <c r="BR1663" s="73"/>
      <c r="BS1663" s="73"/>
      <c r="BT1663" s="73"/>
      <c r="BU1663" s="73"/>
      <c r="BV1663" s="73"/>
      <c r="BW1663" s="73"/>
      <c r="BX1663" s="73"/>
      <c r="BY1663" s="73"/>
      <c r="BZ1663" s="73"/>
      <c r="CA1663" s="73"/>
      <c r="CB1663" s="73"/>
      <c r="CC1663" s="73"/>
      <c r="CD1663" s="73"/>
      <c r="CE1663" s="73"/>
      <c r="CF1663" s="73"/>
      <c r="CG1663" s="73"/>
      <c r="CH1663" s="73"/>
    </row>
    <row r="1664">
      <c r="A1664" s="80"/>
      <c r="B1664" s="80"/>
      <c r="C1664" s="80"/>
      <c r="D1664" s="80"/>
      <c r="E1664" s="124"/>
      <c r="F1664" s="80"/>
      <c r="G1664" s="80"/>
      <c r="H1664" s="80"/>
      <c r="I1664" s="80"/>
      <c r="J1664" s="196"/>
      <c r="K1664" s="196"/>
      <c r="L1664" s="196"/>
      <c r="M1664" s="196"/>
      <c r="N1664" s="196"/>
      <c r="O1664" s="196"/>
      <c r="P1664" s="196"/>
      <c r="Q1664" s="196"/>
      <c r="R1664" s="196"/>
      <c r="S1664" s="196"/>
      <c r="T1664" s="196"/>
      <c r="U1664" s="196"/>
      <c r="V1664" s="196"/>
      <c r="W1664" s="196"/>
      <c r="X1664" s="196"/>
      <c r="Y1664" s="196"/>
      <c r="Z1664" s="196"/>
      <c r="AA1664" s="196"/>
      <c r="AB1664" s="196"/>
      <c r="AC1664" s="196"/>
      <c r="AD1664" s="196"/>
      <c r="AE1664" s="196"/>
      <c r="AF1664" s="196"/>
      <c r="AG1664" s="196"/>
      <c r="AH1664" s="196"/>
      <c r="AI1664" s="196"/>
      <c r="AJ1664" s="197"/>
      <c r="AK1664" s="80"/>
      <c r="AL1664" s="80"/>
      <c r="AM1664" s="73"/>
      <c r="AN1664" s="73"/>
      <c r="AO1664" s="73"/>
      <c r="AP1664" s="73"/>
      <c r="AQ1664" s="73"/>
      <c r="AR1664" s="73"/>
      <c r="AS1664" s="73"/>
      <c r="AT1664" s="73"/>
      <c r="AU1664" s="73"/>
      <c r="AV1664" s="73"/>
      <c r="AW1664" s="73"/>
      <c r="AX1664" s="73"/>
      <c r="AY1664" s="73"/>
      <c r="AZ1664" s="73"/>
      <c r="BA1664" s="73"/>
      <c r="BB1664" s="73"/>
      <c r="BC1664" s="73"/>
      <c r="BD1664" s="73"/>
      <c r="BE1664" s="73"/>
      <c r="BF1664" s="73"/>
      <c r="BG1664" s="73"/>
      <c r="BH1664" s="73"/>
      <c r="BI1664" s="73"/>
      <c r="BJ1664" s="73"/>
      <c r="BK1664" s="73"/>
      <c r="BL1664" s="73"/>
      <c r="BM1664" s="73"/>
      <c r="BN1664" s="73"/>
      <c r="BO1664" s="73"/>
      <c r="BP1664" s="73"/>
      <c r="BQ1664" s="73"/>
      <c r="BR1664" s="73"/>
      <c r="BS1664" s="73"/>
      <c r="BT1664" s="73"/>
      <c r="BU1664" s="73"/>
      <c r="BV1664" s="73"/>
      <c r="BW1664" s="73"/>
      <c r="BX1664" s="73"/>
      <c r="BY1664" s="73"/>
      <c r="BZ1664" s="73"/>
      <c r="CA1664" s="73"/>
      <c r="CB1664" s="73"/>
      <c r="CC1664" s="73"/>
      <c r="CD1664" s="73"/>
      <c r="CE1664" s="73"/>
      <c r="CF1664" s="73"/>
      <c r="CG1664" s="73"/>
      <c r="CH1664" s="73"/>
    </row>
    <row r="1665">
      <c r="A1665" s="80"/>
      <c r="B1665" s="80"/>
      <c r="C1665" s="80"/>
      <c r="D1665" s="80"/>
      <c r="E1665" s="124"/>
      <c r="F1665" s="80"/>
      <c r="G1665" s="80"/>
      <c r="H1665" s="80"/>
      <c r="I1665" s="80"/>
      <c r="J1665" s="196"/>
      <c r="K1665" s="196"/>
      <c r="L1665" s="196"/>
      <c r="M1665" s="196"/>
      <c r="N1665" s="196"/>
      <c r="O1665" s="196"/>
      <c r="P1665" s="196"/>
      <c r="Q1665" s="196"/>
      <c r="R1665" s="196"/>
      <c r="S1665" s="196"/>
      <c r="T1665" s="196"/>
      <c r="U1665" s="196"/>
      <c r="V1665" s="196"/>
      <c r="W1665" s="196"/>
      <c r="X1665" s="196"/>
      <c r="Y1665" s="196"/>
      <c r="Z1665" s="196"/>
      <c r="AA1665" s="196"/>
      <c r="AB1665" s="196"/>
      <c r="AC1665" s="196"/>
      <c r="AD1665" s="196"/>
      <c r="AE1665" s="196"/>
      <c r="AF1665" s="196"/>
      <c r="AG1665" s="196"/>
      <c r="AH1665" s="196"/>
      <c r="AI1665" s="196"/>
      <c r="AJ1665" s="197"/>
      <c r="AK1665" s="80"/>
      <c r="AL1665" s="80"/>
      <c r="AM1665" s="73"/>
      <c r="AN1665" s="73"/>
      <c r="AO1665" s="73"/>
      <c r="AP1665" s="73"/>
      <c r="AQ1665" s="73"/>
      <c r="AR1665" s="73"/>
      <c r="AS1665" s="73"/>
      <c r="AT1665" s="73"/>
      <c r="AU1665" s="73"/>
      <c r="AV1665" s="73"/>
      <c r="AW1665" s="73"/>
      <c r="AX1665" s="73"/>
      <c r="AY1665" s="73"/>
      <c r="AZ1665" s="73"/>
      <c r="BA1665" s="73"/>
      <c r="BB1665" s="73"/>
      <c r="BC1665" s="73"/>
      <c r="BD1665" s="73"/>
      <c r="BE1665" s="73"/>
      <c r="BF1665" s="73"/>
      <c r="BG1665" s="73"/>
      <c r="BH1665" s="73"/>
      <c r="BI1665" s="73"/>
      <c r="BJ1665" s="73"/>
      <c r="BK1665" s="73"/>
      <c r="BL1665" s="73"/>
      <c r="BM1665" s="73"/>
      <c r="BN1665" s="73"/>
      <c r="BO1665" s="73"/>
      <c r="BP1665" s="73"/>
      <c r="BQ1665" s="73"/>
      <c r="BR1665" s="73"/>
      <c r="BS1665" s="73"/>
      <c r="BT1665" s="73"/>
      <c r="BU1665" s="73"/>
      <c r="BV1665" s="73"/>
      <c r="BW1665" s="73"/>
      <c r="BX1665" s="73"/>
      <c r="BY1665" s="73"/>
      <c r="BZ1665" s="73"/>
      <c r="CA1665" s="73"/>
      <c r="CB1665" s="73"/>
      <c r="CC1665" s="73"/>
      <c r="CD1665" s="73"/>
      <c r="CE1665" s="73"/>
      <c r="CF1665" s="73"/>
      <c r="CG1665" s="73"/>
      <c r="CH1665" s="73"/>
    </row>
    <row r="1666">
      <c r="A1666" s="80"/>
      <c r="B1666" s="80"/>
      <c r="C1666" s="80"/>
      <c r="D1666" s="80"/>
      <c r="E1666" s="124"/>
      <c r="F1666" s="80"/>
      <c r="G1666" s="80"/>
      <c r="H1666" s="80"/>
      <c r="I1666" s="80"/>
      <c r="J1666" s="196"/>
      <c r="K1666" s="196"/>
      <c r="L1666" s="196"/>
      <c r="M1666" s="196"/>
      <c r="N1666" s="196"/>
      <c r="O1666" s="196"/>
      <c r="P1666" s="196"/>
      <c r="Q1666" s="196"/>
      <c r="R1666" s="196"/>
      <c r="S1666" s="196"/>
      <c r="T1666" s="196"/>
      <c r="U1666" s="196"/>
      <c r="V1666" s="196"/>
      <c r="W1666" s="196"/>
      <c r="X1666" s="196"/>
      <c r="Y1666" s="196"/>
      <c r="Z1666" s="196"/>
      <c r="AA1666" s="196"/>
      <c r="AB1666" s="196"/>
      <c r="AC1666" s="196"/>
      <c r="AD1666" s="196"/>
      <c r="AE1666" s="196"/>
      <c r="AF1666" s="196"/>
      <c r="AG1666" s="196"/>
      <c r="AH1666" s="196"/>
      <c r="AI1666" s="196"/>
      <c r="AJ1666" s="197"/>
      <c r="AK1666" s="80"/>
      <c r="AL1666" s="80"/>
      <c r="AM1666" s="73"/>
      <c r="AN1666" s="73"/>
      <c r="AO1666" s="73"/>
      <c r="AP1666" s="73"/>
      <c r="AQ1666" s="73"/>
      <c r="AR1666" s="73"/>
      <c r="AS1666" s="73"/>
      <c r="AT1666" s="73"/>
      <c r="AU1666" s="73"/>
      <c r="AV1666" s="73"/>
      <c r="AW1666" s="73"/>
      <c r="AX1666" s="73"/>
      <c r="AY1666" s="73"/>
      <c r="AZ1666" s="73"/>
      <c r="BA1666" s="73"/>
      <c r="BB1666" s="73"/>
      <c r="BC1666" s="73"/>
      <c r="BD1666" s="73"/>
      <c r="BE1666" s="73"/>
      <c r="BF1666" s="73"/>
      <c r="BG1666" s="73"/>
      <c r="BH1666" s="73"/>
      <c r="BI1666" s="73"/>
      <c r="BJ1666" s="73"/>
      <c r="BK1666" s="73"/>
      <c r="BL1666" s="73"/>
      <c r="BM1666" s="73"/>
      <c r="BN1666" s="73"/>
      <c r="BO1666" s="73"/>
      <c r="BP1666" s="73"/>
      <c r="BQ1666" s="73"/>
      <c r="BR1666" s="73"/>
      <c r="BS1666" s="73"/>
      <c r="BT1666" s="73"/>
      <c r="BU1666" s="73"/>
      <c r="BV1666" s="73"/>
      <c r="BW1666" s="73"/>
      <c r="BX1666" s="73"/>
      <c r="BY1666" s="73"/>
      <c r="BZ1666" s="73"/>
      <c r="CA1666" s="73"/>
      <c r="CB1666" s="73"/>
      <c r="CC1666" s="73"/>
      <c r="CD1666" s="73"/>
      <c r="CE1666" s="73"/>
      <c r="CF1666" s="73"/>
      <c r="CG1666" s="73"/>
      <c r="CH1666" s="73"/>
    </row>
    <row r="1667">
      <c r="A1667" s="80"/>
      <c r="B1667" s="80"/>
      <c r="C1667" s="80"/>
      <c r="D1667" s="80"/>
      <c r="E1667" s="124"/>
      <c r="F1667" s="80"/>
      <c r="G1667" s="80"/>
      <c r="H1667" s="80"/>
      <c r="I1667" s="80"/>
      <c r="J1667" s="196"/>
      <c r="K1667" s="196"/>
      <c r="L1667" s="196"/>
      <c r="M1667" s="196"/>
      <c r="N1667" s="196"/>
      <c r="O1667" s="196"/>
      <c r="P1667" s="196"/>
      <c r="Q1667" s="196"/>
      <c r="R1667" s="196"/>
      <c r="S1667" s="196"/>
      <c r="T1667" s="196"/>
      <c r="U1667" s="196"/>
      <c r="V1667" s="196"/>
      <c r="W1667" s="196"/>
      <c r="X1667" s="196"/>
      <c r="Y1667" s="196"/>
      <c r="Z1667" s="196"/>
      <c r="AA1667" s="196"/>
      <c r="AB1667" s="196"/>
      <c r="AC1667" s="196"/>
      <c r="AD1667" s="196"/>
      <c r="AE1667" s="196"/>
      <c r="AF1667" s="196"/>
      <c r="AG1667" s="196"/>
      <c r="AH1667" s="196"/>
      <c r="AI1667" s="196"/>
      <c r="AJ1667" s="197"/>
      <c r="AK1667" s="80"/>
      <c r="AL1667" s="80"/>
      <c r="AM1667" s="73"/>
      <c r="AN1667" s="73"/>
      <c r="AO1667" s="73"/>
      <c r="AP1667" s="73"/>
      <c r="AQ1667" s="73"/>
      <c r="AR1667" s="73"/>
      <c r="AS1667" s="73"/>
      <c r="AT1667" s="73"/>
      <c r="AU1667" s="73"/>
      <c r="AV1667" s="73"/>
      <c r="AW1667" s="73"/>
      <c r="AX1667" s="73"/>
      <c r="AY1667" s="73"/>
      <c r="AZ1667" s="73"/>
      <c r="BA1667" s="73"/>
      <c r="BB1667" s="73"/>
      <c r="BC1667" s="73"/>
      <c r="BD1667" s="73"/>
      <c r="BE1667" s="73"/>
      <c r="BF1667" s="73"/>
      <c r="BG1667" s="73"/>
      <c r="BH1667" s="73"/>
      <c r="BI1667" s="73"/>
      <c r="BJ1667" s="73"/>
      <c r="BK1667" s="73"/>
      <c r="BL1667" s="73"/>
      <c r="BM1667" s="73"/>
      <c r="BN1667" s="73"/>
      <c r="BO1667" s="73"/>
      <c r="BP1667" s="73"/>
      <c r="BQ1667" s="73"/>
      <c r="BR1667" s="73"/>
      <c r="BS1667" s="73"/>
      <c r="BT1667" s="73"/>
      <c r="BU1667" s="73"/>
      <c r="BV1667" s="73"/>
      <c r="BW1667" s="73"/>
      <c r="BX1667" s="73"/>
      <c r="BY1667" s="73"/>
      <c r="BZ1667" s="73"/>
      <c r="CA1667" s="73"/>
      <c r="CB1667" s="73"/>
      <c r="CC1667" s="73"/>
      <c r="CD1667" s="73"/>
      <c r="CE1667" s="73"/>
      <c r="CF1667" s="73"/>
      <c r="CG1667" s="73"/>
      <c r="CH1667" s="73"/>
    </row>
    <row r="1668">
      <c r="A1668" s="80"/>
      <c r="B1668" s="80"/>
      <c r="C1668" s="80"/>
      <c r="D1668" s="80"/>
      <c r="E1668" s="124"/>
      <c r="F1668" s="80"/>
      <c r="G1668" s="80"/>
      <c r="H1668" s="80"/>
      <c r="I1668" s="80"/>
      <c r="J1668" s="196"/>
      <c r="K1668" s="196"/>
      <c r="L1668" s="196"/>
      <c r="M1668" s="196"/>
      <c r="N1668" s="196"/>
      <c r="O1668" s="196"/>
      <c r="P1668" s="196"/>
      <c r="Q1668" s="196"/>
      <c r="R1668" s="196"/>
      <c r="S1668" s="196"/>
      <c r="T1668" s="196"/>
      <c r="U1668" s="196"/>
      <c r="V1668" s="196"/>
      <c r="W1668" s="196"/>
      <c r="X1668" s="196"/>
      <c r="Y1668" s="196"/>
      <c r="Z1668" s="196"/>
      <c r="AA1668" s="196"/>
      <c r="AB1668" s="196"/>
      <c r="AC1668" s="196"/>
      <c r="AD1668" s="196"/>
      <c r="AE1668" s="196"/>
      <c r="AF1668" s="196"/>
      <c r="AG1668" s="196"/>
      <c r="AH1668" s="196"/>
      <c r="AI1668" s="196"/>
      <c r="AJ1668" s="197"/>
      <c r="AK1668" s="80"/>
      <c r="AL1668" s="80"/>
      <c r="AM1668" s="73"/>
      <c r="AN1668" s="73"/>
      <c r="AO1668" s="73"/>
      <c r="AP1668" s="73"/>
      <c r="AQ1668" s="73"/>
      <c r="AR1668" s="73"/>
      <c r="AS1668" s="73"/>
      <c r="AT1668" s="73"/>
      <c r="AU1668" s="73"/>
      <c r="AV1668" s="73"/>
      <c r="AW1668" s="73"/>
      <c r="AX1668" s="73"/>
      <c r="AY1668" s="73"/>
      <c r="AZ1668" s="73"/>
      <c r="BA1668" s="73"/>
      <c r="BB1668" s="73"/>
      <c r="BC1668" s="73"/>
      <c r="BD1668" s="73"/>
      <c r="BE1668" s="73"/>
      <c r="BF1668" s="73"/>
      <c r="BG1668" s="73"/>
      <c r="BH1668" s="73"/>
      <c r="BI1668" s="73"/>
      <c r="BJ1668" s="73"/>
      <c r="BK1668" s="73"/>
      <c r="BL1668" s="73"/>
      <c r="BM1668" s="73"/>
      <c r="BN1668" s="73"/>
      <c r="BO1668" s="73"/>
      <c r="BP1668" s="73"/>
      <c r="BQ1668" s="73"/>
      <c r="BR1668" s="73"/>
      <c r="BS1668" s="73"/>
      <c r="BT1668" s="73"/>
      <c r="BU1668" s="73"/>
      <c r="BV1668" s="73"/>
      <c r="BW1668" s="73"/>
      <c r="BX1668" s="73"/>
      <c r="BY1668" s="73"/>
      <c r="BZ1668" s="73"/>
      <c r="CA1668" s="73"/>
      <c r="CB1668" s="73"/>
      <c r="CC1668" s="73"/>
      <c r="CD1668" s="73"/>
      <c r="CE1668" s="73"/>
      <c r="CF1668" s="73"/>
      <c r="CG1668" s="73"/>
      <c r="CH1668" s="73"/>
    </row>
    <row r="1669">
      <c r="A1669" s="80"/>
      <c r="B1669" s="80"/>
      <c r="C1669" s="80"/>
      <c r="D1669" s="80"/>
      <c r="E1669" s="124"/>
      <c r="F1669" s="80"/>
      <c r="G1669" s="80"/>
      <c r="H1669" s="80"/>
      <c r="I1669" s="80"/>
      <c r="J1669" s="196"/>
      <c r="K1669" s="196"/>
      <c r="L1669" s="196"/>
      <c r="M1669" s="196"/>
      <c r="N1669" s="196"/>
      <c r="O1669" s="196"/>
      <c r="P1669" s="196"/>
      <c r="Q1669" s="196"/>
      <c r="R1669" s="196"/>
      <c r="S1669" s="196"/>
      <c r="T1669" s="196"/>
      <c r="U1669" s="196"/>
      <c r="V1669" s="196"/>
      <c r="W1669" s="196"/>
      <c r="X1669" s="196"/>
      <c r="Y1669" s="196"/>
      <c r="Z1669" s="196"/>
      <c r="AA1669" s="196"/>
      <c r="AB1669" s="196"/>
      <c r="AC1669" s="196"/>
      <c r="AD1669" s="196"/>
      <c r="AE1669" s="196"/>
      <c r="AF1669" s="196"/>
      <c r="AG1669" s="196"/>
      <c r="AH1669" s="196"/>
      <c r="AI1669" s="196"/>
      <c r="AJ1669" s="197"/>
      <c r="AK1669" s="80"/>
      <c r="AL1669" s="80"/>
      <c r="AM1669" s="73"/>
      <c r="AN1669" s="73"/>
      <c r="AO1669" s="73"/>
      <c r="AP1669" s="73"/>
      <c r="AQ1669" s="73"/>
      <c r="AR1669" s="73"/>
      <c r="AS1669" s="73"/>
      <c r="AT1669" s="73"/>
      <c r="AU1669" s="73"/>
      <c r="AV1669" s="73"/>
      <c r="AW1669" s="73"/>
      <c r="AX1669" s="73"/>
      <c r="AY1669" s="73"/>
      <c r="AZ1669" s="73"/>
      <c r="BA1669" s="73"/>
      <c r="BB1669" s="73"/>
      <c r="BC1669" s="73"/>
      <c r="BD1669" s="73"/>
      <c r="BE1669" s="73"/>
      <c r="BF1669" s="73"/>
      <c r="BG1669" s="73"/>
      <c r="BH1669" s="73"/>
      <c r="BI1669" s="73"/>
      <c r="BJ1669" s="73"/>
      <c r="BK1669" s="73"/>
      <c r="BL1669" s="73"/>
      <c r="BM1669" s="73"/>
      <c r="BN1669" s="73"/>
      <c r="BO1669" s="73"/>
      <c r="BP1669" s="73"/>
      <c r="BQ1669" s="73"/>
      <c r="BR1669" s="73"/>
      <c r="BS1669" s="73"/>
      <c r="BT1669" s="73"/>
      <c r="BU1669" s="73"/>
      <c r="BV1669" s="73"/>
      <c r="BW1669" s="73"/>
      <c r="BX1669" s="73"/>
      <c r="BY1669" s="73"/>
      <c r="BZ1669" s="73"/>
      <c r="CA1669" s="73"/>
      <c r="CB1669" s="73"/>
      <c r="CC1669" s="73"/>
      <c r="CD1669" s="73"/>
      <c r="CE1669" s="73"/>
      <c r="CF1669" s="73"/>
      <c r="CG1669" s="73"/>
      <c r="CH1669" s="73"/>
    </row>
    <row r="1670">
      <c r="A1670" s="80"/>
      <c r="B1670" s="80"/>
      <c r="C1670" s="80"/>
      <c r="D1670" s="80"/>
      <c r="E1670" s="124"/>
      <c r="F1670" s="80"/>
      <c r="G1670" s="80"/>
      <c r="H1670" s="80"/>
      <c r="I1670" s="80"/>
      <c r="J1670" s="196"/>
      <c r="K1670" s="196"/>
      <c r="L1670" s="196"/>
      <c r="M1670" s="196"/>
      <c r="N1670" s="196"/>
      <c r="O1670" s="196"/>
      <c r="P1670" s="196"/>
      <c r="Q1670" s="196"/>
      <c r="R1670" s="196"/>
      <c r="S1670" s="196"/>
      <c r="T1670" s="196"/>
      <c r="U1670" s="196"/>
      <c r="V1670" s="196"/>
      <c r="W1670" s="196"/>
      <c r="X1670" s="196"/>
      <c r="Y1670" s="196"/>
      <c r="Z1670" s="196"/>
      <c r="AA1670" s="196"/>
      <c r="AB1670" s="196"/>
      <c r="AC1670" s="196"/>
      <c r="AD1670" s="196"/>
      <c r="AE1670" s="196"/>
      <c r="AF1670" s="196"/>
      <c r="AG1670" s="196"/>
      <c r="AH1670" s="196"/>
      <c r="AI1670" s="196"/>
      <c r="AJ1670" s="197"/>
      <c r="AK1670" s="80"/>
      <c r="AL1670" s="80"/>
      <c r="AM1670" s="73"/>
      <c r="AN1670" s="73"/>
      <c r="AO1670" s="73"/>
      <c r="AP1670" s="73"/>
      <c r="AQ1670" s="73"/>
      <c r="AR1670" s="73"/>
      <c r="AS1670" s="73"/>
      <c r="AT1670" s="73"/>
      <c r="AU1670" s="73"/>
      <c r="AV1670" s="73"/>
      <c r="AW1670" s="73"/>
      <c r="AX1670" s="73"/>
      <c r="AY1670" s="73"/>
      <c r="AZ1670" s="73"/>
      <c r="BA1670" s="73"/>
      <c r="BB1670" s="73"/>
      <c r="BC1670" s="73"/>
      <c r="BD1670" s="73"/>
      <c r="BE1670" s="73"/>
      <c r="BF1670" s="73"/>
      <c r="BG1670" s="73"/>
      <c r="BH1670" s="73"/>
      <c r="BI1670" s="73"/>
      <c r="BJ1670" s="73"/>
      <c r="BK1670" s="73"/>
      <c r="BL1670" s="73"/>
      <c r="BM1670" s="73"/>
      <c r="BN1670" s="73"/>
      <c r="BO1670" s="73"/>
      <c r="BP1670" s="73"/>
      <c r="BQ1670" s="73"/>
      <c r="BR1670" s="73"/>
      <c r="BS1670" s="73"/>
      <c r="BT1670" s="73"/>
      <c r="BU1670" s="73"/>
      <c r="BV1670" s="73"/>
      <c r="BW1670" s="73"/>
      <c r="BX1670" s="73"/>
      <c r="BY1670" s="73"/>
      <c r="BZ1670" s="73"/>
      <c r="CA1670" s="73"/>
      <c r="CB1670" s="73"/>
      <c r="CC1670" s="73"/>
      <c r="CD1670" s="73"/>
      <c r="CE1670" s="73"/>
      <c r="CF1670" s="73"/>
      <c r="CG1670" s="73"/>
      <c r="CH1670" s="73"/>
    </row>
    <row r="1671">
      <c r="A1671" s="80"/>
      <c r="B1671" s="80"/>
      <c r="C1671" s="80"/>
      <c r="D1671" s="80"/>
      <c r="E1671" s="124"/>
      <c r="F1671" s="80"/>
      <c r="G1671" s="80"/>
      <c r="H1671" s="80"/>
      <c r="I1671" s="80"/>
      <c r="J1671" s="196"/>
      <c r="K1671" s="196"/>
      <c r="L1671" s="196"/>
      <c r="M1671" s="196"/>
      <c r="N1671" s="196"/>
      <c r="O1671" s="196"/>
      <c r="P1671" s="196"/>
      <c r="Q1671" s="196"/>
      <c r="R1671" s="196"/>
      <c r="S1671" s="196"/>
      <c r="T1671" s="196"/>
      <c r="U1671" s="196"/>
      <c r="V1671" s="196"/>
      <c r="W1671" s="196"/>
      <c r="X1671" s="196"/>
      <c r="Y1671" s="196"/>
      <c r="Z1671" s="196"/>
      <c r="AA1671" s="196"/>
      <c r="AB1671" s="196"/>
      <c r="AC1671" s="196"/>
      <c r="AD1671" s="196"/>
      <c r="AE1671" s="196"/>
      <c r="AF1671" s="196"/>
      <c r="AG1671" s="196"/>
      <c r="AH1671" s="196"/>
      <c r="AI1671" s="196"/>
      <c r="AJ1671" s="197"/>
      <c r="AK1671" s="80"/>
      <c r="AL1671" s="80"/>
      <c r="AM1671" s="73"/>
      <c r="AN1671" s="73"/>
      <c r="AO1671" s="73"/>
      <c r="AP1671" s="73"/>
      <c r="AQ1671" s="73"/>
      <c r="AR1671" s="73"/>
      <c r="AS1671" s="73"/>
      <c r="AT1671" s="73"/>
      <c r="AU1671" s="73"/>
      <c r="AV1671" s="73"/>
      <c r="AW1671" s="73"/>
      <c r="AX1671" s="73"/>
      <c r="AY1671" s="73"/>
      <c r="AZ1671" s="73"/>
      <c r="BA1671" s="73"/>
      <c r="BB1671" s="73"/>
      <c r="BC1671" s="73"/>
      <c r="BD1671" s="73"/>
      <c r="BE1671" s="73"/>
      <c r="BF1671" s="73"/>
      <c r="BG1671" s="73"/>
      <c r="BH1671" s="73"/>
      <c r="BI1671" s="73"/>
      <c r="BJ1671" s="73"/>
      <c r="BK1671" s="73"/>
      <c r="BL1671" s="73"/>
      <c r="BM1671" s="73"/>
      <c r="BN1671" s="73"/>
      <c r="BO1671" s="73"/>
      <c r="BP1671" s="73"/>
      <c r="BQ1671" s="73"/>
      <c r="BR1671" s="73"/>
      <c r="BS1671" s="73"/>
      <c r="BT1671" s="73"/>
      <c r="BU1671" s="73"/>
      <c r="BV1671" s="73"/>
      <c r="BW1671" s="73"/>
      <c r="BX1671" s="73"/>
      <c r="BY1671" s="73"/>
      <c r="BZ1671" s="73"/>
      <c r="CA1671" s="73"/>
      <c r="CB1671" s="73"/>
      <c r="CC1671" s="73"/>
      <c r="CD1671" s="73"/>
      <c r="CE1671" s="73"/>
      <c r="CF1671" s="73"/>
      <c r="CG1671" s="73"/>
      <c r="CH1671" s="73"/>
    </row>
    <row r="1672">
      <c r="A1672" s="80"/>
      <c r="B1672" s="80"/>
      <c r="C1672" s="80"/>
      <c r="D1672" s="80"/>
      <c r="E1672" s="124"/>
      <c r="F1672" s="80"/>
      <c r="G1672" s="80"/>
      <c r="H1672" s="80"/>
      <c r="I1672" s="80"/>
      <c r="J1672" s="196"/>
      <c r="K1672" s="196"/>
      <c r="L1672" s="196"/>
      <c r="M1672" s="196"/>
      <c r="N1672" s="196"/>
      <c r="O1672" s="196"/>
      <c r="P1672" s="196"/>
      <c r="Q1672" s="196"/>
      <c r="R1672" s="196"/>
      <c r="S1672" s="196"/>
      <c r="T1672" s="196"/>
      <c r="U1672" s="196"/>
      <c r="V1672" s="196"/>
      <c r="W1672" s="196"/>
      <c r="X1672" s="196"/>
      <c r="Y1672" s="196"/>
      <c r="Z1672" s="196"/>
      <c r="AA1672" s="196"/>
      <c r="AB1672" s="196"/>
      <c r="AC1672" s="196"/>
      <c r="AD1672" s="196"/>
      <c r="AE1672" s="196"/>
      <c r="AF1672" s="196"/>
      <c r="AG1672" s="196"/>
      <c r="AH1672" s="196"/>
      <c r="AI1672" s="196"/>
      <c r="AJ1672" s="197"/>
      <c r="AK1672" s="80"/>
      <c r="AL1672" s="80"/>
      <c r="AM1672" s="73"/>
      <c r="AN1672" s="73"/>
      <c r="AO1672" s="73"/>
      <c r="AP1672" s="73"/>
      <c r="AQ1672" s="73"/>
      <c r="AR1672" s="73"/>
      <c r="AS1672" s="73"/>
      <c r="AT1672" s="73"/>
      <c r="AU1672" s="73"/>
      <c r="AV1672" s="73"/>
      <c r="AW1672" s="73"/>
      <c r="AX1672" s="73"/>
      <c r="AY1672" s="73"/>
      <c r="AZ1672" s="73"/>
      <c r="BA1672" s="73"/>
      <c r="BB1672" s="73"/>
      <c r="BC1672" s="73"/>
      <c r="BD1672" s="73"/>
      <c r="BE1672" s="73"/>
      <c r="BF1672" s="73"/>
      <c r="BG1672" s="73"/>
      <c r="BH1672" s="73"/>
      <c r="BI1672" s="73"/>
      <c r="BJ1672" s="73"/>
      <c r="BK1672" s="73"/>
      <c r="BL1672" s="73"/>
      <c r="BM1672" s="73"/>
      <c r="BN1672" s="73"/>
      <c r="BO1672" s="73"/>
      <c r="BP1672" s="73"/>
      <c r="BQ1672" s="73"/>
      <c r="BR1672" s="73"/>
      <c r="BS1672" s="73"/>
      <c r="BT1672" s="73"/>
      <c r="BU1672" s="73"/>
      <c r="BV1672" s="73"/>
      <c r="BW1672" s="73"/>
      <c r="BX1672" s="73"/>
      <c r="BY1672" s="73"/>
      <c r="BZ1672" s="73"/>
      <c r="CA1672" s="73"/>
      <c r="CB1672" s="73"/>
      <c r="CC1672" s="73"/>
      <c r="CD1672" s="73"/>
      <c r="CE1672" s="73"/>
      <c r="CF1672" s="73"/>
      <c r="CG1672" s="73"/>
      <c r="CH1672" s="73"/>
    </row>
    <row r="1673">
      <c r="A1673" s="80"/>
      <c r="B1673" s="80"/>
      <c r="C1673" s="80"/>
      <c r="D1673" s="80"/>
      <c r="E1673" s="124"/>
      <c r="F1673" s="80"/>
      <c r="G1673" s="80"/>
      <c r="H1673" s="80"/>
      <c r="I1673" s="80"/>
      <c r="J1673" s="196"/>
      <c r="K1673" s="196"/>
      <c r="L1673" s="196"/>
      <c r="M1673" s="196"/>
      <c r="N1673" s="196"/>
      <c r="O1673" s="196"/>
      <c r="P1673" s="196"/>
      <c r="Q1673" s="196"/>
      <c r="R1673" s="196"/>
      <c r="S1673" s="196"/>
      <c r="T1673" s="196"/>
      <c r="U1673" s="196"/>
      <c r="V1673" s="196"/>
      <c r="W1673" s="196"/>
      <c r="X1673" s="196"/>
      <c r="Y1673" s="196"/>
      <c r="Z1673" s="196"/>
      <c r="AA1673" s="196"/>
      <c r="AB1673" s="196"/>
      <c r="AC1673" s="196"/>
      <c r="AD1673" s="196"/>
      <c r="AE1673" s="196"/>
      <c r="AF1673" s="196"/>
      <c r="AG1673" s="196"/>
      <c r="AH1673" s="196"/>
      <c r="AI1673" s="196"/>
      <c r="AJ1673" s="197"/>
      <c r="AK1673" s="80"/>
      <c r="AL1673" s="80"/>
      <c r="AM1673" s="73"/>
      <c r="AN1673" s="73"/>
      <c r="AO1673" s="73"/>
      <c r="AP1673" s="73"/>
      <c r="AQ1673" s="73"/>
      <c r="AR1673" s="73"/>
      <c r="AS1673" s="73"/>
      <c r="AT1673" s="73"/>
      <c r="AU1673" s="73"/>
      <c r="AV1673" s="73"/>
      <c r="AW1673" s="73"/>
      <c r="AX1673" s="73"/>
      <c r="AY1673" s="73"/>
      <c r="AZ1673" s="73"/>
      <c r="BA1673" s="73"/>
      <c r="BB1673" s="73"/>
      <c r="BC1673" s="73"/>
      <c r="BD1673" s="73"/>
      <c r="BE1673" s="73"/>
      <c r="BF1673" s="73"/>
      <c r="BG1673" s="73"/>
      <c r="BH1673" s="73"/>
      <c r="BI1673" s="73"/>
      <c r="BJ1673" s="73"/>
      <c r="BK1673" s="73"/>
      <c r="BL1673" s="73"/>
      <c r="BM1673" s="73"/>
      <c r="BN1673" s="73"/>
      <c r="BO1673" s="73"/>
      <c r="BP1673" s="73"/>
      <c r="BQ1673" s="73"/>
      <c r="BR1673" s="73"/>
      <c r="BS1673" s="73"/>
      <c r="BT1673" s="73"/>
      <c r="BU1673" s="73"/>
      <c r="BV1673" s="73"/>
      <c r="BW1673" s="73"/>
      <c r="BX1673" s="73"/>
      <c r="BY1673" s="73"/>
      <c r="BZ1673" s="73"/>
      <c r="CA1673" s="73"/>
      <c r="CB1673" s="73"/>
      <c r="CC1673" s="73"/>
      <c r="CD1673" s="73"/>
      <c r="CE1673" s="73"/>
      <c r="CF1673" s="73"/>
      <c r="CG1673" s="73"/>
      <c r="CH1673" s="73"/>
    </row>
    <row r="1674">
      <c r="A1674" s="80"/>
      <c r="B1674" s="80"/>
      <c r="C1674" s="80"/>
      <c r="D1674" s="80"/>
      <c r="E1674" s="124"/>
      <c r="F1674" s="80"/>
      <c r="G1674" s="80"/>
      <c r="H1674" s="80"/>
      <c r="I1674" s="80"/>
      <c r="J1674" s="196"/>
      <c r="K1674" s="196"/>
      <c r="L1674" s="196"/>
      <c r="M1674" s="196"/>
      <c r="N1674" s="196"/>
      <c r="O1674" s="196"/>
      <c r="P1674" s="196"/>
      <c r="Q1674" s="196"/>
      <c r="R1674" s="196"/>
      <c r="S1674" s="196"/>
      <c r="T1674" s="196"/>
      <c r="U1674" s="196"/>
      <c r="V1674" s="196"/>
      <c r="W1674" s="196"/>
      <c r="X1674" s="196"/>
      <c r="Y1674" s="196"/>
      <c r="Z1674" s="196"/>
      <c r="AA1674" s="196"/>
      <c r="AB1674" s="196"/>
      <c r="AC1674" s="196"/>
      <c r="AD1674" s="196"/>
      <c r="AE1674" s="196"/>
      <c r="AF1674" s="196"/>
      <c r="AG1674" s="196"/>
      <c r="AH1674" s="196"/>
      <c r="AI1674" s="196"/>
      <c r="AJ1674" s="197"/>
      <c r="AK1674" s="80"/>
      <c r="AL1674" s="80"/>
      <c r="AM1674" s="73"/>
      <c r="AN1674" s="73"/>
      <c r="AO1674" s="73"/>
      <c r="AP1674" s="73"/>
      <c r="AQ1674" s="73"/>
      <c r="AR1674" s="73"/>
      <c r="AS1674" s="73"/>
      <c r="AT1674" s="73"/>
      <c r="AU1674" s="73"/>
      <c r="AV1674" s="73"/>
      <c r="AW1674" s="73"/>
      <c r="AX1674" s="73"/>
      <c r="AY1674" s="73"/>
      <c r="AZ1674" s="73"/>
      <c r="BA1674" s="73"/>
      <c r="BB1674" s="73"/>
      <c r="BC1674" s="73"/>
      <c r="BD1674" s="73"/>
      <c r="BE1674" s="73"/>
      <c r="BF1674" s="73"/>
      <c r="BG1674" s="73"/>
      <c r="BH1674" s="73"/>
      <c r="BI1674" s="73"/>
      <c r="BJ1674" s="73"/>
      <c r="BK1674" s="73"/>
      <c r="BL1674" s="73"/>
      <c r="BM1674" s="73"/>
      <c r="BN1674" s="73"/>
      <c r="BO1674" s="73"/>
      <c r="BP1674" s="73"/>
      <c r="BQ1674" s="73"/>
      <c r="BR1674" s="73"/>
      <c r="BS1674" s="73"/>
      <c r="BT1674" s="73"/>
      <c r="BU1674" s="73"/>
      <c r="BV1674" s="73"/>
      <c r="BW1674" s="73"/>
      <c r="BX1674" s="73"/>
      <c r="BY1674" s="73"/>
      <c r="BZ1674" s="73"/>
      <c r="CA1674" s="73"/>
      <c r="CB1674" s="73"/>
      <c r="CC1674" s="73"/>
      <c r="CD1674" s="73"/>
      <c r="CE1674" s="73"/>
      <c r="CF1674" s="73"/>
      <c r="CG1674" s="73"/>
      <c r="CH1674" s="73"/>
    </row>
    <row r="1675">
      <c r="A1675" s="80"/>
      <c r="B1675" s="80"/>
      <c r="C1675" s="80"/>
      <c r="D1675" s="80"/>
      <c r="E1675" s="124"/>
      <c r="F1675" s="80"/>
      <c r="G1675" s="80"/>
      <c r="H1675" s="80"/>
      <c r="I1675" s="80"/>
      <c r="J1675" s="196"/>
      <c r="K1675" s="196"/>
      <c r="L1675" s="196"/>
      <c r="M1675" s="196"/>
      <c r="N1675" s="196"/>
      <c r="O1675" s="196"/>
      <c r="P1675" s="196"/>
      <c r="Q1675" s="196"/>
      <c r="R1675" s="196"/>
      <c r="S1675" s="196"/>
      <c r="T1675" s="196"/>
      <c r="U1675" s="196"/>
      <c r="V1675" s="196"/>
      <c r="W1675" s="196"/>
      <c r="X1675" s="196"/>
      <c r="Y1675" s="196"/>
      <c r="Z1675" s="196"/>
      <c r="AA1675" s="196"/>
      <c r="AB1675" s="196"/>
      <c r="AC1675" s="196"/>
      <c r="AD1675" s="196"/>
      <c r="AE1675" s="196"/>
      <c r="AF1675" s="196"/>
      <c r="AG1675" s="196"/>
      <c r="AH1675" s="196"/>
      <c r="AI1675" s="196"/>
      <c r="AJ1675" s="197"/>
      <c r="AK1675" s="80"/>
      <c r="AL1675" s="80"/>
      <c r="AM1675" s="73"/>
      <c r="AN1675" s="73"/>
      <c r="AO1675" s="73"/>
      <c r="AP1675" s="73"/>
      <c r="AQ1675" s="73"/>
      <c r="AR1675" s="73"/>
      <c r="AS1675" s="73"/>
      <c r="AT1675" s="73"/>
      <c r="AU1675" s="73"/>
      <c r="AV1675" s="73"/>
      <c r="AW1675" s="73"/>
      <c r="AX1675" s="73"/>
      <c r="AY1675" s="73"/>
      <c r="AZ1675" s="73"/>
      <c r="BA1675" s="73"/>
      <c r="BB1675" s="73"/>
      <c r="BC1675" s="73"/>
      <c r="BD1675" s="73"/>
      <c r="BE1675" s="73"/>
      <c r="BF1675" s="73"/>
      <c r="BG1675" s="73"/>
      <c r="BH1675" s="73"/>
      <c r="BI1675" s="73"/>
      <c r="BJ1675" s="73"/>
      <c r="BK1675" s="73"/>
      <c r="BL1675" s="73"/>
      <c r="BM1675" s="73"/>
      <c r="BN1675" s="73"/>
      <c r="BO1675" s="73"/>
      <c r="BP1675" s="73"/>
      <c r="BQ1675" s="73"/>
      <c r="BR1675" s="73"/>
      <c r="BS1675" s="73"/>
      <c r="BT1675" s="73"/>
      <c r="BU1675" s="73"/>
      <c r="BV1675" s="73"/>
      <c r="BW1675" s="73"/>
      <c r="BX1675" s="73"/>
      <c r="BY1675" s="73"/>
      <c r="BZ1675" s="73"/>
      <c r="CA1675" s="73"/>
      <c r="CB1675" s="73"/>
      <c r="CC1675" s="73"/>
      <c r="CD1675" s="73"/>
      <c r="CE1675" s="73"/>
      <c r="CF1675" s="73"/>
      <c r="CG1675" s="73"/>
      <c r="CH1675" s="73"/>
    </row>
    <row r="1676">
      <c r="A1676" s="80"/>
      <c r="B1676" s="80"/>
      <c r="C1676" s="80"/>
      <c r="D1676" s="80"/>
      <c r="E1676" s="124"/>
      <c r="F1676" s="80"/>
      <c r="G1676" s="80"/>
      <c r="H1676" s="80"/>
      <c r="I1676" s="80"/>
      <c r="J1676" s="196"/>
      <c r="K1676" s="196"/>
      <c r="L1676" s="196"/>
      <c r="M1676" s="196"/>
      <c r="N1676" s="196"/>
      <c r="O1676" s="196"/>
      <c r="P1676" s="196"/>
      <c r="Q1676" s="196"/>
      <c r="R1676" s="196"/>
      <c r="S1676" s="196"/>
      <c r="T1676" s="196"/>
      <c r="U1676" s="196"/>
      <c r="V1676" s="196"/>
      <c r="W1676" s="196"/>
      <c r="X1676" s="196"/>
      <c r="Y1676" s="196"/>
      <c r="Z1676" s="196"/>
      <c r="AA1676" s="196"/>
      <c r="AB1676" s="196"/>
      <c r="AC1676" s="196"/>
      <c r="AD1676" s="196"/>
      <c r="AE1676" s="196"/>
      <c r="AF1676" s="196"/>
      <c r="AG1676" s="196"/>
      <c r="AH1676" s="196"/>
      <c r="AI1676" s="196"/>
      <c r="AJ1676" s="197"/>
      <c r="AK1676" s="80"/>
      <c r="AL1676" s="80"/>
      <c r="AM1676" s="73"/>
      <c r="AN1676" s="73"/>
      <c r="AO1676" s="73"/>
      <c r="AP1676" s="73"/>
      <c r="AQ1676" s="73"/>
      <c r="AR1676" s="73"/>
      <c r="AS1676" s="73"/>
      <c r="AT1676" s="73"/>
      <c r="AU1676" s="73"/>
      <c r="AV1676" s="73"/>
      <c r="AW1676" s="73"/>
      <c r="AX1676" s="73"/>
      <c r="AY1676" s="73"/>
      <c r="AZ1676" s="73"/>
      <c r="BA1676" s="73"/>
      <c r="BB1676" s="73"/>
      <c r="BC1676" s="73"/>
      <c r="BD1676" s="73"/>
      <c r="BE1676" s="73"/>
      <c r="BF1676" s="73"/>
      <c r="BG1676" s="73"/>
      <c r="BH1676" s="73"/>
      <c r="BI1676" s="73"/>
      <c r="BJ1676" s="73"/>
      <c r="BK1676" s="73"/>
      <c r="BL1676" s="73"/>
      <c r="BM1676" s="73"/>
      <c r="BN1676" s="73"/>
      <c r="BO1676" s="73"/>
      <c r="BP1676" s="73"/>
      <c r="BQ1676" s="73"/>
      <c r="BR1676" s="73"/>
      <c r="BS1676" s="73"/>
      <c r="BT1676" s="73"/>
      <c r="BU1676" s="73"/>
      <c r="BV1676" s="73"/>
      <c r="BW1676" s="73"/>
      <c r="BX1676" s="73"/>
      <c r="BY1676" s="73"/>
      <c r="BZ1676" s="73"/>
      <c r="CA1676" s="73"/>
      <c r="CB1676" s="73"/>
      <c r="CC1676" s="73"/>
      <c r="CD1676" s="73"/>
      <c r="CE1676" s="73"/>
      <c r="CF1676" s="73"/>
      <c r="CG1676" s="73"/>
      <c r="CH1676" s="73"/>
    </row>
    <row r="1677">
      <c r="A1677" s="80"/>
      <c r="B1677" s="80"/>
      <c r="C1677" s="80"/>
      <c r="D1677" s="80"/>
      <c r="E1677" s="124"/>
      <c r="F1677" s="80"/>
      <c r="G1677" s="80"/>
      <c r="H1677" s="80"/>
      <c r="I1677" s="80"/>
      <c r="J1677" s="196"/>
      <c r="K1677" s="196"/>
      <c r="L1677" s="196"/>
      <c r="M1677" s="196"/>
      <c r="N1677" s="196"/>
      <c r="O1677" s="196"/>
      <c r="P1677" s="196"/>
      <c r="Q1677" s="196"/>
      <c r="R1677" s="196"/>
      <c r="S1677" s="196"/>
      <c r="T1677" s="196"/>
      <c r="U1677" s="196"/>
      <c r="V1677" s="196"/>
      <c r="W1677" s="196"/>
      <c r="X1677" s="196"/>
      <c r="Y1677" s="196"/>
      <c r="Z1677" s="196"/>
      <c r="AA1677" s="196"/>
      <c r="AB1677" s="196"/>
      <c r="AC1677" s="196"/>
      <c r="AD1677" s="196"/>
      <c r="AE1677" s="196"/>
      <c r="AF1677" s="196"/>
      <c r="AG1677" s="196"/>
      <c r="AH1677" s="196"/>
      <c r="AI1677" s="196"/>
      <c r="AJ1677" s="197"/>
      <c r="AK1677" s="80"/>
      <c r="AL1677" s="80"/>
      <c r="AM1677" s="73"/>
      <c r="AN1677" s="73"/>
      <c r="AO1677" s="73"/>
      <c r="AP1677" s="73"/>
      <c r="AQ1677" s="73"/>
      <c r="AR1677" s="73"/>
      <c r="AS1677" s="73"/>
      <c r="AT1677" s="73"/>
      <c r="AU1677" s="73"/>
      <c r="AV1677" s="73"/>
      <c r="AW1677" s="73"/>
      <c r="AX1677" s="73"/>
      <c r="AY1677" s="73"/>
      <c r="AZ1677" s="73"/>
      <c r="BA1677" s="73"/>
      <c r="BB1677" s="73"/>
      <c r="BC1677" s="73"/>
      <c r="BD1677" s="73"/>
      <c r="BE1677" s="73"/>
      <c r="BF1677" s="73"/>
      <c r="BG1677" s="73"/>
      <c r="BH1677" s="73"/>
      <c r="BI1677" s="73"/>
      <c r="BJ1677" s="73"/>
      <c r="BK1677" s="73"/>
      <c r="BL1677" s="73"/>
      <c r="BM1677" s="73"/>
      <c r="BN1677" s="73"/>
      <c r="BO1677" s="73"/>
      <c r="BP1677" s="73"/>
      <c r="BQ1677" s="73"/>
      <c r="BR1677" s="73"/>
      <c r="BS1677" s="73"/>
      <c r="BT1677" s="73"/>
      <c r="BU1677" s="73"/>
      <c r="BV1677" s="73"/>
      <c r="BW1677" s="73"/>
      <c r="BX1677" s="73"/>
      <c r="BY1677" s="73"/>
      <c r="BZ1677" s="73"/>
      <c r="CA1677" s="73"/>
      <c r="CB1677" s="73"/>
      <c r="CC1677" s="73"/>
      <c r="CD1677" s="73"/>
      <c r="CE1677" s="73"/>
      <c r="CF1677" s="73"/>
      <c r="CG1677" s="73"/>
      <c r="CH1677" s="73"/>
    </row>
    <row r="1678">
      <c r="A1678" s="80"/>
      <c r="B1678" s="80"/>
      <c r="C1678" s="80"/>
      <c r="D1678" s="80"/>
      <c r="E1678" s="124"/>
      <c r="F1678" s="80"/>
      <c r="G1678" s="80"/>
      <c r="H1678" s="80"/>
      <c r="I1678" s="80"/>
      <c r="J1678" s="196"/>
      <c r="K1678" s="196"/>
      <c r="L1678" s="196"/>
      <c r="M1678" s="196"/>
      <c r="N1678" s="196"/>
      <c r="O1678" s="196"/>
      <c r="P1678" s="196"/>
      <c r="Q1678" s="196"/>
      <c r="R1678" s="196"/>
      <c r="S1678" s="196"/>
      <c r="T1678" s="196"/>
      <c r="U1678" s="196"/>
      <c r="V1678" s="196"/>
      <c r="W1678" s="196"/>
      <c r="X1678" s="196"/>
      <c r="Y1678" s="196"/>
      <c r="Z1678" s="196"/>
      <c r="AA1678" s="196"/>
      <c r="AB1678" s="196"/>
      <c r="AC1678" s="196"/>
      <c r="AD1678" s="196"/>
      <c r="AE1678" s="196"/>
      <c r="AF1678" s="196"/>
      <c r="AG1678" s="196"/>
      <c r="AH1678" s="196"/>
      <c r="AI1678" s="196"/>
      <c r="AJ1678" s="197"/>
      <c r="AK1678" s="80"/>
      <c r="AL1678" s="80"/>
      <c r="AM1678" s="73"/>
      <c r="AN1678" s="73"/>
      <c r="AO1678" s="73"/>
      <c r="AP1678" s="73"/>
      <c r="AQ1678" s="73"/>
      <c r="AR1678" s="73"/>
      <c r="AS1678" s="73"/>
      <c r="AT1678" s="73"/>
      <c r="AU1678" s="73"/>
      <c r="AV1678" s="73"/>
      <c r="AW1678" s="73"/>
      <c r="AX1678" s="73"/>
      <c r="AY1678" s="73"/>
      <c r="AZ1678" s="73"/>
      <c r="BA1678" s="73"/>
      <c r="BB1678" s="73"/>
      <c r="BC1678" s="73"/>
      <c r="BD1678" s="73"/>
      <c r="BE1678" s="73"/>
      <c r="BF1678" s="73"/>
      <c r="BG1678" s="73"/>
      <c r="BH1678" s="73"/>
      <c r="BI1678" s="73"/>
      <c r="BJ1678" s="73"/>
      <c r="BK1678" s="73"/>
      <c r="BL1678" s="73"/>
      <c r="BM1678" s="73"/>
      <c r="BN1678" s="73"/>
      <c r="BO1678" s="73"/>
      <c r="BP1678" s="73"/>
      <c r="BQ1678" s="73"/>
      <c r="BR1678" s="73"/>
      <c r="BS1678" s="73"/>
      <c r="BT1678" s="73"/>
      <c r="BU1678" s="73"/>
      <c r="BV1678" s="73"/>
      <c r="BW1678" s="73"/>
      <c r="BX1678" s="73"/>
      <c r="BY1678" s="73"/>
      <c r="BZ1678" s="73"/>
      <c r="CA1678" s="73"/>
      <c r="CB1678" s="73"/>
      <c r="CC1678" s="73"/>
      <c r="CD1678" s="73"/>
      <c r="CE1678" s="73"/>
      <c r="CF1678" s="73"/>
      <c r="CG1678" s="73"/>
      <c r="CH1678" s="73"/>
    </row>
    <row r="1679">
      <c r="A1679" s="80"/>
      <c r="B1679" s="80"/>
      <c r="C1679" s="80"/>
      <c r="D1679" s="80"/>
      <c r="E1679" s="124"/>
      <c r="F1679" s="80"/>
      <c r="G1679" s="80"/>
      <c r="H1679" s="80"/>
      <c r="I1679" s="80"/>
      <c r="J1679" s="196"/>
      <c r="K1679" s="196"/>
      <c r="L1679" s="196"/>
      <c r="M1679" s="196"/>
      <c r="N1679" s="196"/>
      <c r="O1679" s="196"/>
      <c r="P1679" s="196"/>
      <c r="Q1679" s="196"/>
      <c r="R1679" s="196"/>
      <c r="S1679" s="196"/>
      <c r="T1679" s="196"/>
      <c r="U1679" s="196"/>
      <c r="V1679" s="196"/>
      <c r="W1679" s="196"/>
      <c r="X1679" s="196"/>
      <c r="Y1679" s="196"/>
      <c r="Z1679" s="196"/>
      <c r="AA1679" s="196"/>
      <c r="AB1679" s="196"/>
      <c r="AC1679" s="196"/>
      <c r="AD1679" s="196"/>
      <c r="AE1679" s="196"/>
      <c r="AF1679" s="196"/>
      <c r="AG1679" s="196"/>
      <c r="AH1679" s="196"/>
      <c r="AI1679" s="196"/>
      <c r="AJ1679" s="197"/>
      <c r="AK1679" s="80"/>
      <c r="AL1679" s="80"/>
      <c r="AM1679" s="73"/>
      <c r="AN1679" s="73"/>
      <c r="AO1679" s="73"/>
      <c r="AP1679" s="73"/>
      <c r="AQ1679" s="73"/>
      <c r="AR1679" s="73"/>
      <c r="AS1679" s="73"/>
      <c r="AT1679" s="73"/>
      <c r="AU1679" s="73"/>
      <c r="AV1679" s="73"/>
      <c r="AW1679" s="73"/>
      <c r="AX1679" s="73"/>
      <c r="AY1679" s="73"/>
      <c r="AZ1679" s="73"/>
      <c r="BA1679" s="73"/>
      <c r="BB1679" s="73"/>
      <c r="BC1679" s="73"/>
      <c r="BD1679" s="73"/>
      <c r="BE1679" s="73"/>
      <c r="BF1679" s="73"/>
      <c r="BG1679" s="73"/>
      <c r="BH1679" s="73"/>
      <c r="BI1679" s="73"/>
      <c r="BJ1679" s="73"/>
      <c r="BK1679" s="73"/>
      <c r="BL1679" s="73"/>
      <c r="BM1679" s="73"/>
      <c r="BN1679" s="73"/>
      <c r="BO1679" s="73"/>
      <c r="BP1679" s="73"/>
      <c r="BQ1679" s="73"/>
      <c r="BR1679" s="73"/>
      <c r="BS1679" s="73"/>
      <c r="BT1679" s="73"/>
      <c r="BU1679" s="73"/>
      <c r="BV1679" s="73"/>
      <c r="BW1679" s="73"/>
      <c r="BX1679" s="73"/>
      <c r="BY1679" s="73"/>
      <c r="BZ1679" s="73"/>
      <c r="CA1679" s="73"/>
      <c r="CB1679" s="73"/>
      <c r="CC1679" s="73"/>
      <c r="CD1679" s="73"/>
      <c r="CE1679" s="73"/>
      <c r="CF1679" s="73"/>
      <c r="CG1679" s="73"/>
      <c r="CH1679" s="73"/>
    </row>
    <row r="1680">
      <c r="A1680" s="80"/>
      <c r="B1680" s="80"/>
      <c r="C1680" s="80"/>
      <c r="D1680" s="80"/>
      <c r="E1680" s="124"/>
      <c r="F1680" s="80"/>
      <c r="G1680" s="80"/>
      <c r="H1680" s="80"/>
      <c r="I1680" s="80"/>
      <c r="J1680" s="196"/>
      <c r="K1680" s="196"/>
      <c r="L1680" s="196"/>
      <c r="M1680" s="196"/>
      <c r="N1680" s="196"/>
      <c r="O1680" s="196"/>
      <c r="P1680" s="196"/>
      <c r="Q1680" s="196"/>
      <c r="R1680" s="196"/>
      <c r="S1680" s="196"/>
      <c r="T1680" s="196"/>
      <c r="U1680" s="196"/>
      <c r="V1680" s="196"/>
      <c r="W1680" s="196"/>
      <c r="X1680" s="196"/>
      <c r="Y1680" s="196"/>
      <c r="Z1680" s="196"/>
      <c r="AA1680" s="196"/>
      <c r="AB1680" s="196"/>
      <c r="AC1680" s="196"/>
      <c r="AD1680" s="196"/>
      <c r="AE1680" s="196"/>
      <c r="AF1680" s="196"/>
      <c r="AG1680" s="196"/>
      <c r="AH1680" s="196"/>
      <c r="AI1680" s="196"/>
      <c r="AJ1680" s="197"/>
      <c r="AK1680" s="80"/>
      <c r="AL1680" s="80"/>
      <c r="AM1680" s="73"/>
      <c r="AN1680" s="73"/>
      <c r="AO1680" s="73"/>
      <c r="AP1680" s="73"/>
      <c r="AQ1680" s="73"/>
      <c r="AR1680" s="73"/>
      <c r="AS1680" s="73"/>
      <c r="AT1680" s="73"/>
      <c r="AU1680" s="73"/>
      <c r="AV1680" s="73"/>
      <c r="AW1680" s="73"/>
      <c r="AX1680" s="73"/>
      <c r="AY1680" s="73"/>
      <c r="AZ1680" s="73"/>
      <c r="BA1680" s="73"/>
      <c r="BB1680" s="73"/>
      <c r="BC1680" s="73"/>
      <c r="BD1680" s="73"/>
      <c r="BE1680" s="73"/>
      <c r="BF1680" s="73"/>
      <c r="BG1680" s="73"/>
      <c r="BH1680" s="73"/>
      <c r="BI1680" s="73"/>
      <c r="BJ1680" s="73"/>
      <c r="BK1680" s="73"/>
      <c r="BL1680" s="73"/>
      <c r="BM1680" s="73"/>
      <c r="BN1680" s="73"/>
      <c r="BO1680" s="73"/>
      <c r="BP1680" s="73"/>
      <c r="BQ1680" s="73"/>
      <c r="BR1680" s="73"/>
      <c r="BS1680" s="73"/>
      <c r="BT1680" s="73"/>
      <c r="BU1680" s="73"/>
      <c r="BV1680" s="73"/>
      <c r="BW1680" s="73"/>
      <c r="BX1680" s="73"/>
      <c r="BY1680" s="73"/>
      <c r="BZ1680" s="73"/>
      <c r="CA1680" s="73"/>
      <c r="CB1680" s="73"/>
      <c r="CC1680" s="73"/>
      <c r="CD1680" s="73"/>
      <c r="CE1680" s="73"/>
      <c r="CF1680" s="73"/>
      <c r="CG1680" s="73"/>
      <c r="CH1680" s="73"/>
    </row>
    <row r="1681">
      <c r="A1681" s="80"/>
      <c r="B1681" s="80"/>
      <c r="C1681" s="80"/>
      <c r="D1681" s="80"/>
      <c r="E1681" s="124"/>
      <c r="F1681" s="80"/>
      <c r="G1681" s="80"/>
      <c r="H1681" s="80"/>
      <c r="I1681" s="80"/>
      <c r="J1681" s="196"/>
      <c r="K1681" s="196"/>
      <c r="L1681" s="196"/>
      <c r="M1681" s="196"/>
      <c r="N1681" s="196"/>
      <c r="O1681" s="196"/>
      <c r="P1681" s="196"/>
      <c r="Q1681" s="196"/>
      <c r="R1681" s="196"/>
      <c r="S1681" s="196"/>
      <c r="T1681" s="196"/>
      <c r="U1681" s="196"/>
      <c r="V1681" s="196"/>
      <c r="W1681" s="196"/>
      <c r="X1681" s="196"/>
      <c r="Y1681" s="196"/>
      <c r="Z1681" s="196"/>
      <c r="AA1681" s="196"/>
      <c r="AB1681" s="196"/>
      <c r="AC1681" s="196"/>
      <c r="AD1681" s="196"/>
      <c r="AE1681" s="196"/>
      <c r="AF1681" s="196"/>
      <c r="AG1681" s="196"/>
      <c r="AH1681" s="196"/>
      <c r="AI1681" s="196"/>
      <c r="AJ1681" s="197"/>
      <c r="AK1681" s="80"/>
      <c r="AL1681" s="80"/>
      <c r="AM1681" s="73"/>
      <c r="AN1681" s="73"/>
      <c r="AO1681" s="73"/>
      <c r="AP1681" s="73"/>
      <c r="AQ1681" s="73"/>
      <c r="AR1681" s="73"/>
      <c r="AS1681" s="73"/>
      <c r="AT1681" s="73"/>
      <c r="AU1681" s="73"/>
      <c r="AV1681" s="73"/>
      <c r="AW1681" s="73"/>
      <c r="AX1681" s="73"/>
      <c r="AY1681" s="73"/>
      <c r="AZ1681" s="73"/>
      <c r="BA1681" s="73"/>
      <c r="BB1681" s="73"/>
      <c r="BC1681" s="73"/>
      <c r="BD1681" s="73"/>
      <c r="BE1681" s="73"/>
      <c r="BF1681" s="73"/>
      <c r="BG1681" s="73"/>
      <c r="BH1681" s="73"/>
      <c r="BI1681" s="73"/>
      <c r="BJ1681" s="73"/>
      <c r="BK1681" s="73"/>
      <c r="BL1681" s="73"/>
      <c r="BM1681" s="73"/>
      <c r="BN1681" s="73"/>
      <c r="BO1681" s="73"/>
      <c r="BP1681" s="73"/>
      <c r="BQ1681" s="73"/>
      <c r="BR1681" s="73"/>
      <c r="BS1681" s="73"/>
      <c r="BT1681" s="73"/>
      <c r="BU1681" s="73"/>
      <c r="BV1681" s="73"/>
      <c r="BW1681" s="73"/>
      <c r="BX1681" s="73"/>
      <c r="BY1681" s="73"/>
      <c r="BZ1681" s="73"/>
      <c r="CA1681" s="73"/>
      <c r="CB1681" s="73"/>
      <c r="CC1681" s="73"/>
      <c r="CD1681" s="73"/>
      <c r="CE1681" s="73"/>
      <c r="CF1681" s="73"/>
      <c r="CG1681" s="73"/>
      <c r="CH1681" s="73"/>
    </row>
    <row r="1682">
      <c r="A1682" s="80"/>
      <c r="B1682" s="80"/>
      <c r="C1682" s="80"/>
      <c r="D1682" s="80"/>
      <c r="E1682" s="124"/>
      <c r="F1682" s="80"/>
      <c r="G1682" s="80"/>
      <c r="H1682" s="80"/>
      <c r="I1682" s="80"/>
      <c r="J1682" s="196"/>
      <c r="K1682" s="196"/>
      <c r="L1682" s="196"/>
      <c r="M1682" s="196"/>
      <c r="N1682" s="196"/>
      <c r="O1682" s="196"/>
      <c r="P1682" s="196"/>
      <c r="Q1682" s="196"/>
      <c r="R1682" s="196"/>
      <c r="S1682" s="196"/>
      <c r="T1682" s="196"/>
      <c r="U1682" s="196"/>
      <c r="V1682" s="196"/>
      <c r="W1682" s="196"/>
      <c r="X1682" s="196"/>
      <c r="Y1682" s="196"/>
      <c r="Z1682" s="196"/>
      <c r="AA1682" s="196"/>
      <c r="AB1682" s="196"/>
      <c r="AC1682" s="196"/>
      <c r="AD1682" s="196"/>
      <c r="AE1682" s="196"/>
      <c r="AF1682" s="196"/>
      <c r="AG1682" s="196"/>
      <c r="AH1682" s="196"/>
      <c r="AI1682" s="196"/>
      <c r="AJ1682" s="197"/>
      <c r="AK1682" s="80"/>
      <c r="AL1682" s="80"/>
      <c r="AM1682" s="73"/>
      <c r="AN1682" s="73"/>
      <c r="AO1682" s="73"/>
      <c r="AP1682" s="73"/>
      <c r="AQ1682" s="73"/>
      <c r="AR1682" s="73"/>
      <c r="AS1682" s="73"/>
      <c r="AT1682" s="73"/>
      <c r="AU1682" s="73"/>
      <c r="AV1682" s="73"/>
      <c r="AW1682" s="73"/>
      <c r="AX1682" s="73"/>
      <c r="AY1682" s="73"/>
      <c r="AZ1682" s="73"/>
      <c r="BA1682" s="73"/>
      <c r="BB1682" s="73"/>
      <c r="BC1682" s="73"/>
      <c r="BD1682" s="73"/>
      <c r="BE1682" s="73"/>
      <c r="BF1682" s="73"/>
      <c r="BG1682" s="73"/>
      <c r="BH1682" s="73"/>
      <c r="BI1682" s="73"/>
      <c r="BJ1682" s="73"/>
      <c r="BK1682" s="73"/>
      <c r="BL1682" s="73"/>
      <c r="BM1682" s="73"/>
      <c r="BN1682" s="73"/>
      <c r="BO1682" s="73"/>
      <c r="BP1682" s="73"/>
      <c r="BQ1682" s="73"/>
      <c r="BR1682" s="73"/>
      <c r="BS1682" s="73"/>
      <c r="BT1682" s="73"/>
      <c r="BU1682" s="73"/>
      <c r="BV1682" s="73"/>
      <c r="BW1682" s="73"/>
      <c r="BX1682" s="73"/>
      <c r="BY1682" s="73"/>
      <c r="BZ1682" s="73"/>
      <c r="CA1682" s="73"/>
      <c r="CB1682" s="73"/>
      <c r="CC1682" s="73"/>
      <c r="CD1682" s="73"/>
      <c r="CE1682" s="73"/>
      <c r="CF1682" s="73"/>
      <c r="CG1682" s="73"/>
      <c r="CH1682" s="73"/>
    </row>
    <row r="1683">
      <c r="A1683" s="80"/>
      <c r="B1683" s="80"/>
      <c r="C1683" s="80"/>
      <c r="D1683" s="80"/>
      <c r="E1683" s="124"/>
      <c r="F1683" s="80"/>
      <c r="G1683" s="80"/>
      <c r="H1683" s="80"/>
      <c r="I1683" s="80"/>
      <c r="J1683" s="196"/>
      <c r="K1683" s="196"/>
      <c r="L1683" s="196"/>
      <c r="M1683" s="196"/>
      <c r="N1683" s="196"/>
      <c r="O1683" s="196"/>
      <c r="P1683" s="196"/>
      <c r="Q1683" s="196"/>
      <c r="R1683" s="196"/>
      <c r="S1683" s="196"/>
      <c r="T1683" s="196"/>
      <c r="U1683" s="196"/>
      <c r="V1683" s="196"/>
      <c r="W1683" s="196"/>
      <c r="X1683" s="196"/>
      <c r="Y1683" s="196"/>
      <c r="Z1683" s="196"/>
      <c r="AA1683" s="196"/>
      <c r="AB1683" s="196"/>
      <c r="AC1683" s="196"/>
      <c r="AD1683" s="196"/>
      <c r="AE1683" s="196"/>
      <c r="AF1683" s="196"/>
      <c r="AG1683" s="196"/>
      <c r="AH1683" s="196"/>
      <c r="AI1683" s="196"/>
      <c r="AJ1683" s="197"/>
      <c r="AK1683" s="80"/>
      <c r="AL1683" s="80"/>
      <c r="AM1683" s="73"/>
      <c r="AN1683" s="73"/>
      <c r="AO1683" s="73"/>
      <c r="AP1683" s="73"/>
      <c r="AQ1683" s="73"/>
      <c r="AR1683" s="73"/>
      <c r="AS1683" s="73"/>
      <c r="AT1683" s="73"/>
      <c r="AU1683" s="73"/>
      <c r="AV1683" s="73"/>
      <c r="AW1683" s="73"/>
      <c r="AX1683" s="73"/>
      <c r="AY1683" s="73"/>
      <c r="AZ1683" s="73"/>
      <c r="BA1683" s="73"/>
      <c r="BB1683" s="73"/>
      <c r="BC1683" s="73"/>
      <c r="BD1683" s="73"/>
      <c r="BE1683" s="73"/>
      <c r="BF1683" s="73"/>
      <c r="BG1683" s="73"/>
      <c r="BH1683" s="73"/>
      <c r="BI1683" s="73"/>
      <c r="BJ1683" s="73"/>
      <c r="BK1683" s="73"/>
      <c r="BL1683" s="73"/>
      <c r="BM1683" s="73"/>
      <c r="BN1683" s="73"/>
      <c r="BO1683" s="73"/>
      <c r="BP1683" s="73"/>
      <c r="BQ1683" s="73"/>
      <c r="BR1683" s="73"/>
      <c r="BS1683" s="73"/>
      <c r="BT1683" s="73"/>
      <c r="BU1683" s="73"/>
      <c r="BV1683" s="73"/>
      <c r="BW1683" s="73"/>
      <c r="BX1683" s="73"/>
      <c r="BY1683" s="73"/>
      <c r="BZ1683" s="73"/>
      <c r="CA1683" s="73"/>
      <c r="CB1683" s="73"/>
      <c r="CC1683" s="73"/>
      <c r="CD1683" s="73"/>
      <c r="CE1683" s="73"/>
      <c r="CF1683" s="73"/>
      <c r="CG1683" s="73"/>
      <c r="CH1683" s="73"/>
    </row>
    <row r="1684">
      <c r="A1684" s="80"/>
      <c r="B1684" s="80"/>
      <c r="C1684" s="80"/>
      <c r="D1684" s="80"/>
      <c r="E1684" s="124"/>
      <c r="F1684" s="80"/>
      <c r="G1684" s="80"/>
      <c r="H1684" s="80"/>
      <c r="I1684" s="80"/>
      <c r="J1684" s="196"/>
      <c r="K1684" s="196"/>
      <c r="L1684" s="196"/>
      <c r="M1684" s="196"/>
      <c r="N1684" s="196"/>
      <c r="O1684" s="196"/>
      <c r="P1684" s="196"/>
      <c r="Q1684" s="196"/>
      <c r="R1684" s="196"/>
      <c r="S1684" s="196"/>
      <c r="T1684" s="196"/>
      <c r="U1684" s="196"/>
      <c r="V1684" s="196"/>
      <c r="W1684" s="196"/>
      <c r="X1684" s="196"/>
      <c r="Y1684" s="196"/>
      <c r="Z1684" s="196"/>
      <c r="AA1684" s="196"/>
      <c r="AB1684" s="196"/>
      <c r="AC1684" s="196"/>
      <c r="AD1684" s="196"/>
      <c r="AE1684" s="196"/>
      <c r="AF1684" s="196"/>
      <c r="AG1684" s="196"/>
      <c r="AH1684" s="196"/>
      <c r="AI1684" s="196"/>
      <c r="AJ1684" s="197"/>
      <c r="AK1684" s="80"/>
      <c r="AL1684" s="80"/>
      <c r="AM1684" s="73"/>
      <c r="AN1684" s="73"/>
      <c r="AO1684" s="73"/>
      <c r="AP1684" s="73"/>
      <c r="AQ1684" s="73"/>
      <c r="AR1684" s="73"/>
      <c r="AS1684" s="73"/>
      <c r="AT1684" s="73"/>
      <c r="AU1684" s="73"/>
      <c r="AV1684" s="73"/>
      <c r="AW1684" s="73"/>
      <c r="AX1684" s="73"/>
      <c r="AY1684" s="73"/>
      <c r="AZ1684" s="73"/>
      <c r="BA1684" s="73"/>
      <c r="BB1684" s="73"/>
      <c r="BC1684" s="73"/>
      <c r="BD1684" s="73"/>
      <c r="BE1684" s="73"/>
      <c r="BF1684" s="73"/>
      <c r="BG1684" s="73"/>
      <c r="BH1684" s="73"/>
      <c r="BI1684" s="73"/>
      <c r="BJ1684" s="73"/>
      <c r="BK1684" s="73"/>
      <c r="BL1684" s="73"/>
      <c r="BM1684" s="73"/>
      <c r="BN1684" s="73"/>
      <c r="BO1684" s="73"/>
      <c r="BP1684" s="73"/>
      <c r="BQ1684" s="73"/>
      <c r="BR1684" s="73"/>
      <c r="BS1684" s="73"/>
      <c r="BT1684" s="73"/>
      <c r="BU1684" s="73"/>
      <c r="BV1684" s="73"/>
      <c r="BW1684" s="73"/>
      <c r="BX1684" s="73"/>
      <c r="BY1684" s="73"/>
      <c r="BZ1684" s="73"/>
      <c r="CA1684" s="73"/>
      <c r="CB1684" s="73"/>
      <c r="CC1684" s="73"/>
      <c r="CD1684" s="73"/>
      <c r="CE1684" s="73"/>
      <c r="CF1684" s="73"/>
      <c r="CG1684" s="73"/>
      <c r="CH1684" s="73"/>
    </row>
    <row r="1685">
      <c r="A1685" s="80"/>
      <c r="B1685" s="80"/>
      <c r="C1685" s="80"/>
      <c r="D1685" s="80"/>
      <c r="E1685" s="124"/>
      <c r="F1685" s="80"/>
      <c r="G1685" s="80"/>
      <c r="H1685" s="80"/>
      <c r="I1685" s="80"/>
      <c r="J1685" s="196"/>
      <c r="K1685" s="196"/>
      <c r="L1685" s="196"/>
      <c r="M1685" s="196"/>
      <c r="N1685" s="196"/>
      <c r="O1685" s="196"/>
      <c r="P1685" s="196"/>
      <c r="Q1685" s="196"/>
      <c r="R1685" s="196"/>
      <c r="S1685" s="196"/>
      <c r="T1685" s="196"/>
      <c r="U1685" s="196"/>
      <c r="V1685" s="196"/>
      <c r="W1685" s="196"/>
      <c r="X1685" s="196"/>
      <c r="Y1685" s="196"/>
      <c r="Z1685" s="196"/>
      <c r="AA1685" s="196"/>
      <c r="AB1685" s="196"/>
      <c r="AC1685" s="196"/>
      <c r="AD1685" s="196"/>
      <c r="AE1685" s="196"/>
      <c r="AF1685" s="196"/>
      <c r="AG1685" s="196"/>
      <c r="AH1685" s="196"/>
      <c r="AI1685" s="196"/>
      <c r="AJ1685" s="197"/>
      <c r="AK1685" s="80"/>
      <c r="AL1685" s="80"/>
      <c r="AM1685" s="73"/>
      <c r="AN1685" s="73"/>
      <c r="AO1685" s="73"/>
      <c r="AP1685" s="73"/>
      <c r="AQ1685" s="73"/>
      <c r="AR1685" s="73"/>
      <c r="AS1685" s="73"/>
      <c r="AT1685" s="73"/>
      <c r="AU1685" s="73"/>
      <c r="AV1685" s="73"/>
      <c r="AW1685" s="73"/>
      <c r="AX1685" s="73"/>
      <c r="AY1685" s="73"/>
      <c r="AZ1685" s="73"/>
      <c r="BA1685" s="73"/>
      <c r="BB1685" s="73"/>
      <c r="BC1685" s="73"/>
      <c r="BD1685" s="73"/>
      <c r="BE1685" s="73"/>
      <c r="BF1685" s="73"/>
      <c r="BG1685" s="73"/>
      <c r="BH1685" s="73"/>
      <c r="BI1685" s="73"/>
      <c r="BJ1685" s="73"/>
      <c r="BK1685" s="73"/>
      <c r="BL1685" s="73"/>
      <c r="BM1685" s="73"/>
      <c r="BN1685" s="73"/>
      <c r="BO1685" s="73"/>
      <c r="BP1685" s="73"/>
      <c r="BQ1685" s="73"/>
      <c r="BR1685" s="73"/>
      <c r="BS1685" s="73"/>
      <c r="BT1685" s="73"/>
      <c r="BU1685" s="73"/>
      <c r="BV1685" s="73"/>
      <c r="BW1685" s="73"/>
      <c r="BX1685" s="73"/>
      <c r="BY1685" s="73"/>
      <c r="BZ1685" s="73"/>
      <c r="CA1685" s="73"/>
      <c r="CB1685" s="73"/>
      <c r="CC1685" s="73"/>
      <c r="CD1685" s="73"/>
      <c r="CE1685" s="73"/>
      <c r="CF1685" s="73"/>
      <c r="CG1685" s="73"/>
      <c r="CH1685" s="73"/>
    </row>
    <row r="1686">
      <c r="A1686" s="80"/>
      <c r="B1686" s="80"/>
      <c r="C1686" s="80"/>
      <c r="D1686" s="80"/>
      <c r="E1686" s="124"/>
      <c r="F1686" s="80"/>
      <c r="G1686" s="80"/>
      <c r="H1686" s="80"/>
      <c r="I1686" s="80"/>
      <c r="J1686" s="196"/>
      <c r="K1686" s="196"/>
      <c r="L1686" s="196"/>
      <c r="M1686" s="196"/>
      <c r="N1686" s="196"/>
      <c r="O1686" s="196"/>
      <c r="P1686" s="196"/>
      <c r="Q1686" s="196"/>
      <c r="R1686" s="196"/>
      <c r="S1686" s="196"/>
      <c r="T1686" s="196"/>
      <c r="U1686" s="196"/>
      <c r="V1686" s="196"/>
      <c r="W1686" s="196"/>
      <c r="X1686" s="196"/>
      <c r="Y1686" s="196"/>
      <c r="Z1686" s="196"/>
      <c r="AA1686" s="196"/>
      <c r="AB1686" s="196"/>
      <c r="AC1686" s="196"/>
      <c r="AD1686" s="196"/>
      <c r="AE1686" s="196"/>
      <c r="AF1686" s="196"/>
      <c r="AG1686" s="196"/>
      <c r="AH1686" s="196"/>
      <c r="AI1686" s="196"/>
      <c r="AJ1686" s="197"/>
      <c r="AK1686" s="80"/>
      <c r="AL1686" s="80"/>
      <c r="AM1686" s="73"/>
      <c r="AN1686" s="73"/>
      <c r="AO1686" s="73"/>
      <c r="AP1686" s="73"/>
      <c r="AQ1686" s="73"/>
      <c r="AR1686" s="73"/>
      <c r="AS1686" s="73"/>
      <c r="AT1686" s="73"/>
      <c r="AU1686" s="73"/>
      <c r="AV1686" s="73"/>
      <c r="AW1686" s="73"/>
      <c r="AX1686" s="73"/>
      <c r="AY1686" s="73"/>
      <c r="AZ1686" s="73"/>
      <c r="BA1686" s="73"/>
      <c r="BB1686" s="73"/>
      <c r="BC1686" s="73"/>
      <c r="BD1686" s="73"/>
      <c r="BE1686" s="73"/>
      <c r="BF1686" s="73"/>
      <c r="BG1686" s="73"/>
      <c r="BH1686" s="73"/>
      <c r="BI1686" s="73"/>
      <c r="BJ1686" s="73"/>
      <c r="BK1686" s="73"/>
      <c r="BL1686" s="73"/>
      <c r="BM1686" s="73"/>
      <c r="BN1686" s="73"/>
      <c r="BO1686" s="73"/>
      <c r="BP1686" s="73"/>
      <c r="BQ1686" s="73"/>
      <c r="BR1686" s="73"/>
      <c r="BS1686" s="73"/>
      <c r="BT1686" s="73"/>
      <c r="BU1686" s="73"/>
      <c r="BV1686" s="73"/>
      <c r="BW1686" s="73"/>
      <c r="BX1686" s="73"/>
      <c r="BY1686" s="73"/>
      <c r="BZ1686" s="73"/>
      <c r="CA1686" s="73"/>
      <c r="CB1686" s="73"/>
      <c r="CC1686" s="73"/>
      <c r="CD1686" s="73"/>
      <c r="CE1686" s="73"/>
      <c r="CF1686" s="73"/>
      <c r="CG1686" s="73"/>
      <c r="CH1686" s="73"/>
    </row>
    <row r="1687">
      <c r="A1687" s="80"/>
      <c r="B1687" s="80"/>
      <c r="C1687" s="80"/>
      <c r="D1687" s="80"/>
      <c r="E1687" s="124"/>
      <c r="F1687" s="80"/>
      <c r="G1687" s="80"/>
      <c r="H1687" s="80"/>
      <c r="I1687" s="80"/>
      <c r="J1687" s="196"/>
      <c r="K1687" s="196"/>
      <c r="L1687" s="196"/>
      <c r="M1687" s="196"/>
      <c r="N1687" s="196"/>
      <c r="O1687" s="196"/>
      <c r="P1687" s="196"/>
      <c r="Q1687" s="196"/>
      <c r="R1687" s="196"/>
      <c r="S1687" s="196"/>
      <c r="T1687" s="196"/>
      <c r="U1687" s="196"/>
      <c r="V1687" s="196"/>
      <c r="W1687" s="196"/>
      <c r="X1687" s="196"/>
      <c r="Y1687" s="196"/>
      <c r="Z1687" s="196"/>
      <c r="AA1687" s="196"/>
      <c r="AB1687" s="196"/>
      <c r="AC1687" s="196"/>
      <c r="AD1687" s="196"/>
      <c r="AE1687" s="196"/>
      <c r="AF1687" s="196"/>
      <c r="AG1687" s="196"/>
      <c r="AH1687" s="196"/>
      <c r="AI1687" s="196"/>
      <c r="AJ1687" s="197"/>
      <c r="AK1687" s="80"/>
      <c r="AL1687" s="80"/>
      <c r="AM1687" s="73"/>
      <c r="AN1687" s="73"/>
      <c r="AO1687" s="73"/>
      <c r="AP1687" s="73"/>
      <c r="AQ1687" s="73"/>
      <c r="AR1687" s="73"/>
      <c r="AS1687" s="73"/>
      <c r="AT1687" s="73"/>
      <c r="AU1687" s="73"/>
      <c r="AV1687" s="73"/>
      <c r="AW1687" s="73"/>
      <c r="AX1687" s="73"/>
      <c r="AY1687" s="73"/>
      <c r="AZ1687" s="73"/>
      <c r="BA1687" s="73"/>
      <c r="BB1687" s="73"/>
      <c r="BC1687" s="73"/>
      <c r="BD1687" s="73"/>
      <c r="BE1687" s="73"/>
      <c r="BF1687" s="73"/>
      <c r="BG1687" s="73"/>
      <c r="BH1687" s="73"/>
      <c r="BI1687" s="73"/>
      <c r="BJ1687" s="73"/>
      <c r="BK1687" s="73"/>
      <c r="BL1687" s="73"/>
      <c r="BM1687" s="73"/>
      <c r="BN1687" s="73"/>
      <c r="BO1687" s="73"/>
      <c r="BP1687" s="73"/>
      <c r="BQ1687" s="73"/>
      <c r="BR1687" s="73"/>
      <c r="BS1687" s="73"/>
      <c r="BT1687" s="73"/>
      <c r="BU1687" s="73"/>
      <c r="BV1687" s="73"/>
      <c r="BW1687" s="73"/>
      <c r="BX1687" s="73"/>
      <c r="BY1687" s="73"/>
      <c r="BZ1687" s="73"/>
      <c r="CA1687" s="73"/>
      <c r="CB1687" s="73"/>
      <c r="CC1687" s="73"/>
      <c r="CD1687" s="73"/>
      <c r="CE1687" s="73"/>
      <c r="CF1687" s="73"/>
      <c r="CG1687" s="73"/>
      <c r="CH1687" s="73"/>
    </row>
    <row r="1688">
      <c r="A1688" s="80"/>
      <c r="B1688" s="80"/>
      <c r="C1688" s="80"/>
      <c r="D1688" s="80"/>
      <c r="E1688" s="124"/>
      <c r="F1688" s="80"/>
      <c r="G1688" s="80"/>
      <c r="H1688" s="80"/>
      <c r="I1688" s="80"/>
      <c r="J1688" s="196"/>
      <c r="K1688" s="196"/>
      <c r="L1688" s="196"/>
      <c r="M1688" s="196"/>
      <c r="N1688" s="196"/>
      <c r="O1688" s="196"/>
      <c r="P1688" s="196"/>
      <c r="Q1688" s="196"/>
      <c r="R1688" s="196"/>
      <c r="S1688" s="196"/>
      <c r="T1688" s="196"/>
      <c r="U1688" s="196"/>
      <c r="V1688" s="196"/>
      <c r="W1688" s="196"/>
      <c r="X1688" s="196"/>
      <c r="Y1688" s="196"/>
      <c r="Z1688" s="196"/>
      <c r="AA1688" s="196"/>
      <c r="AB1688" s="196"/>
      <c r="AC1688" s="196"/>
      <c r="AD1688" s="196"/>
      <c r="AE1688" s="196"/>
      <c r="AF1688" s="196"/>
      <c r="AG1688" s="196"/>
      <c r="AH1688" s="196"/>
      <c r="AI1688" s="196"/>
      <c r="AJ1688" s="197"/>
      <c r="AK1688" s="80"/>
      <c r="AL1688" s="80"/>
      <c r="AM1688" s="73"/>
      <c r="AN1688" s="73"/>
      <c r="AO1688" s="73"/>
      <c r="AP1688" s="73"/>
      <c r="AQ1688" s="73"/>
      <c r="AR1688" s="73"/>
      <c r="AS1688" s="73"/>
      <c r="AT1688" s="73"/>
      <c r="AU1688" s="73"/>
      <c r="AV1688" s="73"/>
      <c r="AW1688" s="73"/>
      <c r="AX1688" s="73"/>
      <c r="AY1688" s="73"/>
      <c r="AZ1688" s="73"/>
      <c r="BA1688" s="73"/>
      <c r="BB1688" s="73"/>
      <c r="BC1688" s="73"/>
      <c r="BD1688" s="73"/>
      <c r="BE1688" s="73"/>
      <c r="BF1688" s="73"/>
      <c r="BG1688" s="73"/>
      <c r="BH1688" s="73"/>
      <c r="BI1688" s="73"/>
      <c r="BJ1688" s="73"/>
      <c r="BK1688" s="73"/>
      <c r="BL1688" s="73"/>
      <c r="BM1688" s="73"/>
      <c r="BN1688" s="73"/>
      <c r="BO1688" s="73"/>
      <c r="BP1688" s="73"/>
      <c r="BQ1688" s="73"/>
      <c r="BR1688" s="73"/>
      <c r="BS1688" s="73"/>
      <c r="BT1688" s="73"/>
      <c r="BU1688" s="73"/>
      <c r="BV1688" s="73"/>
      <c r="BW1688" s="73"/>
      <c r="BX1688" s="73"/>
      <c r="BY1688" s="73"/>
      <c r="BZ1688" s="73"/>
      <c r="CA1688" s="73"/>
      <c r="CB1688" s="73"/>
      <c r="CC1688" s="73"/>
      <c r="CD1688" s="73"/>
      <c r="CE1688" s="73"/>
      <c r="CF1688" s="73"/>
      <c r="CG1688" s="73"/>
      <c r="CH1688" s="73"/>
    </row>
    <row r="1689">
      <c r="A1689" s="80"/>
      <c r="B1689" s="80"/>
      <c r="C1689" s="80"/>
      <c r="D1689" s="80"/>
      <c r="E1689" s="124"/>
      <c r="F1689" s="80"/>
      <c r="G1689" s="80"/>
      <c r="H1689" s="80"/>
      <c r="I1689" s="80"/>
      <c r="J1689" s="196"/>
      <c r="K1689" s="196"/>
      <c r="L1689" s="196"/>
      <c r="M1689" s="196"/>
      <c r="N1689" s="196"/>
      <c r="O1689" s="196"/>
      <c r="P1689" s="196"/>
      <c r="Q1689" s="196"/>
      <c r="R1689" s="196"/>
      <c r="S1689" s="196"/>
      <c r="T1689" s="196"/>
      <c r="U1689" s="196"/>
      <c r="V1689" s="196"/>
      <c r="W1689" s="196"/>
      <c r="X1689" s="196"/>
      <c r="Y1689" s="196"/>
      <c r="Z1689" s="196"/>
      <c r="AA1689" s="196"/>
      <c r="AB1689" s="196"/>
      <c r="AC1689" s="196"/>
      <c r="AD1689" s="196"/>
      <c r="AE1689" s="196"/>
      <c r="AF1689" s="196"/>
      <c r="AG1689" s="196"/>
      <c r="AH1689" s="196"/>
      <c r="AI1689" s="196"/>
      <c r="AJ1689" s="197"/>
      <c r="AK1689" s="80"/>
      <c r="AL1689" s="80"/>
      <c r="AM1689" s="73"/>
      <c r="AN1689" s="73"/>
      <c r="AO1689" s="73"/>
      <c r="AP1689" s="73"/>
      <c r="AQ1689" s="73"/>
      <c r="AR1689" s="73"/>
      <c r="AS1689" s="73"/>
      <c r="AT1689" s="73"/>
      <c r="AU1689" s="73"/>
      <c r="AV1689" s="73"/>
      <c r="AW1689" s="73"/>
      <c r="AX1689" s="73"/>
      <c r="AY1689" s="73"/>
      <c r="AZ1689" s="73"/>
      <c r="BA1689" s="73"/>
      <c r="BB1689" s="73"/>
      <c r="BC1689" s="73"/>
      <c r="BD1689" s="73"/>
      <c r="BE1689" s="73"/>
      <c r="BF1689" s="73"/>
      <c r="BG1689" s="73"/>
      <c r="BH1689" s="73"/>
      <c r="BI1689" s="73"/>
      <c r="BJ1689" s="73"/>
      <c r="BK1689" s="73"/>
      <c r="BL1689" s="73"/>
      <c r="BM1689" s="73"/>
      <c r="BN1689" s="73"/>
      <c r="BO1689" s="73"/>
      <c r="BP1689" s="73"/>
      <c r="BQ1689" s="73"/>
      <c r="BR1689" s="73"/>
      <c r="BS1689" s="73"/>
      <c r="BT1689" s="73"/>
      <c r="BU1689" s="73"/>
      <c r="BV1689" s="73"/>
      <c r="BW1689" s="73"/>
      <c r="BX1689" s="73"/>
      <c r="BY1689" s="73"/>
      <c r="BZ1689" s="73"/>
      <c r="CA1689" s="73"/>
      <c r="CB1689" s="73"/>
      <c r="CC1689" s="73"/>
      <c r="CD1689" s="73"/>
      <c r="CE1689" s="73"/>
      <c r="CF1689" s="73"/>
      <c r="CG1689" s="73"/>
      <c r="CH1689" s="73"/>
    </row>
    <row r="1690">
      <c r="A1690" s="80"/>
      <c r="B1690" s="80"/>
      <c r="C1690" s="80"/>
      <c r="D1690" s="80"/>
      <c r="E1690" s="124"/>
      <c r="F1690" s="80"/>
      <c r="G1690" s="80"/>
      <c r="H1690" s="80"/>
      <c r="I1690" s="80"/>
      <c r="J1690" s="196"/>
      <c r="K1690" s="196"/>
      <c r="L1690" s="196"/>
      <c r="M1690" s="196"/>
      <c r="N1690" s="196"/>
      <c r="O1690" s="196"/>
      <c r="P1690" s="196"/>
      <c r="Q1690" s="196"/>
      <c r="R1690" s="196"/>
      <c r="S1690" s="196"/>
      <c r="T1690" s="196"/>
      <c r="U1690" s="196"/>
      <c r="V1690" s="196"/>
      <c r="W1690" s="196"/>
      <c r="X1690" s="196"/>
      <c r="Y1690" s="196"/>
      <c r="Z1690" s="196"/>
      <c r="AA1690" s="196"/>
      <c r="AB1690" s="196"/>
      <c r="AC1690" s="196"/>
      <c r="AD1690" s="196"/>
      <c r="AE1690" s="196"/>
      <c r="AF1690" s="196"/>
      <c r="AG1690" s="196"/>
      <c r="AH1690" s="196"/>
      <c r="AI1690" s="196"/>
      <c r="AJ1690" s="197"/>
      <c r="AK1690" s="80"/>
      <c r="AL1690" s="80"/>
      <c r="AM1690" s="73"/>
      <c r="AN1690" s="73"/>
      <c r="AO1690" s="73"/>
      <c r="AP1690" s="73"/>
      <c r="AQ1690" s="73"/>
      <c r="AR1690" s="73"/>
      <c r="AS1690" s="73"/>
      <c r="AT1690" s="73"/>
      <c r="AU1690" s="73"/>
      <c r="AV1690" s="73"/>
      <c r="AW1690" s="73"/>
      <c r="AX1690" s="73"/>
      <c r="AY1690" s="73"/>
      <c r="AZ1690" s="73"/>
      <c r="BA1690" s="73"/>
      <c r="BB1690" s="73"/>
      <c r="BC1690" s="73"/>
      <c r="BD1690" s="73"/>
      <c r="BE1690" s="73"/>
      <c r="BF1690" s="73"/>
      <c r="BG1690" s="73"/>
      <c r="BH1690" s="73"/>
      <c r="BI1690" s="73"/>
      <c r="BJ1690" s="73"/>
      <c r="BK1690" s="73"/>
      <c r="BL1690" s="73"/>
      <c r="BM1690" s="73"/>
      <c r="BN1690" s="73"/>
      <c r="BO1690" s="73"/>
      <c r="BP1690" s="73"/>
      <c r="BQ1690" s="73"/>
      <c r="BR1690" s="73"/>
      <c r="BS1690" s="73"/>
      <c r="BT1690" s="73"/>
      <c r="BU1690" s="73"/>
      <c r="BV1690" s="73"/>
      <c r="BW1690" s="73"/>
      <c r="BX1690" s="73"/>
      <c r="BY1690" s="73"/>
      <c r="BZ1690" s="73"/>
      <c r="CA1690" s="73"/>
      <c r="CB1690" s="73"/>
      <c r="CC1690" s="73"/>
      <c r="CD1690" s="73"/>
      <c r="CE1690" s="73"/>
      <c r="CF1690" s="73"/>
      <c r="CG1690" s="73"/>
      <c r="CH1690" s="73"/>
    </row>
    <row r="1691">
      <c r="A1691" s="80"/>
      <c r="B1691" s="80"/>
      <c r="C1691" s="80"/>
      <c r="D1691" s="80"/>
      <c r="E1691" s="124"/>
      <c r="F1691" s="80"/>
      <c r="G1691" s="80"/>
      <c r="H1691" s="80"/>
      <c r="I1691" s="80"/>
      <c r="J1691" s="196"/>
      <c r="K1691" s="196"/>
      <c r="L1691" s="196"/>
      <c r="M1691" s="196"/>
      <c r="N1691" s="196"/>
      <c r="O1691" s="196"/>
      <c r="P1691" s="196"/>
      <c r="Q1691" s="196"/>
      <c r="R1691" s="196"/>
      <c r="S1691" s="196"/>
      <c r="T1691" s="196"/>
      <c r="U1691" s="196"/>
      <c r="V1691" s="196"/>
      <c r="W1691" s="196"/>
      <c r="X1691" s="196"/>
      <c r="Y1691" s="196"/>
      <c r="Z1691" s="196"/>
      <c r="AA1691" s="196"/>
      <c r="AB1691" s="196"/>
      <c r="AC1691" s="196"/>
      <c r="AD1691" s="196"/>
      <c r="AE1691" s="196"/>
      <c r="AF1691" s="196"/>
      <c r="AG1691" s="196"/>
      <c r="AH1691" s="196"/>
      <c r="AI1691" s="196"/>
      <c r="AJ1691" s="197"/>
      <c r="AK1691" s="80"/>
      <c r="AL1691" s="80"/>
      <c r="AM1691" s="73"/>
      <c r="AN1691" s="73"/>
      <c r="AO1691" s="73"/>
      <c r="AP1691" s="73"/>
      <c r="AQ1691" s="73"/>
      <c r="AR1691" s="73"/>
      <c r="AS1691" s="73"/>
      <c r="AT1691" s="73"/>
      <c r="AU1691" s="73"/>
      <c r="AV1691" s="73"/>
      <c r="AW1691" s="73"/>
      <c r="AX1691" s="73"/>
      <c r="AY1691" s="73"/>
      <c r="AZ1691" s="73"/>
      <c r="BA1691" s="73"/>
      <c r="BB1691" s="73"/>
      <c r="BC1691" s="73"/>
      <c r="BD1691" s="73"/>
      <c r="BE1691" s="73"/>
      <c r="BF1691" s="73"/>
      <c r="BG1691" s="73"/>
      <c r="BH1691" s="73"/>
      <c r="BI1691" s="73"/>
      <c r="BJ1691" s="73"/>
      <c r="BK1691" s="73"/>
      <c r="BL1691" s="73"/>
      <c r="BM1691" s="73"/>
      <c r="BN1691" s="73"/>
      <c r="BO1691" s="73"/>
      <c r="BP1691" s="73"/>
      <c r="BQ1691" s="73"/>
      <c r="BR1691" s="73"/>
      <c r="BS1691" s="73"/>
      <c r="BT1691" s="73"/>
      <c r="BU1691" s="73"/>
      <c r="BV1691" s="73"/>
      <c r="BW1691" s="73"/>
      <c r="BX1691" s="73"/>
      <c r="BY1691" s="73"/>
      <c r="BZ1691" s="73"/>
      <c r="CA1691" s="73"/>
      <c r="CB1691" s="73"/>
      <c r="CC1691" s="73"/>
      <c r="CD1691" s="73"/>
      <c r="CE1691" s="73"/>
      <c r="CF1691" s="73"/>
      <c r="CG1691" s="73"/>
      <c r="CH1691" s="73"/>
    </row>
    <row r="1692">
      <c r="A1692" s="80"/>
      <c r="B1692" s="80"/>
      <c r="C1692" s="80"/>
      <c r="D1692" s="80"/>
      <c r="E1692" s="124"/>
      <c r="F1692" s="80"/>
      <c r="G1692" s="80"/>
      <c r="H1692" s="80"/>
      <c r="I1692" s="80"/>
      <c r="J1692" s="196"/>
      <c r="K1692" s="196"/>
      <c r="L1692" s="196"/>
      <c r="M1692" s="196"/>
      <c r="N1692" s="196"/>
      <c r="O1692" s="196"/>
      <c r="P1692" s="196"/>
      <c r="Q1692" s="196"/>
      <c r="R1692" s="196"/>
      <c r="S1692" s="196"/>
      <c r="T1692" s="196"/>
      <c r="U1692" s="196"/>
      <c r="V1692" s="196"/>
      <c r="W1692" s="196"/>
      <c r="X1692" s="196"/>
      <c r="Y1692" s="196"/>
      <c r="Z1692" s="196"/>
      <c r="AA1692" s="196"/>
      <c r="AB1692" s="196"/>
      <c r="AC1692" s="196"/>
      <c r="AD1692" s="196"/>
      <c r="AE1692" s="196"/>
      <c r="AF1692" s="196"/>
      <c r="AG1692" s="196"/>
      <c r="AH1692" s="196"/>
      <c r="AI1692" s="196"/>
      <c r="AJ1692" s="197"/>
      <c r="AK1692" s="80"/>
      <c r="AL1692" s="80"/>
      <c r="AM1692" s="73"/>
      <c r="AN1692" s="73"/>
      <c r="AO1692" s="73"/>
      <c r="AP1692" s="73"/>
      <c r="AQ1692" s="73"/>
      <c r="AR1692" s="73"/>
      <c r="AS1692" s="73"/>
      <c r="AT1692" s="73"/>
      <c r="AU1692" s="73"/>
      <c r="AV1692" s="73"/>
      <c r="AW1692" s="73"/>
      <c r="AX1692" s="73"/>
      <c r="AY1692" s="73"/>
      <c r="AZ1692" s="73"/>
      <c r="BA1692" s="73"/>
      <c r="BB1692" s="73"/>
      <c r="BC1692" s="73"/>
      <c r="BD1692" s="73"/>
      <c r="BE1692" s="73"/>
      <c r="BF1692" s="73"/>
      <c r="BG1692" s="73"/>
      <c r="BH1692" s="73"/>
      <c r="BI1692" s="73"/>
      <c r="BJ1692" s="73"/>
      <c r="BK1692" s="73"/>
      <c r="BL1692" s="73"/>
      <c r="BM1692" s="73"/>
      <c r="BN1692" s="73"/>
      <c r="BO1692" s="73"/>
      <c r="BP1692" s="73"/>
      <c r="BQ1692" s="73"/>
      <c r="BR1692" s="73"/>
      <c r="BS1692" s="73"/>
      <c r="BT1692" s="73"/>
      <c r="BU1692" s="73"/>
      <c r="BV1692" s="73"/>
      <c r="BW1692" s="73"/>
      <c r="BX1692" s="73"/>
      <c r="BY1692" s="73"/>
      <c r="BZ1692" s="73"/>
      <c r="CA1692" s="73"/>
      <c r="CB1692" s="73"/>
      <c r="CC1692" s="73"/>
      <c r="CD1692" s="73"/>
      <c r="CE1692" s="73"/>
      <c r="CF1692" s="73"/>
      <c r="CG1692" s="73"/>
      <c r="CH1692" s="73"/>
    </row>
    <row r="1693">
      <c r="A1693" s="80"/>
      <c r="B1693" s="80"/>
      <c r="C1693" s="80"/>
      <c r="D1693" s="80"/>
      <c r="E1693" s="124"/>
      <c r="F1693" s="80"/>
      <c r="G1693" s="80"/>
      <c r="H1693" s="80"/>
      <c r="I1693" s="80"/>
      <c r="J1693" s="196"/>
      <c r="K1693" s="196"/>
      <c r="L1693" s="196"/>
      <c r="M1693" s="196"/>
      <c r="N1693" s="196"/>
      <c r="O1693" s="196"/>
      <c r="P1693" s="196"/>
      <c r="Q1693" s="196"/>
      <c r="R1693" s="196"/>
      <c r="S1693" s="196"/>
      <c r="T1693" s="196"/>
      <c r="U1693" s="196"/>
      <c r="V1693" s="196"/>
      <c r="W1693" s="196"/>
      <c r="X1693" s="196"/>
      <c r="Y1693" s="196"/>
      <c r="Z1693" s="196"/>
      <c r="AA1693" s="196"/>
      <c r="AB1693" s="196"/>
      <c r="AC1693" s="196"/>
      <c r="AD1693" s="196"/>
      <c r="AE1693" s="196"/>
      <c r="AF1693" s="196"/>
      <c r="AG1693" s="196"/>
      <c r="AH1693" s="196"/>
      <c r="AI1693" s="196"/>
      <c r="AJ1693" s="197"/>
      <c r="AK1693" s="80"/>
      <c r="AL1693" s="80"/>
      <c r="AM1693" s="73"/>
      <c r="AN1693" s="73"/>
      <c r="AO1693" s="73"/>
      <c r="AP1693" s="73"/>
      <c r="AQ1693" s="73"/>
      <c r="AR1693" s="73"/>
      <c r="AS1693" s="73"/>
      <c r="AT1693" s="73"/>
      <c r="AU1693" s="73"/>
      <c r="AV1693" s="73"/>
      <c r="AW1693" s="73"/>
      <c r="AX1693" s="73"/>
      <c r="AY1693" s="73"/>
      <c r="AZ1693" s="73"/>
      <c r="BA1693" s="73"/>
      <c r="BB1693" s="73"/>
      <c r="BC1693" s="73"/>
      <c r="BD1693" s="73"/>
      <c r="BE1693" s="73"/>
      <c r="BF1693" s="73"/>
      <c r="BG1693" s="73"/>
      <c r="BH1693" s="73"/>
      <c r="BI1693" s="73"/>
      <c r="BJ1693" s="73"/>
      <c r="BK1693" s="73"/>
      <c r="BL1693" s="73"/>
      <c r="BM1693" s="73"/>
      <c r="BN1693" s="73"/>
      <c r="BO1693" s="73"/>
      <c r="BP1693" s="73"/>
      <c r="BQ1693" s="73"/>
      <c r="BR1693" s="73"/>
      <c r="BS1693" s="73"/>
      <c r="BT1693" s="73"/>
      <c r="BU1693" s="73"/>
      <c r="BV1693" s="73"/>
      <c r="BW1693" s="73"/>
      <c r="BX1693" s="73"/>
      <c r="BY1693" s="73"/>
      <c r="BZ1693" s="73"/>
      <c r="CA1693" s="73"/>
      <c r="CB1693" s="73"/>
      <c r="CC1693" s="73"/>
      <c r="CD1693" s="73"/>
      <c r="CE1693" s="73"/>
      <c r="CF1693" s="73"/>
      <c r="CG1693" s="73"/>
      <c r="CH1693" s="73"/>
    </row>
    <row r="1694">
      <c r="A1694" s="80"/>
      <c r="B1694" s="80"/>
      <c r="C1694" s="80"/>
      <c r="D1694" s="80"/>
      <c r="E1694" s="124"/>
      <c r="F1694" s="80"/>
      <c r="G1694" s="80"/>
      <c r="H1694" s="80"/>
      <c r="I1694" s="80"/>
      <c r="J1694" s="196"/>
      <c r="K1694" s="196"/>
      <c r="L1694" s="196"/>
      <c r="M1694" s="196"/>
      <c r="N1694" s="196"/>
      <c r="O1694" s="196"/>
      <c r="P1694" s="196"/>
      <c r="Q1694" s="196"/>
      <c r="R1694" s="196"/>
      <c r="S1694" s="196"/>
      <c r="T1694" s="196"/>
      <c r="U1694" s="196"/>
      <c r="V1694" s="196"/>
      <c r="W1694" s="196"/>
      <c r="X1694" s="196"/>
      <c r="Y1694" s="196"/>
      <c r="Z1694" s="196"/>
      <c r="AA1694" s="196"/>
      <c r="AB1694" s="196"/>
      <c r="AC1694" s="196"/>
      <c r="AD1694" s="196"/>
      <c r="AE1694" s="196"/>
      <c r="AF1694" s="196"/>
      <c r="AG1694" s="196"/>
      <c r="AH1694" s="196"/>
      <c r="AI1694" s="196"/>
      <c r="AJ1694" s="197"/>
      <c r="AK1694" s="80"/>
      <c r="AL1694" s="80"/>
      <c r="AM1694" s="73"/>
      <c r="AN1694" s="73"/>
      <c r="AO1694" s="73"/>
      <c r="AP1694" s="73"/>
      <c r="AQ1694" s="73"/>
      <c r="AR1694" s="73"/>
      <c r="AS1694" s="73"/>
      <c r="AT1694" s="73"/>
      <c r="AU1694" s="73"/>
      <c r="AV1694" s="73"/>
      <c r="AW1694" s="73"/>
      <c r="AX1694" s="73"/>
      <c r="AY1694" s="73"/>
      <c r="AZ1694" s="73"/>
      <c r="BA1694" s="73"/>
      <c r="BB1694" s="73"/>
      <c r="BC1694" s="73"/>
      <c r="BD1694" s="73"/>
      <c r="BE1694" s="73"/>
      <c r="BF1694" s="73"/>
      <c r="BG1694" s="73"/>
      <c r="BH1694" s="73"/>
      <c r="BI1694" s="73"/>
      <c r="BJ1694" s="73"/>
      <c r="BK1694" s="73"/>
      <c r="BL1694" s="73"/>
      <c r="BM1694" s="73"/>
      <c r="BN1694" s="73"/>
      <c r="BO1694" s="73"/>
      <c r="BP1694" s="73"/>
      <c r="BQ1694" s="73"/>
      <c r="BR1694" s="73"/>
      <c r="BS1694" s="73"/>
      <c r="BT1694" s="73"/>
      <c r="BU1694" s="73"/>
      <c r="BV1694" s="73"/>
      <c r="BW1694" s="73"/>
      <c r="BX1694" s="73"/>
      <c r="BY1694" s="73"/>
      <c r="BZ1694" s="73"/>
      <c r="CA1694" s="73"/>
      <c r="CB1694" s="73"/>
      <c r="CC1694" s="73"/>
      <c r="CD1694" s="73"/>
      <c r="CE1694" s="73"/>
      <c r="CF1694" s="73"/>
      <c r="CG1694" s="73"/>
      <c r="CH1694" s="73"/>
    </row>
    <row r="1695">
      <c r="A1695" s="80"/>
      <c r="B1695" s="80"/>
      <c r="C1695" s="80"/>
      <c r="D1695" s="80"/>
      <c r="E1695" s="124"/>
      <c r="F1695" s="80"/>
      <c r="G1695" s="80"/>
      <c r="H1695" s="80"/>
      <c r="I1695" s="80"/>
      <c r="J1695" s="196"/>
      <c r="K1695" s="196"/>
      <c r="L1695" s="196"/>
      <c r="M1695" s="196"/>
      <c r="N1695" s="196"/>
      <c r="O1695" s="196"/>
      <c r="P1695" s="196"/>
      <c r="Q1695" s="196"/>
      <c r="R1695" s="196"/>
      <c r="S1695" s="196"/>
      <c r="T1695" s="196"/>
      <c r="U1695" s="196"/>
      <c r="V1695" s="196"/>
      <c r="W1695" s="196"/>
      <c r="X1695" s="196"/>
      <c r="Y1695" s="196"/>
      <c r="Z1695" s="196"/>
      <c r="AA1695" s="196"/>
      <c r="AB1695" s="196"/>
      <c r="AC1695" s="196"/>
      <c r="AD1695" s="196"/>
      <c r="AE1695" s="196"/>
      <c r="AF1695" s="196"/>
      <c r="AG1695" s="196"/>
      <c r="AH1695" s="196"/>
      <c r="AI1695" s="196"/>
      <c r="AJ1695" s="197"/>
      <c r="AK1695" s="80"/>
      <c r="AL1695" s="80"/>
      <c r="AM1695" s="73"/>
      <c r="AN1695" s="73"/>
      <c r="AO1695" s="73"/>
      <c r="AP1695" s="73"/>
      <c r="AQ1695" s="73"/>
      <c r="AR1695" s="73"/>
      <c r="AS1695" s="73"/>
      <c r="AT1695" s="73"/>
      <c r="AU1695" s="73"/>
      <c r="AV1695" s="73"/>
      <c r="AW1695" s="73"/>
      <c r="AX1695" s="73"/>
      <c r="AY1695" s="73"/>
      <c r="AZ1695" s="73"/>
      <c r="BA1695" s="73"/>
      <c r="BB1695" s="73"/>
      <c r="BC1695" s="73"/>
      <c r="BD1695" s="73"/>
      <c r="BE1695" s="73"/>
      <c r="BF1695" s="73"/>
      <c r="BG1695" s="73"/>
      <c r="BH1695" s="73"/>
      <c r="BI1695" s="73"/>
      <c r="BJ1695" s="73"/>
      <c r="BK1695" s="73"/>
      <c r="BL1695" s="73"/>
      <c r="BM1695" s="73"/>
      <c r="BN1695" s="73"/>
      <c r="BO1695" s="73"/>
      <c r="BP1695" s="73"/>
      <c r="BQ1695" s="73"/>
      <c r="BR1695" s="73"/>
      <c r="BS1695" s="73"/>
      <c r="BT1695" s="73"/>
      <c r="BU1695" s="73"/>
      <c r="BV1695" s="73"/>
      <c r="BW1695" s="73"/>
      <c r="BX1695" s="73"/>
      <c r="BY1695" s="73"/>
      <c r="BZ1695" s="73"/>
      <c r="CA1695" s="73"/>
      <c r="CB1695" s="73"/>
      <c r="CC1695" s="73"/>
      <c r="CD1695" s="73"/>
      <c r="CE1695" s="73"/>
      <c r="CF1695" s="73"/>
      <c r="CG1695" s="73"/>
      <c r="CH1695" s="73"/>
    </row>
    <row r="1696">
      <c r="A1696" s="80"/>
      <c r="B1696" s="80"/>
      <c r="C1696" s="80"/>
      <c r="D1696" s="80"/>
      <c r="E1696" s="124"/>
      <c r="F1696" s="80"/>
      <c r="G1696" s="80"/>
      <c r="H1696" s="80"/>
      <c r="I1696" s="80"/>
      <c r="J1696" s="196"/>
      <c r="K1696" s="196"/>
      <c r="L1696" s="196"/>
      <c r="M1696" s="196"/>
      <c r="N1696" s="196"/>
      <c r="O1696" s="196"/>
      <c r="P1696" s="196"/>
      <c r="Q1696" s="196"/>
      <c r="R1696" s="196"/>
      <c r="S1696" s="196"/>
      <c r="T1696" s="196"/>
      <c r="U1696" s="196"/>
      <c r="V1696" s="196"/>
      <c r="W1696" s="196"/>
      <c r="X1696" s="196"/>
      <c r="Y1696" s="196"/>
      <c r="Z1696" s="196"/>
      <c r="AA1696" s="196"/>
      <c r="AB1696" s="196"/>
      <c r="AC1696" s="196"/>
      <c r="AD1696" s="196"/>
      <c r="AE1696" s="196"/>
      <c r="AF1696" s="196"/>
      <c r="AG1696" s="196"/>
      <c r="AH1696" s="196"/>
      <c r="AI1696" s="196"/>
      <c r="AJ1696" s="197"/>
      <c r="AK1696" s="80"/>
      <c r="AL1696" s="80"/>
      <c r="AM1696" s="73"/>
      <c r="AN1696" s="73"/>
      <c r="AO1696" s="73"/>
      <c r="AP1696" s="73"/>
      <c r="AQ1696" s="73"/>
      <c r="AR1696" s="73"/>
      <c r="AS1696" s="73"/>
      <c r="AT1696" s="73"/>
      <c r="AU1696" s="73"/>
      <c r="AV1696" s="73"/>
      <c r="AW1696" s="73"/>
      <c r="AX1696" s="73"/>
      <c r="AY1696" s="73"/>
      <c r="AZ1696" s="73"/>
      <c r="BA1696" s="73"/>
      <c r="BB1696" s="73"/>
      <c r="BC1696" s="73"/>
      <c r="BD1696" s="73"/>
      <c r="BE1696" s="73"/>
      <c r="BF1696" s="73"/>
      <c r="BG1696" s="73"/>
      <c r="BH1696" s="73"/>
      <c r="BI1696" s="73"/>
      <c r="BJ1696" s="73"/>
      <c r="BK1696" s="73"/>
      <c r="BL1696" s="73"/>
      <c r="BM1696" s="73"/>
      <c r="BN1696" s="73"/>
      <c r="BO1696" s="73"/>
      <c r="BP1696" s="73"/>
      <c r="BQ1696" s="73"/>
      <c r="BR1696" s="73"/>
      <c r="BS1696" s="73"/>
      <c r="BT1696" s="73"/>
      <c r="BU1696" s="73"/>
      <c r="BV1696" s="73"/>
      <c r="BW1696" s="73"/>
      <c r="BX1696" s="73"/>
      <c r="BY1696" s="73"/>
      <c r="BZ1696" s="73"/>
      <c r="CA1696" s="73"/>
      <c r="CB1696" s="73"/>
      <c r="CC1696" s="73"/>
      <c r="CD1696" s="73"/>
      <c r="CE1696" s="73"/>
      <c r="CF1696" s="73"/>
      <c r="CG1696" s="73"/>
      <c r="CH1696" s="73"/>
    </row>
    <row r="1697">
      <c r="A1697" s="80"/>
      <c r="B1697" s="80"/>
      <c r="C1697" s="80"/>
      <c r="D1697" s="80"/>
      <c r="E1697" s="124"/>
      <c r="F1697" s="80"/>
      <c r="G1697" s="80"/>
      <c r="H1697" s="80"/>
      <c r="I1697" s="80"/>
      <c r="J1697" s="196"/>
      <c r="K1697" s="196"/>
      <c r="L1697" s="196"/>
      <c r="M1697" s="196"/>
      <c r="N1697" s="196"/>
      <c r="O1697" s="196"/>
      <c r="P1697" s="196"/>
      <c r="Q1697" s="196"/>
      <c r="R1697" s="196"/>
      <c r="S1697" s="196"/>
      <c r="T1697" s="196"/>
      <c r="U1697" s="196"/>
      <c r="V1697" s="196"/>
      <c r="W1697" s="196"/>
      <c r="X1697" s="196"/>
      <c r="Y1697" s="196"/>
      <c r="Z1697" s="196"/>
      <c r="AA1697" s="196"/>
      <c r="AB1697" s="196"/>
      <c r="AC1697" s="196"/>
      <c r="AD1697" s="196"/>
      <c r="AE1697" s="196"/>
      <c r="AF1697" s="196"/>
      <c r="AG1697" s="196"/>
      <c r="AH1697" s="196"/>
      <c r="AI1697" s="196"/>
      <c r="AJ1697" s="197"/>
      <c r="AK1697" s="80"/>
      <c r="AL1697" s="80"/>
      <c r="AM1697" s="73"/>
      <c r="AN1697" s="73"/>
      <c r="AO1697" s="73"/>
      <c r="AP1697" s="73"/>
      <c r="AQ1697" s="73"/>
      <c r="AR1697" s="73"/>
      <c r="AS1697" s="73"/>
      <c r="AT1697" s="73"/>
      <c r="AU1697" s="73"/>
      <c r="AV1697" s="73"/>
      <c r="AW1697" s="73"/>
      <c r="AX1697" s="73"/>
      <c r="AY1697" s="73"/>
      <c r="AZ1697" s="73"/>
      <c r="BA1697" s="73"/>
      <c r="BB1697" s="73"/>
      <c r="BC1697" s="73"/>
      <c r="BD1697" s="73"/>
      <c r="BE1697" s="73"/>
      <c r="BF1697" s="73"/>
      <c r="BG1697" s="73"/>
      <c r="BH1697" s="73"/>
      <c r="BI1697" s="73"/>
      <c r="BJ1697" s="73"/>
      <c r="BK1697" s="73"/>
      <c r="BL1697" s="73"/>
      <c r="BM1697" s="73"/>
      <c r="BN1697" s="73"/>
      <c r="BO1697" s="73"/>
      <c r="BP1697" s="73"/>
      <c r="BQ1697" s="73"/>
      <c r="BR1697" s="73"/>
      <c r="BS1697" s="73"/>
      <c r="BT1697" s="73"/>
      <c r="BU1697" s="73"/>
      <c r="BV1697" s="73"/>
      <c r="BW1697" s="73"/>
      <c r="BX1697" s="73"/>
      <c r="BY1697" s="73"/>
      <c r="BZ1697" s="73"/>
      <c r="CA1697" s="73"/>
      <c r="CB1697" s="73"/>
      <c r="CC1697" s="73"/>
      <c r="CD1697" s="73"/>
      <c r="CE1697" s="73"/>
      <c r="CF1697" s="73"/>
      <c r="CG1697" s="73"/>
      <c r="CH1697" s="73"/>
    </row>
    <row r="1698">
      <c r="A1698" s="80"/>
      <c r="B1698" s="80"/>
      <c r="C1698" s="80"/>
      <c r="D1698" s="80"/>
      <c r="E1698" s="124"/>
      <c r="F1698" s="80"/>
      <c r="G1698" s="80"/>
      <c r="H1698" s="80"/>
      <c r="I1698" s="80"/>
      <c r="J1698" s="196"/>
      <c r="K1698" s="196"/>
      <c r="L1698" s="196"/>
      <c r="M1698" s="196"/>
      <c r="N1698" s="196"/>
      <c r="O1698" s="196"/>
      <c r="P1698" s="196"/>
      <c r="Q1698" s="196"/>
      <c r="R1698" s="196"/>
      <c r="S1698" s="196"/>
      <c r="T1698" s="196"/>
      <c r="U1698" s="196"/>
      <c r="V1698" s="196"/>
      <c r="W1698" s="196"/>
      <c r="X1698" s="196"/>
      <c r="Y1698" s="196"/>
      <c r="Z1698" s="196"/>
      <c r="AA1698" s="196"/>
      <c r="AB1698" s="196"/>
      <c r="AC1698" s="196"/>
      <c r="AD1698" s="196"/>
      <c r="AE1698" s="196"/>
      <c r="AF1698" s="196"/>
      <c r="AG1698" s="196"/>
      <c r="AH1698" s="196"/>
      <c r="AI1698" s="196"/>
      <c r="AJ1698" s="197"/>
      <c r="AK1698" s="80"/>
      <c r="AL1698" s="80"/>
      <c r="AM1698" s="73"/>
      <c r="AN1698" s="73"/>
      <c r="AO1698" s="73"/>
      <c r="AP1698" s="73"/>
      <c r="AQ1698" s="73"/>
      <c r="AR1698" s="73"/>
      <c r="AS1698" s="73"/>
      <c r="AT1698" s="73"/>
      <c r="AU1698" s="73"/>
      <c r="AV1698" s="73"/>
      <c r="AW1698" s="73"/>
      <c r="AX1698" s="73"/>
      <c r="AY1698" s="73"/>
      <c r="AZ1698" s="73"/>
      <c r="BA1698" s="73"/>
      <c r="BB1698" s="73"/>
      <c r="BC1698" s="73"/>
      <c r="BD1698" s="73"/>
      <c r="BE1698" s="73"/>
      <c r="BF1698" s="73"/>
      <c r="BG1698" s="73"/>
      <c r="BH1698" s="73"/>
      <c r="BI1698" s="73"/>
      <c r="BJ1698" s="73"/>
      <c r="BK1698" s="73"/>
      <c r="BL1698" s="73"/>
      <c r="BM1698" s="73"/>
      <c r="BN1698" s="73"/>
      <c r="BO1698" s="73"/>
      <c r="BP1698" s="73"/>
      <c r="BQ1698" s="73"/>
      <c r="BR1698" s="73"/>
      <c r="BS1698" s="73"/>
      <c r="BT1698" s="73"/>
      <c r="BU1698" s="73"/>
      <c r="BV1698" s="73"/>
      <c r="BW1698" s="73"/>
      <c r="BX1698" s="73"/>
      <c r="BY1698" s="73"/>
      <c r="BZ1698" s="73"/>
      <c r="CA1698" s="73"/>
      <c r="CB1698" s="73"/>
      <c r="CC1698" s="73"/>
      <c r="CD1698" s="73"/>
      <c r="CE1698" s="73"/>
      <c r="CF1698" s="73"/>
      <c r="CG1698" s="73"/>
      <c r="CH1698" s="73"/>
    </row>
    <row r="1699">
      <c r="A1699" s="80"/>
      <c r="B1699" s="80"/>
      <c r="C1699" s="80"/>
      <c r="D1699" s="80"/>
      <c r="E1699" s="124"/>
      <c r="F1699" s="80"/>
      <c r="G1699" s="80"/>
      <c r="H1699" s="80"/>
      <c r="I1699" s="80"/>
      <c r="J1699" s="196"/>
      <c r="K1699" s="196"/>
      <c r="L1699" s="196"/>
      <c r="M1699" s="196"/>
      <c r="N1699" s="196"/>
      <c r="O1699" s="196"/>
      <c r="P1699" s="196"/>
      <c r="Q1699" s="196"/>
      <c r="R1699" s="196"/>
      <c r="S1699" s="196"/>
      <c r="T1699" s="196"/>
      <c r="U1699" s="196"/>
      <c r="V1699" s="196"/>
      <c r="W1699" s="196"/>
      <c r="X1699" s="196"/>
      <c r="Y1699" s="196"/>
      <c r="Z1699" s="196"/>
      <c r="AA1699" s="196"/>
      <c r="AB1699" s="196"/>
      <c r="AC1699" s="196"/>
      <c r="AD1699" s="196"/>
      <c r="AE1699" s="196"/>
      <c r="AF1699" s="196"/>
      <c r="AG1699" s="196"/>
      <c r="AH1699" s="196"/>
      <c r="AI1699" s="196"/>
      <c r="AJ1699" s="197"/>
      <c r="AK1699" s="80"/>
      <c r="AL1699" s="80"/>
      <c r="AM1699" s="73"/>
      <c r="AN1699" s="73"/>
      <c r="AO1699" s="73"/>
      <c r="AP1699" s="73"/>
      <c r="AQ1699" s="73"/>
      <c r="AR1699" s="73"/>
      <c r="AS1699" s="73"/>
      <c r="AT1699" s="73"/>
      <c r="AU1699" s="73"/>
      <c r="AV1699" s="73"/>
      <c r="AW1699" s="73"/>
      <c r="AX1699" s="73"/>
      <c r="AY1699" s="73"/>
      <c r="AZ1699" s="73"/>
      <c r="BA1699" s="73"/>
      <c r="BB1699" s="73"/>
      <c r="BC1699" s="73"/>
      <c r="BD1699" s="73"/>
      <c r="BE1699" s="73"/>
      <c r="BF1699" s="73"/>
      <c r="BG1699" s="73"/>
      <c r="BH1699" s="73"/>
      <c r="BI1699" s="73"/>
      <c r="BJ1699" s="73"/>
      <c r="BK1699" s="73"/>
      <c r="BL1699" s="73"/>
      <c r="BM1699" s="73"/>
      <c r="BN1699" s="73"/>
      <c r="BO1699" s="73"/>
      <c r="BP1699" s="73"/>
      <c r="BQ1699" s="73"/>
      <c r="BR1699" s="73"/>
      <c r="BS1699" s="73"/>
      <c r="BT1699" s="73"/>
      <c r="BU1699" s="73"/>
      <c r="BV1699" s="73"/>
      <c r="BW1699" s="73"/>
      <c r="BX1699" s="73"/>
      <c r="BY1699" s="73"/>
      <c r="BZ1699" s="73"/>
      <c r="CA1699" s="73"/>
      <c r="CB1699" s="73"/>
      <c r="CC1699" s="73"/>
      <c r="CD1699" s="73"/>
      <c r="CE1699" s="73"/>
      <c r="CF1699" s="73"/>
      <c r="CG1699" s="73"/>
      <c r="CH1699" s="73"/>
    </row>
    <row r="1700">
      <c r="A1700" s="80"/>
      <c r="B1700" s="80"/>
      <c r="C1700" s="80"/>
      <c r="D1700" s="80"/>
      <c r="E1700" s="124"/>
      <c r="F1700" s="80"/>
      <c r="G1700" s="80"/>
      <c r="H1700" s="80"/>
      <c r="I1700" s="80"/>
      <c r="J1700" s="196"/>
      <c r="K1700" s="196"/>
      <c r="L1700" s="196"/>
      <c r="M1700" s="196"/>
      <c r="N1700" s="196"/>
      <c r="O1700" s="196"/>
      <c r="P1700" s="196"/>
      <c r="Q1700" s="196"/>
      <c r="R1700" s="196"/>
      <c r="S1700" s="196"/>
      <c r="T1700" s="196"/>
      <c r="U1700" s="196"/>
      <c r="V1700" s="196"/>
      <c r="W1700" s="196"/>
      <c r="X1700" s="196"/>
      <c r="Y1700" s="196"/>
      <c r="Z1700" s="196"/>
      <c r="AA1700" s="196"/>
      <c r="AB1700" s="196"/>
      <c r="AC1700" s="196"/>
      <c r="AD1700" s="196"/>
      <c r="AE1700" s="196"/>
      <c r="AF1700" s="196"/>
      <c r="AG1700" s="196"/>
      <c r="AH1700" s="196"/>
      <c r="AI1700" s="196"/>
      <c r="AJ1700" s="197"/>
      <c r="AK1700" s="80"/>
      <c r="AL1700" s="80"/>
      <c r="AM1700" s="73"/>
      <c r="AN1700" s="73"/>
      <c r="AO1700" s="73"/>
      <c r="AP1700" s="73"/>
      <c r="AQ1700" s="73"/>
      <c r="AR1700" s="73"/>
      <c r="AS1700" s="73"/>
      <c r="AT1700" s="73"/>
      <c r="AU1700" s="73"/>
      <c r="AV1700" s="73"/>
      <c r="AW1700" s="73"/>
      <c r="AX1700" s="73"/>
      <c r="AY1700" s="73"/>
      <c r="AZ1700" s="73"/>
      <c r="BA1700" s="73"/>
      <c r="BB1700" s="73"/>
      <c r="BC1700" s="73"/>
      <c r="BD1700" s="73"/>
      <c r="BE1700" s="73"/>
      <c r="BF1700" s="73"/>
      <c r="BG1700" s="73"/>
      <c r="BH1700" s="73"/>
      <c r="BI1700" s="73"/>
      <c r="BJ1700" s="73"/>
      <c r="BK1700" s="73"/>
      <c r="BL1700" s="73"/>
      <c r="BM1700" s="73"/>
      <c r="BN1700" s="73"/>
      <c r="BO1700" s="73"/>
      <c r="BP1700" s="73"/>
      <c r="BQ1700" s="73"/>
      <c r="BR1700" s="73"/>
      <c r="BS1700" s="73"/>
      <c r="BT1700" s="73"/>
      <c r="BU1700" s="73"/>
      <c r="BV1700" s="73"/>
      <c r="BW1700" s="73"/>
      <c r="BX1700" s="73"/>
      <c r="BY1700" s="73"/>
      <c r="BZ1700" s="73"/>
      <c r="CA1700" s="73"/>
      <c r="CB1700" s="73"/>
      <c r="CC1700" s="73"/>
      <c r="CD1700" s="73"/>
      <c r="CE1700" s="73"/>
      <c r="CF1700" s="73"/>
      <c r="CG1700" s="73"/>
      <c r="CH1700" s="73"/>
    </row>
    <row r="1701">
      <c r="A1701" s="80"/>
      <c r="B1701" s="80"/>
      <c r="C1701" s="80"/>
      <c r="D1701" s="80"/>
      <c r="E1701" s="124"/>
      <c r="F1701" s="80"/>
      <c r="G1701" s="80"/>
      <c r="H1701" s="80"/>
      <c r="I1701" s="80"/>
      <c r="J1701" s="196"/>
      <c r="K1701" s="196"/>
      <c r="L1701" s="196"/>
      <c r="M1701" s="196"/>
      <c r="N1701" s="196"/>
      <c r="O1701" s="196"/>
      <c r="P1701" s="196"/>
      <c r="Q1701" s="196"/>
      <c r="R1701" s="196"/>
      <c r="S1701" s="196"/>
      <c r="T1701" s="196"/>
      <c r="U1701" s="196"/>
      <c r="V1701" s="196"/>
      <c r="W1701" s="196"/>
      <c r="X1701" s="196"/>
      <c r="Y1701" s="196"/>
      <c r="Z1701" s="196"/>
      <c r="AA1701" s="196"/>
      <c r="AB1701" s="196"/>
      <c r="AC1701" s="196"/>
      <c r="AD1701" s="196"/>
      <c r="AE1701" s="196"/>
      <c r="AF1701" s="196"/>
      <c r="AG1701" s="196"/>
      <c r="AH1701" s="196"/>
      <c r="AI1701" s="196"/>
      <c r="AJ1701" s="197"/>
      <c r="AK1701" s="80"/>
      <c r="AL1701" s="80"/>
      <c r="AM1701" s="73"/>
      <c r="AN1701" s="73"/>
      <c r="AO1701" s="73"/>
      <c r="AP1701" s="73"/>
      <c r="AQ1701" s="73"/>
      <c r="AR1701" s="73"/>
      <c r="AS1701" s="73"/>
      <c r="AT1701" s="73"/>
      <c r="AU1701" s="73"/>
      <c r="AV1701" s="73"/>
      <c r="AW1701" s="73"/>
      <c r="AX1701" s="73"/>
      <c r="AY1701" s="73"/>
      <c r="AZ1701" s="73"/>
      <c r="BA1701" s="73"/>
      <c r="BB1701" s="73"/>
      <c r="BC1701" s="73"/>
      <c r="BD1701" s="73"/>
      <c r="BE1701" s="73"/>
      <c r="BF1701" s="73"/>
      <c r="BG1701" s="73"/>
      <c r="BH1701" s="73"/>
      <c r="BI1701" s="73"/>
      <c r="BJ1701" s="73"/>
      <c r="BK1701" s="73"/>
      <c r="BL1701" s="73"/>
      <c r="BM1701" s="73"/>
      <c r="BN1701" s="73"/>
      <c r="BO1701" s="73"/>
      <c r="BP1701" s="73"/>
      <c r="BQ1701" s="73"/>
      <c r="BR1701" s="73"/>
      <c r="BS1701" s="73"/>
      <c r="BT1701" s="73"/>
      <c r="BU1701" s="73"/>
      <c r="BV1701" s="73"/>
      <c r="BW1701" s="73"/>
      <c r="BX1701" s="73"/>
      <c r="BY1701" s="73"/>
      <c r="BZ1701" s="73"/>
      <c r="CA1701" s="73"/>
      <c r="CB1701" s="73"/>
      <c r="CC1701" s="73"/>
      <c r="CD1701" s="73"/>
      <c r="CE1701" s="73"/>
      <c r="CF1701" s="73"/>
      <c r="CG1701" s="73"/>
      <c r="CH1701" s="73"/>
    </row>
    <row r="1702">
      <c r="A1702" s="80"/>
      <c r="B1702" s="80"/>
      <c r="C1702" s="80"/>
      <c r="D1702" s="80"/>
      <c r="E1702" s="124"/>
      <c r="F1702" s="80"/>
      <c r="G1702" s="80"/>
      <c r="H1702" s="80"/>
      <c r="I1702" s="80"/>
      <c r="J1702" s="196"/>
      <c r="K1702" s="196"/>
      <c r="L1702" s="196"/>
      <c r="M1702" s="196"/>
      <c r="N1702" s="196"/>
      <c r="O1702" s="196"/>
      <c r="P1702" s="196"/>
      <c r="Q1702" s="196"/>
      <c r="R1702" s="196"/>
      <c r="S1702" s="196"/>
      <c r="T1702" s="196"/>
      <c r="U1702" s="196"/>
      <c r="V1702" s="196"/>
      <c r="W1702" s="196"/>
      <c r="X1702" s="196"/>
      <c r="Y1702" s="196"/>
      <c r="Z1702" s="196"/>
      <c r="AA1702" s="196"/>
      <c r="AB1702" s="196"/>
      <c r="AC1702" s="196"/>
      <c r="AD1702" s="196"/>
      <c r="AE1702" s="196"/>
      <c r="AF1702" s="196"/>
      <c r="AG1702" s="196"/>
      <c r="AH1702" s="196"/>
      <c r="AI1702" s="196"/>
      <c r="AJ1702" s="197"/>
      <c r="AK1702" s="80"/>
      <c r="AL1702" s="80"/>
      <c r="AM1702" s="73"/>
      <c r="AN1702" s="73"/>
      <c r="AO1702" s="73"/>
      <c r="AP1702" s="73"/>
      <c r="AQ1702" s="73"/>
      <c r="AR1702" s="73"/>
      <c r="AS1702" s="73"/>
      <c r="AT1702" s="73"/>
      <c r="AU1702" s="73"/>
      <c r="AV1702" s="73"/>
      <c r="AW1702" s="73"/>
      <c r="AX1702" s="73"/>
      <c r="AY1702" s="73"/>
      <c r="AZ1702" s="73"/>
      <c r="BA1702" s="73"/>
      <c r="BB1702" s="73"/>
      <c r="BC1702" s="73"/>
      <c r="BD1702" s="73"/>
      <c r="BE1702" s="73"/>
      <c r="BF1702" s="73"/>
      <c r="BG1702" s="73"/>
      <c r="BH1702" s="73"/>
      <c r="BI1702" s="73"/>
      <c r="BJ1702" s="73"/>
      <c r="BK1702" s="73"/>
      <c r="BL1702" s="73"/>
      <c r="BM1702" s="73"/>
      <c r="BN1702" s="73"/>
      <c r="BO1702" s="73"/>
      <c r="BP1702" s="73"/>
      <c r="BQ1702" s="73"/>
      <c r="BR1702" s="73"/>
      <c r="BS1702" s="73"/>
      <c r="BT1702" s="73"/>
      <c r="BU1702" s="73"/>
      <c r="BV1702" s="73"/>
      <c r="BW1702" s="73"/>
      <c r="BX1702" s="73"/>
      <c r="BY1702" s="73"/>
      <c r="BZ1702" s="73"/>
      <c r="CA1702" s="73"/>
      <c r="CB1702" s="73"/>
      <c r="CC1702" s="73"/>
      <c r="CD1702" s="73"/>
      <c r="CE1702" s="73"/>
      <c r="CF1702" s="73"/>
      <c r="CG1702" s="73"/>
      <c r="CH1702" s="73"/>
    </row>
    <row r="1703">
      <c r="A1703" s="80"/>
      <c r="B1703" s="80"/>
      <c r="C1703" s="80"/>
      <c r="D1703" s="80"/>
      <c r="E1703" s="124"/>
      <c r="F1703" s="80"/>
      <c r="G1703" s="80"/>
      <c r="H1703" s="80"/>
      <c r="I1703" s="80"/>
      <c r="J1703" s="196"/>
      <c r="K1703" s="196"/>
      <c r="L1703" s="196"/>
      <c r="M1703" s="196"/>
      <c r="N1703" s="196"/>
      <c r="O1703" s="196"/>
      <c r="P1703" s="196"/>
      <c r="Q1703" s="196"/>
      <c r="R1703" s="196"/>
      <c r="S1703" s="196"/>
      <c r="T1703" s="196"/>
      <c r="U1703" s="196"/>
      <c r="V1703" s="196"/>
      <c r="W1703" s="196"/>
      <c r="X1703" s="196"/>
      <c r="Y1703" s="196"/>
      <c r="Z1703" s="196"/>
      <c r="AA1703" s="196"/>
      <c r="AB1703" s="196"/>
      <c r="AC1703" s="196"/>
      <c r="AD1703" s="196"/>
      <c r="AE1703" s="196"/>
      <c r="AF1703" s="196"/>
      <c r="AG1703" s="196"/>
      <c r="AH1703" s="196"/>
      <c r="AI1703" s="196"/>
      <c r="AJ1703" s="197"/>
      <c r="AK1703" s="80"/>
      <c r="AL1703" s="80"/>
      <c r="AM1703" s="73"/>
      <c r="AN1703" s="73"/>
      <c r="AO1703" s="73"/>
      <c r="AP1703" s="73"/>
      <c r="AQ1703" s="73"/>
      <c r="AR1703" s="73"/>
      <c r="AS1703" s="73"/>
      <c r="AT1703" s="73"/>
      <c r="AU1703" s="73"/>
      <c r="AV1703" s="73"/>
      <c r="AW1703" s="73"/>
      <c r="AX1703" s="73"/>
      <c r="AY1703" s="73"/>
      <c r="AZ1703" s="73"/>
      <c r="BA1703" s="73"/>
      <c r="BB1703" s="73"/>
      <c r="BC1703" s="73"/>
      <c r="BD1703" s="73"/>
      <c r="BE1703" s="73"/>
      <c r="BF1703" s="73"/>
      <c r="BG1703" s="73"/>
      <c r="BH1703" s="73"/>
      <c r="BI1703" s="73"/>
      <c r="BJ1703" s="73"/>
      <c r="BK1703" s="73"/>
      <c r="BL1703" s="73"/>
      <c r="BM1703" s="73"/>
      <c r="BN1703" s="73"/>
      <c r="BO1703" s="73"/>
      <c r="BP1703" s="73"/>
      <c r="BQ1703" s="73"/>
      <c r="BR1703" s="73"/>
      <c r="BS1703" s="73"/>
      <c r="BT1703" s="73"/>
      <c r="BU1703" s="73"/>
      <c r="BV1703" s="73"/>
      <c r="BW1703" s="73"/>
      <c r="BX1703" s="73"/>
      <c r="BY1703" s="73"/>
      <c r="BZ1703" s="73"/>
      <c r="CA1703" s="73"/>
      <c r="CB1703" s="73"/>
      <c r="CC1703" s="73"/>
      <c r="CD1703" s="73"/>
      <c r="CE1703" s="73"/>
      <c r="CF1703" s="73"/>
      <c r="CG1703" s="73"/>
      <c r="CH1703" s="73"/>
    </row>
    <row r="1704">
      <c r="A1704" s="80"/>
      <c r="B1704" s="80"/>
      <c r="C1704" s="80"/>
      <c r="D1704" s="80"/>
      <c r="E1704" s="124"/>
      <c r="F1704" s="80"/>
      <c r="G1704" s="80"/>
      <c r="H1704" s="80"/>
      <c r="I1704" s="80"/>
      <c r="J1704" s="196"/>
      <c r="K1704" s="196"/>
      <c r="L1704" s="196"/>
      <c r="M1704" s="196"/>
      <c r="N1704" s="196"/>
      <c r="O1704" s="196"/>
      <c r="P1704" s="196"/>
      <c r="Q1704" s="196"/>
      <c r="R1704" s="196"/>
      <c r="S1704" s="196"/>
      <c r="T1704" s="196"/>
      <c r="U1704" s="196"/>
      <c r="V1704" s="196"/>
      <c r="W1704" s="196"/>
      <c r="X1704" s="196"/>
      <c r="Y1704" s="196"/>
      <c r="Z1704" s="196"/>
      <c r="AA1704" s="196"/>
      <c r="AB1704" s="196"/>
      <c r="AC1704" s="196"/>
      <c r="AD1704" s="196"/>
      <c r="AE1704" s="196"/>
      <c r="AF1704" s="196"/>
      <c r="AG1704" s="196"/>
      <c r="AH1704" s="196"/>
      <c r="AI1704" s="196"/>
      <c r="AJ1704" s="197"/>
      <c r="AK1704" s="80"/>
      <c r="AL1704" s="80"/>
      <c r="AM1704" s="73"/>
      <c r="AN1704" s="73"/>
      <c r="AO1704" s="73"/>
      <c r="AP1704" s="73"/>
      <c r="AQ1704" s="73"/>
      <c r="AR1704" s="73"/>
      <c r="AS1704" s="73"/>
      <c r="AT1704" s="73"/>
      <c r="AU1704" s="73"/>
      <c r="AV1704" s="73"/>
      <c r="AW1704" s="73"/>
      <c r="AX1704" s="73"/>
      <c r="AY1704" s="73"/>
      <c r="AZ1704" s="73"/>
      <c r="BA1704" s="73"/>
      <c r="BB1704" s="73"/>
      <c r="BC1704" s="73"/>
      <c r="BD1704" s="73"/>
      <c r="BE1704" s="73"/>
      <c r="BF1704" s="73"/>
      <c r="BG1704" s="73"/>
      <c r="BH1704" s="73"/>
      <c r="BI1704" s="73"/>
      <c r="BJ1704" s="73"/>
      <c r="BK1704" s="73"/>
      <c r="BL1704" s="73"/>
      <c r="BM1704" s="73"/>
      <c r="BN1704" s="73"/>
      <c r="BO1704" s="73"/>
      <c r="BP1704" s="73"/>
      <c r="BQ1704" s="73"/>
      <c r="BR1704" s="73"/>
      <c r="BS1704" s="73"/>
      <c r="BT1704" s="73"/>
      <c r="BU1704" s="73"/>
      <c r="BV1704" s="73"/>
      <c r="BW1704" s="73"/>
      <c r="BX1704" s="73"/>
      <c r="BY1704" s="73"/>
      <c r="BZ1704" s="73"/>
      <c r="CA1704" s="73"/>
      <c r="CB1704" s="73"/>
      <c r="CC1704" s="73"/>
      <c r="CD1704" s="73"/>
      <c r="CE1704" s="73"/>
      <c r="CF1704" s="73"/>
      <c r="CG1704" s="73"/>
      <c r="CH1704" s="73"/>
    </row>
    <row r="1705">
      <c r="A1705" s="80"/>
      <c r="B1705" s="80"/>
      <c r="C1705" s="80"/>
      <c r="D1705" s="80"/>
      <c r="E1705" s="124"/>
      <c r="F1705" s="80"/>
      <c r="G1705" s="80"/>
      <c r="H1705" s="80"/>
      <c r="I1705" s="80"/>
      <c r="J1705" s="196"/>
      <c r="K1705" s="196"/>
      <c r="L1705" s="196"/>
      <c r="M1705" s="196"/>
      <c r="N1705" s="196"/>
      <c r="O1705" s="196"/>
      <c r="P1705" s="196"/>
      <c r="Q1705" s="196"/>
      <c r="R1705" s="196"/>
      <c r="S1705" s="196"/>
      <c r="T1705" s="196"/>
      <c r="U1705" s="196"/>
      <c r="V1705" s="196"/>
      <c r="W1705" s="196"/>
      <c r="X1705" s="196"/>
      <c r="Y1705" s="196"/>
      <c r="Z1705" s="196"/>
      <c r="AA1705" s="196"/>
      <c r="AB1705" s="196"/>
      <c r="AC1705" s="196"/>
      <c r="AD1705" s="196"/>
      <c r="AE1705" s="196"/>
      <c r="AF1705" s="196"/>
      <c r="AG1705" s="196"/>
      <c r="AH1705" s="196"/>
      <c r="AI1705" s="196"/>
      <c r="AJ1705" s="197"/>
      <c r="AK1705" s="80"/>
      <c r="AL1705" s="80"/>
      <c r="AM1705" s="73"/>
      <c r="AN1705" s="73"/>
      <c r="AO1705" s="73"/>
      <c r="AP1705" s="73"/>
      <c r="AQ1705" s="73"/>
      <c r="AR1705" s="73"/>
      <c r="AS1705" s="73"/>
      <c r="AT1705" s="73"/>
      <c r="AU1705" s="73"/>
      <c r="AV1705" s="73"/>
      <c r="AW1705" s="73"/>
      <c r="AX1705" s="73"/>
      <c r="AY1705" s="73"/>
      <c r="AZ1705" s="73"/>
      <c r="BA1705" s="73"/>
      <c r="BB1705" s="73"/>
      <c r="BC1705" s="73"/>
      <c r="BD1705" s="73"/>
      <c r="BE1705" s="73"/>
      <c r="BF1705" s="73"/>
      <c r="BG1705" s="73"/>
      <c r="BH1705" s="73"/>
      <c r="BI1705" s="73"/>
      <c r="BJ1705" s="73"/>
      <c r="BK1705" s="73"/>
      <c r="BL1705" s="73"/>
      <c r="BM1705" s="73"/>
      <c r="BN1705" s="73"/>
      <c r="BO1705" s="73"/>
      <c r="BP1705" s="73"/>
      <c r="BQ1705" s="73"/>
      <c r="BR1705" s="73"/>
      <c r="BS1705" s="73"/>
      <c r="BT1705" s="73"/>
      <c r="BU1705" s="73"/>
      <c r="BV1705" s="73"/>
      <c r="BW1705" s="73"/>
      <c r="BX1705" s="73"/>
      <c r="BY1705" s="73"/>
      <c r="BZ1705" s="73"/>
      <c r="CA1705" s="73"/>
      <c r="CB1705" s="73"/>
      <c r="CC1705" s="73"/>
      <c r="CD1705" s="73"/>
      <c r="CE1705" s="73"/>
      <c r="CF1705" s="73"/>
      <c r="CG1705" s="73"/>
      <c r="CH1705" s="73"/>
    </row>
    <row r="1706">
      <c r="A1706" s="80"/>
      <c r="B1706" s="80"/>
      <c r="C1706" s="80"/>
      <c r="D1706" s="80"/>
      <c r="E1706" s="124"/>
      <c r="F1706" s="80"/>
      <c r="G1706" s="80"/>
      <c r="H1706" s="80"/>
      <c r="I1706" s="80"/>
      <c r="J1706" s="196"/>
      <c r="K1706" s="196"/>
      <c r="L1706" s="196"/>
      <c r="M1706" s="196"/>
      <c r="N1706" s="196"/>
      <c r="O1706" s="196"/>
      <c r="P1706" s="196"/>
      <c r="Q1706" s="196"/>
      <c r="R1706" s="196"/>
      <c r="S1706" s="196"/>
      <c r="T1706" s="196"/>
      <c r="U1706" s="196"/>
      <c r="V1706" s="196"/>
      <c r="W1706" s="196"/>
      <c r="X1706" s="196"/>
      <c r="Y1706" s="196"/>
      <c r="Z1706" s="196"/>
      <c r="AA1706" s="196"/>
      <c r="AB1706" s="196"/>
      <c r="AC1706" s="196"/>
      <c r="AD1706" s="196"/>
      <c r="AE1706" s="196"/>
      <c r="AF1706" s="196"/>
      <c r="AG1706" s="196"/>
      <c r="AH1706" s="196"/>
      <c r="AI1706" s="196"/>
      <c r="AJ1706" s="197"/>
      <c r="AK1706" s="80"/>
      <c r="AL1706" s="80"/>
      <c r="AM1706" s="73"/>
      <c r="AN1706" s="73"/>
      <c r="AO1706" s="73"/>
      <c r="AP1706" s="73"/>
      <c r="AQ1706" s="73"/>
      <c r="AR1706" s="73"/>
      <c r="AS1706" s="73"/>
      <c r="AT1706" s="73"/>
      <c r="AU1706" s="73"/>
      <c r="AV1706" s="73"/>
      <c r="AW1706" s="73"/>
      <c r="AX1706" s="73"/>
      <c r="AY1706" s="73"/>
      <c r="AZ1706" s="73"/>
      <c r="BA1706" s="73"/>
      <c r="BB1706" s="73"/>
      <c r="BC1706" s="73"/>
      <c r="BD1706" s="73"/>
      <c r="BE1706" s="73"/>
      <c r="BF1706" s="73"/>
      <c r="BG1706" s="73"/>
      <c r="BH1706" s="73"/>
      <c r="BI1706" s="73"/>
      <c r="BJ1706" s="73"/>
      <c r="BK1706" s="73"/>
      <c r="BL1706" s="73"/>
      <c r="BM1706" s="73"/>
      <c r="BN1706" s="73"/>
      <c r="BO1706" s="73"/>
      <c r="BP1706" s="73"/>
      <c r="BQ1706" s="73"/>
      <c r="BR1706" s="73"/>
      <c r="BS1706" s="73"/>
      <c r="BT1706" s="73"/>
      <c r="BU1706" s="73"/>
      <c r="BV1706" s="73"/>
      <c r="BW1706" s="73"/>
      <c r="BX1706" s="73"/>
      <c r="BY1706" s="73"/>
      <c r="BZ1706" s="73"/>
      <c r="CA1706" s="73"/>
      <c r="CB1706" s="73"/>
      <c r="CC1706" s="73"/>
      <c r="CD1706" s="73"/>
      <c r="CE1706" s="73"/>
      <c r="CF1706" s="73"/>
      <c r="CG1706" s="73"/>
      <c r="CH1706" s="73"/>
    </row>
    <row r="1707">
      <c r="A1707" s="80"/>
      <c r="B1707" s="80"/>
      <c r="C1707" s="80"/>
      <c r="D1707" s="80"/>
      <c r="E1707" s="124"/>
      <c r="F1707" s="80"/>
      <c r="G1707" s="80"/>
      <c r="H1707" s="80"/>
      <c r="I1707" s="80"/>
      <c r="J1707" s="196"/>
      <c r="K1707" s="196"/>
      <c r="L1707" s="196"/>
      <c r="M1707" s="196"/>
      <c r="N1707" s="196"/>
      <c r="O1707" s="196"/>
      <c r="P1707" s="196"/>
      <c r="Q1707" s="196"/>
      <c r="R1707" s="196"/>
      <c r="S1707" s="196"/>
      <c r="T1707" s="196"/>
      <c r="U1707" s="196"/>
      <c r="V1707" s="196"/>
      <c r="W1707" s="196"/>
      <c r="X1707" s="196"/>
      <c r="Y1707" s="196"/>
      <c r="Z1707" s="196"/>
      <c r="AA1707" s="196"/>
      <c r="AB1707" s="196"/>
      <c r="AC1707" s="196"/>
      <c r="AD1707" s="196"/>
      <c r="AE1707" s="196"/>
      <c r="AF1707" s="196"/>
      <c r="AG1707" s="196"/>
      <c r="AH1707" s="196"/>
      <c r="AI1707" s="196"/>
      <c r="AJ1707" s="197"/>
      <c r="AK1707" s="80"/>
      <c r="AL1707" s="80"/>
      <c r="AM1707" s="73"/>
      <c r="AN1707" s="73"/>
      <c r="AO1707" s="73"/>
      <c r="AP1707" s="73"/>
      <c r="AQ1707" s="73"/>
      <c r="AR1707" s="73"/>
      <c r="AS1707" s="73"/>
      <c r="AT1707" s="73"/>
      <c r="AU1707" s="73"/>
      <c r="AV1707" s="73"/>
      <c r="AW1707" s="73"/>
      <c r="AX1707" s="73"/>
      <c r="AY1707" s="73"/>
      <c r="AZ1707" s="73"/>
      <c r="BA1707" s="73"/>
      <c r="BB1707" s="73"/>
      <c r="BC1707" s="73"/>
      <c r="BD1707" s="73"/>
      <c r="BE1707" s="73"/>
      <c r="BF1707" s="73"/>
      <c r="BG1707" s="73"/>
      <c r="BH1707" s="73"/>
      <c r="BI1707" s="73"/>
      <c r="BJ1707" s="73"/>
      <c r="BK1707" s="73"/>
      <c r="BL1707" s="73"/>
      <c r="BM1707" s="73"/>
      <c r="BN1707" s="73"/>
      <c r="BO1707" s="73"/>
      <c r="BP1707" s="73"/>
      <c r="BQ1707" s="73"/>
      <c r="BR1707" s="73"/>
      <c r="BS1707" s="73"/>
      <c r="BT1707" s="73"/>
      <c r="BU1707" s="73"/>
      <c r="BV1707" s="73"/>
      <c r="BW1707" s="73"/>
      <c r="BX1707" s="73"/>
      <c r="BY1707" s="73"/>
      <c r="BZ1707" s="73"/>
      <c r="CA1707" s="73"/>
      <c r="CB1707" s="73"/>
      <c r="CC1707" s="73"/>
      <c r="CD1707" s="73"/>
      <c r="CE1707" s="73"/>
      <c r="CF1707" s="73"/>
      <c r="CG1707" s="73"/>
      <c r="CH1707" s="73"/>
    </row>
    <row r="1708">
      <c r="A1708" s="80"/>
      <c r="B1708" s="80"/>
      <c r="C1708" s="80"/>
      <c r="D1708" s="80"/>
      <c r="E1708" s="124"/>
      <c r="F1708" s="80"/>
      <c r="G1708" s="80"/>
      <c r="H1708" s="80"/>
      <c r="I1708" s="80"/>
      <c r="J1708" s="196"/>
      <c r="K1708" s="196"/>
      <c r="L1708" s="196"/>
      <c r="M1708" s="196"/>
      <c r="N1708" s="196"/>
      <c r="O1708" s="196"/>
      <c r="P1708" s="196"/>
      <c r="Q1708" s="196"/>
      <c r="R1708" s="196"/>
      <c r="S1708" s="196"/>
      <c r="T1708" s="196"/>
      <c r="U1708" s="196"/>
      <c r="V1708" s="196"/>
      <c r="W1708" s="196"/>
      <c r="X1708" s="196"/>
      <c r="Y1708" s="196"/>
      <c r="Z1708" s="196"/>
      <c r="AA1708" s="196"/>
      <c r="AB1708" s="196"/>
      <c r="AC1708" s="196"/>
      <c r="AD1708" s="196"/>
      <c r="AE1708" s="196"/>
      <c r="AF1708" s="196"/>
      <c r="AG1708" s="196"/>
      <c r="AH1708" s="196"/>
      <c r="AI1708" s="196"/>
      <c r="AJ1708" s="197"/>
      <c r="AK1708" s="80"/>
      <c r="AL1708" s="80"/>
      <c r="AM1708" s="73"/>
      <c r="AN1708" s="73"/>
      <c r="AO1708" s="73"/>
      <c r="AP1708" s="73"/>
      <c r="AQ1708" s="73"/>
      <c r="AR1708" s="73"/>
      <c r="AS1708" s="73"/>
      <c r="AT1708" s="73"/>
      <c r="AU1708" s="73"/>
      <c r="AV1708" s="73"/>
      <c r="AW1708" s="73"/>
      <c r="AX1708" s="73"/>
      <c r="AY1708" s="73"/>
      <c r="AZ1708" s="73"/>
      <c r="BA1708" s="73"/>
      <c r="BB1708" s="73"/>
      <c r="BC1708" s="73"/>
      <c r="BD1708" s="73"/>
      <c r="BE1708" s="73"/>
      <c r="BF1708" s="73"/>
      <c r="BG1708" s="73"/>
      <c r="BH1708" s="73"/>
      <c r="BI1708" s="73"/>
      <c r="BJ1708" s="73"/>
      <c r="BK1708" s="73"/>
      <c r="BL1708" s="73"/>
      <c r="BM1708" s="73"/>
      <c r="BN1708" s="73"/>
      <c r="BO1708" s="73"/>
      <c r="BP1708" s="73"/>
      <c r="BQ1708" s="73"/>
      <c r="BR1708" s="73"/>
      <c r="BS1708" s="73"/>
      <c r="BT1708" s="73"/>
      <c r="BU1708" s="73"/>
      <c r="BV1708" s="73"/>
      <c r="BW1708" s="73"/>
      <c r="BX1708" s="73"/>
      <c r="BY1708" s="73"/>
      <c r="BZ1708" s="73"/>
      <c r="CA1708" s="73"/>
      <c r="CB1708" s="73"/>
      <c r="CC1708" s="73"/>
      <c r="CD1708" s="73"/>
      <c r="CE1708" s="73"/>
      <c r="CF1708" s="73"/>
      <c r="CG1708" s="73"/>
      <c r="CH1708" s="73"/>
    </row>
    <row r="1709">
      <c r="A1709" s="80"/>
      <c r="B1709" s="80"/>
      <c r="C1709" s="80"/>
      <c r="D1709" s="80"/>
      <c r="E1709" s="124"/>
      <c r="F1709" s="80"/>
      <c r="G1709" s="80"/>
      <c r="H1709" s="80"/>
      <c r="I1709" s="80"/>
      <c r="J1709" s="196"/>
      <c r="K1709" s="196"/>
      <c r="L1709" s="196"/>
      <c r="M1709" s="196"/>
      <c r="N1709" s="196"/>
      <c r="O1709" s="196"/>
      <c r="P1709" s="196"/>
      <c r="Q1709" s="196"/>
      <c r="R1709" s="196"/>
      <c r="S1709" s="196"/>
      <c r="T1709" s="196"/>
      <c r="U1709" s="196"/>
      <c r="V1709" s="196"/>
      <c r="W1709" s="196"/>
      <c r="X1709" s="196"/>
      <c r="Y1709" s="196"/>
      <c r="Z1709" s="196"/>
      <c r="AA1709" s="196"/>
      <c r="AB1709" s="196"/>
      <c r="AC1709" s="196"/>
      <c r="AD1709" s="196"/>
      <c r="AE1709" s="196"/>
      <c r="AF1709" s="196"/>
      <c r="AG1709" s="196"/>
      <c r="AH1709" s="196"/>
      <c r="AI1709" s="196"/>
      <c r="AJ1709" s="197"/>
      <c r="AK1709" s="80"/>
      <c r="AL1709" s="80"/>
      <c r="AM1709" s="73"/>
      <c r="AN1709" s="73"/>
      <c r="AO1709" s="73"/>
      <c r="AP1709" s="73"/>
      <c r="AQ1709" s="73"/>
      <c r="AR1709" s="73"/>
      <c r="AS1709" s="73"/>
      <c r="AT1709" s="73"/>
      <c r="AU1709" s="73"/>
      <c r="AV1709" s="73"/>
      <c r="AW1709" s="73"/>
      <c r="AX1709" s="73"/>
      <c r="AY1709" s="73"/>
      <c r="AZ1709" s="73"/>
      <c r="BA1709" s="73"/>
      <c r="BB1709" s="73"/>
      <c r="BC1709" s="73"/>
      <c r="BD1709" s="73"/>
      <c r="BE1709" s="73"/>
      <c r="BF1709" s="73"/>
      <c r="BG1709" s="73"/>
      <c r="BH1709" s="73"/>
      <c r="BI1709" s="73"/>
      <c r="BJ1709" s="73"/>
      <c r="BK1709" s="73"/>
      <c r="BL1709" s="73"/>
      <c r="BM1709" s="73"/>
      <c r="BN1709" s="73"/>
      <c r="BO1709" s="73"/>
      <c r="BP1709" s="73"/>
      <c r="BQ1709" s="73"/>
      <c r="BR1709" s="73"/>
      <c r="BS1709" s="73"/>
      <c r="BT1709" s="73"/>
      <c r="BU1709" s="73"/>
      <c r="BV1709" s="73"/>
      <c r="BW1709" s="73"/>
      <c r="BX1709" s="73"/>
      <c r="BY1709" s="73"/>
      <c r="BZ1709" s="73"/>
      <c r="CA1709" s="73"/>
      <c r="CB1709" s="73"/>
      <c r="CC1709" s="73"/>
      <c r="CD1709" s="73"/>
      <c r="CE1709" s="73"/>
      <c r="CF1709" s="73"/>
      <c r="CG1709" s="73"/>
      <c r="CH1709" s="73"/>
    </row>
    <row r="1710">
      <c r="A1710" s="80"/>
      <c r="B1710" s="80"/>
      <c r="C1710" s="80"/>
      <c r="D1710" s="80"/>
      <c r="E1710" s="124"/>
      <c r="F1710" s="80"/>
      <c r="G1710" s="80"/>
      <c r="H1710" s="80"/>
      <c r="I1710" s="80"/>
      <c r="J1710" s="196"/>
      <c r="K1710" s="196"/>
      <c r="L1710" s="196"/>
      <c r="M1710" s="196"/>
      <c r="N1710" s="196"/>
      <c r="O1710" s="196"/>
      <c r="P1710" s="196"/>
      <c r="Q1710" s="196"/>
      <c r="R1710" s="196"/>
      <c r="S1710" s="196"/>
      <c r="T1710" s="196"/>
      <c r="U1710" s="196"/>
      <c r="V1710" s="196"/>
      <c r="W1710" s="196"/>
      <c r="X1710" s="196"/>
      <c r="Y1710" s="196"/>
      <c r="Z1710" s="196"/>
      <c r="AA1710" s="196"/>
      <c r="AB1710" s="196"/>
      <c r="AC1710" s="196"/>
      <c r="AD1710" s="196"/>
      <c r="AE1710" s="196"/>
      <c r="AF1710" s="196"/>
      <c r="AG1710" s="196"/>
      <c r="AH1710" s="196"/>
      <c r="AI1710" s="196"/>
      <c r="AJ1710" s="197"/>
      <c r="AK1710" s="80"/>
      <c r="AL1710" s="80"/>
      <c r="AM1710" s="73"/>
      <c r="AN1710" s="73"/>
      <c r="AO1710" s="73"/>
      <c r="AP1710" s="73"/>
      <c r="AQ1710" s="73"/>
      <c r="AR1710" s="73"/>
      <c r="AS1710" s="73"/>
      <c r="AT1710" s="73"/>
      <c r="AU1710" s="73"/>
      <c r="AV1710" s="73"/>
      <c r="AW1710" s="73"/>
      <c r="AX1710" s="73"/>
      <c r="AY1710" s="73"/>
      <c r="AZ1710" s="73"/>
      <c r="BA1710" s="73"/>
      <c r="BB1710" s="73"/>
      <c r="BC1710" s="73"/>
      <c r="BD1710" s="73"/>
      <c r="BE1710" s="73"/>
      <c r="BF1710" s="73"/>
      <c r="BG1710" s="73"/>
      <c r="BH1710" s="73"/>
      <c r="BI1710" s="73"/>
      <c r="BJ1710" s="73"/>
      <c r="BK1710" s="73"/>
      <c r="BL1710" s="73"/>
      <c r="BM1710" s="73"/>
      <c r="BN1710" s="73"/>
      <c r="BO1710" s="73"/>
      <c r="BP1710" s="73"/>
      <c r="BQ1710" s="73"/>
      <c r="BR1710" s="73"/>
      <c r="BS1710" s="73"/>
      <c r="BT1710" s="73"/>
      <c r="BU1710" s="73"/>
      <c r="BV1710" s="73"/>
      <c r="BW1710" s="73"/>
      <c r="BX1710" s="73"/>
      <c r="BY1710" s="73"/>
      <c r="BZ1710" s="73"/>
      <c r="CA1710" s="73"/>
      <c r="CB1710" s="73"/>
      <c r="CC1710" s="73"/>
      <c r="CD1710" s="73"/>
      <c r="CE1710" s="73"/>
      <c r="CF1710" s="73"/>
      <c r="CG1710" s="73"/>
      <c r="CH1710" s="73"/>
    </row>
    <row r="1711">
      <c r="A1711" s="80"/>
      <c r="B1711" s="80"/>
      <c r="C1711" s="80"/>
      <c r="D1711" s="80"/>
      <c r="E1711" s="124"/>
      <c r="F1711" s="80"/>
      <c r="G1711" s="80"/>
      <c r="H1711" s="80"/>
      <c r="I1711" s="80"/>
      <c r="J1711" s="196"/>
      <c r="K1711" s="196"/>
      <c r="L1711" s="196"/>
      <c r="M1711" s="196"/>
      <c r="N1711" s="196"/>
      <c r="O1711" s="196"/>
      <c r="P1711" s="196"/>
      <c r="Q1711" s="196"/>
      <c r="R1711" s="196"/>
      <c r="S1711" s="196"/>
      <c r="T1711" s="196"/>
      <c r="U1711" s="196"/>
      <c r="V1711" s="196"/>
      <c r="W1711" s="196"/>
      <c r="X1711" s="196"/>
      <c r="Y1711" s="196"/>
      <c r="Z1711" s="196"/>
      <c r="AA1711" s="196"/>
      <c r="AB1711" s="196"/>
      <c r="AC1711" s="196"/>
      <c r="AD1711" s="196"/>
      <c r="AE1711" s="196"/>
      <c r="AF1711" s="196"/>
      <c r="AG1711" s="196"/>
      <c r="AH1711" s="196"/>
      <c r="AI1711" s="196"/>
      <c r="AJ1711" s="197"/>
      <c r="AK1711" s="80"/>
      <c r="AL1711" s="80"/>
      <c r="AM1711" s="73"/>
      <c r="AN1711" s="73"/>
      <c r="AO1711" s="73"/>
      <c r="AP1711" s="73"/>
      <c r="AQ1711" s="73"/>
      <c r="AR1711" s="73"/>
      <c r="AS1711" s="73"/>
      <c r="AT1711" s="73"/>
      <c r="AU1711" s="73"/>
      <c r="AV1711" s="73"/>
      <c r="AW1711" s="73"/>
      <c r="AX1711" s="73"/>
      <c r="AY1711" s="73"/>
      <c r="AZ1711" s="73"/>
      <c r="BA1711" s="73"/>
      <c r="BB1711" s="73"/>
      <c r="BC1711" s="73"/>
      <c r="BD1711" s="73"/>
      <c r="BE1711" s="73"/>
      <c r="BF1711" s="73"/>
      <c r="BG1711" s="73"/>
      <c r="BH1711" s="73"/>
      <c r="BI1711" s="73"/>
      <c r="BJ1711" s="73"/>
      <c r="BK1711" s="73"/>
      <c r="BL1711" s="73"/>
      <c r="BM1711" s="73"/>
      <c r="BN1711" s="73"/>
      <c r="BO1711" s="73"/>
      <c r="BP1711" s="73"/>
      <c r="BQ1711" s="73"/>
      <c r="BR1711" s="73"/>
      <c r="BS1711" s="73"/>
      <c r="BT1711" s="73"/>
      <c r="BU1711" s="73"/>
      <c r="BV1711" s="73"/>
      <c r="BW1711" s="73"/>
      <c r="BX1711" s="73"/>
      <c r="BY1711" s="73"/>
      <c r="BZ1711" s="73"/>
      <c r="CA1711" s="73"/>
      <c r="CB1711" s="73"/>
      <c r="CC1711" s="73"/>
      <c r="CD1711" s="73"/>
      <c r="CE1711" s="73"/>
      <c r="CF1711" s="73"/>
      <c r="CG1711" s="73"/>
      <c r="CH1711" s="73"/>
    </row>
    <row r="1712">
      <c r="A1712" s="80"/>
      <c r="B1712" s="80"/>
      <c r="C1712" s="80"/>
      <c r="D1712" s="80"/>
      <c r="E1712" s="124"/>
      <c r="F1712" s="80"/>
      <c r="G1712" s="80"/>
      <c r="H1712" s="80"/>
      <c r="I1712" s="80"/>
      <c r="J1712" s="196"/>
      <c r="K1712" s="196"/>
      <c r="L1712" s="196"/>
      <c r="M1712" s="196"/>
      <c r="N1712" s="196"/>
      <c r="O1712" s="196"/>
      <c r="P1712" s="196"/>
      <c r="Q1712" s="196"/>
      <c r="R1712" s="196"/>
      <c r="S1712" s="196"/>
      <c r="T1712" s="196"/>
      <c r="U1712" s="196"/>
      <c r="V1712" s="196"/>
      <c r="W1712" s="196"/>
      <c r="X1712" s="196"/>
      <c r="Y1712" s="196"/>
      <c r="Z1712" s="196"/>
      <c r="AA1712" s="196"/>
      <c r="AB1712" s="196"/>
      <c r="AC1712" s="196"/>
      <c r="AD1712" s="196"/>
      <c r="AE1712" s="196"/>
      <c r="AF1712" s="196"/>
      <c r="AG1712" s="196"/>
      <c r="AH1712" s="196"/>
      <c r="AI1712" s="196"/>
      <c r="AJ1712" s="197"/>
      <c r="AK1712" s="80"/>
      <c r="AL1712" s="80"/>
      <c r="AM1712" s="73"/>
      <c r="AN1712" s="73"/>
      <c r="AO1712" s="73"/>
      <c r="AP1712" s="73"/>
      <c r="AQ1712" s="73"/>
      <c r="AR1712" s="73"/>
      <c r="AS1712" s="73"/>
      <c r="AT1712" s="73"/>
      <c r="AU1712" s="73"/>
      <c r="AV1712" s="73"/>
      <c r="AW1712" s="73"/>
      <c r="AX1712" s="73"/>
      <c r="AY1712" s="73"/>
      <c r="AZ1712" s="73"/>
      <c r="BA1712" s="73"/>
      <c r="BB1712" s="73"/>
      <c r="BC1712" s="73"/>
      <c r="BD1712" s="73"/>
      <c r="BE1712" s="73"/>
      <c r="BF1712" s="73"/>
      <c r="BG1712" s="73"/>
      <c r="BH1712" s="73"/>
      <c r="BI1712" s="73"/>
      <c r="BJ1712" s="73"/>
      <c r="BK1712" s="73"/>
      <c r="BL1712" s="73"/>
      <c r="BM1712" s="73"/>
      <c r="BN1712" s="73"/>
      <c r="BO1712" s="73"/>
      <c r="BP1712" s="73"/>
      <c r="BQ1712" s="73"/>
      <c r="BR1712" s="73"/>
      <c r="BS1712" s="73"/>
      <c r="BT1712" s="73"/>
      <c r="BU1712" s="73"/>
      <c r="BV1712" s="73"/>
      <c r="BW1712" s="73"/>
      <c r="BX1712" s="73"/>
      <c r="BY1712" s="73"/>
      <c r="BZ1712" s="73"/>
      <c r="CA1712" s="73"/>
      <c r="CB1712" s="73"/>
      <c r="CC1712" s="73"/>
      <c r="CD1712" s="73"/>
      <c r="CE1712" s="73"/>
      <c r="CF1712" s="73"/>
      <c r="CG1712" s="73"/>
      <c r="CH1712" s="73"/>
    </row>
    <row r="1713">
      <c r="A1713" s="80"/>
      <c r="B1713" s="80"/>
      <c r="C1713" s="80"/>
      <c r="D1713" s="80"/>
      <c r="E1713" s="124"/>
      <c r="F1713" s="80"/>
      <c r="G1713" s="80"/>
      <c r="H1713" s="80"/>
      <c r="I1713" s="80"/>
      <c r="J1713" s="196"/>
      <c r="K1713" s="196"/>
      <c r="L1713" s="196"/>
      <c r="M1713" s="196"/>
      <c r="N1713" s="196"/>
      <c r="O1713" s="196"/>
      <c r="P1713" s="196"/>
      <c r="Q1713" s="196"/>
      <c r="R1713" s="196"/>
      <c r="S1713" s="196"/>
      <c r="T1713" s="196"/>
      <c r="U1713" s="196"/>
      <c r="V1713" s="196"/>
      <c r="W1713" s="196"/>
      <c r="X1713" s="196"/>
      <c r="Y1713" s="196"/>
      <c r="Z1713" s="196"/>
      <c r="AA1713" s="196"/>
      <c r="AB1713" s="196"/>
      <c r="AC1713" s="196"/>
      <c r="AD1713" s="196"/>
      <c r="AE1713" s="196"/>
      <c r="AF1713" s="196"/>
      <c r="AG1713" s="196"/>
      <c r="AH1713" s="196"/>
      <c r="AI1713" s="196"/>
      <c r="AJ1713" s="197"/>
      <c r="AK1713" s="80"/>
      <c r="AL1713" s="80"/>
      <c r="AM1713" s="73"/>
      <c r="AN1713" s="73"/>
      <c r="AO1713" s="73"/>
      <c r="AP1713" s="73"/>
      <c r="AQ1713" s="73"/>
      <c r="AR1713" s="73"/>
      <c r="AS1713" s="73"/>
      <c r="AT1713" s="73"/>
      <c r="AU1713" s="73"/>
      <c r="AV1713" s="73"/>
      <c r="AW1713" s="73"/>
      <c r="AX1713" s="73"/>
      <c r="AY1713" s="73"/>
      <c r="AZ1713" s="73"/>
      <c r="BA1713" s="73"/>
      <c r="BB1713" s="73"/>
      <c r="BC1713" s="73"/>
      <c r="BD1713" s="73"/>
      <c r="BE1713" s="73"/>
      <c r="BF1713" s="73"/>
      <c r="BG1713" s="73"/>
      <c r="BH1713" s="73"/>
      <c r="BI1713" s="73"/>
      <c r="BJ1713" s="73"/>
      <c r="BK1713" s="73"/>
      <c r="BL1713" s="73"/>
      <c r="BM1713" s="73"/>
      <c r="BN1713" s="73"/>
      <c r="BO1713" s="73"/>
      <c r="BP1713" s="73"/>
      <c r="BQ1713" s="73"/>
      <c r="BR1713" s="73"/>
      <c r="BS1713" s="73"/>
      <c r="BT1713" s="73"/>
      <c r="BU1713" s="73"/>
      <c r="BV1713" s="73"/>
      <c r="BW1713" s="73"/>
      <c r="BX1713" s="73"/>
      <c r="BY1713" s="73"/>
      <c r="BZ1713" s="73"/>
      <c r="CA1713" s="73"/>
      <c r="CB1713" s="73"/>
      <c r="CC1713" s="73"/>
      <c r="CD1713" s="73"/>
      <c r="CE1713" s="73"/>
      <c r="CF1713" s="73"/>
      <c r="CG1713" s="73"/>
      <c r="CH1713" s="73"/>
    </row>
    <row r="1714">
      <c r="A1714" s="80"/>
      <c r="B1714" s="80"/>
      <c r="C1714" s="80"/>
      <c r="D1714" s="80"/>
      <c r="E1714" s="124"/>
      <c r="F1714" s="80"/>
      <c r="G1714" s="80"/>
      <c r="H1714" s="80"/>
      <c r="I1714" s="80"/>
      <c r="J1714" s="196"/>
      <c r="K1714" s="196"/>
      <c r="L1714" s="196"/>
      <c r="M1714" s="196"/>
      <c r="N1714" s="196"/>
      <c r="O1714" s="196"/>
      <c r="P1714" s="196"/>
      <c r="Q1714" s="196"/>
      <c r="R1714" s="196"/>
      <c r="S1714" s="196"/>
      <c r="T1714" s="196"/>
      <c r="U1714" s="196"/>
      <c r="V1714" s="196"/>
      <c r="W1714" s="196"/>
      <c r="X1714" s="196"/>
      <c r="Y1714" s="196"/>
      <c r="Z1714" s="196"/>
      <c r="AA1714" s="196"/>
      <c r="AB1714" s="196"/>
      <c r="AC1714" s="196"/>
      <c r="AD1714" s="196"/>
      <c r="AE1714" s="196"/>
      <c r="AF1714" s="196"/>
      <c r="AG1714" s="196"/>
      <c r="AH1714" s="196"/>
      <c r="AI1714" s="196"/>
      <c r="AJ1714" s="197"/>
      <c r="AK1714" s="80"/>
      <c r="AL1714" s="80"/>
      <c r="AM1714" s="73"/>
      <c r="AN1714" s="73"/>
      <c r="AO1714" s="73"/>
      <c r="AP1714" s="73"/>
      <c r="AQ1714" s="73"/>
      <c r="AR1714" s="73"/>
      <c r="AS1714" s="73"/>
      <c r="AT1714" s="73"/>
      <c r="AU1714" s="73"/>
      <c r="AV1714" s="73"/>
      <c r="AW1714" s="73"/>
      <c r="AX1714" s="73"/>
      <c r="AY1714" s="73"/>
      <c r="AZ1714" s="73"/>
      <c r="BA1714" s="73"/>
      <c r="BB1714" s="73"/>
      <c r="BC1714" s="73"/>
      <c r="BD1714" s="73"/>
      <c r="BE1714" s="73"/>
      <c r="BF1714" s="73"/>
      <c r="BG1714" s="73"/>
      <c r="BH1714" s="73"/>
      <c r="BI1714" s="73"/>
      <c r="BJ1714" s="73"/>
      <c r="BK1714" s="73"/>
      <c r="BL1714" s="73"/>
      <c r="BM1714" s="73"/>
      <c r="BN1714" s="73"/>
      <c r="BO1714" s="73"/>
      <c r="BP1714" s="73"/>
      <c r="BQ1714" s="73"/>
      <c r="BR1714" s="73"/>
      <c r="BS1714" s="73"/>
      <c r="BT1714" s="73"/>
      <c r="BU1714" s="73"/>
      <c r="BV1714" s="73"/>
      <c r="BW1714" s="73"/>
      <c r="BX1714" s="73"/>
      <c r="BY1714" s="73"/>
      <c r="BZ1714" s="73"/>
      <c r="CA1714" s="73"/>
      <c r="CB1714" s="73"/>
      <c r="CC1714" s="73"/>
      <c r="CD1714" s="73"/>
      <c r="CE1714" s="73"/>
      <c r="CF1714" s="73"/>
      <c r="CG1714" s="73"/>
      <c r="CH1714" s="73"/>
    </row>
    <row r="1715">
      <c r="A1715" s="80"/>
      <c r="B1715" s="80"/>
      <c r="C1715" s="80"/>
      <c r="D1715" s="80"/>
      <c r="E1715" s="124"/>
      <c r="F1715" s="80"/>
      <c r="G1715" s="80"/>
      <c r="H1715" s="80"/>
      <c r="I1715" s="80"/>
      <c r="J1715" s="196"/>
      <c r="K1715" s="196"/>
      <c r="L1715" s="196"/>
      <c r="M1715" s="196"/>
      <c r="N1715" s="196"/>
      <c r="O1715" s="196"/>
      <c r="P1715" s="196"/>
      <c r="Q1715" s="196"/>
      <c r="R1715" s="196"/>
      <c r="S1715" s="196"/>
      <c r="T1715" s="196"/>
      <c r="U1715" s="196"/>
      <c r="V1715" s="196"/>
      <c r="W1715" s="196"/>
      <c r="X1715" s="196"/>
      <c r="Y1715" s="196"/>
      <c r="Z1715" s="196"/>
      <c r="AA1715" s="196"/>
      <c r="AB1715" s="196"/>
      <c r="AC1715" s="196"/>
      <c r="AD1715" s="196"/>
      <c r="AE1715" s="196"/>
      <c r="AF1715" s="196"/>
      <c r="AG1715" s="196"/>
      <c r="AH1715" s="196"/>
      <c r="AI1715" s="196"/>
      <c r="AJ1715" s="197"/>
      <c r="AK1715" s="80"/>
      <c r="AL1715" s="80"/>
      <c r="AM1715" s="73"/>
      <c r="AN1715" s="73"/>
      <c r="AO1715" s="73"/>
      <c r="AP1715" s="73"/>
      <c r="AQ1715" s="73"/>
      <c r="AR1715" s="73"/>
      <c r="AS1715" s="73"/>
      <c r="AT1715" s="73"/>
      <c r="AU1715" s="73"/>
      <c r="AV1715" s="73"/>
      <c r="AW1715" s="73"/>
      <c r="AX1715" s="73"/>
      <c r="AY1715" s="73"/>
      <c r="AZ1715" s="73"/>
      <c r="BA1715" s="73"/>
      <c r="BB1715" s="73"/>
      <c r="BC1715" s="73"/>
      <c r="BD1715" s="73"/>
      <c r="BE1715" s="73"/>
      <c r="BF1715" s="73"/>
      <c r="BG1715" s="73"/>
      <c r="BH1715" s="73"/>
      <c r="BI1715" s="73"/>
      <c r="BJ1715" s="73"/>
      <c r="BK1715" s="73"/>
      <c r="BL1715" s="73"/>
      <c r="BM1715" s="73"/>
      <c r="BN1715" s="73"/>
      <c r="BO1715" s="73"/>
      <c r="BP1715" s="73"/>
      <c r="BQ1715" s="73"/>
      <c r="BR1715" s="73"/>
      <c r="BS1715" s="73"/>
      <c r="BT1715" s="73"/>
      <c r="BU1715" s="73"/>
      <c r="BV1715" s="73"/>
      <c r="BW1715" s="73"/>
      <c r="BX1715" s="73"/>
      <c r="BY1715" s="73"/>
      <c r="BZ1715" s="73"/>
      <c r="CA1715" s="73"/>
      <c r="CB1715" s="73"/>
      <c r="CC1715" s="73"/>
      <c r="CD1715" s="73"/>
      <c r="CE1715" s="73"/>
      <c r="CF1715" s="73"/>
      <c r="CG1715" s="73"/>
      <c r="CH1715" s="73"/>
    </row>
    <row r="1716">
      <c r="A1716" s="80"/>
      <c r="B1716" s="80"/>
      <c r="C1716" s="80"/>
      <c r="D1716" s="80"/>
      <c r="E1716" s="124"/>
      <c r="F1716" s="80"/>
      <c r="G1716" s="80"/>
      <c r="H1716" s="80"/>
      <c r="I1716" s="80"/>
      <c r="J1716" s="196"/>
      <c r="K1716" s="196"/>
      <c r="L1716" s="196"/>
      <c r="M1716" s="196"/>
      <c r="N1716" s="196"/>
      <c r="O1716" s="196"/>
      <c r="P1716" s="196"/>
      <c r="Q1716" s="196"/>
      <c r="R1716" s="196"/>
      <c r="S1716" s="196"/>
      <c r="T1716" s="196"/>
      <c r="U1716" s="196"/>
      <c r="V1716" s="196"/>
      <c r="W1716" s="196"/>
      <c r="X1716" s="196"/>
      <c r="Y1716" s="196"/>
      <c r="Z1716" s="196"/>
      <c r="AA1716" s="196"/>
      <c r="AB1716" s="196"/>
      <c r="AC1716" s="196"/>
      <c r="AD1716" s="196"/>
      <c r="AE1716" s="196"/>
      <c r="AF1716" s="196"/>
      <c r="AG1716" s="196"/>
      <c r="AH1716" s="196"/>
      <c r="AI1716" s="196"/>
      <c r="AJ1716" s="197"/>
      <c r="AK1716" s="80"/>
      <c r="AL1716" s="80"/>
      <c r="AM1716" s="73"/>
      <c r="AN1716" s="73"/>
      <c r="AO1716" s="73"/>
      <c r="AP1716" s="73"/>
      <c r="AQ1716" s="73"/>
      <c r="AR1716" s="73"/>
      <c r="AS1716" s="73"/>
      <c r="AT1716" s="73"/>
      <c r="AU1716" s="73"/>
      <c r="AV1716" s="73"/>
      <c r="AW1716" s="73"/>
      <c r="AX1716" s="73"/>
      <c r="AY1716" s="73"/>
      <c r="AZ1716" s="73"/>
      <c r="BA1716" s="73"/>
      <c r="BB1716" s="73"/>
      <c r="BC1716" s="73"/>
      <c r="BD1716" s="73"/>
      <c r="BE1716" s="73"/>
      <c r="BF1716" s="73"/>
      <c r="BG1716" s="73"/>
      <c r="BH1716" s="73"/>
      <c r="BI1716" s="73"/>
      <c r="BJ1716" s="73"/>
      <c r="BK1716" s="73"/>
      <c r="BL1716" s="73"/>
      <c r="BM1716" s="73"/>
      <c r="BN1716" s="73"/>
      <c r="BO1716" s="73"/>
      <c r="BP1716" s="73"/>
      <c r="BQ1716" s="73"/>
      <c r="BR1716" s="73"/>
      <c r="BS1716" s="73"/>
      <c r="BT1716" s="73"/>
      <c r="BU1716" s="73"/>
      <c r="BV1716" s="73"/>
      <c r="BW1716" s="73"/>
      <c r="BX1716" s="73"/>
      <c r="BY1716" s="73"/>
      <c r="BZ1716" s="73"/>
      <c r="CA1716" s="73"/>
      <c r="CB1716" s="73"/>
      <c r="CC1716" s="73"/>
      <c r="CD1716" s="73"/>
      <c r="CE1716" s="73"/>
      <c r="CF1716" s="73"/>
      <c r="CG1716" s="73"/>
      <c r="CH1716" s="73"/>
    </row>
    <row r="1717">
      <c r="A1717" s="80"/>
      <c r="B1717" s="80"/>
      <c r="C1717" s="80"/>
      <c r="D1717" s="80"/>
      <c r="E1717" s="124"/>
      <c r="F1717" s="80"/>
      <c r="G1717" s="80"/>
      <c r="H1717" s="80"/>
      <c r="I1717" s="80"/>
      <c r="J1717" s="196"/>
      <c r="K1717" s="196"/>
      <c r="L1717" s="196"/>
      <c r="M1717" s="196"/>
      <c r="N1717" s="196"/>
      <c r="O1717" s="196"/>
      <c r="P1717" s="196"/>
      <c r="Q1717" s="196"/>
      <c r="R1717" s="196"/>
      <c r="S1717" s="196"/>
      <c r="T1717" s="196"/>
      <c r="U1717" s="196"/>
      <c r="V1717" s="196"/>
      <c r="W1717" s="196"/>
      <c r="X1717" s="196"/>
      <c r="Y1717" s="196"/>
      <c r="Z1717" s="196"/>
      <c r="AA1717" s="196"/>
      <c r="AB1717" s="196"/>
      <c r="AC1717" s="196"/>
      <c r="AD1717" s="196"/>
      <c r="AE1717" s="196"/>
      <c r="AF1717" s="196"/>
      <c r="AG1717" s="196"/>
      <c r="AH1717" s="196"/>
      <c r="AI1717" s="196"/>
      <c r="AJ1717" s="197"/>
      <c r="AK1717" s="80"/>
      <c r="AL1717" s="80"/>
      <c r="AM1717" s="73"/>
      <c r="AN1717" s="73"/>
      <c r="AO1717" s="73"/>
      <c r="AP1717" s="73"/>
      <c r="AQ1717" s="73"/>
      <c r="AR1717" s="73"/>
      <c r="AS1717" s="73"/>
      <c r="AT1717" s="73"/>
      <c r="AU1717" s="73"/>
      <c r="AV1717" s="73"/>
      <c r="AW1717" s="73"/>
      <c r="AX1717" s="73"/>
      <c r="AY1717" s="73"/>
      <c r="AZ1717" s="73"/>
      <c r="BA1717" s="73"/>
      <c r="BB1717" s="73"/>
      <c r="BC1717" s="73"/>
      <c r="BD1717" s="73"/>
      <c r="BE1717" s="73"/>
      <c r="BF1717" s="73"/>
      <c r="BG1717" s="73"/>
      <c r="BH1717" s="73"/>
      <c r="BI1717" s="73"/>
      <c r="BJ1717" s="73"/>
      <c r="BK1717" s="73"/>
      <c r="BL1717" s="73"/>
      <c r="BM1717" s="73"/>
      <c r="BN1717" s="73"/>
      <c r="BO1717" s="73"/>
      <c r="BP1717" s="73"/>
      <c r="BQ1717" s="73"/>
      <c r="BR1717" s="73"/>
      <c r="BS1717" s="73"/>
      <c r="BT1717" s="73"/>
      <c r="BU1717" s="73"/>
      <c r="BV1717" s="73"/>
      <c r="BW1717" s="73"/>
      <c r="BX1717" s="73"/>
      <c r="BY1717" s="73"/>
      <c r="BZ1717" s="73"/>
      <c r="CA1717" s="73"/>
      <c r="CB1717" s="73"/>
      <c r="CC1717" s="73"/>
      <c r="CD1717" s="73"/>
      <c r="CE1717" s="73"/>
      <c r="CF1717" s="73"/>
      <c r="CG1717" s="73"/>
      <c r="CH1717" s="73"/>
    </row>
    <row r="1718">
      <c r="A1718" s="80"/>
      <c r="B1718" s="80"/>
      <c r="C1718" s="80"/>
      <c r="D1718" s="80"/>
      <c r="E1718" s="124"/>
      <c r="F1718" s="80"/>
      <c r="G1718" s="80"/>
      <c r="H1718" s="80"/>
      <c r="I1718" s="80"/>
      <c r="J1718" s="196"/>
      <c r="K1718" s="196"/>
      <c r="L1718" s="196"/>
      <c r="M1718" s="196"/>
      <c r="N1718" s="196"/>
      <c r="O1718" s="196"/>
      <c r="P1718" s="196"/>
      <c r="Q1718" s="196"/>
      <c r="R1718" s="196"/>
      <c r="S1718" s="196"/>
      <c r="T1718" s="196"/>
      <c r="U1718" s="196"/>
      <c r="V1718" s="196"/>
      <c r="W1718" s="196"/>
      <c r="X1718" s="196"/>
      <c r="Y1718" s="196"/>
      <c r="Z1718" s="196"/>
      <c r="AA1718" s="196"/>
      <c r="AB1718" s="196"/>
      <c r="AC1718" s="196"/>
      <c r="AD1718" s="196"/>
      <c r="AE1718" s="196"/>
      <c r="AF1718" s="196"/>
      <c r="AG1718" s="196"/>
      <c r="AH1718" s="196"/>
      <c r="AI1718" s="196"/>
      <c r="AJ1718" s="197"/>
      <c r="AK1718" s="80"/>
      <c r="AL1718" s="80"/>
      <c r="AM1718" s="73"/>
      <c r="AN1718" s="73"/>
      <c r="AO1718" s="73"/>
      <c r="AP1718" s="73"/>
      <c r="AQ1718" s="73"/>
      <c r="AR1718" s="73"/>
      <c r="AS1718" s="73"/>
      <c r="AT1718" s="73"/>
      <c r="AU1718" s="73"/>
      <c r="AV1718" s="73"/>
      <c r="AW1718" s="73"/>
      <c r="AX1718" s="73"/>
      <c r="AY1718" s="73"/>
      <c r="AZ1718" s="73"/>
      <c r="BA1718" s="73"/>
      <c r="BB1718" s="73"/>
      <c r="BC1718" s="73"/>
      <c r="BD1718" s="73"/>
      <c r="BE1718" s="73"/>
      <c r="BF1718" s="73"/>
      <c r="BG1718" s="73"/>
      <c r="BH1718" s="73"/>
      <c r="BI1718" s="73"/>
      <c r="BJ1718" s="73"/>
      <c r="BK1718" s="73"/>
      <c r="BL1718" s="73"/>
      <c r="BM1718" s="73"/>
      <c r="BN1718" s="73"/>
      <c r="BO1718" s="73"/>
      <c r="BP1718" s="73"/>
      <c r="BQ1718" s="73"/>
      <c r="BR1718" s="73"/>
      <c r="BS1718" s="73"/>
      <c r="BT1718" s="73"/>
      <c r="BU1718" s="73"/>
      <c r="BV1718" s="73"/>
      <c r="BW1718" s="73"/>
      <c r="BX1718" s="73"/>
      <c r="BY1718" s="73"/>
      <c r="BZ1718" s="73"/>
      <c r="CA1718" s="73"/>
      <c r="CB1718" s="73"/>
      <c r="CC1718" s="73"/>
      <c r="CD1718" s="73"/>
      <c r="CE1718" s="73"/>
      <c r="CF1718" s="73"/>
      <c r="CG1718" s="73"/>
      <c r="CH1718" s="73"/>
    </row>
    <row r="1719">
      <c r="A1719" s="80"/>
      <c r="B1719" s="80"/>
      <c r="C1719" s="80"/>
      <c r="D1719" s="80"/>
      <c r="E1719" s="124"/>
      <c r="F1719" s="80"/>
      <c r="G1719" s="80"/>
      <c r="H1719" s="80"/>
      <c r="I1719" s="80"/>
      <c r="J1719" s="196"/>
      <c r="K1719" s="196"/>
      <c r="L1719" s="196"/>
      <c r="M1719" s="196"/>
      <c r="N1719" s="196"/>
      <c r="O1719" s="196"/>
      <c r="P1719" s="196"/>
      <c r="Q1719" s="196"/>
      <c r="R1719" s="196"/>
      <c r="S1719" s="196"/>
      <c r="T1719" s="196"/>
      <c r="U1719" s="196"/>
      <c r="V1719" s="196"/>
      <c r="W1719" s="196"/>
      <c r="X1719" s="196"/>
      <c r="Y1719" s="196"/>
      <c r="Z1719" s="196"/>
      <c r="AA1719" s="196"/>
      <c r="AB1719" s="196"/>
      <c r="AC1719" s="196"/>
      <c r="AD1719" s="196"/>
      <c r="AE1719" s="196"/>
      <c r="AF1719" s="196"/>
      <c r="AG1719" s="196"/>
      <c r="AH1719" s="196"/>
      <c r="AI1719" s="196"/>
      <c r="AJ1719" s="197"/>
      <c r="AK1719" s="80"/>
      <c r="AL1719" s="80"/>
      <c r="AM1719" s="73"/>
      <c r="AN1719" s="73"/>
      <c r="AO1719" s="73"/>
      <c r="AP1719" s="73"/>
      <c r="AQ1719" s="73"/>
      <c r="AR1719" s="73"/>
      <c r="AS1719" s="73"/>
      <c r="AT1719" s="73"/>
      <c r="AU1719" s="73"/>
      <c r="AV1719" s="73"/>
      <c r="AW1719" s="73"/>
      <c r="AX1719" s="73"/>
      <c r="AY1719" s="73"/>
      <c r="AZ1719" s="73"/>
      <c r="BA1719" s="73"/>
      <c r="BB1719" s="73"/>
      <c r="BC1719" s="73"/>
      <c r="BD1719" s="73"/>
      <c r="BE1719" s="73"/>
      <c r="BF1719" s="73"/>
      <c r="BG1719" s="73"/>
      <c r="BH1719" s="73"/>
      <c r="BI1719" s="73"/>
      <c r="BJ1719" s="73"/>
      <c r="BK1719" s="73"/>
      <c r="BL1719" s="73"/>
      <c r="BM1719" s="73"/>
      <c r="BN1719" s="73"/>
      <c r="BO1719" s="73"/>
      <c r="BP1719" s="73"/>
      <c r="BQ1719" s="73"/>
      <c r="BR1719" s="73"/>
      <c r="BS1719" s="73"/>
      <c r="BT1719" s="73"/>
      <c r="BU1719" s="73"/>
      <c r="BV1719" s="73"/>
      <c r="BW1719" s="73"/>
      <c r="BX1719" s="73"/>
      <c r="BY1719" s="73"/>
      <c r="BZ1719" s="73"/>
      <c r="CA1719" s="73"/>
      <c r="CB1719" s="73"/>
      <c r="CC1719" s="73"/>
      <c r="CD1719" s="73"/>
      <c r="CE1719" s="73"/>
      <c r="CF1719" s="73"/>
      <c r="CG1719" s="73"/>
      <c r="CH1719" s="73"/>
    </row>
    <row r="1720">
      <c r="A1720" s="80"/>
      <c r="B1720" s="80"/>
      <c r="C1720" s="80"/>
      <c r="D1720" s="80"/>
      <c r="E1720" s="124"/>
      <c r="F1720" s="80"/>
      <c r="G1720" s="80"/>
      <c r="H1720" s="80"/>
      <c r="I1720" s="80"/>
      <c r="J1720" s="196"/>
      <c r="K1720" s="196"/>
      <c r="L1720" s="196"/>
      <c r="M1720" s="196"/>
      <c r="N1720" s="196"/>
      <c r="O1720" s="196"/>
      <c r="P1720" s="196"/>
      <c r="Q1720" s="196"/>
      <c r="R1720" s="196"/>
      <c r="S1720" s="196"/>
      <c r="T1720" s="196"/>
      <c r="U1720" s="196"/>
      <c r="V1720" s="196"/>
      <c r="W1720" s="196"/>
      <c r="X1720" s="196"/>
      <c r="Y1720" s="196"/>
      <c r="Z1720" s="196"/>
      <c r="AA1720" s="196"/>
      <c r="AB1720" s="196"/>
      <c r="AC1720" s="196"/>
      <c r="AD1720" s="196"/>
      <c r="AE1720" s="196"/>
      <c r="AF1720" s="196"/>
      <c r="AG1720" s="196"/>
      <c r="AH1720" s="196"/>
      <c r="AI1720" s="196"/>
      <c r="AJ1720" s="197"/>
      <c r="AK1720" s="80"/>
      <c r="AL1720" s="80"/>
      <c r="AM1720" s="73"/>
      <c r="AN1720" s="73"/>
      <c r="AO1720" s="73"/>
      <c r="AP1720" s="73"/>
      <c r="AQ1720" s="73"/>
      <c r="AR1720" s="73"/>
      <c r="AS1720" s="73"/>
      <c r="AT1720" s="73"/>
      <c r="AU1720" s="73"/>
      <c r="AV1720" s="73"/>
      <c r="AW1720" s="73"/>
      <c r="AX1720" s="73"/>
      <c r="AY1720" s="73"/>
      <c r="AZ1720" s="73"/>
      <c r="BA1720" s="73"/>
      <c r="BB1720" s="73"/>
      <c r="BC1720" s="73"/>
      <c r="BD1720" s="73"/>
      <c r="BE1720" s="73"/>
      <c r="BF1720" s="73"/>
      <c r="BG1720" s="73"/>
      <c r="BH1720" s="73"/>
      <c r="BI1720" s="73"/>
      <c r="BJ1720" s="73"/>
      <c r="BK1720" s="73"/>
      <c r="BL1720" s="73"/>
      <c r="BM1720" s="73"/>
      <c r="BN1720" s="73"/>
      <c r="BO1720" s="73"/>
      <c r="BP1720" s="73"/>
      <c r="BQ1720" s="73"/>
      <c r="BR1720" s="73"/>
      <c r="BS1720" s="73"/>
      <c r="BT1720" s="73"/>
      <c r="BU1720" s="73"/>
      <c r="BV1720" s="73"/>
      <c r="BW1720" s="73"/>
      <c r="BX1720" s="73"/>
      <c r="BY1720" s="73"/>
      <c r="BZ1720" s="73"/>
      <c r="CA1720" s="73"/>
      <c r="CB1720" s="73"/>
      <c r="CC1720" s="73"/>
      <c r="CD1720" s="73"/>
      <c r="CE1720" s="73"/>
      <c r="CF1720" s="73"/>
      <c r="CG1720" s="73"/>
      <c r="CH1720" s="73"/>
    </row>
    <row r="1721">
      <c r="A1721" s="80"/>
      <c r="B1721" s="80"/>
      <c r="C1721" s="80"/>
      <c r="D1721" s="80"/>
      <c r="E1721" s="124"/>
      <c r="F1721" s="80"/>
      <c r="G1721" s="80"/>
      <c r="H1721" s="80"/>
      <c r="I1721" s="80"/>
      <c r="J1721" s="196"/>
      <c r="K1721" s="196"/>
      <c r="L1721" s="196"/>
      <c r="M1721" s="196"/>
      <c r="N1721" s="196"/>
      <c r="O1721" s="196"/>
      <c r="P1721" s="196"/>
      <c r="Q1721" s="196"/>
      <c r="R1721" s="196"/>
      <c r="S1721" s="196"/>
      <c r="T1721" s="196"/>
      <c r="U1721" s="196"/>
      <c r="V1721" s="196"/>
      <c r="W1721" s="196"/>
      <c r="X1721" s="196"/>
      <c r="Y1721" s="196"/>
      <c r="Z1721" s="196"/>
      <c r="AA1721" s="196"/>
      <c r="AB1721" s="196"/>
      <c r="AC1721" s="196"/>
      <c r="AD1721" s="196"/>
      <c r="AE1721" s="196"/>
      <c r="AF1721" s="196"/>
      <c r="AG1721" s="196"/>
      <c r="AH1721" s="196"/>
      <c r="AI1721" s="196"/>
      <c r="AJ1721" s="197"/>
      <c r="AK1721" s="80"/>
      <c r="AL1721" s="80"/>
      <c r="AM1721" s="73"/>
      <c r="AN1721" s="73"/>
      <c r="AO1721" s="73"/>
      <c r="AP1721" s="73"/>
      <c r="AQ1721" s="73"/>
      <c r="AR1721" s="73"/>
      <c r="AS1721" s="73"/>
      <c r="AT1721" s="73"/>
      <c r="AU1721" s="73"/>
      <c r="AV1721" s="73"/>
      <c r="AW1721" s="73"/>
      <c r="AX1721" s="73"/>
      <c r="AY1721" s="73"/>
      <c r="AZ1721" s="73"/>
      <c r="BA1721" s="73"/>
      <c r="BB1721" s="73"/>
      <c r="BC1721" s="73"/>
      <c r="BD1721" s="73"/>
      <c r="BE1721" s="73"/>
      <c r="BF1721" s="73"/>
      <c r="BG1721" s="73"/>
      <c r="BH1721" s="73"/>
      <c r="BI1721" s="73"/>
      <c r="BJ1721" s="73"/>
      <c r="BK1721" s="73"/>
      <c r="BL1721" s="73"/>
      <c r="BM1721" s="73"/>
      <c r="BN1721" s="73"/>
      <c r="BO1721" s="73"/>
      <c r="BP1721" s="73"/>
      <c r="BQ1721" s="73"/>
      <c r="BR1721" s="73"/>
      <c r="BS1721" s="73"/>
      <c r="BT1721" s="73"/>
      <c r="BU1721" s="73"/>
      <c r="BV1721" s="73"/>
      <c r="BW1721" s="73"/>
      <c r="BX1721" s="73"/>
      <c r="BY1721" s="73"/>
      <c r="BZ1721" s="73"/>
      <c r="CA1721" s="73"/>
      <c r="CB1721" s="73"/>
      <c r="CC1721" s="73"/>
      <c r="CD1721" s="73"/>
      <c r="CE1721" s="73"/>
      <c r="CF1721" s="73"/>
      <c r="CG1721" s="73"/>
      <c r="CH1721" s="73"/>
    </row>
    <row r="1722">
      <c r="A1722" s="80"/>
      <c r="B1722" s="80"/>
      <c r="C1722" s="80"/>
      <c r="D1722" s="80"/>
      <c r="E1722" s="124"/>
      <c r="F1722" s="80"/>
      <c r="G1722" s="80"/>
      <c r="H1722" s="80"/>
      <c r="I1722" s="80"/>
      <c r="J1722" s="196"/>
      <c r="K1722" s="196"/>
      <c r="L1722" s="196"/>
      <c r="M1722" s="196"/>
      <c r="N1722" s="196"/>
      <c r="O1722" s="196"/>
      <c r="P1722" s="196"/>
      <c r="Q1722" s="196"/>
      <c r="R1722" s="196"/>
      <c r="S1722" s="196"/>
      <c r="T1722" s="196"/>
      <c r="U1722" s="196"/>
      <c r="V1722" s="196"/>
      <c r="W1722" s="196"/>
      <c r="X1722" s="196"/>
      <c r="Y1722" s="196"/>
      <c r="Z1722" s="196"/>
      <c r="AA1722" s="196"/>
      <c r="AB1722" s="196"/>
      <c r="AC1722" s="196"/>
      <c r="AD1722" s="196"/>
      <c r="AE1722" s="196"/>
      <c r="AF1722" s="196"/>
      <c r="AG1722" s="196"/>
      <c r="AH1722" s="196"/>
      <c r="AI1722" s="196"/>
      <c r="AJ1722" s="197"/>
      <c r="AK1722" s="80"/>
      <c r="AL1722" s="80"/>
      <c r="AM1722" s="73"/>
      <c r="AN1722" s="73"/>
      <c r="AO1722" s="73"/>
      <c r="AP1722" s="73"/>
      <c r="AQ1722" s="73"/>
      <c r="AR1722" s="73"/>
      <c r="AS1722" s="73"/>
      <c r="AT1722" s="73"/>
      <c r="AU1722" s="73"/>
      <c r="AV1722" s="73"/>
      <c r="AW1722" s="73"/>
      <c r="AX1722" s="73"/>
      <c r="AY1722" s="73"/>
      <c r="AZ1722" s="73"/>
      <c r="BA1722" s="73"/>
      <c r="BB1722" s="73"/>
      <c r="BC1722" s="73"/>
      <c r="BD1722" s="73"/>
      <c r="BE1722" s="73"/>
      <c r="BF1722" s="73"/>
      <c r="BG1722" s="73"/>
      <c r="BH1722" s="73"/>
      <c r="BI1722" s="73"/>
      <c r="BJ1722" s="73"/>
      <c r="BK1722" s="73"/>
      <c r="BL1722" s="73"/>
      <c r="BM1722" s="73"/>
      <c r="BN1722" s="73"/>
      <c r="BO1722" s="73"/>
      <c r="BP1722" s="73"/>
      <c r="BQ1722" s="73"/>
      <c r="BR1722" s="73"/>
      <c r="BS1722" s="73"/>
      <c r="BT1722" s="73"/>
      <c r="BU1722" s="73"/>
      <c r="BV1722" s="73"/>
      <c r="BW1722" s="73"/>
      <c r="BX1722" s="73"/>
      <c r="BY1722" s="73"/>
      <c r="BZ1722" s="73"/>
      <c r="CA1722" s="73"/>
      <c r="CB1722" s="73"/>
      <c r="CC1722" s="73"/>
      <c r="CD1722" s="73"/>
      <c r="CE1722" s="73"/>
      <c r="CF1722" s="73"/>
      <c r="CG1722" s="73"/>
      <c r="CH1722" s="73"/>
    </row>
    <row r="1723">
      <c r="A1723" s="80"/>
      <c r="B1723" s="80"/>
      <c r="C1723" s="80"/>
      <c r="D1723" s="80"/>
      <c r="E1723" s="124"/>
      <c r="F1723" s="80"/>
      <c r="G1723" s="80"/>
      <c r="H1723" s="80"/>
      <c r="I1723" s="80"/>
      <c r="J1723" s="196"/>
      <c r="K1723" s="196"/>
      <c r="L1723" s="196"/>
      <c r="M1723" s="196"/>
      <c r="N1723" s="196"/>
      <c r="O1723" s="196"/>
      <c r="P1723" s="196"/>
      <c r="Q1723" s="196"/>
      <c r="R1723" s="196"/>
      <c r="S1723" s="196"/>
      <c r="T1723" s="196"/>
      <c r="U1723" s="196"/>
      <c r="V1723" s="196"/>
      <c r="W1723" s="196"/>
      <c r="X1723" s="196"/>
      <c r="Y1723" s="196"/>
      <c r="Z1723" s="196"/>
      <c r="AA1723" s="196"/>
      <c r="AB1723" s="196"/>
      <c r="AC1723" s="196"/>
      <c r="AD1723" s="196"/>
      <c r="AE1723" s="196"/>
      <c r="AF1723" s="196"/>
      <c r="AG1723" s="196"/>
      <c r="AH1723" s="196"/>
      <c r="AI1723" s="196"/>
      <c r="AJ1723" s="197"/>
      <c r="AK1723" s="80"/>
      <c r="AL1723" s="80"/>
      <c r="AM1723" s="73"/>
      <c r="AN1723" s="73"/>
      <c r="AO1723" s="73"/>
      <c r="AP1723" s="73"/>
      <c r="AQ1723" s="73"/>
      <c r="AR1723" s="73"/>
      <c r="AS1723" s="73"/>
      <c r="AT1723" s="73"/>
      <c r="AU1723" s="73"/>
      <c r="AV1723" s="73"/>
      <c r="AW1723" s="73"/>
      <c r="AX1723" s="73"/>
      <c r="AY1723" s="73"/>
      <c r="AZ1723" s="73"/>
      <c r="BA1723" s="73"/>
      <c r="BB1723" s="73"/>
      <c r="BC1723" s="73"/>
      <c r="BD1723" s="73"/>
      <c r="BE1723" s="73"/>
      <c r="BF1723" s="73"/>
      <c r="BG1723" s="73"/>
      <c r="BH1723" s="73"/>
      <c r="BI1723" s="73"/>
      <c r="BJ1723" s="73"/>
      <c r="BK1723" s="73"/>
      <c r="BL1723" s="73"/>
      <c r="BM1723" s="73"/>
      <c r="BN1723" s="73"/>
      <c r="BO1723" s="73"/>
      <c r="BP1723" s="73"/>
      <c r="BQ1723" s="73"/>
      <c r="BR1723" s="73"/>
      <c r="BS1723" s="73"/>
      <c r="BT1723" s="73"/>
      <c r="BU1723" s="73"/>
      <c r="BV1723" s="73"/>
      <c r="BW1723" s="73"/>
      <c r="BX1723" s="73"/>
      <c r="BY1723" s="73"/>
      <c r="BZ1723" s="73"/>
      <c r="CA1723" s="73"/>
      <c r="CB1723" s="73"/>
      <c r="CC1723" s="73"/>
      <c r="CD1723" s="73"/>
      <c r="CE1723" s="73"/>
      <c r="CF1723" s="73"/>
      <c r="CG1723" s="73"/>
      <c r="CH1723" s="73"/>
    </row>
    <row r="1724">
      <c r="A1724" s="80"/>
      <c r="B1724" s="80"/>
      <c r="C1724" s="80"/>
      <c r="D1724" s="80"/>
      <c r="E1724" s="124"/>
      <c r="F1724" s="80"/>
      <c r="G1724" s="80"/>
      <c r="H1724" s="80"/>
      <c r="I1724" s="80"/>
      <c r="J1724" s="196"/>
      <c r="K1724" s="196"/>
      <c r="L1724" s="196"/>
      <c r="M1724" s="196"/>
      <c r="N1724" s="196"/>
      <c r="O1724" s="196"/>
      <c r="P1724" s="196"/>
      <c r="Q1724" s="196"/>
      <c r="R1724" s="196"/>
      <c r="S1724" s="196"/>
      <c r="T1724" s="196"/>
      <c r="U1724" s="196"/>
      <c r="V1724" s="196"/>
      <c r="W1724" s="196"/>
      <c r="X1724" s="196"/>
      <c r="Y1724" s="196"/>
      <c r="Z1724" s="196"/>
      <c r="AA1724" s="196"/>
      <c r="AB1724" s="196"/>
      <c r="AC1724" s="196"/>
      <c r="AD1724" s="196"/>
      <c r="AE1724" s="196"/>
      <c r="AF1724" s="196"/>
      <c r="AG1724" s="196"/>
      <c r="AH1724" s="196"/>
      <c r="AI1724" s="196"/>
      <c r="AJ1724" s="197"/>
      <c r="AK1724" s="80"/>
      <c r="AL1724" s="80"/>
      <c r="AM1724" s="73"/>
      <c r="AN1724" s="73"/>
      <c r="AO1724" s="73"/>
      <c r="AP1724" s="73"/>
      <c r="AQ1724" s="73"/>
      <c r="AR1724" s="73"/>
      <c r="AS1724" s="73"/>
      <c r="AT1724" s="73"/>
      <c r="AU1724" s="73"/>
      <c r="AV1724" s="73"/>
      <c r="AW1724" s="73"/>
      <c r="AX1724" s="73"/>
      <c r="AY1724" s="73"/>
      <c r="AZ1724" s="73"/>
      <c r="BA1724" s="73"/>
      <c r="BB1724" s="73"/>
      <c r="BC1724" s="73"/>
      <c r="BD1724" s="73"/>
      <c r="BE1724" s="73"/>
      <c r="BF1724" s="73"/>
      <c r="BG1724" s="73"/>
      <c r="BH1724" s="73"/>
      <c r="BI1724" s="73"/>
      <c r="BJ1724" s="73"/>
      <c r="BK1724" s="73"/>
      <c r="BL1724" s="73"/>
      <c r="BM1724" s="73"/>
      <c r="BN1724" s="73"/>
      <c r="BO1724" s="73"/>
      <c r="BP1724" s="73"/>
      <c r="BQ1724" s="73"/>
      <c r="BR1724" s="73"/>
      <c r="BS1724" s="73"/>
      <c r="BT1724" s="73"/>
      <c r="BU1724" s="73"/>
      <c r="BV1724" s="73"/>
      <c r="BW1724" s="73"/>
      <c r="BX1724" s="73"/>
      <c r="BY1724" s="73"/>
      <c r="BZ1724" s="73"/>
      <c r="CA1724" s="73"/>
      <c r="CB1724" s="73"/>
      <c r="CC1724" s="73"/>
      <c r="CD1724" s="73"/>
      <c r="CE1724" s="73"/>
      <c r="CF1724" s="73"/>
      <c r="CG1724" s="73"/>
      <c r="CH1724" s="73"/>
    </row>
    <row r="1725">
      <c r="A1725" s="80"/>
      <c r="B1725" s="80"/>
      <c r="C1725" s="80"/>
      <c r="D1725" s="80"/>
      <c r="E1725" s="124"/>
      <c r="F1725" s="80"/>
      <c r="G1725" s="80"/>
      <c r="H1725" s="80"/>
      <c r="I1725" s="80"/>
      <c r="J1725" s="196"/>
      <c r="K1725" s="196"/>
      <c r="L1725" s="196"/>
      <c r="M1725" s="196"/>
      <c r="N1725" s="196"/>
      <c r="O1725" s="196"/>
      <c r="P1725" s="196"/>
      <c r="Q1725" s="196"/>
      <c r="R1725" s="196"/>
      <c r="S1725" s="196"/>
      <c r="T1725" s="196"/>
      <c r="U1725" s="196"/>
      <c r="V1725" s="196"/>
      <c r="W1725" s="196"/>
      <c r="X1725" s="196"/>
      <c r="Y1725" s="196"/>
      <c r="Z1725" s="196"/>
      <c r="AA1725" s="196"/>
      <c r="AB1725" s="196"/>
      <c r="AC1725" s="196"/>
      <c r="AD1725" s="196"/>
      <c r="AE1725" s="196"/>
      <c r="AF1725" s="196"/>
      <c r="AG1725" s="196"/>
      <c r="AH1725" s="196"/>
      <c r="AI1725" s="196"/>
      <c r="AJ1725" s="197"/>
      <c r="AK1725" s="80"/>
      <c r="AL1725" s="80"/>
      <c r="AM1725" s="73"/>
      <c r="AN1725" s="73"/>
      <c r="AO1725" s="73"/>
      <c r="AP1725" s="73"/>
      <c r="AQ1725" s="73"/>
      <c r="AR1725" s="73"/>
      <c r="AS1725" s="73"/>
      <c r="AT1725" s="73"/>
      <c r="AU1725" s="73"/>
      <c r="AV1725" s="73"/>
      <c r="AW1725" s="73"/>
      <c r="AX1725" s="73"/>
      <c r="AY1725" s="73"/>
      <c r="AZ1725" s="73"/>
      <c r="BA1725" s="73"/>
      <c r="BB1725" s="73"/>
      <c r="BC1725" s="73"/>
      <c r="BD1725" s="73"/>
      <c r="BE1725" s="73"/>
      <c r="BF1725" s="73"/>
      <c r="BG1725" s="73"/>
      <c r="BH1725" s="73"/>
      <c r="BI1725" s="73"/>
      <c r="BJ1725" s="73"/>
      <c r="BK1725" s="73"/>
      <c r="BL1725" s="73"/>
      <c r="BM1725" s="73"/>
      <c r="BN1725" s="73"/>
      <c r="BO1725" s="73"/>
      <c r="BP1725" s="73"/>
      <c r="BQ1725" s="73"/>
      <c r="BR1725" s="73"/>
      <c r="BS1725" s="73"/>
      <c r="BT1725" s="73"/>
      <c r="BU1725" s="73"/>
      <c r="BV1725" s="73"/>
      <c r="BW1725" s="73"/>
      <c r="BX1725" s="73"/>
      <c r="BY1725" s="73"/>
      <c r="BZ1725" s="73"/>
      <c r="CA1725" s="73"/>
      <c r="CB1725" s="73"/>
      <c r="CC1725" s="73"/>
      <c r="CD1725" s="73"/>
      <c r="CE1725" s="73"/>
      <c r="CF1725" s="73"/>
      <c r="CG1725" s="73"/>
      <c r="CH1725" s="73"/>
    </row>
    <row r="1726">
      <c r="A1726" s="80"/>
      <c r="B1726" s="80"/>
      <c r="C1726" s="80"/>
      <c r="D1726" s="80"/>
      <c r="E1726" s="124"/>
      <c r="F1726" s="80"/>
      <c r="G1726" s="80"/>
      <c r="H1726" s="80"/>
      <c r="I1726" s="80"/>
      <c r="J1726" s="196"/>
      <c r="K1726" s="196"/>
      <c r="L1726" s="196"/>
      <c r="M1726" s="196"/>
      <c r="N1726" s="196"/>
      <c r="O1726" s="196"/>
      <c r="P1726" s="196"/>
      <c r="Q1726" s="196"/>
      <c r="R1726" s="196"/>
      <c r="S1726" s="196"/>
      <c r="T1726" s="196"/>
      <c r="U1726" s="196"/>
      <c r="V1726" s="196"/>
      <c r="W1726" s="196"/>
      <c r="X1726" s="196"/>
      <c r="Y1726" s="196"/>
      <c r="Z1726" s="196"/>
      <c r="AA1726" s="196"/>
      <c r="AB1726" s="196"/>
      <c r="AC1726" s="196"/>
      <c r="AD1726" s="196"/>
      <c r="AE1726" s="196"/>
      <c r="AF1726" s="196"/>
      <c r="AG1726" s="196"/>
      <c r="AH1726" s="196"/>
      <c r="AI1726" s="196"/>
      <c r="AJ1726" s="197"/>
      <c r="AK1726" s="80"/>
      <c r="AL1726" s="80"/>
      <c r="AM1726" s="73"/>
      <c r="AN1726" s="73"/>
      <c r="AO1726" s="73"/>
      <c r="AP1726" s="73"/>
      <c r="AQ1726" s="73"/>
      <c r="AR1726" s="73"/>
      <c r="AS1726" s="73"/>
      <c r="AT1726" s="73"/>
      <c r="AU1726" s="73"/>
      <c r="AV1726" s="73"/>
      <c r="AW1726" s="73"/>
      <c r="AX1726" s="73"/>
      <c r="AY1726" s="73"/>
      <c r="AZ1726" s="73"/>
      <c r="BA1726" s="73"/>
      <c r="BB1726" s="73"/>
      <c r="BC1726" s="73"/>
      <c r="BD1726" s="73"/>
      <c r="BE1726" s="73"/>
      <c r="BF1726" s="73"/>
      <c r="BG1726" s="73"/>
      <c r="BH1726" s="73"/>
      <c r="BI1726" s="73"/>
      <c r="BJ1726" s="73"/>
      <c r="BK1726" s="73"/>
      <c r="BL1726" s="73"/>
      <c r="BM1726" s="73"/>
      <c r="BN1726" s="73"/>
      <c r="BO1726" s="73"/>
      <c r="BP1726" s="73"/>
      <c r="BQ1726" s="73"/>
      <c r="BR1726" s="73"/>
      <c r="BS1726" s="73"/>
      <c r="BT1726" s="73"/>
      <c r="BU1726" s="73"/>
      <c r="BV1726" s="73"/>
      <c r="BW1726" s="73"/>
      <c r="BX1726" s="73"/>
      <c r="BY1726" s="73"/>
      <c r="BZ1726" s="73"/>
      <c r="CA1726" s="73"/>
      <c r="CB1726" s="73"/>
      <c r="CC1726" s="73"/>
      <c r="CD1726" s="73"/>
      <c r="CE1726" s="73"/>
      <c r="CF1726" s="73"/>
      <c r="CG1726" s="73"/>
      <c r="CH1726" s="73"/>
    </row>
    <row r="1727">
      <c r="A1727" s="80"/>
      <c r="B1727" s="80"/>
      <c r="C1727" s="80"/>
      <c r="D1727" s="80"/>
      <c r="E1727" s="124"/>
      <c r="F1727" s="80"/>
      <c r="G1727" s="80"/>
      <c r="H1727" s="80"/>
      <c r="I1727" s="80"/>
      <c r="J1727" s="196"/>
      <c r="K1727" s="196"/>
      <c r="L1727" s="196"/>
      <c r="M1727" s="196"/>
      <c r="N1727" s="196"/>
      <c r="O1727" s="196"/>
      <c r="P1727" s="196"/>
      <c r="Q1727" s="196"/>
      <c r="R1727" s="196"/>
      <c r="S1727" s="196"/>
      <c r="T1727" s="196"/>
      <c r="U1727" s="196"/>
      <c r="V1727" s="196"/>
      <c r="W1727" s="196"/>
      <c r="X1727" s="196"/>
      <c r="Y1727" s="196"/>
      <c r="Z1727" s="196"/>
      <c r="AA1727" s="196"/>
      <c r="AB1727" s="196"/>
      <c r="AC1727" s="196"/>
      <c r="AD1727" s="196"/>
      <c r="AE1727" s="196"/>
      <c r="AF1727" s="196"/>
      <c r="AG1727" s="196"/>
      <c r="AH1727" s="196"/>
      <c r="AI1727" s="196"/>
      <c r="AJ1727" s="197"/>
      <c r="AK1727" s="80"/>
      <c r="AL1727" s="80"/>
      <c r="AM1727" s="73"/>
      <c r="AN1727" s="73"/>
      <c r="AO1727" s="73"/>
      <c r="AP1727" s="73"/>
      <c r="AQ1727" s="73"/>
      <c r="AR1727" s="73"/>
      <c r="AS1727" s="73"/>
      <c r="AT1727" s="73"/>
      <c r="AU1727" s="73"/>
      <c r="AV1727" s="73"/>
      <c r="AW1727" s="73"/>
      <c r="AX1727" s="73"/>
      <c r="AY1727" s="73"/>
      <c r="AZ1727" s="73"/>
      <c r="BA1727" s="73"/>
      <c r="BB1727" s="73"/>
      <c r="BC1727" s="73"/>
      <c r="BD1727" s="73"/>
      <c r="BE1727" s="73"/>
      <c r="BF1727" s="73"/>
      <c r="BG1727" s="73"/>
      <c r="BH1727" s="73"/>
      <c r="BI1727" s="73"/>
      <c r="BJ1727" s="73"/>
      <c r="BK1727" s="73"/>
      <c r="BL1727" s="73"/>
      <c r="BM1727" s="73"/>
      <c r="BN1727" s="73"/>
      <c r="BO1727" s="73"/>
      <c r="BP1727" s="73"/>
      <c r="BQ1727" s="73"/>
      <c r="BR1727" s="73"/>
      <c r="BS1727" s="73"/>
      <c r="BT1727" s="73"/>
      <c r="BU1727" s="73"/>
      <c r="BV1727" s="73"/>
      <c r="BW1727" s="73"/>
      <c r="BX1727" s="73"/>
      <c r="BY1727" s="73"/>
      <c r="BZ1727" s="73"/>
      <c r="CA1727" s="73"/>
      <c r="CB1727" s="73"/>
      <c r="CC1727" s="73"/>
      <c r="CD1727" s="73"/>
      <c r="CE1727" s="73"/>
      <c r="CF1727" s="73"/>
      <c r="CG1727" s="73"/>
      <c r="CH1727" s="73"/>
    </row>
    <row r="1728">
      <c r="A1728" s="80"/>
      <c r="B1728" s="80"/>
      <c r="C1728" s="80"/>
      <c r="D1728" s="80"/>
      <c r="E1728" s="124"/>
      <c r="F1728" s="80"/>
      <c r="G1728" s="80"/>
      <c r="H1728" s="80"/>
      <c r="I1728" s="80"/>
      <c r="J1728" s="196"/>
      <c r="K1728" s="196"/>
      <c r="L1728" s="196"/>
      <c r="M1728" s="196"/>
      <c r="N1728" s="196"/>
      <c r="O1728" s="196"/>
      <c r="P1728" s="196"/>
      <c r="Q1728" s="196"/>
      <c r="R1728" s="196"/>
      <c r="S1728" s="196"/>
      <c r="T1728" s="196"/>
      <c r="U1728" s="196"/>
      <c r="V1728" s="196"/>
      <c r="W1728" s="196"/>
      <c r="X1728" s="196"/>
      <c r="Y1728" s="196"/>
      <c r="Z1728" s="196"/>
      <c r="AA1728" s="196"/>
      <c r="AB1728" s="196"/>
      <c r="AC1728" s="196"/>
      <c r="AD1728" s="196"/>
      <c r="AE1728" s="196"/>
      <c r="AF1728" s="196"/>
      <c r="AG1728" s="196"/>
      <c r="AH1728" s="196"/>
      <c r="AI1728" s="196"/>
      <c r="AJ1728" s="197"/>
      <c r="AK1728" s="80"/>
      <c r="AL1728" s="80"/>
      <c r="AM1728" s="73"/>
      <c r="AN1728" s="73"/>
      <c r="AO1728" s="73"/>
      <c r="AP1728" s="73"/>
      <c r="AQ1728" s="73"/>
      <c r="AR1728" s="73"/>
      <c r="AS1728" s="73"/>
      <c r="AT1728" s="73"/>
      <c r="AU1728" s="73"/>
      <c r="AV1728" s="73"/>
      <c r="AW1728" s="73"/>
      <c r="AX1728" s="73"/>
      <c r="AY1728" s="73"/>
      <c r="AZ1728" s="73"/>
      <c r="BA1728" s="73"/>
      <c r="BB1728" s="73"/>
      <c r="BC1728" s="73"/>
      <c r="BD1728" s="73"/>
      <c r="BE1728" s="73"/>
      <c r="BF1728" s="73"/>
      <c r="BG1728" s="73"/>
      <c r="BH1728" s="73"/>
      <c r="BI1728" s="73"/>
      <c r="BJ1728" s="73"/>
      <c r="BK1728" s="73"/>
      <c r="BL1728" s="73"/>
      <c r="BM1728" s="73"/>
      <c r="BN1728" s="73"/>
      <c r="BO1728" s="73"/>
      <c r="BP1728" s="73"/>
      <c r="BQ1728" s="73"/>
      <c r="BR1728" s="73"/>
      <c r="BS1728" s="73"/>
      <c r="BT1728" s="73"/>
      <c r="BU1728" s="73"/>
      <c r="BV1728" s="73"/>
      <c r="BW1728" s="73"/>
      <c r="BX1728" s="73"/>
      <c r="BY1728" s="73"/>
      <c r="BZ1728" s="73"/>
      <c r="CA1728" s="73"/>
      <c r="CB1728" s="73"/>
      <c r="CC1728" s="73"/>
      <c r="CD1728" s="73"/>
      <c r="CE1728" s="73"/>
      <c r="CF1728" s="73"/>
      <c r="CG1728" s="73"/>
      <c r="CH1728" s="73"/>
    </row>
    <row r="1729">
      <c r="A1729" s="80"/>
      <c r="B1729" s="80"/>
      <c r="C1729" s="80"/>
      <c r="D1729" s="80"/>
      <c r="E1729" s="124"/>
      <c r="F1729" s="80"/>
      <c r="G1729" s="80"/>
      <c r="H1729" s="80"/>
      <c r="I1729" s="80"/>
      <c r="J1729" s="196"/>
      <c r="K1729" s="196"/>
      <c r="L1729" s="196"/>
      <c r="M1729" s="196"/>
      <c r="N1729" s="196"/>
      <c r="O1729" s="196"/>
      <c r="P1729" s="196"/>
      <c r="Q1729" s="196"/>
      <c r="R1729" s="196"/>
      <c r="S1729" s="196"/>
      <c r="T1729" s="196"/>
      <c r="U1729" s="196"/>
      <c r="V1729" s="196"/>
      <c r="W1729" s="196"/>
      <c r="X1729" s="196"/>
      <c r="Y1729" s="196"/>
      <c r="Z1729" s="196"/>
      <c r="AA1729" s="196"/>
      <c r="AB1729" s="196"/>
      <c r="AC1729" s="196"/>
      <c r="AD1729" s="196"/>
      <c r="AE1729" s="196"/>
      <c r="AF1729" s="196"/>
      <c r="AG1729" s="196"/>
      <c r="AH1729" s="196"/>
      <c r="AI1729" s="196"/>
      <c r="AJ1729" s="197"/>
      <c r="AK1729" s="80"/>
      <c r="AL1729" s="80"/>
      <c r="AM1729" s="73"/>
      <c r="AN1729" s="73"/>
      <c r="AO1729" s="73"/>
      <c r="AP1729" s="73"/>
      <c r="AQ1729" s="73"/>
      <c r="AR1729" s="73"/>
      <c r="AS1729" s="73"/>
      <c r="AT1729" s="73"/>
      <c r="AU1729" s="73"/>
      <c r="AV1729" s="73"/>
      <c r="AW1729" s="73"/>
      <c r="AX1729" s="73"/>
      <c r="AY1729" s="73"/>
      <c r="AZ1729" s="73"/>
      <c r="BA1729" s="73"/>
      <c r="BB1729" s="73"/>
      <c r="BC1729" s="73"/>
      <c r="BD1729" s="73"/>
      <c r="BE1729" s="73"/>
      <c r="BF1729" s="73"/>
      <c r="BG1729" s="73"/>
      <c r="BH1729" s="73"/>
      <c r="BI1729" s="73"/>
      <c r="BJ1729" s="73"/>
      <c r="BK1729" s="73"/>
      <c r="BL1729" s="73"/>
      <c r="BM1729" s="73"/>
      <c r="BN1729" s="73"/>
      <c r="BO1729" s="73"/>
      <c r="BP1729" s="73"/>
      <c r="BQ1729" s="73"/>
      <c r="BR1729" s="73"/>
      <c r="BS1729" s="73"/>
      <c r="BT1729" s="73"/>
      <c r="BU1729" s="73"/>
      <c r="BV1729" s="73"/>
      <c r="BW1729" s="73"/>
      <c r="BX1729" s="73"/>
      <c r="BY1729" s="73"/>
      <c r="BZ1729" s="73"/>
      <c r="CA1729" s="73"/>
      <c r="CB1729" s="73"/>
      <c r="CC1729" s="73"/>
      <c r="CD1729" s="73"/>
      <c r="CE1729" s="73"/>
      <c r="CF1729" s="73"/>
      <c r="CG1729" s="73"/>
      <c r="CH1729" s="73"/>
    </row>
    <row r="1730">
      <c r="A1730" s="80"/>
      <c r="B1730" s="80"/>
      <c r="C1730" s="80"/>
      <c r="D1730" s="80"/>
      <c r="E1730" s="124"/>
      <c r="F1730" s="80"/>
      <c r="G1730" s="80"/>
      <c r="H1730" s="80"/>
      <c r="I1730" s="80"/>
      <c r="J1730" s="196"/>
      <c r="K1730" s="196"/>
      <c r="L1730" s="196"/>
      <c r="M1730" s="196"/>
      <c r="N1730" s="196"/>
      <c r="O1730" s="196"/>
      <c r="P1730" s="196"/>
      <c r="Q1730" s="196"/>
      <c r="R1730" s="196"/>
      <c r="S1730" s="196"/>
      <c r="T1730" s="196"/>
      <c r="U1730" s="196"/>
      <c r="V1730" s="196"/>
      <c r="W1730" s="196"/>
      <c r="X1730" s="196"/>
      <c r="Y1730" s="196"/>
      <c r="Z1730" s="196"/>
      <c r="AA1730" s="196"/>
      <c r="AB1730" s="196"/>
      <c r="AC1730" s="196"/>
      <c r="AD1730" s="196"/>
      <c r="AE1730" s="196"/>
      <c r="AF1730" s="196"/>
      <c r="AG1730" s="196"/>
      <c r="AH1730" s="196"/>
      <c r="AI1730" s="196"/>
      <c r="AJ1730" s="197"/>
      <c r="AK1730" s="80"/>
      <c r="AL1730" s="80"/>
      <c r="AM1730" s="73"/>
      <c r="AN1730" s="73"/>
      <c r="AO1730" s="73"/>
      <c r="AP1730" s="73"/>
      <c r="AQ1730" s="73"/>
      <c r="AR1730" s="73"/>
      <c r="AS1730" s="73"/>
      <c r="AT1730" s="73"/>
      <c r="AU1730" s="73"/>
      <c r="AV1730" s="73"/>
      <c r="AW1730" s="73"/>
      <c r="AX1730" s="73"/>
      <c r="AY1730" s="73"/>
      <c r="AZ1730" s="73"/>
      <c r="BA1730" s="73"/>
      <c r="BB1730" s="73"/>
      <c r="BC1730" s="73"/>
      <c r="BD1730" s="73"/>
      <c r="BE1730" s="73"/>
      <c r="BF1730" s="73"/>
      <c r="BG1730" s="73"/>
      <c r="BH1730" s="73"/>
      <c r="BI1730" s="73"/>
      <c r="BJ1730" s="73"/>
      <c r="BK1730" s="73"/>
      <c r="BL1730" s="73"/>
      <c r="BM1730" s="73"/>
      <c r="BN1730" s="73"/>
      <c r="BO1730" s="73"/>
      <c r="BP1730" s="73"/>
      <c r="BQ1730" s="73"/>
      <c r="BR1730" s="73"/>
      <c r="BS1730" s="73"/>
      <c r="BT1730" s="73"/>
      <c r="BU1730" s="73"/>
      <c r="BV1730" s="73"/>
      <c r="BW1730" s="73"/>
      <c r="BX1730" s="73"/>
      <c r="BY1730" s="73"/>
      <c r="BZ1730" s="73"/>
      <c r="CA1730" s="73"/>
      <c r="CB1730" s="73"/>
      <c r="CC1730" s="73"/>
      <c r="CD1730" s="73"/>
      <c r="CE1730" s="73"/>
      <c r="CF1730" s="73"/>
      <c r="CG1730" s="73"/>
      <c r="CH1730" s="73"/>
    </row>
    <row r="1731">
      <c r="A1731" s="80"/>
      <c r="B1731" s="80"/>
      <c r="C1731" s="80"/>
      <c r="D1731" s="80"/>
      <c r="E1731" s="124"/>
      <c r="F1731" s="80"/>
      <c r="G1731" s="80"/>
      <c r="H1731" s="80"/>
      <c r="I1731" s="80"/>
      <c r="J1731" s="196"/>
      <c r="K1731" s="196"/>
      <c r="L1731" s="196"/>
      <c r="M1731" s="196"/>
      <c r="N1731" s="196"/>
      <c r="O1731" s="196"/>
      <c r="P1731" s="196"/>
      <c r="Q1731" s="196"/>
      <c r="R1731" s="196"/>
      <c r="S1731" s="196"/>
      <c r="T1731" s="196"/>
      <c r="U1731" s="196"/>
      <c r="V1731" s="196"/>
      <c r="W1731" s="196"/>
      <c r="X1731" s="196"/>
      <c r="Y1731" s="196"/>
      <c r="Z1731" s="196"/>
      <c r="AA1731" s="196"/>
      <c r="AB1731" s="196"/>
      <c r="AC1731" s="196"/>
      <c r="AD1731" s="196"/>
      <c r="AE1731" s="196"/>
      <c r="AF1731" s="196"/>
      <c r="AG1731" s="196"/>
      <c r="AH1731" s="196"/>
      <c r="AI1731" s="196"/>
      <c r="AJ1731" s="197"/>
      <c r="AK1731" s="80"/>
      <c r="AL1731" s="80"/>
      <c r="AM1731" s="73"/>
      <c r="AN1731" s="73"/>
      <c r="AO1731" s="73"/>
      <c r="AP1731" s="73"/>
      <c r="AQ1731" s="73"/>
      <c r="AR1731" s="73"/>
      <c r="AS1731" s="73"/>
      <c r="AT1731" s="73"/>
      <c r="AU1731" s="73"/>
      <c r="AV1731" s="73"/>
      <c r="AW1731" s="73"/>
      <c r="AX1731" s="73"/>
      <c r="AY1731" s="73"/>
      <c r="AZ1731" s="73"/>
      <c r="BA1731" s="73"/>
      <c r="BB1731" s="73"/>
      <c r="BC1731" s="73"/>
      <c r="BD1731" s="73"/>
      <c r="BE1731" s="73"/>
      <c r="BF1731" s="73"/>
      <c r="BG1731" s="73"/>
      <c r="BH1731" s="73"/>
      <c r="BI1731" s="73"/>
      <c r="BJ1731" s="73"/>
      <c r="BK1731" s="73"/>
      <c r="BL1731" s="73"/>
      <c r="BM1731" s="73"/>
      <c r="BN1731" s="73"/>
      <c r="BO1731" s="73"/>
      <c r="BP1731" s="73"/>
      <c r="BQ1731" s="73"/>
      <c r="BR1731" s="73"/>
      <c r="BS1731" s="73"/>
      <c r="BT1731" s="73"/>
      <c r="BU1731" s="73"/>
      <c r="BV1731" s="73"/>
      <c r="BW1731" s="73"/>
      <c r="BX1731" s="73"/>
      <c r="BY1731" s="73"/>
      <c r="BZ1731" s="73"/>
      <c r="CA1731" s="73"/>
      <c r="CB1731" s="73"/>
      <c r="CC1731" s="73"/>
      <c r="CD1731" s="73"/>
      <c r="CE1731" s="73"/>
      <c r="CF1731" s="73"/>
      <c r="CG1731" s="73"/>
      <c r="CH1731" s="73"/>
    </row>
    <row r="1732">
      <c r="A1732" s="80"/>
      <c r="B1732" s="80"/>
      <c r="C1732" s="80"/>
      <c r="D1732" s="80"/>
      <c r="E1732" s="124"/>
      <c r="F1732" s="80"/>
      <c r="G1732" s="80"/>
      <c r="H1732" s="80"/>
      <c r="I1732" s="80"/>
      <c r="J1732" s="196"/>
      <c r="K1732" s="196"/>
      <c r="L1732" s="196"/>
      <c r="M1732" s="196"/>
      <c r="N1732" s="196"/>
      <c r="O1732" s="196"/>
      <c r="P1732" s="196"/>
      <c r="Q1732" s="196"/>
      <c r="R1732" s="196"/>
      <c r="S1732" s="196"/>
      <c r="T1732" s="196"/>
      <c r="U1732" s="196"/>
      <c r="V1732" s="196"/>
      <c r="W1732" s="196"/>
      <c r="X1732" s="196"/>
      <c r="Y1732" s="196"/>
      <c r="Z1732" s="196"/>
      <c r="AA1732" s="196"/>
      <c r="AB1732" s="196"/>
      <c r="AC1732" s="196"/>
      <c r="AD1732" s="196"/>
      <c r="AE1732" s="196"/>
      <c r="AF1732" s="196"/>
      <c r="AG1732" s="196"/>
      <c r="AH1732" s="196"/>
      <c r="AI1732" s="196"/>
      <c r="AJ1732" s="197"/>
      <c r="AK1732" s="80"/>
      <c r="AL1732" s="80"/>
      <c r="AM1732" s="73"/>
      <c r="AN1732" s="73"/>
      <c r="AO1732" s="73"/>
      <c r="AP1732" s="73"/>
      <c r="AQ1732" s="73"/>
      <c r="AR1732" s="73"/>
      <c r="AS1732" s="73"/>
      <c r="AT1732" s="73"/>
      <c r="AU1732" s="73"/>
      <c r="AV1732" s="73"/>
      <c r="AW1732" s="73"/>
      <c r="AX1732" s="73"/>
      <c r="AY1732" s="73"/>
      <c r="AZ1732" s="73"/>
      <c r="BA1732" s="73"/>
      <c r="BB1732" s="73"/>
      <c r="BC1732" s="73"/>
      <c r="BD1732" s="73"/>
      <c r="BE1732" s="73"/>
      <c r="BF1732" s="73"/>
      <c r="BG1732" s="73"/>
      <c r="BH1732" s="73"/>
      <c r="BI1732" s="73"/>
      <c r="BJ1732" s="73"/>
      <c r="BK1732" s="73"/>
      <c r="BL1732" s="73"/>
      <c r="BM1732" s="73"/>
      <c r="BN1732" s="73"/>
      <c r="BO1732" s="73"/>
      <c r="BP1732" s="73"/>
      <c r="BQ1732" s="73"/>
      <c r="BR1732" s="73"/>
      <c r="BS1732" s="73"/>
      <c r="BT1732" s="73"/>
      <c r="BU1732" s="73"/>
      <c r="BV1732" s="73"/>
      <c r="BW1732" s="73"/>
      <c r="BX1732" s="73"/>
      <c r="BY1732" s="73"/>
      <c r="BZ1732" s="73"/>
      <c r="CA1732" s="73"/>
      <c r="CB1732" s="73"/>
      <c r="CC1732" s="73"/>
      <c r="CD1732" s="73"/>
      <c r="CE1732" s="73"/>
      <c r="CF1732" s="73"/>
      <c r="CG1732" s="73"/>
      <c r="CH1732" s="73"/>
    </row>
    <row r="1733">
      <c r="A1733" s="80"/>
      <c r="B1733" s="80"/>
      <c r="C1733" s="80"/>
      <c r="D1733" s="80"/>
      <c r="E1733" s="124"/>
      <c r="F1733" s="80"/>
      <c r="G1733" s="80"/>
      <c r="H1733" s="80"/>
      <c r="I1733" s="80"/>
      <c r="J1733" s="196"/>
      <c r="K1733" s="196"/>
      <c r="L1733" s="196"/>
      <c r="M1733" s="196"/>
      <c r="N1733" s="196"/>
      <c r="O1733" s="196"/>
      <c r="P1733" s="196"/>
      <c r="Q1733" s="196"/>
      <c r="R1733" s="196"/>
      <c r="S1733" s="196"/>
      <c r="T1733" s="196"/>
      <c r="U1733" s="196"/>
      <c r="V1733" s="196"/>
      <c r="W1733" s="196"/>
      <c r="X1733" s="196"/>
      <c r="Y1733" s="196"/>
      <c r="Z1733" s="196"/>
      <c r="AA1733" s="196"/>
      <c r="AB1733" s="196"/>
      <c r="AC1733" s="196"/>
      <c r="AD1733" s="196"/>
      <c r="AE1733" s="196"/>
      <c r="AF1733" s="196"/>
      <c r="AG1733" s="196"/>
      <c r="AH1733" s="196"/>
      <c r="AI1733" s="196"/>
      <c r="AJ1733" s="197"/>
      <c r="AK1733" s="80"/>
      <c r="AL1733" s="80"/>
      <c r="AM1733" s="73"/>
      <c r="AN1733" s="73"/>
      <c r="AO1733" s="73"/>
      <c r="AP1733" s="73"/>
      <c r="AQ1733" s="73"/>
      <c r="AR1733" s="73"/>
      <c r="AS1733" s="73"/>
      <c r="AT1733" s="73"/>
      <c r="AU1733" s="73"/>
      <c r="AV1733" s="73"/>
      <c r="AW1733" s="73"/>
      <c r="AX1733" s="73"/>
      <c r="AY1733" s="73"/>
      <c r="AZ1733" s="73"/>
      <c r="BA1733" s="73"/>
      <c r="BB1733" s="73"/>
      <c r="BC1733" s="73"/>
      <c r="BD1733" s="73"/>
      <c r="BE1733" s="73"/>
      <c r="BF1733" s="73"/>
      <c r="BG1733" s="73"/>
      <c r="BH1733" s="73"/>
      <c r="BI1733" s="73"/>
      <c r="BJ1733" s="73"/>
      <c r="BK1733" s="73"/>
      <c r="BL1733" s="73"/>
      <c r="BM1733" s="73"/>
      <c r="BN1733" s="73"/>
      <c r="BO1733" s="73"/>
      <c r="BP1733" s="73"/>
      <c r="BQ1733" s="73"/>
      <c r="BR1733" s="73"/>
      <c r="BS1733" s="73"/>
      <c r="BT1733" s="73"/>
      <c r="BU1733" s="73"/>
      <c r="BV1733" s="73"/>
      <c r="BW1733" s="73"/>
      <c r="BX1733" s="73"/>
      <c r="BY1733" s="73"/>
      <c r="BZ1733" s="73"/>
      <c r="CA1733" s="73"/>
      <c r="CB1733" s="73"/>
      <c r="CC1733" s="73"/>
      <c r="CD1733" s="73"/>
      <c r="CE1733" s="73"/>
      <c r="CF1733" s="73"/>
      <c r="CG1733" s="73"/>
      <c r="CH1733" s="73"/>
    </row>
    <row r="1734">
      <c r="A1734" s="80"/>
      <c r="B1734" s="80"/>
      <c r="C1734" s="80"/>
      <c r="D1734" s="80"/>
      <c r="E1734" s="124"/>
      <c r="F1734" s="80"/>
      <c r="G1734" s="80"/>
      <c r="H1734" s="80"/>
      <c r="I1734" s="80"/>
      <c r="J1734" s="196"/>
      <c r="K1734" s="196"/>
      <c r="L1734" s="196"/>
      <c r="M1734" s="196"/>
      <c r="N1734" s="196"/>
      <c r="O1734" s="196"/>
      <c r="P1734" s="196"/>
      <c r="Q1734" s="196"/>
      <c r="R1734" s="196"/>
      <c r="S1734" s="196"/>
      <c r="T1734" s="196"/>
      <c r="U1734" s="196"/>
      <c r="V1734" s="196"/>
      <c r="W1734" s="196"/>
      <c r="X1734" s="196"/>
      <c r="Y1734" s="196"/>
      <c r="Z1734" s="196"/>
      <c r="AA1734" s="196"/>
      <c r="AB1734" s="196"/>
      <c r="AC1734" s="196"/>
      <c r="AD1734" s="196"/>
      <c r="AE1734" s="196"/>
      <c r="AF1734" s="196"/>
      <c r="AG1734" s="196"/>
      <c r="AH1734" s="196"/>
      <c r="AI1734" s="196"/>
      <c r="AJ1734" s="197"/>
      <c r="AK1734" s="80"/>
      <c r="AL1734" s="80"/>
      <c r="AM1734" s="73"/>
      <c r="AN1734" s="73"/>
      <c r="AO1734" s="73"/>
      <c r="AP1734" s="73"/>
      <c r="AQ1734" s="73"/>
      <c r="AR1734" s="73"/>
      <c r="AS1734" s="73"/>
      <c r="AT1734" s="73"/>
      <c r="AU1734" s="73"/>
      <c r="AV1734" s="73"/>
      <c r="AW1734" s="73"/>
      <c r="AX1734" s="73"/>
      <c r="AY1734" s="73"/>
      <c r="AZ1734" s="73"/>
      <c r="BA1734" s="73"/>
      <c r="BB1734" s="73"/>
      <c r="BC1734" s="73"/>
      <c r="BD1734" s="73"/>
      <c r="BE1734" s="73"/>
      <c r="BF1734" s="73"/>
      <c r="BG1734" s="73"/>
      <c r="BH1734" s="73"/>
      <c r="BI1734" s="73"/>
      <c r="BJ1734" s="73"/>
      <c r="BK1734" s="73"/>
      <c r="BL1734" s="73"/>
      <c r="BM1734" s="73"/>
      <c r="BN1734" s="73"/>
      <c r="BO1734" s="73"/>
      <c r="BP1734" s="73"/>
      <c r="BQ1734" s="73"/>
      <c r="BR1734" s="73"/>
      <c r="BS1734" s="73"/>
      <c r="BT1734" s="73"/>
      <c r="BU1734" s="73"/>
      <c r="BV1734" s="73"/>
      <c r="BW1734" s="73"/>
      <c r="BX1734" s="73"/>
      <c r="BY1734" s="73"/>
      <c r="BZ1734" s="73"/>
      <c r="CA1734" s="73"/>
      <c r="CB1734" s="73"/>
      <c r="CC1734" s="73"/>
      <c r="CD1734" s="73"/>
      <c r="CE1734" s="73"/>
      <c r="CF1734" s="73"/>
      <c r="CG1734" s="73"/>
      <c r="CH1734" s="73"/>
    </row>
    <row r="1735">
      <c r="A1735" s="80"/>
      <c r="B1735" s="80"/>
      <c r="C1735" s="80"/>
      <c r="D1735" s="80"/>
      <c r="E1735" s="124"/>
      <c r="F1735" s="80"/>
      <c r="G1735" s="80"/>
      <c r="H1735" s="80"/>
      <c r="I1735" s="80"/>
      <c r="J1735" s="196"/>
      <c r="K1735" s="196"/>
      <c r="L1735" s="196"/>
      <c r="M1735" s="196"/>
      <c r="N1735" s="196"/>
      <c r="O1735" s="196"/>
      <c r="P1735" s="196"/>
      <c r="Q1735" s="196"/>
      <c r="R1735" s="196"/>
      <c r="S1735" s="196"/>
      <c r="T1735" s="196"/>
      <c r="U1735" s="196"/>
      <c r="V1735" s="196"/>
      <c r="W1735" s="196"/>
      <c r="X1735" s="196"/>
      <c r="Y1735" s="196"/>
      <c r="Z1735" s="196"/>
      <c r="AA1735" s="196"/>
      <c r="AB1735" s="196"/>
      <c r="AC1735" s="196"/>
      <c r="AD1735" s="196"/>
      <c r="AE1735" s="196"/>
      <c r="AF1735" s="196"/>
      <c r="AG1735" s="196"/>
      <c r="AH1735" s="196"/>
      <c r="AI1735" s="196"/>
      <c r="AJ1735" s="197"/>
      <c r="AK1735" s="80"/>
      <c r="AL1735" s="80"/>
      <c r="AM1735" s="73"/>
      <c r="AN1735" s="73"/>
      <c r="AO1735" s="73"/>
      <c r="AP1735" s="73"/>
      <c r="AQ1735" s="73"/>
      <c r="AR1735" s="73"/>
      <c r="AS1735" s="73"/>
      <c r="AT1735" s="73"/>
      <c r="AU1735" s="73"/>
      <c r="AV1735" s="73"/>
      <c r="AW1735" s="73"/>
      <c r="AX1735" s="73"/>
      <c r="AY1735" s="73"/>
      <c r="AZ1735" s="73"/>
      <c r="BA1735" s="73"/>
      <c r="BB1735" s="73"/>
      <c r="BC1735" s="73"/>
      <c r="BD1735" s="73"/>
      <c r="BE1735" s="73"/>
      <c r="BF1735" s="73"/>
      <c r="BG1735" s="73"/>
      <c r="BH1735" s="73"/>
      <c r="BI1735" s="73"/>
      <c r="BJ1735" s="73"/>
      <c r="BK1735" s="73"/>
      <c r="BL1735" s="73"/>
      <c r="BM1735" s="73"/>
      <c r="BN1735" s="73"/>
      <c r="BO1735" s="73"/>
      <c r="BP1735" s="73"/>
      <c r="BQ1735" s="73"/>
      <c r="BR1735" s="73"/>
      <c r="BS1735" s="73"/>
      <c r="BT1735" s="73"/>
      <c r="BU1735" s="73"/>
      <c r="BV1735" s="73"/>
      <c r="BW1735" s="73"/>
      <c r="BX1735" s="73"/>
      <c r="BY1735" s="73"/>
      <c r="BZ1735" s="73"/>
      <c r="CA1735" s="73"/>
      <c r="CB1735" s="73"/>
      <c r="CC1735" s="73"/>
      <c r="CD1735" s="73"/>
      <c r="CE1735" s="73"/>
      <c r="CF1735" s="73"/>
      <c r="CG1735" s="73"/>
      <c r="CH1735" s="73"/>
    </row>
    <row r="1736">
      <c r="A1736" s="80"/>
      <c r="B1736" s="80"/>
      <c r="C1736" s="80"/>
      <c r="D1736" s="80"/>
      <c r="E1736" s="124"/>
      <c r="F1736" s="80"/>
      <c r="G1736" s="80"/>
      <c r="H1736" s="80"/>
      <c r="I1736" s="80"/>
      <c r="J1736" s="196"/>
      <c r="K1736" s="196"/>
      <c r="L1736" s="196"/>
      <c r="M1736" s="196"/>
      <c r="N1736" s="196"/>
      <c r="O1736" s="196"/>
      <c r="P1736" s="196"/>
      <c r="Q1736" s="196"/>
      <c r="R1736" s="196"/>
      <c r="S1736" s="196"/>
      <c r="T1736" s="196"/>
      <c r="U1736" s="196"/>
      <c r="V1736" s="196"/>
      <c r="W1736" s="196"/>
      <c r="X1736" s="196"/>
      <c r="Y1736" s="196"/>
      <c r="Z1736" s="196"/>
      <c r="AA1736" s="196"/>
      <c r="AB1736" s="196"/>
      <c r="AC1736" s="196"/>
      <c r="AD1736" s="196"/>
      <c r="AE1736" s="196"/>
      <c r="AF1736" s="196"/>
      <c r="AG1736" s="196"/>
      <c r="AH1736" s="196"/>
      <c r="AI1736" s="196"/>
      <c r="AJ1736" s="197"/>
      <c r="AK1736" s="80"/>
      <c r="AL1736" s="80"/>
      <c r="AM1736" s="73"/>
      <c r="AN1736" s="73"/>
      <c r="AO1736" s="73"/>
      <c r="AP1736" s="73"/>
      <c r="AQ1736" s="73"/>
      <c r="AR1736" s="73"/>
      <c r="AS1736" s="73"/>
      <c r="AT1736" s="73"/>
      <c r="AU1736" s="73"/>
      <c r="AV1736" s="73"/>
      <c r="AW1736" s="73"/>
      <c r="AX1736" s="73"/>
      <c r="AY1736" s="73"/>
      <c r="AZ1736" s="73"/>
      <c r="BA1736" s="73"/>
      <c r="BB1736" s="73"/>
      <c r="BC1736" s="73"/>
      <c r="BD1736" s="73"/>
      <c r="BE1736" s="73"/>
      <c r="BF1736" s="73"/>
      <c r="BG1736" s="73"/>
      <c r="BH1736" s="73"/>
      <c r="BI1736" s="73"/>
      <c r="BJ1736" s="73"/>
      <c r="BK1736" s="73"/>
      <c r="BL1736" s="73"/>
      <c r="BM1736" s="73"/>
      <c r="BN1736" s="73"/>
      <c r="BO1736" s="73"/>
      <c r="BP1736" s="73"/>
      <c r="BQ1736" s="73"/>
      <c r="BR1736" s="73"/>
      <c r="BS1736" s="73"/>
      <c r="BT1736" s="73"/>
      <c r="BU1736" s="73"/>
      <c r="BV1736" s="73"/>
      <c r="BW1736" s="73"/>
      <c r="BX1736" s="73"/>
      <c r="BY1736" s="73"/>
      <c r="BZ1736" s="73"/>
      <c r="CA1736" s="73"/>
      <c r="CB1736" s="73"/>
      <c r="CC1736" s="73"/>
      <c r="CD1736" s="73"/>
      <c r="CE1736" s="73"/>
      <c r="CF1736" s="73"/>
      <c r="CG1736" s="73"/>
      <c r="CH1736" s="73"/>
    </row>
    <row r="1737">
      <c r="A1737" s="80"/>
      <c r="B1737" s="80"/>
      <c r="C1737" s="80"/>
      <c r="D1737" s="80"/>
      <c r="E1737" s="124"/>
      <c r="F1737" s="80"/>
      <c r="G1737" s="80"/>
      <c r="H1737" s="80"/>
      <c r="I1737" s="80"/>
      <c r="J1737" s="196"/>
      <c r="K1737" s="196"/>
      <c r="L1737" s="196"/>
      <c r="M1737" s="196"/>
      <c r="N1737" s="196"/>
      <c r="O1737" s="196"/>
      <c r="P1737" s="196"/>
      <c r="Q1737" s="196"/>
      <c r="R1737" s="196"/>
      <c r="S1737" s="196"/>
      <c r="T1737" s="196"/>
      <c r="U1737" s="196"/>
      <c r="V1737" s="196"/>
      <c r="W1737" s="196"/>
      <c r="X1737" s="196"/>
      <c r="Y1737" s="196"/>
      <c r="Z1737" s="196"/>
      <c r="AA1737" s="196"/>
      <c r="AB1737" s="196"/>
      <c r="AC1737" s="196"/>
      <c r="AD1737" s="196"/>
      <c r="AE1737" s="196"/>
      <c r="AF1737" s="196"/>
      <c r="AG1737" s="196"/>
      <c r="AH1737" s="196"/>
      <c r="AI1737" s="196"/>
      <c r="AJ1737" s="197"/>
      <c r="AK1737" s="80"/>
      <c r="AL1737" s="80"/>
      <c r="AM1737" s="73"/>
      <c r="AN1737" s="73"/>
      <c r="AO1737" s="73"/>
      <c r="AP1737" s="73"/>
      <c r="AQ1737" s="73"/>
      <c r="AR1737" s="73"/>
      <c r="AS1737" s="73"/>
      <c r="AT1737" s="73"/>
      <c r="AU1737" s="73"/>
      <c r="AV1737" s="73"/>
      <c r="AW1737" s="73"/>
      <c r="AX1737" s="73"/>
      <c r="AY1737" s="73"/>
      <c r="AZ1737" s="73"/>
      <c r="BA1737" s="73"/>
      <c r="BB1737" s="73"/>
      <c r="BC1737" s="73"/>
      <c r="BD1737" s="73"/>
      <c r="BE1737" s="73"/>
      <c r="BF1737" s="73"/>
      <c r="BG1737" s="73"/>
      <c r="BH1737" s="73"/>
      <c r="BI1737" s="73"/>
      <c r="BJ1737" s="73"/>
      <c r="BK1737" s="73"/>
      <c r="BL1737" s="73"/>
      <c r="BM1737" s="73"/>
      <c r="BN1737" s="73"/>
      <c r="BO1737" s="73"/>
      <c r="BP1737" s="73"/>
      <c r="BQ1737" s="73"/>
      <c r="BR1737" s="73"/>
      <c r="BS1737" s="73"/>
      <c r="BT1737" s="73"/>
      <c r="BU1737" s="73"/>
      <c r="BV1737" s="73"/>
      <c r="BW1737" s="73"/>
      <c r="BX1737" s="73"/>
      <c r="BY1737" s="73"/>
      <c r="BZ1737" s="73"/>
      <c r="CA1737" s="73"/>
      <c r="CB1737" s="73"/>
      <c r="CC1737" s="73"/>
      <c r="CD1737" s="73"/>
      <c r="CE1737" s="73"/>
      <c r="CF1737" s="73"/>
      <c r="CG1737" s="73"/>
      <c r="CH1737" s="73"/>
    </row>
    <row r="1738">
      <c r="A1738" s="80"/>
      <c r="B1738" s="80"/>
      <c r="C1738" s="80"/>
      <c r="D1738" s="80"/>
      <c r="E1738" s="124"/>
      <c r="F1738" s="80"/>
      <c r="G1738" s="80"/>
      <c r="H1738" s="80"/>
      <c r="I1738" s="80"/>
      <c r="J1738" s="196"/>
      <c r="K1738" s="196"/>
      <c r="L1738" s="196"/>
      <c r="M1738" s="196"/>
      <c r="N1738" s="196"/>
      <c r="O1738" s="196"/>
      <c r="P1738" s="196"/>
      <c r="Q1738" s="196"/>
      <c r="R1738" s="196"/>
      <c r="S1738" s="196"/>
      <c r="T1738" s="196"/>
      <c r="U1738" s="196"/>
      <c r="V1738" s="196"/>
      <c r="W1738" s="196"/>
      <c r="X1738" s="196"/>
      <c r="Y1738" s="196"/>
      <c r="Z1738" s="196"/>
      <c r="AA1738" s="196"/>
      <c r="AB1738" s="196"/>
      <c r="AC1738" s="196"/>
      <c r="AD1738" s="196"/>
      <c r="AE1738" s="196"/>
      <c r="AF1738" s="196"/>
      <c r="AG1738" s="196"/>
      <c r="AH1738" s="196"/>
      <c r="AI1738" s="196"/>
      <c r="AJ1738" s="197"/>
      <c r="AK1738" s="80"/>
      <c r="AL1738" s="80"/>
      <c r="AM1738" s="73"/>
      <c r="AN1738" s="73"/>
      <c r="AO1738" s="73"/>
      <c r="AP1738" s="73"/>
      <c r="AQ1738" s="73"/>
      <c r="AR1738" s="73"/>
      <c r="AS1738" s="73"/>
      <c r="AT1738" s="73"/>
      <c r="AU1738" s="73"/>
      <c r="AV1738" s="73"/>
      <c r="AW1738" s="73"/>
      <c r="AX1738" s="73"/>
      <c r="AY1738" s="73"/>
      <c r="AZ1738" s="73"/>
      <c r="BA1738" s="73"/>
      <c r="BB1738" s="73"/>
      <c r="BC1738" s="73"/>
      <c r="BD1738" s="73"/>
      <c r="BE1738" s="73"/>
      <c r="BF1738" s="73"/>
      <c r="BG1738" s="73"/>
      <c r="BH1738" s="73"/>
      <c r="BI1738" s="73"/>
      <c r="BJ1738" s="73"/>
      <c r="BK1738" s="73"/>
      <c r="BL1738" s="73"/>
      <c r="BM1738" s="73"/>
      <c r="BN1738" s="73"/>
      <c r="BO1738" s="73"/>
      <c r="BP1738" s="73"/>
      <c r="BQ1738" s="73"/>
      <c r="BR1738" s="73"/>
      <c r="BS1738" s="73"/>
      <c r="BT1738" s="73"/>
      <c r="BU1738" s="73"/>
      <c r="BV1738" s="73"/>
      <c r="BW1738" s="73"/>
      <c r="BX1738" s="73"/>
      <c r="BY1738" s="73"/>
      <c r="BZ1738" s="73"/>
      <c r="CA1738" s="73"/>
      <c r="CB1738" s="73"/>
      <c r="CC1738" s="73"/>
      <c r="CD1738" s="73"/>
      <c r="CE1738" s="73"/>
      <c r="CF1738" s="73"/>
      <c r="CG1738" s="73"/>
      <c r="CH1738" s="73"/>
    </row>
    <row r="1739">
      <c r="A1739" s="80"/>
      <c r="B1739" s="80"/>
      <c r="C1739" s="80"/>
      <c r="D1739" s="80"/>
      <c r="E1739" s="124"/>
      <c r="F1739" s="80"/>
      <c r="G1739" s="80"/>
      <c r="H1739" s="80"/>
      <c r="I1739" s="80"/>
      <c r="J1739" s="196"/>
      <c r="K1739" s="196"/>
      <c r="L1739" s="196"/>
      <c r="M1739" s="196"/>
      <c r="N1739" s="196"/>
      <c r="O1739" s="196"/>
      <c r="P1739" s="196"/>
      <c r="Q1739" s="196"/>
      <c r="R1739" s="196"/>
      <c r="S1739" s="196"/>
      <c r="T1739" s="196"/>
      <c r="U1739" s="196"/>
      <c r="V1739" s="196"/>
      <c r="W1739" s="196"/>
      <c r="X1739" s="196"/>
      <c r="Y1739" s="196"/>
      <c r="Z1739" s="196"/>
      <c r="AA1739" s="196"/>
      <c r="AB1739" s="196"/>
      <c r="AC1739" s="196"/>
      <c r="AD1739" s="196"/>
      <c r="AE1739" s="196"/>
      <c r="AF1739" s="196"/>
      <c r="AG1739" s="196"/>
      <c r="AH1739" s="196"/>
      <c r="AI1739" s="196"/>
      <c r="AJ1739" s="197"/>
      <c r="AK1739" s="80"/>
      <c r="AL1739" s="80"/>
      <c r="AM1739" s="73"/>
      <c r="AN1739" s="73"/>
      <c r="AO1739" s="73"/>
      <c r="AP1739" s="73"/>
      <c r="AQ1739" s="73"/>
      <c r="AR1739" s="73"/>
      <c r="AS1739" s="73"/>
      <c r="AT1739" s="73"/>
      <c r="AU1739" s="73"/>
      <c r="AV1739" s="73"/>
      <c r="AW1739" s="73"/>
      <c r="AX1739" s="73"/>
      <c r="AY1739" s="73"/>
      <c r="AZ1739" s="73"/>
      <c r="BA1739" s="73"/>
      <c r="BB1739" s="73"/>
      <c r="BC1739" s="73"/>
      <c r="BD1739" s="73"/>
      <c r="BE1739" s="73"/>
      <c r="BF1739" s="73"/>
      <c r="BG1739" s="73"/>
      <c r="BH1739" s="73"/>
      <c r="BI1739" s="73"/>
      <c r="BJ1739" s="73"/>
      <c r="BK1739" s="73"/>
      <c r="BL1739" s="73"/>
      <c r="BM1739" s="73"/>
      <c r="BN1739" s="73"/>
      <c r="BO1739" s="73"/>
      <c r="BP1739" s="73"/>
      <c r="BQ1739" s="73"/>
      <c r="BR1739" s="73"/>
      <c r="BS1739" s="73"/>
      <c r="BT1739" s="73"/>
      <c r="BU1739" s="73"/>
      <c r="BV1739" s="73"/>
      <c r="BW1739" s="73"/>
      <c r="BX1739" s="73"/>
      <c r="BY1739" s="73"/>
      <c r="BZ1739" s="73"/>
      <c r="CA1739" s="73"/>
      <c r="CB1739" s="73"/>
      <c r="CC1739" s="73"/>
      <c r="CD1739" s="73"/>
      <c r="CE1739" s="73"/>
      <c r="CF1739" s="73"/>
      <c r="CG1739" s="73"/>
      <c r="CH1739" s="73"/>
    </row>
    <row r="1740">
      <c r="A1740" s="80"/>
      <c r="B1740" s="80"/>
      <c r="C1740" s="80"/>
      <c r="D1740" s="80"/>
      <c r="E1740" s="124"/>
      <c r="F1740" s="80"/>
      <c r="G1740" s="80"/>
      <c r="H1740" s="80"/>
      <c r="I1740" s="80"/>
      <c r="J1740" s="196"/>
      <c r="K1740" s="196"/>
      <c r="L1740" s="196"/>
      <c r="M1740" s="196"/>
      <c r="N1740" s="196"/>
      <c r="O1740" s="196"/>
      <c r="P1740" s="196"/>
      <c r="Q1740" s="196"/>
      <c r="R1740" s="196"/>
      <c r="S1740" s="196"/>
      <c r="T1740" s="196"/>
      <c r="U1740" s="196"/>
      <c r="V1740" s="196"/>
      <c r="W1740" s="196"/>
      <c r="X1740" s="196"/>
      <c r="Y1740" s="196"/>
      <c r="Z1740" s="196"/>
      <c r="AA1740" s="196"/>
      <c r="AB1740" s="196"/>
      <c r="AC1740" s="196"/>
      <c r="AD1740" s="196"/>
      <c r="AE1740" s="196"/>
      <c r="AF1740" s="196"/>
      <c r="AG1740" s="196"/>
      <c r="AH1740" s="196"/>
      <c r="AI1740" s="196"/>
      <c r="AJ1740" s="197"/>
      <c r="AK1740" s="80"/>
      <c r="AL1740" s="80"/>
      <c r="AM1740" s="73"/>
      <c r="AN1740" s="73"/>
      <c r="AO1740" s="73"/>
      <c r="AP1740" s="73"/>
      <c r="AQ1740" s="73"/>
      <c r="AR1740" s="73"/>
      <c r="AS1740" s="73"/>
      <c r="AT1740" s="73"/>
      <c r="AU1740" s="73"/>
      <c r="AV1740" s="73"/>
      <c r="AW1740" s="73"/>
      <c r="AX1740" s="73"/>
      <c r="AY1740" s="73"/>
      <c r="AZ1740" s="73"/>
      <c r="BA1740" s="73"/>
      <c r="BB1740" s="73"/>
      <c r="BC1740" s="73"/>
      <c r="BD1740" s="73"/>
      <c r="BE1740" s="73"/>
      <c r="BF1740" s="73"/>
      <c r="BG1740" s="73"/>
      <c r="BH1740" s="73"/>
      <c r="BI1740" s="73"/>
      <c r="BJ1740" s="73"/>
      <c r="BK1740" s="73"/>
      <c r="BL1740" s="73"/>
      <c r="BM1740" s="73"/>
      <c r="BN1740" s="73"/>
      <c r="BO1740" s="73"/>
      <c r="BP1740" s="73"/>
      <c r="BQ1740" s="73"/>
      <c r="BR1740" s="73"/>
      <c r="BS1740" s="73"/>
      <c r="BT1740" s="73"/>
      <c r="BU1740" s="73"/>
      <c r="BV1740" s="73"/>
      <c r="BW1740" s="73"/>
      <c r="BX1740" s="73"/>
      <c r="BY1740" s="73"/>
      <c r="BZ1740" s="73"/>
      <c r="CA1740" s="73"/>
      <c r="CB1740" s="73"/>
      <c r="CC1740" s="73"/>
      <c r="CD1740" s="73"/>
      <c r="CE1740" s="73"/>
      <c r="CF1740" s="73"/>
      <c r="CG1740" s="73"/>
      <c r="CH1740" s="73"/>
    </row>
    <row r="1741">
      <c r="A1741" s="80"/>
      <c r="B1741" s="80"/>
      <c r="C1741" s="80"/>
      <c r="D1741" s="80"/>
      <c r="E1741" s="124"/>
      <c r="F1741" s="80"/>
      <c r="G1741" s="80"/>
      <c r="H1741" s="80"/>
      <c r="I1741" s="80"/>
      <c r="J1741" s="196"/>
      <c r="K1741" s="196"/>
      <c r="L1741" s="196"/>
      <c r="M1741" s="196"/>
      <c r="N1741" s="196"/>
      <c r="O1741" s="196"/>
      <c r="P1741" s="196"/>
      <c r="Q1741" s="196"/>
      <c r="R1741" s="196"/>
      <c r="S1741" s="196"/>
      <c r="T1741" s="196"/>
      <c r="U1741" s="196"/>
      <c r="V1741" s="196"/>
      <c r="W1741" s="196"/>
      <c r="X1741" s="196"/>
      <c r="Y1741" s="196"/>
      <c r="Z1741" s="196"/>
      <c r="AA1741" s="196"/>
      <c r="AB1741" s="196"/>
      <c r="AC1741" s="196"/>
      <c r="AD1741" s="196"/>
      <c r="AE1741" s="196"/>
      <c r="AF1741" s="196"/>
      <c r="AG1741" s="196"/>
      <c r="AH1741" s="196"/>
      <c r="AI1741" s="196"/>
      <c r="AJ1741" s="197"/>
      <c r="AK1741" s="80"/>
      <c r="AL1741" s="80"/>
      <c r="AM1741" s="73"/>
      <c r="AN1741" s="73"/>
      <c r="AO1741" s="73"/>
      <c r="AP1741" s="73"/>
      <c r="AQ1741" s="73"/>
      <c r="AR1741" s="73"/>
      <c r="AS1741" s="73"/>
      <c r="AT1741" s="73"/>
      <c r="AU1741" s="73"/>
      <c r="AV1741" s="73"/>
      <c r="AW1741" s="73"/>
      <c r="AX1741" s="73"/>
      <c r="AY1741" s="73"/>
      <c r="AZ1741" s="73"/>
      <c r="BA1741" s="73"/>
      <c r="BB1741" s="73"/>
      <c r="BC1741" s="73"/>
      <c r="BD1741" s="73"/>
      <c r="BE1741" s="73"/>
      <c r="BF1741" s="73"/>
      <c r="BG1741" s="73"/>
      <c r="BH1741" s="73"/>
      <c r="BI1741" s="73"/>
      <c r="BJ1741" s="73"/>
      <c r="BK1741" s="73"/>
      <c r="BL1741" s="73"/>
      <c r="BM1741" s="73"/>
      <c r="BN1741" s="73"/>
      <c r="BO1741" s="73"/>
      <c r="BP1741" s="73"/>
      <c r="BQ1741" s="73"/>
      <c r="BR1741" s="73"/>
      <c r="BS1741" s="73"/>
      <c r="BT1741" s="73"/>
      <c r="BU1741" s="73"/>
      <c r="BV1741" s="73"/>
      <c r="BW1741" s="73"/>
      <c r="BX1741" s="73"/>
      <c r="BY1741" s="73"/>
      <c r="BZ1741" s="73"/>
      <c r="CA1741" s="73"/>
      <c r="CB1741" s="73"/>
      <c r="CC1741" s="73"/>
      <c r="CD1741" s="73"/>
      <c r="CE1741" s="73"/>
      <c r="CF1741" s="73"/>
      <c r="CG1741" s="73"/>
      <c r="CH1741" s="73"/>
    </row>
    <row r="1742">
      <c r="A1742" s="80"/>
      <c r="B1742" s="80"/>
      <c r="C1742" s="80"/>
      <c r="D1742" s="80"/>
      <c r="E1742" s="124"/>
      <c r="F1742" s="80"/>
      <c r="G1742" s="80"/>
      <c r="H1742" s="80"/>
      <c r="I1742" s="80"/>
      <c r="J1742" s="196"/>
      <c r="K1742" s="196"/>
      <c r="L1742" s="196"/>
      <c r="M1742" s="196"/>
      <c r="N1742" s="196"/>
      <c r="O1742" s="196"/>
      <c r="P1742" s="196"/>
      <c r="Q1742" s="196"/>
      <c r="R1742" s="196"/>
      <c r="S1742" s="196"/>
      <c r="T1742" s="196"/>
      <c r="U1742" s="196"/>
      <c r="V1742" s="196"/>
      <c r="W1742" s="196"/>
      <c r="X1742" s="196"/>
      <c r="Y1742" s="196"/>
      <c r="Z1742" s="196"/>
      <c r="AA1742" s="196"/>
      <c r="AB1742" s="196"/>
      <c r="AC1742" s="196"/>
      <c r="AD1742" s="196"/>
      <c r="AE1742" s="196"/>
      <c r="AF1742" s="196"/>
      <c r="AG1742" s="196"/>
      <c r="AH1742" s="196"/>
      <c r="AI1742" s="196"/>
      <c r="AJ1742" s="197"/>
      <c r="AK1742" s="80"/>
      <c r="AL1742" s="80"/>
      <c r="AM1742" s="73"/>
      <c r="AN1742" s="73"/>
      <c r="AO1742" s="73"/>
      <c r="AP1742" s="73"/>
      <c r="AQ1742" s="73"/>
      <c r="AR1742" s="73"/>
      <c r="AS1742" s="73"/>
      <c r="AT1742" s="73"/>
      <c r="AU1742" s="73"/>
      <c r="AV1742" s="73"/>
      <c r="AW1742" s="73"/>
      <c r="AX1742" s="73"/>
      <c r="AY1742" s="73"/>
      <c r="AZ1742" s="73"/>
      <c r="BA1742" s="73"/>
      <c r="BB1742" s="73"/>
      <c r="BC1742" s="73"/>
      <c r="BD1742" s="73"/>
      <c r="BE1742" s="73"/>
      <c r="BF1742" s="73"/>
      <c r="BG1742" s="73"/>
      <c r="BH1742" s="73"/>
      <c r="BI1742" s="73"/>
      <c r="BJ1742" s="73"/>
      <c r="BK1742" s="73"/>
      <c r="BL1742" s="73"/>
      <c r="BM1742" s="73"/>
      <c r="BN1742" s="73"/>
      <c r="BO1742" s="73"/>
      <c r="BP1742" s="73"/>
      <c r="BQ1742" s="73"/>
      <c r="BR1742" s="73"/>
      <c r="BS1742" s="73"/>
      <c r="BT1742" s="73"/>
      <c r="BU1742" s="73"/>
      <c r="BV1742" s="73"/>
      <c r="BW1742" s="73"/>
      <c r="BX1742" s="73"/>
      <c r="BY1742" s="73"/>
      <c r="BZ1742" s="73"/>
      <c r="CA1742" s="73"/>
      <c r="CB1742" s="73"/>
      <c r="CC1742" s="73"/>
      <c r="CD1742" s="73"/>
      <c r="CE1742" s="73"/>
      <c r="CF1742" s="73"/>
      <c r="CG1742" s="73"/>
      <c r="CH1742" s="73"/>
    </row>
    <row r="1743">
      <c r="A1743" s="80"/>
      <c r="B1743" s="80"/>
      <c r="C1743" s="80"/>
      <c r="D1743" s="80"/>
      <c r="E1743" s="124"/>
      <c r="F1743" s="80"/>
      <c r="G1743" s="80"/>
      <c r="H1743" s="80"/>
      <c r="I1743" s="80"/>
      <c r="J1743" s="196"/>
      <c r="K1743" s="196"/>
      <c r="L1743" s="196"/>
      <c r="M1743" s="196"/>
      <c r="N1743" s="196"/>
      <c r="O1743" s="196"/>
      <c r="P1743" s="196"/>
      <c r="Q1743" s="196"/>
      <c r="R1743" s="196"/>
      <c r="S1743" s="196"/>
      <c r="T1743" s="196"/>
      <c r="U1743" s="196"/>
      <c r="V1743" s="196"/>
      <c r="W1743" s="196"/>
      <c r="X1743" s="196"/>
      <c r="Y1743" s="196"/>
      <c r="Z1743" s="196"/>
      <c r="AA1743" s="196"/>
      <c r="AB1743" s="196"/>
      <c r="AC1743" s="196"/>
      <c r="AD1743" s="196"/>
      <c r="AE1743" s="196"/>
      <c r="AF1743" s="196"/>
      <c r="AG1743" s="196"/>
      <c r="AH1743" s="196"/>
      <c r="AI1743" s="196"/>
      <c r="AJ1743" s="197"/>
      <c r="AK1743" s="80"/>
      <c r="AL1743" s="80"/>
      <c r="AM1743" s="73"/>
      <c r="AN1743" s="73"/>
      <c r="AO1743" s="73"/>
      <c r="AP1743" s="73"/>
      <c r="AQ1743" s="73"/>
      <c r="AR1743" s="73"/>
      <c r="AS1743" s="73"/>
      <c r="AT1743" s="73"/>
      <c r="AU1743" s="73"/>
      <c r="AV1743" s="73"/>
      <c r="AW1743" s="73"/>
      <c r="AX1743" s="73"/>
      <c r="AY1743" s="73"/>
      <c r="AZ1743" s="73"/>
      <c r="BA1743" s="73"/>
      <c r="BB1743" s="73"/>
      <c r="BC1743" s="73"/>
      <c r="BD1743" s="73"/>
      <c r="BE1743" s="73"/>
      <c r="BF1743" s="73"/>
      <c r="BG1743" s="73"/>
      <c r="BH1743" s="73"/>
      <c r="BI1743" s="73"/>
      <c r="BJ1743" s="73"/>
      <c r="BK1743" s="73"/>
      <c r="BL1743" s="73"/>
      <c r="BM1743" s="73"/>
      <c r="BN1743" s="73"/>
      <c r="BO1743" s="73"/>
      <c r="BP1743" s="73"/>
      <c r="BQ1743" s="73"/>
      <c r="BR1743" s="73"/>
      <c r="BS1743" s="73"/>
      <c r="BT1743" s="73"/>
      <c r="BU1743" s="73"/>
      <c r="BV1743" s="73"/>
      <c r="BW1743" s="73"/>
      <c r="BX1743" s="73"/>
      <c r="BY1743" s="73"/>
      <c r="BZ1743" s="73"/>
      <c r="CA1743" s="73"/>
      <c r="CB1743" s="73"/>
      <c r="CC1743" s="73"/>
      <c r="CD1743" s="73"/>
      <c r="CE1743" s="73"/>
      <c r="CF1743" s="73"/>
      <c r="CG1743" s="73"/>
      <c r="CH1743" s="73"/>
    </row>
    <row r="1744">
      <c r="A1744" s="80"/>
      <c r="B1744" s="80"/>
      <c r="C1744" s="80"/>
      <c r="D1744" s="80"/>
      <c r="E1744" s="124"/>
      <c r="F1744" s="80"/>
      <c r="G1744" s="80"/>
      <c r="H1744" s="80"/>
      <c r="I1744" s="80"/>
      <c r="J1744" s="196"/>
      <c r="K1744" s="196"/>
      <c r="L1744" s="196"/>
      <c r="M1744" s="196"/>
      <c r="N1744" s="196"/>
      <c r="O1744" s="196"/>
      <c r="P1744" s="196"/>
      <c r="Q1744" s="196"/>
      <c r="R1744" s="196"/>
      <c r="S1744" s="196"/>
      <c r="T1744" s="196"/>
      <c r="U1744" s="196"/>
      <c r="V1744" s="196"/>
      <c r="W1744" s="196"/>
      <c r="X1744" s="196"/>
      <c r="Y1744" s="196"/>
      <c r="Z1744" s="196"/>
      <c r="AA1744" s="196"/>
      <c r="AB1744" s="196"/>
      <c r="AC1744" s="196"/>
      <c r="AD1744" s="196"/>
      <c r="AE1744" s="196"/>
      <c r="AF1744" s="196"/>
      <c r="AG1744" s="196"/>
      <c r="AH1744" s="196"/>
      <c r="AI1744" s="196"/>
      <c r="AJ1744" s="197"/>
      <c r="AK1744" s="80"/>
      <c r="AL1744" s="80"/>
      <c r="AM1744" s="73"/>
      <c r="AN1744" s="73"/>
      <c r="AO1744" s="73"/>
      <c r="AP1744" s="73"/>
      <c r="AQ1744" s="73"/>
      <c r="AR1744" s="73"/>
      <c r="AS1744" s="73"/>
      <c r="AT1744" s="73"/>
      <c r="AU1744" s="73"/>
      <c r="AV1744" s="73"/>
      <c r="AW1744" s="73"/>
      <c r="AX1744" s="73"/>
      <c r="AY1744" s="73"/>
      <c r="AZ1744" s="73"/>
      <c r="BA1744" s="73"/>
      <c r="BB1744" s="73"/>
      <c r="BC1744" s="73"/>
      <c r="BD1744" s="73"/>
      <c r="BE1744" s="73"/>
      <c r="BF1744" s="73"/>
      <c r="BG1744" s="73"/>
      <c r="BH1744" s="73"/>
      <c r="BI1744" s="73"/>
      <c r="BJ1744" s="73"/>
      <c r="BK1744" s="73"/>
      <c r="BL1744" s="73"/>
      <c r="BM1744" s="73"/>
      <c r="BN1744" s="73"/>
      <c r="BO1744" s="73"/>
      <c r="BP1744" s="73"/>
      <c r="BQ1744" s="73"/>
      <c r="BR1744" s="73"/>
      <c r="BS1744" s="73"/>
      <c r="BT1744" s="73"/>
      <c r="BU1744" s="73"/>
      <c r="BV1744" s="73"/>
      <c r="BW1744" s="73"/>
      <c r="BX1744" s="73"/>
      <c r="BY1744" s="73"/>
      <c r="BZ1744" s="73"/>
      <c r="CA1744" s="73"/>
      <c r="CB1744" s="73"/>
      <c r="CC1744" s="73"/>
      <c r="CD1744" s="73"/>
      <c r="CE1744" s="73"/>
      <c r="CF1744" s="73"/>
      <c r="CG1744" s="73"/>
      <c r="CH1744" s="73"/>
    </row>
    <row r="1745">
      <c r="A1745" s="80"/>
      <c r="B1745" s="80"/>
      <c r="C1745" s="80"/>
      <c r="D1745" s="80"/>
      <c r="E1745" s="124"/>
      <c r="F1745" s="80"/>
      <c r="G1745" s="80"/>
      <c r="H1745" s="80"/>
      <c r="I1745" s="80"/>
      <c r="J1745" s="196"/>
      <c r="K1745" s="196"/>
      <c r="L1745" s="196"/>
      <c r="M1745" s="196"/>
      <c r="N1745" s="196"/>
      <c r="O1745" s="196"/>
      <c r="P1745" s="196"/>
      <c r="Q1745" s="196"/>
      <c r="R1745" s="196"/>
      <c r="S1745" s="196"/>
      <c r="T1745" s="196"/>
      <c r="U1745" s="196"/>
      <c r="V1745" s="196"/>
      <c r="W1745" s="196"/>
      <c r="X1745" s="196"/>
      <c r="Y1745" s="196"/>
      <c r="Z1745" s="196"/>
      <c r="AA1745" s="196"/>
      <c r="AB1745" s="196"/>
      <c r="AC1745" s="196"/>
      <c r="AD1745" s="196"/>
      <c r="AE1745" s="196"/>
      <c r="AF1745" s="196"/>
      <c r="AG1745" s="196"/>
      <c r="AH1745" s="196"/>
      <c r="AI1745" s="196"/>
      <c r="AJ1745" s="197"/>
      <c r="AK1745" s="80"/>
      <c r="AL1745" s="80"/>
      <c r="AM1745" s="73"/>
      <c r="AN1745" s="73"/>
      <c r="AO1745" s="73"/>
      <c r="AP1745" s="73"/>
      <c r="AQ1745" s="73"/>
      <c r="AR1745" s="73"/>
      <c r="AS1745" s="73"/>
      <c r="AT1745" s="73"/>
      <c r="AU1745" s="73"/>
      <c r="AV1745" s="73"/>
      <c r="AW1745" s="73"/>
      <c r="AX1745" s="73"/>
      <c r="AY1745" s="73"/>
      <c r="AZ1745" s="73"/>
      <c r="BA1745" s="73"/>
      <c r="BB1745" s="73"/>
      <c r="BC1745" s="73"/>
      <c r="BD1745" s="73"/>
      <c r="BE1745" s="73"/>
      <c r="BF1745" s="73"/>
      <c r="BG1745" s="73"/>
      <c r="BH1745" s="73"/>
      <c r="BI1745" s="73"/>
      <c r="BJ1745" s="73"/>
      <c r="BK1745" s="73"/>
      <c r="BL1745" s="73"/>
      <c r="BM1745" s="73"/>
      <c r="BN1745" s="73"/>
      <c r="BO1745" s="73"/>
      <c r="BP1745" s="73"/>
      <c r="BQ1745" s="73"/>
      <c r="BR1745" s="73"/>
      <c r="BS1745" s="73"/>
      <c r="BT1745" s="73"/>
      <c r="BU1745" s="73"/>
      <c r="BV1745" s="73"/>
      <c r="BW1745" s="73"/>
      <c r="BX1745" s="73"/>
      <c r="BY1745" s="73"/>
      <c r="BZ1745" s="73"/>
      <c r="CA1745" s="73"/>
      <c r="CB1745" s="73"/>
      <c r="CC1745" s="73"/>
      <c r="CD1745" s="73"/>
      <c r="CE1745" s="73"/>
      <c r="CF1745" s="73"/>
      <c r="CG1745" s="73"/>
      <c r="CH1745" s="73"/>
    </row>
    <row r="1746">
      <c r="A1746" s="80"/>
      <c r="B1746" s="80"/>
      <c r="C1746" s="80"/>
      <c r="D1746" s="80"/>
      <c r="E1746" s="124"/>
      <c r="F1746" s="80"/>
      <c r="G1746" s="80"/>
      <c r="H1746" s="80"/>
      <c r="I1746" s="80"/>
      <c r="J1746" s="196"/>
      <c r="K1746" s="196"/>
      <c r="L1746" s="196"/>
      <c r="M1746" s="196"/>
      <c r="N1746" s="196"/>
      <c r="O1746" s="196"/>
      <c r="P1746" s="196"/>
      <c r="Q1746" s="196"/>
      <c r="R1746" s="196"/>
      <c r="S1746" s="196"/>
      <c r="T1746" s="196"/>
      <c r="U1746" s="196"/>
      <c r="V1746" s="196"/>
      <c r="W1746" s="196"/>
      <c r="X1746" s="196"/>
      <c r="Y1746" s="196"/>
      <c r="Z1746" s="196"/>
      <c r="AA1746" s="196"/>
      <c r="AB1746" s="196"/>
      <c r="AC1746" s="196"/>
      <c r="AD1746" s="196"/>
      <c r="AE1746" s="196"/>
      <c r="AF1746" s="196"/>
      <c r="AG1746" s="196"/>
      <c r="AH1746" s="196"/>
      <c r="AI1746" s="196"/>
      <c r="AJ1746" s="197"/>
      <c r="AK1746" s="80"/>
      <c r="AL1746" s="80"/>
      <c r="AM1746" s="73"/>
      <c r="AN1746" s="73"/>
      <c r="AO1746" s="73"/>
      <c r="AP1746" s="73"/>
      <c r="AQ1746" s="73"/>
      <c r="AR1746" s="73"/>
      <c r="AS1746" s="73"/>
      <c r="AT1746" s="73"/>
      <c r="AU1746" s="73"/>
      <c r="AV1746" s="73"/>
      <c r="AW1746" s="73"/>
      <c r="AX1746" s="73"/>
      <c r="AY1746" s="73"/>
      <c r="AZ1746" s="73"/>
      <c r="BA1746" s="73"/>
      <c r="BB1746" s="73"/>
      <c r="BC1746" s="73"/>
      <c r="BD1746" s="73"/>
      <c r="BE1746" s="73"/>
      <c r="BF1746" s="73"/>
      <c r="BG1746" s="73"/>
      <c r="BH1746" s="73"/>
      <c r="BI1746" s="73"/>
      <c r="BJ1746" s="73"/>
      <c r="BK1746" s="73"/>
      <c r="BL1746" s="73"/>
      <c r="BM1746" s="73"/>
      <c r="BN1746" s="73"/>
      <c r="BO1746" s="73"/>
      <c r="BP1746" s="73"/>
      <c r="BQ1746" s="73"/>
      <c r="BR1746" s="73"/>
      <c r="BS1746" s="73"/>
      <c r="BT1746" s="73"/>
      <c r="BU1746" s="73"/>
      <c r="BV1746" s="73"/>
      <c r="BW1746" s="73"/>
      <c r="BX1746" s="73"/>
      <c r="BY1746" s="73"/>
      <c r="BZ1746" s="73"/>
      <c r="CA1746" s="73"/>
      <c r="CB1746" s="73"/>
      <c r="CC1746" s="73"/>
      <c r="CD1746" s="73"/>
      <c r="CE1746" s="73"/>
      <c r="CF1746" s="73"/>
      <c r="CG1746" s="73"/>
      <c r="CH1746" s="73"/>
    </row>
    <row r="1747">
      <c r="A1747" s="80"/>
      <c r="B1747" s="80"/>
      <c r="C1747" s="80"/>
      <c r="D1747" s="80"/>
      <c r="E1747" s="124"/>
      <c r="F1747" s="80"/>
      <c r="G1747" s="80"/>
      <c r="H1747" s="80"/>
      <c r="I1747" s="80"/>
      <c r="J1747" s="196"/>
      <c r="K1747" s="196"/>
      <c r="L1747" s="196"/>
      <c r="M1747" s="196"/>
      <c r="N1747" s="196"/>
      <c r="O1747" s="196"/>
      <c r="P1747" s="196"/>
      <c r="Q1747" s="196"/>
      <c r="R1747" s="196"/>
      <c r="S1747" s="196"/>
      <c r="T1747" s="196"/>
      <c r="U1747" s="196"/>
      <c r="V1747" s="196"/>
      <c r="W1747" s="196"/>
      <c r="X1747" s="196"/>
      <c r="Y1747" s="196"/>
      <c r="Z1747" s="196"/>
      <c r="AA1747" s="196"/>
      <c r="AB1747" s="196"/>
      <c r="AC1747" s="196"/>
      <c r="AD1747" s="196"/>
      <c r="AE1747" s="196"/>
      <c r="AF1747" s="196"/>
      <c r="AG1747" s="196"/>
      <c r="AH1747" s="196"/>
      <c r="AI1747" s="196"/>
      <c r="AJ1747" s="197"/>
      <c r="AK1747" s="80"/>
      <c r="AL1747" s="80"/>
      <c r="AM1747" s="73"/>
      <c r="AN1747" s="73"/>
      <c r="AO1747" s="73"/>
      <c r="AP1747" s="73"/>
      <c r="AQ1747" s="73"/>
      <c r="AR1747" s="73"/>
      <c r="AS1747" s="73"/>
      <c r="AT1747" s="73"/>
      <c r="AU1747" s="73"/>
      <c r="AV1747" s="73"/>
      <c r="AW1747" s="73"/>
      <c r="AX1747" s="73"/>
      <c r="AY1747" s="73"/>
      <c r="AZ1747" s="73"/>
      <c r="BA1747" s="73"/>
      <c r="BB1747" s="73"/>
      <c r="BC1747" s="73"/>
      <c r="BD1747" s="73"/>
      <c r="BE1747" s="73"/>
      <c r="BF1747" s="73"/>
      <c r="BG1747" s="73"/>
      <c r="BH1747" s="73"/>
      <c r="BI1747" s="73"/>
      <c r="BJ1747" s="73"/>
      <c r="BK1747" s="73"/>
      <c r="BL1747" s="73"/>
      <c r="BM1747" s="73"/>
      <c r="BN1747" s="73"/>
      <c r="BO1747" s="73"/>
      <c r="BP1747" s="73"/>
      <c r="BQ1747" s="73"/>
      <c r="BR1747" s="73"/>
      <c r="BS1747" s="73"/>
      <c r="BT1747" s="73"/>
      <c r="BU1747" s="73"/>
      <c r="BV1747" s="73"/>
      <c r="BW1747" s="73"/>
      <c r="BX1747" s="73"/>
      <c r="BY1747" s="73"/>
      <c r="BZ1747" s="73"/>
      <c r="CA1747" s="73"/>
      <c r="CB1747" s="73"/>
      <c r="CC1747" s="73"/>
      <c r="CD1747" s="73"/>
      <c r="CE1747" s="73"/>
      <c r="CF1747" s="73"/>
      <c r="CG1747" s="73"/>
      <c r="CH1747" s="73"/>
    </row>
    <row r="1748">
      <c r="A1748" s="80"/>
      <c r="B1748" s="80"/>
      <c r="C1748" s="80"/>
      <c r="D1748" s="80"/>
      <c r="E1748" s="124"/>
      <c r="F1748" s="80"/>
      <c r="G1748" s="80"/>
      <c r="H1748" s="80"/>
      <c r="I1748" s="80"/>
      <c r="J1748" s="196"/>
      <c r="K1748" s="196"/>
      <c r="L1748" s="196"/>
      <c r="M1748" s="196"/>
      <c r="N1748" s="196"/>
      <c r="O1748" s="196"/>
      <c r="P1748" s="196"/>
      <c r="Q1748" s="196"/>
      <c r="R1748" s="196"/>
      <c r="S1748" s="196"/>
      <c r="T1748" s="196"/>
      <c r="U1748" s="196"/>
      <c r="V1748" s="196"/>
      <c r="W1748" s="196"/>
      <c r="X1748" s="196"/>
      <c r="Y1748" s="196"/>
      <c r="Z1748" s="196"/>
      <c r="AA1748" s="196"/>
      <c r="AB1748" s="196"/>
      <c r="AC1748" s="196"/>
      <c r="AD1748" s="196"/>
      <c r="AE1748" s="196"/>
      <c r="AF1748" s="196"/>
      <c r="AG1748" s="196"/>
      <c r="AH1748" s="196"/>
      <c r="AI1748" s="196"/>
      <c r="AJ1748" s="197"/>
      <c r="AK1748" s="80"/>
      <c r="AL1748" s="80"/>
      <c r="AM1748" s="73"/>
      <c r="AN1748" s="73"/>
      <c r="AO1748" s="73"/>
      <c r="AP1748" s="73"/>
      <c r="AQ1748" s="73"/>
      <c r="AR1748" s="73"/>
      <c r="AS1748" s="73"/>
      <c r="AT1748" s="73"/>
      <c r="AU1748" s="73"/>
      <c r="AV1748" s="73"/>
      <c r="AW1748" s="73"/>
      <c r="AX1748" s="73"/>
      <c r="AY1748" s="73"/>
      <c r="AZ1748" s="73"/>
      <c r="BA1748" s="73"/>
      <c r="BB1748" s="73"/>
      <c r="BC1748" s="73"/>
      <c r="BD1748" s="73"/>
      <c r="BE1748" s="73"/>
      <c r="BF1748" s="73"/>
      <c r="BG1748" s="73"/>
      <c r="BH1748" s="73"/>
      <c r="BI1748" s="73"/>
      <c r="BJ1748" s="73"/>
      <c r="BK1748" s="73"/>
      <c r="BL1748" s="73"/>
      <c r="BM1748" s="73"/>
      <c r="BN1748" s="73"/>
      <c r="BO1748" s="73"/>
      <c r="BP1748" s="73"/>
      <c r="BQ1748" s="73"/>
      <c r="BR1748" s="73"/>
      <c r="BS1748" s="73"/>
      <c r="BT1748" s="73"/>
      <c r="BU1748" s="73"/>
      <c r="BV1748" s="73"/>
      <c r="BW1748" s="73"/>
      <c r="BX1748" s="73"/>
      <c r="BY1748" s="73"/>
      <c r="BZ1748" s="73"/>
      <c r="CA1748" s="73"/>
      <c r="CB1748" s="73"/>
      <c r="CC1748" s="73"/>
      <c r="CD1748" s="73"/>
      <c r="CE1748" s="73"/>
      <c r="CF1748" s="73"/>
      <c r="CG1748" s="73"/>
      <c r="CH1748" s="73"/>
    </row>
    <row r="1749">
      <c r="A1749" s="80"/>
      <c r="B1749" s="80"/>
      <c r="C1749" s="80"/>
      <c r="D1749" s="80"/>
      <c r="E1749" s="124"/>
      <c r="F1749" s="80"/>
      <c r="G1749" s="80"/>
      <c r="H1749" s="80"/>
      <c r="I1749" s="80"/>
      <c r="J1749" s="196"/>
      <c r="K1749" s="196"/>
      <c r="L1749" s="196"/>
      <c r="M1749" s="196"/>
      <c r="N1749" s="196"/>
      <c r="O1749" s="196"/>
      <c r="P1749" s="196"/>
      <c r="Q1749" s="196"/>
      <c r="R1749" s="196"/>
      <c r="S1749" s="196"/>
      <c r="T1749" s="196"/>
      <c r="U1749" s="196"/>
      <c r="V1749" s="196"/>
      <c r="W1749" s="196"/>
      <c r="X1749" s="196"/>
      <c r="Y1749" s="196"/>
      <c r="Z1749" s="196"/>
      <c r="AA1749" s="196"/>
      <c r="AB1749" s="196"/>
      <c r="AC1749" s="196"/>
      <c r="AD1749" s="196"/>
      <c r="AE1749" s="196"/>
      <c r="AF1749" s="196"/>
      <c r="AG1749" s="196"/>
      <c r="AH1749" s="196"/>
      <c r="AI1749" s="196"/>
      <c r="AJ1749" s="197"/>
      <c r="AK1749" s="80"/>
      <c r="AL1749" s="80"/>
      <c r="AM1749" s="73"/>
      <c r="AN1749" s="73"/>
      <c r="AO1749" s="73"/>
      <c r="AP1749" s="73"/>
      <c r="AQ1749" s="73"/>
      <c r="AR1749" s="73"/>
      <c r="AS1749" s="73"/>
      <c r="AT1749" s="73"/>
      <c r="AU1749" s="73"/>
      <c r="AV1749" s="73"/>
      <c r="AW1749" s="73"/>
      <c r="AX1749" s="73"/>
      <c r="AY1749" s="73"/>
      <c r="AZ1749" s="73"/>
      <c r="BA1749" s="73"/>
      <c r="BB1749" s="73"/>
      <c r="BC1749" s="73"/>
      <c r="BD1749" s="73"/>
      <c r="BE1749" s="73"/>
      <c r="BF1749" s="73"/>
      <c r="BG1749" s="73"/>
      <c r="BH1749" s="73"/>
      <c r="BI1749" s="73"/>
      <c r="BJ1749" s="73"/>
      <c r="BK1749" s="73"/>
      <c r="BL1749" s="73"/>
      <c r="BM1749" s="73"/>
      <c r="BN1749" s="73"/>
      <c r="BO1749" s="73"/>
      <c r="BP1749" s="73"/>
      <c r="BQ1749" s="73"/>
      <c r="BR1749" s="73"/>
      <c r="BS1749" s="73"/>
      <c r="BT1749" s="73"/>
      <c r="BU1749" s="73"/>
      <c r="BV1749" s="73"/>
      <c r="BW1749" s="73"/>
      <c r="BX1749" s="73"/>
      <c r="BY1749" s="73"/>
      <c r="BZ1749" s="73"/>
      <c r="CA1749" s="73"/>
      <c r="CB1749" s="73"/>
      <c r="CC1749" s="73"/>
      <c r="CD1749" s="73"/>
      <c r="CE1749" s="73"/>
      <c r="CF1749" s="73"/>
      <c r="CG1749" s="73"/>
      <c r="CH1749" s="73"/>
    </row>
    <row r="1750">
      <c r="A1750" s="80"/>
      <c r="B1750" s="80"/>
      <c r="C1750" s="80"/>
      <c r="D1750" s="80"/>
      <c r="E1750" s="124"/>
      <c r="F1750" s="80"/>
      <c r="G1750" s="80"/>
      <c r="H1750" s="80"/>
      <c r="I1750" s="80"/>
      <c r="J1750" s="196"/>
      <c r="K1750" s="196"/>
      <c r="L1750" s="196"/>
      <c r="M1750" s="196"/>
      <c r="N1750" s="196"/>
      <c r="O1750" s="196"/>
      <c r="P1750" s="196"/>
      <c r="Q1750" s="196"/>
      <c r="R1750" s="196"/>
      <c r="S1750" s="196"/>
      <c r="T1750" s="196"/>
      <c r="U1750" s="196"/>
      <c r="V1750" s="196"/>
      <c r="W1750" s="196"/>
      <c r="X1750" s="196"/>
      <c r="Y1750" s="196"/>
      <c r="Z1750" s="196"/>
      <c r="AA1750" s="196"/>
      <c r="AB1750" s="196"/>
      <c r="AC1750" s="196"/>
      <c r="AD1750" s="196"/>
      <c r="AE1750" s="196"/>
      <c r="AF1750" s="196"/>
      <c r="AG1750" s="196"/>
      <c r="AH1750" s="196"/>
      <c r="AI1750" s="196"/>
      <c r="AJ1750" s="197"/>
      <c r="AK1750" s="80"/>
      <c r="AL1750" s="80"/>
      <c r="AM1750" s="73"/>
      <c r="AN1750" s="73"/>
      <c r="AO1750" s="73"/>
      <c r="AP1750" s="73"/>
      <c r="AQ1750" s="73"/>
      <c r="AR1750" s="73"/>
      <c r="AS1750" s="73"/>
      <c r="AT1750" s="73"/>
      <c r="AU1750" s="73"/>
      <c r="AV1750" s="73"/>
      <c r="AW1750" s="73"/>
      <c r="AX1750" s="73"/>
      <c r="AY1750" s="73"/>
      <c r="AZ1750" s="73"/>
      <c r="BA1750" s="73"/>
      <c r="BB1750" s="73"/>
      <c r="BC1750" s="73"/>
      <c r="BD1750" s="73"/>
      <c r="BE1750" s="73"/>
      <c r="BF1750" s="73"/>
      <c r="BG1750" s="73"/>
      <c r="BH1750" s="73"/>
      <c r="BI1750" s="73"/>
      <c r="BJ1750" s="73"/>
      <c r="BK1750" s="73"/>
      <c r="BL1750" s="73"/>
      <c r="BM1750" s="73"/>
      <c r="BN1750" s="73"/>
      <c r="BO1750" s="73"/>
      <c r="BP1750" s="73"/>
      <c r="BQ1750" s="73"/>
      <c r="BR1750" s="73"/>
      <c r="BS1750" s="73"/>
      <c r="BT1750" s="73"/>
      <c r="BU1750" s="73"/>
      <c r="BV1750" s="73"/>
      <c r="BW1750" s="73"/>
      <c r="BX1750" s="73"/>
      <c r="BY1750" s="73"/>
      <c r="BZ1750" s="73"/>
      <c r="CA1750" s="73"/>
      <c r="CB1750" s="73"/>
      <c r="CC1750" s="73"/>
      <c r="CD1750" s="73"/>
      <c r="CE1750" s="73"/>
      <c r="CF1750" s="73"/>
      <c r="CG1750" s="73"/>
      <c r="CH1750" s="73"/>
    </row>
    <row r="1751">
      <c r="A1751" s="80"/>
      <c r="B1751" s="80"/>
      <c r="C1751" s="80"/>
      <c r="D1751" s="80"/>
      <c r="E1751" s="124"/>
      <c r="F1751" s="80"/>
      <c r="G1751" s="80"/>
      <c r="H1751" s="80"/>
      <c r="I1751" s="80"/>
      <c r="J1751" s="196"/>
      <c r="K1751" s="196"/>
      <c r="L1751" s="196"/>
      <c r="M1751" s="196"/>
      <c r="N1751" s="196"/>
      <c r="O1751" s="196"/>
      <c r="P1751" s="196"/>
      <c r="Q1751" s="196"/>
      <c r="R1751" s="196"/>
      <c r="S1751" s="196"/>
      <c r="T1751" s="196"/>
      <c r="U1751" s="196"/>
      <c r="V1751" s="196"/>
      <c r="W1751" s="196"/>
      <c r="X1751" s="196"/>
      <c r="Y1751" s="196"/>
      <c r="Z1751" s="196"/>
      <c r="AA1751" s="196"/>
      <c r="AB1751" s="196"/>
      <c r="AC1751" s="196"/>
      <c r="AD1751" s="196"/>
      <c r="AE1751" s="196"/>
      <c r="AF1751" s="196"/>
      <c r="AG1751" s="196"/>
      <c r="AH1751" s="196"/>
      <c r="AI1751" s="196"/>
      <c r="AJ1751" s="197"/>
      <c r="AK1751" s="80"/>
      <c r="AL1751" s="80"/>
      <c r="AM1751" s="73"/>
      <c r="AN1751" s="73"/>
      <c r="AO1751" s="73"/>
      <c r="AP1751" s="73"/>
      <c r="AQ1751" s="73"/>
      <c r="AR1751" s="73"/>
      <c r="AS1751" s="73"/>
      <c r="AT1751" s="73"/>
      <c r="AU1751" s="73"/>
      <c r="AV1751" s="73"/>
      <c r="AW1751" s="73"/>
      <c r="AX1751" s="73"/>
      <c r="AY1751" s="73"/>
      <c r="AZ1751" s="73"/>
      <c r="BA1751" s="73"/>
      <c r="BB1751" s="73"/>
      <c r="BC1751" s="73"/>
      <c r="BD1751" s="73"/>
      <c r="BE1751" s="73"/>
      <c r="BF1751" s="73"/>
      <c r="BG1751" s="73"/>
      <c r="BH1751" s="73"/>
      <c r="BI1751" s="73"/>
      <c r="BJ1751" s="73"/>
      <c r="BK1751" s="73"/>
      <c r="BL1751" s="73"/>
      <c r="BM1751" s="73"/>
      <c r="BN1751" s="73"/>
      <c r="BO1751" s="73"/>
      <c r="BP1751" s="73"/>
      <c r="BQ1751" s="73"/>
      <c r="BR1751" s="73"/>
      <c r="BS1751" s="73"/>
      <c r="BT1751" s="73"/>
      <c r="BU1751" s="73"/>
      <c r="BV1751" s="73"/>
      <c r="BW1751" s="73"/>
      <c r="BX1751" s="73"/>
      <c r="BY1751" s="73"/>
      <c r="BZ1751" s="73"/>
      <c r="CA1751" s="73"/>
      <c r="CB1751" s="73"/>
      <c r="CC1751" s="73"/>
      <c r="CD1751" s="73"/>
      <c r="CE1751" s="73"/>
      <c r="CF1751" s="73"/>
      <c r="CG1751" s="73"/>
      <c r="CH1751" s="73"/>
    </row>
    <row r="1752">
      <c r="A1752" s="80"/>
      <c r="B1752" s="80"/>
      <c r="C1752" s="80"/>
      <c r="D1752" s="80"/>
      <c r="E1752" s="124"/>
      <c r="F1752" s="80"/>
      <c r="G1752" s="80"/>
      <c r="H1752" s="80"/>
      <c r="I1752" s="80"/>
      <c r="J1752" s="196"/>
      <c r="K1752" s="196"/>
      <c r="L1752" s="196"/>
      <c r="M1752" s="196"/>
      <c r="N1752" s="196"/>
      <c r="O1752" s="196"/>
      <c r="P1752" s="196"/>
      <c r="Q1752" s="196"/>
      <c r="R1752" s="196"/>
      <c r="S1752" s="196"/>
      <c r="T1752" s="196"/>
      <c r="U1752" s="196"/>
      <c r="V1752" s="196"/>
      <c r="W1752" s="196"/>
      <c r="X1752" s="196"/>
      <c r="Y1752" s="196"/>
      <c r="Z1752" s="196"/>
      <c r="AA1752" s="196"/>
      <c r="AB1752" s="196"/>
      <c r="AC1752" s="196"/>
      <c r="AD1752" s="196"/>
      <c r="AE1752" s="196"/>
      <c r="AF1752" s="196"/>
      <c r="AG1752" s="196"/>
      <c r="AH1752" s="196"/>
      <c r="AI1752" s="196"/>
      <c r="AJ1752" s="197"/>
      <c r="AK1752" s="80"/>
      <c r="AL1752" s="80"/>
      <c r="AM1752" s="73"/>
      <c r="AN1752" s="73"/>
      <c r="AO1752" s="73"/>
      <c r="AP1752" s="73"/>
      <c r="AQ1752" s="73"/>
      <c r="AR1752" s="73"/>
      <c r="AS1752" s="73"/>
      <c r="AT1752" s="73"/>
      <c r="AU1752" s="73"/>
      <c r="AV1752" s="73"/>
      <c r="AW1752" s="73"/>
      <c r="AX1752" s="73"/>
      <c r="AY1752" s="73"/>
      <c r="AZ1752" s="73"/>
      <c r="BA1752" s="73"/>
      <c r="BB1752" s="73"/>
      <c r="BC1752" s="73"/>
      <c r="BD1752" s="73"/>
      <c r="BE1752" s="73"/>
      <c r="BF1752" s="73"/>
      <c r="BG1752" s="73"/>
      <c r="BH1752" s="73"/>
      <c r="BI1752" s="73"/>
      <c r="BJ1752" s="73"/>
      <c r="BK1752" s="73"/>
      <c r="BL1752" s="73"/>
      <c r="BM1752" s="73"/>
      <c r="BN1752" s="73"/>
      <c r="BO1752" s="73"/>
      <c r="BP1752" s="73"/>
      <c r="BQ1752" s="73"/>
      <c r="BR1752" s="73"/>
      <c r="BS1752" s="73"/>
      <c r="BT1752" s="73"/>
      <c r="BU1752" s="73"/>
      <c r="BV1752" s="73"/>
      <c r="BW1752" s="73"/>
      <c r="BX1752" s="73"/>
      <c r="BY1752" s="73"/>
      <c r="BZ1752" s="73"/>
      <c r="CA1752" s="73"/>
      <c r="CB1752" s="73"/>
      <c r="CC1752" s="73"/>
      <c r="CD1752" s="73"/>
      <c r="CE1752" s="73"/>
      <c r="CF1752" s="73"/>
      <c r="CG1752" s="73"/>
      <c r="CH1752" s="73"/>
    </row>
    <row r="1753">
      <c r="A1753" s="80"/>
      <c r="B1753" s="80"/>
      <c r="C1753" s="80"/>
      <c r="D1753" s="80"/>
      <c r="E1753" s="124"/>
      <c r="F1753" s="80"/>
      <c r="G1753" s="80"/>
      <c r="H1753" s="80"/>
      <c r="I1753" s="80"/>
      <c r="J1753" s="196"/>
      <c r="K1753" s="196"/>
      <c r="L1753" s="196"/>
      <c r="M1753" s="196"/>
      <c r="N1753" s="196"/>
      <c r="O1753" s="196"/>
      <c r="P1753" s="196"/>
      <c r="Q1753" s="196"/>
      <c r="R1753" s="196"/>
      <c r="S1753" s="196"/>
      <c r="T1753" s="196"/>
      <c r="U1753" s="196"/>
      <c r="V1753" s="196"/>
      <c r="W1753" s="196"/>
      <c r="X1753" s="196"/>
      <c r="Y1753" s="196"/>
      <c r="Z1753" s="196"/>
      <c r="AA1753" s="196"/>
      <c r="AB1753" s="196"/>
      <c r="AC1753" s="196"/>
      <c r="AD1753" s="196"/>
      <c r="AE1753" s="196"/>
      <c r="AF1753" s="196"/>
      <c r="AG1753" s="196"/>
      <c r="AH1753" s="196"/>
      <c r="AI1753" s="196"/>
      <c r="AJ1753" s="197"/>
      <c r="AK1753" s="80"/>
      <c r="AL1753" s="80"/>
      <c r="AM1753" s="73"/>
      <c r="AN1753" s="73"/>
      <c r="AO1753" s="73"/>
      <c r="AP1753" s="73"/>
      <c r="AQ1753" s="73"/>
      <c r="AR1753" s="73"/>
      <c r="AS1753" s="73"/>
      <c r="AT1753" s="73"/>
      <c r="AU1753" s="73"/>
      <c r="AV1753" s="73"/>
      <c r="AW1753" s="73"/>
      <c r="AX1753" s="73"/>
      <c r="AY1753" s="73"/>
      <c r="AZ1753" s="73"/>
      <c r="BA1753" s="73"/>
      <c r="BB1753" s="73"/>
      <c r="BC1753" s="73"/>
      <c r="BD1753" s="73"/>
      <c r="BE1753" s="73"/>
      <c r="BF1753" s="73"/>
      <c r="BG1753" s="73"/>
      <c r="BH1753" s="73"/>
      <c r="BI1753" s="73"/>
      <c r="BJ1753" s="73"/>
      <c r="BK1753" s="73"/>
      <c r="BL1753" s="73"/>
      <c r="BM1753" s="73"/>
      <c r="BN1753" s="73"/>
      <c r="BO1753" s="73"/>
      <c r="BP1753" s="73"/>
      <c r="BQ1753" s="73"/>
      <c r="BR1753" s="73"/>
      <c r="BS1753" s="73"/>
      <c r="BT1753" s="73"/>
      <c r="BU1753" s="73"/>
      <c r="BV1753" s="73"/>
      <c r="BW1753" s="73"/>
      <c r="BX1753" s="73"/>
      <c r="BY1753" s="73"/>
      <c r="BZ1753" s="73"/>
      <c r="CA1753" s="73"/>
      <c r="CB1753" s="73"/>
      <c r="CC1753" s="73"/>
      <c r="CD1753" s="73"/>
      <c r="CE1753" s="73"/>
      <c r="CF1753" s="73"/>
      <c r="CG1753" s="73"/>
      <c r="CH1753" s="73"/>
    </row>
    <row r="1754">
      <c r="A1754" s="80"/>
      <c r="B1754" s="80"/>
      <c r="C1754" s="80"/>
      <c r="D1754" s="80"/>
      <c r="E1754" s="124"/>
      <c r="F1754" s="80"/>
      <c r="G1754" s="80"/>
      <c r="H1754" s="80"/>
      <c r="I1754" s="80"/>
      <c r="J1754" s="196"/>
      <c r="K1754" s="196"/>
      <c r="L1754" s="196"/>
      <c r="M1754" s="196"/>
      <c r="N1754" s="196"/>
      <c r="O1754" s="196"/>
      <c r="P1754" s="196"/>
      <c r="Q1754" s="196"/>
      <c r="R1754" s="196"/>
      <c r="S1754" s="196"/>
      <c r="T1754" s="196"/>
      <c r="U1754" s="196"/>
      <c r="V1754" s="196"/>
      <c r="W1754" s="196"/>
      <c r="X1754" s="196"/>
      <c r="Y1754" s="196"/>
      <c r="Z1754" s="196"/>
      <c r="AA1754" s="196"/>
      <c r="AB1754" s="196"/>
      <c r="AC1754" s="196"/>
      <c r="AD1754" s="196"/>
      <c r="AE1754" s="196"/>
      <c r="AF1754" s="196"/>
      <c r="AG1754" s="196"/>
      <c r="AH1754" s="196"/>
      <c r="AI1754" s="196"/>
      <c r="AJ1754" s="197"/>
      <c r="AK1754" s="80"/>
      <c r="AL1754" s="80"/>
      <c r="AM1754" s="73"/>
      <c r="AN1754" s="73"/>
      <c r="AO1754" s="73"/>
      <c r="AP1754" s="73"/>
      <c r="AQ1754" s="73"/>
      <c r="AR1754" s="73"/>
      <c r="AS1754" s="73"/>
      <c r="AT1754" s="73"/>
      <c r="AU1754" s="73"/>
      <c r="AV1754" s="73"/>
      <c r="AW1754" s="73"/>
      <c r="AX1754" s="73"/>
      <c r="AY1754" s="73"/>
      <c r="AZ1754" s="73"/>
      <c r="BA1754" s="73"/>
      <c r="BB1754" s="73"/>
      <c r="BC1754" s="73"/>
      <c r="BD1754" s="73"/>
      <c r="BE1754" s="73"/>
      <c r="BF1754" s="73"/>
      <c r="BG1754" s="73"/>
      <c r="BH1754" s="73"/>
      <c r="BI1754" s="73"/>
      <c r="BJ1754" s="73"/>
      <c r="BK1754" s="73"/>
      <c r="BL1754" s="73"/>
      <c r="BM1754" s="73"/>
      <c r="BN1754" s="73"/>
      <c r="BO1754" s="73"/>
      <c r="BP1754" s="73"/>
      <c r="BQ1754" s="73"/>
      <c r="BR1754" s="73"/>
      <c r="BS1754" s="73"/>
      <c r="BT1754" s="73"/>
      <c r="BU1754" s="73"/>
      <c r="BV1754" s="73"/>
      <c r="BW1754" s="73"/>
      <c r="BX1754" s="73"/>
      <c r="BY1754" s="73"/>
      <c r="BZ1754" s="73"/>
      <c r="CA1754" s="73"/>
      <c r="CB1754" s="73"/>
      <c r="CC1754" s="73"/>
      <c r="CD1754" s="73"/>
      <c r="CE1754" s="73"/>
      <c r="CF1754" s="73"/>
      <c r="CG1754" s="73"/>
      <c r="CH1754" s="73"/>
    </row>
    <row r="1755">
      <c r="A1755" s="80"/>
      <c r="B1755" s="80"/>
      <c r="C1755" s="80"/>
      <c r="D1755" s="80"/>
      <c r="E1755" s="124"/>
      <c r="F1755" s="80"/>
      <c r="G1755" s="80"/>
      <c r="H1755" s="80"/>
      <c r="I1755" s="80"/>
      <c r="J1755" s="196"/>
      <c r="K1755" s="196"/>
      <c r="L1755" s="196"/>
      <c r="M1755" s="196"/>
      <c r="N1755" s="196"/>
      <c r="O1755" s="196"/>
      <c r="P1755" s="196"/>
      <c r="Q1755" s="196"/>
      <c r="R1755" s="196"/>
      <c r="S1755" s="196"/>
      <c r="T1755" s="196"/>
      <c r="U1755" s="196"/>
      <c r="V1755" s="196"/>
      <c r="W1755" s="196"/>
      <c r="X1755" s="196"/>
      <c r="Y1755" s="196"/>
      <c r="Z1755" s="196"/>
      <c r="AA1755" s="196"/>
      <c r="AB1755" s="196"/>
      <c r="AC1755" s="196"/>
      <c r="AD1755" s="196"/>
      <c r="AE1755" s="196"/>
      <c r="AF1755" s="196"/>
      <c r="AG1755" s="196"/>
      <c r="AH1755" s="196"/>
      <c r="AI1755" s="196"/>
      <c r="AJ1755" s="197"/>
      <c r="AK1755" s="80"/>
      <c r="AL1755" s="80"/>
      <c r="AM1755" s="73"/>
      <c r="AN1755" s="73"/>
      <c r="AO1755" s="73"/>
      <c r="AP1755" s="73"/>
      <c r="AQ1755" s="73"/>
      <c r="AR1755" s="73"/>
      <c r="AS1755" s="73"/>
      <c r="AT1755" s="73"/>
      <c r="AU1755" s="73"/>
      <c r="AV1755" s="73"/>
      <c r="AW1755" s="73"/>
      <c r="AX1755" s="73"/>
      <c r="AY1755" s="73"/>
      <c r="AZ1755" s="73"/>
      <c r="BA1755" s="73"/>
      <c r="BB1755" s="73"/>
      <c r="BC1755" s="73"/>
      <c r="BD1755" s="73"/>
      <c r="BE1755" s="73"/>
      <c r="BF1755" s="73"/>
      <c r="BG1755" s="73"/>
      <c r="BH1755" s="73"/>
      <c r="BI1755" s="73"/>
      <c r="BJ1755" s="73"/>
      <c r="BK1755" s="73"/>
      <c r="BL1755" s="73"/>
      <c r="BM1755" s="73"/>
      <c r="BN1755" s="73"/>
      <c r="BO1755" s="73"/>
      <c r="BP1755" s="73"/>
      <c r="BQ1755" s="73"/>
      <c r="BR1755" s="73"/>
      <c r="BS1755" s="73"/>
      <c r="BT1755" s="73"/>
      <c r="BU1755" s="73"/>
      <c r="BV1755" s="73"/>
      <c r="BW1755" s="73"/>
      <c r="BX1755" s="73"/>
      <c r="BY1755" s="73"/>
      <c r="BZ1755" s="73"/>
      <c r="CA1755" s="73"/>
      <c r="CB1755" s="73"/>
      <c r="CC1755" s="73"/>
      <c r="CD1755" s="73"/>
      <c r="CE1755" s="73"/>
      <c r="CF1755" s="73"/>
      <c r="CG1755" s="73"/>
      <c r="CH1755" s="73"/>
    </row>
    <row r="1756">
      <c r="A1756" s="80"/>
      <c r="B1756" s="80"/>
      <c r="C1756" s="80"/>
      <c r="D1756" s="80"/>
      <c r="E1756" s="124"/>
      <c r="F1756" s="80"/>
      <c r="G1756" s="80"/>
      <c r="H1756" s="80"/>
      <c r="I1756" s="80"/>
      <c r="J1756" s="196"/>
      <c r="K1756" s="196"/>
      <c r="L1756" s="196"/>
      <c r="M1756" s="196"/>
      <c r="N1756" s="196"/>
      <c r="O1756" s="196"/>
      <c r="P1756" s="196"/>
      <c r="Q1756" s="196"/>
      <c r="R1756" s="196"/>
      <c r="S1756" s="196"/>
      <c r="T1756" s="196"/>
      <c r="U1756" s="196"/>
      <c r="V1756" s="196"/>
      <c r="W1756" s="196"/>
      <c r="X1756" s="196"/>
      <c r="Y1756" s="196"/>
      <c r="Z1756" s="196"/>
      <c r="AA1756" s="196"/>
      <c r="AB1756" s="196"/>
      <c r="AC1756" s="196"/>
      <c r="AD1756" s="196"/>
      <c r="AE1756" s="196"/>
      <c r="AF1756" s="196"/>
      <c r="AG1756" s="196"/>
      <c r="AH1756" s="196"/>
      <c r="AI1756" s="196"/>
      <c r="AJ1756" s="197"/>
      <c r="AK1756" s="80"/>
      <c r="AL1756" s="80"/>
      <c r="AM1756" s="73"/>
      <c r="AN1756" s="73"/>
      <c r="AO1756" s="73"/>
      <c r="AP1756" s="73"/>
      <c r="AQ1756" s="73"/>
      <c r="AR1756" s="73"/>
      <c r="AS1756" s="73"/>
      <c r="AT1756" s="73"/>
      <c r="AU1756" s="73"/>
      <c r="AV1756" s="73"/>
      <c r="AW1756" s="73"/>
      <c r="AX1756" s="73"/>
      <c r="AY1756" s="73"/>
      <c r="AZ1756" s="73"/>
      <c r="BA1756" s="73"/>
      <c r="BB1756" s="73"/>
      <c r="BC1756" s="73"/>
      <c r="BD1756" s="73"/>
      <c r="BE1756" s="73"/>
      <c r="BF1756" s="73"/>
      <c r="BG1756" s="73"/>
      <c r="BH1756" s="73"/>
      <c r="BI1756" s="73"/>
      <c r="BJ1756" s="73"/>
      <c r="BK1756" s="73"/>
      <c r="BL1756" s="73"/>
      <c r="BM1756" s="73"/>
      <c r="BN1756" s="73"/>
      <c r="BO1756" s="73"/>
      <c r="BP1756" s="73"/>
      <c r="BQ1756" s="73"/>
      <c r="BR1756" s="73"/>
      <c r="BS1756" s="73"/>
      <c r="BT1756" s="73"/>
      <c r="BU1756" s="73"/>
      <c r="BV1756" s="73"/>
      <c r="BW1756" s="73"/>
      <c r="BX1756" s="73"/>
      <c r="BY1756" s="73"/>
      <c r="BZ1756" s="73"/>
      <c r="CA1756" s="73"/>
      <c r="CB1756" s="73"/>
      <c r="CC1756" s="73"/>
      <c r="CD1756" s="73"/>
      <c r="CE1756" s="73"/>
      <c r="CF1756" s="73"/>
      <c r="CG1756" s="73"/>
      <c r="CH1756" s="73"/>
    </row>
    <row r="1757">
      <c r="A1757" s="80"/>
      <c r="B1757" s="80"/>
      <c r="C1757" s="80"/>
      <c r="D1757" s="80"/>
      <c r="E1757" s="124"/>
      <c r="F1757" s="80"/>
      <c r="G1757" s="80"/>
      <c r="H1757" s="80"/>
      <c r="I1757" s="80"/>
      <c r="J1757" s="196"/>
      <c r="K1757" s="196"/>
      <c r="L1757" s="196"/>
      <c r="M1757" s="196"/>
      <c r="N1757" s="196"/>
      <c r="O1757" s="196"/>
      <c r="P1757" s="196"/>
      <c r="Q1757" s="196"/>
      <c r="R1757" s="196"/>
      <c r="S1757" s="196"/>
      <c r="T1757" s="196"/>
      <c r="U1757" s="196"/>
      <c r="V1757" s="196"/>
      <c r="W1757" s="196"/>
      <c r="X1757" s="196"/>
      <c r="Y1757" s="196"/>
      <c r="Z1757" s="196"/>
      <c r="AA1757" s="196"/>
      <c r="AB1757" s="196"/>
      <c r="AC1757" s="196"/>
      <c r="AD1757" s="196"/>
      <c r="AE1757" s="196"/>
      <c r="AF1757" s="196"/>
      <c r="AG1757" s="196"/>
      <c r="AH1757" s="196"/>
      <c r="AI1757" s="196"/>
      <c r="AJ1757" s="197"/>
      <c r="AK1757" s="80"/>
      <c r="AL1757" s="80"/>
      <c r="AM1757" s="73"/>
      <c r="AN1757" s="73"/>
      <c r="AO1757" s="73"/>
      <c r="AP1757" s="73"/>
      <c r="AQ1757" s="73"/>
      <c r="AR1757" s="73"/>
      <c r="AS1757" s="73"/>
      <c r="AT1757" s="73"/>
      <c r="AU1757" s="73"/>
      <c r="AV1757" s="73"/>
      <c r="AW1757" s="73"/>
      <c r="AX1757" s="73"/>
      <c r="AY1757" s="73"/>
      <c r="AZ1757" s="73"/>
      <c r="BA1757" s="73"/>
      <c r="BB1757" s="73"/>
      <c r="BC1757" s="73"/>
      <c r="BD1757" s="73"/>
      <c r="BE1757" s="73"/>
      <c r="BF1757" s="73"/>
      <c r="BG1757" s="73"/>
      <c r="BH1757" s="73"/>
      <c r="BI1757" s="73"/>
      <c r="BJ1757" s="73"/>
      <c r="BK1757" s="73"/>
      <c r="BL1757" s="73"/>
      <c r="BM1757" s="73"/>
      <c r="BN1757" s="73"/>
      <c r="BO1757" s="73"/>
      <c r="BP1757" s="73"/>
      <c r="BQ1757" s="73"/>
      <c r="BR1757" s="73"/>
      <c r="BS1757" s="73"/>
      <c r="BT1757" s="73"/>
      <c r="BU1757" s="73"/>
      <c r="BV1757" s="73"/>
      <c r="BW1757" s="73"/>
      <c r="BX1757" s="73"/>
      <c r="BY1757" s="73"/>
      <c r="BZ1757" s="73"/>
      <c r="CA1757" s="73"/>
      <c r="CB1757" s="73"/>
      <c r="CC1757" s="73"/>
      <c r="CD1757" s="73"/>
      <c r="CE1757" s="73"/>
      <c r="CF1757" s="73"/>
      <c r="CG1757" s="73"/>
      <c r="CH1757" s="73"/>
    </row>
    <row r="1758">
      <c r="A1758" s="80"/>
      <c r="B1758" s="80"/>
      <c r="C1758" s="80"/>
      <c r="D1758" s="80"/>
      <c r="E1758" s="124"/>
      <c r="F1758" s="80"/>
      <c r="G1758" s="80"/>
      <c r="H1758" s="80"/>
      <c r="I1758" s="80"/>
      <c r="J1758" s="196"/>
      <c r="K1758" s="196"/>
      <c r="L1758" s="196"/>
      <c r="M1758" s="196"/>
      <c r="N1758" s="196"/>
      <c r="O1758" s="196"/>
      <c r="P1758" s="196"/>
      <c r="Q1758" s="196"/>
      <c r="R1758" s="196"/>
      <c r="S1758" s="196"/>
      <c r="T1758" s="196"/>
      <c r="U1758" s="196"/>
      <c r="V1758" s="196"/>
      <c r="W1758" s="196"/>
      <c r="X1758" s="196"/>
      <c r="Y1758" s="196"/>
      <c r="Z1758" s="196"/>
      <c r="AA1758" s="196"/>
      <c r="AB1758" s="196"/>
      <c r="AC1758" s="196"/>
      <c r="AD1758" s="196"/>
      <c r="AE1758" s="196"/>
      <c r="AF1758" s="196"/>
      <c r="AG1758" s="196"/>
      <c r="AH1758" s="196"/>
      <c r="AI1758" s="196"/>
      <c r="AJ1758" s="197"/>
      <c r="AK1758" s="80"/>
      <c r="AL1758" s="80"/>
      <c r="AM1758" s="73"/>
      <c r="AN1758" s="73"/>
      <c r="AO1758" s="73"/>
      <c r="AP1758" s="73"/>
      <c r="AQ1758" s="73"/>
      <c r="AR1758" s="73"/>
      <c r="AS1758" s="73"/>
      <c r="AT1758" s="73"/>
      <c r="AU1758" s="73"/>
      <c r="AV1758" s="73"/>
      <c r="AW1758" s="73"/>
      <c r="AX1758" s="73"/>
      <c r="AY1758" s="73"/>
      <c r="AZ1758" s="73"/>
      <c r="BA1758" s="73"/>
      <c r="BB1758" s="73"/>
      <c r="BC1758" s="73"/>
      <c r="BD1758" s="73"/>
      <c r="BE1758" s="73"/>
      <c r="BF1758" s="73"/>
      <c r="BG1758" s="73"/>
      <c r="BH1758" s="73"/>
      <c r="BI1758" s="73"/>
      <c r="BJ1758" s="73"/>
      <c r="BK1758" s="73"/>
      <c r="BL1758" s="73"/>
      <c r="BM1758" s="73"/>
      <c r="BN1758" s="73"/>
      <c r="BO1758" s="73"/>
      <c r="BP1758" s="73"/>
      <c r="BQ1758" s="73"/>
      <c r="BR1758" s="73"/>
      <c r="BS1758" s="73"/>
      <c r="BT1758" s="73"/>
      <c r="BU1758" s="73"/>
      <c r="BV1758" s="73"/>
      <c r="BW1758" s="73"/>
      <c r="BX1758" s="73"/>
      <c r="BY1758" s="73"/>
      <c r="BZ1758" s="73"/>
      <c r="CA1758" s="73"/>
      <c r="CB1758" s="73"/>
      <c r="CC1758" s="73"/>
      <c r="CD1758" s="73"/>
      <c r="CE1758" s="73"/>
      <c r="CF1758" s="73"/>
      <c r="CG1758" s="73"/>
      <c r="CH1758" s="73"/>
    </row>
    <row r="1759">
      <c r="A1759" s="80"/>
      <c r="B1759" s="80"/>
      <c r="C1759" s="80"/>
      <c r="D1759" s="80"/>
      <c r="E1759" s="124"/>
      <c r="F1759" s="80"/>
      <c r="G1759" s="80"/>
      <c r="H1759" s="80"/>
      <c r="I1759" s="80"/>
      <c r="J1759" s="196"/>
      <c r="K1759" s="196"/>
      <c r="L1759" s="196"/>
      <c r="M1759" s="196"/>
      <c r="N1759" s="196"/>
      <c r="O1759" s="196"/>
      <c r="P1759" s="196"/>
      <c r="Q1759" s="196"/>
      <c r="R1759" s="196"/>
      <c r="S1759" s="196"/>
      <c r="T1759" s="196"/>
      <c r="U1759" s="196"/>
      <c r="V1759" s="196"/>
      <c r="W1759" s="196"/>
      <c r="X1759" s="196"/>
      <c r="Y1759" s="196"/>
      <c r="Z1759" s="196"/>
      <c r="AA1759" s="196"/>
      <c r="AB1759" s="196"/>
      <c r="AC1759" s="196"/>
      <c r="AD1759" s="196"/>
      <c r="AE1759" s="196"/>
      <c r="AF1759" s="196"/>
      <c r="AG1759" s="196"/>
      <c r="AH1759" s="196"/>
      <c r="AI1759" s="196"/>
      <c r="AJ1759" s="197"/>
      <c r="AK1759" s="80"/>
      <c r="AL1759" s="80"/>
      <c r="AM1759" s="73"/>
      <c r="AN1759" s="73"/>
      <c r="AO1759" s="73"/>
      <c r="AP1759" s="73"/>
      <c r="AQ1759" s="73"/>
      <c r="AR1759" s="73"/>
      <c r="AS1759" s="73"/>
      <c r="AT1759" s="73"/>
      <c r="AU1759" s="73"/>
      <c r="AV1759" s="73"/>
      <c r="AW1759" s="73"/>
      <c r="AX1759" s="73"/>
      <c r="AY1759" s="73"/>
      <c r="AZ1759" s="73"/>
      <c r="BA1759" s="73"/>
      <c r="BB1759" s="73"/>
      <c r="BC1759" s="73"/>
      <c r="BD1759" s="73"/>
      <c r="BE1759" s="73"/>
      <c r="BF1759" s="73"/>
      <c r="BG1759" s="73"/>
      <c r="BH1759" s="73"/>
      <c r="BI1759" s="73"/>
      <c r="BJ1759" s="73"/>
      <c r="BK1759" s="73"/>
      <c r="BL1759" s="73"/>
      <c r="BM1759" s="73"/>
      <c r="BN1759" s="73"/>
      <c r="BO1759" s="73"/>
      <c r="BP1759" s="73"/>
      <c r="BQ1759" s="73"/>
      <c r="BR1759" s="73"/>
      <c r="BS1759" s="73"/>
      <c r="BT1759" s="73"/>
      <c r="BU1759" s="73"/>
      <c r="BV1759" s="73"/>
      <c r="BW1759" s="73"/>
      <c r="BX1759" s="73"/>
      <c r="BY1759" s="73"/>
      <c r="BZ1759" s="73"/>
      <c r="CA1759" s="73"/>
      <c r="CB1759" s="73"/>
      <c r="CC1759" s="73"/>
      <c r="CD1759" s="73"/>
      <c r="CE1759" s="73"/>
      <c r="CF1759" s="73"/>
      <c r="CG1759" s="73"/>
      <c r="CH1759" s="73"/>
    </row>
    <row r="1760">
      <c r="A1760" s="80"/>
      <c r="B1760" s="80"/>
      <c r="C1760" s="80"/>
      <c r="D1760" s="80"/>
      <c r="E1760" s="124"/>
      <c r="F1760" s="80"/>
      <c r="G1760" s="80"/>
      <c r="H1760" s="80"/>
      <c r="I1760" s="80"/>
      <c r="J1760" s="196"/>
      <c r="K1760" s="196"/>
      <c r="L1760" s="196"/>
      <c r="M1760" s="196"/>
      <c r="N1760" s="196"/>
      <c r="O1760" s="196"/>
      <c r="P1760" s="196"/>
      <c r="Q1760" s="196"/>
      <c r="R1760" s="196"/>
      <c r="S1760" s="196"/>
      <c r="T1760" s="196"/>
      <c r="U1760" s="196"/>
      <c r="V1760" s="196"/>
      <c r="W1760" s="196"/>
      <c r="X1760" s="196"/>
      <c r="Y1760" s="196"/>
      <c r="Z1760" s="196"/>
      <c r="AA1760" s="196"/>
      <c r="AB1760" s="196"/>
      <c r="AC1760" s="196"/>
      <c r="AD1760" s="196"/>
      <c r="AE1760" s="196"/>
      <c r="AF1760" s="196"/>
      <c r="AG1760" s="196"/>
      <c r="AH1760" s="196"/>
      <c r="AI1760" s="196"/>
      <c r="AJ1760" s="197"/>
      <c r="AK1760" s="80"/>
      <c r="AL1760" s="80"/>
      <c r="AM1760" s="73"/>
      <c r="AN1760" s="73"/>
      <c r="AO1760" s="73"/>
      <c r="AP1760" s="73"/>
      <c r="AQ1760" s="73"/>
      <c r="AR1760" s="73"/>
      <c r="AS1760" s="73"/>
      <c r="AT1760" s="73"/>
      <c r="AU1760" s="73"/>
      <c r="AV1760" s="73"/>
      <c r="AW1760" s="73"/>
      <c r="AX1760" s="73"/>
      <c r="AY1760" s="73"/>
      <c r="AZ1760" s="73"/>
      <c r="BA1760" s="73"/>
      <c r="BB1760" s="73"/>
      <c r="BC1760" s="73"/>
      <c r="BD1760" s="73"/>
      <c r="BE1760" s="73"/>
      <c r="BF1760" s="73"/>
      <c r="BG1760" s="73"/>
      <c r="BH1760" s="73"/>
      <c r="BI1760" s="73"/>
      <c r="BJ1760" s="73"/>
      <c r="BK1760" s="73"/>
      <c r="BL1760" s="73"/>
      <c r="BM1760" s="73"/>
      <c r="BN1760" s="73"/>
      <c r="BO1760" s="73"/>
      <c r="BP1760" s="73"/>
      <c r="BQ1760" s="73"/>
      <c r="BR1760" s="73"/>
      <c r="BS1760" s="73"/>
      <c r="BT1760" s="73"/>
      <c r="BU1760" s="73"/>
      <c r="BV1760" s="73"/>
      <c r="BW1760" s="73"/>
      <c r="BX1760" s="73"/>
      <c r="BY1760" s="73"/>
      <c r="BZ1760" s="73"/>
      <c r="CA1760" s="73"/>
      <c r="CB1760" s="73"/>
      <c r="CC1760" s="73"/>
      <c r="CD1760" s="73"/>
      <c r="CE1760" s="73"/>
      <c r="CF1760" s="73"/>
      <c r="CG1760" s="73"/>
      <c r="CH1760" s="73"/>
    </row>
    <row r="1761">
      <c r="A1761" s="80"/>
      <c r="B1761" s="80"/>
      <c r="C1761" s="80"/>
      <c r="D1761" s="80"/>
      <c r="E1761" s="124"/>
      <c r="F1761" s="80"/>
      <c r="G1761" s="80"/>
      <c r="H1761" s="80"/>
      <c r="I1761" s="80"/>
      <c r="J1761" s="196"/>
      <c r="K1761" s="196"/>
      <c r="L1761" s="196"/>
      <c r="M1761" s="196"/>
      <c r="N1761" s="196"/>
      <c r="O1761" s="196"/>
      <c r="P1761" s="196"/>
      <c r="Q1761" s="196"/>
      <c r="R1761" s="196"/>
      <c r="S1761" s="196"/>
      <c r="T1761" s="196"/>
      <c r="U1761" s="196"/>
      <c r="V1761" s="196"/>
      <c r="W1761" s="196"/>
      <c r="X1761" s="196"/>
      <c r="Y1761" s="196"/>
      <c r="Z1761" s="196"/>
      <c r="AA1761" s="196"/>
      <c r="AB1761" s="196"/>
      <c r="AC1761" s="196"/>
      <c r="AD1761" s="196"/>
      <c r="AE1761" s="196"/>
      <c r="AF1761" s="196"/>
      <c r="AG1761" s="196"/>
      <c r="AH1761" s="196"/>
      <c r="AI1761" s="196"/>
      <c r="AJ1761" s="197"/>
      <c r="AK1761" s="80"/>
      <c r="AL1761" s="80"/>
      <c r="AM1761" s="73"/>
      <c r="AN1761" s="73"/>
      <c r="AO1761" s="73"/>
      <c r="AP1761" s="73"/>
      <c r="AQ1761" s="73"/>
      <c r="AR1761" s="73"/>
      <c r="AS1761" s="73"/>
      <c r="AT1761" s="73"/>
      <c r="AU1761" s="73"/>
      <c r="AV1761" s="73"/>
      <c r="AW1761" s="73"/>
      <c r="AX1761" s="73"/>
      <c r="AY1761" s="73"/>
      <c r="AZ1761" s="73"/>
      <c r="BA1761" s="73"/>
      <c r="BB1761" s="73"/>
      <c r="BC1761" s="73"/>
      <c r="BD1761" s="73"/>
      <c r="BE1761" s="73"/>
      <c r="BF1761" s="73"/>
      <c r="BG1761" s="73"/>
      <c r="BH1761" s="73"/>
      <c r="BI1761" s="73"/>
      <c r="BJ1761" s="73"/>
      <c r="BK1761" s="73"/>
      <c r="BL1761" s="73"/>
      <c r="BM1761" s="73"/>
      <c r="BN1761" s="73"/>
      <c r="BO1761" s="73"/>
      <c r="BP1761" s="73"/>
      <c r="BQ1761" s="73"/>
      <c r="BR1761" s="73"/>
      <c r="BS1761" s="73"/>
      <c r="BT1761" s="73"/>
      <c r="BU1761" s="73"/>
      <c r="BV1761" s="73"/>
      <c r="BW1761" s="73"/>
      <c r="BX1761" s="73"/>
      <c r="BY1761" s="73"/>
      <c r="BZ1761" s="73"/>
      <c r="CA1761" s="73"/>
      <c r="CB1761" s="73"/>
      <c r="CC1761" s="73"/>
      <c r="CD1761" s="73"/>
      <c r="CE1761" s="73"/>
      <c r="CF1761" s="73"/>
      <c r="CG1761" s="73"/>
      <c r="CH1761" s="73"/>
    </row>
    <row r="1762">
      <c r="A1762" s="80"/>
      <c r="B1762" s="80"/>
      <c r="C1762" s="80"/>
      <c r="D1762" s="80"/>
      <c r="E1762" s="124"/>
      <c r="F1762" s="80"/>
      <c r="G1762" s="80"/>
      <c r="H1762" s="80"/>
      <c r="I1762" s="80"/>
      <c r="J1762" s="196"/>
      <c r="K1762" s="196"/>
      <c r="L1762" s="196"/>
      <c r="M1762" s="196"/>
      <c r="N1762" s="196"/>
      <c r="O1762" s="196"/>
      <c r="P1762" s="196"/>
      <c r="Q1762" s="196"/>
      <c r="R1762" s="196"/>
      <c r="S1762" s="196"/>
      <c r="T1762" s="196"/>
      <c r="U1762" s="196"/>
      <c r="V1762" s="196"/>
      <c r="W1762" s="196"/>
      <c r="X1762" s="196"/>
      <c r="Y1762" s="196"/>
      <c r="Z1762" s="196"/>
      <c r="AA1762" s="196"/>
      <c r="AB1762" s="196"/>
      <c r="AC1762" s="196"/>
      <c r="AD1762" s="196"/>
      <c r="AE1762" s="196"/>
      <c r="AF1762" s="196"/>
      <c r="AG1762" s="196"/>
      <c r="AH1762" s="196"/>
      <c r="AI1762" s="196"/>
      <c r="AJ1762" s="197"/>
      <c r="AK1762" s="80"/>
      <c r="AL1762" s="80"/>
      <c r="AM1762" s="73"/>
      <c r="AN1762" s="73"/>
      <c r="AO1762" s="73"/>
      <c r="AP1762" s="73"/>
      <c r="AQ1762" s="73"/>
      <c r="AR1762" s="73"/>
      <c r="AS1762" s="73"/>
      <c r="AT1762" s="73"/>
      <c r="AU1762" s="73"/>
      <c r="AV1762" s="73"/>
      <c r="AW1762" s="73"/>
      <c r="AX1762" s="73"/>
      <c r="AY1762" s="73"/>
      <c r="AZ1762" s="73"/>
      <c r="BA1762" s="73"/>
      <c r="BB1762" s="73"/>
      <c r="BC1762" s="73"/>
      <c r="BD1762" s="73"/>
      <c r="BE1762" s="73"/>
      <c r="BF1762" s="73"/>
      <c r="BG1762" s="73"/>
      <c r="BH1762" s="73"/>
      <c r="BI1762" s="73"/>
      <c r="BJ1762" s="73"/>
      <c r="BK1762" s="73"/>
      <c r="BL1762" s="73"/>
      <c r="BM1762" s="73"/>
      <c r="BN1762" s="73"/>
      <c r="BO1762" s="73"/>
      <c r="BP1762" s="73"/>
      <c r="BQ1762" s="73"/>
      <c r="BR1762" s="73"/>
      <c r="BS1762" s="73"/>
      <c r="BT1762" s="73"/>
      <c r="BU1762" s="73"/>
      <c r="BV1762" s="73"/>
      <c r="BW1762" s="73"/>
      <c r="BX1762" s="73"/>
      <c r="BY1762" s="73"/>
      <c r="BZ1762" s="73"/>
      <c r="CA1762" s="73"/>
      <c r="CB1762" s="73"/>
      <c r="CC1762" s="73"/>
      <c r="CD1762" s="73"/>
      <c r="CE1762" s="73"/>
      <c r="CF1762" s="73"/>
      <c r="CG1762" s="73"/>
      <c r="CH1762" s="73"/>
    </row>
    <row r="1763">
      <c r="A1763" s="80"/>
      <c r="B1763" s="80"/>
      <c r="C1763" s="80"/>
      <c r="D1763" s="80"/>
      <c r="E1763" s="124"/>
      <c r="F1763" s="80"/>
      <c r="G1763" s="80"/>
      <c r="H1763" s="80"/>
      <c r="I1763" s="80"/>
      <c r="J1763" s="196"/>
      <c r="K1763" s="196"/>
      <c r="L1763" s="196"/>
      <c r="M1763" s="196"/>
      <c r="N1763" s="196"/>
      <c r="O1763" s="196"/>
      <c r="P1763" s="196"/>
      <c r="Q1763" s="196"/>
      <c r="R1763" s="196"/>
      <c r="S1763" s="196"/>
      <c r="T1763" s="196"/>
      <c r="U1763" s="196"/>
      <c r="V1763" s="196"/>
      <c r="W1763" s="196"/>
      <c r="X1763" s="196"/>
      <c r="Y1763" s="196"/>
      <c r="Z1763" s="196"/>
      <c r="AA1763" s="196"/>
      <c r="AB1763" s="196"/>
      <c r="AC1763" s="196"/>
      <c r="AD1763" s="196"/>
      <c r="AE1763" s="196"/>
      <c r="AF1763" s="196"/>
      <c r="AG1763" s="196"/>
      <c r="AH1763" s="196"/>
      <c r="AI1763" s="196"/>
      <c r="AJ1763" s="197"/>
      <c r="AK1763" s="80"/>
      <c r="AL1763" s="80"/>
      <c r="AM1763" s="73"/>
      <c r="AN1763" s="73"/>
      <c r="AO1763" s="73"/>
      <c r="AP1763" s="73"/>
      <c r="AQ1763" s="73"/>
      <c r="AR1763" s="73"/>
      <c r="AS1763" s="73"/>
      <c r="AT1763" s="73"/>
      <c r="AU1763" s="73"/>
      <c r="AV1763" s="73"/>
      <c r="AW1763" s="73"/>
      <c r="AX1763" s="73"/>
      <c r="AY1763" s="73"/>
      <c r="AZ1763" s="73"/>
      <c r="BA1763" s="73"/>
      <c r="BB1763" s="73"/>
      <c r="BC1763" s="73"/>
      <c r="BD1763" s="73"/>
      <c r="BE1763" s="73"/>
      <c r="BF1763" s="73"/>
      <c r="BG1763" s="73"/>
      <c r="BH1763" s="73"/>
      <c r="BI1763" s="73"/>
      <c r="BJ1763" s="73"/>
      <c r="BK1763" s="73"/>
      <c r="BL1763" s="73"/>
      <c r="BM1763" s="73"/>
      <c r="BN1763" s="73"/>
      <c r="BO1763" s="73"/>
      <c r="BP1763" s="73"/>
      <c r="BQ1763" s="73"/>
      <c r="BR1763" s="73"/>
      <c r="BS1763" s="73"/>
      <c r="BT1763" s="73"/>
      <c r="BU1763" s="73"/>
      <c r="BV1763" s="73"/>
      <c r="BW1763" s="73"/>
      <c r="BX1763" s="73"/>
      <c r="BY1763" s="73"/>
      <c r="BZ1763" s="73"/>
      <c r="CA1763" s="73"/>
      <c r="CB1763" s="73"/>
      <c r="CC1763" s="73"/>
      <c r="CD1763" s="73"/>
      <c r="CE1763" s="73"/>
      <c r="CF1763" s="73"/>
      <c r="CG1763" s="73"/>
      <c r="CH1763" s="73"/>
    </row>
    <row r="1764">
      <c r="A1764" s="80"/>
      <c r="B1764" s="80"/>
      <c r="C1764" s="80"/>
      <c r="D1764" s="80"/>
      <c r="E1764" s="124"/>
      <c r="F1764" s="80"/>
      <c r="G1764" s="80"/>
      <c r="H1764" s="80"/>
      <c r="I1764" s="80"/>
      <c r="J1764" s="196"/>
      <c r="K1764" s="196"/>
      <c r="L1764" s="196"/>
      <c r="M1764" s="196"/>
      <c r="N1764" s="196"/>
      <c r="O1764" s="196"/>
      <c r="P1764" s="196"/>
      <c r="Q1764" s="196"/>
      <c r="R1764" s="196"/>
      <c r="S1764" s="196"/>
      <c r="T1764" s="196"/>
      <c r="U1764" s="196"/>
      <c r="V1764" s="196"/>
      <c r="W1764" s="196"/>
      <c r="X1764" s="196"/>
      <c r="Y1764" s="196"/>
      <c r="Z1764" s="196"/>
      <c r="AA1764" s="196"/>
      <c r="AB1764" s="196"/>
      <c r="AC1764" s="196"/>
      <c r="AD1764" s="196"/>
      <c r="AE1764" s="196"/>
      <c r="AF1764" s="196"/>
      <c r="AG1764" s="196"/>
      <c r="AH1764" s="196"/>
      <c r="AI1764" s="196"/>
      <c r="AJ1764" s="197"/>
      <c r="AK1764" s="80"/>
      <c r="AL1764" s="80"/>
      <c r="AM1764" s="73"/>
      <c r="AN1764" s="73"/>
      <c r="AO1764" s="73"/>
      <c r="AP1764" s="73"/>
      <c r="AQ1764" s="73"/>
      <c r="AR1764" s="73"/>
      <c r="AS1764" s="73"/>
      <c r="AT1764" s="73"/>
      <c r="AU1764" s="73"/>
      <c r="AV1764" s="73"/>
      <c r="AW1764" s="73"/>
      <c r="AX1764" s="73"/>
      <c r="AY1764" s="73"/>
      <c r="AZ1764" s="73"/>
      <c r="BA1764" s="73"/>
      <c r="BB1764" s="73"/>
      <c r="BC1764" s="73"/>
      <c r="BD1764" s="73"/>
      <c r="BE1764" s="73"/>
      <c r="BF1764" s="73"/>
      <c r="BG1764" s="73"/>
      <c r="BH1764" s="73"/>
      <c r="BI1764" s="73"/>
      <c r="BJ1764" s="73"/>
      <c r="BK1764" s="73"/>
      <c r="BL1764" s="73"/>
      <c r="BM1764" s="73"/>
      <c r="BN1764" s="73"/>
      <c r="BO1764" s="73"/>
      <c r="BP1764" s="73"/>
      <c r="BQ1764" s="73"/>
      <c r="BR1764" s="73"/>
      <c r="BS1764" s="73"/>
      <c r="BT1764" s="73"/>
      <c r="BU1764" s="73"/>
      <c r="BV1764" s="73"/>
      <c r="BW1764" s="73"/>
      <c r="BX1764" s="73"/>
      <c r="BY1764" s="73"/>
      <c r="BZ1764" s="73"/>
      <c r="CA1764" s="73"/>
      <c r="CB1764" s="73"/>
      <c r="CC1764" s="73"/>
      <c r="CD1764" s="73"/>
      <c r="CE1764" s="73"/>
      <c r="CF1764" s="73"/>
      <c r="CG1764" s="73"/>
      <c r="CH1764" s="73"/>
    </row>
    <row r="1765">
      <c r="A1765" s="80"/>
      <c r="B1765" s="80"/>
      <c r="C1765" s="80"/>
      <c r="D1765" s="80"/>
      <c r="E1765" s="124"/>
      <c r="F1765" s="80"/>
      <c r="G1765" s="80"/>
      <c r="H1765" s="80"/>
      <c r="I1765" s="80"/>
      <c r="J1765" s="196"/>
      <c r="K1765" s="196"/>
      <c r="L1765" s="196"/>
      <c r="M1765" s="196"/>
      <c r="N1765" s="196"/>
      <c r="O1765" s="196"/>
      <c r="P1765" s="196"/>
      <c r="Q1765" s="196"/>
      <c r="R1765" s="196"/>
      <c r="S1765" s="196"/>
      <c r="T1765" s="196"/>
      <c r="U1765" s="196"/>
      <c r="V1765" s="196"/>
      <c r="W1765" s="196"/>
      <c r="X1765" s="196"/>
      <c r="Y1765" s="196"/>
      <c r="Z1765" s="196"/>
      <c r="AA1765" s="196"/>
      <c r="AB1765" s="196"/>
      <c r="AC1765" s="196"/>
      <c r="AD1765" s="196"/>
      <c r="AE1765" s="196"/>
      <c r="AF1765" s="196"/>
      <c r="AG1765" s="196"/>
      <c r="AH1765" s="196"/>
      <c r="AI1765" s="196"/>
      <c r="AJ1765" s="197"/>
      <c r="AK1765" s="80"/>
      <c r="AL1765" s="80"/>
      <c r="AM1765" s="73"/>
      <c r="AN1765" s="73"/>
      <c r="AO1765" s="73"/>
      <c r="AP1765" s="73"/>
      <c r="AQ1765" s="73"/>
      <c r="AR1765" s="73"/>
      <c r="AS1765" s="73"/>
      <c r="AT1765" s="73"/>
      <c r="AU1765" s="73"/>
      <c r="AV1765" s="73"/>
      <c r="AW1765" s="73"/>
      <c r="AX1765" s="73"/>
      <c r="AY1765" s="73"/>
      <c r="AZ1765" s="73"/>
      <c r="BA1765" s="73"/>
      <c r="BB1765" s="73"/>
      <c r="BC1765" s="73"/>
      <c r="BD1765" s="73"/>
      <c r="BE1765" s="73"/>
      <c r="BF1765" s="73"/>
      <c r="BG1765" s="73"/>
      <c r="BH1765" s="73"/>
      <c r="BI1765" s="73"/>
      <c r="BJ1765" s="73"/>
      <c r="BK1765" s="73"/>
      <c r="BL1765" s="73"/>
      <c r="BM1765" s="73"/>
      <c r="BN1765" s="73"/>
      <c r="BO1765" s="73"/>
      <c r="BP1765" s="73"/>
      <c r="BQ1765" s="73"/>
      <c r="BR1765" s="73"/>
      <c r="BS1765" s="73"/>
      <c r="BT1765" s="73"/>
      <c r="BU1765" s="73"/>
      <c r="BV1765" s="73"/>
      <c r="BW1765" s="73"/>
      <c r="BX1765" s="73"/>
      <c r="BY1765" s="73"/>
      <c r="BZ1765" s="73"/>
      <c r="CA1765" s="73"/>
      <c r="CB1765" s="73"/>
      <c r="CC1765" s="73"/>
      <c r="CD1765" s="73"/>
      <c r="CE1765" s="73"/>
      <c r="CF1765" s="73"/>
      <c r="CG1765" s="73"/>
      <c r="CH1765" s="73"/>
    </row>
    <row r="1766">
      <c r="A1766" s="80"/>
      <c r="B1766" s="80"/>
      <c r="C1766" s="80"/>
      <c r="D1766" s="80"/>
      <c r="E1766" s="124"/>
      <c r="F1766" s="80"/>
      <c r="G1766" s="80"/>
      <c r="H1766" s="80"/>
      <c r="I1766" s="80"/>
      <c r="J1766" s="196"/>
      <c r="K1766" s="196"/>
      <c r="L1766" s="196"/>
      <c r="M1766" s="196"/>
      <c r="N1766" s="196"/>
      <c r="O1766" s="196"/>
      <c r="P1766" s="196"/>
      <c r="Q1766" s="196"/>
      <c r="R1766" s="196"/>
      <c r="S1766" s="196"/>
      <c r="T1766" s="196"/>
      <c r="U1766" s="196"/>
      <c r="V1766" s="196"/>
      <c r="W1766" s="196"/>
      <c r="X1766" s="196"/>
      <c r="Y1766" s="196"/>
      <c r="Z1766" s="196"/>
      <c r="AA1766" s="196"/>
      <c r="AB1766" s="196"/>
      <c r="AC1766" s="196"/>
      <c r="AD1766" s="196"/>
      <c r="AE1766" s="196"/>
      <c r="AF1766" s="196"/>
      <c r="AG1766" s="196"/>
      <c r="AH1766" s="196"/>
      <c r="AI1766" s="196"/>
      <c r="AJ1766" s="197"/>
      <c r="AK1766" s="80"/>
      <c r="AL1766" s="80"/>
      <c r="AM1766" s="73"/>
      <c r="AN1766" s="73"/>
      <c r="AO1766" s="73"/>
      <c r="AP1766" s="73"/>
      <c r="AQ1766" s="73"/>
      <c r="AR1766" s="73"/>
      <c r="AS1766" s="73"/>
      <c r="AT1766" s="73"/>
      <c r="AU1766" s="73"/>
      <c r="AV1766" s="73"/>
      <c r="AW1766" s="73"/>
      <c r="AX1766" s="73"/>
      <c r="AY1766" s="73"/>
      <c r="AZ1766" s="73"/>
      <c r="BA1766" s="73"/>
      <c r="BB1766" s="73"/>
      <c r="BC1766" s="73"/>
      <c r="BD1766" s="73"/>
      <c r="BE1766" s="73"/>
      <c r="BF1766" s="73"/>
      <c r="BG1766" s="73"/>
      <c r="BH1766" s="73"/>
      <c r="BI1766" s="73"/>
      <c r="BJ1766" s="73"/>
      <c r="BK1766" s="73"/>
      <c r="BL1766" s="73"/>
      <c r="BM1766" s="73"/>
      <c r="BN1766" s="73"/>
      <c r="BO1766" s="73"/>
      <c r="BP1766" s="73"/>
      <c r="BQ1766" s="73"/>
      <c r="BR1766" s="73"/>
      <c r="BS1766" s="73"/>
      <c r="BT1766" s="73"/>
      <c r="BU1766" s="73"/>
      <c r="BV1766" s="73"/>
      <c r="BW1766" s="73"/>
      <c r="BX1766" s="73"/>
      <c r="BY1766" s="73"/>
      <c r="BZ1766" s="73"/>
      <c r="CA1766" s="73"/>
      <c r="CB1766" s="73"/>
      <c r="CC1766" s="73"/>
      <c r="CD1766" s="73"/>
      <c r="CE1766" s="73"/>
      <c r="CF1766" s="73"/>
      <c r="CG1766" s="73"/>
      <c r="CH1766" s="73"/>
    </row>
    <row r="1767">
      <c r="A1767" s="80"/>
      <c r="B1767" s="80"/>
      <c r="C1767" s="80"/>
      <c r="D1767" s="80"/>
      <c r="E1767" s="124"/>
      <c r="F1767" s="80"/>
      <c r="G1767" s="80"/>
      <c r="H1767" s="80"/>
      <c r="I1767" s="80"/>
      <c r="J1767" s="196"/>
      <c r="K1767" s="196"/>
      <c r="L1767" s="196"/>
      <c r="M1767" s="196"/>
      <c r="N1767" s="196"/>
      <c r="O1767" s="196"/>
      <c r="P1767" s="196"/>
      <c r="Q1767" s="196"/>
      <c r="R1767" s="196"/>
      <c r="S1767" s="196"/>
      <c r="T1767" s="196"/>
      <c r="U1767" s="196"/>
      <c r="V1767" s="196"/>
      <c r="W1767" s="196"/>
      <c r="X1767" s="196"/>
      <c r="Y1767" s="196"/>
      <c r="Z1767" s="196"/>
      <c r="AA1767" s="196"/>
      <c r="AB1767" s="196"/>
      <c r="AC1767" s="196"/>
      <c r="AD1767" s="196"/>
      <c r="AE1767" s="196"/>
      <c r="AF1767" s="196"/>
      <c r="AG1767" s="196"/>
      <c r="AH1767" s="196"/>
      <c r="AI1767" s="196"/>
      <c r="AJ1767" s="197"/>
      <c r="AK1767" s="80"/>
      <c r="AL1767" s="80"/>
      <c r="AM1767" s="73"/>
      <c r="AN1767" s="73"/>
      <c r="AO1767" s="73"/>
      <c r="AP1767" s="73"/>
      <c r="AQ1767" s="73"/>
      <c r="AR1767" s="73"/>
      <c r="AS1767" s="73"/>
      <c r="AT1767" s="73"/>
      <c r="AU1767" s="73"/>
      <c r="AV1767" s="73"/>
      <c r="AW1767" s="73"/>
      <c r="AX1767" s="73"/>
      <c r="AY1767" s="73"/>
      <c r="AZ1767" s="73"/>
      <c r="BA1767" s="73"/>
      <c r="BB1767" s="73"/>
      <c r="BC1767" s="73"/>
      <c r="BD1767" s="73"/>
      <c r="BE1767" s="73"/>
      <c r="BF1767" s="73"/>
      <c r="BG1767" s="73"/>
      <c r="BH1767" s="73"/>
      <c r="BI1767" s="73"/>
      <c r="BJ1767" s="73"/>
      <c r="BK1767" s="73"/>
      <c r="BL1767" s="73"/>
      <c r="BM1767" s="73"/>
      <c r="BN1767" s="73"/>
      <c r="BO1767" s="73"/>
      <c r="BP1767" s="73"/>
      <c r="BQ1767" s="73"/>
      <c r="BR1767" s="73"/>
      <c r="BS1767" s="73"/>
      <c r="BT1767" s="73"/>
      <c r="BU1767" s="73"/>
      <c r="BV1767" s="73"/>
      <c r="BW1767" s="73"/>
      <c r="BX1767" s="73"/>
      <c r="BY1767" s="73"/>
      <c r="BZ1767" s="73"/>
      <c r="CA1767" s="73"/>
      <c r="CB1767" s="73"/>
      <c r="CC1767" s="73"/>
      <c r="CD1767" s="73"/>
      <c r="CE1767" s="73"/>
      <c r="CF1767" s="73"/>
      <c r="CG1767" s="73"/>
      <c r="CH1767" s="73"/>
    </row>
    <row r="1768">
      <c r="A1768" s="80"/>
      <c r="B1768" s="80"/>
      <c r="C1768" s="80"/>
      <c r="D1768" s="80"/>
      <c r="E1768" s="124"/>
      <c r="F1768" s="80"/>
      <c r="G1768" s="80"/>
      <c r="H1768" s="80"/>
      <c r="I1768" s="80"/>
      <c r="J1768" s="196"/>
      <c r="K1768" s="196"/>
      <c r="L1768" s="196"/>
      <c r="M1768" s="196"/>
      <c r="N1768" s="196"/>
      <c r="O1768" s="196"/>
      <c r="P1768" s="196"/>
      <c r="Q1768" s="196"/>
      <c r="R1768" s="196"/>
      <c r="S1768" s="196"/>
      <c r="T1768" s="196"/>
      <c r="U1768" s="196"/>
      <c r="V1768" s="196"/>
      <c r="W1768" s="196"/>
      <c r="X1768" s="196"/>
      <c r="Y1768" s="196"/>
      <c r="Z1768" s="196"/>
      <c r="AA1768" s="196"/>
      <c r="AB1768" s="196"/>
      <c r="AC1768" s="196"/>
      <c r="AD1768" s="196"/>
      <c r="AE1768" s="196"/>
      <c r="AF1768" s="196"/>
      <c r="AG1768" s="196"/>
      <c r="AH1768" s="196"/>
      <c r="AI1768" s="196"/>
      <c r="AJ1768" s="197"/>
      <c r="AK1768" s="80"/>
      <c r="AL1768" s="80"/>
      <c r="AM1768" s="73"/>
      <c r="AN1768" s="73"/>
      <c r="AO1768" s="73"/>
      <c r="AP1768" s="73"/>
      <c r="AQ1768" s="73"/>
      <c r="AR1768" s="73"/>
      <c r="AS1768" s="73"/>
      <c r="AT1768" s="73"/>
      <c r="AU1768" s="73"/>
      <c r="AV1768" s="73"/>
      <c r="AW1768" s="73"/>
      <c r="AX1768" s="73"/>
      <c r="AY1768" s="73"/>
      <c r="AZ1768" s="73"/>
      <c r="BA1768" s="73"/>
      <c r="BB1768" s="73"/>
      <c r="BC1768" s="73"/>
      <c r="BD1768" s="73"/>
      <c r="BE1768" s="73"/>
      <c r="BF1768" s="73"/>
      <c r="BG1768" s="73"/>
      <c r="BH1768" s="73"/>
      <c r="BI1768" s="73"/>
      <c r="BJ1768" s="73"/>
      <c r="BK1768" s="73"/>
      <c r="BL1768" s="73"/>
      <c r="BM1768" s="73"/>
      <c r="BN1768" s="73"/>
      <c r="BO1768" s="73"/>
      <c r="BP1768" s="73"/>
      <c r="BQ1768" s="73"/>
      <c r="BR1768" s="73"/>
      <c r="BS1768" s="73"/>
      <c r="BT1768" s="73"/>
      <c r="BU1768" s="73"/>
      <c r="BV1768" s="73"/>
      <c r="BW1768" s="73"/>
      <c r="BX1768" s="73"/>
      <c r="BY1768" s="73"/>
      <c r="BZ1768" s="73"/>
      <c r="CA1768" s="73"/>
      <c r="CB1768" s="73"/>
      <c r="CC1768" s="73"/>
      <c r="CD1768" s="73"/>
      <c r="CE1768" s="73"/>
      <c r="CF1768" s="73"/>
      <c r="CG1768" s="73"/>
      <c r="CH1768" s="73"/>
    </row>
    <row r="1769">
      <c r="A1769" s="80"/>
      <c r="B1769" s="80"/>
      <c r="C1769" s="80"/>
      <c r="D1769" s="80"/>
      <c r="E1769" s="124"/>
      <c r="F1769" s="80"/>
      <c r="G1769" s="80"/>
      <c r="H1769" s="80"/>
      <c r="I1769" s="80"/>
      <c r="J1769" s="196"/>
      <c r="K1769" s="196"/>
      <c r="L1769" s="196"/>
      <c r="M1769" s="196"/>
      <c r="N1769" s="196"/>
      <c r="O1769" s="196"/>
      <c r="P1769" s="196"/>
      <c r="Q1769" s="196"/>
      <c r="R1769" s="196"/>
      <c r="S1769" s="196"/>
      <c r="T1769" s="196"/>
      <c r="U1769" s="196"/>
      <c r="V1769" s="196"/>
      <c r="W1769" s="196"/>
      <c r="X1769" s="196"/>
      <c r="Y1769" s="196"/>
      <c r="Z1769" s="196"/>
      <c r="AA1769" s="196"/>
      <c r="AB1769" s="196"/>
      <c r="AC1769" s="196"/>
      <c r="AD1769" s="196"/>
      <c r="AE1769" s="196"/>
      <c r="AF1769" s="196"/>
      <c r="AG1769" s="196"/>
      <c r="AH1769" s="196"/>
      <c r="AI1769" s="196"/>
      <c r="AJ1769" s="197"/>
      <c r="AK1769" s="80"/>
      <c r="AL1769" s="80"/>
      <c r="AM1769" s="73"/>
      <c r="AN1769" s="73"/>
      <c r="AO1769" s="73"/>
      <c r="AP1769" s="73"/>
      <c r="AQ1769" s="73"/>
      <c r="AR1769" s="73"/>
      <c r="AS1769" s="73"/>
      <c r="AT1769" s="73"/>
      <c r="AU1769" s="73"/>
      <c r="AV1769" s="73"/>
      <c r="AW1769" s="73"/>
      <c r="AX1769" s="73"/>
      <c r="AY1769" s="73"/>
      <c r="AZ1769" s="73"/>
      <c r="BA1769" s="73"/>
      <c r="BB1769" s="73"/>
      <c r="BC1769" s="73"/>
      <c r="BD1769" s="73"/>
      <c r="BE1769" s="73"/>
      <c r="BF1769" s="73"/>
      <c r="BG1769" s="73"/>
      <c r="BH1769" s="73"/>
      <c r="BI1769" s="73"/>
      <c r="BJ1769" s="73"/>
      <c r="BK1769" s="73"/>
      <c r="BL1769" s="73"/>
      <c r="BM1769" s="73"/>
      <c r="BN1769" s="73"/>
      <c r="BO1769" s="73"/>
      <c r="BP1769" s="73"/>
      <c r="BQ1769" s="73"/>
      <c r="BR1769" s="73"/>
      <c r="BS1769" s="73"/>
      <c r="BT1769" s="73"/>
      <c r="BU1769" s="73"/>
      <c r="BV1769" s="73"/>
      <c r="BW1769" s="73"/>
      <c r="BX1769" s="73"/>
      <c r="BY1769" s="73"/>
      <c r="BZ1769" s="73"/>
      <c r="CA1769" s="73"/>
      <c r="CB1769" s="73"/>
      <c r="CC1769" s="73"/>
      <c r="CD1769" s="73"/>
      <c r="CE1769" s="73"/>
      <c r="CF1769" s="73"/>
      <c r="CG1769" s="73"/>
      <c r="CH1769" s="73"/>
    </row>
    <row r="1770">
      <c r="A1770" s="80"/>
      <c r="B1770" s="80"/>
      <c r="C1770" s="80"/>
      <c r="D1770" s="80"/>
      <c r="E1770" s="124"/>
      <c r="F1770" s="80"/>
      <c r="G1770" s="80"/>
      <c r="H1770" s="80"/>
      <c r="I1770" s="80"/>
      <c r="J1770" s="196"/>
      <c r="K1770" s="196"/>
      <c r="L1770" s="196"/>
      <c r="M1770" s="196"/>
      <c r="N1770" s="196"/>
      <c r="O1770" s="196"/>
      <c r="P1770" s="196"/>
      <c r="Q1770" s="196"/>
      <c r="R1770" s="196"/>
      <c r="S1770" s="196"/>
      <c r="T1770" s="196"/>
      <c r="U1770" s="196"/>
      <c r="V1770" s="196"/>
      <c r="W1770" s="196"/>
      <c r="X1770" s="196"/>
      <c r="Y1770" s="196"/>
      <c r="Z1770" s="196"/>
      <c r="AA1770" s="196"/>
      <c r="AB1770" s="196"/>
      <c r="AC1770" s="196"/>
      <c r="AD1770" s="196"/>
      <c r="AE1770" s="196"/>
      <c r="AF1770" s="196"/>
      <c r="AG1770" s="196"/>
      <c r="AH1770" s="196"/>
      <c r="AI1770" s="196"/>
      <c r="AJ1770" s="197"/>
      <c r="AK1770" s="80"/>
      <c r="AL1770" s="80"/>
      <c r="AM1770" s="73"/>
      <c r="AN1770" s="73"/>
      <c r="AO1770" s="73"/>
      <c r="AP1770" s="73"/>
      <c r="AQ1770" s="73"/>
      <c r="AR1770" s="73"/>
      <c r="AS1770" s="73"/>
      <c r="AT1770" s="73"/>
      <c r="AU1770" s="73"/>
      <c r="AV1770" s="73"/>
      <c r="AW1770" s="73"/>
      <c r="AX1770" s="73"/>
      <c r="AY1770" s="73"/>
      <c r="AZ1770" s="73"/>
      <c r="BA1770" s="73"/>
      <c r="BB1770" s="73"/>
      <c r="BC1770" s="73"/>
      <c r="BD1770" s="73"/>
      <c r="BE1770" s="73"/>
      <c r="BF1770" s="73"/>
      <c r="BG1770" s="73"/>
      <c r="BH1770" s="73"/>
      <c r="BI1770" s="73"/>
      <c r="BJ1770" s="73"/>
      <c r="BK1770" s="73"/>
      <c r="BL1770" s="73"/>
      <c r="BM1770" s="73"/>
      <c r="BN1770" s="73"/>
      <c r="BO1770" s="73"/>
      <c r="BP1770" s="73"/>
      <c r="BQ1770" s="73"/>
      <c r="BR1770" s="73"/>
      <c r="BS1770" s="73"/>
      <c r="BT1770" s="73"/>
      <c r="BU1770" s="73"/>
      <c r="BV1770" s="73"/>
      <c r="BW1770" s="73"/>
      <c r="BX1770" s="73"/>
      <c r="BY1770" s="73"/>
      <c r="BZ1770" s="73"/>
      <c r="CA1770" s="73"/>
      <c r="CB1770" s="73"/>
      <c r="CC1770" s="73"/>
      <c r="CD1770" s="73"/>
      <c r="CE1770" s="73"/>
      <c r="CF1770" s="73"/>
      <c r="CG1770" s="73"/>
      <c r="CH1770" s="73"/>
    </row>
    <row r="1771">
      <c r="A1771" s="80"/>
      <c r="B1771" s="80"/>
      <c r="C1771" s="80"/>
      <c r="D1771" s="80"/>
      <c r="E1771" s="124"/>
      <c r="F1771" s="80"/>
      <c r="G1771" s="80"/>
      <c r="H1771" s="80"/>
      <c r="I1771" s="80"/>
      <c r="J1771" s="196"/>
      <c r="K1771" s="196"/>
      <c r="L1771" s="196"/>
      <c r="M1771" s="196"/>
      <c r="N1771" s="196"/>
      <c r="O1771" s="196"/>
      <c r="P1771" s="196"/>
      <c r="Q1771" s="196"/>
      <c r="R1771" s="196"/>
      <c r="S1771" s="196"/>
      <c r="T1771" s="196"/>
      <c r="U1771" s="196"/>
      <c r="V1771" s="196"/>
      <c r="W1771" s="196"/>
      <c r="X1771" s="196"/>
      <c r="Y1771" s="196"/>
      <c r="Z1771" s="196"/>
      <c r="AA1771" s="196"/>
      <c r="AB1771" s="196"/>
      <c r="AC1771" s="196"/>
      <c r="AD1771" s="196"/>
      <c r="AE1771" s="196"/>
      <c r="AF1771" s="196"/>
      <c r="AG1771" s="196"/>
      <c r="AH1771" s="196"/>
      <c r="AI1771" s="196"/>
      <c r="AJ1771" s="197"/>
      <c r="AK1771" s="80"/>
      <c r="AL1771" s="80"/>
      <c r="AM1771" s="73"/>
      <c r="AN1771" s="73"/>
      <c r="AO1771" s="73"/>
      <c r="AP1771" s="73"/>
      <c r="AQ1771" s="73"/>
      <c r="AR1771" s="73"/>
      <c r="AS1771" s="73"/>
      <c r="AT1771" s="73"/>
      <c r="AU1771" s="73"/>
      <c r="AV1771" s="73"/>
      <c r="AW1771" s="73"/>
      <c r="AX1771" s="73"/>
      <c r="AY1771" s="73"/>
      <c r="AZ1771" s="73"/>
      <c r="BA1771" s="73"/>
      <c r="BB1771" s="73"/>
      <c r="BC1771" s="73"/>
      <c r="BD1771" s="73"/>
      <c r="BE1771" s="73"/>
      <c r="BF1771" s="73"/>
      <c r="BG1771" s="73"/>
      <c r="BH1771" s="73"/>
      <c r="BI1771" s="73"/>
      <c r="BJ1771" s="73"/>
      <c r="BK1771" s="73"/>
      <c r="BL1771" s="73"/>
      <c r="BM1771" s="73"/>
      <c r="BN1771" s="73"/>
      <c r="BO1771" s="73"/>
      <c r="BP1771" s="73"/>
      <c r="BQ1771" s="73"/>
      <c r="BR1771" s="73"/>
      <c r="BS1771" s="73"/>
      <c r="BT1771" s="73"/>
      <c r="BU1771" s="73"/>
      <c r="BV1771" s="73"/>
      <c r="BW1771" s="73"/>
      <c r="BX1771" s="73"/>
      <c r="BY1771" s="73"/>
      <c r="BZ1771" s="73"/>
      <c r="CA1771" s="73"/>
      <c r="CB1771" s="73"/>
      <c r="CC1771" s="73"/>
      <c r="CD1771" s="73"/>
      <c r="CE1771" s="73"/>
      <c r="CF1771" s="73"/>
      <c r="CG1771" s="73"/>
      <c r="CH1771" s="73"/>
    </row>
    <row r="1772">
      <c r="A1772" s="80"/>
      <c r="B1772" s="80"/>
      <c r="C1772" s="80"/>
      <c r="D1772" s="80"/>
      <c r="E1772" s="124"/>
      <c r="F1772" s="80"/>
      <c r="G1772" s="80"/>
      <c r="H1772" s="80"/>
      <c r="I1772" s="80"/>
      <c r="J1772" s="196"/>
      <c r="K1772" s="196"/>
      <c r="L1772" s="196"/>
      <c r="M1772" s="196"/>
      <c r="N1772" s="196"/>
      <c r="O1772" s="196"/>
      <c r="P1772" s="196"/>
      <c r="Q1772" s="196"/>
      <c r="R1772" s="196"/>
      <c r="S1772" s="196"/>
      <c r="T1772" s="196"/>
      <c r="U1772" s="196"/>
      <c r="V1772" s="196"/>
      <c r="W1772" s="196"/>
      <c r="X1772" s="196"/>
      <c r="Y1772" s="196"/>
      <c r="Z1772" s="196"/>
      <c r="AA1772" s="196"/>
      <c r="AB1772" s="196"/>
      <c r="AC1772" s="196"/>
      <c r="AD1772" s="196"/>
      <c r="AE1772" s="196"/>
      <c r="AF1772" s="196"/>
      <c r="AG1772" s="196"/>
      <c r="AH1772" s="196"/>
      <c r="AI1772" s="196"/>
      <c r="AJ1772" s="197"/>
      <c r="AK1772" s="80"/>
      <c r="AL1772" s="80"/>
      <c r="AM1772" s="73"/>
      <c r="AN1772" s="73"/>
      <c r="AO1772" s="73"/>
      <c r="AP1772" s="73"/>
      <c r="AQ1772" s="73"/>
      <c r="AR1772" s="73"/>
      <c r="AS1772" s="73"/>
      <c r="AT1772" s="73"/>
      <c r="AU1772" s="73"/>
      <c r="AV1772" s="73"/>
      <c r="AW1772" s="73"/>
      <c r="AX1772" s="73"/>
      <c r="AY1772" s="73"/>
      <c r="AZ1772" s="73"/>
      <c r="BA1772" s="73"/>
      <c r="BB1772" s="73"/>
      <c r="BC1772" s="73"/>
      <c r="BD1772" s="73"/>
      <c r="BE1772" s="73"/>
      <c r="BF1772" s="73"/>
      <c r="BG1772" s="73"/>
      <c r="BH1772" s="73"/>
      <c r="BI1772" s="73"/>
      <c r="BJ1772" s="73"/>
      <c r="BK1772" s="73"/>
      <c r="BL1772" s="73"/>
      <c r="BM1772" s="73"/>
      <c r="BN1772" s="73"/>
      <c r="BO1772" s="73"/>
      <c r="BP1772" s="73"/>
      <c r="BQ1772" s="73"/>
      <c r="BR1772" s="73"/>
      <c r="BS1772" s="73"/>
      <c r="BT1772" s="73"/>
      <c r="BU1772" s="73"/>
      <c r="BV1772" s="73"/>
      <c r="BW1772" s="73"/>
      <c r="BX1772" s="73"/>
      <c r="BY1772" s="73"/>
      <c r="BZ1772" s="73"/>
      <c r="CA1772" s="73"/>
      <c r="CB1772" s="73"/>
      <c r="CC1772" s="73"/>
      <c r="CD1772" s="73"/>
      <c r="CE1772" s="73"/>
      <c r="CF1772" s="73"/>
      <c r="CG1772" s="73"/>
      <c r="CH1772" s="73"/>
    </row>
    <row r="1773">
      <c r="A1773" s="80"/>
      <c r="B1773" s="80"/>
      <c r="C1773" s="80"/>
      <c r="D1773" s="80"/>
      <c r="E1773" s="124"/>
      <c r="F1773" s="80"/>
      <c r="G1773" s="80"/>
      <c r="H1773" s="80"/>
      <c r="I1773" s="80"/>
      <c r="J1773" s="196"/>
      <c r="K1773" s="196"/>
      <c r="L1773" s="196"/>
      <c r="M1773" s="196"/>
      <c r="N1773" s="196"/>
      <c r="O1773" s="196"/>
      <c r="P1773" s="196"/>
      <c r="Q1773" s="196"/>
      <c r="R1773" s="196"/>
      <c r="S1773" s="196"/>
      <c r="T1773" s="196"/>
      <c r="U1773" s="196"/>
      <c r="V1773" s="196"/>
      <c r="W1773" s="196"/>
      <c r="X1773" s="196"/>
      <c r="Y1773" s="196"/>
      <c r="Z1773" s="196"/>
      <c r="AA1773" s="196"/>
      <c r="AB1773" s="196"/>
      <c r="AC1773" s="196"/>
      <c r="AD1773" s="196"/>
      <c r="AE1773" s="196"/>
      <c r="AF1773" s="196"/>
      <c r="AG1773" s="196"/>
      <c r="AH1773" s="196"/>
      <c r="AI1773" s="196"/>
      <c r="AJ1773" s="197"/>
      <c r="AK1773" s="80"/>
      <c r="AL1773" s="80"/>
      <c r="AM1773" s="73"/>
      <c r="AN1773" s="73"/>
      <c r="AO1773" s="73"/>
      <c r="AP1773" s="73"/>
      <c r="AQ1773" s="73"/>
      <c r="AR1773" s="73"/>
      <c r="AS1773" s="73"/>
      <c r="AT1773" s="73"/>
      <c r="AU1773" s="73"/>
      <c r="AV1773" s="73"/>
      <c r="AW1773" s="73"/>
      <c r="AX1773" s="73"/>
      <c r="AY1773" s="73"/>
      <c r="AZ1773" s="73"/>
      <c r="BA1773" s="73"/>
      <c r="BB1773" s="73"/>
      <c r="BC1773" s="73"/>
      <c r="BD1773" s="73"/>
      <c r="BE1773" s="73"/>
      <c r="BF1773" s="73"/>
      <c r="BG1773" s="73"/>
      <c r="BH1773" s="73"/>
      <c r="BI1773" s="73"/>
      <c r="BJ1773" s="73"/>
      <c r="BK1773" s="73"/>
      <c r="BL1773" s="73"/>
      <c r="BM1773" s="73"/>
      <c r="BN1773" s="73"/>
      <c r="BO1773" s="73"/>
      <c r="BP1773" s="73"/>
      <c r="BQ1773" s="73"/>
      <c r="BR1773" s="73"/>
      <c r="BS1773" s="73"/>
      <c r="BT1773" s="73"/>
      <c r="BU1773" s="73"/>
      <c r="BV1773" s="73"/>
      <c r="BW1773" s="73"/>
      <c r="BX1773" s="73"/>
      <c r="BY1773" s="73"/>
      <c r="BZ1773" s="73"/>
      <c r="CA1773" s="73"/>
      <c r="CB1773" s="73"/>
      <c r="CC1773" s="73"/>
      <c r="CD1773" s="73"/>
      <c r="CE1773" s="73"/>
      <c r="CF1773" s="73"/>
      <c r="CG1773" s="73"/>
      <c r="CH1773" s="73"/>
    </row>
    <row r="1774">
      <c r="A1774" s="80"/>
      <c r="B1774" s="80"/>
      <c r="C1774" s="80"/>
      <c r="D1774" s="80"/>
      <c r="E1774" s="124"/>
      <c r="F1774" s="80"/>
      <c r="G1774" s="80"/>
      <c r="H1774" s="80"/>
      <c r="I1774" s="80"/>
      <c r="J1774" s="196"/>
      <c r="K1774" s="196"/>
      <c r="L1774" s="196"/>
      <c r="M1774" s="196"/>
      <c r="N1774" s="196"/>
      <c r="O1774" s="196"/>
      <c r="P1774" s="196"/>
      <c r="Q1774" s="196"/>
      <c r="R1774" s="196"/>
      <c r="S1774" s="196"/>
      <c r="T1774" s="196"/>
      <c r="U1774" s="196"/>
      <c r="V1774" s="196"/>
      <c r="W1774" s="196"/>
      <c r="X1774" s="196"/>
      <c r="Y1774" s="196"/>
      <c r="Z1774" s="196"/>
      <c r="AA1774" s="196"/>
      <c r="AB1774" s="196"/>
      <c r="AC1774" s="196"/>
      <c r="AD1774" s="196"/>
      <c r="AE1774" s="196"/>
      <c r="AF1774" s="196"/>
      <c r="AG1774" s="196"/>
      <c r="AH1774" s="196"/>
      <c r="AI1774" s="196"/>
      <c r="AJ1774" s="197"/>
      <c r="AK1774" s="80"/>
      <c r="AL1774" s="80"/>
      <c r="AM1774" s="73"/>
      <c r="AN1774" s="73"/>
      <c r="AO1774" s="73"/>
      <c r="AP1774" s="73"/>
      <c r="AQ1774" s="73"/>
      <c r="AR1774" s="73"/>
      <c r="AS1774" s="73"/>
      <c r="AT1774" s="73"/>
      <c r="AU1774" s="73"/>
      <c r="AV1774" s="73"/>
      <c r="AW1774" s="73"/>
      <c r="AX1774" s="73"/>
      <c r="AY1774" s="73"/>
      <c r="AZ1774" s="73"/>
      <c r="BA1774" s="73"/>
      <c r="BB1774" s="73"/>
      <c r="BC1774" s="73"/>
      <c r="BD1774" s="73"/>
      <c r="BE1774" s="73"/>
      <c r="BF1774" s="73"/>
      <c r="BG1774" s="73"/>
      <c r="BH1774" s="73"/>
      <c r="BI1774" s="73"/>
      <c r="BJ1774" s="73"/>
      <c r="BK1774" s="73"/>
      <c r="BL1774" s="73"/>
      <c r="BM1774" s="73"/>
      <c r="BN1774" s="73"/>
      <c r="BO1774" s="73"/>
      <c r="BP1774" s="73"/>
      <c r="BQ1774" s="73"/>
      <c r="BR1774" s="73"/>
      <c r="BS1774" s="73"/>
      <c r="BT1774" s="73"/>
      <c r="BU1774" s="73"/>
      <c r="BV1774" s="73"/>
      <c r="BW1774" s="73"/>
      <c r="BX1774" s="73"/>
      <c r="BY1774" s="73"/>
      <c r="BZ1774" s="73"/>
      <c r="CA1774" s="73"/>
      <c r="CB1774" s="73"/>
      <c r="CC1774" s="73"/>
      <c r="CD1774" s="73"/>
      <c r="CE1774" s="73"/>
      <c r="CF1774" s="73"/>
      <c r="CG1774" s="73"/>
      <c r="CH1774" s="73"/>
    </row>
    <row r="1775">
      <c r="A1775" s="80"/>
      <c r="B1775" s="80"/>
      <c r="C1775" s="80"/>
      <c r="D1775" s="80"/>
      <c r="E1775" s="124"/>
      <c r="F1775" s="80"/>
      <c r="G1775" s="80"/>
      <c r="H1775" s="80"/>
      <c r="I1775" s="80"/>
      <c r="J1775" s="196"/>
      <c r="K1775" s="196"/>
      <c r="L1775" s="196"/>
      <c r="M1775" s="196"/>
      <c r="N1775" s="196"/>
      <c r="O1775" s="196"/>
      <c r="P1775" s="196"/>
      <c r="Q1775" s="196"/>
      <c r="R1775" s="196"/>
      <c r="S1775" s="196"/>
      <c r="T1775" s="196"/>
      <c r="U1775" s="196"/>
      <c r="V1775" s="196"/>
      <c r="W1775" s="196"/>
      <c r="X1775" s="196"/>
      <c r="Y1775" s="196"/>
      <c r="Z1775" s="196"/>
      <c r="AA1775" s="196"/>
      <c r="AB1775" s="196"/>
      <c r="AC1775" s="196"/>
      <c r="AD1775" s="196"/>
      <c r="AE1775" s="196"/>
      <c r="AF1775" s="196"/>
      <c r="AG1775" s="196"/>
      <c r="AH1775" s="196"/>
      <c r="AI1775" s="196"/>
      <c r="AJ1775" s="197"/>
      <c r="AK1775" s="80"/>
      <c r="AL1775" s="80"/>
      <c r="AM1775" s="73"/>
      <c r="AN1775" s="73"/>
      <c r="AO1775" s="73"/>
      <c r="AP1775" s="73"/>
      <c r="AQ1775" s="73"/>
      <c r="AR1775" s="73"/>
      <c r="AS1775" s="73"/>
      <c r="AT1775" s="73"/>
      <c r="AU1775" s="73"/>
      <c r="AV1775" s="73"/>
      <c r="AW1775" s="73"/>
      <c r="AX1775" s="73"/>
      <c r="AY1775" s="73"/>
      <c r="AZ1775" s="73"/>
      <c r="BA1775" s="73"/>
      <c r="BB1775" s="73"/>
      <c r="BC1775" s="73"/>
      <c r="BD1775" s="73"/>
      <c r="BE1775" s="73"/>
      <c r="BF1775" s="73"/>
      <c r="BG1775" s="73"/>
      <c r="BH1775" s="73"/>
      <c r="BI1775" s="73"/>
      <c r="BJ1775" s="73"/>
      <c r="BK1775" s="73"/>
      <c r="BL1775" s="73"/>
      <c r="BM1775" s="73"/>
      <c r="BN1775" s="73"/>
      <c r="BO1775" s="73"/>
      <c r="BP1775" s="73"/>
      <c r="BQ1775" s="73"/>
      <c r="BR1775" s="73"/>
      <c r="BS1775" s="73"/>
      <c r="BT1775" s="73"/>
      <c r="BU1775" s="73"/>
      <c r="BV1775" s="73"/>
      <c r="BW1775" s="73"/>
      <c r="BX1775" s="73"/>
      <c r="BY1775" s="73"/>
      <c r="BZ1775" s="73"/>
      <c r="CA1775" s="73"/>
      <c r="CB1775" s="73"/>
      <c r="CC1775" s="73"/>
      <c r="CD1775" s="73"/>
      <c r="CE1775" s="73"/>
      <c r="CF1775" s="73"/>
      <c r="CG1775" s="73"/>
      <c r="CH1775" s="73"/>
    </row>
    <row r="1776">
      <c r="A1776" s="80"/>
      <c r="B1776" s="80"/>
      <c r="C1776" s="80"/>
      <c r="D1776" s="80"/>
      <c r="E1776" s="124"/>
      <c r="F1776" s="80"/>
      <c r="G1776" s="80"/>
      <c r="H1776" s="80"/>
      <c r="I1776" s="80"/>
      <c r="J1776" s="196"/>
      <c r="K1776" s="196"/>
      <c r="L1776" s="196"/>
      <c r="M1776" s="196"/>
      <c r="N1776" s="196"/>
      <c r="O1776" s="196"/>
      <c r="P1776" s="196"/>
      <c r="Q1776" s="196"/>
      <c r="R1776" s="196"/>
      <c r="S1776" s="196"/>
      <c r="T1776" s="196"/>
      <c r="U1776" s="196"/>
      <c r="V1776" s="196"/>
      <c r="W1776" s="196"/>
      <c r="X1776" s="196"/>
      <c r="Y1776" s="196"/>
      <c r="Z1776" s="196"/>
      <c r="AA1776" s="196"/>
      <c r="AB1776" s="196"/>
      <c r="AC1776" s="196"/>
      <c r="AD1776" s="196"/>
      <c r="AE1776" s="196"/>
      <c r="AF1776" s="196"/>
      <c r="AG1776" s="196"/>
      <c r="AH1776" s="196"/>
      <c r="AI1776" s="196"/>
      <c r="AJ1776" s="197"/>
      <c r="AK1776" s="80"/>
      <c r="AL1776" s="80"/>
      <c r="AM1776" s="73"/>
      <c r="AN1776" s="73"/>
      <c r="AO1776" s="73"/>
      <c r="AP1776" s="73"/>
      <c r="AQ1776" s="73"/>
      <c r="AR1776" s="73"/>
      <c r="AS1776" s="73"/>
      <c r="AT1776" s="73"/>
      <c r="AU1776" s="73"/>
      <c r="AV1776" s="73"/>
      <c r="AW1776" s="73"/>
      <c r="AX1776" s="73"/>
      <c r="AY1776" s="73"/>
      <c r="AZ1776" s="73"/>
      <c r="BA1776" s="73"/>
      <c r="BB1776" s="73"/>
      <c r="BC1776" s="73"/>
      <c r="BD1776" s="73"/>
      <c r="BE1776" s="73"/>
      <c r="BF1776" s="73"/>
      <c r="BG1776" s="73"/>
      <c r="BH1776" s="73"/>
      <c r="BI1776" s="73"/>
      <c r="BJ1776" s="73"/>
      <c r="BK1776" s="73"/>
      <c r="BL1776" s="73"/>
      <c r="BM1776" s="73"/>
      <c r="BN1776" s="73"/>
      <c r="BO1776" s="73"/>
      <c r="BP1776" s="73"/>
      <c r="BQ1776" s="73"/>
      <c r="BR1776" s="73"/>
      <c r="BS1776" s="73"/>
      <c r="BT1776" s="73"/>
      <c r="BU1776" s="73"/>
      <c r="BV1776" s="73"/>
      <c r="BW1776" s="73"/>
      <c r="BX1776" s="73"/>
      <c r="BY1776" s="73"/>
      <c r="BZ1776" s="73"/>
      <c r="CA1776" s="73"/>
      <c r="CB1776" s="73"/>
      <c r="CC1776" s="73"/>
      <c r="CD1776" s="73"/>
      <c r="CE1776" s="73"/>
      <c r="CF1776" s="73"/>
      <c r="CG1776" s="73"/>
      <c r="CH1776" s="73"/>
    </row>
    <row r="1777">
      <c r="A1777" s="80"/>
      <c r="B1777" s="80"/>
      <c r="C1777" s="80"/>
      <c r="D1777" s="80"/>
      <c r="E1777" s="124"/>
      <c r="F1777" s="80"/>
      <c r="G1777" s="80"/>
      <c r="H1777" s="80"/>
      <c r="I1777" s="80"/>
      <c r="J1777" s="196"/>
      <c r="K1777" s="196"/>
      <c r="L1777" s="196"/>
      <c r="M1777" s="196"/>
      <c r="N1777" s="196"/>
      <c r="O1777" s="196"/>
      <c r="P1777" s="196"/>
      <c r="Q1777" s="196"/>
      <c r="R1777" s="196"/>
      <c r="S1777" s="196"/>
      <c r="T1777" s="196"/>
      <c r="U1777" s="196"/>
      <c r="V1777" s="196"/>
      <c r="W1777" s="196"/>
      <c r="X1777" s="196"/>
      <c r="Y1777" s="196"/>
      <c r="Z1777" s="196"/>
      <c r="AA1777" s="196"/>
      <c r="AB1777" s="196"/>
      <c r="AC1777" s="196"/>
      <c r="AD1777" s="196"/>
      <c r="AE1777" s="196"/>
      <c r="AF1777" s="196"/>
      <c r="AG1777" s="196"/>
      <c r="AH1777" s="196"/>
      <c r="AI1777" s="196"/>
      <c r="AJ1777" s="197"/>
      <c r="AK1777" s="80"/>
      <c r="AL1777" s="80"/>
      <c r="AM1777" s="73"/>
      <c r="AN1777" s="73"/>
      <c r="AO1777" s="73"/>
      <c r="AP1777" s="73"/>
      <c r="AQ1777" s="73"/>
      <c r="AR1777" s="73"/>
      <c r="AS1777" s="73"/>
      <c r="AT1777" s="73"/>
      <c r="AU1777" s="73"/>
      <c r="AV1777" s="73"/>
      <c r="AW1777" s="73"/>
      <c r="AX1777" s="73"/>
      <c r="AY1777" s="73"/>
      <c r="AZ1777" s="73"/>
      <c r="BA1777" s="73"/>
      <c r="BB1777" s="73"/>
      <c r="BC1777" s="73"/>
      <c r="BD1777" s="73"/>
      <c r="BE1777" s="73"/>
      <c r="BF1777" s="73"/>
      <c r="BG1777" s="73"/>
      <c r="BH1777" s="73"/>
      <c r="BI1777" s="73"/>
      <c r="BJ1777" s="73"/>
      <c r="BK1777" s="73"/>
      <c r="BL1777" s="73"/>
      <c r="BM1777" s="73"/>
      <c r="BN1777" s="73"/>
      <c r="BO1777" s="73"/>
      <c r="BP1777" s="73"/>
      <c r="BQ1777" s="73"/>
      <c r="BR1777" s="73"/>
      <c r="BS1777" s="73"/>
      <c r="BT1777" s="73"/>
      <c r="BU1777" s="73"/>
      <c r="BV1777" s="73"/>
      <c r="BW1777" s="73"/>
      <c r="BX1777" s="73"/>
      <c r="BY1777" s="73"/>
      <c r="BZ1777" s="73"/>
      <c r="CA1777" s="73"/>
      <c r="CB1777" s="73"/>
      <c r="CC1777" s="73"/>
      <c r="CD1777" s="73"/>
      <c r="CE1777" s="73"/>
      <c r="CF1777" s="73"/>
      <c r="CG1777" s="73"/>
      <c r="CH1777" s="73"/>
    </row>
    <row r="1778">
      <c r="A1778" s="80"/>
      <c r="B1778" s="80"/>
      <c r="C1778" s="80"/>
      <c r="D1778" s="80"/>
      <c r="E1778" s="124"/>
      <c r="F1778" s="80"/>
      <c r="G1778" s="80"/>
      <c r="H1778" s="80"/>
      <c r="I1778" s="80"/>
      <c r="J1778" s="196"/>
      <c r="K1778" s="196"/>
      <c r="L1778" s="196"/>
      <c r="M1778" s="196"/>
      <c r="N1778" s="196"/>
      <c r="O1778" s="196"/>
      <c r="P1778" s="196"/>
      <c r="Q1778" s="196"/>
      <c r="R1778" s="196"/>
      <c r="S1778" s="196"/>
      <c r="T1778" s="196"/>
      <c r="U1778" s="196"/>
      <c r="V1778" s="196"/>
      <c r="W1778" s="196"/>
      <c r="X1778" s="196"/>
      <c r="Y1778" s="196"/>
      <c r="Z1778" s="196"/>
      <c r="AA1778" s="196"/>
      <c r="AB1778" s="196"/>
      <c r="AC1778" s="196"/>
      <c r="AD1778" s="196"/>
      <c r="AE1778" s="196"/>
      <c r="AF1778" s="196"/>
      <c r="AG1778" s="196"/>
      <c r="AH1778" s="196"/>
      <c r="AI1778" s="196"/>
      <c r="AJ1778" s="197"/>
      <c r="AK1778" s="80"/>
      <c r="AL1778" s="80"/>
      <c r="AM1778" s="73"/>
      <c r="AN1778" s="73"/>
      <c r="AO1778" s="73"/>
      <c r="AP1778" s="73"/>
      <c r="AQ1778" s="73"/>
      <c r="AR1778" s="73"/>
      <c r="AS1778" s="73"/>
      <c r="AT1778" s="73"/>
      <c r="AU1778" s="73"/>
      <c r="AV1778" s="73"/>
      <c r="AW1778" s="73"/>
      <c r="AX1778" s="73"/>
      <c r="AY1778" s="73"/>
      <c r="AZ1778" s="73"/>
      <c r="BA1778" s="73"/>
      <c r="BB1778" s="73"/>
      <c r="BC1778" s="73"/>
      <c r="BD1778" s="73"/>
      <c r="BE1778" s="73"/>
      <c r="BF1778" s="73"/>
      <c r="BG1778" s="73"/>
      <c r="BH1778" s="73"/>
      <c r="BI1778" s="73"/>
      <c r="BJ1778" s="73"/>
      <c r="BK1778" s="73"/>
      <c r="BL1778" s="73"/>
      <c r="BM1778" s="73"/>
      <c r="BN1778" s="73"/>
      <c r="BO1778" s="73"/>
      <c r="BP1778" s="73"/>
      <c r="BQ1778" s="73"/>
      <c r="BR1778" s="73"/>
      <c r="BS1778" s="73"/>
      <c r="BT1778" s="73"/>
      <c r="BU1778" s="73"/>
      <c r="BV1778" s="73"/>
      <c r="BW1778" s="73"/>
      <c r="BX1778" s="73"/>
      <c r="BY1778" s="73"/>
      <c r="BZ1778" s="73"/>
      <c r="CA1778" s="73"/>
      <c r="CB1778" s="73"/>
      <c r="CC1778" s="73"/>
      <c r="CD1778" s="73"/>
      <c r="CE1778" s="73"/>
      <c r="CF1778" s="73"/>
      <c r="CG1778" s="73"/>
      <c r="CH1778" s="73"/>
    </row>
    <row r="1779">
      <c r="A1779" s="80"/>
      <c r="B1779" s="80"/>
      <c r="C1779" s="80"/>
      <c r="D1779" s="80"/>
      <c r="E1779" s="124"/>
      <c r="F1779" s="80"/>
      <c r="G1779" s="80"/>
      <c r="H1779" s="80"/>
      <c r="I1779" s="80"/>
      <c r="J1779" s="196"/>
      <c r="K1779" s="196"/>
      <c r="L1779" s="196"/>
      <c r="M1779" s="196"/>
      <c r="N1779" s="196"/>
      <c r="O1779" s="196"/>
      <c r="P1779" s="196"/>
      <c r="Q1779" s="196"/>
      <c r="R1779" s="196"/>
      <c r="S1779" s="196"/>
      <c r="T1779" s="196"/>
      <c r="U1779" s="196"/>
      <c r="V1779" s="196"/>
      <c r="W1779" s="196"/>
      <c r="X1779" s="196"/>
      <c r="Y1779" s="196"/>
      <c r="Z1779" s="196"/>
      <c r="AA1779" s="196"/>
      <c r="AB1779" s="196"/>
      <c r="AC1779" s="196"/>
      <c r="AD1779" s="196"/>
      <c r="AE1779" s="196"/>
      <c r="AF1779" s="196"/>
      <c r="AG1779" s="196"/>
      <c r="AH1779" s="196"/>
      <c r="AI1779" s="196"/>
      <c r="AJ1779" s="197"/>
      <c r="AK1779" s="80"/>
      <c r="AL1779" s="80"/>
      <c r="AM1779" s="73"/>
      <c r="AN1779" s="73"/>
      <c r="AO1779" s="73"/>
      <c r="AP1779" s="73"/>
      <c r="AQ1779" s="73"/>
      <c r="AR1779" s="73"/>
      <c r="AS1779" s="73"/>
      <c r="AT1779" s="73"/>
      <c r="AU1779" s="73"/>
      <c r="AV1779" s="73"/>
      <c r="AW1779" s="73"/>
      <c r="AX1779" s="73"/>
      <c r="AY1779" s="73"/>
      <c r="AZ1779" s="73"/>
      <c r="BA1779" s="73"/>
      <c r="BB1779" s="73"/>
      <c r="BC1779" s="73"/>
      <c r="BD1779" s="73"/>
      <c r="BE1779" s="73"/>
      <c r="BF1779" s="73"/>
      <c r="BG1779" s="73"/>
      <c r="BH1779" s="73"/>
      <c r="BI1779" s="73"/>
      <c r="BJ1779" s="73"/>
      <c r="BK1779" s="73"/>
      <c r="BL1779" s="73"/>
      <c r="BM1779" s="73"/>
      <c r="BN1779" s="73"/>
      <c r="BO1779" s="73"/>
      <c r="BP1779" s="73"/>
      <c r="BQ1779" s="73"/>
      <c r="BR1779" s="73"/>
      <c r="BS1779" s="73"/>
      <c r="BT1779" s="73"/>
      <c r="BU1779" s="73"/>
      <c r="BV1779" s="73"/>
      <c r="BW1779" s="73"/>
      <c r="BX1779" s="73"/>
      <c r="BY1779" s="73"/>
      <c r="BZ1779" s="73"/>
      <c r="CA1779" s="73"/>
      <c r="CB1779" s="73"/>
      <c r="CC1779" s="73"/>
      <c r="CD1779" s="73"/>
      <c r="CE1779" s="73"/>
      <c r="CF1779" s="73"/>
      <c r="CG1779" s="73"/>
      <c r="CH1779" s="73"/>
    </row>
    <row r="1780">
      <c r="A1780" s="80"/>
      <c r="B1780" s="80"/>
      <c r="C1780" s="80"/>
      <c r="D1780" s="80"/>
      <c r="E1780" s="124"/>
      <c r="F1780" s="80"/>
      <c r="G1780" s="80"/>
      <c r="H1780" s="80"/>
      <c r="I1780" s="80"/>
      <c r="J1780" s="196"/>
      <c r="K1780" s="196"/>
      <c r="L1780" s="196"/>
      <c r="M1780" s="196"/>
      <c r="N1780" s="196"/>
      <c r="O1780" s="196"/>
      <c r="P1780" s="196"/>
      <c r="Q1780" s="196"/>
      <c r="R1780" s="196"/>
      <c r="S1780" s="196"/>
      <c r="T1780" s="196"/>
      <c r="U1780" s="196"/>
      <c r="V1780" s="196"/>
      <c r="W1780" s="196"/>
      <c r="X1780" s="196"/>
      <c r="Y1780" s="196"/>
      <c r="Z1780" s="196"/>
      <c r="AA1780" s="196"/>
      <c r="AB1780" s="196"/>
      <c r="AC1780" s="196"/>
      <c r="AD1780" s="196"/>
      <c r="AE1780" s="196"/>
      <c r="AF1780" s="196"/>
      <c r="AG1780" s="196"/>
      <c r="AH1780" s="196"/>
      <c r="AI1780" s="196"/>
      <c r="AJ1780" s="197"/>
      <c r="AK1780" s="80"/>
      <c r="AL1780" s="80"/>
      <c r="AM1780" s="73"/>
      <c r="AN1780" s="73"/>
      <c r="AO1780" s="73"/>
      <c r="AP1780" s="73"/>
      <c r="AQ1780" s="73"/>
      <c r="AR1780" s="73"/>
      <c r="AS1780" s="73"/>
      <c r="AT1780" s="73"/>
      <c r="AU1780" s="73"/>
      <c r="AV1780" s="73"/>
      <c r="AW1780" s="73"/>
      <c r="AX1780" s="73"/>
      <c r="AY1780" s="73"/>
      <c r="AZ1780" s="73"/>
      <c r="BA1780" s="73"/>
      <c r="BB1780" s="73"/>
      <c r="BC1780" s="73"/>
      <c r="BD1780" s="73"/>
      <c r="BE1780" s="73"/>
      <c r="BF1780" s="73"/>
      <c r="BG1780" s="73"/>
      <c r="BH1780" s="73"/>
      <c r="BI1780" s="73"/>
      <c r="BJ1780" s="73"/>
      <c r="BK1780" s="73"/>
      <c r="BL1780" s="73"/>
      <c r="BM1780" s="73"/>
      <c r="BN1780" s="73"/>
      <c r="BO1780" s="73"/>
      <c r="BP1780" s="73"/>
      <c r="BQ1780" s="73"/>
      <c r="BR1780" s="73"/>
      <c r="BS1780" s="73"/>
      <c r="BT1780" s="73"/>
      <c r="BU1780" s="73"/>
      <c r="BV1780" s="73"/>
      <c r="BW1780" s="73"/>
      <c r="BX1780" s="73"/>
      <c r="BY1780" s="73"/>
      <c r="BZ1780" s="73"/>
      <c r="CA1780" s="73"/>
      <c r="CB1780" s="73"/>
      <c r="CC1780" s="73"/>
      <c r="CD1780" s="73"/>
      <c r="CE1780" s="73"/>
      <c r="CF1780" s="73"/>
      <c r="CG1780" s="73"/>
      <c r="CH1780" s="73"/>
    </row>
    <row r="1781">
      <c r="A1781" s="80"/>
      <c r="B1781" s="80"/>
      <c r="C1781" s="80"/>
      <c r="D1781" s="80"/>
      <c r="E1781" s="124"/>
      <c r="F1781" s="80"/>
      <c r="G1781" s="80"/>
      <c r="H1781" s="80"/>
      <c r="I1781" s="80"/>
      <c r="J1781" s="196"/>
      <c r="K1781" s="196"/>
      <c r="L1781" s="196"/>
      <c r="M1781" s="196"/>
      <c r="N1781" s="196"/>
      <c r="O1781" s="196"/>
      <c r="P1781" s="196"/>
      <c r="Q1781" s="196"/>
      <c r="R1781" s="196"/>
      <c r="S1781" s="196"/>
      <c r="T1781" s="196"/>
      <c r="U1781" s="196"/>
      <c r="V1781" s="196"/>
      <c r="W1781" s="196"/>
      <c r="X1781" s="196"/>
      <c r="Y1781" s="196"/>
      <c r="Z1781" s="196"/>
      <c r="AA1781" s="196"/>
      <c r="AB1781" s="196"/>
      <c r="AC1781" s="196"/>
      <c r="AD1781" s="196"/>
      <c r="AE1781" s="196"/>
      <c r="AF1781" s="196"/>
      <c r="AG1781" s="196"/>
      <c r="AH1781" s="196"/>
      <c r="AI1781" s="196"/>
      <c r="AJ1781" s="197"/>
      <c r="AK1781" s="80"/>
      <c r="AL1781" s="80"/>
      <c r="AM1781" s="73"/>
      <c r="AN1781" s="73"/>
      <c r="AO1781" s="73"/>
      <c r="AP1781" s="73"/>
      <c r="AQ1781" s="73"/>
      <c r="AR1781" s="73"/>
      <c r="AS1781" s="73"/>
      <c r="AT1781" s="73"/>
      <c r="AU1781" s="73"/>
      <c r="AV1781" s="73"/>
      <c r="AW1781" s="73"/>
      <c r="AX1781" s="73"/>
      <c r="AY1781" s="73"/>
      <c r="AZ1781" s="73"/>
      <c r="BA1781" s="73"/>
      <c r="BB1781" s="73"/>
      <c r="BC1781" s="73"/>
      <c r="BD1781" s="73"/>
      <c r="BE1781" s="73"/>
      <c r="BF1781" s="73"/>
      <c r="BG1781" s="73"/>
      <c r="BH1781" s="73"/>
      <c r="BI1781" s="73"/>
      <c r="BJ1781" s="73"/>
      <c r="BK1781" s="73"/>
      <c r="BL1781" s="73"/>
      <c r="BM1781" s="73"/>
      <c r="BN1781" s="73"/>
      <c r="BO1781" s="73"/>
      <c r="BP1781" s="73"/>
      <c r="BQ1781" s="73"/>
      <c r="BR1781" s="73"/>
      <c r="BS1781" s="73"/>
      <c r="BT1781" s="73"/>
      <c r="BU1781" s="73"/>
      <c r="BV1781" s="73"/>
      <c r="BW1781" s="73"/>
      <c r="BX1781" s="73"/>
      <c r="BY1781" s="73"/>
      <c r="BZ1781" s="73"/>
      <c r="CA1781" s="73"/>
      <c r="CB1781" s="73"/>
      <c r="CC1781" s="73"/>
      <c r="CD1781" s="73"/>
      <c r="CE1781" s="73"/>
      <c r="CF1781" s="73"/>
      <c r="CG1781" s="73"/>
      <c r="CH1781" s="73"/>
    </row>
    <row r="1782">
      <c r="A1782" s="80"/>
      <c r="B1782" s="80"/>
      <c r="C1782" s="80"/>
      <c r="D1782" s="80"/>
      <c r="E1782" s="124"/>
      <c r="F1782" s="80"/>
      <c r="G1782" s="80"/>
      <c r="H1782" s="80"/>
      <c r="I1782" s="80"/>
      <c r="J1782" s="196"/>
      <c r="K1782" s="196"/>
      <c r="L1782" s="196"/>
      <c r="M1782" s="196"/>
      <c r="N1782" s="196"/>
      <c r="O1782" s="196"/>
      <c r="P1782" s="196"/>
      <c r="Q1782" s="196"/>
      <c r="R1782" s="196"/>
      <c r="S1782" s="196"/>
      <c r="T1782" s="196"/>
      <c r="U1782" s="196"/>
      <c r="V1782" s="196"/>
      <c r="W1782" s="196"/>
      <c r="X1782" s="196"/>
      <c r="Y1782" s="196"/>
      <c r="Z1782" s="196"/>
      <c r="AA1782" s="196"/>
      <c r="AB1782" s="196"/>
      <c r="AC1782" s="196"/>
      <c r="AD1782" s="196"/>
      <c r="AE1782" s="196"/>
      <c r="AF1782" s="196"/>
      <c r="AG1782" s="196"/>
      <c r="AH1782" s="196"/>
      <c r="AI1782" s="196"/>
      <c r="AJ1782" s="197"/>
      <c r="AK1782" s="80"/>
      <c r="AL1782" s="80"/>
      <c r="AM1782" s="73"/>
      <c r="AN1782" s="73"/>
      <c r="AO1782" s="73"/>
      <c r="AP1782" s="73"/>
      <c r="AQ1782" s="73"/>
      <c r="AR1782" s="73"/>
      <c r="AS1782" s="73"/>
      <c r="AT1782" s="73"/>
      <c r="AU1782" s="73"/>
      <c r="AV1782" s="73"/>
      <c r="AW1782" s="73"/>
      <c r="AX1782" s="73"/>
      <c r="AY1782" s="73"/>
      <c r="AZ1782" s="73"/>
      <c r="BA1782" s="73"/>
      <c r="BB1782" s="73"/>
      <c r="BC1782" s="73"/>
      <c r="BD1782" s="73"/>
      <c r="BE1782" s="73"/>
      <c r="BF1782" s="73"/>
      <c r="BG1782" s="73"/>
      <c r="BH1782" s="73"/>
      <c r="BI1782" s="73"/>
      <c r="BJ1782" s="73"/>
      <c r="BK1782" s="73"/>
      <c r="BL1782" s="73"/>
      <c r="BM1782" s="73"/>
      <c r="BN1782" s="73"/>
      <c r="BO1782" s="73"/>
      <c r="BP1782" s="73"/>
      <c r="BQ1782" s="73"/>
      <c r="BR1782" s="73"/>
      <c r="BS1782" s="73"/>
      <c r="BT1782" s="73"/>
      <c r="BU1782" s="73"/>
      <c r="BV1782" s="73"/>
      <c r="BW1782" s="73"/>
      <c r="BX1782" s="73"/>
      <c r="BY1782" s="73"/>
      <c r="BZ1782" s="73"/>
      <c r="CA1782" s="73"/>
      <c r="CB1782" s="73"/>
      <c r="CC1782" s="73"/>
      <c r="CD1782" s="73"/>
      <c r="CE1782" s="73"/>
      <c r="CF1782" s="73"/>
      <c r="CG1782" s="73"/>
      <c r="CH1782" s="73"/>
    </row>
    <row r="1783">
      <c r="A1783" s="80"/>
      <c r="B1783" s="80"/>
      <c r="C1783" s="80"/>
      <c r="D1783" s="80"/>
      <c r="E1783" s="124"/>
      <c r="F1783" s="80"/>
      <c r="G1783" s="80"/>
      <c r="H1783" s="80"/>
      <c r="I1783" s="80"/>
      <c r="J1783" s="196"/>
      <c r="K1783" s="196"/>
      <c r="L1783" s="196"/>
      <c r="M1783" s="196"/>
      <c r="N1783" s="196"/>
      <c r="O1783" s="196"/>
      <c r="P1783" s="196"/>
      <c r="Q1783" s="196"/>
      <c r="R1783" s="196"/>
      <c r="S1783" s="196"/>
      <c r="T1783" s="196"/>
      <c r="U1783" s="196"/>
      <c r="V1783" s="196"/>
      <c r="W1783" s="196"/>
      <c r="X1783" s="196"/>
      <c r="Y1783" s="196"/>
      <c r="Z1783" s="196"/>
      <c r="AA1783" s="196"/>
      <c r="AB1783" s="196"/>
      <c r="AC1783" s="196"/>
      <c r="AD1783" s="196"/>
      <c r="AE1783" s="196"/>
      <c r="AF1783" s="196"/>
      <c r="AG1783" s="196"/>
      <c r="AH1783" s="196"/>
      <c r="AI1783" s="196"/>
      <c r="AJ1783" s="197"/>
      <c r="AK1783" s="80"/>
      <c r="AL1783" s="80"/>
      <c r="AM1783" s="73"/>
      <c r="AN1783" s="73"/>
      <c r="AO1783" s="73"/>
      <c r="AP1783" s="73"/>
      <c r="AQ1783" s="73"/>
      <c r="AR1783" s="73"/>
      <c r="AS1783" s="73"/>
      <c r="AT1783" s="73"/>
      <c r="AU1783" s="73"/>
      <c r="AV1783" s="73"/>
      <c r="AW1783" s="73"/>
      <c r="AX1783" s="73"/>
      <c r="AY1783" s="73"/>
      <c r="AZ1783" s="73"/>
      <c r="BA1783" s="73"/>
      <c r="BB1783" s="73"/>
      <c r="BC1783" s="73"/>
      <c r="BD1783" s="73"/>
      <c r="BE1783" s="73"/>
      <c r="BF1783" s="73"/>
      <c r="BG1783" s="73"/>
      <c r="BH1783" s="73"/>
      <c r="BI1783" s="73"/>
      <c r="BJ1783" s="73"/>
      <c r="BK1783" s="73"/>
      <c r="BL1783" s="73"/>
      <c r="BM1783" s="73"/>
      <c r="BN1783" s="73"/>
      <c r="BO1783" s="73"/>
      <c r="BP1783" s="73"/>
      <c r="BQ1783" s="73"/>
      <c r="BR1783" s="73"/>
      <c r="BS1783" s="73"/>
      <c r="BT1783" s="73"/>
      <c r="BU1783" s="73"/>
      <c r="BV1783" s="73"/>
      <c r="BW1783" s="73"/>
      <c r="BX1783" s="73"/>
      <c r="BY1783" s="73"/>
      <c r="BZ1783" s="73"/>
      <c r="CA1783" s="73"/>
      <c r="CB1783" s="73"/>
      <c r="CC1783" s="73"/>
      <c r="CD1783" s="73"/>
      <c r="CE1783" s="73"/>
      <c r="CF1783" s="73"/>
      <c r="CG1783" s="73"/>
      <c r="CH1783" s="73"/>
    </row>
    <row r="1784">
      <c r="A1784" s="80"/>
      <c r="B1784" s="80"/>
      <c r="C1784" s="80"/>
      <c r="D1784" s="80"/>
      <c r="E1784" s="124"/>
      <c r="F1784" s="80"/>
      <c r="G1784" s="80"/>
      <c r="H1784" s="80"/>
      <c r="I1784" s="80"/>
      <c r="J1784" s="196"/>
      <c r="K1784" s="196"/>
      <c r="L1784" s="196"/>
      <c r="M1784" s="196"/>
      <c r="N1784" s="196"/>
      <c r="O1784" s="196"/>
      <c r="P1784" s="196"/>
      <c r="Q1784" s="196"/>
      <c r="R1784" s="196"/>
      <c r="S1784" s="196"/>
      <c r="T1784" s="196"/>
      <c r="U1784" s="196"/>
      <c r="V1784" s="196"/>
      <c r="W1784" s="196"/>
      <c r="X1784" s="196"/>
      <c r="Y1784" s="196"/>
      <c r="Z1784" s="196"/>
      <c r="AA1784" s="196"/>
      <c r="AB1784" s="196"/>
      <c r="AC1784" s="196"/>
      <c r="AD1784" s="196"/>
      <c r="AE1784" s="196"/>
      <c r="AF1784" s="196"/>
      <c r="AG1784" s="196"/>
      <c r="AH1784" s="196"/>
      <c r="AI1784" s="196"/>
      <c r="AJ1784" s="197"/>
      <c r="AK1784" s="80"/>
      <c r="AL1784" s="80"/>
      <c r="AM1784" s="73"/>
      <c r="AN1784" s="73"/>
      <c r="AO1784" s="73"/>
      <c r="AP1784" s="73"/>
      <c r="AQ1784" s="73"/>
      <c r="AR1784" s="73"/>
      <c r="AS1784" s="73"/>
      <c r="AT1784" s="73"/>
      <c r="AU1784" s="73"/>
      <c r="AV1784" s="73"/>
      <c r="AW1784" s="73"/>
      <c r="AX1784" s="73"/>
      <c r="AY1784" s="73"/>
      <c r="AZ1784" s="73"/>
      <c r="BA1784" s="73"/>
      <c r="BB1784" s="73"/>
      <c r="BC1784" s="73"/>
      <c r="BD1784" s="73"/>
      <c r="BE1784" s="73"/>
      <c r="BF1784" s="73"/>
      <c r="BG1784" s="73"/>
      <c r="BH1784" s="73"/>
      <c r="BI1784" s="73"/>
      <c r="BJ1784" s="73"/>
      <c r="BK1784" s="73"/>
      <c r="BL1784" s="73"/>
      <c r="BM1784" s="73"/>
      <c r="BN1784" s="73"/>
      <c r="BO1784" s="73"/>
      <c r="BP1784" s="73"/>
      <c r="BQ1784" s="73"/>
      <c r="BR1784" s="73"/>
      <c r="BS1784" s="73"/>
      <c r="BT1784" s="73"/>
      <c r="BU1784" s="73"/>
      <c r="BV1784" s="73"/>
      <c r="BW1784" s="73"/>
      <c r="BX1784" s="73"/>
      <c r="BY1784" s="73"/>
      <c r="BZ1784" s="73"/>
      <c r="CA1784" s="73"/>
      <c r="CB1784" s="73"/>
      <c r="CC1784" s="73"/>
      <c r="CD1784" s="73"/>
      <c r="CE1784" s="73"/>
      <c r="CF1784" s="73"/>
      <c r="CG1784" s="73"/>
      <c r="CH1784" s="73"/>
    </row>
    <row r="1785">
      <c r="A1785" s="80"/>
      <c r="B1785" s="80"/>
      <c r="C1785" s="80"/>
      <c r="D1785" s="80"/>
      <c r="E1785" s="124"/>
      <c r="F1785" s="80"/>
      <c r="G1785" s="80"/>
      <c r="H1785" s="80"/>
      <c r="I1785" s="80"/>
      <c r="J1785" s="196"/>
      <c r="K1785" s="196"/>
      <c r="L1785" s="196"/>
      <c r="M1785" s="196"/>
      <c r="N1785" s="196"/>
      <c r="O1785" s="196"/>
      <c r="P1785" s="196"/>
      <c r="Q1785" s="196"/>
      <c r="R1785" s="196"/>
      <c r="S1785" s="196"/>
      <c r="T1785" s="196"/>
      <c r="U1785" s="196"/>
      <c r="V1785" s="196"/>
      <c r="W1785" s="196"/>
      <c r="X1785" s="196"/>
      <c r="Y1785" s="196"/>
      <c r="Z1785" s="196"/>
      <c r="AA1785" s="196"/>
      <c r="AB1785" s="196"/>
      <c r="AC1785" s="196"/>
      <c r="AD1785" s="196"/>
      <c r="AE1785" s="196"/>
      <c r="AF1785" s="196"/>
      <c r="AG1785" s="196"/>
      <c r="AH1785" s="196"/>
      <c r="AI1785" s="196"/>
      <c r="AJ1785" s="197"/>
      <c r="AK1785" s="80"/>
      <c r="AL1785" s="80"/>
      <c r="AM1785" s="73"/>
      <c r="AN1785" s="73"/>
      <c r="AO1785" s="73"/>
      <c r="AP1785" s="73"/>
      <c r="AQ1785" s="73"/>
      <c r="AR1785" s="73"/>
      <c r="AS1785" s="73"/>
      <c r="AT1785" s="73"/>
      <c r="AU1785" s="73"/>
      <c r="AV1785" s="73"/>
      <c r="AW1785" s="73"/>
      <c r="AX1785" s="73"/>
      <c r="AY1785" s="73"/>
      <c r="AZ1785" s="73"/>
      <c r="BA1785" s="73"/>
      <c r="BB1785" s="73"/>
      <c r="BC1785" s="73"/>
      <c r="BD1785" s="73"/>
      <c r="BE1785" s="73"/>
      <c r="BF1785" s="73"/>
      <c r="BG1785" s="73"/>
      <c r="BH1785" s="73"/>
      <c r="BI1785" s="73"/>
      <c r="BJ1785" s="73"/>
      <c r="BK1785" s="73"/>
      <c r="BL1785" s="73"/>
      <c r="BM1785" s="73"/>
      <c r="BN1785" s="73"/>
      <c r="BO1785" s="73"/>
      <c r="BP1785" s="73"/>
      <c r="BQ1785" s="73"/>
      <c r="BR1785" s="73"/>
      <c r="BS1785" s="73"/>
      <c r="BT1785" s="73"/>
      <c r="BU1785" s="73"/>
      <c r="BV1785" s="73"/>
      <c r="BW1785" s="73"/>
      <c r="BX1785" s="73"/>
      <c r="BY1785" s="73"/>
      <c r="BZ1785" s="73"/>
      <c r="CA1785" s="73"/>
      <c r="CB1785" s="73"/>
      <c r="CC1785" s="73"/>
      <c r="CD1785" s="73"/>
      <c r="CE1785" s="73"/>
      <c r="CF1785" s="73"/>
      <c r="CG1785" s="73"/>
      <c r="CH1785" s="73"/>
    </row>
    <row r="1786">
      <c r="A1786" s="80"/>
      <c r="B1786" s="80"/>
      <c r="C1786" s="80"/>
      <c r="D1786" s="80"/>
      <c r="E1786" s="124"/>
      <c r="F1786" s="80"/>
      <c r="G1786" s="80"/>
      <c r="H1786" s="80"/>
      <c r="I1786" s="80"/>
      <c r="J1786" s="196"/>
      <c r="K1786" s="196"/>
      <c r="L1786" s="196"/>
      <c r="M1786" s="196"/>
      <c r="N1786" s="196"/>
      <c r="O1786" s="196"/>
      <c r="P1786" s="196"/>
      <c r="Q1786" s="196"/>
      <c r="R1786" s="196"/>
      <c r="S1786" s="196"/>
      <c r="T1786" s="196"/>
      <c r="U1786" s="196"/>
      <c r="V1786" s="196"/>
      <c r="W1786" s="196"/>
      <c r="X1786" s="196"/>
      <c r="Y1786" s="196"/>
      <c r="Z1786" s="196"/>
      <c r="AA1786" s="196"/>
      <c r="AB1786" s="196"/>
      <c r="AC1786" s="196"/>
      <c r="AD1786" s="196"/>
      <c r="AE1786" s="196"/>
      <c r="AF1786" s="196"/>
      <c r="AG1786" s="196"/>
      <c r="AH1786" s="196"/>
      <c r="AI1786" s="196"/>
      <c r="AJ1786" s="197"/>
      <c r="AK1786" s="80"/>
      <c r="AL1786" s="80"/>
      <c r="AM1786" s="73"/>
      <c r="AN1786" s="73"/>
      <c r="AO1786" s="73"/>
      <c r="AP1786" s="73"/>
      <c r="AQ1786" s="73"/>
      <c r="AR1786" s="73"/>
      <c r="AS1786" s="73"/>
      <c r="AT1786" s="73"/>
      <c r="AU1786" s="73"/>
      <c r="AV1786" s="73"/>
      <c r="AW1786" s="73"/>
      <c r="AX1786" s="73"/>
      <c r="AY1786" s="73"/>
      <c r="AZ1786" s="73"/>
      <c r="BA1786" s="73"/>
      <c r="BB1786" s="73"/>
      <c r="BC1786" s="73"/>
      <c r="BD1786" s="73"/>
      <c r="BE1786" s="73"/>
      <c r="BF1786" s="73"/>
      <c r="BG1786" s="73"/>
      <c r="BH1786" s="73"/>
      <c r="BI1786" s="73"/>
      <c r="BJ1786" s="73"/>
      <c r="BK1786" s="73"/>
      <c r="BL1786" s="73"/>
      <c r="BM1786" s="73"/>
      <c r="BN1786" s="73"/>
      <c r="BO1786" s="73"/>
      <c r="BP1786" s="73"/>
      <c r="BQ1786" s="73"/>
      <c r="BR1786" s="73"/>
      <c r="BS1786" s="73"/>
      <c r="BT1786" s="73"/>
      <c r="BU1786" s="73"/>
      <c r="BV1786" s="73"/>
      <c r="BW1786" s="73"/>
      <c r="BX1786" s="73"/>
      <c r="BY1786" s="73"/>
      <c r="BZ1786" s="73"/>
      <c r="CA1786" s="73"/>
      <c r="CB1786" s="73"/>
      <c r="CC1786" s="73"/>
      <c r="CD1786" s="73"/>
      <c r="CE1786" s="73"/>
      <c r="CF1786" s="73"/>
      <c r="CG1786" s="73"/>
      <c r="CH1786" s="73"/>
    </row>
    <row r="1787">
      <c r="A1787" s="80"/>
      <c r="B1787" s="80"/>
      <c r="C1787" s="80"/>
      <c r="D1787" s="80"/>
      <c r="E1787" s="124"/>
      <c r="F1787" s="80"/>
      <c r="G1787" s="80"/>
      <c r="H1787" s="80"/>
      <c r="I1787" s="80"/>
      <c r="J1787" s="196"/>
      <c r="K1787" s="196"/>
      <c r="L1787" s="196"/>
      <c r="M1787" s="196"/>
      <c r="N1787" s="196"/>
      <c r="O1787" s="196"/>
      <c r="P1787" s="196"/>
      <c r="Q1787" s="196"/>
      <c r="R1787" s="196"/>
      <c r="S1787" s="196"/>
      <c r="T1787" s="196"/>
      <c r="U1787" s="196"/>
      <c r="V1787" s="196"/>
      <c r="W1787" s="196"/>
      <c r="X1787" s="196"/>
      <c r="Y1787" s="196"/>
      <c r="Z1787" s="196"/>
      <c r="AA1787" s="196"/>
      <c r="AB1787" s="196"/>
      <c r="AC1787" s="196"/>
      <c r="AD1787" s="196"/>
      <c r="AE1787" s="196"/>
      <c r="AF1787" s="196"/>
      <c r="AG1787" s="196"/>
      <c r="AH1787" s="196"/>
      <c r="AI1787" s="196"/>
      <c r="AJ1787" s="197"/>
      <c r="AK1787" s="80"/>
      <c r="AL1787" s="80"/>
      <c r="AM1787" s="73"/>
      <c r="AN1787" s="73"/>
      <c r="AO1787" s="73"/>
      <c r="AP1787" s="73"/>
      <c r="AQ1787" s="73"/>
      <c r="AR1787" s="73"/>
      <c r="AS1787" s="73"/>
      <c r="AT1787" s="73"/>
      <c r="AU1787" s="73"/>
      <c r="AV1787" s="73"/>
      <c r="AW1787" s="73"/>
      <c r="AX1787" s="73"/>
      <c r="AY1787" s="73"/>
      <c r="AZ1787" s="73"/>
      <c r="BA1787" s="73"/>
      <c r="BB1787" s="73"/>
      <c r="BC1787" s="73"/>
      <c r="BD1787" s="73"/>
      <c r="BE1787" s="73"/>
      <c r="BF1787" s="73"/>
      <c r="BG1787" s="73"/>
      <c r="BH1787" s="73"/>
      <c r="BI1787" s="73"/>
      <c r="BJ1787" s="73"/>
      <c r="BK1787" s="73"/>
      <c r="BL1787" s="73"/>
      <c r="BM1787" s="73"/>
      <c r="BN1787" s="73"/>
      <c r="BO1787" s="73"/>
      <c r="BP1787" s="73"/>
      <c r="BQ1787" s="73"/>
      <c r="BR1787" s="73"/>
      <c r="BS1787" s="73"/>
      <c r="BT1787" s="73"/>
      <c r="BU1787" s="73"/>
      <c r="BV1787" s="73"/>
      <c r="BW1787" s="73"/>
      <c r="BX1787" s="73"/>
      <c r="BY1787" s="73"/>
      <c r="BZ1787" s="73"/>
      <c r="CA1787" s="73"/>
      <c r="CB1787" s="73"/>
      <c r="CC1787" s="73"/>
      <c r="CD1787" s="73"/>
      <c r="CE1787" s="73"/>
      <c r="CF1787" s="73"/>
      <c r="CG1787" s="73"/>
      <c r="CH1787" s="73"/>
    </row>
    <row r="1788">
      <c r="A1788" s="80"/>
      <c r="B1788" s="80"/>
      <c r="C1788" s="80"/>
      <c r="D1788" s="80"/>
      <c r="E1788" s="124"/>
      <c r="F1788" s="80"/>
      <c r="G1788" s="80"/>
      <c r="H1788" s="80"/>
      <c r="I1788" s="80"/>
      <c r="J1788" s="196"/>
      <c r="K1788" s="196"/>
      <c r="L1788" s="196"/>
      <c r="M1788" s="196"/>
      <c r="N1788" s="196"/>
      <c r="O1788" s="196"/>
      <c r="P1788" s="196"/>
      <c r="Q1788" s="196"/>
      <c r="R1788" s="196"/>
      <c r="S1788" s="196"/>
      <c r="T1788" s="196"/>
      <c r="U1788" s="196"/>
      <c r="V1788" s="196"/>
      <c r="W1788" s="196"/>
      <c r="X1788" s="196"/>
      <c r="Y1788" s="196"/>
      <c r="Z1788" s="196"/>
      <c r="AA1788" s="196"/>
      <c r="AB1788" s="196"/>
      <c r="AC1788" s="196"/>
      <c r="AD1788" s="196"/>
      <c r="AE1788" s="196"/>
      <c r="AF1788" s="196"/>
      <c r="AG1788" s="196"/>
      <c r="AH1788" s="196"/>
      <c r="AI1788" s="196"/>
      <c r="AJ1788" s="197"/>
      <c r="AK1788" s="80"/>
      <c r="AL1788" s="80"/>
      <c r="AM1788" s="73"/>
      <c r="AN1788" s="73"/>
      <c r="AO1788" s="73"/>
      <c r="AP1788" s="73"/>
      <c r="AQ1788" s="73"/>
      <c r="AR1788" s="73"/>
      <c r="AS1788" s="73"/>
      <c r="AT1788" s="73"/>
      <c r="AU1788" s="73"/>
      <c r="AV1788" s="73"/>
      <c r="AW1788" s="73"/>
      <c r="AX1788" s="73"/>
      <c r="AY1788" s="73"/>
      <c r="AZ1788" s="73"/>
      <c r="BA1788" s="73"/>
      <c r="BB1788" s="73"/>
      <c r="BC1788" s="73"/>
      <c r="BD1788" s="73"/>
      <c r="BE1788" s="73"/>
      <c r="BF1788" s="73"/>
      <c r="BG1788" s="73"/>
      <c r="BH1788" s="73"/>
      <c r="BI1788" s="73"/>
      <c r="BJ1788" s="73"/>
      <c r="BK1788" s="73"/>
      <c r="BL1788" s="73"/>
      <c r="BM1788" s="73"/>
      <c r="BN1788" s="73"/>
      <c r="BO1788" s="73"/>
      <c r="BP1788" s="73"/>
      <c r="BQ1788" s="73"/>
      <c r="BR1788" s="73"/>
      <c r="BS1788" s="73"/>
      <c r="BT1788" s="73"/>
      <c r="BU1788" s="73"/>
      <c r="BV1788" s="73"/>
      <c r="BW1788" s="73"/>
      <c r="BX1788" s="73"/>
      <c r="BY1788" s="73"/>
      <c r="BZ1788" s="73"/>
      <c r="CA1788" s="73"/>
      <c r="CB1788" s="73"/>
      <c r="CC1788" s="73"/>
      <c r="CD1788" s="73"/>
      <c r="CE1788" s="73"/>
      <c r="CF1788" s="73"/>
      <c r="CG1788" s="73"/>
      <c r="CH1788" s="73"/>
    </row>
    <row r="1789">
      <c r="A1789" s="80"/>
      <c r="B1789" s="80"/>
      <c r="C1789" s="80"/>
      <c r="D1789" s="80"/>
      <c r="E1789" s="124"/>
      <c r="F1789" s="80"/>
      <c r="G1789" s="80"/>
      <c r="H1789" s="80"/>
      <c r="I1789" s="80"/>
      <c r="J1789" s="196"/>
      <c r="K1789" s="196"/>
      <c r="L1789" s="196"/>
      <c r="M1789" s="196"/>
      <c r="N1789" s="196"/>
      <c r="O1789" s="196"/>
      <c r="P1789" s="196"/>
      <c r="Q1789" s="196"/>
      <c r="R1789" s="196"/>
      <c r="S1789" s="196"/>
      <c r="T1789" s="196"/>
      <c r="U1789" s="196"/>
      <c r="V1789" s="196"/>
      <c r="W1789" s="196"/>
      <c r="X1789" s="196"/>
      <c r="Y1789" s="196"/>
      <c r="Z1789" s="196"/>
      <c r="AA1789" s="196"/>
      <c r="AB1789" s="196"/>
      <c r="AC1789" s="196"/>
      <c r="AD1789" s="196"/>
      <c r="AE1789" s="196"/>
      <c r="AF1789" s="196"/>
      <c r="AG1789" s="196"/>
      <c r="AH1789" s="196"/>
      <c r="AI1789" s="196"/>
      <c r="AJ1789" s="197"/>
      <c r="AK1789" s="80"/>
      <c r="AL1789" s="80"/>
      <c r="AM1789" s="73"/>
      <c r="AN1789" s="73"/>
      <c r="AO1789" s="73"/>
      <c r="AP1789" s="73"/>
      <c r="AQ1789" s="73"/>
      <c r="AR1789" s="73"/>
      <c r="AS1789" s="73"/>
      <c r="AT1789" s="73"/>
      <c r="AU1789" s="73"/>
      <c r="AV1789" s="73"/>
      <c r="AW1789" s="73"/>
      <c r="AX1789" s="73"/>
      <c r="AY1789" s="73"/>
      <c r="AZ1789" s="73"/>
      <c r="BA1789" s="73"/>
      <c r="BB1789" s="73"/>
      <c r="BC1789" s="73"/>
      <c r="BD1789" s="73"/>
      <c r="BE1789" s="73"/>
      <c r="BF1789" s="73"/>
      <c r="BG1789" s="73"/>
      <c r="BH1789" s="73"/>
      <c r="BI1789" s="73"/>
      <c r="BJ1789" s="73"/>
      <c r="BK1789" s="73"/>
      <c r="BL1789" s="73"/>
      <c r="BM1789" s="73"/>
      <c r="BN1789" s="73"/>
      <c r="BO1789" s="73"/>
      <c r="BP1789" s="73"/>
      <c r="BQ1789" s="73"/>
      <c r="BR1789" s="73"/>
      <c r="BS1789" s="73"/>
      <c r="BT1789" s="73"/>
      <c r="BU1789" s="73"/>
      <c r="BV1789" s="73"/>
      <c r="BW1789" s="73"/>
      <c r="BX1789" s="73"/>
      <c r="BY1789" s="73"/>
      <c r="BZ1789" s="73"/>
      <c r="CA1789" s="73"/>
      <c r="CB1789" s="73"/>
      <c r="CC1789" s="73"/>
      <c r="CD1789" s="73"/>
      <c r="CE1789" s="73"/>
      <c r="CF1789" s="73"/>
      <c r="CG1789" s="73"/>
      <c r="CH1789" s="73"/>
    </row>
    <row r="1790">
      <c r="A1790" s="80"/>
      <c r="B1790" s="80"/>
      <c r="C1790" s="80"/>
      <c r="D1790" s="80"/>
      <c r="E1790" s="124"/>
      <c r="F1790" s="80"/>
      <c r="G1790" s="80"/>
      <c r="H1790" s="80"/>
      <c r="I1790" s="80"/>
      <c r="J1790" s="196"/>
      <c r="K1790" s="196"/>
      <c r="L1790" s="196"/>
      <c r="M1790" s="196"/>
      <c r="N1790" s="196"/>
      <c r="O1790" s="196"/>
      <c r="P1790" s="196"/>
      <c r="Q1790" s="196"/>
      <c r="R1790" s="196"/>
      <c r="S1790" s="196"/>
      <c r="T1790" s="196"/>
      <c r="U1790" s="196"/>
      <c r="V1790" s="196"/>
      <c r="W1790" s="196"/>
      <c r="X1790" s="196"/>
      <c r="Y1790" s="196"/>
      <c r="Z1790" s="196"/>
      <c r="AA1790" s="196"/>
      <c r="AB1790" s="196"/>
      <c r="AC1790" s="196"/>
      <c r="AD1790" s="196"/>
      <c r="AE1790" s="196"/>
      <c r="AF1790" s="196"/>
      <c r="AG1790" s="196"/>
      <c r="AH1790" s="196"/>
      <c r="AI1790" s="196"/>
      <c r="AJ1790" s="197"/>
      <c r="AK1790" s="80"/>
      <c r="AL1790" s="80"/>
      <c r="AM1790" s="73"/>
      <c r="AN1790" s="73"/>
      <c r="AO1790" s="73"/>
      <c r="AP1790" s="73"/>
      <c r="AQ1790" s="73"/>
      <c r="AR1790" s="73"/>
      <c r="AS1790" s="73"/>
      <c r="AT1790" s="73"/>
      <c r="AU1790" s="73"/>
      <c r="AV1790" s="73"/>
      <c r="AW1790" s="73"/>
      <c r="AX1790" s="73"/>
      <c r="AY1790" s="73"/>
      <c r="AZ1790" s="73"/>
      <c r="BA1790" s="73"/>
      <c r="BB1790" s="73"/>
      <c r="BC1790" s="73"/>
      <c r="BD1790" s="73"/>
      <c r="BE1790" s="73"/>
      <c r="BF1790" s="73"/>
      <c r="BG1790" s="73"/>
      <c r="BH1790" s="73"/>
      <c r="BI1790" s="73"/>
      <c r="BJ1790" s="73"/>
      <c r="BK1790" s="73"/>
      <c r="BL1790" s="73"/>
      <c r="BM1790" s="73"/>
      <c r="BN1790" s="73"/>
      <c r="BO1790" s="73"/>
      <c r="BP1790" s="73"/>
      <c r="BQ1790" s="73"/>
      <c r="BR1790" s="73"/>
      <c r="BS1790" s="73"/>
      <c r="BT1790" s="73"/>
      <c r="BU1790" s="73"/>
      <c r="BV1790" s="73"/>
      <c r="BW1790" s="73"/>
      <c r="BX1790" s="73"/>
      <c r="BY1790" s="73"/>
      <c r="BZ1790" s="73"/>
      <c r="CA1790" s="73"/>
      <c r="CB1790" s="73"/>
      <c r="CC1790" s="73"/>
      <c r="CD1790" s="73"/>
      <c r="CE1790" s="73"/>
      <c r="CF1790" s="73"/>
      <c r="CG1790" s="73"/>
      <c r="CH1790" s="73"/>
    </row>
    <row r="1791">
      <c r="A1791" s="80"/>
      <c r="B1791" s="80"/>
      <c r="C1791" s="80"/>
      <c r="D1791" s="80"/>
      <c r="E1791" s="124"/>
      <c r="F1791" s="80"/>
      <c r="G1791" s="80"/>
      <c r="H1791" s="80"/>
      <c r="I1791" s="80"/>
      <c r="J1791" s="196"/>
      <c r="K1791" s="196"/>
      <c r="L1791" s="196"/>
      <c r="M1791" s="196"/>
      <c r="N1791" s="196"/>
      <c r="O1791" s="196"/>
      <c r="P1791" s="196"/>
      <c r="Q1791" s="196"/>
      <c r="R1791" s="196"/>
      <c r="S1791" s="196"/>
      <c r="T1791" s="196"/>
      <c r="U1791" s="196"/>
      <c r="V1791" s="196"/>
      <c r="W1791" s="196"/>
      <c r="X1791" s="196"/>
      <c r="Y1791" s="196"/>
      <c r="Z1791" s="196"/>
      <c r="AA1791" s="196"/>
      <c r="AB1791" s="196"/>
      <c r="AC1791" s="196"/>
      <c r="AD1791" s="196"/>
      <c r="AE1791" s="196"/>
      <c r="AF1791" s="196"/>
      <c r="AG1791" s="196"/>
      <c r="AH1791" s="196"/>
      <c r="AI1791" s="196"/>
      <c r="AJ1791" s="197"/>
      <c r="AK1791" s="80"/>
      <c r="AL1791" s="80"/>
      <c r="AM1791" s="73"/>
      <c r="AN1791" s="73"/>
      <c r="AO1791" s="73"/>
      <c r="AP1791" s="73"/>
      <c r="AQ1791" s="73"/>
      <c r="AR1791" s="73"/>
      <c r="AS1791" s="73"/>
      <c r="AT1791" s="73"/>
      <c r="AU1791" s="73"/>
      <c r="AV1791" s="73"/>
      <c r="AW1791" s="73"/>
      <c r="AX1791" s="73"/>
      <c r="AY1791" s="73"/>
      <c r="AZ1791" s="73"/>
      <c r="BA1791" s="73"/>
      <c r="BB1791" s="73"/>
      <c r="BC1791" s="73"/>
      <c r="BD1791" s="73"/>
      <c r="BE1791" s="73"/>
      <c r="BF1791" s="73"/>
      <c r="BG1791" s="73"/>
      <c r="BH1791" s="73"/>
      <c r="BI1791" s="73"/>
      <c r="BJ1791" s="73"/>
      <c r="BK1791" s="73"/>
      <c r="BL1791" s="73"/>
      <c r="BM1791" s="73"/>
      <c r="BN1791" s="73"/>
      <c r="BO1791" s="73"/>
      <c r="BP1791" s="73"/>
      <c r="BQ1791" s="73"/>
      <c r="BR1791" s="73"/>
      <c r="BS1791" s="73"/>
      <c r="BT1791" s="73"/>
      <c r="BU1791" s="73"/>
      <c r="BV1791" s="73"/>
      <c r="BW1791" s="73"/>
      <c r="BX1791" s="73"/>
      <c r="BY1791" s="73"/>
      <c r="BZ1791" s="73"/>
      <c r="CA1791" s="73"/>
      <c r="CB1791" s="73"/>
      <c r="CC1791" s="73"/>
      <c r="CD1791" s="73"/>
      <c r="CE1791" s="73"/>
      <c r="CF1791" s="73"/>
      <c r="CG1791" s="73"/>
      <c r="CH1791" s="73"/>
    </row>
    <row r="1792">
      <c r="A1792" s="80"/>
      <c r="B1792" s="80"/>
      <c r="C1792" s="80"/>
      <c r="D1792" s="80"/>
      <c r="E1792" s="124"/>
      <c r="F1792" s="80"/>
      <c r="G1792" s="80"/>
      <c r="H1792" s="80"/>
      <c r="I1792" s="80"/>
      <c r="J1792" s="196"/>
      <c r="K1792" s="196"/>
      <c r="L1792" s="196"/>
      <c r="M1792" s="196"/>
      <c r="N1792" s="196"/>
      <c r="O1792" s="196"/>
      <c r="P1792" s="196"/>
      <c r="Q1792" s="196"/>
      <c r="R1792" s="196"/>
      <c r="S1792" s="196"/>
      <c r="T1792" s="196"/>
      <c r="U1792" s="196"/>
      <c r="V1792" s="196"/>
      <c r="W1792" s="196"/>
      <c r="X1792" s="196"/>
      <c r="Y1792" s="196"/>
      <c r="Z1792" s="196"/>
      <c r="AA1792" s="196"/>
      <c r="AB1792" s="196"/>
      <c r="AC1792" s="196"/>
      <c r="AD1792" s="196"/>
      <c r="AE1792" s="196"/>
      <c r="AF1792" s="196"/>
      <c r="AG1792" s="196"/>
      <c r="AH1792" s="196"/>
      <c r="AI1792" s="196"/>
      <c r="AJ1792" s="197"/>
      <c r="AK1792" s="80"/>
      <c r="AL1792" s="80"/>
      <c r="AM1792" s="73"/>
      <c r="AN1792" s="73"/>
      <c r="AO1792" s="73"/>
      <c r="AP1792" s="73"/>
      <c r="AQ1792" s="73"/>
      <c r="AR1792" s="73"/>
      <c r="AS1792" s="73"/>
      <c r="AT1792" s="73"/>
      <c r="AU1792" s="73"/>
      <c r="AV1792" s="73"/>
      <c r="AW1792" s="73"/>
      <c r="AX1792" s="73"/>
      <c r="AY1792" s="73"/>
      <c r="AZ1792" s="73"/>
      <c r="BA1792" s="73"/>
      <c r="BB1792" s="73"/>
      <c r="BC1792" s="73"/>
      <c r="BD1792" s="73"/>
      <c r="BE1792" s="73"/>
      <c r="BF1792" s="73"/>
      <c r="BG1792" s="73"/>
      <c r="BH1792" s="73"/>
      <c r="BI1792" s="73"/>
      <c r="BJ1792" s="73"/>
      <c r="BK1792" s="73"/>
      <c r="BL1792" s="73"/>
      <c r="BM1792" s="73"/>
      <c r="BN1792" s="73"/>
      <c r="BO1792" s="73"/>
      <c r="BP1792" s="73"/>
      <c r="BQ1792" s="73"/>
      <c r="BR1792" s="73"/>
      <c r="BS1792" s="73"/>
      <c r="BT1792" s="73"/>
      <c r="BU1792" s="73"/>
      <c r="BV1792" s="73"/>
      <c r="BW1792" s="73"/>
      <c r="BX1792" s="73"/>
      <c r="BY1792" s="73"/>
      <c r="BZ1792" s="73"/>
      <c r="CA1792" s="73"/>
      <c r="CB1792" s="73"/>
      <c r="CC1792" s="73"/>
      <c r="CD1792" s="73"/>
      <c r="CE1792" s="73"/>
      <c r="CF1792" s="73"/>
      <c r="CG1792" s="73"/>
      <c r="CH1792" s="73"/>
    </row>
    <row r="1793">
      <c r="A1793" s="80"/>
      <c r="B1793" s="80"/>
      <c r="C1793" s="80"/>
      <c r="D1793" s="80"/>
      <c r="E1793" s="124"/>
      <c r="F1793" s="80"/>
      <c r="G1793" s="80"/>
      <c r="H1793" s="80"/>
      <c r="I1793" s="80"/>
      <c r="J1793" s="196"/>
      <c r="K1793" s="196"/>
      <c r="L1793" s="196"/>
      <c r="M1793" s="196"/>
      <c r="N1793" s="196"/>
      <c r="O1793" s="196"/>
      <c r="P1793" s="196"/>
      <c r="Q1793" s="196"/>
      <c r="R1793" s="196"/>
      <c r="S1793" s="196"/>
      <c r="T1793" s="196"/>
      <c r="U1793" s="196"/>
      <c r="V1793" s="196"/>
      <c r="W1793" s="196"/>
      <c r="X1793" s="196"/>
      <c r="Y1793" s="196"/>
      <c r="Z1793" s="196"/>
      <c r="AA1793" s="196"/>
      <c r="AB1793" s="196"/>
      <c r="AC1793" s="196"/>
      <c r="AD1793" s="196"/>
      <c r="AE1793" s="196"/>
      <c r="AF1793" s="196"/>
      <c r="AG1793" s="196"/>
      <c r="AH1793" s="196"/>
      <c r="AI1793" s="196"/>
      <c r="AJ1793" s="197"/>
      <c r="AK1793" s="80"/>
      <c r="AL1793" s="80"/>
      <c r="AM1793" s="73"/>
      <c r="AN1793" s="73"/>
      <c r="AO1793" s="73"/>
      <c r="AP1793" s="73"/>
      <c r="AQ1793" s="73"/>
      <c r="AR1793" s="73"/>
      <c r="AS1793" s="73"/>
      <c r="AT1793" s="73"/>
      <c r="AU1793" s="73"/>
      <c r="AV1793" s="73"/>
      <c r="AW1793" s="73"/>
      <c r="AX1793" s="73"/>
      <c r="AY1793" s="73"/>
      <c r="AZ1793" s="73"/>
      <c r="BA1793" s="73"/>
      <c r="BB1793" s="73"/>
      <c r="BC1793" s="73"/>
      <c r="BD1793" s="73"/>
      <c r="BE1793" s="73"/>
      <c r="BF1793" s="73"/>
      <c r="BG1793" s="73"/>
      <c r="BH1793" s="73"/>
      <c r="BI1793" s="73"/>
      <c r="BJ1793" s="73"/>
      <c r="BK1793" s="73"/>
      <c r="BL1793" s="73"/>
      <c r="BM1793" s="73"/>
      <c r="BN1793" s="73"/>
      <c r="BO1793" s="73"/>
      <c r="BP1793" s="73"/>
      <c r="BQ1793" s="73"/>
      <c r="BR1793" s="73"/>
      <c r="BS1793" s="73"/>
      <c r="BT1793" s="73"/>
      <c r="BU1793" s="73"/>
      <c r="BV1793" s="73"/>
      <c r="BW1793" s="73"/>
      <c r="BX1793" s="73"/>
      <c r="BY1793" s="73"/>
      <c r="BZ1793" s="73"/>
      <c r="CA1793" s="73"/>
      <c r="CB1793" s="73"/>
      <c r="CC1793" s="73"/>
      <c r="CD1793" s="73"/>
      <c r="CE1793" s="73"/>
      <c r="CF1793" s="73"/>
      <c r="CG1793" s="73"/>
      <c r="CH1793" s="73"/>
    </row>
    <row r="1794">
      <c r="A1794" s="80"/>
      <c r="B1794" s="80"/>
      <c r="C1794" s="80"/>
      <c r="D1794" s="80"/>
      <c r="E1794" s="124"/>
      <c r="F1794" s="80"/>
      <c r="G1794" s="80"/>
      <c r="H1794" s="80"/>
      <c r="I1794" s="80"/>
      <c r="J1794" s="196"/>
      <c r="K1794" s="196"/>
      <c r="L1794" s="196"/>
      <c r="M1794" s="196"/>
      <c r="N1794" s="196"/>
      <c r="O1794" s="196"/>
      <c r="P1794" s="196"/>
      <c r="Q1794" s="196"/>
      <c r="R1794" s="196"/>
      <c r="S1794" s="196"/>
      <c r="T1794" s="196"/>
      <c r="U1794" s="196"/>
      <c r="V1794" s="196"/>
      <c r="W1794" s="196"/>
      <c r="X1794" s="196"/>
      <c r="Y1794" s="196"/>
      <c r="Z1794" s="196"/>
      <c r="AA1794" s="196"/>
      <c r="AB1794" s="196"/>
      <c r="AC1794" s="196"/>
      <c r="AD1794" s="196"/>
      <c r="AE1794" s="196"/>
      <c r="AF1794" s="196"/>
      <c r="AG1794" s="196"/>
      <c r="AH1794" s="196"/>
      <c r="AI1794" s="196"/>
      <c r="AJ1794" s="197"/>
      <c r="AK1794" s="80"/>
      <c r="AL1794" s="80"/>
      <c r="AM1794" s="73"/>
      <c r="AN1794" s="73"/>
      <c r="AO1794" s="73"/>
      <c r="AP1794" s="73"/>
      <c r="AQ1794" s="73"/>
      <c r="AR1794" s="73"/>
      <c r="AS1794" s="73"/>
      <c r="AT1794" s="73"/>
      <c r="AU1794" s="73"/>
      <c r="AV1794" s="73"/>
      <c r="AW1794" s="73"/>
      <c r="AX1794" s="73"/>
      <c r="AY1794" s="73"/>
      <c r="AZ1794" s="73"/>
      <c r="BA1794" s="73"/>
      <c r="BB1794" s="73"/>
      <c r="BC1794" s="73"/>
      <c r="BD1794" s="73"/>
      <c r="BE1794" s="73"/>
      <c r="BF1794" s="73"/>
      <c r="BG1794" s="73"/>
      <c r="BH1794" s="73"/>
      <c r="BI1794" s="73"/>
      <c r="BJ1794" s="73"/>
      <c r="BK1794" s="73"/>
      <c r="BL1794" s="73"/>
      <c r="BM1794" s="73"/>
      <c r="BN1794" s="73"/>
      <c r="BO1794" s="73"/>
      <c r="BP1794" s="73"/>
      <c r="BQ1794" s="73"/>
      <c r="BR1794" s="73"/>
      <c r="BS1794" s="73"/>
      <c r="BT1794" s="73"/>
      <c r="BU1794" s="73"/>
      <c r="BV1794" s="73"/>
      <c r="BW1794" s="73"/>
      <c r="BX1794" s="73"/>
      <c r="BY1794" s="73"/>
      <c r="BZ1794" s="73"/>
      <c r="CA1794" s="73"/>
      <c r="CB1794" s="73"/>
      <c r="CC1794" s="73"/>
      <c r="CD1794" s="73"/>
      <c r="CE1794" s="73"/>
      <c r="CF1794" s="73"/>
      <c r="CG1794" s="73"/>
      <c r="CH1794" s="73"/>
    </row>
    <row r="1795">
      <c r="A1795" s="80"/>
      <c r="B1795" s="80"/>
      <c r="C1795" s="80"/>
      <c r="D1795" s="80"/>
      <c r="E1795" s="124"/>
      <c r="F1795" s="80"/>
      <c r="G1795" s="80"/>
      <c r="H1795" s="80"/>
      <c r="I1795" s="80"/>
      <c r="J1795" s="196"/>
      <c r="K1795" s="196"/>
      <c r="L1795" s="196"/>
      <c r="M1795" s="196"/>
      <c r="N1795" s="196"/>
      <c r="O1795" s="196"/>
      <c r="P1795" s="196"/>
      <c r="Q1795" s="196"/>
      <c r="R1795" s="196"/>
      <c r="S1795" s="196"/>
      <c r="T1795" s="196"/>
      <c r="U1795" s="196"/>
      <c r="V1795" s="196"/>
      <c r="W1795" s="196"/>
      <c r="X1795" s="196"/>
      <c r="Y1795" s="196"/>
      <c r="Z1795" s="196"/>
      <c r="AA1795" s="196"/>
      <c r="AB1795" s="196"/>
      <c r="AC1795" s="196"/>
      <c r="AD1795" s="196"/>
      <c r="AE1795" s="196"/>
      <c r="AF1795" s="196"/>
      <c r="AG1795" s="196"/>
      <c r="AH1795" s="196"/>
      <c r="AI1795" s="196"/>
      <c r="AJ1795" s="197"/>
      <c r="AK1795" s="80"/>
      <c r="AL1795" s="80"/>
      <c r="AM1795" s="73"/>
      <c r="AN1795" s="73"/>
      <c r="AO1795" s="73"/>
      <c r="AP1795" s="73"/>
      <c r="AQ1795" s="73"/>
      <c r="AR1795" s="73"/>
      <c r="AS1795" s="73"/>
      <c r="AT1795" s="73"/>
      <c r="AU1795" s="73"/>
      <c r="AV1795" s="73"/>
      <c r="AW1795" s="73"/>
      <c r="AX1795" s="73"/>
      <c r="AY1795" s="73"/>
      <c r="AZ1795" s="73"/>
      <c r="BA1795" s="73"/>
      <c r="BB1795" s="73"/>
      <c r="BC1795" s="73"/>
      <c r="BD1795" s="73"/>
      <c r="BE1795" s="73"/>
      <c r="BF1795" s="73"/>
      <c r="BG1795" s="73"/>
      <c r="BH1795" s="73"/>
      <c r="BI1795" s="73"/>
      <c r="BJ1795" s="73"/>
      <c r="BK1795" s="73"/>
      <c r="BL1795" s="73"/>
      <c r="BM1795" s="73"/>
      <c r="BN1795" s="73"/>
      <c r="BO1795" s="73"/>
      <c r="BP1795" s="73"/>
      <c r="BQ1795" s="73"/>
      <c r="BR1795" s="73"/>
      <c r="BS1795" s="73"/>
      <c r="BT1795" s="73"/>
      <c r="BU1795" s="73"/>
      <c r="BV1795" s="73"/>
      <c r="BW1795" s="73"/>
      <c r="BX1795" s="73"/>
      <c r="BY1795" s="73"/>
      <c r="BZ1795" s="73"/>
      <c r="CA1795" s="73"/>
      <c r="CB1795" s="73"/>
      <c r="CC1795" s="73"/>
      <c r="CD1795" s="73"/>
      <c r="CE1795" s="73"/>
      <c r="CF1795" s="73"/>
      <c r="CG1795" s="73"/>
      <c r="CH1795" s="73"/>
    </row>
    <row r="1796">
      <c r="A1796" s="80"/>
      <c r="B1796" s="80"/>
      <c r="C1796" s="80"/>
      <c r="D1796" s="80"/>
      <c r="E1796" s="124"/>
      <c r="F1796" s="80"/>
      <c r="G1796" s="80"/>
      <c r="H1796" s="80"/>
      <c r="I1796" s="80"/>
      <c r="J1796" s="196"/>
      <c r="K1796" s="196"/>
      <c r="L1796" s="196"/>
      <c r="M1796" s="196"/>
      <c r="N1796" s="196"/>
      <c r="O1796" s="196"/>
      <c r="P1796" s="196"/>
      <c r="Q1796" s="196"/>
      <c r="R1796" s="196"/>
      <c r="S1796" s="196"/>
      <c r="T1796" s="196"/>
      <c r="U1796" s="196"/>
      <c r="V1796" s="196"/>
      <c r="W1796" s="196"/>
      <c r="X1796" s="196"/>
      <c r="Y1796" s="196"/>
      <c r="Z1796" s="196"/>
      <c r="AA1796" s="196"/>
      <c r="AB1796" s="196"/>
      <c r="AC1796" s="196"/>
      <c r="AD1796" s="196"/>
      <c r="AE1796" s="196"/>
      <c r="AF1796" s="196"/>
      <c r="AG1796" s="196"/>
      <c r="AH1796" s="196"/>
      <c r="AI1796" s="196"/>
      <c r="AJ1796" s="197"/>
      <c r="AK1796" s="80"/>
      <c r="AL1796" s="80"/>
      <c r="AM1796" s="73"/>
      <c r="AN1796" s="73"/>
      <c r="AO1796" s="73"/>
      <c r="AP1796" s="73"/>
      <c r="AQ1796" s="73"/>
      <c r="AR1796" s="73"/>
      <c r="AS1796" s="73"/>
      <c r="AT1796" s="73"/>
      <c r="AU1796" s="73"/>
      <c r="AV1796" s="73"/>
      <c r="AW1796" s="73"/>
      <c r="AX1796" s="73"/>
      <c r="AY1796" s="73"/>
      <c r="AZ1796" s="73"/>
      <c r="BA1796" s="73"/>
      <c r="BB1796" s="73"/>
      <c r="BC1796" s="73"/>
      <c r="BD1796" s="73"/>
      <c r="BE1796" s="73"/>
      <c r="BF1796" s="73"/>
      <c r="BG1796" s="73"/>
      <c r="BH1796" s="73"/>
      <c r="BI1796" s="73"/>
      <c r="BJ1796" s="73"/>
      <c r="BK1796" s="73"/>
      <c r="BL1796" s="73"/>
      <c r="BM1796" s="73"/>
      <c r="BN1796" s="73"/>
      <c r="BO1796" s="73"/>
      <c r="BP1796" s="73"/>
      <c r="BQ1796" s="73"/>
      <c r="BR1796" s="73"/>
      <c r="BS1796" s="73"/>
      <c r="BT1796" s="73"/>
      <c r="BU1796" s="73"/>
      <c r="BV1796" s="73"/>
      <c r="BW1796" s="73"/>
      <c r="BX1796" s="73"/>
      <c r="BY1796" s="73"/>
      <c r="BZ1796" s="73"/>
      <c r="CA1796" s="73"/>
      <c r="CB1796" s="73"/>
      <c r="CC1796" s="73"/>
      <c r="CD1796" s="73"/>
      <c r="CE1796" s="73"/>
      <c r="CF1796" s="73"/>
      <c r="CG1796" s="73"/>
      <c r="CH1796" s="73"/>
    </row>
    <row r="1797">
      <c r="A1797" s="80"/>
      <c r="B1797" s="80"/>
      <c r="C1797" s="80"/>
      <c r="D1797" s="80"/>
      <c r="E1797" s="124"/>
      <c r="F1797" s="80"/>
      <c r="G1797" s="80"/>
      <c r="H1797" s="80"/>
      <c r="I1797" s="80"/>
      <c r="J1797" s="196"/>
      <c r="K1797" s="196"/>
      <c r="L1797" s="196"/>
      <c r="M1797" s="196"/>
      <c r="N1797" s="196"/>
      <c r="O1797" s="196"/>
      <c r="P1797" s="196"/>
      <c r="Q1797" s="196"/>
      <c r="R1797" s="196"/>
      <c r="S1797" s="196"/>
      <c r="T1797" s="196"/>
      <c r="U1797" s="196"/>
      <c r="V1797" s="196"/>
      <c r="W1797" s="196"/>
      <c r="X1797" s="196"/>
      <c r="Y1797" s="196"/>
      <c r="Z1797" s="196"/>
      <c r="AA1797" s="196"/>
      <c r="AB1797" s="196"/>
      <c r="AC1797" s="196"/>
      <c r="AD1797" s="196"/>
      <c r="AE1797" s="196"/>
      <c r="AF1797" s="196"/>
      <c r="AG1797" s="196"/>
      <c r="AH1797" s="196"/>
      <c r="AI1797" s="196"/>
      <c r="AJ1797" s="197"/>
      <c r="AK1797" s="80"/>
      <c r="AL1797" s="80"/>
      <c r="AM1797" s="73"/>
      <c r="AN1797" s="73"/>
      <c r="AO1797" s="73"/>
      <c r="AP1797" s="73"/>
      <c r="AQ1797" s="73"/>
      <c r="AR1797" s="73"/>
      <c r="AS1797" s="73"/>
      <c r="AT1797" s="73"/>
      <c r="AU1797" s="73"/>
      <c r="AV1797" s="73"/>
      <c r="AW1797" s="73"/>
      <c r="AX1797" s="73"/>
      <c r="AY1797" s="73"/>
      <c r="AZ1797" s="73"/>
      <c r="BA1797" s="73"/>
      <c r="BB1797" s="73"/>
      <c r="BC1797" s="73"/>
      <c r="BD1797" s="73"/>
      <c r="BE1797" s="73"/>
      <c r="BF1797" s="73"/>
      <c r="BG1797" s="73"/>
      <c r="BH1797" s="73"/>
      <c r="BI1797" s="73"/>
      <c r="BJ1797" s="73"/>
      <c r="BK1797" s="73"/>
      <c r="BL1797" s="73"/>
      <c r="BM1797" s="73"/>
      <c r="BN1797" s="73"/>
      <c r="BO1797" s="73"/>
      <c r="BP1797" s="73"/>
      <c r="BQ1797" s="73"/>
      <c r="BR1797" s="73"/>
      <c r="BS1797" s="73"/>
      <c r="BT1797" s="73"/>
      <c r="BU1797" s="73"/>
      <c r="BV1797" s="73"/>
      <c r="BW1797" s="73"/>
      <c r="BX1797" s="73"/>
      <c r="BY1797" s="73"/>
      <c r="BZ1797" s="73"/>
      <c r="CA1797" s="73"/>
      <c r="CB1797" s="73"/>
      <c r="CC1797" s="73"/>
      <c r="CD1797" s="73"/>
      <c r="CE1797" s="73"/>
      <c r="CF1797" s="73"/>
      <c r="CG1797" s="73"/>
      <c r="CH1797" s="73"/>
    </row>
    <row r="1798">
      <c r="A1798" s="80"/>
      <c r="B1798" s="80"/>
      <c r="C1798" s="80"/>
      <c r="D1798" s="80"/>
      <c r="E1798" s="124"/>
      <c r="F1798" s="80"/>
      <c r="G1798" s="80"/>
      <c r="H1798" s="80"/>
      <c r="I1798" s="80"/>
      <c r="J1798" s="196"/>
      <c r="K1798" s="196"/>
      <c r="L1798" s="196"/>
      <c r="M1798" s="196"/>
      <c r="N1798" s="196"/>
      <c r="O1798" s="196"/>
      <c r="P1798" s="196"/>
      <c r="Q1798" s="196"/>
      <c r="R1798" s="196"/>
      <c r="S1798" s="196"/>
      <c r="T1798" s="196"/>
      <c r="U1798" s="196"/>
      <c r="V1798" s="196"/>
      <c r="W1798" s="196"/>
      <c r="X1798" s="196"/>
      <c r="Y1798" s="196"/>
      <c r="Z1798" s="196"/>
      <c r="AA1798" s="196"/>
      <c r="AB1798" s="196"/>
      <c r="AC1798" s="196"/>
      <c r="AD1798" s="196"/>
      <c r="AE1798" s="196"/>
      <c r="AF1798" s="196"/>
      <c r="AG1798" s="196"/>
      <c r="AH1798" s="196"/>
      <c r="AI1798" s="196"/>
      <c r="AJ1798" s="197"/>
      <c r="AK1798" s="80"/>
      <c r="AL1798" s="80"/>
      <c r="AM1798" s="73"/>
      <c r="AN1798" s="73"/>
      <c r="AO1798" s="73"/>
      <c r="AP1798" s="73"/>
      <c r="AQ1798" s="73"/>
      <c r="AR1798" s="73"/>
      <c r="AS1798" s="73"/>
      <c r="AT1798" s="73"/>
      <c r="AU1798" s="73"/>
      <c r="AV1798" s="73"/>
      <c r="AW1798" s="73"/>
      <c r="AX1798" s="73"/>
      <c r="AY1798" s="73"/>
      <c r="AZ1798" s="73"/>
      <c r="BA1798" s="73"/>
      <c r="BB1798" s="73"/>
      <c r="BC1798" s="73"/>
      <c r="BD1798" s="73"/>
      <c r="BE1798" s="73"/>
      <c r="BF1798" s="73"/>
      <c r="BG1798" s="73"/>
      <c r="BH1798" s="73"/>
      <c r="BI1798" s="73"/>
      <c r="BJ1798" s="73"/>
      <c r="BK1798" s="73"/>
      <c r="BL1798" s="73"/>
      <c r="BM1798" s="73"/>
      <c r="BN1798" s="73"/>
      <c r="BO1798" s="73"/>
      <c r="BP1798" s="73"/>
      <c r="BQ1798" s="73"/>
      <c r="BR1798" s="73"/>
      <c r="BS1798" s="73"/>
      <c r="BT1798" s="73"/>
      <c r="BU1798" s="73"/>
      <c r="BV1798" s="73"/>
      <c r="BW1798" s="73"/>
      <c r="BX1798" s="73"/>
      <c r="BY1798" s="73"/>
      <c r="BZ1798" s="73"/>
      <c r="CA1798" s="73"/>
      <c r="CB1798" s="73"/>
      <c r="CC1798" s="73"/>
      <c r="CD1798" s="73"/>
      <c r="CE1798" s="73"/>
      <c r="CF1798" s="73"/>
      <c r="CG1798" s="73"/>
      <c r="CH1798" s="73"/>
    </row>
    <row r="1799">
      <c r="A1799" s="80"/>
      <c r="B1799" s="80"/>
      <c r="C1799" s="80"/>
      <c r="D1799" s="80"/>
      <c r="E1799" s="124"/>
      <c r="F1799" s="80"/>
      <c r="G1799" s="80"/>
      <c r="H1799" s="80"/>
      <c r="I1799" s="80"/>
      <c r="J1799" s="196"/>
      <c r="K1799" s="196"/>
      <c r="L1799" s="196"/>
      <c r="M1799" s="196"/>
      <c r="N1799" s="196"/>
      <c r="O1799" s="196"/>
      <c r="P1799" s="196"/>
      <c r="Q1799" s="196"/>
      <c r="R1799" s="196"/>
      <c r="S1799" s="196"/>
      <c r="T1799" s="196"/>
      <c r="U1799" s="196"/>
      <c r="V1799" s="196"/>
      <c r="W1799" s="196"/>
      <c r="X1799" s="196"/>
      <c r="Y1799" s="196"/>
      <c r="Z1799" s="196"/>
      <c r="AA1799" s="196"/>
      <c r="AB1799" s="196"/>
      <c r="AC1799" s="196"/>
      <c r="AD1799" s="196"/>
      <c r="AE1799" s="196"/>
      <c r="AF1799" s="196"/>
      <c r="AG1799" s="196"/>
      <c r="AH1799" s="196"/>
      <c r="AI1799" s="196"/>
      <c r="AJ1799" s="197"/>
      <c r="AK1799" s="80"/>
      <c r="AL1799" s="80"/>
      <c r="AM1799" s="73"/>
      <c r="AN1799" s="73"/>
      <c r="AO1799" s="73"/>
      <c r="AP1799" s="73"/>
      <c r="AQ1799" s="73"/>
      <c r="AR1799" s="73"/>
      <c r="AS1799" s="73"/>
      <c r="AT1799" s="73"/>
      <c r="AU1799" s="73"/>
      <c r="AV1799" s="73"/>
      <c r="AW1799" s="73"/>
      <c r="AX1799" s="73"/>
      <c r="AY1799" s="73"/>
      <c r="AZ1799" s="73"/>
      <c r="BA1799" s="73"/>
      <c r="BB1799" s="73"/>
      <c r="BC1799" s="73"/>
      <c r="BD1799" s="73"/>
      <c r="BE1799" s="73"/>
      <c r="BF1799" s="73"/>
      <c r="BG1799" s="73"/>
      <c r="BH1799" s="73"/>
      <c r="BI1799" s="73"/>
      <c r="BJ1799" s="73"/>
      <c r="BK1799" s="73"/>
      <c r="BL1799" s="73"/>
      <c r="BM1799" s="73"/>
      <c r="BN1799" s="73"/>
      <c r="BO1799" s="73"/>
      <c r="BP1799" s="73"/>
      <c r="BQ1799" s="73"/>
      <c r="BR1799" s="73"/>
      <c r="BS1799" s="73"/>
      <c r="BT1799" s="73"/>
      <c r="BU1799" s="73"/>
      <c r="BV1799" s="73"/>
      <c r="BW1799" s="73"/>
      <c r="BX1799" s="73"/>
      <c r="BY1799" s="73"/>
      <c r="BZ1799" s="73"/>
      <c r="CA1799" s="73"/>
      <c r="CB1799" s="73"/>
      <c r="CC1799" s="73"/>
      <c r="CD1799" s="73"/>
      <c r="CE1799" s="73"/>
      <c r="CF1799" s="73"/>
      <c r="CG1799" s="73"/>
      <c r="CH1799" s="73"/>
    </row>
    <row r="1800">
      <c r="A1800" s="80"/>
      <c r="B1800" s="80"/>
      <c r="C1800" s="80"/>
      <c r="D1800" s="80"/>
      <c r="E1800" s="124"/>
      <c r="F1800" s="80"/>
      <c r="G1800" s="80"/>
      <c r="H1800" s="80"/>
      <c r="I1800" s="80"/>
      <c r="J1800" s="196"/>
      <c r="K1800" s="196"/>
      <c r="L1800" s="196"/>
      <c r="M1800" s="196"/>
      <c r="N1800" s="196"/>
      <c r="O1800" s="196"/>
      <c r="P1800" s="196"/>
      <c r="Q1800" s="196"/>
      <c r="R1800" s="196"/>
      <c r="S1800" s="196"/>
      <c r="T1800" s="196"/>
      <c r="U1800" s="196"/>
      <c r="V1800" s="196"/>
      <c r="W1800" s="196"/>
      <c r="X1800" s="196"/>
      <c r="Y1800" s="196"/>
      <c r="Z1800" s="196"/>
      <c r="AA1800" s="196"/>
      <c r="AB1800" s="196"/>
      <c r="AC1800" s="196"/>
      <c r="AD1800" s="196"/>
      <c r="AE1800" s="196"/>
      <c r="AF1800" s="196"/>
      <c r="AG1800" s="196"/>
      <c r="AH1800" s="196"/>
      <c r="AI1800" s="196"/>
      <c r="AJ1800" s="197"/>
      <c r="AK1800" s="80"/>
      <c r="AL1800" s="80"/>
      <c r="AM1800" s="73"/>
      <c r="AN1800" s="73"/>
      <c r="AO1800" s="73"/>
      <c r="AP1800" s="73"/>
      <c r="AQ1800" s="73"/>
      <c r="AR1800" s="73"/>
      <c r="AS1800" s="73"/>
      <c r="AT1800" s="73"/>
      <c r="AU1800" s="73"/>
      <c r="AV1800" s="73"/>
      <c r="AW1800" s="73"/>
      <c r="AX1800" s="73"/>
      <c r="AY1800" s="73"/>
      <c r="AZ1800" s="73"/>
      <c r="BA1800" s="73"/>
      <c r="BB1800" s="73"/>
      <c r="BC1800" s="73"/>
      <c r="BD1800" s="73"/>
      <c r="BE1800" s="73"/>
      <c r="BF1800" s="73"/>
      <c r="BG1800" s="73"/>
      <c r="BH1800" s="73"/>
      <c r="BI1800" s="73"/>
      <c r="BJ1800" s="73"/>
      <c r="BK1800" s="73"/>
      <c r="BL1800" s="73"/>
      <c r="BM1800" s="73"/>
      <c r="BN1800" s="73"/>
      <c r="BO1800" s="73"/>
      <c r="BP1800" s="73"/>
      <c r="BQ1800" s="73"/>
      <c r="BR1800" s="73"/>
      <c r="BS1800" s="73"/>
      <c r="BT1800" s="73"/>
      <c r="BU1800" s="73"/>
      <c r="BV1800" s="73"/>
      <c r="BW1800" s="73"/>
      <c r="BX1800" s="73"/>
      <c r="BY1800" s="73"/>
      <c r="BZ1800" s="73"/>
      <c r="CA1800" s="73"/>
      <c r="CB1800" s="73"/>
      <c r="CC1800" s="73"/>
      <c r="CD1800" s="73"/>
      <c r="CE1800" s="73"/>
      <c r="CF1800" s="73"/>
      <c r="CG1800" s="73"/>
      <c r="CH1800" s="73"/>
    </row>
    <row r="1801">
      <c r="A1801" s="80"/>
      <c r="B1801" s="80"/>
      <c r="C1801" s="80"/>
      <c r="D1801" s="80"/>
      <c r="E1801" s="124"/>
      <c r="F1801" s="80"/>
      <c r="G1801" s="80"/>
      <c r="H1801" s="80"/>
      <c r="I1801" s="80"/>
      <c r="J1801" s="196"/>
      <c r="K1801" s="196"/>
      <c r="L1801" s="196"/>
      <c r="M1801" s="196"/>
      <c r="N1801" s="196"/>
      <c r="O1801" s="196"/>
      <c r="P1801" s="196"/>
      <c r="Q1801" s="196"/>
      <c r="R1801" s="196"/>
      <c r="S1801" s="196"/>
      <c r="T1801" s="196"/>
      <c r="U1801" s="196"/>
      <c r="V1801" s="196"/>
      <c r="W1801" s="196"/>
      <c r="X1801" s="196"/>
      <c r="Y1801" s="196"/>
      <c r="Z1801" s="196"/>
      <c r="AA1801" s="196"/>
      <c r="AB1801" s="196"/>
      <c r="AC1801" s="196"/>
      <c r="AD1801" s="196"/>
      <c r="AE1801" s="196"/>
      <c r="AF1801" s="196"/>
      <c r="AG1801" s="196"/>
      <c r="AH1801" s="196"/>
      <c r="AI1801" s="196"/>
      <c r="AJ1801" s="197"/>
      <c r="AK1801" s="80"/>
      <c r="AL1801" s="80"/>
      <c r="AM1801" s="73"/>
      <c r="AN1801" s="73"/>
      <c r="AO1801" s="73"/>
      <c r="AP1801" s="73"/>
      <c r="AQ1801" s="73"/>
      <c r="AR1801" s="73"/>
      <c r="AS1801" s="73"/>
      <c r="AT1801" s="73"/>
      <c r="AU1801" s="73"/>
      <c r="AV1801" s="73"/>
      <c r="AW1801" s="73"/>
      <c r="AX1801" s="73"/>
      <c r="AY1801" s="73"/>
      <c r="AZ1801" s="73"/>
      <c r="BA1801" s="73"/>
      <c r="BB1801" s="73"/>
      <c r="BC1801" s="73"/>
      <c r="BD1801" s="73"/>
      <c r="BE1801" s="73"/>
      <c r="BF1801" s="73"/>
      <c r="BG1801" s="73"/>
      <c r="BH1801" s="73"/>
      <c r="BI1801" s="73"/>
      <c r="BJ1801" s="73"/>
      <c r="BK1801" s="73"/>
      <c r="BL1801" s="73"/>
      <c r="BM1801" s="73"/>
      <c r="BN1801" s="73"/>
      <c r="BO1801" s="73"/>
      <c r="BP1801" s="73"/>
      <c r="BQ1801" s="73"/>
      <c r="BR1801" s="73"/>
      <c r="BS1801" s="73"/>
      <c r="BT1801" s="73"/>
      <c r="BU1801" s="73"/>
      <c r="BV1801" s="73"/>
      <c r="BW1801" s="73"/>
      <c r="BX1801" s="73"/>
      <c r="BY1801" s="73"/>
      <c r="BZ1801" s="73"/>
      <c r="CA1801" s="73"/>
      <c r="CB1801" s="73"/>
      <c r="CC1801" s="73"/>
      <c r="CD1801" s="73"/>
      <c r="CE1801" s="73"/>
      <c r="CF1801" s="73"/>
      <c r="CG1801" s="73"/>
      <c r="CH1801" s="73"/>
    </row>
    <row r="1802">
      <c r="A1802" s="80"/>
      <c r="B1802" s="80"/>
      <c r="C1802" s="80"/>
      <c r="D1802" s="80"/>
      <c r="E1802" s="124"/>
      <c r="F1802" s="80"/>
      <c r="G1802" s="80"/>
      <c r="H1802" s="80"/>
      <c r="I1802" s="80"/>
      <c r="J1802" s="196"/>
      <c r="K1802" s="196"/>
      <c r="L1802" s="196"/>
      <c r="M1802" s="196"/>
      <c r="N1802" s="196"/>
      <c r="O1802" s="196"/>
      <c r="P1802" s="196"/>
      <c r="Q1802" s="196"/>
      <c r="R1802" s="196"/>
      <c r="S1802" s="196"/>
      <c r="T1802" s="196"/>
      <c r="U1802" s="196"/>
      <c r="V1802" s="196"/>
      <c r="W1802" s="196"/>
      <c r="X1802" s="196"/>
      <c r="Y1802" s="196"/>
      <c r="Z1802" s="196"/>
      <c r="AA1802" s="196"/>
      <c r="AB1802" s="196"/>
      <c r="AC1802" s="196"/>
      <c r="AD1802" s="196"/>
      <c r="AE1802" s="196"/>
      <c r="AF1802" s="196"/>
      <c r="AG1802" s="196"/>
      <c r="AH1802" s="196"/>
      <c r="AI1802" s="196"/>
      <c r="AJ1802" s="197"/>
      <c r="AK1802" s="80"/>
      <c r="AL1802" s="80"/>
      <c r="AM1802" s="73"/>
      <c r="AN1802" s="73"/>
      <c r="AO1802" s="73"/>
      <c r="AP1802" s="73"/>
      <c r="AQ1802" s="73"/>
      <c r="AR1802" s="73"/>
      <c r="AS1802" s="73"/>
      <c r="AT1802" s="73"/>
      <c r="AU1802" s="73"/>
      <c r="AV1802" s="73"/>
      <c r="AW1802" s="73"/>
      <c r="AX1802" s="73"/>
      <c r="AY1802" s="73"/>
      <c r="AZ1802" s="73"/>
      <c r="BA1802" s="73"/>
      <c r="BB1802" s="73"/>
      <c r="BC1802" s="73"/>
      <c r="BD1802" s="73"/>
      <c r="BE1802" s="73"/>
      <c r="BF1802" s="73"/>
      <c r="BG1802" s="73"/>
      <c r="BH1802" s="73"/>
      <c r="BI1802" s="73"/>
      <c r="BJ1802" s="73"/>
      <c r="BK1802" s="73"/>
      <c r="BL1802" s="73"/>
      <c r="BM1802" s="73"/>
      <c r="BN1802" s="73"/>
      <c r="BO1802" s="73"/>
      <c r="BP1802" s="73"/>
      <c r="BQ1802" s="73"/>
      <c r="BR1802" s="73"/>
      <c r="BS1802" s="73"/>
      <c r="BT1802" s="73"/>
      <c r="BU1802" s="73"/>
      <c r="BV1802" s="73"/>
      <c r="BW1802" s="73"/>
      <c r="BX1802" s="73"/>
      <c r="BY1802" s="73"/>
      <c r="BZ1802" s="73"/>
      <c r="CA1802" s="73"/>
      <c r="CB1802" s="73"/>
      <c r="CC1802" s="73"/>
      <c r="CD1802" s="73"/>
      <c r="CE1802" s="73"/>
      <c r="CF1802" s="73"/>
      <c r="CG1802" s="73"/>
      <c r="CH1802" s="73"/>
    </row>
    <row r="1803">
      <c r="A1803" s="80"/>
      <c r="B1803" s="80"/>
      <c r="C1803" s="80"/>
      <c r="D1803" s="80"/>
      <c r="E1803" s="124"/>
      <c r="F1803" s="80"/>
      <c r="G1803" s="80"/>
      <c r="H1803" s="80"/>
      <c r="I1803" s="80"/>
      <c r="J1803" s="196"/>
      <c r="K1803" s="196"/>
      <c r="L1803" s="196"/>
      <c r="M1803" s="196"/>
      <c r="N1803" s="196"/>
      <c r="O1803" s="196"/>
      <c r="P1803" s="196"/>
      <c r="Q1803" s="196"/>
      <c r="R1803" s="196"/>
      <c r="S1803" s="196"/>
      <c r="T1803" s="196"/>
      <c r="U1803" s="196"/>
      <c r="V1803" s="196"/>
      <c r="W1803" s="196"/>
      <c r="X1803" s="196"/>
      <c r="Y1803" s="196"/>
      <c r="Z1803" s="196"/>
      <c r="AA1803" s="196"/>
      <c r="AB1803" s="196"/>
      <c r="AC1803" s="196"/>
      <c r="AD1803" s="196"/>
      <c r="AE1803" s="196"/>
      <c r="AF1803" s="196"/>
      <c r="AG1803" s="196"/>
      <c r="AH1803" s="196"/>
      <c r="AI1803" s="196"/>
      <c r="AJ1803" s="197"/>
      <c r="AK1803" s="80"/>
      <c r="AL1803" s="80"/>
      <c r="AM1803" s="73"/>
      <c r="AN1803" s="73"/>
      <c r="AO1803" s="73"/>
      <c r="AP1803" s="73"/>
      <c r="AQ1803" s="73"/>
      <c r="AR1803" s="73"/>
      <c r="AS1803" s="73"/>
      <c r="AT1803" s="73"/>
      <c r="AU1803" s="73"/>
      <c r="AV1803" s="73"/>
      <c r="AW1803" s="73"/>
      <c r="AX1803" s="73"/>
      <c r="AY1803" s="73"/>
      <c r="AZ1803" s="73"/>
      <c r="BA1803" s="73"/>
      <c r="BB1803" s="73"/>
      <c r="BC1803" s="73"/>
      <c r="BD1803" s="73"/>
      <c r="BE1803" s="73"/>
      <c r="BF1803" s="73"/>
      <c r="BG1803" s="73"/>
      <c r="BH1803" s="73"/>
      <c r="BI1803" s="73"/>
      <c r="BJ1803" s="73"/>
      <c r="BK1803" s="73"/>
      <c r="BL1803" s="73"/>
      <c r="BM1803" s="73"/>
      <c r="BN1803" s="73"/>
      <c r="BO1803" s="73"/>
      <c r="BP1803" s="73"/>
      <c r="BQ1803" s="73"/>
      <c r="BR1803" s="73"/>
      <c r="BS1803" s="73"/>
      <c r="BT1803" s="73"/>
      <c r="BU1803" s="73"/>
      <c r="BV1803" s="73"/>
      <c r="BW1803" s="73"/>
      <c r="BX1803" s="73"/>
      <c r="BY1803" s="73"/>
      <c r="BZ1803" s="73"/>
      <c r="CA1803" s="73"/>
      <c r="CB1803" s="73"/>
      <c r="CC1803" s="73"/>
      <c r="CD1803" s="73"/>
      <c r="CE1803" s="73"/>
      <c r="CF1803" s="73"/>
      <c r="CG1803" s="73"/>
      <c r="CH1803" s="73"/>
    </row>
    <row r="1804">
      <c r="A1804" s="80"/>
      <c r="B1804" s="80"/>
      <c r="C1804" s="80"/>
      <c r="D1804" s="80"/>
      <c r="E1804" s="124"/>
      <c r="F1804" s="80"/>
      <c r="G1804" s="80"/>
      <c r="H1804" s="80"/>
      <c r="I1804" s="80"/>
      <c r="J1804" s="196"/>
      <c r="K1804" s="196"/>
      <c r="L1804" s="196"/>
      <c r="M1804" s="196"/>
      <c r="N1804" s="196"/>
      <c r="O1804" s="196"/>
      <c r="P1804" s="196"/>
      <c r="Q1804" s="196"/>
      <c r="R1804" s="196"/>
      <c r="S1804" s="196"/>
      <c r="T1804" s="196"/>
      <c r="U1804" s="196"/>
      <c r="V1804" s="196"/>
      <c r="W1804" s="196"/>
      <c r="X1804" s="196"/>
      <c r="Y1804" s="196"/>
      <c r="Z1804" s="196"/>
      <c r="AA1804" s="196"/>
      <c r="AB1804" s="196"/>
      <c r="AC1804" s="196"/>
      <c r="AD1804" s="196"/>
      <c r="AE1804" s="196"/>
      <c r="AF1804" s="196"/>
      <c r="AG1804" s="196"/>
      <c r="AH1804" s="196"/>
      <c r="AI1804" s="196"/>
      <c r="AJ1804" s="197"/>
      <c r="AK1804" s="80"/>
      <c r="AL1804" s="80"/>
      <c r="AM1804" s="73"/>
      <c r="AN1804" s="73"/>
      <c r="AO1804" s="73"/>
      <c r="AP1804" s="73"/>
      <c r="AQ1804" s="73"/>
      <c r="AR1804" s="73"/>
      <c r="AS1804" s="73"/>
      <c r="AT1804" s="73"/>
      <c r="AU1804" s="73"/>
      <c r="AV1804" s="73"/>
      <c r="AW1804" s="73"/>
      <c r="AX1804" s="73"/>
      <c r="AY1804" s="73"/>
      <c r="AZ1804" s="73"/>
      <c r="BA1804" s="73"/>
      <c r="BB1804" s="73"/>
      <c r="BC1804" s="73"/>
      <c r="BD1804" s="73"/>
      <c r="BE1804" s="73"/>
      <c r="BF1804" s="73"/>
      <c r="BG1804" s="73"/>
      <c r="BH1804" s="73"/>
      <c r="BI1804" s="73"/>
      <c r="BJ1804" s="73"/>
      <c r="BK1804" s="73"/>
      <c r="BL1804" s="73"/>
      <c r="BM1804" s="73"/>
      <c r="BN1804" s="73"/>
      <c r="BO1804" s="73"/>
      <c r="BP1804" s="73"/>
      <c r="BQ1804" s="73"/>
      <c r="BR1804" s="73"/>
      <c r="BS1804" s="73"/>
      <c r="BT1804" s="73"/>
      <c r="BU1804" s="73"/>
      <c r="BV1804" s="73"/>
      <c r="BW1804" s="73"/>
      <c r="BX1804" s="73"/>
      <c r="BY1804" s="73"/>
      <c r="BZ1804" s="73"/>
      <c r="CA1804" s="73"/>
      <c r="CB1804" s="73"/>
      <c r="CC1804" s="73"/>
      <c r="CD1804" s="73"/>
      <c r="CE1804" s="73"/>
      <c r="CF1804" s="73"/>
      <c r="CG1804" s="73"/>
      <c r="CH1804" s="73"/>
    </row>
    <row r="1805">
      <c r="A1805" s="80"/>
      <c r="B1805" s="80"/>
      <c r="C1805" s="80"/>
      <c r="D1805" s="80"/>
      <c r="E1805" s="124"/>
      <c r="F1805" s="80"/>
      <c r="G1805" s="80"/>
      <c r="H1805" s="80"/>
      <c r="I1805" s="80"/>
      <c r="J1805" s="196"/>
      <c r="K1805" s="196"/>
      <c r="L1805" s="196"/>
      <c r="M1805" s="196"/>
      <c r="N1805" s="196"/>
      <c r="O1805" s="196"/>
      <c r="P1805" s="196"/>
      <c r="Q1805" s="196"/>
      <c r="R1805" s="196"/>
      <c r="S1805" s="196"/>
      <c r="T1805" s="196"/>
      <c r="U1805" s="196"/>
      <c r="V1805" s="196"/>
      <c r="W1805" s="196"/>
      <c r="X1805" s="196"/>
      <c r="Y1805" s="196"/>
      <c r="Z1805" s="196"/>
      <c r="AA1805" s="196"/>
      <c r="AB1805" s="196"/>
      <c r="AC1805" s="196"/>
      <c r="AD1805" s="196"/>
      <c r="AE1805" s="196"/>
      <c r="AF1805" s="196"/>
      <c r="AG1805" s="196"/>
      <c r="AH1805" s="196"/>
      <c r="AI1805" s="196"/>
      <c r="AJ1805" s="197"/>
      <c r="AK1805" s="80"/>
      <c r="AL1805" s="80"/>
      <c r="AM1805" s="73"/>
      <c r="AN1805" s="73"/>
      <c r="AO1805" s="73"/>
      <c r="AP1805" s="73"/>
      <c r="AQ1805" s="73"/>
      <c r="AR1805" s="73"/>
      <c r="AS1805" s="73"/>
      <c r="AT1805" s="73"/>
      <c r="AU1805" s="73"/>
      <c r="AV1805" s="73"/>
      <c r="AW1805" s="73"/>
      <c r="AX1805" s="73"/>
      <c r="AY1805" s="73"/>
      <c r="AZ1805" s="73"/>
      <c r="BA1805" s="73"/>
      <c r="BB1805" s="73"/>
      <c r="BC1805" s="73"/>
      <c r="BD1805" s="73"/>
      <c r="BE1805" s="73"/>
      <c r="BF1805" s="73"/>
      <c r="BG1805" s="73"/>
      <c r="BH1805" s="73"/>
      <c r="BI1805" s="73"/>
      <c r="BJ1805" s="73"/>
      <c r="BK1805" s="73"/>
      <c r="BL1805" s="73"/>
      <c r="BM1805" s="73"/>
      <c r="BN1805" s="73"/>
      <c r="BO1805" s="73"/>
      <c r="BP1805" s="73"/>
      <c r="BQ1805" s="73"/>
      <c r="BR1805" s="73"/>
      <c r="BS1805" s="73"/>
      <c r="BT1805" s="73"/>
      <c r="BU1805" s="73"/>
      <c r="BV1805" s="73"/>
      <c r="BW1805" s="73"/>
      <c r="BX1805" s="73"/>
      <c r="BY1805" s="73"/>
      <c r="BZ1805" s="73"/>
      <c r="CA1805" s="73"/>
      <c r="CB1805" s="73"/>
      <c r="CC1805" s="73"/>
      <c r="CD1805" s="73"/>
      <c r="CE1805" s="73"/>
      <c r="CF1805" s="73"/>
      <c r="CG1805" s="73"/>
      <c r="CH1805" s="73"/>
    </row>
    <row r="1806">
      <c r="A1806" s="80"/>
      <c r="B1806" s="80"/>
      <c r="C1806" s="80"/>
      <c r="D1806" s="80"/>
      <c r="E1806" s="124"/>
      <c r="F1806" s="80"/>
      <c r="G1806" s="80"/>
      <c r="H1806" s="80"/>
      <c r="I1806" s="80"/>
      <c r="J1806" s="196"/>
      <c r="K1806" s="196"/>
      <c r="L1806" s="196"/>
      <c r="M1806" s="196"/>
      <c r="N1806" s="196"/>
      <c r="O1806" s="196"/>
      <c r="P1806" s="196"/>
      <c r="Q1806" s="196"/>
      <c r="R1806" s="196"/>
      <c r="S1806" s="196"/>
      <c r="T1806" s="196"/>
      <c r="U1806" s="196"/>
      <c r="V1806" s="196"/>
      <c r="W1806" s="196"/>
      <c r="X1806" s="196"/>
      <c r="Y1806" s="196"/>
      <c r="Z1806" s="196"/>
      <c r="AA1806" s="196"/>
      <c r="AB1806" s="196"/>
      <c r="AC1806" s="196"/>
      <c r="AD1806" s="196"/>
      <c r="AE1806" s="196"/>
      <c r="AF1806" s="196"/>
      <c r="AG1806" s="196"/>
      <c r="AH1806" s="196"/>
      <c r="AI1806" s="196"/>
      <c r="AJ1806" s="197"/>
      <c r="AK1806" s="80"/>
      <c r="AL1806" s="80"/>
      <c r="AM1806" s="73"/>
      <c r="AN1806" s="73"/>
      <c r="AO1806" s="73"/>
      <c r="AP1806" s="73"/>
      <c r="AQ1806" s="73"/>
      <c r="AR1806" s="73"/>
      <c r="AS1806" s="73"/>
      <c r="AT1806" s="73"/>
      <c r="AU1806" s="73"/>
      <c r="AV1806" s="73"/>
      <c r="AW1806" s="73"/>
      <c r="AX1806" s="73"/>
      <c r="AY1806" s="73"/>
      <c r="AZ1806" s="73"/>
      <c r="BA1806" s="73"/>
      <c r="BB1806" s="73"/>
      <c r="BC1806" s="73"/>
      <c r="BD1806" s="73"/>
      <c r="BE1806" s="73"/>
      <c r="BF1806" s="73"/>
      <c r="BG1806" s="73"/>
      <c r="BH1806" s="73"/>
      <c r="BI1806" s="73"/>
      <c r="BJ1806" s="73"/>
      <c r="BK1806" s="73"/>
      <c r="BL1806" s="73"/>
      <c r="BM1806" s="73"/>
      <c r="BN1806" s="73"/>
      <c r="BO1806" s="73"/>
      <c r="BP1806" s="73"/>
      <c r="BQ1806" s="73"/>
      <c r="BR1806" s="73"/>
      <c r="BS1806" s="73"/>
      <c r="BT1806" s="73"/>
      <c r="BU1806" s="73"/>
      <c r="BV1806" s="73"/>
      <c r="BW1806" s="73"/>
      <c r="BX1806" s="73"/>
      <c r="BY1806" s="73"/>
      <c r="BZ1806" s="73"/>
      <c r="CA1806" s="73"/>
      <c r="CB1806" s="73"/>
      <c r="CC1806" s="73"/>
      <c r="CD1806" s="73"/>
      <c r="CE1806" s="73"/>
      <c r="CF1806" s="73"/>
      <c r="CG1806" s="73"/>
      <c r="CH1806" s="73"/>
    </row>
    <row r="1807">
      <c r="A1807" s="80"/>
      <c r="B1807" s="80"/>
      <c r="C1807" s="80"/>
      <c r="D1807" s="80"/>
      <c r="E1807" s="124"/>
      <c r="F1807" s="80"/>
      <c r="G1807" s="80"/>
      <c r="H1807" s="80"/>
      <c r="I1807" s="80"/>
      <c r="J1807" s="196"/>
      <c r="K1807" s="196"/>
      <c r="L1807" s="196"/>
      <c r="M1807" s="196"/>
      <c r="N1807" s="196"/>
      <c r="O1807" s="196"/>
      <c r="P1807" s="196"/>
      <c r="Q1807" s="196"/>
      <c r="R1807" s="196"/>
      <c r="S1807" s="196"/>
      <c r="T1807" s="196"/>
      <c r="U1807" s="196"/>
      <c r="V1807" s="196"/>
      <c r="W1807" s="196"/>
      <c r="X1807" s="196"/>
      <c r="Y1807" s="196"/>
      <c r="Z1807" s="196"/>
      <c r="AA1807" s="196"/>
      <c r="AB1807" s="196"/>
      <c r="AC1807" s="196"/>
      <c r="AD1807" s="196"/>
      <c r="AE1807" s="196"/>
      <c r="AF1807" s="196"/>
      <c r="AG1807" s="196"/>
      <c r="AH1807" s="196"/>
      <c r="AI1807" s="196"/>
      <c r="AJ1807" s="197"/>
      <c r="AK1807" s="80"/>
      <c r="AL1807" s="80"/>
      <c r="AM1807" s="73"/>
      <c r="AN1807" s="73"/>
      <c r="AO1807" s="73"/>
      <c r="AP1807" s="73"/>
      <c r="AQ1807" s="73"/>
      <c r="AR1807" s="73"/>
      <c r="AS1807" s="73"/>
      <c r="AT1807" s="73"/>
      <c r="AU1807" s="73"/>
      <c r="AV1807" s="73"/>
      <c r="AW1807" s="73"/>
      <c r="AX1807" s="73"/>
      <c r="AY1807" s="73"/>
      <c r="AZ1807" s="73"/>
      <c r="BA1807" s="73"/>
      <c r="BB1807" s="73"/>
      <c r="BC1807" s="73"/>
      <c r="BD1807" s="73"/>
      <c r="BE1807" s="73"/>
      <c r="BF1807" s="73"/>
      <c r="BG1807" s="73"/>
      <c r="BH1807" s="73"/>
      <c r="BI1807" s="73"/>
      <c r="BJ1807" s="73"/>
      <c r="BK1807" s="73"/>
      <c r="BL1807" s="73"/>
      <c r="BM1807" s="73"/>
      <c r="BN1807" s="73"/>
      <c r="BO1807" s="73"/>
      <c r="BP1807" s="73"/>
      <c r="BQ1807" s="73"/>
      <c r="BR1807" s="73"/>
      <c r="BS1807" s="73"/>
      <c r="BT1807" s="73"/>
      <c r="BU1807" s="73"/>
      <c r="BV1807" s="73"/>
      <c r="BW1807" s="73"/>
      <c r="BX1807" s="73"/>
      <c r="BY1807" s="73"/>
      <c r="BZ1807" s="73"/>
      <c r="CA1807" s="73"/>
      <c r="CB1807" s="73"/>
      <c r="CC1807" s="73"/>
      <c r="CD1807" s="73"/>
      <c r="CE1807" s="73"/>
      <c r="CF1807" s="73"/>
      <c r="CG1807" s="73"/>
      <c r="CH1807" s="73"/>
    </row>
    <row r="1808">
      <c r="A1808" s="80"/>
      <c r="B1808" s="80"/>
      <c r="C1808" s="80"/>
      <c r="D1808" s="80"/>
      <c r="E1808" s="124"/>
      <c r="F1808" s="80"/>
      <c r="G1808" s="80"/>
      <c r="H1808" s="80"/>
      <c r="I1808" s="80"/>
      <c r="J1808" s="196"/>
      <c r="K1808" s="196"/>
      <c r="L1808" s="196"/>
      <c r="M1808" s="196"/>
      <c r="N1808" s="196"/>
      <c r="O1808" s="196"/>
      <c r="P1808" s="196"/>
      <c r="Q1808" s="196"/>
      <c r="R1808" s="196"/>
      <c r="S1808" s="196"/>
      <c r="T1808" s="196"/>
      <c r="U1808" s="196"/>
      <c r="V1808" s="196"/>
      <c r="W1808" s="196"/>
      <c r="X1808" s="196"/>
      <c r="Y1808" s="196"/>
      <c r="Z1808" s="196"/>
      <c r="AA1808" s="196"/>
      <c r="AB1808" s="196"/>
      <c r="AC1808" s="196"/>
      <c r="AD1808" s="196"/>
      <c r="AE1808" s="196"/>
      <c r="AF1808" s="196"/>
      <c r="AG1808" s="196"/>
      <c r="AH1808" s="196"/>
      <c r="AI1808" s="196"/>
      <c r="AJ1808" s="197"/>
      <c r="AK1808" s="80"/>
      <c r="AL1808" s="80"/>
      <c r="AM1808" s="73"/>
      <c r="AN1808" s="73"/>
      <c r="AO1808" s="73"/>
      <c r="AP1808" s="73"/>
      <c r="AQ1808" s="73"/>
      <c r="AR1808" s="73"/>
      <c r="AS1808" s="73"/>
      <c r="AT1808" s="73"/>
      <c r="AU1808" s="73"/>
      <c r="AV1808" s="73"/>
      <c r="AW1808" s="73"/>
      <c r="AX1808" s="73"/>
      <c r="AY1808" s="73"/>
      <c r="AZ1808" s="73"/>
      <c r="BA1808" s="73"/>
      <c r="BB1808" s="73"/>
      <c r="BC1808" s="73"/>
      <c r="BD1808" s="73"/>
      <c r="BE1808" s="73"/>
      <c r="BF1808" s="73"/>
      <c r="BG1808" s="73"/>
      <c r="BH1808" s="73"/>
      <c r="BI1808" s="73"/>
      <c r="BJ1808" s="73"/>
      <c r="BK1808" s="73"/>
      <c r="BL1808" s="73"/>
      <c r="BM1808" s="73"/>
      <c r="BN1808" s="73"/>
      <c r="BO1808" s="73"/>
      <c r="BP1808" s="73"/>
      <c r="BQ1808" s="73"/>
      <c r="BR1808" s="73"/>
      <c r="BS1808" s="73"/>
      <c r="BT1808" s="73"/>
      <c r="BU1808" s="73"/>
      <c r="BV1808" s="73"/>
      <c r="BW1808" s="73"/>
      <c r="BX1808" s="73"/>
      <c r="BY1808" s="73"/>
      <c r="BZ1808" s="73"/>
      <c r="CA1808" s="73"/>
      <c r="CB1808" s="73"/>
      <c r="CC1808" s="73"/>
      <c r="CD1808" s="73"/>
      <c r="CE1808" s="73"/>
      <c r="CF1808" s="73"/>
      <c r="CG1808" s="73"/>
      <c r="CH1808" s="73"/>
    </row>
    <row r="1809">
      <c r="A1809" s="80"/>
      <c r="B1809" s="80"/>
      <c r="C1809" s="80"/>
      <c r="D1809" s="80"/>
      <c r="E1809" s="124"/>
      <c r="F1809" s="80"/>
      <c r="G1809" s="80"/>
      <c r="H1809" s="80"/>
      <c r="I1809" s="80"/>
      <c r="J1809" s="196"/>
      <c r="K1809" s="196"/>
      <c r="L1809" s="196"/>
      <c r="M1809" s="196"/>
      <c r="N1809" s="196"/>
      <c r="O1809" s="196"/>
      <c r="P1809" s="196"/>
      <c r="Q1809" s="196"/>
      <c r="R1809" s="196"/>
      <c r="S1809" s="196"/>
      <c r="T1809" s="196"/>
      <c r="U1809" s="196"/>
      <c r="V1809" s="196"/>
      <c r="W1809" s="196"/>
      <c r="X1809" s="196"/>
      <c r="Y1809" s="196"/>
      <c r="Z1809" s="196"/>
      <c r="AA1809" s="196"/>
      <c r="AB1809" s="196"/>
      <c r="AC1809" s="196"/>
      <c r="AD1809" s="196"/>
      <c r="AE1809" s="196"/>
      <c r="AF1809" s="196"/>
      <c r="AG1809" s="196"/>
      <c r="AH1809" s="196"/>
      <c r="AI1809" s="196"/>
      <c r="AJ1809" s="197"/>
      <c r="AK1809" s="80"/>
      <c r="AL1809" s="80"/>
      <c r="AM1809" s="73"/>
      <c r="AN1809" s="73"/>
      <c r="AO1809" s="73"/>
      <c r="AP1809" s="73"/>
      <c r="AQ1809" s="73"/>
      <c r="AR1809" s="73"/>
      <c r="AS1809" s="73"/>
      <c r="AT1809" s="73"/>
      <c r="AU1809" s="73"/>
      <c r="AV1809" s="73"/>
      <c r="AW1809" s="73"/>
      <c r="AX1809" s="73"/>
      <c r="AY1809" s="73"/>
      <c r="AZ1809" s="73"/>
      <c r="BA1809" s="73"/>
      <c r="BB1809" s="73"/>
      <c r="BC1809" s="73"/>
      <c r="BD1809" s="73"/>
      <c r="BE1809" s="73"/>
      <c r="BF1809" s="73"/>
      <c r="BG1809" s="73"/>
      <c r="BH1809" s="73"/>
      <c r="BI1809" s="73"/>
      <c r="BJ1809" s="73"/>
      <c r="BK1809" s="73"/>
      <c r="BL1809" s="73"/>
      <c r="BM1809" s="73"/>
      <c r="BN1809" s="73"/>
      <c r="BO1809" s="73"/>
      <c r="BP1809" s="73"/>
      <c r="BQ1809" s="73"/>
      <c r="BR1809" s="73"/>
      <c r="BS1809" s="73"/>
      <c r="BT1809" s="73"/>
      <c r="BU1809" s="73"/>
      <c r="BV1809" s="73"/>
      <c r="BW1809" s="73"/>
      <c r="BX1809" s="73"/>
      <c r="BY1809" s="73"/>
      <c r="BZ1809" s="73"/>
      <c r="CA1809" s="73"/>
      <c r="CB1809" s="73"/>
      <c r="CC1809" s="73"/>
      <c r="CD1809" s="73"/>
      <c r="CE1809" s="73"/>
      <c r="CF1809" s="73"/>
      <c r="CG1809" s="73"/>
      <c r="CH1809" s="73"/>
    </row>
    <row r="1810">
      <c r="A1810" s="80"/>
      <c r="B1810" s="80"/>
      <c r="C1810" s="80"/>
      <c r="D1810" s="80"/>
      <c r="E1810" s="124"/>
      <c r="F1810" s="80"/>
      <c r="G1810" s="80"/>
      <c r="H1810" s="80"/>
      <c r="I1810" s="80"/>
      <c r="J1810" s="196"/>
      <c r="K1810" s="196"/>
      <c r="L1810" s="196"/>
      <c r="M1810" s="196"/>
      <c r="N1810" s="196"/>
      <c r="O1810" s="196"/>
      <c r="P1810" s="196"/>
      <c r="Q1810" s="196"/>
      <c r="R1810" s="196"/>
      <c r="S1810" s="196"/>
      <c r="T1810" s="196"/>
      <c r="U1810" s="196"/>
      <c r="V1810" s="196"/>
      <c r="W1810" s="196"/>
      <c r="X1810" s="196"/>
      <c r="Y1810" s="196"/>
      <c r="Z1810" s="196"/>
      <c r="AA1810" s="196"/>
      <c r="AB1810" s="196"/>
      <c r="AC1810" s="196"/>
      <c r="AD1810" s="196"/>
      <c r="AE1810" s="196"/>
      <c r="AF1810" s="196"/>
      <c r="AG1810" s="196"/>
      <c r="AH1810" s="196"/>
      <c r="AI1810" s="196"/>
      <c r="AJ1810" s="197"/>
      <c r="AK1810" s="80"/>
      <c r="AL1810" s="80"/>
      <c r="AM1810" s="73"/>
      <c r="AN1810" s="73"/>
      <c r="AO1810" s="73"/>
      <c r="AP1810" s="73"/>
      <c r="AQ1810" s="73"/>
      <c r="AR1810" s="73"/>
      <c r="AS1810" s="73"/>
      <c r="AT1810" s="73"/>
      <c r="AU1810" s="73"/>
      <c r="AV1810" s="73"/>
      <c r="AW1810" s="73"/>
      <c r="AX1810" s="73"/>
      <c r="AY1810" s="73"/>
      <c r="AZ1810" s="73"/>
      <c r="BA1810" s="73"/>
      <c r="BB1810" s="73"/>
      <c r="BC1810" s="73"/>
      <c r="BD1810" s="73"/>
      <c r="BE1810" s="73"/>
      <c r="BF1810" s="73"/>
      <c r="BG1810" s="73"/>
      <c r="BH1810" s="73"/>
      <c r="BI1810" s="73"/>
      <c r="BJ1810" s="73"/>
      <c r="BK1810" s="73"/>
      <c r="BL1810" s="73"/>
      <c r="BM1810" s="73"/>
      <c r="BN1810" s="73"/>
      <c r="BO1810" s="73"/>
      <c r="BP1810" s="73"/>
      <c r="BQ1810" s="73"/>
      <c r="BR1810" s="73"/>
      <c r="BS1810" s="73"/>
      <c r="BT1810" s="73"/>
      <c r="BU1810" s="73"/>
      <c r="BV1810" s="73"/>
      <c r="BW1810" s="73"/>
      <c r="BX1810" s="73"/>
      <c r="BY1810" s="73"/>
      <c r="BZ1810" s="73"/>
      <c r="CA1810" s="73"/>
      <c r="CB1810" s="73"/>
      <c r="CC1810" s="73"/>
      <c r="CD1810" s="73"/>
      <c r="CE1810" s="73"/>
      <c r="CF1810" s="73"/>
      <c r="CG1810" s="73"/>
      <c r="CH1810" s="73"/>
    </row>
    <row r="1811">
      <c r="A1811" s="80"/>
      <c r="B1811" s="80"/>
      <c r="C1811" s="80"/>
      <c r="D1811" s="80"/>
      <c r="E1811" s="124"/>
      <c r="F1811" s="80"/>
      <c r="G1811" s="80"/>
      <c r="H1811" s="80"/>
      <c r="I1811" s="80"/>
      <c r="J1811" s="196"/>
      <c r="K1811" s="196"/>
      <c r="L1811" s="196"/>
      <c r="M1811" s="196"/>
      <c r="N1811" s="196"/>
      <c r="O1811" s="196"/>
      <c r="P1811" s="196"/>
      <c r="Q1811" s="196"/>
      <c r="R1811" s="196"/>
      <c r="S1811" s="196"/>
      <c r="T1811" s="196"/>
      <c r="U1811" s="196"/>
      <c r="V1811" s="196"/>
      <c r="W1811" s="196"/>
      <c r="X1811" s="196"/>
      <c r="Y1811" s="196"/>
      <c r="Z1811" s="196"/>
      <c r="AA1811" s="196"/>
      <c r="AB1811" s="196"/>
      <c r="AC1811" s="196"/>
      <c r="AD1811" s="196"/>
      <c r="AE1811" s="196"/>
      <c r="AF1811" s="196"/>
      <c r="AG1811" s="196"/>
      <c r="AH1811" s="196"/>
      <c r="AI1811" s="196"/>
      <c r="AJ1811" s="197"/>
      <c r="AK1811" s="80"/>
      <c r="AL1811" s="80"/>
      <c r="AM1811" s="73"/>
      <c r="AN1811" s="73"/>
      <c r="AO1811" s="73"/>
      <c r="AP1811" s="73"/>
      <c r="AQ1811" s="73"/>
      <c r="AR1811" s="73"/>
      <c r="AS1811" s="73"/>
      <c r="AT1811" s="73"/>
      <c r="AU1811" s="73"/>
      <c r="AV1811" s="73"/>
      <c r="AW1811" s="73"/>
      <c r="AX1811" s="73"/>
      <c r="AY1811" s="73"/>
      <c r="AZ1811" s="73"/>
      <c r="BA1811" s="73"/>
      <c r="BB1811" s="73"/>
      <c r="BC1811" s="73"/>
      <c r="BD1811" s="73"/>
      <c r="BE1811" s="73"/>
      <c r="BF1811" s="73"/>
      <c r="BG1811" s="73"/>
      <c r="BH1811" s="73"/>
      <c r="BI1811" s="73"/>
      <c r="BJ1811" s="73"/>
      <c r="BK1811" s="73"/>
      <c r="BL1811" s="73"/>
      <c r="BM1811" s="73"/>
      <c r="BN1811" s="73"/>
      <c r="BO1811" s="73"/>
      <c r="BP1811" s="73"/>
      <c r="BQ1811" s="73"/>
      <c r="BR1811" s="73"/>
      <c r="BS1811" s="73"/>
      <c r="BT1811" s="73"/>
      <c r="BU1811" s="73"/>
      <c r="BV1811" s="73"/>
      <c r="BW1811" s="73"/>
      <c r="BX1811" s="73"/>
      <c r="BY1811" s="73"/>
      <c r="BZ1811" s="73"/>
      <c r="CA1811" s="73"/>
      <c r="CB1811" s="73"/>
      <c r="CC1811" s="73"/>
      <c r="CD1811" s="73"/>
      <c r="CE1811" s="73"/>
      <c r="CF1811" s="73"/>
      <c r="CG1811" s="73"/>
      <c r="CH1811" s="73"/>
    </row>
    <row r="1812">
      <c r="A1812" s="80"/>
      <c r="B1812" s="80"/>
      <c r="C1812" s="80"/>
      <c r="D1812" s="80"/>
      <c r="E1812" s="124"/>
      <c r="F1812" s="80"/>
      <c r="G1812" s="80"/>
      <c r="H1812" s="80"/>
      <c r="I1812" s="80"/>
      <c r="J1812" s="196"/>
      <c r="K1812" s="196"/>
      <c r="L1812" s="196"/>
      <c r="M1812" s="196"/>
      <c r="N1812" s="196"/>
      <c r="O1812" s="196"/>
      <c r="P1812" s="196"/>
      <c r="Q1812" s="196"/>
      <c r="R1812" s="196"/>
      <c r="S1812" s="196"/>
      <c r="T1812" s="196"/>
      <c r="U1812" s="196"/>
      <c r="V1812" s="196"/>
      <c r="W1812" s="196"/>
      <c r="X1812" s="196"/>
      <c r="Y1812" s="196"/>
      <c r="Z1812" s="196"/>
      <c r="AA1812" s="196"/>
      <c r="AB1812" s="196"/>
      <c r="AC1812" s="196"/>
      <c r="AD1812" s="196"/>
      <c r="AE1812" s="196"/>
      <c r="AF1812" s="196"/>
      <c r="AG1812" s="196"/>
      <c r="AH1812" s="196"/>
      <c r="AI1812" s="196"/>
      <c r="AJ1812" s="197"/>
      <c r="AK1812" s="80"/>
      <c r="AL1812" s="80"/>
      <c r="AM1812" s="73"/>
      <c r="AN1812" s="73"/>
      <c r="AO1812" s="73"/>
      <c r="AP1812" s="73"/>
      <c r="AQ1812" s="73"/>
      <c r="AR1812" s="73"/>
      <c r="AS1812" s="73"/>
      <c r="AT1812" s="73"/>
      <c r="AU1812" s="73"/>
      <c r="AV1812" s="73"/>
      <c r="AW1812" s="73"/>
      <c r="AX1812" s="73"/>
      <c r="AY1812" s="73"/>
      <c r="AZ1812" s="73"/>
      <c r="BA1812" s="73"/>
      <c r="BB1812" s="73"/>
      <c r="BC1812" s="73"/>
      <c r="BD1812" s="73"/>
      <c r="BE1812" s="73"/>
      <c r="BF1812" s="73"/>
      <c r="BG1812" s="73"/>
      <c r="BH1812" s="73"/>
      <c r="BI1812" s="73"/>
      <c r="BJ1812" s="73"/>
      <c r="BK1812" s="73"/>
      <c r="BL1812" s="73"/>
      <c r="BM1812" s="73"/>
      <c r="BN1812" s="73"/>
      <c r="BO1812" s="73"/>
      <c r="BP1812" s="73"/>
      <c r="BQ1812" s="73"/>
      <c r="BR1812" s="73"/>
      <c r="BS1812" s="73"/>
      <c r="BT1812" s="73"/>
      <c r="BU1812" s="73"/>
      <c r="BV1812" s="73"/>
      <c r="BW1812" s="73"/>
      <c r="BX1812" s="73"/>
      <c r="BY1812" s="73"/>
      <c r="BZ1812" s="73"/>
      <c r="CA1812" s="73"/>
      <c r="CB1812" s="73"/>
      <c r="CC1812" s="73"/>
      <c r="CD1812" s="73"/>
      <c r="CE1812" s="73"/>
      <c r="CF1812" s="73"/>
      <c r="CG1812" s="73"/>
      <c r="CH1812" s="73"/>
    </row>
    <row r="1813">
      <c r="A1813" s="80"/>
      <c r="B1813" s="80"/>
      <c r="C1813" s="80"/>
      <c r="D1813" s="80"/>
      <c r="E1813" s="124"/>
      <c r="F1813" s="80"/>
      <c r="G1813" s="80"/>
      <c r="H1813" s="80"/>
      <c r="I1813" s="80"/>
      <c r="J1813" s="196"/>
      <c r="K1813" s="196"/>
      <c r="L1813" s="196"/>
      <c r="M1813" s="196"/>
      <c r="N1813" s="196"/>
      <c r="O1813" s="196"/>
      <c r="P1813" s="196"/>
      <c r="Q1813" s="196"/>
      <c r="R1813" s="196"/>
      <c r="S1813" s="196"/>
      <c r="T1813" s="196"/>
      <c r="U1813" s="196"/>
      <c r="V1813" s="196"/>
      <c r="W1813" s="196"/>
      <c r="X1813" s="196"/>
      <c r="Y1813" s="196"/>
      <c r="Z1813" s="196"/>
      <c r="AA1813" s="196"/>
      <c r="AB1813" s="196"/>
      <c r="AC1813" s="196"/>
      <c r="AD1813" s="196"/>
      <c r="AE1813" s="196"/>
      <c r="AF1813" s="196"/>
      <c r="AG1813" s="196"/>
      <c r="AH1813" s="196"/>
      <c r="AI1813" s="196"/>
      <c r="AJ1813" s="197"/>
      <c r="AK1813" s="80"/>
      <c r="AL1813" s="80"/>
      <c r="AM1813" s="73"/>
      <c r="AN1813" s="73"/>
      <c r="AO1813" s="73"/>
      <c r="AP1813" s="73"/>
      <c r="AQ1813" s="73"/>
      <c r="AR1813" s="73"/>
      <c r="AS1813" s="73"/>
      <c r="AT1813" s="73"/>
      <c r="AU1813" s="73"/>
      <c r="AV1813" s="73"/>
      <c r="AW1813" s="73"/>
      <c r="AX1813" s="73"/>
      <c r="AY1813" s="73"/>
      <c r="AZ1813" s="73"/>
      <c r="BA1813" s="73"/>
      <c r="BB1813" s="73"/>
      <c r="BC1813" s="73"/>
      <c r="BD1813" s="73"/>
      <c r="BE1813" s="73"/>
      <c r="BF1813" s="73"/>
      <c r="BG1813" s="73"/>
      <c r="BH1813" s="73"/>
      <c r="BI1813" s="73"/>
      <c r="BJ1813" s="73"/>
      <c r="BK1813" s="73"/>
      <c r="BL1813" s="73"/>
      <c r="BM1813" s="73"/>
      <c r="BN1813" s="73"/>
      <c r="BO1813" s="73"/>
      <c r="BP1813" s="73"/>
      <c r="BQ1813" s="73"/>
      <c r="BR1813" s="73"/>
      <c r="BS1813" s="73"/>
      <c r="BT1813" s="73"/>
      <c r="BU1813" s="73"/>
      <c r="BV1813" s="73"/>
      <c r="BW1813" s="73"/>
      <c r="BX1813" s="73"/>
      <c r="BY1813" s="73"/>
      <c r="BZ1813" s="73"/>
      <c r="CA1813" s="73"/>
      <c r="CB1813" s="73"/>
      <c r="CC1813" s="73"/>
      <c r="CD1813" s="73"/>
      <c r="CE1813" s="73"/>
      <c r="CF1813" s="73"/>
      <c r="CG1813" s="73"/>
      <c r="CH1813" s="73"/>
    </row>
    <row r="1814">
      <c r="A1814" s="80"/>
      <c r="B1814" s="80"/>
      <c r="C1814" s="80"/>
      <c r="D1814" s="80"/>
      <c r="E1814" s="124"/>
      <c r="F1814" s="80"/>
      <c r="G1814" s="80"/>
      <c r="H1814" s="80"/>
      <c r="I1814" s="80"/>
      <c r="J1814" s="196"/>
      <c r="K1814" s="196"/>
      <c r="L1814" s="196"/>
      <c r="M1814" s="196"/>
      <c r="N1814" s="196"/>
      <c r="O1814" s="196"/>
      <c r="P1814" s="196"/>
      <c r="Q1814" s="196"/>
      <c r="R1814" s="196"/>
      <c r="S1814" s="196"/>
      <c r="T1814" s="196"/>
      <c r="U1814" s="196"/>
      <c r="V1814" s="196"/>
      <c r="W1814" s="196"/>
      <c r="X1814" s="196"/>
      <c r="Y1814" s="196"/>
      <c r="Z1814" s="196"/>
      <c r="AA1814" s="196"/>
      <c r="AB1814" s="196"/>
      <c r="AC1814" s="196"/>
      <c r="AD1814" s="196"/>
      <c r="AE1814" s="196"/>
      <c r="AF1814" s="196"/>
      <c r="AG1814" s="196"/>
      <c r="AH1814" s="196"/>
      <c r="AI1814" s="196"/>
      <c r="AJ1814" s="197"/>
      <c r="AK1814" s="80"/>
      <c r="AL1814" s="80"/>
      <c r="AM1814" s="73"/>
      <c r="AN1814" s="73"/>
      <c r="AO1814" s="73"/>
      <c r="AP1814" s="73"/>
      <c r="AQ1814" s="73"/>
      <c r="AR1814" s="73"/>
      <c r="AS1814" s="73"/>
      <c r="AT1814" s="73"/>
      <c r="AU1814" s="73"/>
      <c r="AV1814" s="73"/>
      <c r="AW1814" s="73"/>
      <c r="AX1814" s="73"/>
      <c r="AY1814" s="73"/>
      <c r="AZ1814" s="73"/>
      <c r="BA1814" s="73"/>
      <c r="BB1814" s="73"/>
      <c r="BC1814" s="73"/>
      <c r="BD1814" s="73"/>
      <c r="BE1814" s="73"/>
      <c r="BF1814" s="73"/>
      <c r="BG1814" s="73"/>
      <c r="BH1814" s="73"/>
      <c r="BI1814" s="73"/>
      <c r="BJ1814" s="73"/>
      <c r="BK1814" s="73"/>
      <c r="BL1814" s="73"/>
      <c r="BM1814" s="73"/>
      <c r="BN1814" s="73"/>
      <c r="BO1814" s="73"/>
      <c r="BP1814" s="73"/>
      <c r="BQ1814" s="73"/>
      <c r="BR1814" s="73"/>
      <c r="BS1814" s="73"/>
      <c r="BT1814" s="73"/>
      <c r="BU1814" s="73"/>
      <c r="BV1814" s="73"/>
      <c r="BW1814" s="73"/>
      <c r="BX1814" s="73"/>
      <c r="BY1814" s="73"/>
      <c r="BZ1814" s="73"/>
      <c r="CA1814" s="73"/>
      <c r="CB1814" s="73"/>
      <c r="CC1814" s="73"/>
      <c r="CD1814" s="73"/>
      <c r="CE1814" s="73"/>
      <c r="CF1814" s="73"/>
      <c r="CG1814" s="73"/>
      <c r="CH1814" s="73"/>
    </row>
    <row r="1815">
      <c r="A1815" s="80"/>
      <c r="B1815" s="80"/>
      <c r="C1815" s="80"/>
      <c r="D1815" s="80"/>
      <c r="E1815" s="124"/>
      <c r="F1815" s="80"/>
      <c r="G1815" s="80"/>
      <c r="H1815" s="80"/>
      <c r="I1815" s="80"/>
      <c r="J1815" s="196"/>
      <c r="K1815" s="196"/>
      <c r="L1815" s="196"/>
      <c r="M1815" s="196"/>
      <c r="N1815" s="196"/>
      <c r="O1815" s="196"/>
      <c r="P1815" s="196"/>
      <c r="Q1815" s="196"/>
      <c r="R1815" s="196"/>
      <c r="S1815" s="196"/>
      <c r="T1815" s="196"/>
      <c r="U1815" s="196"/>
      <c r="V1815" s="196"/>
      <c r="W1815" s="196"/>
      <c r="X1815" s="196"/>
      <c r="Y1815" s="196"/>
      <c r="Z1815" s="196"/>
      <c r="AA1815" s="196"/>
      <c r="AB1815" s="196"/>
      <c r="AC1815" s="196"/>
      <c r="AD1815" s="196"/>
      <c r="AE1815" s="196"/>
      <c r="AF1815" s="196"/>
      <c r="AG1815" s="196"/>
      <c r="AH1815" s="196"/>
      <c r="AI1815" s="196"/>
      <c r="AJ1815" s="197"/>
      <c r="AK1815" s="80"/>
      <c r="AL1815" s="80"/>
      <c r="AM1815" s="73"/>
      <c r="AN1815" s="73"/>
      <c r="AO1815" s="73"/>
      <c r="AP1815" s="73"/>
      <c r="AQ1815" s="73"/>
      <c r="AR1815" s="73"/>
      <c r="AS1815" s="73"/>
      <c r="AT1815" s="73"/>
      <c r="AU1815" s="73"/>
      <c r="AV1815" s="73"/>
      <c r="AW1815" s="73"/>
      <c r="AX1815" s="73"/>
      <c r="AY1815" s="73"/>
      <c r="AZ1815" s="73"/>
      <c r="BA1815" s="73"/>
      <c r="BB1815" s="73"/>
      <c r="BC1815" s="73"/>
      <c r="BD1815" s="73"/>
      <c r="BE1815" s="73"/>
      <c r="BF1815" s="73"/>
      <c r="BG1815" s="73"/>
      <c r="BH1815" s="73"/>
      <c r="BI1815" s="73"/>
      <c r="BJ1815" s="73"/>
      <c r="BK1815" s="73"/>
      <c r="BL1815" s="73"/>
      <c r="BM1815" s="73"/>
      <c r="BN1815" s="73"/>
      <c r="BO1815" s="73"/>
      <c r="BP1815" s="73"/>
      <c r="BQ1815" s="73"/>
      <c r="BR1815" s="73"/>
      <c r="BS1815" s="73"/>
      <c r="BT1815" s="73"/>
      <c r="BU1815" s="73"/>
      <c r="BV1815" s="73"/>
      <c r="BW1815" s="73"/>
      <c r="BX1815" s="73"/>
      <c r="BY1815" s="73"/>
      <c r="BZ1815" s="73"/>
      <c r="CA1815" s="73"/>
      <c r="CB1815" s="73"/>
      <c r="CC1815" s="73"/>
      <c r="CD1815" s="73"/>
      <c r="CE1815" s="73"/>
      <c r="CF1815" s="73"/>
      <c r="CG1815" s="73"/>
      <c r="CH1815" s="73"/>
    </row>
    <row r="1816">
      <c r="A1816" s="80"/>
      <c r="B1816" s="80"/>
      <c r="C1816" s="80"/>
      <c r="D1816" s="80"/>
      <c r="E1816" s="124"/>
      <c r="F1816" s="80"/>
      <c r="G1816" s="80"/>
      <c r="H1816" s="80"/>
      <c r="I1816" s="80"/>
      <c r="J1816" s="196"/>
      <c r="K1816" s="196"/>
      <c r="L1816" s="196"/>
      <c r="M1816" s="196"/>
      <c r="N1816" s="196"/>
      <c r="O1816" s="196"/>
      <c r="P1816" s="196"/>
      <c r="Q1816" s="196"/>
      <c r="R1816" s="196"/>
      <c r="S1816" s="196"/>
      <c r="T1816" s="196"/>
      <c r="U1816" s="196"/>
      <c r="V1816" s="196"/>
      <c r="W1816" s="196"/>
      <c r="X1816" s="196"/>
      <c r="Y1816" s="196"/>
      <c r="Z1816" s="196"/>
      <c r="AA1816" s="196"/>
      <c r="AB1816" s="196"/>
      <c r="AC1816" s="196"/>
      <c r="AD1816" s="196"/>
      <c r="AE1816" s="196"/>
      <c r="AF1816" s="196"/>
      <c r="AG1816" s="196"/>
      <c r="AH1816" s="196"/>
      <c r="AI1816" s="196"/>
      <c r="AJ1816" s="197"/>
      <c r="AK1816" s="80"/>
      <c r="AL1816" s="80"/>
      <c r="AM1816" s="73"/>
      <c r="AN1816" s="73"/>
      <c r="AO1816" s="73"/>
      <c r="AP1816" s="73"/>
      <c r="AQ1816" s="73"/>
      <c r="AR1816" s="73"/>
      <c r="AS1816" s="73"/>
      <c r="AT1816" s="73"/>
      <c r="AU1816" s="73"/>
      <c r="AV1816" s="73"/>
      <c r="AW1816" s="73"/>
      <c r="AX1816" s="73"/>
      <c r="AY1816" s="73"/>
      <c r="AZ1816" s="73"/>
      <c r="BA1816" s="73"/>
      <c r="BB1816" s="73"/>
      <c r="BC1816" s="73"/>
      <c r="BD1816" s="73"/>
      <c r="BE1816" s="73"/>
      <c r="BF1816" s="73"/>
      <c r="BG1816" s="73"/>
      <c r="BH1816" s="73"/>
      <c r="BI1816" s="73"/>
      <c r="BJ1816" s="73"/>
      <c r="BK1816" s="73"/>
      <c r="BL1816" s="73"/>
      <c r="BM1816" s="73"/>
      <c r="BN1816" s="73"/>
      <c r="BO1816" s="73"/>
      <c r="BP1816" s="73"/>
      <c r="BQ1816" s="73"/>
      <c r="BR1816" s="73"/>
      <c r="BS1816" s="73"/>
      <c r="BT1816" s="73"/>
      <c r="BU1816" s="73"/>
      <c r="BV1816" s="73"/>
      <c r="BW1816" s="73"/>
      <c r="BX1816" s="73"/>
      <c r="BY1816" s="73"/>
      <c r="BZ1816" s="73"/>
      <c r="CA1816" s="73"/>
      <c r="CB1816" s="73"/>
      <c r="CC1816" s="73"/>
      <c r="CD1816" s="73"/>
      <c r="CE1816" s="73"/>
      <c r="CF1816" s="73"/>
      <c r="CG1816" s="73"/>
      <c r="CH1816" s="73"/>
    </row>
    <row r="1817">
      <c r="A1817" s="80"/>
      <c r="B1817" s="80"/>
      <c r="C1817" s="80"/>
      <c r="D1817" s="80"/>
      <c r="E1817" s="124"/>
      <c r="F1817" s="80"/>
      <c r="G1817" s="80"/>
      <c r="H1817" s="80"/>
      <c r="I1817" s="80"/>
      <c r="J1817" s="196"/>
      <c r="K1817" s="196"/>
      <c r="L1817" s="196"/>
      <c r="M1817" s="196"/>
      <c r="N1817" s="196"/>
      <c r="O1817" s="196"/>
      <c r="P1817" s="196"/>
      <c r="Q1817" s="196"/>
      <c r="R1817" s="196"/>
      <c r="S1817" s="196"/>
      <c r="T1817" s="196"/>
      <c r="U1817" s="196"/>
      <c r="V1817" s="196"/>
      <c r="W1817" s="196"/>
      <c r="X1817" s="196"/>
      <c r="Y1817" s="196"/>
      <c r="Z1817" s="196"/>
      <c r="AA1817" s="196"/>
      <c r="AB1817" s="196"/>
      <c r="AC1817" s="196"/>
      <c r="AD1817" s="196"/>
      <c r="AE1817" s="196"/>
      <c r="AF1817" s="196"/>
      <c r="AG1817" s="196"/>
      <c r="AH1817" s="196"/>
      <c r="AI1817" s="196"/>
      <c r="AJ1817" s="197"/>
      <c r="AK1817" s="80"/>
      <c r="AL1817" s="80"/>
      <c r="AM1817" s="73"/>
      <c r="AN1817" s="73"/>
      <c r="AO1817" s="73"/>
      <c r="AP1817" s="73"/>
      <c r="AQ1817" s="73"/>
      <c r="AR1817" s="73"/>
      <c r="AS1817" s="73"/>
      <c r="AT1817" s="73"/>
      <c r="AU1817" s="73"/>
      <c r="AV1817" s="73"/>
      <c r="AW1817" s="73"/>
      <c r="AX1817" s="73"/>
      <c r="AY1817" s="73"/>
      <c r="AZ1817" s="73"/>
      <c r="BA1817" s="73"/>
      <c r="BB1817" s="73"/>
      <c r="BC1817" s="73"/>
      <c r="BD1817" s="73"/>
      <c r="BE1817" s="73"/>
      <c r="BF1817" s="73"/>
      <c r="BG1817" s="73"/>
      <c r="BH1817" s="73"/>
      <c r="BI1817" s="73"/>
      <c r="BJ1817" s="73"/>
      <c r="BK1817" s="73"/>
      <c r="BL1817" s="73"/>
      <c r="BM1817" s="73"/>
      <c r="BN1817" s="73"/>
      <c r="BO1817" s="73"/>
      <c r="BP1817" s="73"/>
      <c r="BQ1817" s="73"/>
      <c r="BR1817" s="73"/>
      <c r="BS1817" s="73"/>
      <c r="BT1817" s="73"/>
      <c r="BU1817" s="73"/>
      <c r="BV1817" s="73"/>
      <c r="BW1817" s="73"/>
      <c r="BX1817" s="73"/>
      <c r="BY1817" s="73"/>
      <c r="BZ1817" s="73"/>
      <c r="CA1817" s="73"/>
      <c r="CB1817" s="73"/>
      <c r="CC1817" s="73"/>
      <c r="CD1817" s="73"/>
      <c r="CE1817" s="73"/>
      <c r="CF1817" s="73"/>
      <c r="CG1817" s="73"/>
      <c r="CH1817" s="73"/>
    </row>
    <row r="1818">
      <c r="A1818" s="80"/>
      <c r="B1818" s="80"/>
      <c r="C1818" s="80"/>
      <c r="D1818" s="80"/>
      <c r="E1818" s="124"/>
      <c r="F1818" s="80"/>
      <c r="G1818" s="80"/>
      <c r="H1818" s="80"/>
      <c r="I1818" s="80"/>
      <c r="J1818" s="196"/>
      <c r="K1818" s="196"/>
      <c r="L1818" s="196"/>
      <c r="M1818" s="196"/>
      <c r="N1818" s="196"/>
      <c r="O1818" s="196"/>
      <c r="P1818" s="196"/>
      <c r="Q1818" s="196"/>
      <c r="R1818" s="196"/>
      <c r="S1818" s="196"/>
      <c r="T1818" s="196"/>
      <c r="U1818" s="196"/>
      <c r="V1818" s="196"/>
      <c r="W1818" s="196"/>
      <c r="X1818" s="196"/>
      <c r="Y1818" s="196"/>
      <c r="Z1818" s="196"/>
      <c r="AA1818" s="196"/>
      <c r="AB1818" s="196"/>
      <c r="AC1818" s="196"/>
      <c r="AD1818" s="196"/>
      <c r="AE1818" s="196"/>
      <c r="AF1818" s="196"/>
      <c r="AG1818" s="196"/>
      <c r="AH1818" s="196"/>
      <c r="AI1818" s="196"/>
      <c r="AJ1818" s="197"/>
      <c r="AK1818" s="80"/>
      <c r="AL1818" s="80"/>
      <c r="AM1818" s="73"/>
      <c r="AN1818" s="73"/>
      <c r="AO1818" s="73"/>
      <c r="AP1818" s="73"/>
      <c r="AQ1818" s="73"/>
      <c r="AR1818" s="73"/>
      <c r="AS1818" s="73"/>
      <c r="AT1818" s="73"/>
      <c r="AU1818" s="73"/>
      <c r="AV1818" s="73"/>
      <c r="AW1818" s="73"/>
      <c r="AX1818" s="73"/>
      <c r="AY1818" s="73"/>
      <c r="AZ1818" s="73"/>
      <c r="BA1818" s="73"/>
      <c r="BB1818" s="73"/>
      <c r="BC1818" s="73"/>
      <c r="BD1818" s="73"/>
      <c r="BE1818" s="73"/>
      <c r="BF1818" s="73"/>
      <c r="BG1818" s="73"/>
      <c r="BH1818" s="73"/>
      <c r="BI1818" s="73"/>
      <c r="BJ1818" s="73"/>
      <c r="BK1818" s="73"/>
      <c r="BL1818" s="73"/>
      <c r="BM1818" s="73"/>
      <c r="BN1818" s="73"/>
      <c r="BO1818" s="73"/>
      <c r="BP1818" s="73"/>
      <c r="BQ1818" s="73"/>
      <c r="BR1818" s="73"/>
      <c r="BS1818" s="73"/>
      <c r="BT1818" s="73"/>
      <c r="BU1818" s="73"/>
      <c r="BV1818" s="73"/>
      <c r="BW1818" s="73"/>
      <c r="BX1818" s="73"/>
      <c r="BY1818" s="73"/>
      <c r="BZ1818" s="73"/>
      <c r="CA1818" s="73"/>
      <c r="CB1818" s="73"/>
      <c r="CC1818" s="73"/>
      <c r="CD1818" s="73"/>
      <c r="CE1818" s="73"/>
      <c r="CF1818" s="73"/>
      <c r="CG1818" s="73"/>
      <c r="CH1818" s="73"/>
    </row>
    <row r="1819">
      <c r="A1819" s="80"/>
      <c r="B1819" s="80"/>
      <c r="C1819" s="80"/>
      <c r="D1819" s="80"/>
      <c r="E1819" s="124"/>
      <c r="F1819" s="80"/>
      <c r="G1819" s="80"/>
      <c r="H1819" s="80"/>
      <c r="I1819" s="80"/>
      <c r="J1819" s="196"/>
      <c r="K1819" s="196"/>
      <c r="L1819" s="196"/>
      <c r="M1819" s="196"/>
      <c r="N1819" s="196"/>
      <c r="O1819" s="196"/>
      <c r="P1819" s="196"/>
      <c r="Q1819" s="196"/>
      <c r="R1819" s="196"/>
      <c r="S1819" s="196"/>
      <c r="T1819" s="196"/>
      <c r="U1819" s="196"/>
      <c r="V1819" s="196"/>
      <c r="W1819" s="196"/>
      <c r="X1819" s="196"/>
      <c r="Y1819" s="196"/>
      <c r="Z1819" s="196"/>
      <c r="AA1819" s="196"/>
      <c r="AB1819" s="196"/>
      <c r="AC1819" s="196"/>
      <c r="AD1819" s="196"/>
      <c r="AE1819" s="196"/>
      <c r="AF1819" s="196"/>
      <c r="AG1819" s="196"/>
      <c r="AH1819" s="196"/>
      <c r="AI1819" s="196"/>
      <c r="AJ1819" s="197"/>
      <c r="AK1819" s="80"/>
      <c r="AL1819" s="80"/>
      <c r="AM1819" s="73"/>
      <c r="AN1819" s="73"/>
      <c r="AO1819" s="73"/>
      <c r="AP1819" s="73"/>
      <c r="AQ1819" s="73"/>
      <c r="AR1819" s="73"/>
      <c r="AS1819" s="73"/>
      <c r="AT1819" s="73"/>
      <c r="AU1819" s="73"/>
      <c r="AV1819" s="73"/>
      <c r="AW1819" s="73"/>
      <c r="AX1819" s="73"/>
      <c r="AY1819" s="73"/>
      <c r="AZ1819" s="73"/>
      <c r="BA1819" s="73"/>
      <c r="BB1819" s="73"/>
      <c r="BC1819" s="73"/>
      <c r="BD1819" s="73"/>
      <c r="BE1819" s="73"/>
      <c r="BF1819" s="73"/>
      <c r="BG1819" s="73"/>
      <c r="BH1819" s="73"/>
      <c r="BI1819" s="73"/>
      <c r="BJ1819" s="73"/>
      <c r="BK1819" s="73"/>
      <c r="BL1819" s="73"/>
      <c r="BM1819" s="73"/>
      <c r="BN1819" s="73"/>
      <c r="BO1819" s="73"/>
      <c r="BP1819" s="73"/>
      <c r="BQ1819" s="73"/>
      <c r="BR1819" s="73"/>
      <c r="BS1819" s="73"/>
      <c r="BT1819" s="73"/>
      <c r="BU1819" s="73"/>
      <c r="BV1819" s="73"/>
      <c r="BW1819" s="73"/>
      <c r="BX1819" s="73"/>
      <c r="BY1819" s="73"/>
      <c r="BZ1819" s="73"/>
      <c r="CA1819" s="73"/>
      <c r="CB1819" s="73"/>
      <c r="CC1819" s="73"/>
      <c r="CD1819" s="73"/>
      <c r="CE1819" s="73"/>
      <c r="CF1819" s="73"/>
      <c r="CG1819" s="73"/>
      <c r="CH1819" s="73"/>
    </row>
    <row r="1820">
      <c r="A1820" s="80"/>
      <c r="B1820" s="80"/>
      <c r="C1820" s="80"/>
      <c r="D1820" s="80"/>
      <c r="E1820" s="124"/>
      <c r="F1820" s="80"/>
      <c r="G1820" s="80"/>
      <c r="H1820" s="80"/>
      <c r="I1820" s="80"/>
      <c r="J1820" s="196"/>
      <c r="K1820" s="196"/>
      <c r="L1820" s="196"/>
      <c r="M1820" s="196"/>
      <c r="N1820" s="196"/>
      <c r="O1820" s="196"/>
      <c r="P1820" s="196"/>
      <c r="Q1820" s="196"/>
      <c r="R1820" s="196"/>
      <c r="S1820" s="196"/>
      <c r="T1820" s="196"/>
      <c r="U1820" s="196"/>
      <c r="V1820" s="196"/>
      <c r="W1820" s="196"/>
      <c r="X1820" s="196"/>
      <c r="Y1820" s="196"/>
      <c r="Z1820" s="196"/>
      <c r="AA1820" s="196"/>
      <c r="AB1820" s="196"/>
      <c r="AC1820" s="196"/>
      <c r="AD1820" s="196"/>
      <c r="AE1820" s="196"/>
      <c r="AF1820" s="196"/>
      <c r="AG1820" s="196"/>
      <c r="AH1820" s="196"/>
      <c r="AI1820" s="196"/>
      <c r="AJ1820" s="197"/>
      <c r="AK1820" s="80"/>
      <c r="AL1820" s="80"/>
      <c r="AM1820" s="73"/>
      <c r="AN1820" s="73"/>
      <c r="AO1820" s="73"/>
      <c r="AP1820" s="73"/>
      <c r="AQ1820" s="73"/>
      <c r="AR1820" s="73"/>
      <c r="AS1820" s="73"/>
      <c r="AT1820" s="73"/>
      <c r="AU1820" s="73"/>
      <c r="AV1820" s="73"/>
      <c r="AW1820" s="73"/>
      <c r="AX1820" s="73"/>
      <c r="AY1820" s="73"/>
      <c r="AZ1820" s="73"/>
      <c r="BA1820" s="73"/>
      <c r="BB1820" s="73"/>
      <c r="BC1820" s="73"/>
      <c r="BD1820" s="73"/>
      <c r="BE1820" s="73"/>
      <c r="BF1820" s="73"/>
      <c r="BG1820" s="73"/>
      <c r="BH1820" s="73"/>
      <c r="BI1820" s="73"/>
      <c r="BJ1820" s="73"/>
      <c r="BK1820" s="73"/>
      <c r="BL1820" s="73"/>
      <c r="BM1820" s="73"/>
      <c r="BN1820" s="73"/>
      <c r="BO1820" s="73"/>
      <c r="BP1820" s="73"/>
      <c r="BQ1820" s="73"/>
      <c r="BR1820" s="73"/>
      <c r="BS1820" s="73"/>
      <c r="BT1820" s="73"/>
      <c r="BU1820" s="73"/>
      <c r="BV1820" s="73"/>
      <c r="BW1820" s="73"/>
      <c r="BX1820" s="73"/>
      <c r="BY1820" s="73"/>
      <c r="BZ1820" s="73"/>
      <c r="CA1820" s="73"/>
      <c r="CB1820" s="73"/>
      <c r="CC1820" s="73"/>
      <c r="CD1820" s="73"/>
      <c r="CE1820" s="73"/>
      <c r="CF1820" s="73"/>
      <c r="CG1820" s="73"/>
      <c r="CH1820" s="73"/>
    </row>
    <row r="1821">
      <c r="A1821" s="80"/>
      <c r="B1821" s="80"/>
      <c r="C1821" s="80"/>
      <c r="D1821" s="80"/>
      <c r="E1821" s="124"/>
      <c r="F1821" s="80"/>
      <c r="G1821" s="80"/>
      <c r="H1821" s="80"/>
      <c r="I1821" s="80"/>
      <c r="J1821" s="196"/>
      <c r="K1821" s="196"/>
      <c r="L1821" s="196"/>
      <c r="M1821" s="196"/>
      <c r="N1821" s="196"/>
      <c r="O1821" s="196"/>
      <c r="P1821" s="196"/>
      <c r="Q1821" s="196"/>
      <c r="R1821" s="196"/>
      <c r="S1821" s="196"/>
      <c r="T1821" s="196"/>
      <c r="U1821" s="196"/>
      <c r="V1821" s="196"/>
      <c r="W1821" s="196"/>
      <c r="X1821" s="196"/>
      <c r="Y1821" s="196"/>
      <c r="Z1821" s="196"/>
      <c r="AA1821" s="196"/>
      <c r="AB1821" s="196"/>
      <c r="AC1821" s="196"/>
      <c r="AD1821" s="196"/>
      <c r="AE1821" s="196"/>
      <c r="AF1821" s="196"/>
      <c r="AG1821" s="196"/>
      <c r="AH1821" s="196"/>
      <c r="AI1821" s="196"/>
      <c r="AJ1821" s="197"/>
      <c r="AK1821" s="80"/>
      <c r="AL1821" s="80"/>
      <c r="AM1821" s="73"/>
      <c r="AN1821" s="73"/>
      <c r="AO1821" s="73"/>
      <c r="AP1821" s="73"/>
      <c r="AQ1821" s="73"/>
      <c r="AR1821" s="73"/>
      <c r="AS1821" s="73"/>
      <c r="AT1821" s="73"/>
      <c r="AU1821" s="73"/>
      <c r="AV1821" s="73"/>
      <c r="AW1821" s="73"/>
      <c r="AX1821" s="73"/>
      <c r="AY1821" s="73"/>
      <c r="AZ1821" s="73"/>
      <c r="BA1821" s="73"/>
      <c r="BB1821" s="73"/>
      <c r="BC1821" s="73"/>
      <c r="BD1821" s="73"/>
      <c r="BE1821" s="73"/>
      <c r="BF1821" s="73"/>
      <c r="BG1821" s="73"/>
      <c r="BH1821" s="73"/>
      <c r="BI1821" s="73"/>
      <c r="BJ1821" s="73"/>
      <c r="BK1821" s="73"/>
      <c r="BL1821" s="73"/>
      <c r="BM1821" s="73"/>
      <c r="BN1821" s="73"/>
      <c r="BO1821" s="73"/>
      <c r="BP1821" s="73"/>
      <c r="BQ1821" s="73"/>
      <c r="BR1821" s="73"/>
      <c r="BS1821" s="73"/>
      <c r="BT1821" s="73"/>
      <c r="BU1821" s="73"/>
      <c r="BV1821" s="73"/>
      <c r="BW1821" s="73"/>
      <c r="BX1821" s="73"/>
      <c r="BY1821" s="73"/>
      <c r="BZ1821" s="73"/>
      <c r="CA1821" s="73"/>
      <c r="CB1821" s="73"/>
      <c r="CC1821" s="73"/>
      <c r="CD1821" s="73"/>
      <c r="CE1821" s="73"/>
      <c r="CF1821" s="73"/>
      <c r="CG1821" s="73"/>
      <c r="CH1821" s="73"/>
    </row>
    <row r="1822">
      <c r="A1822" s="80"/>
      <c r="B1822" s="80"/>
      <c r="C1822" s="80"/>
      <c r="D1822" s="80"/>
      <c r="E1822" s="124"/>
      <c r="F1822" s="80"/>
      <c r="G1822" s="80"/>
      <c r="H1822" s="80"/>
      <c r="I1822" s="80"/>
      <c r="J1822" s="196"/>
      <c r="K1822" s="196"/>
      <c r="L1822" s="196"/>
      <c r="M1822" s="196"/>
      <c r="N1822" s="196"/>
      <c r="O1822" s="196"/>
      <c r="P1822" s="196"/>
      <c r="Q1822" s="196"/>
      <c r="R1822" s="196"/>
      <c r="S1822" s="196"/>
      <c r="T1822" s="196"/>
      <c r="U1822" s="196"/>
      <c r="V1822" s="196"/>
      <c r="W1822" s="196"/>
      <c r="X1822" s="196"/>
      <c r="Y1822" s="196"/>
      <c r="Z1822" s="196"/>
      <c r="AA1822" s="196"/>
      <c r="AB1822" s="196"/>
      <c r="AC1822" s="196"/>
      <c r="AD1822" s="196"/>
      <c r="AE1822" s="196"/>
      <c r="AF1822" s="196"/>
      <c r="AG1822" s="196"/>
      <c r="AH1822" s="196"/>
      <c r="AI1822" s="196"/>
      <c r="AJ1822" s="197"/>
      <c r="AK1822" s="80"/>
      <c r="AL1822" s="80"/>
      <c r="AM1822" s="73"/>
      <c r="AN1822" s="73"/>
      <c r="AO1822" s="73"/>
      <c r="AP1822" s="73"/>
      <c r="AQ1822" s="73"/>
      <c r="AR1822" s="73"/>
      <c r="AS1822" s="73"/>
      <c r="AT1822" s="73"/>
      <c r="AU1822" s="73"/>
      <c r="AV1822" s="73"/>
      <c r="AW1822" s="73"/>
      <c r="AX1822" s="73"/>
      <c r="AY1822" s="73"/>
      <c r="AZ1822" s="73"/>
      <c r="BA1822" s="73"/>
      <c r="BB1822" s="73"/>
      <c r="BC1822" s="73"/>
      <c r="BD1822" s="73"/>
      <c r="BE1822" s="73"/>
      <c r="BF1822" s="73"/>
      <c r="BG1822" s="73"/>
      <c r="BH1822" s="73"/>
      <c r="BI1822" s="73"/>
      <c r="BJ1822" s="73"/>
      <c r="BK1822" s="73"/>
      <c r="BL1822" s="73"/>
      <c r="BM1822" s="73"/>
      <c r="BN1822" s="73"/>
      <c r="BO1822" s="73"/>
      <c r="BP1822" s="73"/>
      <c r="BQ1822" s="73"/>
      <c r="BR1822" s="73"/>
      <c r="BS1822" s="73"/>
      <c r="BT1822" s="73"/>
      <c r="BU1822" s="73"/>
      <c r="BV1822" s="73"/>
      <c r="BW1822" s="73"/>
      <c r="BX1822" s="73"/>
      <c r="BY1822" s="73"/>
      <c r="BZ1822" s="73"/>
      <c r="CA1822" s="73"/>
      <c r="CB1822" s="73"/>
      <c r="CC1822" s="73"/>
      <c r="CD1822" s="73"/>
      <c r="CE1822" s="73"/>
      <c r="CF1822" s="73"/>
      <c r="CG1822" s="73"/>
      <c r="CH1822" s="73"/>
    </row>
    <row r="1823">
      <c r="A1823" s="80"/>
      <c r="B1823" s="80"/>
      <c r="C1823" s="80"/>
      <c r="D1823" s="80"/>
      <c r="E1823" s="124"/>
      <c r="F1823" s="80"/>
      <c r="G1823" s="80"/>
      <c r="H1823" s="80"/>
      <c r="I1823" s="80"/>
      <c r="J1823" s="196"/>
      <c r="K1823" s="196"/>
      <c r="L1823" s="196"/>
      <c r="M1823" s="196"/>
      <c r="N1823" s="196"/>
      <c r="O1823" s="196"/>
      <c r="P1823" s="196"/>
      <c r="Q1823" s="196"/>
      <c r="R1823" s="196"/>
      <c r="S1823" s="196"/>
      <c r="T1823" s="196"/>
      <c r="U1823" s="196"/>
      <c r="V1823" s="196"/>
      <c r="W1823" s="196"/>
      <c r="X1823" s="196"/>
      <c r="Y1823" s="196"/>
      <c r="Z1823" s="196"/>
      <c r="AA1823" s="196"/>
      <c r="AB1823" s="196"/>
      <c r="AC1823" s="196"/>
      <c r="AD1823" s="196"/>
      <c r="AE1823" s="196"/>
      <c r="AF1823" s="196"/>
      <c r="AG1823" s="196"/>
      <c r="AH1823" s="196"/>
      <c r="AI1823" s="196"/>
      <c r="AJ1823" s="197"/>
      <c r="AK1823" s="80"/>
      <c r="AL1823" s="80"/>
      <c r="AM1823" s="73"/>
      <c r="AN1823" s="73"/>
      <c r="AO1823" s="73"/>
      <c r="AP1823" s="73"/>
      <c r="AQ1823" s="73"/>
      <c r="AR1823" s="73"/>
      <c r="AS1823" s="73"/>
      <c r="AT1823" s="73"/>
      <c r="AU1823" s="73"/>
      <c r="AV1823" s="73"/>
      <c r="AW1823" s="73"/>
      <c r="AX1823" s="73"/>
      <c r="AY1823" s="73"/>
      <c r="AZ1823" s="73"/>
      <c r="BA1823" s="73"/>
      <c r="BB1823" s="73"/>
      <c r="BC1823" s="73"/>
      <c r="BD1823" s="73"/>
      <c r="BE1823" s="73"/>
      <c r="BF1823" s="73"/>
      <c r="BG1823" s="73"/>
      <c r="BH1823" s="73"/>
      <c r="BI1823" s="73"/>
      <c r="BJ1823" s="73"/>
      <c r="BK1823" s="73"/>
      <c r="BL1823" s="73"/>
      <c r="BM1823" s="73"/>
      <c r="BN1823" s="73"/>
      <c r="BO1823" s="73"/>
      <c r="BP1823" s="73"/>
      <c r="BQ1823" s="73"/>
      <c r="BR1823" s="73"/>
      <c r="BS1823" s="73"/>
      <c r="BT1823" s="73"/>
      <c r="BU1823" s="73"/>
      <c r="BV1823" s="73"/>
      <c r="BW1823" s="73"/>
      <c r="BX1823" s="73"/>
      <c r="BY1823" s="73"/>
      <c r="BZ1823" s="73"/>
      <c r="CA1823" s="73"/>
      <c r="CB1823" s="73"/>
      <c r="CC1823" s="73"/>
      <c r="CD1823" s="73"/>
      <c r="CE1823" s="73"/>
      <c r="CF1823" s="73"/>
      <c r="CG1823" s="73"/>
      <c r="CH1823" s="73"/>
    </row>
    <row r="1824">
      <c r="A1824" s="80"/>
      <c r="B1824" s="80"/>
      <c r="C1824" s="80"/>
      <c r="D1824" s="80"/>
      <c r="E1824" s="124"/>
      <c r="F1824" s="80"/>
      <c r="G1824" s="80"/>
      <c r="H1824" s="80"/>
      <c r="I1824" s="80"/>
      <c r="J1824" s="196"/>
      <c r="K1824" s="196"/>
      <c r="L1824" s="196"/>
      <c r="M1824" s="196"/>
      <c r="N1824" s="196"/>
      <c r="O1824" s="196"/>
      <c r="P1824" s="196"/>
      <c r="Q1824" s="196"/>
      <c r="R1824" s="196"/>
      <c r="S1824" s="196"/>
      <c r="T1824" s="196"/>
      <c r="U1824" s="196"/>
      <c r="V1824" s="196"/>
      <c r="W1824" s="196"/>
      <c r="X1824" s="196"/>
      <c r="Y1824" s="196"/>
      <c r="Z1824" s="196"/>
      <c r="AA1824" s="196"/>
      <c r="AB1824" s="196"/>
      <c r="AC1824" s="196"/>
      <c r="AD1824" s="196"/>
      <c r="AE1824" s="196"/>
      <c r="AF1824" s="196"/>
      <c r="AG1824" s="196"/>
      <c r="AH1824" s="196"/>
      <c r="AI1824" s="196"/>
      <c r="AJ1824" s="197"/>
      <c r="AK1824" s="80"/>
      <c r="AL1824" s="80"/>
      <c r="AM1824" s="73"/>
      <c r="AN1824" s="73"/>
      <c r="AO1824" s="73"/>
      <c r="AP1824" s="73"/>
      <c r="AQ1824" s="73"/>
      <c r="AR1824" s="73"/>
      <c r="AS1824" s="73"/>
      <c r="AT1824" s="73"/>
      <c r="AU1824" s="73"/>
      <c r="AV1824" s="73"/>
      <c r="AW1824" s="73"/>
      <c r="AX1824" s="73"/>
      <c r="AY1824" s="73"/>
      <c r="AZ1824" s="73"/>
      <c r="BA1824" s="73"/>
      <c r="BB1824" s="73"/>
      <c r="BC1824" s="73"/>
      <c r="BD1824" s="73"/>
      <c r="BE1824" s="73"/>
      <c r="BF1824" s="73"/>
      <c r="BG1824" s="73"/>
      <c r="BH1824" s="73"/>
      <c r="BI1824" s="73"/>
      <c r="BJ1824" s="73"/>
      <c r="BK1824" s="73"/>
      <c r="BL1824" s="73"/>
      <c r="BM1824" s="73"/>
      <c r="BN1824" s="73"/>
      <c r="BO1824" s="73"/>
      <c r="BP1824" s="73"/>
      <c r="BQ1824" s="73"/>
      <c r="BR1824" s="73"/>
      <c r="BS1824" s="73"/>
      <c r="BT1824" s="73"/>
      <c r="BU1824" s="73"/>
      <c r="BV1824" s="73"/>
      <c r="BW1824" s="73"/>
      <c r="BX1824" s="73"/>
      <c r="BY1824" s="73"/>
      <c r="BZ1824" s="73"/>
      <c r="CA1824" s="73"/>
      <c r="CB1824" s="73"/>
      <c r="CC1824" s="73"/>
      <c r="CD1824" s="73"/>
      <c r="CE1824" s="73"/>
      <c r="CF1824" s="73"/>
      <c r="CG1824" s="73"/>
      <c r="CH1824" s="73"/>
    </row>
    <row r="1825">
      <c r="A1825" s="80"/>
      <c r="B1825" s="80"/>
      <c r="C1825" s="80"/>
      <c r="D1825" s="80"/>
      <c r="E1825" s="124"/>
      <c r="F1825" s="80"/>
      <c r="G1825" s="80"/>
      <c r="H1825" s="80"/>
      <c r="I1825" s="80"/>
      <c r="J1825" s="196"/>
      <c r="K1825" s="196"/>
      <c r="L1825" s="196"/>
      <c r="M1825" s="196"/>
      <c r="N1825" s="196"/>
      <c r="O1825" s="196"/>
      <c r="P1825" s="196"/>
      <c r="Q1825" s="196"/>
      <c r="R1825" s="196"/>
      <c r="S1825" s="196"/>
      <c r="T1825" s="196"/>
      <c r="U1825" s="196"/>
      <c r="V1825" s="196"/>
      <c r="W1825" s="196"/>
      <c r="X1825" s="196"/>
      <c r="Y1825" s="196"/>
      <c r="Z1825" s="196"/>
      <c r="AA1825" s="196"/>
      <c r="AB1825" s="196"/>
      <c r="AC1825" s="196"/>
      <c r="AD1825" s="196"/>
      <c r="AE1825" s="196"/>
      <c r="AF1825" s="196"/>
      <c r="AG1825" s="196"/>
      <c r="AH1825" s="196"/>
      <c r="AI1825" s="196"/>
      <c r="AJ1825" s="197"/>
      <c r="AK1825" s="80"/>
      <c r="AL1825" s="80"/>
      <c r="AM1825" s="73"/>
      <c r="AN1825" s="73"/>
      <c r="AO1825" s="73"/>
      <c r="AP1825" s="73"/>
      <c r="AQ1825" s="73"/>
      <c r="AR1825" s="73"/>
      <c r="AS1825" s="73"/>
      <c r="AT1825" s="73"/>
      <c r="AU1825" s="73"/>
      <c r="AV1825" s="73"/>
      <c r="AW1825" s="73"/>
      <c r="AX1825" s="73"/>
      <c r="AY1825" s="73"/>
      <c r="AZ1825" s="73"/>
      <c r="BA1825" s="73"/>
      <c r="BB1825" s="73"/>
      <c r="BC1825" s="73"/>
      <c r="BD1825" s="73"/>
      <c r="BE1825" s="73"/>
      <c r="BF1825" s="73"/>
      <c r="BG1825" s="73"/>
      <c r="BH1825" s="73"/>
      <c r="BI1825" s="73"/>
      <c r="BJ1825" s="73"/>
      <c r="BK1825" s="73"/>
      <c r="BL1825" s="73"/>
      <c r="BM1825" s="73"/>
      <c r="BN1825" s="73"/>
      <c r="BO1825" s="73"/>
      <c r="BP1825" s="73"/>
      <c r="BQ1825" s="73"/>
      <c r="BR1825" s="73"/>
      <c r="BS1825" s="73"/>
      <c r="BT1825" s="73"/>
      <c r="BU1825" s="73"/>
      <c r="BV1825" s="73"/>
      <c r="BW1825" s="73"/>
      <c r="BX1825" s="73"/>
      <c r="BY1825" s="73"/>
      <c r="BZ1825" s="73"/>
      <c r="CA1825" s="73"/>
      <c r="CB1825" s="73"/>
      <c r="CC1825" s="73"/>
      <c r="CD1825" s="73"/>
      <c r="CE1825" s="73"/>
      <c r="CF1825" s="73"/>
      <c r="CG1825" s="73"/>
      <c r="CH1825" s="73"/>
    </row>
    <row r="1826">
      <c r="A1826" s="80"/>
      <c r="B1826" s="80"/>
      <c r="C1826" s="80"/>
      <c r="D1826" s="80"/>
      <c r="E1826" s="124"/>
      <c r="F1826" s="80"/>
      <c r="G1826" s="80"/>
      <c r="H1826" s="80"/>
      <c r="I1826" s="80"/>
      <c r="J1826" s="196"/>
      <c r="K1826" s="196"/>
      <c r="L1826" s="196"/>
      <c r="M1826" s="196"/>
      <c r="N1826" s="196"/>
      <c r="O1826" s="196"/>
      <c r="P1826" s="196"/>
      <c r="Q1826" s="196"/>
      <c r="R1826" s="196"/>
      <c r="S1826" s="196"/>
      <c r="T1826" s="196"/>
      <c r="U1826" s="196"/>
      <c r="V1826" s="196"/>
      <c r="W1826" s="196"/>
      <c r="X1826" s="196"/>
      <c r="Y1826" s="196"/>
      <c r="Z1826" s="196"/>
      <c r="AA1826" s="196"/>
      <c r="AB1826" s="196"/>
      <c r="AC1826" s="196"/>
      <c r="AD1826" s="196"/>
      <c r="AE1826" s="196"/>
      <c r="AF1826" s="196"/>
      <c r="AG1826" s="196"/>
      <c r="AH1826" s="196"/>
      <c r="AI1826" s="196"/>
      <c r="AJ1826" s="197"/>
      <c r="AK1826" s="80"/>
      <c r="AL1826" s="80"/>
      <c r="AM1826" s="73"/>
      <c r="AN1826" s="73"/>
      <c r="AO1826" s="73"/>
      <c r="AP1826" s="73"/>
      <c r="AQ1826" s="73"/>
      <c r="AR1826" s="73"/>
      <c r="AS1826" s="73"/>
      <c r="AT1826" s="73"/>
      <c r="AU1826" s="73"/>
      <c r="AV1826" s="73"/>
      <c r="AW1826" s="73"/>
      <c r="AX1826" s="73"/>
      <c r="AY1826" s="73"/>
      <c r="AZ1826" s="73"/>
      <c r="BA1826" s="73"/>
      <c r="BB1826" s="73"/>
      <c r="BC1826" s="73"/>
      <c r="BD1826" s="73"/>
      <c r="BE1826" s="73"/>
      <c r="BF1826" s="73"/>
      <c r="BG1826" s="73"/>
      <c r="BH1826" s="73"/>
      <c r="BI1826" s="73"/>
      <c r="BJ1826" s="73"/>
      <c r="BK1826" s="73"/>
      <c r="BL1826" s="73"/>
      <c r="BM1826" s="73"/>
      <c r="BN1826" s="73"/>
      <c r="BO1826" s="73"/>
      <c r="BP1826" s="73"/>
      <c r="BQ1826" s="73"/>
      <c r="BR1826" s="73"/>
      <c r="BS1826" s="73"/>
      <c r="BT1826" s="73"/>
      <c r="BU1826" s="73"/>
      <c r="BV1826" s="73"/>
      <c r="BW1826" s="73"/>
      <c r="BX1826" s="73"/>
      <c r="BY1826" s="73"/>
      <c r="BZ1826" s="73"/>
      <c r="CA1826" s="73"/>
      <c r="CB1826" s="73"/>
      <c r="CC1826" s="73"/>
      <c r="CD1826" s="73"/>
      <c r="CE1826" s="73"/>
      <c r="CF1826" s="73"/>
      <c r="CG1826" s="73"/>
      <c r="CH1826" s="73"/>
    </row>
    <row r="1827">
      <c r="A1827" s="80"/>
      <c r="B1827" s="80"/>
      <c r="C1827" s="80"/>
      <c r="D1827" s="80"/>
      <c r="E1827" s="124"/>
      <c r="F1827" s="80"/>
      <c r="G1827" s="80"/>
      <c r="H1827" s="80"/>
      <c r="I1827" s="80"/>
      <c r="J1827" s="196"/>
      <c r="K1827" s="196"/>
      <c r="L1827" s="196"/>
      <c r="M1827" s="196"/>
      <c r="N1827" s="196"/>
      <c r="O1827" s="196"/>
      <c r="P1827" s="196"/>
      <c r="Q1827" s="196"/>
      <c r="R1827" s="196"/>
      <c r="S1827" s="196"/>
      <c r="T1827" s="196"/>
      <c r="U1827" s="196"/>
      <c r="V1827" s="196"/>
      <c r="W1827" s="196"/>
      <c r="X1827" s="196"/>
      <c r="Y1827" s="196"/>
      <c r="Z1827" s="196"/>
      <c r="AA1827" s="196"/>
      <c r="AB1827" s="196"/>
      <c r="AC1827" s="196"/>
      <c r="AD1827" s="196"/>
      <c r="AE1827" s="196"/>
      <c r="AF1827" s="196"/>
      <c r="AG1827" s="196"/>
      <c r="AH1827" s="196"/>
      <c r="AI1827" s="196"/>
      <c r="AJ1827" s="197"/>
      <c r="AK1827" s="80"/>
      <c r="AL1827" s="80"/>
      <c r="AM1827" s="73"/>
      <c r="AN1827" s="73"/>
      <c r="AO1827" s="73"/>
      <c r="AP1827" s="73"/>
      <c r="AQ1827" s="73"/>
      <c r="AR1827" s="73"/>
      <c r="AS1827" s="73"/>
      <c r="AT1827" s="73"/>
      <c r="AU1827" s="73"/>
      <c r="AV1827" s="73"/>
      <c r="AW1827" s="73"/>
      <c r="AX1827" s="73"/>
      <c r="AY1827" s="73"/>
      <c r="AZ1827" s="73"/>
      <c r="BA1827" s="73"/>
      <c r="BB1827" s="73"/>
      <c r="BC1827" s="73"/>
      <c r="BD1827" s="73"/>
      <c r="BE1827" s="73"/>
      <c r="BF1827" s="73"/>
      <c r="BG1827" s="73"/>
      <c r="BH1827" s="73"/>
      <c r="BI1827" s="73"/>
      <c r="BJ1827" s="73"/>
      <c r="BK1827" s="73"/>
      <c r="BL1827" s="73"/>
      <c r="BM1827" s="73"/>
      <c r="BN1827" s="73"/>
      <c r="BO1827" s="73"/>
      <c r="BP1827" s="73"/>
      <c r="BQ1827" s="73"/>
      <c r="BR1827" s="73"/>
      <c r="BS1827" s="73"/>
      <c r="BT1827" s="73"/>
      <c r="BU1827" s="73"/>
      <c r="BV1827" s="73"/>
      <c r="BW1827" s="73"/>
      <c r="BX1827" s="73"/>
      <c r="BY1827" s="73"/>
      <c r="BZ1827" s="73"/>
      <c r="CA1827" s="73"/>
      <c r="CB1827" s="73"/>
      <c r="CC1827" s="73"/>
      <c r="CD1827" s="73"/>
      <c r="CE1827" s="73"/>
      <c r="CF1827" s="73"/>
      <c r="CG1827" s="73"/>
      <c r="CH1827" s="73"/>
    </row>
    <row r="1828">
      <c r="A1828" s="80"/>
      <c r="B1828" s="80"/>
      <c r="C1828" s="80"/>
      <c r="D1828" s="80"/>
      <c r="E1828" s="124"/>
      <c r="F1828" s="80"/>
      <c r="G1828" s="80"/>
      <c r="H1828" s="80"/>
      <c r="I1828" s="80"/>
      <c r="J1828" s="196"/>
      <c r="K1828" s="196"/>
      <c r="L1828" s="196"/>
      <c r="M1828" s="196"/>
      <c r="N1828" s="196"/>
      <c r="O1828" s="196"/>
      <c r="P1828" s="196"/>
      <c r="Q1828" s="196"/>
      <c r="R1828" s="196"/>
      <c r="S1828" s="196"/>
      <c r="T1828" s="196"/>
      <c r="U1828" s="196"/>
      <c r="V1828" s="196"/>
      <c r="W1828" s="196"/>
      <c r="X1828" s="196"/>
      <c r="Y1828" s="196"/>
      <c r="Z1828" s="196"/>
      <c r="AA1828" s="196"/>
      <c r="AB1828" s="196"/>
      <c r="AC1828" s="196"/>
      <c r="AD1828" s="196"/>
      <c r="AE1828" s="196"/>
      <c r="AF1828" s="196"/>
      <c r="AG1828" s="196"/>
      <c r="AH1828" s="196"/>
      <c r="AI1828" s="196"/>
      <c r="AJ1828" s="197"/>
      <c r="AK1828" s="80"/>
      <c r="AL1828" s="80"/>
      <c r="AM1828" s="73"/>
      <c r="AN1828" s="73"/>
      <c r="AO1828" s="73"/>
      <c r="AP1828" s="73"/>
      <c r="AQ1828" s="73"/>
      <c r="AR1828" s="73"/>
      <c r="AS1828" s="73"/>
      <c r="AT1828" s="73"/>
      <c r="AU1828" s="73"/>
      <c r="AV1828" s="73"/>
      <c r="AW1828" s="73"/>
      <c r="AX1828" s="73"/>
      <c r="AY1828" s="73"/>
      <c r="AZ1828" s="73"/>
      <c r="BA1828" s="73"/>
      <c r="BB1828" s="73"/>
      <c r="BC1828" s="73"/>
      <c r="BD1828" s="73"/>
      <c r="BE1828" s="73"/>
      <c r="BF1828" s="73"/>
      <c r="BG1828" s="73"/>
      <c r="BH1828" s="73"/>
      <c r="BI1828" s="73"/>
      <c r="BJ1828" s="73"/>
      <c r="BK1828" s="73"/>
      <c r="BL1828" s="73"/>
      <c r="BM1828" s="73"/>
      <c r="BN1828" s="73"/>
      <c r="BO1828" s="73"/>
      <c r="BP1828" s="73"/>
      <c r="BQ1828" s="73"/>
      <c r="BR1828" s="73"/>
      <c r="BS1828" s="73"/>
      <c r="BT1828" s="73"/>
      <c r="BU1828" s="73"/>
      <c r="BV1828" s="73"/>
      <c r="BW1828" s="73"/>
      <c r="BX1828" s="73"/>
      <c r="BY1828" s="73"/>
      <c r="BZ1828" s="73"/>
      <c r="CA1828" s="73"/>
      <c r="CB1828" s="73"/>
      <c r="CC1828" s="73"/>
      <c r="CD1828" s="73"/>
      <c r="CE1828" s="73"/>
      <c r="CF1828" s="73"/>
      <c r="CG1828" s="73"/>
      <c r="CH1828" s="73"/>
    </row>
    <row r="1829">
      <c r="A1829" s="80"/>
      <c r="B1829" s="80"/>
      <c r="C1829" s="80"/>
      <c r="D1829" s="80"/>
      <c r="E1829" s="124"/>
      <c r="F1829" s="80"/>
      <c r="G1829" s="80"/>
      <c r="H1829" s="80"/>
      <c r="I1829" s="80"/>
      <c r="J1829" s="196"/>
      <c r="K1829" s="196"/>
      <c r="L1829" s="196"/>
      <c r="M1829" s="196"/>
      <c r="N1829" s="196"/>
      <c r="O1829" s="196"/>
      <c r="P1829" s="196"/>
      <c r="Q1829" s="196"/>
      <c r="R1829" s="196"/>
      <c r="S1829" s="196"/>
      <c r="T1829" s="196"/>
      <c r="U1829" s="196"/>
      <c r="V1829" s="196"/>
      <c r="W1829" s="196"/>
      <c r="X1829" s="196"/>
      <c r="Y1829" s="196"/>
      <c r="Z1829" s="196"/>
      <c r="AA1829" s="196"/>
      <c r="AB1829" s="196"/>
      <c r="AC1829" s="196"/>
      <c r="AD1829" s="196"/>
      <c r="AE1829" s="196"/>
      <c r="AF1829" s="196"/>
      <c r="AG1829" s="196"/>
      <c r="AH1829" s="196"/>
      <c r="AI1829" s="196"/>
      <c r="AJ1829" s="197"/>
      <c r="AK1829" s="80"/>
      <c r="AL1829" s="80"/>
      <c r="AM1829" s="73"/>
      <c r="AN1829" s="73"/>
      <c r="AO1829" s="73"/>
      <c r="AP1829" s="73"/>
      <c r="AQ1829" s="73"/>
      <c r="AR1829" s="73"/>
      <c r="AS1829" s="73"/>
      <c r="AT1829" s="73"/>
      <c r="AU1829" s="73"/>
      <c r="AV1829" s="73"/>
      <c r="AW1829" s="73"/>
      <c r="AX1829" s="73"/>
      <c r="AY1829" s="73"/>
      <c r="AZ1829" s="73"/>
      <c r="BA1829" s="73"/>
      <c r="BB1829" s="73"/>
      <c r="BC1829" s="73"/>
      <c r="BD1829" s="73"/>
      <c r="BE1829" s="73"/>
      <c r="BF1829" s="73"/>
      <c r="BG1829" s="73"/>
      <c r="BH1829" s="73"/>
      <c r="BI1829" s="73"/>
      <c r="BJ1829" s="73"/>
      <c r="BK1829" s="73"/>
      <c r="BL1829" s="73"/>
      <c r="BM1829" s="73"/>
      <c r="BN1829" s="73"/>
      <c r="BO1829" s="73"/>
      <c r="BP1829" s="73"/>
      <c r="BQ1829" s="73"/>
      <c r="BR1829" s="73"/>
      <c r="BS1829" s="73"/>
      <c r="BT1829" s="73"/>
      <c r="BU1829" s="73"/>
      <c r="BV1829" s="73"/>
      <c r="BW1829" s="73"/>
      <c r="BX1829" s="73"/>
      <c r="BY1829" s="73"/>
      <c r="BZ1829" s="73"/>
      <c r="CA1829" s="73"/>
      <c r="CB1829" s="73"/>
      <c r="CC1829" s="73"/>
      <c r="CD1829" s="73"/>
      <c r="CE1829" s="73"/>
      <c r="CF1829" s="73"/>
      <c r="CG1829" s="73"/>
      <c r="CH1829" s="73"/>
    </row>
    <row r="1830">
      <c r="A1830" s="80"/>
      <c r="B1830" s="80"/>
      <c r="C1830" s="80"/>
      <c r="D1830" s="80"/>
      <c r="E1830" s="124"/>
      <c r="F1830" s="80"/>
      <c r="G1830" s="80"/>
      <c r="H1830" s="80"/>
      <c r="I1830" s="80"/>
      <c r="J1830" s="196"/>
      <c r="K1830" s="196"/>
      <c r="L1830" s="196"/>
      <c r="M1830" s="196"/>
      <c r="N1830" s="196"/>
      <c r="O1830" s="196"/>
      <c r="P1830" s="196"/>
      <c r="Q1830" s="196"/>
      <c r="R1830" s="196"/>
      <c r="S1830" s="196"/>
      <c r="T1830" s="196"/>
      <c r="U1830" s="196"/>
      <c r="V1830" s="196"/>
      <c r="W1830" s="196"/>
      <c r="X1830" s="196"/>
      <c r="Y1830" s="196"/>
      <c r="Z1830" s="196"/>
      <c r="AA1830" s="196"/>
      <c r="AB1830" s="196"/>
      <c r="AC1830" s="196"/>
      <c r="AD1830" s="196"/>
      <c r="AE1830" s="196"/>
      <c r="AF1830" s="196"/>
      <c r="AG1830" s="196"/>
      <c r="AH1830" s="196"/>
      <c r="AI1830" s="196"/>
      <c r="AJ1830" s="197"/>
      <c r="AK1830" s="80"/>
      <c r="AL1830" s="80"/>
      <c r="AM1830" s="73"/>
      <c r="AN1830" s="73"/>
      <c r="AO1830" s="73"/>
      <c r="AP1830" s="73"/>
      <c r="AQ1830" s="73"/>
      <c r="AR1830" s="73"/>
      <c r="AS1830" s="73"/>
      <c r="AT1830" s="73"/>
      <c r="AU1830" s="73"/>
      <c r="AV1830" s="73"/>
      <c r="AW1830" s="73"/>
      <c r="AX1830" s="73"/>
      <c r="AY1830" s="73"/>
      <c r="AZ1830" s="73"/>
      <c r="BA1830" s="73"/>
      <c r="BB1830" s="73"/>
      <c r="BC1830" s="73"/>
      <c r="BD1830" s="73"/>
      <c r="BE1830" s="73"/>
      <c r="BF1830" s="73"/>
      <c r="BG1830" s="73"/>
      <c r="BH1830" s="73"/>
      <c r="BI1830" s="73"/>
      <c r="BJ1830" s="73"/>
      <c r="BK1830" s="73"/>
      <c r="BL1830" s="73"/>
      <c r="BM1830" s="73"/>
      <c r="BN1830" s="73"/>
      <c r="BO1830" s="73"/>
      <c r="BP1830" s="73"/>
      <c r="BQ1830" s="73"/>
      <c r="BR1830" s="73"/>
      <c r="BS1830" s="73"/>
      <c r="BT1830" s="73"/>
      <c r="BU1830" s="73"/>
      <c r="BV1830" s="73"/>
      <c r="BW1830" s="73"/>
      <c r="BX1830" s="73"/>
      <c r="BY1830" s="73"/>
      <c r="BZ1830" s="73"/>
      <c r="CA1830" s="73"/>
      <c r="CB1830" s="73"/>
      <c r="CC1830" s="73"/>
      <c r="CD1830" s="73"/>
      <c r="CE1830" s="73"/>
      <c r="CF1830" s="73"/>
      <c r="CG1830" s="73"/>
      <c r="CH1830" s="73"/>
    </row>
    <row r="1831">
      <c r="A1831" s="80"/>
      <c r="B1831" s="80"/>
      <c r="C1831" s="80"/>
      <c r="D1831" s="80"/>
      <c r="E1831" s="124"/>
      <c r="F1831" s="80"/>
      <c r="G1831" s="80"/>
      <c r="H1831" s="80"/>
      <c r="I1831" s="80"/>
      <c r="J1831" s="196"/>
      <c r="K1831" s="196"/>
      <c r="L1831" s="196"/>
      <c r="M1831" s="196"/>
      <c r="N1831" s="196"/>
      <c r="O1831" s="196"/>
      <c r="P1831" s="196"/>
      <c r="Q1831" s="196"/>
      <c r="R1831" s="196"/>
      <c r="S1831" s="196"/>
      <c r="T1831" s="196"/>
      <c r="U1831" s="196"/>
      <c r="V1831" s="196"/>
      <c r="W1831" s="196"/>
      <c r="X1831" s="196"/>
      <c r="Y1831" s="196"/>
      <c r="Z1831" s="196"/>
      <c r="AA1831" s="196"/>
      <c r="AB1831" s="196"/>
      <c r="AC1831" s="196"/>
      <c r="AD1831" s="196"/>
      <c r="AE1831" s="196"/>
      <c r="AF1831" s="196"/>
      <c r="AG1831" s="196"/>
      <c r="AH1831" s="196"/>
      <c r="AI1831" s="196"/>
      <c r="AJ1831" s="197"/>
      <c r="AK1831" s="80"/>
      <c r="AL1831" s="80"/>
      <c r="AM1831" s="73"/>
      <c r="AN1831" s="73"/>
      <c r="AO1831" s="73"/>
      <c r="AP1831" s="73"/>
      <c r="AQ1831" s="73"/>
      <c r="AR1831" s="73"/>
      <c r="AS1831" s="73"/>
      <c r="AT1831" s="73"/>
      <c r="AU1831" s="73"/>
      <c r="AV1831" s="73"/>
      <c r="AW1831" s="73"/>
      <c r="AX1831" s="73"/>
      <c r="AY1831" s="73"/>
      <c r="AZ1831" s="73"/>
      <c r="BA1831" s="73"/>
      <c r="BB1831" s="73"/>
      <c r="BC1831" s="73"/>
      <c r="BD1831" s="73"/>
      <c r="BE1831" s="73"/>
      <c r="BF1831" s="73"/>
      <c r="BG1831" s="73"/>
      <c r="BH1831" s="73"/>
      <c r="BI1831" s="73"/>
      <c r="BJ1831" s="73"/>
      <c r="BK1831" s="73"/>
      <c r="BL1831" s="73"/>
      <c r="BM1831" s="73"/>
      <c r="BN1831" s="73"/>
      <c r="BO1831" s="73"/>
      <c r="BP1831" s="73"/>
      <c r="BQ1831" s="73"/>
      <c r="BR1831" s="73"/>
      <c r="BS1831" s="73"/>
      <c r="BT1831" s="73"/>
      <c r="BU1831" s="73"/>
      <c r="BV1831" s="73"/>
      <c r="BW1831" s="73"/>
      <c r="BX1831" s="73"/>
      <c r="BY1831" s="73"/>
      <c r="BZ1831" s="73"/>
      <c r="CA1831" s="73"/>
      <c r="CB1831" s="73"/>
      <c r="CC1831" s="73"/>
      <c r="CD1831" s="73"/>
      <c r="CE1831" s="73"/>
      <c r="CF1831" s="73"/>
      <c r="CG1831" s="73"/>
      <c r="CH1831" s="73"/>
    </row>
    <row r="1832">
      <c r="A1832" s="80"/>
      <c r="B1832" s="80"/>
      <c r="C1832" s="80"/>
      <c r="D1832" s="80"/>
      <c r="E1832" s="124"/>
      <c r="F1832" s="80"/>
      <c r="G1832" s="80"/>
      <c r="H1832" s="80"/>
      <c r="I1832" s="80"/>
      <c r="J1832" s="196"/>
      <c r="K1832" s="196"/>
      <c r="L1832" s="196"/>
      <c r="M1832" s="196"/>
      <c r="N1832" s="196"/>
      <c r="O1832" s="196"/>
      <c r="P1832" s="196"/>
      <c r="Q1832" s="196"/>
      <c r="R1832" s="196"/>
      <c r="S1832" s="196"/>
      <c r="T1832" s="196"/>
      <c r="U1832" s="196"/>
      <c r="V1832" s="196"/>
      <c r="W1832" s="196"/>
      <c r="X1832" s="196"/>
      <c r="Y1832" s="196"/>
      <c r="Z1832" s="196"/>
      <c r="AA1832" s="196"/>
      <c r="AB1832" s="196"/>
      <c r="AC1832" s="196"/>
      <c r="AD1832" s="196"/>
      <c r="AE1832" s="196"/>
      <c r="AF1832" s="196"/>
      <c r="AG1832" s="196"/>
      <c r="AH1832" s="196"/>
      <c r="AI1832" s="196"/>
      <c r="AJ1832" s="197"/>
      <c r="AK1832" s="80"/>
      <c r="AL1832" s="80"/>
      <c r="AM1832" s="73"/>
      <c r="AN1832" s="73"/>
      <c r="AO1832" s="73"/>
      <c r="AP1832" s="73"/>
      <c r="AQ1832" s="73"/>
      <c r="AR1832" s="73"/>
      <c r="AS1832" s="73"/>
      <c r="AT1832" s="73"/>
      <c r="AU1832" s="73"/>
      <c r="AV1832" s="73"/>
      <c r="AW1832" s="73"/>
      <c r="AX1832" s="73"/>
      <c r="AY1832" s="73"/>
      <c r="AZ1832" s="73"/>
      <c r="BA1832" s="73"/>
      <c r="BB1832" s="73"/>
      <c r="BC1832" s="73"/>
      <c r="BD1832" s="73"/>
      <c r="BE1832" s="73"/>
      <c r="BF1832" s="73"/>
      <c r="BG1832" s="73"/>
      <c r="BH1832" s="73"/>
      <c r="BI1832" s="73"/>
      <c r="BJ1832" s="73"/>
      <c r="BK1832" s="73"/>
      <c r="BL1832" s="73"/>
      <c r="BM1832" s="73"/>
      <c r="BN1832" s="73"/>
      <c r="BO1832" s="73"/>
      <c r="BP1832" s="73"/>
      <c r="BQ1832" s="73"/>
      <c r="BR1832" s="73"/>
      <c r="BS1832" s="73"/>
      <c r="BT1832" s="73"/>
      <c r="BU1832" s="73"/>
      <c r="BV1832" s="73"/>
      <c r="BW1832" s="73"/>
      <c r="BX1832" s="73"/>
      <c r="BY1832" s="73"/>
      <c r="BZ1832" s="73"/>
      <c r="CA1832" s="73"/>
      <c r="CB1832" s="73"/>
      <c r="CC1832" s="73"/>
      <c r="CD1832" s="73"/>
      <c r="CE1832" s="73"/>
      <c r="CF1832" s="73"/>
      <c r="CG1832" s="73"/>
      <c r="CH1832" s="73"/>
    </row>
    <row r="1833">
      <c r="A1833" s="80"/>
      <c r="B1833" s="80"/>
      <c r="C1833" s="80"/>
      <c r="D1833" s="80"/>
      <c r="E1833" s="124"/>
      <c r="F1833" s="80"/>
      <c r="G1833" s="80"/>
      <c r="H1833" s="80"/>
      <c r="I1833" s="80"/>
      <c r="J1833" s="196"/>
      <c r="K1833" s="196"/>
      <c r="L1833" s="196"/>
      <c r="M1833" s="196"/>
      <c r="N1833" s="196"/>
      <c r="O1833" s="196"/>
      <c r="P1833" s="196"/>
      <c r="Q1833" s="196"/>
      <c r="R1833" s="196"/>
      <c r="S1833" s="196"/>
      <c r="T1833" s="196"/>
      <c r="U1833" s="196"/>
      <c r="V1833" s="196"/>
      <c r="W1833" s="196"/>
      <c r="X1833" s="196"/>
      <c r="Y1833" s="196"/>
      <c r="Z1833" s="196"/>
      <c r="AA1833" s="196"/>
      <c r="AB1833" s="196"/>
      <c r="AC1833" s="196"/>
      <c r="AD1833" s="196"/>
      <c r="AE1833" s="196"/>
      <c r="AF1833" s="196"/>
      <c r="AG1833" s="196"/>
      <c r="AH1833" s="196"/>
      <c r="AI1833" s="196"/>
      <c r="AJ1833" s="197"/>
      <c r="AK1833" s="80"/>
      <c r="AL1833" s="80"/>
      <c r="AM1833" s="73"/>
      <c r="AN1833" s="73"/>
      <c r="AO1833" s="73"/>
      <c r="AP1833" s="73"/>
      <c r="AQ1833" s="73"/>
      <c r="AR1833" s="73"/>
      <c r="AS1833" s="73"/>
      <c r="AT1833" s="73"/>
      <c r="AU1833" s="73"/>
      <c r="AV1833" s="73"/>
      <c r="AW1833" s="73"/>
      <c r="AX1833" s="73"/>
      <c r="AY1833" s="73"/>
      <c r="AZ1833" s="73"/>
      <c r="BA1833" s="73"/>
      <c r="BB1833" s="73"/>
      <c r="BC1833" s="73"/>
      <c r="BD1833" s="73"/>
      <c r="BE1833" s="73"/>
      <c r="BF1833" s="73"/>
      <c r="BG1833" s="73"/>
      <c r="BH1833" s="73"/>
      <c r="BI1833" s="73"/>
      <c r="BJ1833" s="73"/>
      <c r="BK1833" s="73"/>
      <c r="BL1833" s="73"/>
      <c r="BM1833" s="73"/>
      <c r="BN1833" s="73"/>
      <c r="BO1833" s="73"/>
      <c r="BP1833" s="73"/>
      <c r="BQ1833" s="73"/>
      <c r="BR1833" s="73"/>
      <c r="BS1833" s="73"/>
      <c r="BT1833" s="73"/>
      <c r="BU1833" s="73"/>
      <c r="BV1833" s="73"/>
      <c r="BW1833" s="73"/>
      <c r="BX1833" s="73"/>
      <c r="BY1833" s="73"/>
      <c r="BZ1833" s="73"/>
      <c r="CA1833" s="73"/>
      <c r="CB1833" s="73"/>
      <c r="CC1833" s="73"/>
      <c r="CD1833" s="73"/>
      <c r="CE1833" s="73"/>
      <c r="CF1833" s="73"/>
      <c r="CG1833" s="73"/>
      <c r="CH1833" s="73"/>
    </row>
    <row r="1834">
      <c r="A1834" s="80"/>
      <c r="B1834" s="80"/>
      <c r="C1834" s="80"/>
      <c r="D1834" s="80"/>
      <c r="E1834" s="124"/>
      <c r="F1834" s="80"/>
      <c r="G1834" s="80"/>
      <c r="H1834" s="80"/>
      <c r="I1834" s="80"/>
      <c r="J1834" s="196"/>
      <c r="K1834" s="196"/>
      <c r="L1834" s="196"/>
      <c r="M1834" s="196"/>
      <c r="N1834" s="196"/>
      <c r="O1834" s="196"/>
      <c r="P1834" s="196"/>
      <c r="Q1834" s="196"/>
      <c r="R1834" s="196"/>
      <c r="S1834" s="196"/>
      <c r="T1834" s="196"/>
      <c r="U1834" s="196"/>
      <c r="V1834" s="196"/>
      <c r="W1834" s="196"/>
      <c r="X1834" s="196"/>
      <c r="Y1834" s="196"/>
      <c r="Z1834" s="196"/>
      <c r="AA1834" s="196"/>
      <c r="AB1834" s="196"/>
      <c r="AC1834" s="196"/>
      <c r="AD1834" s="196"/>
      <c r="AE1834" s="196"/>
      <c r="AF1834" s="196"/>
      <c r="AG1834" s="196"/>
      <c r="AH1834" s="196"/>
      <c r="AI1834" s="196"/>
      <c r="AJ1834" s="197"/>
      <c r="AK1834" s="80"/>
      <c r="AL1834" s="80"/>
      <c r="AM1834" s="73"/>
      <c r="AN1834" s="73"/>
      <c r="AO1834" s="73"/>
      <c r="AP1834" s="73"/>
      <c r="AQ1834" s="73"/>
      <c r="AR1834" s="73"/>
      <c r="AS1834" s="73"/>
      <c r="AT1834" s="73"/>
      <c r="AU1834" s="73"/>
      <c r="AV1834" s="73"/>
      <c r="AW1834" s="73"/>
      <c r="AX1834" s="73"/>
      <c r="AY1834" s="73"/>
      <c r="AZ1834" s="73"/>
      <c r="BA1834" s="73"/>
      <c r="BB1834" s="73"/>
      <c r="BC1834" s="73"/>
      <c r="BD1834" s="73"/>
      <c r="BE1834" s="73"/>
      <c r="BF1834" s="73"/>
      <c r="BG1834" s="73"/>
      <c r="BH1834" s="73"/>
      <c r="BI1834" s="73"/>
      <c r="BJ1834" s="73"/>
      <c r="BK1834" s="73"/>
      <c r="BL1834" s="73"/>
      <c r="BM1834" s="73"/>
      <c r="BN1834" s="73"/>
      <c r="BO1834" s="73"/>
      <c r="BP1834" s="73"/>
      <c r="BQ1834" s="73"/>
      <c r="BR1834" s="73"/>
      <c r="BS1834" s="73"/>
      <c r="BT1834" s="73"/>
      <c r="BU1834" s="73"/>
      <c r="BV1834" s="73"/>
      <c r="BW1834" s="73"/>
      <c r="BX1834" s="73"/>
      <c r="BY1834" s="73"/>
      <c r="BZ1834" s="73"/>
      <c r="CA1834" s="73"/>
      <c r="CB1834" s="73"/>
      <c r="CC1834" s="73"/>
      <c r="CD1834" s="73"/>
      <c r="CE1834" s="73"/>
      <c r="CF1834" s="73"/>
      <c r="CG1834" s="73"/>
      <c r="CH1834" s="73"/>
    </row>
    <row r="1835">
      <c r="A1835" s="80"/>
      <c r="B1835" s="80"/>
      <c r="C1835" s="80"/>
      <c r="D1835" s="80"/>
      <c r="E1835" s="124"/>
      <c r="F1835" s="80"/>
      <c r="G1835" s="80"/>
      <c r="H1835" s="80"/>
      <c r="I1835" s="80"/>
      <c r="J1835" s="196"/>
      <c r="K1835" s="196"/>
      <c r="L1835" s="196"/>
      <c r="M1835" s="196"/>
      <c r="N1835" s="196"/>
      <c r="O1835" s="196"/>
      <c r="P1835" s="196"/>
      <c r="Q1835" s="196"/>
      <c r="R1835" s="196"/>
      <c r="S1835" s="196"/>
      <c r="T1835" s="196"/>
      <c r="U1835" s="196"/>
      <c r="V1835" s="196"/>
      <c r="W1835" s="196"/>
      <c r="X1835" s="196"/>
      <c r="Y1835" s="196"/>
      <c r="Z1835" s="196"/>
      <c r="AA1835" s="196"/>
      <c r="AB1835" s="196"/>
      <c r="AC1835" s="196"/>
      <c r="AD1835" s="196"/>
      <c r="AE1835" s="196"/>
      <c r="AF1835" s="196"/>
      <c r="AG1835" s="196"/>
      <c r="AH1835" s="196"/>
      <c r="AI1835" s="196"/>
      <c r="AJ1835" s="197"/>
      <c r="AK1835" s="80"/>
      <c r="AL1835" s="80"/>
      <c r="AM1835" s="73"/>
      <c r="AN1835" s="73"/>
      <c r="AO1835" s="73"/>
      <c r="AP1835" s="73"/>
      <c r="AQ1835" s="73"/>
      <c r="AR1835" s="73"/>
      <c r="AS1835" s="73"/>
      <c r="AT1835" s="73"/>
      <c r="AU1835" s="73"/>
      <c r="AV1835" s="73"/>
      <c r="AW1835" s="73"/>
      <c r="AX1835" s="73"/>
      <c r="AY1835" s="73"/>
      <c r="AZ1835" s="73"/>
      <c r="BA1835" s="73"/>
      <c r="BB1835" s="73"/>
      <c r="BC1835" s="73"/>
      <c r="BD1835" s="73"/>
      <c r="BE1835" s="73"/>
      <c r="BF1835" s="73"/>
      <c r="BG1835" s="73"/>
      <c r="BH1835" s="73"/>
      <c r="BI1835" s="73"/>
      <c r="BJ1835" s="73"/>
      <c r="BK1835" s="73"/>
      <c r="BL1835" s="73"/>
      <c r="BM1835" s="73"/>
      <c r="BN1835" s="73"/>
      <c r="BO1835" s="73"/>
      <c r="BP1835" s="73"/>
      <c r="BQ1835" s="73"/>
      <c r="BR1835" s="73"/>
      <c r="BS1835" s="73"/>
      <c r="BT1835" s="73"/>
      <c r="BU1835" s="73"/>
      <c r="BV1835" s="73"/>
      <c r="BW1835" s="73"/>
      <c r="BX1835" s="73"/>
      <c r="BY1835" s="73"/>
      <c r="BZ1835" s="73"/>
      <c r="CA1835" s="73"/>
      <c r="CB1835" s="73"/>
      <c r="CC1835" s="73"/>
      <c r="CD1835" s="73"/>
      <c r="CE1835" s="73"/>
      <c r="CF1835" s="73"/>
      <c r="CG1835" s="73"/>
      <c r="CH1835" s="73"/>
    </row>
    <row r="1836">
      <c r="A1836" s="80"/>
      <c r="B1836" s="80"/>
      <c r="C1836" s="80"/>
      <c r="D1836" s="80"/>
      <c r="E1836" s="124"/>
      <c r="F1836" s="80"/>
      <c r="G1836" s="80"/>
      <c r="H1836" s="80"/>
      <c r="I1836" s="80"/>
      <c r="J1836" s="196"/>
      <c r="K1836" s="196"/>
      <c r="L1836" s="196"/>
      <c r="M1836" s="196"/>
      <c r="N1836" s="196"/>
      <c r="O1836" s="196"/>
      <c r="P1836" s="196"/>
      <c r="Q1836" s="196"/>
      <c r="R1836" s="196"/>
      <c r="S1836" s="196"/>
      <c r="T1836" s="196"/>
      <c r="U1836" s="196"/>
      <c r="V1836" s="196"/>
      <c r="W1836" s="196"/>
      <c r="X1836" s="196"/>
      <c r="Y1836" s="196"/>
      <c r="Z1836" s="196"/>
      <c r="AA1836" s="196"/>
      <c r="AB1836" s="196"/>
      <c r="AC1836" s="196"/>
      <c r="AD1836" s="196"/>
      <c r="AE1836" s="196"/>
      <c r="AF1836" s="196"/>
      <c r="AG1836" s="196"/>
      <c r="AH1836" s="196"/>
      <c r="AI1836" s="196"/>
      <c r="AJ1836" s="197"/>
      <c r="AK1836" s="80"/>
      <c r="AL1836" s="80"/>
      <c r="AM1836" s="73"/>
      <c r="AN1836" s="73"/>
      <c r="AO1836" s="73"/>
      <c r="AP1836" s="73"/>
      <c r="AQ1836" s="73"/>
      <c r="AR1836" s="73"/>
      <c r="AS1836" s="73"/>
      <c r="AT1836" s="73"/>
      <c r="AU1836" s="73"/>
      <c r="AV1836" s="73"/>
      <c r="AW1836" s="73"/>
      <c r="AX1836" s="73"/>
      <c r="AY1836" s="73"/>
      <c r="AZ1836" s="73"/>
      <c r="BA1836" s="73"/>
      <c r="BB1836" s="73"/>
      <c r="BC1836" s="73"/>
      <c r="BD1836" s="73"/>
      <c r="BE1836" s="73"/>
      <c r="BF1836" s="73"/>
      <c r="BG1836" s="73"/>
      <c r="BH1836" s="73"/>
      <c r="BI1836" s="73"/>
      <c r="BJ1836" s="73"/>
      <c r="BK1836" s="73"/>
      <c r="BL1836" s="73"/>
      <c r="BM1836" s="73"/>
      <c r="BN1836" s="73"/>
      <c r="BO1836" s="73"/>
      <c r="BP1836" s="73"/>
      <c r="BQ1836" s="73"/>
      <c r="BR1836" s="73"/>
      <c r="BS1836" s="73"/>
      <c r="BT1836" s="73"/>
      <c r="BU1836" s="73"/>
      <c r="BV1836" s="73"/>
      <c r="BW1836" s="73"/>
      <c r="BX1836" s="73"/>
      <c r="BY1836" s="73"/>
      <c r="BZ1836" s="73"/>
      <c r="CA1836" s="73"/>
      <c r="CB1836" s="73"/>
      <c r="CC1836" s="73"/>
      <c r="CD1836" s="73"/>
      <c r="CE1836" s="73"/>
      <c r="CF1836" s="73"/>
      <c r="CG1836" s="73"/>
      <c r="CH1836" s="73"/>
    </row>
    <row r="1837">
      <c r="A1837" s="80"/>
      <c r="B1837" s="80"/>
      <c r="C1837" s="80"/>
      <c r="D1837" s="80"/>
      <c r="E1837" s="124"/>
      <c r="F1837" s="80"/>
      <c r="G1837" s="80"/>
      <c r="H1837" s="80"/>
      <c r="I1837" s="80"/>
      <c r="J1837" s="196"/>
      <c r="K1837" s="196"/>
      <c r="L1837" s="196"/>
      <c r="M1837" s="196"/>
      <c r="N1837" s="196"/>
      <c r="O1837" s="196"/>
      <c r="P1837" s="196"/>
      <c r="Q1837" s="196"/>
      <c r="R1837" s="196"/>
      <c r="S1837" s="196"/>
      <c r="T1837" s="196"/>
      <c r="U1837" s="196"/>
      <c r="V1837" s="196"/>
      <c r="W1837" s="196"/>
      <c r="X1837" s="196"/>
      <c r="Y1837" s="196"/>
      <c r="Z1837" s="196"/>
      <c r="AA1837" s="196"/>
      <c r="AB1837" s="196"/>
      <c r="AC1837" s="196"/>
      <c r="AD1837" s="196"/>
      <c r="AE1837" s="196"/>
      <c r="AF1837" s="196"/>
      <c r="AG1837" s="196"/>
      <c r="AH1837" s="196"/>
      <c r="AI1837" s="196"/>
      <c r="AJ1837" s="197"/>
      <c r="AK1837" s="80"/>
      <c r="AL1837" s="80"/>
      <c r="AM1837" s="73"/>
      <c r="AN1837" s="73"/>
      <c r="AO1837" s="73"/>
      <c r="AP1837" s="73"/>
      <c r="AQ1837" s="73"/>
      <c r="AR1837" s="73"/>
      <c r="AS1837" s="73"/>
      <c r="AT1837" s="73"/>
      <c r="AU1837" s="73"/>
      <c r="AV1837" s="73"/>
      <c r="AW1837" s="73"/>
      <c r="AX1837" s="73"/>
      <c r="AY1837" s="73"/>
      <c r="AZ1837" s="73"/>
      <c r="BA1837" s="73"/>
      <c r="BB1837" s="73"/>
      <c r="BC1837" s="73"/>
      <c r="BD1837" s="73"/>
      <c r="BE1837" s="73"/>
      <c r="BF1837" s="73"/>
      <c r="BG1837" s="73"/>
      <c r="BH1837" s="73"/>
      <c r="BI1837" s="73"/>
      <c r="BJ1837" s="73"/>
      <c r="BK1837" s="73"/>
      <c r="BL1837" s="73"/>
      <c r="BM1837" s="73"/>
      <c r="BN1837" s="73"/>
      <c r="BO1837" s="73"/>
      <c r="BP1837" s="73"/>
      <c r="BQ1837" s="73"/>
      <c r="BR1837" s="73"/>
      <c r="BS1837" s="73"/>
      <c r="BT1837" s="73"/>
      <c r="BU1837" s="73"/>
      <c r="BV1837" s="73"/>
      <c r="BW1837" s="73"/>
      <c r="BX1837" s="73"/>
      <c r="BY1837" s="73"/>
      <c r="BZ1837" s="73"/>
      <c r="CA1837" s="73"/>
      <c r="CB1837" s="73"/>
      <c r="CC1837" s="73"/>
      <c r="CD1837" s="73"/>
      <c r="CE1837" s="73"/>
      <c r="CF1837" s="73"/>
      <c r="CG1837" s="73"/>
      <c r="CH1837" s="73"/>
    </row>
    <row r="1838">
      <c r="A1838" s="80"/>
      <c r="B1838" s="80"/>
      <c r="C1838" s="80"/>
      <c r="D1838" s="80"/>
      <c r="E1838" s="124"/>
      <c r="F1838" s="80"/>
      <c r="G1838" s="80"/>
      <c r="H1838" s="80"/>
      <c r="I1838" s="80"/>
      <c r="J1838" s="196"/>
      <c r="K1838" s="196"/>
      <c r="L1838" s="196"/>
      <c r="M1838" s="196"/>
      <c r="N1838" s="196"/>
      <c r="O1838" s="196"/>
      <c r="P1838" s="196"/>
      <c r="Q1838" s="196"/>
      <c r="R1838" s="196"/>
      <c r="S1838" s="196"/>
      <c r="T1838" s="196"/>
      <c r="U1838" s="196"/>
      <c r="V1838" s="196"/>
      <c r="W1838" s="196"/>
      <c r="X1838" s="196"/>
      <c r="Y1838" s="196"/>
      <c r="Z1838" s="196"/>
      <c r="AA1838" s="196"/>
      <c r="AB1838" s="196"/>
      <c r="AC1838" s="196"/>
      <c r="AD1838" s="196"/>
      <c r="AE1838" s="196"/>
      <c r="AF1838" s="196"/>
      <c r="AG1838" s="196"/>
      <c r="AH1838" s="196"/>
      <c r="AI1838" s="196"/>
      <c r="AJ1838" s="197"/>
      <c r="AK1838" s="80"/>
      <c r="AL1838" s="80"/>
      <c r="AM1838" s="73"/>
      <c r="AN1838" s="73"/>
      <c r="AO1838" s="73"/>
      <c r="AP1838" s="73"/>
      <c r="AQ1838" s="73"/>
      <c r="AR1838" s="73"/>
      <c r="AS1838" s="73"/>
      <c r="AT1838" s="73"/>
      <c r="AU1838" s="73"/>
      <c r="AV1838" s="73"/>
      <c r="AW1838" s="73"/>
      <c r="AX1838" s="73"/>
      <c r="AY1838" s="73"/>
      <c r="AZ1838" s="73"/>
      <c r="BA1838" s="73"/>
      <c r="BB1838" s="73"/>
      <c r="BC1838" s="73"/>
      <c r="BD1838" s="73"/>
      <c r="BE1838" s="73"/>
      <c r="BF1838" s="73"/>
      <c r="BG1838" s="73"/>
      <c r="BH1838" s="73"/>
      <c r="BI1838" s="73"/>
      <c r="BJ1838" s="73"/>
      <c r="BK1838" s="73"/>
      <c r="BL1838" s="73"/>
      <c r="BM1838" s="73"/>
      <c r="BN1838" s="73"/>
      <c r="BO1838" s="73"/>
      <c r="BP1838" s="73"/>
      <c r="BQ1838" s="73"/>
      <c r="BR1838" s="73"/>
      <c r="BS1838" s="73"/>
      <c r="BT1838" s="73"/>
      <c r="BU1838" s="73"/>
      <c r="BV1838" s="73"/>
      <c r="BW1838" s="73"/>
      <c r="BX1838" s="73"/>
      <c r="BY1838" s="73"/>
      <c r="BZ1838" s="73"/>
      <c r="CA1838" s="73"/>
      <c r="CB1838" s="73"/>
      <c r="CC1838" s="73"/>
      <c r="CD1838" s="73"/>
      <c r="CE1838" s="73"/>
      <c r="CF1838" s="73"/>
      <c r="CG1838" s="73"/>
      <c r="CH1838" s="73"/>
    </row>
    <row r="1839">
      <c r="A1839" s="80"/>
      <c r="B1839" s="80"/>
      <c r="C1839" s="80"/>
      <c r="D1839" s="80"/>
      <c r="E1839" s="124"/>
      <c r="F1839" s="80"/>
      <c r="G1839" s="80"/>
      <c r="H1839" s="80"/>
      <c r="I1839" s="80"/>
      <c r="J1839" s="196"/>
      <c r="K1839" s="196"/>
      <c r="L1839" s="196"/>
      <c r="M1839" s="196"/>
      <c r="N1839" s="196"/>
      <c r="O1839" s="196"/>
      <c r="P1839" s="196"/>
      <c r="Q1839" s="196"/>
      <c r="R1839" s="196"/>
      <c r="S1839" s="196"/>
      <c r="T1839" s="196"/>
      <c r="U1839" s="196"/>
      <c r="V1839" s="196"/>
      <c r="W1839" s="196"/>
      <c r="X1839" s="196"/>
      <c r="Y1839" s="196"/>
      <c r="Z1839" s="196"/>
      <c r="AA1839" s="196"/>
      <c r="AB1839" s="196"/>
      <c r="AC1839" s="196"/>
      <c r="AD1839" s="196"/>
      <c r="AE1839" s="196"/>
      <c r="AF1839" s="196"/>
      <c r="AG1839" s="196"/>
      <c r="AH1839" s="196"/>
      <c r="AI1839" s="196"/>
      <c r="AJ1839" s="197"/>
      <c r="AK1839" s="80"/>
      <c r="AL1839" s="80"/>
      <c r="AM1839" s="73"/>
      <c r="AN1839" s="73"/>
      <c r="AO1839" s="73"/>
      <c r="AP1839" s="73"/>
      <c r="AQ1839" s="73"/>
      <c r="AR1839" s="73"/>
      <c r="AS1839" s="73"/>
      <c r="AT1839" s="73"/>
      <c r="AU1839" s="73"/>
      <c r="AV1839" s="73"/>
      <c r="AW1839" s="73"/>
      <c r="AX1839" s="73"/>
      <c r="AY1839" s="73"/>
      <c r="AZ1839" s="73"/>
      <c r="BA1839" s="73"/>
      <c r="BB1839" s="73"/>
      <c r="BC1839" s="73"/>
      <c r="BD1839" s="73"/>
      <c r="BE1839" s="73"/>
      <c r="BF1839" s="73"/>
      <c r="BG1839" s="73"/>
      <c r="BH1839" s="73"/>
      <c r="BI1839" s="73"/>
      <c r="BJ1839" s="73"/>
      <c r="BK1839" s="73"/>
      <c r="BL1839" s="73"/>
      <c r="BM1839" s="73"/>
      <c r="BN1839" s="73"/>
      <c r="BO1839" s="73"/>
      <c r="BP1839" s="73"/>
      <c r="BQ1839" s="73"/>
      <c r="BR1839" s="73"/>
      <c r="BS1839" s="73"/>
      <c r="BT1839" s="73"/>
      <c r="BU1839" s="73"/>
      <c r="BV1839" s="73"/>
      <c r="BW1839" s="73"/>
      <c r="BX1839" s="73"/>
      <c r="BY1839" s="73"/>
      <c r="BZ1839" s="73"/>
      <c r="CA1839" s="73"/>
      <c r="CB1839" s="73"/>
      <c r="CC1839" s="73"/>
      <c r="CD1839" s="73"/>
      <c r="CE1839" s="73"/>
      <c r="CF1839" s="73"/>
      <c r="CG1839" s="73"/>
      <c r="CH1839" s="73"/>
    </row>
    <row r="1840">
      <c r="A1840" s="80"/>
      <c r="B1840" s="80"/>
      <c r="C1840" s="80"/>
      <c r="D1840" s="80"/>
      <c r="E1840" s="124"/>
      <c r="F1840" s="80"/>
      <c r="G1840" s="80"/>
      <c r="H1840" s="80"/>
      <c r="I1840" s="80"/>
      <c r="J1840" s="196"/>
      <c r="K1840" s="196"/>
      <c r="L1840" s="196"/>
      <c r="M1840" s="196"/>
      <c r="N1840" s="196"/>
      <c r="O1840" s="196"/>
      <c r="P1840" s="196"/>
      <c r="Q1840" s="196"/>
      <c r="R1840" s="196"/>
      <c r="S1840" s="196"/>
      <c r="T1840" s="196"/>
      <c r="U1840" s="196"/>
      <c r="V1840" s="196"/>
      <c r="W1840" s="196"/>
      <c r="X1840" s="196"/>
      <c r="Y1840" s="196"/>
      <c r="Z1840" s="196"/>
      <c r="AA1840" s="196"/>
      <c r="AB1840" s="196"/>
      <c r="AC1840" s="196"/>
      <c r="AD1840" s="196"/>
      <c r="AE1840" s="196"/>
      <c r="AF1840" s="196"/>
      <c r="AG1840" s="196"/>
      <c r="AH1840" s="196"/>
      <c r="AI1840" s="196"/>
      <c r="AJ1840" s="197"/>
      <c r="AK1840" s="80"/>
      <c r="AL1840" s="80"/>
      <c r="AM1840" s="73"/>
      <c r="AN1840" s="73"/>
      <c r="AO1840" s="73"/>
      <c r="AP1840" s="73"/>
      <c r="AQ1840" s="73"/>
      <c r="AR1840" s="73"/>
      <c r="AS1840" s="73"/>
      <c r="AT1840" s="73"/>
      <c r="AU1840" s="73"/>
      <c r="AV1840" s="73"/>
      <c r="AW1840" s="73"/>
      <c r="AX1840" s="73"/>
      <c r="AY1840" s="73"/>
      <c r="AZ1840" s="73"/>
      <c r="BA1840" s="73"/>
      <c r="BB1840" s="73"/>
      <c r="BC1840" s="73"/>
      <c r="BD1840" s="73"/>
      <c r="BE1840" s="73"/>
      <c r="BF1840" s="73"/>
      <c r="BG1840" s="73"/>
      <c r="BH1840" s="73"/>
      <c r="BI1840" s="73"/>
      <c r="BJ1840" s="73"/>
      <c r="BK1840" s="73"/>
      <c r="BL1840" s="73"/>
      <c r="BM1840" s="73"/>
      <c r="BN1840" s="73"/>
      <c r="BO1840" s="73"/>
      <c r="BP1840" s="73"/>
      <c r="BQ1840" s="73"/>
      <c r="BR1840" s="73"/>
      <c r="BS1840" s="73"/>
      <c r="BT1840" s="73"/>
      <c r="BU1840" s="73"/>
      <c r="BV1840" s="73"/>
      <c r="BW1840" s="73"/>
      <c r="BX1840" s="73"/>
      <c r="BY1840" s="73"/>
      <c r="BZ1840" s="73"/>
      <c r="CA1840" s="73"/>
      <c r="CB1840" s="73"/>
      <c r="CC1840" s="73"/>
      <c r="CD1840" s="73"/>
      <c r="CE1840" s="73"/>
      <c r="CF1840" s="73"/>
      <c r="CG1840" s="73"/>
      <c r="CH1840" s="73"/>
    </row>
    <row r="1841">
      <c r="A1841" s="80"/>
      <c r="B1841" s="80"/>
      <c r="C1841" s="80"/>
      <c r="D1841" s="80"/>
      <c r="E1841" s="124"/>
      <c r="F1841" s="80"/>
      <c r="G1841" s="80"/>
      <c r="H1841" s="80"/>
      <c r="I1841" s="80"/>
      <c r="J1841" s="196"/>
      <c r="K1841" s="196"/>
      <c r="L1841" s="196"/>
      <c r="M1841" s="196"/>
      <c r="N1841" s="196"/>
      <c r="O1841" s="196"/>
      <c r="P1841" s="196"/>
      <c r="Q1841" s="196"/>
      <c r="R1841" s="196"/>
      <c r="S1841" s="196"/>
      <c r="T1841" s="196"/>
      <c r="U1841" s="196"/>
      <c r="V1841" s="196"/>
      <c r="W1841" s="196"/>
      <c r="X1841" s="196"/>
      <c r="Y1841" s="196"/>
      <c r="Z1841" s="196"/>
      <c r="AA1841" s="196"/>
      <c r="AB1841" s="196"/>
      <c r="AC1841" s="196"/>
      <c r="AD1841" s="196"/>
      <c r="AE1841" s="196"/>
      <c r="AF1841" s="196"/>
      <c r="AG1841" s="196"/>
      <c r="AH1841" s="196"/>
      <c r="AI1841" s="196"/>
      <c r="AJ1841" s="197"/>
      <c r="AK1841" s="80"/>
      <c r="AL1841" s="80"/>
      <c r="AM1841" s="73"/>
      <c r="AN1841" s="73"/>
      <c r="AO1841" s="73"/>
      <c r="AP1841" s="73"/>
      <c r="AQ1841" s="73"/>
      <c r="AR1841" s="73"/>
      <c r="AS1841" s="73"/>
      <c r="AT1841" s="73"/>
      <c r="AU1841" s="73"/>
      <c r="AV1841" s="73"/>
      <c r="AW1841" s="73"/>
      <c r="AX1841" s="73"/>
      <c r="AY1841" s="73"/>
      <c r="AZ1841" s="73"/>
      <c r="BA1841" s="73"/>
      <c r="BB1841" s="73"/>
      <c r="BC1841" s="73"/>
      <c r="BD1841" s="73"/>
      <c r="BE1841" s="73"/>
      <c r="BF1841" s="73"/>
      <c r="BG1841" s="73"/>
      <c r="BH1841" s="73"/>
      <c r="BI1841" s="73"/>
      <c r="BJ1841" s="73"/>
      <c r="BK1841" s="73"/>
      <c r="BL1841" s="73"/>
      <c r="BM1841" s="73"/>
      <c r="BN1841" s="73"/>
      <c r="BO1841" s="73"/>
      <c r="BP1841" s="73"/>
      <c r="BQ1841" s="73"/>
      <c r="BR1841" s="73"/>
      <c r="BS1841" s="73"/>
      <c r="BT1841" s="73"/>
      <c r="BU1841" s="73"/>
      <c r="BV1841" s="73"/>
      <c r="BW1841" s="73"/>
      <c r="BX1841" s="73"/>
      <c r="BY1841" s="73"/>
      <c r="BZ1841" s="73"/>
      <c r="CA1841" s="73"/>
      <c r="CB1841" s="73"/>
      <c r="CC1841" s="73"/>
      <c r="CD1841" s="73"/>
      <c r="CE1841" s="73"/>
      <c r="CF1841" s="73"/>
      <c r="CG1841" s="73"/>
      <c r="CH1841" s="73"/>
    </row>
    <row r="1842">
      <c r="A1842" s="80"/>
      <c r="B1842" s="80"/>
      <c r="C1842" s="80"/>
      <c r="D1842" s="80"/>
      <c r="E1842" s="124"/>
      <c r="F1842" s="80"/>
      <c r="G1842" s="80"/>
      <c r="H1842" s="80"/>
      <c r="I1842" s="80"/>
      <c r="J1842" s="196"/>
      <c r="K1842" s="196"/>
      <c r="L1842" s="196"/>
      <c r="M1842" s="196"/>
      <c r="N1842" s="196"/>
      <c r="O1842" s="196"/>
      <c r="P1842" s="196"/>
      <c r="Q1842" s="196"/>
      <c r="R1842" s="196"/>
      <c r="S1842" s="196"/>
      <c r="T1842" s="196"/>
      <c r="U1842" s="196"/>
      <c r="V1842" s="196"/>
      <c r="W1842" s="196"/>
      <c r="X1842" s="196"/>
      <c r="Y1842" s="196"/>
      <c r="Z1842" s="196"/>
      <c r="AA1842" s="196"/>
      <c r="AB1842" s="196"/>
      <c r="AC1842" s="196"/>
      <c r="AD1842" s="196"/>
      <c r="AE1842" s="196"/>
      <c r="AF1842" s="196"/>
      <c r="AG1842" s="196"/>
      <c r="AH1842" s="196"/>
      <c r="AI1842" s="196"/>
      <c r="AJ1842" s="197"/>
      <c r="AK1842" s="80"/>
      <c r="AL1842" s="80"/>
      <c r="AM1842" s="73"/>
      <c r="AN1842" s="73"/>
      <c r="AO1842" s="73"/>
      <c r="AP1842" s="73"/>
      <c r="AQ1842" s="73"/>
      <c r="AR1842" s="73"/>
      <c r="AS1842" s="73"/>
      <c r="AT1842" s="73"/>
      <c r="AU1842" s="73"/>
      <c r="AV1842" s="73"/>
      <c r="AW1842" s="73"/>
      <c r="AX1842" s="73"/>
      <c r="AY1842" s="73"/>
      <c r="AZ1842" s="73"/>
      <c r="BA1842" s="73"/>
      <c r="BB1842" s="73"/>
      <c r="BC1842" s="73"/>
      <c r="BD1842" s="73"/>
      <c r="BE1842" s="73"/>
      <c r="BF1842" s="73"/>
      <c r="BG1842" s="73"/>
      <c r="BH1842" s="73"/>
      <c r="BI1842" s="73"/>
      <c r="BJ1842" s="73"/>
      <c r="BK1842" s="73"/>
      <c r="BL1842" s="73"/>
      <c r="BM1842" s="73"/>
      <c r="BN1842" s="73"/>
      <c r="BO1842" s="73"/>
      <c r="BP1842" s="73"/>
      <c r="BQ1842" s="73"/>
      <c r="BR1842" s="73"/>
      <c r="BS1842" s="73"/>
      <c r="BT1842" s="73"/>
      <c r="BU1842" s="73"/>
      <c r="BV1842" s="73"/>
      <c r="BW1842" s="73"/>
      <c r="BX1842" s="73"/>
      <c r="BY1842" s="73"/>
      <c r="BZ1842" s="73"/>
      <c r="CA1842" s="73"/>
      <c r="CB1842" s="73"/>
      <c r="CC1842" s="73"/>
      <c r="CD1842" s="73"/>
      <c r="CE1842" s="73"/>
      <c r="CF1842" s="73"/>
      <c r="CG1842" s="73"/>
      <c r="CH1842" s="73"/>
    </row>
    <row r="1843">
      <c r="A1843" s="80"/>
      <c r="B1843" s="80"/>
      <c r="C1843" s="80"/>
      <c r="D1843" s="80"/>
      <c r="E1843" s="124"/>
      <c r="F1843" s="80"/>
      <c r="G1843" s="80"/>
      <c r="H1843" s="80"/>
      <c r="I1843" s="80"/>
      <c r="J1843" s="196"/>
      <c r="K1843" s="196"/>
      <c r="L1843" s="196"/>
      <c r="M1843" s="196"/>
      <c r="N1843" s="196"/>
      <c r="O1843" s="196"/>
      <c r="P1843" s="196"/>
      <c r="Q1843" s="196"/>
      <c r="R1843" s="196"/>
      <c r="S1843" s="196"/>
      <c r="T1843" s="196"/>
      <c r="U1843" s="196"/>
      <c r="V1843" s="196"/>
      <c r="W1843" s="196"/>
      <c r="X1843" s="196"/>
      <c r="Y1843" s="196"/>
      <c r="Z1843" s="196"/>
      <c r="AA1843" s="196"/>
      <c r="AB1843" s="196"/>
      <c r="AC1843" s="196"/>
      <c r="AD1843" s="196"/>
      <c r="AE1843" s="196"/>
      <c r="AF1843" s="196"/>
      <c r="AG1843" s="196"/>
      <c r="AH1843" s="196"/>
      <c r="AI1843" s="196"/>
      <c r="AJ1843" s="197"/>
      <c r="AK1843" s="80"/>
      <c r="AL1843" s="80"/>
      <c r="AM1843" s="73"/>
      <c r="AN1843" s="73"/>
      <c r="AO1843" s="73"/>
      <c r="AP1843" s="73"/>
      <c r="AQ1843" s="73"/>
      <c r="AR1843" s="73"/>
      <c r="AS1843" s="73"/>
      <c r="AT1843" s="73"/>
      <c r="AU1843" s="73"/>
      <c r="AV1843" s="73"/>
      <c r="AW1843" s="73"/>
      <c r="AX1843" s="73"/>
      <c r="AY1843" s="73"/>
      <c r="AZ1843" s="73"/>
      <c r="BA1843" s="73"/>
      <c r="BB1843" s="73"/>
      <c r="BC1843" s="73"/>
      <c r="BD1843" s="73"/>
      <c r="BE1843" s="73"/>
      <c r="BF1843" s="73"/>
      <c r="BG1843" s="73"/>
      <c r="BH1843" s="73"/>
      <c r="BI1843" s="73"/>
      <c r="BJ1843" s="73"/>
      <c r="BK1843" s="73"/>
      <c r="BL1843" s="73"/>
      <c r="BM1843" s="73"/>
      <c r="BN1843" s="73"/>
      <c r="BO1843" s="73"/>
      <c r="BP1843" s="73"/>
      <c r="BQ1843" s="73"/>
      <c r="BR1843" s="73"/>
      <c r="BS1843" s="73"/>
      <c r="BT1843" s="73"/>
      <c r="BU1843" s="73"/>
      <c r="BV1843" s="73"/>
      <c r="BW1843" s="73"/>
      <c r="BX1843" s="73"/>
      <c r="BY1843" s="73"/>
      <c r="BZ1843" s="73"/>
      <c r="CA1843" s="73"/>
      <c r="CB1843" s="73"/>
      <c r="CC1843" s="73"/>
      <c r="CD1843" s="73"/>
      <c r="CE1843" s="73"/>
      <c r="CF1843" s="73"/>
      <c r="CG1843" s="73"/>
      <c r="CH1843" s="73"/>
    </row>
    <row r="1844">
      <c r="A1844" s="80"/>
      <c r="B1844" s="80"/>
      <c r="C1844" s="80"/>
      <c r="D1844" s="80"/>
      <c r="E1844" s="124"/>
      <c r="F1844" s="80"/>
      <c r="G1844" s="80"/>
      <c r="H1844" s="80"/>
      <c r="I1844" s="80"/>
      <c r="J1844" s="196"/>
      <c r="K1844" s="196"/>
      <c r="L1844" s="196"/>
      <c r="M1844" s="196"/>
      <c r="N1844" s="196"/>
      <c r="O1844" s="196"/>
      <c r="P1844" s="196"/>
      <c r="Q1844" s="196"/>
      <c r="R1844" s="196"/>
      <c r="S1844" s="196"/>
      <c r="T1844" s="196"/>
      <c r="U1844" s="196"/>
      <c r="V1844" s="196"/>
      <c r="W1844" s="196"/>
      <c r="X1844" s="196"/>
      <c r="Y1844" s="196"/>
      <c r="Z1844" s="196"/>
      <c r="AA1844" s="196"/>
      <c r="AB1844" s="196"/>
      <c r="AC1844" s="196"/>
      <c r="AD1844" s="196"/>
      <c r="AE1844" s="196"/>
      <c r="AF1844" s="196"/>
      <c r="AG1844" s="196"/>
      <c r="AH1844" s="196"/>
      <c r="AI1844" s="196"/>
      <c r="AJ1844" s="197"/>
      <c r="AK1844" s="80"/>
      <c r="AL1844" s="80"/>
      <c r="AM1844" s="73"/>
      <c r="AN1844" s="73"/>
      <c r="AO1844" s="73"/>
      <c r="AP1844" s="73"/>
      <c r="AQ1844" s="73"/>
      <c r="AR1844" s="73"/>
      <c r="AS1844" s="73"/>
      <c r="AT1844" s="73"/>
      <c r="AU1844" s="73"/>
      <c r="AV1844" s="73"/>
      <c r="AW1844" s="73"/>
      <c r="AX1844" s="73"/>
      <c r="AY1844" s="73"/>
      <c r="AZ1844" s="73"/>
      <c r="BA1844" s="73"/>
      <c r="BB1844" s="73"/>
      <c r="BC1844" s="73"/>
      <c r="BD1844" s="73"/>
      <c r="BE1844" s="73"/>
      <c r="BF1844" s="73"/>
      <c r="BG1844" s="73"/>
      <c r="BH1844" s="73"/>
      <c r="BI1844" s="73"/>
      <c r="BJ1844" s="73"/>
      <c r="BK1844" s="73"/>
      <c r="BL1844" s="73"/>
      <c r="BM1844" s="73"/>
      <c r="BN1844" s="73"/>
      <c r="BO1844" s="73"/>
      <c r="BP1844" s="73"/>
      <c r="BQ1844" s="73"/>
      <c r="BR1844" s="73"/>
      <c r="BS1844" s="73"/>
      <c r="BT1844" s="73"/>
      <c r="BU1844" s="73"/>
      <c r="BV1844" s="73"/>
      <c r="BW1844" s="73"/>
      <c r="BX1844" s="73"/>
      <c r="BY1844" s="73"/>
      <c r="BZ1844" s="73"/>
      <c r="CA1844" s="73"/>
      <c r="CB1844" s="73"/>
      <c r="CC1844" s="73"/>
      <c r="CD1844" s="73"/>
      <c r="CE1844" s="73"/>
      <c r="CF1844" s="73"/>
      <c r="CG1844" s="73"/>
      <c r="CH1844" s="73"/>
    </row>
    <row r="1845">
      <c r="A1845" s="80"/>
      <c r="B1845" s="80"/>
      <c r="C1845" s="80"/>
      <c r="D1845" s="80"/>
      <c r="E1845" s="124"/>
      <c r="F1845" s="80"/>
      <c r="G1845" s="80"/>
      <c r="H1845" s="80"/>
      <c r="I1845" s="80"/>
      <c r="J1845" s="196"/>
      <c r="K1845" s="196"/>
      <c r="L1845" s="196"/>
      <c r="M1845" s="196"/>
      <c r="N1845" s="196"/>
      <c r="O1845" s="196"/>
      <c r="P1845" s="196"/>
      <c r="Q1845" s="196"/>
      <c r="R1845" s="196"/>
      <c r="S1845" s="196"/>
      <c r="T1845" s="196"/>
      <c r="U1845" s="196"/>
      <c r="V1845" s="196"/>
      <c r="W1845" s="196"/>
      <c r="X1845" s="196"/>
      <c r="Y1845" s="196"/>
      <c r="Z1845" s="196"/>
      <c r="AA1845" s="196"/>
      <c r="AB1845" s="196"/>
      <c r="AC1845" s="196"/>
      <c r="AD1845" s="196"/>
      <c r="AE1845" s="196"/>
      <c r="AF1845" s="196"/>
      <c r="AG1845" s="196"/>
      <c r="AH1845" s="196"/>
      <c r="AI1845" s="196"/>
      <c r="AJ1845" s="197"/>
      <c r="AK1845" s="80"/>
      <c r="AL1845" s="80"/>
      <c r="AM1845" s="73"/>
      <c r="AN1845" s="73"/>
      <c r="AO1845" s="73"/>
      <c r="AP1845" s="73"/>
      <c r="AQ1845" s="73"/>
      <c r="AR1845" s="73"/>
      <c r="AS1845" s="73"/>
      <c r="AT1845" s="73"/>
      <c r="AU1845" s="73"/>
      <c r="AV1845" s="73"/>
      <c r="AW1845" s="73"/>
      <c r="AX1845" s="73"/>
      <c r="AY1845" s="73"/>
      <c r="AZ1845" s="73"/>
      <c r="BA1845" s="73"/>
      <c r="BB1845" s="73"/>
      <c r="BC1845" s="73"/>
      <c r="BD1845" s="73"/>
      <c r="BE1845" s="73"/>
      <c r="BF1845" s="73"/>
      <c r="BG1845" s="73"/>
      <c r="BH1845" s="73"/>
      <c r="BI1845" s="73"/>
      <c r="BJ1845" s="73"/>
      <c r="BK1845" s="73"/>
      <c r="BL1845" s="73"/>
      <c r="BM1845" s="73"/>
      <c r="BN1845" s="73"/>
      <c r="BO1845" s="73"/>
      <c r="BP1845" s="73"/>
      <c r="BQ1845" s="73"/>
      <c r="BR1845" s="73"/>
      <c r="BS1845" s="73"/>
      <c r="BT1845" s="73"/>
      <c r="BU1845" s="73"/>
      <c r="BV1845" s="73"/>
      <c r="BW1845" s="73"/>
      <c r="BX1845" s="73"/>
      <c r="BY1845" s="73"/>
      <c r="BZ1845" s="73"/>
      <c r="CA1845" s="73"/>
      <c r="CB1845" s="73"/>
      <c r="CC1845" s="73"/>
      <c r="CD1845" s="73"/>
      <c r="CE1845" s="73"/>
      <c r="CF1845" s="73"/>
      <c r="CG1845" s="73"/>
      <c r="CH1845" s="73"/>
    </row>
    <row r="1846">
      <c r="A1846" s="80"/>
      <c r="B1846" s="80"/>
      <c r="C1846" s="80"/>
      <c r="D1846" s="80"/>
      <c r="E1846" s="124"/>
      <c r="F1846" s="80"/>
      <c r="G1846" s="80"/>
      <c r="H1846" s="80"/>
      <c r="I1846" s="80"/>
      <c r="J1846" s="196"/>
      <c r="K1846" s="196"/>
      <c r="L1846" s="196"/>
      <c r="M1846" s="196"/>
      <c r="N1846" s="196"/>
      <c r="O1846" s="196"/>
      <c r="P1846" s="196"/>
      <c r="Q1846" s="196"/>
      <c r="R1846" s="196"/>
      <c r="S1846" s="196"/>
      <c r="T1846" s="196"/>
      <c r="U1846" s="196"/>
      <c r="V1846" s="196"/>
      <c r="W1846" s="196"/>
      <c r="X1846" s="196"/>
      <c r="Y1846" s="196"/>
      <c r="Z1846" s="196"/>
      <c r="AA1846" s="196"/>
      <c r="AB1846" s="196"/>
      <c r="AC1846" s="196"/>
      <c r="AD1846" s="196"/>
      <c r="AE1846" s="196"/>
      <c r="AF1846" s="196"/>
      <c r="AG1846" s="196"/>
      <c r="AH1846" s="196"/>
      <c r="AI1846" s="196"/>
      <c r="AJ1846" s="197"/>
      <c r="AK1846" s="80"/>
      <c r="AL1846" s="80"/>
      <c r="AM1846" s="73"/>
      <c r="AN1846" s="73"/>
      <c r="AO1846" s="73"/>
      <c r="AP1846" s="73"/>
      <c r="AQ1846" s="73"/>
      <c r="AR1846" s="73"/>
      <c r="AS1846" s="73"/>
      <c r="AT1846" s="73"/>
      <c r="AU1846" s="73"/>
      <c r="AV1846" s="73"/>
      <c r="AW1846" s="73"/>
      <c r="AX1846" s="73"/>
      <c r="AY1846" s="73"/>
      <c r="AZ1846" s="73"/>
      <c r="BA1846" s="73"/>
      <c r="BB1846" s="73"/>
      <c r="BC1846" s="73"/>
      <c r="BD1846" s="73"/>
      <c r="BE1846" s="73"/>
      <c r="BF1846" s="73"/>
      <c r="BG1846" s="73"/>
      <c r="BH1846" s="73"/>
      <c r="BI1846" s="73"/>
      <c r="BJ1846" s="73"/>
      <c r="BK1846" s="73"/>
      <c r="BL1846" s="73"/>
      <c r="BM1846" s="73"/>
      <c r="BN1846" s="73"/>
      <c r="BO1846" s="73"/>
      <c r="BP1846" s="73"/>
      <c r="BQ1846" s="73"/>
      <c r="BR1846" s="73"/>
      <c r="BS1846" s="73"/>
      <c r="BT1846" s="73"/>
      <c r="BU1846" s="73"/>
      <c r="BV1846" s="73"/>
      <c r="BW1846" s="73"/>
      <c r="BX1846" s="73"/>
      <c r="BY1846" s="73"/>
      <c r="BZ1846" s="73"/>
      <c r="CA1846" s="73"/>
      <c r="CB1846" s="73"/>
      <c r="CC1846" s="73"/>
      <c r="CD1846" s="73"/>
      <c r="CE1846" s="73"/>
      <c r="CF1846" s="73"/>
      <c r="CG1846" s="73"/>
      <c r="CH1846" s="73"/>
    </row>
    <row r="1847">
      <c r="A1847" s="80"/>
      <c r="B1847" s="80"/>
      <c r="C1847" s="80"/>
      <c r="D1847" s="80"/>
      <c r="E1847" s="124"/>
      <c r="F1847" s="80"/>
      <c r="G1847" s="80"/>
      <c r="H1847" s="80"/>
      <c r="I1847" s="80"/>
      <c r="J1847" s="196"/>
      <c r="K1847" s="196"/>
      <c r="L1847" s="196"/>
      <c r="M1847" s="196"/>
      <c r="N1847" s="196"/>
      <c r="O1847" s="196"/>
      <c r="P1847" s="196"/>
      <c r="Q1847" s="196"/>
      <c r="R1847" s="196"/>
      <c r="S1847" s="196"/>
      <c r="T1847" s="196"/>
      <c r="U1847" s="196"/>
      <c r="V1847" s="196"/>
      <c r="W1847" s="196"/>
      <c r="X1847" s="196"/>
      <c r="Y1847" s="196"/>
      <c r="Z1847" s="196"/>
      <c r="AA1847" s="196"/>
      <c r="AB1847" s="196"/>
      <c r="AC1847" s="196"/>
      <c r="AD1847" s="196"/>
      <c r="AE1847" s="196"/>
      <c r="AF1847" s="196"/>
      <c r="AG1847" s="196"/>
      <c r="AH1847" s="196"/>
      <c r="AI1847" s="196"/>
      <c r="AJ1847" s="197"/>
      <c r="AK1847" s="80"/>
      <c r="AL1847" s="80"/>
      <c r="AM1847" s="73"/>
      <c r="AN1847" s="73"/>
      <c r="AO1847" s="73"/>
      <c r="AP1847" s="73"/>
      <c r="AQ1847" s="73"/>
      <c r="AR1847" s="73"/>
      <c r="AS1847" s="73"/>
      <c r="AT1847" s="73"/>
      <c r="AU1847" s="73"/>
      <c r="AV1847" s="73"/>
      <c r="AW1847" s="73"/>
      <c r="AX1847" s="73"/>
      <c r="AY1847" s="73"/>
      <c r="AZ1847" s="73"/>
      <c r="BA1847" s="73"/>
      <c r="BB1847" s="73"/>
      <c r="BC1847" s="73"/>
      <c r="BD1847" s="73"/>
      <c r="BE1847" s="73"/>
      <c r="BF1847" s="73"/>
      <c r="BG1847" s="73"/>
      <c r="BH1847" s="73"/>
      <c r="BI1847" s="73"/>
      <c r="BJ1847" s="73"/>
      <c r="BK1847" s="73"/>
      <c r="BL1847" s="73"/>
      <c r="BM1847" s="73"/>
      <c r="BN1847" s="73"/>
      <c r="BO1847" s="73"/>
      <c r="BP1847" s="73"/>
      <c r="BQ1847" s="73"/>
      <c r="BR1847" s="73"/>
      <c r="BS1847" s="73"/>
      <c r="BT1847" s="73"/>
      <c r="BU1847" s="73"/>
      <c r="BV1847" s="73"/>
      <c r="BW1847" s="73"/>
      <c r="BX1847" s="73"/>
      <c r="BY1847" s="73"/>
      <c r="BZ1847" s="73"/>
      <c r="CA1847" s="73"/>
      <c r="CB1847" s="73"/>
      <c r="CC1847" s="73"/>
      <c r="CD1847" s="73"/>
      <c r="CE1847" s="73"/>
      <c r="CF1847" s="73"/>
      <c r="CG1847" s="73"/>
      <c r="CH1847" s="73"/>
    </row>
    <row r="1848">
      <c r="A1848" s="80"/>
      <c r="B1848" s="80"/>
      <c r="C1848" s="80"/>
      <c r="D1848" s="80"/>
      <c r="E1848" s="124"/>
      <c r="F1848" s="80"/>
      <c r="G1848" s="80"/>
      <c r="H1848" s="80"/>
      <c r="I1848" s="80"/>
      <c r="J1848" s="196"/>
      <c r="K1848" s="196"/>
      <c r="L1848" s="196"/>
      <c r="M1848" s="196"/>
      <c r="N1848" s="196"/>
      <c r="O1848" s="196"/>
      <c r="P1848" s="196"/>
      <c r="Q1848" s="196"/>
      <c r="R1848" s="196"/>
      <c r="S1848" s="196"/>
      <c r="T1848" s="196"/>
      <c r="U1848" s="196"/>
      <c r="V1848" s="196"/>
      <c r="W1848" s="196"/>
      <c r="X1848" s="196"/>
      <c r="Y1848" s="196"/>
      <c r="Z1848" s="196"/>
      <c r="AA1848" s="196"/>
      <c r="AB1848" s="196"/>
      <c r="AC1848" s="196"/>
      <c r="AD1848" s="196"/>
      <c r="AE1848" s="196"/>
      <c r="AF1848" s="196"/>
      <c r="AG1848" s="196"/>
      <c r="AH1848" s="196"/>
      <c r="AI1848" s="196"/>
      <c r="AJ1848" s="197"/>
      <c r="AK1848" s="80"/>
      <c r="AL1848" s="80"/>
      <c r="AM1848" s="73"/>
      <c r="AN1848" s="73"/>
      <c r="AO1848" s="73"/>
      <c r="AP1848" s="73"/>
      <c r="AQ1848" s="73"/>
      <c r="AR1848" s="73"/>
      <c r="AS1848" s="73"/>
      <c r="AT1848" s="73"/>
      <c r="AU1848" s="73"/>
      <c r="AV1848" s="73"/>
      <c r="AW1848" s="73"/>
      <c r="AX1848" s="73"/>
      <c r="AY1848" s="73"/>
      <c r="AZ1848" s="73"/>
      <c r="BA1848" s="73"/>
      <c r="BB1848" s="73"/>
      <c r="BC1848" s="73"/>
      <c r="BD1848" s="73"/>
      <c r="BE1848" s="73"/>
      <c r="BF1848" s="73"/>
      <c r="BG1848" s="73"/>
      <c r="BH1848" s="73"/>
      <c r="BI1848" s="73"/>
      <c r="BJ1848" s="73"/>
      <c r="BK1848" s="73"/>
      <c r="BL1848" s="73"/>
      <c r="BM1848" s="73"/>
      <c r="BN1848" s="73"/>
      <c r="BO1848" s="73"/>
      <c r="BP1848" s="73"/>
      <c r="BQ1848" s="73"/>
      <c r="BR1848" s="73"/>
      <c r="BS1848" s="73"/>
      <c r="BT1848" s="73"/>
      <c r="BU1848" s="73"/>
      <c r="BV1848" s="73"/>
      <c r="BW1848" s="73"/>
      <c r="BX1848" s="73"/>
      <c r="BY1848" s="73"/>
      <c r="BZ1848" s="73"/>
      <c r="CA1848" s="73"/>
      <c r="CB1848" s="73"/>
      <c r="CC1848" s="73"/>
      <c r="CD1848" s="73"/>
      <c r="CE1848" s="73"/>
      <c r="CF1848" s="73"/>
      <c r="CG1848" s="73"/>
      <c r="CH1848" s="73"/>
    </row>
    <row r="1849">
      <c r="A1849" s="80"/>
      <c r="B1849" s="80"/>
      <c r="C1849" s="80"/>
      <c r="D1849" s="80"/>
      <c r="E1849" s="124"/>
      <c r="F1849" s="80"/>
      <c r="G1849" s="80"/>
      <c r="H1849" s="80"/>
      <c r="I1849" s="80"/>
      <c r="J1849" s="196"/>
      <c r="K1849" s="196"/>
      <c r="L1849" s="196"/>
      <c r="M1849" s="196"/>
      <c r="N1849" s="196"/>
      <c r="O1849" s="196"/>
      <c r="P1849" s="196"/>
      <c r="Q1849" s="196"/>
      <c r="R1849" s="196"/>
      <c r="S1849" s="196"/>
      <c r="T1849" s="196"/>
      <c r="U1849" s="196"/>
      <c r="V1849" s="196"/>
      <c r="W1849" s="196"/>
      <c r="X1849" s="196"/>
      <c r="Y1849" s="196"/>
      <c r="Z1849" s="196"/>
      <c r="AA1849" s="196"/>
      <c r="AB1849" s="196"/>
      <c r="AC1849" s="196"/>
      <c r="AD1849" s="196"/>
      <c r="AE1849" s="196"/>
      <c r="AF1849" s="196"/>
      <c r="AG1849" s="196"/>
      <c r="AH1849" s="196"/>
      <c r="AI1849" s="196"/>
      <c r="AJ1849" s="197"/>
      <c r="AK1849" s="80"/>
      <c r="AL1849" s="80"/>
      <c r="AM1849" s="73"/>
      <c r="AN1849" s="73"/>
      <c r="AO1849" s="73"/>
      <c r="AP1849" s="73"/>
      <c r="AQ1849" s="73"/>
      <c r="AR1849" s="73"/>
      <c r="AS1849" s="73"/>
      <c r="AT1849" s="73"/>
      <c r="AU1849" s="73"/>
      <c r="AV1849" s="73"/>
      <c r="AW1849" s="73"/>
      <c r="AX1849" s="73"/>
      <c r="AY1849" s="73"/>
      <c r="AZ1849" s="73"/>
      <c r="BA1849" s="73"/>
      <c r="BB1849" s="73"/>
      <c r="BC1849" s="73"/>
      <c r="BD1849" s="73"/>
      <c r="BE1849" s="73"/>
      <c r="BF1849" s="73"/>
      <c r="BG1849" s="73"/>
      <c r="BH1849" s="73"/>
      <c r="BI1849" s="73"/>
      <c r="BJ1849" s="73"/>
      <c r="BK1849" s="73"/>
      <c r="BL1849" s="73"/>
      <c r="BM1849" s="73"/>
      <c r="BN1849" s="73"/>
      <c r="BO1849" s="73"/>
      <c r="BP1849" s="73"/>
      <c r="BQ1849" s="73"/>
      <c r="BR1849" s="73"/>
      <c r="BS1849" s="73"/>
      <c r="BT1849" s="73"/>
      <c r="BU1849" s="73"/>
      <c r="BV1849" s="73"/>
      <c r="BW1849" s="73"/>
      <c r="BX1849" s="73"/>
      <c r="BY1849" s="73"/>
      <c r="BZ1849" s="73"/>
      <c r="CA1849" s="73"/>
      <c r="CB1849" s="73"/>
      <c r="CC1849" s="73"/>
      <c r="CD1849" s="73"/>
      <c r="CE1849" s="73"/>
      <c r="CF1849" s="73"/>
      <c r="CG1849" s="73"/>
      <c r="CH1849" s="73"/>
    </row>
    <row r="1850">
      <c r="A1850" s="80"/>
      <c r="B1850" s="80"/>
      <c r="C1850" s="80"/>
      <c r="D1850" s="80"/>
      <c r="E1850" s="124"/>
      <c r="F1850" s="80"/>
      <c r="G1850" s="80"/>
      <c r="H1850" s="80"/>
      <c r="I1850" s="80"/>
      <c r="J1850" s="196"/>
      <c r="K1850" s="196"/>
      <c r="L1850" s="196"/>
      <c r="M1850" s="196"/>
      <c r="N1850" s="196"/>
      <c r="O1850" s="196"/>
      <c r="P1850" s="196"/>
      <c r="Q1850" s="196"/>
      <c r="R1850" s="196"/>
      <c r="S1850" s="196"/>
      <c r="T1850" s="196"/>
      <c r="U1850" s="196"/>
      <c r="V1850" s="196"/>
      <c r="W1850" s="196"/>
      <c r="X1850" s="196"/>
      <c r="Y1850" s="196"/>
      <c r="Z1850" s="196"/>
      <c r="AA1850" s="196"/>
      <c r="AB1850" s="196"/>
      <c r="AC1850" s="196"/>
      <c r="AD1850" s="196"/>
      <c r="AE1850" s="196"/>
      <c r="AF1850" s="196"/>
      <c r="AG1850" s="196"/>
      <c r="AH1850" s="196"/>
      <c r="AI1850" s="196"/>
      <c r="AJ1850" s="197"/>
      <c r="AK1850" s="80"/>
      <c r="AL1850" s="80"/>
      <c r="AM1850" s="73"/>
      <c r="AN1850" s="73"/>
      <c r="AO1850" s="73"/>
      <c r="AP1850" s="73"/>
      <c r="AQ1850" s="73"/>
      <c r="AR1850" s="73"/>
      <c r="AS1850" s="73"/>
      <c r="AT1850" s="73"/>
      <c r="AU1850" s="73"/>
      <c r="AV1850" s="73"/>
      <c r="AW1850" s="73"/>
      <c r="AX1850" s="73"/>
      <c r="AY1850" s="73"/>
      <c r="AZ1850" s="73"/>
      <c r="BA1850" s="73"/>
      <c r="BB1850" s="73"/>
      <c r="BC1850" s="73"/>
      <c r="BD1850" s="73"/>
      <c r="BE1850" s="73"/>
      <c r="BF1850" s="73"/>
      <c r="BG1850" s="73"/>
      <c r="BH1850" s="73"/>
      <c r="BI1850" s="73"/>
      <c r="BJ1850" s="73"/>
      <c r="BK1850" s="73"/>
      <c r="BL1850" s="73"/>
      <c r="BM1850" s="73"/>
      <c r="BN1850" s="73"/>
      <c r="BO1850" s="73"/>
      <c r="BP1850" s="73"/>
      <c r="BQ1850" s="73"/>
      <c r="BR1850" s="73"/>
      <c r="BS1850" s="73"/>
      <c r="BT1850" s="73"/>
      <c r="BU1850" s="73"/>
      <c r="BV1850" s="73"/>
      <c r="BW1850" s="73"/>
      <c r="BX1850" s="73"/>
      <c r="BY1850" s="73"/>
      <c r="BZ1850" s="73"/>
      <c r="CA1850" s="73"/>
      <c r="CB1850" s="73"/>
      <c r="CC1850" s="73"/>
      <c r="CD1850" s="73"/>
      <c r="CE1850" s="73"/>
      <c r="CF1850" s="73"/>
      <c r="CG1850" s="73"/>
      <c r="CH1850" s="73"/>
    </row>
    <row r="1851">
      <c r="A1851" s="80"/>
      <c r="B1851" s="80"/>
      <c r="C1851" s="80"/>
      <c r="D1851" s="80"/>
      <c r="E1851" s="124"/>
      <c r="F1851" s="80"/>
      <c r="G1851" s="80"/>
      <c r="H1851" s="80"/>
      <c r="I1851" s="80"/>
      <c r="J1851" s="196"/>
      <c r="K1851" s="196"/>
      <c r="L1851" s="196"/>
      <c r="M1851" s="196"/>
      <c r="N1851" s="196"/>
      <c r="O1851" s="196"/>
      <c r="P1851" s="196"/>
      <c r="Q1851" s="196"/>
      <c r="R1851" s="196"/>
      <c r="S1851" s="196"/>
      <c r="T1851" s="196"/>
      <c r="U1851" s="196"/>
      <c r="V1851" s="196"/>
      <c r="W1851" s="196"/>
      <c r="X1851" s="196"/>
      <c r="Y1851" s="196"/>
      <c r="Z1851" s="196"/>
      <c r="AA1851" s="196"/>
      <c r="AB1851" s="196"/>
      <c r="AC1851" s="196"/>
      <c r="AD1851" s="196"/>
      <c r="AE1851" s="196"/>
      <c r="AF1851" s="196"/>
      <c r="AG1851" s="196"/>
      <c r="AH1851" s="196"/>
      <c r="AI1851" s="196"/>
      <c r="AJ1851" s="197"/>
      <c r="AK1851" s="80"/>
      <c r="AL1851" s="80"/>
      <c r="AM1851" s="73"/>
      <c r="AN1851" s="73"/>
      <c r="AO1851" s="73"/>
      <c r="AP1851" s="73"/>
      <c r="AQ1851" s="73"/>
      <c r="AR1851" s="73"/>
      <c r="AS1851" s="73"/>
      <c r="AT1851" s="73"/>
      <c r="AU1851" s="73"/>
      <c r="AV1851" s="73"/>
      <c r="AW1851" s="73"/>
      <c r="AX1851" s="73"/>
      <c r="AY1851" s="73"/>
      <c r="AZ1851" s="73"/>
      <c r="BA1851" s="73"/>
      <c r="BB1851" s="73"/>
      <c r="BC1851" s="73"/>
      <c r="BD1851" s="73"/>
      <c r="BE1851" s="73"/>
      <c r="BF1851" s="73"/>
      <c r="BG1851" s="73"/>
      <c r="BH1851" s="73"/>
      <c r="BI1851" s="73"/>
      <c r="BJ1851" s="73"/>
      <c r="BK1851" s="73"/>
      <c r="BL1851" s="73"/>
      <c r="BM1851" s="73"/>
      <c r="BN1851" s="73"/>
      <c r="BO1851" s="73"/>
      <c r="BP1851" s="73"/>
      <c r="BQ1851" s="73"/>
      <c r="BR1851" s="73"/>
      <c r="BS1851" s="73"/>
      <c r="BT1851" s="73"/>
      <c r="BU1851" s="73"/>
      <c r="BV1851" s="73"/>
      <c r="BW1851" s="73"/>
      <c r="BX1851" s="73"/>
      <c r="BY1851" s="73"/>
      <c r="BZ1851" s="73"/>
      <c r="CA1851" s="73"/>
      <c r="CB1851" s="73"/>
      <c r="CC1851" s="73"/>
      <c r="CD1851" s="73"/>
      <c r="CE1851" s="73"/>
      <c r="CF1851" s="73"/>
      <c r="CG1851" s="73"/>
      <c r="CH1851" s="73"/>
    </row>
    <row r="1852">
      <c r="A1852" s="80"/>
      <c r="B1852" s="80"/>
      <c r="C1852" s="80"/>
      <c r="D1852" s="80"/>
      <c r="E1852" s="124"/>
      <c r="F1852" s="80"/>
      <c r="G1852" s="80"/>
      <c r="H1852" s="80"/>
      <c r="I1852" s="80"/>
      <c r="J1852" s="196"/>
      <c r="K1852" s="196"/>
      <c r="L1852" s="196"/>
      <c r="M1852" s="196"/>
      <c r="N1852" s="196"/>
      <c r="O1852" s="196"/>
      <c r="P1852" s="196"/>
      <c r="Q1852" s="196"/>
      <c r="R1852" s="196"/>
      <c r="S1852" s="196"/>
      <c r="T1852" s="196"/>
      <c r="U1852" s="196"/>
      <c r="V1852" s="196"/>
      <c r="W1852" s="196"/>
      <c r="X1852" s="196"/>
      <c r="Y1852" s="196"/>
      <c r="Z1852" s="196"/>
      <c r="AA1852" s="196"/>
      <c r="AB1852" s="196"/>
      <c r="AC1852" s="196"/>
      <c r="AD1852" s="196"/>
      <c r="AE1852" s="196"/>
      <c r="AF1852" s="196"/>
      <c r="AG1852" s="196"/>
      <c r="AH1852" s="196"/>
      <c r="AI1852" s="196"/>
      <c r="AJ1852" s="197"/>
      <c r="AK1852" s="80"/>
      <c r="AL1852" s="80"/>
      <c r="AM1852" s="73"/>
      <c r="AN1852" s="73"/>
      <c r="AO1852" s="73"/>
      <c r="AP1852" s="73"/>
      <c r="AQ1852" s="73"/>
      <c r="AR1852" s="73"/>
      <c r="AS1852" s="73"/>
      <c r="AT1852" s="73"/>
      <c r="AU1852" s="73"/>
      <c r="AV1852" s="73"/>
      <c r="AW1852" s="73"/>
      <c r="AX1852" s="73"/>
      <c r="AY1852" s="73"/>
      <c r="AZ1852" s="73"/>
      <c r="BA1852" s="73"/>
      <c r="BB1852" s="73"/>
      <c r="BC1852" s="73"/>
      <c r="BD1852" s="73"/>
      <c r="BE1852" s="73"/>
      <c r="BF1852" s="73"/>
      <c r="BG1852" s="73"/>
      <c r="BH1852" s="73"/>
      <c r="BI1852" s="73"/>
      <c r="BJ1852" s="73"/>
      <c r="BK1852" s="73"/>
      <c r="BL1852" s="73"/>
      <c r="BM1852" s="73"/>
      <c r="BN1852" s="73"/>
      <c r="BO1852" s="73"/>
      <c r="BP1852" s="73"/>
      <c r="BQ1852" s="73"/>
      <c r="BR1852" s="73"/>
      <c r="BS1852" s="73"/>
      <c r="BT1852" s="73"/>
      <c r="BU1852" s="73"/>
      <c r="BV1852" s="73"/>
      <c r="BW1852" s="73"/>
      <c r="BX1852" s="73"/>
      <c r="BY1852" s="73"/>
      <c r="BZ1852" s="73"/>
      <c r="CA1852" s="73"/>
      <c r="CB1852" s="73"/>
      <c r="CC1852" s="73"/>
      <c r="CD1852" s="73"/>
      <c r="CE1852" s="73"/>
      <c r="CF1852" s="73"/>
      <c r="CG1852" s="73"/>
      <c r="CH1852" s="73"/>
    </row>
    <row r="1853">
      <c r="A1853" s="80"/>
      <c r="B1853" s="80"/>
      <c r="C1853" s="80"/>
      <c r="D1853" s="80"/>
      <c r="E1853" s="124"/>
      <c r="F1853" s="80"/>
      <c r="G1853" s="80"/>
      <c r="H1853" s="80"/>
      <c r="I1853" s="80"/>
      <c r="J1853" s="196"/>
      <c r="K1853" s="196"/>
      <c r="L1853" s="196"/>
      <c r="M1853" s="196"/>
      <c r="N1853" s="196"/>
      <c r="O1853" s="196"/>
      <c r="P1853" s="196"/>
      <c r="Q1853" s="196"/>
      <c r="R1853" s="196"/>
      <c r="S1853" s="196"/>
      <c r="T1853" s="196"/>
      <c r="U1853" s="196"/>
      <c r="V1853" s="196"/>
      <c r="W1853" s="196"/>
      <c r="X1853" s="196"/>
      <c r="Y1853" s="196"/>
      <c r="Z1853" s="196"/>
      <c r="AA1853" s="196"/>
      <c r="AB1853" s="196"/>
      <c r="AC1853" s="196"/>
      <c r="AD1853" s="196"/>
      <c r="AE1853" s="196"/>
      <c r="AF1853" s="196"/>
      <c r="AG1853" s="196"/>
      <c r="AH1853" s="196"/>
      <c r="AI1853" s="196"/>
      <c r="AJ1853" s="197"/>
      <c r="AK1853" s="80"/>
      <c r="AL1853" s="80"/>
      <c r="AM1853" s="73"/>
      <c r="AN1853" s="73"/>
      <c r="AO1853" s="73"/>
      <c r="AP1853" s="73"/>
      <c r="AQ1853" s="73"/>
      <c r="AR1853" s="73"/>
      <c r="AS1853" s="73"/>
      <c r="AT1853" s="73"/>
      <c r="AU1853" s="73"/>
      <c r="AV1853" s="73"/>
      <c r="AW1853" s="73"/>
      <c r="AX1853" s="73"/>
      <c r="AY1853" s="73"/>
      <c r="AZ1853" s="73"/>
      <c r="BA1853" s="73"/>
      <c r="BB1853" s="73"/>
      <c r="BC1853" s="73"/>
      <c r="BD1853" s="73"/>
      <c r="BE1853" s="73"/>
      <c r="BF1853" s="73"/>
      <c r="BG1853" s="73"/>
      <c r="BH1853" s="73"/>
      <c r="BI1853" s="73"/>
      <c r="BJ1853" s="73"/>
      <c r="BK1853" s="73"/>
      <c r="BL1853" s="73"/>
      <c r="BM1853" s="73"/>
      <c r="BN1853" s="73"/>
      <c r="BO1853" s="73"/>
      <c r="BP1853" s="73"/>
      <c r="BQ1853" s="73"/>
      <c r="BR1853" s="73"/>
      <c r="BS1853" s="73"/>
      <c r="BT1853" s="73"/>
      <c r="BU1853" s="73"/>
      <c r="BV1853" s="73"/>
      <c r="BW1853" s="73"/>
      <c r="BX1853" s="73"/>
      <c r="BY1853" s="73"/>
      <c r="BZ1853" s="73"/>
      <c r="CA1853" s="73"/>
      <c r="CB1853" s="73"/>
      <c r="CC1853" s="73"/>
      <c r="CD1853" s="73"/>
      <c r="CE1853" s="73"/>
      <c r="CF1853" s="73"/>
      <c r="CG1853" s="73"/>
      <c r="CH1853" s="73"/>
    </row>
    <row r="1854">
      <c r="A1854" s="80"/>
      <c r="B1854" s="80"/>
      <c r="C1854" s="80"/>
      <c r="D1854" s="80"/>
      <c r="E1854" s="124"/>
      <c r="F1854" s="80"/>
      <c r="G1854" s="80"/>
      <c r="H1854" s="80"/>
      <c r="I1854" s="80"/>
      <c r="J1854" s="196"/>
      <c r="K1854" s="196"/>
      <c r="L1854" s="196"/>
      <c r="M1854" s="196"/>
      <c r="N1854" s="196"/>
      <c r="O1854" s="196"/>
      <c r="P1854" s="196"/>
      <c r="Q1854" s="196"/>
      <c r="R1854" s="196"/>
      <c r="S1854" s="196"/>
      <c r="T1854" s="196"/>
      <c r="U1854" s="196"/>
      <c r="V1854" s="196"/>
      <c r="W1854" s="196"/>
      <c r="X1854" s="196"/>
      <c r="Y1854" s="196"/>
      <c r="Z1854" s="196"/>
      <c r="AA1854" s="196"/>
      <c r="AB1854" s="196"/>
      <c r="AC1854" s="196"/>
      <c r="AD1854" s="196"/>
      <c r="AE1854" s="196"/>
      <c r="AF1854" s="196"/>
      <c r="AG1854" s="196"/>
      <c r="AH1854" s="196"/>
      <c r="AI1854" s="196"/>
      <c r="AJ1854" s="197"/>
      <c r="AK1854" s="80"/>
      <c r="AL1854" s="80"/>
      <c r="AM1854" s="73"/>
      <c r="AN1854" s="73"/>
      <c r="AO1854" s="73"/>
      <c r="AP1854" s="73"/>
      <c r="AQ1854" s="73"/>
      <c r="AR1854" s="73"/>
      <c r="AS1854" s="73"/>
      <c r="AT1854" s="73"/>
      <c r="AU1854" s="73"/>
      <c r="AV1854" s="73"/>
      <c r="AW1854" s="73"/>
      <c r="AX1854" s="73"/>
      <c r="AY1854" s="73"/>
      <c r="AZ1854" s="73"/>
      <c r="BA1854" s="73"/>
      <c r="BB1854" s="73"/>
      <c r="BC1854" s="73"/>
      <c r="BD1854" s="73"/>
      <c r="BE1854" s="73"/>
      <c r="BF1854" s="73"/>
      <c r="BG1854" s="73"/>
      <c r="BH1854" s="73"/>
      <c r="BI1854" s="73"/>
      <c r="BJ1854" s="73"/>
      <c r="BK1854" s="73"/>
      <c r="BL1854" s="73"/>
      <c r="BM1854" s="73"/>
      <c r="BN1854" s="73"/>
      <c r="BO1854" s="73"/>
      <c r="BP1854" s="73"/>
      <c r="BQ1854" s="73"/>
      <c r="BR1854" s="73"/>
      <c r="BS1854" s="73"/>
      <c r="BT1854" s="73"/>
      <c r="BU1854" s="73"/>
      <c r="BV1854" s="73"/>
      <c r="BW1854" s="73"/>
      <c r="BX1854" s="73"/>
      <c r="BY1854" s="73"/>
      <c r="BZ1854" s="73"/>
      <c r="CA1854" s="73"/>
      <c r="CB1854" s="73"/>
      <c r="CC1854" s="73"/>
      <c r="CD1854" s="73"/>
      <c r="CE1854" s="73"/>
      <c r="CF1854" s="73"/>
      <c r="CG1854" s="73"/>
      <c r="CH1854" s="73"/>
    </row>
    <row r="1855">
      <c r="A1855" s="80"/>
      <c r="B1855" s="80"/>
      <c r="C1855" s="80"/>
      <c r="D1855" s="80"/>
      <c r="E1855" s="124"/>
      <c r="F1855" s="80"/>
      <c r="G1855" s="80"/>
      <c r="H1855" s="80"/>
      <c r="I1855" s="80"/>
      <c r="J1855" s="196"/>
      <c r="K1855" s="196"/>
      <c r="L1855" s="196"/>
      <c r="M1855" s="196"/>
      <c r="N1855" s="196"/>
      <c r="O1855" s="196"/>
      <c r="P1855" s="196"/>
      <c r="Q1855" s="196"/>
      <c r="R1855" s="196"/>
      <c r="S1855" s="196"/>
      <c r="T1855" s="196"/>
      <c r="U1855" s="196"/>
      <c r="V1855" s="196"/>
      <c r="W1855" s="196"/>
      <c r="X1855" s="196"/>
      <c r="Y1855" s="196"/>
      <c r="Z1855" s="196"/>
      <c r="AA1855" s="196"/>
      <c r="AB1855" s="196"/>
      <c r="AC1855" s="196"/>
      <c r="AD1855" s="196"/>
      <c r="AE1855" s="196"/>
      <c r="AF1855" s="196"/>
      <c r="AG1855" s="196"/>
      <c r="AH1855" s="196"/>
      <c r="AI1855" s="196"/>
      <c r="AJ1855" s="197"/>
      <c r="AK1855" s="80"/>
      <c r="AL1855" s="80"/>
      <c r="AM1855" s="73"/>
      <c r="AN1855" s="73"/>
      <c r="AO1855" s="73"/>
      <c r="AP1855" s="73"/>
      <c r="AQ1855" s="73"/>
      <c r="AR1855" s="73"/>
      <c r="AS1855" s="73"/>
      <c r="AT1855" s="73"/>
      <c r="AU1855" s="73"/>
      <c r="AV1855" s="73"/>
      <c r="AW1855" s="73"/>
      <c r="AX1855" s="73"/>
      <c r="AY1855" s="73"/>
      <c r="AZ1855" s="73"/>
      <c r="BA1855" s="73"/>
      <c r="BB1855" s="73"/>
      <c r="BC1855" s="73"/>
      <c r="BD1855" s="73"/>
      <c r="BE1855" s="73"/>
      <c r="BF1855" s="73"/>
      <c r="BG1855" s="73"/>
      <c r="BH1855" s="73"/>
      <c r="BI1855" s="73"/>
      <c r="BJ1855" s="73"/>
      <c r="BK1855" s="73"/>
      <c r="BL1855" s="73"/>
      <c r="BM1855" s="73"/>
      <c r="BN1855" s="73"/>
      <c r="BO1855" s="73"/>
      <c r="BP1855" s="73"/>
      <c r="BQ1855" s="73"/>
      <c r="BR1855" s="73"/>
      <c r="BS1855" s="73"/>
      <c r="BT1855" s="73"/>
      <c r="BU1855" s="73"/>
      <c r="BV1855" s="73"/>
      <c r="BW1855" s="73"/>
      <c r="BX1855" s="73"/>
      <c r="BY1855" s="73"/>
      <c r="BZ1855" s="73"/>
      <c r="CA1855" s="73"/>
      <c r="CB1855" s="73"/>
      <c r="CC1855" s="73"/>
      <c r="CD1855" s="73"/>
      <c r="CE1855" s="73"/>
      <c r="CF1855" s="73"/>
      <c r="CG1855" s="73"/>
      <c r="CH1855" s="73"/>
    </row>
    <row r="1856">
      <c r="A1856" s="80"/>
      <c r="B1856" s="80"/>
      <c r="C1856" s="80"/>
      <c r="D1856" s="80"/>
      <c r="E1856" s="124"/>
      <c r="F1856" s="80"/>
      <c r="G1856" s="80"/>
      <c r="H1856" s="80"/>
      <c r="I1856" s="80"/>
      <c r="J1856" s="196"/>
      <c r="K1856" s="196"/>
      <c r="L1856" s="196"/>
      <c r="M1856" s="196"/>
      <c r="N1856" s="196"/>
      <c r="O1856" s="196"/>
      <c r="P1856" s="196"/>
      <c r="Q1856" s="196"/>
      <c r="R1856" s="196"/>
      <c r="S1856" s="196"/>
      <c r="T1856" s="196"/>
      <c r="U1856" s="196"/>
      <c r="V1856" s="196"/>
      <c r="W1856" s="196"/>
      <c r="X1856" s="196"/>
      <c r="Y1856" s="196"/>
      <c r="Z1856" s="196"/>
      <c r="AA1856" s="196"/>
      <c r="AB1856" s="196"/>
      <c r="AC1856" s="196"/>
      <c r="AD1856" s="196"/>
      <c r="AE1856" s="196"/>
      <c r="AF1856" s="196"/>
      <c r="AG1856" s="196"/>
      <c r="AH1856" s="196"/>
      <c r="AI1856" s="196"/>
      <c r="AJ1856" s="197"/>
      <c r="AK1856" s="80"/>
      <c r="AL1856" s="80"/>
      <c r="AM1856" s="73"/>
      <c r="AN1856" s="73"/>
      <c r="AO1856" s="73"/>
      <c r="AP1856" s="73"/>
      <c r="AQ1856" s="73"/>
      <c r="AR1856" s="73"/>
      <c r="AS1856" s="73"/>
      <c r="AT1856" s="73"/>
      <c r="AU1856" s="73"/>
      <c r="AV1856" s="73"/>
      <c r="AW1856" s="73"/>
      <c r="AX1856" s="73"/>
      <c r="AY1856" s="73"/>
      <c r="AZ1856" s="73"/>
      <c r="BA1856" s="73"/>
      <c r="BB1856" s="73"/>
      <c r="BC1856" s="73"/>
      <c r="BD1856" s="73"/>
      <c r="BE1856" s="73"/>
      <c r="BF1856" s="73"/>
      <c r="BG1856" s="73"/>
      <c r="BH1856" s="73"/>
      <c r="BI1856" s="73"/>
      <c r="BJ1856" s="73"/>
      <c r="BK1856" s="73"/>
      <c r="BL1856" s="73"/>
      <c r="BM1856" s="73"/>
      <c r="BN1856" s="73"/>
      <c r="BO1856" s="73"/>
      <c r="BP1856" s="73"/>
      <c r="BQ1856" s="73"/>
      <c r="BR1856" s="73"/>
      <c r="BS1856" s="73"/>
      <c r="BT1856" s="73"/>
      <c r="BU1856" s="73"/>
      <c r="BV1856" s="73"/>
      <c r="BW1856" s="73"/>
      <c r="BX1856" s="73"/>
      <c r="BY1856" s="73"/>
      <c r="BZ1856" s="73"/>
      <c r="CA1856" s="73"/>
      <c r="CB1856" s="73"/>
      <c r="CC1856" s="73"/>
      <c r="CD1856" s="73"/>
      <c r="CE1856" s="73"/>
      <c r="CF1856" s="73"/>
      <c r="CG1856" s="73"/>
      <c r="CH1856" s="73"/>
    </row>
    <row r="1857">
      <c r="A1857" s="80"/>
      <c r="B1857" s="80"/>
      <c r="C1857" s="80"/>
      <c r="D1857" s="80"/>
      <c r="E1857" s="124"/>
      <c r="F1857" s="80"/>
      <c r="G1857" s="80"/>
      <c r="H1857" s="80"/>
      <c r="I1857" s="80"/>
      <c r="J1857" s="196"/>
      <c r="K1857" s="196"/>
      <c r="L1857" s="196"/>
      <c r="M1857" s="196"/>
      <c r="N1857" s="196"/>
      <c r="O1857" s="196"/>
      <c r="P1857" s="196"/>
      <c r="Q1857" s="196"/>
      <c r="R1857" s="196"/>
      <c r="S1857" s="196"/>
      <c r="T1857" s="196"/>
      <c r="U1857" s="196"/>
      <c r="V1857" s="196"/>
      <c r="W1857" s="196"/>
      <c r="X1857" s="196"/>
      <c r="Y1857" s="196"/>
      <c r="Z1857" s="196"/>
      <c r="AA1857" s="196"/>
      <c r="AB1857" s="196"/>
      <c r="AC1857" s="196"/>
      <c r="AD1857" s="196"/>
      <c r="AE1857" s="196"/>
      <c r="AF1857" s="196"/>
      <c r="AG1857" s="196"/>
      <c r="AH1857" s="196"/>
      <c r="AI1857" s="196"/>
      <c r="AJ1857" s="197"/>
      <c r="AK1857" s="80"/>
      <c r="AL1857" s="80"/>
      <c r="AM1857" s="73"/>
      <c r="AN1857" s="73"/>
      <c r="AO1857" s="73"/>
      <c r="AP1857" s="73"/>
      <c r="AQ1857" s="73"/>
      <c r="AR1857" s="73"/>
      <c r="AS1857" s="73"/>
      <c r="AT1857" s="73"/>
      <c r="AU1857" s="73"/>
      <c r="AV1857" s="73"/>
      <c r="AW1857" s="73"/>
      <c r="AX1857" s="73"/>
      <c r="AY1857" s="73"/>
      <c r="AZ1857" s="73"/>
      <c r="BA1857" s="73"/>
      <c r="BB1857" s="73"/>
      <c r="BC1857" s="73"/>
      <c r="BD1857" s="73"/>
      <c r="BE1857" s="73"/>
      <c r="BF1857" s="73"/>
      <c r="BG1857" s="73"/>
      <c r="BH1857" s="73"/>
      <c r="BI1857" s="73"/>
      <c r="BJ1857" s="73"/>
      <c r="BK1857" s="73"/>
      <c r="BL1857" s="73"/>
      <c r="BM1857" s="73"/>
      <c r="BN1857" s="73"/>
      <c r="BO1857" s="73"/>
      <c r="BP1857" s="73"/>
      <c r="BQ1857" s="73"/>
      <c r="BR1857" s="73"/>
      <c r="BS1857" s="73"/>
      <c r="BT1857" s="73"/>
      <c r="BU1857" s="73"/>
      <c r="BV1857" s="73"/>
      <c r="BW1857" s="73"/>
      <c r="BX1857" s="73"/>
      <c r="BY1857" s="73"/>
      <c r="BZ1857" s="73"/>
      <c r="CA1857" s="73"/>
      <c r="CB1857" s="73"/>
      <c r="CC1857" s="73"/>
      <c r="CD1857" s="73"/>
      <c r="CE1857" s="73"/>
      <c r="CF1857" s="73"/>
      <c r="CG1857" s="73"/>
      <c r="CH1857" s="73"/>
    </row>
    <row r="1858">
      <c r="A1858" s="80"/>
      <c r="B1858" s="80"/>
      <c r="C1858" s="80"/>
      <c r="D1858" s="80"/>
      <c r="E1858" s="124"/>
      <c r="F1858" s="80"/>
      <c r="G1858" s="80"/>
      <c r="H1858" s="80"/>
      <c r="I1858" s="80"/>
      <c r="J1858" s="196"/>
      <c r="K1858" s="196"/>
      <c r="L1858" s="196"/>
      <c r="M1858" s="196"/>
      <c r="N1858" s="196"/>
      <c r="O1858" s="196"/>
      <c r="P1858" s="196"/>
      <c r="Q1858" s="196"/>
      <c r="R1858" s="196"/>
      <c r="S1858" s="196"/>
      <c r="T1858" s="196"/>
      <c r="U1858" s="196"/>
      <c r="V1858" s="196"/>
      <c r="W1858" s="196"/>
      <c r="X1858" s="196"/>
      <c r="Y1858" s="196"/>
      <c r="Z1858" s="196"/>
      <c r="AA1858" s="196"/>
      <c r="AB1858" s="196"/>
      <c r="AC1858" s="196"/>
      <c r="AD1858" s="196"/>
      <c r="AE1858" s="196"/>
      <c r="AF1858" s="196"/>
      <c r="AG1858" s="196"/>
      <c r="AH1858" s="196"/>
      <c r="AI1858" s="196"/>
      <c r="AJ1858" s="197"/>
      <c r="AK1858" s="80"/>
      <c r="AL1858" s="80"/>
      <c r="AM1858" s="73"/>
      <c r="AN1858" s="73"/>
      <c r="AO1858" s="73"/>
      <c r="AP1858" s="73"/>
      <c r="AQ1858" s="73"/>
      <c r="AR1858" s="73"/>
      <c r="AS1858" s="73"/>
      <c r="AT1858" s="73"/>
      <c r="AU1858" s="73"/>
      <c r="AV1858" s="73"/>
      <c r="AW1858" s="73"/>
      <c r="AX1858" s="73"/>
      <c r="AY1858" s="73"/>
      <c r="AZ1858" s="73"/>
      <c r="BA1858" s="73"/>
      <c r="BB1858" s="73"/>
      <c r="BC1858" s="73"/>
      <c r="BD1858" s="73"/>
      <c r="BE1858" s="73"/>
      <c r="BF1858" s="73"/>
      <c r="BG1858" s="73"/>
      <c r="BH1858" s="73"/>
      <c r="BI1858" s="73"/>
      <c r="BJ1858" s="73"/>
      <c r="BK1858" s="73"/>
      <c r="BL1858" s="73"/>
      <c r="BM1858" s="73"/>
      <c r="BN1858" s="73"/>
      <c r="BO1858" s="73"/>
      <c r="BP1858" s="73"/>
      <c r="BQ1858" s="73"/>
      <c r="BR1858" s="73"/>
      <c r="BS1858" s="73"/>
      <c r="BT1858" s="73"/>
      <c r="BU1858" s="73"/>
      <c r="BV1858" s="73"/>
      <c r="BW1858" s="73"/>
      <c r="BX1858" s="73"/>
      <c r="BY1858" s="73"/>
      <c r="BZ1858" s="73"/>
      <c r="CA1858" s="73"/>
      <c r="CB1858" s="73"/>
      <c r="CC1858" s="73"/>
      <c r="CD1858" s="73"/>
      <c r="CE1858" s="73"/>
      <c r="CF1858" s="73"/>
      <c r="CG1858" s="73"/>
      <c r="CH1858" s="73"/>
    </row>
    <row r="1859">
      <c r="A1859" s="80"/>
      <c r="B1859" s="80"/>
      <c r="C1859" s="80"/>
      <c r="D1859" s="80"/>
      <c r="E1859" s="124"/>
      <c r="F1859" s="80"/>
      <c r="G1859" s="80"/>
      <c r="H1859" s="80"/>
      <c r="I1859" s="80"/>
      <c r="J1859" s="196"/>
      <c r="K1859" s="196"/>
      <c r="L1859" s="196"/>
      <c r="M1859" s="196"/>
      <c r="N1859" s="196"/>
      <c r="O1859" s="196"/>
      <c r="P1859" s="196"/>
      <c r="Q1859" s="196"/>
      <c r="R1859" s="196"/>
      <c r="S1859" s="196"/>
      <c r="T1859" s="196"/>
      <c r="U1859" s="196"/>
      <c r="V1859" s="196"/>
      <c r="W1859" s="196"/>
      <c r="X1859" s="196"/>
      <c r="Y1859" s="196"/>
      <c r="Z1859" s="196"/>
      <c r="AA1859" s="196"/>
      <c r="AB1859" s="196"/>
      <c r="AC1859" s="196"/>
      <c r="AD1859" s="196"/>
      <c r="AE1859" s="196"/>
      <c r="AF1859" s="196"/>
      <c r="AG1859" s="196"/>
      <c r="AH1859" s="196"/>
      <c r="AI1859" s="196"/>
      <c r="AJ1859" s="197"/>
      <c r="AK1859" s="80"/>
      <c r="AL1859" s="80"/>
      <c r="AM1859" s="73"/>
      <c r="AN1859" s="73"/>
      <c r="AO1859" s="73"/>
      <c r="AP1859" s="73"/>
      <c r="AQ1859" s="73"/>
      <c r="AR1859" s="73"/>
      <c r="AS1859" s="73"/>
      <c r="AT1859" s="73"/>
      <c r="AU1859" s="73"/>
      <c r="AV1859" s="73"/>
      <c r="AW1859" s="73"/>
      <c r="AX1859" s="73"/>
      <c r="AY1859" s="73"/>
      <c r="AZ1859" s="73"/>
      <c r="BA1859" s="73"/>
      <c r="BB1859" s="73"/>
      <c r="BC1859" s="73"/>
      <c r="BD1859" s="73"/>
      <c r="BE1859" s="73"/>
      <c r="BF1859" s="73"/>
      <c r="BG1859" s="73"/>
      <c r="BH1859" s="73"/>
      <c r="BI1859" s="73"/>
      <c r="BJ1859" s="73"/>
      <c r="BK1859" s="73"/>
      <c r="BL1859" s="73"/>
      <c r="BM1859" s="73"/>
      <c r="BN1859" s="73"/>
      <c r="BO1859" s="73"/>
      <c r="BP1859" s="73"/>
      <c r="BQ1859" s="73"/>
      <c r="BR1859" s="73"/>
      <c r="BS1859" s="73"/>
      <c r="BT1859" s="73"/>
      <c r="BU1859" s="73"/>
      <c r="BV1859" s="73"/>
      <c r="BW1859" s="73"/>
      <c r="BX1859" s="73"/>
      <c r="BY1859" s="73"/>
      <c r="BZ1859" s="73"/>
      <c r="CA1859" s="73"/>
      <c r="CB1859" s="73"/>
      <c r="CC1859" s="73"/>
      <c r="CD1859" s="73"/>
      <c r="CE1859" s="73"/>
      <c r="CF1859" s="73"/>
      <c r="CG1859" s="73"/>
      <c r="CH1859" s="73"/>
    </row>
    <row r="1860">
      <c r="A1860" s="80"/>
      <c r="B1860" s="80"/>
      <c r="C1860" s="80"/>
      <c r="D1860" s="80"/>
      <c r="E1860" s="124"/>
      <c r="F1860" s="80"/>
      <c r="G1860" s="80"/>
      <c r="H1860" s="80"/>
      <c r="I1860" s="80"/>
      <c r="J1860" s="196"/>
      <c r="K1860" s="196"/>
      <c r="L1860" s="196"/>
      <c r="M1860" s="196"/>
      <c r="N1860" s="196"/>
      <c r="O1860" s="196"/>
      <c r="P1860" s="196"/>
      <c r="Q1860" s="196"/>
      <c r="R1860" s="196"/>
      <c r="S1860" s="196"/>
      <c r="T1860" s="196"/>
      <c r="U1860" s="196"/>
      <c r="V1860" s="196"/>
      <c r="W1860" s="196"/>
      <c r="X1860" s="196"/>
      <c r="Y1860" s="196"/>
      <c r="Z1860" s="196"/>
      <c r="AA1860" s="196"/>
      <c r="AB1860" s="196"/>
      <c r="AC1860" s="196"/>
      <c r="AD1860" s="196"/>
      <c r="AE1860" s="196"/>
      <c r="AF1860" s="196"/>
      <c r="AG1860" s="196"/>
      <c r="AH1860" s="196"/>
      <c r="AI1860" s="196"/>
      <c r="AJ1860" s="197"/>
      <c r="AK1860" s="80"/>
      <c r="AL1860" s="80"/>
      <c r="AM1860" s="73"/>
      <c r="AN1860" s="73"/>
      <c r="AO1860" s="73"/>
      <c r="AP1860" s="73"/>
      <c r="AQ1860" s="73"/>
      <c r="AR1860" s="73"/>
      <c r="AS1860" s="73"/>
      <c r="AT1860" s="73"/>
      <c r="AU1860" s="73"/>
      <c r="AV1860" s="73"/>
      <c r="AW1860" s="73"/>
      <c r="AX1860" s="73"/>
      <c r="AY1860" s="73"/>
      <c r="AZ1860" s="73"/>
      <c r="BA1860" s="73"/>
      <c r="BB1860" s="73"/>
      <c r="BC1860" s="73"/>
      <c r="BD1860" s="73"/>
      <c r="BE1860" s="73"/>
      <c r="BF1860" s="73"/>
      <c r="BG1860" s="73"/>
      <c r="BH1860" s="73"/>
      <c r="BI1860" s="73"/>
      <c r="BJ1860" s="73"/>
      <c r="BK1860" s="73"/>
      <c r="BL1860" s="73"/>
      <c r="BM1860" s="73"/>
      <c r="BN1860" s="73"/>
      <c r="BO1860" s="73"/>
      <c r="BP1860" s="73"/>
      <c r="BQ1860" s="73"/>
      <c r="BR1860" s="73"/>
      <c r="BS1860" s="73"/>
      <c r="BT1860" s="73"/>
      <c r="BU1860" s="73"/>
      <c r="BV1860" s="73"/>
      <c r="BW1860" s="73"/>
      <c r="BX1860" s="73"/>
      <c r="BY1860" s="73"/>
      <c r="BZ1860" s="73"/>
      <c r="CA1860" s="73"/>
      <c r="CB1860" s="73"/>
      <c r="CC1860" s="73"/>
      <c r="CD1860" s="73"/>
      <c r="CE1860" s="73"/>
      <c r="CF1860" s="73"/>
      <c r="CG1860" s="73"/>
      <c r="CH1860" s="73"/>
    </row>
    <row r="1861">
      <c r="A1861" s="80"/>
      <c r="B1861" s="80"/>
      <c r="C1861" s="80"/>
      <c r="D1861" s="80"/>
      <c r="E1861" s="124"/>
      <c r="F1861" s="80"/>
      <c r="G1861" s="80"/>
      <c r="H1861" s="80"/>
      <c r="I1861" s="80"/>
      <c r="J1861" s="196"/>
      <c r="K1861" s="196"/>
      <c r="L1861" s="196"/>
      <c r="M1861" s="196"/>
      <c r="N1861" s="196"/>
      <c r="O1861" s="196"/>
      <c r="P1861" s="196"/>
      <c r="Q1861" s="196"/>
      <c r="R1861" s="196"/>
      <c r="S1861" s="196"/>
      <c r="T1861" s="196"/>
      <c r="U1861" s="196"/>
      <c r="V1861" s="196"/>
      <c r="W1861" s="196"/>
      <c r="X1861" s="196"/>
      <c r="Y1861" s="196"/>
      <c r="Z1861" s="196"/>
      <c r="AA1861" s="196"/>
      <c r="AB1861" s="196"/>
      <c r="AC1861" s="196"/>
      <c r="AD1861" s="196"/>
      <c r="AE1861" s="196"/>
      <c r="AF1861" s="196"/>
      <c r="AG1861" s="196"/>
      <c r="AH1861" s="196"/>
      <c r="AI1861" s="196"/>
      <c r="AJ1861" s="197"/>
      <c r="AK1861" s="80"/>
      <c r="AL1861" s="80"/>
      <c r="AM1861" s="73"/>
      <c r="AN1861" s="73"/>
      <c r="AO1861" s="73"/>
      <c r="AP1861" s="73"/>
      <c r="AQ1861" s="73"/>
      <c r="AR1861" s="73"/>
      <c r="AS1861" s="73"/>
      <c r="AT1861" s="73"/>
      <c r="AU1861" s="73"/>
      <c r="AV1861" s="73"/>
      <c r="AW1861" s="73"/>
      <c r="AX1861" s="73"/>
      <c r="AY1861" s="73"/>
      <c r="AZ1861" s="73"/>
      <c r="BA1861" s="73"/>
      <c r="BB1861" s="73"/>
      <c r="BC1861" s="73"/>
      <c r="BD1861" s="73"/>
      <c r="BE1861" s="73"/>
      <c r="BF1861" s="73"/>
      <c r="BG1861" s="73"/>
      <c r="BH1861" s="73"/>
      <c r="BI1861" s="73"/>
      <c r="BJ1861" s="73"/>
      <c r="BK1861" s="73"/>
      <c r="BL1861" s="73"/>
      <c r="BM1861" s="73"/>
      <c r="BN1861" s="73"/>
      <c r="BO1861" s="73"/>
      <c r="BP1861" s="73"/>
      <c r="BQ1861" s="73"/>
      <c r="BR1861" s="73"/>
      <c r="BS1861" s="73"/>
      <c r="BT1861" s="73"/>
      <c r="BU1861" s="73"/>
      <c r="BV1861" s="73"/>
      <c r="BW1861" s="73"/>
      <c r="BX1861" s="73"/>
      <c r="BY1861" s="73"/>
      <c r="BZ1861" s="73"/>
      <c r="CA1861" s="73"/>
      <c r="CB1861" s="73"/>
      <c r="CC1861" s="73"/>
      <c r="CD1861" s="73"/>
      <c r="CE1861" s="73"/>
      <c r="CF1861" s="73"/>
      <c r="CG1861" s="73"/>
      <c r="CH1861" s="73"/>
    </row>
    <row r="1862">
      <c r="A1862" s="80"/>
      <c r="B1862" s="80"/>
      <c r="C1862" s="80"/>
      <c r="D1862" s="80"/>
      <c r="E1862" s="124"/>
      <c r="F1862" s="80"/>
      <c r="G1862" s="80"/>
      <c r="H1862" s="80"/>
      <c r="I1862" s="80"/>
      <c r="J1862" s="196"/>
      <c r="K1862" s="196"/>
      <c r="L1862" s="196"/>
      <c r="M1862" s="196"/>
      <c r="N1862" s="196"/>
      <c r="O1862" s="196"/>
      <c r="P1862" s="196"/>
      <c r="Q1862" s="196"/>
      <c r="R1862" s="196"/>
      <c r="S1862" s="196"/>
      <c r="T1862" s="196"/>
      <c r="U1862" s="196"/>
      <c r="V1862" s="196"/>
      <c r="W1862" s="196"/>
      <c r="X1862" s="196"/>
      <c r="Y1862" s="196"/>
      <c r="Z1862" s="196"/>
      <c r="AA1862" s="196"/>
      <c r="AB1862" s="196"/>
      <c r="AC1862" s="196"/>
      <c r="AD1862" s="196"/>
      <c r="AE1862" s="196"/>
      <c r="AF1862" s="196"/>
      <c r="AG1862" s="196"/>
      <c r="AH1862" s="196"/>
      <c r="AI1862" s="196"/>
      <c r="AJ1862" s="197"/>
      <c r="AK1862" s="80"/>
      <c r="AL1862" s="80"/>
      <c r="AM1862" s="73"/>
      <c r="AN1862" s="73"/>
      <c r="AO1862" s="73"/>
      <c r="AP1862" s="73"/>
      <c r="AQ1862" s="73"/>
      <c r="AR1862" s="73"/>
      <c r="AS1862" s="73"/>
      <c r="AT1862" s="73"/>
      <c r="AU1862" s="73"/>
      <c r="AV1862" s="73"/>
      <c r="AW1862" s="73"/>
      <c r="AX1862" s="73"/>
      <c r="AY1862" s="73"/>
      <c r="AZ1862" s="73"/>
      <c r="BA1862" s="73"/>
      <c r="BB1862" s="73"/>
      <c r="BC1862" s="73"/>
      <c r="BD1862" s="73"/>
      <c r="BE1862" s="73"/>
      <c r="BF1862" s="73"/>
      <c r="BG1862" s="73"/>
      <c r="BH1862" s="73"/>
      <c r="BI1862" s="73"/>
      <c r="BJ1862" s="73"/>
      <c r="BK1862" s="73"/>
      <c r="BL1862" s="73"/>
      <c r="BM1862" s="73"/>
      <c r="BN1862" s="73"/>
      <c r="BO1862" s="73"/>
      <c r="BP1862" s="73"/>
      <c r="BQ1862" s="73"/>
      <c r="BR1862" s="73"/>
      <c r="BS1862" s="73"/>
      <c r="BT1862" s="73"/>
      <c r="BU1862" s="73"/>
      <c r="BV1862" s="73"/>
      <c r="BW1862" s="73"/>
      <c r="BX1862" s="73"/>
      <c r="BY1862" s="73"/>
      <c r="BZ1862" s="73"/>
      <c r="CA1862" s="73"/>
      <c r="CB1862" s="73"/>
      <c r="CC1862" s="73"/>
      <c r="CD1862" s="73"/>
      <c r="CE1862" s="73"/>
      <c r="CF1862" s="73"/>
      <c r="CG1862" s="73"/>
      <c r="CH1862" s="73"/>
    </row>
    <row r="1863">
      <c r="A1863" s="80"/>
      <c r="B1863" s="80"/>
      <c r="C1863" s="80"/>
      <c r="D1863" s="80"/>
      <c r="E1863" s="124"/>
      <c r="F1863" s="80"/>
      <c r="G1863" s="80"/>
      <c r="H1863" s="80"/>
      <c r="I1863" s="80"/>
      <c r="J1863" s="196"/>
      <c r="K1863" s="196"/>
      <c r="L1863" s="196"/>
      <c r="M1863" s="196"/>
      <c r="N1863" s="196"/>
      <c r="O1863" s="196"/>
      <c r="P1863" s="196"/>
      <c r="Q1863" s="196"/>
      <c r="R1863" s="196"/>
      <c r="S1863" s="196"/>
      <c r="T1863" s="196"/>
      <c r="U1863" s="196"/>
      <c r="V1863" s="196"/>
      <c r="W1863" s="196"/>
      <c r="X1863" s="196"/>
      <c r="Y1863" s="196"/>
      <c r="Z1863" s="196"/>
      <c r="AA1863" s="196"/>
      <c r="AB1863" s="196"/>
      <c r="AC1863" s="196"/>
      <c r="AD1863" s="196"/>
      <c r="AE1863" s="196"/>
      <c r="AF1863" s="196"/>
      <c r="AG1863" s="196"/>
      <c r="AH1863" s="196"/>
      <c r="AI1863" s="196"/>
      <c r="AJ1863" s="197"/>
      <c r="AK1863" s="80"/>
      <c r="AL1863" s="80"/>
      <c r="AM1863" s="73"/>
      <c r="AN1863" s="73"/>
      <c r="AO1863" s="73"/>
      <c r="AP1863" s="73"/>
      <c r="AQ1863" s="73"/>
      <c r="AR1863" s="73"/>
      <c r="AS1863" s="73"/>
      <c r="AT1863" s="73"/>
      <c r="AU1863" s="73"/>
      <c r="AV1863" s="73"/>
      <c r="AW1863" s="73"/>
      <c r="AX1863" s="73"/>
      <c r="AY1863" s="73"/>
      <c r="AZ1863" s="73"/>
      <c r="BA1863" s="73"/>
      <c r="BB1863" s="73"/>
      <c r="BC1863" s="73"/>
      <c r="BD1863" s="73"/>
      <c r="BE1863" s="73"/>
      <c r="BF1863" s="73"/>
      <c r="BG1863" s="73"/>
      <c r="BH1863" s="73"/>
      <c r="BI1863" s="73"/>
      <c r="BJ1863" s="73"/>
      <c r="BK1863" s="73"/>
      <c r="BL1863" s="73"/>
      <c r="BM1863" s="73"/>
      <c r="BN1863" s="73"/>
      <c r="BO1863" s="73"/>
      <c r="BP1863" s="73"/>
      <c r="BQ1863" s="73"/>
      <c r="BR1863" s="73"/>
      <c r="BS1863" s="73"/>
      <c r="BT1863" s="73"/>
      <c r="BU1863" s="73"/>
      <c r="BV1863" s="73"/>
      <c r="BW1863" s="73"/>
      <c r="BX1863" s="73"/>
      <c r="BY1863" s="73"/>
      <c r="BZ1863" s="73"/>
      <c r="CA1863" s="73"/>
      <c r="CB1863" s="73"/>
      <c r="CC1863" s="73"/>
      <c r="CD1863" s="73"/>
      <c r="CE1863" s="73"/>
      <c r="CF1863" s="73"/>
      <c r="CG1863" s="73"/>
      <c r="CH1863" s="73"/>
    </row>
    <row r="1864">
      <c r="A1864" s="80"/>
      <c r="B1864" s="80"/>
      <c r="C1864" s="80"/>
      <c r="D1864" s="80"/>
      <c r="E1864" s="124"/>
      <c r="F1864" s="80"/>
      <c r="G1864" s="80"/>
      <c r="H1864" s="80"/>
      <c r="I1864" s="80"/>
      <c r="J1864" s="196"/>
      <c r="K1864" s="196"/>
      <c r="L1864" s="196"/>
      <c r="M1864" s="196"/>
      <c r="N1864" s="196"/>
      <c r="O1864" s="196"/>
      <c r="P1864" s="196"/>
      <c r="Q1864" s="196"/>
      <c r="R1864" s="196"/>
      <c r="S1864" s="196"/>
      <c r="T1864" s="196"/>
      <c r="U1864" s="196"/>
      <c r="V1864" s="196"/>
      <c r="W1864" s="196"/>
      <c r="X1864" s="196"/>
      <c r="Y1864" s="196"/>
      <c r="Z1864" s="196"/>
      <c r="AA1864" s="196"/>
      <c r="AB1864" s="196"/>
      <c r="AC1864" s="196"/>
      <c r="AD1864" s="196"/>
      <c r="AE1864" s="196"/>
      <c r="AF1864" s="196"/>
      <c r="AG1864" s="196"/>
      <c r="AH1864" s="196"/>
      <c r="AI1864" s="196"/>
      <c r="AJ1864" s="197"/>
      <c r="AK1864" s="80"/>
      <c r="AL1864" s="80"/>
      <c r="AM1864" s="73"/>
      <c r="AN1864" s="73"/>
      <c r="AO1864" s="73"/>
      <c r="AP1864" s="73"/>
      <c r="AQ1864" s="73"/>
      <c r="AR1864" s="73"/>
      <c r="AS1864" s="73"/>
      <c r="AT1864" s="73"/>
      <c r="AU1864" s="73"/>
      <c r="AV1864" s="73"/>
      <c r="AW1864" s="73"/>
      <c r="AX1864" s="73"/>
      <c r="AY1864" s="73"/>
      <c r="AZ1864" s="73"/>
      <c r="BA1864" s="73"/>
      <c r="BB1864" s="73"/>
      <c r="BC1864" s="73"/>
      <c r="BD1864" s="73"/>
      <c r="BE1864" s="73"/>
      <c r="BF1864" s="73"/>
      <c r="BG1864" s="73"/>
      <c r="BH1864" s="73"/>
      <c r="BI1864" s="73"/>
      <c r="BJ1864" s="73"/>
      <c r="BK1864" s="73"/>
      <c r="BL1864" s="73"/>
      <c r="BM1864" s="73"/>
      <c r="BN1864" s="73"/>
      <c r="BO1864" s="73"/>
      <c r="BP1864" s="73"/>
      <c r="BQ1864" s="73"/>
      <c r="BR1864" s="73"/>
      <c r="BS1864" s="73"/>
      <c r="BT1864" s="73"/>
      <c r="BU1864" s="73"/>
      <c r="BV1864" s="73"/>
      <c r="BW1864" s="73"/>
      <c r="BX1864" s="73"/>
      <c r="BY1864" s="73"/>
      <c r="BZ1864" s="73"/>
      <c r="CA1864" s="73"/>
      <c r="CB1864" s="73"/>
      <c r="CC1864" s="73"/>
      <c r="CD1864" s="73"/>
      <c r="CE1864" s="73"/>
      <c r="CF1864" s="73"/>
      <c r="CG1864" s="73"/>
      <c r="CH1864" s="73"/>
    </row>
    <row r="1865">
      <c r="A1865" s="80"/>
      <c r="B1865" s="80"/>
      <c r="C1865" s="80"/>
      <c r="D1865" s="80"/>
      <c r="E1865" s="124"/>
      <c r="F1865" s="80"/>
      <c r="G1865" s="80"/>
      <c r="H1865" s="80"/>
      <c r="I1865" s="80"/>
      <c r="J1865" s="196"/>
      <c r="K1865" s="196"/>
      <c r="L1865" s="196"/>
      <c r="M1865" s="196"/>
      <c r="N1865" s="196"/>
      <c r="O1865" s="196"/>
      <c r="P1865" s="196"/>
      <c r="Q1865" s="196"/>
      <c r="R1865" s="196"/>
      <c r="S1865" s="196"/>
      <c r="T1865" s="196"/>
      <c r="U1865" s="196"/>
      <c r="V1865" s="196"/>
      <c r="W1865" s="196"/>
      <c r="X1865" s="196"/>
      <c r="Y1865" s="196"/>
      <c r="Z1865" s="196"/>
      <c r="AA1865" s="196"/>
      <c r="AB1865" s="196"/>
      <c r="AC1865" s="196"/>
      <c r="AD1865" s="196"/>
      <c r="AE1865" s="196"/>
      <c r="AF1865" s="196"/>
      <c r="AG1865" s="196"/>
      <c r="AH1865" s="196"/>
      <c r="AI1865" s="196"/>
      <c r="AJ1865" s="197"/>
      <c r="AK1865" s="80"/>
      <c r="AL1865" s="80"/>
      <c r="AM1865" s="73"/>
      <c r="AN1865" s="73"/>
      <c r="AO1865" s="73"/>
      <c r="AP1865" s="73"/>
      <c r="AQ1865" s="73"/>
      <c r="AR1865" s="73"/>
      <c r="AS1865" s="73"/>
      <c r="AT1865" s="73"/>
      <c r="AU1865" s="73"/>
      <c r="AV1865" s="73"/>
      <c r="AW1865" s="73"/>
      <c r="AX1865" s="73"/>
      <c r="AY1865" s="73"/>
      <c r="AZ1865" s="73"/>
      <c r="BA1865" s="73"/>
      <c r="BB1865" s="73"/>
      <c r="BC1865" s="73"/>
      <c r="BD1865" s="73"/>
      <c r="BE1865" s="73"/>
      <c r="BF1865" s="73"/>
      <c r="BG1865" s="73"/>
      <c r="BH1865" s="73"/>
      <c r="BI1865" s="73"/>
      <c r="BJ1865" s="73"/>
      <c r="BK1865" s="73"/>
      <c r="BL1865" s="73"/>
      <c r="BM1865" s="73"/>
      <c r="BN1865" s="73"/>
      <c r="BO1865" s="73"/>
      <c r="BP1865" s="73"/>
      <c r="BQ1865" s="73"/>
      <c r="BR1865" s="73"/>
      <c r="BS1865" s="73"/>
      <c r="BT1865" s="73"/>
      <c r="BU1865" s="73"/>
      <c r="BV1865" s="73"/>
      <c r="BW1865" s="73"/>
      <c r="BX1865" s="73"/>
      <c r="BY1865" s="73"/>
      <c r="BZ1865" s="73"/>
      <c r="CA1865" s="73"/>
      <c r="CB1865" s="73"/>
      <c r="CC1865" s="73"/>
      <c r="CD1865" s="73"/>
      <c r="CE1865" s="73"/>
      <c r="CF1865" s="73"/>
      <c r="CG1865" s="73"/>
      <c r="CH1865" s="73"/>
    </row>
    <row r="1866">
      <c r="A1866" s="80"/>
      <c r="B1866" s="80"/>
      <c r="C1866" s="80"/>
      <c r="D1866" s="80"/>
      <c r="E1866" s="124"/>
      <c r="F1866" s="80"/>
      <c r="G1866" s="80"/>
      <c r="H1866" s="80"/>
      <c r="I1866" s="80"/>
      <c r="J1866" s="196"/>
      <c r="K1866" s="196"/>
      <c r="L1866" s="196"/>
      <c r="M1866" s="196"/>
      <c r="N1866" s="196"/>
      <c r="O1866" s="196"/>
      <c r="P1866" s="196"/>
      <c r="Q1866" s="196"/>
      <c r="R1866" s="196"/>
      <c r="S1866" s="196"/>
      <c r="T1866" s="196"/>
      <c r="U1866" s="196"/>
      <c r="V1866" s="196"/>
      <c r="W1866" s="196"/>
      <c r="X1866" s="196"/>
      <c r="Y1866" s="196"/>
      <c r="Z1866" s="196"/>
      <c r="AA1866" s="196"/>
      <c r="AB1866" s="196"/>
      <c r="AC1866" s="196"/>
      <c r="AD1866" s="196"/>
      <c r="AE1866" s="196"/>
      <c r="AF1866" s="196"/>
      <c r="AG1866" s="196"/>
      <c r="AH1866" s="196"/>
      <c r="AI1866" s="196"/>
      <c r="AJ1866" s="197"/>
      <c r="AK1866" s="80"/>
      <c r="AL1866" s="80"/>
      <c r="AM1866" s="73"/>
      <c r="AN1866" s="73"/>
      <c r="AO1866" s="73"/>
      <c r="AP1866" s="73"/>
      <c r="AQ1866" s="73"/>
      <c r="AR1866" s="73"/>
      <c r="AS1866" s="73"/>
      <c r="AT1866" s="73"/>
      <c r="AU1866" s="73"/>
      <c r="AV1866" s="73"/>
      <c r="AW1866" s="73"/>
      <c r="AX1866" s="73"/>
      <c r="AY1866" s="73"/>
      <c r="AZ1866" s="73"/>
      <c r="BA1866" s="73"/>
      <c r="BB1866" s="73"/>
      <c r="BC1866" s="73"/>
      <c r="BD1866" s="73"/>
      <c r="BE1866" s="73"/>
      <c r="BF1866" s="73"/>
      <c r="BG1866" s="73"/>
      <c r="BH1866" s="73"/>
      <c r="BI1866" s="73"/>
      <c r="BJ1866" s="73"/>
      <c r="BK1866" s="73"/>
      <c r="BL1866" s="73"/>
      <c r="BM1866" s="73"/>
      <c r="BN1866" s="73"/>
      <c r="BO1866" s="73"/>
      <c r="BP1866" s="73"/>
      <c r="BQ1866" s="73"/>
      <c r="BR1866" s="73"/>
      <c r="BS1866" s="73"/>
      <c r="BT1866" s="73"/>
      <c r="BU1866" s="73"/>
      <c r="BV1866" s="73"/>
      <c r="BW1866" s="73"/>
      <c r="BX1866" s="73"/>
      <c r="BY1866" s="73"/>
      <c r="BZ1866" s="73"/>
      <c r="CA1866" s="73"/>
      <c r="CB1866" s="73"/>
      <c r="CC1866" s="73"/>
      <c r="CD1866" s="73"/>
      <c r="CE1866" s="73"/>
      <c r="CF1866" s="73"/>
      <c r="CG1866" s="73"/>
      <c r="CH1866" s="73"/>
    </row>
    <row r="1867">
      <c r="A1867" s="80"/>
      <c r="B1867" s="80"/>
      <c r="C1867" s="80"/>
      <c r="D1867" s="80"/>
      <c r="E1867" s="124"/>
      <c r="F1867" s="80"/>
      <c r="G1867" s="80"/>
      <c r="H1867" s="80"/>
      <c r="I1867" s="80"/>
      <c r="J1867" s="196"/>
      <c r="K1867" s="196"/>
      <c r="L1867" s="196"/>
      <c r="M1867" s="196"/>
      <c r="N1867" s="196"/>
      <c r="O1867" s="196"/>
      <c r="P1867" s="196"/>
      <c r="Q1867" s="196"/>
      <c r="R1867" s="196"/>
      <c r="S1867" s="196"/>
      <c r="T1867" s="196"/>
      <c r="U1867" s="196"/>
      <c r="V1867" s="196"/>
      <c r="W1867" s="196"/>
      <c r="X1867" s="196"/>
      <c r="Y1867" s="196"/>
      <c r="Z1867" s="196"/>
      <c r="AA1867" s="196"/>
      <c r="AB1867" s="196"/>
      <c r="AC1867" s="196"/>
      <c r="AD1867" s="196"/>
      <c r="AE1867" s="196"/>
      <c r="AF1867" s="196"/>
      <c r="AG1867" s="196"/>
      <c r="AH1867" s="196"/>
      <c r="AI1867" s="196"/>
      <c r="AJ1867" s="197"/>
      <c r="AK1867" s="80"/>
      <c r="AL1867" s="80"/>
      <c r="AM1867" s="73"/>
      <c r="AN1867" s="73"/>
      <c r="AO1867" s="73"/>
      <c r="AP1867" s="73"/>
      <c r="AQ1867" s="73"/>
      <c r="AR1867" s="73"/>
      <c r="AS1867" s="73"/>
      <c r="AT1867" s="73"/>
      <c r="AU1867" s="73"/>
      <c r="AV1867" s="73"/>
      <c r="AW1867" s="73"/>
      <c r="AX1867" s="73"/>
      <c r="AY1867" s="73"/>
      <c r="AZ1867" s="73"/>
      <c r="BA1867" s="73"/>
      <c r="BB1867" s="73"/>
      <c r="BC1867" s="73"/>
      <c r="BD1867" s="73"/>
      <c r="BE1867" s="73"/>
      <c r="BF1867" s="73"/>
      <c r="BG1867" s="73"/>
      <c r="BH1867" s="73"/>
      <c r="BI1867" s="73"/>
      <c r="BJ1867" s="73"/>
      <c r="BK1867" s="73"/>
      <c r="BL1867" s="73"/>
      <c r="BM1867" s="73"/>
      <c r="BN1867" s="73"/>
      <c r="BO1867" s="73"/>
      <c r="BP1867" s="73"/>
      <c r="BQ1867" s="73"/>
      <c r="BR1867" s="73"/>
      <c r="BS1867" s="73"/>
      <c r="BT1867" s="73"/>
      <c r="BU1867" s="73"/>
      <c r="BV1867" s="73"/>
      <c r="BW1867" s="73"/>
      <c r="BX1867" s="73"/>
      <c r="BY1867" s="73"/>
      <c r="BZ1867" s="73"/>
      <c r="CA1867" s="73"/>
      <c r="CB1867" s="73"/>
      <c r="CC1867" s="73"/>
      <c r="CD1867" s="73"/>
      <c r="CE1867" s="73"/>
      <c r="CF1867" s="73"/>
      <c r="CG1867" s="73"/>
      <c r="CH1867" s="73"/>
    </row>
    <row r="1868">
      <c r="A1868" s="80"/>
      <c r="B1868" s="80"/>
      <c r="C1868" s="80"/>
      <c r="D1868" s="80"/>
      <c r="E1868" s="124"/>
      <c r="F1868" s="80"/>
      <c r="G1868" s="80"/>
      <c r="H1868" s="80"/>
      <c r="I1868" s="80"/>
      <c r="J1868" s="196"/>
      <c r="K1868" s="196"/>
      <c r="L1868" s="196"/>
      <c r="M1868" s="196"/>
      <c r="N1868" s="196"/>
      <c r="O1868" s="196"/>
      <c r="P1868" s="196"/>
      <c r="Q1868" s="196"/>
      <c r="R1868" s="196"/>
      <c r="S1868" s="196"/>
      <c r="T1868" s="196"/>
      <c r="U1868" s="196"/>
      <c r="V1868" s="196"/>
      <c r="W1868" s="196"/>
      <c r="X1868" s="196"/>
      <c r="Y1868" s="196"/>
      <c r="Z1868" s="196"/>
      <c r="AA1868" s="196"/>
      <c r="AB1868" s="196"/>
      <c r="AC1868" s="196"/>
      <c r="AD1868" s="196"/>
      <c r="AE1868" s="196"/>
      <c r="AF1868" s="196"/>
      <c r="AG1868" s="196"/>
      <c r="AH1868" s="196"/>
      <c r="AI1868" s="196"/>
      <c r="AJ1868" s="197"/>
      <c r="AK1868" s="80"/>
      <c r="AL1868" s="80"/>
      <c r="AM1868" s="73"/>
      <c r="AN1868" s="73"/>
      <c r="AO1868" s="73"/>
      <c r="AP1868" s="73"/>
      <c r="AQ1868" s="73"/>
      <c r="AR1868" s="73"/>
      <c r="AS1868" s="73"/>
      <c r="AT1868" s="73"/>
      <c r="AU1868" s="73"/>
      <c r="AV1868" s="73"/>
      <c r="AW1868" s="73"/>
      <c r="AX1868" s="73"/>
      <c r="AY1868" s="73"/>
      <c r="AZ1868" s="73"/>
      <c r="BA1868" s="73"/>
      <c r="BB1868" s="73"/>
      <c r="BC1868" s="73"/>
      <c r="BD1868" s="73"/>
      <c r="BE1868" s="73"/>
      <c r="BF1868" s="73"/>
      <c r="BG1868" s="73"/>
      <c r="BH1868" s="73"/>
      <c r="BI1868" s="73"/>
      <c r="BJ1868" s="73"/>
      <c r="BK1868" s="73"/>
      <c r="BL1868" s="73"/>
      <c r="BM1868" s="73"/>
      <c r="BN1868" s="73"/>
      <c r="BO1868" s="73"/>
      <c r="BP1868" s="73"/>
      <c r="BQ1868" s="73"/>
      <c r="BR1868" s="73"/>
      <c r="BS1868" s="73"/>
      <c r="BT1868" s="73"/>
      <c r="BU1868" s="73"/>
      <c r="BV1868" s="73"/>
      <c r="BW1868" s="73"/>
      <c r="BX1868" s="73"/>
      <c r="BY1868" s="73"/>
      <c r="BZ1868" s="73"/>
      <c r="CA1868" s="73"/>
      <c r="CB1868" s="73"/>
      <c r="CC1868" s="73"/>
      <c r="CD1868" s="73"/>
      <c r="CE1868" s="73"/>
      <c r="CF1868" s="73"/>
      <c r="CG1868" s="73"/>
      <c r="CH1868" s="73"/>
    </row>
    <row r="1869">
      <c r="A1869" s="80"/>
      <c r="B1869" s="80"/>
      <c r="C1869" s="80"/>
      <c r="D1869" s="80"/>
      <c r="E1869" s="124"/>
      <c r="F1869" s="80"/>
      <c r="G1869" s="80"/>
      <c r="H1869" s="80"/>
      <c r="I1869" s="80"/>
      <c r="J1869" s="196"/>
      <c r="K1869" s="196"/>
      <c r="L1869" s="196"/>
      <c r="M1869" s="196"/>
      <c r="N1869" s="196"/>
      <c r="O1869" s="196"/>
      <c r="P1869" s="196"/>
      <c r="Q1869" s="196"/>
      <c r="R1869" s="196"/>
      <c r="S1869" s="196"/>
      <c r="T1869" s="196"/>
      <c r="U1869" s="196"/>
      <c r="V1869" s="196"/>
      <c r="W1869" s="196"/>
      <c r="X1869" s="196"/>
      <c r="Y1869" s="196"/>
      <c r="Z1869" s="196"/>
      <c r="AA1869" s="196"/>
      <c r="AB1869" s="196"/>
      <c r="AC1869" s="196"/>
      <c r="AD1869" s="196"/>
      <c r="AE1869" s="196"/>
      <c r="AF1869" s="196"/>
      <c r="AG1869" s="196"/>
      <c r="AH1869" s="196"/>
      <c r="AI1869" s="196"/>
      <c r="AJ1869" s="197"/>
      <c r="AK1869" s="80"/>
      <c r="AL1869" s="80"/>
      <c r="AM1869" s="73"/>
      <c r="AN1869" s="73"/>
      <c r="AO1869" s="73"/>
      <c r="AP1869" s="73"/>
      <c r="AQ1869" s="73"/>
      <c r="AR1869" s="73"/>
      <c r="AS1869" s="73"/>
      <c r="AT1869" s="73"/>
      <c r="AU1869" s="73"/>
      <c r="AV1869" s="73"/>
      <c r="AW1869" s="73"/>
      <c r="AX1869" s="73"/>
      <c r="AY1869" s="73"/>
      <c r="AZ1869" s="73"/>
      <c r="BA1869" s="73"/>
      <c r="BB1869" s="73"/>
      <c r="BC1869" s="73"/>
      <c r="BD1869" s="73"/>
      <c r="BE1869" s="73"/>
      <c r="BF1869" s="73"/>
      <c r="BG1869" s="73"/>
      <c r="BH1869" s="73"/>
      <c r="BI1869" s="73"/>
      <c r="BJ1869" s="73"/>
      <c r="BK1869" s="73"/>
      <c r="BL1869" s="73"/>
      <c r="BM1869" s="73"/>
      <c r="BN1869" s="73"/>
      <c r="BO1869" s="73"/>
      <c r="BP1869" s="73"/>
      <c r="BQ1869" s="73"/>
      <c r="BR1869" s="73"/>
      <c r="BS1869" s="73"/>
      <c r="BT1869" s="73"/>
      <c r="BU1869" s="73"/>
      <c r="BV1869" s="73"/>
      <c r="BW1869" s="73"/>
      <c r="BX1869" s="73"/>
      <c r="BY1869" s="73"/>
      <c r="BZ1869" s="73"/>
      <c r="CA1869" s="73"/>
      <c r="CB1869" s="73"/>
      <c r="CC1869" s="73"/>
      <c r="CD1869" s="73"/>
      <c r="CE1869" s="73"/>
      <c r="CF1869" s="73"/>
      <c r="CG1869" s="73"/>
      <c r="CH1869" s="73"/>
    </row>
    <row r="1870">
      <c r="A1870" s="80"/>
      <c r="B1870" s="80"/>
      <c r="C1870" s="80"/>
      <c r="D1870" s="80"/>
      <c r="E1870" s="124"/>
      <c r="F1870" s="80"/>
      <c r="G1870" s="80"/>
      <c r="H1870" s="80"/>
      <c r="I1870" s="80"/>
      <c r="J1870" s="196"/>
      <c r="K1870" s="196"/>
      <c r="L1870" s="196"/>
      <c r="M1870" s="196"/>
      <c r="N1870" s="196"/>
      <c r="O1870" s="196"/>
      <c r="P1870" s="196"/>
      <c r="Q1870" s="196"/>
      <c r="R1870" s="196"/>
      <c r="S1870" s="196"/>
      <c r="T1870" s="196"/>
      <c r="U1870" s="196"/>
      <c r="V1870" s="196"/>
      <c r="W1870" s="196"/>
      <c r="X1870" s="196"/>
      <c r="Y1870" s="196"/>
      <c r="Z1870" s="196"/>
      <c r="AA1870" s="196"/>
      <c r="AB1870" s="196"/>
      <c r="AC1870" s="196"/>
      <c r="AD1870" s="196"/>
      <c r="AE1870" s="196"/>
      <c r="AF1870" s="196"/>
      <c r="AG1870" s="196"/>
      <c r="AH1870" s="196"/>
      <c r="AI1870" s="196"/>
      <c r="AJ1870" s="197"/>
      <c r="AK1870" s="80"/>
      <c r="AL1870" s="80"/>
      <c r="AM1870" s="73"/>
      <c r="AN1870" s="73"/>
      <c r="AO1870" s="73"/>
      <c r="AP1870" s="73"/>
      <c r="AQ1870" s="73"/>
      <c r="AR1870" s="73"/>
      <c r="AS1870" s="73"/>
      <c r="AT1870" s="73"/>
      <c r="AU1870" s="73"/>
      <c r="AV1870" s="73"/>
      <c r="AW1870" s="73"/>
      <c r="AX1870" s="73"/>
      <c r="AY1870" s="73"/>
      <c r="AZ1870" s="73"/>
      <c r="BA1870" s="73"/>
      <c r="BB1870" s="73"/>
      <c r="BC1870" s="73"/>
      <c r="BD1870" s="73"/>
      <c r="BE1870" s="73"/>
      <c r="BF1870" s="73"/>
      <c r="BG1870" s="73"/>
      <c r="BH1870" s="73"/>
      <c r="BI1870" s="73"/>
      <c r="BJ1870" s="73"/>
      <c r="BK1870" s="73"/>
      <c r="BL1870" s="73"/>
      <c r="BM1870" s="73"/>
      <c r="BN1870" s="73"/>
      <c r="BO1870" s="73"/>
      <c r="BP1870" s="73"/>
      <c r="BQ1870" s="73"/>
      <c r="BR1870" s="73"/>
      <c r="BS1870" s="73"/>
      <c r="BT1870" s="73"/>
      <c r="BU1870" s="73"/>
      <c r="BV1870" s="73"/>
      <c r="BW1870" s="73"/>
      <c r="BX1870" s="73"/>
      <c r="BY1870" s="73"/>
      <c r="BZ1870" s="73"/>
      <c r="CA1870" s="73"/>
      <c r="CB1870" s="73"/>
      <c r="CC1870" s="73"/>
      <c r="CD1870" s="73"/>
      <c r="CE1870" s="73"/>
      <c r="CF1870" s="73"/>
      <c r="CG1870" s="73"/>
      <c r="CH1870" s="73"/>
    </row>
    <row r="1871">
      <c r="A1871" s="80"/>
      <c r="B1871" s="80"/>
      <c r="C1871" s="80"/>
      <c r="D1871" s="80"/>
      <c r="E1871" s="124"/>
      <c r="F1871" s="80"/>
      <c r="G1871" s="80"/>
      <c r="H1871" s="80"/>
      <c r="I1871" s="80"/>
      <c r="J1871" s="196"/>
      <c r="K1871" s="196"/>
      <c r="L1871" s="196"/>
      <c r="M1871" s="196"/>
      <c r="N1871" s="196"/>
      <c r="O1871" s="196"/>
      <c r="P1871" s="196"/>
      <c r="Q1871" s="196"/>
      <c r="R1871" s="196"/>
      <c r="S1871" s="196"/>
      <c r="T1871" s="196"/>
      <c r="U1871" s="196"/>
      <c r="V1871" s="196"/>
      <c r="W1871" s="196"/>
      <c r="X1871" s="196"/>
      <c r="Y1871" s="196"/>
      <c r="Z1871" s="196"/>
      <c r="AA1871" s="196"/>
      <c r="AB1871" s="196"/>
      <c r="AC1871" s="196"/>
      <c r="AD1871" s="196"/>
      <c r="AE1871" s="196"/>
      <c r="AF1871" s="196"/>
      <c r="AG1871" s="196"/>
      <c r="AH1871" s="196"/>
      <c r="AI1871" s="196"/>
      <c r="AJ1871" s="197"/>
      <c r="AK1871" s="80"/>
      <c r="AL1871" s="80"/>
      <c r="AM1871" s="73"/>
      <c r="AN1871" s="73"/>
      <c r="AO1871" s="73"/>
      <c r="AP1871" s="73"/>
      <c r="AQ1871" s="73"/>
      <c r="AR1871" s="73"/>
      <c r="AS1871" s="73"/>
      <c r="AT1871" s="73"/>
      <c r="AU1871" s="73"/>
      <c r="AV1871" s="73"/>
      <c r="AW1871" s="73"/>
      <c r="AX1871" s="73"/>
      <c r="AY1871" s="73"/>
      <c r="AZ1871" s="73"/>
      <c r="BA1871" s="73"/>
      <c r="BB1871" s="73"/>
      <c r="BC1871" s="73"/>
      <c r="BD1871" s="73"/>
      <c r="BE1871" s="73"/>
      <c r="BF1871" s="73"/>
      <c r="BG1871" s="73"/>
      <c r="BH1871" s="73"/>
      <c r="BI1871" s="73"/>
      <c r="BJ1871" s="73"/>
      <c r="BK1871" s="73"/>
      <c r="BL1871" s="73"/>
      <c r="BM1871" s="73"/>
      <c r="BN1871" s="73"/>
      <c r="BO1871" s="73"/>
      <c r="BP1871" s="73"/>
      <c r="BQ1871" s="73"/>
      <c r="BR1871" s="73"/>
      <c r="BS1871" s="73"/>
      <c r="BT1871" s="73"/>
      <c r="BU1871" s="73"/>
      <c r="BV1871" s="73"/>
      <c r="BW1871" s="73"/>
      <c r="BX1871" s="73"/>
      <c r="BY1871" s="73"/>
      <c r="BZ1871" s="73"/>
      <c r="CA1871" s="73"/>
      <c r="CB1871" s="73"/>
      <c r="CC1871" s="73"/>
      <c r="CD1871" s="73"/>
      <c r="CE1871" s="73"/>
      <c r="CF1871" s="73"/>
      <c r="CG1871" s="73"/>
      <c r="CH1871" s="73"/>
    </row>
    <row r="1872">
      <c r="A1872" s="80"/>
      <c r="B1872" s="80"/>
      <c r="C1872" s="80"/>
      <c r="D1872" s="80"/>
      <c r="E1872" s="124"/>
      <c r="F1872" s="80"/>
      <c r="G1872" s="80"/>
      <c r="H1872" s="80"/>
      <c r="I1872" s="80"/>
      <c r="J1872" s="196"/>
      <c r="K1872" s="196"/>
      <c r="L1872" s="196"/>
      <c r="M1872" s="196"/>
      <c r="N1872" s="196"/>
      <c r="O1872" s="196"/>
      <c r="P1872" s="196"/>
      <c r="Q1872" s="196"/>
      <c r="R1872" s="196"/>
      <c r="S1872" s="196"/>
      <c r="T1872" s="196"/>
      <c r="U1872" s="196"/>
      <c r="V1872" s="196"/>
      <c r="W1872" s="196"/>
      <c r="X1872" s="196"/>
      <c r="Y1872" s="196"/>
      <c r="Z1872" s="196"/>
      <c r="AA1872" s="196"/>
      <c r="AB1872" s="196"/>
      <c r="AC1872" s="196"/>
      <c r="AD1872" s="196"/>
      <c r="AE1872" s="196"/>
      <c r="AF1872" s="196"/>
      <c r="AG1872" s="196"/>
      <c r="AH1872" s="196"/>
      <c r="AI1872" s="196"/>
      <c r="AJ1872" s="197"/>
      <c r="AK1872" s="80"/>
      <c r="AL1872" s="80"/>
      <c r="AM1872" s="73"/>
      <c r="AN1872" s="73"/>
      <c r="AO1872" s="73"/>
      <c r="AP1872" s="73"/>
      <c r="AQ1872" s="73"/>
      <c r="AR1872" s="73"/>
      <c r="AS1872" s="73"/>
      <c r="AT1872" s="73"/>
      <c r="AU1872" s="73"/>
      <c r="AV1872" s="73"/>
      <c r="AW1872" s="73"/>
      <c r="AX1872" s="73"/>
      <c r="AY1872" s="73"/>
      <c r="AZ1872" s="73"/>
      <c r="BA1872" s="73"/>
      <c r="BB1872" s="73"/>
      <c r="BC1872" s="73"/>
      <c r="BD1872" s="73"/>
      <c r="BE1872" s="73"/>
      <c r="BF1872" s="73"/>
      <c r="BG1872" s="73"/>
      <c r="BH1872" s="73"/>
      <c r="BI1872" s="73"/>
      <c r="BJ1872" s="73"/>
      <c r="BK1872" s="73"/>
      <c r="BL1872" s="73"/>
      <c r="BM1872" s="73"/>
      <c r="BN1872" s="73"/>
      <c r="BO1872" s="73"/>
      <c r="BP1872" s="73"/>
      <c r="BQ1872" s="73"/>
      <c r="BR1872" s="73"/>
      <c r="BS1872" s="73"/>
      <c r="BT1872" s="73"/>
      <c r="BU1872" s="73"/>
      <c r="BV1872" s="73"/>
      <c r="BW1872" s="73"/>
      <c r="BX1872" s="73"/>
      <c r="BY1872" s="73"/>
      <c r="BZ1872" s="73"/>
      <c r="CA1872" s="73"/>
      <c r="CB1872" s="73"/>
      <c r="CC1872" s="73"/>
      <c r="CD1872" s="73"/>
      <c r="CE1872" s="73"/>
      <c r="CF1872" s="73"/>
      <c r="CG1872" s="73"/>
      <c r="CH1872" s="73"/>
    </row>
    <row r="1873">
      <c r="A1873" s="80"/>
      <c r="B1873" s="80"/>
      <c r="C1873" s="80"/>
      <c r="D1873" s="80"/>
      <c r="E1873" s="124"/>
      <c r="F1873" s="80"/>
      <c r="G1873" s="80"/>
      <c r="H1873" s="80"/>
      <c r="I1873" s="80"/>
      <c r="J1873" s="196"/>
      <c r="K1873" s="196"/>
      <c r="L1873" s="196"/>
      <c r="M1873" s="196"/>
      <c r="N1873" s="196"/>
      <c r="O1873" s="196"/>
      <c r="P1873" s="196"/>
      <c r="Q1873" s="196"/>
      <c r="R1873" s="196"/>
      <c r="S1873" s="196"/>
      <c r="T1873" s="196"/>
      <c r="U1873" s="196"/>
      <c r="V1873" s="196"/>
      <c r="W1873" s="196"/>
      <c r="X1873" s="196"/>
      <c r="Y1873" s="196"/>
      <c r="Z1873" s="196"/>
      <c r="AA1873" s="196"/>
      <c r="AB1873" s="196"/>
      <c r="AC1873" s="196"/>
      <c r="AD1873" s="196"/>
      <c r="AE1873" s="196"/>
      <c r="AF1873" s="196"/>
      <c r="AG1873" s="196"/>
      <c r="AH1873" s="196"/>
      <c r="AI1873" s="196"/>
      <c r="AJ1873" s="197"/>
      <c r="AK1873" s="80"/>
      <c r="AL1873" s="80"/>
      <c r="AM1873" s="73"/>
      <c r="AN1873" s="73"/>
      <c r="AO1873" s="73"/>
      <c r="AP1873" s="73"/>
      <c r="AQ1873" s="73"/>
      <c r="AR1873" s="73"/>
      <c r="AS1873" s="73"/>
      <c r="AT1873" s="73"/>
      <c r="AU1873" s="73"/>
      <c r="AV1873" s="73"/>
      <c r="AW1873" s="73"/>
      <c r="AX1873" s="73"/>
      <c r="AY1873" s="73"/>
      <c r="AZ1873" s="73"/>
      <c r="BA1873" s="73"/>
      <c r="BB1873" s="73"/>
      <c r="BC1873" s="73"/>
      <c r="BD1873" s="73"/>
      <c r="BE1873" s="73"/>
      <c r="BF1873" s="73"/>
      <c r="BG1873" s="73"/>
      <c r="BH1873" s="73"/>
      <c r="BI1873" s="73"/>
      <c r="BJ1873" s="73"/>
      <c r="BK1873" s="73"/>
      <c r="BL1873" s="73"/>
      <c r="BM1873" s="73"/>
      <c r="BN1873" s="73"/>
      <c r="BO1873" s="73"/>
      <c r="BP1873" s="73"/>
      <c r="BQ1873" s="73"/>
      <c r="BR1873" s="73"/>
      <c r="BS1873" s="73"/>
      <c r="BT1873" s="73"/>
      <c r="BU1873" s="73"/>
      <c r="BV1873" s="73"/>
      <c r="BW1873" s="73"/>
      <c r="BX1873" s="73"/>
      <c r="BY1873" s="73"/>
      <c r="BZ1873" s="73"/>
      <c r="CA1873" s="73"/>
      <c r="CB1873" s="73"/>
      <c r="CC1873" s="73"/>
      <c r="CD1873" s="73"/>
      <c r="CE1873" s="73"/>
      <c r="CF1873" s="73"/>
      <c r="CG1873" s="73"/>
      <c r="CH1873" s="73"/>
    </row>
    <row r="1874">
      <c r="A1874" s="80"/>
      <c r="B1874" s="80"/>
      <c r="C1874" s="80"/>
      <c r="D1874" s="80"/>
      <c r="E1874" s="124"/>
      <c r="F1874" s="80"/>
      <c r="G1874" s="80"/>
      <c r="H1874" s="80"/>
      <c r="I1874" s="80"/>
      <c r="J1874" s="196"/>
      <c r="K1874" s="196"/>
      <c r="L1874" s="196"/>
      <c r="M1874" s="196"/>
      <c r="N1874" s="196"/>
      <c r="O1874" s="196"/>
      <c r="P1874" s="196"/>
      <c r="Q1874" s="196"/>
      <c r="R1874" s="196"/>
      <c r="S1874" s="196"/>
      <c r="T1874" s="196"/>
      <c r="U1874" s="196"/>
      <c r="V1874" s="196"/>
      <c r="W1874" s="196"/>
      <c r="X1874" s="196"/>
      <c r="Y1874" s="196"/>
      <c r="Z1874" s="196"/>
      <c r="AA1874" s="196"/>
      <c r="AB1874" s="196"/>
      <c r="AC1874" s="196"/>
      <c r="AD1874" s="196"/>
      <c r="AE1874" s="196"/>
      <c r="AF1874" s="196"/>
      <c r="AG1874" s="196"/>
      <c r="AH1874" s="196"/>
      <c r="AI1874" s="196"/>
      <c r="AJ1874" s="197"/>
      <c r="AK1874" s="80"/>
      <c r="AL1874" s="80"/>
      <c r="AM1874" s="73"/>
      <c r="AN1874" s="73"/>
      <c r="AO1874" s="73"/>
      <c r="AP1874" s="73"/>
      <c r="AQ1874" s="73"/>
      <c r="AR1874" s="73"/>
      <c r="AS1874" s="73"/>
      <c r="AT1874" s="73"/>
      <c r="AU1874" s="73"/>
      <c r="AV1874" s="73"/>
      <c r="AW1874" s="73"/>
      <c r="AX1874" s="73"/>
      <c r="AY1874" s="73"/>
      <c r="AZ1874" s="73"/>
      <c r="BA1874" s="73"/>
      <c r="BB1874" s="73"/>
      <c r="BC1874" s="73"/>
      <c r="BD1874" s="73"/>
      <c r="BE1874" s="73"/>
      <c r="BF1874" s="73"/>
      <c r="BG1874" s="73"/>
      <c r="BH1874" s="73"/>
      <c r="BI1874" s="73"/>
      <c r="BJ1874" s="73"/>
      <c r="BK1874" s="73"/>
      <c r="BL1874" s="73"/>
      <c r="BM1874" s="73"/>
      <c r="BN1874" s="73"/>
      <c r="BO1874" s="73"/>
      <c r="BP1874" s="73"/>
      <c r="BQ1874" s="73"/>
      <c r="BR1874" s="73"/>
      <c r="BS1874" s="73"/>
      <c r="BT1874" s="73"/>
      <c r="BU1874" s="73"/>
      <c r="BV1874" s="73"/>
      <c r="BW1874" s="73"/>
      <c r="BX1874" s="73"/>
      <c r="BY1874" s="73"/>
      <c r="BZ1874" s="73"/>
      <c r="CA1874" s="73"/>
      <c r="CB1874" s="73"/>
      <c r="CC1874" s="73"/>
      <c r="CD1874" s="73"/>
      <c r="CE1874" s="73"/>
      <c r="CF1874" s="73"/>
      <c r="CG1874" s="73"/>
      <c r="CH1874" s="73"/>
    </row>
    <row r="1875">
      <c r="A1875" s="80"/>
      <c r="B1875" s="80"/>
      <c r="C1875" s="80"/>
      <c r="D1875" s="80"/>
      <c r="E1875" s="124"/>
      <c r="F1875" s="80"/>
      <c r="G1875" s="80"/>
      <c r="H1875" s="80"/>
      <c r="I1875" s="80"/>
      <c r="J1875" s="196"/>
      <c r="K1875" s="196"/>
      <c r="L1875" s="196"/>
      <c r="M1875" s="196"/>
      <c r="N1875" s="196"/>
      <c r="O1875" s="196"/>
      <c r="P1875" s="196"/>
      <c r="Q1875" s="196"/>
      <c r="R1875" s="196"/>
      <c r="S1875" s="196"/>
      <c r="T1875" s="196"/>
      <c r="U1875" s="196"/>
      <c r="V1875" s="196"/>
      <c r="W1875" s="196"/>
      <c r="X1875" s="196"/>
      <c r="Y1875" s="196"/>
      <c r="Z1875" s="196"/>
      <c r="AA1875" s="196"/>
      <c r="AB1875" s="196"/>
      <c r="AC1875" s="196"/>
      <c r="AD1875" s="196"/>
      <c r="AE1875" s="196"/>
      <c r="AF1875" s="196"/>
      <c r="AG1875" s="196"/>
      <c r="AH1875" s="196"/>
      <c r="AI1875" s="196"/>
      <c r="AJ1875" s="197"/>
      <c r="AK1875" s="80"/>
      <c r="AL1875" s="80"/>
      <c r="AM1875" s="73"/>
      <c r="AN1875" s="73"/>
      <c r="AO1875" s="73"/>
      <c r="AP1875" s="73"/>
      <c r="AQ1875" s="73"/>
      <c r="AR1875" s="73"/>
      <c r="AS1875" s="73"/>
      <c r="AT1875" s="73"/>
      <c r="AU1875" s="73"/>
      <c r="AV1875" s="73"/>
      <c r="AW1875" s="73"/>
      <c r="AX1875" s="73"/>
      <c r="AY1875" s="73"/>
      <c r="AZ1875" s="73"/>
      <c r="BA1875" s="73"/>
      <c r="BB1875" s="73"/>
      <c r="BC1875" s="73"/>
      <c r="BD1875" s="73"/>
      <c r="BE1875" s="73"/>
      <c r="BF1875" s="73"/>
      <c r="BG1875" s="73"/>
      <c r="BH1875" s="73"/>
      <c r="BI1875" s="73"/>
      <c r="BJ1875" s="73"/>
      <c r="BK1875" s="73"/>
      <c r="BL1875" s="73"/>
      <c r="BM1875" s="73"/>
      <c r="BN1875" s="73"/>
      <c r="BO1875" s="73"/>
      <c r="BP1875" s="73"/>
      <c r="BQ1875" s="73"/>
      <c r="BR1875" s="73"/>
      <c r="BS1875" s="73"/>
      <c r="BT1875" s="73"/>
      <c r="BU1875" s="73"/>
      <c r="BV1875" s="73"/>
      <c r="BW1875" s="73"/>
      <c r="BX1875" s="73"/>
      <c r="BY1875" s="73"/>
      <c r="BZ1875" s="73"/>
      <c r="CA1875" s="73"/>
      <c r="CB1875" s="73"/>
      <c r="CC1875" s="73"/>
      <c r="CD1875" s="73"/>
      <c r="CE1875" s="73"/>
      <c r="CF1875" s="73"/>
      <c r="CG1875" s="73"/>
      <c r="CH1875" s="73"/>
    </row>
    <row r="1876">
      <c r="A1876" s="80"/>
      <c r="B1876" s="80"/>
      <c r="C1876" s="80"/>
      <c r="D1876" s="80"/>
      <c r="E1876" s="124"/>
      <c r="F1876" s="80"/>
      <c r="G1876" s="80"/>
      <c r="H1876" s="80"/>
      <c r="I1876" s="80"/>
      <c r="J1876" s="196"/>
      <c r="K1876" s="196"/>
      <c r="L1876" s="196"/>
      <c r="M1876" s="196"/>
      <c r="N1876" s="196"/>
      <c r="O1876" s="196"/>
      <c r="P1876" s="196"/>
      <c r="Q1876" s="196"/>
      <c r="R1876" s="196"/>
      <c r="S1876" s="196"/>
      <c r="T1876" s="196"/>
      <c r="U1876" s="196"/>
      <c r="V1876" s="196"/>
      <c r="W1876" s="196"/>
      <c r="X1876" s="196"/>
      <c r="Y1876" s="196"/>
      <c r="Z1876" s="196"/>
      <c r="AA1876" s="196"/>
      <c r="AB1876" s="196"/>
      <c r="AC1876" s="196"/>
      <c r="AD1876" s="196"/>
      <c r="AE1876" s="196"/>
      <c r="AF1876" s="196"/>
      <c r="AG1876" s="196"/>
      <c r="AH1876" s="196"/>
      <c r="AI1876" s="196"/>
      <c r="AJ1876" s="197"/>
      <c r="AK1876" s="80"/>
      <c r="AL1876" s="80"/>
      <c r="AM1876" s="73"/>
      <c r="AN1876" s="73"/>
      <c r="AO1876" s="73"/>
      <c r="AP1876" s="73"/>
      <c r="AQ1876" s="73"/>
      <c r="AR1876" s="73"/>
      <c r="AS1876" s="73"/>
      <c r="AT1876" s="73"/>
      <c r="AU1876" s="73"/>
      <c r="AV1876" s="73"/>
      <c r="AW1876" s="73"/>
      <c r="AX1876" s="73"/>
      <c r="AY1876" s="73"/>
      <c r="AZ1876" s="73"/>
      <c r="BA1876" s="73"/>
      <c r="BB1876" s="73"/>
      <c r="BC1876" s="73"/>
      <c r="BD1876" s="73"/>
      <c r="BE1876" s="73"/>
      <c r="BF1876" s="73"/>
      <c r="BG1876" s="73"/>
      <c r="BH1876" s="73"/>
      <c r="BI1876" s="73"/>
      <c r="BJ1876" s="73"/>
      <c r="BK1876" s="73"/>
      <c r="BL1876" s="73"/>
      <c r="BM1876" s="73"/>
      <c r="BN1876" s="73"/>
      <c r="BO1876" s="73"/>
      <c r="BP1876" s="73"/>
      <c r="BQ1876" s="73"/>
      <c r="BR1876" s="73"/>
      <c r="BS1876" s="73"/>
      <c r="BT1876" s="73"/>
      <c r="BU1876" s="73"/>
      <c r="BV1876" s="73"/>
      <c r="BW1876" s="73"/>
      <c r="BX1876" s="73"/>
      <c r="BY1876" s="73"/>
      <c r="BZ1876" s="73"/>
      <c r="CA1876" s="73"/>
      <c r="CB1876" s="73"/>
      <c r="CC1876" s="73"/>
      <c r="CD1876" s="73"/>
      <c r="CE1876" s="73"/>
      <c r="CF1876" s="73"/>
      <c r="CG1876" s="73"/>
      <c r="CH1876" s="73"/>
    </row>
    <row r="1877">
      <c r="A1877" s="80"/>
      <c r="B1877" s="80"/>
      <c r="C1877" s="80"/>
      <c r="D1877" s="80"/>
      <c r="E1877" s="124"/>
      <c r="F1877" s="80"/>
      <c r="G1877" s="80"/>
      <c r="H1877" s="80"/>
      <c r="I1877" s="80"/>
      <c r="J1877" s="196"/>
      <c r="K1877" s="196"/>
      <c r="L1877" s="196"/>
      <c r="M1877" s="196"/>
      <c r="N1877" s="196"/>
      <c r="O1877" s="196"/>
      <c r="P1877" s="196"/>
      <c r="Q1877" s="196"/>
      <c r="R1877" s="196"/>
      <c r="S1877" s="196"/>
      <c r="T1877" s="196"/>
      <c r="U1877" s="196"/>
      <c r="V1877" s="196"/>
      <c r="W1877" s="196"/>
      <c r="X1877" s="196"/>
      <c r="Y1877" s="196"/>
      <c r="Z1877" s="196"/>
      <c r="AA1877" s="196"/>
      <c r="AB1877" s="196"/>
      <c r="AC1877" s="196"/>
      <c r="AD1877" s="196"/>
      <c r="AE1877" s="196"/>
      <c r="AF1877" s="196"/>
      <c r="AG1877" s="196"/>
      <c r="AH1877" s="196"/>
      <c r="AI1877" s="196"/>
      <c r="AJ1877" s="197"/>
      <c r="AK1877" s="80"/>
      <c r="AL1877" s="80"/>
      <c r="AM1877" s="73"/>
      <c r="AN1877" s="73"/>
      <c r="AO1877" s="73"/>
      <c r="AP1877" s="73"/>
      <c r="AQ1877" s="73"/>
      <c r="AR1877" s="73"/>
      <c r="AS1877" s="73"/>
      <c r="AT1877" s="73"/>
      <c r="AU1877" s="73"/>
      <c r="AV1877" s="73"/>
      <c r="AW1877" s="73"/>
      <c r="AX1877" s="73"/>
      <c r="AY1877" s="73"/>
      <c r="AZ1877" s="73"/>
      <c r="BA1877" s="73"/>
      <c r="BB1877" s="73"/>
      <c r="BC1877" s="73"/>
      <c r="BD1877" s="73"/>
      <c r="BE1877" s="73"/>
      <c r="BF1877" s="73"/>
      <c r="BG1877" s="73"/>
      <c r="BH1877" s="73"/>
      <c r="BI1877" s="73"/>
      <c r="BJ1877" s="73"/>
      <c r="BK1877" s="73"/>
      <c r="BL1877" s="73"/>
      <c r="BM1877" s="73"/>
      <c r="BN1877" s="73"/>
      <c r="BO1877" s="73"/>
      <c r="BP1877" s="73"/>
      <c r="BQ1877" s="73"/>
      <c r="BR1877" s="73"/>
      <c r="BS1877" s="73"/>
      <c r="BT1877" s="73"/>
      <c r="BU1877" s="73"/>
      <c r="BV1877" s="73"/>
      <c r="BW1877" s="73"/>
      <c r="BX1877" s="73"/>
      <c r="BY1877" s="73"/>
      <c r="BZ1877" s="73"/>
      <c r="CA1877" s="73"/>
      <c r="CB1877" s="73"/>
      <c r="CC1877" s="73"/>
      <c r="CD1877" s="73"/>
      <c r="CE1877" s="73"/>
      <c r="CF1877" s="73"/>
      <c r="CG1877" s="73"/>
      <c r="CH1877" s="73"/>
    </row>
    <row r="1878">
      <c r="A1878" s="80"/>
      <c r="B1878" s="80"/>
      <c r="C1878" s="80"/>
      <c r="D1878" s="80"/>
      <c r="E1878" s="124"/>
      <c r="F1878" s="80"/>
      <c r="G1878" s="80"/>
      <c r="H1878" s="80"/>
      <c r="I1878" s="80"/>
      <c r="J1878" s="196"/>
      <c r="K1878" s="196"/>
      <c r="L1878" s="196"/>
      <c r="M1878" s="196"/>
      <c r="N1878" s="196"/>
      <c r="O1878" s="196"/>
      <c r="P1878" s="196"/>
      <c r="Q1878" s="196"/>
      <c r="R1878" s="196"/>
      <c r="S1878" s="196"/>
      <c r="T1878" s="196"/>
      <c r="U1878" s="196"/>
      <c r="V1878" s="196"/>
      <c r="W1878" s="196"/>
      <c r="X1878" s="196"/>
      <c r="Y1878" s="196"/>
      <c r="Z1878" s="196"/>
      <c r="AA1878" s="196"/>
      <c r="AB1878" s="196"/>
      <c r="AC1878" s="196"/>
      <c r="AD1878" s="196"/>
      <c r="AE1878" s="196"/>
      <c r="AF1878" s="196"/>
      <c r="AG1878" s="196"/>
      <c r="AH1878" s="196"/>
      <c r="AI1878" s="196"/>
      <c r="AJ1878" s="197"/>
      <c r="AK1878" s="80"/>
      <c r="AL1878" s="80"/>
      <c r="AM1878" s="73"/>
      <c r="AN1878" s="73"/>
      <c r="AO1878" s="73"/>
      <c r="AP1878" s="73"/>
      <c r="AQ1878" s="73"/>
      <c r="AR1878" s="73"/>
      <c r="AS1878" s="73"/>
      <c r="AT1878" s="73"/>
      <c r="AU1878" s="73"/>
      <c r="AV1878" s="73"/>
      <c r="AW1878" s="73"/>
      <c r="AX1878" s="73"/>
      <c r="AY1878" s="73"/>
      <c r="AZ1878" s="73"/>
      <c r="BA1878" s="73"/>
      <c r="BB1878" s="73"/>
      <c r="BC1878" s="73"/>
      <c r="BD1878" s="73"/>
      <c r="BE1878" s="73"/>
      <c r="BF1878" s="73"/>
      <c r="BG1878" s="73"/>
      <c r="BH1878" s="73"/>
      <c r="BI1878" s="73"/>
      <c r="BJ1878" s="73"/>
      <c r="BK1878" s="73"/>
      <c r="BL1878" s="73"/>
      <c r="BM1878" s="73"/>
      <c r="BN1878" s="73"/>
      <c r="BO1878" s="73"/>
      <c r="BP1878" s="73"/>
      <c r="BQ1878" s="73"/>
      <c r="BR1878" s="73"/>
      <c r="BS1878" s="73"/>
      <c r="BT1878" s="73"/>
      <c r="BU1878" s="73"/>
      <c r="BV1878" s="73"/>
      <c r="BW1878" s="73"/>
      <c r="BX1878" s="73"/>
      <c r="BY1878" s="73"/>
      <c r="BZ1878" s="73"/>
      <c r="CA1878" s="73"/>
      <c r="CB1878" s="73"/>
      <c r="CC1878" s="73"/>
      <c r="CD1878" s="73"/>
      <c r="CE1878" s="73"/>
      <c r="CF1878" s="73"/>
      <c r="CG1878" s="73"/>
      <c r="CH1878" s="73"/>
    </row>
    <row r="1879">
      <c r="A1879" s="80"/>
      <c r="B1879" s="80"/>
      <c r="C1879" s="80"/>
      <c r="D1879" s="80"/>
      <c r="E1879" s="124"/>
      <c r="F1879" s="80"/>
      <c r="G1879" s="80"/>
      <c r="H1879" s="80"/>
      <c r="I1879" s="80"/>
      <c r="J1879" s="196"/>
      <c r="K1879" s="196"/>
      <c r="L1879" s="196"/>
      <c r="M1879" s="196"/>
      <c r="N1879" s="196"/>
      <c r="O1879" s="196"/>
      <c r="P1879" s="196"/>
      <c r="Q1879" s="196"/>
      <c r="R1879" s="196"/>
      <c r="S1879" s="196"/>
      <c r="T1879" s="196"/>
      <c r="U1879" s="196"/>
      <c r="V1879" s="196"/>
      <c r="W1879" s="196"/>
      <c r="X1879" s="196"/>
      <c r="Y1879" s="196"/>
      <c r="Z1879" s="196"/>
      <c r="AA1879" s="196"/>
      <c r="AB1879" s="196"/>
      <c r="AC1879" s="196"/>
      <c r="AD1879" s="196"/>
      <c r="AE1879" s="196"/>
      <c r="AF1879" s="196"/>
      <c r="AG1879" s="196"/>
      <c r="AH1879" s="196"/>
      <c r="AI1879" s="196"/>
      <c r="AJ1879" s="197"/>
      <c r="AK1879" s="80"/>
      <c r="AL1879" s="80"/>
      <c r="AM1879" s="73"/>
      <c r="AN1879" s="73"/>
      <c r="AO1879" s="73"/>
      <c r="AP1879" s="73"/>
      <c r="AQ1879" s="73"/>
      <c r="AR1879" s="73"/>
      <c r="AS1879" s="73"/>
      <c r="AT1879" s="73"/>
      <c r="AU1879" s="73"/>
      <c r="AV1879" s="73"/>
      <c r="AW1879" s="73"/>
      <c r="AX1879" s="73"/>
      <c r="AY1879" s="73"/>
      <c r="AZ1879" s="73"/>
      <c r="BA1879" s="73"/>
      <c r="BB1879" s="73"/>
      <c r="BC1879" s="73"/>
      <c r="BD1879" s="73"/>
      <c r="BE1879" s="73"/>
      <c r="BF1879" s="73"/>
      <c r="BG1879" s="73"/>
      <c r="BH1879" s="73"/>
      <c r="BI1879" s="73"/>
      <c r="BJ1879" s="73"/>
      <c r="BK1879" s="73"/>
      <c r="BL1879" s="73"/>
      <c r="BM1879" s="73"/>
      <c r="BN1879" s="73"/>
      <c r="BO1879" s="73"/>
      <c r="BP1879" s="73"/>
      <c r="BQ1879" s="73"/>
      <c r="BR1879" s="73"/>
      <c r="BS1879" s="73"/>
      <c r="BT1879" s="73"/>
      <c r="BU1879" s="73"/>
      <c r="BV1879" s="73"/>
      <c r="BW1879" s="73"/>
      <c r="BX1879" s="73"/>
      <c r="BY1879" s="73"/>
      <c r="BZ1879" s="73"/>
      <c r="CA1879" s="73"/>
      <c r="CB1879" s="73"/>
      <c r="CC1879" s="73"/>
      <c r="CD1879" s="73"/>
      <c r="CE1879" s="73"/>
      <c r="CF1879" s="73"/>
      <c r="CG1879" s="73"/>
      <c r="CH1879" s="73"/>
    </row>
    <row r="1880">
      <c r="A1880" s="80"/>
      <c r="B1880" s="80"/>
      <c r="C1880" s="80"/>
      <c r="D1880" s="80"/>
      <c r="E1880" s="124"/>
      <c r="F1880" s="80"/>
      <c r="G1880" s="80"/>
      <c r="H1880" s="80"/>
      <c r="I1880" s="80"/>
      <c r="J1880" s="196"/>
      <c r="K1880" s="196"/>
      <c r="L1880" s="196"/>
      <c r="M1880" s="196"/>
      <c r="N1880" s="196"/>
      <c r="O1880" s="196"/>
      <c r="P1880" s="196"/>
      <c r="Q1880" s="196"/>
      <c r="R1880" s="196"/>
      <c r="S1880" s="196"/>
      <c r="T1880" s="196"/>
      <c r="U1880" s="196"/>
      <c r="V1880" s="196"/>
      <c r="W1880" s="196"/>
      <c r="X1880" s="196"/>
      <c r="Y1880" s="196"/>
      <c r="Z1880" s="196"/>
      <c r="AA1880" s="196"/>
      <c r="AB1880" s="196"/>
      <c r="AC1880" s="196"/>
      <c r="AD1880" s="196"/>
      <c r="AE1880" s="196"/>
      <c r="AF1880" s="196"/>
      <c r="AG1880" s="196"/>
      <c r="AH1880" s="196"/>
      <c r="AI1880" s="196"/>
      <c r="AJ1880" s="197"/>
      <c r="AK1880" s="80"/>
      <c r="AL1880" s="80"/>
      <c r="AM1880" s="73"/>
      <c r="AN1880" s="73"/>
      <c r="AO1880" s="73"/>
      <c r="AP1880" s="73"/>
      <c r="AQ1880" s="73"/>
      <c r="AR1880" s="73"/>
      <c r="AS1880" s="73"/>
      <c r="AT1880" s="73"/>
      <c r="AU1880" s="73"/>
      <c r="AV1880" s="73"/>
      <c r="AW1880" s="73"/>
      <c r="AX1880" s="73"/>
      <c r="AY1880" s="73"/>
      <c r="AZ1880" s="73"/>
      <c r="BA1880" s="73"/>
      <c r="BB1880" s="73"/>
      <c r="BC1880" s="73"/>
      <c r="BD1880" s="73"/>
      <c r="BE1880" s="73"/>
      <c r="BF1880" s="73"/>
      <c r="BG1880" s="73"/>
      <c r="BH1880" s="73"/>
      <c r="BI1880" s="73"/>
      <c r="BJ1880" s="73"/>
      <c r="BK1880" s="73"/>
      <c r="BL1880" s="73"/>
      <c r="BM1880" s="73"/>
      <c r="BN1880" s="73"/>
      <c r="BO1880" s="73"/>
      <c r="BP1880" s="73"/>
      <c r="BQ1880" s="73"/>
      <c r="BR1880" s="73"/>
      <c r="BS1880" s="73"/>
      <c r="BT1880" s="73"/>
      <c r="BU1880" s="73"/>
      <c r="BV1880" s="73"/>
      <c r="BW1880" s="73"/>
      <c r="BX1880" s="73"/>
      <c r="BY1880" s="73"/>
      <c r="BZ1880" s="73"/>
      <c r="CA1880" s="73"/>
      <c r="CB1880" s="73"/>
      <c r="CC1880" s="73"/>
      <c r="CD1880" s="73"/>
      <c r="CE1880" s="73"/>
      <c r="CF1880" s="73"/>
      <c r="CG1880" s="73"/>
      <c r="CH1880" s="73"/>
    </row>
    <row r="1881">
      <c r="A1881" s="80"/>
      <c r="B1881" s="80"/>
      <c r="C1881" s="80"/>
      <c r="D1881" s="80"/>
      <c r="E1881" s="124"/>
      <c r="F1881" s="80"/>
      <c r="G1881" s="80"/>
      <c r="H1881" s="80"/>
      <c r="I1881" s="80"/>
      <c r="J1881" s="196"/>
      <c r="K1881" s="196"/>
      <c r="L1881" s="196"/>
      <c r="M1881" s="196"/>
      <c r="N1881" s="196"/>
      <c r="O1881" s="196"/>
      <c r="P1881" s="196"/>
      <c r="Q1881" s="196"/>
      <c r="R1881" s="196"/>
      <c r="S1881" s="196"/>
      <c r="T1881" s="196"/>
      <c r="U1881" s="196"/>
      <c r="V1881" s="196"/>
      <c r="W1881" s="196"/>
      <c r="X1881" s="196"/>
      <c r="Y1881" s="196"/>
      <c r="Z1881" s="196"/>
      <c r="AA1881" s="196"/>
      <c r="AB1881" s="196"/>
      <c r="AC1881" s="196"/>
      <c r="AD1881" s="196"/>
      <c r="AE1881" s="196"/>
      <c r="AF1881" s="196"/>
      <c r="AG1881" s="196"/>
      <c r="AH1881" s="196"/>
      <c r="AI1881" s="196"/>
      <c r="AJ1881" s="197"/>
      <c r="AK1881" s="80"/>
      <c r="AL1881" s="80"/>
      <c r="AM1881" s="73"/>
      <c r="AN1881" s="73"/>
      <c r="AO1881" s="73"/>
      <c r="AP1881" s="73"/>
      <c r="AQ1881" s="73"/>
      <c r="AR1881" s="73"/>
      <c r="AS1881" s="73"/>
      <c r="AT1881" s="73"/>
      <c r="AU1881" s="73"/>
      <c r="AV1881" s="73"/>
      <c r="AW1881" s="73"/>
      <c r="AX1881" s="73"/>
      <c r="AY1881" s="73"/>
      <c r="AZ1881" s="73"/>
      <c r="BA1881" s="73"/>
      <c r="BB1881" s="73"/>
      <c r="BC1881" s="73"/>
      <c r="BD1881" s="73"/>
      <c r="BE1881" s="73"/>
      <c r="BF1881" s="73"/>
      <c r="BG1881" s="73"/>
      <c r="BH1881" s="73"/>
      <c r="BI1881" s="73"/>
      <c r="BJ1881" s="73"/>
      <c r="BK1881" s="73"/>
      <c r="BL1881" s="73"/>
      <c r="BM1881" s="73"/>
      <c r="BN1881" s="73"/>
      <c r="BO1881" s="73"/>
      <c r="BP1881" s="73"/>
      <c r="BQ1881" s="73"/>
      <c r="BR1881" s="73"/>
      <c r="BS1881" s="73"/>
      <c r="BT1881" s="73"/>
      <c r="BU1881" s="73"/>
      <c r="BV1881" s="73"/>
      <c r="BW1881" s="73"/>
      <c r="BX1881" s="73"/>
      <c r="BY1881" s="73"/>
      <c r="BZ1881" s="73"/>
      <c r="CA1881" s="73"/>
      <c r="CB1881" s="73"/>
      <c r="CC1881" s="73"/>
      <c r="CD1881" s="73"/>
      <c r="CE1881" s="73"/>
      <c r="CF1881" s="73"/>
      <c r="CG1881" s="73"/>
      <c r="CH1881" s="73"/>
    </row>
    <row r="1882">
      <c r="A1882" s="80"/>
      <c r="B1882" s="80"/>
      <c r="C1882" s="80"/>
      <c r="D1882" s="80"/>
      <c r="E1882" s="124"/>
      <c r="F1882" s="80"/>
      <c r="G1882" s="80"/>
      <c r="H1882" s="80"/>
      <c r="I1882" s="80"/>
      <c r="J1882" s="196"/>
      <c r="K1882" s="196"/>
      <c r="L1882" s="196"/>
      <c r="M1882" s="196"/>
      <c r="N1882" s="196"/>
      <c r="O1882" s="196"/>
      <c r="P1882" s="196"/>
      <c r="Q1882" s="196"/>
      <c r="R1882" s="196"/>
      <c r="S1882" s="196"/>
      <c r="T1882" s="196"/>
      <c r="U1882" s="196"/>
      <c r="V1882" s="196"/>
      <c r="W1882" s="196"/>
      <c r="X1882" s="196"/>
      <c r="Y1882" s="196"/>
      <c r="Z1882" s="196"/>
      <c r="AA1882" s="196"/>
      <c r="AB1882" s="196"/>
      <c r="AC1882" s="196"/>
      <c r="AD1882" s="196"/>
      <c r="AE1882" s="196"/>
      <c r="AF1882" s="196"/>
      <c r="AG1882" s="196"/>
      <c r="AH1882" s="196"/>
      <c r="AI1882" s="196"/>
      <c r="AJ1882" s="197"/>
      <c r="AK1882" s="80"/>
      <c r="AL1882" s="80"/>
      <c r="AM1882" s="73"/>
      <c r="AN1882" s="73"/>
      <c r="AO1882" s="73"/>
      <c r="AP1882" s="73"/>
      <c r="AQ1882" s="73"/>
      <c r="AR1882" s="73"/>
      <c r="AS1882" s="73"/>
      <c r="AT1882" s="73"/>
      <c r="AU1882" s="73"/>
      <c r="AV1882" s="73"/>
      <c r="AW1882" s="73"/>
      <c r="AX1882" s="73"/>
      <c r="AY1882" s="73"/>
      <c r="AZ1882" s="73"/>
      <c r="BA1882" s="73"/>
      <c r="BB1882" s="73"/>
      <c r="BC1882" s="73"/>
      <c r="BD1882" s="73"/>
      <c r="BE1882" s="73"/>
      <c r="BF1882" s="73"/>
      <c r="BG1882" s="73"/>
      <c r="BH1882" s="73"/>
      <c r="BI1882" s="73"/>
      <c r="BJ1882" s="73"/>
      <c r="BK1882" s="73"/>
      <c r="BL1882" s="73"/>
      <c r="BM1882" s="73"/>
      <c r="BN1882" s="73"/>
      <c r="BO1882" s="73"/>
      <c r="BP1882" s="73"/>
      <c r="BQ1882" s="73"/>
      <c r="BR1882" s="73"/>
      <c r="BS1882" s="73"/>
      <c r="BT1882" s="73"/>
      <c r="BU1882" s="73"/>
      <c r="BV1882" s="73"/>
      <c r="BW1882" s="73"/>
      <c r="BX1882" s="73"/>
      <c r="BY1882" s="73"/>
      <c r="BZ1882" s="73"/>
      <c r="CA1882" s="73"/>
      <c r="CB1882" s="73"/>
      <c r="CC1882" s="73"/>
      <c r="CD1882" s="73"/>
      <c r="CE1882" s="73"/>
      <c r="CF1882" s="73"/>
      <c r="CG1882" s="73"/>
      <c r="CH1882" s="73"/>
    </row>
    <row r="1883">
      <c r="A1883" s="80"/>
      <c r="B1883" s="80"/>
      <c r="C1883" s="80"/>
      <c r="D1883" s="80"/>
      <c r="E1883" s="124"/>
      <c r="F1883" s="80"/>
      <c r="G1883" s="80"/>
      <c r="H1883" s="80"/>
      <c r="I1883" s="80"/>
      <c r="J1883" s="196"/>
      <c r="K1883" s="196"/>
      <c r="L1883" s="196"/>
      <c r="M1883" s="196"/>
      <c r="N1883" s="196"/>
      <c r="O1883" s="196"/>
      <c r="P1883" s="196"/>
      <c r="Q1883" s="196"/>
      <c r="R1883" s="196"/>
      <c r="S1883" s="196"/>
      <c r="T1883" s="196"/>
      <c r="U1883" s="196"/>
      <c r="V1883" s="196"/>
      <c r="W1883" s="196"/>
      <c r="X1883" s="196"/>
      <c r="Y1883" s="196"/>
      <c r="Z1883" s="196"/>
      <c r="AA1883" s="196"/>
      <c r="AB1883" s="196"/>
      <c r="AC1883" s="196"/>
      <c r="AD1883" s="196"/>
      <c r="AE1883" s="196"/>
      <c r="AF1883" s="196"/>
      <c r="AG1883" s="196"/>
      <c r="AH1883" s="196"/>
      <c r="AI1883" s="196"/>
      <c r="AJ1883" s="197"/>
      <c r="AK1883" s="80"/>
      <c r="AL1883" s="80"/>
      <c r="AM1883" s="73"/>
      <c r="AN1883" s="73"/>
      <c r="AO1883" s="73"/>
      <c r="AP1883" s="73"/>
      <c r="AQ1883" s="73"/>
      <c r="AR1883" s="73"/>
      <c r="AS1883" s="73"/>
      <c r="AT1883" s="73"/>
      <c r="AU1883" s="73"/>
      <c r="AV1883" s="73"/>
      <c r="AW1883" s="73"/>
      <c r="AX1883" s="73"/>
      <c r="AY1883" s="73"/>
      <c r="AZ1883" s="73"/>
      <c r="BA1883" s="73"/>
      <c r="BB1883" s="73"/>
      <c r="BC1883" s="73"/>
      <c r="BD1883" s="73"/>
      <c r="BE1883" s="73"/>
      <c r="BF1883" s="73"/>
      <c r="BG1883" s="73"/>
      <c r="BH1883" s="73"/>
      <c r="BI1883" s="73"/>
      <c r="BJ1883" s="73"/>
      <c r="BK1883" s="73"/>
      <c r="BL1883" s="73"/>
      <c r="BM1883" s="73"/>
      <c r="BN1883" s="73"/>
      <c r="BO1883" s="73"/>
      <c r="BP1883" s="73"/>
      <c r="BQ1883" s="73"/>
      <c r="BR1883" s="73"/>
      <c r="BS1883" s="73"/>
      <c r="BT1883" s="73"/>
      <c r="BU1883" s="73"/>
      <c r="BV1883" s="73"/>
      <c r="BW1883" s="73"/>
      <c r="BX1883" s="73"/>
      <c r="BY1883" s="73"/>
      <c r="BZ1883" s="73"/>
      <c r="CA1883" s="73"/>
      <c r="CB1883" s="73"/>
      <c r="CC1883" s="73"/>
      <c r="CD1883" s="73"/>
      <c r="CE1883" s="73"/>
      <c r="CF1883" s="73"/>
      <c r="CG1883" s="73"/>
      <c r="CH1883" s="73"/>
    </row>
    <row r="1884">
      <c r="A1884" s="80"/>
      <c r="B1884" s="80"/>
      <c r="C1884" s="80"/>
      <c r="D1884" s="80"/>
      <c r="E1884" s="124"/>
      <c r="F1884" s="80"/>
      <c r="G1884" s="80"/>
      <c r="H1884" s="80"/>
      <c r="I1884" s="80"/>
      <c r="J1884" s="196"/>
      <c r="K1884" s="196"/>
      <c r="L1884" s="196"/>
      <c r="M1884" s="196"/>
      <c r="N1884" s="196"/>
      <c r="O1884" s="196"/>
      <c r="P1884" s="196"/>
      <c r="Q1884" s="196"/>
      <c r="R1884" s="196"/>
      <c r="S1884" s="196"/>
      <c r="T1884" s="196"/>
      <c r="U1884" s="196"/>
      <c r="V1884" s="196"/>
      <c r="W1884" s="196"/>
      <c r="X1884" s="196"/>
      <c r="Y1884" s="196"/>
      <c r="Z1884" s="196"/>
      <c r="AA1884" s="196"/>
      <c r="AB1884" s="196"/>
      <c r="AC1884" s="196"/>
      <c r="AD1884" s="196"/>
      <c r="AE1884" s="196"/>
      <c r="AF1884" s="196"/>
      <c r="AG1884" s="196"/>
      <c r="AH1884" s="196"/>
      <c r="AI1884" s="196"/>
      <c r="AJ1884" s="197"/>
      <c r="AK1884" s="80"/>
      <c r="AL1884" s="80"/>
      <c r="AM1884" s="73"/>
      <c r="AN1884" s="73"/>
      <c r="AO1884" s="73"/>
      <c r="AP1884" s="73"/>
      <c r="AQ1884" s="73"/>
      <c r="AR1884" s="73"/>
      <c r="AS1884" s="73"/>
      <c r="AT1884" s="73"/>
      <c r="AU1884" s="73"/>
      <c r="AV1884" s="73"/>
      <c r="AW1884" s="73"/>
      <c r="AX1884" s="73"/>
      <c r="AY1884" s="73"/>
      <c r="AZ1884" s="73"/>
      <c r="BA1884" s="73"/>
      <c r="BB1884" s="73"/>
      <c r="BC1884" s="73"/>
      <c r="BD1884" s="73"/>
      <c r="BE1884" s="73"/>
      <c r="BF1884" s="73"/>
      <c r="BG1884" s="73"/>
      <c r="BH1884" s="73"/>
      <c r="BI1884" s="73"/>
      <c r="BJ1884" s="73"/>
      <c r="BK1884" s="73"/>
      <c r="BL1884" s="73"/>
      <c r="BM1884" s="73"/>
      <c r="BN1884" s="73"/>
      <c r="BO1884" s="73"/>
      <c r="BP1884" s="73"/>
      <c r="BQ1884" s="73"/>
      <c r="BR1884" s="73"/>
      <c r="BS1884" s="73"/>
      <c r="BT1884" s="73"/>
      <c r="BU1884" s="73"/>
      <c r="BV1884" s="73"/>
      <c r="BW1884" s="73"/>
      <c r="BX1884" s="73"/>
      <c r="BY1884" s="73"/>
      <c r="BZ1884" s="73"/>
      <c r="CA1884" s="73"/>
      <c r="CB1884" s="73"/>
      <c r="CC1884" s="73"/>
      <c r="CD1884" s="73"/>
      <c r="CE1884" s="73"/>
      <c r="CF1884" s="73"/>
      <c r="CG1884" s="73"/>
      <c r="CH1884" s="73"/>
    </row>
    <row r="1885">
      <c r="A1885" s="80"/>
      <c r="B1885" s="80"/>
      <c r="C1885" s="80"/>
      <c r="D1885" s="80"/>
      <c r="E1885" s="124"/>
      <c r="F1885" s="80"/>
      <c r="G1885" s="80"/>
      <c r="H1885" s="80"/>
      <c r="I1885" s="80"/>
      <c r="J1885" s="196"/>
      <c r="K1885" s="196"/>
      <c r="L1885" s="196"/>
      <c r="M1885" s="196"/>
      <c r="N1885" s="196"/>
      <c r="O1885" s="196"/>
      <c r="P1885" s="196"/>
      <c r="Q1885" s="196"/>
      <c r="R1885" s="196"/>
      <c r="S1885" s="196"/>
      <c r="T1885" s="196"/>
      <c r="U1885" s="196"/>
      <c r="V1885" s="196"/>
      <c r="W1885" s="196"/>
      <c r="X1885" s="196"/>
      <c r="Y1885" s="196"/>
      <c r="Z1885" s="196"/>
      <c r="AA1885" s="196"/>
      <c r="AB1885" s="196"/>
      <c r="AC1885" s="196"/>
      <c r="AD1885" s="196"/>
      <c r="AE1885" s="196"/>
      <c r="AF1885" s="196"/>
      <c r="AG1885" s="196"/>
      <c r="AH1885" s="196"/>
      <c r="AI1885" s="196"/>
      <c r="AJ1885" s="197"/>
      <c r="AK1885" s="80"/>
      <c r="AL1885" s="80"/>
      <c r="AM1885" s="73"/>
      <c r="AN1885" s="73"/>
      <c r="AO1885" s="73"/>
      <c r="AP1885" s="73"/>
      <c r="AQ1885" s="73"/>
      <c r="AR1885" s="73"/>
      <c r="AS1885" s="73"/>
      <c r="AT1885" s="73"/>
      <c r="AU1885" s="73"/>
      <c r="AV1885" s="73"/>
      <c r="AW1885" s="73"/>
      <c r="AX1885" s="73"/>
      <c r="AY1885" s="73"/>
      <c r="AZ1885" s="73"/>
      <c r="BA1885" s="73"/>
      <c r="BB1885" s="73"/>
      <c r="BC1885" s="73"/>
      <c r="BD1885" s="73"/>
      <c r="BE1885" s="73"/>
      <c r="BF1885" s="73"/>
      <c r="BG1885" s="73"/>
      <c r="BH1885" s="73"/>
      <c r="BI1885" s="73"/>
      <c r="BJ1885" s="73"/>
      <c r="BK1885" s="73"/>
      <c r="BL1885" s="73"/>
      <c r="BM1885" s="73"/>
      <c r="BN1885" s="73"/>
      <c r="BO1885" s="73"/>
      <c r="BP1885" s="73"/>
      <c r="BQ1885" s="73"/>
      <c r="BR1885" s="73"/>
      <c r="BS1885" s="73"/>
      <c r="BT1885" s="73"/>
      <c r="BU1885" s="73"/>
      <c r="BV1885" s="73"/>
      <c r="BW1885" s="73"/>
      <c r="BX1885" s="73"/>
      <c r="BY1885" s="73"/>
      <c r="BZ1885" s="73"/>
      <c r="CA1885" s="73"/>
      <c r="CB1885" s="73"/>
      <c r="CC1885" s="73"/>
      <c r="CD1885" s="73"/>
      <c r="CE1885" s="73"/>
      <c r="CF1885" s="73"/>
      <c r="CG1885" s="73"/>
      <c r="CH1885" s="73"/>
    </row>
    <row r="1886">
      <c r="A1886" s="80"/>
      <c r="B1886" s="80"/>
      <c r="C1886" s="80"/>
      <c r="D1886" s="80"/>
      <c r="E1886" s="124"/>
      <c r="F1886" s="80"/>
      <c r="G1886" s="80"/>
      <c r="H1886" s="80"/>
      <c r="I1886" s="80"/>
      <c r="J1886" s="196"/>
      <c r="K1886" s="196"/>
      <c r="L1886" s="196"/>
      <c r="M1886" s="196"/>
      <c r="N1886" s="196"/>
      <c r="O1886" s="196"/>
      <c r="P1886" s="196"/>
      <c r="Q1886" s="196"/>
      <c r="R1886" s="196"/>
      <c r="S1886" s="196"/>
      <c r="T1886" s="196"/>
      <c r="U1886" s="196"/>
      <c r="V1886" s="196"/>
      <c r="W1886" s="196"/>
      <c r="X1886" s="196"/>
      <c r="Y1886" s="196"/>
      <c r="Z1886" s="196"/>
      <c r="AA1886" s="196"/>
      <c r="AB1886" s="196"/>
      <c r="AC1886" s="196"/>
      <c r="AD1886" s="196"/>
      <c r="AE1886" s="196"/>
      <c r="AF1886" s="196"/>
      <c r="AG1886" s="196"/>
      <c r="AH1886" s="196"/>
      <c r="AI1886" s="196"/>
      <c r="AJ1886" s="197"/>
      <c r="AK1886" s="80"/>
      <c r="AL1886" s="80"/>
      <c r="AM1886" s="73"/>
      <c r="AN1886" s="73"/>
      <c r="AO1886" s="73"/>
      <c r="AP1886" s="73"/>
      <c r="AQ1886" s="73"/>
      <c r="AR1886" s="73"/>
      <c r="AS1886" s="73"/>
      <c r="AT1886" s="73"/>
      <c r="AU1886" s="73"/>
      <c r="AV1886" s="73"/>
      <c r="AW1886" s="73"/>
      <c r="AX1886" s="73"/>
      <c r="AY1886" s="73"/>
      <c r="AZ1886" s="73"/>
      <c r="BA1886" s="73"/>
      <c r="BB1886" s="73"/>
      <c r="BC1886" s="73"/>
      <c r="BD1886" s="73"/>
      <c r="BE1886" s="73"/>
      <c r="BF1886" s="73"/>
      <c r="BG1886" s="73"/>
      <c r="BH1886" s="73"/>
      <c r="BI1886" s="73"/>
      <c r="BJ1886" s="73"/>
      <c r="BK1886" s="73"/>
      <c r="BL1886" s="73"/>
      <c r="BM1886" s="73"/>
      <c r="BN1886" s="73"/>
      <c r="BO1886" s="73"/>
      <c r="BP1886" s="73"/>
      <c r="BQ1886" s="73"/>
      <c r="BR1886" s="73"/>
      <c r="BS1886" s="73"/>
      <c r="BT1886" s="73"/>
      <c r="BU1886" s="73"/>
      <c r="BV1886" s="73"/>
      <c r="BW1886" s="73"/>
      <c r="BX1886" s="73"/>
      <c r="BY1886" s="73"/>
      <c r="BZ1886" s="73"/>
      <c r="CA1886" s="73"/>
      <c r="CB1886" s="73"/>
      <c r="CC1886" s="73"/>
      <c r="CD1886" s="73"/>
      <c r="CE1886" s="73"/>
      <c r="CF1886" s="73"/>
      <c r="CG1886" s="73"/>
      <c r="CH1886" s="73"/>
    </row>
    <row r="1887">
      <c r="A1887" s="80"/>
      <c r="B1887" s="80"/>
      <c r="C1887" s="80"/>
      <c r="D1887" s="80"/>
      <c r="E1887" s="124"/>
      <c r="F1887" s="80"/>
      <c r="G1887" s="80"/>
      <c r="H1887" s="80"/>
      <c r="I1887" s="80"/>
      <c r="J1887" s="196"/>
      <c r="K1887" s="196"/>
      <c r="L1887" s="196"/>
      <c r="M1887" s="196"/>
      <c r="N1887" s="196"/>
      <c r="O1887" s="196"/>
      <c r="P1887" s="196"/>
      <c r="Q1887" s="196"/>
      <c r="R1887" s="196"/>
      <c r="S1887" s="196"/>
      <c r="T1887" s="196"/>
      <c r="U1887" s="196"/>
      <c r="V1887" s="196"/>
      <c r="W1887" s="196"/>
      <c r="X1887" s="196"/>
      <c r="Y1887" s="196"/>
      <c r="Z1887" s="196"/>
      <c r="AA1887" s="196"/>
      <c r="AB1887" s="196"/>
      <c r="AC1887" s="196"/>
      <c r="AD1887" s="196"/>
      <c r="AE1887" s="196"/>
      <c r="AF1887" s="196"/>
      <c r="AG1887" s="196"/>
      <c r="AH1887" s="196"/>
      <c r="AI1887" s="196"/>
      <c r="AJ1887" s="197"/>
      <c r="AK1887" s="80"/>
      <c r="AL1887" s="80"/>
      <c r="AM1887" s="73"/>
      <c r="AN1887" s="73"/>
      <c r="AO1887" s="73"/>
      <c r="AP1887" s="73"/>
      <c r="AQ1887" s="73"/>
      <c r="AR1887" s="73"/>
      <c r="AS1887" s="73"/>
      <c r="AT1887" s="73"/>
      <c r="AU1887" s="73"/>
      <c r="AV1887" s="73"/>
      <c r="AW1887" s="73"/>
      <c r="AX1887" s="73"/>
      <c r="AY1887" s="73"/>
      <c r="AZ1887" s="73"/>
      <c r="BA1887" s="73"/>
      <c r="BB1887" s="73"/>
      <c r="BC1887" s="73"/>
      <c r="BD1887" s="73"/>
      <c r="BE1887" s="73"/>
      <c r="BF1887" s="73"/>
      <c r="BG1887" s="73"/>
      <c r="BH1887" s="73"/>
      <c r="BI1887" s="73"/>
      <c r="BJ1887" s="73"/>
      <c r="BK1887" s="73"/>
      <c r="BL1887" s="73"/>
      <c r="BM1887" s="73"/>
      <c r="BN1887" s="73"/>
      <c r="BO1887" s="73"/>
      <c r="BP1887" s="73"/>
      <c r="BQ1887" s="73"/>
      <c r="BR1887" s="73"/>
      <c r="BS1887" s="73"/>
      <c r="BT1887" s="73"/>
      <c r="BU1887" s="73"/>
      <c r="BV1887" s="73"/>
      <c r="BW1887" s="73"/>
      <c r="BX1887" s="73"/>
      <c r="BY1887" s="73"/>
      <c r="BZ1887" s="73"/>
      <c r="CA1887" s="73"/>
      <c r="CB1887" s="73"/>
      <c r="CC1887" s="73"/>
      <c r="CD1887" s="73"/>
      <c r="CE1887" s="73"/>
      <c r="CF1887" s="73"/>
      <c r="CG1887" s="73"/>
      <c r="CH1887" s="73"/>
    </row>
    <row r="1888">
      <c r="A1888" s="80"/>
      <c r="B1888" s="80"/>
      <c r="C1888" s="80"/>
      <c r="D1888" s="80"/>
      <c r="E1888" s="124"/>
      <c r="F1888" s="80"/>
      <c r="G1888" s="80"/>
      <c r="H1888" s="80"/>
      <c r="I1888" s="80"/>
      <c r="J1888" s="196"/>
      <c r="K1888" s="196"/>
      <c r="L1888" s="196"/>
      <c r="M1888" s="196"/>
      <c r="N1888" s="196"/>
      <c r="O1888" s="196"/>
      <c r="P1888" s="196"/>
      <c r="Q1888" s="196"/>
      <c r="R1888" s="196"/>
      <c r="S1888" s="196"/>
      <c r="T1888" s="196"/>
      <c r="U1888" s="196"/>
      <c r="V1888" s="196"/>
      <c r="W1888" s="196"/>
      <c r="X1888" s="196"/>
      <c r="Y1888" s="196"/>
      <c r="Z1888" s="196"/>
      <c r="AA1888" s="196"/>
      <c r="AB1888" s="196"/>
      <c r="AC1888" s="196"/>
      <c r="AD1888" s="196"/>
      <c r="AE1888" s="196"/>
      <c r="AF1888" s="196"/>
      <c r="AG1888" s="196"/>
      <c r="AH1888" s="196"/>
      <c r="AI1888" s="196"/>
      <c r="AJ1888" s="197"/>
      <c r="AK1888" s="80"/>
      <c r="AL1888" s="80"/>
      <c r="AM1888" s="73"/>
      <c r="AN1888" s="73"/>
      <c r="AO1888" s="73"/>
      <c r="AP1888" s="73"/>
      <c r="AQ1888" s="73"/>
      <c r="AR1888" s="73"/>
      <c r="AS1888" s="73"/>
      <c r="AT1888" s="73"/>
      <c r="AU1888" s="73"/>
      <c r="AV1888" s="73"/>
      <c r="AW1888" s="73"/>
      <c r="AX1888" s="73"/>
      <c r="AY1888" s="73"/>
      <c r="AZ1888" s="73"/>
      <c r="BA1888" s="73"/>
      <c r="BB1888" s="73"/>
      <c r="BC1888" s="73"/>
      <c r="BD1888" s="73"/>
      <c r="BE1888" s="73"/>
      <c r="BF1888" s="73"/>
      <c r="BG1888" s="73"/>
      <c r="BH1888" s="73"/>
      <c r="BI1888" s="73"/>
      <c r="BJ1888" s="73"/>
      <c r="BK1888" s="73"/>
      <c r="BL1888" s="73"/>
      <c r="BM1888" s="73"/>
      <c r="BN1888" s="73"/>
      <c r="BO1888" s="73"/>
      <c r="BP1888" s="73"/>
      <c r="BQ1888" s="73"/>
      <c r="BR1888" s="73"/>
      <c r="BS1888" s="73"/>
      <c r="BT1888" s="73"/>
      <c r="BU1888" s="73"/>
      <c r="BV1888" s="73"/>
      <c r="BW1888" s="73"/>
      <c r="BX1888" s="73"/>
      <c r="BY1888" s="73"/>
      <c r="BZ1888" s="73"/>
      <c r="CA1888" s="73"/>
      <c r="CB1888" s="73"/>
      <c r="CC1888" s="73"/>
      <c r="CD1888" s="73"/>
      <c r="CE1888" s="73"/>
      <c r="CF1888" s="73"/>
      <c r="CG1888" s="73"/>
      <c r="CH1888" s="73"/>
    </row>
    <row r="1889">
      <c r="A1889" s="80"/>
      <c r="B1889" s="80"/>
      <c r="C1889" s="80"/>
      <c r="D1889" s="80"/>
      <c r="E1889" s="124"/>
      <c r="F1889" s="80"/>
      <c r="G1889" s="80"/>
      <c r="H1889" s="80"/>
      <c r="I1889" s="80"/>
      <c r="J1889" s="196"/>
      <c r="K1889" s="196"/>
      <c r="L1889" s="196"/>
      <c r="M1889" s="196"/>
      <c r="N1889" s="196"/>
      <c r="O1889" s="196"/>
      <c r="P1889" s="196"/>
      <c r="Q1889" s="196"/>
      <c r="R1889" s="196"/>
      <c r="S1889" s="196"/>
      <c r="T1889" s="196"/>
      <c r="U1889" s="196"/>
      <c r="V1889" s="196"/>
      <c r="W1889" s="196"/>
      <c r="X1889" s="196"/>
      <c r="Y1889" s="196"/>
      <c r="Z1889" s="196"/>
      <c r="AA1889" s="196"/>
      <c r="AB1889" s="196"/>
      <c r="AC1889" s="196"/>
      <c r="AD1889" s="196"/>
      <c r="AE1889" s="196"/>
      <c r="AF1889" s="196"/>
      <c r="AG1889" s="196"/>
      <c r="AH1889" s="196"/>
      <c r="AI1889" s="196"/>
      <c r="AJ1889" s="197"/>
      <c r="AK1889" s="80"/>
      <c r="AL1889" s="80"/>
      <c r="AM1889" s="73"/>
      <c r="AN1889" s="73"/>
      <c r="AO1889" s="73"/>
      <c r="AP1889" s="73"/>
      <c r="AQ1889" s="73"/>
      <c r="AR1889" s="73"/>
      <c r="AS1889" s="73"/>
      <c r="AT1889" s="73"/>
      <c r="AU1889" s="73"/>
      <c r="AV1889" s="73"/>
      <c r="AW1889" s="73"/>
      <c r="AX1889" s="73"/>
      <c r="AY1889" s="73"/>
      <c r="AZ1889" s="73"/>
      <c r="BA1889" s="73"/>
      <c r="BB1889" s="73"/>
      <c r="BC1889" s="73"/>
      <c r="BD1889" s="73"/>
      <c r="BE1889" s="73"/>
      <c r="BF1889" s="73"/>
      <c r="BG1889" s="73"/>
      <c r="BH1889" s="73"/>
      <c r="BI1889" s="73"/>
      <c r="BJ1889" s="73"/>
      <c r="BK1889" s="73"/>
      <c r="BL1889" s="73"/>
      <c r="BM1889" s="73"/>
      <c r="BN1889" s="73"/>
      <c r="BO1889" s="73"/>
      <c r="BP1889" s="73"/>
      <c r="BQ1889" s="73"/>
      <c r="BR1889" s="73"/>
      <c r="BS1889" s="73"/>
      <c r="BT1889" s="73"/>
      <c r="BU1889" s="73"/>
      <c r="BV1889" s="73"/>
      <c r="BW1889" s="73"/>
      <c r="BX1889" s="73"/>
      <c r="BY1889" s="73"/>
      <c r="BZ1889" s="73"/>
      <c r="CA1889" s="73"/>
      <c r="CB1889" s="73"/>
      <c r="CC1889" s="73"/>
      <c r="CD1889" s="73"/>
      <c r="CE1889" s="73"/>
      <c r="CF1889" s="73"/>
      <c r="CG1889" s="73"/>
      <c r="CH1889" s="73"/>
    </row>
    <row r="1890">
      <c r="A1890" s="80"/>
      <c r="B1890" s="80"/>
      <c r="C1890" s="80"/>
      <c r="D1890" s="80"/>
      <c r="E1890" s="124"/>
      <c r="F1890" s="80"/>
      <c r="G1890" s="80"/>
      <c r="H1890" s="80"/>
      <c r="I1890" s="80"/>
      <c r="J1890" s="196"/>
      <c r="K1890" s="196"/>
      <c r="L1890" s="196"/>
      <c r="M1890" s="196"/>
      <c r="N1890" s="196"/>
      <c r="O1890" s="196"/>
      <c r="P1890" s="196"/>
      <c r="Q1890" s="196"/>
      <c r="R1890" s="196"/>
      <c r="S1890" s="196"/>
      <c r="T1890" s="196"/>
      <c r="U1890" s="196"/>
      <c r="V1890" s="196"/>
      <c r="W1890" s="196"/>
      <c r="X1890" s="196"/>
      <c r="Y1890" s="196"/>
      <c r="Z1890" s="196"/>
      <c r="AA1890" s="196"/>
      <c r="AB1890" s="196"/>
      <c r="AC1890" s="196"/>
      <c r="AD1890" s="196"/>
      <c r="AE1890" s="196"/>
      <c r="AF1890" s="196"/>
      <c r="AG1890" s="196"/>
      <c r="AH1890" s="196"/>
      <c r="AI1890" s="196"/>
      <c r="AJ1890" s="197"/>
      <c r="AK1890" s="80"/>
      <c r="AL1890" s="80"/>
      <c r="AM1890" s="73"/>
      <c r="AN1890" s="73"/>
      <c r="AO1890" s="73"/>
      <c r="AP1890" s="73"/>
      <c r="AQ1890" s="73"/>
      <c r="AR1890" s="73"/>
      <c r="AS1890" s="73"/>
      <c r="AT1890" s="73"/>
      <c r="AU1890" s="73"/>
      <c r="AV1890" s="73"/>
      <c r="AW1890" s="73"/>
      <c r="AX1890" s="73"/>
      <c r="AY1890" s="73"/>
      <c r="AZ1890" s="73"/>
      <c r="BA1890" s="73"/>
      <c r="BB1890" s="73"/>
      <c r="BC1890" s="73"/>
      <c r="BD1890" s="73"/>
      <c r="BE1890" s="73"/>
      <c r="BF1890" s="73"/>
      <c r="BG1890" s="73"/>
      <c r="BH1890" s="73"/>
      <c r="BI1890" s="73"/>
      <c r="BJ1890" s="73"/>
      <c r="BK1890" s="73"/>
      <c r="BL1890" s="73"/>
      <c r="BM1890" s="73"/>
      <c r="BN1890" s="73"/>
      <c r="BO1890" s="73"/>
      <c r="BP1890" s="73"/>
      <c r="BQ1890" s="73"/>
      <c r="BR1890" s="73"/>
      <c r="BS1890" s="73"/>
      <c r="BT1890" s="73"/>
      <c r="BU1890" s="73"/>
      <c r="BV1890" s="73"/>
      <c r="BW1890" s="73"/>
      <c r="BX1890" s="73"/>
      <c r="BY1890" s="73"/>
      <c r="BZ1890" s="73"/>
      <c r="CA1890" s="73"/>
      <c r="CB1890" s="73"/>
      <c r="CC1890" s="73"/>
      <c r="CD1890" s="73"/>
      <c r="CE1890" s="73"/>
      <c r="CF1890" s="73"/>
      <c r="CG1890" s="73"/>
      <c r="CH1890" s="73"/>
    </row>
    <row r="1891">
      <c r="A1891" s="80"/>
      <c r="B1891" s="80"/>
      <c r="C1891" s="80"/>
      <c r="D1891" s="80"/>
      <c r="E1891" s="124"/>
      <c r="F1891" s="80"/>
      <c r="G1891" s="80"/>
      <c r="H1891" s="80"/>
      <c r="I1891" s="80"/>
      <c r="J1891" s="196"/>
      <c r="K1891" s="196"/>
      <c r="L1891" s="196"/>
      <c r="M1891" s="196"/>
      <c r="N1891" s="196"/>
      <c r="O1891" s="196"/>
      <c r="P1891" s="196"/>
      <c r="Q1891" s="196"/>
      <c r="R1891" s="196"/>
      <c r="S1891" s="196"/>
      <c r="T1891" s="196"/>
      <c r="U1891" s="196"/>
      <c r="V1891" s="196"/>
      <c r="W1891" s="196"/>
      <c r="X1891" s="196"/>
      <c r="Y1891" s="196"/>
      <c r="Z1891" s="196"/>
      <c r="AA1891" s="196"/>
      <c r="AB1891" s="196"/>
      <c r="AC1891" s="196"/>
      <c r="AD1891" s="196"/>
      <c r="AE1891" s="196"/>
      <c r="AF1891" s="196"/>
      <c r="AG1891" s="196"/>
      <c r="AH1891" s="196"/>
      <c r="AI1891" s="196"/>
      <c r="AJ1891" s="197"/>
      <c r="AK1891" s="80"/>
      <c r="AL1891" s="80"/>
      <c r="AM1891" s="73"/>
      <c r="AN1891" s="73"/>
      <c r="AO1891" s="73"/>
      <c r="AP1891" s="73"/>
      <c r="AQ1891" s="73"/>
      <c r="AR1891" s="73"/>
      <c r="AS1891" s="73"/>
      <c r="AT1891" s="73"/>
      <c r="AU1891" s="73"/>
      <c r="AV1891" s="73"/>
      <c r="AW1891" s="73"/>
      <c r="AX1891" s="73"/>
      <c r="AY1891" s="73"/>
      <c r="AZ1891" s="73"/>
      <c r="BA1891" s="73"/>
      <c r="BB1891" s="73"/>
      <c r="BC1891" s="73"/>
      <c r="BD1891" s="73"/>
      <c r="BE1891" s="73"/>
      <c r="BF1891" s="73"/>
      <c r="BG1891" s="73"/>
      <c r="BH1891" s="73"/>
      <c r="BI1891" s="73"/>
      <c r="BJ1891" s="73"/>
      <c r="BK1891" s="73"/>
      <c r="BL1891" s="73"/>
      <c r="BM1891" s="73"/>
      <c r="BN1891" s="73"/>
      <c r="BO1891" s="73"/>
      <c r="BP1891" s="73"/>
      <c r="BQ1891" s="73"/>
      <c r="BR1891" s="73"/>
      <c r="BS1891" s="73"/>
      <c r="BT1891" s="73"/>
      <c r="BU1891" s="73"/>
      <c r="BV1891" s="73"/>
      <c r="BW1891" s="73"/>
      <c r="BX1891" s="73"/>
      <c r="BY1891" s="73"/>
      <c r="BZ1891" s="73"/>
      <c r="CA1891" s="73"/>
      <c r="CB1891" s="73"/>
      <c r="CC1891" s="73"/>
      <c r="CD1891" s="73"/>
      <c r="CE1891" s="73"/>
      <c r="CF1891" s="73"/>
      <c r="CG1891" s="73"/>
      <c r="CH1891" s="73"/>
    </row>
    <row r="1892">
      <c r="A1892" s="80"/>
      <c r="B1892" s="80"/>
      <c r="C1892" s="80"/>
      <c r="D1892" s="80"/>
      <c r="E1892" s="124"/>
      <c r="F1892" s="80"/>
      <c r="G1892" s="80"/>
      <c r="H1892" s="80"/>
      <c r="I1892" s="80"/>
      <c r="J1892" s="196"/>
      <c r="K1892" s="196"/>
      <c r="L1892" s="196"/>
      <c r="M1892" s="196"/>
      <c r="N1892" s="196"/>
      <c r="O1892" s="196"/>
      <c r="P1892" s="196"/>
      <c r="Q1892" s="196"/>
      <c r="R1892" s="196"/>
      <c r="S1892" s="196"/>
      <c r="T1892" s="196"/>
      <c r="U1892" s="196"/>
      <c r="V1892" s="196"/>
      <c r="W1892" s="196"/>
      <c r="X1892" s="196"/>
      <c r="Y1892" s="196"/>
      <c r="Z1892" s="196"/>
      <c r="AA1892" s="196"/>
      <c r="AB1892" s="196"/>
      <c r="AC1892" s="196"/>
      <c r="AD1892" s="196"/>
      <c r="AE1892" s="196"/>
      <c r="AF1892" s="196"/>
      <c r="AG1892" s="196"/>
      <c r="AH1892" s="196"/>
      <c r="AI1892" s="196"/>
      <c r="AJ1892" s="197"/>
      <c r="AK1892" s="80"/>
      <c r="AL1892" s="80"/>
      <c r="AM1892" s="73"/>
      <c r="AN1892" s="73"/>
      <c r="AO1892" s="73"/>
      <c r="AP1892" s="73"/>
      <c r="AQ1892" s="73"/>
      <c r="AR1892" s="73"/>
      <c r="AS1892" s="73"/>
      <c r="AT1892" s="73"/>
      <c r="AU1892" s="73"/>
      <c r="AV1892" s="73"/>
      <c r="AW1892" s="73"/>
      <c r="AX1892" s="73"/>
      <c r="AY1892" s="73"/>
      <c r="AZ1892" s="73"/>
      <c r="BA1892" s="73"/>
      <c r="BB1892" s="73"/>
      <c r="BC1892" s="73"/>
      <c r="BD1892" s="73"/>
      <c r="BE1892" s="73"/>
      <c r="BF1892" s="73"/>
      <c r="BG1892" s="73"/>
      <c r="BH1892" s="73"/>
      <c r="BI1892" s="73"/>
      <c r="BJ1892" s="73"/>
      <c r="BK1892" s="73"/>
      <c r="BL1892" s="73"/>
      <c r="BM1892" s="73"/>
      <c r="BN1892" s="73"/>
      <c r="BO1892" s="73"/>
      <c r="BP1892" s="73"/>
      <c r="BQ1892" s="73"/>
      <c r="BR1892" s="73"/>
      <c r="BS1892" s="73"/>
      <c r="BT1892" s="73"/>
      <c r="BU1892" s="73"/>
      <c r="BV1892" s="73"/>
      <c r="BW1892" s="73"/>
      <c r="BX1892" s="73"/>
      <c r="BY1892" s="73"/>
      <c r="BZ1892" s="73"/>
      <c r="CA1892" s="73"/>
      <c r="CB1892" s="73"/>
      <c r="CC1892" s="73"/>
      <c r="CD1892" s="73"/>
      <c r="CE1892" s="73"/>
      <c r="CF1892" s="73"/>
      <c r="CG1892" s="73"/>
      <c r="CH1892" s="73"/>
    </row>
    <row r="1893">
      <c r="A1893" s="80"/>
      <c r="B1893" s="80"/>
      <c r="C1893" s="80"/>
      <c r="D1893" s="80"/>
      <c r="E1893" s="124"/>
      <c r="F1893" s="80"/>
      <c r="G1893" s="80"/>
      <c r="H1893" s="80"/>
      <c r="I1893" s="80"/>
      <c r="J1893" s="196"/>
      <c r="K1893" s="196"/>
      <c r="L1893" s="196"/>
      <c r="M1893" s="196"/>
      <c r="N1893" s="196"/>
      <c r="O1893" s="196"/>
      <c r="P1893" s="196"/>
      <c r="Q1893" s="196"/>
      <c r="R1893" s="196"/>
      <c r="S1893" s="196"/>
      <c r="T1893" s="196"/>
      <c r="U1893" s="196"/>
      <c r="V1893" s="196"/>
      <c r="W1893" s="196"/>
      <c r="X1893" s="196"/>
      <c r="Y1893" s="196"/>
      <c r="Z1893" s="196"/>
      <c r="AA1893" s="196"/>
      <c r="AB1893" s="196"/>
      <c r="AC1893" s="196"/>
      <c r="AD1893" s="196"/>
      <c r="AE1893" s="196"/>
      <c r="AF1893" s="196"/>
      <c r="AG1893" s="196"/>
      <c r="AH1893" s="196"/>
      <c r="AI1893" s="196"/>
      <c r="AJ1893" s="197"/>
      <c r="AK1893" s="80"/>
      <c r="AL1893" s="80"/>
      <c r="AM1893" s="73"/>
      <c r="AN1893" s="73"/>
      <c r="AO1893" s="73"/>
      <c r="AP1893" s="73"/>
      <c r="AQ1893" s="73"/>
      <c r="AR1893" s="73"/>
      <c r="AS1893" s="73"/>
      <c r="AT1893" s="73"/>
      <c r="AU1893" s="73"/>
      <c r="AV1893" s="73"/>
      <c r="AW1893" s="73"/>
      <c r="AX1893" s="73"/>
      <c r="AY1893" s="73"/>
      <c r="AZ1893" s="73"/>
      <c r="BA1893" s="73"/>
      <c r="BB1893" s="73"/>
      <c r="BC1893" s="73"/>
      <c r="BD1893" s="73"/>
      <c r="BE1893" s="73"/>
      <c r="BF1893" s="73"/>
      <c r="BG1893" s="73"/>
      <c r="BH1893" s="73"/>
      <c r="BI1893" s="73"/>
      <c r="BJ1893" s="73"/>
      <c r="BK1893" s="73"/>
      <c r="BL1893" s="73"/>
      <c r="BM1893" s="73"/>
      <c r="BN1893" s="73"/>
      <c r="BO1893" s="73"/>
      <c r="BP1893" s="73"/>
      <c r="BQ1893" s="73"/>
      <c r="BR1893" s="73"/>
      <c r="BS1893" s="73"/>
      <c r="BT1893" s="73"/>
      <c r="BU1893" s="73"/>
      <c r="BV1893" s="73"/>
      <c r="BW1893" s="73"/>
      <c r="BX1893" s="73"/>
      <c r="BY1893" s="73"/>
      <c r="BZ1893" s="73"/>
      <c r="CA1893" s="73"/>
      <c r="CB1893" s="73"/>
      <c r="CC1893" s="73"/>
      <c r="CD1893" s="73"/>
      <c r="CE1893" s="73"/>
      <c r="CF1893" s="73"/>
      <c r="CG1893" s="73"/>
      <c r="CH1893" s="73"/>
    </row>
    <row r="1894">
      <c r="A1894" s="80"/>
      <c r="B1894" s="80"/>
      <c r="C1894" s="80"/>
      <c r="D1894" s="80"/>
      <c r="E1894" s="124"/>
      <c r="F1894" s="80"/>
      <c r="G1894" s="80"/>
      <c r="H1894" s="80"/>
      <c r="I1894" s="80"/>
      <c r="J1894" s="196"/>
      <c r="K1894" s="196"/>
      <c r="L1894" s="196"/>
      <c r="M1894" s="196"/>
      <c r="N1894" s="196"/>
      <c r="O1894" s="196"/>
      <c r="P1894" s="196"/>
      <c r="Q1894" s="196"/>
      <c r="R1894" s="196"/>
      <c r="S1894" s="196"/>
      <c r="T1894" s="196"/>
      <c r="U1894" s="196"/>
      <c r="V1894" s="196"/>
      <c r="W1894" s="196"/>
      <c r="X1894" s="196"/>
      <c r="Y1894" s="196"/>
      <c r="Z1894" s="196"/>
      <c r="AA1894" s="196"/>
      <c r="AB1894" s="196"/>
      <c r="AC1894" s="196"/>
      <c r="AD1894" s="196"/>
      <c r="AE1894" s="196"/>
      <c r="AF1894" s="196"/>
      <c r="AG1894" s="196"/>
      <c r="AH1894" s="196"/>
      <c r="AI1894" s="196"/>
      <c r="AJ1894" s="197"/>
      <c r="AK1894" s="80"/>
      <c r="AL1894" s="80"/>
      <c r="AM1894" s="73"/>
      <c r="AN1894" s="73"/>
      <c r="AO1894" s="73"/>
      <c r="AP1894" s="73"/>
      <c r="AQ1894" s="73"/>
      <c r="AR1894" s="73"/>
      <c r="AS1894" s="73"/>
      <c r="AT1894" s="73"/>
      <c r="AU1894" s="73"/>
      <c r="AV1894" s="73"/>
      <c r="AW1894" s="73"/>
      <c r="AX1894" s="73"/>
      <c r="AY1894" s="73"/>
      <c r="AZ1894" s="73"/>
      <c r="BA1894" s="73"/>
      <c r="BB1894" s="73"/>
      <c r="BC1894" s="73"/>
      <c r="BD1894" s="73"/>
      <c r="BE1894" s="73"/>
      <c r="BF1894" s="73"/>
      <c r="BG1894" s="73"/>
      <c r="BH1894" s="73"/>
      <c r="BI1894" s="73"/>
      <c r="BJ1894" s="73"/>
      <c r="BK1894" s="73"/>
      <c r="BL1894" s="73"/>
      <c r="BM1894" s="73"/>
      <c r="BN1894" s="73"/>
      <c r="BO1894" s="73"/>
      <c r="BP1894" s="73"/>
      <c r="BQ1894" s="73"/>
      <c r="BR1894" s="73"/>
      <c r="BS1894" s="73"/>
      <c r="BT1894" s="73"/>
      <c r="BU1894" s="73"/>
      <c r="BV1894" s="73"/>
      <c r="BW1894" s="73"/>
      <c r="BX1894" s="73"/>
      <c r="BY1894" s="73"/>
      <c r="BZ1894" s="73"/>
      <c r="CA1894" s="73"/>
      <c r="CB1894" s="73"/>
      <c r="CC1894" s="73"/>
      <c r="CD1894" s="73"/>
      <c r="CE1894" s="73"/>
      <c r="CF1894" s="73"/>
      <c r="CG1894" s="73"/>
      <c r="CH1894" s="73"/>
    </row>
    <row r="1895">
      <c r="A1895" s="80"/>
      <c r="B1895" s="80"/>
      <c r="C1895" s="80"/>
      <c r="D1895" s="80"/>
      <c r="E1895" s="124"/>
      <c r="F1895" s="80"/>
      <c r="G1895" s="80"/>
      <c r="H1895" s="80"/>
      <c r="I1895" s="80"/>
      <c r="J1895" s="196"/>
      <c r="K1895" s="196"/>
      <c r="L1895" s="196"/>
      <c r="M1895" s="196"/>
      <c r="N1895" s="196"/>
      <c r="O1895" s="196"/>
      <c r="P1895" s="196"/>
      <c r="Q1895" s="196"/>
      <c r="R1895" s="196"/>
      <c r="S1895" s="196"/>
      <c r="T1895" s="196"/>
      <c r="U1895" s="196"/>
      <c r="V1895" s="196"/>
      <c r="W1895" s="196"/>
      <c r="X1895" s="196"/>
      <c r="Y1895" s="196"/>
      <c r="Z1895" s="196"/>
      <c r="AA1895" s="196"/>
      <c r="AB1895" s="196"/>
      <c r="AC1895" s="196"/>
      <c r="AD1895" s="196"/>
      <c r="AE1895" s="196"/>
      <c r="AF1895" s="196"/>
      <c r="AG1895" s="196"/>
      <c r="AH1895" s="196"/>
      <c r="AI1895" s="196"/>
      <c r="AJ1895" s="197"/>
      <c r="AK1895" s="80"/>
      <c r="AL1895" s="80"/>
      <c r="AM1895" s="73"/>
      <c r="AN1895" s="73"/>
      <c r="AO1895" s="73"/>
      <c r="AP1895" s="73"/>
      <c r="AQ1895" s="73"/>
      <c r="AR1895" s="73"/>
      <c r="AS1895" s="73"/>
      <c r="AT1895" s="73"/>
      <c r="AU1895" s="73"/>
      <c r="AV1895" s="73"/>
      <c r="AW1895" s="73"/>
      <c r="AX1895" s="73"/>
      <c r="AY1895" s="73"/>
      <c r="AZ1895" s="73"/>
      <c r="BA1895" s="73"/>
      <c r="BB1895" s="73"/>
      <c r="BC1895" s="73"/>
      <c r="BD1895" s="73"/>
      <c r="BE1895" s="73"/>
      <c r="BF1895" s="73"/>
      <c r="BG1895" s="73"/>
      <c r="BH1895" s="73"/>
      <c r="BI1895" s="73"/>
      <c r="BJ1895" s="73"/>
      <c r="BK1895" s="73"/>
      <c r="BL1895" s="73"/>
      <c r="BM1895" s="73"/>
      <c r="BN1895" s="73"/>
      <c r="BO1895" s="73"/>
      <c r="BP1895" s="73"/>
      <c r="BQ1895" s="73"/>
      <c r="BR1895" s="73"/>
      <c r="BS1895" s="73"/>
      <c r="BT1895" s="73"/>
      <c r="BU1895" s="73"/>
      <c r="BV1895" s="73"/>
      <c r="BW1895" s="73"/>
      <c r="BX1895" s="73"/>
      <c r="BY1895" s="73"/>
      <c r="BZ1895" s="73"/>
      <c r="CA1895" s="73"/>
      <c r="CB1895" s="73"/>
      <c r="CC1895" s="73"/>
      <c r="CD1895" s="73"/>
      <c r="CE1895" s="73"/>
      <c r="CF1895" s="73"/>
      <c r="CG1895" s="73"/>
      <c r="CH1895" s="73"/>
    </row>
    <row r="1896">
      <c r="A1896" s="80"/>
      <c r="B1896" s="80"/>
      <c r="C1896" s="80"/>
      <c r="D1896" s="80"/>
      <c r="E1896" s="124"/>
      <c r="F1896" s="80"/>
      <c r="G1896" s="80"/>
      <c r="H1896" s="80"/>
      <c r="I1896" s="80"/>
      <c r="J1896" s="196"/>
      <c r="K1896" s="196"/>
      <c r="L1896" s="196"/>
      <c r="M1896" s="196"/>
      <c r="N1896" s="196"/>
      <c r="O1896" s="196"/>
      <c r="P1896" s="196"/>
      <c r="Q1896" s="196"/>
      <c r="R1896" s="196"/>
      <c r="S1896" s="196"/>
      <c r="T1896" s="196"/>
      <c r="U1896" s="196"/>
      <c r="V1896" s="196"/>
      <c r="W1896" s="196"/>
      <c r="X1896" s="196"/>
      <c r="Y1896" s="196"/>
      <c r="Z1896" s="196"/>
      <c r="AA1896" s="196"/>
      <c r="AB1896" s="196"/>
      <c r="AC1896" s="196"/>
      <c r="AD1896" s="196"/>
      <c r="AE1896" s="196"/>
      <c r="AF1896" s="196"/>
      <c r="AG1896" s="196"/>
      <c r="AH1896" s="196"/>
      <c r="AI1896" s="196"/>
      <c r="AJ1896" s="197"/>
      <c r="AK1896" s="80"/>
      <c r="AL1896" s="80"/>
      <c r="AM1896" s="73"/>
      <c r="AN1896" s="73"/>
      <c r="AO1896" s="73"/>
      <c r="AP1896" s="73"/>
      <c r="AQ1896" s="73"/>
      <c r="AR1896" s="73"/>
      <c r="AS1896" s="73"/>
      <c r="AT1896" s="73"/>
      <c r="AU1896" s="73"/>
      <c r="AV1896" s="73"/>
      <c r="AW1896" s="73"/>
      <c r="AX1896" s="73"/>
      <c r="AY1896" s="73"/>
      <c r="AZ1896" s="73"/>
      <c r="BA1896" s="73"/>
      <c r="BB1896" s="73"/>
      <c r="BC1896" s="73"/>
      <c r="BD1896" s="73"/>
      <c r="BE1896" s="73"/>
      <c r="BF1896" s="73"/>
      <c r="BG1896" s="73"/>
      <c r="BH1896" s="73"/>
      <c r="BI1896" s="73"/>
      <c r="BJ1896" s="73"/>
      <c r="BK1896" s="73"/>
      <c r="BL1896" s="73"/>
      <c r="BM1896" s="73"/>
      <c r="BN1896" s="73"/>
      <c r="BO1896" s="73"/>
      <c r="BP1896" s="73"/>
      <c r="BQ1896" s="73"/>
      <c r="BR1896" s="73"/>
      <c r="BS1896" s="73"/>
      <c r="BT1896" s="73"/>
      <c r="BU1896" s="73"/>
      <c r="BV1896" s="73"/>
      <c r="BW1896" s="73"/>
      <c r="BX1896" s="73"/>
      <c r="BY1896" s="73"/>
      <c r="BZ1896" s="73"/>
      <c r="CA1896" s="73"/>
      <c r="CB1896" s="73"/>
      <c r="CC1896" s="73"/>
      <c r="CD1896" s="73"/>
      <c r="CE1896" s="73"/>
      <c r="CF1896" s="73"/>
      <c r="CG1896" s="73"/>
      <c r="CH1896" s="73"/>
    </row>
    <row r="1897">
      <c r="A1897" s="80"/>
      <c r="B1897" s="80"/>
      <c r="C1897" s="80"/>
      <c r="D1897" s="80"/>
      <c r="E1897" s="124"/>
      <c r="F1897" s="80"/>
      <c r="G1897" s="80"/>
      <c r="H1897" s="80"/>
      <c r="I1897" s="80"/>
      <c r="J1897" s="196"/>
      <c r="K1897" s="196"/>
      <c r="L1897" s="196"/>
      <c r="M1897" s="196"/>
      <c r="N1897" s="196"/>
      <c r="O1897" s="196"/>
      <c r="P1897" s="196"/>
      <c r="Q1897" s="196"/>
      <c r="R1897" s="196"/>
      <c r="S1897" s="196"/>
      <c r="T1897" s="196"/>
      <c r="U1897" s="196"/>
      <c r="V1897" s="196"/>
      <c r="W1897" s="196"/>
      <c r="X1897" s="196"/>
      <c r="Y1897" s="196"/>
      <c r="Z1897" s="196"/>
      <c r="AA1897" s="196"/>
      <c r="AB1897" s="196"/>
      <c r="AC1897" s="196"/>
      <c r="AD1897" s="196"/>
      <c r="AE1897" s="196"/>
      <c r="AF1897" s="196"/>
      <c r="AG1897" s="196"/>
      <c r="AH1897" s="196"/>
      <c r="AI1897" s="196"/>
      <c r="AJ1897" s="197"/>
      <c r="AK1897" s="80"/>
      <c r="AL1897" s="80"/>
      <c r="AM1897" s="73"/>
      <c r="AN1897" s="73"/>
      <c r="AO1897" s="73"/>
      <c r="AP1897" s="73"/>
      <c r="AQ1897" s="73"/>
      <c r="AR1897" s="73"/>
      <c r="AS1897" s="73"/>
      <c r="AT1897" s="73"/>
      <c r="AU1897" s="73"/>
      <c r="AV1897" s="73"/>
      <c r="AW1897" s="73"/>
      <c r="AX1897" s="73"/>
      <c r="AY1897" s="73"/>
      <c r="AZ1897" s="73"/>
      <c r="BA1897" s="73"/>
      <c r="BB1897" s="73"/>
      <c r="BC1897" s="73"/>
      <c r="BD1897" s="73"/>
      <c r="BE1897" s="73"/>
      <c r="BF1897" s="73"/>
      <c r="BG1897" s="73"/>
      <c r="BH1897" s="73"/>
      <c r="BI1897" s="73"/>
      <c r="BJ1897" s="73"/>
      <c r="BK1897" s="73"/>
      <c r="BL1897" s="73"/>
      <c r="BM1897" s="73"/>
      <c r="BN1897" s="73"/>
      <c r="BO1897" s="73"/>
      <c r="BP1897" s="73"/>
      <c r="BQ1897" s="73"/>
      <c r="BR1897" s="73"/>
      <c r="BS1897" s="73"/>
      <c r="BT1897" s="73"/>
      <c r="BU1897" s="73"/>
      <c r="BV1897" s="73"/>
      <c r="BW1897" s="73"/>
      <c r="BX1897" s="73"/>
      <c r="BY1897" s="73"/>
      <c r="BZ1897" s="73"/>
      <c r="CA1897" s="73"/>
      <c r="CB1897" s="73"/>
      <c r="CC1897" s="73"/>
      <c r="CD1897" s="73"/>
      <c r="CE1897" s="73"/>
      <c r="CF1897" s="73"/>
      <c r="CG1897" s="73"/>
      <c r="CH1897" s="73"/>
    </row>
    <row r="1898">
      <c r="A1898" s="80"/>
      <c r="B1898" s="80"/>
      <c r="C1898" s="80"/>
      <c r="D1898" s="80"/>
      <c r="E1898" s="124"/>
      <c r="F1898" s="80"/>
      <c r="G1898" s="80"/>
      <c r="H1898" s="80"/>
      <c r="I1898" s="80"/>
      <c r="J1898" s="196"/>
      <c r="K1898" s="196"/>
      <c r="L1898" s="196"/>
      <c r="M1898" s="196"/>
      <c r="N1898" s="196"/>
      <c r="O1898" s="196"/>
      <c r="P1898" s="196"/>
      <c r="Q1898" s="196"/>
      <c r="R1898" s="196"/>
      <c r="S1898" s="196"/>
      <c r="T1898" s="196"/>
      <c r="U1898" s="196"/>
      <c r="V1898" s="196"/>
      <c r="W1898" s="196"/>
      <c r="X1898" s="196"/>
      <c r="Y1898" s="196"/>
      <c r="Z1898" s="196"/>
      <c r="AA1898" s="196"/>
      <c r="AB1898" s="196"/>
      <c r="AC1898" s="196"/>
      <c r="AD1898" s="196"/>
      <c r="AE1898" s="196"/>
      <c r="AF1898" s="196"/>
      <c r="AG1898" s="196"/>
      <c r="AH1898" s="196"/>
      <c r="AI1898" s="196"/>
      <c r="AJ1898" s="197"/>
      <c r="AK1898" s="80"/>
      <c r="AL1898" s="80"/>
      <c r="AM1898" s="73"/>
      <c r="AN1898" s="73"/>
      <c r="AO1898" s="73"/>
      <c r="AP1898" s="73"/>
      <c r="AQ1898" s="73"/>
      <c r="AR1898" s="73"/>
      <c r="AS1898" s="73"/>
      <c r="AT1898" s="73"/>
      <c r="AU1898" s="73"/>
      <c r="AV1898" s="73"/>
      <c r="AW1898" s="73"/>
      <c r="AX1898" s="73"/>
      <c r="AY1898" s="73"/>
      <c r="AZ1898" s="73"/>
      <c r="BA1898" s="73"/>
      <c r="BB1898" s="73"/>
      <c r="BC1898" s="73"/>
      <c r="BD1898" s="73"/>
      <c r="BE1898" s="73"/>
      <c r="BF1898" s="73"/>
      <c r="BG1898" s="73"/>
      <c r="BH1898" s="73"/>
      <c r="BI1898" s="73"/>
      <c r="BJ1898" s="73"/>
      <c r="BK1898" s="73"/>
      <c r="BL1898" s="73"/>
      <c r="BM1898" s="73"/>
      <c r="BN1898" s="73"/>
      <c r="BO1898" s="73"/>
      <c r="BP1898" s="73"/>
      <c r="BQ1898" s="73"/>
      <c r="BR1898" s="73"/>
      <c r="BS1898" s="73"/>
      <c r="BT1898" s="73"/>
      <c r="BU1898" s="73"/>
      <c r="BV1898" s="73"/>
      <c r="BW1898" s="73"/>
      <c r="BX1898" s="73"/>
      <c r="BY1898" s="73"/>
      <c r="BZ1898" s="73"/>
      <c r="CA1898" s="73"/>
      <c r="CB1898" s="73"/>
      <c r="CC1898" s="73"/>
      <c r="CD1898" s="73"/>
      <c r="CE1898" s="73"/>
      <c r="CF1898" s="73"/>
      <c r="CG1898" s="73"/>
      <c r="CH1898" s="73"/>
    </row>
    <row r="1899">
      <c r="A1899" s="80"/>
      <c r="B1899" s="80"/>
      <c r="C1899" s="80"/>
      <c r="D1899" s="80"/>
      <c r="E1899" s="124"/>
      <c r="F1899" s="80"/>
      <c r="G1899" s="80"/>
      <c r="H1899" s="80"/>
      <c r="I1899" s="80"/>
      <c r="J1899" s="196"/>
      <c r="K1899" s="196"/>
      <c r="L1899" s="196"/>
      <c r="M1899" s="196"/>
      <c r="N1899" s="196"/>
      <c r="O1899" s="196"/>
      <c r="P1899" s="196"/>
      <c r="Q1899" s="196"/>
      <c r="R1899" s="196"/>
      <c r="S1899" s="196"/>
      <c r="T1899" s="196"/>
      <c r="U1899" s="196"/>
      <c r="V1899" s="196"/>
      <c r="W1899" s="196"/>
      <c r="X1899" s="196"/>
      <c r="Y1899" s="196"/>
      <c r="Z1899" s="196"/>
      <c r="AA1899" s="196"/>
      <c r="AB1899" s="196"/>
      <c r="AC1899" s="196"/>
      <c r="AD1899" s="196"/>
      <c r="AE1899" s="196"/>
      <c r="AF1899" s="196"/>
      <c r="AG1899" s="196"/>
      <c r="AH1899" s="196"/>
      <c r="AI1899" s="196"/>
      <c r="AJ1899" s="197"/>
      <c r="AK1899" s="80"/>
      <c r="AL1899" s="80"/>
      <c r="AM1899" s="73"/>
      <c r="AN1899" s="73"/>
      <c r="AO1899" s="73"/>
      <c r="AP1899" s="73"/>
      <c r="AQ1899" s="73"/>
      <c r="AR1899" s="73"/>
      <c r="AS1899" s="73"/>
      <c r="AT1899" s="73"/>
      <c r="AU1899" s="73"/>
      <c r="AV1899" s="73"/>
      <c r="AW1899" s="73"/>
      <c r="AX1899" s="73"/>
      <c r="AY1899" s="73"/>
      <c r="AZ1899" s="73"/>
      <c r="BA1899" s="73"/>
      <c r="BB1899" s="73"/>
      <c r="BC1899" s="73"/>
      <c r="BD1899" s="73"/>
      <c r="BE1899" s="73"/>
      <c r="BF1899" s="73"/>
      <c r="BG1899" s="73"/>
      <c r="BH1899" s="73"/>
      <c r="BI1899" s="73"/>
      <c r="BJ1899" s="73"/>
      <c r="BK1899" s="73"/>
      <c r="BL1899" s="73"/>
      <c r="BM1899" s="73"/>
      <c r="BN1899" s="73"/>
      <c r="BO1899" s="73"/>
      <c r="BP1899" s="73"/>
      <c r="BQ1899" s="73"/>
      <c r="BR1899" s="73"/>
      <c r="BS1899" s="73"/>
      <c r="BT1899" s="73"/>
      <c r="BU1899" s="73"/>
      <c r="BV1899" s="73"/>
      <c r="BW1899" s="73"/>
      <c r="BX1899" s="73"/>
      <c r="BY1899" s="73"/>
      <c r="BZ1899" s="73"/>
      <c r="CA1899" s="73"/>
      <c r="CB1899" s="73"/>
      <c r="CC1899" s="73"/>
      <c r="CD1899" s="73"/>
      <c r="CE1899" s="73"/>
      <c r="CF1899" s="73"/>
      <c r="CG1899" s="73"/>
      <c r="CH1899" s="73"/>
    </row>
    <row r="1900">
      <c r="A1900" s="80"/>
      <c r="B1900" s="80"/>
      <c r="C1900" s="80"/>
      <c r="D1900" s="80"/>
      <c r="E1900" s="124"/>
      <c r="F1900" s="80"/>
      <c r="G1900" s="80"/>
      <c r="H1900" s="80"/>
      <c r="I1900" s="80"/>
      <c r="J1900" s="196"/>
      <c r="K1900" s="196"/>
      <c r="L1900" s="196"/>
      <c r="M1900" s="196"/>
      <c r="N1900" s="196"/>
      <c r="O1900" s="196"/>
      <c r="P1900" s="196"/>
      <c r="Q1900" s="196"/>
      <c r="R1900" s="196"/>
      <c r="S1900" s="196"/>
      <c r="T1900" s="196"/>
      <c r="U1900" s="196"/>
      <c r="V1900" s="196"/>
      <c r="W1900" s="196"/>
      <c r="X1900" s="196"/>
      <c r="Y1900" s="196"/>
      <c r="Z1900" s="196"/>
      <c r="AA1900" s="196"/>
      <c r="AB1900" s="196"/>
      <c r="AC1900" s="196"/>
      <c r="AD1900" s="196"/>
      <c r="AE1900" s="196"/>
      <c r="AF1900" s="196"/>
      <c r="AG1900" s="196"/>
      <c r="AH1900" s="196"/>
      <c r="AI1900" s="196"/>
      <c r="AJ1900" s="197"/>
      <c r="AK1900" s="80"/>
      <c r="AL1900" s="80"/>
      <c r="AM1900" s="73"/>
      <c r="AN1900" s="73"/>
      <c r="AO1900" s="73"/>
      <c r="AP1900" s="73"/>
      <c r="AQ1900" s="73"/>
      <c r="AR1900" s="73"/>
      <c r="AS1900" s="73"/>
      <c r="AT1900" s="73"/>
      <c r="AU1900" s="73"/>
      <c r="AV1900" s="73"/>
      <c r="AW1900" s="73"/>
      <c r="AX1900" s="73"/>
      <c r="AY1900" s="73"/>
      <c r="AZ1900" s="73"/>
      <c r="BA1900" s="73"/>
      <c r="BB1900" s="73"/>
      <c r="BC1900" s="73"/>
      <c r="BD1900" s="73"/>
      <c r="BE1900" s="73"/>
      <c r="BF1900" s="73"/>
      <c r="BG1900" s="73"/>
      <c r="BH1900" s="73"/>
      <c r="BI1900" s="73"/>
      <c r="BJ1900" s="73"/>
      <c r="BK1900" s="73"/>
      <c r="BL1900" s="73"/>
      <c r="BM1900" s="73"/>
      <c r="BN1900" s="73"/>
      <c r="BO1900" s="73"/>
      <c r="BP1900" s="73"/>
      <c r="BQ1900" s="73"/>
      <c r="BR1900" s="73"/>
      <c r="BS1900" s="73"/>
      <c r="BT1900" s="73"/>
      <c r="BU1900" s="73"/>
      <c r="BV1900" s="73"/>
      <c r="BW1900" s="73"/>
      <c r="BX1900" s="73"/>
      <c r="BY1900" s="73"/>
      <c r="BZ1900" s="73"/>
      <c r="CA1900" s="73"/>
      <c r="CB1900" s="73"/>
      <c r="CC1900" s="73"/>
      <c r="CD1900" s="73"/>
      <c r="CE1900" s="73"/>
      <c r="CF1900" s="73"/>
      <c r="CG1900" s="73"/>
      <c r="CH1900" s="73"/>
    </row>
    <row r="1901">
      <c r="A1901" s="80"/>
      <c r="B1901" s="80"/>
      <c r="C1901" s="80"/>
      <c r="D1901" s="80"/>
      <c r="E1901" s="124"/>
      <c r="F1901" s="80"/>
      <c r="G1901" s="80"/>
      <c r="H1901" s="80"/>
      <c r="I1901" s="80"/>
      <c r="J1901" s="196"/>
      <c r="K1901" s="196"/>
      <c r="L1901" s="196"/>
      <c r="M1901" s="196"/>
      <c r="N1901" s="196"/>
      <c r="O1901" s="196"/>
      <c r="P1901" s="196"/>
      <c r="Q1901" s="196"/>
      <c r="R1901" s="196"/>
      <c r="S1901" s="196"/>
      <c r="T1901" s="196"/>
      <c r="U1901" s="196"/>
      <c r="V1901" s="196"/>
      <c r="W1901" s="196"/>
      <c r="X1901" s="196"/>
      <c r="Y1901" s="196"/>
      <c r="Z1901" s="196"/>
      <c r="AA1901" s="196"/>
      <c r="AB1901" s="196"/>
      <c r="AC1901" s="196"/>
      <c r="AD1901" s="196"/>
      <c r="AE1901" s="196"/>
      <c r="AF1901" s="196"/>
      <c r="AG1901" s="196"/>
      <c r="AH1901" s="196"/>
      <c r="AI1901" s="196"/>
      <c r="AJ1901" s="197"/>
      <c r="AK1901" s="80"/>
      <c r="AL1901" s="80"/>
      <c r="AM1901" s="73"/>
      <c r="AN1901" s="73"/>
      <c r="AO1901" s="73"/>
      <c r="AP1901" s="73"/>
      <c r="AQ1901" s="73"/>
      <c r="AR1901" s="73"/>
      <c r="AS1901" s="73"/>
      <c r="AT1901" s="73"/>
      <c r="AU1901" s="73"/>
      <c r="AV1901" s="73"/>
      <c r="AW1901" s="73"/>
      <c r="AX1901" s="73"/>
      <c r="AY1901" s="73"/>
      <c r="AZ1901" s="73"/>
      <c r="BA1901" s="73"/>
      <c r="BB1901" s="73"/>
      <c r="BC1901" s="73"/>
      <c r="BD1901" s="73"/>
      <c r="BE1901" s="73"/>
      <c r="BF1901" s="73"/>
      <c r="BG1901" s="73"/>
      <c r="BH1901" s="73"/>
      <c r="BI1901" s="73"/>
      <c r="BJ1901" s="73"/>
      <c r="BK1901" s="73"/>
      <c r="BL1901" s="73"/>
      <c r="BM1901" s="73"/>
      <c r="BN1901" s="73"/>
      <c r="BO1901" s="73"/>
      <c r="BP1901" s="73"/>
      <c r="BQ1901" s="73"/>
      <c r="BR1901" s="73"/>
      <c r="BS1901" s="73"/>
      <c r="BT1901" s="73"/>
      <c r="BU1901" s="73"/>
      <c r="BV1901" s="73"/>
      <c r="BW1901" s="73"/>
      <c r="BX1901" s="73"/>
      <c r="BY1901" s="73"/>
      <c r="BZ1901" s="73"/>
      <c r="CA1901" s="73"/>
      <c r="CB1901" s="73"/>
      <c r="CC1901" s="73"/>
      <c r="CD1901" s="73"/>
      <c r="CE1901" s="73"/>
      <c r="CF1901" s="73"/>
      <c r="CG1901" s="73"/>
      <c r="CH1901" s="73"/>
    </row>
    <row r="1902">
      <c r="A1902" s="80"/>
      <c r="B1902" s="80"/>
      <c r="C1902" s="80"/>
      <c r="D1902" s="80"/>
      <c r="E1902" s="124"/>
      <c r="F1902" s="80"/>
      <c r="G1902" s="80"/>
      <c r="H1902" s="80"/>
      <c r="I1902" s="80"/>
      <c r="J1902" s="196"/>
      <c r="K1902" s="196"/>
      <c r="L1902" s="196"/>
      <c r="M1902" s="196"/>
      <c r="N1902" s="196"/>
      <c r="O1902" s="196"/>
      <c r="P1902" s="196"/>
      <c r="Q1902" s="196"/>
      <c r="R1902" s="196"/>
      <c r="S1902" s="196"/>
      <c r="T1902" s="196"/>
      <c r="U1902" s="196"/>
      <c r="V1902" s="196"/>
      <c r="W1902" s="196"/>
      <c r="X1902" s="196"/>
      <c r="Y1902" s="196"/>
      <c r="Z1902" s="196"/>
      <c r="AA1902" s="196"/>
      <c r="AB1902" s="196"/>
      <c r="AC1902" s="196"/>
      <c r="AD1902" s="196"/>
      <c r="AE1902" s="196"/>
      <c r="AF1902" s="196"/>
      <c r="AG1902" s="196"/>
      <c r="AH1902" s="196"/>
      <c r="AI1902" s="196"/>
      <c r="AJ1902" s="197"/>
      <c r="AK1902" s="80"/>
      <c r="AL1902" s="80"/>
      <c r="AM1902" s="73"/>
      <c r="AN1902" s="73"/>
      <c r="AO1902" s="73"/>
      <c r="AP1902" s="73"/>
      <c r="AQ1902" s="73"/>
      <c r="AR1902" s="73"/>
      <c r="AS1902" s="73"/>
      <c r="AT1902" s="73"/>
      <c r="AU1902" s="73"/>
      <c r="AV1902" s="73"/>
      <c r="AW1902" s="73"/>
      <c r="AX1902" s="73"/>
      <c r="AY1902" s="73"/>
      <c r="AZ1902" s="73"/>
      <c r="BA1902" s="73"/>
      <c r="BB1902" s="73"/>
      <c r="BC1902" s="73"/>
      <c r="BD1902" s="73"/>
      <c r="BE1902" s="73"/>
      <c r="BF1902" s="73"/>
      <c r="BG1902" s="73"/>
      <c r="BH1902" s="73"/>
      <c r="BI1902" s="73"/>
      <c r="BJ1902" s="73"/>
      <c r="BK1902" s="73"/>
      <c r="BL1902" s="73"/>
      <c r="BM1902" s="73"/>
      <c r="BN1902" s="73"/>
      <c r="BO1902" s="73"/>
      <c r="BP1902" s="73"/>
      <c r="BQ1902" s="73"/>
      <c r="BR1902" s="73"/>
      <c r="BS1902" s="73"/>
      <c r="BT1902" s="73"/>
      <c r="BU1902" s="73"/>
      <c r="BV1902" s="73"/>
      <c r="BW1902" s="73"/>
      <c r="BX1902" s="73"/>
      <c r="BY1902" s="73"/>
      <c r="BZ1902" s="73"/>
      <c r="CA1902" s="73"/>
      <c r="CB1902" s="73"/>
      <c r="CC1902" s="73"/>
      <c r="CD1902" s="73"/>
      <c r="CE1902" s="73"/>
      <c r="CF1902" s="73"/>
      <c r="CG1902" s="73"/>
      <c r="CH1902" s="73"/>
    </row>
    <row r="1903">
      <c r="A1903" s="80"/>
      <c r="B1903" s="80"/>
      <c r="C1903" s="80"/>
      <c r="D1903" s="80"/>
      <c r="E1903" s="124"/>
      <c r="F1903" s="80"/>
      <c r="G1903" s="80"/>
      <c r="H1903" s="80"/>
      <c r="I1903" s="80"/>
      <c r="J1903" s="196"/>
      <c r="K1903" s="196"/>
      <c r="L1903" s="196"/>
      <c r="M1903" s="196"/>
      <c r="N1903" s="196"/>
      <c r="O1903" s="196"/>
      <c r="P1903" s="196"/>
      <c r="Q1903" s="196"/>
      <c r="R1903" s="196"/>
      <c r="S1903" s="196"/>
      <c r="T1903" s="196"/>
      <c r="U1903" s="196"/>
      <c r="V1903" s="196"/>
      <c r="W1903" s="196"/>
      <c r="X1903" s="196"/>
      <c r="Y1903" s="196"/>
      <c r="Z1903" s="196"/>
      <c r="AA1903" s="196"/>
      <c r="AB1903" s="196"/>
      <c r="AC1903" s="196"/>
      <c r="AD1903" s="196"/>
      <c r="AE1903" s="196"/>
      <c r="AF1903" s="196"/>
      <c r="AG1903" s="196"/>
      <c r="AH1903" s="196"/>
      <c r="AI1903" s="196"/>
      <c r="AJ1903" s="197"/>
      <c r="AK1903" s="80"/>
      <c r="AL1903" s="80"/>
      <c r="AM1903" s="73"/>
      <c r="AN1903" s="73"/>
      <c r="AO1903" s="73"/>
      <c r="AP1903" s="73"/>
      <c r="AQ1903" s="73"/>
      <c r="AR1903" s="73"/>
      <c r="AS1903" s="73"/>
      <c r="AT1903" s="73"/>
      <c r="AU1903" s="73"/>
      <c r="AV1903" s="73"/>
      <c r="AW1903" s="73"/>
      <c r="AX1903" s="73"/>
      <c r="AY1903" s="73"/>
      <c r="AZ1903" s="73"/>
      <c r="BA1903" s="73"/>
      <c r="BB1903" s="73"/>
      <c r="BC1903" s="73"/>
      <c r="BD1903" s="73"/>
      <c r="BE1903" s="73"/>
      <c r="BF1903" s="73"/>
      <c r="BG1903" s="73"/>
      <c r="BH1903" s="73"/>
      <c r="BI1903" s="73"/>
      <c r="BJ1903" s="73"/>
      <c r="BK1903" s="73"/>
      <c r="BL1903" s="73"/>
      <c r="BM1903" s="73"/>
      <c r="BN1903" s="73"/>
      <c r="BO1903" s="73"/>
      <c r="BP1903" s="73"/>
      <c r="BQ1903" s="73"/>
      <c r="BR1903" s="73"/>
      <c r="BS1903" s="73"/>
      <c r="BT1903" s="73"/>
      <c r="BU1903" s="73"/>
      <c r="BV1903" s="73"/>
      <c r="BW1903" s="73"/>
      <c r="BX1903" s="73"/>
      <c r="BY1903" s="73"/>
      <c r="BZ1903" s="73"/>
      <c r="CA1903" s="73"/>
      <c r="CB1903" s="73"/>
      <c r="CC1903" s="73"/>
      <c r="CD1903" s="73"/>
      <c r="CE1903" s="73"/>
      <c r="CF1903" s="73"/>
      <c r="CG1903" s="73"/>
      <c r="CH1903" s="73"/>
    </row>
    <row r="1904">
      <c r="A1904" s="80"/>
      <c r="B1904" s="80"/>
      <c r="C1904" s="80"/>
      <c r="D1904" s="80"/>
      <c r="E1904" s="124"/>
      <c r="F1904" s="80"/>
      <c r="G1904" s="80"/>
      <c r="H1904" s="80"/>
      <c r="I1904" s="80"/>
      <c r="J1904" s="196"/>
      <c r="K1904" s="196"/>
      <c r="L1904" s="196"/>
      <c r="M1904" s="196"/>
      <c r="N1904" s="196"/>
      <c r="O1904" s="196"/>
      <c r="P1904" s="196"/>
      <c r="Q1904" s="196"/>
      <c r="R1904" s="196"/>
      <c r="S1904" s="196"/>
      <c r="T1904" s="196"/>
      <c r="U1904" s="196"/>
      <c r="V1904" s="196"/>
      <c r="W1904" s="196"/>
      <c r="X1904" s="196"/>
      <c r="Y1904" s="196"/>
      <c r="Z1904" s="196"/>
      <c r="AA1904" s="196"/>
      <c r="AB1904" s="196"/>
      <c r="AC1904" s="196"/>
      <c r="AD1904" s="196"/>
      <c r="AE1904" s="196"/>
      <c r="AF1904" s="196"/>
      <c r="AG1904" s="196"/>
      <c r="AH1904" s="196"/>
      <c r="AI1904" s="196"/>
      <c r="AJ1904" s="197"/>
      <c r="AK1904" s="80"/>
      <c r="AL1904" s="80"/>
      <c r="AM1904" s="73"/>
      <c r="AN1904" s="73"/>
      <c r="AO1904" s="73"/>
      <c r="AP1904" s="73"/>
      <c r="AQ1904" s="73"/>
      <c r="AR1904" s="73"/>
      <c r="AS1904" s="73"/>
      <c r="AT1904" s="73"/>
      <c r="AU1904" s="73"/>
      <c r="AV1904" s="73"/>
      <c r="AW1904" s="73"/>
      <c r="AX1904" s="73"/>
      <c r="AY1904" s="73"/>
      <c r="AZ1904" s="73"/>
      <c r="BA1904" s="73"/>
      <c r="BB1904" s="73"/>
      <c r="BC1904" s="73"/>
      <c r="BD1904" s="73"/>
      <c r="BE1904" s="73"/>
      <c r="BF1904" s="73"/>
      <c r="BG1904" s="73"/>
      <c r="BH1904" s="73"/>
      <c r="BI1904" s="73"/>
      <c r="BJ1904" s="73"/>
      <c r="BK1904" s="73"/>
      <c r="BL1904" s="73"/>
      <c r="BM1904" s="73"/>
      <c r="BN1904" s="73"/>
      <c r="BO1904" s="73"/>
      <c r="BP1904" s="73"/>
      <c r="BQ1904" s="73"/>
      <c r="BR1904" s="73"/>
      <c r="BS1904" s="73"/>
      <c r="BT1904" s="73"/>
      <c r="BU1904" s="73"/>
      <c r="BV1904" s="73"/>
      <c r="BW1904" s="73"/>
      <c r="BX1904" s="73"/>
      <c r="BY1904" s="73"/>
      <c r="BZ1904" s="73"/>
      <c r="CA1904" s="73"/>
      <c r="CB1904" s="73"/>
      <c r="CC1904" s="73"/>
      <c r="CD1904" s="73"/>
      <c r="CE1904" s="73"/>
      <c r="CF1904" s="73"/>
      <c r="CG1904" s="73"/>
      <c r="CH1904" s="73"/>
    </row>
    <row r="1905">
      <c r="A1905" s="80"/>
      <c r="B1905" s="80"/>
      <c r="C1905" s="80"/>
      <c r="D1905" s="80"/>
      <c r="E1905" s="124"/>
      <c r="F1905" s="80"/>
      <c r="G1905" s="80"/>
      <c r="H1905" s="80"/>
      <c r="I1905" s="80"/>
      <c r="J1905" s="196"/>
      <c r="K1905" s="196"/>
      <c r="L1905" s="196"/>
      <c r="M1905" s="196"/>
      <c r="N1905" s="196"/>
      <c r="O1905" s="196"/>
      <c r="P1905" s="196"/>
      <c r="Q1905" s="196"/>
      <c r="R1905" s="196"/>
      <c r="S1905" s="196"/>
      <c r="T1905" s="196"/>
      <c r="U1905" s="196"/>
      <c r="V1905" s="196"/>
      <c r="W1905" s="196"/>
      <c r="X1905" s="196"/>
      <c r="Y1905" s="196"/>
      <c r="Z1905" s="196"/>
      <c r="AA1905" s="196"/>
      <c r="AB1905" s="196"/>
      <c r="AC1905" s="196"/>
      <c r="AD1905" s="196"/>
      <c r="AE1905" s="196"/>
      <c r="AF1905" s="196"/>
      <c r="AG1905" s="196"/>
      <c r="AH1905" s="196"/>
      <c r="AI1905" s="196"/>
      <c r="AJ1905" s="197"/>
      <c r="AK1905" s="80"/>
      <c r="AL1905" s="80"/>
      <c r="AM1905" s="73"/>
      <c r="AN1905" s="73"/>
      <c r="AO1905" s="73"/>
      <c r="AP1905" s="73"/>
      <c r="AQ1905" s="73"/>
      <c r="AR1905" s="73"/>
      <c r="AS1905" s="73"/>
      <c r="AT1905" s="73"/>
      <c r="AU1905" s="73"/>
      <c r="AV1905" s="73"/>
      <c r="AW1905" s="73"/>
      <c r="AX1905" s="73"/>
      <c r="AY1905" s="73"/>
      <c r="AZ1905" s="73"/>
      <c r="BA1905" s="73"/>
      <c r="BB1905" s="73"/>
      <c r="BC1905" s="73"/>
      <c r="BD1905" s="73"/>
      <c r="BE1905" s="73"/>
      <c r="BF1905" s="73"/>
      <c r="BG1905" s="73"/>
      <c r="BH1905" s="73"/>
      <c r="BI1905" s="73"/>
      <c r="BJ1905" s="73"/>
      <c r="BK1905" s="73"/>
      <c r="BL1905" s="73"/>
      <c r="BM1905" s="73"/>
      <c r="BN1905" s="73"/>
      <c r="BO1905" s="73"/>
      <c r="BP1905" s="73"/>
      <c r="BQ1905" s="73"/>
      <c r="BR1905" s="73"/>
      <c r="BS1905" s="73"/>
      <c r="BT1905" s="73"/>
      <c r="BU1905" s="73"/>
      <c r="BV1905" s="73"/>
      <c r="BW1905" s="73"/>
      <c r="BX1905" s="73"/>
      <c r="BY1905" s="73"/>
      <c r="BZ1905" s="73"/>
      <c r="CA1905" s="73"/>
      <c r="CB1905" s="73"/>
      <c r="CC1905" s="73"/>
      <c r="CD1905" s="73"/>
      <c r="CE1905" s="73"/>
      <c r="CF1905" s="73"/>
      <c r="CG1905" s="73"/>
      <c r="CH1905" s="73"/>
    </row>
    <row r="1906">
      <c r="A1906" s="80"/>
      <c r="B1906" s="80"/>
      <c r="C1906" s="80"/>
      <c r="D1906" s="80"/>
      <c r="E1906" s="124"/>
      <c r="F1906" s="80"/>
      <c r="G1906" s="80"/>
      <c r="H1906" s="80"/>
      <c r="I1906" s="80"/>
      <c r="J1906" s="196"/>
      <c r="K1906" s="196"/>
      <c r="L1906" s="196"/>
      <c r="M1906" s="196"/>
      <c r="N1906" s="196"/>
      <c r="O1906" s="196"/>
      <c r="P1906" s="196"/>
      <c r="Q1906" s="196"/>
      <c r="R1906" s="196"/>
      <c r="S1906" s="196"/>
      <c r="T1906" s="196"/>
      <c r="U1906" s="196"/>
      <c r="V1906" s="196"/>
      <c r="W1906" s="196"/>
      <c r="X1906" s="196"/>
      <c r="Y1906" s="196"/>
      <c r="Z1906" s="196"/>
      <c r="AA1906" s="196"/>
      <c r="AB1906" s="196"/>
      <c r="AC1906" s="196"/>
      <c r="AD1906" s="196"/>
      <c r="AE1906" s="196"/>
      <c r="AF1906" s="196"/>
      <c r="AG1906" s="196"/>
      <c r="AH1906" s="196"/>
      <c r="AI1906" s="196"/>
      <c r="AJ1906" s="197"/>
      <c r="AK1906" s="80"/>
      <c r="AL1906" s="80"/>
      <c r="AM1906" s="73"/>
      <c r="AN1906" s="73"/>
      <c r="AO1906" s="73"/>
      <c r="AP1906" s="73"/>
      <c r="AQ1906" s="73"/>
      <c r="AR1906" s="73"/>
      <c r="AS1906" s="73"/>
      <c r="AT1906" s="73"/>
      <c r="AU1906" s="73"/>
      <c r="AV1906" s="73"/>
      <c r="AW1906" s="73"/>
      <c r="AX1906" s="73"/>
      <c r="AY1906" s="73"/>
      <c r="AZ1906" s="73"/>
      <c r="BA1906" s="73"/>
      <c r="BB1906" s="73"/>
      <c r="BC1906" s="73"/>
      <c r="BD1906" s="73"/>
      <c r="BE1906" s="73"/>
      <c r="BF1906" s="73"/>
      <c r="BG1906" s="73"/>
      <c r="BH1906" s="73"/>
      <c r="BI1906" s="73"/>
      <c r="BJ1906" s="73"/>
      <c r="BK1906" s="73"/>
      <c r="BL1906" s="73"/>
      <c r="BM1906" s="73"/>
      <c r="BN1906" s="73"/>
      <c r="BO1906" s="73"/>
      <c r="BP1906" s="73"/>
      <c r="BQ1906" s="73"/>
      <c r="BR1906" s="73"/>
      <c r="BS1906" s="73"/>
      <c r="BT1906" s="73"/>
      <c r="BU1906" s="73"/>
      <c r="BV1906" s="73"/>
      <c r="BW1906" s="73"/>
      <c r="BX1906" s="73"/>
      <c r="BY1906" s="73"/>
      <c r="BZ1906" s="73"/>
      <c r="CA1906" s="73"/>
      <c r="CB1906" s="73"/>
      <c r="CC1906" s="73"/>
      <c r="CD1906" s="73"/>
      <c r="CE1906" s="73"/>
      <c r="CF1906" s="73"/>
      <c r="CG1906" s="73"/>
      <c r="CH1906" s="73"/>
    </row>
    <row r="1907">
      <c r="A1907" s="80"/>
      <c r="B1907" s="80"/>
      <c r="C1907" s="80"/>
      <c r="D1907" s="80"/>
      <c r="E1907" s="124"/>
      <c r="F1907" s="80"/>
      <c r="G1907" s="80"/>
      <c r="H1907" s="80"/>
      <c r="I1907" s="80"/>
      <c r="J1907" s="196"/>
      <c r="K1907" s="196"/>
      <c r="L1907" s="196"/>
      <c r="M1907" s="196"/>
      <c r="N1907" s="196"/>
      <c r="O1907" s="196"/>
      <c r="P1907" s="196"/>
      <c r="Q1907" s="196"/>
      <c r="R1907" s="196"/>
      <c r="S1907" s="196"/>
      <c r="T1907" s="196"/>
      <c r="U1907" s="196"/>
      <c r="V1907" s="196"/>
      <c r="W1907" s="196"/>
      <c r="X1907" s="196"/>
      <c r="Y1907" s="196"/>
      <c r="Z1907" s="196"/>
      <c r="AA1907" s="196"/>
      <c r="AB1907" s="196"/>
      <c r="AC1907" s="196"/>
      <c r="AD1907" s="196"/>
      <c r="AE1907" s="196"/>
      <c r="AF1907" s="196"/>
      <c r="AG1907" s="196"/>
      <c r="AH1907" s="196"/>
      <c r="AI1907" s="196"/>
      <c r="AJ1907" s="197"/>
      <c r="AK1907" s="80"/>
      <c r="AL1907" s="80"/>
      <c r="AM1907" s="73"/>
      <c r="AN1907" s="73"/>
      <c r="AO1907" s="73"/>
      <c r="AP1907" s="73"/>
      <c r="AQ1907" s="73"/>
      <c r="AR1907" s="73"/>
      <c r="AS1907" s="73"/>
      <c r="AT1907" s="73"/>
      <c r="AU1907" s="73"/>
      <c r="AV1907" s="73"/>
      <c r="AW1907" s="73"/>
      <c r="AX1907" s="73"/>
      <c r="AY1907" s="73"/>
      <c r="AZ1907" s="73"/>
      <c r="BA1907" s="73"/>
      <c r="BB1907" s="73"/>
      <c r="BC1907" s="73"/>
      <c r="BD1907" s="73"/>
      <c r="BE1907" s="73"/>
      <c r="BF1907" s="73"/>
      <c r="BG1907" s="73"/>
      <c r="BH1907" s="73"/>
      <c r="BI1907" s="73"/>
      <c r="BJ1907" s="73"/>
      <c r="BK1907" s="73"/>
      <c r="BL1907" s="73"/>
      <c r="BM1907" s="73"/>
      <c r="BN1907" s="73"/>
      <c r="BO1907" s="73"/>
      <c r="BP1907" s="73"/>
      <c r="BQ1907" s="73"/>
      <c r="BR1907" s="73"/>
      <c r="BS1907" s="73"/>
      <c r="BT1907" s="73"/>
      <c r="BU1907" s="73"/>
      <c r="BV1907" s="73"/>
      <c r="BW1907" s="73"/>
      <c r="BX1907" s="73"/>
      <c r="BY1907" s="73"/>
      <c r="BZ1907" s="73"/>
      <c r="CA1907" s="73"/>
      <c r="CB1907" s="73"/>
      <c r="CC1907" s="73"/>
      <c r="CD1907" s="73"/>
      <c r="CE1907" s="73"/>
      <c r="CF1907" s="73"/>
      <c r="CG1907" s="73"/>
      <c r="CH1907" s="73"/>
    </row>
    <row r="1908">
      <c r="A1908" s="80"/>
      <c r="B1908" s="80"/>
      <c r="C1908" s="80"/>
      <c r="D1908" s="80"/>
      <c r="E1908" s="124"/>
      <c r="F1908" s="80"/>
      <c r="G1908" s="80"/>
      <c r="H1908" s="80"/>
      <c r="I1908" s="80"/>
      <c r="J1908" s="196"/>
      <c r="K1908" s="196"/>
      <c r="L1908" s="196"/>
      <c r="M1908" s="196"/>
      <c r="N1908" s="196"/>
      <c r="O1908" s="196"/>
      <c r="P1908" s="196"/>
      <c r="Q1908" s="196"/>
      <c r="R1908" s="196"/>
      <c r="S1908" s="196"/>
      <c r="T1908" s="196"/>
      <c r="U1908" s="196"/>
      <c r="V1908" s="196"/>
      <c r="W1908" s="196"/>
      <c r="X1908" s="196"/>
      <c r="Y1908" s="196"/>
      <c r="Z1908" s="196"/>
      <c r="AA1908" s="196"/>
      <c r="AB1908" s="196"/>
      <c r="AC1908" s="196"/>
      <c r="AD1908" s="196"/>
      <c r="AE1908" s="196"/>
      <c r="AF1908" s="196"/>
      <c r="AG1908" s="196"/>
      <c r="AH1908" s="196"/>
      <c r="AI1908" s="196"/>
      <c r="AJ1908" s="197"/>
      <c r="AK1908" s="80"/>
      <c r="AL1908" s="80"/>
      <c r="AM1908" s="73"/>
      <c r="AN1908" s="73"/>
      <c r="AO1908" s="73"/>
      <c r="AP1908" s="73"/>
      <c r="AQ1908" s="73"/>
      <c r="AR1908" s="73"/>
      <c r="AS1908" s="73"/>
      <c r="AT1908" s="73"/>
      <c r="AU1908" s="73"/>
      <c r="AV1908" s="73"/>
      <c r="AW1908" s="73"/>
      <c r="AX1908" s="73"/>
      <c r="AY1908" s="73"/>
      <c r="AZ1908" s="73"/>
      <c r="BA1908" s="73"/>
      <c r="BB1908" s="73"/>
      <c r="BC1908" s="73"/>
      <c r="BD1908" s="73"/>
      <c r="BE1908" s="73"/>
      <c r="BF1908" s="73"/>
      <c r="BG1908" s="73"/>
      <c r="BH1908" s="73"/>
      <c r="BI1908" s="73"/>
      <c r="BJ1908" s="73"/>
      <c r="BK1908" s="73"/>
      <c r="BL1908" s="73"/>
      <c r="BM1908" s="73"/>
      <c r="BN1908" s="73"/>
      <c r="BO1908" s="73"/>
      <c r="BP1908" s="73"/>
      <c r="BQ1908" s="73"/>
      <c r="BR1908" s="73"/>
      <c r="BS1908" s="73"/>
      <c r="BT1908" s="73"/>
      <c r="BU1908" s="73"/>
      <c r="BV1908" s="73"/>
      <c r="BW1908" s="73"/>
      <c r="BX1908" s="73"/>
      <c r="BY1908" s="73"/>
      <c r="BZ1908" s="73"/>
      <c r="CA1908" s="73"/>
      <c r="CB1908" s="73"/>
      <c r="CC1908" s="73"/>
      <c r="CD1908" s="73"/>
      <c r="CE1908" s="73"/>
      <c r="CF1908" s="73"/>
      <c r="CG1908" s="73"/>
      <c r="CH1908" s="73"/>
    </row>
    <row r="1909">
      <c r="A1909" s="80"/>
      <c r="B1909" s="80"/>
      <c r="C1909" s="80"/>
      <c r="D1909" s="80"/>
      <c r="E1909" s="124"/>
      <c r="F1909" s="80"/>
      <c r="G1909" s="80"/>
      <c r="H1909" s="80"/>
      <c r="I1909" s="80"/>
      <c r="J1909" s="196"/>
      <c r="K1909" s="196"/>
      <c r="L1909" s="196"/>
      <c r="M1909" s="196"/>
      <c r="N1909" s="196"/>
      <c r="O1909" s="196"/>
      <c r="P1909" s="196"/>
      <c r="Q1909" s="196"/>
      <c r="R1909" s="196"/>
      <c r="S1909" s="196"/>
      <c r="T1909" s="196"/>
      <c r="U1909" s="196"/>
      <c r="V1909" s="196"/>
      <c r="W1909" s="196"/>
      <c r="X1909" s="196"/>
      <c r="Y1909" s="196"/>
      <c r="Z1909" s="196"/>
      <c r="AA1909" s="196"/>
      <c r="AB1909" s="196"/>
      <c r="AC1909" s="196"/>
      <c r="AD1909" s="196"/>
      <c r="AE1909" s="196"/>
      <c r="AF1909" s="196"/>
      <c r="AG1909" s="196"/>
      <c r="AH1909" s="196"/>
      <c r="AI1909" s="196"/>
      <c r="AJ1909" s="197"/>
      <c r="AK1909" s="80"/>
      <c r="AL1909" s="80"/>
      <c r="AM1909" s="73"/>
      <c r="AN1909" s="73"/>
      <c r="AO1909" s="73"/>
      <c r="AP1909" s="73"/>
      <c r="AQ1909" s="73"/>
      <c r="AR1909" s="73"/>
      <c r="AS1909" s="73"/>
      <c r="AT1909" s="73"/>
      <c r="AU1909" s="73"/>
      <c r="AV1909" s="73"/>
      <c r="AW1909" s="73"/>
      <c r="AX1909" s="73"/>
      <c r="AY1909" s="73"/>
      <c r="AZ1909" s="73"/>
      <c r="BA1909" s="73"/>
      <c r="BB1909" s="73"/>
      <c r="BC1909" s="73"/>
      <c r="BD1909" s="73"/>
      <c r="BE1909" s="73"/>
      <c r="BF1909" s="73"/>
      <c r="BG1909" s="73"/>
      <c r="BH1909" s="73"/>
      <c r="BI1909" s="73"/>
      <c r="BJ1909" s="73"/>
      <c r="BK1909" s="73"/>
      <c r="BL1909" s="73"/>
      <c r="BM1909" s="73"/>
      <c r="BN1909" s="73"/>
      <c r="BO1909" s="73"/>
      <c r="BP1909" s="73"/>
      <c r="BQ1909" s="73"/>
      <c r="BR1909" s="73"/>
      <c r="BS1909" s="73"/>
      <c r="BT1909" s="73"/>
      <c r="BU1909" s="73"/>
      <c r="BV1909" s="73"/>
      <c r="BW1909" s="73"/>
      <c r="BX1909" s="73"/>
      <c r="BY1909" s="73"/>
      <c r="BZ1909" s="73"/>
      <c r="CA1909" s="73"/>
      <c r="CB1909" s="73"/>
      <c r="CC1909" s="73"/>
      <c r="CD1909" s="73"/>
      <c r="CE1909" s="73"/>
      <c r="CF1909" s="73"/>
      <c r="CG1909" s="73"/>
      <c r="CH1909" s="73"/>
    </row>
    <row r="1910">
      <c r="A1910" s="80"/>
      <c r="B1910" s="80"/>
      <c r="C1910" s="80"/>
      <c r="D1910" s="80"/>
      <c r="E1910" s="124"/>
      <c r="F1910" s="80"/>
      <c r="G1910" s="80"/>
      <c r="H1910" s="80"/>
      <c r="I1910" s="80"/>
      <c r="J1910" s="196"/>
      <c r="K1910" s="196"/>
      <c r="L1910" s="196"/>
      <c r="M1910" s="196"/>
      <c r="N1910" s="196"/>
      <c r="O1910" s="196"/>
      <c r="P1910" s="196"/>
      <c r="Q1910" s="196"/>
      <c r="R1910" s="196"/>
      <c r="S1910" s="196"/>
      <c r="T1910" s="196"/>
      <c r="U1910" s="196"/>
      <c r="V1910" s="196"/>
      <c r="W1910" s="196"/>
      <c r="X1910" s="196"/>
      <c r="Y1910" s="196"/>
      <c r="Z1910" s="196"/>
      <c r="AA1910" s="196"/>
      <c r="AB1910" s="196"/>
      <c r="AC1910" s="196"/>
      <c r="AD1910" s="196"/>
      <c r="AE1910" s="196"/>
      <c r="AF1910" s="196"/>
      <c r="AG1910" s="196"/>
      <c r="AH1910" s="196"/>
      <c r="AI1910" s="196"/>
      <c r="AJ1910" s="197"/>
      <c r="AK1910" s="80"/>
      <c r="AL1910" s="80"/>
      <c r="AM1910" s="73"/>
      <c r="AN1910" s="73"/>
      <c r="AO1910" s="73"/>
      <c r="AP1910" s="73"/>
      <c r="AQ1910" s="73"/>
      <c r="AR1910" s="73"/>
      <c r="AS1910" s="73"/>
      <c r="AT1910" s="73"/>
      <c r="AU1910" s="73"/>
      <c r="AV1910" s="73"/>
      <c r="AW1910" s="73"/>
      <c r="AX1910" s="73"/>
      <c r="AY1910" s="73"/>
      <c r="AZ1910" s="73"/>
      <c r="BA1910" s="73"/>
      <c r="BB1910" s="73"/>
      <c r="BC1910" s="73"/>
      <c r="BD1910" s="73"/>
      <c r="BE1910" s="73"/>
      <c r="BF1910" s="73"/>
      <c r="BG1910" s="73"/>
      <c r="BH1910" s="73"/>
      <c r="BI1910" s="73"/>
      <c r="BJ1910" s="73"/>
      <c r="BK1910" s="73"/>
      <c r="BL1910" s="73"/>
      <c r="BM1910" s="73"/>
      <c r="BN1910" s="73"/>
      <c r="BO1910" s="73"/>
      <c r="BP1910" s="73"/>
      <c r="BQ1910" s="73"/>
      <c r="BR1910" s="73"/>
      <c r="BS1910" s="73"/>
      <c r="BT1910" s="73"/>
      <c r="BU1910" s="73"/>
      <c r="BV1910" s="73"/>
      <c r="BW1910" s="73"/>
      <c r="BX1910" s="73"/>
      <c r="BY1910" s="73"/>
      <c r="BZ1910" s="73"/>
      <c r="CA1910" s="73"/>
      <c r="CB1910" s="73"/>
      <c r="CC1910" s="73"/>
      <c r="CD1910" s="73"/>
      <c r="CE1910" s="73"/>
      <c r="CF1910" s="73"/>
      <c r="CG1910" s="73"/>
      <c r="CH1910" s="73"/>
    </row>
    <row r="1911">
      <c r="A1911" s="80"/>
      <c r="B1911" s="80"/>
      <c r="C1911" s="80"/>
      <c r="D1911" s="80"/>
      <c r="E1911" s="124"/>
      <c r="F1911" s="80"/>
      <c r="G1911" s="80"/>
      <c r="H1911" s="80"/>
      <c r="I1911" s="80"/>
      <c r="J1911" s="196"/>
      <c r="K1911" s="196"/>
      <c r="L1911" s="196"/>
      <c r="M1911" s="196"/>
      <c r="N1911" s="196"/>
      <c r="O1911" s="196"/>
      <c r="P1911" s="196"/>
      <c r="Q1911" s="196"/>
      <c r="R1911" s="196"/>
      <c r="S1911" s="196"/>
      <c r="T1911" s="196"/>
      <c r="U1911" s="196"/>
      <c r="V1911" s="196"/>
      <c r="W1911" s="196"/>
      <c r="X1911" s="196"/>
      <c r="Y1911" s="196"/>
      <c r="Z1911" s="196"/>
      <c r="AA1911" s="196"/>
      <c r="AB1911" s="196"/>
      <c r="AC1911" s="196"/>
      <c r="AD1911" s="196"/>
      <c r="AE1911" s="196"/>
      <c r="AF1911" s="196"/>
      <c r="AG1911" s="196"/>
      <c r="AH1911" s="196"/>
      <c r="AI1911" s="196"/>
      <c r="AJ1911" s="197"/>
      <c r="AK1911" s="80"/>
      <c r="AL1911" s="80"/>
      <c r="AM1911" s="73"/>
      <c r="AN1911" s="73"/>
      <c r="AO1911" s="73"/>
      <c r="AP1911" s="73"/>
      <c r="AQ1911" s="73"/>
      <c r="AR1911" s="73"/>
      <c r="AS1911" s="73"/>
      <c r="AT1911" s="73"/>
      <c r="AU1911" s="73"/>
      <c r="AV1911" s="73"/>
      <c r="AW1911" s="73"/>
      <c r="AX1911" s="73"/>
      <c r="AY1911" s="73"/>
      <c r="AZ1911" s="73"/>
      <c r="BA1911" s="73"/>
      <c r="BB1911" s="73"/>
      <c r="BC1911" s="73"/>
      <c r="BD1911" s="73"/>
      <c r="BE1911" s="73"/>
      <c r="BF1911" s="73"/>
      <c r="BG1911" s="73"/>
      <c r="BH1911" s="73"/>
      <c r="BI1911" s="73"/>
      <c r="BJ1911" s="73"/>
      <c r="BK1911" s="73"/>
      <c r="BL1911" s="73"/>
      <c r="BM1911" s="73"/>
      <c r="BN1911" s="73"/>
      <c r="BO1911" s="73"/>
      <c r="BP1911" s="73"/>
      <c r="BQ1911" s="73"/>
      <c r="BR1911" s="73"/>
      <c r="BS1911" s="73"/>
      <c r="BT1911" s="73"/>
      <c r="BU1911" s="73"/>
      <c r="BV1911" s="73"/>
      <c r="BW1911" s="73"/>
      <c r="BX1911" s="73"/>
      <c r="BY1911" s="73"/>
      <c r="BZ1911" s="73"/>
      <c r="CA1911" s="73"/>
      <c r="CB1911" s="73"/>
      <c r="CC1911" s="73"/>
      <c r="CD1911" s="73"/>
      <c r="CE1911" s="73"/>
      <c r="CF1911" s="73"/>
      <c r="CG1911" s="73"/>
      <c r="CH1911" s="73"/>
    </row>
    <row r="1912">
      <c r="A1912" s="80"/>
      <c r="B1912" s="80"/>
      <c r="C1912" s="80"/>
      <c r="D1912" s="80"/>
      <c r="E1912" s="124"/>
      <c r="F1912" s="80"/>
      <c r="G1912" s="80"/>
      <c r="H1912" s="80"/>
      <c r="I1912" s="80"/>
      <c r="J1912" s="196"/>
      <c r="K1912" s="196"/>
      <c r="L1912" s="196"/>
      <c r="M1912" s="196"/>
      <c r="N1912" s="196"/>
      <c r="O1912" s="196"/>
      <c r="P1912" s="196"/>
      <c r="Q1912" s="196"/>
      <c r="R1912" s="196"/>
      <c r="S1912" s="196"/>
      <c r="T1912" s="196"/>
      <c r="U1912" s="196"/>
      <c r="V1912" s="196"/>
      <c r="W1912" s="196"/>
      <c r="X1912" s="196"/>
      <c r="Y1912" s="196"/>
      <c r="Z1912" s="196"/>
      <c r="AA1912" s="196"/>
      <c r="AB1912" s="196"/>
      <c r="AC1912" s="196"/>
      <c r="AD1912" s="196"/>
      <c r="AE1912" s="196"/>
      <c r="AF1912" s="196"/>
      <c r="AG1912" s="196"/>
      <c r="AH1912" s="196"/>
      <c r="AI1912" s="196"/>
      <c r="AJ1912" s="197"/>
      <c r="AK1912" s="80"/>
      <c r="AL1912" s="80"/>
      <c r="AM1912" s="73"/>
      <c r="AN1912" s="73"/>
      <c r="AO1912" s="73"/>
      <c r="AP1912" s="73"/>
      <c r="AQ1912" s="73"/>
      <c r="AR1912" s="73"/>
      <c r="AS1912" s="73"/>
      <c r="AT1912" s="73"/>
      <c r="AU1912" s="73"/>
      <c r="AV1912" s="73"/>
      <c r="AW1912" s="73"/>
      <c r="AX1912" s="73"/>
      <c r="AY1912" s="73"/>
      <c r="AZ1912" s="73"/>
      <c r="BA1912" s="73"/>
      <c r="BB1912" s="73"/>
      <c r="BC1912" s="73"/>
      <c r="BD1912" s="73"/>
      <c r="BE1912" s="73"/>
      <c r="BF1912" s="73"/>
      <c r="BG1912" s="73"/>
      <c r="BH1912" s="73"/>
      <c r="BI1912" s="73"/>
      <c r="BJ1912" s="73"/>
      <c r="BK1912" s="73"/>
      <c r="BL1912" s="73"/>
      <c r="BM1912" s="73"/>
      <c r="BN1912" s="73"/>
      <c r="BO1912" s="73"/>
      <c r="BP1912" s="73"/>
      <c r="BQ1912" s="73"/>
      <c r="BR1912" s="73"/>
      <c r="BS1912" s="73"/>
      <c r="BT1912" s="73"/>
      <c r="BU1912" s="73"/>
      <c r="BV1912" s="73"/>
      <c r="BW1912" s="73"/>
      <c r="BX1912" s="73"/>
      <c r="BY1912" s="73"/>
      <c r="BZ1912" s="73"/>
      <c r="CA1912" s="73"/>
      <c r="CB1912" s="73"/>
      <c r="CC1912" s="73"/>
      <c r="CD1912" s="73"/>
      <c r="CE1912" s="73"/>
      <c r="CF1912" s="73"/>
      <c r="CG1912" s="73"/>
      <c r="CH1912" s="73"/>
    </row>
    <row r="1913">
      <c r="A1913" s="80"/>
      <c r="B1913" s="80"/>
      <c r="C1913" s="80"/>
      <c r="D1913" s="80"/>
      <c r="E1913" s="124"/>
      <c r="F1913" s="80"/>
      <c r="G1913" s="80"/>
      <c r="H1913" s="80"/>
      <c r="I1913" s="80"/>
      <c r="J1913" s="196"/>
      <c r="K1913" s="196"/>
      <c r="L1913" s="196"/>
      <c r="M1913" s="196"/>
      <c r="N1913" s="196"/>
      <c r="O1913" s="196"/>
      <c r="P1913" s="196"/>
      <c r="Q1913" s="196"/>
      <c r="R1913" s="196"/>
      <c r="S1913" s="196"/>
      <c r="T1913" s="196"/>
      <c r="U1913" s="196"/>
      <c r="V1913" s="196"/>
      <c r="W1913" s="196"/>
      <c r="X1913" s="196"/>
      <c r="Y1913" s="196"/>
      <c r="Z1913" s="196"/>
      <c r="AA1913" s="196"/>
      <c r="AB1913" s="196"/>
      <c r="AC1913" s="196"/>
      <c r="AD1913" s="196"/>
      <c r="AE1913" s="196"/>
      <c r="AF1913" s="196"/>
      <c r="AG1913" s="196"/>
      <c r="AH1913" s="196"/>
      <c r="AI1913" s="196"/>
      <c r="AJ1913" s="197"/>
      <c r="AK1913" s="80"/>
      <c r="AL1913" s="80"/>
      <c r="AM1913" s="73"/>
      <c r="AN1913" s="73"/>
      <c r="AO1913" s="73"/>
      <c r="AP1913" s="73"/>
      <c r="AQ1913" s="73"/>
      <c r="AR1913" s="73"/>
      <c r="AS1913" s="73"/>
      <c r="AT1913" s="73"/>
      <c r="AU1913" s="73"/>
      <c r="AV1913" s="73"/>
      <c r="AW1913" s="73"/>
      <c r="AX1913" s="73"/>
      <c r="AY1913" s="73"/>
      <c r="AZ1913" s="73"/>
      <c r="BA1913" s="73"/>
      <c r="BB1913" s="73"/>
      <c r="BC1913" s="73"/>
      <c r="BD1913" s="73"/>
      <c r="BE1913" s="73"/>
      <c r="BF1913" s="73"/>
      <c r="BG1913" s="73"/>
      <c r="BH1913" s="73"/>
      <c r="BI1913" s="73"/>
      <c r="BJ1913" s="73"/>
      <c r="BK1913" s="73"/>
      <c r="BL1913" s="73"/>
      <c r="BM1913" s="73"/>
      <c r="BN1913" s="73"/>
      <c r="BO1913" s="73"/>
      <c r="BP1913" s="73"/>
      <c r="BQ1913" s="73"/>
      <c r="BR1913" s="73"/>
      <c r="BS1913" s="73"/>
      <c r="BT1913" s="73"/>
      <c r="BU1913" s="73"/>
      <c r="BV1913" s="73"/>
      <c r="BW1913" s="73"/>
      <c r="BX1913" s="73"/>
      <c r="BY1913" s="73"/>
      <c r="BZ1913" s="73"/>
      <c r="CA1913" s="73"/>
      <c r="CB1913" s="73"/>
      <c r="CC1913" s="73"/>
      <c r="CD1913" s="73"/>
      <c r="CE1913" s="73"/>
      <c r="CF1913" s="73"/>
      <c r="CG1913" s="73"/>
      <c r="CH1913" s="73"/>
    </row>
    <row r="1914">
      <c r="A1914" s="80"/>
      <c r="B1914" s="80"/>
      <c r="C1914" s="80"/>
      <c r="D1914" s="80"/>
      <c r="E1914" s="124"/>
      <c r="F1914" s="80"/>
      <c r="G1914" s="80"/>
      <c r="H1914" s="80"/>
      <c r="I1914" s="80"/>
      <c r="J1914" s="196"/>
      <c r="K1914" s="196"/>
      <c r="L1914" s="196"/>
      <c r="M1914" s="196"/>
      <c r="N1914" s="196"/>
      <c r="O1914" s="196"/>
      <c r="P1914" s="196"/>
      <c r="Q1914" s="196"/>
      <c r="R1914" s="196"/>
      <c r="S1914" s="196"/>
      <c r="T1914" s="196"/>
      <c r="U1914" s="196"/>
      <c r="V1914" s="196"/>
      <c r="W1914" s="196"/>
      <c r="X1914" s="196"/>
      <c r="Y1914" s="196"/>
      <c r="Z1914" s="196"/>
      <c r="AA1914" s="196"/>
      <c r="AB1914" s="196"/>
      <c r="AC1914" s="196"/>
      <c r="AD1914" s="196"/>
      <c r="AE1914" s="196"/>
      <c r="AF1914" s="196"/>
      <c r="AG1914" s="196"/>
      <c r="AH1914" s="196"/>
      <c r="AI1914" s="196"/>
      <c r="AJ1914" s="197"/>
      <c r="AK1914" s="80"/>
      <c r="AL1914" s="80"/>
      <c r="AM1914" s="73"/>
      <c r="AN1914" s="73"/>
      <c r="AO1914" s="73"/>
      <c r="AP1914" s="73"/>
      <c r="AQ1914" s="73"/>
      <c r="AR1914" s="73"/>
      <c r="AS1914" s="73"/>
      <c r="AT1914" s="73"/>
      <c r="AU1914" s="73"/>
      <c r="AV1914" s="73"/>
      <c r="AW1914" s="73"/>
      <c r="AX1914" s="73"/>
      <c r="AY1914" s="73"/>
      <c r="AZ1914" s="73"/>
      <c r="BA1914" s="73"/>
      <c r="BB1914" s="73"/>
      <c r="BC1914" s="73"/>
      <c r="BD1914" s="73"/>
      <c r="BE1914" s="73"/>
      <c r="BF1914" s="73"/>
      <c r="BG1914" s="73"/>
      <c r="BH1914" s="73"/>
      <c r="BI1914" s="73"/>
      <c r="BJ1914" s="73"/>
      <c r="BK1914" s="73"/>
      <c r="BL1914" s="73"/>
      <c r="BM1914" s="73"/>
      <c r="BN1914" s="73"/>
      <c r="BO1914" s="73"/>
      <c r="BP1914" s="73"/>
      <c r="BQ1914" s="73"/>
      <c r="BR1914" s="73"/>
      <c r="BS1914" s="73"/>
      <c r="BT1914" s="73"/>
      <c r="BU1914" s="73"/>
      <c r="BV1914" s="73"/>
      <c r="BW1914" s="73"/>
      <c r="BX1914" s="73"/>
      <c r="BY1914" s="73"/>
      <c r="BZ1914" s="73"/>
      <c r="CA1914" s="73"/>
      <c r="CB1914" s="73"/>
      <c r="CC1914" s="73"/>
      <c r="CD1914" s="73"/>
      <c r="CE1914" s="73"/>
      <c r="CF1914" s="73"/>
      <c r="CG1914" s="73"/>
      <c r="CH1914" s="73"/>
    </row>
    <row r="1915">
      <c r="A1915" s="80"/>
      <c r="B1915" s="80"/>
      <c r="C1915" s="80"/>
      <c r="D1915" s="80"/>
      <c r="E1915" s="124"/>
      <c r="F1915" s="80"/>
      <c r="G1915" s="80"/>
      <c r="H1915" s="80"/>
      <c r="I1915" s="80"/>
      <c r="J1915" s="196"/>
      <c r="K1915" s="196"/>
      <c r="L1915" s="196"/>
      <c r="M1915" s="196"/>
      <c r="N1915" s="196"/>
      <c r="O1915" s="196"/>
      <c r="P1915" s="196"/>
      <c r="Q1915" s="196"/>
      <c r="R1915" s="196"/>
      <c r="S1915" s="196"/>
      <c r="T1915" s="196"/>
      <c r="U1915" s="196"/>
      <c r="V1915" s="196"/>
      <c r="W1915" s="196"/>
      <c r="X1915" s="196"/>
      <c r="Y1915" s="196"/>
      <c r="Z1915" s="196"/>
      <c r="AA1915" s="196"/>
      <c r="AB1915" s="196"/>
      <c r="AC1915" s="196"/>
      <c r="AD1915" s="196"/>
      <c r="AE1915" s="196"/>
      <c r="AF1915" s="196"/>
      <c r="AG1915" s="196"/>
      <c r="AH1915" s="196"/>
      <c r="AI1915" s="196"/>
      <c r="AJ1915" s="197"/>
      <c r="AK1915" s="80"/>
      <c r="AL1915" s="80"/>
      <c r="AM1915" s="73"/>
      <c r="AN1915" s="73"/>
      <c r="AO1915" s="73"/>
      <c r="AP1915" s="73"/>
      <c r="AQ1915" s="73"/>
      <c r="AR1915" s="73"/>
      <c r="AS1915" s="73"/>
      <c r="AT1915" s="73"/>
      <c r="AU1915" s="73"/>
      <c r="AV1915" s="73"/>
      <c r="AW1915" s="73"/>
      <c r="AX1915" s="73"/>
      <c r="AY1915" s="73"/>
      <c r="AZ1915" s="73"/>
      <c r="BA1915" s="73"/>
      <c r="BB1915" s="73"/>
      <c r="BC1915" s="73"/>
      <c r="BD1915" s="73"/>
      <c r="BE1915" s="73"/>
      <c r="BF1915" s="73"/>
      <c r="BG1915" s="73"/>
      <c r="BH1915" s="73"/>
      <c r="BI1915" s="73"/>
      <c r="BJ1915" s="73"/>
      <c r="BK1915" s="73"/>
      <c r="BL1915" s="73"/>
      <c r="BM1915" s="73"/>
      <c r="BN1915" s="73"/>
      <c r="BO1915" s="73"/>
      <c r="BP1915" s="73"/>
      <c r="BQ1915" s="73"/>
      <c r="BR1915" s="73"/>
      <c r="BS1915" s="73"/>
      <c r="BT1915" s="73"/>
      <c r="BU1915" s="73"/>
      <c r="BV1915" s="73"/>
      <c r="BW1915" s="73"/>
      <c r="BX1915" s="73"/>
      <c r="BY1915" s="73"/>
      <c r="BZ1915" s="73"/>
      <c r="CA1915" s="73"/>
      <c r="CB1915" s="73"/>
      <c r="CC1915" s="73"/>
      <c r="CD1915" s="73"/>
      <c r="CE1915" s="73"/>
      <c r="CF1915" s="73"/>
      <c r="CG1915" s="73"/>
      <c r="CH1915" s="73"/>
    </row>
    <row r="1916">
      <c r="A1916" s="80"/>
      <c r="B1916" s="80"/>
      <c r="C1916" s="80"/>
      <c r="D1916" s="80"/>
      <c r="E1916" s="124"/>
      <c r="F1916" s="80"/>
      <c r="G1916" s="80"/>
      <c r="H1916" s="80"/>
      <c r="I1916" s="80"/>
      <c r="J1916" s="196"/>
      <c r="K1916" s="196"/>
      <c r="L1916" s="196"/>
      <c r="M1916" s="196"/>
      <c r="N1916" s="196"/>
      <c r="O1916" s="196"/>
      <c r="P1916" s="196"/>
      <c r="Q1916" s="196"/>
      <c r="R1916" s="196"/>
      <c r="S1916" s="196"/>
      <c r="T1916" s="196"/>
      <c r="U1916" s="196"/>
      <c r="V1916" s="196"/>
      <c r="W1916" s="196"/>
      <c r="X1916" s="196"/>
      <c r="Y1916" s="196"/>
      <c r="Z1916" s="196"/>
      <c r="AA1916" s="196"/>
      <c r="AB1916" s="196"/>
      <c r="AC1916" s="196"/>
      <c r="AD1916" s="196"/>
      <c r="AE1916" s="196"/>
      <c r="AF1916" s="196"/>
      <c r="AG1916" s="196"/>
      <c r="AH1916" s="196"/>
      <c r="AI1916" s="196"/>
      <c r="AJ1916" s="197"/>
      <c r="AK1916" s="80"/>
      <c r="AL1916" s="80"/>
      <c r="AM1916" s="73"/>
      <c r="AN1916" s="73"/>
      <c r="AO1916" s="73"/>
      <c r="AP1916" s="73"/>
      <c r="AQ1916" s="73"/>
      <c r="AR1916" s="73"/>
      <c r="AS1916" s="73"/>
      <c r="AT1916" s="73"/>
      <c r="AU1916" s="73"/>
      <c r="AV1916" s="73"/>
      <c r="AW1916" s="73"/>
      <c r="AX1916" s="73"/>
      <c r="AY1916" s="73"/>
      <c r="AZ1916" s="73"/>
      <c r="BA1916" s="73"/>
      <c r="BB1916" s="73"/>
      <c r="BC1916" s="73"/>
      <c r="BD1916" s="73"/>
      <c r="BE1916" s="73"/>
      <c r="BF1916" s="73"/>
      <c r="BG1916" s="73"/>
      <c r="BH1916" s="73"/>
      <c r="BI1916" s="73"/>
      <c r="BJ1916" s="73"/>
      <c r="BK1916" s="73"/>
      <c r="BL1916" s="73"/>
      <c r="BM1916" s="73"/>
      <c r="BN1916" s="73"/>
      <c r="BO1916" s="73"/>
      <c r="BP1916" s="73"/>
      <c r="BQ1916" s="73"/>
      <c r="BR1916" s="73"/>
      <c r="BS1916" s="73"/>
      <c r="BT1916" s="73"/>
      <c r="BU1916" s="73"/>
      <c r="BV1916" s="73"/>
      <c r="BW1916" s="73"/>
      <c r="BX1916" s="73"/>
      <c r="BY1916" s="73"/>
      <c r="BZ1916" s="73"/>
      <c r="CA1916" s="73"/>
      <c r="CB1916" s="73"/>
      <c r="CC1916" s="73"/>
      <c r="CD1916" s="73"/>
      <c r="CE1916" s="73"/>
      <c r="CF1916" s="73"/>
      <c r="CG1916" s="73"/>
      <c r="CH1916" s="73"/>
    </row>
    <row r="1917">
      <c r="A1917" s="80"/>
      <c r="B1917" s="80"/>
      <c r="C1917" s="80"/>
      <c r="D1917" s="80"/>
      <c r="E1917" s="124"/>
      <c r="F1917" s="80"/>
      <c r="G1917" s="80"/>
      <c r="H1917" s="80"/>
      <c r="I1917" s="80"/>
      <c r="J1917" s="196"/>
      <c r="K1917" s="196"/>
      <c r="L1917" s="196"/>
      <c r="M1917" s="196"/>
      <c r="N1917" s="196"/>
      <c r="O1917" s="196"/>
      <c r="P1917" s="196"/>
      <c r="Q1917" s="196"/>
      <c r="R1917" s="196"/>
      <c r="S1917" s="196"/>
      <c r="T1917" s="196"/>
      <c r="U1917" s="196"/>
      <c r="V1917" s="196"/>
      <c r="W1917" s="196"/>
      <c r="X1917" s="196"/>
      <c r="Y1917" s="196"/>
      <c r="Z1917" s="196"/>
      <c r="AA1917" s="196"/>
      <c r="AB1917" s="196"/>
      <c r="AC1917" s="196"/>
      <c r="AD1917" s="196"/>
      <c r="AE1917" s="196"/>
      <c r="AF1917" s="196"/>
      <c r="AG1917" s="196"/>
      <c r="AH1917" s="196"/>
      <c r="AI1917" s="196"/>
      <c r="AJ1917" s="197"/>
      <c r="AK1917" s="80"/>
      <c r="AL1917" s="80"/>
      <c r="AM1917" s="73"/>
      <c r="AN1917" s="73"/>
      <c r="AO1917" s="73"/>
      <c r="AP1917" s="73"/>
      <c r="AQ1917" s="73"/>
      <c r="AR1917" s="73"/>
      <c r="AS1917" s="73"/>
      <c r="AT1917" s="73"/>
      <c r="AU1917" s="73"/>
      <c r="AV1917" s="73"/>
      <c r="AW1917" s="73"/>
      <c r="AX1917" s="73"/>
      <c r="AY1917" s="73"/>
      <c r="AZ1917" s="73"/>
      <c r="BA1917" s="73"/>
      <c r="BB1917" s="73"/>
      <c r="BC1917" s="73"/>
      <c r="BD1917" s="73"/>
      <c r="BE1917" s="73"/>
      <c r="BF1917" s="73"/>
      <c r="BG1917" s="73"/>
      <c r="BH1917" s="73"/>
      <c r="BI1917" s="73"/>
      <c r="BJ1917" s="73"/>
      <c r="BK1917" s="73"/>
      <c r="BL1917" s="73"/>
      <c r="BM1917" s="73"/>
      <c r="BN1917" s="73"/>
      <c r="BO1917" s="73"/>
      <c r="BP1917" s="73"/>
      <c r="BQ1917" s="73"/>
      <c r="BR1917" s="73"/>
      <c r="BS1917" s="73"/>
      <c r="BT1917" s="73"/>
      <c r="BU1917" s="73"/>
      <c r="BV1917" s="73"/>
      <c r="BW1917" s="73"/>
      <c r="BX1917" s="73"/>
      <c r="BY1917" s="73"/>
      <c r="BZ1917" s="73"/>
      <c r="CA1917" s="73"/>
      <c r="CB1917" s="73"/>
      <c r="CC1917" s="73"/>
      <c r="CD1917" s="73"/>
      <c r="CE1917" s="73"/>
      <c r="CF1917" s="73"/>
      <c r="CG1917" s="73"/>
      <c r="CH1917" s="73"/>
    </row>
    <row r="1918">
      <c r="A1918" s="80"/>
      <c r="B1918" s="80"/>
      <c r="C1918" s="80"/>
      <c r="D1918" s="80"/>
      <c r="E1918" s="124"/>
      <c r="F1918" s="80"/>
      <c r="G1918" s="80"/>
      <c r="H1918" s="80"/>
      <c r="I1918" s="80"/>
      <c r="J1918" s="196"/>
      <c r="K1918" s="196"/>
      <c r="L1918" s="196"/>
      <c r="M1918" s="196"/>
      <c r="N1918" s="196"/>
      <c r="O1918" s="196"/>
      <c r="P1918" s="196"/>
      <c r="Q1918" s="196"/>
      <c r="R1918" s="196"/>
      <c r="S1918" s="196"/>
      <c r="T1918" s="196"/>
      <c r="U1918" s="196"/>
      <c r="V1918" s="196"/>
      <c r="W1918" s="196"/>
      <c r="X1918" s="196"/>
      <c r="Y1918" s="196"/>
      <c r="Z1918" s="196"/>
      <c r="AA1918" s="196"/>
      <c r="AB1918" s="196"/>
      <c r="AC1918" s="196"/>
      <c r="AD1918" s="196"/>
      <c r="AE1918" s="196"/>
      <c r="AF1918" s="196"/>
      <c r="AG1918" s="196"/>
      <c r="AH1918" s="196"/>
      <c r="AI1918" s="196"/>
      <c r="AJ1918" s="197"/>
      <c r="AK1918" s="80"/>
      <c r="AL1918" s="80"/>
      <c r="AM1918" s="73"/>
      <c r="AN1918" s="73"/>
      <c r="AO1918" s="73"/>
      <c r="AP1918" s="73"/>
      <c r="AQ1918" s="73"/>
      <c r="AR1918" s="73"/>
      <c r="AS1918" s="73"/>
      <c r="AT1918" s="73"/>
      <c r="AU1918" s="73"/>
      <c r="AV1918" s="73"/>
      <c r="AW1918" s="73"/>
      <c r="AX1918" s="73"/>
      <c r="AY1918" s="73"/>
      <c r="AZ1918" s="73"/>
      <c r="BA1918" s="73"/>
      <c r="BB1918" s="73"/>
      <c r="BC1918" s="73"/>
      <c r="BD1918" s="73"/>
      <c r="BE1918" s="73"/>
      <c r="BF1918" s="73"/>
      <c r="BG1918" s="73"/>
      <c r="BH1918" s="73"/>
      <c r="BI1918" s="73"/>
      <c r="BJ1918" s="73"/>
      <c r="BK1918" s="73"/>
      <c r="BL1918" s="73"/>
      <c r="BM1918" s="73"/>
      <c r="BN1918" s="73"/>
      <c r="BO1918" s="73"/>
      <c r="BP1918" s="73"/>
      <c r="BQ1918" s="73"/>
      <c r="BR1918" s="73"/>
      <c r="BS1918" s="73"/>
      <c r="BT1918" s="73"/>
      <c r="BU1918" s="73"/>
      <c r="BV1918" s="73"/>
      <c r="BW1918" s="73"/>
      <c r="BX1918" s="73"/>
      <c r="BY1918" s="73"/>
      <c r="BZ1918" s="73"/>
      <c r="CA1918" s="73"/>
      <c r="CB1918" s="73"/>
      <c r="CC1918" s="73"/>
      <c r="CD1918" s="73"/>
      <c r="CE1918" s="73"/>
      <c r="CF1918" s="73"/>
      <c r="CG1918" s="73"/>
      <c r="CH1918" s="73"/>
    </row>
    <row r="1919">
      <c r="A1919" s="80"/>
      <c r="B1919" s="80"/>
      <c r="C1919" s="80"/>
      <c r="D1919" s="80"/>
      <c r="E1919" s="124"/>
      <c r="F1919" s="80"/>
      <c r="G1919" s="80"/>
      <c r="H1919" s="80"/>
      <c r="I1919" s="80"/>
      <c r="J1919" s="196"/>
      <c r="K1919" s="196"/>
      <c r="L1919" s="196"/>
      <c r="M1919" s="196"/>
      <c r="N1919" s="196"/>
      <c r="O1919" s="196"/>
      <c r="P1919" s="196"/>
      <c r="Q1919" s="196"/>
      <c r="R1919" s="196"/>
      <c r="S1919" s="196"/>
      <c r="T1919" s="196"/>
      <c r="U1919" s="196"/>
      <c r="V1919" s="196"/>
      <c r="W1919" s="196"/>
      <c r="X1919" s="196"/>
      <c r="Y1919" s="196"/>
      <c r="Z1919" s="196"/>
      <c r="AA1919" s="196"/>
      <c r="AB1919" s="196"/>
      <c r="AC1919" s="196"/>
      <c r="AD1919" s="196"/>
      <c r="AE1919" s="196"/>
      <c r="AF1919" s="196"/>
      <c r="AG1919" s="196"/>
      <c r="AH1919" s="196"/>
      <c r="AI1919" s="196"/>
      <c r="AJ1919" s="197"/>
      <c r="AK1919" s="80"/>
      <c r="AL1919" s="80"/>
      <c r="AM1919" s="73"/>
      <c r="AN1919" s="73"/>
      <c r="AO1919" s="73"/>
      <c r="AP1919" s="73"/>
      <c r="AQ1919" s="73"/>
      <c r="AR1919" s="73"/>
      <c r="AS1919" s="73"/>
      <c r="AT1919" s="73"/>
      <c r="AU1919" s="73"/>
      <c r="AV1919" s="73"/>
      <c r="AW1919" s="73"/>
      <c r="AX1919" s="73"/>
      <c r="AY1919" s="73"/>
      <c r="AZ1919" s="73"/>
      <c r="BA1919" s="73"/>
      <c r="BB1919" s="73"/>
      <c r="BC1919" s="73"/>
      <c r="BD1919" s="73"/>
      <c r="BE1919" s="73"/>
      <c r="BF1919" s="73"/>
      <c r="BG1919" s="73"/>
      <c r="BH1919" s="73"/>
      <c r="BI1919" s="73"/>
      <c r="BJ1919" s="73"/>
      <c r="BK1919" s="73"/>
      <c r="BL1919" s="73"/>
      <c r="BM1919" s="73"/>
      <c r="BN1919" s="73"/>
      <c r="BO1919" s="73"/>
      <c r="BP1919" s="73"/>
      <c r="BQ1919" s="73"/>
      <c r="BR1919" s="73"/>
      <c r="BS1919" s="73"/>
      <c r="BT1919" s="73"/>
      <c r="BU1919" s="73"/>
      <c r="BV1919" s="73"/>
      <c r="BW1919" s="73"/>
      <c r="BX1919" s="73"/>
      <c r="BY1919" s="73"/>
      <c r="BZ1919" s="73"/>
      <c r="CA1919" s="73"/>
      <c r="CB1919" s="73"/>
      <c r="CC1919" s="73"/>
      <c r="CD1919" s="73"/>
      <c r="CE1919" s="73"/>
      <c r="CF1919" s="73"/>
      <c r="CG1919" s="73"/>
      <c r="CH1919" s="73"/>
    </row>
    <row r="1920">
      <c r="A1920" s="80"/>
      <c r="B1920" s="80"/>
      <c r="C1920" s="80"/>
      <c r="D1920" s="80"/>
      <c r="E1920" s="124"/>
      <c r="F1920" s="80"/>
      <c r="G1920" s="80"/>
      <c r="H1920" s="80"/>
      <c r="I1920" s="80"/>
      <c r="J1920" s="196"/>
      <c r="K1920" s="196"/>
      <c r="L1920" s="196"/>
      <c r="M1920" s="196"/>
      <c r="N1920" s="196"/>
      <c r="O1920" s="196"/>
      <c r="P1920" s="196"/>
      <c r="Q1920" s="196"/>
      <c r="R1920" s="196"/>
      <c r="S1920" s="196"/>
      <c r="T1920" s="196"/>
      <c r="U1920" s="196"/>
      <c r="V1920" s="196"/>
      <c r="W1920" s="196"/>
      <c r="X1920" s="196"/>
      <c r="Y1920" s="196"/>
      <c r="Z1920" s="196"/>
      <c r="AA1920" s="196"/>
      <c r="AB1920" s="196"/>
      <c r="AC1920" s="196"/>
      <c r="AD1920" s="196"/>
      <c r="AE1920" s="196"/>
      <c r="AF1920" s="196"/>
      <c r="AG1920" s="196"/>
      <c r="AH1920" s="196"/>
      <c r="AI1920" s="196"/>
      <c r="AJ1920" s="197"/>
      <c r="AK1920" s="80"/>
      <c r="AL1920" s="80"/>
      <c r="AM1920" s="73"/>
      <c r="AN1920" s="73"/>
      <c r="AO1920" s="73"/>
      <c r="AP1920" s="73"/>
      <c r="AQ1920" s="73"/>
      <c r="AR1920" s="73"/>
      <c r="AS1920" s="73"/>
      <c r="AT1920" s="73"/>
      <c r="AU1920" s="73"/>
      <c r="AV1920" s="73"/>
      <c r="AW1920" s="73"/>
      <c r="AX1920" s="73"/>
      <c r="AY1920" s="73"/>
      <c r="AZ1920" s="73"/>
      <c r="BA1920" s="73"/>
      <c r="BB1920" s="73"/>
      <c r="BC1920" s="73"/>
      <c r="BD1920" s="73"/>
      <c r="BE1920" s="73"/>
      <c r="BF1920" s="73"/>
      <c r="BG1920" s="73"/>
      <c r="BH1920" s="73"/>
      <c r="BI1920" s="73"/>
      <c r="BJ1920" s="73"/>
      <c r="BK1920" s="73"/>
      <c r="BL1920" s="73"/>
      <c r="BM1920" s="73"/>
      <c r="BN1920" s="73"/>
      <c r="BO1920" s="73"/>
      <c r="BP1920" s="73"/>
      <c r="BQ1920" s="73"/>
      <c r="BR1920" s="73"/>
      <c r="BS1920" s="73"/>
      <c r="BT1920" s="73"/>
      <c r="BU1920" s="73"/>
      <c r="BV1920" s="73"/>
      <c r="BW1920" s="73"/>
      <c r="BX1920" s="73"/>
      <c r="BY1920" s="73"/>
      <c r="BZ1920" s="73"/>
      <c r="CA1920" s="73"/>
      <c r="CB1920" s="73"/>
      <c r="CC1920" s="73"/>
      <c r="CD1920" s="73"/>
      <c r="CE1920" s="73"/>
      <c r="CF1920" s="73"/>
      <c r="CG1920" s="73"/>
      <c r="CH1920" s="73"/>
    </row>
    <row r="1921">
      <c r="A1921" s="80"/>
      <c r="B1921" s="80"/>
      <c r="C1921" s="80"/>
      <c r="D1921" s="80"/>
      <c r="E1921" s="124"/>
      <c r="F1921" s="80"/>
      <c r="G1921" s="80"/>
      <c r="H1921" s="80"/>
      <c r="I1921" s="80"/>
      <c r="J1921" s="196"/>
      <c r="K1921" s="196"/>
      <c r="L1921" s="196"/>
      <c r="M1921" s="196"/>
      <c r="N1921" s="196"/>
      <c r="O1921" s="196"/>
      <c r="P1921" s="196"/>
      <c r="Q1921" s="196"/>
      <c r="R1921" s="196"/>
      <c r="S1921" s="196"/>
      <c r="T1921" s="196"/>
      <c r="U1921" s="196"/>
      <c r="V1921" s="196"/>
      <c r="W1921" s="196"/>
      <c r="X1921" s="196"/>
      <c r="Y1921" s="196"/>
      <c r="Z1921" s="196"/>
      <c r="AA1921" s="196"/>
      <c r="AB1921" s="196"/>
      <c r="AC1921" s="196"/>
      <c r="AD1921" s="196"/>
      <c r="AE1921" s="196"/>
      <c r="AF1921" s="196"/>
      <c r="AG1921" s="196"/>
      <c r="AH1921" s="196"/>
      <c r="AI1921" s="196"/>
      <c r="AJ1921" s="197"/>
      <c r="AK1921" s="80"/>
      <c r="AL1921" s="80"/>
      <c r="AM1921" s="73"/>
      <c r="AN1921" s="73"/>
      <c r="AO1921" s="73"/>
      <c r="AP1921" s="73"/>
      <c r="AQ1921" s="73"/>
      <c r="AR1921" s="73"/>
      <c r="AS1921" s="73"/>
      <c r="AT1921" s="73"/>
      <c r="AU1921" s="73"/>
      <c r="AV1921" s="73"/>
      <c r="AW1921" s="73"/>
      <c r="AX1921" s="73"/>
      <c r="AY1921" s="73"/>
      <c r="AZ1921" s="73"/>
      <c r="BA1921" s="73"/>
      <c r="BB1921" s="73"/>
      <c r="BC1921" s="73"/>
      <c r="BD1921" s="73"/>
      <c r="BE1921" s="73"/>
      <c r="BF1921" s="73"/>
      <c r="BG1921" s="73"/>
      <c r="BH1921" s="73"/>
      <c r="BI1921" s="73"/>
      <c r="BJ1921" s="73"/>
      <c r="BK1921" s="73"/>
      <c r="BL1921" s="73"/>
      <c r="BM1921" s="73"/>
      <c r="BN1921" s="73"/>
      <c r="BO1921" s="73"/>
      <c r="BP1921" s="73"/>
      <c r="BQ1921" s="73"/>
      <c r="BR1921" s="73"/>
      <c r="BS1921" s="73"/>
      <c r="BT1921" s="73"/>
      <c r="BU1921" s="73"/>
      <c r="BV1921" s="73"/>
      <c r="BW1921" s="73"/>
      <c r="BX1921" s="73"/>
      <c r="BY1921" s="73"/>
      <c r="BZ1921" s="73"/>
      <c r="CA1921" s="73"/>
      <c r="CB1921" s="73"/>
      <c r="CC1921" s="73"/>
      <c r="CD1921" s="73"/>
      <c r="CE1921" s="73"/>
      <c r="CF1921" s="73"/>
      <c r="CG1921" s="73"/>
      <c r="CH1921" s="73"/>
    </row>
    <row r="1922">
      <c r="A1922" s="80"/>
      <c r="B1922" s="80"/>
      <c r="C1922" s="80"/>
      <c r="D1922" s="80"/>
      <c r="E1922" s="124"/>
      <c r="F1922" s="80"/>
      <c r="G1922" s="80"/>
      <c r="H1922" s="80"/>
      <c r="I1922" s="80"/>
      <c r="J1922" s="196"/>
      <c r="K1922" s="196"/>
      <c r="L1922" s="196"/>
      <c r="M1922" s="196"/>
      <c r="N1922" s="196"/>
      <c r="O1922" s="196"/>
      <c r="P1922" s="196"/>
      <c r="Q1922" s="196"/>
      <c r="R1922" s="196"/>
      <c r="S1922" s="196"/>
      <c r="T1922" s="196"/>
      <c r="U1922" s="196"/>
      <c r="V1922" s="196"/>
      <c r="W1922" s="196"/>
      <c r="X1922" s="196"/>
      <c r="Y1922" s="196"/>
      <c r="Z1922" s="196"/>
      <c r="AA1922" s="196"/>
      <c r="AB1922" s="196"/>
      <c r="AC1922" s="196"/>
      <c r="AD1922" s="196"/>
      <c r="AE1922" s="196"/>
      <c r="AF1922" s="196"/>
      <c r="AG1922" s="196"/>
      <c r="AH1922" s="196"/>
      <c r="AI1922" s="196"/>
      <c r="AJ1922" s="197"/>
      <c r="AK1922" s="80"/>
      <c r="AL1922" s="80"/>
      <c r="AM1922" s="73"/>
      <c r="AN1922" s="73"/>
      <c r="AO1922" s="73"/>
      <c r="AP1922" s="73"/>
      <c r="AQ1922" s="73"/>
      <c r="AR1922" s="73"/>
      <c r="AS1922" s="73"/>
      <c r="AT1922" s="73"/>
      <c r="AU1922" s="73"/>
      <c r="AV1922" s="73"/>
      <c r="AW1922" s="73"/>
      <c r="AX1922" s="73"/>
      <c r="AY1922" s="73"/>
      <c r="AZ1922" s="73"/>
      <c r="BA1922" s="73"/>
      <c r="BB1922" s="73"/>
      <c r="BC1922" s="73"/>
      <c r="BD1922" s="73"/>
      <c r="BE1922" s="73"/>
      <c r="BF1922" s="73"/>
      <c r="BG1922" s="73"/>
      <c r="BH1922" s="73"/>
      <c r="BI1922" s="73"/>
      <c r="BJ1922" s="73"/>
      <c r="BK1922" s="73"/>
      <c r="BL1922" s="73"/>
      <c r="BM1922" s="73"/>
      <c r="BN1922" s="73"/>
      <c r="BO1922" s="73"/>
      <c r="BP1922" s="73"/>
      <c r="BQ1922" s="73"/>
      <c r="BR1922" s="73"/>
      <c r="BS1922" s="73"/>
      <c r="BT1922" s="73"/>
      <c r="BU1922" s="73"/>
      <c r="BV1922" s="73"/>
      <c r="BW1922" s="73"/>
      <c r="BX1922" s="73"/>
      <c r="BY1922" s="73"/>
      <c r="BZ1922" s="73"/>
      <c r="CA1922" s="73"/>
      <c r="CB1922" s="73"/>
      <c r="CC1922" s="73"/>
      <c r="CD1922" s="73"/>
      <c r="CE1922" s="73"/>
      <c r="CF1922" s="73"/>
      <c r="CG1922" s="73"/>
      <c r="CH1922" s="73"/>
    </row>
    <row r="1923">
      <c r="A1923" s="80"/>
      <c r="B1923" s="80"/>
      <c r="C1923" s="80"/>
      <c r="D1923" s="80"/>
      <c r="E1923" s="124"/>
      <c r="F1923" s="80"/>
      <c r="G1923" s="80"/>
      <c r="H1923" s="80"/>
      <c r="I1923" s="80"/>
      <c r="J1923" s="196"/>
      <c r="K1923" s="196"/>
      <c r="L1923" s="196"/>
      <c r="M1923" s="196"/>
      <c r="N1923" s="196"/>
      <c r="O1923" s="196"/>
      <c r="P1923" s="196"/>
      <c r="Q1923" s="196"/>
      <c r="R1923" s="196"/>
      <c r="S1923" s="196"/>
      <c r="T1923" s="196"/>
      <c r="U1923" s="196"/>
      <c r="V1923" s="196"/>
      <c r="W1923" s="196"/>
      <c r="X1923" s="196"/>
      <c r="Y1923" s="196"/>
      <c r="Z1923" s="196"/>
      <c r="AA1923" s="196"/>
      <c r="AB1923" s="196"/>
      <c r="AC1923" s="196"/>
      <c r="AD1923" s="196"/>
      <c r="AE1923" s="196"/>
      <c r="AF1923" s="196"/>
      <c r="AG1923" s="196"/>
      <c r="AH1923" s="196"/>
      <c r="AI1923" s="196"/>
      <c r="AJ1923" s="197"/>
      <c r="AK1923" s="80"/>
      <c r="AL1923" s="80"/>
      <c r="AM1923" s="73"/>
      <c r="AN1923" s="73"/>
      <c r="AO1923" s="73"/>
      <c r="AP1923" s="73"/>
      <c r="AQ1923" s="73"/>
      <c r="AR1923" s="73"/>
      <c r="AS1923" s="73"/>
      <c r="AT1923" s="73"/>
      <c r="AU1923" s="73"/>
      <c r="AV1923" s="73"/>
      <c r="AW1923" s="73"/>
      <c r="AX1923" s="73"/>
      <c r="AY1923" s="73"/>
      <c r="AZ1923" s="73"/>
      <c r="BA1923" s="73"/>
      <c r="BB1923" s="73"/>
      <c r="BC1923" s="73"/>
      <c r="BD1923" s="73"/>
      <c r="BE1923" s="73"/>
      <c r="BF1923" s="73"/>
      <c r="BG1923" s="73"/>
      <c r="BH1923" s="73"/>
      <c r="BI1923" s="73"/>
      <c r="BJ1923" s="73"/>
      <c r="BK1923" s="73"/>
      <c r="BL1923" s="73"/>
      <c r="BM1923" s="73"/>
      <c r="BN1923" s="73"/>
      <c r="BO1923" s="73"/>
      <c r="BP1923" s="73"/>
      <c r="BQ1923" s="73"/>
      <c r="BR1923" s="73"/>
      <c r="BS1923" s="73"/>
      <c r="BT1923" s="73"/>
      <c r="BU1923" s="73"/>
      <c r="BV1923" s="73"/>
      <c r="BW1923" s="73"/>
      <c r="BX1923" s="73"/>
      <c r="BY1923" s="73"/>
      <c r="BZ1923" s="73"/>
      <c r="CA1923" s="73"/>
      <c r="CB1923" s="73"/>
      <c r="CC1923" s="73"/>
      <c r="CD1923" s="73"/>
      <c r="CE1923" s="73"/>
      <c r="CF1923" s="73"/>
      <c r="CG1923" s="73"/>
      <c r="CH1923" s="73"/>
    </row>
    <row r="1924">
      <c r="A1924" s="80"/>
      <c r="B1924" s="80"/>
      <c r="C1924" s="80"/>
      <c r="D1924" s="80"/>
      <c r="E1924" s="124"/>
      <c r="F1924" s="80"/>
      <c r="G1924" s="80"/>
      <c r="H1924" s="80"/>
      <c r="I1924" s="80"/>
      <c r="J1924" s="196"/>
      <c r="K1924" s="196"/>
      <c r="L1924" s="196"/>
      <c r="M1924" s="196"/>
      <c r="N1924" s="196"/>
      <c r="O1924" s="196"/>
      <c r="P1924" s="196"/>
      <c r="Q1924" s="196"/>
      <c r="R1924" s="196"/>
      <c r="S1924" s="196"/>
      <c r="T1924" s="196"/>
      <c r="U1924" s="196"/>
      <c r="V1924" s="196"/>
      <c r="W1924" s="196"/>
      <c r="X1924" s="196"/>
      <c r="Y1924" s="196"/>
      <c r="Z1924" s="196"/>
      <c r="AA1924" s="196"/>
      <c r="AB1924" s="196"/>
      <c r="AC1924" s="196"/>
      <c r="AD1924" s="196"/>
      <c r="AE1924" s="196"/>
      <c r="AF1924" s="196"/>
      <c r="AG1924" s="196"/>
      <c r="AH1924" s="196"/>
      <c r="AI1924" s="196"/>
      <c r="AJ1924" s="197"/>
      <c r="AK1924" s="80"/>
      <c r="AL1924" s="80"/>
      <c r="AM1924" s="73"/>
      <c r="AN1924" s="73"/>
      <c r="AO1924" s="73"/>
      <c r="AP1924" s="73"/>
      <c r="AQ1924" s="73"/>
      <c r="AR1924" s="73"/>
      <c r="AS1924" s="73"/>
      <c r="AT1924" s="73"/>
      <c r="AU1924" s="73"/>
      <c r="AV1924" s="73"/>
      <c r="AW1924" s="73"/>
      <c r="AX1924" s="73"/>
      <c r="AY1924" s="73"/>
      <c r="AZ1924" s="73"/>
      <c r="BA1924" s="73"/>
      <c r="BB1924" s="73"/>
      <c r="BC1924" s="73"/>
      <c r="BD1924" s="73"/>
      <c r="BE1924" s="73"/>
      <c r="BF1924" s="73"/>
      <c r="BG1924" s="73"/>
      <c r="BH1924" s="73"/>
      <c r="BI1924" s="73"/>
      <c r="BJ1924" s="73"/>
      <c r="BK1924" s="73"/>
      <c r="BL1924" s="73"/>
      <c r="BM1924" s="73"/>
      <c r="BN1924" s="73"/>
      <c r="BO1924" s="73"/>
      <c r="BP1924" s="73"/>
      <c r="BQ1924" s="73"/>
      <c r="BR1924" s="73"/>
      <c r="BS1924" s="73"/>
      <c r="BT1924" s="73"/>
      <c r="BU1924" s="73"/>
      <c r="BV1924" s="73"/>
      <c r="BW1924" s="73"/>
      <c r="BX1924" s="73"/>
      <c r="BY1924" s="73"/>
      <c r="BZ1924" s="73"/>
      <c r="CA1924" s="73"/>
      <c r="CB1924" s="73"/>
      <c r="CC1924" s="73"/>
      <c r="CD1924" s="73"/>
      <c r="CE1924" s="73"/>
      <c r="CF1924" s="73"/>
      <c r="CG1924" s="73"/>
      <c r="CH1924" s="73"/>
    </row>
    <row r="1925">
      <c r="A1925" s="80"/>
      <c r="B1925" s="80"/>
      <c r="C1925" s="80"/>
      <c r="D1925" s="80"/>
      <c r="E1925" s="124"/>
      <c r="F1925" s="80"/>
      <c r="G1925" s="80"/>
      <c r="H1925" s="80"/>
      <c r="I1925" s="80"/>
      <c r="J1925" s="196"/>
      <c r="K1925" s="196"/>
      <c r="L1925" s="196"/>
      <c r="M1925" s="196"/>
      <c r="N1925" s="196"/>
      <c r="O1925" s="196"/>
      <c r="P1925" s="196"/>
      <c r="Q1925" s="196"/>
      <c r="R1925" s="196"/>
      <c r="S1925" s="196"/>
      <c r="T1925" s="196"/>
      <c r="U1925" s="196"/>
      <c r="V1925" s="196"/>
      <c r="W1925" s="196"/>
      <c r="X1925" s="196"/>
      <c r="Y1925" s="196"/>
      <c r="Z1925" s="196"/>
      <c r="AA1925" s="196"/>
      <c r="AB1925" s="196"/>
      <c r="AC1925" s="196"/>
      <c r="AD1925" s="196"/>
      <c r="AE1925" s="196"/>
      <c r="AF1925" s="196"/>
      <c r="AG1925" s="196"/>
      <c r="AH1925" s="196"/>
      <c r="AI1925" s="196"/>
      <c r="AJ1925" s="197"/>
      <c r="AK1925" s="80"/>
      <c r="AL1925" s="80"/>
      <c r="AM1925" s="73"/>
      <c r="AN1925" s="73"/>
      <c r="AO1925" s="73"/>
      <c r="AP1925" s="73"/>
      <c r="AQ1925" s="73"/>
      <c r="AR1925" s="73"/>
      <c r="AS1925" s="73"/>
      <c r="AT1925" s="73"/>
      <c r="AU1925" s="73"/>
      <c r="AV1925" s="73"/>
      <c r="AW1925" s="73"/>
      <c r="AX1925" s="73"/>
      <c r="AY1925" s="73"/>
      <c r="AZ1925" s="73"/>
      <c r="BA1925" s="73"/>
      <c r="BB1925" s="73"/>
      <c r="BC1925" s="73"/>
      <c r="BD1925" s="73"/>
      <c r="BE1925" s="73"/>
      <c r="BF1925" s="73"/>
      <c r="BG1925" s="73"/>
      <c r="BH1925" s="73"/>
      <c r="BI1925" s="73"/>
      <c r="BJ1925" s="73"/>
      <c r="BK1925" s="73"/>
      <c r="BL1925" s="73"/>
      <c r="BM1925" s="73"/>
      <c r="BN1925" s="73"/>
      <c r="BO1925" s="73"/>
      <c r="BP1925" s="73"/>
      <c r="BQ1925" s="73"/>
      <c r="BR1925" s="73"/>
      <c r="BS1925" s="73"/>
      <c r="BT1925" s="73"/>
      <c r="BU1925" s="73"/>
      <c r="BV1925" s="73"/>
      <c r="BW1925" s="73"/>
      <c r="BX1925" s="73"/>
      <c r="BY1925" s="73"/>
      <c r="BZ1925" s="73"/>
      <c r="CA1925" s="73"/>
      <c r="CB1925" s="73"/>
      <c r="CC1925" s="73"/>
      <c r="CD1925" s="73"/>
      <c r="CE1925" s="73"/>
      <c r="CF1925" s="73"/>
      <c r="CG1925" s="73"/>
      <c r="CH1925" s="73"/>
    </row>
    <row r="1926">
      <c r="A1926" s="80"/>
      <c r="B1926" s="80"/>
      <c r="C1926" s="80"/>
      <c r="D1926" s="80"/>
      <c r="E1926" s="124"/>
      <c r="F1926" s="80"/>
      <c r="G1926" s="80"/>
      <c r="H1926" s="80"/>
      <c r="I1926" s="80"/>
      <c r="J1926" s="196"/>
      <c r="K1926" s="196"/>
      <c r="L1926" s="196"/>
      <c r="M1926" s="196"/>
      <c r="N1926" s="196"/>
      <c r="O1926" s="196"/>
      <c r="P1926" s="196"/>
      <c r="Q1926" s="196"/>
      <c r="R1926" s="196"/>
      <c r="S1926" s="196"/>
      <c r="T1926" s="196"/>
      <c r="U1926" s="196"/>
      <c r="V1926" s="196"/>
      <c r="W1926" s="196"/>
      <c r="X1926" s="196"/>
      <c r="Y1926" s="196"/>
      <c r="Z1926" s="196"/>
      <c r="AA1926" s="196"/>
      <c r="AB1926" s="196"/>
      <c r="AC1926" s="196"/>
      <c r="AD1926" s="196"/>
      <c r="AE1926" s="196"/>
      <c r="AF1926" s="196"/>
      <c r="AG1926" s="196"/>
      <c r="AH1926" s="196"/>
      <c r="AI1926" s="196"/>
      <c r="AJ1926" s="197"/>
      <c r="AK1926" s="80"/>
      <c r="AL1926" s="80"/>
      <c r="AM1926" s="73"/>
      <c r="AN1926" s="73"/>
      <c r="AO1926" s="73"/>
      <c r="AP1926" s="73"/>
      <c r="AQ1926" s="73"/>
      <c r="AR1926" s="73"/>
      <c r="AS1926" s="73"/>
      <c r="AT1926" s="73"/>
      <c r="AU1926" s="73"/>
      <c r="AV1926" s="73"/>
      <c r="AW1926" s="73"/>
      <c r="AX1926" s="73"/>
      <c r="AY1926" s="73"/>
      <c r="AZ1926" s="73"/>
      <c r="BA1926" s="73"/>
      <c r="BB1926" s="73"/>
      <c r="BC1926" s="73"/>
      <c r="BD1926" s="73"/>
      <c r="BE1926" s="73"/>
      <c r="BF1926" s="73"/>
      <c r="BG1926" s="73"/>
      <c r="BH1926" s="73"/>
      <c r="BI1926" s="73"/>
      <c r="BJ1926" s="73"/>
      <c r="BK1926" s="73"/>
      <c r="BL1926" s="73"/>
      <c r="BM1926" s="73"/>
      <c r="BN1926" s="73"/>
      <c r="BO1926" s="73"/>
      <c r="BP1926" s="73"/>
      <c r="BQ1926" s="73"/>
      <c r="BR1926" s="73"/>
      <c r="BS1926" s="73"/>
      <c r="BT1926" s="73"/>
      <c r="BU1926" s="73"/>
      <c r="BV1926" s="73"/>
      <c r="BW1926" s="73"/>
      <c r="BX1926" s="73"/>
      <c r="BY1926" s="73"/>
      <c r="BZ1926" s="73"/>
      <c r="CA1926" s="73"/>
      <c r="CB1926" s="73"/>
      <c r="CC1926" s="73"/>
      <c r="CD1926" s="73"/>
      <c r="CE1926" s="73"/>
      <c r="CF1926" s="73"/>
      <c r="CG1926" s="73"/>
      <c r="CH1926" s="73"/>
    </row>
    <row r="1927">
      <c r="A1927" s="80"/>
      <c r="B1927" s="80"/>
      <c r="C1927" s="80"/>
      <c r="D1927" s="80"/>
      <c r="E1927" s="124"/>
      <c r="F1927" s="80"/>
      <c r="G1927" s="80"/>
      <c r="H1927" s="80"/>
      <c r="I1927" s="80"/>
      <c r="J1927" s="196"/>
      <c r="K1927" s="196"/>
      <c r="L1927" s="196"/>
      <c r="M1927" s="196"/>
      <c r="N1927" s="196"/>
      <c r="O1927" s="196"/>
      <c r="P1927" s="196"/>
      <c r="Q1927" s="196"/>
      <c r="R1927" s="196"/>
      <c r="S1927" s="196"/>
      <c r="T1927" s="196"/>
      <c r="U1927" s="196"/>
      <c r="V1927" s="196"/>
      <c r="W1927" s="196"/>
      <c r="X1927" s="196"/>
      <c r="Y1927" s="196"/>
      <c r="Z1927" s="196"/>
      <c r="AA1927" s="196"/>
      <c r="AB1927" s="196"/>
      <c r="AC1927" s="196"/>
      <c r="AD1927" s="196"/>
      <c r="AE1927" s="196"/>
      <c r="AF1927" s="196"/>
      <c r="AG1927" s="196"/>
      <c r="AH1927" s="196"/>
      <c r="AI1927" s="196"/>
      <c r="AJ1927" s="197"/>
      <c r="AK1927" s="80"/>
      <c r="AL1927" s="80"/>
      <c r="AM1927" s="73"/>
      <c r="AN1927" s="73"/>
      <c r="AO1927" s="73"/>
      <c r="AP1927" s="73"/>
      <c r="AQ1927" s="73"/>
      <c r="AR1927" s="73"/>
      <c r="AS1927" s="73"/>
      <c r="AT1927" s="73"/>
      <c r="AU1927" s="73"/>
      <c r="AV1927" s="73"/>
      <c r="AW1927" s="73"/>
      <c r="AX1927" s="73"/>
      <c r="AY1927" s="73"/>
      <c r="AZ1927" s="73"/>
      <c r="BA1927" s="73"/>
      <c r="BB1927" s="73"/>
      <c r="BC1927" s="73"/>
      <c r="BD1927" s="73"/>
      <c r="BE1927" s="73"/>
      <c r="BF1927" s="73"/>
      <c r="BG1927" s="73"/>
      <c r="BH1927" s="73"/>
      <c r="BI1927" s="73"/>
      <c r="BJ1927" s="73"/>
      <c r="BK1927" s="73"/>
      <c r="BL1927" s="73"/>
      <c r="BM1927" s="73"/>
      <c r="BN1927" s="73"/>
      <c r="BO1927" s="73"/>
      <c r="BP1927" s="73"/>
      <c r="BQ1927" s="73"/>
      <c r="BR1927" s="73"/>
      <c r="BS1927" s="73"/>
      <c r="BT1927" s="73"/>
      <c r="BU1927" s="73"/>
      <c r="BV1927" s="73"/>
      <c r="BW1927" s="73"/>
      <c r="BX1927" s="73"/>
      <c r="BY1927" s="73"/>
      <c r="BZ1927" s="73"/>
      <c r="CA1927" s="73"/>
      <c r="CB1927" s="73"/>
      <c r="CC1927" s="73"/>
      <c r="CD1927" s="73"/>
      <c r="CE1927" s="73"/>
      <c r="CF1927" s="73"/>
      <c r="CG1927" s="73"/>
      <c r="CH1927" s="73"/>
    </row>
    <row r="1928">
      <c r="A1928" s="80"/>
      <c r="B1928" s="80"/>
      <c r="C1928" s="80"/>
      <c r="D1928" s="80"/>
      <c r="E1928" s="124"/>
      <c r="F1928" s="80"/>
      <c r="G1928" s="80"/>
      <c r="H1928" s="80"/>
      <c r="I1928" s="80"/>
      <c r="J1928" s="196"/>
      <c r="K1928" s="196"/>
      <c r="L1928" s="196"/>
      <c r="M1928" s="196"/>
      <c r="N1928" s="196"/>
      <c r="O1928" s="196"/>
      <c r="P1928" s="196"/>
      <c r="Q1928" s="196"/>
      <c r="R1928" s="196"/>
      <c r="S1928" s="196"/>
      <c r="T1928" s="196"/>
      <c r="U1928" s="196"/>
      <c r="V1928" s="196"/>
      <c r="W1928" s="196"/>
      <c r="X1928" s="196"/>
      <c r="Y1928" s="196"/>
      <c r="Z1928" s="196"/>
      <c r="AA1928" s="196"/>
      <c r="AB1928" s="196"/>
      <c r="AC1928" s="196"/>
      <c r="AD1928" s="196"/>
      <c r="AE1928" s="196"/>
      <c r="AF1928" s="196"/>
      <c r="AG1928" s="196"/>
      <c r="AH1928" s="196"/>
      <c r="AI1928" s="196"/>
      <c r="AJ1928" s="197"/>
      <c r="AK1928" s="80"/>
      <c r="AL1928" s="80"/>
      <c r="AM1928" s="73"/>
      <c r="AN1928" s="73"/>
      <c r="AO1928" s="73"/>
      <c r="AP1928" s="73"/>
      <c r="AQ1928" s="73"/>
      <c r="AR1928" s="73"/>
      <c r="AS1928" s="73"/>
      <c r="AT1928" s="73"/>
      <c r="AU1928" s="73"/>
      <c r="AV1928" s="73"/>
      <c r="AW1928" s="73"/>
      <c r="AX1928" s="73"/>
      <c r="AY1928" s="73"/>
      <c r="AZ1928" s="73"/>
      <c r="BA1928" s="73"/>
      <c r="BB1928" s="73"/>
      <c r="BC1928" s="73"/>
      <c r="BD1928" s="73"/>
      <c r="BE1928" s="73"/>
      <c r="BF1928" s="73"/>
      <c r="BG1928" s="73"/>
      <c r="BH1928" s="73"/>
      <c r="BI1928" s="73"/>
      <c r="BJ1928" s="73"/>
      <c r="BK1928" s="73"/>
      <c r="BL1928" s="73"/>
      <c r="BM1928" s="73"/>
      <c r="BN1928" s="73"/>
      <c r="BO1928" s="73"/>
      <c r="BP1928" s="73"/>
      <c r="BQ1928" s="73"/>
      <c r="BR1928" s="73"/>
      <c r="BS1928" s="73"/>
      <c r="BT1928" s="73"/>
      <c r="BU1928" s="73"/>
      <c r="BV1928" s="73"/>
      <c r="BW1928" s="73"/>
      <c r="BX1928" s="73"/>
      <c r="BY1928" s="73"/>
      <c r="BZ1928" s="73"/>
      <c r="CA1928" s="73"/>
      <c r="CB1928" s="73"/>
      <c r="CC1928" s="73"/>
      <c r="CD1928" s="73"/>
      <c r="CE1928" s="73"/>
      <c r="CF1928" s="73"/>
      <c r="CG1928" s="73"/>
      <c r="CH1928" s="73"/>
    </row>
    <row r="1929">
      <c r="A1929" s="80"/>
      <c r="B1929" s="80"/>
      <c r="C1929" s="80"/>
      <c r="D1929" s="80"/>
      <c r="E1929" s="124"/>
      <c r="F1929" s="80"/>
      <c r="G1929" s="80"/>
      <c r="H1929" s="80"/>
      <c r="I1929" s="80"/>
      <c r="J1929" s="196"/>
      <c r="K1929" s="196"/>
      <c r="L1929" s="196"/>
      <c r="M1929" s="196"/>
      <c r="N1929" s="196"/>
      <c r="O1929" s="196"/>
      <c r="P1929" s="196"/>
      <c r="Q1929" s="196"/>
      <c r="R1929" s="196"/>
      <c r="S1929" s="196"/>
      <c r="T1929" s="196"/>
      <c r="U1929" s="196"/>
      <c r="V1929" s="196"/>
      <c r="W1929" s="196"/>
      <c r="X1929" s="196"/>
      <c r="Y1929" s="196"/>
      <c r="Z1929" s="196"/>
      <c r="AA1929" s="196"/>
      <c r="AB1929" s="196"/>
      <c r="AC1929" s="196"/>
      <c r="AD1929" s="196"/>
      <c r="AE1929" s="196"/>
      <c r="AF1929" s="196"/>
      <c r="AG1929" s="196"/>
      <c r="AH1929" s="196"/>
      <c r="AI1929" s="196"/>
      <c r="AJ1929" s="197"/>
      <c r="AK1929" s="80"/>
      <c r="AL1929" s="80"/>
      <c r="AM1929" s="73"/>
      <c r="AN1929" s="73"/>
      <c r="AO1929" s="73"/>
      <c r="AP1929" s="73"/>
      <c r="AQ1929" s="73"/>
      <c r="AR1929" s="73"/>
      <c r="AS1929" s="73"/>
      <c r="AT1929" s="73"/>
      <c r="AU1929" s="73"/>
      <c r="AV1929" s="73"/>
      <c r="AW1929" s="73"/>
      <c r="AX1929" s="73"/>
      <c r="AY1929" s="73"/>
      <c r="AZ1929" s="73"/>
      <c r="BA1929" s="73"/>
      <c r="BB1929" s="73"/>
      <c r="BC1929" s="73"/>
      <c r="BD1929" s="73"/>
      <c r="BE1929" s="73"/>
      <c r="BF1929" s="73"/>
      <c r="BG1929" s="73"/>
      <c r="BH1929" s="73"/>
      <c r="BI1929" s="73"/>
      <c r="BJ1929" s="73"/>
      <c r="BK1929" s="73"/>
      <c r="BL1929" s="73"/>
      <c r="BM1929" s="73"/>
      <c r="BN1929" s="73"/>
      <c r="BO1929" s="73"/>
      <c r="BP1929" s="73"/>
      <c r="BQ1929" s="73"/>
      <c r="BR1929" s="73"/>
      <c r="BS1929" s="73"/>
      <c r="BT1929" s="73"/>
      <c r="BU1929" s="73"/>
      <c r="BV1929" s="73"/>
      <c r="BW1929" s="73"/>
      <c r="BX1929" s="73"/>
      <c r="BY1929" s="73"/>
      <c r="BZ1929" s="73"/>
      <c r="CA1929" s="73"/>
      <c r="CB1929" s="73"/>
      <c r="CC1929" s="73"/>
      <c r="CD1929" s="73"/>
      <c r="CE1929" s="73"/>
      <c r="CF1929" s="73"/>
      <c r="CG1929" s="73"/>
      <c r="CH1929" s="73"/>
    </row>
    <row r="1930">
      <c r="A1930" s="80"/>
      <c r="B1930" s="80"/>
      <c r="C1930" s="80"/>
      <c r="D1930" s="80"/>
      <c r="E1930" s="124"/>
      <c r="F1930" s="80"/>
      <c r="G1930" s="80"/>
      <c r="H1930" s="80"/>
      <c r="I1930" s="80"/>
      <c r="J1930" s="196"/>
      <c r="K1930" s="196"/>
      <c r="L1930" s="196"/>
      <c r="M1930" s="196"/>
      <c r="N1930" s="196"/>
      <c r="O1930" s="196"/>
      <c r="P1930" s="196"/>
      <c r="Q1930" s="196"/>
      <c r="R1930" s="196"/>
      <c r="S1930" s="196"/>
      <c r="T1930" s="196"/>
      <c r="U1930" s="196"/>
      <c r="V1930" s="196"/>
      <c r="W1930" s="196"/>
      <c r="X1930" s="196"/>
      <c r="Y1930" s="196"/>
      <c r="Z1930" s="196"/>
      <c r="AA1930" s="196"/>
      <c r="AB1930" s="196"/>
      <c r="AC1930" s="196"/>
      <c r="AD1930" s="196"/>
      <c r="AE1930" s="196"/>
      <c r="AF1930" s="196"/>
      <c r="AG1930" s="196"/>
      <c r="AH1930" s="196"/>
      <c r="AI1930" s="196"/>
      <c r="AJ1930" s="197"/>
      <c r="AK1930" s="80"/>
      <c r="AL1930" s="80"/>
      <c r="AM1930" s="73"/>
      <c r="AN1930" s="73"/>
      <c r="AO1930" s="73"/>
      <c r="AP1930" s="73"/>
      <c r="AQ1930" s="73"/>
      <c r="AR1930" s="73"/>
      <c r="AS1930" s="73"/>
      <c r="AT1930" s="73"/>
      <c r="AU1930" s="73"/>
      <c r="AV1930" s="73"/>
      <c r="AW1930" s="73"/>
      <c r="AX1930" s="73"/>
      <c r="AY1930" s="73"/>
      <c r="AZ1930" s="73"/>
      <c r="BA1930" s="73"/>
      <c r="BB1930" s="73"/>
      <c r="BC1930" s="73"/>
      <c r="BD1930" s="73"/>
      <c r="BE1930" s="73"/>
      <c r="BF1930" s="73"/>
      <c r="BG1930" s="73"/>
      <c r="BH1930" s="73"/>
      <c r="BI1930" s="73"/>
      <c r="BJ1930" s="73"/>
      <c r="BK1930" s="73"/>
      <c r="BL1930" s="73"/>
      <c r="BM1930" s="73"/>
      <c r="BN1930" s="73"/>
      <c r="BO1930" s="73"/>
      <c r="BP1930" s="73"/>
      <c r="BQ1930" s="73"/>
      <c r="BR1930" s="73"/>
      <c r="BS1930" s="73"/>
      <c r="BT1930" s="73"/>
      <c r="BU1930" s="73"/>
      <c r="BV1930" s="73"/>
      <c r="BW1930" s="73"/>
      <c r="BX1930" s="73"/>
      <c r="BY1930" s="73"/>
      <c r="BZ1930" s="73"/>
      <c r="CA1930" s="73"/>
      <c r="CB1930" s="73"/>
      <c r="CC1930" s="73"/>
      <c r="CD1930" s="73"/>
      <c r="CE1930" s="73"/>
      <c r="CF1930" s="73"/>
      <c r="CG1930" s="73"/>
      <c r="CH1930" s="73"/>
    </row>
    <row r="1931">
      <c r="A1931" s="80"/>
      <c r="B1931" s="80"/>
      <c r="C1931" s="80"/>
      <c r="D1931" s="80"/>
      <c r="E1931" s="124"/>
      <c r="F1931" s="80"/>
      <c r="G1931" s="80"/>
      <c r="H1931" s="80"/>
      <c r="I1931" s="80"/>
      <c r="J1931" s="196"/>
      <c r="K1931" s="196"/>
      <c r="L1931" s="196"/>
      <c r="M1931" s="196"/>
      <c r="N1931" s="196"/>
      <c r="O1931" s="196"/>
      <c r="P1931" s="196"/>
      <c r="Q1931" s="196"/>
      <c r="R1931" s="196"/>
      <c r="S1931" s="196"/>
      <c r="T1931" s="196"/>
      <c r="U1931" s="196"/>
      <c r="V1931" s="196"/>
      <c r="W1931" s="196"/>
      <c r="X1931" s="196"/>
      <c r="Y1931" s="196"/>
      <c r="Z1931" s="196"/>
      <c r="AA1931" s="196"/>
      <c r="AB1931" s="196"/>
      <c r="AC1931" s="196"/>
      <c r="AD1931" s="196"/>
      <c r="AE1931" s="196"/>
      <c r="AF1931" s="196"/>
      <c r="AG1931" s="196"/>
      <c r="AH1931" s="196"/>
      <c r="AI1931" s="196"/>
      <c r="AJ1931" s="197"/>
      <c r="AK1931" s="80"/>
      <c r="AL1931" s="80"/>
      <c r="AM1931" s="73"/>
      <c r="AN1931" s="73"/>
      <c r="AO1931" s="73"/>
      <c r="AP1931" s="73"/>
      <c r="AQ1931" s="73"/>
      <c r="AR1931" s="73"/>
      <c r="AS1931" s="73"/>
      <c r="AT1931" s="73"/>
      <c r="AU1931" s="73"/>
      <c r="AV1931" s="73"/>
      <c r="AW1931" s="73"/>
      <c r="AX1931" s="73"/>
      <c r="AY1931" s="73"/>
      <c r="AZ1931" s="73"/>
      <c r="BA1931" s="73"/>
      <c r="BB1931" s="73"/>
      <c r="BC1931" s="73"/>
      <c r="BD1931" s="73"/>
      <c r="BE1931" s="73"/>
      <c r="BF1931" s="73"/>
      <c r="BG1931" s="73"/>
      <c r="BH1931" s="73"/>
      <c r="BI1931" s="73"/>
      <c r="BJ1931" s="73"/>
      <c r="BK1931" s="73"/>
      <c r="BL1931" s="73"/>
      <c r="BM1931" s="73"/>
      <c r="BN1931" s="73"/>
      <c r="BO1931" s="73"/>
      <c r="BP1931" s="73"/>
      <c r="BQ1931" s="73"/>
      <c r="BR1931" s="73"/>
      <c r="BS1931" s="73"/>
      <c r="BT1931" s="73"/>
      <c r="BU1931" s="73"/>
      <c r="BV1931" s="73"/>
      <c r="BW1931" s="73"/>
      <c r="BX1931" s="73"/>
      <c r="BY1931" s="73"/>
      <c r="BZ1931" s="73"/>
      <c r="CA1931" s="73"/>
      <c r="CB1931" s="73"/>
      <c r="CC1931" s="73"/>
      <c r="CD1931" s="73"/>
      <c r="CE1931" s="73"/>
      <c r="CF1931" s="73"/>
      <c r="CG1931" s="73"/>
      <c r="CH1931" s="73"/>
    </row>
    <row r="1932">
      <c r="A1932" s="80"/>
      <c r="B1932" s="80"/>
      <c r="C1932" s="80"/>
      <c r="D1932" s="80"/>
      <c r="E1932" s="124"/>
      <c r="F1932" s="80"/>
      <c r="G1932" s="80"/>
      <c r="H1932" s="80"/>
      <c r="I1932" s="80"/>
      <c r="J1932" s="196"/>
      <c r="K1932" s="196"/>
      <c r="L1932" s="196"/>
      <c r="M1932" s="196"/>
      <c r="N1932" s="196"/>
      <c r="O1932" s="196"/>
      <c r="P1932" s="196"/>
      <c r="Q1932" s="196"/>
      <c r="R1932" s="196"/>
      <c r="S1932" s="196"/>
      <c r="T1932" s="196"/>
      <c r="U1932" s="196"/>
      <c r="V1932" s="196"/>
      <c r="W1932" s="196"/>
      <c r="X1932" s="196"/>
      <c r="Y1932" s="196"/>
      <c r="Z1932" s="196"/>
      <c r="AA1932" s="196"/>
      <c r="AB1932" s="196"/>
      <c r="AC1932" s="196"/>
      <c r="AD1932" s="196"/>
      <c r="AE1932" s="196"/>
      <c r="AF1932" s="196"/>
      <c r="AG1932" s="196"/>
      <c r="AH1932" s="196"/>
      <c r="AI1932" s="196"/>
      <c r="AJ1932" s="197"/>
      <c r="AK1932" s="80"/>
      <c r="AL1932" s="80"/>
      <c r="AM1932" s="73"/>
      <c r="AN1932" s="73"/>
      <c r="AO1932" s="73"/>
      <c r="AP1932" s="73"/>
      <c r="AQ1932" s="73"/>
      <c r="AR1932" s="73"/>
      <c r="AS1932" s="73"/>
      <c r="AT1932" s="73"/>
      <c r="AU1932" s="73"/>
      <c r="AV1932" s="73"/>
      <c r="AW1932" s="73"/>
      <c r="AX1932" s="73"/>
      <c r="AY1932" s="73"/>
      <c r="AZ1932" s="73"/>
      <c r="BA1932" s="73"/>
      <c r="BB1932" s="73"/>
      <c r="BC1932" s="73"/>
      <c r="BD1932" s="73"/>
      <c r="BE1932" s="73"/>
      <c r="BF1932" s="73"/>
      <c r="BG1932" s="73"/>
      <c r="BH1932" s="73"/>
      <c r="BI1932" s="73"/>
      <c r="BJ1932" s="73"/>
      <c r="BK1932" s="73"/>
      <c r="BL1932" s="73"/>
      <c r="BM1932" s="73"/>
      <c r="BN1932" s="73"/>
      <c r="BO1932" s="73"/>
      <c r="BP1932" s="73"/>
      <c r="BQ1932" s="73"/>
      <c r="BR1932" s="73"/>
      <c r="BS1932" s="73"/>
      <c r="BT1932" s="73"/>
      <c r="BU1932" s="73"/>
      <c r="BV1932" s="73"/>
      <c r="BW1932" s="73"/>
      <c r="BX1932" s="73"/>
      <c r="BY1932" s="73"/>
      <c r="BZ1932" s="73"/>
      <c r="CA1932" s="73"/>
      <c r="CB1932" s="73"/>
      <c r="CC1932" s="73"/>
      <c r="CD1932" s="73"/>
      <c r="CE1932" s="73"/>
      <c r="CF1932" s="73"/>
      <c r="CG1932" s="73"/>
      <c r="CH1932" s="73"/>
    </row>
    <row r="1933">
      <c r="A1933" s="80"/>
      <c r="B1933" s="80"/>
      <c r="C1933" s="80"/>
      <c r="D1933" s="80"/>
      <c r="E1933" s="124"/>
      <c r="F1933" s="80"/>
      <c r="G1933" s="80"/>
      <c r="H1933" s="80"/>
      <c r="I1933" s="80"/>
      <c r="J1933" s="196"/>
      <c r="K1933" s="196"/>
      <c r="L1933" s="196"/>
      <c r="M1933" s="196"/>
      <c r="N1933" s="196"/>
      <c r="O1933" s="196"/>
      <c r="P1933" s="196"/>
      <c r="Q1933" s="196"/>
      <c r="R1933" s="196"/>
      <c r="S1933" s="196"/>
      <c r="T1933" s="196"/>
      <c r="U1933" s="196"/>
      <c r="V1933" s="196"/>
      <c r="W1933" s="196"/>
      <c r="X1933" s="196"/>
      <c r="Y1933" s="196"/>
      <c r="Z1933" s="196"/>
      <c r="AA1933" s="196"/>
      <c r="AB1933" s="196"/>
      <c r="AC1933" s="196"/>
      <c r="AD1933" s="196"/>
      <c r="AE1933" s="196"/>
      <c r="AF1933" s="196"/>
      <c r="AG1933" s="196"/>
      <c r="AH1933" s="196"/>
      <c r="AI1933" s="196"/>
      <c r="AJ1933" s="197"/>
      <c r="AK1933" s="80"/>
      <c r="AL1933" s="80"/>
      <c r="AM1933" s="73"/>
      <c r="AN1933" s="73"/>
      <c r="AO1933" s="73"/>
      <c r="AP1933" s="73"/>
      <c r="AQ1933" s="73"/>
      <c r="AR1933" s="73"/>
      <c r="AS1933" s="73"/>
      <c r="AT1933" s="73"/>
      <c r="AU1933" s="73"/>
      <c r="AV1933" s="73"/>
      <c r="AW1933" s="73"/>
      <c r="AX1933" s="73"/>
      <c r="AY1933" s="73"/>
      <c r="AZ1933" s="73"/>
      <c r="BA1933" s="73"/>
      <c r="BB1933" s="73"/>
      <c r="BC1933" s="73"/>
      <c r="BD1933" s="73"/>
      <c r="BE1933" s="73"/>
      <c r="BF1933" s="73"/>
      <c r="BG1933" s="73"/>
      <c r="BH1933" s="73"/>
      <c r="BI1933" s="73"/>
      <c r="BJ1933" s="73"/>
      <c r="BK1933" s="73"/>
      <c r="BL1933" s="73"/>
      <c r="BM1933" s="73"/>
      <c r="BN1933" s="73"/>
      <c r="BO1933" s="73"/>
      <c r="BP1933" s="73"/>
      <c r="BQ1933" s="73"/>
      <c r="BR1933" s="73"/>
      <c r="BS1933" s="73"/>
      <c r="BT1933" s="73"/>
      <c r="BU1933" s="73"/>
      <c r="BV1933" s="73"/>
      <c r="BW1933" s="73"/>
      <c r="BX1933" s="73"/>
      <c r="BY1933" s="73"/>
      <c r="BZ1933" s="73"/>
      <c r="CA1933" s="73"/>
      <c r="CB1933" s="73"/>
      <c r="CC1933" s="73"/>
      <c r="CD1933" s="73"/>
      <c r="CE1933" s="73"/>
      <c r="CF1933" s="73"/>
      <c r="CG1933" s="73"/>
      <c r="CH1933" s="73"/>
    </row>
    <row r="1934">
      <c r="A1934" s="80"/>
      <c r="B1934" s="80"/>
      <c r="C1934" s="80"/>
      <c r="D1934" s="80"/>
      <c r="E1934" s="124"/>
      <c r="F1934" s="80"/>
      <c r="G1934" s="80"/>
      <c r="H1934" s="80"/>
      <c r="I1934" s="80"/>
      <c r="J1934" s="196"/>
      <c r="K1934" s="196"/>
      <c r="L1934" s="196"/>
      <c r="M1934" s="196"/>
      <c r="N1934" s="196"/>
      <c r="O1934" s="196"/>
      <c r="P1934" s="196"/>
      <c r="Q1934" s="196"/>
      <c r="R1934" s="196"/>
      <c r="S1934" s="196"/>
      <c r="T1934" s="196"/>
      <c r="U1934" s="196"/>
      <c r="V1934" s="196"/>
      <c r="W1934" s="196"/>
      <c r="X1934" s="196"/>
      <c r="Y1934" s="196"/>
      <c r="Z1934" s="196"/>
      <c r="AA1934" s="196"/>
      <c r="AB1934" s="196"/>
      <c r="AC1934" s="196"/>
      <c r="AD1934" s="196"/>
      <c r="AE1934" s="196"/>
      <c r="AF1934" s="196"/>
      <c r="AG1934" s="196"/>
      <c r="AH1934" s="196"/>
      <c r="AI1934" s="196"/>
      <c r="AJ1934" s="197"/>
      <c r="AK1934" s="80"/>
      <c r="AL1934" s="80"/>
      <c r="AM1934" s="73"/>
      <c r="AN1934" s="73"/>
      <c r="AO1934" s="73"/>
      <c r="AP1934" s="73"/>
      <c r="AQ1934" s="73"/>
      <c r="AR1934" s="73"/>
      <c r="AS1934" s="73"/>
      <c r="AT1934" s="73"/>
      <c r="AU1934" s="73"/>
      <c r="AV1934" s="73"/>
      <c r="AW1934" s="73"/>
      <c r="AX1934" s="73"/>
      <c r="AY1934" s="73"/>
      <c r="AZ1934" s="73"/>
      <c r="BA1934" s="73"/>
      <c r="BB1934" s="73"/>
      <c r="BC1934" s="73"/>
      <c r="BD1934" s="73"/>
      <c r="BE1934" s="73"/>
      <c r="BF1934" s="73"/>
      <c r="BG1934" s="73"/>
      <c r="BH1934" s="73"/>
      <c r="BI1934" s="73"/>
      <c r="BJ1934" s="73"/>
      <c r="BK1934" s="73"/>
      <c r="BL1934" s="73"/>
      <c r="BM1934" s="73"/>
      <c r="BN1934" s="73"/>
      <c r="BO1934" s="73"/>
      <c r="BP1934" s="73"/>
      <c r="BQ1934" s="73"/>
      <c r="BR1934" s="73"/>
      <c r="BS1934" s="73"/>
      <c r="BT1934" s="73"/>
      <c r="BU1934" s="73"/>
      <c r="BV1934" s="73"/>
      <c r="BW1934" s="73"/>
      <c r="BX1934" s="73"/>
      <c r="BY1934" s="73"/>
      <c r="BZ1934" s="73"/>
      <c r="CA1934" s="73"/>
      <c r="CB1934" s="73"/>
      <c r="CC1934" s="73"/>
      <c r="CD1934" s="73"/>
      <c r="CE1934" s="73"/>
      <c r="CF1934" s="73"/>
      <c r="CG1934" s="73"/>
      <c r="CH1934" s="73"/>
    </row>
    <row r="1935">
      <c r="A1935" s="80"/>
      <c r="B1935" s="80"/>
      <c r="C1935" s="80"/>
      <c r="D1935" s="80"/>
      <c r="E1935" s="124"/>
      <c r="F1935" s="80"/>
      <c r="G1935" s="80"/>
      <c r="H1935" s="80"/>
      <c r="I1935" s="80"/>
      <c r="J1935" s="196"/>
      <c r="K1935" s="196"/>
      <c r="L1935" s="196"/>
      <c r="M1935" s="196"/>
      <c r="N1935" s="196"/>
      <c r="O1935" s="196"/>
      <c r="P1935" s="196"/>
      <c r="Q1935" s="196"/>
      <c r="R1935" s="196"/>
      <c r="S1935" s="196"/>
      <c r="T1935" s="196"/>
      <c r="U1935" s="196"/>
      <c r="V1935" s="196"/>
      <c r="W1935" s="196"/>
      <c r="X1935" s="196"/>
      <c r="Y1935" s="196"/>
      <c r="Z1935" s="196"/>
      <c r="AA1935" s="196"/>
      <c r="AB1935" s="196"/>
      <c r="AC1935" s="196"/>
      <c r="AD1935" s="196"/>
      <c r="AE1935" s="196"/>
      <c r="AF1935" s="196"/>
      <c r="AG1935" s="196"/>
      <c r="AH1935" s="196"/>
      <c r="AI1935" s="196"/>
      <c r="AJ1935" s="197"/>
      <c r="AK1935" s="80"/>
      <c r="AL1935" s="80"/>
      <c r="AM1935" s="73"/>
      <c r="AN1935" s="73"/>
      <c r="AO1935" s="73"/>
      <c r="AP1935" s="73"/>
      <c r="AQ1935" s="73"/>
      <c r="AR1935" s="73"/>
      <c r="AS1935" s="73"/>
      <c r="AT1935" s="73"/>
      <c r="AU1935" s="73"/>
      <c r="AV1935" s="73"/>
      <c r="AW1935" s="73"/>
      <c r="AX1935" s="73"/>
      <c r="AY1935" s="73"/>
      <c r="AZ1935" s="73"/>
      <c r="BA1935" s="73"/>
      <c r="BB1935" s="73"/>
      <c r="BC1935" s="73"/>
      <c r="BD1935" s="73"/>
      <c r="BE1935" s="73"/>
      <c r="BF1935" s="73"/>
      <c r="BG1935" s="73"/>
      <c r="BH1935" s="73"/>
      <c r="BI1935" s="73"/>
      <c r="BJ1935" s="73"/>
      <c r="BK1935" s="73"/>
      <c r="BL1935" s="73"/>
      <c r="BM1935" s="73"/>
      <c r="BN1935" s="73"/>
      <c r="BO1935" s="73"/>
      <c r="BP1935" s="73"/>
      <c r="BQ1935" s="73"/>
      <c r="BR1935" s="73"/>
      <c r="BS1935" s="73"/>
      <c r="BT1935" s="73"/>
      <c r="BU1935" s="73"/>
      <c r="BV1935" s="73"/>
      <c r="BW1935" s="73"/>
      <c r="BX1935" s="73"/>
      <c r="BY1935" s="73"/>
      <c r="BZ1935" s="73"/>
      <c r="CA1935" s="73"/>
      <c r="CB1935" s="73"/>
      <c r="CC1935" s="73"/>
      <c r="CD1935" s="73"/>
      <c r="CE1935" s="73"/>
      <c r="CF1935" s="73"/>
      <c r="CG1935" s="73"/>
      <c r="CH1935" s="73"/>
    </row>
    <row r="1936">
      <c r="A1936" s="80"/>
      <c r="B1936" s="80"/>
      <c r="C1936" s="80"/>
      <c r="D1936" s="80"/>
      <c r="E1936" s="124"/>
      <c r="F1936" s="80"/>
      <c r="G1936" s="80"/>
      <c r="H1936" s="80"/>
      <c r="I1936" s="80"/>
      <c r="J1936" s="196"/>
      <c r="K1936" s="196"/>
      <c r="L1936" s="196"/>
      <c r="M1936" s="196"/>
      <c r="N1936" s="196"/>
      <c r="O1936" s="196"/>
      <c r="P1936" s="196"/>
      <c r="Q1936" s="196"/>
      <c r="R1936" s="196"/>
      <c r="S1936" s="196"/>
      <c r="T1936" s="196"/>
      <c r="U1936" s="196"/>
      <c r="V1936" s="196"/>
      <c r="W1936" s="196"/>
      <c r="X1936" s="196"/>
      <c r="Y1936" s="196"/>
      <c r="Z1936" s="196"/>
      <c r="AA1936" s="196"/>
      <c r="AB1936" s="196"/>
      <c r="AC1936" s="196"/>
      <c r="AD1936" s="196"/>
      <c r="AE1936" s="196"/>
      <c r="AF1936" s="196"/>
      <c r="AG1936" s="196"/>
      <c r="AH1936" s="196"/>
      <c r="AI1936" s="196"/>
      <c r="AJ1936" s="197"/>
      <c r="AK1936" s="80"/>
      <c r="AL1936" s="80"/>
      <c r="AM1936" s="73"/>
      <c r="AN1936" s="73"/>
      <c r="AO1936" s="73"/>
      <c r="AP1936" s="73"/>
      <c r="AQ1936" s="73"/>
      <c r="AR1936" s="73"/>
      <c r="AS1936" s="73"/>
      <c r="AT1936" s="73"/>
      <c r="AU1936" s="73"/>
      <c r="AV1936" s="73"/>
      <c r="AW1936" s="73"/>
      <c r="AX1936" s="73"/>
      <c r="AY1936" s="73"/>
      <c r="AZ1936" s="73"/>
      <c r="BA1936" s="73"/>
      <c r="BB1936" s="73"/>
      <c r="BC1936" s="73"/>
      <c r="BD1936" s="73"/>
      <c r="BE1936" s="73"/>
      <c r="BF1936" s="73"/>
      <c r="BG1936" s="73"/>
      <c r="BH1936" s="73"/>
      <c r="BI1936" s="73"/>
      <c r="BJ1936" s="73"/>
      <c r="BK1936" s="73"/>
      <c r="BL1936" s="73"/>
      <c r="BM1936" s="73"/>
      <c r="BN1936" s="73"/>
      <c r="BO1936" s="73"/>
      <c r="BP1936" s="73"/>
      <c r="BQ1936" s="73"/>
      <c r="BR1936" s="73"/>
      <c r="BS1936" s="73"/>
      <c r="BT1936" s="73"/>
      <c r="BU1936" s="73"/>
      <c r="BV1936" s="73"/>
      <c r="BW1936" s="73"/>
      <c r="BX1936" s="73"/>
      <c r="BY1936" s="73"/>
      <c r="BZ1936" s="73"/>
      <c r="CA1936" s="73"/>
      <c r="CB1936" s="73"/>
      <c r="CC1936" s="73"/>
      <c r="CD1936" s="73"/>
      <c r="CE1936" s="73"/>
      <c r="CF1936" s="73"/>
      <c r="CG1936" s="73"/>
      <c r="CH1936" s="73"/>
    </row>
    <row r="1937">
      <c r="A1937" s="80"/>
      <c r="B1937" s="80"/>
      <c r="C1937" s="80"/>
      <c r="D1937" s="80"/>
      <c r="E1937" s="124"/>
      <c r="F1937" s="80"/>
      <c r="G1937" s="80"/>
      <c r="H1937" s="80"/>
      <c r="I1937" s="80"/>
      <c r="J1937" s="196"/>
      <c r="K1937" s="196"/>
      <c r="L1937" s="196"/>
      <c r="M1937" s="196"/>
      <c r="N1937" s="196"/>
      <c r="O1937" s="196"/>
      <c r="P1937" s="196"/>
      <c r="Q1937" s="196"/>
      <c r="R1937" s="196"/>
      <c r="S1937" s="196"/>
      <c r="T1937" s="196"/>
      <c r="U1937" s="196"/>
      <c r="V1937" s="196"/>
      <c r="W1937" s="196"/>
      <c r="X1937" s="196"/>
      <c r="Y1937" s="196"/>
      <c r="Z1937" s="196"/>
      <c r="AA1937" s="196"/>
      <c r="AB1937" s="196"/>
      <c r="AC1937" s="196"/>
      <c r="AD1937" s="196"/>
      <c r="AE1937" s="196"/>
      <c r="AF1937" s="196"/>
      <c r="AG1937" s="196"/>
      <c r="AH1937" s="196"/>
      <c r="AI1937" s="196"/>
      <c r="AJ1937" s="197"/>
      <c r="AK1937" s="80"/>
      <c r="AL1937" s="80"/>
      <c r="AM1937" s="73"/>
      <c r="AN1937" s="73"/>
      <c r="AO1937" s="73"/>
      <c r="AP1937" s="73"/>
      <c r="AQ1937" s="73"/>
      <c r="AR1937" s="73"/>
      <c r="AS1937" s="73"/>
      <c r="AT1937" s="73"/>
      <c r="AU1937" s="73"/>
      <c r="AV1937" s="73"/>
      <c r="AW1937" s="73"/>
      <c r="AX1937" s="73"/>
      <c r="AY1937" s="73"/>
      <c r="AZ1937" s="73"/>
      <c r="BA1937" s="73"/>
      <c r="BB1937" s="73"/>
      <c r="BC1937" s="73"/>
      <c r="BD1937" s="73"/>
      <c r="BE1937" s="73"/>
      <c r="BF1937" s="73"/>
      <c r="BG1937" s="73"/>
      <c r="BH1937" s="73"/>
      <c r="BI1937" s="73"/>
      <c r="BJ1937" s="73"/>
      <c r="BK1937" s="73"/>
      <c r="BL1937" s="73"/>
      <c r="BM1937" s="73"/>
      <c r="BN1937" s="73"/>
      <c r="BO1937" s="73"/>
      <c r="BP1937" s="73"/>
      <c r="BQ1937" s="73"/>
      <c r="BR1937" s="73"/>
      <c r="BS1937" s="73"/>
      <c r="BT1937" s="73"/>
      <c r="BU1937" s="73"/>
      <c r="BV1937" s="73"/>
      <c r="BW1937" s="73"/>
      <c r="BX1937" s="73"/>
      <c r="BY1937" s="73"/>
      <c r="BZ1937" s="73"/>
      <c r="CA1937" s="73"/>
      <c r="CB1937" s="73"/>
      <c r="CC1937" s="73"/>
      <c r="CD1937" s="73"/>
      <c r="CE1937" s="73"/>
      <c r="CF1937" s="73"/>
      <c r="CG1937" s="73"/>
      <c r="CH1937" s="73"/>
    </row>
    <row r="1938">
      <c r="A1938" s="80"/>
      <c r="B1938" s="80"/>
      <c r="C1938" s="80"/>
      <c r="D1938" s="80"/>
      <c r="E1938" s="124"/>
      <c r="F1938" s="80"/>
      <c r="G1938" s="80"/>
      <c r="H1938" s="80"/>
      <c r="I1938" s="80"/>
      <c r="J1938" s="196"/>
      <c r="K1938" s="196"/>
      <c r="L1938" s="196"/>
      <c r="M1938" s="196"/>
      <c r="N1938" s="196"/>
      <c r="O1938" s="196"/>
      <c r="P1938" s="196"/>
      <c r="Q1938" s="196"/>
      <c r="R1938" s="196"/>
      <c r="S1938" s="196"/>
      <c r="T1938" s="196"/>
      <c r="U1938" s="196"/>
      <c r="V1938" s="196"/>
      <c r="W1938" s="196"/>
      <c r="X1938" s="196"/>
      <c r="Y1938" s="196"/>
      <c r="Z1938" s="196"/>
      <c r="AA1938" s="196"/>
      <c r="AB1938" s="196"/>
      <c r="AC1938" s="196"/>
      <c r="AD1938" s="196"/>
      <c r="AE1938" s="196"/>
      <c r="AF1938" s="196"/>
      <c r="AG1938" s="196"/>
      <c r="AH1938" s="196"/>
      <c r="AI1938" s="196"/>
      <c r="AJ1938" s="197"/>
      <c r="AK1938" s="80"/>
      <c r="AL1938" s="80"/>
      <c r="AM1938" s="73"/>
      <c r="AN1938" s="73"/>
      <c r="AO1938" s="73"/>
      <c r="AP1938" s="73"/>
      <c r="AQ1938" s="73"/>
      <c r="AR1938" s="73"/>
      <c r="AS1938" s="73"/>
      <c r="AT1938" s="73"/>
      <c r="AU1938" s="73"/>
      <c r="AV1938" s="73"/>
      <c r="AW1938" s="73"/>
      <c r="AX1938" s="73"/>
      <c r="AY1938" s="73"/>
      <c r="AZ1938" s="73"/>
      <c r="BA1938" s="73"/>
      <c r="BB1938" s="73"/>
      <c r="BC1938" s="73"/>
      <c r="BD1938" s="73"/>
      <c r="BE1938" s="73"/>
      <c r="BF1938" s="73"/>
      <c r="BG1938" s="73"/>
      <c r="BH1938" s="73"/>
      <c r="BI1938" s="73"/>
      <c r="BJ1938" s="73"/>
      <c r="BK1938" s="73"/>
      <c r="BL1938" s="73"/>
      <c r="BM1938" s="73"/>
      <c r="BN1938" s="73"/>
      <c r="BO1938" s="73"/>
      <c r="BP1938" s="73"/>
      <c r="BQ1938" s="73"/>
      <c r="BR1938" s="73"/>
      <c r="BS1938" s="73"/>
      <c r="BT1938" s="73"/>
      <c r="BU1938" s="73"/>
      <c r="BV1938" s="73"/>
      <c r="BW1938" s="73"/>
      <c r="BX1938" s="73"/>
      <c r="BY1938" s="73"/>
      <c r="BZ1938" s="73"/>
      <c r="CA1938" s="73"/>
      <c r="CB1938" s="73"/>
      <c r="CC1938" s="73"/>
      <c r="CD1938" s="73"/>
      <c r="CE1938" s="73"/>
      <c r="CF1938" s="73"/>
      <c r="CG1938" s="73"/>
      <c r="CH1938" s="73"/>
    </row>
    <row r="1939">
      <c r="A1939" s="80"/>
      <c r="B1939" s="80"/>
      <c r="C1939" s="80"/>
      <c r="D1939" s="80"/>
      <c r="E1939" s="124"/>
      <c r="F1939" s="80"/>
      <c r="G1939" s="80"/>
      <c r="H1939" s="80"/>
      <c r="I1939" s="80"/>
      <c r="J1939" s="196"/>
      <c r="K1939" s="196"/>
      <c r="L1939" s="196"/>
      <c r="M1939" s="196"/>
      <c r="N1939" s="196"/>
      <c r="O1939" s="196"/>
      <c r="P1939" s="196"/>
      <c r="Q1939" s="196"/>
      <c r="R1939" s="196"/>
      <c r="S1939" s="196"/>
      <c r="T1939" s="196"/>
      <c r="U1939" s="196"/>
      <c r="V1939" s="196"/>
      <c r="W1939" s="196"/>
      <c r="X1939" s="196"/>
      <c r="Y1939" s="196"/>
      <c r="Z1939" s="196"/>
      <c r="AA1939" s="196"/>
      <c r="AB1939" s="196"/>
      <c r="AC1939" s="196"/>
      <c r="AD1939" s="196"/>
      <c r="AE1939" s="196"/>
      <c r="AF1939" s="196"/>
      <c r="AG1939" s="196"/>
      <c r="AH1939" s="196"/>
      <c r="AI1939" s="196"/>
      <c r="AJ1939" s="197"/>
      <c r="AK1939" s="80"/>
      <c r="AL1939" s="80"/>
      <c r="AM1939" s="73"/>
      <c r="AN1939" s="73"/>
      <c r="AO1939" s="73"/>
      <c r="AP1939" s="73"/>
      <c r="AQ1939" s="73"/>
      <c r="AR1939" s="73"/>
      <c r="AS1939" s="73"/>
      <c r="AT1939" s="73"/>
      <c r="AU1939" s="73"/>
      <c r="AV1939" s="73"/>
      <c r="AW1939" s="73"/>
      <c r="AX1939" s="73"/>
      <c r="AY1939" s="73"/>
      <c r="AZ1939" s="73"/>
      <c r="BA1939" s="73"/>
      <c r="BB1939" s="73"/>
      <c r="BC1939" s="73"/>
      <c r="BD1939" s="73"/>
      <c r="BE1939" s="73"/>
      <c r="BF1939" s="73"/>
      <c r="BG1939" s="73"/>
      <c r="BH1939" s="73"/>
      <c r="BI1939" s="73"/>
      <c r="BJ1939" s="73"/>
      <c r="BK1939" s="73"/>
      <c r="BL1939" s="73"/>
      <c r="BM1939" s="73"/>
      <c r="BN1939" s="73"/>
      <c r="BO1939" s="73"/>
      <c r="BP1939" s="73"/>
      <c r="BQ1939" s="73"/>
      <c r="BR1939" s="73"/>
      <c r="BS1939" s="73"/>
      <c r="BT1939" s="73"/>
      <c r="BU1939" s="73"/>
      <c r="BV1939" s="73"/>
      <c r="BW1939" s="73"/>
      <c r="BX1939" s="73"/>
      <c r="BY1939" s="73"/>
      <c r="BZ1939" s="73"/>
      <c r="CA1939" s="73"/>
      <c r="CB1939" s="73"/>
      <c r="CC1939" s="73"/>
      <c r="CD1939" s="73"/>
      <c r="CE1939" s="73"/>
      <c r="CF1939" s="73"/>
      <c r="CG1939" s="73"/>
      <c r="CH1939" s="73"/>
    </row>
    <row r="1940">
      <c r="A1940" s="80"/>
      <c r="B1940" s="80"/>
      <c r="C1940" s="80"/>
      <c r="D1940" s="80"/>
      <c r="E1940" s="124"/>
      <c r="F1940" s="80"/>
      <c r="G1940" s="80"/>
      <c r="H1940" s="80"/>
      <c r="I1940" s="80"/>
      <c r="J1940" s="196"/>
      <c r="K1940" s="196"/>
      <c r="L1940" s="196"/>
      <c r="M1940" s="196"/>
      <c r="N1940" s="196"/>
      <c r="O1940" s="196"/>
      <c r="P1940" s="196"/>
      <c r="Q1940" s="196"/>
      <c r="R1940" s="196"/>
      <c r="S1940" s="196"/>
      <c r="T1940" s="196"/>
      <c r="U1940" s="196"/>
      <c r="V1940" s="196"/>
      <c r="W1940" s="196"/>
      <c r="X1940" s="196"/>
      <c r="Y1940" s="196"/>
      <c r="Z1940" s="196"/>
      <c r="AA1940" s="196"/>
      <c r="AB1940" s="196"/>
      <c r="AC1940" s="196"/>
      <c r="AD1940" s="196"/>
      <c r="AE1940" s="196"/>
      <c r="AF1940" s="196"/>
      <c r="AG1940" s="196"/>
      <c r="AH1940" s="196"/>
      <c r="AI1940" s="196"/>
      <c r="AJ1940" s="197"/>
      <c r="AK1940" s="80"/>
      <c r="AL1940" s="80"/>
      <c r="AM1940" s="73"/>
      <c r="AN1940" s="73"/>
      <c r="AO1940" s="73"/>
      <c r="AP1940" s="73"/>
      <c r="AQ1940" s="73"/>
      <c r="AR1940" s="73"/>
      <c r="AS1940" s="73"/>
      <c r="AT1940" s="73"/>
      <c r="AU1940" s="73"/>
      <c r="AV1940" s="73"/>
      <c r="AW1940" s="73"/>
      <c r="AX1940" s="73"/>
      <c r="AY1940" s="73"/>
      <c r="AZ1940" s="73"/>
      <c r="BA1940" s="73"/>
      <c r="BB1940" s="73"/>
      <c r="BC1940" s="73"/>
      <c r="BD1940" s="73"/>
      <c r="BE1940" s="73"/>
      <c r="BF1940" s="73"/>
      <c r="BG1940" s="73"/>
      <c r="BH1940" s="73"/>
      <c r="BI1940" s="73"/>
      <c r="BJ1940" s="73"/>
      <c r="BK1940" s="73"/>
      <c r="BL1940" s="73"/>
      <c r="BM1940" s="73"/>
      <c r="BN1940" s="73"/>
      <c r="BO1940" s="73"/>
      <c r="BP1940" s="73"/>
      <c r="BQ1940" s="73"/>
      <c r="BR1940" s="73"/>
      <c r="BS1940" s="73"/>
      <c r="BT1940" s="73"/>
      <c r="BU1940" s="73"/>
      <c r="BV1940" s="73"/>
      <c r="BW1940" s="73"/>
      <c r="BX1940" s="73"/>
      <c r="BY1940" s="73"/>
      <c r="BZ1940" s="73"/>
      <c r="CA1940" s="73"/>
      <c r="CB1940" s="73"/>
      <c r="CC1940" s="73"/>
      <c r="CD1940" s="73"/>
      <c r="CE1940" s="73"/>
      <c r="CF1940" s="73"/>
      <c r="CG1940" s="73"/>
      <c r="CH1940" s="73"/>
    </row>
    <row r="1941">
      <c r="A1941" s="80"/>
      <c r="B1941" s="80"/>
      <c r="C1941" s="80"/>
      <c r="D1941" s="80"/>
      <c r="E1941" s="124"/>
      <c r="F1941" s="80"/>
      <c r="G1941" s="80"/>
      <c r="H1941" s="80"/>
      <c r="I1941" s="80"/>
      <c r="J1941" s="196"/>
      <c r="K1941" s="196"/>
      <c r="L1941" s="196"/>
      <c r="M1941" s="196"/>
      <c r="N1941" s="196"/>
      <c r="O1941" s="196"/>
      <c r="P1941" s="196"/>
      <c r="Q1941" s="196"/>
      <c r="R1941" s="196"/>
      <c r="S1941" s="196"/>
      <c r="T1941" s="196"/>
      <c r="U1941" s="196"/>
      <c r="V1941" s="196"/>
      <c r="W1941" s="196"/>
      <c r="X1941" s="196"/>
      <c r="Y1941" s="196"/>
      <c r="Z1941" s="196"/>
      <c r="AA1941" s="196"/>
      <c r="AB1941" s="196"/>
      <c r="AC1941" s="196"/>
      <c r="AD1941" s="196"/>
      <c r="AE1941" s="196"/>
      <c r="AF1941" s="196"/>
      <c r="AG1941" s="196"/>
      <c r="AH1941" s="196"/>
      <c r="AI1941" s="196"/>
      <c r="AJ1941" s="197"/>
      <c r="AK1941" s="80"/>
      <c r="AL1941" s="80"/>
      <c r="AM1941" s="73"/>
      <c r="AN1941" s="73"/>
      <c r="AO1941" s="73"/>
      <c r="AP1941" s="73"/>
      <c r="AQ1941" s="73"/>
      <c r="AR1941" s="73"/>
      <c r="AS1941" s="73"/>
      <c r="AT1941" s="73"/>
      <c r="AU1941" s="73"/>
      <c r="AV1941" s="73"/>
      <c r="AW1941" s="73"/>
      <c r="AX1941" s="73"/>
      <c r="AY1941" s="73"/>
      <c r="AZ1941" s="73"/>
      <c r="BA1941" s="73"/>
      <c r="BB1941" s="73"/>
      <c r="BC1941" s="73"/>
      <c r="BD1941" s="73"/>
      <c r="BE1941" s="73"/>
      <c r="BF1941" s="73"/>
      <c r="BG1941" s="73"/>
      <c r="BH1941" s="73"/>
      <c r="BI1941" s="73"/>
      <c r="BJ1941" s="73"/>
      <c r="BK1941" s="73"/>
      <c r="BL1941" s="73"/>
      <c r="BM1941" s="73"/>
      <c r="BN1941" s="73"/>
      <c r="BO1941" s="73"/>
      <c r="BP1941" s="73"/>
      <c r="BQ1941" s="73"/>
      <c r="BR1941" s="73"/>
      <c r="BS1941" s="73"/>
      <c r="BT1941" s="73"/>
      <c r="BU1941" s="73"/>
      <c r="BV1941" s="73"/>
      <c r="BW1941" s="73"/>
      <c r="BX1941" s="73"/>
      <c r="BY1941" s="73"/>
      <c r="BZ1941" s="73"/>
      <c r="CA1941" s="73"/>
      <c r="CB1941" s="73"/>
      <c r="CC1941" s="73"/>
      <c r="CD1941" s="73"/>
      <c r="CE1941" s="73"/>
      <c r="CF1941" s="73"/>
      <c r="CG1941" s="73"/>
      <c r="CH1941" s="73"/>
    </row>
    <row r="1942">
      <c r="A1942" s="80"/>
      <c r="B1942" s="80"/>
      <c r="C1942" s="80"/>
      <c r="D1942" s="80"/>
      <c r="E1942" s="124"/>
      <c r="F1942" s="80"/>
      <c r="G1942" s="80"/>
      <c r="H1942" s="80"/>
      <c r="I1942" s="80"/>
      <c r="J1942" s="196"/>
      <c r="K1942" s="196"/>
      <c r="L1942" s="196"/>
      <c r="M1942" s="196"/>
      <c r="N1942" s="196"/>
      <c r="O1942" s="196"/>
      <c r="P1942" s="196"/>
      <c r="Q1942" s="196"/>
      <c r="R1942" s="196"/>
      <c r="S1942" s="196"/>
      <c r="T1942" s="196"/>
      <c r="U1942" s="196"/>
      <c r="V1942" s="196"/>
      <c r="W1942" s="196"/>
      <c r="X1942" s="196"/>
      <c r="Y1942" s="196"/>
      <c r="Z1942" s="196"/>
      <c r="AA1942" s="196"/>
      <c r="AB1942" s="196"/>
      <c r="AC1942" s="196"/>
      <c r="AD1942" s="196"/>
      <c r="AE1942" s="196"/>
      <c r="AF1942" s="196"/>
      <c r="AG1942" s="196"/>
      <c r="AH1942" s="196"/>
      <c r="AI1942" s="196"/>
      <c r="AJ1942" s="197"/>
      <c r="AK1942" s="80"/>
      <c r="AL1942" s="80"/>
      <c r="AM1942" s="73"/>
      <c r="AN1942" s="73"/>
      <c r="AO1942" s="73"/>
      <c r="AP1942" s="73"/>
      <c r="AQ1942" s="73"/>
      <c r="AR1942" s="73"/>
      <c r="AS1942" s="73"/>
      <c r="AT1942" s="73"/>
      <c r="AU1942" s="73"/>
      <c r="AV1942" s="73"/>
      <c r="AW1942" s="73"/>
      <c r="AX1942" s="73"/>
      <c r="AY1942" s="73"/>
      <c r="AZ1942" s="73"/>
      <c r="BA1942" s="73"/>
      <c r="BB1942" s="73"/>
      <c r="BC1942" s="73"/>
      <c r="BD1942" s="73"/>
      <c r="BE1942" s="73"/>
      <c r="BF1942" s="73"/>
      <c r="BG1942" s="73"/>
      <c r="BH1942" s="73"/>
      <c r="BI1942" s="73"/>
      <c r="BJ1942" s="73"/>
      <c r="BK1942" s="73"/>
      <c r="BL1942" s="73"/>
      <c r="BM1942" s="73"/>
      <c r="BN1942" s="73"/>
      <c r="BO1942" s="73"/>
      <c r="BP1942" s="73"/>
      <c r="BQ1942" s="73"/>
      <c r="BR1942" s="73"/>
      <c r="BS1942" s="73"/>
      <c r="BT1942" s="73"/>
      <c r="BU1942" s="73"/>
      <c r="BV1942" s="73"/>
      <c r="BW1942" s="73"/>
      <c r="BX1942" s="73"/>
      <c r="BY1942" s="73"/>
      <c r="BZ1942" s="73"/>
      <c r="CA1942" s="73"/>
      <c r="CB1942" s="73"/>
      <c r="CC1942" s="73"/>
      <c r="CD1942" s="73"/>
      <c r="CE1942" s="73"/>
      <c r="CF1942" s="73"/>
      <c r="CG1942" s="73"/>
      <c r="CH1942" s="73"/>
    </row>
    <row r="1943">
      <c r="A1943" s="80"/>
      <c r="B1943" s="80"/>
      <c r="C1943" s="80"/>
      <c r="D1943" s="80"/>
      <c r="E1943" s="124"/>
      <c r="F1943" s="80"/>
      <c r="G1943" s="80"/>
      <c r="H1943" s="80"/>
      <c r="I1943" s="80"/>
      <c r="J1943" s="196"/>
      <c r="K1943" s="196"/>
      <c r="L1943" s="196"/>
      <c r="M1943" s="196"/>
      <c r="N1943" s="196"/>
      <c r="O1943" s="196"/>
      <c r="P1943" s="196"/>
      <c r="Q1943" s="196"/>
      <c r="R1943" s="196"/>
      <c r="S1943" s="196"/>
      <c r="T1943" s="196"/>
      <c r="U1943" s="196"/>
      <c r="V1943" s="196"/>
      <c r="W1943" s="196"/>
      <c r="X1943" s="196"/>
      <c r="Y1943" s="196"/>
      <c r="Z1943" s="196"/>
      <c r="AA1943" s="196"/>
      <c r="AB1943" s="196"/>
      <c r="AC1943" s="196"/>
      <c r="AD1943" s="196"/>
      <c r="AE1943" s="196"/>
      <c r="AF1943" s="196"/>
      <c r="AG1943" s="196"/>
      <c r="AH1943" s="196"/>
      <c r="AI1943" s="196"/>
      <c r="AJ1943" s="197"/>
      <c r="AK1943" s="80"/>
      <c r="AL1943" s="80"/>
      <c r="AM1943" s="73"/>
      <c r="AN1943" s="73"/>
      <c r="AO1943" s="73"/>
      <c r="AP1943" s="73"/>
      <c r="AQ1943" s="73"/>
      <c r="AR1943" s="73"/>
      <c r="AS1943" s="73"/>
      <c r="AT1943" s="73"/>
      <c r="AU1943" s="73"/>
      <c r="AV1943" s="73"/>
      <c r="AW1943" s="73"/>
      <c r="AX1943" s="73"/>
      <c r="AY1943" s="73"/>
      <c r="AZ1943" s="73"/>
      <c r="BA1943" s="73"/>
      <c r="BB1943" s="73"/>
      <c r="BC1943" s="73"/>
      <c r="BD1943" s="73"/>
      <c r="BE1943" s="73"/>
      <c r="BF1943" s="73"/>
      <c r="BG1943" s="73"/>
      <c r="BH1943" s="73"/>
      <c r="BI1943" s="73"/>
      <c r="BJ1943" s="73"/>
      <c r="BK1943" s="73"/>
      <c r="BL1943" s="73"/>
      <c r="BM1943" s="73"/>
      <c r="BN1943" s="73"/>
      <c r="BO1943" s="73"/>
      <c r="BP1943" s="73"/>
      <c r="BQ1943" s="73"/>
      <c r="BR1943" s="73"/>
      <c r="BS1943" s="73"/>
      <c r="BT1943" s="73"/>
      <c r="BU1943" s="73"/>
      <c r="BV1943" s="73"/>
      <c r="BW1943" s="73"/>
      <c r="BX1943" s="73"/>
      <c r="BY1943" s="73"/>
      <c r="BZ1943" s="73"/>
      <c r="CA1943" s="73"/>
      <c r="CB1943" s="73"/>
      <c r="CC1943" s="73"/>
      <c r="CD1943" s="73"/>
      <c r="CE1943" s="73"/>
      <c r="CF1943" s="73"/>
      <c r="CG1943" s="73"/>
      <c r="CH1943" s="73"/>
    </row>
    <row r="1944">
      <c r="A1944" s="80"/>
      <c r="B1944" s="80"/>
      <c r="C1944" s="80"/>
      <c r="D1944" s="80"/>
      <c r="E1944" s="124"/>
      <c r="F1944" s="80"/>
      <c r="G1944" s="80"/>
      <c r="H1944" s="80"/>
      <c r="I1944" s="80"/>
      <c r="J1944" s="196"/>
      <c r="K1944" s="196"/>
      <c r="L1944" s="196"/>
      <c r="M1944" s="196"/>
      <c r="N1944" s="196"/>
      <c r="O1944" s="196"/>
      <c r="P1944" s="196"/>
      <c r="Q1944" s="196"/>
      <c r="R1944" s="196"/>
      <c r="S1944" s="196"/>
      <c r="T1944" s="196"/>
      <c r="U1944" s="196"/>
      <c r="V1944" s="196"/>
      <c r="W1944" s="196"/>
      <c r="X1944" s="196"/>
      <c r="Y1944" s="196"/>
      <c r="Z1944" s="196"/>
      <c r="AA1944" s="196"/>
      <c r="AB1944" s="196"/>
      <c r="AC1944" s="196"/>
      <c r="AD1944" s="196"/>
      <c r="AE1944" s="196"/>
      <c r="AF1944" s="196"/>
      <c r="AG1944" s="196"/>
      <c r="AH1944" s="196"/>
      <c r="AI1944" s="196"/>
      <c r="AJ1944" s="197"/>
      <c r="AK1944" s="80"/>
      <c r="AL1944" s="80"/>
      <c r="AM1944" s="73"/>
      <c r="AN1944" s="73"/>
      <c r="AO1944" s="73"/>
      <c r="AP1944" s="73"/>
      <c r="AQ1944" s="73"/>
      <c r="AR1944" s="73"/>
      <c r="AS1944" s="73"/>
      <c r="AT1944" s="73"/>
      <c r="AU1944" s="73"/>
      <c r="AV1944" s="73"/>
      <c r="AW1944" s="73"/>
      <c r="AX1944" s="73"/>
      <c r="AY1944" s="73"/>
      <c r="AZ1944" s="73"/>
      <c r="BA1944" s="73"/>
      <c r="BB1944" s="73"/>
      <c r="BC1944" s="73"/>
      <c r="BD1944" s="73"/>
      <c r="BE1944" s="73"/>
      <c r="BF1944" s="73"/>
      <c r="BG1944" s="73"/>
      <c r="BH1944" s="73"/>
      <c r="BI1944" s="73"/>
      <c r="BJ1944" s="73"/>
      <c r="BK1944" s="73"/>
      <c r="BL1944" s="73"/>
      <c r="BM1944" s="73"/>
      <c r="BN1944" s="73"/>
      <c r="BO1944" s="73"/>
      <c r="BP1944" s="73"/>
      <c r="BQ1944" s="73"/>
      <c r="BR1944" s="73"/>
      <c r="BS1944" s="73"/>
      <c r="BT1944" s="73"/>
      <c r="BU1944" s="73"/>
      <c r="BV1944" s="73"/>
      <c r="BW1944" s="73"/>
      <c r="BX1944" s="73"/>
      <c r="BY1944" s="73"/>
      <c r="BZ1944" s="73"/>
      <c r="CA1944" s="73"/>
      <c r="CB1944" s="73"/>
      <c r="CC1944" s="73"/>
      <c r="CD1944" s="73"/>
      <c r="CE1944" s="73"/>
      <c r="CF1944" s="73"/>
      <c r="CG1944" s="73"/>
      <c r="CH1944" s="73"/>
    </row>
    <row r="1945">
      <c r="A1945" s="80"/>
      <c r="B1945" s="80"/>
      <c r="C1945" s="80"/>
      <c r="D1945" s="80"/>
      <c r="E1945" s="124"/>
      <c r="F1945" s="80"/>
      <c r="G1945" s="80"/>
      <c r="H1945" s="80"/>
      <c r="I1945" s="80"/>
      <c r="J1945" s="196"/>
      <c r="K1945" s="196"/>
      <c r="L1945" s="196"/>
      <c r="M1945" s="196"/>
      <c r="N1945" s="196"/>
      <c r="O1945" s="196"/>
      <c r="P1945" s="196"/>
      <c r="Q1945" s="196"/>
      <c r="R1945" s="196"/>
      <c r="S1945" s="196"/>
      <c r="T1945" s="196"/>
      <c r="U1945" s="196"/>
      <c r="V1945" s="196"/>
      <c r="W1945" s="196"/>
      <c r="X1945" s="196"/>
      <c r="Y1945" s="196"/>
      <c r="Z1945" s="196"/>
      <c r="AA1945" s="196"/>
      <c r="AB1945" s="196"/>
      <c r="AC1945" s="196"/>
      <c r="AD1945" s="196"/>
      <c r="AE1945" s="196"/>
      <c r="AF1945" s="196"/>
      <c r="AG1945" s="196"/>
      <c r="AH1945" s="196"/>
      <c r="AI1945" s="196"/>
      <c r="AJ1945" s="197"/>
      <c r="AK1945" s="80"/>
      <c r="AL1945" s="80"/>
      <c r="AM1945" s="73"/>
      <c r="AN1945" s="73"/>
      <c r="AO1945" s="73"/>
      <c r="AP1945" s="73"/>
      <c r="AQ1945" s="73"/>
      <c r="AR1945" s="73"/>
      <c r="AS1945" s="73"/>
      <c r="AT1945" s="73"/>
      <c r="AU1945" s="73"/>
      <c r="AV1945" s="73"/>
      <c r="AW1945" s="73"/>
      <c r="AX1945" s="73"/>
      <c r="AY1945" s="73"/>
      <c r="AZ1945" s="73"/>
      <c r="BA1945" s="73"/>
      <c r="BB1945" s="73"/>
      <c r="BC1945" s="73"/>
      <c r="BD1945" s="73"/>
      <c r="BE1945" s="73"/>
      <c r="BF1945" s="73"/>
      <c r="BG1945" s="73"/>
      <c r="BH1945" s="73"/>
      <c r="BI1945" s="73"/>
      <c r="BJ1945" s="73"/>
      <c r="BK1945" s="73"/>
      <c r="BL1945" s="73"/>
      <c r="BM1945" s="73"/>
      <c r="BN1945" s="73"/>
      <c r="BO1945" s="73"/>
      <c r="BP1945" s="73"/>
      <c r="BQ1945" s="73"/>
      <c r="BR1945" s="73"/>
      <c r="BS1945" s="73"/>
      <c r="BT1945" s="73"/>
      <c r="BU1945" s="73"/>
      <c r="BV1945" s="73"/>
      <c r="BW1945" s="73"/>
      <c r="BX1945" s="73"/>
      <c r="BY1945" s="73"/>
      <c r="BZ1945" s="73"/>
      <c r="CA1945" s="73"/>
      <c r="CB1945" s="73"/>
      <c r="CC1945" s="73"/>
      <c r="CD1945" s="73"/>
      <c r="CE1945" s="73"/>
      <c r="CF1945" s="73"/>
      <c r="CG1945" s="73"/>
      <c r="CH1945" s="73"/>
    </row>
    <row r="1946">
      <c r="A1946" s="80"/>
      <c r="B1946" s="80"/>
      <c r="C1946" s="80"/>
      <c r="D1946" s="80"/>
      <c r="E1946" s="124"/>
      <c r="F1946" s="80"/>
      <c r="G1946" s="80"/>
      <c r="H1946" s="80"/>
      <c r="I1946" s="80"/>
      <c r="J1946" s="196"/>
      <c r="K1946" s="196"/>
      <c r="L1946" s="196"/>
      <c r="M1946" s="196"/>
      <c r="N1946" s="196"/>
      <c r="O1946" s="196"/>
      <c r="P1946" s="196"/>
      <c r="Q1946" s="196"/>
      <c r="R1946" s="196"/>
      <c r="S1946" s="196"/>
      <c r="T1946" s="196"/>
      <c r="U1946" s="196"/>
      <c r="V1946" s="196"/>
      <c r="W1946" s="196"/>
      <c r="X1946" s="196"/>
      <c r="Y1946" s="196"/>
      <c r="Z1946" s="196"/>
      <c r="AA1946" s="196"/>
      <c r="AB1946" s="196"/>
      <c r="AC1946" s="196"/>
      <c r="AD1946" s="196"/>
      <c r="AE1946" s="196"/>
      <c r="AF1946" s="196"/>
      <c r="AG1946" s="196"/>
      <c r="AH1946" s="196"/>
      <c r="AI1946" s="196"/>
      <c r="AJ1946" s="197"/>
      <c r="AK1946" s="80"/>
      <c r="AL1946" s="80"/>
      <c r="AM1946" s="73"/>
      <c r="AN1946" s="73"/>
      <c r="AO1946" s="73"/>
      <c r="AP1946" s="73"/>
      <c r="AQ1946" s="73"/>
      <c r="AR1946" s="73"/>
      <c r="AS1946" s="73"/>
      <c r="AT1946" s="73"/>
      <c r="AU1946" s="73"/>
      <c r="AV1946" s="73"/>
      <c r="AW1946" s="73"/>
      <c r="AX1946" s="73"/>
      <c r="AY1946" s="73"/>
      <c r="AZ1946" s="73"/>
      <c r="BA1946" s="73"/>
      <c r="BB1946" s="73"/>
      <c r="BC1946" s="73"/>
      <c r="BD1946" s="73"/>
      <c r="BE1946" s="73"/>
      <c r="BF1946" s="73"/>
      <c r="BG1946" s="73"/>
      <c r="BH1946" s="73"/>
      <c r="BI1946" s="73"/>
      <c r="BJ1946" s="73"/>
      <c r="BK1946" s="73"/>
      <c r="BL1946" s="73"/>
      <c r="BM1946" s="73"/>
      <c r="BN1946" s="73"/>
      <c r="BO1946" s="73"/>
      <c r="BP1946" s="73"/>
      <c r="BQ1946" s="73"/>
      <c r="BR1946" s="73"/>
      <c r="BS1946" s="73"/>
      <c r="BT1946" s="73"/>
      <c r="BU1946" s="73"/>
      <c r="BV1946" s="73"/>
      <c r="BW1946" s="73"/>
      <c r="BX1946" s="73"/>
      <c r="BY1946" s="73"/>
      <c r="BZ1946" s="73"/>
      <c r="CA1946" s="73"/>
      <c r="CB1946" s="73"/>
      <c r="CC1946" s="73"/>
      <c r="CD1946" s="73"/>
      <c r="CE1946" s="73"/>
      <c r="CF1946" s="73"/>
      <c r="CG1946" s="73"/>
      <c r="CH1946" s="73"/>
    </row>
    <row r="1947">
      <c r="A1947" s="80"/>
      <c r="B1947" s="80"/>
      <c r="C1947" s="80"/>
      <c r="D1947" s="80"/>
      <c r="E1947" s="124"/>
      <c r="F1947" s="80"/>
      <c r="G1947" s="80"/>
      <c r="H1947" s="80"/>
      <c r="I1947" s="80"/>
      <c r="J1947" s="196"/>
      <c r="K1947" s="196"/>
      <c r="L1947" s="196"/>
      <c r="M1947" s="196"/>
      <c r="N1947" s="196"/>
      <c r="O1947" s="196"/>
      <c r="P1947" s="196"/>
      <c r="Q1947" s="196"/>
      <c r="R1947" s="196"/>
      <c r="S1947" s="196"/>
      <c r="T1947" s="196"/>
      <c r="U1947" s="196"/>
      <c r="V1947" s="196"/>
      <c r="W1947" s="196"/>
      <c r="X1947" s="196"/>
      <c r="Y1947" s="196"/>
      <c r="Z1947" s="196"/>
      <c r="AA1947" s="196"/>
      <c r="AB1947" s="196"/>
      <c r="AC1947" s="196"/>
      <c r="AD1947" s="196"/>
      <c r="AE1947" s="196"/>
      <c r="AF1947" s="196"/>
      <c r="AG1947" s="196"/>
      <c r="AH1947" s="196"/>
      <c r="AI1947" s="196"/>
      <c r="AJ1947" s="197"/>
      <c r="AK1947" s="80"/>
      <c r="AL1947" s="80"/>
      <c r="AM1947" s="73"/>
      <c r="AN1947" s="73"/>
      <c r="AO1947" s="73"/>
      <c r="AP1947" s="73"/>
      <c r="AQ1947" s="73"/>
      <c r="AR1947" s="73"/>
      <c r="AS1947" s="73"/>
      <c r="AT1947" s="73"/>
      <c r="AU1947" s="73"/>
      <c r="AV1947" s="73"/>
      <c r="AW1947" s="73"/>
      <c r="AX1947" s="73"/>
      <c r="AY1947" s="73"/>
      <c r="AZ1947" s="73"/>
      <c r="BA1947" s="73"/>
      <c r="BB1947" s="73"/>
      <c r="BC1947" s="73"/>
      <c r="BD1947" s="73"/>
      <c r="BE1947" s="73"/>
      <c r="BF1947" s="73"/>
      <c r="BG1947" s="73"/>
      <c r="BH1947" s="73"/>
      <c r="BI1947" s="73"/>
      <c r="BJ1947" s="73"/>
      <c r="BK1947" s="73"/>
      <c r="BL1947" s="73"/>
      <c r="BM1947" s="73"/>
      <c r="BN1947" s="73"/>
      <c r="BO1947" s="73"/>
      <c r="BP1947" s="73"/>
      <c r="BQ1947" s="73"/>
      <c r="BR1947" s="73"/>
      <c r="BS1947" s="73"/>
      <c r="BT1947" s="73"/>
      <c r="BU1947" s="73"/>
      <c r="BV1947" s="73"/>
      <c r="BW1947" s="73"/>
      <c r="BX1947" s="73"/>
      <c r="BY1947" s="73"/>
      <c r="BZ1947" s="73"/>
      <c r="CA1947" s="73"/>
      <c r="CB1947" s="73"/>
      <c r="CC1947" s="73"/>
      <c r="CD1947" s="73"/>
      <c r="CE1947" s="73"/>
      <c r="CF1947" s="73"/>
      <c r="CG1947" s="73"/>
      <c r="CH1947" s="73"/>
    </row>
    <row r="1948">
      <c r="A1948" s="80"/>
      <c r="B1948" s="80"/>
      <c r="C1948" s="80"/>
      <c r="D1948" s="80"/>
      <c r="E1948" s="124"/>
      <c r="F1948" s="80"/>
      <c r="G1948" s="80"/>
      <c r="H1948" s="80"/>
      <c r="I1948" s="80"/>
      <c r="J1948" s="196"/>
      <c r="K1948" s="196"/>
      <c r="L1948" s="196"/>
      <c r="M1948" s="196"/>
      <c r="N1948" s="196"/>
      <c r="O1948" s="196"/>
      <c r="P1948" s="196"/>
      <c r="Q1948" s="196"/>
      <c r="R1948" s="196"/>
      <c r="S1948" s="196"/>
      <c r="T1948" s="196"/>
      <c r="U1948" s="196"/>
      <c r="V1948" s="196"/>
      <c r="W1948" s="196"/>
      <c r="X1948" s="196"/>
      <c r="Y1948" s="196"/>
      <c r="Z1948" s="196"/>
      <c r="AA1948" s="196"/>
      <c r="AB1948" s="196"/>
      <c r="AC1948" s="196"/>
      <c r="AD1948" s="196"/>
      <c r="AE1948" s="196"/>
      <c r="AF1948" s="196"/>
      <c r="AG1948" s="196"/>
      <c r="AH1948" s="196"/>
      <c r="AI1948" s="196"/>
      <c r="AJ1948" s="197"/>
      <c r="AK1948" s="80"/>
      <c r="AL1948" s="80"/>
      <c r="AM1948" s="73"/>
      <c r="AN1948" s="73"/>
      <c r="AO1948" s="73"/>
      <c r="AP1948" s="73"/>
      <c r="AQ1948" s="73"/>
      <c r="AR1948" s="73"/>
      <c r="AS1948" s="73"/>
      <c r="AT1948" s="73"/>
      <c r="AU1948" s="73"/>
      <c r="AV1948" s="73"/>
      <c r="AW1948" s="73"/>
      <c r="AX1948" s="73"/>
      <c r="AY1948" s="73"/>
      <c r="AZ1948" s="73"/>
      <c r="BA1948" s="73"/>
      <c r="BB1948" s="73"/>
      <c r="BC1948" s="73"/>
      <c r="BD1948" s="73"/>
      <c r="BE1948" s="73"/>
      <c r="BF1948" s="73"/>
      <c r="BG1948" s="73"/>
      <c r="BH1948" s="73"/>
      <c r="BI1948" s="73"/>
      <c r="BJ1948" s="73"/>
      <c r="BK1948" s="73"/>
      <c r="BL1948" s="73"/>
      <c r="BM1948" s="73"/>
      <c r="BN1948" s="73"/>
      <c r="BO1948" s="73"/>
      <c r="BP1948" s="73"/>
      <c r="BQ1948" s="73"/>
      <c r="BR1948" s="73"/>
      <c r="BS1948" s="73"/>
      <c r="BT1948" s="73"/>
      <c r="BU1948" s="73"/>
      <c r="BV1948" s="73"/>
      <c r="BW1948" s="73"/>
      <c r="BX1948" s="73"/>
      <c r="BY1948" s="73"/>
      <c r="BZ1948" s="73"/>
      <c r="CA1948" s="73"/>
      <c r="CB1948" s="73"/>
      <c r="CC1948" s="73"/>
      <c r="CD1948" s="73"/>
      <c r="CE1948" s="73"/>
      <c r="CF1948" s="73"/>
      <c r="CG1948" s="73"/>
      <c r="CH1948" s="73"/>
    </row>
    <row r="1949">
      <c r="A1949" s="80"/>
      <c r="B1949" s="80"/>
      <c r="C1949" s="80"/>
      <c r="D1949" s="80"/>
      <c r="E1949" s="124"/>
      <c r="F1949" s="80"/>
      <c r="G1949" s="80"/>
      <c r="H1949" s="80"/>
      <c r="I1949" s="80"/>
      <c r="J1949" s="196"/>
      <c r="K1949" s="196"/>
      <c r="L1949" s="196"/>
      <c r="M1949" s="196"/>
      <c r="N1949" s="196"/>
      <c r="O1949" s="196"/>
      <c r="P1949" s="196"/>
      <c r="Q1949" s="196"/>
      <c r="R1949" s="196"/>
      <c r="S1949" s="196"/>
      <c r="T1949" s="196"/>
      <c r="U1949" s="196"/>
      <c r="V1949" s="196"/>
      <c r="W1949" s="196"/>
      <c r="X1949" s="196"/>
      <c r="Y1949" s="196"/>
      <c r="Z1949" s="196"/>
      <c r="AA1949" s="196"/>
      <c r="AB1949" s="196"/>
      <c r="AC1949" s="196"/>
      <c r="AD1949" s="196"/>
      <c r="AE1949" s="196"/>
      <c r="AF1949" s="196"/>
      <c r="AG1949" s="196"/>
      <c r="AH1949" s="196"/>
      <c r="AI1949" s="196"/>
      <c r="AJ1949" s="197"/>
      <c r="AK1949" s="80"/>
      <c r="AL1949" s="80"/>
      <c r="AM1949" s="73"/>
      <c r="AN1949" s="73"/>
      <c r="AO1949" s="73"/>
      <c r="AP1949" s="73"/>
      <c r="AQ1949" s="73"/>
      <c r="AR1949" s="73"/>
      <c r="AS1949" s="73"/>
      <c r="AT1949" s="73"/>
      <c r="AU1949" s="73"/>
      <c r="AV1949" s="73"/>
      <c r="AW1949" s="73"/>
      <c r="AX1949" s="73"/>
      <c r="AY1949" s="73"/>
      <c r="AZ1949" s="73"/>
      <c r="BA1949" s="73"/>
      <c r="BB1949" s="73"/>
      <c r="BC1949" s="73"/>
      <c r="BD1949" s="73"/>
      <c r="BE1949" s="73"/>
      <c r="BF1949" s="73"/>
      <c r="BG1949" s="73"/>
      <c r="BH1949" s="73"/>
      <c r="BI1949" s="73"/>
      <c r="BJ1949" s="73"/>
      <c r="BK1949" s="73"/>
      <c r="BL1949" s="73"/>
      <c r="BM1949" s="73"/>
      <c r="BN1949" s="73"/>
      <c r="BO1949" s="73"/>
      <c r="BP1949" s="73"/>
      <c r="BQ1949" s="73"/>
      <c r="BR1949" s="73"/>
      <c r="BS1949" s="73"/>
      <c r="BT1949" s="73"/>
      <c r="BU1949" s="73"/>
      <c r="BV1949" s="73"/>
      <c r="BW1949" s="73"/>
      <c r="BX1949" s="73"/>
      <c r="BY1949" s="73"/>
      <c r="BZ1949" s="73"/>
      <c r="CA1949" s="73"/>
      <c r="CB1949" s="73"/>
      <c r="CC1949" s="73"/>
      <c r="CD1949" s="73"/>
      <c r="CE1949" s="73"/>
      <c r="CF1949" s="73"/>
      <c r="CG1949" s="73"/>
      <c r="CH1949" s="73"/>
    </row>
    <row r="1950">
      <c r="A1950" s="80"/>
      <c r="B1950" s="80"/>
      <c r="C1950" s="80"/>
      <c r="D1950" s="80"/>
      <c r="E1950" s="124"/>
      <c r="F1950" s="80"/>
      <c r="G1950" s="80"/>
      <c r="H1950" s="80"/>
      <c r="I1950" s="80"/>
      <c r="J1950" s="196"/>
      <c r="K1950" s="196"/>
      <c r="L1950" s="196"/>
      <c r="M1950" s="196"/>
      <c r="N1950" s="196"/>
      <c r="O1950" s="196"/>
      <c r="P1950" s="196"/>
      <c r="Q1950" s="196"/>
      <c r="R1950" s="196"/>
      <c r="S1950" s="196"/>
      <c r="T1950" s="196"/>
      <c r="U1950" s="196"/>
      <c r="V1950" s="196"/>
      <c r="W1950" s="196"/>
      <c r="X1950" s="196"/>
      <c r="Y1950" s="196"/>
      <c r="Z1950" s="196"/>
      <c r="AA1950" s="196"/>
      <c r="AB1950" s="196"/>
      <c r="AC1950" s="196"/>
      <c r="AD1950" s="196"/>
      <c r="AE1950" s="196"/>
      <c r="AF1950" s="196"/>
      <c r="AG1950" s="196"/>
      <c r="AH1950" s="196"/>
      <c r="AI1950" s="196"/>
      <c r="AJ1950" s="197"/>
      <c r="AK1950" s="80"/>
      <c r="AL1950" s="80"/>
      <c r="AM1950" s="73"/>
      <c r="AN1950" s="73"/>
      <c r="AO1950" s="73"/>
      <c r="AP1950" s="73"/>
      <c r="AQ1950" s="73"/>
      <c r="AR1950" s="73"/>
      <c r="AS1950" s="73"/>
      <c r="AT1950" s="73"/>
      <c r="AU1950" s="73"/>
      <c r="AV1950" s="73"/>
      <c r="AW1950" s="73"/>
      <c r="AX1950" s="73"/>
      <c r="AY1950" s="73"/>
      <c r="AZ1950" s="73"/>
      <c r="BA1950" s="73"/>
      <c r="BB1950" s="73"/>
      <c r="BC1950" s="73"/>
      <c r="BD1950" s="73"/>
      <c r="BE1950" s="73"/>
      <c r="BF1950" s="73"/>
      <c r="BG1950" s="73"/>
      <c r="BH1950" s="73"/>
      <c r="BI1950" s="73"/>
      <c r="BJ1950" s="73"/>
      <c r="BK1950" s="73"/>
      <c r="BL1950" s="73"/>
      <c r="BM1950" s="73"/>
      <c r="BN1950" s="73"/>
      <c r="BO1950" s="73"/>
      <c r="BP1950" s="73"/>
      <c r="BQ1950" s="73"/>
      <c r="BR1950" s="73"/>
      <c r="BS1950" s="73"/>
      <c r="BT1950" s="73"/>
      <c r="BU1950" s="73"/>
      <c r="BV1950" s="73"/>
      <c r="BW1950" s="73"/>
      <c r="BX1950" s="73"/>
      <c r="BY1950" s="73"/>
      <c r="BZ1950" s="73"/>
      <c r="CA1950" s="73"/>
      <c r="CB1950" s="73"/>
      <c r="CC1950" s="73"/>
      <c r="CD1950" s="73"/>
      <c r="CE1950" s="73"/>
      <c r="CF1950" s="73"/>
      <c r="CG1950" s="73"/>
      <c r="CH1950" s="73"/>
    </row>
    <row r="1951">
      <c r="A1951" s="80"/>
      <c r="B1951" s="80"/>
      <c r="C1951" s="80"/>
      <c r="D1951" s="80"/>
      <c r="E1951" s="124"/>
      <c r="F1951" s="80"/>
      <c r="G1951" s="80"/>
      <c r="H1951" s="80"/>
      <c r="I1951" s="80"/>
      <c r="J1951" s="196"/>
      <c r="K1951" s="196"/>
      <c r="L1951" s="196"/>
      <c r="M1951" s="196"/>
      <c r="N1951" s="196"/>
      <c r="O1951" s="196"/>
      <c r="P1951" s="196"/>
      <c r="Q1951" s="196"/>
      <c r="R1951" s="196"/>
      <c r="S1951" s="196"/>
      <c r="T1951" s="196"/>
      <c r="U1951" s="196"/>
      <c r="V1951" s="196"/>
      <c r="W1951" s="196"/>
      <c r="X1951" s="196"/>
      <c r="Y1951" s="196"/>
      <c r="Z1951" s="196"/>
      <c r="AA1951" s="196"/>
      <c r="AB1951" s="196"/>
      <c r="AC1951" s="196"/>
      <c r="AD1951" s="196"/>
      <c r="AE1951" s="196"/>
      <c r="AF1951" s="196"/>
      <c r="AG1951" s="196"/>
      <c r="AH1951" s="196"/>
      <c r="AI1951" s="196"/>
      <c r="AJ1951" s="197"/>
      <c r="AK1951" s="80"/>
      <c r="AL1951" s="80"/>
      <c r="AM1951" s="73"/>
      <c r="AN1951" s="73"/>
      <c r="AO1951" s="73"/>
      <c r="AP1951" s="73"/>
      <c r="AQ1951" s="73"/>
      <c r="AR1951" s="73"/>
      <c r="AS1951" s="73"/>
      <c r="AT1951" s="73"/>
      <c r="AU1951" s="73"/>
      <c r="AV1951" s="73"/>
      <c r="AW1951" s="73"/>
      <c r="AX1951" s="73"/>
      <c r="AY1951" s="73"/>
      <c r="AZ1951" s="73"/>
      <c r="BA1951" s="73"/>
      <c r="BB1951" s="73"/>
      <c r="BC1951" s="73"/>
      <c r="BD1951" s="73"/>
      <c r="BE1951" s="73"/>
      <c r="BF1951" s="73"/>
      <c r="BG1951" s="73"/>
      <c r="BH1951" s="73"/>
      <c r="BI1951" s="73"/>
      <c r="BJ1951" s="73"/>
      <c r="BK1951" s="73"/>
      <c r="BL1951" s="73"/>
      <c r="BM1951" s="73"/>
      <c r="BN1951" s="73"/>
      <c r="BO1951" s="73"/>
      <c r="BP1951" s="73"/>
      <c r="BQ1951" s="73"/>
      <c r="BR1951" s="73"/>
      <c r="BS1951" s="73"/>
      <c r="BT1951" s="73"/>
      <c r="BU1951" s="73"/>
      <c r="BV1951" s="73"/>
      <c r="BW1951" s="73"/>
      <c r="BX1951" s="73"/>
      <c r="BY1951" s="73"/>
      <c r="BZ1951" s="73"/>
      <c r="CA1951" s="73"/>
      <c r="CB1951" s="73"/>
      <c r="CC1951" s="73"/>
      <c r="CD1951" s="73"/>
      <c r="CE1951" s="73"/>
      <c r="CF1951" s="73"/>
      <c r="CG1951" s="73"/>
      <c r="CH1951" s="73"/>
    </row>
    <row r="1952">
      <c r="A1952" s="80"/>
      <c r="B1952" s="80"/>
      <c r="C1952" s="80"/>
      <c r="D1952" s="80"/>
      <c r="E1952" s="124"/>
      <c r="F1952" s="80"/>
      <c r="G1952" s="80"/>
      <c r="H1952" s="80"/>
      <c r="I1952" s="80"/>
      <c r="J1952" s="196"/>
      <c r="K1952" s="196"/>
      <c r="L1952" s="196"/>
      <c r="M1952" s="196"/>
      <c r="N1952" s="196"/>
      <c r="O1952" s="196"/>
      <c r="P1952" s="196"/>
      <c r="Q1952" s="196"/>
      <c r="R1952" s="196"/>
      <c r="S1952" s="196"/>
      <c r="T1952" s="196"/>
      <c r="U1952" s="196"/>
      <c r="V1952" s="196"/>
      <c r="W1952" s="196"/>
      <c r="X1952" s="196"/>
      <c r="Y1952" s="196"/>
      <c r="Z1952" s="196"/>
      <c r="AA1952" s="196"/>
      <c r="AB1952" s="196"/>
      <c r="AC1952" s="196"/>
      <c r="AD1952" s="196"/>
      <c r="AE1952" s="196"/>
      <c r="AF1952" s="196"/>
      <c r="AG1952" s="196"/>
      <c r="AH1952" s="196"/>
      <c r="AI1952" s="196"/>
      <c r="AJ1952" s="197"/>
      <c r="AK1952" s="80"/>
      <c r="AL1952" s="80"/>
      <c r="AM1952" s="73"/>
      <c r="AN1952" s="73"/>
      <c r="AO1952" s="73"/>
      <c r="AP1952" s="73"/>
      <c r="AQ1952" s="73"/>
      <c r="AR1952" s="73"/>
      <c r="AS1952" s="73"/>
      <c r="AT1952" s="73"/>
      <c r="AU1952" s="73"/>
      <c r="AV1952" s="73"/>
      <c r="AW1952" s="73"/>
      <c r="AX1952" s="73"/>
      <c r="AY1952" s="73"/>
      <c r="AZ1952" s="73"/>
      <c r="BA1952" s="73"/>
      <c r="BB1952" s="73"/>
      <c r="BC1952" s="73"/>
      <c r="BD1952" s="73"/>
      <c r="BE1952" s="73"/>
      <c r="BF1952" s="73"/>
      <c r="BG1952" s="73"/>
      <c r="BH1952" s="73"/>
      <c r="BI1952" s="73"/>
      <c r="BJ1952" s="73"/>
      <c r="BK1952" s="73"/>
      <c r="BL1952" s="73"/>
      <c r="BM1952" s="73"/>
      <c r="BN1952" s="73"/>
      <c r="BO1952" s="73"/>
      <c r="BP1952" s="73"/>
      <c r="BQ1952" s="73"/>
      <c r="BR1952" s="73"/>
      <c r="BS1952" s="73"/>
      <c r="BT1952" s="73"/>
      <c r="BU1952" s="73"/>
      <c r="BV1952" s="73"/>
      <c r="BW1952" s="73"/>
      <c r="BX1952" s="73"/>
      <c r="BY1952" s="73"/>
      <c r="BZ1952" s="73"/>
      <c r="CA1952" s="73"/>
      <c r="CB1952" s="73"/>
      <c r="CC1952" s="73"/>
      <c r="CD1952" s="73"/>
      <c r="CE1952" s="73"/>
      <c r="CF1952" s="73"/>
      <c r="CG1952" s="73"/>
      <c r="CH1952" s="73"/>
    </row>
    <row r="1953">
      <c r="A1953" s="80"/>
      <c r="B1953" s="80"/>
      <c r="C1953" s="80"/>
      <c r="D1953" s="80"/>
      <c r="E1953" s="124"/>
      <c r="F1953" s="80"/>
      <c r="G1953" s="80"/>
      <c r="H1953" s="80"/>
      <c r="I1953" s="80"/>
      <c r="J1953" s="196"/>
      <c r="K1953" s="196"/>
      <c r="L1953" s="196"/>
      <c r="M1953" s="196"/>
      <c r="N1953" s="196"/>
      <c r="O1953" s="196"/>
      <c r="P1953" s="196"/>
      <c r="Q1953" s="196"/>
      <c r="R1953" s="196"/>
      <c r="S1953" s="196"/>
      <c r="T1953" s="196"/>
      <c r="U1953" s="196"/>
      <c r="V1953" s="196"/>
      <c r="W1953" s="196"/>
      <c r="X1953" s="196"/>
      <c r="Y1953" s="196"/>
      <c r="Z1953" s="196"/>
      <c r="AA1953" s="196"/>
      <c r="AB1953" s="196"/>
      <c r="AC1953" s="196"/>
      <c r="AD1953" s="196"/>
      <c r="AE1953" s="196"/>
      <c r="AF1953" s="196"/>
      <c r="AG1953" s="196"/>
      <c r="AH1953" s="196"/>
      <c r="AI1953" s="196"/>
      <c r="AJ1953" s="197"/>
      <c r="AK1953" s="80"/>
      <c r="AL1953" s="80"/>
      <c r="AM1953" s="73"/>
      <c r="AN1953" s="73"/>
      <c r="AO1953" s="73"/>
      <c r="AP1953" s="73"/>
      <c r="AQ1953" s="73"/>
      <c r="AR1953" s="73"/>
      <c r="AS1953" s="73"/>
      <c r="AT1953" s="73"/>
      <c r="AU1953" s="73"/>
      <c r="AV1953" s="73"/>
      <c r="AW1953" s="73"/>
      <c r="AX1953" s="73"/>
      <c r="AY1953" s="73"/>
      <c r="AZ1953" s="73"/>
      <c r="BA1953" s="73"/>
      <c r="BB1953" s="73"/>
      <c r="BC1953" s="73"/>
      <c r="BD1953" s="73"/>
      <c r="BE1953" s="73"/>
      <c r="BF1953" s="73"/>
      <c r="BG1953" s="73"/>
      <c r="BH1953" s="73"/>
      <c r="BI1953" s="73"/>
      <c r="BJ1953" s="73"/>
      <c r="BK1953" s="73"/>
      <c r="BL1953" s="73"/>
      <c r="BM1953" s="73"/>
      <c r="BN1953" s="73"/>
      <c r="BO1953" s="73"/>
      <c r="BP1953" s="73"/>
      <c r="BQ1953" s="73"/>
      <c r="BR1953" s="73"/>
      <c r="BS1953" s="73"/>
      <c r="BT1953" s="73"/>
      <c r="BU1953" s="73"/>
      <c r="BV1953" s="73"/>
      <c r="BW1953" s="73"/>
      <c r="BX1953" s="73"/>
      <c r="BY1953" s="73"/>
      <c r="BZ1953" s="73"/>
      <c r="CA1953" s="73"/>
      <c r="CB1953" s="73"/>
      <c r="CC1953" s="73"/>
      <c r="CD1953" s="73"/>
      <c r="CE1953" s="73"/>
      <c r="CF1953" s="73"/>
      <c r="CG1953" s="73"/>
      <c r="CH1953" s="73"/>
    </row>
    <row r="1954">
      <c r="A1954" s="80"/>
      <c r="B1954" s="80"/>
      <c r="C1954" s="80"/>
      <c r="D1954" s="80"/>
      <c r="E1954" s="124"/>
      <c r="F1954" s="80"/>
      <c r="G1954" s="80"/>
      <c r="H1954" s="80"/>
      <c r="I1954" s="80"/>
      <c r="J1954" s="196"/>
      <c r="K1954" s="196"/>
      <c r="L1954" s="196"/>
      <c r="M1954" s="196"/>
      <c r="N1954" s="196"/>
      <c r="O1954" s="196"/>
      <c r="P1954" s="196"/>
      <c r="Q1954" s="196"/>
      <c r="R1954" s="196"/>
      <c r="S1954" s="196"/>
      <c r="T1954" s="196"/>
      <c r="U1954" s="196"/>
      <c r="V1954" s="196"/>
      <c r="W1954" s="196"/>
      <c r="X1954" s="196"/>
      <c r="Y1954" s="196"/>
      <c r="Z1954" s="196"/>
      <c r="AA1954" s="196"/>
      <c r="AB1954" s="196"/>
      <c r="AC1954" s="196"/>
      <c r="AD1954" s="196"/>
      <c r="AE1954" s="196"/>
      <c r="AF1954" s="196"/>
      <c r="AG1954" s="196"/>
      <c r="AH1954" s="196"/>
      <c r="AI1954" s="196"/>
      <c r="AJ1954" s="197"/>
      <c r="AK1954" s="80"/>
      <c r="AL1954" s="80"/>
      <c r="AM1954" s="73"/>
      <c r="AN1954" s="73"/>
      <c r="AO1954" s="73"/>
      <c r="AP1954" s="73"/>
      <c r="AQ1954" s="73"/>
      <c r="AR1954" s="73"/>
      <c r="AS1954" s="73"/>
      <c r="AT1954" s="73"/>
      <c r="AU1954" s="73"/>
      <c r="AV1954" s="73"/>
      <c r="AW1954" s="73"/>
      <c r="AX1954" s="73"/>
      <c r="AY1954" s="73"/>
      <c r="AZ1954" s="73"/>
      <c r="BA1954" s="73"/>
      <c r="BB1954" s="73"/>
      <c r="BC1954" s="73"/>
      <c r="BD1954" s="73"/>
      <c r="BE1954" s="73"/>
      <c r="BF1954" s="73"/>
      <c r="BG1954" s="73"/>
      <c r="BH1954" s="73"/>
      <c r="BI1954" s="73"/>
      <c r="BJ1954" s="73"/>
      <c r="BK1954" s="73"/>
      <c r="BL1954" s="73"/>
      <c r="BM1954" s="73"/>
      <c r="BN1954" s="73"/>
      <c r="BO1954" s="73"/>
      <c r="BP1954" s="73"/>
      <c r="BQ1954" s="73"/>
      <c r="BR1954" s="73"/>
      <c r="BS1954" s="73"/>
      <c r="BT1954" s="73"/>
      <c r="BU1954" s="73"/>
      <c r="BV1954" s="73"/>
      <c r="BW1954" s="73"/>
      <c r="BX1954" s="73"/>
      <c r="BY1954" s="73"/>
      <c r="BZ1954" s="73"/>
      <c r="CA1954" s="73"/>
      <c r="CB1954" s="73"/>
      <c r="CC1954" s="73"/>
      <c r="CD1954" s="73"/>
      <c r="CE1954" s="73"/>
      <c r="CF1954" s="73"/>
      <c r="CG1954" s="73"/>
      <c r="CH1954" s="73"/>
    </row>
    <row r="1955">
      <c r="A1955" s="80"/>
      <c r="B1955" s="80"/>
      <c r="C1955" s="80"/>
      <c r="D1955" s="80"/>
      <c r="E1955" s="124"/>
      <c r="F1955" s="80"/>
      <c r="G1955" s="80"/>
      <c r="H1955" s="80"/>
      <c r="I1955" s="80"/>
      <c r="J1955" s="196"/>
      <c r="K1955" s="196"/>
      <c r="L1955" s="196"/>
      <c r="M1955" s="196"/>
      <c r="N1955" s="196"/>
      <c r="O1955" s="196"/>
      <c r="P1955" s="196"/>
      <c r="Q1955" s="196"/>
      <c r="R1955" s="196"/>
      <c r="S1955" s="196"/>
      <c r="T1955" s="196"/>
      <c r="U1955" s="196"/>
      <c r="V1955" s="196"/>
      <c r="W1955" s="196"/>
      <c r="X1955" s="196"/>
      <c r="Y1955" s="196"/>
      <c r="Z1955" s="196"/>
      <c r="AA1955" s="196"/>
      <c r="AB1955" s="196"/>
      <c r="AC1955" s="196"/>
      <c r="AD1955" s="196"/>
      <c r="AE1955" s="196"/>
      <c r="AF1955" s="196"/>
      <c r="AG1955" s="196"/>
      <c r="AH1955" s="196"/>
      <c r="AI1955" s="196"/>
      <c r="AJ1955" s="197"/>
      <c r="AK1955" s="80"/>
      <c r="AL1955" s="80"/>
      <c r="AM1955" s="73"/>
      <c r="AN1955" s="73"/>
      <c r="AO1955" s="73"/>
      <c r="AP1955" s="73"/>
      <c r="AQ1955" s="73"/>
      <c r="AR1955" s="73"/>
      <c r="AS1955" s="73"/>
      <c r="AT1955" s="73"/>
      <c r="AU1955" s="73"/>
      <c r="AV1955" s="73"/>
      <c r="AW1955" s="73"/>
      <c r="AX1955" s="73"/>
      <c r="AY1955" s="73"/>
      <c r="AZ1955" s="73"/>
      <c r="BA1955" s="73"/>
      <c r="BB1955" s="73"/>
      <c r="BC1955" s="73"/>
      <c r="BD1955" s="73"/>
      <c r="BE1955" s="73"/>
      <c r="BF1955" s="73"/>
      <c r="BG1955" s="73"/>
      <c r="BH1955" s="73"/>
      <c r="BI1955" s="73"/>
      <c r="BJ1955" s="73"/>
      <c r="BK1955" s="73"/>
      <c r="BL1955" s="73"/>
      <c r="BM1955" s="73"/>
      <c r="BN1955" s="73"/>
      <c r="BO1955" s="73"/>
      <c r="BP1955" s="73"/>
      <c r="BQ1955" s="73"/>
      <c r="BR1955" s="73"/>
      <c r="BS1955" s="73"/>
      <c r="BT1955" s="73"/>
      <c r="BU1955" s="73"/>
      <c r="BV1955" s="73"/>
      <c r="BW1955" s="73"/>
      <c r="BX1955" s="73"/>
      <c r="BY1955" s="73"/>
      <c r="BZ1955" s="73"/>
      <c r="CA1955" s="73"/>
      <c r="CB1955" s="73"/>
      <c r="CC1955" s="73"/>
      <c r="CD1955" s="73"/>
      <c r="CE1955" s="73"/>
      <c r="CF1955" s="73"/>
      <c r="CG1955" s="73"/>
      <c r="CH1955" s="73"/>
    </row>
    <row r="1956">
      <c r="A1956" s="80"/>
      <c r="B1956" s="80"/>
      <c r="C1956" s="80"/>
      <c r="D1956" s="80"/>
      <c r="E1956" s="124"/>
      <c r="F1956" s="80"/>
      <c r="G1956" s="80"/>
      <c r="H1956" s="80"/>
      <c r="I1956" s="80"/>
      <c r="J1956" s="196"/>
      <c r="K1956" s="196"/>
      <c r="L1956" s="196"/>
      <c r="M1956" s="196"/>
      <c r="N1956" s="196"/>
      <c r="O1956" s="196"/>
      <c r="P1956" s="196"/>
      <c r="Q1956" s="196"/>
      <c r="R1956" s="196"/>
      <c r="S1956" s="196"/>
      <c r="T1956" s="196"/>
      <c r="U1956" s="196"/>
      <c r="V1956" s="196"/>
      <c r="W1956" s="196"/>
      <c r="X1956" s="196"/>
      <c r="Y1956" s="196"/>
      <c r="Z1956" s="196"/>
      <c r="AA1956" s="196"/>
      <c r="AB1956" s="196"/>
      <c r="AC1956" s="196"/>
      <c r="AD1956" s="196"/>
      <c r="AE1956" s="196"/>
      <c r="AF1956" s="196"/>
      <c r="AG1956" s="196"/>
      <c r="AH1956" s="196"/>
      <c r="AI1956" s="196"/>
      <c r="AJ1956" s="197"/>
      <c r="AK1956" s="80"/>
      <c r="AL1956" s="80"/>
      <c r="AM1956" s="73"/>
      <c r="AN1956" s="73"/>
      <c r="AO1956" s="73"/>
      <c r="AP1956" s="73"/>
      <c r="AQ1956" s="73"/>
      <c r="AR1956" s="73"/>
      <c r="AS1956" s="73"/>
      <c r="AT1956" s="73"/>
      <c r="AU1956" s="73"/>
      <c r="AV1956" s="73"/>
      <c r="AW1956" s="73"/>
      <c r="AX1956" s="73"/>
      <c r="AY1956" s="73"/>
      <c r="AZ1956" s="73"/>
      <c r="BA1956" s="73"/>
      <c r="BB1956" s="73"/>
      <c r="BC1956" s="73"/>
      <c r="BD1956" s="73"/>
      <c r="BE1956" s="73"/>
      <c r="BF1956" s="73"/>
      <c r="BG1956" s="73"/>
      <c r="BH1956" s="73"/>
      <c r="BI1956" s="73"/>
      <c r="BJ1956" s="73"/>
      <c r="BK1956" s="73"/>
      <c r="BL1956" s="73"/>
      <c r="BM1956" s="73"/>
      <c r="BN1956" s="73"/>
      <c r="BO1956" s="73"/>
      <c r="BP1956" s="73"/>
      <c r="BQ1956" s="73"/>
      <c r="BR1956" s="73"/>
      <c r="BS1956" s="73"/>
      <c r="BT1956" s="73"/>
      <c r="BU1956" s="73"/>
      <c r="BV1956" s="73"/>
      <c r="BW1956" s="73"/>
      <c r="BX1956" s="73"/>
      <c r="BY1956" s="73"/>
      <c r="BZ1956" s="73"/>
      <c r="CA1956" s="73"/>
      <c r="CB1956" s="73"/>
      <c r="CC1956" s="73"/>
      <c r="CD1956" s="73"/>
      <c r="CE1956" s="73"/>
      <c r="CF1956" s="73"/>
      <c r="CG1956" s="73"/>
      <c r="CH1956" s="73"/>
    </row>
    <row r="1957">
      <c r="A1957" s="80"/>
      <c r="B1957" s="80"/>
      <c r="C1957" s="80"/>
      <c r="D1957" s="80"/>
      <c r="E1957" s="124"/>
      <c r="F1957" s="80"/>
      <c r="G1957" s="80"/>
      <c r="H1957" s="80"/>
      <c r="I1957" s="80"/>
      <c r="J1957" s="196"/>
      <c r="K1957" s="196"/>
      <c r="L1957" s="196"/>
      <c r="M1957" s="196"/>
      <c r="N1957" s="196"/>
      <c r="O1957" s="196"/>
      <c r="P1957" s="196"/>
      <c r="Q1957" s="196"/>
      <c r="R1957" s="196"/>
      <c r="S1957" s="196"/>
      <c r="T1957" s="196"/>
      <c r="U1957" s="196"/>
      <c r="V1957" s="196"/>
      <c r="W1957" s="196"/>
      <c r="X1957" s="196"/>
      <c r="Y1957" s="196"/>
      <c r="Z1957" s="196"/>
      <c r="AA1957" s="196"/>
      <c r="AB1957" s="196"/>
      <c r="AC1957" s="196"/>
      <c r="AD1957" s="196"/>
      <c r="AE1957" s="196"/>
      <c r="AF1957" s="196"/>
      <c r="AG1957" s="196"/>
      <c r="AH1957" s="196"/>
      <c r="AI1957" s="196"/>
      <c r="AJ1957" s="197"/>
      <c r="AK1957" s="80"/>
      <c r="AL1957" s="80"/>
      <c r="AM1957" s="73"/>
      <c r="AN1957" s="73"/>
      <c r="AO1957" s="73"/>
      <c r="AP1957" s="73"/>
      <c r="AQ1957" s="73"/>
      <c r="AR1957" s="73"/>
      <c r="AS1957" s="73"/>
      <c r="AT1957" s="73"/>
      <c r="AU1957" s="73"/>
      <c r="AV1957" s="73"/>
      <c r="AW1957" s="73"/>
      <c r="AX1957" s="73"/>
      <c r="AY1957" s="73"/>
      <c r="AZ1957" s="73"/>
      <c r="BA1957" s="73"/>
      <c r="BB1957" s="73"/>
      <c r="BC1957" s="73"/>
      <c r="BD1957" s="73"/>
      <c r="BE1957" s="73"/>
      <c r="BF1957" s="73"/>
      <c r="BG1957" s="73"/>
      <c r="BH1957" s="73"/>
      <c r="BI1957" s="73"/>
      <c r="BJ1957" s="73"/>
      <c r="BK1957" s="73"/>
      <c r="BL1957" s="73"/>
      <c r="BM1957" s="73"/>
      <c r="BN1957" s="73"/>
      <c r="BO1957" s="73"/>
      <c r="BP1957" s="73"/>
      <c r="BQ1957" s="73"/>
      <c r="BR1957" s="73"/>
      <c r="BS1957" s="73"/>
      <c r="BT1957" s="73"/>
      <c r="BU1957" s="73"/>
      <c r="BV1957" s="73"/>
      <c r="BW1957" s="73"/>
      <c r="BX1957" s="73"/>
      <c r="BY1957" s="73"/>
      <c r="BZ1957" s="73"/>
      <c r="CA1957" s="73"/>
      <c r="CB1957" s="73"/>
      <c r="CC1957" s="73"/>
      <c r="CD1957" s="73"/>
      <c r="CE1957" s="73"/>
      <c r="CF1957" s="73"/>
      <c r="CG1957" s="73"/>
      <c r="CH1957" s="73"/>
    </row>
    <row r="1958">
      <c r="A1958" s="80"/>
      <c r="B1958" s="80"/>
      <c r="C1958" s="80"/>
      <c r="D1958" s="80"/>
      <c r="E1958" s="124"/>
      <c r="F1958" s="80"/>
      <c r="G1958" s="80"/>
      <c r="H1958" s="80"/>
      <c r="I1958" s="80"/>
      <c r="J1958" s="196"/>
      <c r="K1958" s="196"/>
      <c r="L1958" s="196"/>
      <c r="M1958" s="196"/>
      <c r="N1958" s="196"/>
      <c r="O1958" s="196"/>
      <c r="P1958" s="196"/>
      <c r="Q1958" s="196"/>
      <c r="R1958" s="196"/>
      <c r="S1958" s="196"/>
      <c r="T1958" s="196"/>
      <c r="U1958" s="196"/>
      <c r="V1958" s="196"/>
      <c r="W1958" s="196"/>
      <c r="X1958" s="196"/>
      <c r="Y1958" s="196"/>
      <c r="Z1958" s="196"/>
      <c r="AA1958" s="196"/>
      <c r="AB1958" s="196"/>
      <c r="AC1958" s="196"/>
      <c r="AD1958" s="196"/>
      <c r="AE1958" s="196"/>
      <c r="AF1958" s="196"/>
      <c r="AG1958" s="196"/>
      <c r="AH1958" s="196"/>
      <c r="AI1958" s="196"/>
      <c r="AJ1958" s="197"/>
      <c r="AK1958" s="80"/>
      <c r="AL1958" s="80"/>
      <c r="AM1958" s="73"/>
      <c r="AN1958" s="73"/>
      <c r="AO1958" s="73"/>
      <c r="AP1958" s="73"/>
      <c r="AQ1958" s="73"/>
      <c r="AR1958" s="73"/>
      <c r="AS1958" s="73"/>
      <c r="AT1958" s="73"/>
      <c r="AU1958" s="73"/>
      <c r="AV1958" s="73"/>
      <c r="AW1958" s="73"/>
      <c r="AX1958" s="73"/>
      <c r="AY1958" s="73"/>
      <c r="AZ1958" s="73"/>
      <c r="BA1958" s="73"/>
      <c r="BB1958" s="73"/>
      <c r="BC1958" s="73"/>
      <c r="BD1958" s="73"/>
      <c r="BE1958" s="73"/>
      <c r="BF1958" s="73"/>
      <c r="BG1958" s="73"/>
      <c r="BH1958" s="73"/>
      <c r="BI1958" s="73"/>
      <c r="BJ1958" s="73"/>
      <c r="BK1958" s="73"/>
      <c r="BL1958" s="73"/>
      <c r="BM1958" s="73"/>
      <c r="BN1958" s="73"/>
      <c r="BO1958" s="73"/>
      <c r="BP1958" s="73"/>
      <c r="BQ1958" s="73"/>
      <c r="BR1958" s="73"/>
      <c r="BS1958" s="73"/>
      <c r="BT1958" s="73"/>
      <c r="BU1958" s="73"/>
      <c r="BV1958" s="73"/>
      <c r="BW1958" s="73"/>
      <c r="BX1958" s="73"/>
      <c r="BY1958" s="73"/>
      <c r="BZ1958" s="73"/>
      <c r="CA1958" s="73"/>
      <c r="CB1958" s="73"/>
      <c r="CC1958" s="73"/>
      <c r="CD1958" s="73"/>
      <c r="CE1958" s="73"/>
      <c r="CF1958" s="73"/>
      <c r="CG1958" s="73"/>
      <c r="CH1958" s="73"/>
    </row>
    <row r="1959">
      <c r="A1959" s="80"/>
      <c r="B1959" s="80"/>
      <c r="C1959" s="80"/>
      <c r="D1959" s="80"/>
      <c r="E1959" s="124"/>
      <c r="F1959" s="80"/>
      <c r="G1959" s="80"/>
      <c r="H1959" s="80"/>
      <c r="I1959" s="80"/>
      <c r="J1959" s="196"/>
      <c r="K1959" s="196"/>
      <c r="L1959" s="196"/>
      <c r="M1959" s="196"/>
      <c r="N1959" s="196"/>
      <c r="O1959" s="196"/>
      <c r="P1959" s="196"/>
      <c r="Q1959" s="196"/>
      <c r="R1959" s="196"/>
      <c r="S1959" s="196"/>
      <c r="T1959" s="196"/>
      <c r="U1959" s="196"/>
      <c r="V1959" s="196"/>
      <c r="W1959" s="196"/>
      <c r="X1959" s="196"/>
      <c r="Y1959" s="196"/>
      <c r="Z1959" s="196"/>
      <c r="AA1959" s="196"/>
      <c r="AB1959" s="196"/>
      <c r="AC1959" s="196"/>
      <c r="AD1959" s="196"/>
      <c r="AE1959" s="196"/>
      <c r="AF1959" s="196"/>
      <c r="AG1959" s="196"/>
      <c r="AH1959" s="196"/>
      <c r="AI1959" s="196"/>
      <c r="AJ1959" s="197"/>
      <c r="AK1959" s="80"/>
      <c r="AL1959" s="80"/>
      <c r="AM1959" s="73"/>
      <c r="AN1959" s="73"/>
      <c r="AO1959" s="73"/>
      <c r="AP1959" s="73"/>
      <c r="AQ1959" s="73"/>
      <c r="AR1959" s="73"/>
      <c r="AS1959" s="73"/>
      <c r="AT1959" s="73"/>
      <c r="AU1959" s="73"/>
      <c r="AV1959" s="73"/>
      <c r="AW1959" s="73"/>
      <c r="AX1959" s="73"/>
      <c r="AY1959" s="73"/>
      <c r="AZ1959" s="73"/>
      <c r="BA1959" s="73"/>
      <c r="BB1959" s="73"/>
      <c r="BC1959" s="73"/>
      <c r="BD1959" s="73"/>
      <c r="BE1959" s="73"/>
      <c r="BF1959" s="73"/>
      <c r="BG1959" s="73"/>
      <c r="BH1959" s="73"/>
      <c r="BI1959" s="73"/>
      <c r="BJ1959" s="73"/>
      <c r="BK1959" s="73"/>
      <c r="BL1959" s="73"/>
      <c r="BM1959" s="73"/>
      <c r="BN1959" s="73"/>
      <c r="BO1959" s="73"/>
      <c r="BP1959" s="73"/>
      <c r="BQ1959" s="73"/>
      <c r="BR1959" s="73"/>
      <c r="BS1959" s="73"/>
      <c r="BT1959" s="73"/>
      <c r="BU1959" s="73"/>
      <c r="BV1959" s="73"/>
      <c r="BW1959" s="73"/>
      <c r="BX1959" s="73"/>
      <c r="BY1959" s="73"/>
      <c r="BZ1959" s="73"/>
      <c r="CA1959" s="73"/>
      <c r="CB1959" s="73"/>
      <c r="CC1959" s="73"/>
      <c r="CD1959" s="73"/>
      <c r="CE1959" s="73"/>
      <c r="CF1959" s="73"/>
      <c r="CG1959" s="73"/>
      <c r="CH1959" s="73"/>
    </row>
    <row r="1960">
      <c r="A1960" s="80"/>
      <c r="B1960" s="80"/>
      <c r="C1960" s="80"/>
      <c r="D1960" s="80"/>
      <c r="E1960" s="124"/>
      <c r="F1960" s="80"/>
      <c r="G1960" s="80"/>
      <c r="H1960" s="80"/>
      <c r="I1960" s="80"/>
      <c r="J1960" s="196"/>
      <c r="K1960" s="196"/>
      <c r="L1960" s="196"/>
      <c r="M1960" s="196"/>
      <c r="N1960" s="196"/>
      <c r="O1960" s="196"/>
      <c r="P1960" s="196"/>
      <c r="Q1960" s="196"/>
      <c r="R1960" s="196"/>
      <c r="S1960" s="196"/>
      <c r="T1960" s="196"/>
      <c r="U1960" s="196"/>
      <c r="V1960" s="196"/>
      <c r="W1960" s="196"/>
      <c r="X1960" s="196"/>
      <c r="Y1960" s="196"/>
      <c r="Z1960" s="196"/>
      <c r="AA1960" s="196"/>
      <c r="AB1960" s="196"/>
      <c r="AC1960" s="196"/>
      <c r="AD1960" s="196"/>
      <c r="AE1960" s="196"/>
      <c r="AF1960" s="196"/>
      <c r="AG1960" s="196"/>
      <c r="AH1960" s="196"/>
      <c r="AI1960" s="196"/>
      <c r="AJ1960" s="197"/>
      <c r="AK1960" s="80"/>
      <c r="AL1960" s="80"/>
      <c r="AM1960" s="73"/>
      <c r="AN1960" s="73"/>
      <c r="AO1960" s="73"/>
      <c r="AP1960" s="73"/>
      <c r="AQ1960" s="73"/>
      <c r="AR1960" s="73"/>
      <c r="AS1960" s="73"/>
      <c r="AT1960" s="73"/>
      <c r="AU1960" s="73"/>
      <c r="AV1960" s="73"/>
      <c r="AW1960" s="73"/>
      <c r="AX1960" s="73"/>
      <c r="AY1960" s="73"/>
      <c r="AZ1960" s="73"/>
      <c r="BA1960" s="73"/>
      <c r="BB1960" s="73"/>
      <c r="BC1960" s="73"/>
      <c r="BD1960" s="73"/>
      <c r="BE1960" s="73"/>
      <c r="BF1960" s="73"/>
      <c r="BG1960" s="73"/>
      <c r="BH1960" s="73"/>
      <c r="BI1960" s="73"/>
      <c r="BJ1960" s="73"/>
      <c r="BK1960" s="73"/>
      <c r="BL1960" s="73"/>
      <c r="BM1960" s="73"/>
      <c r="BN1960" s="73"/>
      <c r="BO1960" s="73"/>
      <c r="BP1960" s="73"/>
      <c r="BQ1960" s="73"/>
      <c r="BR1960" s="73"/>
      <c r="BS1960" s="73"/>
      <c r="BT1960" s="73"/>
      <c r="BU1960" s="73"/>
      <c r="BV1960" s="73"/>
      <c r="BW1960" s="73"/>
      <c r="BX1960" s="73"/>
      <c r="BY1960" s="73"/>
      <c r="BZ1960" s="73"/>
      <c r="CA1960" s="73"/>
      <c r="CB1960" s="73"/>
      <c r="CC1960" s="73"/>
      <c r="CD1960" s="73"/>
      <c r="CE1960" s="73"/>
      <c r="CF1960" s="73"/>
      <c r="CG1960" s="73"/>
      <c r="CH1960" s="73"/>
    </row>
    <row r="1961">
      <c r="A1961" s="80"/>
      <c r="B1961" s="80"/>
      <c r="C1961" s="80"/>
      <c r="D1961" s="80"/>
      <c r="E1961" s="124"/>
      <c r="F1961" s="80"/>
      <c r="G1961" s="80"/>
      <c r="H1961" s="80"/>
      <c r="I1961" s="80"/>
      <c r="J1961" s="196"/>
      <c r="K1961" s="196"/>
      <c r="L1961" s="196"/>
      <c r="M1961" s="196"/>
      <c r="N1961" s="196"/>
      <c r="O1961" s="196"/>
      <c r="P1961" s="196"/>
      <c r="Q1961" s="196"/>
      <c r="R1961" s="196"/>
      <c r="S1961" s="196"/>
      <c r="T1961" s="196"/>
      <c r="U1961" s="196"/>
      <c r="V1961" s="196"/>
      <c r="W1961" s="196"/>
      <c r="X1961" s="196"/>
      <c r="Y1961" s="196"/>
      <c r="Z1961" s="196"/>
      <c r="AA1961" s="196"/>
      <c r="AB1961" s="196"/>
      <c r="AC1961" s="196"/>
      <c r="AD1961" s="196"/>
      <c r="AE1961" s="196"/>
      <c r="AF1961" s="196"/>
      <c r="AG1961" s="196"/>
      <c r="AH1961" s="196"/>
      <c r="AI1961" s="196"/>
      <c r="AJ1961" s="197"/>
      <c r="AK1961" s="80"/>
      <c r="AL1961" s="80"/>
      <c r="AM1961" s="73"/>
      <c r="AN1961" s="73"/>
      <c r="AO1961" s="73"/>
      <c r="AP1961" s="73"/>
      <c r="AQ1961" s="73"/>
      <c r="AR1961" s="73"/>
      <c r="AS1961" s="73"/>
      <c r="AT1961" s="73"/>
      <c r="AU1961" s="73"/>
      <c r="AV1961" s="73"/>
      <c r="AW1961" s="73"/>
      <c r="AX1961" s="73"/>
      <c r="AY1961" s="73"/>
      <c r="AZ1961" s="73"/>
      <c r="BA1961" s="73"/>
      <c r="BB1961" s="73"/>
      <c r="BC1961" s="73"/>
      <c r="BD1961" s="73"/>
      <c r="BE1961" s="73"/>
      <c r="BF1961" s="73"/>
      <c r="BG1961" s="73"/>
      <c r="BH1961" s="73"/>
      <c r="BI1961" s="73"/>
      <c r="BJ1961" s="73"/>
      <c r="BK1961" s="73"/>
      <c r="BL1961" s="73"/>
      <c r="BM1961" s="73"/>
      <c r="BN1961" s="73"/>
      <c r="BO1961" s="73"/>
      <c r="BP1961" s="73"/>
      <c r="BQ1961" s="73"/>
      <c r="BR1961" s="73"/>
      <c r="BS1961" s="73"/>
      <c r="BT1961" s="73"/>
      <c r="BU1961" s="73"/>
      <c r="BV1961" s="73"/>
      <c r="BW1961" s="73"/>
      <c r="BX1961" s="73"/>
      <c r="BY1961" s="73"/>
      <c r="BZ1961" s="73"/>
      <c r="CA1961" s="73"/>
      <c r="CB1961" s="73"/>
      <c r="CC1961" s="73"/>
      <c r="CD1961" s="73"/>
      <c r="CE1961" s="73"/>
      <c r="CF1961" s="73"/>
      <c r="CG1961" s="73"/>
      <c r="CH1961" s="73"/>
    </row>
    <row r="1962">
      <c r="A1962" s="80"/>
      <c r="B1962" s="80"/>
      <c r="C1962" s="80"/>
      <c r="D1962" s="80"/>
      <c r="E1962" s="124"/>
      <c r="F1962" s="80"/>
      <c r="G1962" s="80"/>
      <c r="H1962" s="80"/>
      <c r="I1962" s="80"/>
      <c r="J1962" s="196"/>
      <c r="K1962" s="196"/>
      <c r="L1962" s="196"/>
      <c r="M1962" s="196"/>
      <c r="N1962" s="196"/>
      <c r="O1962" s="196"/>
      <c r="P1962" s="196"/>
      <c r="Q1962" s="196"/>
      <c r="R1962" s="196"/>
      <c r="S1962" s="196"/>
      <c r="T1962" s="196"/>
      <c r="U1962" s="196"/>
      <c r="V1962" s="196"/>
      <c r="W1962" s="196"/>
      <c r="X1962" s="196"/>
      <c r="Y1962" s="196"/>
      <c r="Z1962" s="196"/>
      <c r="AA1962" s="196"/>
      <c r="AB1962" s="196"/>
      <c r="AC1962" s="196"/>
      <c r="AD1962" s="196"/>
      <c r="AE1962" s="196"/>
      <c r="AF1962" s="196"/>
      <c r="AG1962" s="196"/>
      <c r="AH1962" s="196"/>
      <c r="AI1962" s="196"/>
      <c r="AJ1962" s="197"/>
      <c r="AK1962" s="80"/>
      <c r="AL1962" s="80"/>
      <c r="AM1962" s="73"/>
      <c r="AN1962" s="73"/>
      <c r="AO1962" s="73"/>
      <c r="AP1962" s="73"/>
      <c r="AQ1962" s="73"/>
      <c r="AR1962" s="73"/>
      <c r="AS1962" s="73"/>
      <c r="AT1962" s="73"/>
      <c r="AU1962" s="73"/>
      <c r="AV1962" s="73"/>
      <c r="AW1962" s="73"/>
      <c r="AX1962" s="73"/>
      <c r="AY1962" s="73"/>
      <c r="AZ1962" s="73"/>
      <c r="BA1962" s="73"/>
      <c r="BB1962" s="73"/>
      <c r="BC1962" s="73"/>
      <c r="BD1962" s="73"/>
      <c r="BE1962" s="73"/>
      <c r="BF1962" s="73"/>
      <c r="BG1962" s="73"/>
      <c r="BH1962" s="73"/>
      <c r="BI1962" s="73"/>
      <c r="BJ1962" s="73"/>
      <c r="BK1962" s="73"/>
      <c r="BL1962" s="73"/>
      <c r="BM1962" s="73"/>
      <c r="BN1962" s="73"/>
      <c r="BO1962" s="73"/>
      <c r="BP1962" s="73"/>
      <c r="BQ1962" s="73"/>
      <c r="BR1962" s="73"/>
      <c r="BS1962" s="73"/>
      <c r="BT1962" s="73"/>
      <c r="BU1962" s="73"/>
      <c r="BV1962" s="73"/>
      <c r="BW1962" s="73"/>
      <c r="BX1962" s="73"/>
      <c r="BY1962" s="73"/>
      <c r="BZ1962" s="73"/>
      <c r="CA1962" s="73"/>
      <c r="CB1962" s="73"/>
      <c r="CC1962" s="73"/>
      <c r="CD1962" s="73"/>
      <c r="CE1962" s="73"/>
      <c r="CF1962" s="73"/>
      <c r="CG1962" s="73"/>
      <c r="CH1962" s="73"/>
    </row>
    <row r="1963">
      <c r="A1963" s="80"/>
      <c r="B1963" s="80"/>
      <c r="C1963" s="80"/>
      <c r="D1963" s="80"/>
      <c r="E1963" s="124"/>
      <c r="F1963" s="80"/>
      <c r="G1963" s="80"/>
      <c r="H1963" s="80"/>
      <c r="I1963" s="80"/>
      <c r="J1963" s="196"/>
      <c r="K1963" s="196"/>
      <c r="L1963" s="196"/>
      <c r="M1963" s="196"/>
      <c r="N1963" s="196"/>
      <c r="O1963" s="196"/>
      <c r="P1963" s="196"/>
      <c r="Q1963" s="196"/>
      <c r="R1963" s="196"/>
      <c r="S1963" s="196"/>
      <c r="T1963" s="196"/>
      <c r="U1963" s="196"/>
      <c r="V1963" s="196"/>
      <c r="W1963" s="196"/>
      <c r="X1963" s="196"/>
      <c r="Y1963" s="196"/>
      <c r="Z1963" s="196"/>
      <c r="AA1963" s="196"/>
      <c r="AB1963" s="196"/>
      <c r="AC1963" s="196"/>
      <c r="AD1963" s="196"/>
      <c r="AE1963" s="196"/>
      <c r="AF1963" s="196"/>
      <c r="AG1963" s="196"/>
      <c r="AH1963" s="196"/>
      <c r="AI1963" s="196"/>
      <c r="AJ1963" s="197"/>
      <c r="AK1963" s="80"/>
      <c r="AL1963" s="80"/>
      <c r="AM1963" s="73"/>
      <c r="AN1963" s="73"/>
      <c r="AO1963" s="73"/>
      <c r="AP1963" s="73"/>
      <c r="AQ1963" s="73"/>
      <c r="AR1963" s="73"/>
      <c r="AS1963" s="73"/>
      <c r="AT1963" s="73"/>
      <c r="AU1963" s="73"/>
      <c r="AV1963" s="73"/>
      <c r="AW1963" s="73"/>
      <c r="AX1963" s="73"/>
      <c r="AY1963" s="73"/>
      <c r="AZ1963" s="73"/>
      <c r="BA1963" s="73"/>
      <c r="BB1963" s="73"/>
      <c r="BC1963" s="73"/>
      <c r="BD1963" s="73"/>
      <c r="BE1963" s="73"/>
      <c r="BF1963" s="73"/>
      <c r="BG1963" s="73"/>
      <c r="BH1963" s="73"/>
      <c r="BI1963" s="73"/>
      <c r="BJ1963" s="73"/>
      <c r="BK1963" s="73"/>
      <c r="BL1963" s="73"/>
      <c r="BM1963" s="73"/>
      <c r="BN1963" s="73"/>
      <c r="BO1963" s="73"/>
      <c r="BP1963" s="73"/>
      <c r="BQ1963" s="73"/>
      <c r="BR1963" s="73"/>
      <c r="BS1963" s="73"/>
      <c r="BT1963" s="73"/>
      <c r="BU1963" s="73"/>
      <c r="BV1963" s="73"/>
      <c r="BW1963" s="73"/>
      <c r="BX1963" s="73"/>
      <c r="BY1963" s="73"/>
      <c r="BZ1963" s="73"/>
      <c r="CA1963" s="73"/>
      <c r="CB1963" s="73"/>
      <c r="CC1963" s="73"/>
      <c r="CD1963" s="73"/>
      <c r="CE1963" s="73"/>
      <c r="CF1963" s="73"/>
      <c r="CG1963" s="73"/>
      <c r="CH1963" s="73"/>
    </row>
    <row r="1964">
      <c r="A1964" s="80"/>
      <c r="B1964" s="80"/>
      <c r="C1964" s="80"/>
      <c r="D1964" s="80"/>
      <c r="E1964" s="124"/>
      <c r="F1964" s="80"/>
      <c r="G1964" s="80"/>
      <c r="H1964" s="80"/>
      <c r="I1964" s="80"/>
      <c r="J1964" s="196"/>
      <c r="K1964" s="196"/>
      <c r="L1964" s="196"/>
      <c r="M1964" s="196"/>
      <c r="N1964" s="196"/>
      <c r="O1964" s="196"/>
      <c r="P1964" s="196"/>
      <c r="Q1964" s="196"/>
      <c r="R1964" s="196"/>
      <c r="S1964" s="196"/>
      <c r="T1964" s="196"/>
      <c r="U1964" s="196"/>
      <c r="V1964" s="196"/>
      <c r="W1964" s="196"/>
      <c r="X1964" s="196"/>
      <c r="Y1964" s="196"/>
      <c r="Z1964" s="196"/>
      <c r="AA1964" s="196"/>
      <c r="AB1964" s="196"/>
      <c r="AC1964" s="196"/>
      <c r="AD1964" s="196"/>
      <c r="AE1964" s="196"/>
      <c r="AF1964" s="196"/>
      <c r="AG1964" s="196"/>
      <c r="AH1964" s="196"/>
      <c r="AI1964" s="196"/>
      <c r="AJ1964" s="197"/>
      <c r="AK1964" s="80"/>
      <c r="AL1964" s="80"/>
      <c r="AM1964" s="73"/>
      <c r="AN1964" s="73"/>
      <c r="AO1964" s="73"/>
      <c r="AP1964" s="73"/>
      <c r="AQ1964" s="73"/>
      <c r="AR1964" s="73"/>
      <c r="AS1964" s="73"/>
      <c r="AT1964" s="73"/>
      <c r="AU1964" s="73"/>
      <c r="AV1964" s="73"/>
      <c r="AW1964" s="73"/>
      <c r="AX1964" s="73"/>
      <c r="AY1964" s="73"/>
      <c r="AZ1964" s="73"/>
      <c r="BA1964" s="73"/>
      <c r="BB1964" s="73"/>
      <c r="BC1964" s="73"/>
      <c r="BD1964" s="73"/>
      <c r="BE1964" s="73"/>
      <c r="BF1964" s="73"/>
      <c r="BG1964" s="73"/>
      <c r="BH1964" s="73"/>
      <c r="BI1964" s="73"/>
      <c r="BJ1964" s="73"/>
      <c r="BK1964" s="73"/>
      <c r="BL1964" s="73"/>
      <c r="BM1964" s="73"/>
      <c r="BN1964" s="73"/>
      <c r="BO1964" s="73"/>
      <c r="BP1964" s="73"/>
      <c r="BQ1964" s="73"/>
      <c r="BR1964" s="73"/>
      <c r="BS1964" s="73"/>
      <c r="BT1964" s="73"/>
      <c r="BU1964" s="73"/>
      <c r="BV1964" s="73"/>
      <c r="BW1964" s="73"/>
      <c r="BX1964" s="73"/>
      <c r="BY1964" s="73"/>
      <c r="BZ1964" s="73"/>
      <c r="CA1964" s="73"/>
      <c r="CB1964" s="73"/>
      <c r="CC1964" s="73"/>
      <c r="CD1964" s="73"/>
      <c r="CE1964" s="73"/>
      <c r="CF1964" s="73"/>
      <c r="CG1964" s="73"/>
      <c r="CH1964" s="73"/>
    </row>
    <row r="1965">
      <c r="A1965" s="80"/>
      <c r="B1965" s="80"/>
      <c r="C1965" s="80"/>
      <c r="D1965" s="80"/>
      <c r="E1965" s="124"/>
      <c r="F1965" s="80"/>
      <c r="G1965" s="80"/>
      <c r="H1965" s="80"/>
      <c r="I1965" s="80"/>
      <c r="J1965" s="196"/>
      <c r="K1965" s="196"/>
      <c r="L1965" s="196"/>
      <c r="M1965" s="196"/>
      <c r="N1965" s="196"/>
      <c r="O1965" s="196"/>
      <c r="P1965" s="196"/>
      <c r="Q1965" s="196"/>
      <c r="R1965" s="196"/>
      <c r="S1965" s="196"/>
      <c r="T1965" s="196"/>
      <c r="U1965" s="196"/>
      <c r="V1965" s="196"/>
      <c r="W1965" s="196"/>
      <c r="X1965" s="196"/>
      <c r="Y1965" s="196"/>
      <c r="Z1965" s="196"/>
      <c r="AA1965" s="196"/>
      <c r="AB1965" s="196"/>
      <c r="AC1965" s="196"/>
      <c r="AD1965" s="196"/>
      <c r="AE1965" s="196"/>
      <c r="AF1965" s="196"/>
      <c r="AG1965" s="196"/>
      <c r="AH1965" s="196"/>
      <c r="AI1965" s="196"/>
      <c r="AJ1965" s="197"/>
      <c r="AK1965" s="80"/>
      <c r="AL1965" s="80"/>
      <c r="AM1965" s="73"/>
      <c r="AN1965" s="73"/>
      <c r="AO1965" s="73"/>
      <c r="AP1965" s="73"/>
      <c r="AQ1965" s="73"/>
      <c r="AR1965" s="73"/>
      <c r="AS1965" s="73"/>
      <c r="AT1965" s="73"/>
      <c r="AU1965" s="73"/>
      <c r="AV1965" s="73"/>
      <c r="AW1965" s="73"/>
      <c r="AX1965" s="73"/>
      <c r="AY1965" s="73"/>
      <c r="AZ1965" s="73"/>
      <c r="BA1965" s="73"/>
      <c r="BB1965" s="73"/>
      <c r="BC1965" s="73"/>
      <c r="BD1965" s="73"/>
      <c r="BE1965" s="73"/>
      <c r="BF1965" s="73"/>
      <c r="BG1965" s="73"/>
      <c r="BH1965" s="73"/>
      <c r="BI1965" s="73"/>
      <c r="BJ1965" s="73"/>
      <c r="BK1965" s="73"/>
      <c r="BL1965" s="73"/>
      <c r="BM1965" s="73"/>
      <c r="BN1965" s="73"/>
      <c r="BO1965" s="73"/>
      <c r="BP1965" s="73"/>
      <c r="BQ1965" s="73"/>
      <c r="BR1965" s="73"/>
      <c r="BS1965" s="73"/>
      <c r="BT1965" s="73"/>
      <c r="BU1965" s="73"/>
      <c r="BV1965" s="73"/>
      <c r="BW1965" s="73"/>
      <c r="BX1965" s="73"/>
      <c r="BY1965" s="73"/>
      <c r="BZ1965" s="73"/>
      <c r="CA1965" s="73"/>
      <c r="CB1965" s="73"/>
      <c r="CC1965" s="73"/>
      <c r="CD1965" s="73"/>
      <c r="CE1965" s="73"/>
      <c r="CF1965" s="73"/>
      <c r="CG1965" s="73"/>
      <c r="CH1965" s="73"/>
    </row>
    <row r="1966">
      <c r="A1966" s="80"/>
      <c r="B1966" s="80"/>
      <c r="C1966" s="80"/>
      <c r="D1966" s="80"/>
      <c r="E1966" s="124"/>
      <c r="F1966" s="80"/>
      <c r="G1966" s="80"/>
      <c r="H1966" s="80"/>
      <c r="I1966" s="80"/>
      <c r="J1966" s="196"/>
      <c r="K1966" s="196"/>
      <c r="L1966" s="196"/>
      <c r="M1966" s="196"/>
      <c r="N1966" s="196"/>
      <c r="O1966" s="196"/>
      <c r="P1966" s="196"/>
      <c r="Q1966" s="196"/>
      <c r="R1966" s="196"/>
      <c r="S1966" s="196"/>
      <c r="T1966" s="196"/>
      <c r="U1966" s="196"/>
      <c r="V1966" s="196"/>
      <c r="W1966" s="196"/>
      <c r="X1966" s="196"/>
      <c r="Y1966" s="196"/>
      <c r="Z1966" s="196"/>
      <c r="AA1966" s="196"/>
      <c r="AB1966" s="196"/>
      <c r="AC1966" s="196"/>
      <c r="AD1966" s="196"/>
      <c r="AE1966" s="196"/>
      <c r="AF1966" s="196"/>
      <c r="AG1966" s="196"/>
      <c r="AH1966" s="196"/>
      <c r="AI1966" s="196"/>
      <c r="AJ1966" s="197"/>
      <c r="AK1966" s="80"/>
      <c r="AL1966" s="80"/>
      <c r="AM1966" s="73"/>
      <c r="AN1966" s="73"/>
      <c r="AO1966" s="73"/>
      <c r="AP1966" s="73"/>
      <c r="AQ1966" s="73"/>
      <c r="AR1966" s="73"/>
      <c r="AS1966" s="73"/>
      <c r="AT1966" s="73"/>
      <c r="AU1966" s="73"/>
      <c r="AV1966" s="73"/>
      <c r="AW1966" s="73"/>
      <c r="AX1966" s="73"/>
      <c r="AY1966" s="73"/>
      <c r="AZ1966" s="73"/>
      <c r="BA1966" s="73"/>
      <c r="BB1966" s="73"/>
      <c r="BC1966" s="73"/>
      <c r="BD1966" s="73"/>
      <c r="BE1966" s="73"/>
      <c r="BF1966" s="73"/>
      <c r="BG1966" s="73"/>
      <c r="BH1966" s="73"/>
      <c r="BI1966" s="73"/>
      <c r="BJ1966" s="73"/>
      <c r="BK1966" s="73"/>
      <c r="BL1966" s="73"/>
      <c r="BM1966" s="73"/>
      <c r="BN1966" s="73"/>
      <c r="BO1966" s="73"/>
      <c r="BP1966" s="73"/>
      <c r="BQ1966" s="73"/>
      <c r="BR1966" s="73"/>
      <c r="BS1966" s="73"/>
      <c r="BT1966" s="73"/>
      <c r="BU1966" s="73"/>
      <c r="BV1966" s="73"/>
      <c r="BW1966" s="73"/>
      <c r="BX1966" s="73"/>
      <c r="BY1966" s="73"/>
      <c r="BZ1966" s="73"/>
      <c r="CA1966" s="73"/>
      <c r="CB1966" s="73"/>
      <c r="CC1966" s="73"/>
      <c r="CD1966" s="73"/>
      <c r="CE1966" s="73"/>
      <c r="CF1966" s="73"/>
      <c r="CG1966" s="73"/>
      <c r="CH1966" s="73"/>
    </row>
    <row r="1967">
      <c r="A1967" s="80"/>
      <c r="B1967" s="80"/>
      <c r="C1967" s="80"/>
      <c r="D1967" s="80"/>
      <c r="E1967" s="124"/>
      <c r="F1967" s="80"/>
      <c r="G1967" s="80"/>
      <c r="H1967" s="80"/>
      <c r="I1967" s="80"/>
      <c r="J1967" s="196"/>
      <c r="K1967" s="196"/>
      <c r="L1967" s="196"/>
      <c r="M1967" s="196"/>
      <c r="N1967" s="196"/>
      <c r="O1967" s="196"/>
      <c r="P1967" s="196"/>
      <c r="Q1967" s="196"/>
      <c r="R1967" s="196"/>
      <c r="S1967" s="196"/>
      <c r="T1967" s="196"/>
      <c r="U1967" s="196"/>
      <c r="V1967" s="196"/>
      <c r="W1967" s="196"/>
      <c r="X1967" s="196"/>
      <c r="Y1967" s="196"/>
      <c r="Z1967" s="196"/>
      <c r="AA1967" s="196"/>
      <c r="AB1967" s="196"/>
      <c r="AC1967" s="196"/>
      <c r="AD1967" s="196"/>
      <c r="AE1967" s="196"/>
      <c r="AF1967" s="196"/>
      <c r="AG1967" s="196"/>
      <c r="AH1967" s="196"/>
      <c r="AI1967" s="196"/>
      <c r="AJ1967" s="197"/>
      <c r="AK1967" s="80"/>
      <c r="AL1967" s="80"/>
      <c r="AM1967" s="73"/>
      <c r="AN1967" s="73"/>
      <c r="AO1967" s="73"/>
      <c r="AP1967" s="73"/>
      <c r="AQ1967" s="73"/>
      <c r="AR1967" s="73"/>
      <c r="AS1967" s="73"/>
      <c r="AT1967" s="73"/>
      <c r="AU1967" s="73"/>
      <c r="AV1967" s="73"/>
      <c r="AW1967" s="73"/>
      <c r="AX1967" s="73"/>
      <c r="AY1967" s="73"/>
      <c r="AZ1967" s="73"/>
      <c r="BA1967" s="73"/>
      <c r="BB1967" s="73"/>
      <c r="BC1967" s="73"/>
      <c r="BD1967" s="73"/>
      <c r="BE1967" s="73"/>
      <c r="BF1967" s="73"/>
      <c r="BG1967" s="73"/>
      <c r="BH1967" s="73"/>
      <c r="BI1967" s="73"/>
      <c r="BJ1967" s="73"/>
      <c r="BK1967" s="73"/>
      <c r="BL1967" s="73"/>
      <c r="BM1967" s="73"/>
      <c r="BN1967" s="73"/>
      <c r="BO1967" s="73"/>
      <c r="BP1967" s="73"/>
      <c r="BQ1967" s="73"/>
      <c r="BR1967" s="73"/>
      <c r="BS1967" s="73"/>
      <c r="BT1967" s="73"/>
      <c r="BU1967" s="73"/>
      <c r="BV1967" s="73"/>
      <c r="BW1967" s="73"/>
      <c r="BX1967" s="73"/>
      <c r="BY1967" s="73"/>
      <c r="BZ1967" s="73"/>
      <c r="CA1967" s="73"/>
      <c r="CB1967" s="73"/>
      <c r="CC1967" s="73"/>
      <c r="CD1967" s="73"/>
      <c r="CE1967" s="73"/>
      <c r="CF1967" s="73"/>
      <c r="CG1967" s="73"/>
      <c r="CH1967" s="73"/>
    </row>
    <row r="1968">
      <c r="A1968" s="80"/>
      <c r="B1968" s="80"/>
      <c r="C1968" s="80"/>
      <c r="D1968" s="80"/>
      <c r="E1968" s="124"/>
      <c r="F1968" s="80"/>
      <c r="G1968" s="80"/>
      <c r="H1968" s="80"/>
      <c r="I1968" s="80"/>
      <c r="J1968" s="196"/>
      <c r="K1968" s="196"/>
      <c r="L1968" s="196"/>
      <c r="M1968" s="196"/>
      <c r="N1968" s="196"/>
      <c r="O1968" s="196"/>
      <c r="P1968" s="196"/>
      <c r="Q1968" s="196"/>
      <c r="R1968" s="196"/>
      <c r="S1968" s="196"/>
      <c r="T1968" s="196"/>
      <c r="U1968" s="196"/>
      <c r="V1968" s="196"/>
      <c r="W1968" s="196"/>
      <c r="X1968" s="196"/>
      <c r="Y1968" s="196"/>
      <c r="Z1968" s="196"/>
      <c r="AA1968" s="196"/>
      <c r="AB1968" s="196"/>
      <c r="AC1968" s="196"/>
      <c r="AD1968" s="196"/>
      <c r="AE1968" s="196"/>
      <c r="AF1968" s="196"/>
      <c r="AG1968" s="196"/>
      <c r="AH1968" s="196"/>
      <c r="AI1968" s="196"/>
      <c r="AJ1968" s="197"/>
      <c r="AK1968" s="80"/>
      <c r="AL1968" s="80"/>
      <c r="AM1968" s="73"/>
      <c r="AN1968" s="73"/>
      <c r="AO1968" s="73"/>
      <c r="AP1968" s="73"/>
      <c r="AQ1968" s="73"/>
      <c r="AR1968" s="73"/>
      <c r="AS1968" s="73"/>
      <c r="AT1968" s="73"/>
      <c r="AU1968" s="73"/>
      <c r="AV1968" s="73"/>
      <c r="AW1968" s="73"/>
      <c r="AX1968" s="73"/>
      <c r="AY1968" s="73"/>
      <c r="AZ1968" s="73"/>
      <c r="BA1968" s="73"/>
      <c r="BB1968" s="73"/>
      <c r="BC1968" s="73"/>
      <c r="BD1968" s="73"/>
      <c r="BE1968" s="73"/>
      <c r="BF1968" s="73"/>
      <c r="BG1968" s="73"/>
      <c r="BH1968" s="73"/>
      <c r="BI1968" s="73"/>
      <c r="BJ1968" s="73"/>
      <c r="BK1968" s="73"/>
      <c r="BL1968" s="73"/>
      <c r="BM1968" s="73"/>
      <c r="BN1968" s="73"/>
      <c r="BO1968" s="73"/>
      <c r="BP1968" s="73"/>
      <c r="BQ1968" s="73"/>
      <c r="BR1968" s="73"/>
      <c r="BS1968" s="73"/>
      <c r="BT1968" s="73"/>
      <c r="BU1968" s="73"/>
      <c r="BV1968" s="73"/>
      <c r="BW1968" s="73"/>
      <c r="BX1968" s="73"/>
      <c r="BY1968" s="73"/>
      <c r="BZ1968" s="73"/>
      <c r="CA1968" s="73"/>
      <c r="CB1968" s="73"/>
      <c r="CC1968" s="73"/>
      <c r="CD1968" s="73"/>
      <c r="CE1968" s="73"/>
      <c r="CF1968" s="73"/>
      <c r="CG1968" s="73"/>
      <c r="CH1968" s="73"/>
    </row>
    <row r="1969">
      <c r="A1969" s="80"/>
      <c r="B1969" s="80"/>
      <c r="C1969" s="80"/>
      <c r="D1969" s="80"/>
      <c r="E1969" s="124"/>
      <c r="F1969" s="80"/>
      <c r="G1969" s="80"/>
      <c r="H1969" s="80"/>
      <c r="I1969" s="80"/>
      <c r="J1969" s="196"/>
      <c r="K1969" s="196"/>
      <c r="L1969" s="196"/>
      <c r="M1969" s="196"/>
      <c r="N1969" s="196"/>
      <c r="O1969" s="196"/>
      <c r="P1969" s="196"/>
      <c r="Q1969" s="196"/>
      <c r="R1969" s="196"/>
      <c r="S1969" s="196"/>
      <c r="T1969" s="196"/>
      <c r="U1969" s="196"/>
      <c r="V1969" s="196"/>
      <c r="W1969" s="196"/>
      <c r="X1969" s="196"/>
      <c r="Y1969" s="196"/>
      <c r="Z1969" s="196"/>
      <c r="AA1969" s="196"/>
      <c r="AB1969" s="196"/>
      <c r="AC1969" s="196"/>
      <c r="AD1969" s="196"/>
      <c r="AE1969" s="196"/>
      <c r="AF1969" s="196"/>
      <c r="AG1969" s="196"/>
      <c r="AH1969" s="196"/>
      <c r="AI1969" s="196"/>
      <c r="AJ1969" s="197"/>
      <c r="AK1969" s="80"/>
      <c r="AL1969" s="80"/>
      <c r="AM1969" s="73"/>
      <c r="AN1969" s="73"/>
      <c r="AO1969" s="73"/>
      <c r="AP1969" s="73"/>
      <c r="AQ1969" s="73"/>
      <c r="AR1969" s="73"/>
      <c r="AS1969" s="73"/>
      <c r="AT1969" s="73"/>
      <c r="AU1969" s="73"/>
      <c r="AV1969" s="73"/>
      <c r="AW1969" s="73"/>
      <c r="AX1969" s="73"/>
      <c r="AY1969" s="73"/>
      <c r="AZ1969" s="73"/>
      <c r="BA1969" s="73"/>
      <c r="BB1969" s="73"/>
      <c r="BC1969" s="73"/>
      <c r="BD1969" s="73"/>
      <c r="BE1969" s="73"/>
      <c r="BF1969" s="73"/>
      <c r="BG1969" s="73"/>
      <c r="BH1969" s="73"/>
      <c r="BI1969" s="73"/>
      <c r="BJ1969" s="73"/>
      <c r="BK1969" s="73"/>
      <c r="BL1969" s="73"/>
      <c r="BM1969" s="73"/>
      <c r="BN1969" s="73"/>
      <c r="BO1969" s="73"/>
      <c r="BP1969" s="73"/>
      <c r="BQ1969" s="73"/>
      <c r="BR1969" s="73"/>
      <c r="BS1969" s="73"/>
      <c r="BT1969" s="73"/>
      <c r="BU1969" s="73"/>
      <c r="BV1969" s="73"/>
      <c r="BW1969" s="73"/>
      <c r="BX1969" s="73"/>
      <c r="BY1969" s="73"/>
      <c r="BZ1969" s="73"/>
      <c r="CA1969" s="73"/>
      <c r="CB1969" s="73"/>
      <c r="CC1969" s="73"/>
      <c r="CD1969" s="73"/>
      <c r="CE1969" s="73"/>
      <c r="CF1969" s="73"/>
      <c r="CG1969" s="73"/>
      <c r="CH1969" s="73"/>
    </row>
    <row r="1970">
      <c r="A1970" s="80"/>
      <c r="B1970" s="80"/>
      <c r="C1970" s="80"/>
      <c r="D1970" s="80"/>
      <c r="E1970" s="124"/>
      <c r="F1970" s="80"/>
      <c r="G1970" s="80"/>
      <c r="H1970" s="80"/>
      <c r="I1970" s="80"/>
      <c r="J1970" s="196"/>
      <c r="K1970" s="196"/>
      <c r="L1970" s="196"/>
      <c r="M1970" s="196"/>
      <c r="N1970" s="196"/>
      <c r="O1970" s="196"/>
      <c r="P1970" s="196"/>
      <c r="Q1970" s="196"/>
      <c r="R1970" s="196"/>
      <c r="S1970" s="196"/>
      <c r="T1970" s="196"/>
      <c r="U1970" s="196"/>
      <c r="V1970" s="196"/>
      <c r="W1970" s="196"/>
      <c r="X1970" s="196"/>
      <c r="Y1970" s="196"/>
      <c r="Z1970" s="196"/>
      <c r="AA1970" s="196"/>
      <c r="AB1970" s="196"/>
      <c r="AC1970" s="196"/>
      <c r="AD1970" s="196"/>
      <c r="AE1970" s="196"/>
      <c r="AF1970" s="196"/>
      <c r="AG1970" s="196"/>
      <c r="AH1970" s="196"/>
      <c r="AI1970" s="196"/>
      <c r="AJ1970" s="197"/>
      <c r="AK1970" s="80"/>
      <c r="AL1970" s="80"/>
      <c r="AM1970" s="73"/>
      <c r="AN1970" s="73"/>
      <c r="AO1970" s="73"/>
      <c r="AP1970" s="73"/>
      <c r="AQ1970" s="73"/>
      <c r="AR1970" s="73"/>
      <c r="AS1970" s="73"/>
      <c r="AT1970" s="73"/>
      <c r="AU1970" s="73"/>
      <c r="AV1970" s="73"/>
      <c r="AW1970" s="73"/>
      <c r="AX1970" s="73"/>
      <c r="AY1970" s="73"/>
      <c r="AZ1970" s="73"/>
      <c r="BA1970" s="73"/>
      <c r="BB1970" s="73"/>
      <c r="BC1970" s="73"/>
      <c r="BD1970" s="73"/>
      <c r="BE1970" s="73"/>
      <c r="BF1970" s="73"/>
      <c r="BG1970" s="73"/>
      <c r="BH1970" s="73"/>
      <c r="BI1970" s="73"/>
      <c r="BJ1970" s="73"/>
      <c r="BK1970" s="73"/>
      <c r="BL1970" s="73"/>
      <c r="BM1970" s="73"/>
      <c r="BN1970" s="73"/>
      <c r="BO1970" s="73"/>
      <c r="BP1970" s="73"/>
      <c r="BQ1970" s="73"/>
      <c r="BR1970" s="73"/>
      <c r="BS1970" s="73"/>
      <c r="BT1970" s="73"/>
      <c r="BU1970" s="73"/>
      <c r="BV1970" s="73"/>
      <c r="BW1970" s="73"/>
      <c r="BX1970" s="73"/>
      <c r="BY1970" s="73"/>
      <c r="BZ1970" s="73"/>
      <c r="CA1970" s="73"/>
      <c r="CB1970" s="73"/>
      <c r="CC1970" s="73"/>
      <c r="CD1970" s="73"/>
      <c r="CE1970" s="73"/>
      <c r="CF1970" s="73"/>
      <c r="CG1970" s="73"/>
      <c r="CH1970" s="73"/>
    </row>
    <row r="1971">
      <c r="A1971" s="80"/>
      <c r="B1971" s="80"/>
      <c r="C1971" s="80"/>
      <c r="D1971" s="80"/>
      <c r="E1971" s="124"/>
      <c r="F1971" s="80"/>
      <c r="G1971" s="80"/>
      <c r="H1971" s="80"/>
      <c r="I1971" s="80"/>
      <c r="J1971" s="196"/>
      <c r="K1971" s="196"/>
      <c r="L1971" s="196"/>
      <c r="M1971" s="196"/>
      <c r="N1971" s="196"/>
      <c r="O1971" s="196"/>
      <c r="P1971" s="196"/>
      <c r="Q1971" s="196"/>
      <c r="R1971" s="196"/>
      <c r="S1971" s="196"/>
      <c r="T1971" s="196"/>
      <c r="U1971" s="196"/>
      <c r="V1971" s="196"/>
      <c r="W1971" s="196"/>
      <c r="X1971" s="196"/>
      <c r="Y1971" s="196"/>
      <c r="Z1971" s="196"/>
      <c r="AA1971" s="196"/>
      <c r="AB1971" s="196"/>
      <c r="AC1971" s="196"/>
      <c r="AD1971" s="196"/>
      <c r="AE1971" s="196"/>
      <c r="AF1971" s="196"/>
      <c r="AG1971" s="196"/>
      <c r="AH1971" s="196"/>
      <c r="AI1971" s="196"/>
      <c r="AJ1971" s="197"/>
      <c r="AK1971" s="80"/>
      <c r="AL1971" s="80"/>
      <c r="AM1971" s="73"/>
      <c r="AN1971" s="73"/>
      <c r="AO1971" s="73"/>
      <c r="AP1971" s="73"/>
      <c r="AQ1971" s="73"/>
      <c r="AR1971" s="73"/>
      <c r="AS1971" s="73"/>
      <c r="AT1971" s="73"/>
      <c r="AU1971" s="73"/>
      <c r="AV1971" s="73"/>
      <c r="AW1971" s="73"/>
      <c r="AX1971" s="73"/>
      <c r="AY1971" s="73"/>
      <c r="AZ1971" s="73"/>
      <c r="BA1971" s="73"/>
      <c r="BB1971" s="73"/>
      <c r="BC1971" s="73"/>
      <c r="BD1971" s="73"/>
      <c r="BE1971" s="73"/>
      <c r="BF1971" s="73"/>
      <c r="BG1971" s="73"/>
      <c r="BH1971" s="73"/>
      <c r="BI1971" s="73"/>
      <c r="BJ1971" s="73"/>
      <c r="BK1971" s="73"/>
      <c r="BL1971" s="73"/>
      <c r="BM1971" s="73"/>
      <c r="BN1971" s="73"/>
      <c r="BO1971" s="73"/>
      <c r="BP1971" s="73"/>
      <c r="BQ1971" s="73"/>
      <c r="BR1971" s="73"/>
      <c r="BS1971" s="73"/>
      <c r="BT1971" s="73"/>
      <c r="BU1971" s="73"/>
      <c r="BV1971" s="73"/>
      <c r="BW1971" s="73"/>
      <c r="BX1971" s="73"/>
      <c r="BY1971" s="73"/>
      <c r="BZ1971" s="73"/>
      <c r="CA1971" s="73"/>
      <c r="CB1971" s="73"/>
      <c r="CC1971" s="73"/>
      <c r="CD1971" s="73"/>
      <c r="CE1971" s="73"/>
      <c r="CF1971" s="73"/>
      <c r="CG1971" s="73"/>
      <c r="CH1971" s="73"/>
    </row>
    <row r="1972">
      <c r="A1972" s="80"/>
      <c r="B1972" s="80"/>
      <c r="C1972" s="80"/>
      <c r="D1972" s="80"/>
      <c r="E1972" s="124"/>
      <c r="F1972" s="80"/>
      <c r="G1972" s="80"/>
      <c r="H1972" s="80"/>
      <c r="I1972" s="80"/>
      <c r="J1972" s="196"/>
      <c r="K1972" s="196"/>
      <c r="L1972" s="196"/>
      <c r="M1972" s="196"/>
      <c r="N1972" s="196"/>
      <c r="O1972" s="196"/>
      <c r="P1972" s="196"/>
      <c r="Q1972" s="196"/>
      <c r="R1972" s="196"/>
      <c r="S1972" s="196"/>
      <c r="T1972" s="196"/>
      <c r="U1972" s="196"/>
      <c r="V1972" s="196"/>
      <c r="W1972" s="196"/>
      <c r="X1972" s="196"/>
      <c r="Y1972" s="196"/>
      <c r="Z1972" s="196"/>
      <c r="AA1972" s="196"/>
      <c r="AB1972" s="196"/>
      <c r="AC1972" s="196"/>
      <c r="AD1972" s="196"/>
      <c r="AE1972" s="196"/>
      <c r="AF1972" s="196"/>
      <c r="AG1972" s="196"/>
      <c r="AH1972" s="196"/>
      <c r="AI1972" s="196"/>
      <c r="AJ1972" s="197"/>
      <c r="AK1972" s="80"/>
      <c r="AL1972" s="80"/>
      <c r="AM1972" s="73"/>
      <c r="AN1972" s="73"/>
      <c r="AO1972" s="73"/>
      <c r="AP1972" s="73"/>
      <c r="AQ1972" s="73"/>
      <c r="AR1972" s="73"/>
      <c r="AS1972" s="73"/>
      <c r="AT1972" s="73"/>
      <c r="AU1972" s="73"/>
      <c r="AV1972" s="73"/>
      <c r="AW1972" s="73"/>
      <c r="AX1972" s="73"/>
      <c r="AY1972" s="73"/>
      <c r="AZ1972" s="73"/>
      <c r="BA1972" s="73"/>
      <c r="BB1972" s="73"/>
      <c r="BC1972" s="73"/>
      <c r="BD1972" s="73"/>
      <c r="BE1972" s="73"/>
      <c r="BF1972" s="73"/>
      <c r="BG1972" s="73"/>
      <c r="BH1972" s="73"/>
      <c r="BI1972" s="73"/>
      <c r="BJ1972" s="73"/>
      <c r="BK1972" s="73"/>
      <c r="BL1972" s="73"/>
      <c r="BM1972" s="73"/>
      <c r="BN1972" s="73"/>
      <c r="BO1972" s="73"/>
      <c r="BP1972" s="73"/>
      <c r="BQ1972" s="73"/>
      <c r="BR1972" s="73"/>
      <c r="BS1972" s="73"/>
      <c r="BT1972" s="73"/>
      <c r="BU1972" s="73"/>
      <c r="BV1972" s="73"/>
      <c r="BW1972" s="73"/>
      <c r="BX1972" s="73"/>
      <c r="BY1972" s="73"/>
      <c r="BZ1972" s="73"/>
      <c r="CA1972" s="73"/>
      <c r="CB1972" s="73"/>
      <c r="CC1972" s="73"/>
      <c r="CD1972" s="73"/>
      <c r="CE1972" s="73"/>
      <c r="CF1972" s="73"/>
      <c r="CG1972" s="73"/>
      <c r="CH1972" s="73"/>
    </row>
    <row r="1973">
      <c r="A1973" s="80"/>
      <c r="B1973" s="80"/>
      <c r="C1973" s="80"/>
      <c r="D1973" s="80"/>
      <c r="E1973" s="124"/>
      <c r="F1973" s="80"/>
      <c r="G1973" s="80"/>
      <c r="H1973" s="80"/>
      <c r="I1973" s="80"/>
      <c r="J1973" s="196"/>
      <c r="K1973" s="196"/>
      <c r="L1973" s="196"/>
      <c r="M1973" s="196"/>
      <c r="N1973" s="196"/>
      <c r="O1973" s="196"/>
      <c r="P1973" s="196"/>
      <c r="Q1973" s="196"/>
      <c r="R1973" s="196"/>
      <c r="S1973" s="196"/>
      <c r="T1973" s="196"/>
      <c r="U1973" s="196"/>
      <c r="V1973" s="196"/>
      <c r="W1973" s="196"/>
      <c r="X1973" s="196"/>
      <c r="Y1973" s="196"/>
      <c r="Z1973" s="196"/>
      <c r="AA1973" s="196"/>
      <c r="AB1973" s="196"/>
      <c r="AC1973" s="196"/>
      <c r="AD1973" s="196"/>
      <c r="AE1973" s="196"/>
      <c r="AF1973" s="196"/>
      <c r="AG1973" s="196"/>
      <c r="AH1973" s="196"/>
      <c r="AI1973" s="196"/>
      <c r="AJ1973" s="197"/>
      <c r="AK1973" s="80"/>
      <c r="AL1973" s="80"/>
      <c r="AM1973" s="73"/>
      <c r="AN1973" s="73"/>
      <c r="AO1973" s="73"/>
      <c r="AP1973" s="73"/>
      <c r="AQ1973" s="73"/>
      <c r="AR1973" s="73"/>
      <c r="AS1973" s="73"/>
      <c r="AT1973" s="73"/>
      <c r="AU1973" s="73"/>
      <c r="AV1973" s="73"/>
      <c r="AW1973" s="73"/>
      <c r="AX1973" s="73"/>
      <c r="AY1973" s="73"/>
      <c r="AZ1973" s="73"/>
      <c r="BA1973" s="73"/>
      <c r="BB1973" s="73"/>
      <c r="BC1973" s="73"/>
      <c r="BD1973" s="73"/>
      <c r="BE1973" s="73"/>
      <c r="BF1973" s="73"/>
      <c r="BG1973" s="73"/>
      <c r="BH1973" s="73"/>
      <c r="BI1973" s="73"/>
      <c r="BJ1973" s="73"/>
      <c r="BK1973" s="73"/>
      <c r="BL1973" s="73"/>
      <c r="BM1973" s="73"/>
      <c r="BN1973" s="73"/>
      <c r="BO1973" s="73"/>
      <c r="BP1973" s="73"/>
      <c r="BQ1973" s="73"/>
      <c r="BR1973" s="73"/>
      <c r="BS1973" s="73"/>
      <c r="BT1973" s="73"/>
      <c r="BU1973" s="73"/>
      <c r="BV1973" s="73"/>
      <c r="BW1973" s="73"/>
      <c r="BX1973" s="73"/>
      <c r="BY1973" s="73"/>
      <c r="BZ1973" s="73"/>
      <c r="CA1973" s="73"/>
      <c r="CB1973" s="73"/>
      <c r="CC1973" s="73"/>
      <c r="CD1973" s="73"/>
      <c r="CE1973" s="73"/>
      <c r="CF1973" s="73"/>
      <c r="CG1973" s="73"/>
      <c r="CH1973" s="73"/>
    </row>
    <row r="1974">
      <c r="A1974" s="80"/>
      <c r="B1974" s="80"/>
      <c r="C1974" s="80"/>
      <c r="D1974" s="80"/>
      <c r="E1974" s="124"/>
      <c r="F1974" s="80"/>
      <c r="G1974" s="80"/>
      <c r="H1974" s="80"/>
      <c r="I1974" s="80"/>
      <c r="J1974" s="196"/>
      <c r="K1974" s="196"/>
      <c r="L1974" s="196"/>
      <c r="M1974" s="196"/>
      <c r="N1974" s="196"/>
      <c r="O1974" s="196"/>
      <c r="P1974" s="196"/>
      <c r="Q1974" s="196"/>
      <c r="R1974" s="196"/>
      <c r="S1974" s="196"/>
      <c r="T1974" s="196"/>
      <c r="U1974" s="196"/>
      <c r="V1974" s="196"/>
      <c r="W1974" s="196"/>
      <c r="X1974" s="196"/>
      <c r="Y1974" s="196"/>
      <c r="Z1974" s="196"/>
      <c r="AA1974" s="196"/>
      <c r="AB1974" s="196"/>
      <c r="AC1974" s="196"/>
      <c r="AD1974" s="196"/>
      <c r="AE1974" s="196"/>
      <c r="AF1974" s="196"/>
      <c r="AG1974" s="196"/>
      <c r="AH1974" s="196"/>
      <c r="AI1974" s="196"/>
      <c r="AJ1974" s="197"/>
      <c r="AK1974" s="80"/>
      <c r="AL1974" s="80"/>
      <c r="AM1974" s="73"/>
      <c r="AN1974" s="73"/>
      <c r="AO1974" s="73"/>
      <c r="AP1974" s="73"/>
      <c r="AQ1974" s="73"/>
      <c r="AR1974" s="73"/>
      <c r="AS1974" s="73"/>
      <c r="AT1974" s="73"/>
      <c r="AU1974" s="73"/>
      <c r="AV1974" s="73"/>
      <c r="AW1974" s="73"/>
      <c r="AX1974" s="73"/>
      <c r="AY1974" s="73"/>
      <c r="AZ1974" s="73"/>
      <c r="BA1974" s="73"/>
      <c r="BB1974" s="73"/>
      <c r="BC1974" s="73"/>
      <c r="BD1974" s="73"/>
      <c r="BE1974" s="73"/>
      <c r="BF1974" s="73"/>
      <c r="BG1974" s="73"/>
      <c r="BH1974" s="73"/>
      <c r="BI1974" s="73"/>
      <c r="BJ1974" s="73"/>
      <c r="BK1974" s="73"/>
      <c r="BL1974" s="73"/>
      <c r="BM1974" s="73"/>
      <c r="BN1974" s="73"/>
      <c r="BO1974" s="73"/>
      <c r="BP1974" s="73"/>
      <c r="BQ1974" s="73"/>
      <c r="BR1974" s="73"/>
      <c r="BS1974" s="73"/>
      <c r="BT1974" s="73"/>
      <c r="BU1974" s="73"/>
      <c r="BV1974" s="73"/>
      <c r="BW1974" s="73"/>
      <c r="BX1974" s="73"/>
      <c r="BY1974" s="73"/>
      <c r="BZ1974" s="73"/>
      <c r="CA1974" s="73"/>
      <c r="CB1974" s="73"/>
      <c r="CC1974" s="73"/>
      <c r="CD1974" s="73"/>
      <c r="CE1974" s="73"/>
      <c r="CF1974" s="73"/>
      <c r="CG1974" s="73"/>
      <c r="CH1974" s="73"/>
    </row>
    <row r="1975">
      <c r="A1975" s="80"/>
      <c r="B1975" s="80"/>
      <c r="C1975" s="80"/>
      <c r="D1975" s="80"/>
      <c r="E1975" s="124"/>
      <c r="F1975" s="80"/>
      <c r="G1975" s="80"/>
      <c r="H1975" s="80"/>
      <c r="I1975" s="80"/>
      <c r="J1975" s="196"/>
      <c r="K1975" s="196"/>
      <c r="L1975" s="196"/>
      <c r="M1975" s="196"/>
      <c r="N1975" s="196"/>
      <c r="O1975" s="196"/>
      <c r="P1975" s="196"/>
      <c r="Q1975" s="196"/>
      <c r="R1975" s="196"/>
      <c r="S1975" s="196"/>
      <c r="T1975" s="196"/>
      <c r="U1975" s="196"/>
      <c r="V1975" s="196"/>
      <c r="W1975" s="196"/>
      <c r="X1975" s="196"/>
      <c r="Y1975" s="196"/>
      <c r="Z1975" s="196"/>
      <c r="AA1975" s="196"/>
      <c r="AB1975" s="196"/>
      <c r="AC1975" s="196"/>
      <c r="AD1975" s="196"/>
      <c r="AE1975" s="196"/>
      <c r="AF1975" s="196"/>
      <c r="AG1975" s="196"/>
      <c r="AH1975" s="196"/>
      <c r="AI1975" s="196"/>
      <c r="AJ1975" s="197"/>
      <c r="AK1975" s="80"/>
      <c r="AL1975" s="80"/>
      <c r="AM1975" s="73"/>
      <c r="AN1975" s="73"/>
      <c r="AO1975" s="73"/>
      <c r="AP1975" s="73"/>
      <c r="AQ1975" s="73"/>
      <c r="AR1975" s="73"/>
      <c r="AS1975" s="73"/>
      <c r="AT1975" s="73"/>
      <c r="AU1975" s="73"/>
      <c r="AV1975" s="73"/>
      <c r="AW1975" s="73"/>
      <c r="AX1975" s="73"/>
      <c r="AY1975" s="73"/>
      <c r="AZ1975" s="73"/>
      <c r="BA1975" s="73"/>
      <c r="BB1975" s="73"/>
      <c r="BC1975" s="73"/>
      <c r="BD1975" s="73"/>
      <c r="BE1975" s="73"/>
      <c r="BF1975" s="73"/>
      <c r="BG1975" s="73"/>
      <c r="BH1975" s="73"/>
      <c r="BI1975" s="73"/>
      <c r="BJ1975" s="73"/>
      <c r="BK1975" s="73"/>
      <c r="BL1975" s="73"/>
      <c r="BM1975" s="73"/>
      <c r="BN1975" s="73"/>
      <c r="BO1975" s="73"/>
      <c r="BP1975" s="73"/>
      <c r="BQ1975" s="73"/>
      <c r="BR1975" s="73"/>
      <c r="BS1975" s="73"/>
      <c r="BT1975" s="73"/>
      <c r="BU1975" s="73"/>
      <c r="BV1975" s="73"/>
      <c r="BW1975" s="73"/>
      <c r="BX1975" s="73"/>
      <c r="BY1975" s="73"/>
      <c r="BZ1975" s="73"/>
      <c r="CA1975" s="73"/>
      <c r="CB1975" s="73"/>
      <c r="CC1975" s="73"/>
      <c r="CD1975" s="73"/>
      <c r="CE1975" s="73"/>
      <c r="CF1975" s="73"/>
      <c r="CG1975" s="73"/>
      <c r="CH1975" s="73"/>
    </row>
    <row r="1976">
      <c r="A1976" s="80"/>
      <c r="B1976" s="80"/>
      <c r="C1976" s="80"/>
      <c r="D1976" s="80"/>
      <c r="E1976" s="124"/>
      <c r="F1976" s="80"/>
      <c r="G1976" s="80"/>
      <c r="H1976" s="80"/>
      <c r="I1976" s="80"/>
      <c r="J1976" s="196"/>
      <c r="K1976" s="196"/>
      <c r="L1976" s="196"/>
      <c r="M1976" s="196"/>
      <c r="N1976" s="196"/>
      <c r="O1976" s="196"/>
      <c r="P1976" s="196"/>
      <c r="Q1976" s="196"/>
      <c r="R1976" s="196"/>
      <c r="S1976" s="196"/>
      <c r="T1976" s="196"/>
      <c r="U1976" s="196"/>
      <c r="V1976" s="196"/>
      <c r="W1976" s="196"/>
      <c r="X1976" s="196"/>
      <c r="Y1976" s="196"/>
      <c r="Z1976" s="196"/>
      <c r="AA1976" s="196"/>
      <c r="AB1976" s="196"/>
      <c r="AC1976" s="196"/>
      <c r="AD1976" s="196"/>
      <c r="AE1976" s="196"/>
      <c r="AF1976" s="196"/>
      <c r="AG1976" s="196"/>
      <c r="AH1976" s="196"/>
      <c r="AI1976" s="196"/>
      <c r="AJ1976" s="197"/>
      <c r="AK1976" s="80"/>
      <c r="AL1976" s="80"/>
      <c r="AM1976" s="73"/>
      <c r="AN1976" s="73"/>
      <c r="AO1976" s="73"/>
      <c r="AP1976" s="73"/>
      <c r="AQ1976" s="73"/>
      <c r="AR1976" s="73"/>
      <c r="AS1976" s="73"/>
      <c r="AT1976" s="73"/>
      <c r="AU1976" s="73"/>
      <c r="AV1976" s="73"/>
      <c r="AW1976" s="73"/>
      <c r="AX1976" s="73"/>
      <c r="AY1976" s="73"/>
      <c r="AZ1976" s="73"/>
      <c r="BA1976" s="73"/>
      <c r="BB1976" s="73"/>
      <c r="BC1976" s="73"/>
      <c r="BD1976" s="73"/>
      <c r="BE1976" s="73"/>
      <c r="BF1976" s="73"/>
      <c r="BG1976" s="73"/>
      <c r="BH1976" s="73"/>
      <c r="BI1976" s="73"/>
      <c r="BJ1976" s="73"/>
      <c r="BK1976" s="73"/>
      <c r="BL1976" s="73"/>
      <c r="BM1976" s="73"/>
      <c r="BN1976" s="73"/>
      <c r="BO1976" s="73"/>
      <c r="BP1976" s="73"/>
      <c r="BQ1976" s="73"/>
      <c r="BR1976" s="73"/>
      <c r="BS1976" s="73"/>
      <c r="BT1976" s="73"/>
      <c r="BU1976" s="73"/>
      <c r="BV1976" s="73"/>
      <c r="BW1976" s="73"/>
      <c r="BX1976" s="73"/>
      <c r="BY1976" s="73"/>
      <c r="BZ1976" s="73"/>
      <c r="CA1976" s="73"/>
      <c r="CB1976" s="73"/>
      <c r="CC1976" s="73"/>
      <c r="CD1976" s="73"/>
      <c r="CE1976" s="73"/>
      <c r="CF1976" s="73"/>
      <c r="CG1976" s="73"/>
      <c r="CH1976" s="73"/>
    </row>
    <row r="1977">
      <c r="A1977" s="80"/>
      <c r="B1977" s="80"/>
      <c r="C1977" s="80"/>
      <c r="D1977" s="80"/>
      <c r="E1977" s="124"/>
      <c r="F1977" s="80"/>
      <c r="G1977" s="80"/>
      <c r="H1977" s="80"/>
      <c r="I1977" s="80"/>
      <c r="J1977" s="196"/>
      <c r="K1977" s="196"/>
      <c r="L1977" s="196"/>
      <c r="M1977" s="196"/>
      <c r="N1977" s="196"/>
      <c r="O1977" s="196"/>
      <c r="P1977" s="196"/>
      <c r="Q1977" s="196"/>
      <c r="R1977" s="196"/>
      <c r="S1977" s="196"/>
      <c r="T1977" s="196"/>
      <c r="U1977" s="196"/>
      <c r="V1977" s="196"/>
      <c r="W1977" s="196"/>
      <c r="X1977" s="196"/>
      <c r="Y1977" s="196"/>
      <c r="Z1977" s="196"/>
      <c r="AA1977" s="196"/>
      <c r="AB1977" s="196"/>
      <c r="AC1977" s="196"/>
      <c r="AD1977" s="196"/>
      <c r="AE1977" s="196"/>
      <c r="AF1977" s="196"/>
      <c r="AG1977" s="196"/>
      <c r="AH1977" s="196"/>
      <c r="AI1977" s="196"/>
      <c r="AJ1977" s="197"/>
      <c r="AK1977" s="80"/>
      <c r="AL1977" s="80"/>
      <c r="AM1977" s="73"/>
      <c r="AN1977" s="73"/>
      <c r="AO1977" s="73"/>
      <c r="AP1977" s="73"/>
      <c r="AQ1977" s="73"/>
      <c r="AR1977" s="73"/>
      <c r="AS1977" s="73"/>
      <c r="AT1977" s="73"/>
      <c r="AU1977" s="73"/>
      <c r="AV1977" s="73"/>
      <c r="AW1977" s="73"/>
      <c r="AX1977" s="73"/>
      <c r="AY1977" s="73"/>
      <c r="AZ1977" s="73"/>
      <c r="BA1977" s="73"/>
      <c r="BB1977" s="73"/>
      <c r="BC1977" s="73"/>
      <c r="BD1977" s="73"/>
      <c r="BE1977" s="73"/>
      <c r="BF1977" s="73"/>
      <c r="BG1977" s="73"/>
      <c r="BH1977" s="73"/>
      <c r="BI1977" s="73"/>
      <c r="BJ1977" s="73"/>
      <c r="BK1977" s="73"/>
      <c r="BL1977" s="73"/>
      <c r="BM1977" s="73"/>
      <c r="BN1977" s="73"/>
      <c r="BO1977" s="73"/>
      <c r="BP1977" s="73"/>
      <c r="BQ1977" s="73"/>
      <c r="BR1977" s="73"/>
      <c r="BS1977" s="73"/>
      <c r="BT1977" s="73"/>
      <c r="BU1977" s="73"/>
      <c r="BV1977" s="73"/>
      <c r="BW1977" s="73"/>
      <c r="BX1977" s="73"/>
      <c r="BY1977" s="73"/>
      <c r="BZ1977" s="73"/>
      <c r="CA1977" s="73"/>
      <c r="CB1977" s="73"/>
      <c r="CC1977" s="73"/>
      <c r="CD1977" s="73"/>
      <c r="CE1977" s="73"/>
      <c r="CF1977" s="73"/>
      <c r="CG1977" s="73"/>
      <c r="CH1977" s="73"/>
    </row>
    <row r="1978">
      <c r="A1978" s="80"/>
      <c r="B1978" s="80"/>
      <c r="C1978" s="80"/>
      <c r="D1978" s="80"/>
      <c r="E1978" s="124"/>
      <c r="F1978" s="80"/>
      <c r="G1978" s="80"/>
      <c r="H1978" s="80"/>
      <c r="I1978" s="80"/>
      <c r="J1978" s="196"/>
      <c r="K1978" s="196"/>
      <c r="L1978" s="196"/>
      <c r="M1978" s="196"/>
      <c r="N1978" s="196"/>
      <c r="O1978" s="196"/>
      <c r="P1978" s="196"/>
      <c r="Q1978" s="196"/>
      <c r="R1978" s="196"/>
      <c r="S1978" s="196"/>
      <c r="T1978" s="196"/>
      <c r="U1978" s="196"/>
      <c r="V1978" s="196"/>
      <c r="W1978" s="196"/>
      <c r="X1978" s="196"/>
      <c r="Y1978" s="196"/>
      <c r="Z1978" s="196"/>
      <c r="AA1978" s="196"/>
      <c r="AB1978" s="196"/>
      <c r="AC1978" s="196"/>
      <c r="AD1978" s="196"/>
      <c r="AE1978" s="196"/>
      <c r="AF1978" s="196"/>
      <c r="AG1978" s="196"/>
      <c r="AH1978" s="196"/>
      <c r="AI1978" s="196"/>
      <c r="AJ1978" s="197"/>
      <c r="AK1978" s="80"/>
      <c r="AL1978" s="80"/>
      <c r="AM1978" s="73"/>
      <c r="AN1978" s="73"/>
      <c r="AO1978" s="73"/>
      <c r="AP1978" s="73"/>
      <c r="AQ1978" s="73"/>
      <c r="AR1978" s="73"/>
      <c r="AS1978" s="73"/>
      <c r="AT1978" s="73"/>
      <c r="AU1978" s="73"/>
      <c r="AV1978" s="73"/>
      <c r="AW1978" s="73"/>
      <c r="AX1978" s="73"/>
      <c r="AY1978" s="73"/>
      <c r="AZ1978" s="73"/>
      <c r="BA1978" s="73"/>
      <c r="BB1978" s="73"/>
      <c r="BC1978" s="73"/>
      <c r="BD1978" s="73"/>
      <c r="BE1978" s="73"/>
      <c r="BF1978" s="73"/>
      <c r="BG1978" s="73"/>
      <c r="BH1978" s="73"/>
      <c r="BI1978" s="73"/>
      <c r="BJ1978" s="73"/>
      <c r="BK1978" s="73"/>
      <c r="BL1978" s="73"/>
      <c r="BM1978" s="73"/>
      <c r="BN1978" s="73"/>
      <c r="BO1978" s="73"/>
      <c r="BP1978" s="73"/>
      <c r="BQ1978" s="73"/>
      <c r="BR1978" s="73"/>
      <c r="BS1978" s="73"/>
      <c r="BT1978" s="73"/>
      <c r="BU1978" s="73"/>
      <c r="BV1978" s="73"/>
      <c r="BW1978" s="73"/>
      <c r="BX1978" s="73"/>
      <c r="BY1978" s="73"/>
      <c r="BZ1978" s="73"/>
      <c r="CA1978" s="73"/>
      <c r="CB1978" s="73"/>
      <c r="CC1978" s="73"/>
      <c r="CD1978" s="73"/>
      <c r="CE1978" s="73"/>
      <c r="CF1978" s="73"/>
      <c r="CG1978" s="73"/>
      <c r="CH1978" s="73"/>
    </row>
    <row r="1979">
      <c r="A1979" s="80"/>
      <c r="B1979" s="80"/>
      <c r="C1979" s="80"/>
      <c r="D1979" s="80"/>
      <c r="E1979" s="124"/>
      <c r="F1979" s="80"/>
      <c r="G1979" s="80"/>
      <c r="H1979" s="80"/>
      <c r="I1979" s="80"/>
      <c r="J1979" s="196"/>
      <c r="K1979" s="196"/>
      <c r="L1979" s="196"/>
      <c r="M1979" s="196"/>
      <c r="N1979" s="196"/>
      <c r="O1979" s="196"/>
      <c r="P1979" s="196"/>
      <c r="Q1979" s="196"/>
      <c r="R1979" s="196"/>
      <c r="S1979" s="196"/>
      <c r="T1979" s="196"/>
      <c r="U1979" s="196"/>
      <c r="V1979" s="196"/>
      <c r="W1979" s="196"/>
      <c r="X1979" s="196"/>
      <c r="Y1979" s="196"/>
      <c r="Z1979" s="196"/>
      <c r="AA1979" s="196"/>
      <c r="AB1979" s="196"/>
      <c r="AC1979" s="196"/>
      <c r="AD1979" s="196"/>
      <c r="AE1979" s="196"/>
      <c r="AF1979" s="196"/>
      <c r="AG1979" s="196"/>
      <c r="AH1979" s="196"/>
      <c r="AI1979" s="196"/>
      <c r="AJ1979" s="197"/>
      <c r="AK1979" s="80"/>
      <c r="AL1979" s="80"/>
      <c r="AM1979" s="73"/>
      <c r="AN1979" s="73"/>
      <c r="AO1979" s="73"/>
      <c r="AP1979" s="73"/>
      <c r="AQ1979" s="73"/>
      <c r="AR1979" s="73"/>
      <c r="AS1979" s="73"/>
      <c r="AT1979" s="73"/>
      <c r="AU1979" s="73"/>
      <c r="AV1979" s="73"/>
      <c r="AW1979" s="73"/>
      <c r="AX1979" s="73"/>
      <c r="AY1979" s="73"/>
      <c r="AZ1979" s="73"/>
      <c r="BA1979" s="73"/>
      <c r="BB1979" s="73"/>
      <c r="BC1979" s="73"/>
      <c r="BD1979" s="73"/>
      <c r="BE1979" s="73"/>
      <c r="BF1979" s="73"/>
      <c r="BG1979" s="73"/>
      <c r="BH1979" s="73"/>
      <c r="BI1979" s="73"/>
      <c r="BJ1979" s="73"/>
      <c r="BK1979" s="73"/>
      <c r="BL1979" s="73"/>
      <c r="BM1979" s="73"/>
      <c r="BN1979" s="73"/>
      <c r="BO1979" s="73"/>
      <c r="BP1979" s="73"/>
      <c r="BQ1979" s="73"/>
      <c r="BR1979" s="73"/>
      <c r="BS1979" s="73"/>
      <c r="BT1979" s="73"/>
      <c r="BU1979" s="73"/>
      <c r="BV1979" s="73"/>
      <c r="BW1979" s="73"/>
      <c r="BX1979" s="73"/>
      <c r="BY1979" s="73"/>
      <c r="BZ1979" s="73"/>
      <c r="CA1979" s="73"/>
      <c r="CB1979" s="73"/>
      <c r="CC1979" s="73"/>
      <c r="CD1979" s="73"/>
      <c r="CE1979" s="73"/>
      <c r="CF1979" s="73"/>
      <c r="CG1979" s="73"/>
      <c r="CH1979" s="73"/>
    </row>
    <row r="1980">
      <c r="A1980" s="80"/>
      <c r="B1980" s="80"/>
      <c r="C1980" s="80"/>
      <c r="D1980" s="80"/>
      <c r="E1980" s="124"/>
      <c r="F1980" s="80"/>
      <c r="G1980" s="80"/>
      <c r="H1980" s="80"/>
      <c r="I1980" s="80"/>
      <c r="J1980" s="196"/>
      <c r="K1980" s="196"/>
      <c r="L1980" s="196"/>
      <c r="M1980" s="196"/>
      <c r="N1980" s="196"/>
      <c r="O1980" s="196"/>
      <c r="P1980" s="196"/>
      <c r="Q1980" s="196"/>
      <c r="R1980" s="196"/>
      <c r="S1980" s="196"/>
      <c r="T1980" s="196"/>
      <c r="U1980" s="196"/>
      <c r="V1980" s="196"/>
      <c r="W1980" s="196"/>
      <c r="X1980" s="196"/>
      <c r="Y1980" s="196"/>
      <c r="Z1980" s="196"/>
      <c r="AA1980" s="196"/>
      <c r="AB1980" s="196"/>
      <c r="AC1980" s="196"/>
      <c r="AD1980" s="196"/>
      <c r="AE1980" s="196"/>
      <c r="AF1980" s="196"/>
      <c r="AG1980" s="196"/>
      <c r="AH1980" s="196"/>
      <c r="AI1980" s="196"/>
      <c r="AJ1980" s="197"/>
      <c r="AK1980" s="80"/>
      <c r="AL1980" s="80"/>
      <c r="AM1980" s="73"/>
      <c r="AN1980" s="73"/>
      <c r="AO1980" s="73"/>
      <c r="AP1980" s="73"/>
      <c r="AQ1980" s="73"/>
      <c r="AR1980" s="73"/>
      <c r="AS1980" s="73"/>
      <c r="AT1980" s="73"/>
      <c r="AU1980" s="73"/>
      <c r="AV1980" s="73"/>
      <c r="AW1980" s="73"/>
      <c r="AX1980" s="73"/>
      <c r="AY1980" s="73"/>
      <c r="AZ1980" s="73"/>
      <c r="BA1980" s="73"/>
      <c r="BB1980" s="73"/>
      <c r="BC1980" s="73"/>
      <c r="BD1980" s="73"/>
      <c r="BE1980" s="73"/>
      <c r="BF1980" s="73"/>
      <c r="BG1980" s="73"/>
      <c r="BH1980" s="73"/>
      <c r="BI1980" s="73"/>
      <c r="BJ1980" s="73"/>
      <c r="BK1980" s="73"/>
      <c r="BL1980" s="73"/>
      <c r="BM1980" s="73"/>
      <c r="BN1980" s="73"/>
      <c r="BO1980" s="73"/>
      <c r="BP1980" s="73"/>
      <c r="BQ1980" s="73"/>
      <c r="BR1980" s="73"/>
      <c r="BS1980" s="73"/>
      <c r="BT1980" s="73"/>
      <c r="BU1980" s="73"/>
      <c r="BV1980" s="73"/>
      <c r="BW1980" s="73"/>
      <c r="BX1980" s="73"/>
      <c r="BY1980" s="73"/>
      <c r="BZ1980" s="73"/>
      <c r="CA1980" s="73"/>
      <c r="CB1980" s="73"/>
      <c r="CC1980" s="73"/>
      <c r="CD1980" s="73"/>
      <c r="CE1980" s="73"/>
      <c r="CF1980" s="73"/>
      <c r="CG1980" s="73"/>
      <c r="CH1980" s="73"/>
    </row>
    <row r="1981">
      <c r="A1981" s="80"/>
      <c r="B1981" s="80"/>
      <c r="C1981" s="80"/>
      <c r="D1981" s="80"/>
      <c r="E1981" s="124"/>
      <c r="F1981" s="80"/>
      <c r="G1981" s="80"/>
      <c r="H1981" s="80"/>
      <c r="I1981" s="80"/>
      <c r="J1981" s="196"/>
      <c r="K1981" s="196"/>
      <c r="L1981" s="196"/>
      <c r="M1981" s="196"/>
      <c r="N1981" s="196"/>
      <c r="O1981" s="196"/>
      <c r="P1981" s="196"/>
      <c r="Q1981" s="196"/>
      <c r="R1981" s="196"/>
      <c r="S1981" s="196"/>
      <c r="T1981" s="196"/>
      <c r="U1981" s="196"/>
      <c r="V1981" s="196"/>
      <c r="W1981" s="196"/>
      <c r="X1981" s="196"/>
      <c r="Y1981" s="196"/>
      <c r="Z1981" s="196"/>
      <c r="AA1981" s="196"/>
      <c r="AB1981" s="196"/>
      <c r="AC1981" s="196"/>
      <c r="AD1981" s="196"/>
      <c r="AE1981" s="196"/>
      <c r="AF1981" s="196"/>
      <c r="AG1981" s="196"/>
      <c r="AH1981" s="196"/>
      <c r="AI1981" s="196"/>
      <c r="AJ1981" s="197"/>
      <c r="AK1981" s="80"/>
      <c r="AL1981" s="80"/>
      <c r="AM1981" s="73"/>
      <c r="AN1981" s="73"/>
      <c r="AO1981" s="73"/>
      <c r="AP1981" s="73"/>
      <c r="AQ1981" s="73"/>
      <c r="AR1981" s="73"/>
      <c r="AS1981" s="73"/>
      <c r="AT1981" s="73"/>
      <c r="AU1981" s="73"/>
      <c r="AV1981" s="73"/>
      <c r="AW1981" s="73"/>
      <c r="AX1981" s="73"/>
      <c r="AY1981" s="73"/>
      <c r="AZ1981" s="73"/>
      <c r="BA1981" s="73"/>
      <c r="BB1981" s="73"/>
      <c r="BC1981" s="73"/>
      <c r="BD1981" s="73"/>
      <c r="BE1981" s="73"/>
      <c r="BF1981" s="73"/>
      <c r="BG1981" s="73"/>
      <c r="BH1981" s="73"/>
      <c r="BI1981" s="73"/>
      <c r="BJ1981" s="73"/>
      <c r="BK1981" s="73"/>
      <c r="BL1981" s="73"/>
      <c r="BM1981" s="73"/>
      <c r="BN1981" s="73"/>
      <c r="BO1981" s="73"/>
      <c r="BP1981" s="73"/>
      <c r="BQ1981" s="73"/>
      <c r="BR1981" s="73"/>
      <c r="BS1981" s="73"/>
      <c r="BT1981" s="73"/>
      <c r="BU1981" s="73"/>
      <c r="BV1981" s="73"/>
      <c r="BW1981" s="73"/>
      <c r="BX1981" s="73"/>
      <c r="BY1981" s="73"/>
      <c r="BZ1981" s="73"/>
      <c r="CA1981" s="73"/>
      <c r="CB1981" s="73"/>
      <c r="CC1981" s="73"/>
      <c r="CD1981" s="73"/>
      <c r="CE1981" s="73"/>
      <c r="CF1981" s="73"/>
      <c r="CG1981" s="73"/>
      <c r="CH1981" s="73"/>
    </row>
    <row r="1982">
      <c r="A1982" s="80"/>
      <c r="B1982" s="80"/>
      <c r="C1982" s="80"/>
      <c r="D1982" s="80"/>
      <c r="E1982" s="124"/>
      <c r="F1982" s="80"/>
      <c r="G1982" s="80"/>
      <c r="H1982" s="80"/>
      <c r="I1982" s="80"/>
      <c r="J1982" s="196"/>
      <c r="K1982" s="196"/>
      <c r="L1982" s="196"/>
      <c r="M1982" s="196"/>
      <c r="N1982" s="196"/>
      <c r="O1982" s="196"/>
      <c r="P1982" s="196"/>
      <c r="Q1982" s="196"/>
      <c r="R1982" s="196"/>
      <c r="S1982" s="196"/>
      <c r="T1982" s="196"/>
      <c r="U1982" s="196"/>
      <c r="V1982" s="196"/>
      <c r="W1982" s="196"/>
      <c r="X1982" s="196"/>
      <c r="Y1982" s="196"/>
      <c r="Z1982" s="196"/>
      <c r="AA1982" s="196"/>
      <c r="AB1982" s="196"/>
      <c r="AC1982" s="196"/>
      <c r="AD1982" s="196"/>
      <c r="AE1982" s="196"/>
      <c r="AF1982" s="196"/>
      <c r="AG1982" s="196"/>
      <c r="AH1982" s="196"/>
      <c r="AI1982" s="196"/>
      <c r="AJ1982" s="197"/>
      <c r="AK1982" s="80"/>
      <c r="AL1982" s="80"/>
      <c r="AM1982" s="73"/>
      <c r="AN1982" s="73"/>
      <c r="AO1982" s="73"/>
      <c r="AP1982" s="73"/>
      <c r="AQ1982" s="73"/>
      <c r="AR1982" s="73"/>
      <c r="AS1982" s="73"/>
      <c r="AT1982" s="73"/>
      <c r="AU1982" s="73"/>
      <c r="AV1982" s="73"/>
      <c r="AW1982" s="73"/>
      <c r="AX1982" s="73"/>
      <c r="AY1982" s="73"/>
      <c r="AZ1982" s="73"/>
      <c r="BA1982" s="73"/>
      <c r="BB1982" s="73"/>
      <c r="BC1982" s="73"/>
      <c r="BD1982" s="73"/>
      <c r="BE1982" s="73"/>
      <c r="BF1982" s="73"/>
      <c r="BG1982" s="73"/>
      <c r="BH1982" s="73"/>
      <c r="BI1982" s="73"/>
      <c r="BJ1982" s="73"/>
      <c r="BK1982" s="73"/>
      <c r="BL1982" s="73"/>
      <c r="BM1982" s="73"/>
      <c r="BN1982" s="73"/>
      <c r="BO1982" s="73"/>
      <c r="BP1982" s="73"/>
      <c r="BQ1982" s="73"/>
      <c r="BR1982" s="73"/>
      <c r="BS1982" s="73"/>
      <c r="BT1982" s="73"/>
      <c r="BU1982" s="73"/>
      <c r="BV1982" s="73"/>
      <c r="BW1982" s="73"/>
      <c r="BX1982" s="73"/>
      <c r="BY1982" s="73"/>
      <c r="BZ1982" s="73"/>
      <c r="CA1982" s="73"/>
      <c r="CB1982" s="73"/>
      <c r="CC1982" s="73"/>
      <c r="CD1982" s="73"/>
      <c r="CE1982" s="73"/>
      <c r="CF1982" s="73"/>
      <c r="CG1982" s="73"/>
      <c r="CH1982" s="73"/>
    </row>
    <row r="1983">
      <c r="A1983" s="80"/>
      <c r="B1983" s="80"/>
      <c r="C1983" s="80"/>
      <c r="D1983" s="80"/>
      <c r="E1983" s="124"/>
      <c r="F1983" s="80"/>
      <c r="G1983" s="80"/>
      <c r="H1983" s="80"/>
      <c r="I1983" s="80"/>
      <c r="J1983" s="196"/>
      <c r="K1983" s="196"/>
      <c r="L1983" s="196"/>
      <c r="M1983" s="196"/>
      <c r="N1983" s="196"/>
      <c r="O1983" s="196"/>
      <c r="P1983" s="196"/>
      <c r="Q1983" s="196"/>
      <c r="R1983" s="196"/>
      <c r="S1983" s="196"/>
      <c r="T1983" s="196"/>
      <c r="U1983" s="196"/>
      <c r="V1983" s="196"/>
      <c r="W1983" s="196"/>
      <c r="X1983" s="196"/>
      <c r="Y1983" s="196"/>
      <c r="Z1983" s="196"/>
      <c r="AA1983" s="196"/>
      <c r="AB1983" s="196"/>
      <c r="AC1983" s="196"/>
      <c r="AD1983" s="196"/>
      <c r="AE1983" s="196"/>
      <c r="AF1983" s="196"/>
      <c r="AG1983" s="196"/>
      <c r="AH1983" s="196"/>
      <c r="AI1983" s="196"/>
      <c r="AJ1983" s="197"/>
      <c r="AK1983" s="80"/>
      <c r="AL1983" s="80"/>
      <c r="AM1983" s="73"/>
      <c r="AN1983" s="73"/>
      <c r="AO1983" s="73"/>
      <c r="AP1983" s="73"/>
      <c r="AQ1983" s="73"/>
      <c r="AR1983" s="73"/>
      <c r="AS1983" s="73"/>
      <c r="AT1983" s="73"/>
      <c r="AU1983" s="73"/>
      <c r="AV1983" s="73"/>
      <c r="AW1983" s="73"/>
      <c r="AX1983" s="73"/>
      <c r="AY1983" s="73"/>
      <c r="AZ1983" s="73"/>
      <c r="BA1983" s="73"/>
      <c r="BB1983" s="73"/>
      <c r="BC1983" s="73"/>
      <c r="BD1983" s="73"/>
      <c r="BE1983" s="73"/>
      <c r="BF1983" s="73"/>
      <c r="BG1983" s="73"/>
      <c r="BH1983" s="73"/>
      <c r="BI1983" s="73"/>
      <c r="BJ1983" s="73"/>
      <c r="BK1983" s="73"/>
      <c r="BL1983" s="73"/>
      <c r="BM1983" s="73"/>
      <c r="BN1983" s="73"/>
      <c r="BO1983" s="73"/>
      <c r="BP1983" s="73"/>
      <c r="BQ1983" s="73"/>
      <c r="BR1983" s="73"/>
      <c r="BS1983" s="73"/>
      <c r="BT1983" s="73"/>
      <c r="BU1983" s="73"/>
      <c r="BV1983" s="73"/>
      <c r="BW1983" s="73"/>
      <c r="BX1983" s="73"/>
      <c r="BY1983" s="73"/>
      <c r="BZ1983" s="73"/>
      <c r="CA1983" s="73"/>
      <c r="CB1983" s="73"/>
      <c r="CC1983" s="73"/>
      <c r="CD1983" s="73"/>
      <c r="CE1983" s="73"/>
      <c r="CF1983" s="73"/>
      <c r="CG1983" s="73"/>
      <c r="CH1983" s="73"/>
    </row>
    <row r="1984">
      <c r="A1984" s="80"/>
      <c r="B1984" s="80"/>
      <c r="C1984" s="80"/>
      <c r="D1984" s="80"/>
      <c r="E1984" s="124"/>
      <c r="F1984" s="80"/>
      <c r="G1984" s="80"/>
      <c r="H1984" s="80"/>
      <c r="I1984" s="80"/>
      <c r="J1984" s="196"/>
      <c r="K1984" s="196"/>
      <c r="L1984" s="196"/>
      <c r="M1984" s="196"/>
      <c r="N1984" s="196"/>
      <c r="O1984" s="196"/>
      <c r="P1984" s="196"/>
      <c r="Q1984" s="196"/>
      <c r="R1984" s="196"/>
      <c r="S1984" s="196"/>
      <c r="T1984" s="196"/>
      <c r="U1984" s="196"/>
      <c r="V1984" s="196"/>
      <c r="W1984" s="196"/>
      <c r="X1984" s="196"/>
      <c r="Y1984" s="196"/>
      <c r="Z1984" s="196"/>
      <c r="AA1984" s="196"/>
      <c r="AB1984" s="196"/>
      <c r="AC1984" s="196"/>
      <c r="AD1984" s="196"/>
      <c r="AE1984" s="196"/>
      <c r="AF1984" s="196"/>
      <c r="AG1984" s="196"/>
      <c r="AH1984" s="196"/>
      <c r="AI1984" s="196"/>
      <c r="AJ1984" s="197"/>
      <c r="AK1984" s="80"/>
      <c r="AL1984" s="80"/>
      <c r="AM1984" s="73"/>
      <c r="AN1984" s="73"/>
      <c r="AO1984" s="73"/>
      <c r="AP1984" s="73"/>
      <c r="AQ1984" s="73"/>
      <c r="AR1984" s="73"/>
      <c r="AS1984" s="73"/>
      <c r="AT1984" s="73"/>
      <c r="AU1984" s="73"/>
      <c r="AV1984" s="73"/>
      <c r="AW1984" s="73"/>
      <c r="AX1984" s="73"/>
      <c r="AY1984" s="73"/>
      <c r="AZ1984" s="73"/>
      <c r="BA1984" s="73"/>
      <c r="BB1984" s="73"/>
      <c r="BC1984" s="73"/>
      <c r="BD1984" s="73"/>
      <c r="BE1984" s="73"/>
      <c r="BF1984" s="73"/>
      <c r="BG1984" s="73"/>
      <c r="BH1984" s="73"/>
      <c r="BI1984" s="73"/>
      <c r="BJ1984" s="73"/>
      <c r="BK1984" s="73"/>
      <c r="BL1984" s="73"/>
      <c r="BM1984" s="73"/>
      <c r="BN1984" s="73"/>
      <c r="BO1984" s="73"/>
      <c r="BP1984" s="73"/>
      <c r="BQ1984" s="73"/>
      <c r="BR1984" s="73"/>
      <c r="BS1984" s="73"/>
      <c r="BT1984" s="73"/>
      <c r="BU1984" s="73"/>
      <c r="BV1984" s="73"/>
      <c r="BW1984" s="73"/>
      <c r="BX1984" s="73"/>
      <c r="BY1984" s="73"/>
      <c r="BZ1984" s="73"/>
      <c r="CA1984" s="73"/>
      <c r="CB1984" s="73"/>
      <c r="CC1984" s="73"/>
      <c r="CD1984" s="73"/>
      <c r="CE1984" s="73"/>
      <c r="CF1984" s="73"/>
      <c r="CG1984" s="73"/>
      <c r="CH1984" s="73"/>
    </row>
    <row r="1985">
      <c r="A1985" s="80"/>
      <c r="B1985" s="80"/>
      <c r="C1985" s="80"/>
      <c r="D1985" s="80"/>
      <c r="E1985" s="124"/>
      <c r="F1985" s="80"/>
      <c r="G1985" s="80"/>
      <c r="H1985" s="80"/>
      <c r="I1985" s="80"/>
      <c r="J1985" s="196"/>
      <c r="K1985" s="196"/>
      <c r="L1985" s="196"/>
      <c r="M1985" s="196"/>
      <c r="N1985" s="196"/>
      <c r="O1985" s="196"/>
      <c r="P1985" s="196"/>
      <c r="Q1985" s="196"/>
      <c r="R1985" s="196"/>
      <c r="S1985" s="196"/>
      <c r="T1985" s="196"/>
      <c r="U1985" s="196"/>
      <c r="V1985" s="196"/>
      <c r="W1985" s="196"/>
      <c r="X1985" s="196"/>
      <c r="Y1985" s="196"/>
      <c r="Z1985" s="196"/>
      <c r="AA1985" s="196"/>
      <c r="AB1985" s="196"/>
      <c r="AC1985" s="196"/>
      <c r="AD1985" s="196"/>
      <c r="AE1985" s="196"/>
      <c r="AF1985" s="196"/>
      <c r="AG1985" s="196"/>
      <c r="AH1985" s="196"/>
      <c r="AI1985" s="196"/>
      <c r="AJ1985" s="197"/>
      <c r="AK1985" s="80"/>
      <c r="AL1985" s="80"/>
      <c r="AM1985" s="73"/>
      <c r="AN1985" s="73"/>
      <c r="AO1985" s="73"/>
      <c r="AP1985" s="73"/>
      <c r="AQ1985" s="73"/>
      <c r="AR1985" s="73"/>
      <c r="AS1985" s="73"/>
      <c r="AT1985" s="73"/>
      <c r="AU1985" s="73"/>
      <c r="AV1985" s="73"/>
      <c r="AW1985" s="73"/>
      <c r="AX1985" s="73"/>
      <c r="AY1985" s="73"/>
      <c r="AZ1985" s="73"/>
      <c r="BA1985" s="73"/>
      <c r="BB1985" s="73"/>
      <c r="BC1985" s="73"/>
      <c r="BD1985" s="73"/>
      <c r="BE1985" s="73"/>
      <c r="BF1985" s="73"/>
      <c r="BG1985" s="73"/>
      <c r="BH1985" s="73"/>
      <c r="BI1985" s="73"/>
      <c r="BJ1985" s="73"/>
      <c r="BK1985" s="73"/>
      <c r="BL1985" s="73"/>
      <c r="BM1985" s="73"/>
      <c r="BN1985" s="73"/>
      <c r="BO1985" s="73"/>
      <c r="BP1985" s="73"/>
      <c r="BQ1985" s="73"/>
      <c r="BR1985" s="73"/>
      <c r="BS1985" s="73"/>
      <c r="BT1985" s="73"/>
      <c r="BU1985" s="73"/>
      <c r="BV1985" s="73"/>
      <c r="BW1985" s="73"/>
      <c r="BX1985" s="73"/>
      <c r="BY1985" s="73"/>
      <c r="BZ1985" s="73"/>
      <c r="CA1985" s="73"/>
      <c r="CB1985" s="73"/>
      <c r="CC1985" s="73"/>
      <c r="CD1985" s="73"/>
      <c r="CE1985" s="73"/>
      <c r="CF1985" s="73"/>
      <c r="CG1985" s="73"/>
      <c r="CH1985" s="73"/>
    </row>
    <row r="1986">
      <c r="A1986" s="80"/>
      <c r="B1986" s="80"/>
      <c r="C1986" s="80"/>
      <c r="D1986" s="80"/>
      <c r="E1986" s="124"/>
      <c r="F1986" s="80"/>
      <c r="G1986" s="80"/>
      <c r="H1986" s="80"/>
      <c r="I1986" s="80"/>
      <c r="J1986" s="196"/>
      <c r="K1986" s="196"/>
      <c r="L1986" s="196"/>
      <c r="M1986" s="196"/>
      <c r="N1986" s="196"/>
      <c r="O1986" s="196"/>
      <c r="P1986" s="196"/>
      <c r="Q1986" s="196"/>
      <c r="R1986" s="196"/>
      <c r="S1986" s="196"/>
      <c r="T1986" s="196"/>
      <c r="U1986" s="196"/>
      <c r="V1986" s="196"/>
      <c r="W1986" s="196"/>
      <c r="X1986" s="196"/>
      <c r="Y1986" s="196"/>
      <c r="Z1986" s="196"/>
      <c r="AA1986" s="196"/>
      <c r="AB1986" s="196"/>
      <c r="AC1986" s="196"/>
      <c r="AD1986" s="196"/>
      <c r="AE1986" s="196"/>
      <c r="AF1986" s="196"/>
      <c r="AG1986" s="196"/>
      <c r="AH1986" s="196"/>
      <c r="AI1986" s="196"/>
      <c r="AJ1986" s="197"/>
      <c r="AK1986" s="80"/>
      <c r="AL1986" s="80"/>
      <c r="AM1986" s="73"/>
      <c r="AN1986" s="73"/>
      <c r="AO1986" s="73"/>
      <c r="AP1986" s="73"/>
      <c r="AQ1986" s="73"/>
      <c r="AR1986" s="73"/>
      <c r="AS1986" s="73"/>
      <c r="AT1986" s="73"/>
      <c r="AU1986" s="73"/>
      <c r="AV1986" s="73"/>
      <c r="AW1986" s="73"/>
      <c r="AX1986" s="73"/>
      <c r="AY1986" s="73"/>
      <c r="AZ1986" s="73"/>
      <c r="BA1986" s="73"/>
      <c r="BB1986" s="73"/>
      <c r="BC1986" s="73"/>
      <c r="BD1986" s="73"/>
      <c r="BE1986" s="73"/>
      <c r="BF1986" s="73"/>
      <c r="BG1986" s="73"/>
      <c r="BH1986" s="73"/>
      <c r="BI1986" s="73"/>
      <c r="BJ1986" s="73"/>
      <c r="BK1986" s="73"/>
      <c r="BL1986" s="73"/>
      <c r="BM1986" s="73"/>
      <c r="BN1986" s="73"/>
      <c r="BO1986" s="73"/>
      <c r="BP1986" s="73"/>
      <c r="BQ1986" s="73"/>
      <c r="BR1986" s="73"/>
      <c r="BS1986" s="73"/>
      <c r="BT1986" s="73"/>
      <c r="BU1986" s="73"/>
      <c r="BV1986" s="73"/>
      <c r="BW1986" s="73"/>
      <c r="BX1986" s="73"/>
      <c r="BY1986" s="73"/>
      <c r="BZ1986" s="73"/>
      <c r="CA1986" s="73"/>
      <c r="CB1986" s="73"/>
      <c r="CC1986" s="73"/>
      <c r="CD1986" s="73"/>
      <c r="CE1986" s="73"/>
      <c r="CF1986" s="73"/>
      <c r="CG1986" s="73"/>
      <c r="CH1986" s="73"/>
    </row>
    <row r="1987">
      <c r="A1987" s="80"/>
      <c r="B1987" s="80"/>
      <c r="C1987" s="80"/>
      <c r="D1987" s="80"/>
      <c r="E1987" s="124"/>
      <c r="F1987" s="80"/>
      <c r="G1987" s="80"/>
      <c r="H1987" s="80"/>
      <c r="I1987" s="80"/>
      <c r="J1987" s="196"/>
      <c r="K1987" s="196"/>
      <c r="L1987" s="196"/>
      <c r="M1987" s="196"/>
      <c r="N1987" s="196"/>
      <c r="O1987" s="196"/>
      <c r="P1987" s="196"/>
      <c r="Q1987" s="196"/>
      <c r="R1987" s="196"/>
      <c r="S1987" s="196"/>
      <c r="T1987" s="196"/>
      <c r="U1987" s="196"/>
      <c r="V1987" s="196"/>
      <c r="W1987" s="196"/>
      <c r="X1987" s="196"/>
      <c r="Y1987" s="196"/>
      <c r="Z1987" s="196"/>
      <c r="AA1987" s="196"/>
      <c r="AB1987" s="196"/>
      <c r="AC1987" s="196"/>
      <c r="AD1987" s="196"/>
      <c r="AE1987" s="196"/>
      <c r="AF1987" s="196"/>
      <c r="AG1987" s="196"/>
      <c r="AH1987" s="196"/>
      <c r="AI1987" s="196"/>
      <c r="AJ1987" s="197"/>
      <c r="AK1987" s="80"/>
      <c r="AL1987" s="80"/>
      <c r="AM1987" s="73"/>
      <c r="AN1987" s="73"/>
      <c r="AO1987" s="73"/>
      <c r="AP1987" s="73"/>
      <c r="AQ1987" s="73"/>
      <c r="AR1987" s="73"/>
      <c r="AS1987" s="73"/>
      <c r="AT1987" s="73"/>
      <c r="AU1987" s="73"/>
      <c r="AV1987" s="73"/>
      <c r="AW1987" s="73"/>
      <c r="AX1987" s="73"/>
      <c r="AY1987" s="73"/>
      <c r="AZ1987" s="73"/>
      <c r="BA1987" s="73"/>
      <c r="BB1987" s="73"/>
      <c r="BC1987" s="73"/>
      <c r="BD1987" s="73"/>
      <c r="BE1987" s="73"/>
      <c r="BF1987" s="73"/>
      <c r="BG1987" s="73"/>
      <c r="BH1987" s="73"/>
      <c r="BI1987" s="73"/>
      <c r="BJ1987" s="73"/>
      <c r="BK1987" s="73"/>
      <c r="BL1987" s="73"/>
      <c r="BM1987" s="73"/>
      <c r="BN1987" s="73"/>
      <c r="BO1987" s="73"/>
      <c r="BP1987" s="73"/>
      <c r="BQ1987" s="73"/>
      <c r="BR1987" s="73"/>
      <c r="BS1987" s="73"/>
      <c r="BT1987" s="73"/>
      <c r="BU1987" s="73"/>
      <c r="BV1987" s="73"/>
      <c r="BW1987" s="73"/>
      <c r="BX1987" s="73"/>
      <c r="BY1987" s="73"/>
      <c r="BZ1987" s="73"/>
      <c r="CA1987" s="73"/>
      <c r="CB1987" s="73"/>
      <c r="CC1987" s="73"/>
      <c r="CD1987" s="73"/>
      <c r="CE1987" s="73"/>
      <c r="CF1987" s="73"/>
      <c r="CG1987" s="73"/>
      <c r="CH1987" s="73"/>
    </row>
    <row r="1988">
      <c r="A1988" s="80"/>
      <c r="B1988" s="80"/>
      <c r="C1988" s="80"/>
      <c r="D1988" s="80"/>
      <c r="E1988" s="124"/>
      <c r="F1988" s="80"/>
      <c r="G1988" s="80"/>
      <c r="H1988" s="80"/>
      <c r="I1988" s="80"/>
      <c r="J1988" s="196"/>
      <c r="K1988" s="196"/>
      <c r="L1988" s="196"/>
      <c r="M1988" s="196"/>
      <c r="N1988" s="196"/>
      <c r="O1988" s="196"/>
      <c r="P1988" s="196"/>
      <c r="Q1988" s="196"/>
      <c r="R1988" s="196"/>
      <c r="S1988" s="196"/>
      <c r="T1988" s="196"/>
      <c r="U1988" s="196"/>
      <c r="V1988" s="196"/>
      <c r="W1988" s="196"/>
      <c r="X1988" s="196"/>
      <c r="Y1988" s="196"/>
      <c r="Z1988" s="196"/>
      <c r="AA1988" s="196"/>
      <c r="AB1988" s="196"/>
      <c r="AC1988" s="196"/>
      <c r="AD1988" s="196"/>
      <c r="AE1988" s="196"/>
      <c r="AF1988" s="196"/>
      <c r="AG1988" s="196"/>
      <c r="AH1988" s="196"/>
      <c r="AI1988" s="196"/>
      <c r="AJ1988" s="197"/>
      <c r="AK1988" s="80"/>
      <c r="AL1988" s="80"/>
      <c r="AM1988" s="73"/>
      <c r="AN1988" s="73"/>
      <c r="AO1988" s="73"/>
      <c r="AP1988" s="73"/>
      <c r="AQ1988" s="73"/>
      <c r="AR1988" s="73"/>
      <c r="AS1988" s="73"/>
      <c r="AT1988" s="73"/>
      <c r="AU1988" s="73"/>
      <c r="AV1988" s="73"/>
      <c r="AW1988" s="73"/>
      <c r="AX1988" s="73"/>
      <c r="AY1988" s="73"/>
      <c r="AZ1988" s="73"/>
      <c r="BA1988" s="73"/>
      <c r="BB1988" s="73"/>
      <c r="BC1988" s="73"/>
      <c r="BD1988" s="73"/>
      <c r="BE1988" s="73"/>
      <c r="BF1988" s="73"/>
      <c r="BG1988" s="73"/>
      <c r="BH1988" s="73"/>
      <c r="BI1988" s="73"/>
      <c r="BJ1988" s="73"/>
      <c r="BK1988" s="73"/>
      <c r="BL1988" s="73"/>
      <c r="BM1988" s="73"/>
      <c r="BN1988" s="73"/>
      <c r="BO1988" s="73"/>
      <c r="BP1988" s="73"/>
      <c r="BQ1988" s="73"/>
      <c r="BR1988" s="73"/>
      <c r="BS1988" s="73"/>
      <c r="BT1988" s="73"/>
      <c r="BU1988" s="73"/>
      <c r="BV1988" s="73"/>
      <c r="BW1988" s="73"/>
      <c r="BX1988" s="73"/>
      <c r="BY1988" s="73"/>
      <c r="BZ1988" s="73"/>
      <c r="CA1988" s="73"/>
      <c r="CB1988" s="73"/>
      <c r="CC1988" s="73"/>
      <c r="CD1988" s="73"/>
      <c r="CE1988" s="73"/>
      <c r="CF1988" s="73"/>
      <c r="CG1988" s="73"/>
      <c r="CH1988" s="73"/>
    </row>
    <row r="1989">
      <c r="A1989" s="80"/>
      <c r="B1989" s="80"/>
      <c r="C1989" s="80"/>
      <c r="D1989" s="80"/>
      <c r="E1989" s="124"/>
      <c r="F1989" s="80"/>
      <c r="G1989" s="80"/>
      <c r="H1989" s="80"/>
      <c r="I1989" s="80"/>
      <c r="J1989" s="196"/>
      <c r="K1989" s="196"/>
      <c r="L1989" s="196"/>
      <c r="M1989" s="196"/>
      <c r="N1989" s="196"/>
      <c r="O1989" s="196"/>
      <c r="P1989" s="196"/>
      <c r="Q1989" s="196"/>
      <c r="R1989" s="196"/>
      <c r="S1989" s="196"/>
      <c r="T1989" s="196"/>
      <c r="U1989" s="196"/>
      <c r="V1989" s="196"/>
      <c r="W1989" s="196"/>
      <c r="X1989" s="196"/>
      <c r="Y1989" s="196"/>
      <c r="Z1989" s="196"/>
      <c r="AA1989" s="196"/>
      <c r="AB1989" s="196"/>
      <c r="AC1989" s="196"/>
      <c r="AD1989" s="196"/>
      <c r="AE1989" s="196"/>
      <c r="AF1989" s="196"/>
      <c r="AG1989" s="196"/>
      <c r="AH1989" s="196"/>
      <c r="AI1989" s="196"/>
      <c r="AJ1989" s="197"/>
      <c r="AK1989" s="80"/>
      <c r="AL1989" s="80"/>
      <c r="AM1989" s="73"/>
      <c r="AN1989" s="73"/>
      <c r="AO1989" s="73"/>
      <c r="AP1989" s="73"/>
      <c r="AQ1989" s="73"/>
      <c r="AR1989" s="73"/>
      <c r="AS1989" s="73"/>
      <c r="AT1989" s="73"/>
      <c r="AU1989" s="73"/>
      <c r="AV1989" s="73"/>
      <c r="AW1989" s="73"/>
      <c r="AX1989" s="73"/>
      <c r="AY1989" s="73"/>
      <c r="AZ1989" s="73"/>
      <c r="BA1989" s="73"/>
      <c r="BB1989" s="73"/>
      <c r="BC1989" s="73"/>
      <c r="BD1989" s="73"/>
      <c r="BE1989" s="73"/>
      <c r="BF1989" s="73"/>
      <c r="BG1989" s="73"/>
      <c r="BH1989" s="73"/>
      <c r="BI1989" s="73"/>
      <c r="BJ1989" s="73"/>
      <c r="BK1989" s="73"/>
      <c r="BL1989" s="73"/>
      <c r="BM1989" s="73"/>
      <c r="BN1989" s="73"/>
      <c r="BO1989" s="73"/>
      <c r="BP1989" s="73"/>
      <c r="BQ1989" s="73"/>
      <c r="BR1989" s="73"/>
      <c r="BS1989" s="73"/>
      <c r="BT1989" s="73"/>
      <c r="BU1989" s="73"/>
      <c r="BV1989" s="73"/>
      <c r="BW1989" s="73"/>
      <c r="BX1989" s="73"/>
      <c r="BY1989" s="73"/>
      <c r="BZ1989" s="73"/>
      <c r="CA1989" s="73"/>
      <c r="CB1989" s="73"/>
      <c r="CC1989" s="73"/>
      <c r="CD1989" s="73"/>
      <c r="CE1989" s="73"/>
      <c r="CF1989" s="73"/>
      <c r="CG1989" s="73"/>
      <c r="CH1989" s="73"/>
    </row>
    <row r="1990">
      <c r="A1990" s="80"/>
      <c r="B1990" s="80"/>
      <c r="C1990" s="80"/>
      <c r="D1990" s="80"/>
      <c r="E1990" s="124"/>
      <c r="F1990" s="80"/>
      <c r="G1990" s="80"/>
      <c r="H1990" s="80"/>
      <c r="I1990" s="80"/>
      <c r="J1990" s="196"/>
      <c r="K1990" s="196"/>
      <c r="L1990" s="196"/>
      <c r="M1990" s="196"/>
      <c r="N1990" s="196"/>
      <c r="O1990" s="196"/>
      <c r="P1990" s="196"/>
      <c r="Q1990" s="196"/>
      <c r="R1990" s="196"/>
      <c r="S1990" s="196"/>
      <c r="T1990" s="196"/>
      <c r="U1990" s="196"/>
      <c r="V1990" s="196"/>
      <c r="W1990" s="196"/>
      <c r="X1990" s="196"/>
      <c r="Y1990" s="196"/>
      <c r="Z1990" s="196"/>
      <c r="AA1990" s="196"/>
      <c r="AB1990" s="196"/>
      <c r="AC1990" s="196"/>
      <c r="AD1990" s="196"/>
      <c r="AE1990" s="196"/>
      <c r="AF1990" s="196"/>
      <c r="AG1990" s="196"/>
      <c r="AH1990" s="196"/>
      <c r="AI1990" s="196"/>
      <c r="AJ1990" s="197"/>
      <c r="AK1990" s="80"/>
      <c r="AL1990" s="80"/>
      <c r="AM1990" s="73"/>
      <c r="AN1990" s="73"/>
      <c r="AO1990" s="73"/>
      <c r="AP1990" s="73"/>
      <c r="AQ1990" s="73"/>
      <c r="AR1990" s="73"/>
      <c r="AS1990" s="73"/>
      <c r="AT1990" s="73"/>
      <c r="AU1990" s="73"/>
      <c r="AV1990" s="73"/>
      <c r="AW1990" s="73"/>
      <c r="AX1990" s="73"/>
      <c r="AY1990" s="73"/>
      <c r="AZ1990" s="73"/>
      <c r="BA1990" s="73"/>
      <c r="BB1990" s="73"/>
      <c r="BC1990" s="73"/>
      <c r="BD1990" s="73"/>
      <c r="BE1990" s="73"/>
      <c r="BF1990" s="73"/>
      <c r="BG1990" s="73"/>
      <c r="BH1990" s="73"/>
      <c r="BI1990" s="73"/>
      <c r="BJ1990" s="73"/>
      <c r="BK1990" s="73"/>
      <c r="BL1990" s="73"/>
      <c r="BM1990" s="73"/>
      <c r="BN1990" s="73"/>
      <c r="BO1990" s="73"/>
      <c r="BP1990" s="73"/>
      <c r="BQ1990" s="73"/>
      <c r="BR1990" s="73"/>
      <c r="BS1990" s="73"/>
      <c r="BT1990" s="73"/>
      <c r="BU1990" s="73"/>
      <c r="BV1990" s="73"/>
      <c r="BW1990" s="73"/>
      <c r="BX1990" s="73"/>
      <c r="BY1990" s="73"/>
      <c r="BZ1990" s="73"/>
      <c r="CA1990" s="73"/>
      <c r="CB1990" s="73"/>
      <c r="CC1990" s="73"/>
      <c r="CD1990" s="73"/>
      <c r="CE1990" s="73"/>
      <c r="CF1990" s="73"/>
      <c r="CG1990" s="73"/>
      <c r="CH1990" s="73"/>
    </row>
    <row r="1991">
      <c r="A1991" s="80"/>
      <c r="B1991" s="80"/>
      <c r="C1991" s="80"/>
      <c r="D1991" s="80"/>
      <c r="E1991" s="124"/>
      <c r="F1991" s="80"/>
      <c r="G1991" s="80"/>
      <c r="H1991" s="80"/>
      <c r="I1991" s="80"/>
      <c r="J1991" s="196"/>
      <c r="K1991" s="196"/>
      <c r="L1991" s="196"/>
      <c r="M1991" s="196"/>
      <c r="N1991" s="196"/>
      <c r="O1991" s="196"/>
      <c r="P1991" s="196"/>
      <c r="Q1991" s="196"/>
      <c r="R1991" s="196"/>
      <c r="S1991" s="196"/>
      <c r="T1991" s="196"/>
      <c r="U1991" s="196"/>
      <c r="V1991" s="196"/>
      <c r="W1991" s="196"/>
      <c r="X1991" s="196"/>
      <c r="Y1991" s="196"/>
      <c r="Z1991" s="196"/>
      <c r="AA1991" s="196"/>
      <c r="AB1991" s="196"/>
      <c r="AC1991" s="196"/>
      <c r="AD1991" s="196"/>
      <c r="AE1991" s="196"/>
      <c r="AF1991" s="196"/>
      <c r="AG1991" s="196"/>
      <c r="AH1991" s="196"/>
      <c r="AI1991" s="196"/>
      <c r="AJ1991" s="197"/>
      <c r="AK1991" s="80"/>
      <c r="AL1991" s="80"/>
      <c r="AM1991" s="73"/>
      <c r="AN1991" s="73"/>
      <c r="AO1991" s="73"/>
      <c r="AP1991" s="73"/>
      <c r="AQ1991" s="73"/>
      <c r="AR1991" s="73"/>
      <c r="AS1991" s="73"/>
      <c r="AT1991" s="73"/>
      <c r="AU1991" s="73"/>
      <c r="AV1991" s="73"/>
      <c r="AW1991" s="73"/>
      <c r="AX1991" s="73"/>
      <c r="AY1991" s="73"/>
      <c r="AZ1991" s="73"/>
      <c r="BA1991" s="73"/>
      <c r="BB1991" s="73"/>
      <c r="BC1991" s="73"/>
      <c r="BD1991" s="73"/>
      <c r="BE1991" s="73"/>
      <c r="BF1991" s="73"/>
      <c r="BG1991" s="73"/>
      <c r="BH1991" s="73"/>
      <c r="BI1991" s="73"/>
      <c r="BJ1991" s="73"/>
      <c r="BK1991" s="73"/>
      <c r="BL1991" s="73"/>
      <c r="BM1991" s="73"/>
      <c r="BN1991" s="73"/>
      <c r="BO1991" s="73"/>
      <c r="BP1991" s="73"/>
      <c r="BQ1991" s="73"/>
      <c r="BR1991" s="73"/>
      <c r="BS1991" s="73"/>
      <c r="BT1991" s="73"/>
      <c r="BU1991" s="73"/>
      <c r="BV1991" s="73"/>
      <c r="BW1991" s="73"/>
      <c r="BX1991" s="73"/>
      <c r="BY1991" s="73"/>
      <c r="BZ1991" s="73"/>
      <c r="CA1991" s="73"/>
      <c r="CB1991" s="73"/>
      <c r="CC1991" s="73"/>
      <c r="CD1991" s="73"/>
      <c r="CE1991" s="73"/>
      <c r="CF1991" s="73"/>
      <c r="CG1991" s="73"/>
      <c r="CH1991" s="73"/>
    </row>
    <row r="1992">
      <c r="A1992" s="80"/>
      <c r="B1992" s="80"/>
      <c r="C1992" s="80"/>
      <c r="D1992" s="80"/>
      <c r="E1992" s="124"/>
      <c r="F1992" s="80"/>
      <c r="G1992" s="80"/>
      <c r="H1992" s="80"/>
      <c r="I1992" s="80"/>
      <c r="J1992" s="196"/>
      <c r="K1992" s="196"/>
      <c r="L1992" s="196"/>
      <c r="M1992" s="196"/>
      <c r="N1992" s="196"/>
      <c r="O1992" s="196"/>
      <c r="P1992" s="196"/>
      <c r="Q1992" s="196"/>
      <c r="R1992" s="196"/>
      <c r="S1992" s="196"/>
      <c r="T1992" s="196"/>
      <c r="U1992" s="196"/>
      <c r="V1992" s="196"/>
      <c r="W1992" s="196"/>
      <c r="X1992" s="196"/>
      <c r="Y1992" s="196"/>
      <c r="Z1992" s="196"/>
      <c r="AA1992" s="196"/>
      <c r="AB1992" s="196"/>
      <c r="AC1992" s="196"/>
      <c r="AD1992" s="196"/>
      <c r="AE1992" s="196"/>
      <c r="AF1992" s="196"/>
      <c r="AG1992" s="196"/>
      <c r="AH1992" s="196"/>
      <c r="AI1992" s="196"/>
      <c r="AJ1992" s="197"/>
      <c r="AK1992" s="80"/>
      <c r="AL1992" s="80"/>
      <c r="AM1992" s="73"/>
      <c r="AN1992" s="73"/>
      <c r="AO1992" s="73"/>
      <c r="AP1992" s="73"/>
      <c r="AQ1992" s="73"/>
      <c r="AR1992" s="73"/>
      <c r="AS1992" s="73"/>
      <c r="AT1992" s="73"/>
      <c r="AU1992" s="73"/>
      <c r="AV1992" s="73"/>
      <c r="AW1992" s="73"/>
      <c r="AX1992" s="73"/>
      <c r="AY1992" s="73"/>
      <c r="AZ1992" s="73"/>
      <c r="BA1992" s="73"/>
      <c r="BB1992" s="73"/>
      <c r="BC1992" s="73"/>
      <c r="BD1992" s="73"/>
      <c r="BE1992" s="73"/>
      <c r="BF1992" s="73"/>
      <c r="BG1992" s="73"/>
      <c r="BH1992" s="73"/>
      <c r="BI1992" s="73"/>
      <c r="BJ1992" s="73"/>
      <c r="BK1992" s="73"/>
      <c r="BL1992" s="73"/>
      <c r="BM1992" s="73"/>
      <c r="BN1992" s="73"/>
      <c r="BO1992" s="73"/>
      <c r="BP1992" s="73"/>
      <c r="BQ1992" s="73"/>
      <c r="BR1992" s="73"/>
      <c r="BS1992" s="73"/>
      <c r="BT1992" s="73"/>
      <c r="BU1992" s="73"/>
      <c r="BV1992" s="73"/>
      <c r="BW1992" s="73"/>
      <c r="BX1992" s="73"/>
      <c r="BY1992" s="73"/>
      <c r="BZ1992" s="73"/>
      <c r="CA1992" s="73"/>
      <c r="CB1992" s="73"/>
      <c r="CC1992" s="73"/>
      <c r="CD1992" s="73"/>
      <c r="CE1992" s="73"/>
      <c r="CF1992" s="73"/>
      <c r="CG1992" s="73"/>
      <c r="CH1992" s="73"/>
    </row>
    <row r="1993">
      <c r="A1993" s="80"/>
      <c r="B1993" s="80"/>
      <c r="C1993" s="80"/>
      <c r="D1993" s="80"/>
      <c r="E1993" s="124"/>
      <c r="F1993" s="80"/>
      <c r="G1993" s="80"/>
      <c r="H1993" s="80"/>
      <c r="I1993" s="80"/>
      <c r="J1993" s="196"/>
      <c r="K1993" s="196"/>
      <c r="L1993" s="196"/>
      <c r="M1993" s="196"/>
      <c r="N1993" s="196"/>
      <c r="O1993" s="196"/>
      <c r="P1993" s="196"/>
      <c r="Q1993" s="196"/>
      <c r="R1993" s="196"/>
      <c r="S1993" s="196"/>
      <c r="T1993" s="196"/>
      <c r="U1993" s="196"/>
      <c r="V1993" s="196"/>
      <c r="W1993" s="196"/>
      <c r="X1993" s="196"/>
      <c r="Y1993" s="196"/>
      <c r="Z1993" s="196"/>
      <c r="AA1993" s="196"/>
      <c r="AB1993" s="196"/>
      <c r="AC1993" s="196"/>
      <c r="AD1993" s="196"/>
      <c r="AE1993" s="196"/>
      <c r="AF1993" s="196"/>
      <c r="AG1993" s="196"/>
      <c r="AH1993" s="196"/>
      <c r="AI1993" s="196"/>
      <c r="AJ1993" s="197"/>
      <c r="AK1993" s="80"/>
      <c r="AL1993" s="80"/>
      <c r="AM1993" s="73"/>
      <c r="AN1993" s="73"/>
      <c r="AO1993" s="73"/>
      <c r="AP1993" s="73"/>
      <c r="AQ1993" s="73"/>
      <c r="AR1993" s="73"/>
      <c r="AS1993" s="73"/>
      <c r="AT1993" s="73"/>
      <c r="AU1993" s="73"/>
      <c r="AV1993" s="73"/>
      <c r="AW1993" s="73"/>
      <c r="AX1993" s="73"/>
      <c r="AY1993" s="73"/>
      <c r="AZ1993" s="73"/>
      <c r="BA1993" s="73"/>
      <c r="BB1993" s="73"/>
      <c r="BC1993" s="73"/>
      <c r="BD1993" s="73"/>
      <c r="BE1993" s="73"/>
      <c r="BF1993" s="73"/>
      <c r="BG1993" s="73"/>
      <c r="BH1993" s="73"/>
      <c r="BI1993" s="73"/>
      <c r="BJ1993" s="73"/>
      <c r="BK1993" s="73"/>
      <c r="BL1993" s="73"/>
      <c r="BM1993" s="73"/>
      <c r="BN1993" s="73"/>
      <c r="BO1993" s="73"/>
      <c r="BP1993" s="73"/>
      <c r="BQ1993" s="73"/>
      <c r="BR1993" s="73"/>
      <c r="BS1993" s="73"/>
      <c r="BT1993" s="73"/>
      <c r="BU1993" s="73"/>
      <c r="BV1993" s="73"/>
      <c r="BW1993" s="73"/>
      <c r="BX1993" s="73"/>
      <c r="BY1993" s="73"/>
      <c r="BZ1993" s="73"/>
      <c r="CA1993" s="73"/>
      <c r="CB1993" s="73"/>
      <c r="CC1993" s="73"/>
      <c r="CD1993" s="73"/>
      <c r="CE1993" s="73"/>
      <c r="CF1993" s="73"/>
      <c r="CG1993" s="73"/>
      <c r="CH1993" s="73"/>
    </row>
    <row r="1994">
      <c r="A1994" s="80"/>
      <c r="B1994" s="80"/>
      <c r="C1994" s="80"/>
      <c r="D1994" s="80"/>
      <c r="E1994" s="124"/>
      <c r="F1994" s="80"/>
      <c r="G1994" s="80"/>
      <c r="H1994" s="80"/>
      <c r="I1994" s="80"/>
      <c r="J1994" s="196"/>
      <c r="K1994" s="196"/>
      <c r="L1994" s="196"/>
      <c r="M1994" s="196"/>
      <c r="N1994" s="196"/>
      <c r="O1994" s="196"/>
      <c r="P1994" s="196"/>
      <c r="Q1994" s="196"/>
      <c r="R1994" s="196"/>
      <c r="S1994" s="196"/>
      <c r="T1994" s="196"/>
      <c r="U1994" s="196"/>
      <c r="V1994" s="196"/>
      <c r="W1994" s="196"/>
      <c r="X1994" s="196"/>
      <c r="Y1994" s="196"/>
      <c r="Z1994" s="196"/>
      <c r="AA1994" s="196"/>
      <c r="AB1994" s="196"/>
      <c r="AC1994" s="196"/>
      <c r="AD1994" s="196"/>
      <c r="AE1994" s="196"/>
      <c r="AF1994" s="196"/>
      <c r="AG1994" s="196"/>
      <c r="AH1994" s="196"/>
      <c r="AI1994" s="196"/>
      <c r="AJ1994" s="197"/>
      <c r="AK1994" s="80"/>
      <c r="AL1994" s="80"/>
      <c r="AM1994" s="73"/>
      <c r="AN1994" s="73"/>
      <c r="AO1994" s="73"/>
      <c r="AP1994" s="73"/>
      <c r="AQ1994" s="73"/>
      <c r="AR1994" s="73"/>
      <c r="AS1994" s="73"/>
      <c r="AT1994" s="73"/>
      <c r="AU1994" s="73"/>
      <c r="AV1994" s="73"/>
      <c r="AW1994" s="73"/>
      <c r="AX1994" s="73"/>
      <c r="AY1994" s="73"/>
      <c r="AZ1994" s="73"/>
      <c r="BA1994" s="73"/>
      <c r="BB1994" s="73"/>
      <c r="BC1994" s="73"/>
      <c r="BD1994" s="73"/>
      <c r="BE1994" s="73"/>
      <c r="BF1994" s="73"/>
      <c r="BG1994" s="73"/>
      <c r="BH1994" s="73"/>
      <c r="BI1994" s="73"/>
      <c r="BJ1994" s="73"/>
      <c r="BK1994" s="73"/>
      <c r="BL1994" s="73"/>
      <c r="BM1994" s="73"/>
      <c r="BN1994" s="73"/>
      <c r="BO1994" s="73"/>
      <c r="BP1994" s="73"/>
      <c r="BQ1994" s="73"/>
      <c r="BR1994" s="73"/>
      <c r="BS1994" s="73"/>
      <c r="BT1994" s="73"/>
      <c r="BU1994" s="73"/>
      <c r="BV1994" s="73"/>
      <c r="BW1994" s="73"/>
      <c r="BX1994" s="73"/>
      <c r="BY1994" s="73"/>
      <c r="BZ1994" s="73"/>
      <c r="CA1994" s="73"/>
      <c r="CB1994" s="73"/>
      <c r="CC1994" s="73"/>
      <c r="CD1994" s="73"/>
      <c r="CE1994" s="73"/>
      <c r="CF1994" s="73"/>
      <c r="CG1994" s="73"/>
      <c r="CH1994" s="73"/>
    </row>
    <row r="1995">
      <c r="A1995" s="80"/>
      <c r="B1995" s="80"/>
      <c r="C1995" s="80"/>
      <c r="D1995" s="80"/>
      <c r="E1995" s="124"/>
      <c r="F1995" s="80"/>
      <c r="G1995" s="80"/>
      <c r="H1995" s="80"/>
      <c r="I1995" s="80"/>
      <c r="J1995" s="196"/>
      <c r="K1995" s="196"/>
      <c r="L1995" s="196"/>
      <c r="M1995" s="196"/>
      <c r="N1995" s="196"/>
      <c r="O1995" s="196"/>
      <c r="P1995" s="196"/>
      <c r="Q1995" s="196"/>
      <c r="R1995" s="196"/>
      <c r="S1995" s="196"/>
      <c r="T1995" s="196"/>
      <c r="U1995" s="196"/>
      <c r="V1995" s="196"/>
      <c r="W1995" s="196"/>
      <c r="X1995" s="196"/>
      <c r="Y1995" s="196"/>
      <c r="Z1995" s="196"/>
      <c r="AA1995" s="196"/>
      <c r="AB1995" s="196"/>
      <c r="AC1995" s="196"/>
      <c r="AD1995" s="196"/>
      <c r="AE1995" s="196"/>
      <c r="AF1995" s="196"/>
      <c r="AG1995" s="196"/>
      <c r="AH1995" s="196"/>
      <c r="AI1995" s="196"/>
      <c r="AJ1995" s="197"/>
      <c r="AK1995" s="80"/>
      <c r="AL1995" s="80"/>
      <c r="AM1995" s="73"/>
      <c r="AN1995" s="73"/>
      <c r="AO1995" s="73"/>
      <c r="AP1995" s="73"/>
      <c r="AQ1995" s="73"/>
      <c r="AR1995" s="73"/>
      <c r="AS1995" s="73"/>
      <c r="AT1995" s="73"/>
      <c r="AU1995" s="73"/>
      <c r="AV1995" s="73"/>
      <c r="AW1995" s="73"/>
      <c r="AX1995" s="73"/>
      <c r="AY1995" s="73"/>
      <c r="AZ1995" s="73"/>
      <c r="BA1995" s="73"/>
      <c r="BB1995" s="73"/>
      <c r="BC1995" s="73"/>
      <c r="BD1995" s="73"/>
      <c r="BE1995" s="73"/>
      <c r="BF1995" s="73"/>
      <c r="BG1995" s="73"/>
      <c r="BH1995" s="73"/>
      <c r="BI1995" s="73"/>
      <c r="BJ1995" s="73"/>
      <c r="BK1995" s="73"/>
      <c r="BL1995" s="73"/>
      <c r="BM1995" s="73"/>
      <c r="BN1995" s="73"/>
      <c r="BO1995" s="73"/>
      <c r="BP1995" s="73"/>
      <c r="BQ1995" s="73"/>
      <c r="BR1995" s="73"/>
      <c r="BS1995" s="73"/>
      <c r="BT1995" s="73"/>
      <c r="BU1995" s="73"/>
      <c r="BV1995" s="73"/>
      <c r="BW1995" s="73"/>
      <c r="BX1995" s="73"/>
      <c r="BY1995" s="73"/>
      <c r="BZ1995" s="73"/>
      <c r="CA1995" s="73"/>
      <c r="CB1995" s="73"/>
      <c r="CC1995" s="73"/>
      <c r="CD1995" s="73"/>
      <c r="CE1995" s="73"/>
      <c r="CF1995" s="73"/>
      <c r="CG1995" s="73"/>
      <c r="CH1995" s="73"/>
    </row>
    <row r="1996">
      <c r="A1996" s="80"/>
      <c r="B1996" s="80"/>
      <c r="C1996" s="80"/>
      <c r="D1996" s="80"/>
      <c r="E1996" s="124"/>
      <c r="F1996" s="80"/>
      <c r="G1996" s="80"/>
      <c r="H1996" s="80"/>
      <c r="I1996" s="80"/>
      <c r="J1996" s="196"/>
      <c r="K1996" s="196"/>
      <c r="L1996" s="196"/>
      <c r="M1996" s="196"/>
      <c r="N1996" s="196"/>
      <c r="O1996" s="196"/>
      <c r="P1996" s="196"/>
      <c r="Q1996" s="196"/>
      <c r="R1996" s="196"/>
      <c r="S1996" s="196"/>
      <c r="T1996" s="196"/>
      <c r="U1996" s="196"/>
      <c r="V1996" s="196"/>
      <c r="W1996" s="196"/>
      <c r="X1996" s="196"/>
      <c r="Y1996" s="196"/>
      <c r="Z1996" s="196"/>
      <c r="AA1996" s="196"/>
      <c r="AB1996" s="196"/>
      <c r="AC1996" s="196"/>
      <c r="AD1996" s="196"/>
      <c r="AE1996" s="196"/>
      <c r="AF1996" s="196"/>
      <c r="AG1996" s="196"/>
      <c r="AH1996" s="196"/>
      <c r="AI1996" s="196"/>
      <c r="AJ1996" s="197"/>
      <c r="AK1996" s="80"/>
      <c r="AL1996" s="80"/>
      <c r="AM1996" s="73"/>
      <c r="AN1996" s="73"/>
      <c r="AO1996" s="73"/>
      <c r="AP1996" s="73"/>
      <c r="AQ1996" s="73"/>
      <c r="AR1996" s="73"/>
      <c r="AS1996" s="73"/>
      <c r="AT1996" s="73"/>
      <c r="AU1996" s="73"/>
      <c r="AV1996" s="73"/>
      <c r="AW1996" s="73"/>
      <c r="AX1996" s="73"/>
      <c r="AY1996" s="73"/>
      <c r="AZ1996" s="73"/>
      <c r="BA1996" s="73"/>
      <c r="BB1996" s="73"/>
      <c r="BC1996" s="73"/>
      <c r="BD1996" s="73"/>
      <c r="BE1996" s="73"/>
      <c r="BF1996" s="73"/>
      <c r="BG1996" s="73"/>
      <c r="BH1996" s="73"/>
      <c r="BI1996" s="73"/>
      <c r="BJ1996" s="73"/>
      <c r="BK1996" s="73"/>
      <c r="BL1996" s="73"/>
      <c r="BM1996" s="73"/>
      <c r="BN1996" s="73"/>
      <c r="BO1996" s="73"/>
      <c r="BP1996" s="73"/>
      <c r="BQ1996" s="73"/>
      <c r="BR1996" s="73"/>
      <c r="BS1996" s="73"/>
      <c r="BT1996" s="73"/>
      <c r="BU1996" s="73"/>
      <c r="BV1996" s="73"/>
      <c r="BW1996" s="73"/>
      <c r="BX1996" s="73"/>
      <c r="BY1996" s="73"/>
      <c r="BZ1996" s="73"/>
      <c r="CA1996" s="73"/>
      <c r="CB1996" s="73"/>
      <c r="CC1996" s="73"/>
      <c r="CD1996" s="73"/>
      <c r="CE1996" s="73"/>
      <c r="CF1996" s="73"/>
      <c r="CG1996" s="73"/>
      <c r="CH1996" s="73"/>
    </row>
    <row r="1997">
      <c r="A1997" s="80"/>
      <c r="B1997" s="80"/>
      <c r="C1997" s="80"/>
      <c r="D1997" s="80"/>
      <c r="E1997" s="124"/>
      <c r="F1997" s="80"/>
      <c r="G1997" s="80"/>
      <c r="H1997" s="80"/>
      <c r="I1997" s="80"/>
      <c r="J1997" s="196"/>
      <c r="K1997" s="196"/>
      <c r="L1997" s="196"/>
      <c r="M1997" s="196"/>
      <c r="N1997" s="196"/>
      <c r="O1997" s="196"/>
      <c r="P1997" s="196"/>
      <c r="Q1997" s="196"/>
      <c r="R1997" s="196"/>
      <c r="S1997" s="196"/>
      <c r="T1997" s="196"/>
      <c r="U1997" s="196"/>
      <c r="V1997" s="196"/>
      <c r="W1997" s="196"/>
      <c r="X1997" s="196"/>
      <c r="Y1997" s="196"/>
      <c r="Z1997" s="196"/>
      <c r="AA1997" s="196"/>
      <c r="AB1997" s="196"/>
      <c r="AC1997" s="196"/>
      <c r="AD1997" s="196"/>
      <c r="AE1997" s="196"/>
      <c r="AF1997" s="196"/>
      <c r="AG1997" s="196"/>
      <c r="AH1997" s="196"/>
      <c r="AI1997" s="196"/>
      <c r="AJ1997" s="197"/>
      <c r="AK1997" s="80"/>
      <c r="AL1997" s="80"/>
      <c r="AM1997" s="73"/>
      <c r="AN1997" s="73"/>
      <c r="AO1997" s="73"/>
      <c r="AP1997" s="73"/>
      <c r="AQ1997" s="73"/>
      <c r="AR1997" s="73"/>
      <c r="AS1997" s="73"/>
      <c r="AT1997" s="73"/>
      <c r="AU1997" s="73"/>
      <c r="AV1997" s="73"/>
      <c r="AW1997" s="73"/>
      <c r="AX1997" s="73"/>
      <c r="AY1997" s="73"/>
      <c r="AZ1997" s="73"/>
      <c r="BA1997" s="73"/>
      <c r="BB1997" s="73"/>
      <c r="BC1997" s="73"/>
      <c r="BD1997" s="73"/>
      <c r="BE1997" s="73"/>
      <c r="BF1997" s="73"/>
      <c r="BG1997" s="73"/>
      <c r="BH1997" s="73"/>
      <c r="BI1997" s="73"/>
      <c r="BJ1997" s="73"/>
      <c r="BK1997" s="73"/>
      <c r="BL1997" s="73"/>
      <c r="BM1997" s="73"/>
      <c r="BN1997" s="73"/>
      <c r="BO1997" s="73"/>
      <c r="BP1997" s="73"/>
      <c r="BQ1997" s="73"/>
      <c r="BR1997" s="73"/>
      <c r="BS1997" s="73"/>
      <c r="BT1997" s="73"/>
      <c r="BU1997" s="73"/>
      <c r="BV1997" s="73"/>
      <c r="BW1997" s="73"/>
      <c r="BX1997" s="73"/>
      <c r="BY1997" s="73"/>
      <c r="BZ1997" s="73"/>
      <c r="CA1997" s="73"/>
      <c r="CB1997" s="73"/>
      <c r="CC1997" s="73"/>
      <c r="CD1997" s="73"/>
      <c r="CE1997" s="73"/>
      <c r="CF1997" s="73"/>
      <c r="CG1997" s="73"/>
      <c r="CH1997" s="73"/>
    </row>
    <row r="1998">
      <c r="A1998" s="80"/>
      <c r="B1998" s="80"/>
      <c r="C1998" s="80"/>
      <c r="D1998" s="80"/>
      <c r="E1998" s="124"/>
      <c r="F1998" s="80"/>
      <c r="G1998" s="80"/>
      <c r="H1998" s="80"/>
      <c r="I1998" s="80"/>
      <c r="J1998" s="196"/>
      <c r="K1998" s="196"/>
      <c r="L1998" s="196"/>
      <c r="M1998" s="196"/>
      <c r="N1998" s="196"/>
      <c r="O1998" s="196"/>
      <c r="P1998" s="196"/>
      <c r="Q1998" s="196"/>
      <c r="R1998" s="196"/>
      <c r="S1998" s="196"/>
      <c r="T1998" s="196"/>
      <c r="U1998" s="196"/>
      <c r="V1998" s="196"/>
      <c r="W1998" s="196"/>
      <c r="X1998" s="196"/>
      <c r="Y1998" s="196"/>
      <c r="Z1998" s="196"/>
      <c r="AA1998" s="196"/>
      <c r="AB1998" s="196"/>
      <c r="AC1998" s="196"/>
      <c r="AD1998" s="196"/>
      <c r="AE1998" s="196"/>
      <c r="AF1998" s="196"/>
      <c r="AG1998" s="196"/>
      <c r="AH1998" s="196"/>
      <c r="AI1998" s="196"/>
      <c r="AJ1998" s="197"/>
      <c r="AK1998" s="80"/>
      <c r="AL1998" s="80"/>
      <c r="AM1998" s="73"/>
      <c r="AN1998" s="73"/>
      <c r="AO1998" s="73"/>
      <c r="AP1998" s="73"/>
      <c r="AQ1998" s="73"/>
      <c r="AR1998" s="73"/>
      <c r="AS1998" s="73"/>
      <c r="AT1998" s="73"/>
      <c r="AU1998" s="73"/>
      <c r="AV1998" s="73"/>
      <c r="AW1998" s="73"/>
      <c r="AX1998" s="73"/>
      <c r="AY1998" s="73"/>
      <c r="AZ1998" s="73"/>
      <c r="BA1998" s="73"/>
      <c r="BB1998" s="73"/>
      <c r="BC1998" s="73"/>
      <c r="BD1998" s="73"/>
      <c r="BE1998" s="73"/>
      <c r="BF1998" s="73"/>
      <c r="BG1998" s="73"/>
      <c r="BH1998" s="73"/>
      <c r="BI1998" s="73"/>
      <c r="BJ1998" s="73"/>
      <c r="BK1998" s="73"/>
      <c r="BL1998" s="73"/>
      <c r="BM1998" s="73"/>
      <c r="BN1998" s="73"/>
      <c r="BO1998" s="73"/>
      <c r="BP1998" s="73"/>
      <c r="BQ1998" s="73"/>
      <c r="BR1998" s="73"/>
      <c r="BS1998" s="73"/>
      <c r="BT1998" s="73"/>
      <c r="BU1998" s="73"/>
      <c r="BV1998" s="73"/>
      <c r="BW1998" s="73"/>
      <c r="BX1998" s="73"/>
      <c r="BY1998" s="73"/>
      <c r="BZ1998" s="73"/>
      <c r="CA1998" s="73"/>
      <c r="CB1998" s="73"/>
      <c r="CC1998" s="73"/>
      <c r="CD1998" s="73"/>
      <c r="CE1998" s="73"/>
      <c r="CF1998" s="73"/>
      <c r="CG1998" s="73"/>
      <c r="CH1998" s="73"/>
    </row>
    <row r="1999">
      <c r="A1999" s="80"/>
      <c r="B1999" s="80"/>
      <c r="C1999" s="80"/>
      <c r="D1999" s="80"/>
      <c r="E1999" s="124"/>
      <c r="F1999" s="80"/>
      <c r="G1999" s="80"/>
      <c r="H1999" s="80"/>
      <c r="I1999" s="80"/>
      <c r="J1999" s="196"/>
      <c r="K1999" s="196"/>
      <c r="L1999" s="196"/>
      <c r="M1999" s="196"/>
      <c r="N1999" s="196"/>
      <c r="O1999" s="196"/>
      <c r="P1999" s="196"/>
      <c r="Q1999" s="196"/>
      <c r="R1999" s="196"/>
      <c r="S1999" s="196"/>
      <c r="T1999" s="196"/>
      <c r="U1999" s="196"/>
      <c r="V1999" s="196"/>
      <c r="W1999" s="196"/>
      <c r="X1999" s="196"/>
      <c r="Y1999" s="196"/>
      <c r="Z1999" s="196"/>
      <c r="AA1999" s="196"/>
      <c r="AB1999" s="196"/>
      <c r="AC1999" s="196"/>
      <c r="AD1999" s="196"/>
      <c r="AE1999" s="196"/>
      <c r="AF1999" s="196"/>
      <c r="AG1999" s="196"/>
      <c r="AH1999" s="196"/>
      <c r="AI1999" s="196"/>
      <c r="AJ1999" s="197"/>
      <c r="AK1999" s="80"/>
      <c r="AL1999" s="80"/>
      <c r="AM1999" s="73"/>
      <c r="AN1999" s="73"/>
      <c r="AO1999" s="73"/>
      <c r="AP1999" s="73"/>
      <c r="AQ1999" s="73"/>
      <c r="AR1999" s="73"/>
      <c r="AS1999" s="73"/>
      <c r="AT1999" s="73"/>
      <c r="AU1999" s="73"/>
      <c r="AV1999" s="73"/>
      <c r="AW1999" s="73"/>
      <c r="AX1999" s="73"/>
      <c r="AY1999" s="73"/>
      <c r="AZ1999" s="73"/>
      <c r="BA1999" s="73"/>
      <c r="BB1999" s="73"/>
      <c r="BC1999" s="73"/>
      <c r="BD1999" s="73"/>
      <c r="BE1999" s="73"/>
      <c r="BF1999" s="73"/>
      <c r="BG1999" s="73"/>
      <c r="BH1999" s="73"/>
      <c r="BI1999" s="73"/>
      <c r="BJ1999" s="73"/>
      <c r="BK1999" s="73"/>
      <c r="BL1999" s="73"/>
      <c r="BM1999" s="73"/>
      <c r="BN1999" s="73"/>
      <c r="BO1999" s="73"/>
      <c r="BP1999" s="73"/>
      <c r="BQ1999" s="73"/>
      <c r="BR1999" s="73"/>
      <c r="BS1999" s="73"/>
      <c r="BT1999" s="73"/>
      <c r="BU1999" s="73"/>
      <c r="BV1999" s="73"/>
      <c r="BW1999" s="73"/>
      <c r="BX1999" s="73"/>
      <c r="BY1999" s="73"/>
      <c r="BZ1999" s="73"/>
      <c r="CA1999" s="73"/>
      <c r="CB1999" s="73"/>
      <c r="CC1999" s="73"/>
      <c r="CD1999" s="73"/>
      <c r="CE1999" s="73"/>
      <c r="CF1999" s="73"/>
      <c r="CG1999" s="73"/>
      <c r="CH1999" s="73"/>
    </row>
    <row r="2000">
      <c r="A2000" s="80"/>
      <c r="B2000" s="80"/>
      <c r="C2000" s="80"/>
      <c r="D2000" s="80"/>
      <c r="E2000" s="124"/>
      <c r="F2000" s="80"/>
      <c r="G2000" s="80"/>
      <c r="H2000" s="80"/>
      <c r="I2000" s="80"/>
      <c r="J2000" s="196"/>
      <c r="K2000" s="196"/>
      <c r="L2000" s="196"/>
      <c r="M2000" s="196"/>
      <c r="N2000" s="196"/>
      <c r="O2000" s="196"/>
      <c r="P2000" s="196"/>
      <c r="Q2000" s="196"/>
      <c r="R2000" s="196"/>
      <c r="S2000" s="196"/>
      <c r="T2000" s="196"/>
      <c r="U2000" s="196"/>
      <c r="V2000" s="196"/>
      <c r="W2000" s="196"/>
      <c r="X2000" s="196"/>
      <c r="Y2000" s="196"/>
      <c r="Z2000" s="196"/>
      <c r="AA2000" s="196"/>
      <c r="AB2000" s="196"/>
      <c r="AC2000" s="196"/>
      <c r="AD2000" s="196"/>
      <c r="AE2000" s="196"/>
      <c r="AF2000" s="196"/>
      <c r="AG2000" s="196"/>
      <c r="AH2000" s="196"/>
      <c r="AI2000" s="196"/>
      <c r="AJ2000" s="197"/>
      <c r="AK2000" s="80"/>
      <c r="AL2000" s="80"/>
      <c r="AM2000" s="73"/>
      <c r="AN2000" s="73"/>
      <c r="AO2000" s="73"/>
      <c r="AP2000" s="73"/>
      <c r="AQ2000" s="73"/>
      <c r="AR2000" s="73"/>
      <c r="AS2000" s="73"/>
      <c r="AT2000" s="73"/>
      <c r="AU2000" s="73"/>
      <c r="AV2000" s="73"/>
      <c r="AW2000" s="73"/>
      <c r="AX2000" s="73"/>
      <c r="AY2000" s="73"/>
      <c r="AZ2000" s="73"/>
      <c r="BA2000" s="73"/>
      <c r="BB2000" s="73"/>
      <c r="BC2000" s="73"/>
      <c r="BD2000" s="73"/>
      <c r="BE2000" s="73"/>
      <c r="BF2000" s="73"/>
      <c r="BG2000" s="73"/>
      <c r="BH2000" s="73"/>
      <c r="BI2000" s="73"/>
      <c r="BJ2000" s="73"/>
      <c r="BK2000" s="73"/>
      <c r="BL2000" s="73"/>
      <c r="BM2000" s="73"/>
      <c r="BN2000" s="73"/>
      <c r="BO2000" s="73"/>
      <c r="BP2000" s="73"/>
      <c r="BQ2000" s="73"/>
      <c r="BR2000" s="73"/>
      <c r="BS2000" s="73"/>
      <c r="BT2000" s="73"/>
      <c r="BU2000" s="73"/>
      <c r="BV2000" s="73"/>
      <c r="BW2000" s="73"/>
      <c r="BX2000" s="73"/>
      <c r="BY2000" s="73"/>
      <c r="BZ2000" s="73"/>
      <c r="CA2000" s="73"/>
      <c r="CB2000" s="73"/>
      <c r="CC2000" s="73"/>
      <c r="CD2000" s="73"/>
      <c r="CE2000" s="73"/>
      <c r="CF2000" s="73"/>
      <c r="CG2000" s="73"/>
      <c r="CH2000" s="73"/>
    </row>
    <row r="2001">
      <c r="A2001" s="80"/>
      <c r="B2001" s="80"/>
      <c r="C2001" s="80"/>
      <c r="D2001" s="80"/>
      <c r="E2001" s="124"/>
      <c r="F2001" s="80"/>
      <c r="G2001" s="80"/>
      <c r="H2001" s="80"/>
      <c r="I2001" s="80"/>
      <c r="J2001" s="196"/>
      <c r="K2001" s="196"/>
      <c r="L2001" s="196"/>
      <c r="M2001" s="196"/>
      <c r="N2001" s="196"/>
      <c r="O2001" s="196"/>
      <c r="P2001" s="196"/>
      <c r="Q2001" s="196"/>
      <c r="R2001" s="196"/>
      <c r="S2001" s="196"/>
      <c r="T2001" s="196"/>
      <c r="U2001" s="196"/>
      <c r="V2001" s="196"/>
      <c r="W2001" s="196"/>
      <c r="X2001" s="196"/>
      <c r="Y2001" s="196"/>
      <c r="Z2001" s="196"/>
      <c r="AA2001" s="196"/>
      <c r="AB2001" s="196"/>
      <c r="AC2001" s="196"/>
      <c r="AD2001" s="196"/>
      <c r="AE2001" s="196"/>
      <c r="AF2001" s="196"/>
      <c r="AG2001" s="196"/>
      <c r="AH2001" s="196"/>
      <c r="AI2001" s="196"/>
      <c r="AJ2001" s="197"/>
      <c r="AK2001" s="80"/>
      <c r="AL2001" s="80"/>
      <c r="AM2001" s="73"/>
      <c r="AN2001" s="73"/>
      <c r="AO2001" s="73"/>
      <c r="AP2001" s="73"/>
      <c r="AQ2001" s="73"/>
      <c r="AR2001" s="73"/>
      <c r="AS2001" s="73"/>
      <c r="AT2001" s="73"/>
      <c r="AU2001" s="73"/>
      <c r="AV2001" s="73"/>
      <c r="AW2001" s="73"/>
      <c r="AX2001" s="73"/>
      <c r="AY2001" s="73"/>
      <c r="AZ2001" s="73"/>
      <c r="BA2001" s="73"/>
      <c r="BB2001" s="73"/>
      <c r="BC2001" s="73"/>
      <c r="BD2001" s="73"/>
      <c r="BE2001" s="73"/>
      <c r="BF2001" s="73"/>
      <c r="BG2001" s="73"/>
      <c r="BH2001" s="73"/>
      <c r="BI2001" s="73"/>
      <c r="BJ2001" s="73"/>
      <c r="BK2001" s="73"/>
      <c r="BL2001" s="73"/>
      <c r="BM2001" s="73"/>
      <c r="BN2001" s="73"/>
      <c r="BO2001" s="73"/>
      <c r="BP2001" s="73"/>
      <c r="BQ2001" s="73"/>
      <c r="BR2001" s="73"/>
      <c r="BS2001" s="73"/>
      <c r="BT2001" s="73"/>
      <c r="BU2001" s="73"/>
      <c r="BV2001" s="73"/>
      <c r="BW2001" s="73"/>
      <c r="BX2001" s="73"/>
      <c r="BY2001" s="73"/>
      <c r="BZ2001" s="73"/>
      <c r="CA2001" s="73"/>
      <c r="CB2001" s="73"/>
      <c r="CC2001" s="73"/>
      <c r="CD2001" s="73"/>
      <c r="CE2001" s="73"/>
      <c r="CF2001" s="73"/>
      <c r="CG2001" s="73"/>
      <c r="CH2001" s="73"/>
    </row>
    <row r="2002">
      <c r="A2002" s="80"/>
      <c r="B2002" s="80"/>
      <c r="C2002" s="80"/>
      <c r="D2002" s="80"/>
      <c r="E2002" s="124"/>
      <c r="F2002" s="80"/>
      <c r="G2002" s="80"/>
      <c r="H2002" s="80"/>
      <c r="I2002" s="80"/>
      <c r="J2002" s="196"/>
      <c r="K2002" s="196"/>
      <c r="L2002" s="196"/>
      <c r="M2002" s="196"/>
      <c r="N2002" s="196"/>
      <c r="O2002" s="196"/>
      <c r="P2002" s="196"/>
      <c r="Q2002" s="196"/>
      <c r="R2002" s="196"/>
      <c r="S2002" s="196"/>
      <c r="T2002" s="196"/>
      <c r="U2002" s="196"/>
      <c r="V2002" s="196"/>
      <c r="W2002" s="196"/>
      <c r="X2002" s="196"/>
      <c r="Y2002" s="196"/>
      <c r="Z2002" s="196"/>
      <c r="AA2002" s="196"/>
      <c r="AB2002" s="196"/>
      <c r="AC2002" s="196"/>
      <c r="AD2002" s="196"/>
      <c r="AE2002" s="196"/>
      <c r="AF2002" s="196"/>
      <c r="AG2002" s="196"/>
      <c r="AH2002" s="196"/>
      <c r="AI2002" s="196"/>
      <c r="AJ2002" s="197"/>
      <c r="AK2002" s="80"/>
      <c r="AL2002" s="80"/>
      <c r="AM2002" s="73"/>
      <c r="AN2002" s="73"/>
      <c r="AO2002" s="73"/>
      <c r="AP2002" s="73"/>
      <c r="AQ2002" s="73"/>
      <c r="AR2002" s="73"/>
      <c r="AS2002" s="73"/>
      <c r="AT2002" s="73"/>
      <c r="AU2002" s="73"/>
      <c r="AV2002" s="73"/>
      <c r="AW2002" s="73"/>
      <c r="AX2002" s="73"/>
      <c r="AY2002" s="73"/>
      <c r="AZ2002" s="73"/>
      <c r="BA2002" s="73"/>
      <c r="BB2002" s="73"/>
      <c r="BC2002" s="73"/>
      <c r="BD2002" s="73"/>
      <c r="BE2002" s="73"/>
      <c r="BF2002" s="73"/>
      <c r="BG2002" s="73"/>
      <c r="BH2002" s="73"/>
      <c r="BI2002" s="73"/>
      <c r="BJ2002" s="73"/>
      <c r="BK2002" s="73"/>
      <c r="BL2002" s="73"/>
      <c r="BM2002" s="73"/>
      <c r="BN2002" s="73"/>
      <c r="BO2002" s="73"/>
      <c r="BP2002" s="73"/>
      <c r="BQ2002" s="73"/>
      <c r="BR2002" s="73"/>
      <c r="BS2002" s="73"/>
      <c r="BT2002" s="73"/>
      <c r="BU2002" s="73"/>
      <c r="BV2002" s="73"/>
      <c r="BW2002" s="73"/>
      <c r="BX2002" s="73"/>
      <c r="BY2002" s="73"/>
      <c r="BZ2002" s="73"/>
      <c r="CA2002" s="73"/>
      <c r="CB2002" s="73"/>
      <c r="CC2002" s="73"/>
      <c r="CD2002" s="73"/>
      <c r="CE2002" s="73"/>
      <c r="CF2002" s="73"/>
      <c r="CG2002" s="73"/>
      <c r="CH2002" s="73"/>
    </row>
    <row r="2003">
      <c r="A2003" s="80"/>
      <c r="B2003" s="80"/>
      <c r="C2003" s="80"/>
      <c r="D2003" s="80"/>
      <c r="E2003" s="124"/>
      <c r="F2003" s="80"/>
      <c r="G2003" s="80"/>
      <c r="H2003" s="80"/>
      <c r="I2003" s="80"/>
      <c r="J2003" s="196"/>
      <c r="K2003" s="196"/>
      <c r="L2003" s="196"/>
      <c r="M2003" s="196"/>
      <c r="N2003" s="196"/>
      <c r="O2003" s="196"/>
      <c r="P2003" s="196"/>
      <c r="Q2003" s="196"/>
      <c r="R2003" s="196"/>
      <c r="S2003" s="196"/>
      <c r="T2003" s="196"/>
      <c r="U2003" s="196"/>
      <c r="V2003" s="196"/>
      <c r="W2003" s="196"/>
      <c r="X2003" s="196"/>
      <c r="Y2003" s="196"/>
      <c r="Z2003" s="196"/>
      <c r="AA2003" s="196"/>
      <c r="AB2003" s="196"/>
      <c r="AC2003" s="196"/>
      <c r="AD2003" s="196"/>
      <c r="AE2003" s="196"/>
      <c r="AF2003" s="196"/>
      <c r="AG2003" s="196"/>
      <c r="AH2003" s="196"/>
      <c r="AI2003" s="196"/>
      <c r="AJ2003" s="197"/>
      <c r="AK2003" s="80"/>
      <c r="AL2003" s="80"/>
      <c r="AM2003" s="73"/>
      <c r="AN2003" s="73"/>
      <c r="AO2003" s="73"/>
      <c r="AP2003" s="73"/>
      <c r="AQ2003" s="73"/>
      <c r="AR2003" s="73"/>
      <c r="AS2003" s="73"/>
      <c r="AT2003" s="73"/>
      <c r="AU2003" s="73"/>
      <c r="AV2003" s="73"/>
      <c r="AW2003" s="73"/>
      <c r="AX2003" s="73"/>
      <c r="AY2003" s="73"/>
      <c r="AZ2003" s="73"/>
      <c r="BA2003" s="73"/>
      <c r="BB2003" s="73"/>
      <c r="BC2003" s="73"/>
      <c r="BD2003" s="73"/>
      <c r="BE2003" s="73"/>
      <c r="BF2003" s="73"/>
      <c r="BG2003" s="73"/>
      <c r="BH2003" s="73"/>
      <c r="BI2003" s="73"/>
      <c r="BJ2003" s="73"/>
      <c r="BK2003" s="73"/>
      <c r="BL2003" s="73"/>
      <c r="BM2003" s="73"/>
      <c r="BN2003" s="73"/>
      <c r="BO2003" s="73"/>
      <c r="BP2003" s="73"/>
      <c r="BQ2003" s="73"/>
      <c r="BR2003" s="73"/>
      <c r="BS2003" s="73"/>
      <c r="BT2003" s="73"/>
      <c r="BU2003" s="73"/>
      <c r="BV2003" s="73"/>
      <c r="BW2003" s="73"/>
      <c r="BX2003" s="73"/>
      <c r="BY2003" s="73"/>
      <c r="BZ2003" s="73"/>
      <c r="CA2003" s="73"/>
      <c r="CB2003" s="73"/>
      <c r="CC2003" s="73"/>
      <c r="CD2003" s="73"/>
      <c r="CE2003" s="73"/>
      <c r="CF2003" s="73"/>
      <c r="CG2003" s="73"/>
      <c r="CH2003" s="73"/>
    </row>
    <row r="2004">
      <c r="A2004" s="80"/>
      <c r="B2004" s="80"/>
      <c r="C2004" s="80"/>
      <c r="D2004" s="80"/>
      <c r="E2004" s="124"/>
      <c r="F2004" s="80"/>
      <c r="G2004" s="80"/>
      <c r="H2004" s="80"/>
      <c r="I2004" s="80"/>
      <c r="J2004" s="196"/>
      <c r="K2004" s="196"/>
      <c r="L2004" s="196"/>
      <c r="M2004" s="196"/>
      <c r="N2004" s="196"/>
      <c r="O2004" s="196"/>
      <c r="P2004" s="196"/>
      <c r="Q2004" s="196"/>
      <c r="R2004" s="196"/>
      <c r="S2004" s="196"/>
      <c r="T2004" s="196"/>
      <c r="U2004" s="196"/>
      <c r="V2004" s="196"/>
      <c r="W2004" s="196"/>
      <c r="X2004" s="196"/>
      <c r="Y2004" s="196"/>
      <c r="Z2004" s="196"/>
      <c r="AA2004" s="196"/>
      <c r="AB2004" s="196"/>
      <c r="AC2004" s="196"/>
      <c r="AD2004" s="196"/>
      <c r="AE2004" s="196"/>
      <c r="AF2004" s="196"/>
      <c r="AG2004" s="196"/>
      <c r="AH2004" s="196"/>
      <c r="AI2004" s="196"/>
      <c r="AJ2004" s="197"/>
      <c r="AK2004" s="80"/>
      <c r="AL2004" s="80"/>
      <c r="AM2004" s="73"/>
      <c r="AN2004" s="73"/>
      <c r="AO2004" s="73"/>
      <c r="AP2004" s="73"/>
      <c r="AQ2004" s="73"/>
      <c r="AR2004" s="73"/>
      <c r="AS2004" s="73"/>
      <c r="AT2004" s="73"/>
      <c r="AU2004" s="73"/>
      <c r="AV2004" s="73"/>
      <c r="AW2004" s="73"/>
      <c r="AX2004" s="73"/>
      <c r="AY2004" s="73"/>
      <c r="AZ2004" s="73"/>
      <c r="BA2004" s="73"/>
      <c r="BB2004" s="73"/>
      <c r="BC2004" s="73"/>
      <c r="BD2004" s="73"/>
      <c r="BE2004" s="73"/>
      <c r="BF2004" s="73"/>
      <c r="BG2004" s="73"/>
      <c r="BH2004" s="73"/>
      <c r="BI2004" s="73"/>
      <c r="BJ2004" s="73"/>
      <c r="BK2004" s="73"/>
      <c r="BL2004" s="73"/>
      <c r="BM2004" s="73"/>
      <c r="BN2004" s="73"/>
      <c r="BO2004" s="73"/>
      <c r="BP2004" s="73"/>
      <c r="BQ2004" s="73"/>
      <c r="BR2004" s="73"/>
      <c r="BS2004" s="73"/>
      <c r="BT2004" s="73"/>
      <c r="BU2004" s="73"/>
      <c r="BV2004" s="73"/>
      <c r="BW2004" s="73"/>
      <c r="BX2004" s="73"/>
      <c r="BY2004" s="73"/>
      <c r="BZ2004" s="73"/>
      <c r="CA2004" s="73"/>
      <c r="CB2004" s="73"/>
      <c r="CC2004" s="73"/>
      <c r="CD2004" s="73"/>
      <c r="CE2004" s="73"/>
      <c r="CF2004" s="73"/>
      <c r="CG2004" s="73"/>
      <c r="CH2004" s="73"/>
    </row>
    <row r="2005">
      <c r="A2005" s="80"/>
      <c r="B2005" s="80"/>
      <c r="C2005" s="80"/>
      <c r="D2005" s="80"/>
      <c r="E2005" s="124"/>
      <c r="F2005" s="80"/>
      <c r="G2005" s="80"/>
      <c r="H2005" s="80"/>
      <c r="I2005" s="80"/>
      <c r="J2005" s="196"/>
      <c r="K2005" s="196"/>
      <c r="L2005" s="196"/>
      <c r="M2005" s="196"/>
      <c r="N2005" s="196"/>
      <c r="O2005" s="196"/>
      <c r="P2005" s="196"/>
      <c r="Q2005" s="196"/>
      <c r="R2005" s="196"/>
      <c r="S2005" s="196"/>
      <c r="T2005" s="196"/>
      <c r="U2005" s="196"/>
      <c r="V2005" s="196"/>
      <c r="W2005" s="196"/>
      <c r="X2005" s="196"/>
      <c r="Y2005" s="196"/>
      <c r="Z2005" s="196"/>
      <c r="AA2005" s="196"/>
      <c r="AB2005" s="196"/>
      <c r="AC2005" s="196"/>
      <c r="AD2005" s="196"/>
      <c r="AE2005" s="196"/>
      <c r="AF2005" s="196"/>
      <c r="AG2005" s="196"/>
      <c r="AH2005" s="196"/>
      <c r="AI2005" s="196"/>
      <c r="AJ2005" s="197"/>
      <c r="AK2005" s="80"/>
      <c r="AL2005" s="80"/>
      <c r="AM2005" s="73"/>
      <c r="AN2005" s="73"/>
      <c r="AO2005" s="73"/>
      <c r="AP2005" s="73"/>
      <c r="AQ2005" s="73"/>
      <c r="AR2005" s="73"/>
      <c r="AS2005" s="73"/>
      <c r="AT2005" s="73"/>
      <c r="AU2005" s="73"/>
      <c r="AV2005" s="73"/>
      <c r="AW2005" s="73"/>
      <c r="AX2005" s="73"/>
      <c r="AY2005" s="73"/>
      <c r="AZ2005" s="73"/>
      <c r="BA2005" s="73"/>
      <c r="BB2005" s="73"/>
      <c r="BC2005" s="73"/>
      <c r="BD2005" s="73"/>
      <c r="BE2005" s="73"/>
      <c r="BF2005" s="73"/>
      <c r="BG2005" s="73"/>
      <c r="BH2005" s="73"/>
      <c r="BI2005" s="73"/>
      <c r="BJ2005" s="73"/>
      <c r="BK2005" s="73"/>
      <c r="BL2005" s="73"/>
      <c r="BM2005" s="73"/>
      <c r="BN2005" s="73"/>
      <c r="BO2005" s="73"/>
      <c r="BP2005" s="73"/>
      <c r="BQ2005" s="73"/>
      <c r="BR2005" s="73"/>
      <c r="BS2005" s="73"/>
      <c r="BT2005" s="73"/>
      <c r="BU2005" s="73"/>
      <c r="BV2005" s="73"/>
      <c r="BW2005" s="73"/>
      <c r="BX2005" s="73"/>
      <c r="BY2005" s="73"/>
      <c r="BZ2005" s="73"/>
      <c r="CA2005" s="73"/>
      <c r="CB2005" s="73"/>
      <c r="CC2005" s="73"/>
      <c r="CD2005" s="73"/>
      <c r="CE2005" s="73"/>
      <c r="CF2005" s="73"/>
      <c r="CG2005" s="73"/>
      <c r="CH2005" s="73"/>
    </row>
    <row r="2006">
      <c r="A2006" s="80"/>
      <c r="B2006" s="80"/>
      <c r="C2006" s="80"/>
      <c r="D2006" s="80"/>
      <c r="E2006" s="124"/>
      <c r="F2006" s="80"/>
      <c r="G2006" s="80"/>
      <c r="H2006" s="80"/>
      <c r="I2006" s="80"/>
      <c r="J2006" s="196"/>
      <c r="K2006" s="196"/>
      <c r="L2006" s="196"/>
      <c r="M2006" s="196"/>
      <c r="N2006" s="196"/>
      <c r="O2006" s="196"/>
      <c r="P2006" s="196"/>
      <c r="Q2006" s="196"/>
      <c r="R2006" s="196"/>
      <c r="S2006" s="196"/>
      <c r="T2006" s="196"/>
      <c r="U2006" s="196"/>
      <c r="V2006" s="196"/>
      <c r="W2006" s="196"/>
      <c r="X2006" s="196"/>
      <c r="Y2006" s="196"/>
      <c r="Z2006" s="196"/>
      <c r="AA2006" s="196"/>
      <c r="AB2006" s="196"/>
      <c r="AC2006" s="196"/>
      <c r="AD2006" s="196"/>
      <c r="AE2006" s="196"/>
      <c r="AF2006" s="196"/>
      <c r="AG2006" s="196"/>
      <c r="AH2006" s="196"/>
      <c r="AI2006" s="196"/>
      <c r="AJ2006" s="197"/>
      <c r="AK2006" s="80"/>
      <c r="AL2006" s="80"/>
      <c r="AM2006" s="73"/>
      <c r="AN2006" s="73"/>
      <c r="AO2006" s="73"/>
      <c r="AP2006" s="73"/>
      <c r="AQ2006" s="73"/>
      <c r="AR2006" s="73"/>
      <c r="AS2006" s="73"/>
      <c r="AT2006" s="73"/>
      <c r="AU2006" s="73"/>
      <c r="AV2006" s="73"/>
      <c r="AW2006" s="73"/>
      <c r="AX2006" s="73"/>
      <c r="AY2006" s="73"/>
      <c r="AZ2006" s="73"/>
      <c r="BA2006" s="73"/>
      <c r="BB2006" s="73"/>
      <c r="BC2006" s="73"/>
      <c r="BD2006" s="73"/>
      <c r="BE2006" s="73"/>
      <c r="BF2006" s="73"/>
      <c r="BG2006" s="73"/>
      <c r="BH2006" s="73"/>
      <c r="BI2006" s="73"/>
      <c r="BJ2006" s="73"/>
      <c r="BK2006" s="73"/>
      <c r="BL2006" s="73"/>
      <c r="BM2006" s="73"/>
      <c r="BN2006" s="73"/>
      <c r="BO2006" s="73"/>
      <c r="BP2006" s="73"/>
      <c r="BQ2006" s="73"/>
      <c r="BR2006" s="73"/>
      <c r="BS2006" s="73"/>
      <c r="BT2006" s="73"/>
      <c r="BU2006" s="73"/>
      <c r="BV2006" s="73"/>
      <c r="BW2006" s="73"/>
      <c r="BX2006" s="73"/>
      <c r="BY2006" s="73"/>
      <c r="BZ2006" s="73"/>
      <c r="CA2006" s="73"/>
      <c r="CB2006" s="73"/>
      <c r="CC2006" s="73"/>
      <c r="CD2006" s="73"/>
      <c r="CE2006" s="73"/>
      <c r="CF2006" s="73"/>
      <c r="CG2006" s="73"/>
      <c r="CH2006" s="73"/>
    </row>
    <row r="2007">
      <c r="A2007" s="80"/>
      <c r="B2007" s="80"/>
      <c r="C2007" s="80"/>
      <c r="D2007" s="80"/>
      <c r="E2007" s="124"/>
      <c r="F2007" s="80"/>
      <c r="G2007" s="80"/>
      <c r="H2007" s="80"/>
      <c r="I2007" s="80"/>
      <c r="J2007" s="196"/>
      <c r="K2007" s="196"/>
      <c r="L2007" s="196"/>
      <c r="M2007" s="196"/>
      <c r="N2007" s="196"/>
      <c r="O2007" s="196"/>
      <c r="P2007" s="196"/>
      <c r="Q2007" s="196"/>
      <c r="R2007" s="196"/>
      <c r="S2007" s="196"/>
      <c r="T2007" s="196"/>
      <c r="U2007" s="196"/>
      <c r="V2007" s="196"/>
      <c r="W2007" s="196"/>
      <c r="X2007" s="196"/>
      <c r="Y2007" s="196"/>
      <c r="Z2007" s="196"/>
      <c r="AA2007" s="196"/>
      <c r="AB2007" s="196"/>
      <c r="AC2007" s="196"/>
      <c r="AD2007" s="196"/>
      <c r="AE2007" s="196"/>
      <c r="AF2007" s="196"/>
      <c r="AG2007" s="196"/>
      <c r="AH2007" s="196"/>
      <c r="AI2007" s="196"/>
      <c r="AJ2007" s="197"/>
      <c r="AK2007" s="80"/>
      <c r="AL2007" s="80"/>
      <c r="AM2007" s="73"/>
      <c r="AN2007" s="73"/>
      <c r="AO2007" s="73"/>
      <c r="AP2007" s="73"/>
      <c r="AQ2007" s="73"/>
      <c r="AR2007" s="73"/>
      <c r="AS2007" s="73"/>
      <c r="AT2007" s="73"/>
      <c r="AU2007" s="73"/>
      <c r="AV2007" s="73"/>
      <c r="AW2007" s="73"/>
      <c r="AX2007" s="73"/>
      <c r="AY2007" s="73"/>
      <c r="AZ2007" s="73"/>
      <c r="BA2007" s="73"/>
      <c r="BB2007" s="73"/>
      <c r="BC2007" s="73"/>
      <c r="BD2007" s="73"/>
      <c r="BE2007" s="73"/>
      <c r="BF2007" s="73"/>
      <c r="BG2007" s="73"/>
      <c r="BH2007" s="73"/>
      <c r="BI2007" s="73"/>
      <c r="BJ2007" s="73"/>
      <c r="BK2007" s="73"/>
      <c r="BL2007" s="73"/>
      <c r="BM2007" s="73"/>
      <c r="BN2007" s="73"/>
      <c r="BO2007" s="73"/>
      <c r="BP2007" s="73"/>
      <c r="BQ2007" s="73"/>
      <c r="BR2007" s="73"/>
      <c r="BS2007" s="73"/>
      <c r="BT2007" s="73"/>
      <c r="BU2007" s="73"/>
      <c r="BV2007" s="73"/>
      <c r="BW2007" s="73"/>
      <c r="BX2007" s="73"/>
      <c r="BY2007" s="73"/>
      <c r="BZ2007" s="73"/>
      <c r="CA2007" s="73"/>
      <c r="CB2007" s="73"/>
      <c r="CC2007" s="73"/>
      <c r="CD2007" s="73"/>
      <c r="CE2007" s="73"/>
      <c r="CF2007" s="73"/>
      <c r="CG2007" s="73"/>
      <c r="CH2007" s="73"/>
    </row>
    <row r="2008">
      <c r="A2008" s="80"/>
      <c r="B2008" s="80"/>
      <c r="C2008" s="80"/>
      <c r="D2008" s="80"/>
      <c r="E2008" s="124"/>
      <c r="F2008" s="80"/>
      <c r="G2008" s="80"/>
      <c r="H2008" s="80"/>
      <c r="I2008" s="80"/>
      <c r="J2008" s="196"/>
      <c r="K2008" s="196"/>
      <c r="L2008" s="196"/>
      <c r="M2008" s="196"/>
      <c r="N2008" s="196"/>
      <c r="O2008" s="196"/>
      <c r="P2008" s="196"/>
      <c r="Q2008" s="196"/>
      <c r="R2008" s="196"/>
      <c r="S2008" s="196"/>
      <c r="T2008" s="196"/>
      <c r="U2008" s="196"/>
      <c r="V2008" s="196"/>
      <c r="W2008" s="196"/>
      <c r="X2008" s="196"/>
      <c r="Y2008" s="196"/>
      <c r="Z2008" s="196"/>
      <c r="AA2008" s="196"/>
      <c r="AB2008" s="196"/>
      <c r="AC2008" s="196"/>
      <c r="AD2008" s="196"/>
      <c r="AE2008" s="196"/>
      <c r="AF2008" s="196"/>
      <c r="AG2008" s="196"/>
      <c r="AH2008" s="196"/>
      <c r="AI2008" s="196"/>
      <c r="AJ2008" s="197"/>
      <c r="AK2008" s="80"/>
      <c r="AL2008" s="80"/>
      <c r="AM2008" s="73"/>
      <c r="AN2008" s="73"/>
      <c r="AO2008" s="73"/>
      <c r="AP2008" s="73"/>
      <c r="AQ2008" s="73"/>
      <c r="AR2008" s="73"/>
      <c r="AS2008" s="73"/>
      <c r="AT2008" s="73"/>
      <c r="AU2008" s="73"/>
      <c r="AV2008" s="73"/>
      <c r="AW2008" s="73"/>
      <c r="AX2008" s="73"/>
      <c r="AY2008" s="73"/>
      <c r="AZ2008" s="73"/>
      <c r="BA2008" s="73"/>
      <c r="BB2008" s="73"/>
      <c r="BC2008" s="73"/>
      <c r="BD2008" s="73"/>
      <c r="BE2008" s="73"/>
      <c r="BF2008" s="73"/>
      <c r="BG2008" s="73"/>
      <c r="BH2008" s="73"/>
      <c r="BI2008" s="73"/>
      <c r="BJ2008" s="73"/>
      <c r="BK2008" s="73"/>
      <c r="BL2008" s="73"/>
      <c r="BM2008" s="73"/>
      <c r="BN2008" s="73"/>
      <c r="BO2008" s="73"/>
      <c r="BP2008" s="73"/>
      <c r="BQ2008" s="73"/>
      <c r="BR2008" s="73"/>
      <c r="BS2008" s="73"/>
      <c r="BT2008" s="73"/>
      <c r="BU2008" s="73"/>
      <c r="BV2008" s="73"/>
      <c r="BW2008" s="73"/>
      <c r="BX2008" s="73"/>
      <c r="BY2008" s="73"/>
      <c r="BZ2008" s="73"/>
      <c r="CA2008" s="73"/>
      <c r="CB2008" s="73"/>
      <c r="CC2008" s="73"/>
      <c r="CD2008" s="73"/>
      <c r="CE2008" s="73"/>
      <c r="CF2008" s="73"/>
      <c r="CG2008" s="73"/>
      <c r="CH2008" s="73"/>
    </row>
    <row r="2009">
      <c r="A2009" s="80"/>
      <c r="B2009" s="80"/>
      <c r="C2009" s="80"/>
      <c r="D2009" s="80"/>
      <c r="E2009" s="124"/>
      <c r="F2009" s="80"/>
      <c r="G2009" s="80"/>
      <c r="H2009" s="80"/>
      <c r="I2009" s="80"/>
      <c r="J2009" s="196"/>
      <c r="K2009" s="196"/>
      <c r="L2009" s="196"/>
      <c r="M2009" s="196"/>
      <c r="N2009" s="196"/>
      <c r="O2009" s="196"/>
      <c r="P2009" s="196"/>
      <c r="Q2009" s="196"/>
      <c r="R2009" s="196"/>
      <c r="S2009" s="196"/>
      <c r="T2009" s="196"/>
      <c r="U2009" s="196"/>
      <c r="V2009" s="196"/>
      <c r="W2009" s="196"/>
      <c r="X2009" s="196"/>
      <c r="Y2009" s="196"/>
      <c r="Z2009" s="196"/>
      <c r="AA2009" s="196"/>
      <c r="AB2009" s="196"/>
      <c r="AC2009" s="196"/>
      <c r="AD2009" s="196"/>
      <c r="AE2009" s="196"/>
      <c r="AF2009" s="196"/>
      <c r="AG2009" s="196"/>
      <c r="AH2009" s="196"/>
      <c r="AI2009" s="196"/>
      <c r="AJ2009" s="197"/>
      <c r="AK2009" s="80"/>
      <c r="AL2009" s="80"/>
      <c r="AM2009" s="73"/>
      <c r="AN2009" s="73"/>
      <c r="AO2009" s="73"/>
      <c r="AP2009" s="73"/>
      <c r="AQ2009" s="73"/>
      <c r="AR2009" s="73"/>
      <c r="AS2009" s="73"/>
      <c r="AT2009" s="73"/>
      <c r="AU2009" s="73"/>
      <c r="AV2009" s="73"/>
      <c r="AW2009" s="73"/>
      <c r="AX2009" s="73"/>
      <c r="AY2009" s="73"/>
      <c r="AZ2009" s="73"/>
      <c r="BA2009" s="73"/>
      <c r="BB2009" s="73"/>
      <c r="BC2009" s="73"/>
      <c r="BD2009" s="73"/>
      <c r="BE2009" s="73"/>
      <c r="BF2009" s="73"/>
      <c r="BG2009" s="73"/>
      <c r="BH2009" s="73"/>
      <c r="BI2009" s="73"/>
      <c r="BJ2009" s="73"/>
      <c r="BK2009" s="73"/>
      <c r="BL2009" s="73"/>
      <c r="BM2009" s="73"/>
      <c r="BN2009" s="73"/>
      <c r="BO2009" s="73"/>
      <c r="BP2009" s="73"/>
      <c r="BQ2009" s="73"/>
      <c r="BR2009" s="73"/>
      <c r="BS2009" s="73"/>
      <c r="BT2009" s="73"/>
      <c r="BU2009" s="73"/>
      <c r="BV2009" s="73"/>
      <c r="BW2009" s="73"/>
      <c r="BX2009" s="73"/>
      <c r="BY2009" s="73"/>
      <c r="BZ2009" s="73"/>
      <c r="CA2009" s="73"/>
      <c r="CB2009" s="73"/>
      <c r="CC2009" s="73"/>
      <c r="CD2009" s="73"/>
      <c r="CE2009" s="73"/>
      <c r="CF2009" s="73"/>
      <c r="CG2009" s="73"/>
      <c r="CH2009" s="73"/>
    </row>
    <row r="2010">
      <c r="A2010" s="80"/>
      <c r="B2010" s="80"/>
      <c r="C2010" s="80"/>
      <c r="D2010" s="80"/>
      <c r="E2010" s="124"/>
      <c r="F2010" s="80"/>
      <c r="G2010" s="80"/>
      <c r="H2010" s="80"/>
      <c r="I2010" s="80"/>
      <c r="J2010" s="196"/>
      <c r="K2010" s="196"/>
      <c r="L2010" s="196"/>
      <c r="M2010" s="196"/>
      <c r="N2010" s="196"/>
      <c r="O2010" s="196"/>
      <c r="P2010" s="196"/>
      <c r="Q2010" s="196"/>
      <c r="R2010" s="196"/>
      <c r="S2010" s="196"/>
      <c r="T2010" s="196"/>
      <c r="U2010" s="196"/>
      <c r="V2010" s="196"/>
      <c r="W2010" s="196"/>
      <c r="X2010" s="196"/>
      <c r="Y2010" s="196"/>
      <c r="Z2010" s="196"/>
      <c r="AA2010" s="196"/>
      <c r="AB2010" s="196"/>
      <c r="AC2010" s="196"/>
      <c r="AD2010" s="196"/>
      <c r="AE2010" s="196"/>
      <c r="AF2010" s="196"/>
      <c r="AG2010" s="196"/>
      <c r="AH2010" s="196"/>
      <c r="AI2010" s="196"/>
      <c r="AJ2010" s="197"/>
      <c r="AK2010" s="80"/>
      <c r="AL2010" s="80"/>
      <c r="AM2010" s="73"/>
      <c r="AN2010" s="73"/>
      <c r="AO2010" s="73"/>
      <c r="AP2010" s="73"/>
      <c r="AQ2010" s="73"/>
      <c r="AR2010" s="73"/>
      <c r="AS2010" s="73"/>
      <c r="AT2010" s="73"/>
      <c r="AU2010" s="73"/>
      <c r="AV2010" s="73"/>
      <c r="AW2010" s="73"/>
      <c r="AX2010" s="73"/>
      <c r="AY2010" s="73"/>
      <c r="AZ2010" s="73"/>
      <c r="BA2010" s="73"/>
      <c r="BB2010" s="73"/>
      <c r="BC2010" s="73"/>
      <c r="BD2010" s="73"/>
      <c r="BE2010" s="73"/>
      <c r="BF2010" s="73"/>
      <c r="BG2010" s="73"/>
      <c r="BH2010" s="73"/>
      <c r="BI2010" s="73"/>
      <c r="BJ2010" s="73"/>
      <c r="BK2010" s="73"/>
      <c r="BL2010" s="73"/>
      <c r="BM2010" s="73"/>
      <c r="BN2010" s="73"/>
      <c r="BO2010" s="73"/>
      <c r="BP2010" s="73"/>
      <c r="BQ2010" s="73"/>
      <c r="BR2010" s="73"/>
      <c r="BS2010" s="73"/>
      <c r="BT2010" s="73"/>
      <c r="BU2010" s="73"/>
      <c r="BV2010" s="73"/>
      <c r="BW2010" s="73"/>
      <c r="BX2010" s="73"/>
      <c r="BY2010" s="73"/>
      <c r="BZ2010" s="73"/>
      <c r="CA2010" s="73"/>
      <c r="CB2010" s="73"/>
      <c r="CC2010" s="73"/>
      <c r="CD2010" s="73"/>
      <c r="CE2010" s="73"/>
      <c r="CF2010" s="73"/>
      <c r="CG2010" s="73"/>
      <c r="CH2010" s="73"/>
    </row>
    <row r="2011">
      <c r="A2011" s="80"/>
      <c r="B2011" s="80"/>
      <c r="C2011" s="80"/>
      <c r="D2011" s="80"/>
      <c r="E2011" s="124"/>
      <c r="F2011" s="80"/>
      <c r="G2011" s="80"/>
      <c r="H2011" s="80"/>
      <c r="I2011" s="80"/>
      <c r="J2011" s="196"/>
      <c r="K2011" s="196"/>
      <c r="L2011" s="196"/>
      <c r="M2011" s="196"/>
      <c r="N2011" s="196"/>
      <c r="O2011" s="196"/>
      <c r="P2011" s="196"/>
      <c r="Q2011" s="196"/>
      <c r="R2011" s="196"/>
      <c r="S2011" s="196"/>
      <c r="T2011" s="196"/>
      <c r="U2011" s="196"/>
      <c r="V2011" s="196"/>
      <c r="W2011" s="196"/>
      <c r="X2011" s="196"/>
      <c r="Y2011" s="196"/>
      <c r="Z2011" s="196"/>
      <c r="AA2011" s="196"/>
      <c r="AB2011" s="196"/>
      <c r="AC2011" s="196"/>
      <c r="AD2011" s="196"/>
      <c r="AE2011" s="196"/>
      <c r="AF2011" s="196"/>
      <c r="AG2011" s="196"/>
      <c r="AH2011" s="196"/>
      <c r="AI2011" s="196"/>
      <c r="AJ2011" s="197"/>
      <c r="AK2011" s="80"/>
      <c r="AL2011" s="80"/>
      <c r="AM2011" s="73"/>
      <c r="AN2011" s="73"/>
      <c r="AO2011" s="73"/>
      <c r="AP2011" s="73"/>
      <c r="AQ2011" s="73"/>
      <c r="AR2011" s="73"/>
      <c r="AS2011" s="73"/>
      <c r="AT2011" s="73"/>
      <c r="AU2011" s="73"/>
      <c r="AV2011" s="73"/>
      <c r="AW2011" s="73"/>
      <c r="AX2011" s="73"/>
      <c r="AY2011" s="73"/>
      <c r="AZ2011" s="73"/>
      <c r="BA2011" s="73"/>
      <c r="BB2011" s="73"/>
      <c r="BC2011" s="73"/>
      <c r="BD2011" s="73"/>
      <c r="BE2011" s="73"/>
      <c r="BF2011" s="73"/>
      <c r="BG2011" s="73"/>
      <c r="BH2011" s="73"/>
      <c r="BI2011" s="73"/>
      <c r="BJ2011" s="73"/>
      <c r="BK2011" s="73"/>
      <c r="BL2011" s="73"/>
      <c r="BM2011" s="73"/>
      <c r="BN2011" s="73"/>
      <c r="BO2011" s="73"/>
      <c r="BP2011" s="73"/>
      <c r="BQ2011" s="73"/>
      <c r="BR2011" s="73"/>
      <c r="BS2011" s="73"/>
      <c r="BT2011" s="73"/>
      <c r="BU2011" s="73"/>
      <c r="BV2011" s="73"/>
      <c r="BW2011" s="73"/>
      <c r="BX2011" s="73"/>
      <c r="BY2011" s="73"/>
      <c r="BZ2011" s="73"/>
      <c r="CA2011" s="73"/>
      <c r="CB2011" s="73"/>
      <c r="CC2011" s="73"/>
      <c r="CD2011" s="73"/>
      <c r="CE2011" s="73"/>
      <c r="CF2011" s="73"/>
      <c r="CG2011" s="73"/>
      <c r="CH2011" s="73"/>
    </row>
    <row r="2012">
      <c r="A2012" s="80"/>
      <c r="B2012" s="80"/>
      <c r="C2012" s="80"/>
      <c r="D2012" s="80"/>
      <c r="E2012" s="124"/>
      <c r="F2012" s="80"/>
      <c r="G2012" s="80"/>
      <c r="H2012" s="80"/>
      <c r="I2012" s="80"/>
      <c r="J2012" s="196"/>
      <c r="K2012" s="196"/>
      <c r="L2012" s="196"/>
      <c r="M2012" s="196"/>
      <c r="N2012" s="196"/>
      <c r="O2012" s="196"/>
      <c r="P2012" s="196"/>
      <c r="Q2012" s="196"/>
      <c r="R2012" s="196"/>
      <c r="S2012" s="196"/>
      <c r="T2012" s="196"/>
      <c r="U2012" s="196"/>
      <c r="V2012" s="196"/>
      <c r="W2012" s="196"/>
      <c r="X2012" s="196"/>
      <c r="Y2012" s="196"/>
      <c r="Z2012" s="196"/>
      <c r="AA2012" s="196"/>
      <c r="AB2012" s="196"/>
      <c r="AC2012" s="196"/>
      <c r="AD2012" s="196"/>
      <c r="AE2012" s="196"/>
      <c r="AF2012" s="196"/>
      <c r="AG2012" s="196"/>
      <c r="AH2012" s="196"/>
      <c r="AI2012" s="196"/>
      <c r="AJ2012" s="197"/>
      <c r="AK2012" s="80"/>
      <c r="AL2012" s="80"/>
      <c r="AM2012" s="73"/>
      <c r="AN2012" s="73"/>
      <c r="AO2012" s="73"/>
      <c r="AP2012" s="73"/>
      <c r="AQ2012" s="73"/>
      <c r="AR2012" s="73"/>
      <c r="AS2012" s="73"/>
      <c r="AT2012" s="73"/>
      <c r="AU2012" s="73"/>
      <c r="AV2012" s="73"/>
      <c r="AW2012" s="73"/>
      <c r="AX2012" s="73"/>
      <c r="AY2012" s="73"/>
      <c r="AZ2012" s="73"/>
      <c r="BA2012" s="73"/>
      <c r="BB2012" s="73"/>
      <c r="BC2012" s="73"/>
      <c r="BD2012" s="73"/>
      <c r="BE2012" s="73"/>
      <c r="BF2012" s="73"/>
      <c r="BG2012" s="73"/>
      <c r="BH2012" s="73"/>
      <c r="BI2012" s="73"/>
      <c r="BJ2012" s="73"/>
      <c r="BK2012" s="73"/>
      <c r="BL2012" s="73"/>
      <c r="BM2012" s="73"/>
      <c r="BN2012" s="73"/>
      <c r="BO2012" s="73"/>
      <c r="BP2012" s="73"/>
      <c r="BQ2012" s="73"/>
      <c r="BR2012" s="73"/>
      <c r="BS2012" s="73"/>
      <c r="BT2012" s="73"/>
      <c r="BU2012" s="73"/>
      <c r="BV2012" s="73"/>
      <c r="BW2012" s="73"/>
      <c r="BX2012" s="73"/>
      <c r="BY2012" s="73"/>
      <c r="BZ2012" s="73"/>
      <c r="CA2012" s="73"/>
      <c r="CB2012" s="73"/>
      <c r="CC2012" s="73"/>
      <c r="CD2012" s="73"/>
      <c r="CE2012" s="73"/>
      <c r="CF2012" s="73"/>
      <c r="CG2012" s="73"/>
      <c r="CH2012" s="73"/>
    </row>
    <row r="2013">
      <c r="A2013" s="80"/>
      <c r="B2013" s="80"/>
      <c r="C2013" s="80"/>
      <c r="D2013" s="80"/>
      <c r="E2013" s="124"/>
      <c r="F2013" s="80"/>
      <c r="G2013" s="80"/>
      <c r="H2013" s="80"/>
      <c r="I2013" s="80"/>
      <c r="J2013" s="196"/>
      <c r="K2013" s="196"/>
      <c r="L2013" s="196"/>
      <c r="M2013" s="196"/>
      <c r="N2013" s="196"/>
      <c r="O2013" s="196"/>
      <c r="P2013" s="196"/>
      <c r="Q2013" s="196"/>
      <c r="R2013" s="196"/>
      <c r="S2013" s="196"/>
      <c r="T2013" s="196"/>
      <c r="U2013" s="196"/>
      <c r="V2013" s="196"/>
      <c r="W2013" s="196"/>
      <c r="X2013" s="196"/>
      <c r="Y2013" s="196"/>
      <c r="Z2013" s="196"/>
      <c r="AA2013" s="196"/>
      <c r="AB2013" s="196"/>
      <c r="AC2013" s="196"/>
      <c r="AD2013" s="196"/>
      <c r="AE2013" s="196"/>
      <c r="AF2013" s="196"/>
      <c r="AG2013" s="196"/>
      <c r="AH2013" s="196"/>
      <c r="AI2013" s="196"/>
      <c r="AJ2013" s="197"/>
      <c r="AK2013" s="80"/>
      <c r="AL2013" s="80"/>
      <c r="AM2013" s="73"/>
      <c r="AN2013" s="73"/>
      <c r="AO2013" s="73"/>
      <c r="AP2013" s="73"/>
      <c r="AQ2013" s="73"/>
      <c r="AR2013" s="73"/>
      <c r="AS2013" s="73"/>
      <c r="AT2013" s="73"/>
      <c r="AU2013" s="73"/>
      <c r="AV2013" s="73"/>
      <c r="AW2013" s="73"/>
      <c r="AX2013" s="73"/>
      <c r="AY2013" s="73"/>
      <c r="AZ2013" s="73"/>
      <c r="BA2013" s="73"/>
      <c r="BB2013" s="73"/>
      <c r="BC2013" s="73"/>
      <c r="BD2013" s="73"/>
      <c r="BE2013" s="73"/>
      <c r="BF2013" s="73"/>
      <c r="BG2013" s="73"/>
      <c r="BH2013" s="73"/>
      <c r="BI2013" s="73"/>
      <c r="BJ2013" s="73"/>
      <c r="BK2013" s="73"/>
      <c r="BL2013" s="73"/>
      <c r="BM2013" s="73"/>
      <c r="BN2013" s="73"/>
      <c r="BO2013" s="73"/>
      <c r="BP2013" s="73"/>
      <c r="BQ2013" s="73"/>
      <c r="BR2013" s="73"/>
      <c r="BS2013" s="73"/>
      <c r="BT2013" s="73"/>
      <c r="BU2013" s="73"/>
      <c r="BV2013" s="73"/>
      <c r="BW2013" s="73"/>
      <c r="BX2013" s="73"/>
      <c r="BY2013" s="73"/>
      <c r="BZ2013" s="73"/>
      <c r="CA2013" s="73"/>
      <c r="CB2013" s="73"/>
      <c r="CC2013" s="73"/>
      <c r="CD2013" s="73"/>
      <c r="CE2013" s="73"/>
      <c r="CF2013" s="73"/>
      <c r="CG2013" s="73"/>
      <c r="CH2013" s="73"/>
    </row>
    <row r="2014">
      <c r="A2014" s="80"/>
      <c r="B2014" s="80"/>
      <c r="C2014" s="80"/>
      <c r="D2014" s="80"/>
      <c r="E2014" s="124"/>
      <c r="F2014" s="80"/>
      <c r="G2014" s="80"/>
      <c r="H2014" s="80"/>
      <c r="I2014" s="80"/>
      <c r="J2014" s="196"/>
      <c r="K2014" s="196"/>
      <c r="L2014" s="196"/>
      <c r="M2014" s="196"/>
      <c r="N2014" s="196"/>
      <c r="O2014" s="196"/>
      <c r="P2014" s="196"/>
      <c r="Q2014" s="196"/>
      <c r="R2014" s="196"/>
      <c r="S2014" s="196"/>
      <c r="T2014" s="196"/>
      <c r="U2014" s="196"/>
      <c r="V2014" s="196"/>
      <c r="W2014" s="196"/>
      <c r="X2014" s="196"/>
      <c r="Y2014" s="196"/>
      <c r="Z2014" s="196"/>
      <c r="AA2014" s="196"/>
      <c r="AB2014" s="196"/>
      <c r="AC2014" s="196"/>
      <c r="AD2014" s="196"/>
      <c r="AE2014" s="196"/>
      <c r="AF2014" s="196"/>
      <c r="AG2014" s="196"/>
      <c r="AH2014" s="196"/>
      <c r="AI2014" s="196"/>
      <c r="AJ2014" s="197"/>
      <c r="AK2014" s="80"/>
      <c r="AL2014" s="80"/>
      <c r="AM2014" s="73"/>
      <c r="AN2014" s="73"/>
      <c r="AO2014" s="73"/>
      <c r="AP2014" s="73"/>
      <c r="AQ2014" s="73"/>
      <c r="AR2014" s="73"/>
      <c r="AS2014" s="73"/>
      <c r="AT2014" s="73"/>
      <c r="AU2014" s="73"/>
      <c r="AV2014" s="73"/>
      <c r="AW2014" s="73"/>
      <c r="AX2014" s="73"/>
      <c r="AY2014" s="73"/>
      <c r="AZ2014" s="73"/>
      <c r="BA2014" s="73"/>
      <c r="BB2014" s="73"/>
      <c r="BC2014" s="73"/>
      <c r="BD2014" s="73"/>
      <c r="BE2014" s="73"/>
      <c r="BF2014" s="73"/>
      <c r="BG2014" s="73"/>
      <c r="BH2014" s="73"/>
      <c r="BI2014" s="73"/>
      <c r="BJ2014" s="73"/>
      <c r="BK2014" s="73"/>
      <c r="BL2014" s="73"/>
      <c r="BM2014" s="73"/>
      <c r="BN2014" s="73"/>
      <c r="BO2014" s="73"/>
      <c r="BP2014" s="73"/>
      <c r="BQ2014" s="73"/>
      <c r="BR2014" s="73"/>
      <c r="BS2014" s="73"/>
      <c r="BT2014" s="73"/>
      <c r="BU2014" s="73"/>
      <c r="BV2014" s="73"/>
      <c r="BW2014" s="73"/>
      <c r="BX2014" s="73"/>
      <c r="BY2014" s="73"/>
      <c r="BZ2014" s="73"/>
      <c r="CA2014" s="73"/>
      <c r="CB2014" s="73"/>
      <c r="CC2014" s="73"/>
      <c r="CD2014" s="73"/>
      <c r="CE2014" s="73"/>
      <c r="CF2014" s="73"/>
      <c r="CG2014" s="73"/>
      <c r="CH2014" s="73"/>
    </row>
    <row r="2015">
      <c r="A2015" s="80"/>
      <c r="B2015" s="80"/>
      <c r="C2015" s="80"/>
      <c r="D2015" s="80"/>
      <c r="E2015" s="124"/>
      <c r="F2015" s="80"/>
      <c r="G2015" s="80"/>
      <c r="H2015" s="80"/>
      <c r="I2015" s="80"/>
      <c r="J2015" s="196"/>
      <c r="K2015" s="196"/>
      <c r="L2015" s="196"/>
      <c r="M2015" s="196"/>
      <c r="N2015" s="196"/>
      <c r="O2015" s="196"/>
      <c r="P2015" s="196"/>
      <c r="Q2015" s="196"/>
      <c r="R2015" s="196"/>
      <c r="S2015" s="196"/>
      <c r="T2015" s="196"/>
      <c r="U2015" s="196"/>
      <c r="V2015" s="196"/>
      <c r="W2015" s="196"/>
      <c r="X2015" s="196"/>
      <c r="Y2015" s="196"/>
      <c r="Z2015" s="196"/>
      <c r="AA2015" s="196"/>
      <c r="AB2015" s="196"/>
      <c r="AC2015" s="196"/>
      <c r="AD2015" s="196"/>
      <c r="AE2015" s="196"/>
      <c r="AF2015" s="196"/>
      <c r="AG2015" s="196"/>
      <c r="AH2015" s="196"/>
      <c r="AI2015" s="196"/>
      <c r="AJ2015" s="197"/>
      <c r="AK2015" s="80"/>
      <c r="AL2015" s="80"/>
      <c r="AM2015" s="73"/>
      <c r="AN2015" s="73"/>
      <c r="AO2015" s="73"/>
      <c r="AP2015" s="73"/>
      <c r="AQ2015" s="73"/>
      <c r="AR2015" s="73"/>
      <c r="AS2015" s="73"/>
      <c r="AT2015" s="73"/>
      <c r="AU2015" s="73"/>
      <c r="AV2015" s="73"/>
      <c r="AW2015" s="73"/>
      <c r="AX2015" s="73"/>
      <c r="AY2015" s="73"/>
      <c r="AZ2015" s="73"/>
      <c r="BA2015" s="73"/>
      <c r="BB2015" s="73"/>
      <c r="BC2015" s="73"/>
      <c r="BD2015" s="73"/>
      <c r="BE2015" s="73"/>
      <c r="BF2015" s="73"/>
      <c r="BG2015" s="73"/>
      <c r="BH2015" s="73"/>
      <c r="BI2015" s="73"/>
      <c r="BJ2015" s="73"/>
      <c r="BK2015" s="73"/>
      <c r="BL2015" s="73"/>
      <c r="BM2015" s="73"/>
      <c r="BN2015" s="73"/>
      <c r="BO2015" s="73"/>
      <c r="BP2015" s="73"/>
      <c r="BQ2015" s="73"/>
      <c r="BR2015" s="73"/>
      <c r="BS2015" s="73"/>
      <c r="BT2015" s="73"/>
      <c r="BU2015" s="73"/>
      <c r="BV2015" s="73"/>
      <c r="BW2015" s="73"/>
      <c r="BX2015" s="73"/>
      <c r="BY2015" s="73"/>
      <c r="BZ2015" s="73"/>
      <c r="CA2015" s="73"/>
      <c r="CB2015" s="73"/>
      <c r="CC2015" s="73"/>
      <c r="CD2015" s="73"/>
      <c r="CE2015" s="73"/>
      <c r="CF2015" s="73"/>
      <c r="CG2015" s="73"/>
      <c r="CH2015" s="73"/>
    </row>
    <row r="2016">
      <c r="A2016" s="80"/>
      <c r="B2016" s="80"/>
      <c r="C2016" s="80"/>
      <c r="D2016" s="80"/>
      <c r="E2016" s="124"/>
      <c r="F2016" s="80"/>
      <c r="G2016" s="80"/>
      <c r="H2016" s="80"/>
      <c r="I2016" s="80"/>
      <c r="J2016" s="196"/>
      <c r="K2016" s="196"/>
      <c r="L2016" s="196"/>
      <c r="M2016" s="196"/>
      <c r="N2016" s="196"/>
      <c r="O2016" s="196"/>
      <c r="P2016" s="196"/>
      <c r="Q2016" s="196"/>
      <c r="R2016" s="196"/>
      <c r="S2016" s="196"/>
      <c r="T2016" s="196"/>
      <c r="U2016" s="196"/>
      <c r="V2016" s="196"/>
      <c r="W2016" s="196"/>
      <c r="X2016" s="196"/>
      <c r="Y2016" s="196"/>
      <c r="Z2016" s="196"/>
      <c r="AA2016" s="196"/>
      <c r="AB2016" s="196"/>
      <c r="AC2016" s="196"/>
      <c r="AD2016" s="196"/>
      <c r="AE2016" s="196"/>
      <c r="AF2016" s="196"/>
      <c r="AG2016" s="196"/>
      <c r="AH2016" s="196"/>
      <c r="AI2016" s="196"/>
      <c r="AJ2016" s="197"/>
      <c r="AK2016" s="80"/>
      <c r="AL2016" s="80"/>
      <c r="AM2016" s="73"/>
      <c r="AN2016" s="73"/>
      <c r="AO2016" s="73"/>
      <c r="AP2016" s="73"/>
      <c r="AQ2016" s="73"/>
      <c r="AR2016" s="73"/>
      <c r="AS2016" s="73"/>
      <c r="AT2016" s="73"/>
      <c r="AU2016" s="73"/>
      <c r="AV2016" s="73"/>
      <c r="AW2016" s="73"/>
      <c r="AX2016" s="73"/>
      <c r="AY2016" s="73"/>
      <c r="AZ2016" s="73"/>
      <c r="BA2016" s="73"/>
      <c r="BB2016" s="73"/>
      <c r="BC2016" s="73"/>
      <c r="BD2016" s="73"/>
      <c r="BE2016" s="73"/>
      <c r="BF2016" s="73"/>
      <c r="BG2016" s="73"/>
      <c r="BH2016" s="73"/>
      <c r="BI2016" s="73"/>
      <c r="BJ2016" s="73"/>
      <c r="BK2016" s="73"/>
      <c r="BL2016" s="73"/>
      <c r="BM2016" s="73"/>
      <c r="BN2016" s="73"/>
      <c r="BO2016" s="73"/>
      <c r="BP2016" s="73"/>
      <c r="BQ2016" s="73"/>
      <c r="BR2016" s="73"/>
      <c r="BS2016" s="73"/>
      <c r="BT2016" s="73"/>
      <c r="BU2016" s="73"/>
      <c r="BV2016" s="73"/>
      <c r="BW2016" s="73"/>
      <c r="BX2016" s="73"/>
      <c r="BY2016" s="73"/>
      <c r="BZ2016" s="73"/>
      <c r="CA2016" s="73"/>
      <c r="CB2016" s="73"/>
      <c r="CC2016" s="73"/>
      <c r="CD2016" s="73"/>
      <c r="CE2016" s="73"/>
      <c r="CF2016" s="73"/>
      <c r="CG2016" s="73"/>
      <c r="CH2016" s="73"/>
    </row>
    <row r="2017">
      <c r="A2017" s="80"/>
      <c r="B2017" s="80"/>
      <c r="C2017" s="80"/>
      <c r="D2017" s="80"/>
      <c r="E2017" s="124"/>
      <c r="F2017" s="80"/>
      <c r="G2017" s="80"/>
      <c r="H2017" s="80"/>
      <c r="I2017" s="80"/>
      <c r="J2017" s="196"/>
      <c r="K2017" s="196"/>
      <c r="L2017" s="196"/>
      <c r="M2017" s="196"/>
      <c r="N2017" s="196"/>
      <c r="O2017" s="196"/>
      <c r="P2017" s="196"/>
      <c r="Q2017" s="196"/>
      <c r="R2017" s="196"/>
      <c r="S2017" s="196"/>
      <c r="T2017" s="196"/>
      <c r="U2017" s="196"/>
      <c r="V2017" s="196"/>
      <c r="W2017" s="196"/>
      <c r="X2017" s="196"/>
      <c r="Y2017" s="196"/>
      <c r="Z2017" s="196"/>
      <c r="AA2017" s="196"/>
      <c r="AB2017" s="196"/>
      <c r="AC2017" s="196"/>
      <c r="AD2017" s="196"/>
      <c r="AE2017" s="196"/>
      <c r="AF2017" s="196"/>
      <c r="AG2017" s="196"/>
      <c r="AH2017" s="196"/>
      <c r="AI2017" s="196"/>
      <c r="AJ2017" s="197"/>
      <c r="AK2017" s="80"/>
      <c r="AL2017" s="80"/>
      <c r="AM2017" s="73"/>
      <c r="AN2017" s="73"/>
      <c r="AO2017" s="73"/>
      <c r="AP2017" s="73"/>
      <c r="AQ2017" s="73"/>
      <c r="AR2017" s="73"/>
      <c r="AS2017" s="73"/>
      <c r="AT2017" s="73"/>
      <c r="AU2017" s="73"/>
      <c r="AV2017" s="73"/>
      <c r="AW2017" s="73"/>
      <c r="AX2017" s="73"/>
      <c r="AY2017" s="73"/>
      <c r="AZ2017" s="73"/>
      <c r="BA2017" s="73"/>
      <c r="BB2017" s="73"/>
      <c r="BC2017" s="73"/>
      <c r="BD2017" s="73"/>
      <c r="BE2017" s="73"/>
      <c r="BF2017" s="73"/>
      <c r="BG2017" s="73"/>
      <c r="BH2017" s="73"/>
      <c r="BI2017" s="73"/>
      <c r="BJ2017" s="73"/>
      <c r="BK2017" s="73"/>
      <c r="BL2017" s="73"/>
      <c r="BM2017" s="73"/>
      <c r="BN2017" s="73"/>
      <c r="BO2017" s="73"/>
      <c r="BP2017" s="73"/>
      <c r="BQ2017" s="73"/>
      <c r="BR2017" s="73"/>
      <c r="BS2017" s="73"/>
      <c r="BT2017" s="73"/>
      <c r="BU2017" s="73"/>
      <c r="BV2017" s="73"/>
      <c r="BW2017" s="73"/>
      <c r="BX2017" s="73"/>
      <c r="BY2017" s="73"/>
      <c r="BZ2017" s="73"/>
      <c r="CA2017" s="73"/>
      <c r="CB2017" s="73"/>
      <c r="CC2017" s="73"/>
      <c r="CD2017" s="73"/>
      <c r="CE2017" s="73"/>
      <c r="CF2017" s="73"/>
      <c r="CG2017" s="73"/>
      <c r="CH2017" s="73"/>
    </row>
    <row r="2018">
      <c r="A2018" s="80"/>
      <c r="B2018" s="80"/>
      <c r="C2018" s="80"/>
      <c r="D2018" s="80"/>
      <c r="E2018" s="124"/>
      <c r="F2018" s="80"/>
      <c r="G2018" s="80"/>
      <c r="H2018" s="80"/>
      <c r="I2018" s="80"/>
      <c r="J2018" s="196"/>
      <c r="K2018" s="196"/>
      <c r="L2018" s="196"/>
      <c r="M2018" s="196"/>
      <c r="N2018" s="196"/>
      <c r="O2018" s="196"/>
      <c r="P2018" s="196"/>
      <c r="Q2018" s="196"/>
      <c r="R2018" s="196"/>
      <c r="S2018" s="196"/>
      <c r="T2018" s="196"/>
      <c r="U2018" s="196"/>
      <c r="V2018" s="196"/>
      <c r="W2018" s="196"/>
      <c r="X2018" s="196"/>
      <c r="Y2018" s="196"/>
      <c r="Z2018" s="196"/>
      <c r="AA2018" s="196"/>
      <c r="AB2018" s="196"/>
      <c r="AC2018" s="196"/>
      <c r="AD2018" s="196"/>
      <c r="AE2018" s="196"/>
      <c r="AF2018" s="196"/>
      <c r="AG2018" s="196"/>
      <c r="AH2018" s="196"/>
      <c r="AI2018" s="196"/>
      <c r="AJ2018" s="197"/>
      <c r="AK2018" s="80"/>
      <c r="AL2018" s="80"/>
      <c r="AM2018" s="73"/>
      <c r="AN2018" s="73"/>
      <c r="AO2018" s="73"/>
      <c r="AP2018" s="73"/>
      <c r="AQ2018" s="73"/>
      <c r="AR2018" s="73"/>
      <c r="AS2018" s="73"/>
      <c r="AT2018" s="73"/>
      <c r="AU2018" s="73"/>
      <c r="AV2018" s="73"/>
      <c r="AW2018" s="73"/>
      <c r="AX2018" s="73"/>
      <c r="AY2018" s="73"/>
      <c r="AZ2018" s="73"/>
      <c r="BA2018" s="73"/>
      <c r="BB2018" s="73"/>
      <c r="BC2018" s="73"/>
      <c r="BD2018" s="73"/>
      <c r="BE2018" s="73"/>
      <c r="BF2018" s="73"/>
      <c r="BG2018" s="73"/>
      <c r="BH2018" s="73"/>
      <c r="BI2018" s="73"/>
      <c r="BJ2018" s="73"/>
      <c r="BK2018" s="73"/>
      <c r="BL2018" s="73"/>
      <c r="BM2018" s="73"/>
      <c r="BN2018" s="73"/>
      <c r="BO2018" s="73"/>
      <c r="BP2018" s="73"/>
      <c r="BQ2018" s="73"/>
      <c r="BR2018" s="73"/>
      <c r="BS2018" s="73"/>
      <c r="BT2018" s="73"/>
      <c r="BU2018" s="73"/>
      <c r="BV2018" s="73"/>
      <c r="BW2018" s="73"/>
      <c r="BX2018" s="73"/>
      <c r="BY2018" s="73"/>
      <c r="BZ2018" s="73"/>
      <c r="CA2018" s="73"/>
      <c r="CB2018" s="73"/>
      <c r="CC2018" s="73"/>
      <c r="CD2018" s="73"/>
      <c r="CE2018" s="73"/>
      <c r="CF2018" s="73"/>
      <c r="CG2018" s="73"/>
      <c r="CH2018" s="73"/>
    </row>
    <row r="2019">
      <c r="A2019" s="80"/>
      <c r="B2019" s="80"/>
      <c r="C2019" s="80"/>
      <c r="D2019" s="80"/>
      <c r="E2019" s="124"/>
      <c r="F2019" s="80"/>
      <c r="G2019" s="80"/>
      <c r="H2019" s="80"/>
      <c r="I2019" s="80"/>
      <c r="J2019" s="196"/>
      <c r="K2019" s="196"/>
      <c r="L2019" s="196"/>
      <c r="M2019" s="196"/>
      <c r="N2019" s="196"/>
      <c r="O2019" s="196"/>
      <c r="P2019" s="196"/>
      <c r="Q2019" s="196"/>
      <c r="R2019" s="196"/>
      <c r="S2019" s="196"/>
      <c r="T2019" s="196"/>
      <c r="U2019" s="196"/>
      <c r="V2019" s="196"/>
      <c r="W2019" s="196"/>
      <c r="X2019" s="196"/>
      <c r="Y2019" s="196"/>
      <c r="Z2019" s="196"/>
      <c r="AA2019" s="196"/>
      <c r="AB2019" s="196"/>
      <c r="AC2019" s="196"/>
      <c r="AD2019" s="196"/>
      <c r="AE2019" s="196"/>
      <c r="AF2019" s="196"/>
      <c r="AG2019" s="196"/>
      <c r="AH2019" s="196"/>
      <c r="AI2019" s="196"/>
      <c r="AJ2019" s="197"/>
      <c r="AK2019" s="80"/>
      <c r="AL2019" s="80"/>
      <c r="AM2019" s="73"/>
      <c r="AN2019" s="73"/>
      <c r="AO2019" s="73"/>
      <c r="AP2019" s="73"/>
      <c r="AQ2019" s="73"/>
      <c r="AR2019" s="73"/>
      <c r="AS2019" s="73"/>
      <c r="AT2019" s="73"/>
      <c r="AU2019" s="73"/>
      <c r="AV2019" s="73"/>
      <c r="AW2019" s="73"/>
      <c r="AX2019" s="73"/>
      <c r="AY2019" s="73"/>
      <c r="AZ2019" s="73"/>
      <c r="BA2019" s="73"/>
      <c r="BB2019" s="73"/>
      <c r="BC2019" s="73"/>
      <c r="BD2019" s="73"/>
      <c r="BE2019" s="73"/>
      <c r="BF2019" s="73"/>
      <c r="BG2019" s="73"/>
      <c r="BH2019" s="73"/>
      <c r="BI2019" s="73"/>
      <c r="BJ2019" s="73"/>
      <c r="BK2019" s="73"/>
      <c r="BL2019" s="73"/>
      <c r="BM2019" s="73"/>
      <c r="BN2019" s="73"/>
      <c r="BO2019" s="73"/>
      <c r="BP2019" s="73"/>
      <c r="BQ2019" s="73"/>
      <c r="BR2019" s="73"/>
      <c r="BS2019" s="73"/>
      <c r="BT2019" s="73"/>
      <c r="BU2019" s="73"/>
      <c r="BV2019" s="73"/>
      <c r="BW2019" s="73"/>
      <c r="BX2019" s="73"/>
      <c r="BY2019" s="73"/>
      <c r="BZ2019" s="73"/>
      <c r="CA2019" s="73"/>
      <c r="CB2019" s="73"/>
      <c r="CC2019" s="73"/>
      <c r="CD2019" s="73"/>
      <c r="CE2019" s="73"/>
      <c r="CF2019" s="73"/>
      <c r="CG2019" s="73"/>
      <c r="CH2019" s="73"/>
    </row>
    <row r="2020">
      <c r="A2020" s="80"/>
      <c r="B2020" s="80"/>
      <c r="C2020" s="80"/>
      <c r="D2020" s="80"/>
      <c r="E2020" s="124"/>
      <c r="F2020" s="80"/>
      <c r="G2020" s="80"/>
      <c r="H2020" s="80"/>
      <c r="I2020" s="80"/>
      <c r="J2020" s="196"/>
      <c r="K2020" s="196"/>
      <c r="L2020" s="196"/>
      <c r="M2020" s="196"/>
      <c r="N2020" s="196"/>
      <c r="O2020" s="196"/>
      <c r="P2020" s="196"/>
      <c r="Q2020" s="196"/>
      <c r="R2020" s="196"/>
      <c r="S2020" s="196"/>
      <c r="T2020" s="196"/>
      <c r="U2020" s="196"/>
      <c r="V2020" s="196"/>
      <c r="W2020" s="196"/>
      <c r="X2020" s="196"/>
      <c r="Y2020" s="196"/>
      <c r="Z2020" s="196"/>
      <c r="AA2020" s="196"/>
      <c r="AB2020" s="196"/>
      <c r="AC2020" s="196"/>
      <c r="AD2020" s="196"/>
      <c r="AE2020" s="196"/>
      <c r="AF2020" s="196"/>
      <c r="AG2020" s="196"/>
      <c r="AH2020" s="196"/>
      <c r="AI2020" s="196"/>
      <c r="AJ2020" s="197"/>
      <c r="AK2020" s="80"/>
      <c r="AL2020" s="80"/>
      <c r="AM2020" s="73"/>
      <c r="AN2020" s="73"/>
      <c r="AO2020" s="73"/>
      <c r="AP2020" s="73"/>
      <c r="AQ2020" s="73"/>
      <c r="AR2020" s="73"/>
      <c r="AS2020" s="73"/>
      <c r="AT2020" s="73"/>
      <c r="AU2020" s="73"/>
      <c r="AV2020" s="73"/>
      <c r="AW2020" s="73"/>
      <c r="AX2020" s="73"/>
      <c r="AY2020" s="73"/>
      <c r="AZ2020" s="73"/>
      <c r="BA2020" s="73"/>
      <c r="BB2020" s="73"/>
      <c r="BC2020" s="73"/>
      <c r="BD2020" s="73"/>
      <c r="BE2020" s="73"/>
      <c r="BF2020" s="73"/>
      <c r="BG2020" s="73"/>
      <c r="BH2020" s="73"/>
      <c r="BI2020" s="73"/>
      <c r="BJ2020" s="73"/>
      <c r="BK2020" s="73"/>
      <c r="BL2020" s="73"/>
      <c r="BM2020" s="73"/>
      <c r="BN2020" s="73"/>
      <c r="BO2020" s="73"/>
      <c r="BP2020" s="73"/>
      <c r="BQ2020" s="73"/>
      <c r="BR2020" s="73"/>
      <c r="BS2020" s="73"/>
      <c r="BT2020" s="73"/>
      <c r="BU2020" s="73"/>
      <c r="BV2020" s="73"/>
      <c r="BW2020" s="73"/>
      <c r="BX2020" s="73"/>
      <c r="BY2020" s="73"/>
      <c r="BZ2020" s="73"/>
      <c r="CA2020" s="73"/>
      <c r="CB2020" s="73"/>
      <c r="CC2020" s="73"/>
      <c r="CD2020" s="73"/>
      <c r="CE2020" s="73"/>
      <c r="CF2020" s="73"/>
      <c r="CG2020" s="73"/>
      <c r="CH2020" s="73"/>
    </row>
    <row r="2021">
      <c r="A2021" s="80"/>
      <c r="B2021" s="80"/>
      <c r="C2021" s="80"/>
      <c r="D2021" s="80"/>
      <c r="E2021" s="124"/>
      <c r="F2021" s="80"/>
      <c r="G2021" s="80"/>
      <c r="H2021" s="80"/>
      <c r="I2021" s="80"/>
      <c r="J2021" s="196"/>
      <c r="K2021" s="196"/>
      <c r="L2021" s="196"/>
      <c r="M2021" s="196"/>
      <c r="N2021" s="196"/>
      <c r="O2021" s="196"/>
      <c r="P2021" s="196"/>
      <c r="Q2021" s="196"/>
      <c r="R2021" s="196"/>
      <c r="S2021" s="196"/>
      <c r="T2021" s="196"/>
      <c r="U2021" s="196"/>
      <c r="V2021" s="196"/>
      <c r="W2021" s="196"/>
      <c r="X2021" s="196"/>
      <c r="Y2021" s="196"/>
      <c r="Z2021" s="196"/>
      <c r="AA2021" s="196"/>
      <c r="AB2021" s="196"/>
      <c r="AC2021" s="196"/>
      <c r="AD2021" s="196"/>
      <c r="AE2021" s="196"/>
      <c r="AF2021" s="196"/>
      <c r="AG2021" s="196"/>
      <c r="AH2021" s="196"/>
      <c r="AI2021" s="196"/>
      <c r="AJ2021" s="197"/>
      <c r="AK2021" s="80"/>
      <c r="AL2021" s="80"/>
      <c r="AM2021" s="73"/>
      <c r="AN2021" s="73"/>
      <c r="AO2021" s="73"/>
      <c r="AP2021" s="73"/>
      <c r="AQ2021" s="73"/>
      <c r="AR2021" s="73"/>
      <c r="AS2021" s="73"/>
      <c r="AT2021" s="73"/>
      <c r="AU2021" s="73"/>
      <c r="AV2021" s="73"/>
      <c r="AW2021" s="73"/>
      <c r="AX2021" s="73"/>
      <c r="AY2021" s="73"/>
      <c r="AZ2021" s="73"/>
      <c r="BA2021" s="73"/>
      <c r="BB2021" s="73"/>
      <c r="BC2021" s="73"/>
      <c r="BD2021" s="73"/>
      <c r="BE2021" s="73"/>
      <c r="BF2021" s="73"/>
      <c r="BG2021" s="73"/>
      <c r="BH2021" s="73"/>
      <c r="BI2021" s="73"/>
      <c r="BJ2021" s="73"/>
      <c r="BK2021" s="73"/>
      <c r="BL2021" s="73"/>
      <c r="BM2021" s="73"/>
      <c r="BN2021" s="73"/>
      <c r="BO2021" s="73"/>
      <c r="BP2021" s="73"/>
      <c r="BQ2021" s="73"/>
      <c r="BR2021" s="73"/>
      <c r="BS2021" s="73"/>
      <c r="BT2021" s="73"/>
      <c r="BU2021" s="73"/>
      <c r="BV2021" s="73"/>
      <c r="BW2021" s="73"/>
      <c r="BX2021" s="73"/>
      <c r="BY2021" s="73"/>
      <c r="BZ2021" s="73"/>
      <c r="CA2021" s="73"/>
      <c r="CB2021" s="73"/>
      <c r="CC2021" s="73"/>
      <c r="CD2021" s="73"/>
      <c r="CE2021" s="73"/>
      <c r="CF2021" s="73"/>
      <c r="CG2021" s="73"/>
      <c r="CH2021" s="73"/>
    </row>
    <row r="2022">
      <c r="A2022" s="80"/>
      <c r="B2022" s="80"/>
      <c r="C2022" s="80"/>
      <c r="D2022" s="80"/>
      <c r="E2022" s="124"/>
      <c r="F2022" s="80"/>
      <c r="G2022" s="80"/>
      <c r="H2022" s="80"/>
      <c r="I2022" s="80"/>
      <c r="J2022" s="196"/>
      <c r="K2022" s="196"/>
      <c r="L2022" s="196"/>
      <c r="M2022" s="196"/>
      <c r="N2022" s="196"/>
      <c r="O2022" s="196"/>
      <c r="P2022" s="196"/>
      <c r="Q2022" s="196"/>
      <c r="R2022" s="196"/>
      <c r="S2022" s="196"/>
      <c r="T2022" s="196"/>
      <c r="U2022" s="196"/>
      <c r="V2022" s="196"/>
      <c r="W2022" s="196"/>
      <c r="X2022" s="196"/>
      <c r="Y2022" s="196"/>
      <c r="Z2022" s="196"/>
      <c r="AA2022" s="196"/>
      <c r="AB2022" s="196"/>
      <c r="AC2022" s="196"/>
      <c r="AD2022" s="196"/>
      <c r="AE2022" s="196"/>
      <c r="AF2022" s="196"/>
      <c r="AG2022" s="196"/>
      <c r="AH2022" s="196"/>
      <c r="AI2022" s="196"/>
      <c r="AJ2022" s="197"/>
      <c r="AK2022" s="80"/>
      <c r="AL2022" s="80"/>
      <c r="AM2022" s="73"/>
      <c r="AN2022" s="73"/>
      <c r="AO2022" s="73"/>
      <c r="AP2022" s="73"/>
      <c r="AQ2022" s="73"/>
      <c r="AR2022" s="73"/>
      <c r="AS2022" s="73"/>
      <c r="AT2022" s="73"/>
      <c r="AU2022" s="73"/>
      <c r="AV2022" s="73"/>
      <c r="AW2022" s="73"/>
      <c r="AX2022" s="73"/>
      <c r="AY2022" s="73"/>
      <c r="AZ2022" s="73"/>
      <c r="BA2022" s="73"/>
      <c r="BB2022" s="73"/>
      <c r="BC2022" s="73"/>
      <c r="BD2022" s="73"/>
      <c r="BE2022" s="73"/>
      <c r="BF2022" s="73"/>
      <c r="BG2022" s="73"/>
      <c r="BH2022" s="73"/>
      <c r="BI2022" s="73"/>
      <c r="BJ2022" s="73"/>
      <c r="BK2022" s="73"/>
      <c r="BL2022" s="73"/>
      <c r="BM2022" s="73"/>
      <c r="BN2022" s="73"/>
      <c r="BO2022" s="73"/>
      <c r="BP2022" s="73"/>
      <c r="BQ2022" s="73"/>
      <c r="BR2022" s="73"/>
      <c r="BS2022" s="73"/>
      <c r="BT2022" s="73"/>
      <c r="BU2022" s="73"/>
      <c r="BV2022" s="73"/>
      <c r="BW2022" s="73"/>
      <c r="BX2022" s="73"/>
      <c r="BY2022" s="73"/>
      <c r="BZ2022" s="73"/>
      <c r="CA2022" s="73"/>
      <c r="CB2022" s="73"/>
      <c r="CC2022" s="73"/>
      <c r="CD2022" s="73"/>
      <c r="CE2022" s="73"/>
      <c r="CF2022" s="73"/>
      <c r="CG2022" s="73"/>
      <c r="CH2022" s="73"/>
    </row>
    <row r="2023">
      <c r="A2023" s="80"/>
      <c r="B2023" s="80"/>
      <c r="C2023" s="80"/>
      <c r="D2023" s="80"/>
      <c r="E2023" s="124"/>
      <c r="F2023" s="80"/>
      <c r="G2023" s="80"/>
      <c r="H2023" s="80"/>
      <c r="I2023" s="80"/>
      <c r="J2023" s="196"/>
      <c r="K2023" s="196"/>
      <c r="L2023" s="196"/>
      <c r="M2023" s="196"/>
      <c r="N2023" s="196"/>
      <c r="O2023" s="196"/>
      <c r="P2023" s="196"/>
      <c r="Q2023" s="196"/>
      <c r="R2023" s="196"/>
      <c r="S2023" s="196"/>
      <c r="T2023" s="196"/>
      <c r="U2023" s="196"/>
      <c r="V2023" s="196"/>
      <c r="W2023" s="196"/>
      <c r="X2023" s="196"/>
      <c r="Y2023" s="196"/>
      <c r="Z2023" s="196"/>
      <c r="AA2023" s="196"/>
      <c r="AB2023" s="196"/>
      <c r="AC2023" s="196"/>
      <c r="AD2023" s="196"/>
      <c r="AE2023" s="196"/>
      <c r="AF2023" s="196"/>
      <c r="AG2023" s="196"/>
      <c r="AH2023" s="196"/>
      <c r="AI2023" s="196"/>
      <c r="AJ2023" s="197"/>
      <c r="AK2023" s="80"/>
      <c r="AL2023" s="80"/>
      <c r="AM2023" s="73"/>
      <c r="AN2023" s="73"/>
      <c r="AO2023" s="73"/>
      <c r="AP2023" s="73"/>
      <c r="AQ2023" s="73"/>
      <c r="AR2023" s="73"/>
      <c r="AS2023" s="73"/>
      <c r="AT2023" s="73"/>
      <c r="AU2023" s="73"/>
      <c r="AV2023" s="73"/>
      <c r="AW2023" s="73"/>
      <c r="AX2023" s="73"/>
      <c r="AY2023" s="73"/>
      <c r="AZ2023" s="73"/>
      <c r="BA2023" s="73"/>
      <c r="BB2023" s="73"/>
      <c r="BC2023" s="73"/>
      <c r="BD2023" s="73"/>
      <c r="BE2023" s="73"/>
      <c r="BF2023" s="73"/>
      <c r="BG2023" s="73"/>
      <c r="BH2023" s="73"/>
      <c r="BI2023" s="73"/>
      <c r="BJ2023" s="73"/>
      <c r="BK2023" s="73"/>
      <c r="BL2023" s="73"/>
      <c r="BM2023" s="73"/>
      <c r="BN2023" s="73"/>
      <c r="BO2023" s="73"/>
      <c r="BP2023" s="73"/>
      <c r="BQ2023" s="73"/>
      <c r="BR2023" s="73"/>
      <c r="BS2023" s="73"/>
      <c r="BT2023" s="73"/>
      <c r="BU2023" s="73"/>
      <c r="BV2023" s="73"/>
      <c r="BW2023" s="73"/>
      <c r="BX2023" s="73"/>
      <c r="BY2023" s="73"/>
      <c r="BZ2023" s="73"/>
      <c r="CA2023" s="73"/>
      <c r="CB2023" s="73"/>
      <c r="CC2023" s="73"/>
      <c r="CD2023" s="73"/>
      <c r="CE2023" s="73"/>
      <c r="CF2023" s="73"/>
      <c r="CG2023" s="73"/>
      <c r="CH2023" s="73"/>
    </row>
    <row r="2024">
      <c r="A2024" s="80"/>
      <c r="B2024" s="80"/>
      <c r="C2024" s="80"/>
      <c r="D2024" s="80"/>
      <c r="E2024" s="124"/>
      <c r="F2024" s="80"/>
      <c r="G2024" s="80"/>
      <c r="H2024" s="80"/>
      <c r="I2024" s="80"/>
      <c r="J2024" s="196"/>
      <c r="K2024" s="196"/>
      <c r="L2024" s="196"/>
      <c r="M2024" s="196"/>
      <c r="N2024" s="196"/>
      <c r="O2024" s="196"/>
      <c r="P2024" s="196"/>
      <c r="Q2024" s="196"/>
      <c r="R2024" s="196"/>
      <c r="S2024" s="196"/>
      <c r="T2024" s="196"/>
      <c r="U2024" s="196"/>
      <c r="V2024" s="196"/>
      <c r="W2024" s="196"/>
      <c r="X2024" s="196"/>
      <c r="Y2024" s="196"/>
      <c r="Z2024" s="196"/>
      <c r="AA2024" s="196"/>
      <c r="AB2024" s="196"/>
      <c r="AC2024" s="196"/>
      <c r="AD2024" s="196"/>
      <c r="AE2024" s="196"/>
      <c r="AF2024" s="196"/>
      <c r="AG2024" s="196"/>
      <c r="AH2024" s="196"/>
      <c r="AI2024" s="196"/>
      <c r="AJ2024" s="197"/>
      <c r="AK2024" s="80"/>
      <c r="AL2024" s="80"/>
      <c r="AM2024" s="73"/>
      <c r="AN2024" s="73"/>
      <c r="AO2024" s="73"/>
      <c r="AP2024" s="73"/>
      <c r="AQ2024" s="73"/>
      <c r="AR2024" s="73"/>
      <c r="AS2024" s="73"/>
      <c r="AT2024" s="73"/>
      <c r="AU2024" s="73"/>
      <c r="AV2024" s="73"/>
      <c r="AW2024" s="73"/>
      <c r="AX2024" s="73"/>
      <c r="AY2024" s="73"/>
      <c r="AZ2024" s="73"/>
      <c r="BA2024" s="73"/>
      <c r="BB2024" s="73"/>
      <c r="BC2024" s="73"/>
      <c r="BD2024" s="73"/>
      <c r="BE2024" s="73"/>
      <c r="BF2024" s="73"/>
      <c r="BG2024" s="73"/>
      <c r="BH2024" s="73"/>
      <c r="BI2024" s="73"/>
      <c r="BJ2024" s="73"/>
      <c r="BK2024" s="73"/>
      <c r="BL2024" s="73"/>
      <c r="BM2024" s="73"/>
      <c r="BN2024" s="73"/>
      <c r="BO2024" s="73"/>
      <c r="BP2024" s="73"/>
      <c r="BQ2024" s="73"/>
      <c r="BR2024" s="73"/>
      <c r="BS2024" s="73"/>
      <c r="BT2024" s="73"/>
      <c r="BU2024" s="73"/>
      <c r="BV2024" s="73"/>
      <c r="BW2024" s="73"/>
      <c r="BX2024" s="73"/>
      <c r="BY2024" s="73"/>
      <c r="BZ2024" s="73"/>
      <c r="CA2024" s="73"/>
      <c r="CB2024" s="73"/>
      <c r="CC2024" s="73"/>
      <c r="CD2024" s="73"/>
      <c r="CE2024" s="73"/>
      <c r="CF2024" s="73"/>
      <c r="CG2024" s="73"/>
      <c r="CH2024" s="73"/>
    </row>
    <row r="2025">
      <c r="A2025" s="80"/>
      <c r="B2025" s="80"/>
      <c r="C2025" s="80"/>
      <c r="D2025" s="80"/>
      <c r="E2025" s="124"/>
      <c r="F2025" s="80"/>
      <c r="G2025" s="80"/>
      <c r="H2025" s="80"/>
      <c r="I2025" s="80"/>
      <c r="J2025" s="196"/>
      <c r="K2025" s="196"/>
      <c r="L2025" s="196"/>
      <c r="M2025" s="196"/>
      <c r="N2025" s="196"/>
      <c r="O2025" s="196"/>
      <c r="P2025" s="196"/>
      <c r="Q2025" s="196"/>
      <c r="R2025" s="196"/>
      <c r="S2025" s="196"/>
      <c r="T2025" s="196"/>
      <c r="U2025" s="196"/>
      <c r="V2025" s="196"/>
      <c r="W2025" s="196"/>
      <c r="X2025" s="196"/>
      <c r="Y2025" s="196"/>
      <c r="Z2025" s="196"/>
      <c r="AA2025" s="196"/>
      <c r="AB2025" s="196"/>
      <c r="AC2025" s="196"/>
      <c r="AD2025" s="196"/>
      <c r="AE2025" s="196"/>
      <c r="AF2025" s="196"/>
      <c r="AG2025" s="196"/>
      <c r="AH2025" s="196"/>
      <c r="AI2025" s="196"/>
      <c r="AJ2025" s="197"/>
      <c r="AK2025" s="80"/>
      <c r="AL2025" s="80"/>
      <c r="AM2025" s="73"/>
      <c r="AN2025" s="73"/>
      <c r="AO2025" s="73"/>
      <c r="AP2025" s="73"/>
      <c r="AQ2025" s="73"/>
      <c r="AR2025" s="73"/>
      <c r="AS2025" s="73"/>
      <c r="AT2025" s="73"/>
      <c r="AU2025" s="73"/>
      <c r="AV2025" s="73"/>
      <c r="AW2025" s="73"/>
      <c r="AX2025" s="73"/>
      <c r="AY2025" s="73"/>
      <c r="AZ2025" s="73"/>
      <c r="BA2025" s="73"/>
      <c r="BB2025" s="73"/>
      <c r="BC2025" s="73"/>
      <c r="BD2025" s="73"/>
      <c r="BE2025" s="73"/>
      <c r="BF2025" s="73"/>
      <c r="BG2025" s="73"/>
      <c r="BH2025" s="73"/>
      <c r="BI2025" s="73"/>
      <c r="BJ2025" s="73"/>
      <c r="BK2025" s="73"/>
      <c r="BL2025" s="73"/>
      <c r="BM2025" s="73"/>
      <c r="BN2025" s="73"/>
      <c r="BO2025" s="73"/>
      <c r="BP2025" s="73"/>
      <c r="BQ2025" s="73"/>
      <c r="BR2025" s="73"/>
      <c r="BS2025" s="73"/>
      <c r="BT2025" s="73"/>
      <c r="BU2025" s="73"/>
      <c r="BV2025" s="73"/>
      <c r="BW2025" s="73"/>
      <c r="BX2025" s="73"/>
      <c r="BY2025" s="73"/>
      <c r="BZ2025" s="73"/>
      <c r="CA2025" s="73"/>
      <c r="CB2025" s="73"/>
      <c r="CC2025" s="73"/>
      <c r="CD2025" s="73"/>
      <c r="CE2025" s="73"/>
      <c r="CF2025" s="73"/>
      <c r="CG2025" s="73"/>
      <c r="CH2025" s="73"/>
    </row>
    <row r="2026">
      <c r="A2026" s="80"/>
      <c r="B2026" s="80"/>
      <c r="C2026" s="80"/>
      <c r="D2026" s="80"/>
      <c r="E2026" s="124"/>
      <c r="F2026" s="80"/>
      <c r="G2026" s="80"/>
      <c r="H2026" s="80"/>
      <c r="I2026" s="80"/>
      <c r="J2026" s="196"/>
      <c r="K2026" s="196"/>
      <c r="L2026" s="196"/>
      <c r="M2026" s="196"/>
      <c r="N2026" s="196"/>
      <c r="O2026" s="196"/>
      <c r="P2026" s="196"/>
      <c r="Q2026" s="196"/>
      <c r="R2026" s="196"/>
      <c r="S2026" s="196"/>
      <c r="T2026" s="196"/>
      <c r="U2026" s="196"/>
      <c r="V2026" s="196"/>
      <c r="W2026" s="196"/>
      <c r="X2026" s="196"/>
      <c r="Y2026" s="196"/>
      <c r="Z2026" s="196"/>
      <c r="AA2026" s="196"/>
      <c r="AB2026" s="196"/>
      <c r="AC2026" s="196"/>
      <c r="AD2026" s="196"/>
      <c r="AE2026" s="196"/>
      <c r="AF2026" s="196"/>
      <c r="AG2026" s="196"/>
      <c r="AH2026" s="196"/>
      <c r="AI2026" s="196"/>
      <c r="AJ2026" s="197"/>
      <c r="AK2026" s="80"/>
      <c r="AL2026" s="80"/>
      <c r="AM2026" s="73"/>
      <c r="AN2026" s="73"/>
      <c r="AO2026" s="73"/>
      <c r="AP2026" s="73"/>
      <c r="AQ2026" s="73"/>
      <c r="AR2026" s="73"/>
      <c r="AS2026" s="73"/>
      <c r="AT2026" s="73"/>
      <c r="AU2026" s="73"/>
      <c r="AV2026" s="73"/>
      <c r="AW2026" s="73"/>
      <c r="AX2026" s="73"/>
      <c r="AY2026" s="73"/>
      <c r="AZ2026" s="73"/>
      <c r="BA2026" s="73"/>
      <c r="BB2026" s="73"/>
      <c r="BC2026" s="73"/>
      <c r="BD2026" s="73"/>
      <c r="BE2026" s="73"/>
      <c r="BF2026" s="73"/>
      <c r="BG2026" s="73"/>
      <c r="BH2026" s="73"/>
      <c r="BI2026" s="73"/>
      <c r="BJ2026" s="73"/>
      <c r="BK2026" s="73"/>
      <c r="BL2026" s="73"/>
      <c r="BM2026" s="73"/>
      <c r="BN2026" s="73"/>
      <c r="BO2026" s="73"/>
      <c r="BP2026" s="73"/>
      <c r="BQ2026" s="73"/>
      <c r="BR2026" s="73"/>
      <c r="BS2026" s="73"/>
      <c r="BT2026" s="73"/>
      <c r="BU2026" s="73"/>
      <c r="BV2026" s="73"/>
      <c r="BW2026" s="73"/>
      <c r="BX2026" s="73"/>
      <c r="BY2026" s="73"/>
      <c r="BZ2026" s="73"/>
      <c r="CA2026" s="73"/>
      <c r="CB2026" s="73"/>
      <c r="CC2026" s="73"/>
      <c r="CD2026" s="73"/>
      <c r="CE2026" s="73"/>
      <c r="CF2026" s="73"/>
      <c r="CG2026" s="73"/>
      <c r="CH2026" s="73"/>
    </row>
    <row r="2027">
      <c r="A2027" s="80"/>
      <c r="B2027" s="80"/>
      <c r="C2027" s="80"/>
      <c r="D2027" s="80"/>
      <c r="E2027" s="124"/>
      <c r="F2027" s="80"/>
      <c r="G2027" s="80"/>
      <c r="H2027" s="80"/>
      <c r="I2027" s="80"/>
      <c r="J2027" s="196"/>
      <c r="K2027" s="196"/>
      <c r="L2027" s="196"/>
      <c r="M2027" s="196"/>
      <c r="N2027" s="196"/>
      <c r="O2027" s="196"/>
      <c r="P2027" s="196"/>
      <c r="Q2027" s="196"/>
      <c r="R2027" s="196"/>
      <c r="S2027" s="196"/>
      <c r="T2027" s="196"/>
      <c r="U2027" s="196"/>
      <c r="V2027" s="196"/>
      <c r="W2027" s="196"/>
      <c r="X2027" s="196"/>
      <c r="Y2027" s="196"/>
      <c r="Z2027" s="196"/>
      <c r="AA2027" s="196"/>
      <c r="AB2027" s="196"/>
      <c r="AC2027" s="196"/>
      <c r="AD2027" s="196"/>
      <c r="AE2027" s="196"/>
      <c r="AF2027" s="196"/>
      <c r="AG2027" s="196"/>
      <c r="AH2027" s="196"/>
      <c r="AI2027" s="196"/>
      <c r="AJ2027" s="197"/>
      <c r="AK2027" s="80"/>
      <c r="AL2027" s="80"/>
      <c r="AM2027" s="73"/>
      <c r="AN2027" s="73"/>
      <c r="AO2027" s="73"/>
      <c r="AP2027" s="73"/>
      <c r="AQ2027" s="73"/>
      <c r="AR2027" s="73"/>
      <c r="AS2027" s="73"/>
      <c r="AT2027" s="73"/>
      <c r="AU2027" s="73"/>
      <c r="AV2027" s="73"/>
      <c r="AW2027" s="73"/>
      <c r="AX2027" s="73"/>
      <c r="AY2027" s="73"/>
      <c r="AZ2027" s="73"/>
      <c r="BA2027" s="73"/>
      <c r="BB2027" s="73"/>
      <c r="BC2027" s="73"/>
      <c r="BD2027" s="73"/>
      <c r="BE2027" s="73"/>
      <c r="BF2027" s="73"/>
      <c r="BG2027" s="73"/>
      <c r="BH2027" s="73"/>
      <c r="BI2027" s="73"/>
      <c r="BJ2027" s="73"/>
      <c r="BK2027" s="73"/>
      <c r="BL2027" s="73"/>
      <c r="BM2027" s="73"/>
      <c r="BN2027" s="73"/>
      <c r="BO2027" s="73"/>
      <c r="BP2027" s="73"/>
      <c r="BQ2027" s="73"/>
      <c r="BR2027" s="73"/>
      <c r="BS2027" s="73"/>
      <c r="BT2027" s="73"/>
      <c r="BU2027" s="73"/>
      <c r="BV2027" s="73"/>
      <c r="BW2027" s="73"/>
      <c r="BX2027" s="73"/>
      <c r="BY2027" s="73"/>
      <c r="BZ2027" s="73"/>
      <c r="CA2027" s="73"/>
      <c r="CB2027" s="73"/>
      <c r="CC2027" s="73"/>
      <c r="CD2027" s="73"/>
      <c r="CE2027" s="73"/>
      <c r="CF2027" s="73"/>
      <c r="CG2027" s="73"/>
      <c r="CH2027" s="73"/>
    </row>
    <row r="2028">
      <c r="A2028" s="80"/>
      <c r="B2028" s="80"/>
      <c r="C2028" s="80"/>
      <c r="D2028" s="80"/>
      <c r="E2028" s="124"/>
      <c r="F2028" s="80"/>
      <c r="G2028" s="80"/>
      <c r="H2028" s="80"/>
      <c r="I2028" s="80"/>
      <c r="J2028" s="196"/>
      <c r="K2028" s="196"/>
      <c r="L2028" s="196"/>
      <c r="M2028" s="196"/>
      <c r="N2028" s="196"/>
      <c r="O2028" s="196"/>
      <c r="P2028" s="196"/>
      <c r="Q2028" s="196"/>
      <c r="R2028" s="196"/>
      <c r="S2028" s="196"/>
      <c r="T2028" s="196"/>
      <c r="U2028" s="196"/>
      <c r="V2028" s="196"/>
      <c r="W2028" s="196"/>
      <c r="X2028" s="196"/>
      <c r="Y2028" s="196"/>
      <c r="Z2028" s="196"/>
      <c r="AA2028" s="196"/>
      <c r="AB2028" s="196"/>
      <c r="AC2028" s="196"/>
      <c r="AD2028" s="196"/>
      <c r="AE2028" s="196"/>
      <c r="AF2028" s="196"/>
      <c r="AG2028" s="196"/>
      <c r="AH2028" s="196"/>
      <c r="AI2028" s="196"/>
      <c r="AJ2028" s="197"/>
      <c r="AK2028" s="80"/>
      <c r="AL2028" s="80"/>
      <c r="AM2028" s="73"/>
      <c r="AN2028" s="73"/>
      <c r="AO2028" s="73"/>
      <c r="AP2028" s="73"/>
      <c r="AQ2028" s="73"/>
      <c r="AR2028" s="73"/>
      <c r="AS2028" s="73"/>
      <c r="AT2028" s="73"/>
      <c r="AU2028" s="73"/>
      <c r="AV2028" s="73"/>
      <c r="AW2028" s="73"/>
      <c r="AX2028" s="73"/>
      <c r="AY2028" s="73"/>
      <c r="AZ2028" s="73"/>
      <c r="BA2028" s="73"/>
      <c r="BB2028" s="73"/>
      <c r="BC2028" s="73"/>
      <c r="BD2028" s="73"/>
      <c r="BE2028" s="73"/>
      <c r="BF2028" s="73"/>
      <c r="BG2028" s="73"/>
      <c r="BH2028" s="73"/>
      <c r="BI2028" s="73"/>
      <c r="BJ2028" s="73"/>
      <c r="BK2028" s="73"/>
      <c r="BL2028" s="73"/>
      <c r="BM2028" s="73"/>
      <c r="BN2028" s="73"/>
      <c r="BO2028" s="73"/>
      <c r="BP2028" s="73"/>
      <c r="BQ2028" s="73"/>
      <c r="BR2028" s="73"/>
      <c r="BS2028" s="73"/>
      <c r="BT2028" s="73"/>
      <c r="BU2028" s="73"/>
      <c r="BV2028" s="73"/>
      <c r="BW2028" s="73"/>
      <c r="BX2028" s="73"/>
      <c r="BY2028" s="73"/>
      <c r="BZ2028" s="73"/>
      <c r="CA2028" s="73"/>
      <c r="CB2028" s="73"/>
      <c r="CC2028" s="73"/>
      <c r="CD2028" s="73"/>
      <c r="CE2028" s="73"/>
      <c r="CF2028" s="73"/>
      <c r="CG2028" s="73"/>
      <c r="CH2028" s="73"/>
    </row>
    <row r="2029">
      <c r="A2029" s="80"/>
      <c r="B2029" s="80"/>
      <c r="C2029" s="80"/>
      <c r="D2029" s="80"/>
      <c r="E2029" s="124"/>
      <c r="F2029" s="80"/>
      <c r="G2029" s="80"/>
      <c r="H2029" s="80"/>
      <c r="I2029" s="80"/>
      <c r="J2029" s="196"/>
      <c r="K2029" s="196"/>
      <c r="L2029" s="196"/>
      <c r="M2029" s="196"/>
      <c r="N2029" s="196"/>
      <c r="O2029" s="196"/>
      <c r="P2029" s="196"/>
      <c r="Q2029" s="196"/>
      <c r="R2029" s="196"/>
      <c r="S2029" s="196"/>
      <c r="T2029" s="196"/>
      <c r="U2029" s="196"/>
      <c r="V2029" s="196"/>
      <c r="W2029" s="196"/>
      <c r="X2029" s="196"/>
      <c r="Y2029" s="196"/>
      <c r="Z2029" s="196"/>
      <c r="AA2029" s="196"/>
      <c r="AB2029" s="196"/>
      <c r="AC2029" s="196"/>
      <c r="AD2029" s="196"/>
      <c r="AE2029" s="196"/>
      <c r="AF2029" s="196"/>
      <c r="AG2029" s="196"/>
      <c r="AH2029" s="196"/>
      <c r="AI2029" s="196"/>
      <c r="AJ2029" s="197"/>
      <c r="AK2029" s="80"/>
      <c r="AL2029" s="80"/>
      <c r="AM2029" s="73"/>
      <c r="AN2029" s="73"/>
      <c r="AO2029" s="73"/>
      <c r="AP2029" s="73"/>
      <c r="AQ2029" s="73"/>
      <c r="AR2029" s="73"/>
      <c r="AS2029" s="73"/>
      <c r="AT2029" s="73"/>
      <c r="AU2029" s="73"/>
      <c r="AV2029" s="73"/>
      <c r="AW2029" s="73"/>
      <c r="AX2029" s="73"/>
      <c r="AY2029" s="73"/>
      <c r="AZ2029" s="73"/>
      <c r="BA2029" s="73"/>
      <c r="BB2029" s="73"/>
      <c r="BC2029" s="73"/>
      <c r="BD2029" s="73"/>
      <c r="BE2029" s="73"/>
      <c r="BF2029" s="73"/>
      <c r="BG2029" s="73"/>
      <c r="BH2029" s="73"/>
      <c r="BI2029" s="73"/>
      <c r="BJ2029" s="73"/>
      <c r="BK2029" s="73"/>
      <c r="BL2029" s="73"/>
      <c r="BM2029" s="73"/>
      <c r="BN2029" s="73"/>
      <c r="BO2029" s="73"/>
      <c r="BP2029" s="73"/>
      <c r="BQ2029" s="73"/>
      <c r="BR2029" s="73"/>
      <c r="BS2029" s="73"/>
      <c r="BT2029" s="73"/>
      <c r="BU2029" s="73"/>
      <c r="BV2029" s="73"/>
      <c r="BW2029" s="73"/>
      <c r="BX2029" s="73"/>
      <c r="BY2029" s="73"/>
      <c r="BZ2029" s="73"/>
      <c r="CA2029" s="73"/>
      <c r="CB2029" s="73"/>
      <c r="CC2029" s="73"/>
      <c r="CD2029" s="73"/>
      <c r="CE2029" s="73"/>
      <c r="CF2029" s="73"/>
      <c r="CG2029" s="73"/>
      <c r="CH2029" s="73"/>
    </row>
    <row r="2030">
      <c r="A2030" s="80"/>
      <c r="B2030" s="80"/>
      <c r="C2030" s="80"/>
      <c r="D2030" s="80"/>
      <c r="E2030" s="124"/>
      <c r="F2030" s="80"/>
      <c r="G2030" s="80"/>
      <c r="H2030" s="80"/>
      <c r="I2030" s="80"/>
      <c r="J2030" s="196"/>
      <c r="K2030" s="196"/>
      <c r="L2030" s="196"/>
      <c r="M2030" s="196"/>
      <c r="N2030" s="196"/>
      <c r="O2030" s="196"/>
      <c r="P2030" s="196"/>
      <c r="Q2030" s="196"/>
      <c r="R2030" s="196"/>
      <c r="S2030" s="196"/>
      <c r="T2030" s="196"/>
      <c r="U2030" s="196"/>
      <c r="V2030" s="196"/>
      <c r="W2030" s="196"/>
      <c r="X2030" s="196"/>
      <c r="Y2030" s="196"/>
      <c r="Z2030" s="196"/>
      <c r="AA2030" s="196"/>
      <c r="AB2030" s="196"/>
      <c r="AC2030" s="196"/>
      <c r="AD2030" s="196"/>
      <c r="AE2030" s="196"/>
      <c r="AF2030" s="196"/>
      <c r="AG2030" s="196"/>
      <c r="AH2030" s="196"/>
      <c r="AI2030" s="196"/>
      <c r="AJ2030" s="197"/>
      <c r="AK2030" s="80"/>
      <c r="AL2030" s="80"/>
      <c r="AM2030" s="73"/>
      <c r="AN2030" s="73"/>
      <c r="AO2030" s="73"/>
      <c r="AP2030" s="73"/>
      <c r="AQ2030" s="73"/>
      <c r="AR2030" s="73"/>
      <c r="AS2030" s="73"/>
      <c r="AT2030" s="73"/>
      <c r="AU2030" s="73"/>
      <c r="AV2030" s="73"/>
      <c r="AW2030" s="73"/>
      <c r="AX2030" s="73"/>
      <c r="AY2030" s="73"/>
      <c r="AZ2030" s="73"/>
      <c r="BA2030" s="73"/>
      <c r="BB2030" s="73"/>
      <c r="BC2030" s="73"/>
      <c r="BD2030" s="73"/>
      <c r="BE2030" s="73"/>
      <c r="BF2030" s="73"/>
      <c r="BG2030" s="73"/>
      <c r="BH2030" s="73"/>
      <c r="BI2030" s="73"/>
      <c r="BJ2030" s="73"/>
      <c r="BK2030" s="73"/>
      <c r="BL2030" s="73"/>
      <c r="BM2030" s="73"/>
      <c r="BN2030" s="73"/>
      <c r="BO2030" s="73"/>
      <c r="BP2030" s="73"/>
      <c r="BQ2030" s="73"/>
      <c r="BR2030" s="73"/>
      <c r="BS2030" s="73"/>
      <c r="BT2030" s="73"/>
      <c r="BU2030" s="73"/>
      <c r="BV2030" s="73"/>
      <c r="BW2030" s="73"/>
      <c r="BX2030" s="73"/>
      <c r="BY2030" s="73"/>
      <c r="BZ2030" s="73"/>
      <c r="CA2030" s="73"/>
      <c r="CB2030" s="73"/>
      <c r="CC2030" s="73"/>
      <c r="CD2030" s="73"/>
      <c r="CE2030" s="73"/>
      <c r="CF2030" s="73"/>
      <c r="CG2030" s="73"/>
      <c r="CH2030" s="73"/>
    </row>
    <row r="2031">
      <c r="A2031" s="80"/>
      <c r="B2031" s="80"/>
      <c r="C2031" s="80"/>
      <c r="D2031" s="80"/>
      <c r="E2031" s="124"/>
      <c r="F2031" s="80"/>
      <c r="G2031" s="80"/>
      <c r="H2031" s="80"/>
      <c r="I2031" s="80"/>
      <c r="J2031" s="196"/>
      <c r="K2031" s="196"/>
      <c r="L2031" s="196"/>
      <c r="M2031" s="196"/>
      <c r="N2031" s="196"/>
      <c r="O2031" s="196"/>
      <c r="P2031" s="196"/>
      <c r="Q2031" s="196"/>
      <c r="R2031" s="196"/>
      <c r="S2031" s="196"/>
      <c r="T2031" s="196"/>
      <c r="U2031" s="196"/>
      <c r="V2031" s="196"/>
      <c r="W2031" s="196"/>
      <c r="X2031" s="196"/>
      <c r="Y2031" s="196"/>
      <c r="Z2031" s="196"/>
      <c r="AA2031" s="196"/>
      <c r="AB2031" s="196"/>
      <c r="AC2031" s="196"/>
      <c r="AD2031" s="196"/>
      <c r="AE2031" s="196"/>
      <c r="AF2031" s="196"/>
      <c r="AG2031" s="196"/>
      <c r="AH2031" s="196"/>
      <c r="AI2031" s="196"/>
      <c r="AJ2031" s="197"/>
      <c r="AK2031" s="80"/>
      <c r="AL2031" s="80"/>
      <c r="AM2031" s="73"/>
      <c r="AN2031" s="73"/>
      <c r="AO2031" s="73"/>
      <c r="AP2031" s="73"/>
      <c r="AQ2031" s="73"/>
      <c r="AR2031" s="73"/>
      <c r="AS2031" s="73"/>
      <c r="AT2031" s="73"/>
      <c r="AU2031" s="73"/>
      <c r="AV2031" s="73"/>
      <c r="AW2031" s="73"/>
      <c r="AX2031" s="73"/>
      <c r="AY2031" s="73"/>
      <c r="AZ2031" s="73"/>
      <c r="BA2031" s="73"/>
      <c r="BB2031" s="73"/>
      <c r="BC2031" s="73"/>
      <c r="BD2031" s="73"/>
      <c r="BE2031" s="73"/>
      <c r="BF2031" s="73"/>
      <c r="BG2031" s="73"/>
      <c r="BH2031" s="73"/>
      <c r="BI2031" s="73"/>
      <c r="BJ2031" s="73"/>
      <c r="BK2031" s="73"/>
      <c r="BL2031" s="73"/>
      <c r="BM2031" s="73"/>
      <c r="BN2031" s="73"/>
      <c r="BO2031" s="73"/>
      <c r="BP2031" s="73"/>
      <c r="BQ2031" s="73"/>
      <c r="BR2031" s="73"/>
      <c r="BS2031" s="73"/>
      <c r="BT2031" s="73"/>
      <c r="BU2031" s="73"/>
      <c r="BV2031" s="73"/>
      <c r="BW2031" s="73"/>
      <c r="BX2031" s="73"/>
      <c r="BY2031" s="73"/>
      <c r="BZ2031" s="73"/>
      <c r="CA2031" s="73"/>
      <c r="CB2031" s="73"/>
      <c r="CC2031" s="73"/>
      <c r="CD2031" s="73"/>
      <c r="CE2031" s="73"/>
      <c r="CF2031" s="73"/>
      <c r="CG2031" s="73"/>
      <c r="CH2031" s="73"/>
    </row>
    <row r="2032">
      <c r="A2032" s="80"/>
      <c r="B2032" s="80"/>
      <c r="C2032" s="80"/>
      <c r="D2032" s="80"/>
      <c r="E2032" s="124"/>
      <c r="F2032" s="80"/>
      <c r="G2032" s="80"/>
      <c r="H2032" s="80"/>
      <c r="I2032" s="80"/>
      <c r="J2032" s="196"/>
      <c r="K2032" s="196"/>
      <c r="L2032" s="196"/>
      <c r="M2032" s="196"/>
      <c r="N2032" s="196"/>
      <c r="O2032" s="196"/>
      <c r="P2032" s="196"/>
      <c r="Q2032" s="196"/>
      <c r="R2032" s="196"/>
      <c r="S2032" s="196"/>
      <c r="T2032" s="196"/>
      <c r="U2032" s="196"/>
      <c r="V2032" s="196"/>
      <c r="W2032" s="196"/>
      <c r="X2032" s="196"/>
      <c r="Y2032" s="196"/>
      <c r="Z2032" s="196"/>
      <c r="AA2032" s="196"/>
      <c r="AB2032" s="196"/>
      <c r="AC2032" s="196"/>
      <c r="AD2032" s="196"/>
      <c r="AE2032" s="196"/>
      <c r="AF2032" s="196"/>
      <c r="AG2032" s="196"/>
      <c r="AH2032" s="196"/>
      <c r="AI2032" s="196"/>
      <c r="AJ2032" s="197"/>
      <c r="AK2032" s="80"/>
      <c r="AL2032" s="80"/>
      <c r="AM2032" s="73"/>
      <c r="AN2032" s="73"/>
      <c r="AO2032" s="73"/>
      <c r="AP2032" s="73"/>
      <c r="AQ2032" s="73"/>
      <c r="AR2032" s="73"/>
      <c r="AS2032" s="73"/>
      <c r="AT2032" s="73"/>
      <c r="AU2032" s="73"/>
      <c r="AV2032" s="73"/>
      <c r="AW2032" s="73"/>
      <c r="AX2032" s="73"/>
      <c r="AY2032" s="73"/>
      <c r="AZ2032" s="73"/>
      <c r="BA2032" s="73"/>
      <c r="BB2032" s="73"/>
      <c r="BC2032" s="73"/>
      <c r="BD2032" s="73"/>
      <c r="BE2032" s="73"/>
      <c r="BF2032" s="73"/>
      <c r="BG2032" s="73"/>
      <c r="BH2032" s="73"/>
      <c r="BI2032" s="73"/>
      <c r="BJ2032" s="73"/>
      <c r="BK2032" s="73"/>
      <c r="BL2032" s="73"/>
      <c r="BM2032" s="73"/>
      <c r="BN2032" s="73"/>
      <c r="BO2032" s="73"/>
      <c r="BP2032" s="73"/>
      <c r="BQ2032" s="73"/>
      <c r="BR2032" s="73"/>
      <c r="BS2032" s="73"/>
      <c r="BT2032" s="73"/>
      <c r="BU2032" s="73"/>
      <c r="BV2032" s="73"/>
      <c r="BW2032" s="73"/>
      <c r="BX2032" s="73"/>
      <c r="BY2032" s="73"/>
      <c r="BZ2032" s="73"/>
      <c r="CA2032" s="73"/>
      <c r="CB2032" s="73"/>
      <c r="CC2032" s="73"/>
      <c r="CD2032" s="73"/>
      <c r="CE2032" s="73"/>
      <c r="CF2032" s="73"/>
      <c r="CG2032" s="73"/>
      <c r="CH2032" s="73"/>
    </row>
    <row r="2033">
      <c r="A2033" s="80"/>
      <c r="B2033" s="80"/>
      <c r="C2033" s="80"/>
      <c r="D2033" s="80"/>
      <c r="E2033" s="124"/>
      <c r="F2033" s="80"/>
      <c r="G2033" s="80"/>
      <c r="H2033" s="80"/>
      <c r="I2033" s="80"/>
      <c r="J2033" s="196"/>
      <c r="K2033" s="196"/>
      <c r="L2033" s="196"/>
      <c r="M2033" s="196"/>
      <c r="N2033" s="196"/>
      <c r="O2033" s="196"/>
      <c r="P2033" s="196"/>
      <c r="Q2033" s="196"/>
      <c r="R2033" s="196"/>
      <c r="S2033" s="196"/>
      <c r="T2033" s="196"/>
      <c r="U2033" s="196"/>
      <c r="V2033" s="196"/>
      <c r="W2033" s="196"/>
      <c r="X2033" s="196"/>
      <c r="Y2033" s="196"/>
      <c r="Z2033" s="196"/>
      <c r="AA2033" s="196"/>
      <c r="AB2033" s="196"/>
      <c r="AC2033" s="196"/>
      <c r="AD2033" s="196"/>
      <c r="AE2033" s="196"/>
      <c r="AF2033" s="196"/>
      <c r="AG2033" s="196"/>
      <c r="AH2033" s="196"/>
      <c r="AI2033" s="196"/>
      <c r="AJ2033" s="197"/>
      <c r="AK2033" s="80"/>
      <c r="AL2033" s="80"/>
      <c r="AM2033" s="73"/>
      <c r="AN2033" s="73"/>
      <c r="AO2033" s="73"/>
      <c r="AP2033" s="73"/>
      <c r="AQ2033" s="73"/>
      <c r="AR2033" s="73"/>
      <c r="AS2033" s="73"/>
      <c r="AT2033" s="73"/>
      <c r="AU2033" s="73"/>
      <c r="AV2033" s="73"/>
      <c r="AW2033" s="73"/>
      <c r="AX2033" s="73"/>
      <c r="AY2033" s="73"/>
      <c r="AZ2033" s="73"/>
      <c r="BA2033" s="73"/>
      <c r="BB2033" s="73"/>
      <c r="BC2033" s="73"/>
      <c r="BD2033" s="73"/>
      <c r="BE2033" s="73"/>
      <c r="BF2033" s="73"/>
      <c r="BG2033" s="73"/>
      <c r="BH2033" s="73"/>
      <c r="BI2033" s="73"/>
      <c r="BJ2033" s="73"/>
      <c r="BK2033" s="73"/>
      <c r="BL2033" s="73"/>
      <c r="BM2033" s="73"/>
      <c r="BN2033" s="73"/>
      <c r="BO2033" s="73"/>
      <c r="BP2033" s="73"/>
      <c r="BQ2033" s="73"/>
      <c r="BR2033" s="73"/>
      <c r="BS2033" s="73"/>
      <c r="BT2033" s="73"/>
      <c r="BU2033" s="73"/>
      <c r="BV2033" s="73"/>
      <c r="BW2033" s="73"/>
      <c r="BX2033" s="73"/>
      <c r="BY2033" s="73"/>
      <c r="BZ2033" s="73"/>
      <c r="CA2033" s="73"/>
      <c r="CB2033" s="73"/>
      <c r="CC2033" s="73"/>
      <c r="CD2033" s="73"/>
      <c r="CE2033" s="73"/>
      <c r="CF2033" s="73"/>
      <c r="CG2033" s="73"/>
      <c r="CH2033" s="73"/>
    </row>
    <row r="2034">
      <c r="A2034" s="80"/>
      <c r="B2034" s="80"/>
      <c r="C2034" s="80"/>
      <c r="D2034" s="80"/>
      <c r="E2034" s="124"/>
      <c r="F2034" s="80"/>
      <c r="G2034" s="80"/>
      <c r="H2034" s="80"/>
      <c r="I2034" s="80"/>
      <c r="J2034" s="196"/>
      <c r="K2034" s="196"/>
      <c r="L2034" s="196"/>
      <c r="M2034" s="196"/>
      <c r="N2034" s="196"/>
      <c r="O2034" s="196"/>
      <c r="P2034" s="196"/>
      <c r="Q2034" s="196"/>
      <c r="R2034" s="196"/>
      <c r="S2034" s="196"/>
      <c r="T2034" s="196"/>
      <c r="U2034" s="196"/>
      <c r="V2034" s="196"/>
      <c r="W2034" s="196"/>
      <c r="X2034" s="196"/>
      <c r="Y2034" s="196"/>
      <c r="Z2034" s="196"/>
      <c r="AA2034" s="196"/>
      <c r="AB2034" s="196"/>
      <c r="AC2034" s="196"/>
      <c r="AD2034" s="196"/>
      <c r="AE2034" s="196"/>
      <c r="AF2034" s="196"/>
      <c r="AG2034" s="196"/>
      <c r="AH2034" s="196"/>
      <c r="AI2034" s="196"/>
      <c r="AJ2034" s="197"/>
      <c r="AK2034" s="80"/>
      <c r="AL2034" s="80"/>
      <c r="AM2034" s="73"/>
      <c r="AN2034" s="73"/>
      <c r="AO2034" s="73"/>
      <c r="AP2034" s="73"/>
      <c r="AQ2034" s="73"/>
      <c r="AR2034" s="73"/>
      <c r="AS2034" s="73"/>
      <c r="AT2034" s="73"/>
      <c r="AU2034" s="73"/>
      <c r="AV2034" s="73"/>
      <c r="AW2034" s="73"/>
      <c r="AX2034" s="73"/>
      <c r="AY2034" s="73"/>
      <c r="AZ2034" s="73"/>
      <c r="BA2034" s="73"/>
      <c r="BB2034" s="73"/>
      <c r="BC2034" s="73"/>
      <c r="BD2034" s="73"/>
      <c r="BE2034" s="73"/>
      <c r="BF2034" s="73"/>
      <c r="BG2034" s="73"/>
      <c r="BH2034" s="73"/>
      <c r="BI2034" s="73"/>
      <c r="BJ2034" s="73"/>
      <c r="BK2034" s="73"/>
      <c r="BL2034" s="73"/>
      <c r="BM2034" s="73"/>
      <c r="BN2034" s="73"/>
      <c r="BO2034" s="73"/>
      <c r="BP2034" s="73"/>
      <c r="BQ2034" s="73"/>
      <c r="BR2034" s="73"/>
      <c r="BS2034" s="73"/>
      <c r="BT2034" s="73"/>
      <c r="BU2034" s="73"/>
      <c r="BV2034" s="73"/>
      <c r="BW2034" s="73"/>
      <c r="BX2034" s="73"/>
      <c r="BY2034" s="73"/>
      <c r="BZ2034" s="73"/>
      <c r="CA2034" s="73"/>
      <c r="CB2034" s="73"/>
      <c r="CC2034" s="73"/>
      <c r="CD2034" s="73"/>
      <c r="CE2034" s="73"/>
      <c r="CF2034" s="73"/>
      <c r="CG2034" s="73"/>
      <c r="CH2034" s="73"/>
    </row>
    <row r="2035">
      <c r="A2035" s="80"/>
      <c r="B2035" s="80"/>
      <c r="C2035" s="80"/>
      <c r="D2035" s="80"/>
      <c r="E2035" s="124"/>
      <c r="F2035" s="80"/>
      <c r="G2035" s="80"/>
      <c r="H2035" s="80"/>
      <c r="I2035" s="80"/>
      <c r="J2035" s="196"/>
      <c r="K2035" s="196"/>
      <c r="L2035" s="196"/>
      <c r="M2035" s="196"/>
      <c r="N2035" s="196"/>
      <c r="O2035" s="196"/>
      <c r="P2035" s="196"/>
      <c r="Q2035" s="196"/>
      <c r="R2035" s="196"/>
      <c r="S2035" s="196"/>
      <c r="T2035" s="196"/>
      <c r="U2035" s="196"/>
      <c r="V2035" s="196"/>
      <c r="W2035" s="196"/>
      <c r="X2035" s="196"/>
      <c r="Y2035" s="196"/>
      <c r="Z2035" s="196"/>
      <c r="AA2035" s="196"/>
      <c r="AB2035" s="196"/>
      <c r="AC2035" s="196"/>
      <c r="AD2035" s="196"/>
      <c r="AE2035" s="196"/>
      <c r="AF2035" s="196"/>
      <c r="AG2035" s="196"/>
      <c r="AH2035" s="196"/>
      <c r="AI2035" s="196"/>
      <c r="AJ2035" s="197"/>
      <c r="AK2035" s="80"/>
      <c r="AL2035" s="80"/>
      <c r="AM2035" s="73"/>
      <c r="AN2035" s="73"/>
      <c r="AO2035" s="73"/>
      <c r="AP2035" s="73"/>
      <c r="AQ2035" s="73"/>
      <c r="AR2035" s="73"/>
      <c r="AS2035" s="73"/>
      <c r="AT2035" s="73"/>
      <c r="AU2035" s="73"/>
      <c r="AV2035" s="73"/>
      <c r="AW2035" s="73"/>
      <c r="AX2035" s="73"/>
      <c r="AY2035" s="73"/>
      <c r="AZ2035" s="73"/>
      <c r="BA2035" s="73"/>
      <c r="BB2035" s="73"/>
      <c r="BC2035" s="73"/>
      <c r="BD2035" s="73"/>
      <c r="BE2035" s="73"/>
      <c r="BF2035" s="73"/>
      <c r="BG2035" s="73"/>
      <c r="BH2035" s="73"/>
      <c r="BI2035" s="73"/>
      <c r="BJ2035" s="73"/>
      <c r="BK2035" s="73"/>
      <c r="BL2035" s="73"/>
      <c r="BM2035" s="73"/>
      <c r="BN2035" s="73"/>
      <c r="BO2035" s="73"/>
      <c r="BP2035" s="73"/>
      <c r="BQ2035" s="73"/>
      <c r="BR2035" s="73"/>
      <c r="BS2035" s="73"/>
      <c r="BT2035" s="73"/>
      <c r="BU2035" s="73"/>
      <c r="BV2035" s="73"/>
      <c r="BW2035" s="73"/>
      <c r="BX2035" s="73"/>
      <c r="BY2035" s="73"/>
      <c r="BZ2035" s="73"/>
      <c r="CA2035" s="73"/>
      <c r="CB2035" s="73"/>
      <c r="CC2035" s="73"/>
      <c r="CD2035" s="73"/>
      <c r="CE2035" s="73"/>
      <c r="CF2035" s="73"/>
      <c r="CG2035" s="73"/>
      <c r="CH2035" s="73"/>
    </row>
    <row r="2036">
      <c r="A2036" s="80"/>
      <c r="B2036" s="80"/>
      <c r="C2036" s="80"/>
      <c r="D2036" s="80"/>
      <c r="E2036" s="124"/>
      <c r="F2036" s="80"/>
      <c r="G2036" s="80"/>
      <c r="H2036" s="80"/>
      <c r="I2036" s="80"/>
      <c r="J2036" s="196"/>
      <c r="K2036" s="196"/>
      <c r="L2036" s="196"/>
      <c r="M2036" s="196"/>
      <c r="N2036" s="196"/>
      <c r="O2036" s="196"/>
      <c r="P2036" s="196"/>
      <c r="Q2036" s="196"/>
      <c r="R2036" s="196"/>
      <c r="S2036" s="196"/>
      <c r="T2036" s="196"/>
      <c r="U2036" s="196"/>
      <c r="V2036" s="196"/>
      <c r="W2036" s="196"/>
      <c r="X2036" s="196"/>
      <c r="Y2036" s="196"/>
      <c r="Z2036" s="196"/>
      <c r="AA2036" s="196"/>
      <c r="AB2036" s="196"/>
      <c r="AC2036" s="196"/>
      <c r="AD2036" s="196"/>
      <c r="AE2036" s="196"/>
      <c r="AF2036" s="196"/>
      <c r="AG2036" s="196"/>
      <c r="AH2036" s="196"/>
      <c r="AI2036" s="196"/>
      <c r="AJ2036" s="197"/>
      <c r="AK2036" s="80"/>
      <c r="AL2036" s="80"/>
      <c r="AM2036" s="73"/>
      <c r="AN2036" s="73"/>
      <c r="AO2036" s="73"/>
      <c r="AP2036" s="73"/>
      <c r="AQ2036" s="73"/>
      <c r="AR2036" s="73"/>
      <c r="AS2036" s="73"/>
      <c r="AT2036" s="73"/>
      <c r="AU2036" s="73"/>
      <c r="AV2036" s="73"/>
      <c r="AW2036" s="73"/>
      <c r="AX2036" s="73"/>
      <c r="AY2036" s="73"/>
      <c r="AZ2036" s="73"/>
      <c r="BA2036" s="73"/>
      <c r="BB2036" s="73"/>
      <c r="BC2036" s="73"/>
      <c r="BD2036" s="73"/>
      <c r="BE2036" s="73"/>
      <c r="BF2036" s="73"/>
      <c r="BG2036" s="73"/>
      <c r="BH2036" s="73"/>
      <c r="BI2036" s="73"/>
      <c r="BJ2036" s="73"/>
      <c r="BK2036" s="73"/>
      <c r="BL2036" s="73"/>
      <c r="BM2036" s="73"/>
      <c r="BN2036" s="73"/>
      <c r="BO2036" s="73"/>
      <c r="BP2036" s="73"/>
      <c r="BQ2036" s="73"/>
      <c r="BR2036" s="73"/>
      <c r="BS2036" s="73"/>
      <c r="BT2036" s="73"/>
      <c r="BU2036" s="73"/>
      <c r="BV2036" s="73"/>
      <c r="BW2036" s="73"/>
      <c r="BX2036" s="73"/>
      <c r="BY2036" s="73"/>
      <c r="BZ2036" s="73"/>
      <c r="CA2036" s="73"/>
      <c r="CB2036" s="73"/>
      <c r="CC2036" s="73"/>
      <c r="CD2036" s="73"/>
      <c r="CE2036" s="73"/>
      <c r="CF2036" s="73"/>
      <c r="CG2036" s="73"/>
      <c r="CH2036" s="73"/>
    </row>
    <row r="2037">
      <c r="A2037" s="80"/>
      <c r="B2037" s="80"/>
      <c r="C2037" s="80"/>
      <c r="D2037" s="80"/>
      <c r="E2037" s="124"/>
      <c r="F2037" s="80"/>
      <c r="G2037" s="80"/>
      <c r="H2037" s="80"/>
      <c r="I2037" s="80"/>
      <c r="J2037" s="196"/>
      <c r="K2037" s="196"/>
      <c r="L2037" s="196"/>
      <c r="M2037" s="196"/>
      <c r="N2037" s="196"/>
      <c r="O2037" s="196"/>
      <c r="P2037" s="196"/>
      <c r="Q2037" s="196"/>
      <c r="R2037" s="196"/>
      <c r="S2037" s="196"/>
      <c r="T2037" s="196"/>
      <c r="U2037" s="196"/>
      <c r="V2037" s="196"/>
      <c r="W2037" s="196"/>
      <c r="X2037" s="196"/>
      <c r="Y2037" s="196"/>
      <c r="Z2037" s="196"/>
      <c r="AA2037" s="196"/>
      <c r="AB2037" s="196"/>
      <c r="AC2037" s="196"/>
      <c r="AD2037" s="196"/>
      <c r="AE2037" s="196"/>
      <c r="AF2037" s="196"/>
      <c r="AG2037" s="196"/>
      <c r="AH2037" s="196"/>
      <c r="AI2037" s="196"/>
      <c r="AJ2037" s="197"/>
      <c r="AK2037" s="80"/>
      <c r="AL2037" s="80"/>
      <c r="AM2037" s="73"/>
      <c r="AN2037" s="73"/>
      <c r="AO2037" s="73"/>
      <c r="AP2037" s="73"/>
      <c r="AQ2037" s="73"/>
      <c r="AR2037" s="73"/>
      <c r="AS2037" s="73"/>
      <c r="AT2037" s="73"/>
      <c r="AU2037" s="73"/>
      <c r="AV2037" s="73"/>
      <c r="AW2037" s="73"/>
      <c r="AX2037" s="73"/>
      <c r="AY2037" s="73"/>
      <c r="AZ2037" s="73"/>
      <c r="BA2037" s="73"/>
      <c r="BB2037" s="73"/>
      <c r="BC2037" s="73"/>
      <c r="BD2037" s="73"/>
      <c r="BE2037" s="73"/>
      <c r="BF2037" s="73"/>
      <c r="BG2037" s="73"/>
      <c r="BH2037" s="73"/>
      <c r="BI2037" s="73"/>
      <c r="BJ2037" s="73"/>
      <c r="BK2037" s="73"/>
      <c r="BL2037" s="73"/>
      <c r="BM2037" s="73"/>
      <c r="BN2037" s="73"/>
      <c r="BO2037" s="73"/>
      <c r="BP2037" s="73"/>
      <c r="BQ2037" s="73"/>
      <c r="BR2037" s="73"/>
      <c r="BS2037" s="73"/>
      <c r="BT2037" s="73"/>
      <c r="BU2037" s="73"/>
      <c r="BV2037" s="73"/>
      <c r="BW2037" s="73"/>
      <c r="BX2037" s="73"/>
      <c r="BY2037" s="73"/>
      <c r="BZ2037" s="73"/>
      <c r="CA2037" s="73"/>
      <c r="CB2037" s="73"/>
      <c r="CC2037" s="73"/>
      <c r="CD2037" s="73"/>
      <c r="CE2037" s="73"/>
      <c r="CF2037" s="73"/>
      <c r="CG2037" s="73"/>
      <c r="CH2037" s="73"/>
    </row>
    <row r="2038">
      <c r="A2038" s="80"/>
      <c r="B2038" s="80"/>
      <c r="C2038" s="80"/>
      <c r="D2038" s="80"/>
      <c r="E2038" s="124"/>
      <c r="F2038" s="80"/>
      <c r="G2038" s="80"/>
      <c r="H2038" s="80"/>
      <c r="I2038" s="80"/>
      <c r="J2038" s="196"/>
      <c r="K2038" s="196"/>
      <c r="L2038" s="196"/>
      <c r="M2038" s="196"/>
      <c r="N2038" s="196"/>
      <c r="O2038" s="196"/>
      <c r="P2038" s="196"/>
      <c r="Q2038" s="196"/>
      <c r="R2038" s="196"/>
      <c r="S2038" s="196"/>
      <c r="T2038" s="196"/>
      <c r="U2038" s="196"/>
      <c r="V2038" s="196"/>
      <c r="W2038" s="196"/>
      <c r="X2038" s="196"/>
      <c r="Y2038" s="196"/>
      <c r="Z2038" s="196"/>
      <c r="AA2038" s="196"/>
      <c r="AB2038" s="196"/>
      <c r="AC2038" s="196"/>
      <c r="AD2038" s="196"/>
      <c r="AE2038" s="196"/>
      <c r="AF2038" s="196"/>
      <c r="AG2038" s="196"/>
      <c r="AH2038" s="196"/>
      <c r="AI2038" s="196"/>
      <c r="AJ2038" s="197"/>
      <c r="AK2038" s="80"/>
      <c r="AL2038" s="80"/>
      <c r="AM2038" s="73"/>
      <c r="AN2038" s="73"/>
      <c r="AO2038" s="73"/>
      <c r="AP2038" s="73"/>
      <c r="AQ2038" s="73"/>
      <c r="AR2038" s="73"/>
      <c r="AS2038" s="73"/>
      <c r="AT2038" s="73"/>
      <c r="AU2038" s="73"/>
      <c r="AV2038" s="73"/>
      <c r="AW2038" s="73"/>
      <c r="AX2038" s="73"/>
      <c r="AY2038" s="73"/>
      <c r="AZ2038" s="73"/>
      <c r="BA2038" s="73"/>
      <c r="BB2038" s="73"/>
      <c r="BC2038" s="73"/>
      <c r="BD2038" s="73"/>
      <c r="BE2038" s="73"/>
      <c r="BF2038" s="73"/>
      <c r="BG2038" s="73"/>
      <c r="BH2038" s="73"/>
      <c r="BI2038" s="73"/>
      <c r="BJ2038" s="73"/>
      <c r="BK2038" s="73"/>
      <c r="BL2038" s="73"/>
      <c r="BM2038" s="73"/>
      <c r="BN2038" s="73"/>
      <c r="BO2038" s="73"/>
      <c r="BP2038" s="73"/>
      <c r="BQ2038" s="73"/>
      <c r="BR2038" s="73"/>
      <c r="BS2038" s="73"/>
      <c r="BT2038" s="73"/>
      <c r="BU2038" s="73"/>
      <c r="BV2038" s="73"/>
      <c r="BW2038" s="73"/>
      <c r="BX2038" s="73"/>
      <c r="BY2038" s="73"/>
      <c r="BZ2038" s="73"/>
      <c r="CA2038" s="73"/>
      <c r="CB2038" s="73"/>
      <c r="CC2038" s="73"/>
      <c r="CD2038" s="73"/>
      <c r="CE2038" s="73"/>
      <c r="CF2038" s="73"/>
      <c r="CG2038" s="73"/>
      <c r="CH2038" s="73"/>
    </row>
    <row r="2039">
      <c r="A2039" s="80"/>
      <c r="B2039" s="80"/>
      <c r="C2039" s="80"/>
      <c r="D2039" s="80"/>
      <c r="E2039" s="124"/>
      <c r="F2039" s="80"/>
      <c r="G2039" s="80"/>
      <c r="H2039" s="80"/>
      <c r="I2039" s="80"/>
      <c r="J2039" s="196"/>
      <c r="K2039" s="196"/>
      <c r="L2039" s="196"/>
      <c r="M2039" s="196"/>
      <c r="N2039" s="196"/>
      <c r="O2039" s="196"/>
      <c r="P2039" s="196"/>
      <c r="Q2039" s="196"/>
      <c r="R2039" s="196"/>
      <c r="S2039" s="196"/>
      <c r="T2039" s="196"/>
      <c r="U2039" s="196"/>
      <c r="V2039" s="196"/>
      <c r="W2039" s="196"/>
      <c r="X2039" s="196"/>
      <c r="Y2039" s="196"/>
      <c r="Z2039" s="196"/>
      <c r="AA2039" s="196"/>
      <c r="AB2039" s="196"/>
      <c r="AC2039" s="196"/>
      <c r="AD2039" s="196"/>
      <c r="AE2039" s="196"/>
      <c r="AF2039" s="196"/>
      <c r="AG2039" s="196"/>
      <c r="AH2039" s="196"/>
      <c r="AI2039" s="196"/>
      <c r="AJ2039" s="197"/>
      <c r="AK2039" s="80"/>
      <c r="AL2039" s="80"/>
      <c r="AM2039" s="73"/>
      <c r="AN2039" s="73"/>
      <c r="AO2039" s="73"/>
      <c r="AP2039" s="73"/>
      <c r="AQ2039" s="73"/>
      <c r="AR2039" s="73"/>
      <c r="AS2039" s="73"/>
      <c r="AT2039" s="73"/>
      <c r="AU2039" s="73"/>
      <c r="AV2039" s="73"/>
      <c r="AW2039" s="73"/>
      <c r="AX2039" s="73"/>
      <c r="AY2039" s="73"/>
      <c r="AZ2039" s="73"/>
      <c r="BA2039" s="73"/>
      <c r="BB2039" s="73"/>
      <c r="BC2039" s="73"/>
      <c r="BD2039" s="73"/>
      <c r="BE2039" s="73"/>
      <c r="BF2039" s="73"/>
      <c r="BG2039" s="73"/>
      <c r="BH2039" s="73"/>
      <c r="BI2039" s="73"/>
      <c r="BJ2039" s="73"/>
      <c r="BK2039" s="73"/>
      <c r="BL2039" s="73"/>
      <c r="BM2039" s="73"/>
      <c r="BN2039" s="73"/>
      <c r="BO2039" s="73"/>
      <c r="BP2039" s="73"/>
      <c r="BQ2039" s="73"/>
      <c r="BR2039" s="73"/>
      <c r="BS2039" s="73"/>
      <c r="BT2039" s="73"/>
      <c r="BU2039" s="73"/>
      <c r="BV2039" s="73"/>
      <c r="BW2039" s="73"/>
      <c r="BX2039" s="73"/>
      <c r="BY2039" s="73"/>
      <c r="BZ2039" s="73"/>
      <c r="CA2039" s="73"/>
      <c r="CB2039" s="73"/>
      <c r="CC2039" s="73"/>
      <c r="CD2039" s="73"/>
      <c r="CE2039" s="73"/>
      <c r="CF2039" s="73"/>
      <c r="CG2039" s="73"/>
      <c r="CH2039" s="73"/>
    </row>
    <row r="2040">
      <c r="A2040" s="80"/>
      <c r="B2040" s="80"/>
      <c r="C2040" s="80"/>
      <c r="D2040" s="80"/>
      <c r="E2040" s="124"/>
      <c r="F2040" s="80"/>
      <c r="G2040" s="80"/>
      <c r="H2040" s="80"/>
      <c r="I2040" s="80"/>
      <c r="J2040" s="196"/>
      <c r="K2040" s="196"/>
      <c r="L2040" s="196"/>
      <c r="M2040" s="196"/>
      <c r="N2040" s="196"/>
      <c r="O2040" s="196"/>
      <c r="P2040" s="196"/>
      <c r="Q2040" s="196"/>
      <c r="R2040" s="196"/>
      <c r="S2040" s="196"/>
      <c r="T2040" s="196"/>
      <c r="U2040" s="196"/>
      <c r="V2040" s="196"/>
      <c r="W2040" s="196"/>
      <c r="X2040" s="196"/>
      <c r="Y2040" s="196"/>
      <c r="Z2040" s="196"/>
      <c r="AA2040" s="196"/>
      <c r="AB2040" s="196"/>
      <c r="AC2040" s="196"/>
      <c r="AD2040" s="196"/>
      <c r="AE2040" s="196"/>
      <c r="AF2040" s="196"/>
      <c r="AG2040" s="196"/>
      <c r="AH2040" s="196"/>
      <c r="AI2040" s="196"/>
      <c r="AJ2040" s="197"/>
      <c r="AK2040" s="80"/>
      <c r="AL2040" s="80"/>
      <c r="AM2040" s="73"/>
      <c r="AN2040" s="73"/>
      <c r="AO2040" s="73"/>
      <c r="AP2040" s="73"/>
      <c r="AQ2040" s="73"/>
      <c r="AR2040" s="73"/>
      <c r="AS2040" s="73"/>
      <c r="AT2040" s="73"/>
      <c r="AU2040" s="73"/>
      <c r="AV2040" s="73"/>
      <c r="AW2040" s="73"/>
      <c r="AX2040" s="73"/>
      <c r="AY2040" s="73"/>
      <c r="AZ2040" s="73"/>
      <c r="BA2040" s="73"/>
      <c r="BB2040" s="73"/>
      <c r="BC2040" s="73"/>
      <c r="BD2040" s="73"/>
      <c r="BE2040" s="73"/>
      <c r="BF2040" s="73"/>
      <c r="BG2040" s="73"/>
      <c r="BH2040" s="73"/>
      <c r="BI2040" s="73"/>
      <c r="BJ2040" s="73"/>
      <c r="BK2040" s="73"/>
      <c r="BL2040" s="73"/>
      <c r="BM2040" s="73"/>
      <c r="BN2040" s="73"/>
      <c r="BO2040" s="73"/>
      <c r="BP2040" s="73"/>
      <c r="BQ2040" s="73"/>
      <c r="BR2040" s="73"/>
      <c r="BS2040" s="73"/>
      <c r="BT2040" s="73"/>
      <c r="BU2040" s="73"/>
      <c r="BV2040" s="73"/>
      <c r="BW2040" s="73"/>
      <c r="BX2040" s="73"/>
      <c r="BY2040" s="73"/>
      <c r="BZ2040" s="73"/>
      <c r="CA2040" s="73"/>
      <c r="CB2040" s="73"/>
      <c r="CC2040" s="73"/>
      <c r="CD2040" s="73"/>
      <c r="CE2040" s="73"/>
      <c r="CF2040" s="73"/>
      <c r="CG2040" s="73"/>
      <c r="CH2040" s="73"/>
    </row>
    <row r="2041">
      <c r="A2041" s="80"/>
      <c r="B2041" s="80"/>
      <c r="C2041" s="80"/>
      <c r="D2041" s="80"/>
      <c r="E2041" s="124"/>
      <c r="F2041" s="80"/>
      <c r="G2041" s="80"/>
      <c r="H2041" s="80"/>
      <c r="I2041" s="80"/>
      <c r="J2041" s="196"/>
      <c r="K2041" s="196"/>
      <c r="L2041" s="196"/>
      <c r="M2041" s="196"/>
      <c r="N2041" s="196"/>
      <c r="O2041" s="196"/>
      <c r="P2041" s="196"/>
      <c r="Q2041" s="196"/>
      <c r="R2041" s="196"/>
      <c r="S2041" s="196"/>
      <c r="T2041" s="196"/>
      <c r="U2041" s="196"/>
      <c r="V2041" s="196"/>
      <c r="W2041" s="196"/>
      <c r="X2041" s="196"/>
      <c r="Y2041" s="196"/>
      <c r="Z2041" s="196"/>
      <c r="AA2041" s="196"/>
      <c r="AB2041" s="196"/>
      <c r="AC2041" s="196"/>
      <c r="AD2041" s="196"/>
      <c r="AE2041" s="196"/>
      <c r="AF2041" s="196"/>
      <c r="AG2041" s="196"/>
      <c r="AH2041" s="196"/>
      <c r="AI2041" s="196"/>
      <c r="AJ2041" s="197"/>
      <c r="AK2041" s="80"/>
      <c r="AL2041" s="80"/>
      <c r="AM2041" s="73"/>
      <c r="AN2041" s="73"/>
      <c r="AO2041" s="73"/>
      <c r="AP2041" s="73"/>
      <c r="AQ2041" s="73"/>
      <c r="AR2041" s="73"/>
      <c r="AS2041" s="73"/>
      <c r="AT2041" s="73"/>
      <c r="AU2041" s="73"/>
      <c r="AV2041" s="73"/>
      <c r="AW2041" s="73"/>
      <c r="AX2041" s="73"/>
      <c r="AY2041" s="73"/>
      <c r="AZ2041" s="73"/>
      <c r="BA2041" s="73"/>
      <c r="BB2041" s="73"/>
      <c r="BC2041" s="73"/>
      <c r="BD2041" s="73"/>
      <c r="BE2041" s="73"/>
      <c r="BF2041" s="73"/>
      <c r="BG2041" s="73"/>
      <c r="BH2041" s="73"/>
      <c r="BI2041" s="73"/>
      <c r="BJ2041" s="73"/>
      <c r="BK2041" s="73"/>
      <c r="BL2041" s="73"/>
      <c r="BM2041" s="73"/>
      <c r="BN2041" s="73"/>
      <c r="BO2041" s="73"/>
      <c r="BP2041" s="73"/>
      <c r="BQ2041" s="73"/>
      <c r="BR2041" s="73"/>
      <c r="BS2041" s="73"/>
      <c r="BT2041" s="73"/>
      <c r="BU2041" s="73"/>
      <c r="BV2041" s="73"/>
      <c r="BW2041" s="73"/>
      <c r="BX2041" s="73"/>
      <c r="BY2041" s="73"/>
      <c r="BZ2041" s="73"/>
      <c r="CA2041" s="73"/>
      <c r="CB2041" s="73"/>
      <c r="CC2041" s="73"/>
      <c r="CD2041" s="73"/>
      <c r="CE2041" s="73"/>
      <c r="CF2041" s="73"/>
      <c r="CG2041" s="73"/>
      <c r="CH2041" s="73"/>
    </row>
    <row r="2042">
      <c r="A2042" s="80"/>
      <c r="B2042" s="80"/>
      <c r="C2042" s="80"/>
      <c r="D2042" s="80"/>
      <c r="E2042" s="124"/>
      <c r="F2042" s="80"/>
      <c r="G2042" s="80"/>
      <c r="H2042" s="80"/>
      <c r="I2042" s="80"/>
      <c r="J2042" s="196"/>
      <c r="K2042" s="196"/>
      <c r="L2042" s="196"/>
      <c r="M2042" s="196"/>
      <c r="N2042" s="196"/>
      <c r="O2042" s="196"/>
      <c r="P2042" s="196"/>
      <c r="Q2042" s="196"/>
      <c r="R2042" s="196"/>
      <c r="S2042" s="196"/>
      <c r="T2042" s="196"/>
      <c r="U2042" s="196"/>
      <c r="V2042" s="196"/>
      <c r="W2042" s="196"/>
      <c r="X2042" s="196"/>
      <c r="Y2042" s="196"/>
      <c r="Z2042" s="196"/>
      <c r="AA2042" s="196"/>
      <c r="AB2042" s="196"/>
      <c r="AC2042" s="196"/>
      <c r="AD2042" s="196"/>
      <c r="AE2042" s="196"/>
      <c r="AF2042" s="196"/>
      <c r="AG2042" s="196"/>
      <c r="AH2042" s="196"/>
      <c r="AI2042" s="196"/>
      <c r="AJ2042" s="197"/>
      <c r="AK2042" s="80"/>
      <c r="AL2042" s="80"/>
      <c r="AM2042" s="73"/>
      <c r="AN2042" s="73"/>
      <c r="AO2042" s="73"/>
      <c r="AP2042" s="73"/>
      <c r="AQ2042" s="73"/>
      <c r="AR2042" s="73"/>
      <c r="AS2042" s="73"/>
      <c r="AT2042" s="73"/>
      <c r="AU2042" s="73"/>
      <c r="AV2042" s="73"/>
      <c r="AW2042" s="73"/>
      <c r="AX2042" s="73"/>
      <c r="AY2042" s="73"/>
      <c r="AZ2042" s="73"/>
      <c r="BA2042" s="73"/>
      <c r="BB2042" s="73"/>
      <c r="BC2042" s="73"/>
      <c r="BD2042" s="73"/>
      <c r="BE2042" s="73"/>
      <c r="BF2042" s="73"/>
      <c r="BG2042" s="73"/>
      <c r="BH2042" s="73"/>
      <c r="BI2042" s="73"/>
      <c r="BJ2042" s="73"/>
      <c r="BK2042" s="73"/>
      <c r="BL2042" s="73"/>
      <c r="BM2042" s="73"/>
      <c r="BN2042" s="73"/>
      <c r="BO2042" s="73"/>
      <c r="BP2042" s="73"/>
      <c r="BQ2042" s="73"/>
      <c r="BR2042" s="73"/>
      <c r="BS2042" s="73"/>
      <c r="BT2042" s="73"/>
      <c r="BU2042" s="73"/>
      <c r="BV2042" s="73"/>
      <c r="BW2042" s="73"/>
      <c r="BX2042" s="73"/>
      <c r="BY2042" s="73"/>
      <c r="BZ2042" s="73"/>
      <c r="CA2042" s="73"/>
      <c r="CB2042" s="73"/>
      <c r="CC2042" s="73"/>
      <c r="CD2042" s="73"/>
      <c r="CE2042" s="73"/>
      <c r="CF2042" s="73"/>
      <c r="CG2042" s="73"/>
      <c r="CH2042" s="73"/>
    </row>
    <row r="2043">
      <c r="A2043" s="80"/>
      <c r="B2043" s="80"/>
      <c r="C2043" s="80"/>
      <c r="D2043" s="80"/>
      <c r="E2043" s="124"/>
      <c r="F2043" s="80"/>
      <c r="G2043" s="80"/>
      <c r="H2043" s="80"/>
      <c r="I2043" s="80"/>
      <c r="J2043" s="196"/>
      <c r="K2043" s="196"/>
      <c r="L2043" s="196"/>
      <c r="M2043" s="196"/>
      <c r="N2043" s="196"/>
      <c r="O2043" s="196"/>
      <c r="P2043" s="196"/>
      <c r="Q2043" s="196"/>
      <c r="R2043" s="196"/>
      <c r="S2043" s="196"/>
      <c r="T2043" s="196"/>
      <c r="U2043" s="196"/>
      <c r="V2043" s="196"/>
      <c r="W2043" s="196"/>
      <c r="X2043" s="196"/>
      <c r="Y2043" s="196"/>
      <c r="Z2043" s="196"/>
      <c r="AA2043" s="196"/>
      <c r="AB2043" s="196"/>
      <c r="AC2043" s="196"/>
      <c r="AD2043" s="196"/>
      <c r="AE2043" s="196"/>
      <c r="AF2043" s="196"/>
      <c r="AG2043" s="196"/>
      <c r="AH2043" s="196"/>
      <c r="AI2043" s="196"/>
      <c r="AJ2043" s="197"/>
      <c r="AK2043" s="80"/>
      <c r="AL2043" s="80"/>
      <c r="AM2043" s="73"/>
      <c r="AN2043" s="73"/>
      <c r="AO2043" s="73"/>
      <c r="AP2043" s="73"/>
      <c r="AQ2043" s="73"/>
      <c r="AR2043" s="73"/>
      <c r="AS2043" s="73"/>
      <c r="AT2043" s="73"/>
      <c r="AU2043" s="73"/>
      <c r="AV2043" s="73"/>
      <c r="AW2043" s="73"/>
      <c r="AX2043" s="73"/>
      <c r="AY2043" s="73"/>
      <c r="AZ2043" s="73"/>
      <c r="BA2043" s="73"/>
      <c r="BB2043" s="73"/>
      <c r="BC2043" s="73"/>
      <c r="BD2043" s="73"/>
      <c r="BE2043" s="73"/>
      <c r="BF2043" s="73"/>
      <c r="BG2043" s="73"/>
      <c r="BH2043" s="73"/>
      <c r="BI2043" s="73"/>
      <c r="BJ2043" s="73"/>
      <c r="BK2043" s="73"/>
      <c r="BL2043" s="73"/>
      <c r="BM2043" s="73"/>
      <c r="BN2043" s="73"/>
      <c r="BO2043" s="73"/>
      <c r="BP2043" s="73"/>
      <c r="BQ2043" s="73"/>
      <c r="BR2043" s="73"/>
      <c r="BS2043" s="73"/>
      <c r="BT2043" s="73"/>
      <c r="BU2043" s="73"/>
      <c r="BV2043" s="73"/>
      <c r="BW2043" s="73"/>
      <c r="BX2043" s="73"/>
      <c r="BY2043" s="73"/>
      <c r="BZ2043" s="73"/>
      <c r="CA2043" s="73"/>
      <c r="CB2043" s="73"/>
      <c r="CC2043" s="73"/>
      <c r="CD2043" s="73"/>
      <c r="CE2043" s="73"/>
      <c r="CF2043" s="73"/>
      <c r="CG2043" s="73"/>
      <c r="CH2043" s="73"/>
    </row>
    <row r="2044">
      <c r="A2044" s="80"/>
      <c r="B2044" s="80"/>
      <c r="C2044" s="80"/>
      <c r="D2044" s="80"/>
      <c r="E2044" s="124"/>
      <c r="F2044" s="80"/>
      <c r="G2044" s="80"/>
      <c r="H2044" s="80"/>
      <c r="I2044" s="80"/>
      <c r="J2044" s="196"/>
      <c r="K2044" s="196"/>
      <c r="L2044" s="196"/>
      <c r="M2044" s="196"/>
      <c r="N2044" s="196"/>
      <c r="O2044" s="196"/>
      <c r="P2044" s="196"/>
      <c r="Q2044" s="196"/>
      <c r="R2044" s="196"/>
      <c r="S2044" s="196"/>
      <c r="T2044" s="196"/>
      <c r="U2044" s="196"/>
      <c r="V2044" s="196"/>
      <c r="W2044" s="196"/>
      <c r="X2044" s="196"/>
      <c r="Y2044" s="196"/>
      <c r="Z2044" s="196"/>
      <c r="AA2044" s="196"/>
      <c r="AB2044" s="196"/>
      <c r="AC2044" s="196"/>
      <c r="AD2044" s="196"/>
      <c r="AE2044" s="196"/>
      <c r="AF2044" s="196"/>
      <c r="AG2044" s="196"/>
      <c r="AH2044" s="196"/>
      <c r="AI2044" s="196"/>
      <c r="AJ2044" s="197"/>
      <c r="AK2044" s="80"/>
      <c r="AL2044" s="80"/>
      <c r="AM2044" s="73"/>
      <c r="AN2044" s="73"/>
      <c r="AO2044" s="73"/>
      <c r="AP2044" s="73"/>
      <c r="AQ2044" s="73"/>
      <c r="AR2044" s="73"/>
      <c r="AS2044" s="73"/>
      <c r="AT2044" s="73"/>
      <c r="AU2044" s="73"/>
      <c r="AV2044" s="73"/>
      <c r="AW2044" s="73"/>
      <c r="AX2044" s="73"/>
      <c r="AY2044" s="73"/>
      <c r="AZ2044" s="73"/>
      <c r="BA2044" s="73"/>
      <c r="BB2044" s="73"/>
      <c r="BC2044" s="73"/>
      <c r="BD2044" s="73"/>
      <c r="BE2044" s="73"/>
      <c r="BF2044" s="73"/>
      <c r="BG2044" s="73"/>
      <c r="BH2044" s="73"/>
      <c r="BI2044" s="73"/>
      <c r="BJ2044" s="73"/>
      <c r="BK2044" s="73"/>
      <c r="BL2044" s="73"/>
      <c r="BM2044" s="73"/>
      <c r="BN2044" s="73"/>
      <c r="BO2044" s="73"/>
      <c r="BP2044" s="73"/>
      <c r="BQ2044" s="73"/>
      <c r="BR2044" s="73"/>
      <c r="BS2044" s="73"/>
      <c r="BT2044" s="73"/>
      <c r="BU2044" s="73"/>
      <c r="BV2044" s="73"/>
      <c r="BW2044" s="73"/>
      <c r="BX2044" s="73"/>
      <c r="BY2044" s="73"/>
      <c r="BZ2044" s="73"/>
      <c r="CA2044" s="73"/>
      <c r="CB2044" s="73"/>
      <c r="CC2044" s="73"/>
      <c r="CD2044" s="73"/>
      <c r="CE2044" s="73"/>
      <c r="CF2044" s="73"/>
      <c r="CG2044" s="73"/>
      <c r="CH2044" s="73"/>
    </row>
    <row r="2045">
      <c r="A2045" s="80"/>
      <c r="B2045" s="80"/>
      <c r="C2045" s="80"/>
      <c r="D2045" s="80"/>
      <c r="E2045" s="124"/>
      <c r="F2045" s="80"/>
      <c r="G2045" s="80"/>
      <c r="H2045" s="80"/>
      <c r="I2045" s="80"/>
      <c r="J2045" s="196"/>
      <c r="K2045" s="196"/>
      <c r="L2045" s="196"/>
      <c r="M2045" s="196"/>
      <c r="N2045" s="196"/>
      <c r="O2045" s="196"/>
      <c r="P2045" s="196"/>
      <c r="Q2045" s="196"/>
      <c r="R2045" s="196"/>
      <c r="S2045" s="196"/>
      <c r="T2045" s="196"/>
      <c r="U2045" s="196"/>
      <c r="V2045" s="196"/>
      <c r="W2045" s="196"/>
      <c r="X2045" s="196"/>
      <c r="Y2045" s="196"/>
      <c r="Z2045" s="196"/>
      <c r="AA2045" s="196"/>
      <c r="AB2045" s="196"/>
      <c r="AC2045" s="196"/>
      <c r="AD2045" s="196"/>
      <c r="AE2045" s="196"/>
      <c r="AF2045" s="196"/>
      <c r="AG2045" s="196"/>
      <c r="AH2045" s="196"/>
      <c r="AI2045" s="196"/>
      <c r="AJ2045" s="197"/>
      <c r="AK2045" s="80"/>
      <c r="AL2045" s="80"/>
      <c r="AM2045" s="73"/>
      <c r="AN2045" s="73"/>
      <c r="AO2045" s="73"/>
      <c r="AP2045" s="73"/>
      <c r="AQ2045" s="73"/>
      <c r="AR2045" s="73"/>
      <c r="AS2045" s="73"/>
      <c r="AT2045" s="73"/>
      <c r="AU2045" s="73"/>
      <c r="AV2045" s="73"/>
      <c r="AW2045" s="73"/>
      <c r="AX2045" s="73"/>
      <c r="AY2045" s="73"/>
      <c r="AZ2045" s="73"/>
      <c r="BA2045" s="73"/>
      <c r="BB2045" s="73"/>
      <c r="BC2045" s="73"/>
      <c r="BD2045" s="73"/>
      <c r="BE2045" s="73"/>
      <c r="BF2045" s="73"/>
      <c r="BG2045" s="73"/>
      <c r="BH2045" s="73"/>
      <c r="BI2045" s="73"/>
      <c r="BJ2045" s="73"/>
      <c r="BK2045" s="73"/>
      <c r="BL2045" s="73"/>
      <c r="BM2045" s="73"/>
      <c r="BN2045" s="73"/>
      <c r="BO2045" s="73"/>
      <c r="BP2045" s="73"/>
      <c r="BQ2045" s="73"/>
      <c r="BR2045" s="73"/>
      <c r="BS2045" s="73"/>
      <c r="BT2045" s="73"/>
      <c r="BU2045" s="73"/>
      <c r="BV2045" s="73"/>
      <c r="BW2045" s="73"/>
      <c r="BX2045" s="73"/>
      <c r="BY2045" s="73"/>
      <c r="BZ2045" s="73"/>
      <c r="CA2045" s="73"/>
      <c r="CB2045" s="73"/>
      <c r="CC2045" s="73"/>
      <c r="CD2045" s="73"/>
      <c r="CE2045" s="73"/>
      <c r="CF2045" s="73"/>
      <c r="CG2045" s="73"/>
      <c r="CH2045" s="73"/>
    </row>
    <row r="2046">
      <c r="A2046" s="80"/>
      <c r="B2046" s="80"/>
      <c r="C2046" s="80"/>
      <c r="D2046" s="80"/>
      <c r="E2046" s="124"/>
      <c r="F2046" s="80"/>
      <c r="G2046" s="80"/>
      <c r="H2046" s="80"/>
      <c r="I2046" s="80"/>
      <c r="J2046" s="196"/>
      <c r="K2046" s="196"/>
      <c r="L2046" s="196"/>
      <c r="M2046" s="196"/>
      <c r="N2046" s="196"/>
      <c r="O2046" s="196"/>
      <c r="P2046" s="196"/>
      <c r="Q2046" s="196"/>
      <c r="R2046" s="196"/>
      <c r="S2046" s="196"/>
      <c r="T2046" s="196"/>
      <c r="U2046" s="196"/>
      <c r="V2046" s="196"/>
      <c r="W2046" s="196"/>
      <c r="X2046" s="196"/>
      <c r="Y2046" s="196"/>
      <c r="Z2046" s="196"/>
      <c r="AA2046" s="196"/>
      <c r="AB2046" s="196"/>
      <c r="AC2046" s="196"/>
      <c r="AD2046" s="196"/>
      <c r="AE2046" s="196"/>
      <c r="AF2046" s="196"/>
      <c r="AG2046" s="196"/>
      <c r="AH2046" s="196"/>
      <c r="AI2046" s="196"/>
      <c r="AJ2046" s="197"/>
      <c r="AK2046" s="80"/>
      <c r="AL2046" s="80"/>
      <c r="AM2046" s="73"/>
      <c r="AN2046" s="73"/>
      <c r="AO2046" s="73"/>
      <c r="AP2046" s="73"/>
      <c r="AQ2046" s="73"/>
      <c r="AR2046" s="73"/>
      <c r="AS2046" s="73"/>
      <c r="AT2046" s="73"/>
      <c r="AU2046" s="73"/>
      <c r="AV2046" s="73"/>
      <c r="AW2046" s="73"/>
      <c r="AX2046" s="73"/>
      <c r="AY2046" s="73"/>
      <c r="AZ2046" s="73"/>
      <c r="BA2046" s="73"/>
      <c r="BB2046" s="73"/>
      <c r="BC2046" s="73"/>
      <c r="BD2046" s="73"/>
      <c r="BE2046" s="73"/>
      <c r="BF2046" s="73"/>
      <c r="BG2046" s="73"/>
      <c r="BH2046" s="73"/>
      <c r="BI2046" s="73"/>
      <c r="BJ2046" s="73"/>
      <c r="BK2046" s="73"/>
      <c r="BL2046" s="73"/>
      <c r="BM2046" s="73"/>
      <c r="BN2046" s="73"/>
      <c r="BO2046" s="73"/>
      <c r="BP2046" s="73"/>
      <c r="BQ2046" s="73"/>
      <c r="BR2046" s="73"/>
      <c r="BS2046" s="73"/>
      <c r="BT2046" s="73"/>
      <c r="BU2046" s="73"/>
      <c r="BV2046" s="73"/>
      <c r="BW2046" s="73"/>
      <c r="BX2046" s="73"/>
      <c r="BY2046" s="73"/>
      <c r="BZ2046" s="73"/>
      <c r="CA2046" s="73"/>
      <c r="CB2046" s="73"/>
      <c r="CC2046" s="73"/>
      <c r="CD2046" s="73"/>
      <c r="CE2046" s="73"/>
      <c r="CF2046" s="73"/>
      <c r="CG2046" s="73"/>
      <c r="CH2046" s="73"/>
    </row>
    <row r="2047">
      <c r="A2047" s="80"/>
      <c r="B2047" s="80"/>
      <c r="C2047" s="80"/>
      <c r="D2047" s="80"/>
      <c r="E2047" s="124"/>
      <c r="F2047" s="80"/>
      <c r="G2047" s="80"/>
      <c r="H2047" s="80"/>
      <c r="I2047" s="80"/>
      <c r="J2047" s="196"/>
      <c r="K2047" s="196"/>
      <c r="L2047" s="196"/>
      <c r="M2047" s="196"/>
      <c r="N2047" s="196"/>
      <c r="O2047" s="196"/>
      <c r="P2047" s="196"/>
      <c r="Q2047" s="196"/>
      <c r="R2047" s="196"/>
      <c r="S2047" s="196"/>
      <c r="T2047" s="196"/>
      <c r="U2047" s="196"/>
      <c r="V2047" s="196"/>
      <c r="W2047" s="196"/>
      <c r="X2047" s="196"/>
      <c r="Y2047" s="196"/>
      <c r="Z2047" s="196"/>
      <c r="AA2047" s="196"/>
      <c r="AB2047" s="196"/>
      <c r="AC2047" s="196"/>
      <c r="AD2047" s="196"/>
      <c r="AE2047" s="196"/>
      <c r="AF2047" s="196"/>
      <c r="AG2047" s="196"/>
      <c r="AH2047" s="196"/>
      <c r="AI2047" s="196"/>
      <c r="AJ2047" s="197"/>
      <c r="AK2047" s="80"/>
      <c r="AL2047" s="80"/>
      <c r="AM2047" s="73"/>
      <c r="AN2047" s="73"/>
      <c r="AO2047" s="73"/>
      <c r="AP2047" s="73"/>
      <c r="AQ2047" s="73"/>
      <c r="AR2047" s="73"/>
      <c r="AS2047" s="73"/>
      <c r="AT2047" s="73"/>
      <c r="AU2047" s="73"/>
      <c r="AV2047" s="73"/>
      <c r="AW2047" s="73"/>
      <c r="AX2047" s="73"/>
      <c r="AY2047" s="73"/>
      <c r="AZ2047" s="73"/>
      <c r="BA2047" s="73"/>
      <c r="BB2047" s="73"/>
      <c r="BC2047" s="73"/>
      <c r="BD2047" s="73"/>
      <c r="BE2047" s="73"/>
      <c r="BF2047" s="73"/>
      <c r="BG2047" s="73"/>
      <c r="BH2047" s="73"/>
      <c r="BI2047" s="73"/>
      <c r="BJ2047" s="73"/>
      <c r="BK2047" s="73"/>
      <c r="BL2047" s="73"/>
      <c r="BM2047" s="73"/>
      <c r="BN2047" s="73"/>
      <c r="BO2047" s="73"/>
      <c r="BP2047" s="73"/>
      <c r="BQ2047" s="73"/>
      <c r="BR2047" s="73"/>
      <c r="BS2047" s="73"/>
      <c r="BT2047" s="73"/>
      <c r="BU2047" s="73"/>
      <c r="BV2047" s="73"/>
      <c r="BW2047" s="73"/>
      <c r="BX2047" s="73"/>
      <c r="BY2047" s="73"/>
      <c r="BZ2047" s="73"/>
      <c r="CA2047" s="73"/>
      <c r="CB2047" s="73"/>
      <c r="CC2047" s="73"/>
      <c r="CD2047" s="73"/>
      <c r="CE2047" s="73"/>
      <c r="CF2047" s="73"/>
      <c r="CG2047" s="73"/>
      <c r="CH2047" s="73"/>
    </row>
    <row r="2048">
      <c r="A2048" s="80"/>
      <c r="B2048" s="80"/>
      <c r="C2048" s="80"/>
      <c r="D2048" s="80"/>
      <c r="E2048" s="124"/>
      <c r="F2048" s="80"/>
      <c r="G2048" s="80"/>
      <c r="H2048" s="80"/>
      <c r="I2048" s="80"/>
      <c r="J2048" s="196"/>
      <c r="K2048" s="196"/>
      <c r="L2048" s="196"/>
      <c r="M2048" s="196"/>
      <c r="N2048" s="196"/>
      <c r="O2048" s="196"/>
      <c r="P2048" s="196"/>
      <c r="Q2048" s="196"/>
      <c r="R2048" s="196"/>
      <c r="S2048" s="196"/>
      <c r="T2048" s="196"/>
      <c r="U2048" s="196"/>
      <c r="V2048" s="196"/>
      <c r="W2048" s="196"/>
      <c r="X2048" s="196"/>
      <c r="Y2048" s="196"/>
      <c r="Z2048" s="196"/>
      <c r="AA2048" s="196"/>
      <c r="AB2048" s="196"/>
      <c r="AC2048" s="196"/>
      <c r="AD2048" s="196"/>
      <c r="AE2048" s="196"/>
      <c r="AF2048" s="196"/>
      <c r="AG2048" s="196"/>
      <c r="AH2048" s="196"/>
      <c r="AI2048" s="196"/>
      <c r="AJ2048" s="197"/>
      <c r="AK2048" s="80"/>
      <c r="AL2048" s="80"/>
      <c r="AM2048" s="73"/>
      <c r="AN2048" s="73"/>
      <c r="AO2048" s="73"/>
      <c r="AP2048" s="73"/>
      <c r="AQ2048" s="73"/>
      <c r="AR2048" s="73"/>
      <c r="AS2048" s="73"/>
      <c r="AT2048" s="73"/>
      <c r="AU2048" s="73"/>
      <c r="AV2048" s="73"/>
      <c r="AW2048" s="73"/>
      <c r="AX2048" s="73"/>
      <c r="AY2048" s="73"/>
      <c r="AZ2048" s="73"/>
      <c r="BA2048" s="73"/>
      <c r="BB2048" s="73"/>
      <c r="BC2048" s="73"/>
      <c r="BD2048" s="73"/>
      <c r="BE2048" s="73"/>
      <c r="BF2048" s="73"/>
      <c r="BG2048" s="73"/>
      <c r="BH2048" s="73"/>
      <c r="BI2048" s="73"/>
      <c r="BJ2048" s="73"/>
      <c r="BK2048" s="73"/>
      <c r="BL2048" s="73"/>
      <c r="BM2048" s="73"/>
      <c r="BN2048" s="73"/>
      <c r="BO2048" s="73"/>
      <c r="BP2048" s="73"/>
      <c r="BQ2048" s="73"/>
      <c r="BR2048" s="73"/>
      <c r="BS2048" s="73"/>
      <c r="BT2048" s="73"/>
      <c r="BU2048" s="73"/>
      <c r="BV2048" s="73"/>
      <c r="BW2048" s="73"/>
      <c r="BX2048" s="73"/>
      <c r="BY2048" s="73"/>
      <c r="BZ2048" s="73"/>
      <c r="CA2048" s="73"/>
      <c r="CB2048" s="73"/>
      <c r="CC2048" s="73"/>
      <c r="CD2048" s="73"/>
      <c r="CE2048" s="73"/>
      <c r="CF2048" s="73"/>
      <c r="CG2048" s="73"/>
      <c r="CH2048" s="73"/>
    </row>
    <row r="2049">
      <c r="A2049" s="80"/>
      <c r="B2049" s="80"/>
      <c r="C2049" s="80"/>
      <c r="D2049" s="80"/>
      <c r="E2049" s="124"/>
      <c r="F2049" s="80"/>
      <c r="G2049" s="80"/>
      <c r="H2049" s="80"/>
      <c r="I2049" s="80"/>
      <c r="J2049" s="196"/>
      <c r="K2049" s="196"/>
      <c r="L2049" s="196"/>
      <c r="M2049" s="196"/>
      <c r="N2049" s="196"/>
      <c r="O2049" s="196"/>
      <c r="P2049" s="196"/>
      <c r="Q2049" s="196"/>
      <c r="R2049" s="196"/>
      <c r="S2049" s="196"/>
      <c r="T2049" s="196"/>
      <c r="U2049" s="196"/>
      <c r="V2049" s="196"/>
      <c r="W2049" s="196"/>
      <c r="X2049" s="196"/>
      <c r="Y2049" s="196"/>
      <c r="Z2049" s="196"/>
      <c r="AA2049" s="196"/>
      <c r="AB2049" s="196"/>
      <c r="AC2049" s="196"/>
      <c r="AD2049" s="196"/>
      <c r="AE2049" s="196"/>
      <c r="AF2049" s="196"/>
      <c r="AG2049" s="196"/>
      <c r="AH2049" s="196"/>
      <c r="AI2049" s="196"/>
      <c r="AJ2049" s="197"/>
      <c r="AK2049" s="80"/>
      <c r="AL2049" s="80"/>
      <c r="AM2049" s="73"/>
      <c r="AN2049" s="73"/>
      <c r="AO2049" s="73"/>
      <c r="AP2049" s="73"/>
      <c r="AQ2049" s="73"/>
      <c r="AR2049" s="73"/>
      <c r="AS2049" s="73"/>
      <c r="AT2049" s="73"/>
      <c r="AU2049" s="73"/>
      <c r="AV2049" s="73"/>
      <c r="AW2049" s="73"/>
      <c r="AX2049" s="73"/>
      <c r="AY2049" s="73"/>
      <c r="AZ2049" s="73"/>
      <c r="BA2049" s="73"/>
      <c r="BB2049" s="73"/>
      <c r="BC2049" s="73"/>
      <c r="BD2049" s="73"/>
      <c r="BE2049" s="73"/>
      <c r="BF2049" s="73"/>
      <c r="BG2049" s="73"/>
      <c r="BH2049" s="73"/>
      <c r="BI2049" s="73"/>
      <c r="BJ2049" s="73"/>
      <c r="BK2049" s="73"/>
      <c r="BL2049" s="73"/>
      <c r="BM2049" s="73"/>
      <c r="BN2049" s="73"/>
      <c r="BO2049" s="73"/>
      <c r="BP2049" s="73"/>
      <c r="BQ2049" s="73"/>
      <c r="BR2049" s="73"/>
      <c r="BS2049" s="73"/>
      <c r="BT2049" s="73"/>
      <c r="BU2049" s="73"/>
      <c r="BV2049" s="73"/>
      <c r="BW2049" s="73"/>
      <c r="BX2049" s="73"/>
      <c r="BY2049" s="73"/>
      <c r="BZ2049" s="73"/>
      <c r="CA2049" s="73"/>
      <c r="CB2049" s="73"/>
      <c r="CC2049" s="73"/>
      <c r="CD2049" s="73"/>
      <c r="CE2049" s="73"/>
      <c r="CF2049" s="73"/>
      <c r="CG2049" s="73"/>
      <c r="CH2049" s="73"/>
    </row>
    <row r="2050">
      <c r="A2050" s="80"/>
      <c r="B2050" s="80"/>
      <c r="C2050" s="80"/>
      <c r="D2050" s="80"/>
      <c r="E2050" s="124"/>
      <c r="F2050" s="80"/>
      <c r="G2050" s="80"/>
      <c r="H2050" s="80"/>
      <c r="I2050" s="80"/>
      <c r="J2050" s="196"/>
      <c r="K2050" s="196"/>
      <c r="L2050" s="196"/>
      <c r="M2050" s="196"/>
      <c r="N2050" s="196"/>
      <c r="O2050" s="196"/>
      <c r="P2050" s="196"/>
      <c r="Q2050" s="196"/>
      <c r="R2050" s="196"/>
      <c r="S2050" s="196"/>
      <c r="T2050" s="196"/>
      <c r="U2050" s="196"/>
      <c r="V2050" s="196"/>
      <c r="W2050" s="196"/>
      <c r="X2050" s="196"/>
      <c r="Y2050" s="196"/>
      <c r="Z2050" s="196"/>
      <c r="AA2050" s="196"/>
      <c r="AB2050" s="196"/>
      <c r="AC2050" s="196"/>
      <c r="AD2050" s="196"/>
      <c r="AE2050" s="196"/>
      <c r="AF2050" s="196"/>
      <c r="AG2050" s="196"/>
      <c r="AH2050" s="196"/>
      <c r="AI2050" s="196"/>
      <c r="AJ2050" s="197"/>
      <c r="AK2050" s="80"/>
      <c r="AL2050" s="80"/>
      <c r="AM2050" s="73"/>
      <c r="AN2050" s="73"/>
      <c r="AO2050" s="73"/>
      <c r="AP2050" s="73"/>
      <c r="AQ2050" s="73"/>
      <c r="AR2050" s="73"/>
      <c r="AS2050" s="73"/>
      <c r="AT2050" s="73"/>
      <c r="AU2050" s="73"/>
      <c r="AV2050" s="73"/>
      <c r="AW2050" s="73"/>
      <c r="AX2050" s="73"/>
      <c r="AY2050" s="73"/>
      <c r="AZ2050" s="73"/>
      <c r="BA2050" s="73"/>
      <c r="BB2050" s="73"/>
      <c r="BC2050" s="73"/>
      <c r="BD2050" s="73"/>
      <c r="BE2050" s="73"/>
      <c r="BF2050" s="73"/>
      <c r="BG2050" s="73"/>
      <c r="BH2050" s="73"/>
      <c r="BI2050" s="73"/>
      <c r="BJ2050" s="73"/>
      <c r="BK2050" s="73"/>
      <c r="BL2050" s="73"/>
      <c r="BM2050" s="73"/>
      <c r="BN2050" s="73"/>
      <c r="BO2050" s="73"/>
      <c r="BP2050" s="73"/>
      <c r="BQ2050" s="73"/>
      <c r="BR2050" s="73"/>
      <c r="BS2050" s="73"/>
      <c r="BT2050" s="73"/>
      <c r="BU2050" s="73"/>
      <c r="BV2050" s="73"/>
      <c r="BW2050" s="73"/>
      <c r="BX2050" s="73"/>
      <c r="BY2050" s="73"/>
      <c r="BZ2050" s="73"/>
      <c r="CA2050" s="73"/>
      <c r="CB2050" s="73"/>
      <c r="CC2050" s="73"/>
      <c r="CD2050" s="73"/>
      <c r="CE2050" s="73"/>
      <c r="CF2050" s="73"/>
      <c r="CG2050" s="73"/>
      <c r="CH2050" s="73"/>
    </row>
    <row r="2051">
      <c r="A2051" s="80"/>
      <c r="B2051" s="80"/>
      <c r="C2051" s="80"/>
      <c r="D2051" s="80"/>
      <c r="E2051" s="124"/>
      <c r="F2051" s="80"/>
      <c r="G2051" s="80"/>
      <c r="H2051" s="80"/>
      <c r="I2051" s="80"/>
      <c r="J2051" s="196"/>
      <c r="K2051" s="196"/>
      <c r="L2051" s="196"/>
      <c r="M2051" s="196"/>
      <c r="N2051" s="196"/>
      <c r="O2051" s="196"/>
      <c r="P2051" s="196"/>
      <c r="Q2051" s="196"/>
      <c r="R2051" s="196"/>
      <c r="S2051" s="196"/>
      <c r="T2051" s="196"/>
      <c r="U2051" s="196"/>
      <c r="V2051" s="196"/>
      <c r="W2051" s="196"/>
      <c r="X2051" s="196"/>
      <c r="Y2051" s="196"/>
      <c r="Z2051" s="196"/>
      <c r="AA2051" s="196"/>
      <c r="AB2051" s="196"/>
      <c r="AC2051" s="196"/>
      <c r="AD2051" s="196"/>
      <c r="AE2051" s="196"/>
      <c r="AF2051" s="196"/>
      <c r="AG2051" s="196"/>
      <c r="AH2051" s="196"/>
      <c r="AI2051" s="196"/>
      <c r="AJ2051" s="197"/>
      <c r="AK2051" s="80"/>
      <c r="AL2051" s="80"/>
      <c r="AM2051" s="73"/>
      <c r="AN2051" s="73"/>
      <c r="AO2051" s="73"/>
      <c r="AP2051" s="73"/>
      <c r="AQ2051" s="73"/>
      <c r="AR2051" s="73"/>
      <c r="AS2051" s="73"/>
      <c r="AT2051" s="73"/>
      <c r="AU2051" s="73"/>
      <c r="AV2051" s="73"/>
      <c r="AW2051" s="73"/>
      <c r="AX2051" s="73"/>
      <c r="AY2051" s="73"/>
      <c r="AZ2051" s="73"/>
      <c r="BA2051" s="73"/>
      <c r="BB2051" s="73"/>
      <c r="BC2051" s="73"/>
      <c r="BD2051" s="73"/>
      <c r="BE2051" s="73"/>
      <c r="BF2051" s="73"/>
      <c r="BG2051" s="73"/>
      <c r="BH2051" s="73"/>
      <c r="BI2051" s="73"/>
      <c r="BJ2051" s="73"/>
      <c r="BK2051" s="73"/>
      <c r="BL2051" s="73"/>
      <c r="BM2051" s="73"/>
      <c r="BN2051" s="73"/>
      <c r="BO2051" s="73"/>
      <c r="BP2051" s="73"/>
      <c r="BQ2051" s="73"/>
      <c r="BR2051" s="73"/>
      <c r="BS2051" s="73"/>
      <c r="BT2051" s="73"/>
      <c r="BU2051" s="73"/>
      <c r="BV2051" s="73"/>
      <c r="BW2051" s="73"/>
      <c r="BX2051" s="73"/>
      <c r="BY2051" s="73"/>
      <c r="BZ2051" s="73"/>
      <c r="CA2051" s="73"/>
      <c r="CB2051" s="73"/>
      <c r="CC2051" s="73"/>
      <c r="CD2051" s="73"/>
      <c r="CE2051" s="73"/>
      <c r="CF2051" s="73"/>
      <c r="CG2051" s="73"/>
      <c r="CH2051" s="73"/>
    </row>
    <row r="2052">
      <c r="A2052" s="80"/>
      <c r="B2052" s="80"/>
      <c r="C2052" s="80"/>
      <c r="D2052" s="80"/>
      <c r="E2052" s="124"/>
      <c r="F2052" s="80"/>
      <c r="G2052" s="80"/>
      <c r="H2052" s="80"/>
      <c r="I2052" s="80"/>
      <c r="J2052" s="196"/>
      <c r="K2052" s="196"/>
      <c r="L2052" s="196"/>
      <c r="M2052" s="196"/>
      <c r="N2052" s="196"/>
      <c r="O2052" s="196"/>
      <c r="P2052" s="196"/>
      <c r="Q2052" s="196"/>
      <c r="R2052" s="196"/>
      <c r="S2052" s="196"/>
      <c r="T2052" s="196"/>
      <c r="U2052" s="196"/>
      <c r="V2052" s="196"/>
      <c r="W2052" s="196"/>
      <c r="X2052" s="196"/>
      <c r="Y2052" s="196"/>
      <c r="Z2052" s="196"/>
      <c r="AA2052" s="196"/>
      <c r="AB2052" s="196"/>
      <c r="AC2052" s="196"/>
      <c r="AD2052" s="196"/>
      <c r="AE2052" s="196"/>
      <c r="AF2052" s="196"/>
      <c r="AG2052" s="196"/>
      <c r="AH2052" s="196"/>
      <c r="AI2052" s="196"/>
      <c r="AJ2052" s="197"/>
      <c r="AK2052" s="80"/>
      <c r="AL2052" s="80"/>
      <c r="AM2052" s="73"/>
      <c r="AN2052" s="73"/>
      <c r="AO2052" s="73"/>
      <c r="AP2052" s="73"/>
      <c r="AQ2052" s="73"/>
      <c r="AR2052" s="73"/>
      <c r="AS2052" s="73"/>
      <c r="AT2052" s="73"/>
      <c r="AU2052" s="73"/>
      <c r="AV2052" s="73"/>
      <c r="AW2052" s="73"/>
      <c r="AX2052" s="73"/>
      <c r="AY2052" s="73"/>
      <c r="AZ2052" s="73"/>
      <c r="BA2052" s="73"/>
      <c r="BB2052" s="73"/>
      <c r="BC2052" s="73"/>
      <c r="BD2052" s="73"/>
      <c r="BE2052" s="73"/>
      <c r="BF2052" s="73"/>
      <c r="BG2052" s="73"/>
      <c r="BH2052" s="73"/>
      <c r="BI2052" s="73"/>
      <c r="BJ2052" s="73"/>
      <c r="BK2052" s="73"/>
      <c r="BL2052" s="73"/>
      <c r="BM2052" s="73"/>
      <c r="BN2052" s="73"/>
      <c r="BO2052" s="73"/>
      <c r="BP2052" s="73"/>
      <c r="BQ2052" s="73"/>
      <c r="BR2052" s="73"/>
      <c r="BS2052" s="73"/>
      <c r="BT2052" s="73"/>
      <c r="BU2052" s="73"/>
      <c r="BV2052" s="73"/>
      <c r="BW2052" s="73"/>
      <c r="BX2052" s="73"/>
      <c r="BY2052" s="73"/>
      <c r="BZ2052" s="73"/>
      <c r="CA2052" s="73"/>
      <c r="CB2052" s="73"/>
      <c r="CC2052" s="73"/>
      <c r="CD2052" s="73"/>
      <c r="CE2052" s="73"/>
      <c r="CF2052" s="73"/>
      <c r="CG2052" s="73"/>
      <c r="CH2052" s="73"/>
    </row>
    <row r="2053">
      <c r="A2053" s="80"/>
      <c r="B2053" s="80"/>
      <c r="C2053" s="80"/>
      <c r="D2053" s="80"/>
      <c r="E2053" s="124"/>
      <c r="F2053" s="80"/>
      <c r="G2053" s="80"/>
      <c r="H2053" s="80"/>
      <c r="I2053" s="80"/>
      <c r="J2053" s="196"/>
      <c r="K2053" s="196"/>
      <c r="L2053" s="196"/>
      <c r="M2053" s="196"/>
      <c r="N2053" s="196"/>
      <c r="O2053" s="196"/>
      <c r="P2053" s="196"/>
      <c r="Q2053" s="196"/>
      <c r="R2053" s="196"/>
      <c r="S2053" s="196"/>
      <c r="T2053" s="196"/>
      <c r="U2053" s="196"/>
      <c r="V2053" s="196"/>
      <c r="W2053" s="196"/>
      <c r="X2053" s="196"/>
      <c r="Y2053" s="196"/>
      <c r="Z2053" s="196"/>
      <c r="AA2053" s="196"/>
      <c r="AB2053" s="196"/>
      <c r="AC2053" s="196"/>
      <c r="AD2053" s="196"/>
      <c r="AE2053" s="196"/>
      <c r="AF2053" s="196"/>
      <c r="AG2053" s="196"/>
      <c r="AH2053" s="196"/>
      <c r="AI2053" s="196"/>
      <c r="AJ2053" s="197"/>
      <c r="AK2053" s="80"/>
      <c r="AL2053" s="80"/>
      <c r="AM2053" s="73"/>
      <c r="AN2053" s="73"/>
      <c r="AO2053" s="73"/>
      <c r="AP2053" s="73"/>
      <c r="AQ2053" s="73"/>
      <c r="AR2053" s="73"/>
      <c r="AS2053" s="73"/>
      <c r="AT2053" s="73"/>
      <c r="AU2053" s="73"/>
      <c r="AV2053" s="73"/>
      <c r="AW2053" s="73"/>
      <c r="AX2053" s="73"/>
      <c r="AY2053" s="73"/>
      <c r="AZ2053" s="73"/>
      <c r="BA2053" s="73"/>
      <c r="BB2053" s="73"/>
      <c r="BC2053" s="73"/>
      <c r="BD2053" s="73"/>
      <c r="BE2053" s="73"/>
      <c r="BF2053" s="73"/>
      <c r="BG2053" s="73"/>
      <c r="BH2053" s="73"/>
      <c r="BI2053" s="73"/>
      <c r="BJ2053" s="73"/>
      <c r="BK2053" s="73"/>
      <c r="BL2053" s="73"/>
      <c r="BM2053" s="73"/>
      <c r="BN2053" s="73"/>
      <c r="BO2053" s="73"/>
      <c r="BP2053" s="73"/>
      <c r="BQ2053" s="73"/>
      <c r="BR2053" s="73"/>
      <c r="BS2053" s="73"/>
      <c r="BT2053" s="73"/>
      <c r="BU2053" s="73"/>
      <c r="BV2053" s="73"/>
      <c r="BW2053" s="73"/>
      <c r="BX2053" s="73"/>
      <c r="BY2053" s="73"/>
      <c r="BZ2053" s="73"/>
      <c r="CA2053" s="73"/>
      <c r="CB2053" s="73"/>
      <c r="CC2053" s="73"/>
      <c r="CD2053" s="73"/>
      <c r="CE2053" s="73"/>
      <c r="CF2053" s="73"/>
      <c r="CG2053" s="73"/>
      <c r="CH2053" s="73"/>
    </row>
    <row r="2054">
      <c r="A2054" s="80"/>
      <c r="B2054" s="80"/>
      <c r="C2054" s="80"/>
      <c r="D2054" s="80"/>
      <c r="E2054" s="124"/>
      <c r="F2054" s="80"/>
      <c r="G2054" s="80"/>
      <c r="H2054" s="80"/>
      <c r="I2054" s="80"/>
      <c r="J2054" s="196"/>
      <c r="K2054" s="196"/>
      <c r="L2054" s="196"/>
      <c r="M2054" s="196"/>
      <c r="N2054" s="196"/>
      <c r="O2054" s="196"/>
      <c r="P2054" s="196"/>
      <c r="Q2054" s="196"/>
      <c r="R2054" s="196"/>
      <c r="S2054" s="196"/>
      <c r="T2054" s="196"/>
      <c r="U2054" s="196"/>
      <c r="V2054" s="196"/>
      <c r="W2054" s="196"/>
      <c r="X2054" s="196"/>
      <c r="Y2054" s="196"/>
      <c r="Z2054" s="196"/>
      <c r="AA2054" s="196"/>
      <c r="AB2054" s="196"/>
      <c r="AC2054" s="196"/>
      <c r="AD2054" s="196"/>
      <c r="AE2054" s="196"/>
      <c r="AF2054" s="196"/>
      <c r="AG2054" s="196"/>
      <c r="AH2054" s="196"/>
      <c r="AI2054" s="196"/>
      <c r="AJ2054" s="197"/>
      <c r="AK2054" s="80"/>
      <c r="AL2054" s="80"/>
      <c r="AM2054" s="73"/>
      <c r="AN2054" s="73"/>
      <c r="AO2054" s="73"/>
      <c r="AP2054" s="73"/>
      <c r="AQ2054" s="73"/>
      <c r="AR2054" s="73"/>
      <c r="AS2054" s="73"/>
      <c r="AT2054" s="73"/>
      <c r="AU2054" s="73"/>
      <c r="AV2054" s="73"/>
      <c r="AW2054" s="73"/>
      <c r="AX2054" s="73"/>
      <c r="AY2054" s="73"/>
      <c r="AZ2054" s="73"/>
      <c r="BA2054" s="73"/>
      <c r="BB2054" s="73"/>
      <c r="BC2054" s="73"/>
      <c r="BD2054" s="73"/>
      <c r="BE2054" s="73"/>
      <c r="BF2054" s="73"/>
      <c r="BG2054" s="73"/>
      <c r="BH2054" s="73"/>
      <c r="BI2054" s="73"/>
      <c r="BJ2054" s="73"/>
      <c r="BK2054" s="73"/>
      <c r="BL2054" s="73"/>
      <c r="BM2054" s="73"/>
      <c r="BN2054" s="73"/>
      <c r="BO2054" s="73"/>
      <c r="BP2054" s="73"/>
      <c r="BQ2054" s="73"/>
      <c r="BR2054" s="73"/>
      <c r="BS2054" s="73"/>
      <c r="BT2054" s="73"/>
      <c r="BU2054" s="73"/>
      <c r="BV2054" s="73"/>
      <c r="BW2054" s="73"/>
      <c r="BX2054" s="73"/>
      <c r="BY2054" s="73"/>
      <c r="BZ2054" s="73"/>
      <c r="CA2054" s="73"/>
      <c r="CB2054" s="73"/>
      <c r="CC2054" s="73"/>
      <c r="CD2054" s="73"/>
      <c r="CE2054" s="73"/>
      <c r="CF2054" s="73"/>
      <c r="CG2054" s="73"/>
      <c r="CH2054" s="73"/>
    </row>
    <row r="2055">
      <c r="A2055" s="80"/>
      <c r="B2055" s="80"/>
      <c r="C2055" s="80"/>
      <c r="D2055" s="80"/>
      <c r="E2055" s="124"/>
      <c r="F2055" s="80"/>
      <c r="G2055" s="80"/>
      <c r="H2055" s="80"/>
      <c r="I2055" s="80"/>
      <c r="J2055" s="196"/>
      <c r="K2055" s="196"/>
      <c r="L2055" s="196"/>
      <c r="M2055" s="196"/>
      <c r="N2055" s="196"/>
      <c r="O2055" s="196"/>
      <c r="P2055" s="196"/>
      <c r="Q2055" s="196"/>
      <c r="R2055" s="196"/>
      <c r="S2055" s="196"/>
      <c r="T2055" s="196"/>
      <c r="U2055" s="196"/>
      <c r="V2055" s="196"/>
      <c r="W2055" s="196"/>
      <c r="X2055" s="196"/>
      <c r="Y2055" s="196"/>
      <c r="Z2055" s="196"/>
      <c r="AA2055" s="196"/>
      <c r="AB2055" s="196"/>
      <c r="AC2055" s="196"/>
      <c r="AD2055" s="196"/>
      <c r="AE2055" s="196"/>
      <c r="AF2055" s="196"/>
      <c r="AG2055" s="196"/>
      <c r="AH2055" s="196"/>
      <c r="AI2055" s="196"/>
      <c r="AJ2055" s="197"/>
      <c r="AK2055" s="80"/>
      <c r="AL2055" s="80"/>
      <c r="AM2055" s="73"/>
      <c r="AN2055" s="73"/>
      <c r="AO2055" s="73"/>
      <c r="AP2055" s="73"/>
      <c r="AQ2055" s="73"/>
      <c r="AR2055" s="73"/>
      <c r="AS2055" s="73"/>
      <c r="AT2055" s="73"/>
      <c r="AU2055" s="73"/>
      <c r="AV2055" s="73"/>
      <c r="AW2055" s="73"/>
      <c r="AX2055" s="73"/>
      <c r="AY2055" s="73"/>
      <c r="AZ2055" s="73"/>
      <c r="BA2055" s="73"/>
      <c r="BB2055" s="73"/>
      <c r="BC2055" s="73"/>
      <c r="BD2055" s="73"/>
      <c r="BE2055" s="73"/>
      <c r="BF2055" s="73"/>
      <c r="BG2055" s="73"/>
      <c r="BH2055" s="73"/>
      <c r="BI2055" s="73"/>
      <c r="BJ2055" s="73"/>
      <c r="BK2055" s="73"/>
      <c r="BL2055" s="73"/>
      <c r="BM2055" s="73"/>
      <c r="BN2055" s="73"/>
      <c r="BO2055" s="73"/>
      <c r="BP2055" s="73"/>
      <c r="BQ2055" s="73"/>
      <c r="BR2055" s="73"/>
      <c r="BS2055" s="73"/>
      <c r="BT2055" s="73"/>
      <c r="BU2055" s="73"/>
      <c r="BV2055" s="73"/>
      <c r="BW2055" s="73"/>
      <c r="BX2055" s="73"/>
      <c r="BY2055" s="73"/>
      <c r="BZ2055" s="73"/>
      <c r="CA2055" s="73"/>
      <c r="CB2055" s="73"/>
      <c r="CC2055" s="73"/>
      <c r="CD2055" s="73"/>
      <c r="CE2055" s="73"/>
      <c r="CF2055" s="73"/>
      <c r="CG2055" s="73"/>
      <c r="CH2055" s="73"/>
    </row>
    <row r="2056">
      <c r="A2056" s="80"/>
      <c r="B2056" s="80"/>
      <c r="C2056" s="80"/>
      <c r="D2056" s="80"/>
      <c r="E2056" s="124"/>
      <c r="F2056" s="80"/>
      <c r="G2056" s="80"/>
      <c r="H2056" s="80"/>
      <c r="I2056" s="80"/>
      <c r="J2056" s="196"/>
      <c r="K2056" s="196"/>
      <c r="L2056" s="196"/>
      <c r="M2056" s="196"/>
      <c r="N2056" s="196"/>
      <c r="O2056" s="196"/>
      <c r="P2056" s="196"/>
      <c r="Q2056" s="196"/>
      <c r="R2056" s="196"/>
      <c r="S2056" s="196"/>
      <c r="T2056" s="196"/>
      <c r="U2056" s="196"/>
      <c r="V2056" s="196"/>
      <c r="W2056" s="196"/>
      <c r="X2056" s="196"/>
      <c r="Y2056" s="196"/>
      <c r="Z2056" s="196"/>
      <c r="AA2056" s="196"/>
      <c r="AB2056" s="196"/>
      <c r="AC2056" s="196"/>
      <c r="AD2056" s="196"/>
      <c r="AE2056" s="196"/>
      <c r="AF2056" s="196"/>
      <c r="AG2056" s="196"/>
      <c r="AH2056" s="196"/>
      <c r="AI2056" s="196"/>
      <c r="AJ2056" s="197"/>
      <c r="AK2056" s="80"/>
      <c r="AL2056" s="80"/>
      <c r="AM2056" s="73"/>
      <c r="AN2056" s="73"/>
      <c r="AO2056" s="73"/>
      <c r="AP2056" s="73"/>
      <c r="AQ2056" s="73"/>
      <c r="AR2056" s="73"/>
      <c r="AS2056" s="73"/>
      <c r="AT2056" s="73"/>
      <c r="AU2056" s="73"/>
      <c r="AV2056" s="73"/>
      <c r="AW2056" s="73"/>
      <c r="AX2056" s="73"/>
      <c r="AY2056" s="73"/>
      <c r="AZ2056" s="73"/>
      <c r="BA2056" s="73"/>
      <c r="BB2056" s="73"/>
      <c r="BC2056" s="73"/>
      <c r="BD2056" s="73"/>
      <c r="BE2056" s="73"/>
      <c r="BF2056" s="73"/>
      <c r="BG2056" s="73"/>
      <c r="BH2056" s="73"/>
      <c r="BI2056" s="73"/>
      <c r="BJ2056" s="73"/>
      <c r="BK2056" s="73"/>
      <c r="BL2056" s="73"/>
      <c r="BM2056" s="73"/>
      <c r="BN2056" s="73"/>
      <c r="BO2056" s="73"/>
      <c r="BP2056" s="73"/>
      <c r="BQ2056" s="73"/>
      <c r="BR2056" s="73"/>
      <c r="BS2056" s="73"/>
      <c r="BT2056" s="73"/>
      <c r="BU2056" s="73"/>
      <c r="BV2056" s="73"/>
      <c r="BW2056" s="73"/>
      <c r="BX2056" s="73"/>
      <c r="BY2056" s="73"/>
      <c r="BZ2056" s="73"/>
      <c r="CA2056" s="73"/>
      <c r="CB2056" s="73"/>
      <c r="CC2056" s="73"/>
      <c r="CD2056" s="73"/>
      <c r="CE2056" s="73"/>
      <c r="CF2056" s="73"/>
      <c r="CG2056" s="73"/>
      <c r="CH2056" s="73"/>
    </row>
    <row r="2057">
      <c r="A2057" s="80"/>
      <c r="B2057" s="80"/>
      <c r="C2057" s="80"/>
      <c r="D2057" s="80"/>
      <c r="E2057" s="124"/>
      <c r="F2057" s="80"/>
      <c r="G2057" s="80"/>
      <c r="H2057" s="80"/>
      <c r="I2057" s="80"/>
      <c r="J2057" s="196"/>
      <c r="K2057" s="196"/>
      <c r="L2057" s="196"/>
      <c r="M2057" s="196"/>
      <c r="N2057" s="196"/>
      <c r="O2057" s="196"/>
      <c r="P2057" s="196"/>
      <c r="Q2057" s="196"/>
      <c r="R2057" s="196"/>
      <c r="S2057" s="196"/>
      <c r="T2057" s="196"/>
      <c r="U2057" s="196"/>
      <c r="V2057" s="196"/>
      <c r="W2057" s="196"/>
      <c r="X2057" s="196"/>
      <c r="Y2057" s="196"/>
      <c r="Z2057" s="196"/>
      <c r="AA2057" s="196"/>
      <c r="AB2057" s="196"/>
      <c r="AC2057" s="196"/>
      <c r="AD2057" s="196"/>
      <c r="AE2057" s="196"/>
      <c r="AF2057" s="196"/>
      <c r="AG2057" s="196"/>
      <c r="AH2057" s="196"/>
      <c r="AI2057" s="196"/>
      <c r="AJ2057" s="197"/>
      <c r="AK2057" s="80"/>
      <c r="AL2057" s="80"/>
      <c r="AM2057" s="73"/>
      <c r="AN2057" s="73"/>
      <c r="AO2057" s="73"/>
      <c r="AP2057" s="73"/>
      <c r="AQ2057" s="73"/>
      <c r="AR2057" s="73"/>
      <c r="AS2057" s="73"/>
      <c r="AT2057" s="73"/>
      <c r="AU2057" s="73"/>
      <c r="AV2057" s="73"/>
      <c r="AW2057" s="73"/>
      <c r="AX2057" s="73"/>
      <c r="AY2057" s="73"/>
      <c r="AZ2057" s="73"/>
      <c r="BA2057" s="73"/>
      <c r="BB2057" s="73"/>
      <c r="BC2057" s="73"/>
      <c r="BD2057" s="73"/>
      <c r="BE2057" s="73"/>
      <c r="BF2057" s="73"/>
      <c r="BG2057" s="73"/>
      <c r="BH2057" s="73"/>
      <c r="BI2057" s="73"/>
      <c r="BJ2057" s="73"/>
      <c r="BK2057" s="73"/>
      <c r="BL2057" s="73"/>
      <c r="BM2057" s="73"/>
      <c r="BN2057" s="73"/>
      <c r="BO2057" s="73"/>
      <c r="BP2057" s="73"/>
      <c r="BQ2057" s="73"/>
      <c r="BR2057" s="73"/>
      <c r="BS2057" s="73"/>
      <c r="BT2057" s="73"/>
      <c r="BU2057" s="73"/>
      <c r="BV2057" s="73"/>
      <c r="BW2057" s="73"/>
      <c r="BX2057" s="73"/>
      <c r="BY2057" s="73"/>
      <c r="BZ2057" s="73"/>
      <c r="CA2057" s="73"/>
      <c r="CB2057" s="73"/>
      <c r="CC2057" s="73"/>
      <c r="CD2057" s="73"/>
      <c r="CE2057" s="73"/>
      <c r="CF2057" s="73"/>
      <c r="CG2057" s="73"/>
      <c r="CH2057" s="73"/>
    </row>
    <row r="2058">
      <c r="A2058" s="80"/>
      <c r="B2058" s="80"/>
      <c r="C2058" s="80"/>
      <c r="D2058" s="80"/>
      <c r="E2058" s="124"/>
      <c r="F2058" s="80"/>
      <c r="G2058" s="80"/>
      <c r="H2058" s="80"/>
      <c r="I2058" s="80"/>
      <c r="J2058" s="196"/>
      <c r="K2058" s="196"/>
      <c r="L2058" s="196"/>
      <c r="M2058" s="196"/>
      <c r="N2058" s="196"/>
      <c r="O2058" s="196"/>
      <c r="P2058" s="196"/>
      <c r="Q2058" s="196"/>
      <c r="R2058" s="196"/>
      <c r="S2058" s="196"/>
      <c r="T2058" s="196"/>
      <c r="U2058" s="196"/>
      <c r="V2058" s="196"/>
      <c r="W2058" s="196"/>
      <c r="X2058" s="196"/>
      <c r="Y2058" s="196"/>
      <c r="Z2058" s="196"/>
      <c r="AA2058" s="196"/>
      <c r="AB2058" s="196"/>
      <c r="AC2058" s="196"/>
      <c r="AD2058" s="196"/>
      <c r="AE2058" s="196"/>
      <c r="AF2058" s="196"/>
      <c r="AG2058" s="196"/>
      <c r="AH2058" s="196"/>
      <c r="AI2058" s="196"/>
      <c r="AJ2058" s="197"/>
      <c r="AK2058" s="80"/>
      <c r="AL2058" s="80"/>
      <c r="AM2058" s="73"/>
      <c r="AN2058" s="73"/>
      <c r="AO2058" s="73"/>
      <c r="AP2058" s="73"/>
      <c r="AQ2058" s="73"/>
      <c r="AR2058" s="73"/>
      <c r="AS2058" s="73"/>
      <c r="AT2058" s="73"/>
      <c r="AU2058" s="73"/>
      <c r="AV2058" s="73"/>
      <c r="AW2058" s="73"/>
      <c r="AX2058" s="73"/>
      <c r="AY2058" s="73"/>
      <c r="AZ2058" s="73"/>
      <c r="BA2058" s="73"/>
      <c r="BB2058" s="73"/>
      <c r="BC2058" s="73"/>
      <c r="BD2058" s="73"/>
      <c r="BE2058" s="73"/>
      <c r="BF2058" s="73"/>
      <c r="BG2058" s="73"/>
      <c r="BH2058" s="73"/>
      <c r="BI2058" s="73"/>
      <c r="BJ2058" s="73"/>
      <c r="BK2058" s="73"/>
      <c r="BL2058" s="73"/>
      <c r="BM2058" s="73"/>
      <c r="BN2058" s="73"/>
      <c r="BO2058" s="73"/>
      <c r="BP2058" s="73"/>
      <c r="BQ2058" s="73"/>
      <c r="BR2058" s="73"/>
      <c r="BS2058" s="73"/>
      <c r="BT2058" s="73"/>
      <c r="BU2058" s="73"/>
      <c r="BV2058" s="73"/>
      <c r="BW2058" s="73"/>
      <c r="BX2058" s="73"/>
      <c r="BY2058" s="73"/>
      <c r="BZ2058" s="73"/>
      <c r="CA2058" s="73"/>
      <c r="CB2058" s="73"/>
      <c r="CC2058" s="73"/>
      <c r="CD2058" s="73"/>
      <c r="CE2058" s="73"/>
      <c r="CF2058" s="73"/>
      <c r="CG2058" s="73"/>
      <c r="CH2058" s="73"/>
    </row>
    <row r="2059">
      <c r="A2059" s="80"/>
      <c r="B2059" s="80"/>
      <c r="C2059" s="80"/>
      <c r="D2059" s="80"/>
      <c r="E2059" s="124"/>
      <c r="F2059" s="80"/>
      <c r="G2059" s="80"/>
      <c r="H2059" s="80"/>
      <c r="I2059" s="80"/>
      <c r="J2059" s="196"/>
      <c r="K2059" s="196"/>
      <c r="L2059" s="196"/>
      <c r="M2059" s="196"/>
      <c r="N2059" s="196"/>
      <c r="O2059" s="196"/>
      <c r="P2059" s="196"/>
      <c r="Q2059" s="196"/>
      <c r="R2059" s="196"/>
      <c r="S2059" s="196"/>
      <c r="T2059" s="196"/>
      <c r="U2059" s="196"/>
      <c r="V2059" s="196"/>
      <c r="W2059" s="196"/>
      <c r="X2059" s="196"/>
      <c r="Y2059" s="196"/>
      <c r="Z2059" s="196"/>
      <c r="AA2059" s="196"/>
      <c r="AB2059" s="196"/>
      <c r="AC2059" s="196"/>
      <c r="AD2059" s="196"/>
      <c r="AE2059" s="196"/>
      <c r="AF2059" s="196"/>
      <c r="AG2059" s="196"/>
      <c r="AH2059" s="196"/>
      <c r="AI2059" s="196"/>
      <c r="AJ2059" s="197"/>
      <c r="AK2059" s="80"/>
      <c r="AL2059" s="80"/>
      <c r="AM2059" s="73"/>
      <c r="AN2059" s="73"/>
      <c r="AO2059" s="73"/>
      <c r="AP2059" s="73"/>
      <c r="AQ2059" s="73"/>
      <c r="AR2059" s="73"/>
      <c r="AS2059" s="73"/>
      <c r="AT2059" s="73"/>
      <c r="AU2059" s="73"/>
      <c r="AV2059" s="73"/>
      <c r="AW2059" s="73"/>
      <c r="AX2059" s="73"/>
      <c r="AY2059" s="73"/>
      <c r="AZ2059" s="73"/>
      <c r="BA2059" s="73"/>
      <c r="BB2059" s="73"/>
      <c r="BC2059" s="73"/>
      <c r="BD2059" s="73"/>
      <c r="BE2059" s="73"/>
      <c r="BF2059" s="73"/>
      <c r="BG2059" s="73"/>
      <c r="BH2059" s="73"/>
      <c r="BI2059" s="73"/>
      <c r="BJ2059" s="73"/>
      <c r="BK2059" s="73"/>
      <c r="BL2059" s="73"/>
      <c r="BM2059" s="73"/>
      <c r="BN2059" s="73"/>
      <c r="BO2059" s="73"/>
      <c r="BP2059" s="73"/>
      <c r="BQ2059" s="73"/>
      <c r="BR2059" s="73"/>
      <c r="BS2059" s="73"/>
      <c r="BT2059" s="73"/>
      <c r="BU2059" s="73"/>
      <c r="BV2059" s="73"/>
      <c r="BW2059" s="73"/>
      <c r="BX2059" s="73"/>
      <c r="BY2059" s="73"/>
      <c r="BZ2059" s="73"/>
      <c r="CA2059" s="73"/>
      <c r="CB2059" s="73"/>
      <c r="CC2059" s="73"/>
      <c r="CD2059" s="73"/>
      <c r="CE2059" s="73"/>
      <c r="CF2059" s="73"/>
      <c r="CG2059" s="73"/>
      <c r="CH2059" s="73"/>
    </row>
    <row r="2060">
      <c r="A2060" s="80"/>
      <c r="B2060" s="80"/>
      <c r="C2060" s="80"/>
      <c r="D2060" s="80"/>
      <c r="E2060" s="124"/>
      <c r="F2060" s="80"/>
      <c r="G2060" s="80"/>
      <c r="H2060" s="80"/>
      <c r="I2060" s="80"/>
      <c r="J2060" s="196"/>
      <c r="K2060" s="196"/>
      <c r="L2060" s="196"/>
      <c r="M2060" s="196"/>
      <c r="N2060" s="196"/>
      <c r="O2060" s="196"/>
      <c r="P2060" s="196"/>
      <c r="Q2060" s="196"/>
      <c r="R2060" s="196"/>
      <c r="S2060" s="196"/>
      <c r="T2060" s="196"/>
      <c r="U2060" s="196"/>
      <c r="V2060" s="196"/>
      <c r="W2060" s="196"/>
      <c r="X2060" s="196"/>
      <c r="Y2060" s="196"/>
      <c r="Z2060" s="196"/>
      <c r="AA2060" s="196"/>
      <c r="AB2060" s="196"/>
      <c r="AC2060" s="196"/>
      <c r="AD2060" s="196"/>
      <c r="AE2060" s="196"/>
      <c r="AF2060" s="196"/>
      <c r="AG2060" s="196"/>
      <c r="AH2060" s="196"/>
      <c r="AI2060" s="196"/>
      <c r="AJ2060" s="197"/>
      <c r="AK2060" s="80"/>
      <c r="AL2060" s="80"/>
      <c r="AM2060" s="73"/>
      <c r="AN2060" s="73"/>
      <c r="AO2060" s="73"/>
      <c r="AP2060" s="73"/>
      <c r="AQ2060" s="73"/>
      <c r="AR2060" s="73"/>
      <c r="AS2060" s="73"/>
      <c r="AT2060" s="73"/>
      <c r="AU2060" s="73"/>
      <c r="AV2060" s="73"/>
      <c r="AW2060" s="73"/>
      <c r="AX2060" s="73"/>
      <c r="AY2060" s="73"/>
      <c r="AZ2060" s="73"/>
      <c r="BA2060" s="73"/>
      <c r="BB2060" s="73"/>
      <c r="BC2060" s="73"/>
      <c r="BD2060" s="73"/>
      <c r="BE2060" s="73"/>
      <c r="BF2060" s="73"/>
      <c r="BG2060" s="73"/>
      <c r="BH2060" s="73"/>
      <c r="BI2060" s="73"/>
      <c r="BJ2060" s="73"/>
      <c r="BK2060" s="73"/>
      <c r="BL2060" s="73"/>
      <c r="BM2060" s="73"/>
      <c r="BN2060" s="73"/>
      <c r="BO2060" s="73"/>
      <c r="BP2060" s="73"/>
      <c r="BQ2060" s="73"/>
      <c r="BR2060" s="73"/>
      <c r="BS2060" s="73"/>
      <c r="BT2060" s="73"/>
      <c r="BU2060" s="73"/>
      <c r="BV2060" s="73"/>
      <c r="BW2060" s="73"/>
      <c r="BX2060" s="73"/>
      <c r="BY2060" s="73"/>
      <c r="BZ2060" s="73"/>
      <c r="CA2060" s="73"/>
      <c r="CB2060" s="73"/>
      <c r="CC2060" s="73"/>
      <c r="CD2060" s="73"/>
      <c r="CE2060" s="73"/>
      <c r="CF2060" s="73"/>
      <c r="CG2060" s="73"/>
      <c r="CH2060" s="73"/>
    </row>
    <row r="2061">
      <c r="A2061" s="80"/>
      <c r="B2061" s="80"/>
      <c r="C2061" s="80"/>
      <c r="D2061" s="80"/>
      <c r="E2061" s="124"/>
      <c r="F2061" s="80"/>
      <c r="G2061" s="80"/>
      <c r="H2061" s="80"/>
      <c r="I2061" s="80"/>
      <c r="J2061" s="196"/>
      <c r="K2061" s="196"/>
      <c r="L2061" s="196"/>
      <c r="M2061" s="196"/>
      <c r="N2061" s="196"/>
      <c r="O2061" s="196"/>
      <c r="P2061" s="196"/>
      <c r="Q2061" s="196"/>
      <c r="R2061" s="196"/>
      <c r="S2061" s="196"/>
      <c r="T2061" s="196"/>
      <c r="U2061" s="196"/>
      <c r="V2061" s="196"/>
      <c r="W2061" s="196"/>
      <c r="X2061" s="196"/>
      <c r="Y2061" s="196"/>
      <c r="Z2061" s="196"/>
      <c r="AA2061" s="196"/>
      <c r="AB2061" s="196"/>
      <c r="AC2061" s="196"/>
      <c r="AD2061" s="196"/>
      <c r="AE2061" s="196"/>
      <c r="AF2061" s="196"/>
      <c r="AG2061" s="196"/>
      <c r="AH2061" s="196"/>
      <c r="AI2061" s="196"/>
      <c r="AJ2061" s="197"/>
      <c r="AK2061" s="80"/>
      <c r="AL2061" s="80"/>
      <c r="AM2061" s="73"/>
      <c r="AN2061" s="73"/>
      <c r="AO2061" s="73"/>
      <c r="AP2061" s="73"/>
      <c r="AQ2061" s="73"/>
      <c r="AR2061" s="73"/>
      <c r="AS2061" s="73"/>
      <c r="AT2061" s="73"/>
      <c r="AU2061" s="73"/>
      <c r="AV2061" s="73"/>
      <c r="AW2061" s="73"/>
      <c r="AX2061" s="73"/>
      <c r="AY2061" s="73"/>
      <c r="AZ2061" s="73"/>
      <c r="BA2061" s="73"/>
      <c r="BB2061" s="73"/>
      <c r="BC2061" s="73"/>
      <c r="BD2061" s="73"/>
      <c r="BE2061" s="73"/>
      <c r="BF2061" s="73"/>
      <c r="BG2061" s="73"/>
      <c r="BH2061" s="73"/>
      <c r="BI2061" s="73"/>
      <c r="BJ2061" s="73"/>
      <c r="BK2061" s="73"/>
      <c r="BL2061" s="73"/>
      <c r="BM2061" s="73"/>
      <c r="BN2061" s="73"/>
      <c r="BO2061" s="73"/>
      <c r="BP2061" s="73"/>
      <c r="BQ2061" s="73"/>
      <c r="BR2061" s="73"/>
      <c r="BS2061" s="73"/>
      <c r="BT2061" s="73"/>
      <c r="BU2061" s="73"/>
      <c r="BV2061" s="73"/>
      <c r="BW2061" s="73"/>
      <c r="BX2061" s="73"/>
      <c r="BY2061" s="73"/>
      <c r="BZ2061" s="73"/>
      <c r="CA2061" s="73"/>
      <c r="CB2061" s="73"/>
      <c r="CC2061" s="73"/>
      <c r="CD2061" s="73"/>
      <c r="CE2061" s="73"/>
      <c r="CF2061" s="73"/>
      <c r="CG2061" s="73"/>
      <c r="CH2061" s="73"/>
    </row>
    <row r="2062">
      <c r="A2062" s="80"/>
      <c r="B2062" s="80"/>
      <c r="C2062" s="80"/>
      <c r="D2062" s="80"/>
      <c r="E2062" s="124"/>
      <c r="F2062" s="80"/>
      <c r="G2062" s="80"/>
      <c r="H2062" s="80"/>
      <c r="I2062" s="80"/>
      <c r="J2062" s="196"/>
      <c r="K2062" s="196"/>
      <c r="L2062" s="196"/>
      <c r="M2062" s="196"/>
      <c r="N2062" s="196"/>
      <c r="O2062" s="196"/>
      <c r="P2062" s="196"/>
      <c r="Q2062" s="196"/>
      <c r="R2062" s="196"/>
      <c r="S2062" s="196"/>
      <c r="T2062" s="196"/>
      <c r="U2062" s="196"/>
      <c r="V2062" s="196"/>
      <c r="W2062" s="196"/>
      <c r="X2062" s="196"/>
      <c r="Y2062" s="196"/>
      <c r="Z2062" s="196"/>
      <c r="AA2062" s="196"/>
      <c r="AB2062" s="196"/>
      <c r="AC2062" s="196"/>
      <c r="AD2062" s="196"/>
      <c r="AE2062" s="196"/>
      <c r="AF2062" s="196"/>
      <c r="AG2062" s="196"/>
      <c r="AH2062" s="196"/>
      <c r="AI2062" s="196"/>
      <c r="AJ2062" s="197"/>
      <c r="AK2062" s="80"/>
      <c r="AL2062" s="80"/>
      <c r="AM2062" s="73"/>
      <c r="AN2062" s="73"/>
      <c r="AO2062" s="73"/>
      <c r="AP2062" s="73"/>
      <c r="AQ2062" s="73"/>
      <c r="AR2062" s="73"/>
      <c r="AS2062" s="73"/>
      <c r="AT2062" s="73"/>
      <c r="AU2062" s="73"/>
      <c r="AV2062" s="73"/>
      <c r="AW2062" s="73"/>
      <c r="AX2062" s="73"/>
      <c r="AY2062" s="73"/>
      <c r="AZ2062" s="73"/>
      <c r="BA2062" s="73"/>
      <c r="BB2062" s="73"/>
      <c r="BC2062" s="73"/>
      <c r="BD2062" s="73"/>
      <c r="BE2062" s="73"/>
      <c r="BF2062" s="73"/>
      <c r="BG2062" s="73"/>
      <c r="BH2062" s="73"/>
      <c r="BI2062" s="73"/>
      <c r="BJ2062" s="73"/>
      <c r="BK2062" s="73"/>
      <c r="BL2062" s="73"/>
      <c r="BM2062" s="73"/>
      <c r="BN2062" s="73"/>
      <c r="BO2062" s="73"/>
      <c r="BP2062" s="73"/>
      <c r="BQ2062" s="73"/>
      <c r="BR2062" s="73"/>
      <c r="BS2062" s="73"/>
      <c r="BT2062" s="73"/>
      <c r="BU2062" s="73"/>
      <c r="BV2062" s="73"/>
      <c r="BW2062" s="73"/>
      <c r="BX2062" s="73"/>
      <c r="BY2062" s="73"/>
      <c r="BZ2062" s="73"/>
      <c r="CA2062" s="73"/>
      <c r="CB2062" s="73"/>
      <c r="CC2062" s="73"/>
      <c r="CD2062" s="73"/>
      <c r="CE2062" s="73"/>
      <c r="CF2062" s="73"/>
      <c r="CG2062" s="73"/>
      <c r="CH2062" s="73"/>
    </row>
    <row r="2063">
      <c r="A2063" s="80"/>
      <c r="B2063" s="80"/>
      <c r="C2063" s="80"/>
      <c r="D2063" s="80"/>
      <c r="E2063" s="124"/>
      <c r="F2063" s="80"/>
      <c r="G2063" s="80"/>
      <c r="H2063" s="80"/>
      <c r="I2063" s="80"/>
      <c r="J2063" s="196"/>
      <c r="K2063" s="196"/>
      <c r="L2063" s="196"/>
      <c r="M2063" s="196"/>
      <c r="N2063" s="196"/>
      <c r="O2063" s="196"/>
      <c r="P2063" s="196"/>
      <c r="Q2063" s="196"/>
      <c r="R2063" s="196"/>
      <c r="S2063" s="196"/>
      <c r="T2063" s="196"/>
      <c r="U2063" s="196"/>
      <c r="V2063" s="196"/>
      <c r="W2063" s="196"/>
      <c r="X2063" s="196"/>
      <c r="Y2063" s="196"/>
      <c r="Z2063" s="196"/>
      <c r="AA2063" s="196"/>
      <c r="AB2063" s="196"/>
      <c r="AC2063" s="196"/>
      <c r="AD2063" s="196"/>
      <c r="AE2063" s="196"/>
      <c r="AF2063" s="196"/>
      <c r="AG2063" s="196"/>
      <c r="AH2063" s="196"/>
      <c r="AI2063" s="196"/>
      <c r="AJ2063" s="197"/>
      <c r="AK2063" s="80"/>
      <c r="AL2063" s="80"/>
      <c r="AM2063" s="73"/>
      <c r="AN2063" s="73"/>
      <c r="AO2063" s="73"/>
      <c r="AP2063" s="73"/>
      <c r="AQ2063" s="73"/>
      <c r="AR2063" s="73"/>
      <c r="AS2063" s="73"/>
      <c r="AT2063" s="73"/>
      <c r="AU2063" s="73"/>
      <c r="AV2063" s="73"/>
      <c r="AW2063" s="73"/>
      <c r="AX2063" s="73"/>
      <c r="AY2063" s="73"/>
      <c r="AZ2063" s="73"/>
      <c r="BA2063" s="73"/>
      <c r="BB2063" s="73"/>
      <c r="BC2063" s="73"/>
      <c r="BD2063" s="73"/>
      <c r="BE2063" s="73"/>
      <c r="BF2063" s="73"/>
      <c r="BG2063" s="73"/>
      <c r="BH2063" s="73"/>
      <c r="BI2063" s="73"/>
      <c r="BJ2063" s="73"/>
      <c r="BK2063" s="73"/>
      <c r="BL2063" s="73"/>
      <c r="BM2063" s="73"/>
      <c r="BN2063" s="73"/>
      <c r="BO2063" s="73"/>
      <c r="BP2063" s="73"/>
      <c r="BQ2063" s="73"/>
      <c r="BR2063" s="73"/>
      <c r="BS2063" s="73"/>
      <c r="BT2063" s="73"/>
      <c r="BU2063" s="73"/>
      <c r="BV2063" s="73"/>
      <c r="BW2063" s="73"/>
      <c r="BX2063" s="73"/>
      <c r="BY2063" s="73"/>
      <c r="BZ2063" s="73"/>
      <c r="CA2063" s="73"/>
      <c r="CB2063" s="73"/>
      <c r="CC2063" s="73"/>
      <c r="CD2063" s="73"/>
      <c r="CE2063" s="73"/>
      <c r="CF2063" s="73"/>
      <c r="CG2063" s="73"/>
      <c r="CH2063" s="73"/>
    </row>
    <row r="2064">
      <c r="A2064" s="80"/>
      <c r="B2064" s="80"/>
      <c r="C2064" s="80"/>
      <c r="D2064" s="80"/>
      <c r="E2064" s="124"/>
      <c r="F2064" s="80"/>
      <c r="G2064" s="80"/>
      <c r="H2064" s="80"/>
      <c r="I2064" s="80"/>
      <c r="J2064" s="196"/>
      <c r="K2064" s="196"/>
      <c r="L2064" s="196"/>
      <c r="M2064" s="196"/>
      <c r="N2064" s="196"/>
      <c r="O2064" s="196"/>
      <c r="P2064" s="196"/>
      <c r="Q2064" s="196"/>
      <c r="R2064" s="196"/>
      <c r="S2064" s="196"/>
      <c r="T2064" s="196"/>
      <c r="U2064" s="196"/>
      <c r="V2064" s="196"/>
      <c r="W2064" s="196"/>
      <c r="X2064" s="196"/>
      <c r="Y2064" s="196"/>
      <c r="Z2064" s="196"/>
      <c r="AA2064" s="196"/>
      <c r="AB2064" s="196"/>
      <c r="AC2064" s="196"/>
      <c r="AD2064" s="196"/>
      <c r="AE2064" s="196"/>
      <c r="AF2064" s="196"/>
      <c r="AG2064" s="196"/>
      <c r="AH2064" s="196"/>
      <c r="AI2064" s="196"/>
      <c r="AJ2064" s="197"/>
      <c r="AK2064" s="80"/>
      <c r="AL2064" s="80"/>
      <c r="AM2064" s="73"/>
      <c r="AN2064" s="73"/>
      <c r="AO2064" s="73"/>
      <c r="AP2064" s="73"/>
      <c r="AQ2064" s="73"/>
      <c r="AR2064" s="73"/>
      <c r="AS2064" s="73"/>
      <c r="AT2064" s="73"/>
      <c r="AU2064" s="73"/>
      <c r="AV2064" s="73"/>
      <c r="AW2064" s="73"/>
      <c r="AX2064" s="73"/>
      <c r="AY2064" s="73"/>
      <c r="AZ2064" s="73"/>
      <c r="BA2064" s="73"/>
      <c r="BB2064" s="73"/>
      <c r="BC2064" s="73"/>
      <c r="BD2064" s="73"/>
      <c r="BE2064" s="73"/>
      <c r="BF2064" s="73"/>
      <c r="BG2064" s="73"/>
      <c r="BH2064" s="73"/>
      <c r="BI2064" s="73"/>
      <c r="BJ2064" s="73"/>
      <c r="BK2064" s="73"/>
      <c r="BL2064" s="73"/>
      <c r="BM2064" s="73"/>
      <c r="BN2064" s="73"/>
      <c r="BO2064" s="73"/>
      <c r="BP2064" s="73"/>
      <c r="BQ2064" s="73"/>
      <c r="BR2064" s="73"/>
      <c r="BS2064" s="73"/>
      <c r="BT2064" s="73"/>
      <c r="BU2064" s="73"/>
      <c r="BV2064" s="73"/>
      <c r="BW2064" s="73"/>
      <c r="BX2064" s="73"/>
      <c r="BY2064" s="73"/>
      <c r="BZ2064" s="73"/>
      <c r="CA2064" s="73"/>
      <c r="CB2064" s="73"/>
      <c r="CC2064" s="73"/>
      <c r="CD2064" s="73"/>
      <c r="CE2064" s="73"/>
      <c r="CF2064" s="73"/>
      <c r="CG2064" s="73"/>
      <c r="CH2064" s="73"/>
    </row>
    <row r="2065">
      <c r="A2065" s="80"/>
      <c r="B2065" s="80"/>
      <c r="C2065" s="80"/>
      <c r="D2065" s="80"/>
      <c r="E2065" s="124"/>
      <c r="F2065" s="80"/>
      <c r="G2065" s="80"/>
      <c r="H2065" s="80"/>
      <c r="I2065" s="80"/>
      <c r="J2065" s="196"/>
      <c r="K2065" s="196"/>
      <c r="L2065" s="196"/>
      <c r="M2065" s="196"/>
      <c r="N2065" s="196"/>
      <c r="O2065" s="196"/>
      <c r="P2065" s="196"/>
      <c r="Q2065" s="196"/>
      <c r="R2065" s="196"/>
      <c r="S2065" s="196"/>
      <c r="T2065" s="196"/>
      <c r="U2065" s="196"/>
      <c r="V2065" s="196"/>
      <c r="W2065" s="196"/>
      <c r="X2065" s="196"/>
      <c r="Y2065" s="196"/>
      <c r="Z2065" s="196"/>
      <c r="AA2065" s="196"/>
      <c r="AB2065" s="196"/>
      <c r="AC2065" s="196"/>
      <c r="AD2065" s="196"/>
      <c r="AE2065" s="196"/>
      <c r="AF2065" s="196"/>
      <c r="AG2065" s="196"/>
      <c r="AH2065" s="196"/>
      <c r="AI2065" s="196"/>
      <c r="AJ2065" s="197"/>
      <c r="AK2065" s="80"/>
      <c r="AL2065" s="80"/>
      <c r="AM2065" s="73"/>
      <c r="AN2065" s="73"/>
      <c r="AO2065" s="73"/>
      <c r="AP2065" s="73"/>
      <c r="AQ2065" s="73"/>
      <c r="AR2065" s="73"/>
      <c r="AS2065" s="73"/>
      <c r="AT2065" s="73"/>
      <c r="AU2065" s="73"/>
      <c r="AV2065" s="73"/>
      <c r="AW2065" s="73"/>
      <c r="AX2065" s="73"/>
      <c r="AY2065" s="73"/>
      <c r="AZ2065" s="73"/>
      <c r="BA2065" s="73"/>
      <c r="BB2065" s="73"/>
      <c r="BC2065" s="73"/>
      <c r="BD2065" s="73"/>
      <c r="BE2065" s="73"/>
      <c r="BF2065" s="73"/>
      <c r="BG2065" s="73"/>
      <c r="BH2065" s="73"/>
      <c r="BI2065" s="73"/>
      <c r="BJ2065" s="73"/>
      <c r="BK2065" s="73"/>
      <c r="BL2065" s="73"/>
      <c r="BM2065" s="73"/>
      <c r="BN2065" s="73"/>
      <c r="BO2065" s="73"/>
      <c r="BP2065" s="73"/>
      <c r="BQ2065" s="73"/>
      <c r="BR2065" s="73"/>
      <c r="BS2065" s="73"/>
      <c r="BT2065" s="73"/>
      <c r="BU2065" s="73"/>
      <c r="BV2065" s="73"/>
      <c r="BW2065" s="73"/>
      <c r="BX2065" s="73"/>
      <c r="BY2065" s="73"/>
      <c r="BZ2065" s="73"/>
      <c r="CA2065" s="73"/>
      <c r="CB2065" s="73"/>
      <c r="CC2065" s="73"/>
      <c r="CD2065" s="73"/>
      <c r="CE2065" s="73"/>
      <c r="CF2065" s="73"/>
      <c r="CG2065" s="73"/>
      <c r="CH2065" s="73"/>
    </row>
    <row r="2066">
      <c r="A2066" s="80"/>
      <c r="B2066" s="80"/>
      <c r="C2066" s="80"/>
      <c r="D2066" s="80"/>
      <c r="E2066" s="124"/>
      <c r="F2066" s="80"/>
      <c r="G2066" s="80"/>
      <c r="H2066" s="80"/>
      <c r="I2066" s="80"/>
      <c r="J2066" s="196"/>
      <c r="K2066" s="196"/>
      <c r="L2066" s="196"/>
      <c r="M2066" s="196"/>
      <c r="N2066" s="196"/>
      <c r="O2066" s="196"/>
      <c r="P2066" s="196"/>
      <c r="Q2066" s="196"/>
      <c r="R2066" s="196"/>
      <c r="S2066" s="196"/>
      <c r="T2066" s="196"/>
      <c r="U2066" s="196"/>
      <c r="V2066" s="196"/>
      <c r="W2066" s="196"/>
      <c r="X2066" s="196"/>
      <c r="Y2066" s="196"/>
      <c r="Z2066" s="196"/>
      <c r="AA2066" s="196"/>
      <c r="AB2066" s="196"/>
      <c r="AC2066" s="196"/>
      <c r="AD2066" s="196"/>
      <c r="AE2066" s="196"/>
      <c r="AF2066" s="196"/>
      <c r="AG2066" s="196"/>
      <c r="AH2066" s="196"/>
      <c r="AI2066" s="196"/>
      <c r="AJ2066" s="197"/>
      <c r="AK2066" s="80"/>
      <c r="AL2066" s="80"/>
      <c r="AM2066" s="73"/>
      <c r="AN2066" s="73"/>
      <c r="AO2066" s="73"/>
      <c r="AP2066" s="73"/>
      <c r="AQ2066" s="73"/>
      <c r="AR2066" s="73"/>
      <c r="AS2066" s="73"/>
      <c r="AT2066" s="73"/>
      <c r="AU2066" s="73"/>
      <c r="AV2066" s="73"/>
      <c r="AW2066" s="73"/>
      <c r="AX2066" s="73"/>
      <c r="AY2066" s="73"/>
      <c r="AZ2066" s="73"/>
      <c r="BA2066" s="73"/>
      <c r="BB2066" s="73"/>
      <c r="BC2066" s="73"/>
      <c r="BD2066" s="73"/>
      <c r="BE2066" s="73"/>
      <c r="BF2066" s="73"/>
      <c r="BG2066" s="73"/>
      <c r="BH2066" s="73"/>
      <c r="BI2066" s="73"/>
      <c r="BJ2066" s="73"/>
      <c r="BK2066" s="73"/>
      <c r="BL2066" s="73"/>
      <c r="BM2066" s="73"/>
      <c r="BN2066" s="73"/>
      <c r="BO2066" s="73"/>
      <c r="BP2066" s="73"/>
      <c r="BQ2066" s="73"/>
      <c r="BR2066" s="73"/>
      <c r="BS2066" s="73"/>
      <c r="BT2066" s="73"/>
      <c r="BU2066" s="73"/>
      <c r="BV2066" s="73"/>
      <c r="BW2066" s="73"/>
      <c r="BX2066" s="73"/>
      <c r="BY2066" s="73"/>
      <c r="BZ2066" s="73"/>
      <c r="CA2066" s="73"/>
      <c r="CB2066" s="73"/>
      <c r="CC2066" s="73"/>
      <c r="CD2066" s="73"/>
      <c r="CE2066" s="73"/>
      <c r="CF2066" s="73"/>
      <c r="CG2066" s="73"/>
      <c r="CH2066" s="73"/>
    </row>
    <row r="2067">
      <c r="A2067" s="80"/>
      <c r="B2067" s="80"/>
      <c r="C2067" s="80"/>
      <c r="D2067" s="80"/>
      <c r="E2067" s="124"/>
      <c r="F2067" s="80"/>
      <c r="G2067" s="80"/>
      <c r="H2067" s="80"/>
      <c r="I2067" s="80"/>
      <c r="J2067" s="196"/>
      <c r="K2067" s="196"/>
      <c r="L2067" s="196"/>
      <c r="M2067" s="196"/>
      <c r="N2067" s="196"/>
      <c r="O2067" s="196"/>
      <c r="P2067" s="196"/>
      <c r="Q2067" s="196"/>
      <c r="R2067" s="196"/>
      <c r="S2067" s="196"/>
      <c r="T2067" s="196"/>
      <c r="U2067" s="196"/>
      <c r="V2067" s="196"/>
      <c r="W2067" s="196"/>
      <c r="X2067" s="196"/>
      <c r="Y2067" s="196"/>
      <c r="Z2067" s="196"/>
      <c r="AA2067" s="196"/>
      <c r="AB2067" s="196"/>
      <c r="AC2067" s="196"/>
      <c r="AD2067" s="196"/>
      <c r="AE2067" s="196"/>
      <c r="AF2067" s="196"/>
      <c r="AG2067" s="196"/>
      <c r="AH2067" s="196"/>
      <c r="AI2067" s="196"/>
      <c r="AJ2067" s="197"/>
      <c r="AK2067" s="80"/>
      <c r="AL2067" s="80"/>
      <c r="AM2067" s="73"/>
      <c r="AN2067" s="73"/>
      <c r="AO2067" s="73"/>
      <c r="AP2067" s="73"/>
      <c r="AQ2067" s="73"/>
      <c r="AR2067" s="73"/>
      <c r="AS2067" s="73"/>
      <c r="AT2067" s="73"/>
      <c r="AU2067" s="73"/>
      <c r="AV2067" s="73"/>
      <c r="AW2067" s="73"/>
      <c r="AX2067" s="73"/>
      <c r="AY2067" s="73"/>
      <c r="AZ2067" s="73"/>
      <c r="BA2067" s="73"/>
      <c r="BB2067" s="73"/>
      <c r="BC2067" s="73"/>
      <c r="BD2067" s="73"/>
      <c r="BE2067" s="73"/>
      <c r="BF2067" s="73"/>
      <c r="BG2067" s="73"/>
      <c r="BH2067" s="73"/>
      <c r="BI2067" s="73"/>
      <c r="BJ2067" s="73"/>
      <c r="BK2067" s="73"/>
      <c r="BL2067" s="73"/>
      <c r="BM2067" s="73"/>
      <c r="BN2067" s="73"/>
      <c r="BO2067" s="73"/>
      <c r="BP2067" s="73"/>
      <c r="BQ2067" s="73"/>
      <c r="BR2067" s="73"/>
      <c r="BS2067" s="73"/>
      <c r="BT2067" s="73"/>
      <c r="BU2067" s="73"/>
      <c r="BV2067" s="73"/>
      <c r="BW2067" s="73"/>
      <c r="BX2067" s="73"/>
      <c r="BY2067" s="73"/>
      <c r="BZ2067" s="73"/>
      <c r="CA2067" s="73"/>
      <c r="CB2067" s="73"/>
      <c r="CC2067" s="73"/>
      <c r="CD2067" s="73"/>
      <c r="CE2067" s="73"/>
      <c r="CF2067" s="73"/>
      <c r="CG2067" s="73"/>
      <c r="CH2067" s="73"/>
    </row>
    <row r="2068">
      <c r="A2068" s="80"/>
      <c r="B2068" s="80"/>
      <c r="C2068" s="80"/>
      <c r="D2068" s="80"/>
      <c r="E2068" s="124"/>
      <c r="F2068" s="80"/>
      <c r="G2068" s="80"/>
      <c r="H2068" s="80"/>
      <c r="I2068" s="80"/>
      <c r="J2068" s="196"/>
      <c r="K2068" s="196"/>
      <c r="L2068" s="196"/>
      <c r="M2068" s="196"/>
      <c r="N2068" s="196"/>
      <c r="O2068" s="196"/>
      <c r="P2068" s="196"/>
      <c r="Q2068" s="196"/>
      <c r="R2068" s="196"/>
      <c r="S2068" s="196"/>
      <c r="T2068" s="196"/>
      <c r="U2068" s="196"/>
      <c r="V2068" s="196"/>
      <c r="W2068" s="196"/>
      <c r="X2068" s="196"/>
      <c r="Y2068" s="196"/>
      <c r="Z2068" s="196"/>
      <c r="AA2068" s="196"/>
      <c r="AB2068" s="196"/>
      <c r="AC2068" s="196"/>
      <c r="AD2068" s="196"/>
      <c r="AE2068" s="196"/>
      <c r="AF2068" s="196"/>
      <c r="AG2068" s="196"/>
      <c r="AH2068" s="196"/>
      <c r="AI2068" s="196"/>
      <c r="AJ2068" s="197"/>
      <c r="AK2068" s="80"/>
      <c r="AL2068" s="80"/>
      <c r="AM2068" s="73"/>
      <c r="AN2068" s="73"/>
      <c r="AO2068" s="73"/>
      <c r="AP2068" s="73"/>
      <c r="AQ2068" s="73"/>
      <c r="AR2068" s="73"/>
      <c r="AS2068" s="73"/>
      <c r="AT2068" s="73"/>
      <c r="AU2068" s="73"/>
      <c r="AV2068" s="73"/>
      <c r="AW2068" s="73"/>
      <c r="AX2068" s="73"/>
      <c r="AY2068" s="73"/>
      <c r="AZ2068" s="73"/>
      <c r="BA2068" s="73"/>
      <c r="BB2068" s="73"/>
      <c r="BC2068" s="73"/>
      <c r="BD2068" s="73"/>
      <c r="BE2068" s="73"/>
      <c r="BF2068" s="73"/>
      <c r="BG2068" s="73"/>
      <c r="BH2068" s="73"/>
      <c r="BI2068" s="73"/>
      <c r="BJ2068" s="73"/>
      <c r="BK2068" s="73"/>
      <c r="BL2068" s="73"/>
      <c r="BM2068" s="73"/>
      <c r="BN2068" s="73"/>
      <c r="BO2068" s="73"/>
      <c r="BP2068" s="73"/>
      <c r="BQ2068" s="73"/>
      <c r="BR2068" s="73"/>
      <c r="BS2068" s="73"/>
      <c r="BT2068" s="73"/>
      <c r="BU2068" s="73"/>
      <c r="BV2068" s="73"/>
      <c r="BW2068" s="73"/>
      <c r="BX2068" s="73"/>
      <c r="BY2068" s="73"/>
      <c r="BZ2068" s="73"/>
      <c r="CA2068" s="73"/>
      <c r="CB2068" s="73"/>
      <c r="CC2068" s="73"/>
      <c r="CD2068" s="73"/>
      <c r="CE2068" s="73"/>
      <c r="CF2068" s="73"/>
      <c r="CG2068" s="73"/>
      <c r="CH2068" s="73"/>
    </row>
    <row r="2069">
      <c r="A2069" s="80"/>
      <c r="B2069" s="80"/>
      <c r="C2069" s="80"/>
      <c r="D2069" s="80"/>
      <c r="E2069" s="124"/>
      <c r="F2069" s="80"/>
      <c r="G2069" s="80"/>
      <c r="H2069" s="80"/>
      <c r="I2069" s="80"/>
      <c r="J2069" s="196"/>
      <c r="K2069" s="196"/>
      <c r="L2069" s="196"/>
      <c r="M2069" s="196"/>
      <c r="N2069" s="196"/>
      <c r="O2069" s="196"/>
      <c r="P2069" s="196"/>
      <c r="Q2069" s="196"/>
      <c r="R2069" s="196"/>
      <c r="S2069" s="196"/>
      <c r="T2069" s="196"/>
      <c r="U2069" s="196"/>
      <c r="V2069" s="196"/>
      <c r="W2069" s="196"/>
      <c r="X2069" s="196"/>
      <c r="Y2069" s="196"/>
      <c r="Z2069" s="196"/>
      <c r="AA2069" s="196"/>
      <c r="AB2069" s="196"/>
      <c r="AC2069" s="196"/>
      <c r="AD2069" s="196"/>
      <c r="AE2069" s="196"/>
      <c r="AF2069" s="196"/>
      <c r="AG2069" s="196"/>
      <c r="AH2069" s="196"/>
      <c r="AI2069" s="196"/>
      <c r="AJ2069" s="197"/>
      <c r="AK2069" s="80"/>
      <c r="AL2069" s="80"/>
      <c r="AM2069" s="73"/>
      <c r="AN2069" s="73"/>
      <c r="AO2069" s="73"/>
      <c r="AP2069" s="73"/>
      <c r="AQ2069" s="73"/>
      <c r="AR2069" s="73"/>
      <c r="AS2069" s="73"/>
      <c r="AT2069" s="73"/>
      <c r="AU2069" s="73"/>
      <c r="AV2069" s="73"/>
      <c r="AW2069" s="73"/>
      <c r="AX2069" s="73"/>
      <c r="AY2069" s="73"/>
      <c r="AZ2069" s="73"/>
      <c r="BA2069" s="73"/>
      <c r="BB2069" s="73"/>
      <c r="BC2069" s="73"/>
      <c r="BD2069" s="73"/>
      <c r="BE2069" s="73"/>
      <c r="BF2069" s="73"/>
      <c r="BG2069" s="73"/>
      <c r="BH2069" s="73"/>
      <c r="BI2069" s="73"/>
      <c r="BJ2069" s="73"/>
      <c r="BK2069" s="73"/>
      <c r="BL2069" s="73"/>
      <c r="BM2069" s="73"/>
      <c r="BN2069" s="73"/>
      <c r="BO2069" s="73"/>
      <c r="BP2069" s="73"/>
      <c r="BQ2069" s="73"/>
      <c r="BR2069" s="73"/>
      <c r="BS2069" s="73"/>
      <c r="BT2069" s="73"/>
      <c r="BU2069" s="73"/>
      <c r="BV2069" s="73"/>
      <c r="BW2069" s="73"/>
      <c r="BX2069" s="73"/>
      <c r="BY2069" s="73"/>
      <c r="BZ2069" s="73"/>
      <c r="CA2069" s="73"/>
      <c r="CB2069" s="73"/>
      <c r="CC2069" s="73"/>
      <c r="CD2069" s="73"/>
      <c r="CE2069" s="73"/>
      <c r="CF2069" s="73"/>
      <c r="CG2069" s="73"/>
      <c r="CH2069" s="73"/>
    </row>
    <row r="2070">
      <c r="A2070" s="80"/>
      <c r="B2070" s="80"/>
      <c r="C2070" s="80"/>
      <c r="D2070" s="80"/>
      <c r="E2070" s="124"/>
      <c r="F2070" s="80"/>
      <c r="G2070" s="80"/>
      <c r="H2070" s="80"/>
      <c r="I2070" s="80"/>
      <c r="J2070" s="196"/>
      <c r="K2070" s="196"/>
      <c r="L2070" s="196"/>
      <c r="M2070" s="196"/>
      <c r="N2070" s="196"/>
      <c r="O2070" s="196"/>
      <c r="P2070" s="196"/>
      <c r="Q2070" s="196"/>
      <c r="R2070" s="196"/>
      <c r="S2070" s="196"/>
      <c r="T2070" s="196"/>
      <c r="U2070" s="196"/>
      <c r="V2070" s="196"/>
      <c r="W2070" s="196"/>
      <c r="X2070" s="196"/>
      <c r="Y2070" s="196"/>
      <c r="Z2070" s="196"/>
      <c r="AA2070" s="196"/>
      <c r="AB2070" s="196"/>
      <c r="AC2070" s="196"/>
      <c r="AD2070" s="196"/>
      <c r="AE2070" s="196"/>
      <c r="AF2070" s="196"/>
      <c r="AG2070" s="196"/>
      <c r="AH2070" s="196"/>
      <c r="AI2070" s="196"/>
      <c r="AJ2070" s="197"/>
      <c r="AK2070" s="80"/>
      <c r="AL2070" s="80"/>
      <c r="AM2070" s="73"/>
      <c r="AN2070" s="73"/>
      <c r="AO2070" s="73"/>
      <c r="AP2070" s="73"/>
      <c r="AQ2070" s="73"/>
      <c r="AR2070" s="73"/>
      <c r="AS2070" s="73"/>
      <c r="AT2070" s="73"/>
      <c r="AU2070" s="73"/>
      <c r="AV2070" s="73"/>
      <c r="AW2070" s="73"/>
      <c r="AX2070" s="73"/>
      <c r="AY2070" s="73"/>
      <c r="AZ2070" s="73"/>
      <c r="BA2070" s="73"/>
      <c r="BB2070" s="73"/>
      <c r="BC2070" s="73"/>
      <c r="BD2070" s="73"/>
      <c r="BE2070" s="73"/>
      <c r="BF2070" s="73"/>
      <c r="BG2070" s="73"/>
      <c r="BH2070" s="73"/>
      <c r="BI2070" s="73"/>
      <c r="BJ2070" s="73"/>
      <c r="BK2070" s="73"/>
      <c r="BL2070" s="73"/>
      <c r="BM2070" s="73"/>
      <c r="BN2070" s="73"/>
      <c r="BO2070" s="73"/>
      <c r="BP2070" s="73"/>
      <c r="BQ2070" s="73"/>
      <c r="BR2070" s="73"/>
      <c r="BS2070" s="73"/>
      <c r="BT2070" s="73"/>
      <c r="BU2070" s="73"/>
      <c r="BV2070" s="73"/>
      <c r="BW2070" s="73"/>
      <c r="BX2070" s="73"/>
      <c r="BY2070" s="73"/>
      <c r="BZ2070" s="73"/>
      <c r="CA2070" s="73"/>
      <c r="CB2070" s="73"/>
      <c r="CC2070" s="73"/>
      <c r="CD2070" s="73"/>
      <c r="CE2070" s="73"/>
      <c r="CF2070" s="73"/>
      <c r="CG2070" s="73"/>
      <c r="CH2070" s="73"/>
    </row>
    <row r="2071">
      <c r="A2071" s="80"/>
      <c r="B2071" s="80"/>
      <c r="C2071" s="80"/>
      <c r="D2071" s="80"/>
      <c r="E2071" s="124"/>
      <c r="F2071" s="80"/>
      <c r="G2071" s="80"/>
      <c r="H2071" s="80"/>
      <c r="I2071" s="80"/>
      <c r="J2071" s="196"/>
      <c r="K2071" s="196"/>
      <c r="L2071" s="196"/>
      <c r="M2071" s="196"/>
      <c r="N2071" s="196"/>
      <c r="O2071" s="196"/>
      <c r="P2071" s="196"/>
      <c r="Q2071" s="196"/>
      <c r="R2071" s="196"/>
      <c r="S2071" s="196"/>
      <c r="T2071" s="196"/>
      <c r="U2071" s="196"/>
      <c r="V2071" s="196"/>
      <c r="W2071" s="196"/>
      <c r="X2071" s="196"/>
      <c r="Y2071" s="196"/>
      <c r="Z2071" s="196"/>
      <c r="AA2071" s="196"/>
      <c r="AB2071" s="196"/>
      <c r="AC2071" s="196"/>
      <c r="AD2071" s="196"/>
      <c r="AE2071" s="196"/>
      <c r="AF2071" s="196"/>
      <c r="AG2071" s="196"/>
      <c r="AH2071" s="196"/>
      <c r="AI2071" s="196"/>
      <c r="AJ2071" s="197"/>
      <c r="AK2071" s="80"/>
      <c r="AL2071" s="80"/>
      <c r="AM2071" s="73"/>
      <c r="AN2071" s="73"/>
      <c r="AO2071" s="73"/>
      <c r="AP2071" s="73"/>
      <c r="AQ2071" s="73"/>
      <c r="AR2071" s="73"/>
      <c r="AS2071" s="73"/>
      <c r="AT2071" s="73"/>
      <c r="AU2071" s="73"/>
      <c r="AV2071" s="73"/>
      <c r="AW2071" s="73"/>
      <c r="AX2071" s="73"/>
      <c r="AY2071" s="73"/>
      <c r="AZ2071" s="73"/>
      <c r="BA2071" s="73"/>
      <c r="BB2071" s="73"/>
      <c r="BC2071" s="73"/>
      <c r="BD2071" s="73"/>
      <c r="BE2071" s="73"/>
      <c r="BF2071" s="73"/>
      <c r="BG2071" s="73"/>
      <c r="BH2071" s="73"/>
      <c r="BI2071" s="73"/>
      <c r="BJ2071" s="73"/>
      <c r="BK2071" s="73"/>
      <c r="BL2071" s="73"/>
      <c r="BM2071" s="73"/>
      <c r="BN2071" s="73"/>
      <c r="BO2071" s="73"/>
      <c r="BP2071" s="73"/>
      <c r="BQ2071" s="73"/>
      <c r="BR2071" s="73"/>
      <c r="BS2071" s="73"/>
      <c r="BT2071" s="73"/>
      <c r="BU2071" s="73"/>
      <c r="BV2071" s="73"/>
      <c r="BW2071" s="73"/>
      <c r="BX2071" s="73"/>
      <c r="BY2071" s="73"/>
      <c r="BZ2071" s="73"/>
      <c r="CA2071" s="73"/>
      <c r="CB2071" s="73"/>
      <c r="CC2071" s="73"/>
      <c r="CD2071" s="73"/>
      <c r="CE2071" s="73"/>
      <c r="CF2071" s="73"/>
      <c r="CG2071" s="73"/>
      <c r="CH2071" s="73"/>
    </row>
    <row r="2072">
      <c r="A2072" s="80"/>
      <c r="B2072" s="80"/>
      <c r="C2072" s="80"/>
      <c r="D2072" s="80"/>
      <c r="E2072" s="124"/>
      <c r="F2072" s="80"/>
      <c r="G2072" s="80"/>
      <c r="H2072" s="80"/>
      <c r="I2072" s="80"/>
      <c r="J2072" s="196"/>
      <c r="K2072" s="196"/>
      <c r="L2072" s="196"/>
      <c r="M2072" s="196"/>
      <c r="N2072" s="196"/>
      <c r="O2072" s="196"/>
      <c r="P2072" s="196"/>
      <c r="Q2072" s="196"/>
      <c r="R2072" s="196"/>
      <c r="S2072" s="196"/>
      <c r="T2072" s="196"/>
      <c r="U2072" s="196"/>
      <c r="V2072" s="196"/>
      <c r="W2072" s="196"/>
      <c r="X2072" s="196"/>
      <c r="Y2072" s="196"/>
      <c r="Z2072" s="196"/>
      <c r="AA2072" s="196"/>
      <c r="AB2072" s="196"/>
      <c r="AC2072" s="196"/>
      <c r="AD2072" s="196"/>
      <c r="AE2072" s="196"/>
      <c r="AF2072" s="196"/>
      <c r="AG2072" s="196"/>
      <c r="AH2072" s="196"/>
      <c r="AI2072" s="196"/>
      <c r="AJ2072" s="197"/>
      <c r="AK2072" s="80"/>
      <c r="AL2072" s="80"/>
      <c r="AM2072" s="73"/>
      <c r="AN2072" s="73"/>
      <c r="AO2072" s="73"/>
      <c r="AP2072" s="73"/>
      <c r="AQ2072" s="73"/>
      <c r="AR2072" s="73"/>
      <c r="AS2072" s="73"/>
      <c r="AT2072" s="73"/>
      <c r="AU2072" s="73"/>
      <c r="AV2072" s="73"/>
      <c r="AW2072" s="73"/>
      <c r="AX2072" s="73"/>
      <c r="AY2072" s="73"/>
      <c r="AZ2072" s="73"/>
      <c r="BA2072" s="73"/>
      <c r="BB2072" s="73"/>
      <c r="BC2072" s="73"/>
      <c r="BD2072" s="73"/>
      <c r="BE2072" s="73"/>
      <c r="BF2072" s="73"/>
      <c r="BG2072" s="73"/>
      <c r="BH2072" s="73"/>
      <c r="BI2072" s="73"/>
      <c r="BJ2072" s="73"/>
      <c r="BK2072" s="73"/>
      <c r="BL2072" s="73"/>
      <c r="BM2072" s="73"/>
      <c r="BN2072" s="73"/>
      <c r="BO2072" s="73"/>
      <c r="BP2072" s="73"/>
      <c r="BQ2072" s="73"/>
      <c r="BR2072" s="73"/>
      <c r="BS2072" s="73"/>
      <c r="BT2072" s="73"/>
      <c r="BU2072" s="73"/>
      <c r="BV2072" s="73"/>
      <c r="BW2072" s="73"/>
      <c r="BX2072" s="73"/>
      <c r="BY2072" s="73"/>
      <c r="BZ2072" s="73"/>
      <c r="CA2072" s="73"/>
      <c r="CB2072" s="73"/>
      <c r="CC2072" s="73"/>
      <c r="CD2072" s="73"/>
      <c r="CE2072" s="73"/>
      <c r="CF2072" s="73"/>
      <c r="CG2072" s="73"/>
      <c r="CH2072" s="73"/>
    </row>
    <row r="2073">
      <c r="A2073" s="80"/>
      <c r="B2073" s="80"/>
      <c r="C2073" s="80"/>
      <c r="D2073" s="80"/>
      <c r="E2073" s="124"/>
      <c r="F2073" s="80"/>
      <c r="G2073" s="80"/>
      <c r="H2073" s="80"/>
      <c r="I2073" s="80"/>
      <c r="J2073" s="196"/>
      <c r="K2073" s="196"/>
      <c r="L2073" s="196"/>
      <c r="M2073" s="196"/>
      <c r="N2073" s="196"/>
      <c r="O2073" s="196"/>
      <c r="P2073" s="196"/>
      <c r="Q2073" s="196"/>
      <c r="R2073" s="196"/>
      <c r="S2073" s="196"/>
      <c r="T2073" s="196"/>
      <c r="U2073" s="196"/>
      <c r="V2073" s="196"/>
      <c r="W2073" s="196"/>
      <c r="X2073" s="196"/>
      <c r="Y2073" s="196"/>
      <c r="Z2073" s="196"/>
      <c r="AA2073" s="196"/>
      <c r="AB2073" s="196"/>
      <c r="AC2073" s="196"/>
      <c r="AD2073" s="196"/>
      <c r="AE2073" s="196"/>
      <c r="AF2073" s="196"/>
      <c r="AG2073" s="196"/>
      <c r="AH2073" s="196"/>
      <c r="AI2073" s="196"/>
      <c r="AJ2073" s="197"/>
      <c r="AK2073" s="80"/>
      <c r="AL2073" s="80"/>
      <c r="AM2073" s="73"/>
      <c r="AN2073" s="73"/>
      <c r="AO2073" s="73"/>
      <c r="AP2073" s="73"/>
      <c r="AQ2073" s="73"/>
      <c r="AR2073" s="73"/>
      <c r="AS2073" s="73"/>
      <c r="AT2073" s="73"/>
      <c r="AU2073" s="73"/>
      <c r="AV2073" s="73"/>
      <c r="AW2073" s="73"/>
      <c r="AX2073" s="73"/>
      <c r="AY2073" s="73"/>
      <c r="AZ2073" s="73"/>
      <c r="BA2073" s="73"/>
      <c r="BB2073" s="73"/>
      <c r="BC2073" s="73"/>
      <c r="BD2073" s="73"/>
      <c r="BE2073" s="73"/>
      <c r="BF2073" s="73"/>
      <c r="BG2073" s="73"/>
      <c r="BH2073" s="73"/>
      <c r="BI2073" s="73"/>
      <c r="BJ2073" s="73"/>
      <c r="BK2073" s="73"/>
      <c r="BL2073" s="73"/>
      <c r="BM2073" s="73"/>
      <c r="BN2073" s="73"/>
      <c r="BO2073" s="73"/>
      <c r="BP2073" s="73"/>
      <c r="BQ2073" s="73"/>
      <c r="BR2073" s="73"/>
      <c r="BS2073" s="73"/>
      <c r="BT2073" s="73"/>
      <c r="BU2073" s="73"/>
      <c r="BV2073" s="73"/>
      <c r="BW2073" s="73"/>
      <c r="BX2073" s="73"/>
      <c r="BY2073" s="73"/>
      <c r="BZ2073" s="73"/>
      <c r="CA2073" s="73"/>
      <c r="CB2073" s="73"/>
      <c r="CC2073" s="73"/>
      <c r="CD2073" s="73"/>
      <c r="CE2073" s="73"/>
      <c r="CF2073" s="73"/>
      <c r="CG2073" s="73"/>
      <c r="CH2073" s="73"/>
    </row>
    <row r="2074">
      <c r="A2074" s="80"/>
      <c r="B2074" s="80"/>
      <c r="C2074" s="80"/>
      <c r="D2074" s="80"/>
      <c r="E2074" s="124"/>
      <c r="F2074" s="80"/>
      <c r="G2074" s="80"/>
      <c r="H2074" s="80"/>
      <c r="I2074" s="80"/>
      <c r="J2074" s="196"/>
      <c r="K2074" s="196"/>
      <c r="L2074" s="196"/>
      <c r="M2074" s="196"/>
      <c r="N2074" s="196"/>
      <c r="O2074" s="196"/>
      <c r="P2074" s="196"/>
      <c r="Q2074" s="196"/>
      <c r="R2074" s="196"/>
      <c r="S2074" s="196"/>
      <c r="T2074" s="196"/>
      <c r="U2074" s="196"/>
      <c r="V2074" s="196"/>
      <c r="W2074" s="196"/>
      <c r="X2074" s="196"/>
      <c r="Y2074" s="196"/>
      <c r="Z2074" s="196"/>
      <c r="AA2074" s="196"/>
      <c r="AB2074" s="196"/>
      <c r="AC2074" s="196"/>
      <c r="AD2074" s="196"/>
      <c r="AE2074" s="196"/>
      <c r="AF2074" s="196"/>
      <c r="AG2074" s="196"/>
      <c r="AH2074" s="196"/>
      <c r="AI2074" s="196"/>
      <c r="AJ2074" s="197"/>
      <c r="AK2074" s="80"/>
      <c r="AL2074" s="80"/>
      <c r="AM2074" s="73"/>
      <c r="AN2074" s="73"/>
      <c r="AO2074" s="73"/>
      <c r="AP2074" s="73"/>
      <c r="AQ2074" s="73"/>
      <c r="AR2074" s="73"/>
      <c r="AS2074" s="73"/>
      <c r="AT2074" s="73"/>
      <c r="AU2074" s="73"/>
      <c r="AV2074" s="73"/>
      <c r="AW2074" s="73"/>
      <c r="AX2074" s="73"/>
      <c r="AY2074" s="73"/>
      <c r="AZ2074" s="73"/>
      <c r="BA2074" s="73"/>
      <c r="BB2074" s="73"/>
      <c r="BC2074" s="73"/>
      <c r="BD2074" s="73"/>
      <c r="BE2074" s="73"/>
      <c r="BF2074" s="73"/>
      <c r="BG2074" s="73"/>
      <c r="BH2074" s="73"/>
      <c r="BI2074" s="73"/>
      <c r="BJ2074" s="73"/>
      <c r="BK2074" s="73"/>
      <c r="BL2074" s="73"/>
      <c r="BM2074" s="73"/>
      <c r="BN2074" s="73"/>
      <c r="BO2074" s="73"/>
      <c r="BP2074" s="73"/>
      <c r="BQ2074" s="73"/>
      <c r="BR2074" s="73"/>
      <c r="BS2074" s="73"/>
      <c r="BT2074" s="73"/>
      <c r="BU2074" s="73"/>
      <c r="BV2074" s="73"/>
      <c r="BW2074" s="73"/>
      <c r="BX2074" s="73"/>
      <c r="BY2074" s="73"/>
      <c r="BZ2074" s="73"/>
      <c r="CA2074" s="73"/>
      <c r="CB2074" s="73"/>
      <c r="CC2074" s="73"/>
      <c r="CD2074" s="73"/>
      <c r="CE2074" s="73"/>
      <c r="CF2074" s="73"/>
      <c r="CG2074" s="73"/>
      <c r="CH2074" s="73"/>
    </row>
    <row r="2075">
      <c r="A2075" s="80"/>
      <c r="B2075" s="80"/>
      <c r="C2075" s="80"/>
      <c r="D2075" s="80"/>
      <c r="E2075" s="124"/>
      <c r="F2075" s="80"/>
      <c r="G2075" s="80"/>
      <c r="H2075" s="80"/>
      <c r="I2075" s="80"/>
      <c r="J2075" s="196"/>
      <c r="K2075" s="196"/>
      <c r="L2075" s="196"/>
      <c r="M2075" s="196"/>
      <c r="N2075" s="196"/>
      <c r="O2075" s="196"/>
      <c r="P2075" s="196"/>
      <c r="Q2075" s="196"/>
      <c r="R2075" s="196"/>
      <c r="S2075" s="196"/>
      <c r="T2075" s="196"/>
      <c r="U2075" s="196"/>
      <c r="V2075" s="196"/>
      <c r="W2075" s="196"/>
      <c r="X2075" s="196"/>
      <c r="Y2075" s="196"/>
      <c r="Z2075" s="196"/>
      <c r="AA2075" s="196"/>
      <c r="AB2075" s="196"/>
      <c r="AC2075" s="196"/>
      <c r="AD2075" s="196"/>
      <c r="AE2075" s="196"/>
      <c r="AF2075" s="196"/>
      <c r="AG2075" s="196"/>
      <c r="AH2075" s="196"/>
      <c r="AI2075" s="196"/>
      <c r="AJ2075" s="197"/>
      <c r="AK2075" s="80"/>
      <c r="AL2075" s="80"/>
      <c r="AM2075" s="73"/>
      <c r="AN2075" s="73"/>
      <c r="AO2075" s="73"/>
      <c r="AP2075" s="73"/>
      <c r="AQ2075" s="73"/>
      <c r="AR2075" s="73"/>
      <c r="AS2075" s="73"/>
      <c r="AT2075" s="73"/>
      <c r="AU2075" s="73"/>
      <c r="AV2075" s="73"/>
      <c r="AW2075" s="73"/>
      <c r="AX2075" s="73"/>
      <c r="AY2075" s="73"/>
      <c r="AZ2075" s="73"/>
      <c r="BA2075" s="73"/>
      <c r="BB2075" s="73"/>
      <c r="BC2075" s="73"/>
      <c r="BD2075" s="73"/>
      <c r="BE2075" s="73"/>
      <c r="BF2075" s="73"/>
      <c r="BG2075" s="73"/>
      <c r="BH2075" s="73"/>
      <c r="BI2075" s="73"/>
      <c r="BJ2075" s="73"/>
      <c r="BK2075" s="73"/>
      <c r="BL2075" s="73"/>
      <c r="BM2075" s="73"/>
      <c r="BN2075" s="73"/>
      <c r="BO2075" s="73"/>
      <c r="BP2075" s="73"/>
      <c r="BQ2075" s="73"/>
      <c r="BR2075" s="73"/>
      <c r="BS2075" s="73"/>
      <c r="BT2075" s="73"/>
      <c r="BU2075" s="73"/>
      <c r="BV2075" s="73"/>
      <c r="BW2075" s="73"/>
      <c r="BX2075" s="73"/>
      <c r="BY2075" s="73"/>
      <c r="BZ2075" s="73"/>
      <c r="CA2075" s="73"/>
      <c r="CB2075" s="73"/>
      <c r="CC2075" s="73"/>
      <c r="CD2075" s="73"/>
      <c r="CE2075" s="73"/>
      <c r="CF2075" s="73"/>
      <c r="CG2075" s="73"/>
      <c r="CH2075" s="73"/>
    </row>
    <row r="2076">
      <c r="A2076" s="80"/>
      <c r="B2076" s="80"/>
      <c r="C2076" s="80"/>
      <c r="D2076" s="80"/>
      <c r="E2076" s="124"/>
      <c r="F2076" s="80"/>
      <c r="G2076" s="80"/>
      <c r="H2076" s="80"/>
      <c r="I2076" s="80"/>
      <c r="J2076" s="196"/>
      <c r="K2076" s="196"/>
      <c r="L2076" s="196"/>
      <c r="M2076" s="196"/>
      <c r="N2076" s="196"/>
      <c r="O2076" s="196"/>
      <c r="P2076" s="196"/>
      <c r="Q2076" s="196"/>
      <c r="R2076" s="196"/>
      <c r="S2076" s="196"/>
      <c r="T2076" s="196"/>
      <c r="U2076" s="196"/>
      <c r="V2076" s="196"/>
      <c r="W2076" s="196"/>
      <c r="X2076" s="196"/>
      <c r="Y2076" s="196"/>
      <c r="Z2076" s="196"/>
      <c r="AA2076" s="196"/>
      <c r="AB2076" s="196"/>
      <c r="AC2076" s="196"/>
      <c r="AD2076" s="196"/>
      <c r="AE2076" s="196"/>
      <c r="AF2076" s="196"/>
      <c r="AG2076" s="196"/>
      <c r="AH2076" s="196"/>
      <c r="AI2076" s="196"/>
      <c r="AJ2076" s="197"/>
      <c r="AK2076" s="80"/>
      <c r="AL2076" s="80"/>
      <c r="AM2076" s="73"/>
      <c r="AN2076" s="73"/>
      <c r="AO2076" s="73"/>
      <c r="AP2076" s="73"/>
      <c r="AQ2076" s="73"/>
      <c r="AR2076" s="73"/>
      <c r="AS2076" s="73"/>
      <c r="AT2076" s="73"/>
      <c r="AU2076" s="73"/>
      <c r="AV2076" s="73"/>
      <c r="AW2076" s="73"/>
      <c r="AX2076" s="73"/>
      <c r="AY2076" s="73"/>
      <c r="AZ2076" s="73"/>
      <c r="BA2076" s="73"/>
      <c r="BB2076" s="73"/>
      <c r="BC2076" s="73"/>
      <c r="BD2076" s="73"/>
      <c r="BE2076" s="73"/>
      <c r="BF2076" s="73"/>
      <c r="BG2076" s="73"/>
      <c r="BH2076" s="73"/>
      <c r="BI2076" s="73"/>
      <c r="BJ2076" s="73"/>
      <c r="BK2076" s="73"/>
      <c r="BL2076" s="73"/>
      <c r="BM2076" s="73"/>
      <c r="BN2076" s="73"/>
      <c r="BO2076" s="73"/>
      <c r="BP2076" s="73"/>
      <c r="BQ2076" s="73"/>
      <c r="BR2076" s="73"/>
      <c r="BS2076" s="73"/>
      <c r="BT2076" s="73"/>
      <c r="BU2076" s="73"/>
      <c r="BV2076" s="73"/>
      <c r="BW2076" s="73"/>
      <c r="BX2076" s="73"/>
      <c r="BY2076" s="73"/>
      <c r="BZ2076" s="73"/>
      <c r="CA2076" s="73"/>
      <c r="CB2076" s="73"/>
      <c r="CC2076" s="73"/>
      <c r="CD2076" s="73"/>
      <c r="CE2076" s="73"/>
      <c r="CF2076" s="73"/>
      <c r="CG2076" s="73"/>
      <c r="CH2076" s="73"/>
    </row>
    <row r="2077">
      <c r="A2077" s="80"/>
      <c r="B2077" s="80"/>
      <c r="C2077" s="80"/>
      <c r="D2077" s="80"/>
      <c r="E2077" s="124"/>
      <c r="F2077" s="80"/>
      <c r="G2077" s="80"/>
      <c r="H2077" s="80"/>
      <c r="I2077" s="80"/>
      <c r="J2077" s="196"/>
      <c r="K2077" s="196"/>
      <c r="L2077" s="196"/>
      <c r="M2077" s="196"/>
      <c r="N2077" s="196"/>
      <c r="O2077" s="196"/>
      <c r="P2077" s="196"/>
      <c r="Q2077" s="196"/>
      <c r="R2077" s="196"/>
      <c r="S2077" s="196"/>
      <c r="T2077" s="196"/>
      <c r="U2077" s="196"/>
      <c r="V2077" s="196"/>
      <c r="W2077" s="196"/>
      <c r="X2077" s="196"/>
      <c r="Y2077" s="196"/>
      <c r="Z2077" s="196"/>
      <c r="AA2077" s="196"/>
      <c r="AB2077" s="196"/>
      <c r="AC2077" s="196"/>
      <c r="AD2077" s="196"/>
      <c r="AE2077" s="196"/>
      <c r="AF2077" s="196"/>
      <c r="AG2077" s="196"/>
      <c r="AH2077" s="196"/>
      <c r="AI2077" s="196"/>
      <c r="AJ2077" s="197"/>
      <c r="AK2077" s="80"/>
      <c r="AL2077" s="80"/>
      <c r="AM2077" s="73"/>
      <c r="AN2077" s="73"/>
      <c r="AO2077" s="73"/>
      <c r="AP2077" s="73"/>
      <c r="AQ2077" s="73"/>
      <c r="AR2077" s="73"/>
      <c r="AS2077" s="73"/>
      <c r="AT2077" s="73"/>
      <c r="AU2077" s="73"/>
      <c r="AV2077" s="73"/>
      <c r="AW2077" s="73"/>
      <c r="AX2077" s="73"/>
      <c r="AY2077" s="73"/>
      <c r="AZ2077" s="73"/>
      <c r="BA2077" s="73"/>
      <c r="BB2077" s="73"/>
      <c r="BC2077" s="73"/>
      <c r="BD2077" s="73"/>
      <c r="BE2077" s="73"/>
      <c r="BF2077" s="73"/>
      <c r="BG2077" s="73"/>
      <c r="BH2077" s="73"/>
      <c r="BI2077" s="73"/>
      <c r="BJ2077" s="73"/>
      <c r="BK2077" s="73"/>
      <c r="BL2077" s="73"/>
      <c r="BM2077" s="73"/>
      <c r="BN2077" s="73"/>
      <c r="BO2077" s="73"/>
      <c r="BP2077" s="73"/>
      <c r="BQ2077" s="73"/>
      <c r="BR2077" s="73"/>
      <c r="BS2077" s="73"/>
      <c r="BT2077" s="73"/>
      <c r="BU2077" s="73"/>
      <c r="BV2077" s="73"/>
      <c r="BW2077" s="73"/>
      <c r="BX2077" s="73"/>
      <c r="BY2077" s="73"/>
      <c r="BZ2077" s="73"/>
      <c r="CA2077" s="73"/>
      <c r="CB2077" s="73"/>
      <c r="CC2077" s="73"/>
      <c r="CD2077" s="73"/>
      <c r="CE2077" s="73"/>
      <c r="CF2077" s="73"/>
      <c r="CG2077" s="73"/>
      <c r="CH2077" s="73"/>
    </row>
    <row r="2078">
      <c r="A2078" s="80"/>
      <c r="B2078" s="80"/>
      <c r="C2078" s="80"/>
      <c r="D2078" s="80"/>
      <c r="E2078" s="124"/>
      <c r="F2078" s="80"/>
      <c r="G2078" s="80"/>
      <c r="H2078" s="80"/>
      <c r="I2078" s="80"/>
      <c r="J2078" s="196"/>
      <c r="K2078" s="196"/>
      <c r="L2078" s="196"/>
      <c r="M2078" s="196"/>
      <c r="N2078" s="196"/>
      <c r="O2078" s="196"/>
      <c r="P2078" s="196"/>
      <c r="Q2078" s="196"/>
      <c r="R2078" s="196"/>
      <c r="S2078" s="196"/>
      <c r="T2078" s="196"/>
      <c r="U2078" s="196"/>
      <c r="V2078" s="196"/>
      <c r="W2078" s="196"/>
      <c r="X2078" s="196"/>
      <c r="Y2078" s="196"/>
      <c r="Z2078" s="196"/>
      <c r="AA2078" s="196"/>
      <c r="AB2078" s="196"/>
      <c r="AC2078" s="196"/>
      <c r="AD2078" s="196"/>
      <c r="AE2078" s="196"/>
      <c r="AF2078" s="196"/>
      <c r="AG2078" s="196"/>
      <c r="AH2078" s="196"/>
      <c r="AI2078" s="196"/>
      <c r="AJ2078" s="197"/>
      <c r="AK2078" s="80"/>
      <c r="AL2078" s="80"/>
      <c r="AM2078" s="73"/>
      <c r="AN2078" s="73"/>
      <c r="AO2078" s="73"/>
      <c r="AP2078" s="73"/>
      <c r="AQ2078" s="73"/>
      <c r="AR2078" s="73"/>
      <c r="AS2078" s="73"/>
      <c r="AT2078" s="73"/>
      <c r="AU2078" s="73"/>
      <c r="AV2078" s="73"/>
      <c r="AW2078" s="73"/>
      <c r="AX2078" s="73"/>
      <c r="AY2078" s="73"/>
      <c r="AZ2078" s="73"/>
      <c r="BA2078" s="73"/>
      <c r="BB2078" s="73"/>
      <c r="BC2078" s="73"/>
      <c r="BD2078" s="73"/>
      <c r="BE2078" s="73"/>
      <c r="BF2078" s="73"/>
      <c r="BG2078" s="73"/>
      <c r="BH2078" s="73"/>
      <c r="BI2078" s="73"/>
      <c r="BJ2078" s="73"/>
      <c r="BK2078" s="73"/>
      <c r="BL2078" s="73"/>
      <c r="BM2078" s="73"/>
      <c r="BN2078" s="73"/>
      <c r="BO2078" s="73"/>
      <c r="BP2078" s="73"/>
      <c r="BQ2078" s="73"/>
      <c r="BR2078" s="73"/>
      <c r="BS2078" s="73"/>
      <c r="BT2078" s="73"/>
      <c r="BU2078" s="73"/>
      <c r="BV2078" s="73"/>
      <c r="BW2078" s="73"/>
      <c r="BX2078" s="73"/>
      <c r="BY2078" s="73"/>
      <c r="BZ2078" s="73"/>
      <c r="CA2078" s="73"/>
      <c r="CB2078" s="73"/>
      <c r="CC2078" s="73"/>
      <c r="CD2078" s="73"/>
      <c r="CE2078" s="73"/>
      <c r="CF2078" s="73"/>
      <c r="CG2078" s="73"/>
      <c r="CH2078" s="73"/>
    </row>
    <row r="2079">
      <c r="A2079" s="80"/>
      <c r="B2079" s="80"/>
      <c r="C2079" s="80"/>
      <c r="D2079" s="80"/>
      <c r="E2079" s="124"/>
      <c r="F2079" s="80"/>
      <c r="G2079" s="80"/>
      <c r="H2079" s="80"/>
      <c r="I2079" s="80"/>
      <c r="J2079" s="196"/>
      <c r="K2079" s="196"/>
      <c r="L2079" s="196"/>
      <c r="M2079" s="196"/>
      <c r="N2079" s="196"/>
      <c r="O2079" s="196"/>
      <c r="P2079" s="196"/>
      <c r="Q2079" s="196"/>
      <c r="R2079" s="196"/>
      <c r="S2079" s="196"/>
      <c r="T2079" s="196"/>
      <c r="U2079" s="196"/>
      <c r="V2079" s="196"/>
      <c r="W2079" s="196"/>
      <c r="X2079" s="196"/>
      <c r="Y2079" s="196"/>
      <c r="Z2079" s="196"/>
      <c r="AA2079" s="196"/>
      <c r="AB2079" s="196"/>
      <c r="AC2079" s="196"/>
      <c r="AD2079" s="196"/>
      <c r="AE2079" s="196"/>
      <c r="AF2079" s="196"/>
      <c r="AG2079" s="196"/>
      <c r="AH2079" s="196"/>
      <c r="AI2079" s="196"/>
      <c r="AJ2079" s="197"/>
      <c r="AK2079" s="80"/>
      <c r="AL2079" s="80"/>
      <c r="AM2079" s="73"/>
      <c r="AN2079" s="73"/>
      <c r="AO2079" s="73"/>
      <c r="AP2079" s="73"/>
      <c r="AQ2079" s="73"/>
      <c r="AR2079" s="73"/>
      <c r="AS2079" s="73"/>
      <c r="AT2079" s="73"/>
      <c r="AU2079" s="73"/>
      <c r="AV2079" s="73"/>
      <c r="AW2079" s="73"/>
      <c r="AX2079" s="73"/>
      <c r="AY2079" s="73"/>
      <c r="AZ2079" s="73"/>
      <c r="BA2079" s="73"/>
      <c r="BB2079" s="73"/>
      <c r="BC2079" s="73"/>
      <c r="BD2079" s="73"/>
      <c r="BE2079" s="73"/>
      <c r="BF2079" s="73"/>
      <c r="BG2079" s="73"/>
      <c r="BH2079" s="73"/>
      <c r="BI2079" s="73"/>
      <c r="BJ2079" s="73"/>
      <c r="BK2079" s="73"/>
      <c r="BL2079" s="73"/>
      <c r="BM2079" s="73"/>
      <c r="BN2079" s="73"/>
      <c r="BO2079" s="73"/>
      <c r="BP2079" s="73"/>
      <c r="BQ2079" s="73"/>
      <c r="BR2079" s="73"/>
      <c r="BS2079" s="73"/>
      <c r="BT2079" s="73"/>
      <c r="BU2079" s="73"/>
      <c r="BV2079" s="73"/>
      <c r="BW2079" s="73"/>
      <c r="BX2079" s="73"/>
      <c r="BY2079" s="73"/>
      <c r="BZ2079" s="73"/>
      <c r="CA2079" s="73"/>
      <c r="CB2079" s="73"/>
      <c r="CC2079" s="73"/>
      <c r="CD2079" s="73"/>
      <c r="CE2079" s="73"/>
      <c r="CF2079" s="73"/>
      <c r="CG2079" s="73"/>
      <c r="CH2079" s="73"/>
    </row>
    <row r="2080">
      <c r="A2080" s="80"/>
      <c r="B2080" s="80"/>
      <c r="C2080" s="80"/>
      <c r="D2080" s="80"/>
      <c r="E2080" s="124"/>
      <c r="F2080" s="80"/>
      <c r="G2080" s="80"/>
      <c r="H2080" s="80"/>
      <c r="I2080" s="80"/>
      <c r="J2080" s="196"/>
      <c r="K2080" s="196"/>
      <c r="L2080" s="196"/>
      <c r="M2080" s="196"/>
      <c r="N2080" s="196"/>
      <c r="O2080" s="196"/>
      <c r="P2080" s="196"/>
      <c r="Q2080" s="196"/>
      <c r="R2080" s="196"/>
      <c r="S2080" s="196"/>
      <c r="T2080" s="196"/>
      <c r="U2080" s="196"/>
      <c r="V2080" s="196"/>
      <c r="W2080" s="196"/>
      <c r="X2080" s="196"/>
      <c r="Y2080" s="196"/>
      <c r="Z2080" s="196"/>
      <c r="AA2080" s="196"/>
      <c r="AB2080" s="196"/>
      <c r="AC2080" s="196"/>
      <c r="AD2080" s="196"/>
      <c r="AE2080" s="196"/>
      <c r="AF2080" s="196"/>
      <c r="AG2080" s="196"/>
      <c r="AH2080" s="196"/>
      <c r="AI2080" s="196"/>
      <c r="AJ2080" s="197"/>
      <c r="AK2080" s="80"/>
      <c r="AL2080" s="80"/>
      <c r="AM2080" s="73"/>
      <c r="AN2080" s="73"/>
      <c r="AO2080" s="73"/>
      <c r="AP2080" s="73"/>
      <c r="AQ2080" s="73"/>
      <c r="AR2080" s="73"/>
      <c r="AS2080" s="73"/>
      <c r="AT2080" s="73"/>
      <c r="AU2080" s="73"/>
      <c r="AV2080" s="73"/>
      <c r="AW2080" s="73"/>
      <c r="AX2080" s="73"/>
      <c r="AY2080" s="73"/>
      <c r="AZ2080" s="73"/>
      <c r="BA2080" s="73"/>
      <c r="BB2080" s="73"/>
      <c r="BC2080" s="73"/>
      <c r="BD2080" s="73"/>
      <c r="BE2080" s="73"/>
      <c r="BF2080" s="73"/>
      <c r="BG2080" s="73"/>
      <c r="BH2080" s="73"/>
      <c r="BI2080" s="73"/>
      <c r="BJ2080" s="73"/>
      <c r="BK2080" s="73"/>
      <c r="BL2080" s="73"/>
      <c r="BM2080" s="73"/>
      <c r="BN2080" s="73"/>
      <c r="BO2080" s="73"/>
      <c r="BP2080" s="73"/>
      <c r="BQ2080" s="73"/>
      <c r="BR2080" s="73"/>
      <c r="BS2080" s="73"/>
      <c r="BT2080" s="73"/>
      <c r="BU2080" s="73"/>
      <c r="BV2080" s="73"/>
      <c r="BW2080" s="73"/>
      <c r="BX2080" s="73"/>
      <c r="BY2080" s="73"/>
      <c r="BZ2080" s="73"/>
      <c r="CA2080" s="73"/>
      <c r="CB2080" s="73"/>
      <c r="CC2080" s="73"/>
      <c r="CD2080" s="73"/>
      <c r="CE2080" s="73"/>
      <c r="CF2080" s="73"/>
      <c r="CG2080" s="73"/>
      <c r="CH2080" s="73"/>
    </row>
    <row r="2081">
      <c r="A2081" s="80"/>
      <c r="B2081" s="80"/>
      <c r="C2081" s="80"/>
      <c r="D2081" s="80"/>
      <c r="E2081" s="124"/>
      <c r="F2081" s="80"/>
      <c r="G2081" s="80"/>
      <c r="H2081" s="80"/>
      <c r="I2081" s="80"/>
      <c r="J2081" s="196"/>
      <c r="K2081" s="196"/>
      <c r="L2081" s="196"/>
      <c r="M2081" s="196"/>
      <c r="N2081" s="196"/>
      <c r="O2081" s="196"/>
      <c r="P2081" s="196"/>
      <c r="Q2081" s="196"/>
      <c r="R2081" s="196"/>
      <c r="S2081" s="196"/>
      <c r="T2081" s="196"/>
      <c r="U2081" s="196"/>
      <c r="V2081" s="196"/>
      <c r="W2081" s="196"/>
      <c r="X2081" s="196"/>
      <c r="Y2081" s="196"/>
      <c r="Z2081" s="196"/>
      <c r="AA2081" s="196"/>
      <c r="AB2081" s="196"/>
      <c r="AC2081" s="196"/>
      <c r="AD2081" s="196"/>
      <c r="AE2081" s="196"/>
      <c r="AF2081" s="196"/>
      <c r="AG2081" s="196"/>
      <c r="AH2081" s="196"/>
      <c r="AI2081" s="196"/>
      <c r="AJ2081" s="197"/>
      <c r="AK2081" s="80"/>
      <c r="AL2081" s="80"/>
      <c r="AM2081" s="73"/>
      <c r="AN2081" s="73"/>
      <c r="AO2081" s="73"/>
      <c r="AP2081" s="73"/>
      <c r="AQ2081" s="73"/>
      <c r="AR2081" s="73"/>
      <c r="AS2081" s="73"/>
      <c r="AT2081" s="73"/>
      <c r="AU2081" s="73"/>
      <c r="AV2081" s="73"/>
      <c r="AW2081" s="73"/>
      <c r="AX2081" s="73"/>
      <c r="AY2081" s="73"/>
      <c r="AZ2081" s="73"/>
      <c r="BA2081" s="73"/>
      <c r="BB2081" s="73"/>
      <c r="BC2081" s="73"/>
      <c r="BD2081" s="73"/>
      <c r="BE2081" s="73"/>
      <c r="BF2081" s="73"/>
      <c r="BG2081" s="73"/>
      <c r="BH2081" s="73"/>
      <c r="BI2081" s="73"/>
      <c r="BJ2081" s="73"/>
      <c r="BK2081" s="73"/>
      <c r="BL2081" s="73"/>
      <c r="BM2081" s="73"/>
      <c r="BN2081" s="73"/>
      <c r="BO2081" s="73"/>
      <c r="BP2081" s="73"/>
      <c r="BQ2081" s="73"/>
      <c r="BR2081" s="73"/>
      <c r="BS2081" s="73"/>
      <c r="BT2081" s="73"/>
      <c r="BU2081" s="73"/>
      <c r="BV2081" s="73"/>
      <c r="BW2081" s="73"/>
      <c r="BX2081" s="73"/>
      <c r="BY2081" s="73"/>
      <c r="BZ2081" s="73"/>
      <c r="CA2081" s="73"/>
      <c r="CB2081" s="73"/>
      <c r="CC2081" s="73"/>
      <c r="CD2081" s="73"/>
      <c r="CE2081" s="73"/>
      <c r="CF2081" s="73"/>
      <c r="CG2081" s="73"/>
      <c r="CH2081" s="73"/>
    </row>
    <row r="2082">
      <c r="A2082" s="80"/>
      <c r="B2082" s="80"/>
      <c r="C2082" s="80"/>
      <c r="D2082" s="80"/>
      <c r="E2082" s="124"/>
      <c r="F2082" s="80"/>
      <c r="G2082" s="80"/>
      <c r="H2082" s="80"/>
      <c r="I2082" s="80"/>
      <c r="J2082" s="196"/>
      <c r="K2082" s="196"/>
      <c r="L2082" s="196"/>
      <c r="M2082" s="196"/>
      <c r="N2082" s="196"/>
      <c r="O2082" s="196"/>
      <c r="P2082" s="196"/>
      <c r="Q2082" s="196"/>
      <c r="R2082" s="196"/>
      <c r="S2082" s="196"/>
      <c r="T2082" s="196"/>
      <c r="U2082" s="196"/>
      <c r="V2082" s="196"/>
      <c r="W2082" s="196"/>
      <c r="X2082" s="196"/>
      <c r="Y2082" s="196"/>
      <c r="Z2082" s="196"/>
      <c r="AA2082" s="196"/>
      <c r="AB2082" s="196"/>
      <c r="AC2082" s="196"/>
      <c r="AD2082" s="196"/>
      <c r="AE2082" s="196"/>
      <c r="AF2082" s="196"/>
      <c r="AG2082" s="196"/>
      <c r="AH2082" s="196"/>
      <c r="AI2082" s="196"/>
      <c r="AJ2082" s="197"/>
      <c r="AK2082" s="80"/>
      <c r="AL2082" s="80"/>
      <c r="AM2082" s="73"/>
      <c r="AN2082" s="73"/>
      <c r="AO2082" s="73"/>
      <c r="AP2082" s="73"/>
      <c r="AQ2082" s="73"/>
      <c r="AR2082" s="73"/>
      <c r="AS2082" s="73"/>
      <c r="AT2082" s="73"/>
      <c r="AU2082" s="73"/>
      <c r="AV2082" s="73"/>
      <c r="AW2082" s="73"/>
      <c r="AX2082" s="73"/>
      <c r="AY2082" s="73"/>
      <c r="AZ2082" s="73"/>
      <c r="BA2082" s="73"/>
      <c r="BB2082" s="73"/>
      <c r="BC2082" s="73"/>
      <c r="BD2082" s="73"/>
      <c r="BE2082" s="73"/>
      <c r="BF2082" s="73"/>
      <c r="BG2082" s="73"/>
      <c r="BH2082" s="73"/>
      <c r="BI2082" s="73"/>
      <c r="BJ2082" s="73"/>
      <c r="BK2082" s="73"/>
      <c r="BL2082" s="73"/>
      <c r="BM2082" s="73"/>
      <c r="BN2082" s="73"/>
      <c r="BO2082" s="73"/>
      <c r="BP2082" s="73"/>
      <c r="BQ2082" s="73"/>
      <c r="BR2082" s="73"/>
      <c r="BS2082" s="73"/>
      <c r="BT2082" s="73"/>
      <c r="BU2082" s="73"/>
      <c r="BV2082" s="73"/>
      <c r="BW2082" s="73"/>
      <c r="BX2082" s="73"/>
      <c r="BY2082" s="73"/>
      <c r="BZ2082" s="73"/>
      <c r="CA2082" s="73"/>
      <c r="CB2082" s="73"/>
      <c r="CC2082" s="73"/>
      <c r="CD2082" s="73"/>
      <c r="CE2082" s="73"/>
      <c r="CF2082" s="73"/>
      <c r="CG2082" s="73"/>
      <c r="CH2082" s="73"/>
    </row>
    <row r="2083">
      <c r="A2083" s="80"/>
      <c r="B2083" s="80"/>
      <c r="C2083" s="80"/>
      <c r="D2083" s="80"/>
      <c r="E2083" s="124"/>
      <c r="F2083" s="80"/>
      <c r="G2083" s="80"/>
      <c r="H2083" s="80"/>
      <c r="I2083" s="80"/>
      <c r="J2083" s="196"/>
      <c r="K2083" s="196"/>
      <c r="L2083" s="196"/>
      <c r="M2083" s="196"/>
      <c r="N2083" s="196"/>
      <c r="O2083" s="196"/>
      <c r="P2083" s="196"/>
      <c r="Q2083" s="196"/>
      <c r="R2083" s="196"/>
      <c r="S2083" s="196"/>
      <c r="T2083" s="196"/>
      <c r="U2083" s="196"/>
      <c r="V2083" s="196"/>
      <c r="W2083" s="196"/>
      <c r="X2083" s="196"/>
      <c r="Y2083" s="196"/>
      <c r="Z2083" s="196"/>
      <c r="AA2083" s="196"/>
      <c r="AB2083" s="196"/>
      <c r="AC2083" s="196"/>
      <c r="AD2083" s="196"/>
      <c r="AE2083" s="196"/>
      <c r="AF2083" s="196"/>
      <c r="AG2083" s="196"/>
      <c r="AH2083" s="196"/>
      <c r="AI2083" s="196"/>
      <c r="AJ2083" s="197"/>
      <c r="AK2083" s="80"/>
      <c r="AL2083" s="80"/>
      <c r="AM2083" s="73"/>
      <c r="AN2083" s="73"/>
      <c r="AO2083" s="73"/>
      <c r="AP2083" s="73"/>
      <c r="AQ2083" s="73"/>
      <c r="AR2083" s="73"/>
      <c r="AS2083" s="73"/>
      <c r="AT2083" s="73"/>
      <c r="AU2083" s="73"/>
      <c r="AV2083" s="73"/>
      <c r="AW2083" s="73"/>
      <c r="AX2083" s="73"/>
      <c r="AY2083" s="73"/>
      <c r="AZ2083" s="73"/>
      <c r="BA2083" s="73"/>
      <c r="BB2083" s="73"/>
      <c r="BC2083" s="73"/>
      <c r="BD2083" s="73"/>
      <c r="BE2083" s="73"/>
      <c r="BF2083" s="73"/>
      <c r="BG2083" s="73"/>
      <c r="BH2083" s="73"/>
      <c r="BI2083" s="73"/>
      <c r="BJ2083" s="73"/>
      <c r="BK2083" s="73"/>
      <c r="BL2083" s="73"/>
      <c r="BM2083" s="73"/>
      <c r="BN2083" s="73"/>
      <c r="BO2083" s="73"/>
      <c r="BP2083" s="73"/>
      <c r="BQ2083" s="73"/>
      <c r="BR2083" s="73"/>
      <c r="BS2083" s="73"/>
      <c r="BT2083" s="73"/>
      <c r="BU2083" s="73"/>
      <c r="BV2083" s="73"/>
      <c r="BW2083" s="73"/>
      <c r="BX2083" s="73"/>
      <c r="BY2083" s="73"/>
      <c r="BZ2083" s="73"/>
      <c r="CA2083" s="73"/>
      <c r="CB2083" s="73"/>
      <c r="CC2083" s="73"/>
      <c r="CD2083" s="73"/>
      <c r="CE2083" s="73"/>
      <c r="CF2083" s="73"/>
      <c r="CG2083" s="73"/>
      <c r="CH2083" s="73"/>
    </row>
    <row r="2084">
      <c r="A2084" s="80"/>
      <c r="B2084" s="80"/>
      <c r="C2084" s="80"/>
      <c r="D2084" s="80"/>
      <c r="E2084" s="124"/>
      <c r="F2084" s="80"/>
      <c r="G2084" s="80"/>
      <c r="H2084" s="80"/>
      <c r="I2084" s="80"/>
      <c r="J2084" s="196"/>
      <c r="K2084" s="196"/>
      <c r="L2084" s="196"/>
      <c r="M2084" s="196"/>
      <c r="N2084" s="196"/>
      <c r="O2084" s="196"/>
      <c r="P2084" s="196"/>
      <c r="Q2084" s="196"/>
      <c r="R2084" s="196"/>
      <c r="S2084" s="196"/>
      <c r="T2084" s="196"/>
      <c r="U2084" s="196"/>
      <c r="V2084" s="196"/>
      <c r="W2084" s="196"/>
      <c r="X2084" s="196"/>
      <c r="Y2084" s="196"/>
      <c r="Z2084" s="196"/>
      <c r="AA2084" s="196"/>
      <c r="AB2084" s="196"/>
      <c r="AC2084" s="196"/>
      <c r="AD2084" s="196"/>
      <c r="AE2084" s="196"/>
      <c r="AF2084" s="196"/>
      <c r="AG2084" s="196"/>
      <c r="AH2084" s="196"/>
      <c r="AI2084" s="196"/>
      <c r="AJ2084" s="197"/>
      <c r="AK2084" s="80"/>
      <c r="AL2084" s="80"/>
      <c r="AM2084" s="73"/>
      <c r="AN2084" s="73"/>
      <c r="AO2084" s="73"/>
      <c r="AP2084" s="73"/>
      <c r="AQ2084" s="73"/>
      <c r="AR2084" s="73"/>
      <c r="AS2084" s="73"/>
      <c r="AT2084" s="73"/>
      <c r="AU2084" s="73"/>
      <c r="AV2084" s="73"/>
      <c r="AW2084" s="73"/>
      <c r="AX2084" s="73"/>
      <c r="AY2084" s="73"/>
      <c r="AZ2084" s="73"/>
      <c r="BA2084" s="73"/>
      <c r="BB2084" s="73"/>
      <c r="BC2084" s="73"/>
      <c r="BD2084" s="73"/>
      <c r="BE2084" s="73"/>
      <c r="BF2084" s="73"/>
      <c r="BG2084" s="73"/>
      <c r="BH2084" s="73"/>
      <c r="BI2084" s="73"/>
      <c r="BJ2084" s="73"/>
      <c r="BK2084" s="73"/>
      <c r="BL2084" s="73"/>
      <c r="BM2084" s="73"/>
      <c r="BN2084" s="73"/>
      <c r="BO2084" s="73"/>
      <c r="BP2084" s="73"/>
      <c r="BQ2084" s="73"/>
      <c r="BR2084" s="73"/>
      <c r="BS2084" s="73"/>
      <c r="BT2084" s="73"/>
      <c r="BU2084" s="73"/>
      <c r="BV2084" s="73"/>
      <c r="BW2084" s="73"/>
      <c r="BX2084" s="73"/>
      <c r="BY2084" s="73"/>
      <c r="BZ2084" s="73"/>
      <c r="CA2084" s="73"/>
      <c r="CB2084" s="73"/>
      <c r="CC2084" s="73"/>
      <c r="CD2084" s="73"/>
      <c r="CE2084" s="73"/>
      <c r="CF2084" s="73"/>
      <c r="CG2084" s="73"/>
      <c r="CH2084" s="73"/>
    </row>
    <row r="2085">
      <c r="A2085" s="80"/>
      <c r="B2085" s="80"/>
      <c r="C2085" s="80"/>
      <c r="D2085" s="80"/>
      <c r="E2085" s="124"/>
      <c r="F2085" s="80"/>
      <c r="G2085" s="80"/>
      <c r="H2085" s="80"/>
      <c r="I2085" s="80"/>
      <c r="J2085" s="196"/>
      <c r="K2085" s="196"/>
      <c r="L2085" s="196"/>
      <c r="M2085" s="196"/>
      <c r="N2085" s="196"/>
      <c r="O2085" s="196"/>
      <c r="P2085" s="196"/>
      <c r="Q2085" s="196"/>
      <c r="R2085" s="196"/>
      <c r="S2085" s="196"/>
      <c r="T2085" s="196"/>
      <c r="U2085" s="196"/>
      <c r="V2085" s="196"/>
      <c r="W2085" s="196"/>
      <c r="X2085" s="196"/>
      <c r="Y2085" s="196"/>
      <c r="Z2085" s="196"/>
      <c r="AA2085" s="196"/>
      <c r="AB2085" s="196"/>
      <c r="AC2085" s="196"/>
      <c r="AD2085" s="196"/>
      <c r="AE2085" s="196"/>
      <c r="AF2085" s="196"/>
      <c r="AG2085" s="196"/>
      <c r="AH2085" s="196"/>
      <c r="AI2085" s="196"/>
      <c r="AJ2085" s="197"/>
      <c r="AK2085" s="80"/>
      <c r="AL2085" s="80"/>
      <c r="AM2085" s="73"/>
      <c r="AN2085" s="73"/>
      <c r="AO2085" s="73"/>
      <c r="AP2085" s="73"/>
      <c r="AQ2085" s="73"/>
      <c r="AR2085" s="73"/>
      <c r="AS2085" s="73"/>
      <c r="AT2085" s="73"/>
      <c r="AU2085" s="73"/>
      <c r="AV2085" s="73"/>
      <c r="AW2085" s="73"/>
      <c r="AX2085" s="73"/>
      <c r="AY2085" s="73"/>
      <c r="AZ2085" s="73"/>
      <c r="BA2085" s="73"/>
      <c r="BB2085" s="73"/>
      <c r="BC2085" s="73"/>
      <c r="BD2085" s="73"/>
      <c r="BE2085" s="73"/>
      <c r="BF2085" s="73"/>
      <c r="BG2085" s="73"/>
      <c r="BH2085" s="73"/>
      <c r="BI2085" s="73"/>
      <c r="BJ2085" s="73"/>
      <c r="BK2085" s="73"/>
      <c r="BL2085" s="73"/>
      <c r="BM2085" s="73"/>
      <c r="BN2085" s="73"/>
      <c r="BO2085" s="73"/>
      <c r="BP2085" s="73"/>
      <c r="BQ2085" s="73"/>
      <c r="BR2085" s="73"/>
      <c r="BS2085" s="73"/>
      <c r="BT2085" s="73"/>
      <c r="BU2085" s="73"/>
      <c r="BV2085" s="73"/>
      <c r="BW2085" s="73"/>
      <c r="BX2085" s="73"/>
      <c r="BY2085" s="73"/>
      <c r="BZ2085" s="73"/>
      <c r="CA2085" s="73"/>
      <c r="CB2085" s="73"/>
      <c r="CC2085" s="73"/>
      <c r="CD2085" s="73"/>
      <c r="CE2085" s="73"/>
      <c r="CF2085" s="73"/>
      <c r="CG2085" s="73"/>
      <c r="CH2085" s="73"/>
    </row>
    <row r="2086">
      <c r="A2086" s="80"/>
      <c r="B2086" s="80"/>
      <c r="C2086" s="80"/>
      <c r="D2086" s="80"/>
      <c r="E2086" s="124"/>
      <c r="F2086" s="80"/>
      <c r="G2086" s="80"/>
      <c r="H2086" s="80"/>
      <c r="I2086" s="80"/>
      <c r="J2086" s="196"/>
      <c r="K2086" s="196"/>
      <c r="L2086" s="196"/>
      <c r="M2086" s="196"/>
      <c r="N2086" s="196"/>
      <c r="O2086" s="196"/>
      <c r="P2086" s="196"/>
      <c r="Q2086" s="196"/>
      <c r="R2086" s="196"/>
      <c r="S2086" s="196"/>
      <c r="T2086" s="196"/>
      <c r="U2086" s="196"/>
      <c r="V2086" s="196"/>
      <c r="W2086" s="196"/>
      <c r="X2086" s="196"/>
      <c r="Y2086" s="196"/>
      <c r="Z2086" s="196"/>
      <c r="AA2086" s="196"/>
      <c r="AB2086" s="196"/>
      <c r="AC2086" s="196"/>
      <c r="AD2086" s="196"/>
      <c r="AE2086" s="196"/>
      <c r="AF2086" s="196"/>
      <c r="AG2086" s="196"/>
      <c r="AH2086" s="196"/>
      <c r="AI2086" s="196"/>
      <c r="AJ2086" s="197"/>
      <c r="AK2086" s="80"/>
      <c r="AL2086" s="80"/>
      <c r="AM2086" s="73"/>
      <c r="AN2086" s="73"/>
      <c r="AO2086" s="73"/>
      <c r="AP2086" s="73"/>
      <c r="AQ2086" s="73"/>
      <c r="AR2086" s="73"/>
      <c r="AS2086" s="73"/>
      <c r="AT2086" s="73"/>
      <c r="AU2086" s="73"/>
      <c r="AV2086" s="73"/>
      <c r="AW2086" s="73"/>
      <c r="AX2086" s="73"/>
      <c r="AY2086" s="73"/>
      <c r="AZ2086" s="73"/>
      <c r="BA2086" s="73"/>
      <c r="BB2086" s="73"/>
      <c r="BC2086" s="73"/>
      <c r="BD2086" s="73"/>
      <c r="BE2086" s="73"/>
      <c r="BF2086" s="73"/>
      <c r="BG2086" s="73"/>
      <c r="BH2086" s="73"/>
      <c r="BI2086" s="73"/>
      <c r="BJ2086" s="73"/>
      <c r="BK2086" s="73"/>
      <c r="BL2086" s="73"/>
      <c r="BM2086" s="73"/>
      <c r="BN2086" s="73"/>
      <c r="BO2086" s="73"/>
      <c r="BP2086" s="73"/>
      <c r="BQ2086" s="73"/>
      <c r="BR2086" s="73"/>
      <c r="BS2086" s="73"/>
      <c r="BT2086" s="73"/>
      <c r="BU2086" s="73"/>
      <c r="BV2086" s="73"/>
      <c r="BW2086" s="73"/>
      <c r="BX2086" s="73"/>
      <c r="BY2086" s="73"/>
      <c r="BZ2086" s="73"/>
      <c r="CA2086" s="73"/>
      <c r="CB2086" s="73"/>
      <c r="CC2086" s="73"/>
      <c r="CD2086" s="73"/>
      <c r="CE2086" s="73"/>
      <c r="CF2086" s="73"/>
      <c r="CG2086" s="73"/>
      <c r="CH2086" s="73"/>
    </row>
    <row r="2087">
      <c r="A2087" s="80"/>
      <c r="B2087" s="80"/>
      <c r="C2087" s="80"/>
      <c r="D2087" s="80"/>
      <c r="E2087" s="124"/>
      <c r="F2087" s="80"/>
      <c r="G2087" s="80"/>
      <c r="H2087" s="80"/>
      <c r="I2087" s="80"/>
      <c r="J2087" s="196"/>
      <c r="K2087" s="196"/>
      <c r="L2087" s="196"/>
      <c r="M2087" s="196"/>
      <c r="N2087" s="196"/>
      <c r="O2087" s="196"/>
      <c r="P2087" s="196"/>
      <c r="Q2087" s="196"/>
      <c r="R2087" s="196"/>
      <c r="S2087" s="196"/>
      <c r="T2087" s="196"/>
      <c r="U2087" s="196"/>
      <c r="V2087" s="196"/>
      <c r="W2087" s="196"/>
      <c r="X2087" s="196"/>
      <c r="Y2087" s="196"/>
      <c r="Z2087" s="196"/>
      <c r="AA2087" s="196"/>
      <c r="AB2087" s="196"/>
      <c r="AC2087" s="196"/>
      <c r="AD2087" s="196"/>
      <c r="AE2087" s="196"/>
      <c r="AF2087" s="196"/>
      <c r="AG2087" s="196"/>
      <c r="AH2087" s="196"/>
      <c r="AI2087" s="196"/>
      <c r="AJ2087" s="197"/>
      <c r="AK2087" s="80"/>
      <c r="AL2087" s="80"/>
      <c r="AM2087" s="73"/>
      <c r="AN2087" s="73"/>
      <c r="AO2087" s="73"/>
      <c r="AP2087" s="73"/>
      <c r="AQ2087" s="73"/>
      <c r="AR2087" s="73"/>
      <c r="AS2087" s="73"/>
      <c r="AT2087" s="73"/>
      <c r="AU2087" s="73"/>
      <c r="AV2087" s="73"/>
      <c r="AW2087" s="73"/>
      <c r="AX2087" s="73"/>
      <c r="AY2087" s="73"/>
      <c r="AZ2087" s="73"/>
      <c r="BA2087" s="73"/>
      <c r="BB2087" s="73"/>
      <c r="BC2087" s="73"/>
      <c r="BD2087" s="73"/>
      <c r="BE2087" s="73"/>
      <c r="BF2087" s="73"/>
      <c r="BG2087" s="73"/>
      <c r="BH2087" s="73"/>
      <c r="BI2087" s="73"/>
      <c r="BJ2087" s="73"/>
      <c r="BK2087" s="73"/>
      <c r="BL2087" s="73"/>
      <c r="BM2087" s="73"/>
      <c r="BN2087" s="73"/>
      <c r="BO2087" s="73"/>
      <c r="BP2087" s="73"/>
      <c r="BQ2087" s="73"/>
      <c r="BR2087" s="73"/>
      <c r="BS2087" s="73"/>
      <c r="BT2087" s="73"/>
      <c r="BU2087" s="73"/>
      <c r="BV2087" s="73"/>
      <c r="BW2087" s="73"/>
      <c r="BX2087" s="73"/>
      <c r="BY2087" s="73"/>
      <c r="BZ2087" s="73"/>
      <c r="CA2087" s="73"/>
      <c r="CB2087" s="73"/>
      <c r="CC2087" s="73"/>
      <c r="CD2087" s="73"/>
      <c r="CE2087" s="73"/>
      <c r="CF2087" s="73"/>
      <c r="CG2087" s="73"/>
      <c r="CH2087" s="73"/>
    </row>
    <row r="2088">
      <c r="A2088" s="80"/>
      <c r="B2088" s="80"/>
      <c r="C2088" s="80"/>
      <c r="D2088" s="80"/>
      <c r="E2088" s="124"/>
      <c r="F2088" s="80"/>
      <c r="G2088" s="80"/>
      <c r="H2088" s="80"/>
      <c r="I2088" s="80"/>
      <c r="J2088" s="196"/>
      <c r="K2088" s="196"/>
      <c r="L2088" s="196"/>
      <c r="M2088" s="196"/>
      <c r="N2088" s="196"/>
      <c r="O2088" s="196"/>
      <c r="P2088" s="196"/>
      <c r="Q2088" s="196"/>
      <c r="R2088" s="196"/>
      <c r="S2088" s="196"/>
      <c r="T2088" s="196"/>
      <c r="U2088" s="196"/>
      <c r="V2088" s="196"/>
      <c r="W2088" s="196"/>
      <c r="X2088" s="196"/>
      <c r="Y2088" s="196"/>
      <c r="Z2088" s="196"/>
      <c r="AA2088" s="196"/>
      <c r="AB2088" s="196"/>
      <c r="AC2088" s="196"/>
      <c r="AD2088" s="196"/>
      <c r="AE2088" s="196"/>
      <c r="AF2088" s="196"/>
      <c r="AG2088" s="196"/>
      <c r="AH2088" s="196"/>
      <c r="AI2088" s="196"/>
      <c r="AJ2088" s="197"/>
      <c r="AK2088" s="80"/>
      <c r="AL2088" s="80"/>
      <c r="AM2088" s="73"/>
      <c r="AN2088" s="73"/>
      <c r="AO2088" s="73"/>
      <c r="AP2088" s="73"/>
      <c r="AQ2088" s="73"/>
      <c r="AR2088" s="73"/>
      <c r="AS2088" s="73"/>
      <c r="AT2088" s="73"/>
      <c r="AU2088" s="73"/>
      <c r="AV2088" s="73"/>
      <c r="AW2088" s="73"/>
      <c r="AX2088" s="73"/>
      <c r="AY2088" s="73"/>
      <c r="AZ2088" s="73"/>
      <c r="BA2088" s="73"/>
      <c r="BB2088" s="73"/>
      <c r="BC2088" s="73"/>
      <c r="BD2088" s="73"/>
      <c r="BE2088" s="73"/>
      <c r="BF2088" s="73"/>
      <c r="BG2088" s="73"/>
      <c r="BH2088" s="73"/>
      <c r="BI2088" s="73"/>
      <c r="BJ2088" s="73"/>
      <c r="BK2088" s="73"/>
      <c r="BL2088" s="73"/>
      <c r="BM2088" s="73"/>
      <c r="BN2088" s="73"/>
      <c r="BO2088" s="73"/>
      <c r="BP2088" s="73"/>
      <c r="BQ2088" s="73"/>
      <c r="BR2088" s="73"/>
      <c r="BS2088" s="73"/>
      <c r="BT2088" s="73"/>
      <c r="BU2088" s="73"/>
      <c r="BV2088" s="73"/>
      <c r="BW2088" s="73"/>
      <c r="BX2088" s="73"/>
      <c r="BY2088" s="73"/>
      <c r="BZ2088" s="73"/>
      <c r="CA2088" s="73"/>
      <c r="CB2088" s="73"/>
      <c r="CC2088" s="73"/>
      <c r="CD2088" s="73"/>
      <c r="CE2088" s="73"/>
      <c r="CF2088" s="73"/>
      <c r="CG2088" s="73"/>
      <c r="CH2088" s="73"/>
    </row>
    <row r="2089">
      <c r="A2089" s="80"/>
      <c r="B2089" s="80"/>
      <c r="C2089" s="80"/>
      <c r="D2089" s="80"/>
      <c r="E2089" s="124"/>
      <c r="F2089" s="80"/>
      <c r="G2089" s="80"/>
      <c r="H2089" s="80"/>
      <c r="I2089" s="80"/>
      <c r="J2089" s="196"/>
      <c r="K2089" s="196"/>
      <c r="L2089" s="196"/>
      <c r="M2089" s="196"/>
      <c r="N2089" s="196"/>
      <c r="O2089" s="196"/>
      <c r="P2089" s="196"/>
      <c r="Q2089" s="196"/>
      <c r="R2089" s="196"/>
      <c r="S2089" s="196"/>
      <c r="T2089" s="196"/>
      <c r="U2089" s="196"/>
      <c r="V2089" s="196"/>
      <c r="W2089" s="196"/>
      <c r="X2089" s="196"/>
      <c r="Y2089" s="196"/>
      <c r="Z2089" s="196"/>
      <c r="AA2089" s="196"/>
      <c r="AB2089" s="196"/>
      <c r="AC2089" s="196"/>
      <c r="AD2089" s="196"/>
      <c r="AE2089" s="196"/>
      <c r="AF2089" s="196"/>
      <c r="AG2089" s="196"/>
      <c r="AH2089" s="196"/>
      <c r="AI2089" s="196"/>
      <c r="AJ2089" s="197"/>
      <c r="AK2089" s="80"/>
      <c r="AL2089" s="80"/>
      <c r="AM2089" s="73"/>
      <c r="AN2089" s="73"/>
      <c r="AO2089" s="73"/>
      <c r="AP2089" s="73"/>
      <c r="AQ2089" s="73"/>
      <c r="AR2089" s="73"/>
      <c r="AS2089" s="73"/>
      <c r="AT2089" s="73"/>
      <c r="AU2089" s="73"/>
      <c r="AV2089" s="73"/>
      <c r="AW2089" s="73"/>
      <c r="AX2089" s="73"/>
      <c r="AY2089" s="73"/>
      <c r="AZ2089" s="73"/>
      <c r="BA2089" s="73"/>
      <c r="BB2089" s="73"/>
      <c r="BC2089" s="73"/>
      <c r="BD2089" s="73"/>
      <c r="BE2089" s="73"/>
      <c r="BF2089" s="73"/>
      <c r="BG2089" s="73"/>
      <c r="BH2089" s="73"/>
      <c r="BI2089" s="73"/>
      <c r="BJ2089" s="73"/>
      <c r="BK2089" s="73"/>
      <c r="BL2089" s="73"/>
      <c r="BM2089" s="73"/>
      <c r="BN2089" s="73"/>
      <c r="BO2089" s="73"/>
      <c r="BP2089" s="73"/>
      <c r="BQ2089" s="73"/>
      <c r="BR2089" s="73"/>
      <c r="BS2089" s="73"/>
      <c r="BT2089" s="73"/>
      <c r="BU2089" s="73"/>
      <c r="BV2089" s="73"/>
      <c r="BW2089" s="73"/>
      <c r="BX2089" s="73"/>
      <c r="BY2089" s="73"/>
      <c r="BZ2089" s="73"/>
      <c r="CA2089" s="73"/>
      <c r="CB2089" s="73"/>
      <c r="CC2089" s="73"/>
      <c r="CD2089" s="73"/>
      <c r="CE2089" s="73"/>
      <c r="CF2089" s="73"/>
      <c r="CG2089" s="73"/>
      <c r="CH2089" s="73"/>
    </row>
    <row r="2090">
      <c r="A2090" s="80"/>
      <c r="B2090" s="80"/>
      <c r="C2090" s="80"/>
      <c r="D2090" s="80"/>
      <c r="E2090" s="124"/>
      <c r="F2090" s="80"/>
      <c r="G2090" s="80"/>
      <c r="H2090" s="80"/>
      <c r="I2090" s="80"/>
      <c r="J2090" s="196"/>
      <c r="K2090" s="196"/>
      <c r="L2090" s="196"/>
      <c r="M2090" s="196"/>
      <c r="N2090" s="196"/>
      <c r="O2090" s="196"/>
      <c r="P2090" s="196"/>
      <c r="Q2090" s="196"/>
      <c r="R2090" s="196"/>
      <c r="S2090" s="196"/>
      <c r="T2090" s="196"/>
      <c r="U2090" s="196"/>
      <c r="V2090" s="196"/>
      <c r="W2090" s="196"/>
      <c r="X2090" s="196"/>
      <c r="Y2090" s="196"/>
      <c r="Z2090" s="196"/>
      <c r="AA2090" s="196"/>
      <c r="AB2090" s="196"/>
      <c r="AC2090" s="196"/>
      <c r="AD2090" s="196"/>
      <c r="AE2090" s="196"/>
      <c r="AF2090" s="196"/>
      <c r="AG2090" s="196"/>
      <c r="AH2090" s="196"/>
      <c r="AI2090" s="196"/>
      <c r="AJ2090" s="197"/>
      <c r="AK2090" s="80"/>
      <c r="AL2090" s="80"/>
      <c r="AM2090" s="73"/>
      <c r="AN2090" s="73"/>
      <c r="AO2090" s="73"/>
      <c r="AP2090" s="73"/>
      <c r="AQ2090" s="73"/>
      <c r="AR2090" s="73"/>
      <c r="AS2090" s="73"/>
      <c r="AT2090" s="73"/>
      <c r="AU2090" s="73"/>
      <c r="AV2090" s="73"/>
      <c r="AW2090" s="73"/>
      <c r="AX2090" s="73"/>
      <c r="AY2090" s="73"/>
      <c r="AZ2090" s="73"/>
      <c r="BA2090" s="73"/>
      <c r="BB2090" s="73"/>
      <c r="BC2090" s="73"/>
      <c r="BD2090" s="73"/>
      <c r="BE2090" s="73"/>
      <c r="BF2090" s="73"/>
      <c r="BG2090" s="73"/>
      <c r="BH2090" s="73"/>
      <c r="BI2090" s="73"/>
      <c r="BJ2090" s="73"/>
      <c r="BK2090" s="73"/>
      <c r="BL2090" s="73"/>
      <c r="BM2090" s="73"/>
      <c r="BN2090" s="73"/>
      <c r="BO2090" s="73"/>
      <c r="BP2090" s="73"/>
      <c r="BQ2090" s="73"/>
      <c r="BR2090" s="73"/>
      <c r="BS2090" s="73"/>
      <c r="BT2090" s="73"/>
      <c r="BU2090" s="73"/>
      <c r="BV2090" s="73"/>
      <c r="BW2090" s="73"/>
      <c r="BX2090" s="73"/>
      <c r="BY2090" s="73"/>
      <c r="BZ2090" s="73"/>
      <c r="CA2090" s="73"/>
      <c r="CB2090" s="73"/>
      <c r="CC2090" s="73"/>
      <c r="CD2090" s="73"/>
      <c r="CE2090" s="73"/>
      <c r="CF2090" s="73"/>
      <c r="CG2090" s="73"/>
      <c r="CH2090" s="73"/>
    </row>
    <row r="2091">
      <c r="A2091" s="80"/>
      <c r="B2091" s="80"/>
      <c r="C2091" s="80"/>
      <c r="D2091" s="80"/>
      <c r="E2091" s="124"/>
      <c r="F2091" s="80"/>
      <c r="G2091" s="80"/>
      <c r="H2091" s="80"/>
      <c r="I2091" s="80"/>
      <c r="J2091" s="196"/>
      <c r="K2091" s="196"/>
      <c r="L2091" s="196"/>
      <c r="M2091" s="196"/>
      <c r="N2091" s="196"/>
      <c r="O2091" s="196"/>
      <c r="P2091" s="196"/>
      <c r="Q2091" s="196"/>
      <c r="R2091" s="196"/>
      <c r="S2091" s="196"/>
      <c r="T2091" s="196"/>
      <c r="U2091" s="196"/>
      <c r="V2091" s="196"/>
      <c r="W2091" s="196"/>
      <c r="X2091" s="196"/>
      <c r="Y2091" s="196"/>
      <c r="Z2091" s="196"/>
      <c r="AA2091" s="196"/>
      <c r="AB2091" s="196"/>
      <c r="AC2091" s="196"/>
      <c r="AD2091" s="196"/>
      <c r="AE2091" s="196"/>
      <c r="AF2091" s="196"/>
      <c r="AG2091" s="196"/>
      <c r="AH2091" s="196"/>
      <c r="AI2091" s="196"/>
      <c r="AJ2091" s="197"/>
      <c r="AK2091" s="80"/>
      <c r="AL2091" s="80"/>
      <c r="AM2091" s="73"/>
      <c r="AN2091" s="73"/>
      <c r="AO2091" s="73"/>
      <c r="AP2091" s="73"/>
      <c r="AQ2091" s="73"/>
      <c r="AR2091" s="73"/>
      <c r="AS2091" s="73"/>
      <c r="AT2091" s="73"/>
      <c r="AU2091" s="73"/>
      <c r="AV2091" s="73"/>
      <c r="AW2091" s="73"/>
      <c r="AX2091" s="73"/>
      <c r="AY2091" s="73"/>
      <c r="AZ2091" s="73"/>
      <c r="BA2091" s="73"/>
      <c r="BB2091" s="73"/>
      <c r="BC2091" s="73"/>
      <c r="BD2091" s="73"/>
      <c r="BE2091" s="73"/>
      <c r="BF2091" s="73"/>
      <c r="BG2091" s="73"/>
      <c r="BH2091" s="73"/>
      <c r="BI2091" s="73"/>
      <c r="BJ2091" s="73"/>
      <c r="BK2091" s="73"/>
      <c r="BL2091" s="73"/>
      <c r="BM2091" s="73"/>
      <c r="BN2091" s="73"/>
      <c r="BO2091" s="73"/>
      <c r="BP2091" s="73"/>
      <c r="BQ2091" s="73"/>
      <c r="BR2091" s="73"/>
      <c r="BS2091" s="73"/>
      <c r="BT2091" s="73"/>
      <c r="BU2091" s="73"/>
      <c r="BV2091" s="73"/>
      <c r="BW2091" s="73"/>
      <c r="BX2091" s="73"/>
      <c r="BY2091" s="73"/>
      <c r="BZ2091" s="73"/>
      <c r="CA2091" s="73"/>
      <c r="CB2091" s="73"/>
      <c r="CC2091" s="73"/>
      <c r="CD2091" s="73"/>
      <c r="CE2091" s="73"/>
      <c r="CF2091" s="73"/>
      <c r="CG2091" s="73"/>
      <c r="CH2091" s="73"/>
    </row>
    <row r="2092">
      <c r="A2092" s="80"/>
      <c r="B2092" s="80"/>
      <c r="C2092" s="80"/>
      <c r="D2092" s="80"/>
      <c r="E2092" s="124"/>
      <c r="F2092" s="80"/>
      <c r="G2092" s="80"/>
      <c r="H2092" s="80"/>
      <c r="I2092" s="80"/>
      <c r="J2092" s="196"/>
      <c r="K2092" s="196"/>
      <c r="L2092" s="196"/>
      <c r="M2092" s="196"/>
      <c r="N2092" s="196"/>
      <c r="O2092" s="196"/>
      <c r="P2092" s="196"/>
      <c r="Q2092" s="196"/>
      <c r="R2092" s="196"/>
      <c r="S2092" s="196"/>
      <c r="T2092" s="196"/>
      <c r="U2092" s="196"/>
      <c r="V2092" s="196"/>
      <c r="W2092" s="196"/>
      <c r="X2092" s="196"/>
      <c r="Y2092" s="196"/>
      <c r="Z2092" s="196"/>
      <c r="AA2092" s="196"/>
      <c r="AB2092" s="196"/>
      <c r="AC2092" s="196"/>
      <c r="AD2092" s="196"/>
      <c r="AE2092" s="196"/>
      <c r="AF2092" s="196"/>
      <c r="AG2092" s="196"/>
      <c r="AH2092" s="196"/>
      <c r="AI2092" s="196"/>
      <c r="AJ2092" s="197"/>
      <c r="AK2092" s="80"/>
      <c r="AL2092" s="80"/>
      <c r="AM2092" s="73"/>
      <c r="AN2092" s="73"/>
      <c r="AO2092" s="73"/>
      <c r="AP2092" s="73"/>
      <c r="AQ2092" s="73"/>
      <c r="AR2092" s="73"/>
      <c r="AS2092" s="73"/>
      <c r="AT2092" s="73"/>
      <c r="AU2092" s="73"/>
      <c r="AV2092" s="73"/>
      <c r="AW2092" s="73"/>
      <c r="AX2092" s="73"/>
      <c r="AY2092" s="73"/>
      <c r="AZ2092" s="73"/>
      <c r="BA2092" s="73"/>
      <c r="BB2092" s="73"/>
      <c r="BC2092" s="73"/>
      <c r="BD2092" s="73"/>
      <c r="BE2092" s="73"/>
      <c r="BF2092" s="73"/>
      <c r="BG2092" s="73"/>
      <c r="BH2092" s="73"/>
      <c r="BI2092" s="73"/>
      <c r="BJ2092" s="73"/>
      <c r="BK2092" s="73"/>
      <c r="BL2092" s="73"/>
      <c r="BM2092" s="73"/>
      <c r="BN2092" s="73"/>
      <c r="BO2092" s="73"/>
      <c r="BP2092" s="73"/>
      <c r="BQ2092" s="73"/>
      <c r="BR2092" s="73"/>
      <c r="BS2092" s="73"/>
      <c r="BT2092" s="73"/>
      <c r="BU2092" s="73"/>
      <c r="BV2092" s="73"/>
      <c r="BW2092" s="73"/>
      <c r="BX2092" s="73"/>
      <c r="BY2092" s="73"/>
      <c r="BZ2092" s="73"/>
      <c r="CA2092" s="73"/>
      <c r="CB2092" s="73"/>
      <c r="CC2092" s="73"/>
      <c r="CD2092" s="73"/>
      <c r="CE2092" s="73"/>
      <c r="CF2092" s="73"/>
      <c r="CG2092" s="73"/>
      <c r="CH2092" s="73"/>
    </row>
    <row r="2093">
      <c r="A2093" s="80"/>
      <c r="B2093" s="80"/>
      <c r="C2093" s="80"/>
      <c r="D2093" s="80"/>
      <c r="E2093" s="124"/>
      <c r="F2093" s="80"/>
      <c r="G2093" s="80"/>
      <c r="H2093" s="80"/>
      <c r="I2093" s="80"/>
      <c r="J2093" s="196"/>
      <c r="K2093" s="196"/>
      <c r="L2093" s="196"/>
      <c r="M2093" s="196"/>
      <c r="N2093" s="196"/>
      <c r="O2093" s="196"/>
      <c r="P2093" s="196"/>
      <c r="Q2093" s="196"/>
      <c r="R2093" s="196"/>
      <c r="S2093" s="196"/>
      <c r="T2093" s="196"/>
      <c r="U2093" s="196"/>
      <c r="V2093" s="196"/>
      <c r="W2093" s="196"/>
      <c r="X2093" s="196"/>
      <c r="Y2093" s="196"/>
      <c r="Z2093" s="196"/>
      <c r="AA2093" s="196"/>
      <c r="AB2093" s="196"/>
      <c r="AC2093" s="196"/>
      <c r="AD2093" s="196"/>
      <c r="AE2093" s="196"/>
      <c r="AF2093" s="196"/>
      <c r="AG2093" s="196"/>
      <c r="AH2093" s="196"/>
      <c r="AI2093" s="196"/>
      <c r="AJ2093" s="197"/>
      <c r="AK2093" s="80"/>
      <c r="AL2093" s="80"/>
      <c r="AM2093" s="73"/>
      <c r="AN2093" s="73"/>
      <c r="AO2093" s="73"/>
      <c r="AP2093" s="73"/>
      <c r="AQ2093" s="73"/>
      <c r="AR2093" s="73"/>
      <c r="AS2093" s="73"/>
      <c r="AT2093" s="73"/>
      <c r="AU2093" s="73"/>
      <c r="AV2093" s="73"/>
      <c r="AW2093" s="73"/>
      <c r="AX2093" s="73"/>
      <c r="AY2093" s="73"/>
      <c r="AZ2093" s="73"/>
      <c r="BA2093" s="73"/>
      <c r="BB2093" s="73"/>
      <c r="BC2093" s="73"/>
      <c r="BD2093" s="73"/>
      <c r="BE2093" s="73"/>
      <c r="BF2093" s="73"/>
      <c r="BG2093" s="73"/>
      <c r="BH2093" s="73"/>
      <c r="BI2093" s="73"/>
      <c r="BJ2093" s="73"/>
      <c r="BK2093" s="73"/>
      <c r="BL2093" s="73"/>
      <c r="BM2093" s="73"/>
      <c r="BN2093" s="73"/>
      <c r="BO2093" s="73"/>
      <c r="BP2093" s="73"/>
      <c r="BQ2093" s="73"/>
      <c r="BR2093" s="73"/>
      <c r="BS2093" s="73"/>
      <c r="BT2093" s="73"/>
      <c r="BU2093" s="73"/>
      <c r="BV2093" s="73"/>
      <c r="BW2093" s="73"/>
      <c r="BX2093" s="73"/>
      <c r="BY2093" s="73"/>
      <c r="BZ2093" s="73"/>
      <c r="CA2093" s="73"/>
      <c r="CB2093" s="73"/>
      <c r="CC2093" s="73"/>
      <c r="CD2093" s="73"/>
      <c r="CE2093" s="73"/>
      <c r="CF2093" s="73"/>
      <c r="CG2093" s="73"/>
      <c r="CH2093" s="73"/>
    </row>
    <row r="2094">
      <c r="A2094" s="80"/>
      <c r="B2094" s="80"/>
      <c r="C2094" s="80"/>
      <c r="D2094" s="80"/>
      <c r="E2094" s="124"/>
      <c r="F2094" s="80"/>
      <c r="G2094" s="80"/>
      <c r="H2094" s="80"/>
      <c r="I2094" s="80"/>
      <c r="J2094" s="196"/>
      <c r="K2094" s="196"/>
      <c r="L2094" s="196"/>
      <c r="M2094" s="196"/>
      <c r="N2094" s="196"/>
      <c r="O2094" s="196"/>
      <c r="P2094" s="196"/>
      <c r="Q2094" s="196"/>
      <c r="R2094" s="196"/>
      <c r="S2094" s="196"/>
      <c r="T2094" s="196"/>
      <c r="U2094" s="196"/>
      <c r="V2094" s="196"/>
      <c r="W2094" s="196"/>
      <c r="X2094" s="196"/>
      <c r="Y2094" s="196"/>
      <c r="Z2094" s="196"/>
      <c r="AA2094" s="196"/>
      <c r="AB2094" s="196"/>
      <c r="AC2094" s="196"/>
      <c r="AD2094" s="196"/>
      <c r="AE2094" s="196"/>
      <c r="AF2094" s="196"/>
      <c r="AG2094" s="196"/>
      <c r="AH2094" s="196"/>
      <c r="AI2094" s="196"/>
      <c r="AJ2094" s="197"/>
      <c r="AK2094" s="80"/>
      <c r="AL2094" s="80"/>
      <c r="AM2094" s="73"/>
      <c r="AN2094" s="73"/>
      <c r="AO2094" s="73"/>
      <c r="AP2094" s="73"/>
      <c r="AQ2094" s="73"/>
      <c r="AR2094" s="73"/>
      <c r="AS2094" s="73"/>
      <c r="AT2094" s="73"/>
      <c r="AU2094" s="73"/>
      <c r="AV2094" s="73"/>
      <c r="AW2094" s="73"/>
      <c r="AX2094" s="73"/>
      <c r="AY2094" s="73"/>
      <c r="AZ2094" s="73"/>
      <c r="BA2094" s="73"/>
      <c r="BB2094" s="73"/>
      <c r="BC2094" s="73"/>
      <c r="BD2094" s="73"/>
      <c r="BE2094" s="73"/>
      <c r="BF2094" s="73"/>
      <c r="BG2094" s="73"/>
      <c r="BH2094" s="73"/>
      <c r="BI2094" s="73"/>
      <c r="BJ2094" s="73"/>
      <c r="BK2094" s="73"/>
      <c r="BL2094" s="73"/>
      <c r="BM2094" s="73"/>
      <c r="BN2094" s="73"/>
      <c r="BO2094" s="73"/>
      <c r="BP2094" s="73"/>
      <c r="BQ2094" s="73"/>
      <c r="BR2094" s="73"/>
      <c r="BS2094" s="73"/>
      <c r="BT2094" s="73"/>
      <c r="BU2094" s="73"/>
      <c r="BV2094" s="73"/>
      <c r="BW2094" s="73"/>
      <c r="BX2094" s="73"/>
      <c r="BY2094" s="73"/>
      <c r="BZ2094" s="73"/>
      <c r="CA2094" s="73"/>
      <c r="CB2094" s="73"/>
      <c r="CC2094" s="73"/>
      <c r="CD2094" s="73"/>
      <c r="CE2094" s="73"/>
      <c r="CF2094" s="73"/>
      <c r="CG2094" s="73"/>
      <c r="CH2094" s="73"/>
    </row>
    <row r="2095">
      <c r="A2095" s="80"/>
      <c r="B2095" s="80"/>
      <c r="C2095" s="80"/>
      <c r="D2095" s="80"/>
      <c r="E2095" s="124"/>
      <c r="F2095" s="80"/>
      <c r="G2095" s="80"/>
      <c r="H2095" s="80"/>
      <c r="I2095" s="80"/>
      <c r="J2095" s="196"/>
      <c r="K2095" s="196"/>
      <c r="L2095" s="196"/>
      <c r="M2095" s="196"/>
      <c r="N2095" s="196"/>
      <c r="O2095" s="196"/>
      <c r="P2095" s="196"/>
      <c r="Q2095" s="196"/>
      <c r="R2095" s="196"/>
      <c r="S2095" s="196"/>
      <c r="T2095" s="196"/>
      <c r="U2095" s="196"/>
      <c r="V2095" s="196"/>
      <c r="W2095" s="196"/>
      <c r="X2095" s="196"/>
      <c r="Y2095" s="196"/>
      <c r="Z2095" s="196"/>
      <c r="AA2095" s="196"/>
      <c r="AB2095" s="196"/>
      <c r="AC2095" s="196"/>
      <c r="AD2095" s="196"/>
      <c r="AE2095" s="196"/>
      <c r="AF2095" s="196"/>
      <c r="AG2095" s="196"/>
      <c r="AH2095" s="196"/>
      <c r="AI2095" s="196"/>
      <c r="AJ2095" s="197"/>
      <c r="AK2095" s="80"/>
      <c r="AL2095" s="80"/>
      <c r="AM2095" s="73"/>
      <c r="AN2095" s="73"/>
      <c r="AO2095" s="73"/>
      <c r="AP2095" s="73"/>
      <c r="AQ2095" s="73"/>
      <c r="AR2095" s="73"/>
      <c r="AS2095" s="73"/>
      <c r="AT2095" s="73"/>
      <c r="AU2095" s="73"/>
      <c r="AV2095" s="73"/>
      <c r="AW2095" s="73"/>
      <c r="AX2095" s="73"/>
      <c r="AY2095" s="73"/>
      <c r="AZ2095" s="73"/>
      <c r="BA2095" s="73"/>
      <c r="BB2095" s="73"/>
      <c r="BC2095" s="73"/>
      <c r="BD2095" s="73"/>
      <c r="BE2095" s="73"/>
      <c r="BF2095" s="73"/>
      <c r="BG2095" s="73"/>
      <c r="BH2095" s="73"/>
      <c r="BI2095" s="73"/>
      <c r="BJ2095" s="73"/>
      <c r="BK2095" s="73"/>
      <c r="BL2095" s="73"/>
      <c r="BM2095" s="73"/>
      <c r="BN2095" s="73"/>
      <c r="BO2095" s="73"/>
      <c r="BP2095" s="73"/>
      <c r="BQ2095" s="73"/>
      <c r="BR2095" s="73"/>
      <c r="BS2095" s="73"/>
      <c r="BT2095" s="73"/>
      <c r="BU2095" s="73"/>
      <c r="BV2095" s="73"/>
      <c r="BW2095" s="73"/>
      <c r="BX2095" s="73"/>
      <c r="BY2095" s="73"/>
      <c r="BZ2095" s="73"/>
      <c r="CA2095" s="73"/>
      <c r="CB2095" s="73"/>
      <c r="CC2095" s="73"/>
      <c r="CD2095" s="73"/>
      <c r="CE2095" s="73"/>
      <c r="CF2095" s="73"/>
      <c r="CG2095" s="73"/>
      <c r="CH2095" s="73"/>
    </row>
    <row r="2096">
      <c r="A2096" s="80"/>
      <c r="B2096" s="80"/>
      <c r="C2096" s="80"/>
      <c r="D2096" s="80"/>
      <c r="E2096" s="124"/>
      <c r="F2096" s="80"/>
      <c r="G2096" s="80"/>
      <c r="H2096" s="80"/>
      <c r="I2096" s="80"/>
      <c r="J2096" s="196"/>
      <c r="K2096" s="196"/>
      <c r="L2096" s="196"/>
      <c r="M2096" s="196"/>
      <c r="N2096" s="196"/>
      <c r="O2096" s="196"/>
      <c r="P2096" s="196"/>
      <c r="Q2096" s="196"/>
      <c r="R2096" s="196"/>
      <c r="S2096" s="196"/>
      <c r="T2096" s="196"/>
      <c r="U2096" s="196"/>
      <c r="V2096" s="196"/>
      <c r="W2096" s="196"/>
      <c r="X2096" s="196"/>
      <c r="Y2096" s="196"/>
      <c r="Z2096" s="196"/>
      <c r="AA2096" s="196"/>
      <c r="AB2096" s="196"/>
      <c r="AC2096" s="196"/>
      <c r="AD2096" s="196"/>
      <c r="AE2096" s="196"/>
      <c r="AF2096" s="196"/>
      <c r="AG2096" s="196"/>
      <c r="AH2096" s="196"/>
      <c r="AI2096" s="196"/>
      <c r="AJ2096" s="197"/>
      <c r="AK2096" s="80"/>
      <c r="AL2096" s="80"/>
      <c r="AM2096" s="73"/>
      <c r="AN2096" s="73"/>
      <c r="AO2096" s="73"/>
      <c r="AP2096" s="73"/>
      <c r="AQ2096" s="73"/>
      <c r="AR2096" s="73"/>
      <c r="AS2096" s="73"/>
      <c r="AT2096" s="73"/>
      <c r="AU2096" s="73"/>
      <c r="AV2096" s="73"/>
      <c r="AW2096" s="73"/>
      <c r="AX2096" s="73"/>
      <c r="AY2096" s="73"/>
      <c r="AZ2096" s="73"/>
      <c r="BA2096" s="73"/>
      <c r="BB2096" s="73"/>
      <c r="BC2096" s="73"/>
      <c r="BD2096" s="73"/>
      <c r="BE2096" s="73"/>
      <c r="BF2096" s="73"/>
      <c r="BG2096" s="73"/>
      <c r="BH2096" s="73"/>
      <c r="BI2096" s="73"/>
      <c r="BJ2096" s="73"/>
      <c r="BK2096" s="73"/>
      <c r="BL2096" s="73"/>
      <c r="BM2096" s="73"/>
      <c r="BN2096" s="73"/>
      <c r="BO2096" s="73"/>
      <c r="BP2096" s="73"/>
      <c r="BQ2096" s="73"/>
      <c r="BR2096" s="73"/>
      <c r="BS2096" s="73"/>
      <c r="BT2096" s="73"/>
      <c r="BU2096" s="73"/>
      <c r="BV2096" s="73"/>
      <c r="BW2096" s="73"/>
      <c r="BX2096" s="73"/>
      <c r="BY2096" s="73"/>
      <c r="BZ2096" s="73"/>
      <c r="CA2096" s="73"/>
      <c r="CB2096" s="73"/>
      <c r="CC2096" s="73"/>
      <c r="CD2096" s="73"/>
      <c r="CE2096" s="73"/>
      <c r="CF2096" s="73"/>
      <c r="CG2096" s="73"/>
      <c r="CH2096" s="73"/>
    </row>
    <row r="2097">
      <c r="A2097" s="80"/>
      <c r="B2097" s="80"/>
      <c r="C2097" s="80"/>
      <c r="D2097" s="80"/>
      <c r="E2097" s="124"/>
      <c r="F2097" s="80"/>
      <c r="G2097" s="80"/>
      <c r="H2097" s="80"/>
      <c r="I2097" s="80"/>
      <c r="J2097" s="196"/>
      <c r="K2097" s="196"/>
      <c r="L2097" s="196"/>
      <c r="M2097" s="196"/>
      <c r="N2097" s="196"/>
      <c r="O2097" s="196"/>
      <c r="P2097" s="196"/>
      <c r="Q2097" s="196"/>
      <c r="R2097" s="196"/>
      <c r="S2097" s="196"/>
      <c r="T2097" s="196"/>
      <c r="U2097" s="196"/>
      <c r="V2097" s="196"/>
      <c r="W2097" s="196"/>
      <c r="X2097" s="196"/>
      <c r="Y2097" s="196"/>
      <c r="Z2097" s="196"/>
      <c r="AA2097" s="196"/>
      <c r="AB2097" s="196"/>
      <c r="AC2097" s="196"/>
      <c r="AD2097" s="196"/>
      <c r="AE2097" s="196"/>
      <c r="AF2097" s="196"/>
      <c r="AG2097" s="196"/>
      <c r="AH2097" s="196"/>
      <c r="AI2097" s="196"/>
      <c r="AJ2097" s="197"/>
      <c r="AK2097" s="80"/>
      <c r="AL2097" s="80"/>
      <c r="AM2097" s="73"/>
      <c r="AN2097" s="73"/>
      <c r="AO2097" s="73"/>
      <c r="AP2097" s="73"/>
      <c r="AQ2097" s="73"/>
      <c r="AR2097" s="73"/>
      <c r="AS2097" s="73"/>
      <c r="AT2097" s="73"/>
      <c r="AU2097" s="73"/>
      <c r="AV2097" s="73"/>
      <c r="AW2097" s="73"/>
      <c r="AX2097" s="73"/>
      <c r="AY2097" s="73"/>
      <c r="AZ2097" s="73"/>
      <c r="BA2097" s="73"/>
      <c r="BB2097" s="73"/>
      <c r="BC2097" s="73"/>
      <c r="BD2097" s="73"/>
      <c r="BE2097" s="73"/>
      <c r="BF2097" s="73"/>
      <c r="BG2097" s="73"/>
      <c r="BH2097" s="73"/>
      <c r="BI2097" s="73"/>
      <c r="BJ2097" s="73"/>
      <c r="BK2097" s="73"/>
      <c r="BL2097" s="73"/>
      <c r="BM2097" s="73"/>
      <c r="BN2097" s="73"/>
      <c r="BO2097" s="73"/>
      <c r="BP2097" s="73"/>
      <c r="BQ2097" s="73"/>
      <c r="BR2097" s="73"/>
      <c r="BS2097" s="73"/>
      <c r="BT2097" s="73"/>
      <c r="BU2097" s="73"/>
      <c r="BV2097" s="73"/>
      <c r="BW2097" s="73"/>
      <c r="BX2097" s="73"/>
      <c r="BY2097" s="73"/>
      <c r="BZ2097" s="73"/>
      <c r="CA2097" s="73"/>
      <c r="CB2097" s="73"/>
      <c r="CC2097" s="73"/>
      <c r="CD2097" s="73"/>
      <c r="CE2097" s="73"/>
      <c r="CF2097" s="73"/>
      <c r="CG2097" s="73"/>
      <c r="CH2097" s="73"/>
    </row>
    <row r="2098">
      <c r="A2098" s="80"/>
      <c r="B2098" s="80"/>
      <c r="C2098" s="80"/>
      <c r="D2098" s="80"/>
      <c r="E2098" s="124"/>
      <c r="F2098" s="80"/>
      <c r="G2098" s="80"/>
      <c r="H2098" s="80"/>
      <c r="I2098" s="80"/>
      <c r="J2098" s="196"/>
      <c r="K2098" s="196"/>
      <c r="L2098" s="196"/>
      <c r="M2098" s="196"/>
      <c r="N2098" s="196"/>
      <c r="O2098" s="196"/>
      <c r="P2098" s="196"/>
      <c r="Q2098" s="196"/>
      <c r="R2098" s="196"/>
      <c r="S2098" s="196"/>
      <c r="T2098" s="196"/>
      <c r="U2098" s="196"/>
      <c r="V2098" s="196"/>
      <c r="W2098" s="196"/>
      <c r="X2098" s="196"/>
      <c r="Y2098" s="196"/>
      <c r="Z2098" s="196"/>
      <c r="AA2098" s="196"/>
      <c r="AB2098" s="196"/>
      <c r="AC2098" s="196"/>
      <c r="AD2098" s="196"/>
      <c r="AE2098" s="196"/>
      <c r="AF2098" s="196"/>
      <c r="AG2098" s="196"/>
      <c r="AH2098" s="196"/>
      <c r="AI2098" s="196"/>
      <c r="AJ2098" s="197"/>
      <c r="AK2098" s="80"/>
      <c r="AL2098" s="80"/>
      <c r="AM2098" s="73"/>
      <c r="AN2098" s="73"/>
      <c r="AO2098" s="73"/>
      <c r="AP2098" s="73"/>
      <c r="AQ2098" s="73"/>
      <c r="AR2098" s="73"/>
      <c r="AS2098" s="73"/>
      <c r="AT2098" s="73"/>
      <c r="AU2098" s="73"/>
      <c r="AV2098" s="73"/>
      <c r="AW2098" s="73"/>
      <c r="AX2098" s="73"/>
      <c r="AY2098" s="73"/>
      <c r="AZ2098" s="73"/>
      <c r="BA2098" s="73"/>
      <c r="BB2098" s="73"/>
      <c r="BC2098" s="73"/>
      <c r="BD2098" s="73"/>
      <c r="BE2098" s="73"/>
      <c r="BF2098" s="73"/>
      <c r="BG2098" s="73"/>
      <c r="BH2098" s="73"/>
      <c r="BI2098" s="73"/>
      <c r="BJ2098" s="73"/>
      <c r="BK2098" s="73"/>
      <c r="BL2098" s="73"/>
      <c r="BM2098" s="73"/>
      <c r="BN2098" s="73"/>
      <c r="BO2098" s="73"/>
      <c r="BP2098" s="73"/>
      <c r="BQ2098" s="73"/>
      <c r="BR2098" s="73"/>
      <c r="BS2098" s="73"/>
      <c r="BT2098" s="73"/>
      <c r="BU2098" s="73"/>
      <c r="BV2098" s="73"/>
      <c r="BW2098" s="73"/>
      <c r="BX2098" s="73"/>
      <c r="BY2098" s="73"/>
      <c r="BZ2098" s="73"/>
      <c r="CA2098" s="73"/>
      <c r="CB2098" s="73"/>
      <c r="CC2098" s="73"/>
      <c r="CD2098" s="73"/>
      <c r="CE2098" s="73"/>
      <c r="CF2098" s="73"/>
      <c r="CG2098" s="73"/>
      <c r="CH2098" s="73"/>
    </row>
    <row r="2099">
      <c r="A2099" s="80"/>
      <c r="B2099" s="80"/>
      <c r="C2099" s="80"/>
      <c r="D2099" s="80"/>
      <c r="E2099" s="124"/>
      <c r="F2099" s="80"/>
      <c r="G2099" s="80"/>
      <c r="H2099" s="80"/>
      <c r="I2099" s="80"/>
      <c r="J2099" s="196"/>
      <c r="K2099" s="196"/>
      <c r="L2099" s="196"/>
      <c r="M2099" s="196"/>
      <c r="N2099" s="196"/>
      <c r="O2099" s="196"/>
      <c r="P2099" s="196"/>
      <c r="Q2099" s="196"/>
      <c r="R2099" s="196"/>
      <c r="S2099" s="196"/>
      <c r="T2099" s="196"/>
      <c r="U2099" s="196"/>
      <c r="V2099" s="196"/>
      <c r="W2099" s="196"/>
      <c r="X2099" s="196"/>
      <c r="Y2099" s="196"/>
      <c r="Z2099" s="196"/>
      <c r="AA2099" s="196"/>
      <c r="AB2099" s="196"/>
      <c r="AC2099" s="196"/>
      <c r="AD2099" s="196"/>
      <c r="AE2099" s="196"/>
      <c r="AF2099" s="196"/>
      <c r="AG2099" s="196"/>
      <c r="AH2099" s="196"/>
      <c r="AI2099" s="196"/>
      <c r="AJ2099" s="197"/>
      <c r="AK2099" s="80"/>
      <c r="AL2099" s="80"/>
      <c r="AM2099" s="73"/>
      <c r="AN2099" s="73"/>
      <c r="AO2099" s="73"/>
      <c r="AP2099" s="73"/>
      <c r="AQ2099" s="73"/>
      <c r="AR2099" s="73"/>
      <c r="AS2099" s="73"/>
      <c r="AT2099" s="73"/>
      <c r="AU2099" s="73"/>
      <c r="AV2099" s="73"/>
      <c r="AW2099" s="73"/>
      <c r="AX2099" s="73"/>
      <c r="AY2099" s="73"/>
      <c r="AZ2099" s="73"/>
      <c r="BA2099" s="73"/>
      <c r="BB2099" s="73"/>
      <c r="BC2099" s="73"/>
      <c r="BD2099" s="73"/>
      <c r="BE2099" s="73"/>
      <c r="BF2099" s="73"/>
      <c r="BG2099" s="73"/>
      <c r="BH2099" s="73"/>
      <c r="BI2099" s="73"/>
      <c r="BJ2099" s="73"/>
      <c r="BK2099" s="73"/>
      <c r="BL2099" s="73"/>
      <c r="BM2099" s="73"/>
      <c r="BN2099" s="73"/>
      <c r="BO2099" s="73"/>
      <c r="BP2099" s="73"/>
      <c r="BQ2099" s="73"/>
      <c r="BR2099" s="73"/>
      <c r="BS2099" s="73"/>
      <c r="BT2099" s="73"/>
      <c r="BU2099" s="73"/>
      <c r="BV2099" s="73"/>
      <c r="BW2099" s="73"/>
      <c r="BX2099" s="73"/>
      <c r="BY2099" s="73"/>
      <c r="BZ2099" s="73"/>
      <c r="CA2099" s="73"/>
      <c r="CB2099" s="73"/>
      <c r="CC2099" s="73"/>
      <c r="CD2099" s="73"/>
      <c r="CE2099" s="73"/>
      <c r="CF2099" s="73"/>
      <c r="CG2099" s="73"/>
      <c r="CH2099" s="73"/>
    </row>
    <row r="2100">
      <c r="A2100" s="80"/>
      <c r="B2100" s="80"/>
      <c r="C2100" s="80"/>
      <c r="D2100" s="80"/>
      <c r="E2100" s="124"/>
      <c r="F2100" s="80"/>
      <c r="G2100" s="80"/>
      <c r="H2100" s="80"/>
      <c r="I2100" s="80"/>
      <c r="J2100" s="196"/>
      <c r="K2100" s="196"/>
      <c r="L2100" s="196"/>
      <c r="M2100" s="196"/>
      <c r="N2100" s="196"/>
      <c r="O2100" s="196"/>
      <c r="P2100" s="196"/>
      <c r="Q2100" s="196"/>
      <c r="R2100" s="196"/>
      <c r="S2100" s="196"/>
      <c r="T2100" s="196"/>
      <c r="U2100" s="196"/>
      <c r="V2100" s="196"/>
      <c r="W2100" s="196"/>
      <c r="X2100" s="196"/>
      <c r="Y2100" s="196"/>
      <c r="Z2100" s="196"/>
      <c r="AA2100" s="196"/>
      <c r="AB2100" s="196"/>
      <c r="AC2100" s="196"/>
      <c r="AD2100" s="196"/>
      <c r="AE2100" s="196"/>
      <c r="AF2100" s="196"/>
      <c r="AG2100" s="196"/>
      <c r="AH2100" s="196"/>
      <c r="AI2100" s="196"/>
      <c r="AJ2100" s="197"/>
      <c r="AK2100" s="80"/>
      <c r="AL2100" s="80"/>
      <c r="AM2100" s="73"/>
      <c r="AN2100" s="73"/>
      <c r="AO2100" s="73"/>
      <c r="AP2100" s="73"/>
      <c r="AQ2100" s="73"/>
      <c r="AR2100" s="73"/>
      <c r="AS2100" s="73"/>
      <c r="AT2100" s="73"/>
      <c r="AU2100" s="73"/>
      <c r="AV2100" s="73"/>
      <c r="AW2100" s="73"/>
      <c r="AX2100" s="73"/>
      <c r="AY2100" s="73"/>
      <c r="AZ2100" s="73"/>
      <c r="BA2100" s="73"/>
      <c r="BB2100" s="73"/>
      <c r="BC2100" s="73"/>
      <c r="BD2100" s="73"/>
      <c r="BE2100" s="73"/>
      <c r="BF2100" s="73"/>
      <c r="BG2100" s="73"/>
      <c r="BH2100" s="73"/>
      <c r="BI2100" s="73"/>
      <c r="BJ2100" s="73"/>
      <c r="BK2100" s="73"/>
      <c r="BL2100" s="73"/>
      <c r="BM2100" s="73"/>
      <c r="BN2100" s="73"/>
      <c r="BO2100" s="73"/>
      <c r="BP2100" s="73"/>
      <c r="BQ2100" s="73"/>
      <c r="BR2100" s="73"/>
      <c r="BS2100" s="73"/>
      <c r="BT2100" s="73"/>
      <c r="BU2100" s="73"/>
      <c r="BV2100" s="73"/>
      <c r="BW2100" s="73"/>
      <c r="BX2100" s="73"/>
      <c r="BY2100" s="73"/>
      <c r="BZ2100" s="73"/>
      <c r="CA2100" s="73"/>
      <c r="CB2100" s="73"/>
      <c r="CC2100" s="73"/>
      <c r="CD2100" s="73"/>
      <c r="CE2100" s="73"/>
      <c r="CF2100" s="73"/>
      <c r="CG2100" s="73"/>
      <c r="CH2100" s="73"/>
    </row>
    <row r="2101">
      <c r="A2101" s="80"/>
      <c r="B2101" s="80"/>
      <c r="C2101" s="80"/>
      <c r="D2101" s="80"/>
      <c r="E2101" s="124"/>
      <c r="F2101" s="80"/>
      <c r="G2101" s="80"/>
      <c r="H2101" s="80"/>
      <c r="I2101" s="80"/>
      <c r="J2101" s="196"/>
      <c r="K2101" s="196"/>
      <c r="L2101" s="196"/>
      <c r="M2101" s="196"/>
      <c r="N2101" s="196"/>
      <c r="O2101" s="196"/>
      <c r="P2101" s="196"/>
      <c r="Q2101" s="196"/>
      <c r="R2101" s="196"/>
      <c r="S2101" s="196"/>
      <c r="T2101" s="196"/>
      <c r="U2101" s="196"/>
      <c r="V2101" s="196"/>
      <c r="W2101" s="196"/>
      <c r="X2101" s="196"/>
      <c r="Y2101" s="196"/>
      <c r="Z2101" s="196"/>
      <c r="AA2101" s="196"/>
      <c r="AB2101" s="196"/>
      <c r="AC2101" s="196"/>
      <c r="AD2101" s="196"/>
      <c r="AE2101" s="196"/>
      <c r="AF2101" s="196"/>
      <c r="AG2101" s="196"/>
      <c r="AH2101" s="196"/>
      <c r="AI2101" s="196"/>
      <c r="AJ2101" s="197"/>
      <c r="AK2101" s="80"/>
      <c r="AL2101" s="80"/>
      <c r="AM2101" s="73"/>
      <c r="AN2101" s="73"/>
      <c r="AO2101" s="73"/>
      <c r="AP2101" s="73"/>
      <c r="AQ2101" s="73"/>
      <c r="AR2101" s="73"/>
      <c r="AS2101" s="73"/>
      <c r="AT2101" s="73"/>
      <c r="AU2101" s="73"/>
      <c r="AV2101" s="73"/>
      <c r="AW2101" s="73"/>
      <c r="AX2101" s="73"/>
      <c r="AY2101" s="73"/>
      <c r="AZ2101" s="73"/>
      <c r="BA2101" s="73"/>
      <c r="BB2101" s="73"/>
      <c r="BC2101" s="73"/>
      <c r="BD2101" s="73"/>
      <c r="BE2101" s="73"/>
      <c r="BF2101" s="73"/>
      <c r="BG2101" s="73"/>
      <c r="BH2101" s="73"/>
      <c r="BI2101" s="73"/>
      <c r="BJ2101" s="73"/>
      <c r="BK2101" s="73"/>
      <c r="BL2101" s="73"/>
      <c r="BM2101" s="73"/>
      <c r="BN2101" s="73"/>
      <c r="BO2101" s="73"/>
      <c r="BP2101" s="73"/>
      <c r="BQ2101" s="73"/>
      <c r="BR2101" s="73"/>
      <c r="BS2101" s="73"/>
      <c r="BT2101" s="73"/>
      <c r="BU2101" s="73"/>
      <c r="BV2101" s="73"/>
      <c r="BW2101" s="73"/>
      <c r="BX2101" s="73"/>
      <c r="BY2101" s="73"/>
      <c r="BZ2101" s="73"/>
      <c r="CA2101" s="73"/>
      <c r="CB2101" s="73"/>
      <c r="CC2101" s="73"/>
      <c r="CD2101" s="73"/>
      <c r="CE2101" s="73"/>
      <c r="CF2101" s="73"/>
      <c r="CG2101" s="73"/>
      <c r="CH2101" s="73"/>
    </row>
    <row r="2102">
      <c r="A2102" s="80"/>
      <c r="B2102" s="80"/>
      <c r="C2102" s="80"/>
      <c r="D2102" s="80"/>
      <c r="E2102" s="124"/>
      <c r="F2102" s="80"/>
      <c r="G2102" s="80"/>
      <c r="H2102" s="80"/>
      <c r="I2102" s="80"/>
      <c r="J2102" s="196"/>
      <c r="K2102" s="196"/>
      <c r="L2102" s="196"/>
      <c r="M2102" s="196"/>
      <c r="N2102" s="196"/>
      <c r="O2102" s="196"/>
      <c r="P2102" s="196"/>
      <c r="Q2102" s="196"/>
      <c r="R2102" s="196"/>
      <c r="S2102" s="196"/>
      <c r="T2102" s="196"/>
      <c r="U2102" s="196"/>
      <c r="V2102" s="196"/>
      <c r="W2102" s="196"/>
      <c r="X2102" s="196"/>
      <c r="Y2102" s="196"/>
      <c r="Z2102" s="196"/>
      <c r="AA2102" s="196"/>
      <c r="AB2102" s="196"/>
      <c r="AC2102" s="196"/>
      <c r="AD2102" s="196"/>
      <c r="AE2102" s="196"/>
      <c r="AF2102" s="196"/>
      <c r="AG2102" s="196"/>
      <c r="AH2102" s="196"/>
      <c r="AI2102" s="196"/>
      <c r="AJ2102" s="197"/>
      <c r="AK2102" s="80"/>
      <c r="AL2102" s="80"/>
      <c r="AM2102" s="73"/>
      <c r="AN2102" s="73"/>
      <c r="AO2102" s="73"/>
      <c r="AP2102" s="73"/>
      <c r="AQ2102" s="73"/>
      <c r="AR2102" s="73"/>
      <c r="AS2102" s="73"/>
      <c r="AT2102" s="73"/>
      <c r="AU2102" s="73"/>
      <c r="AV2102" s="73"/>
      <c r="AW2102" s="73"/>
      <c r="AX2102" s="73"/>
      <c r="AY2102" s="73"/>
      <c r="AZ2102" s="73"/>
      <c r="BA2102" s="73"/>
      <c r="BB2102" s="73"/>
      <c r="BC2102" s="73"/>
      <c r="BD2102" s="73"/>
      <c r="BE2102" s="73"/>
      <c r="BF2102" s="73"/>
      <c r="BG2102" s="73"/>
      <c r="BH2102" s="73"/>
      <c r="BI2102" s="73"/>
      <c r="BJ2102" s="73"/>
      <c r="BK2102" s="73"/>
      <c r="BL2102" s="73"/>
      <c r="BM2102" s="73"/>
      <c r="BN2102" s="73"/>
      <c r="BO2102" s="73"/>
      <c r="BP2102" s="73"/>
      <c r="BQ2102" s="73"/>
      <c r="BR2102" s="73"/>
      <c r="BS2102" s="73"/>
      <c r="BT2102" s="73"/>
      <c r="BU2102" s="73"/>
      <c r="BV2102" s="73"/>
      <c r="BW2102" s="73"/>
      <c r="BX2102" s="73"/>
      <c r="BY2102" s="73"/>
      <c r="BZ2102" s="73"/>
      <c r="CA2102" s="73"/>
      <c r="CB2102" s="73"/>
      <c r="CC2102" s="73"/>
      <c r="CD2102" s="73"/>
      <c r="CE2102" s="73"/>
      <c r="CF2102" s="73"/>
      <c r="CG2102" s="73"/>
      <c r="CH2102" s="73"/>
    </row>
    <row r="2103">
      <c r="A2103" s="80"/>
      <c r="B2103" s="80"/>
      <c r="C2103" s="80"/>
      <c r="D2103" s="80"/>
      <c r="E2103" s="124"/>
      <c r="F2103" s="80"/>
      <c r="G2103" s="80"/>
      <c r="H2103" s="80"/>
      <c r="I2103" s="80"/>
      <c r="J2103" s="196"/>
      <c r="K2103" s="196"/>
      <c r="L2103" s="196"/>
      <c r="M2103" s="196"/>
      <c r="N2103" s="196"/>
      <c r="O2103" s="196"/>
      <c r="P2103" s="196"/>
      <c r="Q2103" s="196"/>
      <c r="R2103" s="196"/>
      <c r="S2103" s="196"/>
      <c r="T2103" s="196"/>
      <c r="U2103" s="196"/>
      <c r="V2103" s="196"/>
      <c r="W2103" s="196"/>
      <c r="X2103" s="196"/>
      <c r="Y2103" s="196"/>
      <c r="Z2103" s="196"/>
      <c r="AA2103" s="196"/>
      <c r="AB2103" s="196"/>
      <c r="AC2103" s="196"/>
      <c r="AD2103" s="196"/>
      <c r="AE2103" s="196"/>
      <c r="AF2103" s="196"/>
      <c r="AG2103" s="196"/>
      <c r="AH2103" s="196"/>
      <c r="AI2103" s="196"/>
      <c r="AJ2103" s="197"/>
      <c r="AK2103" s="80"/>
      <c r="AL2103" s="80"/>
      <c r="AM2103" s="73"/>
      <c r="AN2103" s="73"/>
      <c r="AO2103" s="73"/>
      <c r="AP2103" s="73"/>
      <c r="AQ2103" s="73"/>
      <c r="AR2103" s="73"/>
      <c r="AS2103" s="73"/>
      <c r="AT2103" s="73"/>
      <c r="AU2103" s="73"/>
      <c r="AV2103" s="73"/>
      <c r="AW2103" s="73"/>
      <c r="AX2103" s="73"/>
      <c r="AY2103" s="73"/>
      <c r="AZ2103" s="73"/>
      <c r="BA2103" s="73"/>
      <c r="BB2103" s="73"/>
      <c r="BC2103" s="73"/>
      <c r="BD2103" s="73"/>
      <c r="BE2103" s="73"/>
      <c r="BF2103" s="73"/>
      <c r="BG2103" s="73"/>
      <c r="BH2103" s="73"/>
      <c r="BI2103" s="73"/>
      <c r="BJ2103" s="73"/>
      <c r="BK2103" s="73"/>
      <c r="BL2103" s="73"/>
      <c r="BM2103" s="73"/>
      <c r="BN2103" s="73"/>
      <c r="BO2103" s="73"/>
      <c r="BP2103" s="73"/>
      <c r="BQ2103" s="73"/>
      <c r="BR2103" s="73"/>
      <c r="BS2103" s="73"/>
      <c r="BT2103" s="73"/>
      <c r="BU2103" s="73"/>
      <c r="BV2103" s="73"/>
      <c r="BW2103" s="73"/>
      <c r="BX2103" s="73"/>
      <c r="BY2103" s="73"/>
      <c r="BZ2103" s="73"/>
      <c r="CA2103" s="73"/>
      <c r="CB2103" s="73"/>
      <c r="CC2103" s="73"/>
      <c r="CD2103" s="73"/>
      <c r="CE2103" s="73"/>
      <c r="CF2103" s="73"/>
      <c r="CG2103" s="73"/>
      <c r="CH2103" s="73"/>
    </row>
    <row r="2104">
      <c r="A2104" s="80"/>
      <c r="B2104" s="80"/>
      <c r="C2104" s="80"/>
      <c r="D2104" s="80"/>
      <c r="E2104" s="124"/>
      <c r="F2104" s="80"/>
      <c r="G2104" s="80"/>
      <c r="H2104" s="80"/>
      <c r="I2104" s="80"/>
      <c r="J2104" s="196"/>
      <c r="K2104" s="196"/>
      <c r="L2104" s="196"/>
      <c r="M2104" s="196"/>
      <c r="N2104" s="196"/>
      <c r="O2104" s="196"/>
      <c r="P2104" s="196"/>
      <c r="Q2104" s="196"/>
      <c r="R2104" s="196"/>
      <c r="S2104" s="196"/>
      <c r="T2104" s="196"/>
      <c r="U2104" s="196"/>
      <c r="V2104" s="196"/>
      <c r="W2104" s="196"/>
      <c r="X2104" s="196"/>
      <c r="Y2104" s="196"/>
      <c r="Z2104" s="196"/>
      <c r="AA2104" s="196"/>
      <c r="AB2104" s="196"/>
      <c r="AC2104" s="196"/>
      <c r="AD2104" s="196"/>
      <c r="AE2104" s="196"/>
      <c r="AF2104" s="196"/>
      <c r="AG2104" s="196"/>
      <c r="AH2104" s="196"/>
      <c r="AI2104" s="196"/>
      <c r="AJ2104" s="197"/>
      <c r="AK2104" s="80"/>
      <c r="AL2104" s="80"/>
      <c r="AM2104" s="73"/>
      <c r="AN2104" s="73"/>
      <c r="AO2104" s="73"/>
      <c r="AP2104" s="73"/>
      <c r="AQ2104" s="73"/>
      <c r="AR2104" s="73"/>
      <c r="AS2104" s="73"/>
      <c r="AT2104" s="73"/>
      <c r="AU2104" s="73"/>
      <c r="AV2104" s="73"/>
      <c r="AW2104" s="73"/>
      <c r="AX2104" s="73"/>
      <c r="AY2104" s="73"/>
      <c r="AZ2104" s="73"/>
      <c r="BA2104" s="73"/>
      <c r="BB2104" s="73"/>
      <c r="BC2104" s="73"/>
      <c r="BD2104" s="73"/>
      <c r="BE2104" s="73"/>
      <c r="BF2104" s="73"/>
      <c r="BG2104" s="73"/>
      <c r="BH2104" s="73"/>
      <c r="BI2104" s="73"/>
      <c r="BJ2104" s="73"/>
      <c r="BK2104" s="73"/>
      <c r="BL2104" s="73"/>
      <c r="BM2104" s="73"/>
      <c r="BN2104" s="73"/>
      <c r="BO2104" s="73"/>
      <c r="BP2104" s="73"/>
      <c r="BQ2104" s="73"/>
      <c r="BR2104" s="73"/>
      <c r="BS2104" s="73"/>
      <c r="BT2104" s="73"/>
      <c r="BU2104" s="73"/>
      <c r="BV2104" s="73"/>
      <c r="BW2104" s="73"/>
      <c r="BX2104" s="73"/>
      <c r="BY2104" s="73"/>
      <c r="BZ2104" s="73"/>
      <c r="CA2104" s="73"/>
      <c r="CB2104" s="73"/>
      <c r="CC2104" s="73"/>
      <c r="CD2104" s="73"/>
      <c r="CE2104" s="73"/>
      <c r="CF2104" s="73"/>
      <c r="CG2104" s="73"/>
      <c r="CH2104" s="73"/>
    </row>
    <row r="2105">
      <c r="A2105" s="80"/>
      <c r="B2105" s="80"/>
      <c r="C2105" s="80"/>
      <c r="D2105" s="80"/>
      <c r="E2105" s="124"/>
      <c r="F2105" s="80"/>
      <c r="G2105" s="80"/>
      <c r="H2105" s="80"/>
      <c r="I2105" s="80"/>
      <c r="J2105" s="196"/>
      <c r="K2105" s="196"/>
      <c r="L2105" s="196"/>
      <c r="M2105" s="196"/>
      <c r="N2105" s="196"/>
      <c r="O2105" s="196"/>
      <c r="P2105" s="196"/>
      <c r="Q2105" s="196"/>
      <c r="R2105" s="196"/>
      <c r="S2105" s="196"/>
      <c r="T2105" s="196"/>
      <c r="U2105" s="196"/>
      <c r="V2105" s="196"/>
      <c r="W2105" s="196"/>
      <c r="X2105" s="196"/>
      <c r="Y2105" s="196"/>
      <c r="Z2105" s="196"/>
      <c r="AA2105" s="196"/>
      <c r="AB2105" s="196"/>
      <c r="AC2105" s="196"/>
      <c r="AD2105" s="196"/>
      <c r="AE2105" s="196"/>
      <c r="AF2105" s="196"/>
      <c r="AG2105" s="196"/>
      <c r="AH2105" s="196"/>
      <c r="AI2105" s="196"/>
      <c r="AJ2105" s="197"/>
      <c r="AK2105" s="80"/>
      <c r="AL2105" s="80"/>
      <c r="AM2105" s="73"/>
      <c r="AN2105" s="73"/>
      <c r="AO2105" s="73"/>
      <c r="AP2105" s="73"/>
      <c r="AQ2105" s="73"/>
      <c r="AR2105" s="73"/>
      <c r="AS2105" s="73"/>
      <c r="AT2105" s="73"/>
      <c r="AU2105" s="73"/>
      <c r="AV2105" s="73"/>
      <c r="AW2105" s="73"/>
      <c r="AX2105" s="73"/>
      <c r="AY2105" s="73"/>
      <c r="AZ2105" s="73"/>
      <c r="BA2105" s="73"/>
      <c r="BB2105" s="73"/>
      <c r="BC2105" s="73"/>
      <c r="BD2105" s="73"/>
      <c r="BE2105" s="73"/>
      <c r="BF2105" s="73"/>
      <c r="BG2105" s="73"/>
      <c r="BH2105" s="73"/>
      <c r="BI2105" s="73"/>
      <c r="BJ2105" s="73"/>
      <c r="BK2105" s="73"/>
      <c r="BL2105" s="73"/>
      <c r="BM2105" s="73"/>
      <c r="BN2105" s="73"/>
      <c r="BO2105" s="73"/>
      <c r="BP2105" s="73"/>
      <c r="BQ2105" s="73"/>
      <c r="BR2105" s="73"/>
      <c r="BS2105" s="73"/>
      <c r="BT2105" s="73"/>
      <c r="BU2105" s="73"/>
      <c r="BV2105" s="73"/>
      <c r="BW2105" s="73"/>
      <c r="BX2105" s="73"/>
      <c r="BY2105" s="73"/>
      <c r="BZ2105" s="73"/>
      <c r="CA2105" s="73"/>
      <c r="CB2105" s="73"/>
      <c r="CC2105" s="73"/>
      <c r="CD2105" s="73"/>
      <c r="CE2105" s="73"/>
      <c r="CF2105" s="73"/>
      <c r="CG2105" s="73"/>
      <c r="CH2105" s="73"/>
    </row>
    <row r="2106">
      <c r="A2106" s="80"/>
      <c r="B2106" s="80"/>
      <c r="C2106" s="80"/>
      <c r="D2106" s="80"/>
      <c r="E2106" s="124"/>
      <c r="F2106" s="80"/>
      <c r="G2106" s="80"/>
      <c r="H2106" s="80"/>
      <c r="I2106" s="80"/>
      <c r="J2106" s="196"/>
      <c r="K2106" s="196"/>
      <c r="L2106" s="196"/>
      <c r="M2106" s="196"/>
      <c r="N2106" s="196"/>
      <c r="O2106" s="196"/>
      <c r="P2106" s="196"/>
      <c r="Q2106" s="196"/>
      <c r="R2106" s="196"/>
      <c r="S2106" s="196"/>
      <c r="T2106" s="196"/>
      <c r="U2106" s="196"/>
      <c r="V2106" s="196"/>
      <c r="W2106" s="196"/>
      <c r="X2106" s="196"/>
      <c r="Y2106" s="196"/>
      <c r="Z2106" s="196"/>
      <c r="AA2106" s="196"/>
      <c r="AB2106" s="196"/>
      <c r="AC2106" s="196"/>
      <c r="AD2106" s="196"/>
      <c r="AE2106" s="196"/>
      <c r="AF2106" s="196"/>
      <c r="AG2106" s="196"/>
      <c r="AH2106" s="196"/>
      <c r="AI2106" s="196"/>
      <c r="AJ2106" s="197"/>
      <c r="AK2106" s="80"/>
      <c r="AL2106" s="80"/>
      <c r="AM2106" s="73"/>
      <c r="AN2106" s="73"/>
      <c r="AO2106" s="73"/>
      <c r="AP2106" s="73"/>
      <c r="AQ2106" s="73"/>
      <c r="AR2106" s="73"/>
      <c r="AS2106" s="73"/>
      <c r="AT2106" s="73"/>
      <c r="AU2106" s="73"/>
      <c r="AV2106" s="73"/>
      <c r="AW2106" s="73"/>
      <c r="AX2106" s="73"/>
      <c r="AY2106" s="73"/>
      <c r="AZ2106" s="73"/>
      <c r="BA2106" s="73"/>
      <c r="BB2106" s="73"/>
      <c r="BC2106" s="73"/>
      <c r="BD2106" s="73"/>
      <c r="BE2106" s="73"/>
      <c r="BF2106" s="73"/>
      <c r="BG2106" s="73"/>
      <c r="BH2106" s="73"/>
      <c r="BI2106" s="73"/>
      <c r="BJ2106" s="73"/>
      <c r="BK2106" s="73"/>
      <c r="BL2106" s="73"/>
      <c r="BM2106" s="73"/>
      <c r="BN2106" s="73"/>
      <c r="BO2106" s="73"/>
      <c r="BP2106" s="73"/>
      <c r="BQ2106" s="73"/>
      <c r="BR2106" s="73"/>
      <c r="BS2106" s="73"/>
      <c r="BT2106" s="73"/>
      <c r="BU2106" s="73"/>
      <c r="BV2106" s="73"/>
      <c r="BW2106" s="73"/>
      <c r="BX2106" s="73"/>
      <c r="BY2106" s="73"/>
      <c r="BZ2106" s="73"/>
      <c r="CA2106" s="73"/>
      <c r="CB2106" s="73"/>
      <c r="CC2106" s="73"/>
      <c r="CD2106" s="73"/>
      <c r="CE2106" s="73"/>
      <c r="CF2106" s="73"/>
      <c r="CG2106" s="73"/>
      <c r="CH2106" s="73"/>
    </row>
    <row r="2107">
      <c r="A2107" s="80"/>
      <c r="B2107" s="80"/>
      <c r="C2107" s="80"/>
      <c r="D2107" s="80"/>
      <c r="E2107" s="124"/>
      <c r="F2107" s="80"/>
      <c r="G2107" s="80"/>
      <c r="H2107" s="80"/>
      <c r="I2107" s="80"/>
      <c r="J2107" s="196"/>
      <c r="K2107" s="196"/>
      <c r="L2107" s="196"/>
      <c r="M2107" s="196"/>
      <c r="N2107" s="196"/>
      <c r="O2107" s="196"/>
      <c r="P2107" s="196"/>
      <c r="Q2107" s="196"/>
      <c r="R2107" s="196"/>
      <c r="S2107" s="196"/>
      <c r="T2107" s="196"/>
      <c r="U2107" s="196"/>
      <c r="V2107" s="196"/>
      <c r="W2107" s="196"/>
      <c r="X2107" s="196"/>
      <c r="Y2107" s="196"/>
      <c r="Z2107" s="196"/>
      <c r="AA2107" s="196"/>
      <c r="AB2107" s="196"/>
      <c r="AC2107" s="196"/>
      <c r="AD2107" s="196"/>
      <c r="AE2107" s="196"/>
      <c r="AF2107" s="196"/>
      <c r="AG2107" s="196"/>
      <c r="AH2107" s="196"/>
      <c r="AI2107" s="196"/>
      <c r="AJ2107" s="197"/>
      <c r="AK2107" s="80"/>
      <c r="AL2107" s="80"/>
      <c r="AM2107" s="73"/>
      <c r="AN2107" s="73"/>
      <c r="AO2107" s="73"/>
      <c r="AP2107" s="73"/>
      <c r="AQ2107" s="73"/>
      <c r="AR2107" s="73"/>
      <c r="AS2107" s="73"/>
      <c r="AT2107" s="73"/>
      <c r="AU2107" s="73"/>
      <c r="AV2107" s="73"/>
      <c r="AW2107" s="73"/>
      <c r="AX2107" s="73"/>
      <c r="AY2107" s="73"/>
      <c r="AZ2107" s="73"/>
      <c r="BA2107" s="73"/>
      <c r="BB2107" s="73"/>
      <c r="BC2107" s="73"/>
      <c r="BD2107" s="73"/>
      <c r="BE2107" s="73"/>
      <c r="BF2107" s="73"/>
      <c r="BG2107" s="73"/>
      <c r="BH2107" s="73"/>
      <c r="BI2107" s="73"/>
      <c r="BJ2107" s="73"/>
      <c r="BK2107" s="73"/>
      <c r="BL2107" s="73"/>
      <c r="BM2107" s="73"/>
      <c r="BN2107" s="73"/>
      <c r="BO2107" s="73"/>
      <c r="BP2107" s="73"/>
      <c r="BQ2107" s="73"/>
      <c r="BR2107" s="73"/>
      <c r="BS2107" s="73"/>
      <c r="BT2107" s="73"/>
      <c r="BU2107" s="73"/>
      <c r="BV2107" s="73"/>
      <c r="BW2107" s="73"/>
      <c r="BX2107" s="73"/>
      <c r="BY2107" s="73"/>
      <c r="BZ2107" s="73"/>
      <c r="CA2107" s="73"/>
      <c r="CB2107" s="73"/>
      <c r="CC2107" s="73"/>
      <c r="CD2107" s="73"/>
      <c r="CE2107" s="73"/>
      <c r="CF2107" s="73"/>
      <c r="CG2107" s="73"/>
      <c r="CH2107" s="73"/>
    </row>
    <row r="2108">
      <c r="A2108" s="80"/>
      <c r="B2108" s="80"/>
      <c r="C2108" s="80"/>
      <c r="D2108" s="80"/>
      <c r="E2108" s="124"/>
      <c r="F2108" s="80"/>
      <c r="G2108" s="80"/>
      <c r="H2108" s="80"/>
      <c r="I2108" s="80"/>
      <c r="J2108" s="196"/>
      <c r="K2108" s="196"/>
      <c r="L2108" s="196"/>
      <c r="M2108" s="196"/>
      <c r="N2108" s="196"/>
      <c r="O2108" s="196"/>
      <c r="P2108" s="196"/>
      <c r="Q2108" s="196"/>
      <c r="R2108" s="196"/>
      <c r="S2108" s="196"/>
      <c r="T2108" s="196"/>
      <c r="U2108" s="196"/>
      <c r="V2108" s="196"/>
      <c r="W2108" s="196"/>
      <c r="X2108" s="196"/>
      <c r="Y2108" s="196"/>
      <c r="Z2108" s="196"/>
      <c r="AA2108" s="196"/>
      <c r="AB2108" s="196"/>
      <c r="AC2108" s="196"/>
      <c r="AD2108" s="196"/>
      <c r="AE2108" s="196"/>
      <c r="AF2108" s="196"/>
      <c r="AG2108" s="196"/>
      <c r="AH2108" s="196"/>
      <c r="AI2108" s="196"/>
      <c r="AJ2108" s="197"/>
      <c r="AK2108" s="80"/>
      <c r="AL2108" s="80"/>
      <c r="AM2108" s="73"/>
      <c r="AN2108" s="73"/>
      <c r="AO2108" s="73"/>
      <c r="AP2108" s="73"/>
      <c r="AQ2108" s="73"/>
      <c r="AR2108" s="73"/>
      <c r="AS2108" s="73"/>
      <c r="AT2108" s="73"/>
      <c r="AU2108" s="73"/>
      <c r="AV2108" s="73"/>
      <c r="AW2108" s="73"/>
      <c r="AX2108" s="73"/>
      <c r="AY2108" s="73"/>
      <c r="AZ2108" s="73"/>
      <c r="BA2108" s="73"/>
      <c r="BB2108" s="73"/>
      <c r="BC2108" s="73"/>
      <c r="BD2108" s="73"/>
      <c r="BE2108" s="73"/>
      <c r="BF2108" s="73"/>
      <c r="BG2108" s="73"/>
      <c r="BH2108" s="73"/>
      <c r="BI2108" s="73"/>
      <c r="BJ2108" s="73"/>
      <c r="BK2108" s="73"/>
      <c r="BL2108" s="73"/>
      <c r="BM2108" s="73"/>
      <c r="BN2108" s="73"/>
      <c r="BO2108" s="73"/>
      <c r="BP2108" s="73"/>
      <c r="BQ2108" s="73"/>
      <c r="BR2108" s="73"/>
      <c r="BS2108" s="73"/>
      <c r="BT2108" s="73"/>
      <c r="BU2108" s="73"/>
      <c r="BV2108" s="73"/>
      <c r="BW2108" s="73"/>
      <c r="BX2108" s="73"/>
      <c r="BY2108" s="73"/>
      <c r="BZ2108" s="73"/>
      <c r="CA2108" s="73"/>
      <c r="CB2108" s="73"/>
      <c r="CC2108" s="73"/>
      <c r="CD2108" s="73"/>
      <c r="CE2108" s="73"/>
      <c r="CF2108" s="73"/>
      <c r="CG2108" s="73"/>
      <c r="CH2108" s="73"/>
    </row>
    <row r="2109">
      <c r="A2109" s="80"/>
      <c r="B2109" s="80"/>
      <c r="C2109" s="80"/>
      <c r="D2109" s="80"/>
      <c r="E2109" s="124"/>
      <c r="F2109" s="80"/>
      <c r="G2109" s="80"/>
      <c r="H2109" s="80"/>
      <c r="I2109" s="80"/>
      <c r="J2109" s="196"/>
      <c r="K2109" s="196"/>
      <c r="L2109" s="196"/>
      <c r="M2109" s="196"/>
      <c r="N2109" s="196"/>
      <c r="O2109" s="196"/>
      <c r="P2109" s="196"/>
      <c r="Q2109" s="196"/>
      <c r="R2109" s="196"/>
      <c r="S2109" s="196"/>
      <c r="T2109" s="196"/>
      <c r="U2109" s="196"/>
      <c r="V2109" s="196"/>
      <c r="W2109" s="196"/>
      <c r="X2109" s="196"/>
      <c r="Y2109" s="196"/>
      <c r="Z2109" s="196"/>
      <c r="AA2109" s="196"/>
      <c r="AB2109" s="196"/>
      <c r="AC2109" s="196"/>
      <c r="AD2109" s="196"/>
      <c r="AE2109" s="196"/>
      <c r="AF2109" s="196"/>
      <c r="AG2109" s="196"/>
      <c r="AH2109" s="196"/>
      <c r="AI2109" s="196"/>
      <c r="AJ2109" s="197"/>
      <c r="AK2109" s="80"/>
      <c r="AL2109" s="80"/>
      <c r="AM2109" s="73"/>
      <c r="AN2109" s="73"/>
      <c r="AO2109" s="73"/>
      <c r="AP2109" s="73"/>
      <c r="AQ2109" s="73"/>
      <c r="AR2109" s="73"/>
      <c r="AS2109" s="73"/>
      <c r="AT2109" s="73"/>
      <c r="AU2109" s="73"/>
      <c r="AV2109" s="73"/>
      <c r="AW2109" s="73"/>
      <c r="AX2109" s="73"/>
      <c r="AY2109" s="73"/>
      <c r="AZ2109" s="73"/>
      <c r="BA2109" s="73"/>
      <c r="BB2109" s="73"/>
      <c r="BC2109" s="73"/>
      <c r="BD2109" s="73"/>
      <c r="BE2109" s="73"/>
      <c r="BF2109" s="73"/>
      <c r="BG2109" s="73"/>
      <c r="BH2109" s="73"/>
      <c r="BI2109" s="73"/>
      <c r="BJ2109" s="73"/>
      <c r="BK2109" s="73"/>
      <c r="BL2109" s="73"/>
      <c r="BM2109" s="73"/>
      <c r="BN2109" s="73"/>
      <c r="BO2109" s="73"/>
      <c r="BP2109" s="73"/>
      <c r="BQ2109" s="73"/>
      <c r="BR2109" s="73"/>
      <c r="BS2109" s="73"/>
      <c r="BT2109" s="73"/>
      <c r="BU2109" s="73"/>
      <c r="BV2109" s="73"/>
      <c r="BW2109" s="73"/>
      <c r="BX2109" s="73"/>
      <c r="BY2109" s="73"/>
      <c r="BZ2109" s="73"/>
      <c r="CA2109" s="73"/>
      <c r="CB2109" s="73"/>
      <c r="CC2109" s="73"/>
      <c r="CD2109" s="73"/>
      <c r="CE2109" s="73"/>
      <c r="CF2109" s="73"/>
      <c r="CG2109" s="73"/>
      <c r="CH2109" s="73"/>
    </row>
    <row r="2110">
      <c r="A2110" s="80"/>
      <c r="B2110" s="80"/>
      <c r="C2110" s="80"/>
      <c r="D2110" s="80"/>
      <c r="E2110" s="124"/>
      <c r="F2110" s="80"/>
      <c r="G2110" s="80"/>
      <c r="H2110" s="80"/>
      <c r="I2110" s="80"/>
      <c r="J2110" s="196"/>
      <c r="K2110" s="196"/>
      <c r="L2110" s="196"/>
      <c r="M2110" s="196"/>
      <c r="N2110" s="196"/>
      <c r="O2110" s="196"/>
      <c r="P2110" s="196"/>
      <c r="Q2110" s="196"/>
      <c r="R2110" s="196"/>
      <c r="S2110" s="196"/>
      <c r="T2110" s="196"/>
      <c r="U2110" s="196"/>
      <c r="V2110" s="196"/>
      <c r="W2110" s="196"/>
      <c r="X2110" s="196"/>
      <c r="Y2110" s="196"/>
      <c r="Z2110" s="196"/>
      <c r="AA2110" s="196"/>
      <c r="AB2110" s="196"/>
      <c r="AC2110" s="196"/>
      <c r="AD2110" s="196"/>
      <c r="AE2110" s="196"/>
      <c r="AF2110" s="196"/>
      <c r="AG2110" s="196"/>
      <c r="AH2110" s="196"/>
      <c r="AI2110" s="196"/>
      <c r="AJ2110" s="197"/>
      <c r="AK2110" s="80"/>
      <c r="AL2110" s="80"/>
      <c r="AM2110" s="73"/>
      <c r="AN2110" s="73"/>
      <c r="AO2110" s="73"/>
      <c r="AP2110" s="73"/>
      <c r="AQ2110" s="73"/>
      <c r="AR2110" s="73"/>
      <c r="AS2110" s="73"/>
      <c r="AT2110" s="73"/>
      <c r="AU2110" s="73"/>
      <c r="AV2110" s="73"/>
      <c r="AW2110" s="73"/>
      <c r="AX2110" s="73"/>
      <c r="AY2110" s="73"/>
      <c r="AZ2110" s="73"/>
      <c r="BA2110" s="73"/>
      <c r="BB2110" s="73"/>
      <c r="BC2110" s="73"/>
      <c r="BD2110" s="73"/>
      <c r="BE2110" s="73"/>
      <c r="BF2110" s="73"/>
      <c r="BG2110" s="73"/>
      <c r="BH2110" s="73"/>
      <c r="BI2110" s="73"/>
      <c r="BJ2110" s="73"/>
      <c r="BK2110" s="73"/>
      <c r="BL2110" s="73"/>
      <c r="BM2110" s="73"/>
      <c r="BN2110" s="73"/>
      <c r="BO2110" s="73"/>
      <c r="BP2110" s="73"/>
      <c r="BQ2110" s="73"/>
      <c r="BR2110" s="73"/>
      <c r="BS2110" s="73"/>
      <c r="BT2110" s="73"/>
      <c r="BU2110" s="73"/>
      <c r="BV2110" s="73"/>
      <c r="BW2110" s="73"/>
      <c r="BX2110" s="73"/>
      <c r="BY2110" s="73"/>
      <c r="BZ2110" s="73"/>
      <c r="CA2110" s="73"/>
      <c r="CB2110" s="73"/>
      <c r="CC2110" s="73"/>
      <c r="CD2110" s="73"/>
      <c r="CE2110" s="73"/>
      <c r="CF2110" s="73"/>
      <c r="CG2110" s="73"/>
      <c r="CH2110" s="73"/>
    </row>
    <row r="2111">
      <c r="A2111" s="80"/>
      <c r="B2111" s="80"/>
      <c r="C2111" s="80"/>
      <c r="D2111" s="80"/>
      <c r="E2111" s="124"/>
      <c r="F2111" s="80"/>
      <c r="G2111" s="80"/>
      <c r="H2111" s="80"/>
      <c r="I2111" s="80"/>
      <c r="J2111" s="196"/>
      <c r="K2111" s="196"/>
      <c r="L2111" s="196"/>
      <c r="M2111" s="196"/>
      <c r="N2111" s="196"/>
      <c r="O2111" s="196"/>
      <c r="P2111" s="196"/>
      <c r="Q2111" s="196"/>
      <c r="R2111" s="196"/>
      <c r="S2111" s="196"/>
      <c r="T2111" s="196"/>
      <c r="U2111" s="196"/>
      <c r="V2111" s="196"/>
      <c r="W2111" s="196"/>
      <c r="X2111" s="196"/>
      <c r="Y2111" s="196"/>
      <c r="Z2111" s="196"/>
      <c r="AA2111" s="196"/>
      <c r="AB2111" s="196"/>
      <c r="AC2111" s="196"/>
      <c r="AD2111" s="196"/>
      <c r="AE2111" s="196"/>
      <c r="AF2111" s="196"/>
      <c r="AG2111" s="196"/>
      <c r="AH2111" s="196"/>
      <c r="AI2111" s="196"/>
      <c r="AJ2111" s="197"/>
      <c r="AK2111" s="80"/>
      <c r="AL2111" s="80"/>
      <c r="AM2111" s="73"/>
      <c r="AN2111" s="73"/>
      <c r="AO2111" s="73"/>
      <c r="AP2111" s="73"/>
      <c r="AQ2111" s="73"/>
      <c r="AR2111" s="73"/>
      <c r="AS2111" s="73"/>
      <c r="AT2111" s="73"/>
      <c r="AU2111" s="73"/>
      <c r="AV2111" s="73"/>
      <c r="AW2111" s="73"/>
      <c r="AX2111" s="73"/>
      <c r="AY2111" s="73"/>
      <c r="AZ2111" s="73"/>
      <c r="BA2111" s="73"/>
      <c r="BB2111" s="73"/>
      <c r="BC2111" s="73"/>
      <c r="BD2111" s="73"/>
      <c r="BE2111" s="73"/>
      <c r="BF2111" s="73"/>
      <c r="BG2111" s="73"/>
      <c r="BH2111" s="73"/>
      <c r="BI2111" s="73"/>
      <c r="BJ2111" s="73"/>
      <c r="BK2111" s="73"/>
      <c r="BL2111" s="73"/>
      <c r="BM2111" s="73"/>
      <c r="BN2111" s="73"/>
      <c r="BO2111" s="73"/>
      <c r="BP2111" s="73"/>
      <c r="BQ2111" s="73"/>
      <c r="BR2111" s="73"/>
      <c r="BS2111" s="73"/>
      <c r="BT2111" s="73"/>
      <c r="BU2111" s="73"/>
      <c r="BV2111" s="73"/>
      <c r="BW2111" s="73"/>
      <c r="BX2111" s="73"/>
      <c r="BY2111" s="73"/>
      <c r="BZ2111" s="73"/>
      <c r="CA2111" s="73"/>
      <c r="CB2111" s="73"/>
      <c r="CC2111" s="73"/>
      <c r="CD2111" s="73"/>
      <c r="CE2111" s="73"/>
      <c r="CF2111" s="73"/>
      <c r="CG2111" s="73"/>
      <c r="CH2111" s="73"/>
    </row>
    <row r="2112">
      <c r="A2112" s="80"/>
      <c r="B2112" s="80"/>
      <c r="C2112" s="80"/>
      <c r="D2112" s="80"/>
      <c r="E2112" s="124"/>
      <c r="F2112" s="80"/>
      <c r="G2112" s="80"/>
      <c r="H2112" s="80"/>
      <c r="I2112" s="80"/>
      <c r="J2112" s="196"/>
      <c r="K2112" s="196"/>
      <c r="L2112" s="196"/>
      <c r="M2112" s="196"/>
      <c r="N2112" s="196"/>
      <c r="O2112" s="196"/>
      <c r="P2112" s="196"/>
      <c r="Q2112" s="196"/>
      <c r="R2112" s="196"/>
      <c r="S2112" s="196"/>
      <c r="T2112" s="196"/>
      <c r="U2112" s="196"/>
      <c r="V2112" s="196"/>
      <c r="W2112" s="196"/>
      <c r="X2112" s="196"/>
      <c r="Y2112" s="196"/>
      <c r="Z2112" s="196"/>
      <c r="AA2112" s="196"/>
      <c r="AB2112" s="196"/>
      <c r="AC2112" s="196"/>
      <c r="AD2112" s="196"/>
      <c r="AE2112" s="196"/>
      <c r="AF2112" s="196"/>
      <c r="AG2112" s="196"/>
      <c r="AH2112" s="196"/>
      <c r="AI2112" s="196"/>
      <c r="AJ2112" s="197"/>
      <c r="AK2112" s="80"/>
      <c r="AL2112" s="80"/>
      <c r="AM2112" s="73"/>
      <c r="AN2112" s="73"/>
      <c r="AO2112" s="73"/>
      <c r="AP2112" s="73"/>
      <c r="AQ2112" s="73"/>
      <c r="AR2112" s="73"/>
      <c r="AS2112" s="73"/>
      <c r="AT2112" s="73"/>
      <c r="AU2112" s="73"/>
      <c r="AV2112" s="73"/>
      <c r="AW2112" s="73"/>
      <c r="AX2112" s="73"/>
      <c r="AY2112" s="73"/>
      <c r="AZ2112" s="73"/>
      <c r="BA2112" s="73"/>
      <c r="BB2112" s="73"/>
      <c r="BC2112" s="73"/>
      <c r="BD2112" s="73"/>
      <c r="BE2112" s="73"/>
      <c r="BF2112" s="73"/>
      <c r="BG2112" s="73"/>
      <c r="BH2112" s="73"/>
      <c r="BI2112" s="73"/>
      <c r="BJ2112" s="73"/>
      <c r="BK2112" s="73"/>
      <c r="BL2112" s="73"/>
      <c r="BM2112" s="73"/>
      <c r="BN2112" s="73"/>
      <c r="BO2112" s="73"/>
      <c r="BP2112" s="73"/>
      <c r="BQ2112" s="73"/>
      <c r="BR2112" s="73"/>
      <c r="BS2112" s="73"/>
      <c r="BT2112" s="73"/>
      <c r="BU2112" s="73"/>
      <c r="BV2112" s="73"/>
      <c r="BW2112" s="73"/>
      <c r="BX2112" s="73"/>
      <c r="BY2112" s="73"/>
      <c r="BZ2112" s="73"/>
      <c r="CA2112" s="73"/>
      <c r="CB2112" s="73"/>
      <c r="CC2112" s="73"/>
      <c r="CD2112" s="73"/>
      <c r="CE2112" s="73"/>
      <c r="CF2112" s="73"/>
      <c r="CG2112" s="73"/>
      <c r="CH2112" s="73"/>
    </row>
    <row r="2113">
      <c r="A2113" s="80"/>
      <c r="B2113" s="80"/>
      <c r="C2113" s="80"/>
      <c r="D2113" s="80"/>
      <c r="E2113" s="124"/>
      <c r="F2113" s="80"/>
      <c r="G2113" s="80"/>
      <c r="H2113" s="80"/>
      <c r="I2113" s="80"/>
      <c r="J2113" s="196"/>
      <c r="K2113" s="196"/>
      <c r="L2113" s="196"/>
      <c r="M2113" s="196"/>
      <c r="N2113" s="196"/>
      <c r="O2113" s="196"/>
      <c r="P2113" s="196"/>
      <c r="Q2113" s="196"/>
      <c r="R2113" s="196"/>
      <c r="S2113" s="196"/>
      <c r="T2113" s="196"/>
      <c r="U2113" s="196"/>
      <c r="V2113" s="196"/>
      <c r="W2113" s="196"/>
      <c r="X2113" s="196"/>
      <c r="Y2113" s="196"/>
      <c r="Z2113" s="196"/>
      <c r="AA2113" s="196"/>
      <c r="AB2113" s="196"/>
      <c r="AC2113" s="196"/>
      <c r="AD2113" s="196"/>
      <c r="AE2113" s="196"/>
      <c r="AF2113" s="196"/>
      <c r="AG2113" s="196"/>
      <c r="AH2113" s="196"/>
      <c r="AI2113" s="196"/>
      <c r="AJ2113" s="197"/>
      <c r="AK2113" s="80"/>
      <c r="AL2113" s="80"/>
      <c r="AM2113" s="73"/>
      <c r="AN2113" s="73"/>
      <c r="AO2113" s="73"/>
      <c r="AP2113" s="73"/>
      <c r="AQ2113" s="73"/>
      <c r="AR2113" s="73"/>
      <c r="AS2113" s="73"/>
      <c r="AT2113" s="73"/>
      <c r="AU2113" s="73"/>
      <c r="AV2113" s="73"/>
      <c r="AW2113" s="73"/>
      <c r="AX2113" s="73"/>
      <c r="AY2113" s="73"/>
      <c r="AZ2113" s="73"/>
      <c r="BA2113" s="73"/>
      <c r="BB2113" s="73"/>
      <c r="BC2113" s="73"/>
      <c r="BD2113" s="73"/>
      <c r="BE2113" s="73"/>
      <c r="BF2113" s="73"/>
      <c r="BG2113" s="73"/>
      <c r="BH2113" s="73"/>
      <c r="BI2113" s="73"/>
      <c r="BJ2113" s="73"/>
      <c r="BK2113" s="73"/>
      <c r="BL2113" s="73"/>
      <c r="BM2113" s="73"/>
      <c r="BN2113" s="73"/>
      <c r="BO2113" s="73"/>
      <c r="BP2113" s="73"/>
      <c r="BQ2113" s="73"/>
      <c r="BR2113" s="73"/>
      <c r="BS2113" s="73"/>
      <c r="BT2113" s="73"/>
      <c r="BU2113" s="73"/>
      <c r="BV2113" s="73"/>
      <c r="BW2113" s="73"/>
      <c r="BX2113" s="73"/>
      <c r="BY2113" s="73"/>
      <c r="BZ2113" s="73"/>
      <c r="CA2113" s="73"/>
      <c r="CB2113" s="73"/>
      <c r="CC2113" s="73"/>
      <c r="CD2113" s="73"/>
      <c r="CE2113" s="73"/>
      <c r="CF2113" s="73"/>
      <c r="CG2113" s="73"/>
      <c r="CH2113" s="73"/>
    </row>
    <row r="2114">
      <c r="A2114" s="80"/>
      <c r="B2114" s="80"/>
      <c r="C2114" s="80"/>
      <c r="D2114" s="80"/>
      <c r="E2114" s="124"/>
      <c r="F2114" s="80"/>
      <c r="G2114" s="80"/>
      <c r="H2114" s="80"/>
      <c r="I2114" s="80"/>
      <c r="J2114" s="196"/>
      <c r="K2114" s="196"/>
      <c r="L2114" s="196"/>
      <c r="M2114" s="196"/>
      <c r="N2114" s="196"/>
      <c r="O2114" s="196"/>
      <c r="P2114" s="196"/>
      <c r="Q2114" s="196"/>
      <c r="R2114" s="196"/>
      <c r="S2114" s="196"/>
      <c r="T2114" s="196"/>
      <c r="U2114" s="196"/>
      <c r="V2114" s="196"/>
      <c r="W2114" s="196"/>
      <c r="X2114" s="196"/>
      <c r="Y2114" s="196"/>
      <c r="Z2114" s="196"/>
      <c r="AA2114" s="196"/>
      <c r="AB2114" s="196"/>
      <c r="AC2114" s="196"/>
      <c r="AD2114" s="196"/>
      <c r="AE2114" s="196"/>
      <c r="AF2114" s="196"/>
      <c r="AG2114" s="196"/>
      <c r="AH2114" s="196"/>
      <c r="AI2114" s="196"/>
      <c r="AJ2114" s="197"/>
      <c r="AK2114" s="80"/>
      <c r="AL2114" s="80"/>
      <c r="AM2114" s="73"/>
      <c r="AN2114" s="73"/>
      <c r="AO2114" s="73"/>
      <c r="AP2114" s="73"/>
      <c r="AQ2114" s="73"/>
      <c r="AR2114" s="73"/>
      <c r="AS2114" s="73"/>
      <c r="AT2114" s="73"/>
      <c r="AU2114" s="73"/>
      <c r="AV2114" s="73"/>
      <c r="AW2114" s="73"/>
      <c r="AX2114" s="73"/>
      <c r="AY2114" s="73"/>
      <c r="AZ2114" s="73"/>
      <c r="BA2114" s="73"/>
      <c r="BB2114" s="73"/>
      <c r="BC2114" s="73"/>
      <c r="BD2114" s="73"/>
      <c r="BE2114" s="73"/>
      <c r="BF2114" s="73"/>
      <c r="BG2114" s="73"/>
      <c r="BH2114" s="73"/>
      <c r="BI2114" s="73"/>
      <c r="BJ2114" s="73"/>
      <c r="BK2114" s="73"/>
      <c r="BL2114" s="73"/>
      <c r="BM2114" s="73"/>
      <c r="BN2114" s="73"/>
      <c r="BO2114" s="73"/>
      <c r="BP2114" s="73"/>
      <c r="BQ2114" s="73"/>
      <c r="BR2114" s="73"/>
      <c r="BS2114" s="73"/>
      <c r="BT2114" s="73"/>
      <c r="BU2114" s="73"/>
      <c r="BV2114" s="73"/>
      <c r="BW2114" s="73"/>
      <c r="BX2114" s="73"/>
      <c r="BY2114" s="73"/>
      <c r="BZ2114" s="73"/>
      <c r="CA2114" s="73"/>
      <c r="CB2114" s="73"/>
      <c r="CC2114" s="73"/>
      <c r="CD2114" s="73"/>
      <c r="CE2114" s="73"/>
      <c r="CF2114" s="73"/>
      <c r="CG2114" s="73"/>
      <c r="CH2114" s="73"/>
    </row>
    <row r="2115">
      <c r="A2115" s="80"/>
      <c r="B2115" s="80"/>
      <c r="C2115" s="80"/>
      <c r="D2115" s="80"/>
      <c r="E2115" s="124"/>
      <c r="F2115" s="80"/>
      <c r="G2115" s="80"/>
      <c r="H2115" s="80"/>
      <c r="I2115" s="80"/>
      <c r="J2115" s="196"/>
      <c r="K2115" s="196"/>
      <c r="L2115" s="196"/>
      <c r="M2115" s="196"/>
      <c r="N2115" s="196"/>
      <c r="O2115" s="196"/>
      <c r="P2115" s="196"/>
      <c r="Q2115" s="196"/>
      <c r="R2115" s="196"/>
      <c r="S2115" s="196"/>
      <c r="T2115" s="196"/>
      <c r="U2115" s="196"/>
      <c r="V2115" s="196"/>
      <c r="W2115" s="196"/>
      <c r="X2115" s="196"/>
      <c r="Y2115" s="196"/>
      <c r="Z2115" s="196"/>
      <c r="AA2115" s="196"/>
      <c r="AB2115" s="196"/>
      <c r="AC2115" s="196"/>
      <c r="AD2115" s="196"/>
      <c r="AE2115" s="196"/>
      <c r="AF2115" s="196"/>
      <c r="AG2115" s="196"/>
      <c r="AH2115" s="196"/>
      <c r="AI2115" s="196"/>
      <c r="AJ2115" s="197"/>
      <c r="AK2115" s="80"/>
      <c r="AL2115" s="80"/>
      <c r="AM2115" s="73"/>
      <c r="AN2115" s="73"/>
      <c r="AO2115" s="73"/>
      <c r="AP2115" s="73"/>
      <c r="AQ2115" s="73"/>
      <c r="AR2115" s="73"/>
      <c r="AS2115" s="73"/>
      <c r="AT2115" s="73"/>
      <c r="AU2115" s="73"/>
      <c r="AV2115" s="73"/>
      <c r="AW2115" s="73"/>
      <c r="AX2115" s="73"/>
      <c r="AY2115" s="73"/>
      <c r="AZ2115" s="73"/>
      <c r="BA2115" s="73"/>
      <c r="BB2115" s="73"/>
      <c r="BC2115" s="73"/>
      <c r="BD2115" s="73"/>
      <c r="BE2115" s="73"/>
      <c r="BF2115" s="73"/>
      <c r="BG2115" s="73"/>
      <c r="BH2115" s="73"/>
      <c r="BI2115" s="73"/>
      <c r="BJ2115" s="73"/>
      <c r="BK2115" s="73"/>
      <c r="BL2115" s="73"/>
      <c r="BM2115" s="73"/>
      <c r="BN2115" s="73"/>
      <c r="BO2115" s="73"/>
      <c r="BP2115" s="73"/>
      <c r="BQ2115" s="73"/>
      <c r="BR2115" s="73"/>
      <c r="BS2115" s="73"/>
      <c r="BT2115" s="73"/>
      <c r="BU2115" s="73"/>
      <c r="BV2115" s="73"/>
      <c r="BW2115" s="73"/>
      <c r="BX2115" s="73"/>
      <c r="BY2115" s="73"/>
      <c r="BZ2115" s="73"/>
      <c r="CA2115" s="73"/>
      <c r="CB2115" s="73"/>
      <c r="CC2115" s="73"/>
      <c r="CD2115" s="73"/>
      <c r="CE2115" s="73"/>
      <c r="CF2115" s="73"/>
      <c r="CG2115" s="73"/>
      <c r="CH2115" s="73"/>
    </row>
    <row r="2116">
      <c r="A2116" s="80"/>
      <c r="B2116" s="80"/>
      <c r="C2116" s="80"/>
      <c r="D2116" s="80"/>
      <c r="E2116" s="124"/>
      <c r="F2116" s="80"/>
      <c r="G2116" s="80"/>
      <c r="H2116" s="80"/>
      <c r="I2116" s="80"/>
      <c r="J2116" s="196"/>
      <c r="K2116" s="196"/>
      <c r="L2116" s="196"/>
      <c r="M2116" s="196"/>
      <c r="N2116" s="196"/>
      <c r="O2116" s="196"/>
      <c r="P2116" s="196"/>
      <c r="Q2116" s="196"/>
      <c r="R2116" s="196"/>
      <c r="S2116" s="196"/>
      <c r="T2116" s="196"/>
      <c r="U2116" s="196"/>
      <c r="V2116" s="196"/>
      <c r="W2116" s="196"/>
      <c r="X2116" s="196"/>
      <c r="Y2116" s="196"/>
      <c r="Z2116" s="196"/>
      <c r="AA2116" s="196"/>
      <c r="AB2116" s="196"/>
      <c r="AC2116" s="196"/>
      <c r="AD2116" s="196"/>
      <c r="AE2116" s="196"/>
      <c r="AF2116" s="196"/>
      <c r="AG2116" s="196"/>
      <c r="AH2116" s="196"/>
      <c r="AI2116" s="196"/>
      <c r="AJ2116" s="197"/>
      <c r="AK2116" s="80"/>
      <c r="AL2116" s="80"/>
      <c r="AM2116" s="73"/>
      <c r="AN2116" s="73"/>
      <c r="AO2116" s="73"/>
      <c r="AP2116" s="73"/>
      <c r="AQ2116" s="73"/>
      <c r="AR2116" s="73"/>
      <c r="AS2116" s="73"/>
      <c r="AT2116" s="73"/>
      <c r="AU2116" s="73"/>
      <c r="AV2116" s="73"/>
      <c r="AW2116" s="73"/>
      <c r="AX2116" s="73"/>
      <c r="AY2116" s="73"/>
      <c r="AZ2116" s="73"/>
      <c r="BA2116" s="73"/>
      <c r="BB2116" s="73"/>
      <c r="BC2116" s="73"/>
      <c r="BD2116" s="73"/>
      <c r="BE2116" s="73"/>
      <c r="BF2116" s="73"/>
      <c r="BG2116" s="73"/>
      <c r="BH2116" s="73"/>
      <c r="BI2116" s="73"/>
      <c r="BJ2116" s="73"/>
      <c r="BK2116" s="73"/>
      <c r="BL2116" s="73"/>
      <c r="BM2116" s="73"/>
      <c r="BN2116" s="73"/>
      <c r="BO2116" s="73"/>
      <c r="BP2116" s="73"/>
      <c r="BQ2116" s="73"/>
      <c r="BR2116" s="73"/>
      <c r="BS2116" s="73"/>
      <c r="BT2116" s="73"/>
      <c r="BU2116" s="73"/>
      <c r="BV2116" s="73"/>
      <c r="BW2116" s="73"/>
      <c r="BX2116" s="73"/>
      <c r="BY2116" s="73"/>
      <c r="BZ2116" s="73"/>
      <c r="CA2116" s="73"/>
      <c r="CB2116" s="73"/>
      <c r="CC2116" s="73"/>
      <c r="CD2116" s="73"/>
      <c r="CE2116" s="73"/>
      <c r="CF2116" s="73"/>
      <c r="CG2116" s="73"/>
      <c r="CH2116" s="73"/>
    </row>
    <row r="2117">
      <c r="A2117" s="80"/>
      <c r="B2117" s="80"/>
      <c r="C2117" s="80"/>
      <c r="D2117" s="80"/>
      <c r="E2117" s="124"/>
      <c r="F2117" s="80"/>
      <c r="G2117" s="80"/>
      <c r="H2117" s="80"/>
      <c r="I2117" s="80"/>
      <c r="J2117" s="196"/>
      <c r="K2117" s="196"/>
      <c r="L2117" s="196"/>
      <c r="M2117" s="196"/>
      <c r="N2117" s="196"/>
      <c r="O2117" s="196"/>
      <c r="P2117" s="196"/>
      <c r="Q2117" s="196"/>
      <c r="R2117" s="196"/>
      <c r="S2117" s="196"/>
      <c r="T2117" s="196"/>
      <c r="U2117" s="196"/>
      <c r="V2117" s="196"/>
      <c r="W2117" s="196"/>
      <c r="X2117" s="196"/>
      <c r="Y2117" s="196"/>
      <c r="Z2117" s="196"/>
      <c r="AA2117" s="196"/>
      <c r="AB2117" s="196"/>
      <c r="AC2117" s="196"/>
      <c r="AD2117" s="196"/>
      <c r="AE2117" s="196"/>
      <c r="AF2117" s="196"/>
      <c r="AG2117" s="196"/>
      <c r="AH2117" s="196"/>
      <c r="AI2117" s="196"/>
      <c r="AJ2117" s="197"/>
      <c r="AK2117" s="80"/>
      <c r="AL2117" s="80"/>
      <c r="AM2117" s="73"/>
      <c r="AN2117" s="73"/>
      <c r="AO2117" s="73"/>
      <c r="AP2117" s="73"/>
      <c r="AQ2117" s="73"/>
      <c r="AR2117" s="73"/>
      <c r="AS2117" s="73"/>
      <c r="AT2117" s="73"/>
      <c r="AU2117" s="73"/>
      <c r="AV2117" s="73"/>
      <c r="AW2117" s="73"/>
      <c r="AX2117" s="73"/>
      <c r="AY2117" s="73"/>
      <c r="AZ2117" s="73"/>
      <c r="BA2117" s="73"/>
      <c r="BB2117" s="73"/>
      <c r="BC2117" s="73"/>
      <c r="BD2117" s="73"/>
      <c r="BE2117" s="73"/>
      <c r="BF2117" s="73"/>
      <c r="BG2117" s="73"/>
      <c r="BH2117" s="73"/>
      <c r="BI2117" s="73"/>
      <c r="BJ2117" s="73"/>
      <c r="BK2117" s="73"/>
      <c r="BL2117" s="73"/>
      <c r="BM2117" s="73"/>
      <c r="BN2117" s="73"/>
      <c r="BO2117" s="73"/>
      <c r="BP2117" s="73"/>
      <c r="BQ2117" s="73"/>
      <c r="BR2117" s="73"/>
      <c r="BS2117" s="73"/>
      <c r="BT2117" s="73"/>
      <c r="BU2117" s="73"/>
      <c r="BV2117" s="73"/>
      <c r="BW2117" s="73"/>
      <c r="BX2117" s="73"/>
      <c r="BY2117" s="73"/>
      <c r="BZ2117" s="73"/>
      <c r="CA2117" s="73"/>
      <c r="CB2117" s="73"/>
      <c r="CC2117" s="73"/>
      <c r="CD2117" s="73"/>
      <c r="CE2117" s="73"/>
      <c r="CF2117" s="73"/>
      <c r="CG2117" s="73"/>
      <c r="CH2117" s="73"/>
    </row>
    <row r="2118">
      <c r="A2118" s="80"/>
      <c r="B2118" s="80"/>
      <c r="C2118" s="80"/>
      <c r="D2118" s="80"/>
      <c r="E2118" s="124"/>
      <c r="F2118" s="80"/>
      <c r="G2118" s="80"/>
      <c r="H2118" s="80"/>
      <c r="I2118" s="80"/>
      <c r="J2118" s="196"/>
      <c r="K2118" s="196"/>
      <c r="L2118" s="196"/>
      <c r="M2118" s="196"/>
      <c r="N2118" s="196"/>
      <c r="O2118" s="196"/>
      <c r="P2118" s="196"/>
      <c r="Q2118" s="196"/>
      <c r="R2118" s="196"/>
      <c r="S2118" s="196"/>
      <c r="T2118" s="196"/>
      <c r="U2118" s="196"/>
      <c r="V2118" s="196"/>
      <c r="W2118" s="196"/>
      <c r="X2118" s="196"/>
      <c r="Y2118" s="196"/>
      <c r="Z2118" s="196"/>
      <c r="AA2118" s="196"/>
      <c r="AB2118" s="196"/>
      <c r="AC2118" s="196"/>
      <c r="AD2118" s="196"/>
      <c r="AE2118" s="196"/>
      <c r="AF2118" s="196"/>
      <c r="AG2118" s="196"/>
      <c r="AH2118" s="196"/>
      <c r="AI2118" s="196"/>
      <c r="AJ2118" s="197"/>
      <c r="AK2118" s="80"/>
      <c r="AL2118" s="80"/>
      <c r="AM2118" s="73"/>
      <c r="AN2118" s="73"/>
      <c r="AO2118" s="73"/>
      <c r="AP2118" s="73"/>
      <c r="AQ2118" s="73"/>
      <c r="AR2118" s="73"/>
      <c r="AS2118" s="73"/>
      <c r="AT2118" s="73"/>
      <c r="AU2118" s="73"/>
      <c r="AV2118" s="73"/>
      <c r="AW2118" s="73"/>
      <c r="AX2118" s="73"/>
      <c r="AY2118" s="73"/>
      <c r="AZ2118" s="73"/>
      <c r="BA2118" s="73"/>
      <c r="BB2118" s="73"/>
      <c r="BC2118" s="73"/>
      <c r="BD2118" s="73"/>
      <c r="BE2118" s="73"/>
      <c r="BF2118" s="73"/>
      <c r="BG2118" s="73"/>
      <c r="BH2118" s="73"/>
      <c r="BI2118" s="73"/>
      <c r="BJ2118" s="73"/>
      <c r="BK2118" s="73"/>
      <c r="BL2118" s="73"/>
      <c r="BM2118" s="73"/>
      <c r="BN2118" s="73"/>
      <c r="BO2118" s="73"/>
      <c r="BP2118" s="73"/>
      <c r="BQ2118" s="73"/>
      <c r="BR2118" s="73"/>
      <c r="BS2118" s="73"/>
      <c r="BT2118" s="73"/>
      <c r="BU2118" s="73"/>
      <c r="BV2118" s="73"/>
      <c r="BW2118" s="73"/>
      <c r="BX2118" s="73"/>
      <c r="BY2118" s="73"/>
      <c r="BZ2118" s="73"/>
      <c r="CA2118" s="73"/>
      <c r="CB2118" s="73"/>
      <c r="CC2118" s="73"/>
      <c r="CD2118" s="73"/>
      <c r="CE2118" s="73"/>
      <c r="CF2118" s="73"/>
      <c r="CG2118" s="73"/>
      <c r="CH2118" s="73"/>
    </row>
    <row r="2119">
      <c r="A2119" s="80"/>
      <c r="B2119" s="80"/>
      <c r="C2119" s="80"/>
      <c r="D2119" s="80"/>
      <c r="E2119" s="124"/>
      <c r="F2119" s="80"/>
      <c r="G2119" s="80"/>
      <c r="H2119" s="80"/>
      <c r="I2119" s="80"/>
      <c r="J2119" s="196"/>
      <c r="K2119" s="196"/>
      <c r="L2119" s="196"/>
      <c r="M2119" s="196"/>
      <c r="N2119" s="196"/>
      <c r="O2119" s="196"/>
      <c r="P2119" s="196"/>
      <c r="Q2119" s="196"/>
      <c r="R2119" s="196"/>
      <c r="S2119" s="196"/>
      <c r="T2119" s="196"/>
      <c r="U2119" s="196"/>
      <c r="V2119" s="196"/>
      <c r="W2119" s="196"/>
      <c r="X2119" s="196"/>
      <c r="Y2119" s="196"/>
      <c r="Z2119" s="196"/>
      <c r="AA2119" s="196"/>
      <c r="AB2119" s="196"/>
      <c r="AC2119" s="196"/>
      <c r="AD2119" s="196"/>
      <c r="AE2119" s="196"/>
      <c r="AF2119" s="196"/>
      <c r="AG2119" s="196"/>
      <c r="AH2119" s="196"/>
      <c r="AI2119" s="196"/>
      <c r="AJ2119" s="197"/>
      <c r="AK2119" s="80"/>
      <c r="AL2119" s="80"/>
      <c r="AM2119" s="73"/>
      <c r="AN2119" s="73"/>
      <c r="AO2119" s="73"/>
      <c r="AP2119" s="73"/>
      <c r="AQ2119" s="73"/>
      <c r="AR2119" s="73"/>
      <c r="AS2119" s="73"/>
      <c r="AT2119" s="73"/>
      <c r="AU2119" s="73"/>
      <c r="AV2119" s="73"/>
      <c r="AW2119" s="73"/>
      <c r="AX2119" s="73"/>
      <c r="AY2119" s="73"/>
      <c r="AZ2119" s="73"/>
      <c r="BA2119" s="73"/>
      <c r="BB2119" s="73"/>
      <c r="BC2119" s="73"/>
      <c r="BD2119" s="73"/>
      <c r="BE2119" s="73"/>
      <c r="BF2119" s="73"/>
      <c r="BG2119" s="73"/>
      <c r="BH2119" s="73"/>
      <c r="BI2119" s="73"/>
      <c r="BJ2119" s="73"/>
      <c r="BK2119" s="73"/>
      <c r="BL2119" s="73"/>
      <c r="BM2119" s="73"/>
      <c r="BN2119" s="73"/>
      <c r="BO2119" s="73"/>
      <c r="BP2119" s="73"/>
      <c r="BQ2119" s="73"/>
      <c r="BR2119" s="73"/>
      <c r="BS2119" s="73"/>
      <c r="BT2119" s="73"/>
      <c r="BU2119" s="73"/>
      <c r="BV2119" s="73"/>
      <c r="BW2119" s="73"/>
      <c r="BX2119" s="73"/>
      <c r="BY2119" s="73"/>
      <c r="BZ2119" s="73"/>
      <c r="CA2119" s="73"/>
      <c r="CB2119" s="73"/>
      <c r="CC2119" s="73"/>
      <c r="CD2119" s="73"/>
      <c r="CE2119" s="73"/>
      <c r="CF2119" s="73"/>
      <c r="CG2119" s="73"/>
      <c r="CH2119" s="73"/>
    </row>
    <row r="2120">
      <c r="A2120" s="80"/>
      <c r="B2120" s="80"/>
      <c r="C2120" s="80"/>
      <c r="D2120" s="80"/>
      <c r="E2120" s="124"/>
      <c r="F2120" s="80"/>
      <c r="G2120" s="80"/>
      <c r="H2120" s="80"/>
      <c r="I2120" s="80"/>
      <c r="J2120" s="196"/>
      <c r="K2120" s="196"/>
      <c r="L2120" s="196"/>
      <c r="M2120" s="196"/>
      <c r="N2120" s="196"/>
      <c r="O2120" s="196"/>
      <c r="P2120" s="196"/>
      <c r="Q2120" s="196"/>
      <c r="R2120" s="196"/>
      <c r="S2120" s="196"/>
      <c r="T2120" s="196"/>
      <c r="U2120" s="196"/>
      <c r="V2120" s="196"/>
      <c r="W2120" s="196"/>
      <c r="X2120" s="196"/>
      <c r="Y2120" s="196"/>
      <c r="Z2120" s="196"/>
      <c r="AA2120" s="196"/>
      <c r="AB2120" s="196"/>
      <c r="AC2120" s="196"/>
      <c r="AD2120" s="196"/>
      <c r="AE2120" s="196"/>
      <c r="AF2120" s="196"/>
      <c r="AG2120" s="196"/>
      <c r="AH2120" s="196"/>
      <c r="AI2120" s="196"/>
      <c r="AJ2120" s="197"/>
      <c r="AK2120" s="80"/>
      <c r="AL2120" s="80"/>
      <c r="AM2120" s="73"/>
      <c r="AN2120" s="73"/>
      <c r="AO2120" s="73"/>
      <c r="AP2120" s="73"/>
      <c r="AQ2120" s="73"/>
      <c r="AR2120" s="73"/>
      <c r="AS2120" s="73"/>
      <c r="AT2120" s="73"/>
      <c r="AU2120" s="73"/>
      <c r="AV2120" s="73"/>
      <c r="AW2120" s="73"/>
      <c r="AX2120" s="73"/>
      <c r="AY2120" s="73"/>
      <c r="AZ2120" s="73"/>
      <c r="BA2120" s="73"/>
      <c r="BB2120" s="73"/>
      <c r="BC2120" s="73"/>
      <c r="BD2120" s="73"/>
      <c r="BE2120" s="73"/>
      <c r="BF2120" s="73"/>
      <c r="BG2120" s="73"/>
      <c r="BH2120" s="73"/>
      <c r="BI2120" s="73"/>
      <c r="BJ2120" s="73"/>
      <c r="BK2120" s="73"/>
      <c r="BL2120" s="73"/>
      <c r="BM2120" s="73"/>
      <c r="BN2120" s="73"/>
      <c r="BO2120" s="73"/>
      <c r="BP2120" s="73"/>
      <c r="BQ2120" s="73"/>
      <c r="BR2120" s="73"/>
      <c r="BS2120" s="73"/>
      <c r="BT2120" s="73"/>
      <c r="BU2120" s="73"/>
      <c r="BV2120" s="73"/>
      <c r="BW2120" s="73"/>
      <c r="BX2120" s="73"/>
      <c r="BY2120" s="73"/>
      <c r="BZ2120" s="73"/>
      <c r="CA2120" s="73"/>
      <c r="CB2120" s="73"/>
      <c r="CC2120" s="73"/>
      <c r="CD2120" s="73"/>
      <c r="CE2120" s="73"/>
      <c r="CF2120" s="73"/>
      <c r="CG2120" s="73"/>
      <c r="CH2120" s="73"/>
    </row>
    <row r="2121">
      <c r="A2121" s="80"/>
      <c r="B2121" s="80"/>
      <c r="C2121" s="80"/>
      <c r="D2121" s="80"/>
      <c r="E2121" s="124"/>
      <c r="F2121" s="80"/>
      <c r="G2121" s="80"/>
      <c r="H2121" s="80"/>
      <c r="I2121" s="80"/>
      <c r="J2121" s="196"/>
      <c r="K2121" s="196"/>
      <c r="L2121" s="196"/>
      <c r="M2121" s="196"/>
      <c r="N2121" s="196"/>
      <c r="O2121" s="196"/>
      <c r="P2121" s="196"/>
      <c r="Q2121" s="196"/>
      <c r="R2121" s="196"/>
      <c r="S2121" s="196"/>
      <c r="T2121" s="196"/>
      <c r="U2121" s="196"/>
      <c r="V2121" s="196"/>
      <c r="W2121" s="196"/>
      <c r="X2121" s="196"/>
      <c r="Y2121" s="196"/>
      <c r="Z2121" s="196"/>
      <c r="AA2121" s="196"/>
      <c r="AB2121" s="196"/>
      <c r="AC2121" s="196"/>
      <c r="AD2121" s="196"/>
      <c r="AE2121" s="196"/>
      <c r="AF2121" s="196"/>
      <c r="AG2121" s="196"/>
      <c r="AH2121" s="196"/>
      <c r="AI2121" s="196"/>
      <c r="AJ2121" s="197"/>
      <c r="AK2121" s="80"/>
      <c r="AL2121" s="80"/>
      <c r="AM2121" s="73"/>
      <c r="AN2121" s="73"/>
      <c r="AO2121" s="73"/>
      <c r="AP2121" s="73"/>
      <c r="AQ2121" s="73"/>
      <c r="AR2121" s="73"/>
      <c r="AS2121" s="73"/>
      <c r="AT2121" s="73"/>
      <c r="AU2121" s="73"/>
      <c r="AV2121" s="73"/>
      <c r="AW2121" s="73"/>
      <c r="AX2121" s="73"/>
      <c r="AY2121" s="73"/>
      <c r="AZ2121" s="73"/>
      <c r="BA2121" s="73"/>
      <c r="BB2121" s="73"/>
      <c r="BC2121" s="73"/>
      <c r="BD2121" s="73"/>
      <c r="BE2121" s="73"/>
      <c r="BF2121" s="73"/>
      <c r="BG2121" s="73"/>
      <c r="BH2121" s="73"/>
      <c r="BI2121" s="73"/>
      <c r="BJ2121" s="73"/>
      <c r="BK2121" s="73"/>
      <c r="BL2121" s="73"/>
      <c r="BM2121" s="73"/>
      <c r="BN2121" s="73"/>
      <c r="BO2121" s="73"/>
      <c r="BP2121" s="73"/>
      <c r="BQ2121" s="73"/>
      <c r="BR2121" s="73"/>
      <c r="BS2121" s="73"/>
      <c r="BT2121" s="73"/>
      <c r="BU2121" s="73"/>
      <c r="BV2121" s="73"/>
      <c r="BW2121" s="73"/>
      <c r="BX2121" s="73"/>
      <c r="BY2121" s="73"/>
      <c r="BZ2121" s="73"/>
      <c r="CA2121" s="73"/>
      <c r="CB2121" s="73"/>
      <c r="CC2121" s="73"/>
      <c r="CD2121" s="73"/>
      <c r="CE2121" s="73"/>
      <c r="CF2121" s="73"/>
      <c r="CG2121" s="73"/>
      <c r="CH2121" s="73"/>
    </row>
    <row r="2122">
      <c r="A2122" s="80"/>
      <c r="B2122" s="80"/>
      <c r="C2122" s="80"/>
      <c r="D2122" s="80"/>
      <c r="E2122" s="124"/>
      <c r="F2122" s="80"/>
      <c r="G2122" s="80"/>
      <c r="H2122" s="80"/>
      <c r="I2122" s="80"/>
      <c r="J2122" s="196"/>
      <c r="K2122" s="196"/>
      <c r="L2122" s="196"/>
      <c r="M2122" s="196"/>
      <c r="N2122" s="196"/>
      <c r="O2122" s="196"/>
      <c r="P2122" s="196"/>
      <c r="Q2122" s="196"/>
      <c r="R2122" s="196"/>
      <c r="S2122" s="196"/>
      <c r="T2122" s="196"/>
      <c r="U2122" s="196"/>
      <c r="V2122" s="196"/>
      <c r="W2122" s="196"/>
      <c r="X2122" s="196"/>
      <c r="Y2122" s="196"/>
      <c r="Z2122" s="196"/>
      <c r="AA2122" s="196"/>
      <c r="AB2122" s="196"/>
      <c r="AC2122" s="196"/>
      <c r="AD2122" s="196"/>
      <c r="AE2122" s="196"/>
      <c r="AF2122" s="196"/>
      <c r="AG2122" s="196"/>
      <c r="AH2122" s="196"/>
      <c r="AI2122" s="196"/>
      <c r="AJ2122" s="197"/>
      <c r="AK2122" s="80"/>
      <c r="AL2122" s="80"/>
      <c r="AM2122" s="73"/>
      <c r="AN2122" s="73"/>
      <c r="AO2122" s="73"/>
      <c r="AP2122" s="73"/>
      <c r="AQ2122" s="73"/>
      <c r="AR2122" s="73"/>
      <c r="AS2122" s="73"/>
      <c r="AT2122" s="73"/>
      <c r="AU2122" s="73"/>
      <c r="AV2122" s="73"/>
      <c r="AW2122" s="73"/>
      <c r="AX2122" s="73"/>
      <c r="AY2122" s="73"/>
      <c r="AZ2122" s="73"/>
      <c r="BA2122" s="73"/>
      <c r="BB2122" s="73"/>
      <c r="BC2122" s="73"/>
      <c r="BD2122" s="73"/>
      <c r="BE2122" s="73"/>
      <c r="BF2122" s="73"/>
      <c r="BG2122" s="73"/>
      <c r="BH2122" s="73"/>
      <c r="BI2122" s="73"/>
      <c r="BJ2122" s="73"/>
      <c r="BK2122" s="73"/>
      <c r="BL2122" s="73"/>
      <c r="BM2122" s="73"/>
      <c r="BN2122" s="73"/>
      <c r="BO2122" s="73"/>
      <c r="BP2122" s="73"/>
      <c r="BQ2122" s="73"/>
      <c r="BR2122" s="73"/>
      <c r="BS2122" s="73"/>
      <c r="BT2122" s="73"/>
      <c r="BU2122" s="73"/>
      <c r="BV2122" s="73"/>
      <c r="BW2122" s="73"/>
      <c r="BX2122" s="73"/>
      <c r="BY2122" s="73"/>
      <c r="BZ2122" s="73"/>
      <c r="CA2122" s="73"/>
      <c r="CB2122" s="73"/>
      <c r="CC2122" s="73"/>
      <c r="CD2122" s="73"/>
      <c r="CE2122" s="73"/>
      <c r="CF2122" s="73"/>
      <c r="CG2122" s="73"/>
      <c r="CH2122" s="73"/>
    </row>
    <row r="2123">
      <c r="A2123" s="80"/>
      <c r="B2123" s="80"/>
      <c r="C2123" s="80"/>
      <c r="D2123" s="80"/>
      <c r="E2123" s="124"/>
      <c r="F2123" s="80"/>
      <c r="G2123" s="80"/>
      <c r="H2123" s="80"/>
      <c r="I2123" s="80"/>
      <c r="J2123" s="196"/>
      <c r="K2123" s="196"/>
      <c r="L2123" s="196"/>
      <c r="M2123" s="196"/>
      <c r="N2123" s="196"/>
      <c r="O2123" s="196"/>
      <c r="P2123" s="196"/>
      <c r="Q2123" s="196"/>
      <c r="R2123" s="196"/>
      <c r="S2123" s="196"/>
      <c r="T2123" s="196"/>
      <c r="U2123" s="196"/>
      <c r="V2123" s="196"/>
      <c r="W2123" s="196"/>
      <c r="X2123" s="196"/>
      <c r="Y2123" s="196"/>
      <c r="Z2123" s="196"/>
      <c r="AA2123" s="196"/>
      <c r="AB2123" s="196"/>
      <c r="AC2123" s="196"/>
      <c r="AD2123" s="196"/>
      <c r="AE2123" s="196"/>
      <c r="AF2123" s="196"/>
      <c r="AG2123" s="196"/>
      <c r="AH2123" s="196"/>
      <c r="AI2123" s="196"/>
      <c r="AJ2123" s="197"/>
      <c r="AK2123" s="80"/>
      <c r="AL2123" s="80"/>
      <c r="AM2123" s="73"/>
      <c r="AN2123" s="73"/>
      <c r="AO2123" s="73"/>
      <c r="AP2123" s="73"/>
      <c r="AQ2123" s="73"/>
      <c r="AR2123" s="73"/>
      <c r="AS2123" s="73"/>
      <c r="AT2123" s="73"/>
      <c r="AU2123" s="73"/>
      <c r="AV2123" s="73"/>
      <c r="AW2123" s="73"/>
      <c r="AX2123" s="73"/>
      <c r="AY2123" s="73"/>
      <c r="AZ2123" s="73"/>
      <c r="BA2123" s="73"/>
      <c r="BB2123" s="73"/>
      <c r="BC2123" s="73"/>
      <c r="BD2123" s="73"/>
      <c r="BE2123" s="73"/>
      <c r="BF2123" s="73"/>
      <c r="BG2123" s="73"/>
      <c r="BH2123" s="73"/>
      <c r="BI2123" s="73"/>
      <c r="BJ2123" s="73"/>
      <c r="BK2123" s="73"/>
      <c r="BL2123" s="73"/>
      <c r="BM2123" s="73"/>
      <c r="BN2123" s="73"/>
      <c r="BO2123" s="73"/>
      <c r="BP2123" s="73"/>
      <c r="BQ2123" s="73"/>
      <c r="BR2123" s="73"/>
      <c r="BS2123" s="73"/>
      <c r="BT2123" s="73"/>
      <c r="BU2123" s="73"/>
      <c r="BV2123" s="73"/>
      <c r="BW2123" s="73"/>
      <c r="BX2123" s="73"/>
      <c r="BY2123" s="73"/>
      <c r="BZ2123" s="73"/>
      <c r="CA2123" s="73"/>
      <c r="CB2123" s="73"/>
      <c r="CC2123" s="73"/>
      <c r="CD2123" s="73"/>
      <c r="CE2123" s="73"/>
      <c r="CF2123" s="73"/>
      <c r="CG2123" s="73"/>
      <c r="CH2123" s="73"/>
    </row>
    <row r="2124">
      <c r="A2124" s="80"/>
      <c r="B2124" s="80"/>
      <c r="C2124" s="80"/>
      <c r="D2124" s="80"/>
      <c r="E2124" s="124"/>
      <c r="F2124" s="80"/>
      <c r="G2124" s="80"/>
      <c r="H2124" s="80"/>
      <c r="I2124" s="80"/>
      <c r="J2124" s="196"/>
      <c r="K2124" s="196"/>
      <c r="L2124" s="196"/>
      <c r="M2124" s="196"/>
      <c r="N2124" s="196"/>
      <c r="O2124" s="196"/>
      <c r="P2124" s="196"/>
      <c r="Q2124" s="196"/>
      <c r="R2124" s="196"/>
      <c r="S2124" s="196"/>
      <c r="T2124" s="196"/>
      <c r="U2124" s="196"/>
      <c r="V2124" s="196"/>
      <c r="W2124" s="196"/>
      <c r="X2124" s="196"/>
      <c r="Y2124" s="196"/>
      <c r="Z2124" s="196"/>
      <c r="AA2124" s="196"/>
      <c r="AB2124" s="196"/>
      <c r="AC2124" s="196"/>
      <c r="AD2124" s="196"/>
      <c r="AE2124" s="196"/>
      <c r="AF2124" s="196"/>
      <c r="AG2124" s="196"/>
      <c r="AH2124" s="196"/>
      <c r="AI2124" s="196"/>
      <c r="AJ2124" s="197"/>
      <c r="AK2124" s="80"/>
      <c r="AL2124" s="80"/>
      <c r="AM2124" s="73"/>
      <c r="AN2124" s="73"/>
      <c r="AO2124" s="73"/>
      <c r="AP2124" s="73"/>
      <c r="AQ2124" s="73"/>
      <c r="AR2124" s="73"/>
      <c r="AS2124" s="73"/>
      <c r="AT2124" s="73"/>
      <c r="AU2124" s="73"/>
      <c r="AV2124" s="73"/>
      <c r="AW2124" s="73"/>
      <c r="AX2124" s="73"/>
      <c r="AY2124" s="73"/>
      <c r="AZ2124" s="73"/>
      <c r="BA2124" s="73"/>
      <c r="BB2124" s="73"/>
      <c r="BC2124" s="73"/>
      <c r="BD2124" s="73"/>
      <c r="BE2124" s="73"/>
      <c r="BF2124" s="73"/>
      <c r="BG2124" s="73"/>
      <c r="BH2124" s="73"/>
      <c r="BI2124" s="73"/>
      <c r="BJ2124" s="73"/>
      <c r="BK2124" s="73"/>
      <c r="BL2124" s="73"/>
      <c r="BM2124" s="73"/>
      <c r="BN2124" s="73"/>
      <c r="BO2124" s="73"/>
      <c r="BP2124" s="73"/>
      <c r="BQ2124" s="73"/>
      <c r="BR2124" s="73"/>
      <c r="BS2124" s="73"/>
      <c r="BT2124" s="73"/>
      <c r="BU2124" s="73"/>
      <c r="BV2124" s="73"/>
      <c r="BW2124" s="73"/>
      <c r="BX2124" s="73"/>
      <c r="BY2124" s="73"/>
      <c r="BZ2124" s="73"/>
      <c r="CA2124" s="73"/>
      <c r="CB2124" s="73"/>
      <c r="CC2124" s="73"/>
      <c r="CD2124" s="73"/>
      <c r="CE2124" s="73"/>
      <c r="CF2124" s="73"/>
      <c r="CG2124" s="73"/>
      <c r="CH2124" s="73"/>
    </row>
    <row r="2125">
      <c r="A2125" s="80"/>
      <c r="B2125" s="80"/>
      <c r="C2125" s="80"/>
      <c r="D2125" s="80"/>
      <c r="E2125" s="124"/>
      <c r="F2125" s="80"/>
      <c r="G2125" s="80"/>
      <c r="H2125" s="80"/>
      <c r="I2125" s="80"/>
      <c r="J2125" s="196"/>
      <c r="K2125" s="196"/>
      <c r="L2125" s="196"/>
      <c r="M2125" s="196"/>
      <c r="N2125" s="196"/>
      <c r="O2125" s="196"/>
      <c r="P2125" s="196"/>
      <c r="Q2125" s="196"/>
      <c r="R2125" s="196"/>
      <c r="S2125" s="196"/>
      <c r="T2125" s="196"/>
      <c r="U2125" s="196"/>
      <c r="V2125" s="196"/>
      <c r="W2125" s="196"/>
      <c r="X2125" s="196"/>
      <c r="Y2125" s="196"/>
      <c r="Z2125" s="196"/>
      <c r="AA2125" s="196"/>
      <c r="AB2125" s="196"/>
      <c r="AC2125" s="196"/>
      <c r="AD2125" s="196"/>
      <c r="AE2125" s="196"/>
      <c r="AF2125" s="196"/>
      <c r="AG2125" s="196"/>
      <c r="AH2125" s="196"/>
      <c r="AI2125" s="196"/>
      <c r="AJ2125" s="197"/>
      <c r="AK2125" s="80"/>
      <c r="AL2125" s="80"/>
      <c r="AM2125" s="73"/>
      <c r="AN2125" s="73"/>
      <c r="AO2125" s="73"/>
      <c r="AP2125" s="73"/>
      <c r="AQ2125" s="73"/>
      <c r="AR2125" s="73"/>
      <c r="AS2125" s="73"/>
      <c r="AT2125" s="73"/>
      <c r="AU2125" s="73"/>
      <c r="AV2125" s="73"/>
      <c r="AW2125" s="73"/>
      <c r="AX2125" s="73"/>
      <c r="AY2125" s="73"/>
      <c r="AZ2125" s="73"/>
      <c r="BA2125" s="73"/>
      <c r="BB2125" s="73"/>
      <c r="BC2125" s="73"/>
      <c r="BD2125" s="73"/>
      <c r="BE2125" s="73"/>
      <c r="BF2125" s="73"/>
      <c r="BG2125" s="73"/>
      <c r="BH2125" s="73"/>
      <c r="BI2125" s="73"/>
      <c r="BJ2125" s="73"/>
      <c r="BK2125" s="73"/>
      <c r="BL2125" s="73"/>
      <c r="BM2125" s="73"/>
      <c r="BN2125" s="73"/>
      <c r="BO2125" s="73"/>
      <c r="BP2125" s="73"/>
      <c r="BQ2125" s="73"/>
      <c r="BR2125" s="73"/>
      <c r="BS2125" s="73"/>
      <c r="BT2125" s="73"/>
      <c r="BU2125" s="73"/>
      <c r="BV2125" s="73"/>
      <c r="BW2125" s="73"/>
      <c r="BX2125" s="73"/>
      <c r="BY2125" s="73"/>
      <c r="BZ2125" s="73"/>
      <c r="CA2125" s="73"/>
      <c r="CB2125" s="73"/>
      <c r="CC2125" s="73"/>
      <c r="CD2125" s="73"/>
      <c r="CE2125" s="73"/>
      <c r="CF2125" s="73"/>
      <c r="CG2125" s="73"/>
      <c r="CH2125" s="73"/>
    </row>
    <row r="2126">
      <c r="A2126" s="80"/>
      <c r="B2126" s="80"/>
      <c r="C2126" s="80"/>
      <c r="D2126" s="80"/>
      <c r="E2126" s="124"/>
      <c r="F2126" s="80"/>
      <c r="G2126" s="80"/>
      <c r="H2126" s="80"/>
      <c r="I2126" s="80"/>
      <c r="J2126" s="196"/>
      <c r="K2126" s="196"/>
      <c r="L2126" s="196"/>
      <c r="M2126" s="196"/>
      <c r="N2126" s="196"/>
      <c r="O2126" s="196"/>
      <c r="P2126" s="196"/>
      <c r="Q2126" s="196"/>
      <c r="R2126" s="196"/>
      <c r="S2126" s="196"/>
      <c r="T2126" s="196"/>
      <c r="U2126" s="196"/>
      <c r="V2126" s="196"/>
      <c r="W2126" s="196"/>
      <c r="X2126" s="196"/>
      <c r="Y2126" s="196"/>
      <c r="Z2126" s="196"/>
      <c r="AA2126" s="196"/>
      <c r="AB2126" s="196"/>
      <c r="AC2126" s="196"/>
      <c r="AD2126" s="196"/>
      <c r="AE2126" s="196"/>
      <c r="AF2126" s="196"/>
      <c r="AG2126" s="196"/>
      <c r="AH2126" s="196"/>
      <c r="AI2126" s="196"/>
      <c r="AJ2126" s="197"/>
      <c r="AK2126" s="80"/>
      <c r="AL2126" s="80"/>
      <c r="AM2126" s="73"/>
      <c r="AN2126" s="73"/>
      <c r="AO2126" s="73"/>
      <c r="AP2126" s="73"/>
      <c r="AQ2126" s="73"/>
      <c r="AR2126" s="73"/>
      <c r="AS2126" s="73"/>
      <c r="AT2126" s="73"/>
      <c r="AU2126" s="73"/>
      <c r="AV2126" s="73"/>
      <c r="AW2126" s="73"/>
      <c r="AX2126" s="73"/>
      <c r="AY2126" s="73"/>
      <c r="AZ2126" s="73"/>
      <c r="BA2126" s="73"/>
      <c r="BB2126" s="73"/>
      <c r="BC2126" s="73"/>
      <c r="BD2126" s="73"/>
      <c r="BE2126" s="73"/>
      <c r="BF2126" s="73"/>
      <c r="BG2126" s="73"/>
      <c r="BH2126" s="73"/>
      <c r="BI2126" s="73"/>
      <c r="BJ2126" s="73"/>
      <c r="BK2126" s="73"/>
      <c r="BL2126" s="73"/>
      <c r="BM2126" s="73"/>
      <c r="BN2126" s="73"/>
      <c r="BO2126" s="73"/>
      <c r="BP2126" s="73"/>
      <c r="BQ2126" s="73"/>
      <c r="BR2126" s="73"/>
      <c r="BS2126" s="73"/>
      <c r="BT2126" s="73"/>
      <c r="BU2126" s="73"/>
      <c r="BV2126" s="73"/>
      <c r="BW2126" s="73"/>
      <c r="BX2126" s="73"/>
      <c r="BY2126" s="73"/>
      <c r="BZ2126" s="73"/>
      <c r="CA2126" s="73"/>
      <c r="CB2126" s="73"/>
      <c r="CC2126" s="73"/>
      <c r="CD2126" s="73"/>
      <c r="CE2126" s="73"/>
      <c r="CF2126" s="73"/>
      <c r="CG2126" s="73"/>
      <c r="CH2126" s="73"/>
    </row>
    <row r="2127">
      <c r="A2127" s="80"/>
      <c r="B2127" s="80"/>
      <c r="C2127" s="80"/>
      <c r="D2127" s="80"/>
      <c r="E2127" s="124"/>
      <c r="F2127" s="80"/>
      <c r="G2127" s="80"/>
      <c r="H2127" s="80"/>
      <c r="I2127" s="80"/>
      <c r="J2127" s="196"/>
      <c r="K2127" s="196"/>
      <c r="L2127" s="196"/>
      <c r="M2127" s="196"/>
      <c r="N2127" s="196"/>
      <c r="O2127" s="196"/>
      <c r="P2127" s="196"/>
      <c r="Q2127" s="196"/>
      <c r="R2127" s="196"/>
      <c r="S2127" s="196"/>
      <c r="T2127" s="196"/>
      <c r="U2127" s="196"/>
      <c r="V2127" s="196"/>
      <c r="W2127" s="196"/>
      <c r="X2127" s="196"/>
      <c r="Y2127" s="196"/>
      <c r="Z2127" s="196"/>
      <c r="AA2127" s="196"/>
      <c r="AB2127" s="196"/>
      <c r="AC2127" s="196"/>
      <c r="AD2127" s="196"/>
      <c r="AE2127" s="196"/>
      <c r="AF2127" s="196"/>
      <c r="AG2127" s="196"/>
      <c r="AH2127" s="196"/>
      <c r="AI2127" s="196"/>
      <c r="AJ2127" s="197"/>
      <c r="AK2127" s="80"/>
      <c r="AL2127" s="80"/>
      <c r="AM2127" s="73"/>
      <c r="AN2127" s="73"/>
      <c r="AO2127" s="73"/>
      <c r="AP2127" s="73"/>
      <c r="AQ2127" s="73"/>
      <c r="AR2127" s="73"/>
      <c r="AS2127" s="73"/>
      <c r="AT2127" s="73"/>
      <c r="AU2127" s="73"/>
      <c r="AV2127" s="73"/>
      <c r="AW2127" s="73"/>
      <c r="AX2127" s="73"/>
      <c r="AY2127" s="73"/>
      <c r="AZ2127" s="73"/>
      <c r="BA2127" s="73"/>
      <c r="BB2127" s="73"/>
      <c r="BC2127" s="73"/>
      <c r="BD2127" s="73"/>
      <c r="BE2127" s="73"/>
      <c r="BF2127" s="73"/>
      <c r="BG2127" s="73"/>
      <c r="BH2127" s="73"/>
      <c r="BI2127" s="73"/>
      <c r="BJ2127" s="73"/>
      <c r="BK2127" s="73"/>
      <c r="BL2127" s="73"/>
      <c r="BM2127" s="73"/>
      <c r="BN2127" s="73"/>
      <c r="BO2127" s="73"/>
      <c r="BP2127" s="73"/>
      <c r="BQ2127" s="73"/>
      <c r="BR2127" s="73"/>
      <c r="BS2127" s="73"/>
      <c r="BT2127" s="73"/>
      <c r="BU2127" s="73"/>
      <c r="BV2127" s="73"/>
      <c r="BW2127" s="73"/>
      <c r="BX2127" s="73"/>
      <c r="BY2127" s="73"/>
      <c r="BZ2127" s="73"/>
      <c r="CA2127" s="73"/>
      <c r="CB2127" s="73"/>
      <c r="CC2127" s="73"/>
      <c r="CD2127" s="73"/>
      <c r="CE2127" s="73"/>
      <c r="CF2127" s="73"/>
      <c r="CG2127" s="73"/>
      <c r="CH2127" s="73"/>
    </row>
    <row r="2128">
      <c r="A2128" s="80"/>
      <c r="B2128" s="80"/>
      <c r="C2128" s="80"/>
      <c r="D2128" s="80"/>
      <c r="E2128" s="124"/>
      <c r="F2128" s="80"/>
      <c r="G2128" s="80"/>
      <c r="H2128" s="80"/>
      <c r="I2128" s="80"/>
      <c r="J2128" s="196"/>
      <c r="K2128" s="196"/>
      <c r="L2128" s="196"/>
      <c r="M2128" s="196"/>
      <c r="N2128" s="196"/>
      <c r="O2128" s="196"/>
      <c r="P2128" s="196"/>
      <c r="Q2128" s="196"/>
      <c r="R2128" s="196"/>
      <c r="S2128" s="196"/>
      <c r="T2128" s="196"/>
      <c r="U2128" s="196"/>
      <c r="V2128" s="196"/>
      <c r="W2128" s="196"/>
      <c r="X2128" s="196"/>
      <c r="Y2128" s="196"/>
      <c r="Z2128" s="196"/>
      <c r="AA2128" s="196"/>
      <c r="AB2128" s="196"/>
      <c r="AC2128" s="196"/>
      <c r="AD2128" s="196"/>
      <c r="AE2128" s="196"/>
      <c r="AF2128" s="196"/>
      <c r="AG2128" s="196"/>
      <c r="AH2128" s="196"/>
      <c r="AI2128" s="196"/>
      <c r="AJ2128" s="197"/>
      <c r="AK2128" s="80"/>
      <c r="AL2128" s="80"/>
      <c r="AM2128" s="73"/>
      <c r="AN2128" s="73"/>
      <c r="AO2128" s="73"/>
      <c r="AP2128" s="73"/>
      <c r="AQ2128" s="73"/>
      <c r="AR2128" s="73"/>
      <c r="AS2128" s="73"/>
      <c r="AT2128" s="73"/>
      <c r="AU2128" s="73"/>
      <c r="AV2128" s="73"/>
      <c r="AW2128" s="73"/>
      <c r="AX2128" s="73"/>
      <c r="AY2128" s="73"/>
      <c r="AZ2128" s="73"/>
      <c r="BA2128" s="73"/>
      <c r="BB2128" s="73"/>
      <c r="BC2128" s="73"/>
      <c r="BD2128" s="73"/>
      <c r="BE2128" s="73"/>
      <c r="BF2128" s="73"/>
      <c r="BG2128" s="73"/>
      <c r="BH2128" s="73"/>
      <c r="BI2128" s="73"/>
      <c r="BJ2128" s="73"/>
      <c r="BK2128" s="73"/>
      <c r="BL2128" s="73"/>
      <c r="BM2128" s="73"/>
      <c r="BN2128" s="73"/>
      <c r="BO2128" s="73"/>
      <c r="BP2128" s="73"/>
      <c r="BQ2128" s="73"/>
      <c r="BR2128" s="73"/>
      <c r="BS2128" s="73"/>
      <c r="BT2128" s="73"/>
      <c r="BU2128" s="73"/>
      <c r="BV2128" s="73"/>
      <c r="BW2128" s="73"/>
      <c r="BX2128" s="73"/>
      <c r="BY2128" s="73"/>
      <c r="BZ2128" s="73"/>
      <c r="CA2128" s="73"/>
      <c r="CB2128" s="73"/>
      <c r="CC2128" s="73"/>
      <c r="CD2128" s="73"/>
      <c r="CE2128" s="73"/>
      <c r="CF2128" s="73"/>
      <c r="CG2128" s="73"/>
      <c r="CH2128" s="73"/>
    </row>
    <row r="2129">
      <c r="A2129" s="80"/>
      <c r="B2129" s="80"/>
      <c r="C2129" s="80"/>
      <c r="D2129" s="80"/>
      <c r="E2129" s="124"/>
      <c r="F2129" s="80"/>
      <c r="G2129" s="80"/>
      <c r="H2129" s="80"/>
      <c r="I2129" s="80"/>
      <c r="J2129" s="196"/>
      <c r="K2129" s="196"/>
      <c r="L2129" s="196"/>
      <c r="M2129" s="196"/>
      <c r="N2129" s="196"/>
      <c r="O2129" s="196"/>
      <c r="P2129" s="196"/>
      <c r="Q2129" s="196"/>
      <c r="R2129" s="196"/>
      <c r="S2129" s="196"/>
      <c r="T2129" s="196"/>
      <c r="U2129" s="196"/>
      <c r="V2129" s="196"/>
      <c r="W2129" s="196"/>
      <c r="X2129" s="196"/>
      <c r="Y2129" s="196"/>
      <c r="Z2129" s="196"/>
      <c r="AA2129" s="196"/>
      <c r="AB2129" s="196"/>
      <c r="AC2129" s="196"/>
      <c r="AD2129" s="196"/>
      <c r="AE2129" s="196"/>
      <c r="AF2129" s="196"/>
      <c r="AG2129" s="196"/>
      <c r="AH2129" s="196"/>
      <c r="AI2129" s="196"/>
      <c r="AJ2129" s="197"/>
      <c r="AK2129" s="80"/>
      <c r="AL2129" s="80"/>
      <c r="AM2129" s="73"/>
      <c r="AN2129" s="73"/>
      <c r="AO2129" s="73"/>
      <c r="AP2129" s="73"/>
      <c r="AQ2129" s="73"/>
      <c r="AR2129" s="73"/>
      <c r="AS2129" s="73"/>
      <c r="AT2129" s="73"/>
      <c r="AU2129" s="73"/>
      <c r="AV2129" s="73"/>
      <c r="AW2129" s="73"/>
      <c r="AX2129" s="73"/>
      <c r="AY2129" s="73"/>
      <c r="AZ2129" s="73"/>
      <c r="BA2129" s="73"/>
      <c r="BB2129" s="73"/>
      <c r="BC2129" s="73"/>
      <c r="BD2129" s="73"/>
      <c r="BE2129" s="73"/>
      <c r="BF2129" s="73"/>
      <c r="BG2129" s="73"/>
      <c r="BH2129" s="73"/>
      <c r="BI2129" s="73"/>
      <c r="BJ2129" s="73"/>
      <c r="BK2129" s="73"/>
      <c r="BL2129" s="73"/>
      <c r="BM2129" s="73"/>
      <c r="BN2129" s="73"/>
      <c r="BO2129" s="73"/>
      <c r="BP2129" s="73"/>
      <c r="BQ2129" s="73"/>
      <c r="BR2129" s="73"/>
      <c r="BS2129" s="73"/>
      <c r="BT2129" s="73"/>
      <c r="BU2129" s="73"/>
      <c r="BV2129" s="73"/>
      <c r="BW2129" s="73"/>
      <c r="BX2129" s="73"/>
      <c r="BY2129" s="73"/>
      <c r="BZ2129" s="73"/>
      <c r="CA2129" s="73"/>
      <c r="CB2129" s="73"/>
      <c r="CC2129" s="73"/>
      <c r="CD2129" s="73"/>
      <c r="CE2129" s="73"/>
      <c r="CF2129" s="73"/>
      <c r="CG2129" s="73"/>
      <c r="CH2129" s="73"/>
    </row>
    <row r="2130">
      <c r="A2130" s="80"/>
      <c r="B2130" s="80"/>
      <c r="C2130" s="80"/>
      <c r="D2130" s="80"/>
      <c r="E2130" s="124"/>
      <c r="F2130" s="80"/>
      <c r="G2130" s="80"/>
      <c r="H2130" s="80"/>
      <c r="I2130" s="80"/>
      <c r="J2130" s="196"/>
      <c r="K2130" s="196"/>
      <c r="L2130" s="196"/>
      <c r="M2130" s="196"/>
      <c r="N2130" s="196"/>
      <c r="O2130" s="196"/>
      <c r="P2130" s="196"/>
      <c r="Q2130" s="196"/>
      <c r="R2130" s="196"/>
      <c r="S2130" s="196"/>
      <c r="T2130" s="196"/>
      <c r="U2130" s="196"/>
      <c r="V2130" s="196"/>
      <c r="W2130" s="196"/>
      <c r="X2130" s="196"/>
      <c r="Y2130" s="196"/>
      <c r="Z2130" s="196"/>
      <c r="AA2130" s="196"/>
      <c r="AB2130" s="196"/>
      <c r="AC2130" s="196"/>
      <c r="AD2130" s="196"/>
      <c r="AE2130" s="196"/>
      <c r="AF2130" s="196"/>
      <c r="AG2130" s="196"/>
      <c r="AH2130" s="196"/>
      <c r="AI2130" s="196"/>
      <c r="AJ2130" s="197"/>
      <c r="AK2130" s="80"/>
      <c r="AL2130" s="80"/>
      <c r="AM2130" s="73"/>
      <c r="AN2130" s="73"/>
      <c r="AO2130" s="73"/>
      <c r="AP2130" s="73"/>
      <c r="AQ2130" s="73"/>
      <c r="AR2130" s="73"/>
      <c r="AS2130" s="73"/>
      <c r="AT2130" s="73"/>
      <c r="AU2130" s="73"/>
      <c r="AV2130" s="73"/>
      <c r="AW2130" s="73"/>
      <c r="AX2130" s="73"/>
      <c r="AY2130" s="73"/>
      <c r="AZ2130" s="73"/>
      <c r="BA2130" s="73"/>
      <c r="BB2130" s="73"/>
      <c r="BC2130" s="73"/>
      <c r="BD2130" s="73"/>
      <c r="BE2130" s="73"/>
      <c r="BF2130" s="73"/>
      <c r="BG2130" s="73"/>
      <c r="BH2130" s="73"/>
      <c r="BI2130" s="73"/>
      <c r="BJ2130" s="73"/>
      <c r="BK2130" s="73"/>
      <c r="BL2130" s="73"/>
      <c r="BM2130" s="73"/>
      <c r="BN2130" s="73"/>
      <c r="BO2130" s="73"/>
      <c r="BP2130" s="73"/>
      <c r="BQ2130" s="73"/>
      <c r="BR2130" s="73"/>
      <c r="BS2130" s="73"/>
      <c r="BT2130" s="73"/>
      <c r="BU2130" s="73"/>
      <c r="BV2130" s="73"/>
      <c r="BW2130" s="73"/>
      <c r="BX2130" s="73"/>
      <c r="BY2130" s="73"/>
      <c r="BZ2130" s="73"/>
      <c r="CA2130" s="73"/>
      <c r="CB2130" s="73"/>
      <c r="CC2130" s="73"/>
      <c r="CD2130" s="73"/>
      <c r="CE2130" s="73"/>
      <c r="CF2130" s="73"/>
      <c r="CG2130" s="73"/>
      <c r="CH2130" s="73"/>
    </row>
    <row r="2131">
      <c r="A2131" s="80"/>
      <c r="B2131" s="80"/>
      <c r="C2131" s="80"/>
      <c r="D2131" s="80"/>
      <c r="E2131" s="124"/>
      <c r="F2131" s="80"/>
      <c r="G2131" s="80"/>
      <c r="H2131" s="80"/>
      <c r="I2131" s="80"/>
      <c r="J2131" s="196"/>
      <c r="K2131" s="196"/>
      <c r="L2131" s="196"/>
      <c r="M2131" s="196"/>
      <c r="N2131" s="196"/>
      <c r="O2131" s="196"/>
      <c r="P2131" s="196"/>
      <c r="Q2131" s="196"/>
      <c r="R2131" s="196"/>
      <c r="S2131" s="196"/>
      <c r="T2131" s="196"/>
      <c r="U2131" s="196"/>
      <c r="V2131" s="196"/>
      <c r="W2131" s="196"/>
      <c r="X2131" s="196"/>
      <c r="Y2131" s="196"/>
      <c r="Z2131" s="196"/>
      <c r="AA2131" s="196"/>
      <c r="AB2131" s="196"/>
      <c r="AC2131" s="196"/>
      <c r="AD2131" s="196"/>
      <c r="AE2131" s="196"/>
      <c r="AF2131" s="196"/>
      <c r="AG2131" s="196"/>
      <c r="AH2131" s="196"/>
      <c r="AI2131" s="196"/>
      <c r="AJ2131" s="197"/>
      <c r="AK2131" s="80"/>
      <c r="AL2131" s="80"/>
      <c r="AM2131" s="73"/>
      <c r="AN2131" s="73"/>
      <c r="AO2131" s="73"/>
      <c r="AP2131" s="73"/>
      <c r="AQ2131" s="73"/>
      <c r="AR2131" s="73"/>
      <c r="AS2131" s="73"/>
      <c r="AT2131" s="73"/>
      <c r="AU2131" s="73"/>
      <c r="AV2131" s="73"/>
      <c r="AW2131" s="73"/>
      <c r="AX2131" s="73"/>
      <c r="AY2131" s="73"/>
      <c r="AZ2131" s="73"/>
      <c r="BA2131" s="73"/>
      <c r="BB2131" s="73"/>
      <c r="BC2131" s="73"/>
      <c r="BD2131" s="73"/>
      <c r="BE2131" s="73"/>
      <c r="BF2131" s="73"/>
      <c r="BG2131" s="73"/>
      <c r="BH2131" s="73"/>
      <c r="BI2131" s="73"/>
      <c r="BJ2131" s="73"/>
      <c r="BK2131" s="73"/>
      <c r="BL2131" s="73"/>
      <c r="BM2131" s="73"/>
      <c r="BN2131" s="73"/>
      <c r="BO2131" s="73"/>
      <c r="BP2131" s="73"/>
      <c r="BQ2131" s="73"/>
      <c r="BR2131" s="73"/>
      <c r="BS2131" s="73"/>
      <c r="BT2131" s="73"/>
      <c r="BU2131" s="73"/>
      <c r="BV2131" s="73"/>
      <c r="BW2131" s="73"/>
      <c r="BX2131" s="73"/>
      <c r="BY2131" s="73"/>
      <c r="BZ2131" s="73"/>
      <c r="CA2131" s="73"/>
      <c r="CB2131" s="73"/>
      <c r="CC2131" s="73"/>
      <c r="CD2131" s="73"/>
      <c r="CE2131" s="73"/>
      <c r="CF2131" s="73"/>
      <c r="CG2131" s="73"/>
      <c r="CH2131" s="73"/>
    </row>
    <row r="2132">
      <c r="A2132" s="80"/>
      <c r="B2132" s="80"/>
      <c r="C2132" s="80"/>
      <c r="D2132" s="80"/>
      <c r="E2132" s="124"/>
      <c r="F2132" s="80"/>
      <c r="G2132" s="80"/>
      <c r="H2132" s="80"/>
      <c r="I2132" s="80"/>
      <c r="J2132" s="196"/>
      <c r="K2132" s="196"/>
      <c r="L2132" s="196"/>
      <c r="M2132" s="196"/>
      <c r="N2132" s="196"/>
      <c r="O2132" s="196"/>
      <c r="P2132" s="196"/>
      <c r="Q2132" s="196"/>
      <c r="R2132" s="196"/>
      <c r="S2132" s="196"/>
      <c r="T2132" s="196"/>
      <c r="U2132" s="196"/>
      <c r="V2132" s="196"/>
      <c r="W2132" s="196"/>
      <c r="X2132" s="196"/>
      <c r="Y2132" s="196"/>
      <c r="Z2132" s="196"/>
      <c r="AA2132" s="196"/>
      <c r="AB2132" s="196"/>
      <c r="AC2132" s="196"/>
      <c r="AD2132" s="196"/>
      <c r="AE2132" s="196"/>
      <c r="AF2132" s="196"/>
      <c r="AG2132" s="196"/>
      <c r="AH2132" s="196"/>
      <c r="AI2132" s="196"/>
      <c r="AJ2132" s="197"/>
      <c r="AK2132" s="80"/>
      <c r="AL2132" s="80"/>
      <c r="AM2132" s="73"/>
      <c r="AN2132" s="73"/>
      <c r="AO2132" s="73"/>
      <c r="AP2132" s="73"/>
      <c r="AQ2132" s="73"/>
      <c r="AR2132" s="73"/>
      <c r="AS2132" s="73"/>
      <c r="AT2132" s="73"/>
      <c r="AU2132" s="73"/>
      <c r="AV2132" s="73"/>
      <c r="AW2132" s="73"/>
      <c r="AX2132" s="73"/>
      <c r="AY2132" s="73"/>
      <c r="AZ2132" s="73"/>
      <c r="BA2132" s="73"/>
      <c r="BB2132" s="73"/>
      <c r="BC2132" s="73"/>
      <c r="BD2132" s="73"/>
      <c r="BE2132" s="73"/>
      <c r="BF2132" s="73"/>
      <c r="BG2132" s="73"/>
      <c r="BH2132" s="73"/>
      <c r="BI2132" s="73"/>
      <c r="BJ2132" s="73"/>
      <c r="BK2132" s="73"/>
      <c r="BL2132" s="73"/>
      <c r="BM2132" s="73"/>
      <c r="BN2132" s="73"/>
      <c r="BO2132" s="73"/>
      <c r="BP2132" s="73"/>
      <c r="BQ2132" s="73"/>
      <c r="BR2132" s="73"/>
      <c r="BS2132" s="73"/>
      <c r="BT2132" s="73"/>
      <c r="BU2132" s="73"/>
      <c r="BV2132" s="73"/>
      <c r="BW2132" s="73"/>
      <c r="BX2132" s="73"/>
      <c r="BY2132" s="73"/>
      <c r="BZ2132" s="73"/>
      <c r="CA2132" s="73"/>
      <c r="CB2132" s="73"/>
      <c r="CC2132" s="73"/>
      <c r="CD2132" s="73"/>
      <c r="CE2132" s="73"/>
      <c r="CF2132" s="73"/>
      <c r="CG2132" s="73"/>
      <c r="CH2132" s="73"/>
    </row>
    <row r="2133">
      <c r="A2133" s="80"/>
      <c r="B2133" s="80"/>
      <c r="C2133" s="80"/>
      <c r="D2133" s="80"/>
      <c r="E2133" s="124"/>
      <c r="F2133" s="80"/>
      <c r="G2133" s="80"/>
      <c r="H2133" s="80"/>
      <c r="I2133" s="80"/>
      <c r="J2133" s="196"/>
      <c r="K2133" s="196"/>
      <c r="L2133" s="196"/>
      <c r="M2133" s="196"/>
      <c r="N2133" s="196"/>
      <c r="O2133" s="196"/>
      <c r="P2133" s="196"/>
      <c r="Q2133" s="196"/>
      <c r="R2133" s="196"/>
      <c r="S2133" s="196"/>
      <c r="T2133" s="196"/>
      <c r="U2133" s="196"/>
      <c r="V2133" s="196"/>
      <c r="W2133" s="196"/>
      <c r="X2133" s="196"/>
      <c r="Y2133" s="196"/>
      <c r="Z2133" s="196"/>
      <c r="AA2133" s="196"/>
      <c r="AB2133" s="196"/>
      <c r="AC2133" s="196"/>
      <c r="AD2133" s="196"/>
      <c r="AE2133" s="196"/>
      <c r="AF2133" s="196"/>
      <c r="AG2133" s="196"/>
      <c r="AH2133" s="196"/>
      <c r="AI2133" s="196"/>
      <c r="AJ2133" s="197"/>
      <c r="AK2133" s="80"/>
      <c r="AL2133" s="80"/>
      <c r="AM2133" s="73"/>
      <c r="AN2133" s="73"/>
      <c r="AO2133" s="73"/>
      <c r="AP2133" s="73"/>
      <c r="AQ2133" s="73"/>
      <c r="AR2133" s="73"/>
      <c r="AS2133" s="73"/>
      <c r="AT2133" s="73"/>
      <c r="AU2133" s="73"/>
      <c r="AV2133" s="73"/>
      <c r="AW2133" s="73"/>
      <c r="AX2133" s="73"/>
      <c r="AY2133" s="73"/>
      <c r="AZ2133" s="73"/>
      <c r="BA2133" s="73"/>
      <c r="BB2133" s="73"/>
      <c r="BC2133" s="73"/>
      <c r="BD2133" s="73"/>
      <c r="BE2133" s="73"/>
      <c r="BF2133" s="73"/>
      <c r="BG2133" s="73"/>
      <c r="BH2133" s="73"/>
      <c r="BI2133" s="73"/>
      <c r="BJ2133" s="73"/>
      <c r="BK2133" s="73"/>
      <c r="BL2133" s="73"/>
      <c r="BM2133" s="73"/>
      <c r="BN2133" s="73"/>
      <c r="BO2133" s="73"/>
      <c r="BP2133" s="73"/>
      <c r="BQ2133" s="73"/>
      <c r="BR2133" s="73"/>
      <c r="BS2133" s="73"/>
      <c r="BT2133" s="73"/>
      <c r="BU2133" s="73"/>
      <c r="BV2133" s="73"/>
      <c r="BW2133" s="73"/>
      <c r="BX2133" s="73"/>
      <c r="BY2133" s="73"/>
      <c r="BZ2133" s="73"/>
      <c r="CA2133" s="73"/>
      <c r="CB2133" s="73"/>
      <c r="CC2133" s="73"/>
      <c r="CD2133" s="73"/>
      <c r="CE2133" s="73"/>
      <c r="CF2133" s="73"/>
      <c r="CG2133" s="73"/>
      <c r="CH2133" s="73"/>
    </row>
    <row r="2134">
      <c r="A2134" s="80"/>
      <c r="B2134" s="80"/>
      <c r="C2134" s="80"/>
      <c r="D2134" s="80"/>
      <c r="E2134" s="124"/>
      <c r="F2134" s="80"/>
      <c r="G2134" s="80"/>
      <c r="H2134" s="80"/>
      <c r="I2134" s="80"/>
      <c r="J2134" s="196"/>
      <c r="K2134" s="196"/>
      <c r="L2134" s="196"/>
      <c r="M2134" s="196"/>
      <c r="N2134" s="196"/>
      <c r="O2134" s="196"/>
      <c r="P2134" s="196"/>
      <c r="Q2134" s="196"/>
      <c r="R2134" s="196"/>
      <c r="S2134" s="196"/>
      <c r="T2134" s="196"/>
      <c r="U2134" s="196"/>
      <c r="V2134" s="196"/>
      <c r="W2134" s="196"/>
      <c r="X2134" s="196"/>
      <c r="Y2134" s="196"/>
      <c r="Z2134" s="196"/>
      <c r="AA2134" s="196"/>
      <c r="AB2134" s="196"/>
      <c r="AC2134" s="196"/>
      <c r="AD2134" s="196"/>
      <c r="AE2134" s="196"/>
      <c r="AF2134" s="196"/>
      <c r="AG2134" s="196"/>
      <c r="AH2134" s="196"/>
      <c r="AI2134" s="196"/>
      <c r="AJ2134" s="197"/>
      <c r="AK2134" s="80"/>
      <c r="AL2134" s="80"/>
      <c r="AM2134" s="73"/>
      <c r="AN2134" s="73"/>
      <c r="AO2134" s="73"/>
      <c r="AP2134" s="73"/>
      <c r="AQ2134" s="73"/>
      <c r="AR2134" s="73"/>
      <c r="AS2134" s="73"/>
      <c r="AT2134" s="73"/>
      <c r="AU2134" s="73"/>
      <c r="AV2134" s="73"/>
      <c r="AW2134" s="73"/>
      <c r="AX2134" s="73"/>
      <c r="AY2134" s="73"/>
      <c r="AZ2134" s="73"/>
      <c r="BA2134" s="73"/>
      <c r="BB2134" s="73"/>
      <c r="BC2134" s="73"/>
      <c r="BD2134" s="73"/>
      <c r="BE2134" s="73"/>
      <c r="BF2134" s="73"/>
      <c r="BG2134" s="73"/>
      <c r="BH2134" s="73"/>
      <c r="BI2134" s="73"/>
      <c r="BJ2134" s="73"/>
      <c r="BK2134" s="73"/>
      <c r="BL2134" s="73"/>
      <c r="BM2134" s="73"/>
      <c r="BN2134" s="73"/>
      <c r="BO2134" s="73"/>
      <c r="BP2134" s="73"/>
      <c r="BQ2134" s="73"/>
      <c r="BR2134" s="73"/>
      <c r="BS2134" s="73"/>
      <c r="BT2134" s="73"/>
      <c r="BU2134" s="73"/>
      <c r="BV2134" s="73"/>
      <c r="BW2134" s="73"/>
      <c r="BX2134" s="73"/>
      <c r="BY2134" s="73"/>
      <c r="BZ2134" s="73"/>
      <c r="CA2134" s="73"/>
      <c r="CB2134" s="73"/>
      <c r="CC2134" s="73"/>
      <c r="CD2134" s="73"/>
      <c r="CE2134" s="73"/>
      <c r="CF2134" s="73"/>
      <c r="CG2134" s="73"/>
      <c r="CH2134" s="73"/>
    </row>
    <row r="2135">
      <c r="A2135" s="80"/>
      <c r="B2135" s="80"/>
      <c r="C2135" s="80"/>
      <c r="D2135" s="80"/>
      <c r="E2135" s="124"/>
      <c r="F2135" s="80"/>
      <c r="G2135" s="80"/>
      <c r="H2135" s="80"/>
      <c r="I2135" s="80"/>
      <c r="J2135" s="196"/>
      <c r="K2135" s="196"/>
      <c r="L2135" s="196"/>
      <c r="M2135" s="196"/>
      <c r="N2135" s="196"/>
      <c r="O2135" s="196"/>
      <c r="P2135" s="196"/>
      <c r="Q2135" s="196"/>
      <c r="R2135" s="196"/>
      <c r="S2135" s="196"/>
      <c r="T2135" s="196"/>
      <c r="U2135" s="196"/>
      <c r="V2135" s="196"/>
      <c r="W2135" s="196"/>
      <c r="X2135" s="196"/>
      <c r="Y2135" s="196"/>
      <c r="Z2135" s="196"/>
      <c r="AA2135" s="196"/>
      <c r="AB2135" s="196"/>
      <c r="AC2135" s="196"/>
      <c r="AD2135" s="196"/>
      <c r="AE2135" s="196"/>
      <c r="AF2135" s="196"/>
      <c r="AG2135" s="196"/>
      <c r="AH2135" s="196"/>
      <c r="AI2135" s="196"/>
      <c r="AJ2135" s="197"/>
      <c r="AK2135" s="80"/>
      <c r="AL2135" s="80"/>
      <c r="AM2135" s="73"/>
      <c r="AN2135" s="73"/>
      <c r="AO2135" s="73"/>
      <c r="AP2135" s="73"/>
      <c r="AQ2135" s="73"/>
      <c r="AR2135" s="73"/>
      <c r="AS2135" s="73"/>
      <c r="AT2135" s="73"/>
      <c r="AU2135" s="73"/>
      <c r="AV2135" s="73"/>
      <c r="AW2135" s="73"/>
      <c r="AX2135" s="73"/>
      <c r="AY2135" s="73"/>
      <c r="AZ2135" s="73"/>
      <c r="BA2135" s="73"/>
      <c r="BB2135" s="73"/>
      <c r="BC2135" s="73"/>
      <c r="BD2135" s="73"/>
      <c r="BE2135" s="73"/>
      <c r="BF2135" s="73"/>
      <c r="BG2135" s="73"/>
      <c r="BH2135" s="73"/>
      <c r="BI2135" s="73"/>
      <c r="BJ2135" s="73"/>
      <c r="BK2135" s="73"/>
      <c r="BL2135" s="73"/>
      <c r="BM2135" s="73"/>
      <c r="BN2135" s="73"/>
      <c r="BO2135" s="73"/>
      <c r="BP2135" s="73"/>
      <c r="BQ2135" s="73"/>
      <c r="BR2135" s="73"/>
      <c r="BS2135" s="73"/>
      <c r="BT2135" s="73"/>
      <c r="BU2135" s="73"/>
      <c r="BV2135" s="73"/>
      <c r="BW2135" s="73"/>
      <c r="BX2135" s="73"/>
      <c r="BY2135" s="73"/>
      <c r="BZ2135" s="73"/>
      <c r="CA2135" s="73"/>
      <c r="CB2135" s="73"/>
      <c r="CC2135" s="73"/>
      <c r="CD2135" s="73"/>
      <c r="CE2135" s="73"/>
      <c r="CF2135" s="73"/>
      <c r="CG2135" s="73"/>
      <c r="CH2135" s="73"/>
    </row>
    <row r="2136">
      <c r="A2136" s="80"/>
      <c r="B2136" s="80"/>
      <c r="C2136" s="80"/>
      <c r="D2136" s="80"/>
      <c r="E2136" s="124"/>
      <c r="F2136" s="80"/>
      <c r="G2136" s="80"/>
      <c r="H2136" s="80"/>
      <c r="I2136" s="80"/>
      <c r="J2136" s="196"/>
      <c r="K2136" s="196"/>
      <c r="L2136" s="196"/>
      <c r="M2136" s="196"/>
      <c r="N2136" s="196"/>
      <c r="O2136" s="196"/>
      <c r="P2136" s="196"/>
      <c r="Q2136" s="196"/>
      <c r="R2136" s="196"/>
      <c r="S2136" s="196"/>
      <c r="T2136" s="196"/>
      <c r="U2136" s="196"/>
      <c r="V2136" s="196"/>
      <c r="W2136" s="196"/>
      <c r="X2136" s="196"/>
      <c r="Y2136" s="196"/>
      <c r="Z2136" s="196"/>
      <c r="AA2136" s="196"/>
      <c r="AB2136" s="196"/>
      <c r="AC2136" s="196"/>
      <c r="AD2136" s="196"/>
      <c r="AE2136" s="196"/>
      <c r="AF2136" s="196"/>
      <c r="AG2136" s="196"/>
      <c r="AH2136" s="196"/>
      <c r="AI2136" s="196"/>
      <c r="AJ2136" s="197"/>
      <c r="AK2136" s="80"/>
      <c r="AL2136" s="80"/>
      <c r="AM2136" s="73"/>
      <c r="AN2136" s="73"/>
      <c r="AO2136" s="73"/>
      <c r="AP2136" s="73"/>
      <c r="AQ2136" s="73"/>
      <c r="AR2136" s="73"/>
      <c r="AS2136" s="73"/>
      <c r="AT2136" s="73"/>
      <c r="AU2136" s="73"/>
      <c r="AV2136" s="73"/>
      <c r="AW2136" s="73"/>
      <c r="AX2136" s="73"/>
      <c r="AY2136" s="73"/>
      <c r="AZ2136" s="73"/>
      <c r="BA2136" s="73"/>
      <c r="BB2136" s="73"/>
      <c r="BC2136" s="73"/>
      <c r="BD2136" s="73"/>
      <c r="BE2136" s="73"/>
      <c r="BF2136" s="73"/>
      <c r="BG2136" s="73"/>
      <c r="BH2136" s="73"/>
      <c r="BI2136" s="73"/>
      <c r="BJ2136" s="73"/>
      <c r="BK2136" s="73"/>
      <c r="BL2136" s="73"/>
      <c r="BM2136" s="73"/>
      <c r="BN2136" s="73"/>
      <c r="BO2136" s="73"/>
      <c r="BP2136" s="73"/>
      <c r="BQ2136" s="73"/>
      <c r="BR2136" s="73"/>
      <c r="BS2136" s="73"/>
      <c r="BT2136" s="73"/>
      <c r="BU2136" s="73"/>
      <c r="BV2136" s="73"/>
      <c r="BW2136" s="73"/>
      <c r="BX2136" s="73"/>
      <c r="BY2136" s="73"/>
      <c r="BZ2136" s="73"/>
      <c r="CA2136" s="73"/>
      <c r="CB2136" s="73"/>
      <c r="CC2136" s="73"/>
      <c r="CD2136" s="73"/>
      <c r="CE2136" s="73"/>
      <c r="CF2136" s="73"/>
      <c r="CG2136" s="73"/>
      <c r="CH2136" s="73"/>
    </row>
    <row r="2137">
      <c r="A2137" s="80"/>
      <c r="B2137" s="80"/>
      <c r="C2137" s="80"/>
      <c r="D2137" s="80"/>
      <c r="E2137" s="124"/>
      <c r="F2137" s="80"/>
      <c r="G2137" s="80"/>
      <c r="H2137" s="80"/>
      <c r="I2137" s="80"/>
      <c r="J2137" s="196"/>
      <c r="K2137" s="196"/>
      <c r="L2137" s="196"/>
      <c r="M2137" s="196"/>
      <c r="N2137" s="196"/>
      <c r="O2137" s="196"/>
      <c r="P2137" s="196"/>
      <c r="Q2137" s="196"/>
      <c r="R2137" s="196"/>
      <c r="S2137" s="196"/>
      <c r="T2137" s="196"/>
      <c r="U2137" s="196"/>
      <c r="V2137" s="196"/>
      <c r="W2137" s="196"/>
      <c r="X2137" s="196"/>
      <c r="Y2137" s="196"/>
      <c r="Z2137" s="196"/>
      <c r="AA2137" s="196"/>
      <c r="AB2137" s="196"/>
      <c r="AC2137" s="196"/>
      <c r="AD2137" s="196"/>
      <c r="AE2137" s="196"/>
      <c r="AF2137" s="196"/>
      <c r="AG2137" s="196"/>
      <c r="AH2137" s="196"/>
      <c r="AI2137" s="196"/>
      <c r="AJ2137" s="197"/>
      <c r="AK2137" s="80"/>
      <c r="AL2137" s="80"/>
      <c r="AM2137" s="73"/>
      <c r="AN2137" s="73"/>
      <c r="AO2137" s="73"/>
      <c r="AP2137" s="73"/>
      <c r="AQ2137" s="73"/>
      <c r="AR2137" s="73"/>
      <c r="AS2137" s="73"/>
      <c r="AT2137" s="73"/>
      <c r="AU2137" s="73"/>
      <c r="AV2137" s="73"/>
      <c r="AW2137" s="73"/>
      <c r="AX2137" s="73"/>
      <c r="AY2137" s="73"/>
      <c r="AZ2137" s="73"/>
      <c r="BA2137" s="73"/>
      <c r="BB2137" s="73"/>
      <c r="BC2137" s="73"/>
      <c r="BD2137" s="73"/>
      <c r="BE2137" s="73"/>
      <c r="BF2137" s="73"/>
      <c r="BG2137" s="73"/>
      <c r="BH2137" s="73"/>
      <c r="BI2137" s="73"/>
      <c r="BJ2137" s="73"/>
      <c r="BK2137" s="73"/>
      <c r="BL2137" s="73"/>
      <c r="BM2137" s="73"/>
      <c r="BN2137" s="73"/>
      <c r="BO2137" s="73"/>
      <c r="BP2137" s="73"/>
      <c r="BQ2137" s="73"/>
      <c r="BR2137" s="73"/>
      <c r="BS2137" s="73"/>
      <c r="BT2137" s="73"/>
      <c r="BU2137" s="73"/>
      <c r="BV2137" s="73"/>
      <c r="BW2137" s="73"/>
      <c r="BX2137" s="73"/>
      <c r="BY2137" s="73"/>
      <c r="BZ2137" s="73"/>
      <c r="CA2137" s="73"/>
      <c r="CB2137" s="73"/>
      <c r="CC2137" s="73"/>
      <c r="CD2137" s="73"/>
      <c r="CE2137" s="73"/>
      <c r="CF2137" s="73"/>
      <c r="CG2137" s="73"/>
      <c r="CH2137" s="73"/>
    </row>
    <row r="2138">
      <c r="A2138" s="80"/>
      <c r="B2138" s="80"/>
      <c r="C2138" s="80"/>
      <c r="D2138" s="80"/>
      <c r="E2138" s="124"/>
      <c r="F2138" s="80"/>
      <c r="G2138" s="80"/>
      <c r="H2138" s="80"/>
      <c r="I2138" s="80"/>
      <c r="J2138" s="196"/>
      <c r="K2138" s="196"/>
      <c r="L2138" s="196"/>
      <c r="M2138" s="196"/>
      <c r="N2138" s="196"/>
      <c r="O2138" s="196"/>
      <c r="P2138" s="196"/>
      <c r="Q2138" s="196"/>
      <c r="R2138" s="196"/>
      <c r="S2138" s="196"/>
      <c r="T2138" s="196"/>
      <c r="U2138" s="196"/>
      <c r="V2138" s="196"/>
      <c r="W2138" s="196"/>
      <c r="X2138" s="196"/>
      <c r="Y2138" s="196"/>
      <c r="Z2138" s="196"/>
      <c r="AA2138" s="196"/>
      <c r="AB2138" s="196"/>
      <c r="AC2138" s="196"/>
      <c r="AD2138" s="196"/>
      <c r="AE2138" s="196"/>
      <c r="AF2138" s="196"/>
      <c r="AG2138" s="196"/>
      <c r="AH2138" s="196"/>
      <c r="AI2138" s="196"/>
      <c r="AJ2138" s="197"/>
      <c r="AK2138" s="80"/>
      <c r="AL2138" s="80"/>
      <c r="AM2138" s="73"/>
      <c r="AN2138" s="73"/>
      <c r="AO2138" s="73"/>
      <c r="AP2138" s="73"/>
      <c r="AQ2138" s="73"/>
      <c r="AR2138" s="73"/>
      <c r="AS2138" s="73"/>
      <c r="AT2138" s="73"/>
      <c r="AU2138" s="73"/>
      <c r="AV2138" s="73"/>
      <c r="AW2138" s="73"/>
      <c r="AX2138" s="73"/>
      <c r="AY2138" s="73"/>
      <c r="AZ2138" s="73"/>
      <c r="BA2138" s="73"/>
      <c r="BB2138" s="73"/>
      <c r="BC2138" s="73"/>
      <c r="BD2138" s="73"/>
      <c r="BE2138" s="73"/>
      <c r="BF2138" s="73"/>
      <c r="BG2138" s="73"/>
      <c r="BH2138" s="73"/>
      <c r="BI2138" s="73"/>
      <c r="BJ2138" s="73"/>
      <c r="BK2138" s="73"/>
      <c r="BL2138" s="73"/>
      <c r="BM2138" s="73"/>
      <c r="BN2138" s="73"/>
      <c r="BO2138" s="73"/>
      <c r="BP2138" s="73"/>
      <c r="BQ2138" s="73"/>
      <c r="BR2138" s="73"/>
      <c r="BS2138" s="73"/>
      <c r="BT2138" s="73"/>
      <c r="BU2138" s="73"/>
      <c r="BV2138" s="73"/>
      <c r="BW2138" s="73"/>
      <c r="BX2138" s="73"/>
      <c r="BY2138" s="73"/>
      <c r="BZ2138" s="73"/>
      <c r="CA2138" s="73"/>
      <c r="CB2138" s="73"/>
      <c r="CC2138" s="73"/>
      <c r="CD2138" s="73"/>
      <c r="CE2138" s="73"/>
      <c r="CF2138" s="73"/>
      <c r="CG2138" s="73"/>
      <c r="CH2138" s="73"/>
    </row>
    <row r="2139">
      <c r="A2139" s="80"/>
      <c r="B2139" s="80"/>
      <c r="C2139" s="80"/>
      <c r="D2139" s="80"/>
      <c r="E2139" s="124"/>
      <c r="F2139" s="80"/>
      <c r="G2139" s="80"/>
      <c r="H2139" s="80"/>
      <c r="I2139" s="80"/>
      <c r="J2139" s="196"/>
      <c r="K2139" s="196"/>
      <c r="L2139" s="196"/>
      <c r="M2139" s="196"/>
      <c r="N2139" s="196"/>
      <c r="O2139" s="196"/>
      <c r="P2139" s="196"/>
      <c r="Q2139" s="196"/>
      <c r="R2139" s="196"/>
      <c r="S2139" s="196"/>
      <c r="T2139" s="196"/>
      <c r="U2139" s="196"/>
      <c r="V2139" s="196"/>
      <c r="W2139" s="196"/>
      <c r="X2139" s="196"/>
      <c r="Y2139" s="196"/>
      <c r="Z2139" s="196"/>
      <c r="AA2139" s="196"/>
      <c r="AB2139" s="196"/>
      <c r="AC2139" s="196"/>
      <c r="AD2139" s="196"/>
      <c r="AE2139" s="196"/>
      <c r="AF2139" s="196"/>
      <c r="AG2139" s="196"/>
      <c r="AH2139" s="196"/>
      <c r="AI2139" s="196"/>
      <c r="AJ2139" s="197"/>
      <c r="AK2139" s="80"/>
      <c r="AL2139" s="80"/>
      <c r="AM2139" s="73"/>
      <c r="AN2139" s="73"/>
      <c r="AO2139" s="73"/>
      <c r="AP2139" s="73"/>
      <c r="AQ2139" s="73"/>
      <c r="AR2139" s="73"/>
      <c r="AS2139" s="73"/>
      <c r="AT2139" s="73"/>
      <c r="AU2139" s="73"/>
      <c r="AV2139" s="73"/>
      <c r="AW2139" s="73"/>
      <c r="AX2139" s="73"/>
      <c r="AY2139" s="73"/>
      <c r="AZ2139" s="73"/>
      <c r="BA2139" s="73"/>
      <c r="BB2139" s="73"/>
      <c r="BC2139" s="73"/>
      <c r="BD2139" s="73"/>
      <c r="BE2139" s="73"/>
      <c r="BF2139" s="73"/>
      <c r="BG2139" s="73"/>
      <c r="BH2139" s="73"/>
      <c r="BI2139" s="73"/>
      <c r="BJ2139" s="73"/>
      <c r="BK2139" s="73"/>
      <c r="BL2139" s="73"/>
      <c r="BM2139" s="73"/>
      <c r="BN2139" s="73"/>
      <c r="BO2139" s="73"/>
      <c r="BP2139" s="73"/>
      <c r="BQ2139" s="73"/>
      <c r="BR2139" s="73"/>
      <c r="BS2139" s="73"/>
      <c r="BT2139" s="73"/>
      <c r="BU2139" s="73"/>
      <c r="BV2139" s="73"/>
      <c r="BW2139" s="73"/>
      <c r="BX2139" s="73"/>
      <c r="BY2139" s="73"/>
      <c r="BZ2139" s="73"/>
      <c r="CA2139" s="73"/>
      <c r="CB2139" s="73"/>
      <c r="CC2139" s="73"/>
      <c r="CD2139" s="73"/>
      <c r="CE2139" s="73"/>
      <c r="CF2139" s="73"/>
      <c r="CG2139" s="73"/>
      <c r="CH2139" s="73"/>
    </row>
    <row r="2140">
      <c r="A2140" s="80"/>
      <c r="B2140" s="80"/>
      <c r="C2140" s="80"/>
      <c r="D2140" s="80"/>
      <c r="E2140" s="124"/>
      <c r="F2140" s="80"/>
      <c r="G2140" s="80"/>
      <c r="H2140" s="80"/>
      <c r="I2140" s="80"/>
      <c r="J2140" s="196"/>
      <c r="K2140" s="196"/>
      <c r="L2140" s="196"/>
      <c r="M2140" s="196"/>
      <c r="N2140" s="196"/>
      <c r="O2140" s="196"/>
      <c r="P2140" s="196"/>
      <c r="Q2140" s="196"/>
      <c r="R2140" s="196"/>
      <c r="S2140" s="196"/>
      <c r="T2140" s="196"/>
      <c r="U2140" s="196"/>
      <c r="V2140" s="196"/>
      <c r="W2140" s="196"/>
      <c r="X2140" s="196"/>
      <c r="Y2140" s="196"/>
      <c r="Z2140" s="196"/>
      <c r="AA2140" s="196"/>
      <c r="AB2140" s="196"/>
      <c r="AC2140" s="196"/>
      <c r="AD2140" s="196"/>
      <c r="AE2140" s="196"/>
      <c r="AF2140" s="196"/>
      <c r="AG2140" s="196"/>
      <c r="AH2140" s="196"/>
      <c r="AI2140" s="196"/>
      <c r="AJ2140" s="197"/>
      <c r="AK2140" s="80"/>
      <c r="AL2140" s="80"/>
      <c r="AM2140" s="73"/>
      <c r="AN2140" s="73"/>
      <c r="AO2140" s="73"/>
      <c r="AP2140" s="73"/>
      <c r="AQ2140" s="73"/>
      <c r="AR2140" s="73"/>
      <c r="AS2140" s="73"/>
      <c r="AT2140" s="73"/>
      <c r="AU2140" s="73"/>
      <c r="AV2140" s="73"/>
      <c r="AW2140" s="73"/>
      <c r="AX2140" s="73"/>
      <c r="AY2140" s="73"/>
      <c r="AZ2140" s="73"/>
      <c r="BA2140" s="73"/>
      <c r="BB2140" s="73"/>
      <c r="BC2140" s="73"/>
      <c r="BD2140" s="73"/>
      <c r="BE2140" s="73"/>
      <c r="BF2140" s="73"/>
      <c r="BG2140" s="73"/>
      <c r="BH2140" s="73"/>
      <c r="BI2140" s="73"/>
      <c r="BJ2140" s="73"/>
      <c r="BK2140" s="73"/>
      <c r="BL2140" s="73"/>
      <c r="BM2140" s="73"/>
      <c r="BN2140" s="73"/>
      <c r="BO2140" s="73"/>
      <c r="BP2140" s="73"/>
      <c r="BQ2140" s="73"/>
      <c r="BR2140" s="73"/>
      <c r="BS2140" s="73"/>
      <c r="BT2140" s="73"/>
      <c r="BU2140" s="73"/>
      <c r="BV2140" s="73"/>
      <c r="BW2140" s="73"/>
      <c r="BX2140" s="73"/>
      <c r="BY2140" s="73"/>
      <c r="BZ2140" s="73"/>
      <c r="CA2140" s="73"/>
      <c r="CB2140" s="73"/>
      <c r="CC2140" s="73"/>
      <c r="CD2140" s="73"/>
      <c r="CE2140" s="73"/>
      <c r="CF2140" s="73"/>
      <c r="CG2140" s="73"/>
      <c r="CH2140" s="73"/>
    </row>
    <row r="2141">
      <c r="A2141" s="80"/>
      <c r="B2141" s="80"/>
      <c r="C2141" s="80"/>
      <c r="D2141" s="80"/>
      <c r="E2141" s="124"/>
      <c r="F2141" s="80"/>
      <c r="G2141" s="80"/>
      <c r="H2141" s="80"/>
      <c r="I2141" s="80"/>
      <c r="J2141" s="196"/>
      <c r="K2141" s="196"/>
      <c r="L2141" s="196"/>
      <c r="M2141" s="196"/>
      <c r="N2141" s="196"/>
      <c r="O2141" s="196"/>
      <c r="P2141" s="196"/>
      <c r="Q2141" s="196"/>
      <c r="R2141" s="196"/>
      <c r="S2141" s="196"/>
      <c r="T2141" s="196"/>
      <c r="U2141" s="196"/>
      <c r="V2141" s="196"/>
      <c r="W2141" s="196"/>
      <c r="X2141" s="196"/>
      <c r="Y2141" s="196"/>
      <c r="Z2141" s="196"/>
      <c r="AA2141" s="196"/>
      <c r="AB2141" s="196"/>
      <c r="AC2141" s="196"/>
      <c r="AD2141" s="196"/>
      <c r="AE2141" s="196"/>
      <c r="AF2141" s="196"/>
      <c r="AG2141" s="196"/>
      <c r="AH2141" s="196"/>
      <c r="AI2141" s="196"/>
      <c r="AJ2141" s="197"/>
      <c r="AK2141" s="80"/>
      <c r="AL2141" s="80"/>
      <c r="AM2141" s="73"/>
      <c r="AN2141" s="73"/>
      <c r="AO2141" s="73"/>
      <c r="AP2141" s="73"/>
      <c r="AQ2141" s="73"/>
      <c r="AR2141" s="73"/>
      <c r="AS2141" s="73"/>
      <c r="AT2141" s="73"/>
      <c r="AU2141" s="73"/>
      <c r="AV2141" s="73"/>
      <c r="AW2141" s="73"/>
      <c r="AX2141" s="73"/>
      <c r="AY2141" s="73"/>
      <c r="AZ2141" s="73"/>
      <c r="BA2141" s="73"/>
      <c r="BB2141" s="73"/>
      <c r="BC2141" s="73"/>
      <c r="BD2141" s="73"/>
      <c r="BE2141" s="73"/>
      <c r="BF2141" s="73"/>
      <c r="BG2141" s="73"/>
      <c r="BH2141" s="73"/>
      <c r="BI2141" s="73"/>
      <c r="BJ2141" s="73"/>
      <c r="BK2141" s="73"/>
      <c r="BL2141" s="73"/>
      <c r="BM2141" s="73"/>
      <c r="BN2141" s="73"/>
      <c r="BO2141" s="73"/>
      <c r="BP2141" s="73"/>
      <c r="BQ2141" s="73"/>
      <c r="BR2141" s="73"/>
      <c r="BS2141" s="73"/>
      <c r="BT2141" s="73"/>
      <c r="BU2141" s="73"/>
      <c r="BV2141" s="73"/>
      <c r="BW2141" s="73"/>
      <c r="BX2141" s="73"/>
      <c r="BY2141" s="73"/>
      <c r="BZ2141" s="73"/>
      <c r="CA2141" s="73"/>
      <c r="CB2141" s="73"/>
      <c r="CC2141" s="73"/>
      <c r="CD2141" s="73"/>
      <c r="CE2141" s="73"/>
      <c r="CF2141" s="73"/>
      <c r="CG2141" s="73"/>
      <c r="CH2141" s="73"/>
    </row>
    <row r="2142">
      <c r="A2142" s="80"/>
      <c r="B2142" s="80"/>
      <c r="C2142" s="80"/>
      <c r="D2142" s="80"/>
      <c r="E2142" s="124"/>
      <c r="F2142" s="80"/>
      <c r="G2142" s="80"/>
      <c r="H2142" s="80"/>
      <c r="I2142" s="80"/>
      <c r="J2142" s="196"/>
      <c r="K2142" s="196"/>
      <c r="L2142" s="196"/>
      <c r="M2142" s="196"/>
      <c r="N2142" s="196"/>
      <c r="O2142" s="196"/>
      <c r="P2142" s="196"/>
      <c r="Q2142" s="196"/>
      <c r="R2142" s="196"/>
      <c r="S2142" s="196"/>
      <c r="T2142" s="196"/>
      <c r="U2142" s="196"/>
      <c r="V2142" s="196"/>
      <c r="W2142" s="196"/>
      <c r="X2142" s="196"/>
      <c r="Y2142" s="196"/>
      <c r="Z2142" s="196"/>
      <c r="AA2142" s="196"/>
      <c r="AB2142" s="196"/>
      <c r="AC2142" s="196"/>
      <c r="AD2142" s="196"/>
      <c r="AE2142" s="196"/>
      <c r="AF2142" s="196"/>
      <c r="AG2142" s="196"/>
      <c r="AH2142" s="196"/>
      <c r="AI2142" s="196"/>
      <c r="AJ2142" s="197"/>
      <c r="AK2142" s="80"/>
      <c r="AL2142" s="80"/>
      <c r="AM2142" s="73"/>
      <c r="AN2142" s="73"/>
      <c r="AO2142" s="73"/>
      <c r="AP2142" s="73"/>
      <c r="AQ2142" s="73"/>
      <c r="AR2142" s="73"/>
      <c r="AS2142" s="73"/>
      <c r="AT2142" s="73"/>
      <c r="AU2142" s="73"/>
      <c r="AV2142" s="73"/>
      <c r="AW2142" s="73"/>
      <c r="AX2142" s="73"/>
      <c r="AY2142" s="73"/>
      <c r="AZ2142" s="73"/>
      <c r="BA2142" s="73"/>
      <c r="BB2142" s="73"/>
      <c r="BC2142" s="73"/>
      <c r="BD2142" s="73"/>
      <c r="BE2142" s="73"/>
      <c r="BF2142" s="73"/>
      <c r="BG2142" s="73"/>
      <c r="BH2142" s="73"/>
      <c r="BI2142" s="73"/>
      <c r="BJ2142" s="73"/>
      <c r="BK2142" s="73"/>
      <c r="BL2142" s="73"/>
      <c r="BM2142" s="73"/>
      <c r="BN2142" s="73"/>
      <c r="BO2142" s="73"/>
      <c r="BP2142" s="73"/>
      <c r="BQ2142" s="73"/>
      <c r="BR2142" s="73"/>
      <c r="BS2142" s="73"/>
      <c r="BT2142" s="73"/>
      <c r="BU2142" s="73"/>
      <c r="BV2142" s="73"/>
      <c r="BW2142" s="73"/>
      <c r="BX2142" s="73"/>
      <c r="BY2142" s="73"/>
      <c r="BZ2142" s="73"/>
      <c r="CA2142" s="73"/>
      <c r="CB2142" s="73"/>
      <c r="CC2142" s="73"/>
      <c r="CD2142" s="73"/>
      <c r="CE2142" s="73"/>
      <c r="CF2142" s="73"/>
      <c r="CG2142" s="73"/>
      <c r="CH2142" s="73"/>
    </row>
    <row r="2143">
      <c r="A2143" s="80"/>
      <c r="B2143" s="80"/>
      <c r="C2143" s="80"/>
      <c r="D2143" s="80"/>
      <c r="E2143" s="124"/>
      <c r="F2143" s="80"/>
      <c r="G2143" s="80"/>
      <c r="H2143" s="80"/>
      <c r="I2143" s="80"/>
      <c r="J2143" s="196"/>
      <c r="K2143" s="196"/>
      <c r="L2143" s="196"/>
      <c r="M2143" s="196"/>
      <c r="N2143" s="196"/>
      <c r="O2143" s="196"/>
      <c r="P2143" s="196"/>
      <c r="Q2143" s="196"/>
      <c r="R2143" s="196"/>
      <c r="S2143" s="196"/>
      <c r="T2143" s="196"/>
      <c r="U2143" s="196"/>
      <c r="V2143" s="196"/>
      <c r="W2143" s="196"/>
      <c r="X2143" s="196"/>
      <c r="Y2143" s="196"/>
      <c r="Z2143" s="196"/>
      <c r="AA2143" s="196"/>
      <c r="AB2143" s="196"/>
      <c r="AC2143" s="196"/>
      <c r="AD2143" s="196"/>
      <c r="AE2143" s="196"/>
      <c r="AF2143" s="196"/>
      <c r="AG2143" s="196"/>
      <c r="AH2143" s="196"/>
      <c r="AI2143" s="196"/>
      <c r="AJ2143" s="197"/>
      <c r="AK2143" s="80"/>
      <c r="AL2143" s="80"/>
      <c r="AM2143" s="73"/>
      <c r="AN2143" s="73"/>
      <c r="AO2143" s="73"/>
      <c r="AP2143" s="73"/>
      <c r="AQ2143" s="73"/>
      <c r="AR2143" s="73"/>
      <c r="AS2143" s="73"/>
      <c r="AT2143" s="73"/>
      <c r="AU2143" s="73"/>
      <c r="AV2143" s="73"/>
      <c r="AW2143" s="73"/>
      <c r="AX2143" s="73"/>
      <c r="AY2143" s="73"/>
      <c r="AZ2143" s="73"/>
      <c r="BA2143" s="73"/>
      <c r="BB2143" s="73"/>
      <c r="BC2143" s="73"/>
      <c r="BD2143" s="73"/>
      <c r="BE2143" s="73"/>
      <c r="BF2143" s="73"/>
      <c r="BG2143" s="73"/>
      <c r="BH2143" s="73"/>
      <c r="BI2143" s="73"/>
      <c r="BJ2143" s="73"/>
      <c r="BK2143" s="73"/>
      <c r="BL2143" s="73"/>
      <c r="BM2143" s="73"/>
      <c r="BN2143" s="73"/>
      <c r="BO2143" s="73"/>
      <c r="BP2143" s="73"/>
      <c r="BQ2143" s="73"/>
      <c r="BR2143" s="73"/>
      <c r="BS2143" s="73"/>
      <c r="BT2143" s="73"/>
      <c r="BU2143" s="73"/>
      <c r="BV2143" s="73"/>
      <c r="BW2143" s="73"/>
      <c r="BX2143" s="73"/>
      <c r="BY2143" s="73"/>
      <c r="BZ2143" s="73"/>
      <c r="CA2143" s="73"/>
      <c r="CB2143" s="73"/>
      <c r="CC2143" s="73"/>
      <c r="CD2143" s="73"/>
      <c r="CE2143" s="73"/>
      <c r="CF2143" s="73"/>
      <c r="CG2143" s="73"/>
      <c r="CH2143" s="73"/>
    </row>
    <row r="2144">
      <c r="A2144" s="80"/>
      <c r="B2144" s="80"/>
      <c r="C2144" s="80"/>
      <c r="D2144" s="80"/>
      <c r="E2144" s="124"/>
      <c r="F2144" s="80"/>
      <c r="G2144" s="80"/>
      <c r="H2144" s="80"/>
      <c r="I2144" s="80"/>
      <c r="J2144" s="196"/>
      <c r="K2144" s="196"/>
      <c r="L2144" s="196"/>
      <c r="M2144" s="196"/>
      <c r="N2144" s="196"/>
      <c r="O2144" s="196"/>
      <c r="P2144" s="196"/>
      <c r="Q2144" s="196"/>
      <c r="R2144" s="196"/>
      <c r="S2144" s="196"/>
      <c r="T2144" s="196"/>
      <c r="U2144" s="196"/>
      <c r="V2144" s="196"/>
      <c r="W2144" s="196"/>
      <c r="X2144" s="196"/>
      <c r="Y2144" s="196"/>
      <c r="Z2144" s="196"/>
      <c r="AA2144" s="196"/>
      <c r="AB2144" s="196"/>
      <c r="AC2144" s="196"/>
      <c r="AD2144" s="196"/>
      <c r="AE2144" s="196"/>
      <c r="AF2144" s="196"/>
      <c r="AG2144" s="196"/>
      <c r="AH2144" s="196"/>
      <c r="AI2144" s="196"/>
      <c r="AJ2144" s="197"/>
      <c r="AK2144" s="80"/>
      <c r="AL2144" s="80"/>
      <c r="AM2144" s="73"/>
      <c r="AN2144" s="73"/>
      <c r="AO2144" s="73"/>
      <c r="AP2144" s="73"/>
      <c r="AQ2144" s="73"/>
      <c r="AR2144" s="73"/>
      <c r="AS2144" s="73"/>
      <c r="AT2144" s="73"/>
      <c r="AU2144" s="73"/>
      <c r="AV2144" s="73"/>
      <c r="AW2144" s="73"/>
      <c r="AX2144" s="73"/>
      <c r="AY2144" s="73"/>
      <c r="AZ2144" s="73"/>
      <c r="BA2144" s="73"/>
      <c r="BB2144" s="73"/>
      <c r="BC2144" s="73"/>
      <c r="BD2144" s="73"/>
      <c r="BE2144" s="73"/>
      <c r="BF2144" s="73"/>
      <c r="BG2144" s="73"/>
      <c r="BH2144" s="73"/>
      <c r="BI2144" s="73"/>
      <c r="BJ2144" s="73"/>
      <c r="BK2144" s="73"/>
      <c r="BL2144" s="73"/>
      <c r="BM2144" s="73"/>
      <c r="BN2144" s="73"/>
      <c r="BO2144" s="73"/>
      <c r="BP2144" s="73"/>
      <c r="BQ2144" s="73"/>
      <c r="BR2144" s="73"/>
      <c r="BS2144" s="73"/>
      <c r="BT2144" s="73"/>
      <c r="BU2144" s="73"/>
      <c r="BV2144" s="73"/>
      <c r="BW2144" s="73"/>
      <c r="BX2144" s="73"/>
      <c r="BY2144" s="73"/>
      <c r="BZ2144" s="73"/>
      <c r="CA2144" s="73"/>
      <c r="CB2144" s="73"/>
      <c r="CC2144" s="73"/>
      <c r="CD2144" s="73"/>
      <c r="CE2144" s="73"/>
      <c r="CF2144" s="73"/>
      <c r="CG2144" s="73"/>
      <c r="CH2144" s="73"/>
    </row>
    <row r="2145">
      <c r="A2145" s="80"/>
      <c r="B2145" s="80"/>
      <c r="C2145" s="80"/>
      <c r="D2145" s="80"/>
      <c r="E2145" s="124"/>
      <c r="F2145" s="80"/>
      <c r="G2145" s="80"/>
      <c r="H2145" s="80"/>
      <c r="I2145" s="80"/>
      <c r="J2145" s="196"/>
      <c r="K2145" s="196"/>
      <c r="L2145" s="196"/>
      <c r="M2145" s="196"/>
      <c r="N2145" s="196"/>
      <c r="O2145" s="196"/>
      <c r="P2145" s="196"/>
      <c r="Q2145" s="196"/>
      <c r="R2145" s="196"/>
      <c r="S2145" s="196"/>
      <c r="T2145" s="196"/>
      <c r="U2145" s="196"/>
      <c r="V2145" s="196"/>
      <c r="W2145" s="196"/>
      <c r="X2145" s="196"/>
      <c r="Y2145" s="196"/>
      <c r="Z2145" s="196"/>
      <c r="AA2145" s="196"/>
      <c r="AB2145" s="196"/>
      <c r="AC2145" s="196"/>
      <c r="AD2145" s="196"/>
      <c r="AE2145" s="196"/>
      <c r="AF2145" s="196"/>
      <c r="AG2145" s="196"/>
      <c r="AH2145" s="196"/>
      <c r="AI2145" s="196"/>
      <c r="AJ2145" s="197"/>
      <c r="AK2145" s="80"/>
      <c r="AL2145" s="80"/>
      <c r="AM2145" s="73"/>
      <c r="AN2145" s="73"/>
      <c r="AO2145" s="73"/>
      <c r="AP2145" s="73"/>
      <c r="AQ2145" s="73"/>
      <c r="AR2145" s="73"/>
      <c r="AS2145" s="73"/>
      <c r="AT2145" s="73"/>
      <c r="AU2145" s="73"/>
      <c r="AV2145" s="73"/>
      <c r="AW2145" s="73"/>
      <c r="AX2145" s="73"/>
      <c r="AY2145" s="73"/>
      <c r="AZ2145" s="73"/>
      <c r="BA2145" s="73"/>
      <c r="BB2145" s="73"/>
      <c r="BC2145" s="73"/>
      <c r="BD2145" s="73"/>
      <c r="BE2145" s="73"/>
      <c r="BF2145" s="73"/>
      <c r="BG2145" s="73"/>
      <c r="BH2145" s="73"/>
      <c r="BI2145" s="73"/>
      <c r="BJ2145" s="73"/>
      <c r="BK2145" s="73"/>
      <c r="BL2145" s="73"/>
      <c r="BM2145" s="73"/>
      <c r="BN2145" s="73"/>
      <c r="BO2145" s="73"/>
      <c r="BP2145" s="73"/>
      <c r="BQ2145" s="73"/>
      <c r="BR2145" s="73"/>
      <c r="BS2145" s="73"/>
      <c r="BT2145" s="73"/>
      <c r="BU2145" s="73"/>
      <c r="BV2145" s="73"/>
      <c r="BW2145" s="73"/>
      <c r="BX2145" s="73"/>
      <c r="BY2145" s="73"/>
      <c r="BZ2145" s="73"/>
      <c r="CA2145" s="73"/>
      <c r="CB2145" s="73"/>
      <c r="CC2145" s="73"/>
      <c r="CD2145" s="73"/>
      <c r="CE2145" s="73"/>
      <c r="CF2145" s="73"/>
      <c r="CG2145" s="73"/>
      <c r="CH2145" s="73"/>
    </row>
    <row r="2146">
      <c r="A2146" s="80"/>
      <c r="B2146" s="80"/>
      <c r="C2146" s="80"/>
      <c r="D2146" s="80"/>
      <c r="E2146" s="124"/>
      <c r="F2146" s="80"/>
      <c r="G2146" s="80"/>
      <c r="H2146" s="80"/>
      <c r="I2146" s="80"/>
      <c r="J2146" s="196"/>
      <c r="K2146" s="196"/>
      <c r="L2146" s="196"/>
      <c r="M2146" s="196"/>
      <c r="N2146" s="196"/>
      <c r="O2146" s="196"/>
      <c r="P2146" s="196"/>
      <c r="Q2146" s="196"/>
      <c r="R2146" s="196"/>
      <c r="S2146" s="196"/>
      <c r="T2146" s="196"/>
      <c r="U2146" s="196"/>
      <c r="V2146" s="196"/>
      <c r="W2146" s="196"/>
      <c r="X2146" s="196"/>
      <c r="Y2146" s="196"/>
      <c r="Z2146" s="196"/>
      <c r="AA2146" s="196"/>
      <c r="AB2146" s="196"/>
      <c r="AC2146" s="196"/>
      <c r="AD2146" s="196"/>
      <c r="AE2146" s="196"/>
      <c r="AF2146" s="196"/>
      <c r="AG2146" s="196"/>
      <c r="AH2146" s="196"/>
      <c r="AI2146" s="196"/>
      <c r="AJ2146" s="197"/>
      <c r="AK2146" s="80"/>
      <c r="AL2146" s="80"/>
      <c r="AM2146" s="73"/>
      <c r="AN2146" s="73"/>
      <c r="AO2146" s="73"/>
      <c r="AP2146" s="73"/>
      <c r="AQ2146" s="73"/>
      <c r="AR2146" s="73"/>
      <c r="AS2146" s="73"/>
      <c r="AT2146" s="73"/>
      <c r="AU2146" s="73"/>
      <c r="AV2146" s="73"/>
      <c r="AW2146" s="73"/>
      <c r="AX2146" s="73"/>
      <c r="AY2146" s="73"/>
      <c r="AZ2146" s="73"/>
      <c r="BA2146" s="73"/>
      <c r="BB2146" s="73"/>
      <c r="BC2146" s="73"/>
      <c r="BD2146" s="73"/>
      <c r="BE2146" s="73"/>
      <c r="BF2146" s="73"/>
      <c r="BG2146" s="73"/>
      <c r="BH2146" s="73"/>
      <c r="BI2146" s="73"/>
      <c r="BJ2146" s="73"/>
      <c r="BK2146" s="73"/>
      <c r="BL2146" s="73"/>
      <c r="BM2146" s="73"/>
      <c r="BN2146" s="73"/>
      <c r="BO2146" s="73"/>
      <c r="BP2146" s="73"/>
      <c r="BQ2146" s="73"/>
      <c r="BR2146" s="73"/>
      <c r="BS2146" s="73"/>
      <c r="BT2146" s="73"/>
      <c r="BU2146" s="73"/>
      <c r="BV2146" s="73"/>
      <c r="BW2146" s="73"/>
      <c r="BX2146" s="73"/>
      <c r="BY2146" s="73"/>
      <c r="BZ2146" s="73"/>
      <c r="CA2146" s="73"/>
      <c r="CB2146" s="73"/>
      <c r="CC2146" s="73"/>
      <c r="CD2146" s="73"/>
      <c r="CE2146" s="73"/>
      <c r="CF2146" s="73"/>
      <c r="CG2146" s="73"/>
      <c r="CH2146" s="73"/>
    </row>
    <row r="2147">
      <c r="A2147" s="80"/>
      <c r="B2147" s="80"/>
      <c r="C2147" s="80"/>
      <c r="D2147" s="80"/>
      <c r="E2147" s="124"/>
      <c r="F2147" s="80"/>
      <c r="G2147" s="80"/>
      <c r="H2147" s="80"/>
      <c r="I2147" s="80"/>
      <c r="J2147" s="196"/>
      <c r="K2147" s="196"/>
      <c r="L2147" s="196"/>
      <c r="M2147" s="196"/>
      <c r="N2147" s="196"/>
      <c r="O2147" s="196"/>
      <c r="P2147" s="196"/>
      <c r="Q2147" s="196"/>
      <c r="R2147" s="196"/>
      <c r="S2147" s="196"/>
      <c r="T2147" s="196"/>
      <c r="U2147" s="196"/>
      <c r="V2147" s="196"/>
      <c r="W2147" s="196"/>
      <c r="X2147" s="196"/>
      <c r="Y2147" s="196"/>
      <c r="Z2147" s="196"/>
      <c r="AA2147" s="196"/>
      <c r="AB2147" s="196"/>
      <c r="AC2147" s="196"/>
      <c r="AD2147" s="196"/>
      <c r="AE2147" s="196"/>
      <c r="AF2147" s="196"/>
      <c r="AG2147" s="196"/>
      <c r="AH2147" s="196"/>
      <c r="AI2147" s="196"/>
      <c r="AJ2147" s="197"/>
      <c r="AK2147" s="80"/>
      <c r="AL2147" s="80"/>
      <c r="AM2147" s="73"/>
      <c r="AN2147" s="73"/>
      <c r="AO2147" s="73"/>
      <c r="AP2147" s="73"/>
      <c r="AQ2147" s="73"/>
      <c r="AR2147" s="73"/>
      <c r="AS2147" s="73"/>
      <c r="AT2147" s="73"/>
      <c r="AU2147" s="73"/>
      <c r="AV2147" s="73"/>
      <c r="AW2147" s="73"/>
      <c r="AX2147" s="73"/>
      <c r="AY2147" s="73"/>
      <c r="AZ2147" s="73"/>
      <c r="BA2147" s="73"/>
      <c r="BB2147" s="73"/>
      <c r="BC2147" s="73"/>
      <c r="BD2147" s="73"/>
      <c r="BE2147" s="73"/>
      <c r="BF2147" s="73"/>
      <c r="BG2147" s="73"/>
      <c r="BH2147" s="73"/>
      <c r="BI2147" s="73"/>
      <c r="BJ2147" s="73"/>
      <c r="BK2147" s="73"/>
      <c r="BL2147" s="73"/>
      <c r="BM2147" s="73"/>
      <c r="BN2147" s="73"/>
      <c r="BO2147" s="73"/>
      <c r="BP2147" s="73"/>
      <c r="BQ2147" s="73"/>
      <c r="BR2147" s="73"/>
      <c r="BS2147" s="73"/>
      <c r="BT2147" s="73"/>
      <c r="BU2147" s="73"/>
      <c r="BV2147" s="73"/>
      <c r="BW2147" s="73"/>
      <c r="BX2147" s="73"/>
      <c r="BY2147" s="73"/>
      <c r="BZ2147" s="73"/>
      <c r="CA2147" s="73"/>
      <c r="CB2147" s="73"/>
      <c r="CC2147" s="73"/>
      <c r="CD2147" s="73"/>
      <c r="CE2147" s="73"/>
      <c r="CF2147" s="73"/>
      <c r="CG2147" s="73"/>
      <c r="CH2147" s="73"/>
    </row>
    <row r="2148">
      <c r="A2148" s="80"/>
      <c r="B2148" s="80"/>
      <c r="C2148" s="80"/>
      <c r="D2148" s="80"/>
      <c r="E2148" s="124"/>
      <c r="F2148" s="80"/>
      <c r="G2148" s="80"/>
      <c r="H2148" s="80"/>
      <c r="I2148" s="80"/>
      <c r="J2148" s="196"/>
      <c r="K2148" s="196"/>
      <c r="L2148" s="196"/>
      <c r="M2148" s="196"/>
      <c r="N2148" s="196"/>
      <c r="O2148" s="196"/>
      <c r="P2148" s="196"/>
      <c r="Q2148" s="196"/>
      <c r="R2148" s="196"/>
      <c r="S2148" s="196"/>
      <c r="T2148" s="196"/>
      <c r="U2148" s="196"/>
      <c r="V2148" s="196"/>
      <c r="W2148" s="196"/>
      <c r="X2148" s="196"/>
      <c r="Y2148" s="196"/>
      <c r="Z2148" s="196"/>
      <c r="AA2148" s="196"/>
      <c r="AB2148" s="196"/>
      <c r="AC2148" s="196"/>
      <c r="AD2148" s="196"/>
      <c r="AE2148" s="196"/>
      <c r="AF2148" s="196"/>
      <c r="AG2148" s="196"/>
      <c r="AH2148" s="196"/>
      <c r="AI2148" s="196"/>
      <c r="AJ2148" s="197"/>
      <c r="AK2148" s="80"/>
      <c r="AL2148" s="80"/>
      <c r="AM2148" s="73"/>
      <c r="AN2148" s="73"/>
      <c r="AO2148" s="73"/>
      <c r="AP2148" s="73"/>
      <c r="AQ2148" s="73"/>
      <c r="AR2148" s="73"/>
      <c r="AS2148" s="73"/>
      <c r="AT2148" s="73"/>
      <c r="AU2148" s="73"/>
      <c r="AV2148" s="73"/>
      <c r="AW2148" s="73"/>
      <c r="AX2148" s="73"/>
      <c r="AY2148" s="73"/>
      <c r="AZ2148" s="73"/>
      <c r="BA2148" s="73"/>
      <c r="BB2148" s="73"/>
      <c r="BC2148" s="73"/>
      <c r="BD2148" s="73"/>
      <c r="BE2148" s="73"/>
      <c r="BF2148" s="73"/>
      <c r="BG2148" s="73"/>
      <c r="BH2148" s="73"/>
      <c r="BI2148" s="73"/>
      <c r="BJ2148" s="73"/>
      <c r="BK2148" s="73"/>
      <c r="BL2148" s="73"/>
      <c r="BM2148" s="73"/>
      <c r="BN2148" s="73"/>
      <c r="BO2148" s="73"/>
      <c r="BP2148" s="73"/>
      <c r="BQ2148" s="73"/>
      <c r="BR2148" s="73"/>
      <c r="BS2148" s="73"/>
      <c r="BT2148" s="73"/>
      <c r="BU2148" s="73"/>
      <c r="BV2148" s="73"/>
      <c r="BW2148" s="73"/>
      <c r="BX2148" s="73"/>
      <c r="BY2148" s="73"/>
      <c r="BZ2148" s="73"/>
      <c r="CA2148" s="73"/>
      <c r="CB2148" s="73"/>
      <c r="CC2148" s="73"/>
      <c r="CD2148" s="73"/>
      <c r="CE2148" s="73"/>
      <c r="CF2148" s="73"/>
      <c r="CG2148" s="73"/>
      <c r="CH2148" s="73"/>
    </row>
    <row r="2149">
      <c r="A2149" s="80"/>
      <c r="B2149" s="80"/>
      <c r="C2149" s="80"/>
      <c r="D2149" s="80"/>
      <c r="E2149" s="124"/>
      <c r="F2149" s="80"/>
      <c r="G2149" s="80"/>
      <c r="H2149" s="80"/>
      <c r="I2149" s="80"/>
      <c r="J2149" s="196"/>
      <c r="K2149" s="196"/>
      <c r="L2149" s="196"/>
      <c r="M2149" s="196"/>
      <c r="N2149" s="196"/>
      <c r="O2149" s="196"/>
      <c r="P2149" s="196"/>
      <c r="Q2149" s="196"/>
      <c r="R2149" s="196"/>
      <c r="S2149" s="196"/>
      <c r="T2149" s="196"/>
      <c r="U2149" s="196"/>
      <c r="V2149" s="196"/>
      <c r="W2149" s="196"/>
      <c r="X2149" s="196"/>
      <c r="Y2149" s="196"/>
      <c r="Z2149" s="196"/>
      <c r="AA2149" s="196"/>
      <c r="AB2149" s="196"/>
      <c r="AC2149" s="196"/>
      <c r="AD2149" s="196"/>
      <c r="AE2149" s="196"/>
      <c r="AF2149" s="196"/>
      <c r="AG2149" s="196"/>
      <c r="AH2149" s="196"/>
      <c r="AI2149" s="196"/>
      <c r="AJ2149" s="197"/>
      <c r="AK2149" s="80"/>
      <c r="AL2149" s="80"/>
      <c r="AM2149" s="73"/>
      <c r="AN2149" s="73"/>
      <c r="AO2149" s="73"/>
      <c r="AP2149" s="73"/>
      <c r="AQ2149" s="73"/>
      <c r="AR2149" s="73"/>
      <c r="AS2149" s="73"/>
      <c r="AT2149" s="73"/>
      <c r="AU2149" s="73"/>
      <c r="AV2149" s="73"/>
      <c r="AW2149" s="73"/>
      <c r="AX2149" s="73"/>
      <c r="AY2149" s="73"/>
      <c r="AZ2149" s="73"/>
      <c r="BA2149" s="73"/>
      <c r="BB2149" s="73"/>
      <c r="BC2149" s="73"/>
      <c r="BD2149" s="73"/>
      <c r="BE2149" s="73"/>
      <c r="BF2149" s="73"/>
      <c r="BG2149" s="73"/>
      <c r="BH2149" s="73"/>
      <c r="BI2149" s="73"/>
      <c r="BJ2149" s="73"/>
      <c r="BK2149" s="73"/>
      <c r="BL2149" s="73"/>
      <c r="BM2149" s="73"/>
      <c r="BN2149" s="73"/>
      <c r="BO2149" s="73"/>
      <c r="BP2149" s="73"/>
      <c r="BQ2149" s="73"/>
      <c r="BR2149" s="73"/>
      <c r="BS2149" s="73"/>
      <c r="BT2149" s="73"/>
      <c r="BU2149" s="73"/>
      <c r="BV2149" s="73"/>
      <c r="BW2149" s="73"/>
      <c r="BX2149" s="73"/>
      <c r="BY2149" s="73"/>
      <c r="BZ2149" s="73"/>
      <c r="CA2149" s="73"/>
      <c r="CB2149" s="73"/>
      <c r="CC2149" s="73"/>
      <c r="CD2149" s="73"/>
      <c r="CE2149" s="73"/>
      <c r="CF2149" s="73"/>
      <c r="CG2149" s="73"/>
      <c r="CH2149" s="73"/>
    </row>
    <row r="2150">
      <c r="A2150" s="80"/>
      <c r="B2150" s="80"/>
      <c r="C2150" s="80"/>
      <c r="D2150" s="80"/>
      <c r="E2150" s="124"/>
      <c r="F2150" s="80"/>
      <c r="G2150" s="80"/>
      <c r="H2150" s="80"/>
      <c r="I2150" s="80"/>
      <c r="J2150" s="196"/>
      <c r="K2150" s="196"/>
      <c r="L2150" s="196"/>
      <c r="M2150" s="196"/>
      <c r="N2150" s="196"/>
      <c r="O2150" s="196"/>
      <c r="P2150" s="196"/>
      <c r="Q2150" s="196"/>
      <c r="R2150" s="196"/>
      <c r="S2150" s="196"/>
      <c r="T2150" s="196"/>
      <c r="U2150" s="196"/>
      <c r="V2150" s="196"/>
      <c r="W2150" s="196"/>
      <c r="X2150" s="196"/>
      <c r="Y2150" s="196"/>
      <c r="Z2150" s="196"/>
      <c r="AA2150" s="196"/>
      <c r="AB2150" s="196"/>
      <c r="AC2150" s="196"/>
      <c r="AD2150" s="196"/>
      <c r="AE2150" s="196"/>
      <c r="AF2150" s="196"/>
      <c r="AG2150" s="196"/>
      <c r="AH2150" s="196"/>
      <c r="AI2150" s="196"/>
      <c r="AJ2150" s="197"/>
      <c r="AK2150" s="80"/>
      <c r="AL2150" s="80"/>
      <c r="AM2150" s="73"/>
      <c r="AN2150" s="73"/>
      <c r="AO2150" s="73"/>
      <c r="AP2150" s="73"/>
      <c r="AQ2150" s="73"/>
      <c r="AR2150" s="73"/>
      <c r="AS2150" s="73"/>
      <c r="AT2150" s="73"/>
      <c r="AU2150" s="73"/>
      <c r="AV2150" s="73"/>
      <c r="AW2150" s="73"/>
      <c r="AX2150" s="73"/>
      <c r="AY2150" s="73"/>
      <c r="AZ2150" s="73"/>
      <c r="BA2150" s="73"/>
      <c r="BB2150" s="73"/>
      <c r="BC2150" s="73"/>
      <c r="BD2150" s="73"/>
      <c r="BE2150" s="73"/>
      <c r="BF2150" s="73"/>
      <c r="BG2150" s="73"/>
      <c r="BH2150" s="73"/>
      <c r="BI2150" s="73"/>
      <c r="BJ2150" s="73"/>
      <c r="BK2150" s="73"/>
      <c r="BL2150" s="73"/>
      <c r="BM2150" s="73"/>
      <c r="BN2150" s="73"/>
      <c r="BO2150" s="73"/>
      <c r="BP2150" s="73"/>
      <c r="BQ2150" s="73"/>
      <c r="BR2150" s="73"/>
      <c r="BS2150" s="73"/>
      <c r="BT2150" s="73"/>
      <c r="BU2150" s="73"/>
      <c r="BV2150" s="73"/>
      <c r="BW2150" s="73"/>
      <c r="BX2150" s="73"/>
      <c r="BY2150" s="73"/>
      <c r="BZ2150" s="73"/>
      <c r="CA2150" s="73"/>
      <c r="CB2150" s="73"/>
      <c r="CC2150" s="73"/>
      <c r="CD2150" s="73"/>
      <c r="CE2150" s="73"/>
      <c r="CF2150" s="73"/>
      <c r="CG2150" s="73"/>
      <c r="CH2150" s="73"/>
    </row>
    <row r="2151">
      <c r="A2151" s="80"/>
      <c r="B2151" s="80"/>
      <c r="C2151" s="80"/>
      <c r="D2151" s="80"/>
      <c r="E2151" s="124"/>
      <c r="F2151" s="80"/>
      <c r="G2151" s="80"/>
      <c r="H2151" s="80"/>
      <c r="I2151" s="80"/>
      <c r="J2151" s="196"/>
      <c r="K2151" s="196"/>
      <c r="L2151" s="196"/>
      <c r="M2151" s="196"/>
      <c r="N2151" s="196"/>
      <c r="O2151" s="196"/>
      <c r="P2151" s="196"/>
      <c r="Q2151" s="196"/>
      <c r="R2151" s="196"/>
      <c r="S2151" s="196"/>
      <c r="T2151" s="196"/>
      <c r="U2151" s="196"/>
      <c r="V2151" s="196"/>
      <c r="W2151" s="196"/>
      <c r="X2151" s="196"/>
      <c r="Y2151" s="196"/>
      <c r="Z2151" s="196"/>
      <c r="AA2151" s="196"/>
      <c r="AB2151" s="196"/>
      <c r="AC2151" s="196"/>
      <c r="AD2151" s="196"/>
      <c r="AE2151" s="196"/>
      <c r="AF2151" s="196"/>
      <c r="AG2151" s="196"/>
      <c r="AH2151" s="196"/>
      <c r="AI2151" s="196"/>
      <c r="AJ2151" s="197"/>
      <c r="AK2151" s="80"/>
      <c r="AL2151" s="80"/>
      <c r="AM2151" s="73"/>
      <c r="AN2151" s="73"/>
      <c r="AO2151" s="73"/>
      <c r="AP2151" s="73"/>
      <c r="AQ2151" s="73"/>
      <c r="AR2151" s="73"/>
      <c r="AS2151" s="73"/>
      <c r="AT2151" s="73"/>
      <c r="AU2151" s="73"/>
      <c r="AV2151" s="73"/>
      <c r="AW2151" s="73"/>
      <c r="AX2151" s="73"/>
      <c r="AY2151" s="73"/>
      <c r="AZ2151" s="73"/>
      <c r="BA2151" s="73"/>
      <c r="BB2151" s="73"/>
      <c r="BC2151" s="73"/>
      <c r="BD2151" s="73"/>
      <c r="BE2151" s="73"/>
      <c r="BF2151" s="73"/>
      <c r="BG2151" s="73"/>
      <c r="BH2151" s="73"/>
      <c r="BI2151" s="73"/>
      <c r="BJ2151" s="73"/>
      <c r="BK2151" s="73"/>
      <c r="BL2151" s="73"/>
      <c r="BM2151" s="73"/>
      <c r="BN2151" s="73"/>
      <c r="BO2151" s="73"/>
      <c r="BP2151" s="73"/>
      <c r="BQ2151" s="73"/>
      <c r="BR2151" s="73"/>
      <c r="BS2151" s="73"/>
      <c r="BT2151" s="73"/>
      <c r="BU2151" s="73"/>
      <c r="BV2151" s="73"/>
      <c r="BW2151" s="73"/>
      <c r="BX2151" s="73"/>
      <c r="BY2151" s="73"/>
      <c r="BZ2151" s="73"/>
      <c r="CA2151" s="73"/>
      <c r="CB2151" s="73"/>
      <c r="CC2151" s="73"/>
      <c r="CD2151" s="73"/>
      <c r="CE2151" s="73"/>
      <c r="CF2151" s="73"/>
      <c r="CG2151" s="73"/>
      <c r="CH2151" s="73"/>
    </row>
    <row r="2152">
      <c r="A2152" s="80"/>
      <c r="B2152" s="80"/>
      <c r="C2152" s="80"/>
      <c r="D2152" s="80"/>
      <c r="E2152" s="124"/>
      <c r="F2152" s="80"/>
      <c r="G2152" s="80"/>
      <c r="H2152" s="80"/>
      <c r="I2152" s="80"/>
      <c r="J2152" s="196"/>
      <c r="K2152" s="196"/>
      <c r="L2152" s="196"/>
      <c r="M2152" s="196"/>
      <c r="N2152" s="196"/>
      <c r="O2152" s="196"/>
      <c r="P2152" s="196"/>
      <c r="Q2152" s="196"/>
      <c r="R2152" s="196"/>
      <c r="S2152" s="196"/>
      <c r="T2152" s="196"/>
      <c r="U2152" s="196"/>
      <c r="V2152" s="196"/>
      <c r="W2152" s="196"/>
      <c r="X2152" s="196"/>
      <c r="Y2152" s="196"/>
      <c r="Z2152" s="196"/>
      <c r="AA2152" s="196"/>
      <c r="AB2152" s="196"/>
      <c r="AC2152" s="196"/>
      <c r="AD2152" s="196"/>
      <c r="AE2152" s="196"/>
      <c r="AF2152" s="196"/>
      <c r="AG2152" s="196"/>
      <c r="AH2152" s="196"/>
      <c r="AI2152" s="196"/>
      <c r="AJ2152" s="197"/>
      <c r="AK2152" s="80"/>
      <c r="AL2152" s="80"/>
      <c r="AM2152" s="73"/>
      <c r="AN2152" s="73"/>
      <c r="AO2152" s="73"/>
      <c r="AP2152" s="73"/>
      <c r="AQ2152" s="73"/>
      <c r="AR2152" s="73"/>
      <c r="AS2152" s="73"/>
      <c r="AT2152" s="73"/>
      <c r="AU2152" s="73"/>
      <c r="AV2152" s="73"/>
      <c r="AW2152" s="73"/>
      <c r="AX2152" s="73"/>
      <c r="AY2152" s="73"/>
      <c r="AZ2152" s="73"/>
      <c r="BA2152" s="73"/>
      <c r="BB2152" s="73"/>
      <c r="BC2152" s="73"/>
      <c r="BD2152" s="73"/>
      <c r="BE2152" s="73"/>
      <c r="BF2152" s="73"/>
      <c r="BG2152" s="73"/>
      <c r="BH2152" s="73"/>
      <c r="BI2152" s="73"/>
      <c r="BJ2152" s="73"/>
      <c r="BK2152" s="73"/>
      <c r="BL2152" s="73"/>
      <c r="BM2152" s="73"/>
      <c r="BN2152" s="73"/>
      <c r="BO2152" s="73"/>
      <c r="BP2152" s="73"/>
      <c r="BQ2152" s="73"/>
      <c r="BR2152" s="73"/>
      <c r="BS2152" s="73"/>
      <c r="BT2152" s="73"/>
      <c r="BU2152" s="73"/>
      <c r="BV2152" s="73"/>
      <c r="BW2152" s="73"/>
      <c r="BX2152" s="73"/>
      <c r="BY2152" s="73"/>
      <c r="BZ2152" s="73"/>
      <c r="CA2152" s="73"/>
      <c r="CB2152" s="73"/>
      <c r="CC2152" s="73"/>
      <c r="CD2152" s="73"/>
      <c r="CE2152" s="73"/>
      <c r="CF2152" s="73"/>
      <c r="CG2152" s="73"/>
      <c r="CH2152" s="73"/>
    </row>
    <row r="2153">
      <c r="A2153" s="80"/>
      <c r="B2153" s="80"/>
      <c r="C2153" s="80"/>
      <c r="D2153" s="80"/>
      <c r="E2153" s="124"/>
      <c r="F2153" s="80"/>
      <c r="G2153" s="80"/>
      <c r="H2153" s="80"/>
      <c r="I2153" s="80"/>
      <c r="J2153" s="196"/>
      <c r="K2153" s="196"/>
      <c r="L2153" s="196"/>
      <c r="M2153" s="196"/>
      <c r="N2153" s="196"/>
      <c r="O2153" s="196"/>
      <c r="P2153" s="196"/>
      <c r="Q2153" s="196"/>
      <c r="R2153" s="196"/>
      <c r="S2153" s="196"/>
      <c r="T2153" s="196"/>
      <c r="U2153" s="196"/>
      <c r="V2153" s="196"/>
      <c r="W2153" s="196"/>
      <c r="X2153" s="196"/>
      <c r="Y2153" s="196"/>
      <c r="Z2153" s="196"/>
      <c r="AA2153" s="196"/>
      <c r="AB2153" s="196"/>
      <c r="AC2153" s="196"/>
      <c r="AD2153" s="196"/>
      <c r="AE2153" s="196"/>
      <c r="AF2153" s="196"/>
      <c r="AG2153" s="196"/>
      <c r="AH2153" s="196"/>
      <c r="AI2153" s="196"/>
      <c r="AJ2153" s="197"/>
      <c r="AK2153" s="80"/>
      <c r="AL2153" s="80"/>
      <c r="AM2153" s="73"/>
      <c r="AN2153" s="73"/>
      <c r="AO2153" s="73"/>
      <c r="AP2153" s="73"/>
      <c r="AQ2153" s="73"/>
      <c r="AR2153" s="73"/>
      <c r="AS2153" s="73"/>
      <c r="AT2153" s="73"/>
      <c r="AU2153" s="73"/>
      <c r="AV2153" s="73"/>
      <c r="AW2153" s="73"/>
      <c r="AX2153" s="73"/>
      <c r="AY2153" s="73"/>
      <c r="AZ2153" s="73"/>
      <c r="BA2153" s="73"/>
      <c r="BB2153" s="73"/>
      <c r="BC2153" s="73"/>
      <c r="BD2153" s="73"/>
      <c r="BE2153" s="73"/>
      <c r="BF2153" s="73"/>
      <c r="BG2153" s="73"/>
      <c r="BH2153" s="73"/>
      <c r="BI2153" s="73"/>
      <c r="BJ2153" s="73"/>
      <c r="BK2153" s="73"/>
      <c r="BL2153" s="73"/>
      <c r="BM2153" s="73"/>
      <c r="BN2153" s="73"/>
      <c r="BO2153" s="73"/>
      <c r="BP2153" s="73"/>
      <c r="BQ2153" s="73"/>
      <c r="BR2153" s="73"/>
      <c r="BS2153" s="73"/>
      <c r="BT2153" s="73"/>
      <c r="BU2153" s="73"/>
      <c r="BV2153" s="73"/>
      <c r="BW2153" s="73"/>
      <c r="BX2153" s="73"/>
      <c r="BY2153" s="73"/>
      <c r="BZ2153" s="73"/>
      <c r="CA2153" s="73"/>
      <c r="CB2153" s="73"/>
      <c r="CC2153" s="73"/>
      <c r="CD2153" s="73"/>
      <c r="CE2153" s="73"/>
      <c r="CF2153" s="73"/>
      <c r="CG2153" s="73"/>
      <c r="CH2153" s="73"/>
    </row>
    <row r="2154">
      <c r="A2154" s="80"/>
      <c r="B2154" s="80"/>
      <c r="C2154" s="80"/>
      <c r="D2154" s="80"/>
      <c r="E2154" s="124"/>
      <c r="F2154" s="80"/>
      <c r="G2154" s="80"/>
      <c r="H2154" s="80"/>
      <c r="I2154" s="80"/>
      <c r="J2154" s="196"/>
      <c r="K2154" s="196"/>
      <c r="L2154" s="196"/>
      <c r="M2154" s="196"/>
      <c r="N2154" s="196"/>
      <c r="O2154" s="196"/>
      <c r="P2154" s="196"/>
      <c r="Q2154" s="196"/>
      <c r="R2154" s="196"/>
      <c r="S2154" s="196"/>
      <c r="T2154" s="196"/>
      <c r="U2154" s="196"/>
      <c r="V2154" s="196"/>
      <c r="W2154" s="196"/>
      <c r="X2154" s="196"/>
      <c r="Y2154" s="196"/>
      <c r="Z2154" s="196"/>
      <c r="AA2154" s="196"/>
      <c r="AB2154" s="196"/>
      <c r="AC2154" s="196"/>
      <c r="AD2154" s="196"/>
      <c r="AE2154" s="196"/>
      <c r="AF2154" s="196"/>
      <c r="AG2154" s="196"/>
      <c r="AH2154" s="196"/>
      <c r="AI2154" s="196"/>
      <c r="AJ2154" s="197"/>
      <c r="AK2154" s="80"/>
      <c r="AL2154" s="80"/>
      <c r="AM2154" s="73"/>
      <c r="AN2154" s="73"/>
      <c r="AO2154" s="73"/>
      <c r="AP2154" s="73"/>
      <c r="AQ2154" s="73"/>
      <c r="AR2154" s="73"/>
      <c r="AS2154" s="73"/>
      <c r="AT2154" s="73"/>
      <c r="AU2154" s="73"/>
      <c r="AV2154" s="73"/>
      <c r="AW2154" s="73"/>
      <c r="AX2154" s="73"/>
      <c r="AY2154" s="73"/>
      <c r="AZ2154" s="73"/>
      <c r="BA2154" s="73"/>
      <c r="BB2154" s="73"/>
      <c r="BC2154" s="73"/>
      <c r="BD2154" s="73"/>
      <c r="BE2154" s="73"/>
      <c r="BF2154" s="73"/>
      <c r="BG2154" s="73"/>
      <c r="BH2154" s="73"/>
      <c r="BI2154" s="73"/>
      <c r="BJ2154" s="73"/>
      <c r="BK2154" s="73"/>
      <c r="BL2154" s="73"/>
      <c r="BM2154" s="73"/>
      <c r="BN2154" s="73"/>
      <c r="BO2154" s="73"/>
      <c r="BP2154" s="73"/>
      <c r="BQ2154" s="73"/>
      <c r="BR2154" s="73"/>
      <c r="BS2154" s="73"/>
      <c r="BT2154" s="73"/>
      <c r="BU2154" s="73"/>
      <c r="BV2154" s="73"/>
      <c r="BW2154" s="73"/>
      <c r="BX2154" s="73"/>
      <c r="BY2154" s="73"/>
      <c r="BZ2154" s="73"/>
      <c r="CA2154" s="73"/>
      <c r="CB2154" s="73"/>
      <c r="CC2154" s="73"/>
      <c r="CD2154" s="73"/>
      <c r="CE2154" s="73"/>
      <c r="CF2154" s="73"/>
      <c r="CG2154" s="73"/>
      <c r="CH2154" s="73"/>
    </row>
    <row r="2155">
      <c r="A2155" s="80"/>
      <c r="B2155" s="80"/>
      <c r="C2155" s="80"/>
      <c r="D2155" s="80"/>
      <c r="E2155" s="124"/>
      <c r="F2155" s="80"/>
      <c r="G2155" s="80"/>
      <c r="H2155" s="80"/>
      <c r="I2155" s="80"/>
      <c r="J2155" s="196"/>
      <c r="K2155" s="196"/>
      <c r="L2155" s="196"/>
      <c r="M2155" s="196"/>
      <c r="N2155" s="196"/>
      <c r="O2155" s="196"/>
      <c r="P2155" s="196"/>
      <c r="Q2155" s="196"/>
      <c r="R2155" s="196"/>
      <c r="S2155" s="196"/>
      <c r="T2155" s="196"/>
      <c r="U2155" s="196"/>
      <c r="V2155" s="196"/>
      <c r="W2155" s="196"/>
      <c r="X2155" s="196"/>
      <c r="Y2155" s="196"/>
      <c r="Z2155" s="196"/>
      <c r="AA2155" s="196"/>
      <c r="AB2155" s="196"/>
      <c r="AC2155" s="196"/>
      <c r="AD2155" s="196"/>
      <c r="AE2155" s="196"/>
      <c r="AF2155" s="196"/>
      <c r="AG2155" s="196"/>
      <c r="AH2155" s="196"/>
      <c r="AI2155" s="196"/>
      <c r="AJ2155" s="197"/>
      <c r="AK2155" s="80"/>
      <c r="AL2155" s="80"/>
      <c r="AM2155" s="73"/>
      <c r="AN2155" s="73"/>
      <c r="AO2155" s="73"/>
      <c r="AP2155" s="73"/>
      <c r="AQ2155" s="73"/>
      <c r="AR2155" s="73"/>
      <c r="AS2155" s="73"/>
      <c r="AT2155" s="73"/>
      <c r="AU2155" s="73"/>
      <c r="AV2155" s="73"/>
      <c r="AW2155" s="73"/>
      <c r="AX2155" s="73"/>
      <c r="AY2155" s="73"/>
      <c r="AZ2155" s="73"/>
      <c r="BA2155" s="73"/>
      <c r="BB2155" s="73"/>
      <c r="BC2155" s="73"/>
      <c r="BD2155" s="73"/>
      <c r="BE2155" s="73"/>
      <c r="BF2155" s="73"/>
      <c r="BG2155" s="73"/>
      <c r="BH2155" s="73"/>
      <c r="BI2155" s="73"/>
      <c r="BJ2155" s="73"/>
      <c r="BK2155" s="73"/>
      <c r="BL2155" s="73"/>
      <c r="BM2155" s="73"/>
      <c r="BN2155" s="73"/>
      <c r="BO2155" s="73"/>
      <c r="BP2155" s="73"/>
      <c r="BQ2155" s="73"/>
      <c r="BR2155" s="73"/>
      <c r="BS2155" s="73"/>
      <c r="BT2155" s="73"/>
      <c r="BU2155" s="73"/>
      <c r="BV2155" s="73"/>
      <c r="BW2155" s="73"/>
      <c r="BX2155" s="73"/>
      <c r="BY2155" s="73"/>
      <c r="BZ2155" s="73"/>
      <c r="CA2155" s="73"/>
      <c r="CB2155" s="73"/>
      <c r="CC2155" s="73"/>
      <c r="CD2155" s="73"/>
      <c r="CE2155" s="73"/>
      <c r="CF2155" s="73"/>
      <c r="CG2155" s="73"/>
      <c r="CH2155" s="73"/>
    </row>
    <row r="2156">
      <c r="A2156" s="80"/>
      <c r="B2156" s="80"/>
      <c r="C2156" s="80"/>
      <c r="D2156" s="80"/>
      <c r="E2156" s="124"/>
      <c r="F2156" s="80"/>
      <c r="G2156" s="80"/>
      <c r="H2156" s="80"/>
      <c r="I2156" s="80"/>
      <c r="J2156" s="196"/>
      <c r="K2156" s="196"/>
      <c r="L2156" s="196"/>
      <c r="M2156" s="196"/>
      <c r="N2156" s="196"/>
      <c r="O2156" s="196"/>
      <c r="P2156" s="196"/>
      <c r="Q2156" s="196"/>
      <c r="R2156" s="196"/>
      <c r="S2156" s="196"/>
      <c r="T2156" s="196"/>
      <c r="U2156" s="196"/>
      <c r="V2156" s="196"/>
      <c r="W2156" s="196"/>
      <c r="X2156" s="196"/>
      <c r="Y2156" s="196"/>
      <c r="Z2156" s="196"/>
      <c r="AA2156" s="196"/>
      <c r="AB2156" s="196"/>
      <c r="AC2156" s="196"/>
      <c r="AD2156" s="196"/>
      <c r="AE2156" s="196"/>
      <c r="AF2156" s="196"/>
      <c r="AG2156" s="196"/>
      <c r="AH2156" s="196"/>
      <c r="AI2156" s="196"/>
      <c r="AJ2156" s="197"/>
      <c r="AK2156" s="80"/>
      <c r="AL2156" s="80"/>
      <c r="AM2156" s="73"/>
      <c r="AN2156" s="73"/>
      <c r="AO2156" s="73"/>
      <c r="AP2156" s="73"/>
      <c r="AQ2156" s="73"/>
      <c r="AR2156" s="73"/>
      <c r="AS2156" s="73"/>
      <c r="AT2156" s="73"/>
      <c r="AU2156" s="73"/>
      <c r="AV2156" s="73"/>
      <c r="AW2156" s="73"/>
      <c r="AX2156" s="73"/>
      <c r="AY2156" s="73"/>
      <c r="AZ2156" s="73"/>
      <c r="BA2156" s="73"/>
      <c r="BB2156" s="73"/>
      <c r="BC2156" s="73"/>
      <c r="BD2156" s="73"/>
      <c r="BE2156" s="73"/>
      <c r="BF2156" s="73"/>
      <c r="BG2156" s="73"/>
      <c r="BH2156" s="73"/>
      <c r="BI2156" s="73"/>
      <c r="BJ2156" s="73"/>
      <c r="BK2156" s="73"/>
      <c r="BL2156" s="73"/>
      <c r="BM2156" s="73"/>
      <c r="BN2156" s="73"/>
      <c r="BO2156" s="73"/>
      <c r="BP2156" s="73"/>
      <c r="BQ2156" s="73"/>
      <c r="BR2156" s="73"/>
      <c r="BS2156" s="73"/>
      <c r="BT2156" s="73"/>
      <c r="BU2156" s="73"/>
      <c r="BV2156" s="73"/>
      <c r="BW2156" s="73"/>
      <c r="BX2156" s="73"/>
      <c r="BY2156" s="73"/>
      <c r="BZ2156" s="73"/>
      <c r="CA2156" s="73"/>
      <c r="CB2156" s="73"/>
      <c r="CC2156" s="73"/>
      <c r="CD2156" s="73"/>
      <c r="CE2156" s="73"/>
      <c r="CF2156" s="73"/>
      <c r="CG2156" s="73"/>
      <c r="CH2156" s="73"/>
    </row>
    <row r="2157">
      <c r="A2157" s="80"/>
      <c r="B2157" s="80"/>
      <c r="C2157" s="80"/>
      <c r="D2157" s="80"/>
      <c r="E2157" s="124"/>
      <c r="F2157" s="80"/>
      <c r="G2157" s="80"/>
      <c r="H2157" s="80"/>
      <c r="I2157" s="80"/>
      <c r="J2157" s="196"/>
      <c r="K2157" s="196"/>
      <c r="L2157" s="196"/>
      <c r="M2157" s="196"/>
      <c r="N2157" s="196"/>
      <c r="O2157" s="196"/>
      <c r="P2157" s="196"/>
      <c r="Q2157" s="196"/>
      <c r="R2157" s="196"/>
      <c r="S2157" s="196"/>
      <c r="T2157" s="196"/>
      <c r="U2157" s="196"/>
      <c r="V2157" s="196"/>
      <c r="W2157" s="196"/>
      <c r="X2157" s="196"/>
      <c r="Y2157" s="196"/>
      <c r="Z2157" s="196"/>
      <c r="AA2157" s="196"/>
      <c r="AB2157" s="196"/>
      <c r="AC2157" s="196"/>
      <c r="AD2157" s="196"/>
      <c r="AE2157" s="196"/>
      <c r="AF2157" s="196"/>
      <c r="AG2157" s="196"/>
      <c r="AH2157" s="196"/>
      <c r="AI2157" s="196"/>
      <c r="AJ2157" s="197"/>
      <c r="AK2157" s="80"/>
      <c r="AL2157" s="80"/>
      <c r="AM2157" s="73"/>
      <c r="AN2157" s="73"/>
      <c r="AO2157" s="73"/>
      <c r="AP2157" s="73"/>
      <c r="AQ2157" s="73"/>
      <c r="AR2157" s="73"/>
      <c r="AS2157" s="73"/>
      <c r="AT2157" s="73"/>
      <c r="AU2157" s="73"/>
      <c r="AV2157" s="73"/>
      <c r="AW2157" s="73"/>
      <c r="AX2157" s="73"/>
      <c r="AY2157" s="73"/>
      <c r="AZ2157" s="73"/>
      <c r="BA2157" s="73"/>
      <c r="BB2157" s="73"/>
      <c r="BC2157" s="73"/>
      <c r="BD2157" s="73"/>
      <c r="BE2157" s="73"/>
      <c r="BF2157" s="73"/>
      <c r="BG2157" s="73"/>
      <c r="BH2157" s="73"/>
      <c r="BI2157" s="73"/>
      <c r="BJ2157" s="73"/>
      <c r="BK2157" s="73"/>
      <c r="BL2157" s="73"/>
      <c r="BM2157" s="73"/>
      <c r="BN2157" s="73"/>
      <c r="BO2157" s="73"/>
      <c r="BP2157" s="73"/>
      <c r="BQ2157" s="73"/>
      <c r="BR2157" s="73"/>
      <c r="BS2157" s="73"/>
      <c r="BT2157" s="73"/>
      <c r="BU2157" s="73"/>
      <c r="BV2157" s="73"/>
      <c r="BW2157" s="73"/>
      <c r="BX2157" s="73"/>
      <c r="BY2157" s="73"/>
      <c r="BZ2157" s="73"/>
      <c r="CA2157" s="73"/>
      <c r="CB2157" s="73"/>
      <c r="CC2157" s="73"/>
      <c r="CD2157" s="73"/>
      <c r="CE2157" s="73"/>
      <c r="CF2157" s="73"/>
      <c r="CG2157" s="73"/>
      <c r="CH2157" s="73"/>
    </row>
    <row r="2158">
      <c r="A2158" s="80"/>
      <c r="B2158" s="80"/>
      <c r="C2158" s="80"/>
      <c r="D2158" s="80"/>
      <c r="E2158" s="124"/>
      <c r="F2158" s="80"/>
      <c r="G2158" s="80"/>
      <c r="H2158" s="80"/>
      <c r="I2158" s="80"/>
      <c r="J2158" s="196"/>
      <c r="K2158" s="196"/>
      <c r="L2158" s="196"/>
      <c r="M2158" s="196"/>
      <c r="N2158" s="196"/>
      <c r="O2158" s="196"/>
      <c r="P2158" s="196"/>
      <c r="Q2158" s="196"/>
      <c r="R2158" s="196"/>
      <c r="S2158" s="196"/>
      <c r="T2158" s="196"/>
      <c r="U2158" s="196"/>
      <c r="V2158" s="196"/>
      <c r="W2158" s="196"/>
      <c r="X2158" s="196"/>
      <c r="Y2158" s="196"/>
      <c r="Z2158" s="196"/>
      <c r="AA2158" s="196"/>
      <c r="AB2158" s="196"/>
      <c r="AC2158" s="196"/>
      <c r="AD2158" s="196"/>
      <c r="AE2158" s="196"/>
      <c r="AF2158" s="196"/>
      <c r="AG2158" s="196"/>
      <c r="AH2158" s="196"/>
      <c r="AI2158" s="196"/>
      <c r="AJ2158" s="197"/>
      <c r="AK2158" s="80"/>
      <c r="AL2158" s="80"/>
      <c r="AM2158" s="73"/>
      <c r="AN2158" s="73"/>
      <c r="AO2158" s="73"/>
      <c r="AP2158" s="73"/>
      <c r="AQ2158" s="73"/>
      <c r="AR2158" s="73"/>
      <c r="AS2158" s="73"/>
      <c r="AT2158" s="73"/>
      <c r="AU2158" s="73"/>
      <c r="AV2158" s="73"/>
      <c r="AW2158" s="73"/>
      <c r="AX2158" s="73"/>
      <c r="AY2158" s="73"/>
      <c r="AZ2158" s="73"/>
      <c r="BA2158" s="73"/>
      <c r="BB2158" s="73"/>
      <c r="BC2158" s="73"/>
      <c r="BD2158" s="73"/>
      <c r="BE2158" s="73"/>
      <c r="BF2158" s="73"/>
      <c r="BG2158" s="73"/>
      <c r="BH2158" s="73"/>
      <c r="BI2158" s="73"/>
      <c r="BJ2158" s="73"/>
      <c r="BK2158" s="73"/>
      <c r="BL2158" s="73"/>
      <c r="BM2158" s="73"/>
      <c r="BN2158" s="73"/>
      <c r="BO2158" s="73"/>
      <c r="BP2158" s="73"/>
      <c r="BQ2158" s="73"/>
      <c r="BR2158" s="73"/>
      <c r="BS2158" s="73"/>
      <c r="BT2158" s="73"/>
      <c r="BU2158" s="73"/>
      <c r="BV2158" s="73"/>
      <c r="BW2158" s="73"/>
      <c r="BX2158" s="73"/>
      <c r="BY2158" s="73"/>
      <c r="BZ2158" s="73"/>
      <c r="CA2158" s="73"/>
      <c r="CB2158" s="73"/>
      <c r="CC2158" s="73"/>
      <c r="CD2158" s="73"/>
      <c r="CE2158" s="73"/>
      <c r="CF2158" s="73"/>
      <c r="CG2158" s="73"/>
      <c r="CH2158" s="73"/>
    </row>
    <row r="2159">
      <c r="A2159" s="80"/>
      <c r="B2159" s="80"/>
      <c r="C2159" s="80"/>
      <c r="D2159" s="80"/>
      <c r="E2159" s="124"/>
      <c r="F2159" s="80"/>
      <c r="G2159" s="80"/>
      <c r="H2159" s="80"/>
      <c r="I2159" s="80"/>
      <c r="J2159" s="196"/>
      <c r="K2159" s="196"/>
      <c r="L2159" s="196"/>
      <c r="M2159" s="196"/>
      <c r="N2159" s="196"/>
      <c r="O2159" s="196"/>
      <c r="P2159" s="196"/>
      <c r="Q2159" s="196"/>
      <c r="R2159" s="196"/>
      <c r="S2159" s="196"/>
      <c r="T2159" s="196"/>
      <c r="U2159" s="196"/>
      <c r="V2159" s="196"/>
      <c r="W2159" s="196"/>
      <c r="X2159" s="196"/>
      <c r="Y2159" s="196"/>
      <c r="Z2159" s="196"/>
      <c r="AA2159" s="196"/>
      <c r="AB2159" s="196"/>
      <c r="AC2159" s="196"/>
      <c r="AD2159" s="196"/>
      <c r="AE2159" s="196"/>
      <c r="AF2159" s="196"/>
      <c r="AG2159" s="196"/>
      <c r="AH2159" s="196"/>
      <c r="AI2159" s="196"/>
      <c r="AJ2159" s="197"/>
      <c r="AK2159" s="80"/>
      <c r="AL2159" s="80"/>
      <c r="AM2159" s="73"/>
      <c r="AN2159" s="73"/>
      <c r="AO2159" s="73"/>
      <c r="AP2159" s="73"/>
      <c r="AQ2159" s="73"/>
      <c r="AR2159" s="73"/>
      <c r="AS2159" s="73"/>
      <c r="AT2159" s="73"/>
      <c r="AU2159" s="73"/>
      <c r="AV2159" s="73"/>
      <c r="AW2159" s="73"/>
      <c r="AX2159" s="73"/>
      <c r="AY2159" s="73"/>
      <c r="AZ2159" s="73"/>
      <c r="BA2159" s="73"/>
      <c r="BB2159" s="73"/>
      <c r="BC2159" s="73"/>
      <c r="BD2159" s="73"/>
      <c r="BE2159" s="73"/>
      <c r="BF2159" s="73"/>
      <c r="BG2159" s="73"/>
      <c r="BH2159" s="73"/>
      <c r="BI2159" s="73"/>
      <c r="BJ2159" s="73"/>
      <c r="BK2159" s="73"/>
      <c r="BL2159" s="73"/>
      <c r="BM2159" s="73"/>
      <c r="BN2159" s="73"/>
      <c r="BO2159" s="73"/>
      <c r="BP2159" s="73"/>
      <c r="BQ2159" s="73"/>
      <c r="BR2159" s="73"/>
      <c r="BS2159" s="73"/>
      <c r="BT2159" s="73"/>
      <c r="BU2159" s="73"/>
      <c r="BV2159" s="73"/>
      <c r="BW2159" s="73"/>
      <c r="BX2159" s="73"/>
      <c r="BY2159" s="73"/>
      <c r="BZ2159" s="73"/>
      <c r="CA2159" s="73"/>
      <c r="CB2159" s="73"/>
      <c r="CC2159" s="73"/>
      <c r="CD2159" s="73"/>
      <c r="CE2159" s="73"/>
      <c r="CF2159" s="73"/>
      <c r="CG2159" s="73"/>
      <c r="CH2159" s="73"/>
    </row>
    <row r="2160">
      <c r="A2160" s="80"/>
      <c r="B2160" s="80"/>
      <c r="C2160" s="80"/>
      <c r="D2160" s="80"/>
      <c r="E2160" s="124"/>
      <c r="F2160" s="80"/>
      <c r="G2160" s="80"/>
      <c r="H2160" s="80"/>
      <c r="I2160" s="80"/>
      <c r="J2160" s="196"/>
      <c r="K2160" s="196"/>
      <c r="L2160" s="196"/>
      <c r="M2160" s="196"/>
      <c r="N2160" s="196"/>
      <c r="O2160" s="196"/>
      <c r="P2160" s="196"/>
      <c r="Q2160" s="196"/>
      <c r="R2160" s="196"/>
      <c r="S2160" s="196"/>
      <c r="T2160" s="196"/>
      <c r="U2160" s="196"/>
      <c r="V2160" s="196"/>
      <c r="W2160" s="196"/>
      <c r="X2160" s="196"/>
      <c r="Y2160" s="196"/>
      <c r="Z2160" s="196"/>
      <c r="AA2160" s="196"/>
      <c r="AB2160" s="196"/>
      <c r="AC2160" s="196"/>
      <c r="AD2160" s="196"/>
      <c r="AE2160" s="196"/>
      <c r="AF2160" s="196"/>
      <c r="AG2160" s="196"/>
      <c r="AH2160" s="196"/>
      <c r="AI2160" s="196"/>
      <c r="AJ2160" s="197"/>
      <c r="AK2160" s="80"/>
      <c r="AL2160" s="80"/>
      <c r="AM2160" s="73"/>
      <c r="AN2160" s="73"/>
      <c r="AO2160" s="73"/>
      <c r="AP2160" s="73"/>
      <c r="AQ2160" s="73"/>
      <c r="AR2160" s="73"/>
      <c r="AS2160" s="73"/>
      <c r="AT2160" s="73"/>
      <c r="AU2160" s="73"/>
      <c r="AV2160" s="73"/>
      <c r="AW2160" s="73"/>
      <c r="AX2160" s="73"/>
      <c r="AY2160" s="73"/>
      <c r="AZ2160" s="73"/>
      <c r="BA2160" s="73"/>
      <c r="BB2160" s="73"/>
      <c r="BC2160" s="73"/>
      <c r="BD2160" s="73"/>
      <c r="BE2160" s="73"/>
      <c r="BF2160" s="73"/>
      <c r="BG2160" s="73"/>
      <c r="BH2160" s="73"/>
      <c r="BI2160" s="73"/>
      <c r="BJ2160" s="73"/>
      <c r="BK2160" s="73"/>
      <c r="BL2160" s="73"/>
      <c r="BM2160" s="73"/>
      <c r="BN2160" s="73"/>
      <c r="BO2160" s="73"/>
      <c r="BP2160" s="73"/>
      <c r="BQ2160" s="73"/>
      <c r="BR2160" s="73"/>
      <c r="BS2160" s="73"/>
      <c r="BT2160" s="73"/>
      <c r="BU2160" s="73"/>
      <c r="BV2160" s="73"/>
      <c r="BW2160" s="73"/>
      <c r="BX2160" s="73"/>
      <c r="BY2160" s="73"/>
      <c r="BZ2160" s="73"/>
      <c r="CA2160" s="73"/>
      <c r="CB2160" s="73"/>
      <c r="CC2160" s="73"/>
      <c r="CD2160" s="73"/>
      <c r="CE2160" s="73"/>
      <c r="CF2160" s="73"/>
      <c r="CG2160" s="73"/>
      <c r="CH2160" s="73"/>
    </row>
    <row r="2161">
      <c r="A2161" s="80"/>
      <c r="B2161" s="80"/>
      <c r="C2161" s="80"/>
      <c r="D2161" s="80"/>
      <c r="E2161" s="124"/>
      <c r="F2161" s="80"/>
      <c r="G2161" s="80"/>
      <c r="H2161" s="80"/>
      <c r="I2161" s="80"/>
      <c r="J2161" s="196"/>
      <c r="K2161" s="196"/>
      <c r="L2161" s="196"/>
      <c r="M2161" s="196"/>
      <c r="N2161" s="196"/>
      <c r="O2161" s="196"/>
      <c r="P2161" s="196"/>
      <c r="Q2161" s="196"/>
      <c r="R2161" s="196"/>
      <c r="S2161" s="196"/>
      <c r="T2161" s="196"/>
      <c r="U2161" s="196"/>
      <c r="V2161" s="196"/>
      <c r="W2161" s="196"/>
      <c r="X2161" s="196"/>
      <c r="Y2161" s="196"/>
      <c r="Z2161" s="196"/>
      <c r="AA2161" s="196"/>
      <c r="AB2161" s="196"/>
      <c r="AC2161" s="196"/>
      <c r="AD2161" s="196"/>
      <c r="AE2161" s="196"/>
      <c r="AF2161" s="196"/>
      <c r="AG2161" s="196"/>
      <c r="AH2161" s="196"/>
      <c r="AI2161" s="196"/>
      <c r="AJ2161" s="197"/>
      <c r="AK2161" s="80"/>
      <c r="AL2161" s="80"/>
      <c r="AM2161" s="73"/>
      <c r="AN2161" s="73"/>
      <c r="AO2161" s="73"/>
      <c r="AP2161" s="73"/>
      <c r="AQ2161" s="73"/>
      <c r="AR2161" s="73"/>
      <c r="AS2161" s="73"/>
      <c r="AT2161" s="73"/>
      <c r="AU2161" s="73"/>
      <c r="AV2161" s="73"/>
      <c r="AW2161" s="73"/>
      <c r="AX2161" s="73"/>
      <c r="AY2161" s="73"/>
      <c r="AZ2161" s="73"/>
      <c r="BA2161" s="73"/>
      <c r="BB2161" s="73"/>
      <c r="BC2161" s="73"/>
      <c r="BD2161" s="73"/>
      <c r="BE2161" s="73"/>
      <c r="BF2161" s="73"/>
      <c r="BG2161" s="73"/>
      <c r="BH2161" s="73"/>
      <c r="BI2161" s="73"/>
      <c r="BJ2161" s="73"/>
      <c r="BK2161" s="73"/>
      <c r="BL2161" s="73"/>
      <c r="BM2161" s="73"/>
      <c r="BN2161" s="73"/>
      <c r="BO2161" s="73"/>
      <c r="BP2161" s="73"/>
      <c r="BQ2161" s="73"/>
      <c r="BR2161" s="73"/>
      <c r="BS2161" s="73"/>
      <c r="BT2161" s="73"/>
      <c r="BU2161" s="73"/>
      <c r="BV2161" s="73"/>
      <c r="BW2161" s="73"/>
      <c r="BX2161" s="73"/>
      <c r="BY2161" s="73"/>
      <c r="BZ2161" s="73"/>
      <c r="CA2161" s="73"/>
      <c r="CB2161" s="73"/>
      <c r="CC2161" s="73"/>
      <c r="CD2161" s="73"/>
      <c r="CE2161" s="73"/>
      <c r="CF2161" s="73"/>
      <c r="CG2161" s="73"/>
      <c r="CH2161" s="73"/>
    </row>
    <row r="2162">
      <c r="A2162" s="80"/>
      <c r="B2162" s="80"/>
      <c r="C2162" s="80"/>
      <c r="D2162" s="80"/>
      <c r="E2162" s="124"/>
      <c r="F2162" s="80"/>
      <c r="G2162" s="80"/>
      <c r="H2162" s="80"/>
      <c r="I2162" s="80"/>
      <c r="J2162" s="196"/>
      <c r="K2162" s="196"/>
      <c r="L2162" s="196"/>
      <c r="M2162" s="196"/>
      <c r="N2162" s="196"/>
      <c r="O2162" s="196"/>
      <c r="P2162" s="196"/>
      <c r="Q2162" s="196"/>
      <c r="R2162" s="196"/>
      <c r="S2162" s="196"/>
      <c r="T2162" s="196"/>
      <c r="U2162" s="196"/>
      <c r="V2162" s="196"/>
      <c r="W2162" s="196"/>
      <c r="X2162" s="196"/>
      <c r="Y2162" s="196"/>
      <c r="Z2162" s="196"/>
      <c r="AA2162" s="196"/>
      <c r="AB2162" s="196"/>
      <c r="AC2162" s="196"/>
      <c r="AD2162" s="196"/>
      <c r="AE2162" s="196"/>
      <c r="AF2162" s="196"/>
      <c r="AG2162" s="196"/>
      <c r="AH2162" s="196"/>
      <c r="AI2162" s="196"/>
      <c r="AJ2162" s="197"/>
      <c r="AK2162" s="80"/>
      <c r="AL2162" s="80"/>
      <c r="AM2162" s="73"/>
      <c r="AN2162" s="73"/>
      <c r="AO2162" s="73"/>
      <c r="AP2162" s="73"/>
      <c r="AQ2162" s="73"/>
      <c r="AR2162" s="73"/>
      <c r="AS2162" s="73"/>
      <c r="AT2162" s="73"/>
      <c r="AU2162" s="73"/>
      <c r="AV2162" s="73"/>
      <c r="AW2162" s="73"/>
      <c r="AX2162" s="73"/>
      <c r="AY2162" s="73"/>
      <c r="AZ2162" s="73"/>
      <c r="BA2162" s="73"/>
      <c r="BB2162" s="73"/>
      <c r="BC2162" s="73"/>
      <c r="BD2162" s="73"/>
      <c r="BE2162" s="73"/>
      <c r="BF2162" s="73"/>
      <c r="BG2162" s="73"/>
      <c r="BH2162" s="73"/>
      <c r="BI2162" s="73"/>
      <c r="BJ2162" s="73"/>
      <c r="BK2162" s="73"/>
      <c r="BL2162" s="73"/>
      <c r="BM2162" s="73"/>
      <c r="BN2162" s="73"/>
      <c r="BO2162" s="73"/>
      <c r="BP2162" s="73"/>
      <c r="BQ2162" s="73"/>
      <c r="BR2162" s="73"/>
      <c r="BS2162" s="73"/>
      <c r="BT2162" s="73"/>
      <c r="BU2162" s="73"/>
      <c r="BV2162" s="73"/>
      <c r="BW2162" s="73"/>
      <c r="BX2162" s="73"/>
      <c r="BY2162" s="73"/>
      <c r="BZ2162" s="73"/>
      <c r="CA2162" s="73"/>
      <c r="CB2162" s="73"/>
      <c r="CC2162" s="73"/>
      <c r="CD2162" s="73"/>
      <c r="CE2162" s="73"/>
      <c r="CF2162" s="73"/>
      <c r="CG2162" s="73"/>
      <c r="CH2162" s="73"/>
    </row>
    <row r="2163">
      <c r="A2163" s="80"/>
      <c r="B2163" s="80"/>
      <c r="C2163" s="80"/>
      <c r="D2163" s="80"/>
      <c r="E2163" s="124"/>
      <c r="F2163" s="80"/>
      <c r="G2163" s="80"/>
      <c r="H2163" s="80"/>
      <c r="I2163" s="80"/>
      <c r="J2163" s="196"/>
      <c r="K2163" s="196"/>
      <c r="L2163" s="196"/>
      <c r="M2163" s="196"/>
      <c r="N2163" s="196"/>
      <c r="O2163" s="196"/>
      <c r="P2163" s="196"/>
      <c r="Q2163" s="196"/>
      <c r="R2163" s="196"/>
      <c r="S2163" s="196"/>
      <c r="T2163" s="196"/>
      <c r="U2163" s="196"/>
      <c r="V2163" s="196"/>
      <c r="W2163" s="196"/>
      <c r="X2163" s="196"/>
      <c r="Y2163" s="196"/>
      <c r="Z2163" s="196"/>
      <c r="AA2163" s="196"/>
      <c r="AB2163" s="196"/>
      <c r="AC2163" s="196"/>
      <c r="AD2163" s="196"/>
      <c r="AE2163" s="196"/>
      <c r="AF2163" s="196"/>
      <c r="AG2163" s="196"/>
      <c r="AH2163" s="196"/>
      <c r="AI2163" s="196"/>
      <c r="AJ2163" s="197"/>
      <c r="AK2163" s="80"/>
      <c r="AL2163" s="80"/>
      <c r="AM2163" s="73"/>
      <c r="AN2163" s="73"/>
      <c r="AO2163" s="73"/>
      <c r="AP2163" s="73"/>
      <c r="AQ2163" s="73"/>
      <c r="AR2163" s="73"/>
      <c r="AS2163" s="73"/>
      <c r="AT2163" s="73"/>
      <c r="AU2163" s="73"/>
      <c r="AV2163" s="73"/>
      <c r="AW2163" s="73"/>
      <c r="AX2163" s="73"/>
      <c r="AY2163" s="73"/>
      <c r="AZ2163" s="73"/>
      <c r="BA2163" s="73"/>
      <c r="BB2163" s="73"/>
      <c r="BC2163" s="73"/>
      <c r="BD2163" s="73"/>
      <c r="BE2163" s="73"/>
      <c r="BF2163" s="73"/>
      <c r="BG2163" s="73"/>
      <c r="BH2163" s="73"/>
      <c r="BI2163" s="73"/>
      <c r="BJ2163" s="73"/>
      <c r="BK2163" s="73"/>
      <c r="BL2163" s="73"/>
      <c r="BM2163" s="73"/>
      <c r="BN2163" s="73"/>
      <c r="BO2163" s="73"/>
      <c r="BP2163" s="73"/>
      <c r="BQ2163" s="73"/>
      <c r="BR2163" s="73"/>
      <c r="BS2163" s="73"/>
      <c r="BT2163" s="73"/>
      <c r="BU2163" s="73"/>
      <c r="BV2163" s="73"/>
      <c r="BW2163" s="73"/>
      <c r="BX2163" s="73"/>
      <c r="BY2163" s="73"/>
      <c r="BZ2163" s="73"/>
      <c r="CA2163" s="73"/>
      <c r="CB2163" s="73"/>
      <c r="CC2163" s="73"/>
      <c r="CD2163" s="73"/>
      <c r="CE2163" s="73"/>
      <c r="CF2163" s="73"/>
      <c r="CG2163" s="73"/>
      <c r="CH2163" s="73"/>
    </row>
    <row r="2164">
      <c r="A2164" s="80"/>
      <c r="B2164" s="80"/>
      <c r="C2164" s="80"/>
      <c r="D2164" s="80"/>
      <c r="E2164" s="124"/>
      <c r="F2164" s="80"/>
      <c r="G2164" s="80"/>
      <c r="H2164" s="80"/>
      <c r="I2164" s="80"/>
      <c r="J2164" s="196"/>
      <c r="K2164" s="196"/>
      <c r="L2164" s="196"/>
      <c r="M2164" s="196"/>
      <c r="N2164" s="196"/>
      <c r="O2164" s="196"/>
      <c r="P2164" s="196"/>
      <c r="Q2164" s="196"/>
      <c r="R2164" s="196"/>
      <c r="S2164" s="196"/>
      <c r="T2164" s="196"/>
      <c r="U2164" s="196"/>
      <c r="V2164" s="196"/>
      <c r="W2164" s="196"/>
      <c r="X2164" s="196"/>
      <c r="Y2164" s="196"/>
      <c r="Z2164" s="196"/>
      <c r="AA2164" s="196"/>
      <c r="AB2164" s="196"/>
      <c r="AC2164" s="196"/>
      <c r="AD2164" s="196"/>
      <c r="AE2164" s="196"/>
      <c r="AF2164" s="196"/>
      <c r="AG2164" s="196"/>
      <c r="AH2164" s="196"/>
      <c r="AI2164" s="196"/>
      <c r="AJ2164" s="197"/>
      <c r="AK2164" s="80"/>
      <c r="AL2164" s="80"/>
      <c r="AM2164" s="73"/>
      <c r="AN2164" s="73"/>
      <c r="AO2164" s="73"/>
      <c r="AP2164" s="73"/>
      <c r="AQ2164" s="73"/>
      <c r="AR2164" s="73"/>
      <c r="AS2164" s="73"/>
      <c r="AT2164" s="73"/>
      <c r="AU2164" s="73"/>
      <c r="AV2164" s="73"/>
      <c r="AW2164" s="73"/>
      <c r="AX2164" s="73"/>
      <c r="AY2164" s="73"/>
      <c r="AZ2164" s="73"/>
      <c r="BA2164" s="73"/>
      <c r="BB2164" s="73"/>
      <c r="BC2164" s="73"/>
      <c r="BD2164" s="73"/>
      <c r="BE2164" s="73"/>
      <c r="BF2164" s="73"/>
      <c r="BG2164" s="73"/>
      <c r="BH2164" s="73"/>
      <c r="BI2164" s="73"/>
      <c r="BJ2164" s="73"/>
      <c r="BK2164" s="73"/>
      <c r="BL2164" s="73"/>
      <c r="BM2164" s="73"/>
      <c r="BN2164" s="73"/>
      <c r="BO2164" s="73"/>
      <c r="BP2164" s="73"/>
      <c r="BQ2164" s="73"/>
      <c r="BR2164" s="73"/>
      <c r="BS2164" s="73"/>
      <c r="BT2164" s="73"/>
      <c r="BU2164" s="73"/>
      <c r="BV2164" s="73"/>
      <c r="BW2164" s="73"/>
      <c r="BX2164" s="73"/>
      <c r="BY2164" s="73"/>
      <c r="BZ2164" s="73"/>
      <c r="CA2164" s="73"/>
      <c r="CB2164" s="73"/>
      <c r="CC2164" s="73"/>
      <c r="CD2164" s="73"/>
      <c r="CE2164" s="73"/>
      <c r="CF2164" s="73"/>
      <c r="CG2164" s="73"/>
      <c r="CH2164" s="73"/>
    </row>
    <row r="2165">
      <c r="A2165" s="80"/>
      <c r="B2165" s="80"/>
      <c r="C2165" s="80"/>
      <c r="D2165" s="80"/>
      <c r="E2165" s="124"/>
      <c r="F2165" s="80"/>
      <c r="G2165" s="80"/>
      <c r="H2165" s="80"/>
      <c r="I2165" s="80"/>
      <c r="J2165" s="196"/>
      <c r="K2165" s="196"/>
      <c r="L2165" s="196"/>
      <c r="M2165" s="196"/>
      <c r="N2165" s="196"/>
      <c r="O2165" s="196"/>
      <c r="P2165" s="196"/>
      <c r="Q2165" s="196"/>
      <c r="R2165" s="196"/>
      <c r="S2165" s="196"/>
      <c r="T2165" s="196"/>
      <c r="U2165" s="196"/>
      <c r="V2165" s="196"/>
      <c r="W2165" s="196"/>
      <c r="X2165" s="196"/>
      <c r="Y2165" s="196"/>
      <c r="Z2165" s="196"/>
      <c r="AA2165" s="196"/>
      <c r="AB2165" s="196"/>
      <c r="AC2165" s="196"/>
      <c r="AD2165" s="196"/>
      <c r="AE2165" s="196"/>
      <c r="AF2165" s="196"/>
      <c r="AG2165" s="196"/>
      <c r="AH2165" s="196"/>
      <c r="AI2165" s="196"/>
      <c r="AJ2165" s="197"/>
      <c r="AK2165" s="80"/>
      <c r="AL2165" s="80"/>
      <c r="AM2165" s="73"/>
      <c r="AN2165" s="73"/>
      <c r="AO2165" s="73"/>
      <c r="AP2165" s="73"/>
      <c r="AQ2165" s="73"/>
      <c r="AR2165" s="73"/>
      <c r="AS2165" s="73"/>
      <c r="AT2165" s="73"/>
      <c r="AU2165" s="73"/>
      <c r="AV2165" s="73"/>
      <c r="AW2165" s="73"/>
      <c r="AX2165" s="73"/>
      <c r="AY2165" s="73"/>
      <c r="AZ2165" s="73"/>
      <c r="BA2165" s="73"/>
      <c r="BB2165" s="73"/>
      <c r="BC2165" s="73"/>
      <c r="BD2165" s="73"/>
      <c r="BE2165" s="73"/>
      <c r="BF2165" s="73"/>
      <c r="BG2165" s="73"/>
      <c r="BH2165" s="73"/>
      <c r="BI2165" s="73"/>
      <c r="BJ2165" s="73"/>
      <c r="BK2165" s="73"/>
      <c r="BL2165" s="73"/>
      <c r="BM2165" s="73"/>
      <c r="BN2165" s="73"/>
      <c r="BO2165" s="73"/>
      <c r="BP2165" s="73"/>
      <c r="BQ2165" s="73"/>
      <c r="BR2165" s="73"/>
      <c r="BS2165" s="73"/>
      <c r="BT2165" s="73"/>
      <c r="BU2165" s="73"/>
      <c r="BV2165" s="73"/>
      <c r="BW2165" s="73"/>
      <c r="BX2165" s="73"/>
      <c r="BY2165" s="73"/>
      <c r="BZ2165" s="73"/>
      <c r="CA2165" s="73"/>
      <c r="CB2165" s="73"/>
      <c r="CC2165" s="73"/>
      <c r="CD2165" s="73"/>
      <c r="CE2165" s="73"/>
      <c r="CF2165" s="73"/>
      <c r="CG2165" s="73"/>
      <c r="CH2165" s="73"/>
    </row>
    <row r="2166">
      <c r="A2166" s="80"/>
      <c r="B2166" s="80"/>
      <c r="C2166" s="80"/>
      <c r="D2166" s="80"/>
      <c r="E2166" s="124"/>
      <c r="F2166" s="80"/>
      <c r="G2166" s="80"/>
      <c r="H2166" s="80"/>
      <c r="I2166" s="80"/>
      <c r="J2166" s="196"/>
      <c r="K2166" s="196"/>
      <c r="L2166" s="196"/>
      <c r="M2166" s="196"/>
      <c r="N2166" s="196"/>
      <c r="O2166" s="196"/>
      <c r="P2166" s="196"/>
      <c r="Q2166" s="196"/>
      <c r="R2166" s="196"/>
      <c r="S2166" s="196"/>
      <c r="T2166" s="196"/>
      <c r="U2166" s="196"/>
      <c r="V2166" s="196"/>
      <c r="W2166" s="196"/>
      <c r="X2166" s="196"/>
      <c r="Y2166" s="196"/>
      <c r="Z2166" s="196"/>
      <c r="AA2166" s="196"/>
      <c r="AB2166" s="196"/>
      <c r="AC2166" s="196"/>
      <c r="AD2166" s="196"/>
      <c r="AE2166" s="196"/>
      <c r="AF2166" s="196"/>
      <c r="AG2166" s="196"/>
      <c r="AH2166" s="196"/>
      <c r="AI2166" s="196"/>
      <c r="AJ2166" s="197"/>
      <c r="AK2166" s="80"/>
      <c r="AL2166" s="80"/>
      <c r="AM2166" s="73"/>
      <c r="AN2166" s="73"/>
      <c r="AO2166" s="73"/>
      <c r="AP2166" s="73"/>
      <c r="AQ2166" s="73"/>
      <c r="AR2166" s="73"/>
      <c r="AS2166" s="73"/>
      <c r="AT2166" s="73"/>
      <c r="AU2166" s="73"/>
      <c r="AV2166" s="73"/>
      <c r="AW2166" s="73"/>
      <c r="AX2166" s="73"/>
      <c r="AY2166" s="73"/>
      <c r="AZ2166" s="73"/>
      <c r="BA2166" s="73"/>
      <c r="BB2166" s="73"/>
      <c r="BC2166" s="73"/>
      <c r="BD2166" s="73"/>
      <c r="BE2166" s="73"/>
      <c r="BF2166" s="73"/>
      <c r="BG2166" s="73"/>
      <c r="BH2166" s="73"/>
      <c r="BI2166" s="73"/>
      <c r="BJ2166" s="73"/>
      <c r="BK2166" s="73"/>
      <c r="BL2166" s="73"/>
      <c r="BM2166" s="73"/>
      <c r="BN2166" s="73"/>
      <c r="BO2166" s="73"/>
      <c r="BP2166" s="73"/>
      <c r="BQ2166" s="73"/>
      <c r="BR2166" s="73"/>
      <c r="BS2166" s="73"/>
      <c r="BT2166" s="73"/>
      <c r="BU2166" s="73"/>
      <c r="BV2166" s="73"/>
      <c r="BW2166" s="73"/>
      <c r="BX2166" s="73"/>
      <c r="BY2166" s="73"/>
      <c r="BZ2166" s="73"/>
      <c r="CA2166" s="73"/>
      <c r="CB2166" s="73"/>
      <c r="CC2166" s="73"/>
      <c r="CD2166" s="73"/>
      <c r="CE2166" s="73"/>
      <c r="CF2166" s="73"/>
      <c r="CG2166" s="73"/>
      <c r="CH2166" s="73"/>
    </row>
    <row r="2167">
      <c r="A2167" s="80"/>
      <c r="B2167" s="80"/>
      <c r="C2167" s="80"/>
      <c r="D2167" s="80"/>
      <c r="E2167" s="124"/>
      <c r="F2167" s="80"/>
      <c r="G2167" s="80"/>
      <c r="H2167" s="80"/>
      <c r="I2167" s="80"/>
      <c r="J2167" s="196"/>
      <c r="K2167" s="196"/>
      <c r="L2167" s="196"/>
      <c r="M2167" s="196"/>
      <c r="N2167" s="196"/>
      <c r="O2167" s="196"/>
      <c r="P2167" s="196"/>
      <c r="Q2167" s="196"/>
      <c r="R2167" s="196"/>
      <c r="S2167" s="196"/>
      <c r="T2167" s="196"/>
      <c r="U2167" s="196"/>
      <c r="V2167" s="196"/>
      <c r="W2167" s="196"/>
      <c r="X2167" s="196"/>
      <c r="Y2167" s="196"/>
      <c r="Z2167" s="196"/>
      <c r="AA2167" s="196"/>
      <c r="AB2167" s="196"/>
      <c r="AC2167" s="196"/>
      <c r="AD2167" s="196"/>
      <c r="AE2167" s="196"/>
      <c r="AF2167" s="196"/>
      <c r="AG2167" s="196"/>
      <c r="AH2167" s="196"/>
      <c r="AI2167" s="196"/>
      <c r="AJ2167" s="197"/>
      <c r="AK2167" s="80"/>
      <c r="AL2167" s="80"/>
      <c r="AM2167" s="73"/>
      <c r="AN2167" s="73"/>
      <c r="AO2167" s="73"/>
      <c r="AP2167" s="73"/>
      <c r="AQ2167" s="73"/>
      <c r="AR2167" s="73"/>
      <c r="AS2167" s="73"/>
      <c r="AT2167" s="73"/>
      <c r="AU2167" s="73"/>
      <c r="AV2167" s="73"/>
      <c r="AW2167" s="73"/>
      <c r="AX2167" s="73"/>
      <c r="AY2167" s="73"/>
      <c r="AZ2167" s="73"/>
      <c r="BA2167" s="73"/>
      <c r="BB2167" s="73"/>
      <c r="BC2167" s="73"/>
      <c r="BD2167" s="73"/>
      <c r="BE2167" s="73"/>
      <c r="BF2167" s="73"/>
      <c r="BG2167" s="73"/>
      <c r="BH2167" s="73"/>
      <c r="BI2167" s="73"/>
      <c r="BJ2167" s="73"/>
      <c r="BK2167" s="73"/>
      <c r="BL2167" s="73"/>
      <c r="BM2167" s="73"/>
      <c r="BN2167" s="73"/>
      <c r="BO2167" s="73"/>
      <c r="BP2167" s="73"/>
      <c r="BQ2167" s="73"/>
      <c r="BR2167" s="73"/>
      <c r="BS2167" s="73"/>
      <c r="BT2167" s="73"/>
      <c r="BU2167" s="73"/>
      <c r="BV2167" s="73"/>
      <c r="BW2167" s="73"/>
      <c r="BX2167" s="73"/>
      <c r="BY2167" s="73"/>
      <c r="BZ2167" s="73"/>
      <c r="CA2167" s="73"/>
      <c r="CB2167" s="73"/>
      <c r="CC2167" s="73"/>
      <c r="CD2167" s="73"/>
      <c r="CE2167" s="73"/>
      <c r="CF2167" s="73"/>
      <c r="CG2167" s="73"/>
      <c r="CH2167" s="73"/>
    </row>
    <row r="2168">
      <c r="A2168" s="80"/>
      <c r="B2168" s="80"/>
      <c r="C2168" s="80"/>
      <c r="D2168" s="80"/>
      <c r="E2168" s="124"/>
      <c r="F2168" s="80"/>
      <c r="G2168" s="80"/>
      <c r="H2168" s="80"/>
      <c r="I2168" s="80"/>
      <c r="J2168" s="196"/>
      <c r="K2168" s="196"/>
      <c r="L2168" s="196"/>
      <c r="M2168" s="196"/>
      <c r="N2168" s="196"/>
      <c r="O2168" s="196"/>
      <c r="P2168" s="196"/>
      <c r="Q2168" s="196"/>
      <c r="R2168" s="196"/>
      <c r="S2168" s="196"/>
      <c r="T2168" s="196"/>
      <c r="U2168" s="196"/>
      <c r="V2168" s="196"/>
      <c r="W2168" s="196"/>
      <c r="X2168" s="196"/>
      <c r="Y2168" s="196"/>
      <c r="Z2168" s="196"/>
      <c r="AA2168" s="196"/>
      <c r="AB2168" s="196"/>
      <c r="AC2168" s="196"/>
      <c r="AD2168" s="196"/>
      <c r="AE2168" s="196"/>
      <c r="AF2168" s="196"/>
      <c r="AG2168" s="196"/>
      <c r="AH2168" s="196"/>
      <c r="AI2168" s="196"/>
      <c r="AJ2168" s="197"/>
      <c r="AK2168" s="80"/>
      <c r="AL2168" s="80"/>
      <c r="AM2168" s="73"/>
      <c r="AN2168" s="73"/>
      <c r="AO2168" s="73"/>
      <c r="AP2168" s="73"/>
      <c r="AQ2168" s="73"/>
      <c r="AR2168" s="73"/>
      <c r="AS2168" s="73"/>
      <c r="AT2168" s="73"/>
      <c r="AU2168" s="73"/>
      <c r="AV2168" s="73"/>
      <c r="AW2168" s="73"/>
      <c r="AX2168" s="73"/>
      <c r="AY2168" s="73"/>
      <c r="AZ2168" s="73"/>
      <c r="BA2168" s="73"/>
      <c r="BB2168" s="73"/>
      <c r="BC2168" s="73"/>
      <c r="BD2168" s="73"/>
      <c r="BE2168" s="73"/>
      <c r="BF2168" s="73"/>
      <c r="BG2168" s="73"/>
      <c r="BH2168" s="73"/>
      <c r="BI2168" s="73"/>
      <c r="BJ2168" s="73"/>
      <c r="BK2168" s="73"/>
      <c r="BL2168" s="73"/>
      <c r="BM2168" s="73"/>
      <c r="BN2168" s="73"/>
      <c r="BO2168" s="73"/>
      <c r="BP2168" s="73"/>
      <c r="BQ2168" s="73"/>
      <c r="BR2168" s="73"/>
      <c r="BS2168" s="73"/>
      <c r="BT2168" s="73"/>
      <c r="BU2168" s="73"/>
      <c r="BV2168" s="73"/>
      <c r="BW2168" s="73"/>
      <c r="BX2168" s="73"/>
      <c r="BY2168" s="73"/>
      <c r="BZ2168" s="73"/>
      <c r="CA2168" s="73"/>
      <c r="CB2168" s="73"/>
      <c r="CC2168" s="73"/>
      <c r="CD2168" s="73"/>
      <c r="CE2168" s="73"/>
      <c r="CF2168" s="73"/>
      <c r="CG2168" s="73"/>
      <c r="CH2168" s="73"/>
    </row>
    <row r="2169">
      <c r="A2169" s="80"/>
      <c r="B2169" s="80"/>
      <c r="C2169" s="80"/>
      <c r="D2169" s="80"/>
      <c r="E2169" s="124"/>
      <c r="F2169" s="80"/>
      <c r="G2169" s="80"/>
      <c r="H2169" s="80"/>
      <c r="I2169" s="80"/>
      <c r="J2169" s="196"/>
      <c r="K2169" s="196"/>
      <c r="L2169" s="196"/>
      <c r="M2169" s="196"/>
      <c r="N2169" s="196"/>
      <c r="O2169" s="196"/>
      <c r="P2169" s="196"/>
      <c r="Q2169" s="196"/>
      <c r="R2169" s="196"/>
      <c r="S2169" s="196"/>
      <c r="T2169" s="196"/>
      <c r="U2169" s="196"/>
      <c r="V2169" s="196"/>
      <c r="W2169" s="196"/>
      <c r="X2169" s="196"/>
      <c r="Y2169" s="196"/>
      <c r="Z2169" s="196"/>
      <c r="AA2169" s="196"/>
      <c r="AB2169" s="196"/>
      <c r="AC2169" s="196"/>
      <c r="AD2169" s="196"/>
      <c r="AE2169" s="196"/>
      <c r="AF2169" s="196"/>
      <c r="AG2169" s="196"/>
      <c r="AH2169" s="196"/>
      <c r="AI2169" s="196"/>
      <c r="AJ2169" s="197"/>
      <c r="AK2169" s="80"/>
      <c r="AL2169" s="80"/>
      <c r="AM2169" s="73"/>
      <c r="AN2169" s="73"/>
      <c r="AO2169" s="73"/>
      <c r="AP2169" s="73"/>
      <c r="AQ2169" s="73"/>
      <c r="AR2169" s="73"/>
      <c r="AS2169" s="73"/>
      <c r="AT2169" s="73"/>
      <c r="AU2169" s="73"/>
      <c r="AV2169" s="73"/>
      <c r="AW2169" s="73"/>
      <c r="AX2169" s="73"/>
      <c r="AY2169" s="73"/>
      <c r="AZ2169" s="73"/>
      <c r="BA2169" s="73"/>
      <c r="BB2169" s="73"/>
      <c r="BC2169" s="73"/>
      <c r="BD2169" s="73"/>
      <c r="BE2169" s="73"/>
      <c r="BF2169" s="73"/>
      <c r="BG2169" s="73"/>
      <c r="BH2169" s="73"/>
      <c r="BI2169" s="73"/>
      <c r="BJ2169" s="73"/>
      <c r="BK2169" s="73"/>
      <c r="BL2169" s="73"/>
      <c r="BM2169" s="73"/>
      <c r="BN2169" s="73"/>
      <c r="BO2169" s="73"/>
      <c r="BP2169" s="73"/>
      <c r="BQ2169" s="73"/>
      <c r="BR2169" s="73"/>
      <c r="BS2169" s="73"/>
      <c r="BT2169" s="73"/>
      <c r="BU2169" s="73"/>
      <c r="BV2169" s="73"/>
      <c r="BW2169" s="73"/>
      <c r="BX2169" s="73"/>
      <c r="BY2169" s="73"/>
      <c r="BZ2169" s="73"/>
      <c r="CA2169" s="73"/>
      <c r="CB2169" s="73"/>
      <c r="CC2169" s="73"/>
      <c r="CD2169" s="73"/>
      <c r="CE2169" s="73"/>
      <c r="CF2169" s="73"/>
      <c r="CG2169" s="73"/>
      <c r="CH2169" s="73"/>
    </row>
    <row r="2170">
      <c r="A2170" s="80"/>
      <c r="B2170" s="80"/>
      <c r="C2170" s="80"/>
      <c r="D2170" s="80"/>
      <c r="E2170" s="124"/>
      <c r="F2170" s="80"/>
      <c r="G2170" s="80"/>
      <c r="H2170" s="80"/>
      <c r="I2170" s="80"/>
      <c r="J2170" s="196"/>
      <c r="K2170" s="196"/>
      <c r="L2170" s="196"/>
      <c r="M2170" s="196"/>
      <c r="N2170" s="196"/>
      <c r="O2170" s="196"/>
      <c r="P2170" s="196"/>
      <c r="Q2170" s="196"/>
      <c r="R2170" s="196"/>
      <c r="S2170" s="196"/>
      <c r="T2170" s="196"/>
      <c r="U2170" s="196"/>
      <c r="V2170" s="196"/>
      <c r="W2170" s="196"/>
      <c r="X2170" s="196"/>
      <c r="Y2170" s="196"/>
      <c r="Z2170" s="196"/>
      <c r="AA2170" s="196"/>
      <c r="AB2170" s="196"/>
      <c r="AC2170" s="196"/>
      <c r="AD2170" s="196"/>
      <c r="AE2170" s="196"/>
      <c r="AF2170" s="196"/>
      <c r="AG2170" s="196"/>
      <c r="AH2170" s="196"/>
      <c r="AI2170" s="196"/>
      <c r="AJ2170" s="197"/>
      <c r="AK2170" s="80"/>
      <c r="AL2170" s="80"/>
      <c r="AM2170" s="73"/>
      <c r="AN2170" s="73"/>
      <c r="AO2170" s="73"/>
      <c r="AP2170" s="73"/>
      <c r="AQ2170" s="73"/>
      <c r="AR2170" s="73"/>
      <c r="AS2170" s="73"/>
      <c r="AT2170" s="73"/>
      <c r="AU2170" s="73"/>
      <c r="AV2170" s="73"/>
      <c r="AW2170" s="73"/>
      <c r="AX2170" s="73"/>
      <c r="AY2170" s="73"/>
      <c r="AZ2170" s="73"/>
      <c r="BA2170" s="73"/>
      <c r="BB2170" s="73"/>
      <c r="BC2170" s="73"/>
      <c r="BD2170" s="73"/>
      <c r="BE2170" s="73"/>
      <c r="BF2170" s="73"/>
      <c r="BG2170" s="73"/>
      <c r="BH2170" s="73"/>
      <c r="BI2170" s="73"/>
      <c r="BJ2170" s="73"/>
      <c r="BK2170" s="73"/>
      <c r="BL2170" s="73"/>
      <c r="BM2170" s="73"/>
      <c r="BN2170" s="73"/>
      <c r="BO2170" s="73"/>
      <c r="BP2170" s="73"/>
      <c r="BQ2170" s="73"/>
      <c r="BR2170" s="73"/>
      <c r="BS2170" s="73"/>
      <c r="BT2170" s="73"/>
      <c r="BU2170" s="73"/>
      <c r="BV2170" s="73"/>
      <c r="BW2170" s="73"/>
      <c r="BX2170" s="73"/>
      <c r="BY2170" s="73"/>
      <c r="BZ2170" s="73"/>
      <c r="CA2170" s="73"/>
      <c r="CB2170" s="73"/>
      <c r="CC2170" s="73"/>
      <c r="CD2170" s="73"/>
      <c r="CE2170" s="73"/>
      <c r="CF2170" s="73"/>
      <c r="CG2170" s="73"/>
      <c r="CH2170" s="73"/>
    </row>
    <row r="2171">
      <c r="A2171" s="80"/>
      <c r="B2171" s="80"/>
      <c r="C2171" s="80"/>
      <c r="D2171" s="80"/>
      <c r="E2171" s="124"/>
      <c r="F2171" s="80"/>
      <c r="G2171" s="80"/>
      <c r="H2171" s="80"/>
      <c r="I2171" s="80"/>
      <c r="J2171" s="196"/>
      <c r="K2171" s="196"/>
      <c r="L2171" s="196"/>
      <c r="M2171" s="196"/>
      <c r="N2171" s="196"/>
      <c r="O2171" s="196"/>
      <c r="P2171" s="196"/>
      <c r="Q2171" s="196"/>
      <c r="R2171" s="196"/>
      <c r="S2171" s="196"/>
      <c r="T2171" s="196"/>
      <c r="U2171" s="196"/>
      <c r="V2171" s="196"/>
      <c r="W2171" s="196"/>
      <c r="X2171" s="196"/>
      <c r="Y2171" s="196"/>
      <c r="Z2171" s="196"/>
      <c r="AA2171" s="196"/>
      <c r="AB2171" s="196"/>
      <c r="AC2171" s="196"/>
      <c r="AD2171" s="196"/>
      <c r="AE2171" s="196"/>
      <c r="AF2171" s="196"/>
      <c r="AG2171" s="196"/>
      <c r="AH2171" s="196"/>
      <c r="AI2171" s="196"/>
      <c r="AJ2171" s="197"/>
      <c r="AK2171" s="80"/>
      <c r="AL2171" s="80"/>
      <c r="AM2171" s="73"/>
      <c r="AN2171" s="73"/>
      <c r="AO2171" s="73"/>
      <c r="AP2171" s="73"/>
      <c r="AQ2171" s="73"/>
      <c r="AR2171" s="73"/>
      <c r="AS2171" s="73"/>
      <c r="AT2171" s="73"/>
      <c r="AU2171" s="73"/>
      <c r="AV2171" s="73"/>
      <c r="AW2171" s="73"/>
      <c r="AX2171" s="73"/>
      <c r="AY2171" s="73"/>
      <c r="AZ2171" s="73"/>
      <c r="BA2171" s="73"/>
      <c r="BB2171" s="73"/>
      <c r="BC2171" s="73"/>
      <c r="BD2171" s="73"/>
      <c r="BE2171" s="73"/>
      <c r="BF2171" s="73"/>
      <c r="BG2171" s="73"/>
      <c r="BH2171" s="73"/>
      <c r="BI2171" s="73"/>
      <c r="BJ2171" s="73"/>
      <c r="BK2171" s="73"/>
      <c r="BL2171" s="73"/>
      <c r="BM2171" s="73"/>
      <c r="BN2171" s="73"/>
      <c r="BO2171" s="73"/>
      <c r="BP2171" s="73"/>
      <c r="BQ2171" s="73"/>
      <c r="BR2171" s="73"/>
      <c r="BS2171" s="73"/>
      <c r="BT2171" s="73"/>
      <c r="BU2171" s="73"/>
      <c r="BV2171" s="73"/>
      <c r="BW2171" s="73"/>
      <c r="BX2171" s="73"/>
      <c r="BY2171" s="73"/>
      <c r="BZ2171" s="73"/>
      <c r="CA2171" s="73"/>
      <c r="CB2171" s="73"/>
      <c r="CC2171" s="73"/>
      <c r="CD2171" s="73"/>
      <c r="CE2171" s="73"/>
      <c r="CF2171" s="73"/>
      <c r="CG2171" s="73"/>
      <c r="CH2171" s="73"/>
    </row>
    <row r="2172">
      <c r="A2172" s="80"/>
      <c r="B2172" s="80"/>
      <c r="C2172" s="80"/>
      <c r="D2172" s="80"/>
      <c r="E2172" s="124"/>
      <c r="F2172" s="80"/>
      <c r="G2172" s="80"/>
      <c r="H2172" s="80"/>
      <c r="I2172" s="80"/>
      <c r="J2172" s="196"/>
      <c r="K2172" s="196"/>
      <c r="L2172" s="196"/>
      <c r="M2172" s="196"/>
      <c r="N2172" s="196"/>
      <c r="O2172" s="196"/>
      <c r="P2172" s="196"/>
      <c r="Q2172" s="196"/>
      <c r="R2172" s="196"/>
      <c r="S2172" s="196"/>
      <c r="T2172" s="196"/>
      <c r="U2172" s="196"/>
      <c r="V2172" s="196"/>
      <c r="W2172" s="196"/>
      <c r="X2172" s="196"/>
      <c r="Y2172" s="196"/>
      <c r="Z2172" s="196"/>
      <c r="AA2172" s="196"/>
      <c r="AB2172" s="196"/>
      <c r="AC2172" s="196"/>
      <c r="AD2172" s="196"/>
      <c r="AE2172" s="196"/>
      <c r="AF2172" s="196"/>
      <c r="AG2172" s="196"/>
      <c r="AH2172" s="196"/>
      <c r="AI2172" s="196"/>
      <c r="AJ2172" s="197"/>
      <c r="AK2172" s="80"/>
      <c r="AL2172" s="80"/>
      <c r="AM2172" s="73"/>
      <c r="AN2172" s="73"/>
      <c r="AO2172" s="73"/>
      <c r="AP2172" s="73"/>
      <c r="AQ2172" s="73"/>
      <c r="AR2172" s="73"/>
      <c r="AS2172" s="73"/>
      <c r="AT2172" s="73"/>
      <c r="AU2172" s="73"/>
      <c r="AV2172" s="73"/>
      <c r="AW2172" s="73"/>
      <c r="AX2172" s="73"/>
      <c r="AY2172" s="73"/>
      <c r="AZ2172" s="73"/>
      <c r="BA2172" s="73"/>
      <c r="BB2172" s="73"/>
      <c r="BC2172" s="73"/>
      <c r="BD2172" s="73"/>
      <c r="BE2172" s="73"/>
      <c r="BF2172" s="73"/>
      <c r="BG2172" s="73"/>
      <c r="BH2172" s="73"/>
      <c r="BI2172" s="73"/>
      <c r="BJ2172" s="73"/>
      <c r="BK2172" s="73"/>
      <c r="BL2172" s="73"/>
      <c r="BM2172" s="73"/>
      <c r="BN2172" s="73"/>
      <c r="BO2172" s="73"/>
      <c r="BP2172" s="73"/>
      <c r="BQ2172" s="73"/>
      <c r="BR2172" s="73"/>
      <c r="BS2172" s="73"/>
      <c r="BT2172" s="73"/>
      <c r="BU2172" s="73"/>
      <c r="BV2172" s="73"/>
      <c r="BW2172" s="73"/>
      <c r="BX2172" s="73"/>
      <c r="BY2172" s="73"/>
      <c r="BZ2172" s="73"/>
      <c r="CA2172" s="73"/>
      <c r="CB2172" s="73"/>
      <c r="CC2172" s="73"/>
      <c r="CD2172" s="73"/>
      <c r="CE2172" s="73"/>
      <c r="CF2172" s="73"/>
      <c r="CG2172" s="73"/>
      <c r="CH2172" s="73"/>
    </row>
    <row r="2173">
      <c r="A2173" s="80"/>
      <c r="B2173" s="80"/>
      <c r="C2173" s="80"/>
      <c r="D2173" s="80"/>
      <c r="E2173" s="124"/>
      <c r="F2173" s="80"/>
      <c r="G2173" s="80"/>
      <c r="H2173" s="80"/>
      <c r="I2173" s="80"/>
      <c r="J2173" s="196"/>
      <c r="K2173" s="196"/>
      <c r="L2173" s="196"/>
      <c r="M2173" s="196"/>
      <c r="N2173" s="196"/>
      <c r="O2173" s="196"/>
      <c r="P2173" s="196"/>
      <c r="Q2173" s="196"/>
      <c r="R2173" s="196"/>
      <c r="S2173" s="196"/>
      <c r="T2173" s="196"/>
      <c r="U2173" s="196"/>
      <c r="V2173" s="196"/>
      <c r="W2173" s="196"/>
      <c r="X2173" s="196"/>
      <c r="Y2173" s="196"/>
      <c r="Z2173" s="196"/>
      <c r="AA2173" s="196"/>
      <c r="AB2173" s="196"/>
      <c r="AC2173" s="196"/>
      <c r="AD2173" s="196"/>
      <c r="AE2173" s="196"/>
      <c r="AF2173" s="196"/>
      <c r="AG2173" s="196"/>
      <c r="AH2173" s="196"/>
      <c r="AI2173" s="196"/>
      <c r="AJ2173" s="197"/>
      <c r="AK2173" s="80"/>
      <c r="AL2173" s="80"/>
      <c r="AM2173" s="73"/>
      <c r="AN2173" s="73"/>
      <c r="AO2173" s="73"/>
      <c r="AP2173" s="73"/>
      <c r="AQ2173" s="73"/>
      <c r="AR2173" s="73"/>
      <c r="AS2173" s="73"/>
      <c r="AT2173" s="73"/>
      <c r="AU2173" s="73"/>
      <c r="AV2173" s="73"/>
      <c r="AW2173" s="73"/>
      <c r="AX2173" s="73"/>
      <c r="AY2173" s="73"/>
      <c r="AZ2173" s="73"/>
      <c r="BA2173" s="73"/>
      <c r="BB2173" s="73"/>
      <c r="BC2173" s="73"/>
      <c r="BD2173" s="73"/>
      <c r="BE2173" s="73"/>
      <c r="BF2173" s="73"/>
      <c r="BG2173" s="73"/>
      <c r="BH2173" s="73"/>
      <c r="BI2173" s="73"/>
      <c r="BJ2173" s="73"/>
      <c r="BK2173" s="73"/>
      <c r="BL2173" s="73"/>
      <c r="BM2173" s="73"/>
      <c r="BN2173" s="73"/>
      <c r="BO2173" s="73"/>
      <c r="BP2173" s="73"/>
      <c r="BQ2173" s="73"/>
      <c r="BR2173" s="73"/>
      <c r="BS2173" s="73"/>
      <c r="BT2173" s="73"/>
      <c r="BU2173" s="73"/>
      <c r="BV2173" s="73"/>
      <c r="BW2173" s="73"/>
      <c r="BX2173" s="73"/>
      <c r="BY2173" s="73"/>
      <c r="BZ2173" s="73"/>
      <c r="CA2173" s="73"/>
      <c r="CB2173" s="73"/>
      <c r="CC2173" s="73"/>
      <c r="CD2173" s="73"/>
      <c r="CE2173" s="73"/>
      <c r="CF2173" s="73"/>
      <c r="CG2173" s="73"/>
      <c r="CH2173" s="73"/>
    </row>
    <row r="2174">
      <c r="A2174" s="80"/>
      <c r="B2174" s="80"/>
      <c r="C2174" s="80"/>
      <c r="D2174" s="80"/>
      <c r="E2174" s="124"/>
      <c r="F2174" s="80"/>
      <c r="G2174" s="80"/>
      <c r="H2174" s="80"/>
      <c r="I2174" s="80"/>
      <c r="J2174" s="196"/>
      <c r="K2174" s="196"/>
      <c r="L2174" s="196"/>
      <c r="M2174" s="196"/>
      <c r="N2174" s="196"/>
      <c r="O2174" s="196"/>
      <c r="P2174" s="196"/>
      <c r="Q2174" s="196"/>
      <c r="R2174" s="196"/>
      <c r="S2174" s="196"/>
      <c r="T2174" s="196"/>
      <c r="U2174" s="196"/>
      <c r="V2174" s="196"/>
      <c r="W2174" s="196"/>
      <c r="X2174" s="196"/>
      <c r="Y2174" s="196"/>
      <c r="Z2174" s="196"/>
      <c r="AA2174" s="196"/>
      <c r="AB2174" s="196"/>
      <c r="AC2174" s="196"/>
      <c r="AD2174" s="196"/>
      <c r="AE2174" s="196"/>
      <c r="AF2174" s="196"/>
      <c r="AG2174" s="196"/>
      <c r="AH2174" s="196"/>
      <c r="AI2174" s="196"/>
      <c r="AJ2174" s="197"/>
      <c r="AK2174" s="80"/>
      <c r="AL2174" s="80"/>
      <c r="AM2174" s="73"/>
      <c r="AN2174" s="73"/>
      <c r="AO2174" s="73"/>
      <c r="AP2174" s="73"/>
      <c r="AQ2174" s="73"/>
      <c r="AR2174" s="73"/>
      <c r="AS2174" s="73"/>
      <c r="AT2174" s="73"/>
      <c r="AU2174" s="73"/>
      <c r="AV2174" s="73"/>
      <c r="AW2174" s="73"/>
      <c r="AX2174" s="73"/>
      <c r="AY2174" s="73"/>
      <c r="AZ2174" s="73"/>
      <c r="BA2174" s="73"/>
      <c r="BB2174" s="73"/>
      <c r="BC2174" s="73"/>
      <c r="BD2174" s="73"/>
      <c r="BE2174" s="73"/>
      <c r="BF2174" s="73"/>
      <c r="BG2174" s="73"/>
      <c r="BH2174" s="73"/>
      <c r="BI2174" s="73"/>
      <c r="BJ2174" s="73"/>
      <c r="BK2174" s="73"/>
      <c r="BL2174" s="73"/>
      <c r="BM2174" s="73"/>
      <c r="BN2174" s="73"/>
      <c r="BO2174" s="73"/>
      <c r="BP2174" s="73"/>
      <c r="BQ2174" s="73"/>
      <c r="BR2174" s="73"/>
      <c r="BS2174" s="73"/>
      <c r="BT2174" s="73"/>
      <c r="BU2174" s="73"/>
      <c r="BV2174" s="73"/>
      <c r="BW2174" s="73"/>
      <c r="BX2174" s="73"/>
      <c r="BY2174" s="73"/>
      <c r="BZ2174" s="73"/>
      <c r="CA2174" s="73"/>
      <c r="CB2174" s="73"/>
      <c r="CC2174" s="73"/>
      <c r="CD2174" s="73"/>
      <c r="CE2174" s="73"/>
      <c r="CF2174" s="73"/>
      <c r="CG2174" s="73"/>
      <c r="CH2174" s="73"/>
    </row>
    <row r="2175">
      <c r="A2175" s="80"/>
      <c r="B2175" s="80"/>
      <c r="C2175" s="80"/>
      <c r="D2175" s="80"/>
      <c r="E2175" s="124"/>
      <c r="F2175" s="80"/>
      <c r="G2175" s="80"/>
      <c r="H2175" s="80"/>
      <c r="I2175" s="80"/>
      <c r="J2175" s="196"/>
      <c r="K2175" s="196"/>
      <c r="L2175" s="196"/>
      <c r="M2175" s="196"/>
      <c r="N2175" s="196"/>
      <c r="O2175" s="196"/>
      <c r="P2175" s="196"/>
      <c r="Q2175" s="196"/>
      <c r="R2175" s="196"/>
      <c r="S2175" s="196"/>
      <c r="T2175" s="196"/>
      <c r="U2175" s="196"/>
      <c r="V2175" s="196"/>
      <c r="W2175" s="196"/>
      <c r="X2175" s="196"/>
      <c r="Y2175" s="196"/>
      <c r="Z2175" s="196"/>
      <c r="AA2175" s="196"/>
      <c r="AB2175" s="196"/>
      <c r="AC2175" s="196"/>
      <c r="AD2175" s="196"/>
      <c r="AE2175" s="196"/>
      <c r="AF2175" s="196"/>
      <c r="AG2175" s="196"/>
      <c r="AH2175" s="196"/>
      <c r="AI2175" s="196"/>
      <c r="AJ2175" s="197"/>
      <c r="AK2175" s="80"/>
      <c r="AL2175" s="80"/>
      <c r="AM2175" s="73"/>
      <c r="AN2175" s="73"/>
      <c r="AO2175" s="73"/>
      <c r="AP2175" s="73"/>
      <c r="AQ2175" s="73"/>
      <c r="AR2175" s="73"/>
      <c r="AS2175" s="73"/>
      <c r="AT2175" s="73"/>
      <c r="AU2175" s="73"/>
      <c r="AV2175" s="73"/>
      <c r="AW2175" s="73"/>
      <c r="AX2175" s="73"/>
      <c r="AY2175" s="73"/>
      <c r="AZ2175" s="73"/>
      <c r="BA2175" s="73"/>
      <c r="BB2175" s="73"/>
      <c r="BC2175" s="73"/>
      <c r="BD2175" s="73"/>
      <c r="BE2175" s="73"/>
      <c r="BF2175" s="73"/>
      <c r="BG2175" s="73"/>
      <c r="BH2175" s="73"/>
      <c r="BI2175" s="73"/>
      <c r="BJ2175" s="73"/>
      <c r="BK2175" s="73"/>
      <c r="BL2175" s="73"/>
      <c r="BM2175" s="73"/>
      <c r="BN2175" s="73"/>
      <c r="BO2175" s="73"/>
      <c r="BP2175" s="73"/>
      <c r="BQ2175" s="73"/>
      <c r="BR2175" s="73"/>
      <c r="BS2175" s="73"/>
      <c r="BT2175" s="73"/>
      <c r="BU2175" s="73"/>
      <c r="BV2175" s="73"/>
      <c r="BW2175" s="73"/>
      <c r="BX2175" s="73"/>
      <c r="BY2175" s="73"/>
      <c r="BZ2175" s="73"/>
      <c r="CA2175" s="73"/>
      <c r="CB2175" s="73"/>
      <c r="CC2175" s="73"/>
      <c r="CD2175" s="73"/>
      <c r="CE2175" s="73"/>
      <c r="CF2175" s="73"/>
      <c r="CG2175" s="73"/>
      <c r="CH2175" s="73"/>
    </row>
    <row r="2176">
      <c r="A2176" s="80"/>
      <c r="B2176" s="80"/>
      <c r="C2176" s="80"/>
      <c r="D2176" s="80"/>
      <c r="E2176" s="124"/>
      <c r="F2176" s="80"/>
      <c r="G2176" s="80"/>
      <c r="H2176" s="80"/>
      <c r="I2176" s="80"/>
      <c r="J2176" s="196"/>
      <c r="K2176" s="196"/>
      <c r="L2176" s="196"/>
      <c r="M2176" s="196"/>
      <c r="N2176" s="196"/>
      <c r="O2176" s="196"/>
      <c r="P2176" s="196"/>
      <c r="Q2176" s="196"/>
      <c r="R2176" s="196"/>
      <c r="S2176" s="196"/>
      <c r="T2176" s="196"/>
      <c r="U2176" s="196"/>
      <c r="V2176" s="196"/>
      <c r="W2176" s="196"/>
      <c r="X2176" s="196"/>
      <c r="Y2176" s="196"/>
      <c r="Z2176" s="196"/>
      <c r="AA2176" s="196"/>
      <c r="AB2176" s="196"/>
      <c r="AC2176" s="196"/>
      <c r="AD2176" s="196"/>
      <c r="AE2176" s="196"/>
      <c r="AF2176" s="196"/>
      <c r="AG2176" s="196"/>
      <c r="AH2176" s="196"/>
      <c r="AI2176" s="196"/>
      <c r="AJ2176" s="197"/>
      <c r="AK2176" s="80"/>
      <c r="AL2176" s="80"/>
      <c r="AM2176" s="73"/>
      <c r="AN2176" s="73"/>
      <c r="AO2176" s="73"/>
      <c r="AP2176" s="73"/>
      <c r="AQ2176" s="73"/>
      <c r="AR2176" s="73"/>
      <c r="AS2176" s="73"/>
      <c r="AT2176" s="73"/>
      <c r="AU2176" s="73"/>
      <c r="AV2176" s="73"/>
      <c r="AW2176" s="73"/>
      <c r="AX2176" s="73"/>
      <c r="AY2176" s="73"/>
      <c r="AZ2176" s="73"/>
      <c r="BA2176" s="73"/>
      <c r="BB2176" s="73"/>
      <c r="BC2176" s="73"/>
      <c r="BD2176" s="73"/>
      <c r="BE2176" s="73"/>
      <c r="BF2176" s="73"/>
      <c r="BG2176" s="73"/>
      <c r="BH2176" s="73"/>
      <c r="BI2176" s="73"/>
      <c r="BJ2176" s="73"/>
      <c r="BK2176" s="73"/>
      <c r="BL2176" s="73"/>
      <c r="BM2176" s="73"/>
      <c r="BN2176" s="73"/>
      <c r="BO2176" s="73"/>
      <c r="BP2176" s="73"/>
      <c r="BQ2176" s="73"/>
      <c r="BR2176" s="73"/>
      <c r="BS2176" s="73"/>
      <c r="BT2176" s="73"/>
      <c r="BU2176" s="73"/>
      <c r="BV2176" s="73"/>
      <c r="BW2176" s="73"/>
      <c r="BX2176" s="73"/>
      <c r="BY2176" s="73"/>
      <c r="BZ2176" s="73"/>
      <c r="CA2176" s="73"/>
      <c r="CB2176" s="73"/>
      <c r="CC2176" s="73"/>
      <c r="CD2176" s="73"/>
      <c r="CE2176" s="73"/>
      <c r="CF2176" s="73"/>
      <c r="CG2176" s="73"/>
      <c r="CH2176" s="73"/>
    </row>
    <row r="2177">
      <c r="A2177" s="80"/>
      <c r="B2177" s="80"/>
      <c r="C2177" s="80"/>
      <c r="D2177" s="80"/>
      <c r="E2177" s="124"/>
      <c r="F2177" s="80"/>
      <c r="G2177" s="80"/>
      <c r="H2177" s="80"/>
      <c r="I2177" s="80"/>
      <c r="J2177" s="196"/>
      <c r="K2177" s="196"/>
      <c r="L2177" s="196"/>
      <c r="M2177" s="196"/>
      <c r="N2177" s="196"/>
      <c r="O2177" s="196"/>
      <c r="P2177" s="196"/>
      <c r="Q2177" s="196"/>
      <c r="R2177" s="196"/>
      <c r="S2177" s="196"/>
      <c r="T2177" s="196"/>
      <c r="U2177" s="196"/>
      <c r="V2177" s="196"/>
      <c r="W2177" s="196"/>
      <c r="X2177" s="196"/>
      <c r="Y2177" s="196"/>
      <c r="Z2177" s="196"/>
      <c r="AA2177" s="196"/>
      <c r="AB2177" s="196"/>
      <c r="AC2177" s="196"/>
      <c r="AD2177" s="196"/>
      <c r="AE2177" s="196"/>
      <c r="AF2177" s="196"/>
      <c r="AG2177" s="196"/>
      <c r="AH2177" s="196"/>
      <c r="AI2177" s="196"/>
      <c r="AJ2177" s="197"/>
      <c r="AK2177" s="80"/>
      <c r="AL2177" s="80"/>
      <c r="AM2177" s="73"/>
      <c r="AN2177" s="73"/>
      <c r="AO2177" s="73"/>
      <c r="AP2177" s="73"/>
      <c r="AQ2177" s="73"/>
      <c r="AR2177" s="73"/>
      <c r="AS2177" s="73"/>
      <c r="AT2177" s="73"/>
      <c r="AU2177" s="73"/>
      <c r="AV2177" s="73"/>
      <c r="AW2177" s="73"/>
      <c r="AX2177" s="73"/>
      <c r="AY2177" s="73"/>
      <c r="AZ2177" s="73"/>
      <c r="BA2177" s="73"/>
      <c r="BB2177" s="73"/>
      <c r="BC2177" s="73"/>
      <c r="BD2177" s="73"/>
      <c r="BE2177" s="73"/>
      <c r="BF2177" s="73"/>
      <c r="BG2177" s="73"/>
      <c r="BH2177" s="73"/>
      <c r="BI2177" s="73"/>
      <c r="BJ2177" s="73"/>
      <c r="BK2177" s="73"/>
      <c r="BL2177" s="73"/>
      <c r="BM2177" s="73"/>
      <c r="BN2177" s="73"/>
      <c r="BO2177" s="73"/>
      <c r="BP2177" s="73"/>
      <c r="BQ2177" s="73"/>
      <c r="BR2177" s="73"/>
      <c r="BS2177" s="73"/>
      <c r="BT2177" s="73"/>
      <c r="BU2177" s="73"/>
      <c r="BV2177" s="73"/>
      <c r="BW2177" s="73"/>
      <c r="BX2177" s="73"/>
      <c r="BY2177" s="73"/>
      <c r="BZ2177" s="73"/>
      <c r="CA2177" s="73"/>
      <c r="CB2177" s="73"/>
      <c r="CC2177" s="73"/>
      <c r="CD2177" s="73"/>
      <c r="CE2177" s="73"/>
      <c r="CF2177" s="73"/>
      <c r="CG2177" s="73"/>
      <c r="CH2177" s="73"/>
    </row>
    <row r="2178">
      <c r="A2178" s="80"/>
      <c r="B2178" s="80"/>
      <c r="C2178" s="80"/>
      <c r="D2178" s="80"/>
      <c r="E2178" s="124"/>
      <c r="F2178" s="80"/>
      <c r="G2178" s="80"/>
      <c r="H2178" s="80"/>
      <c r="I2178" s="80"/>
      <c r="J2178" s="196"/>
      <c r="K2178" s="196"/>
      <c r="L2178" s="196"/>
      <c r="M2178" s="196"/>
      <c r="N2178" s="196"/>
      <c r="O2178" s="196"/>
      <c r="P2178" s="196"/>
      <c r="Q2178" s="196"/>
      <c r="R2178" s="196"/>
      <c r="S2178" s="196"/>
      <c r="T2178" s="196"/>
      <c r="U2178" s="196"/>
      <c r="V2178" s="196"/>
      <c r="W2178" s="196"/>
      <c r="X2178" s="196"/>
      <c r="Y2178" s="196"/>
      <c r="Z2178" s="196"/>
      <c r="AA2178" s="196"/>
      <c r="AB2178" s="196"/>
      <c r="AC2178" s="196"/>
      <c r="AD2178" s="196"/>
      <c r="AE2178" s="196"/>
      <c r="AF2178" s="196"/>
      <c r="AG2178" s="196"/>
      <c r="AH2178" s="196"/>
      <c r="AI2178" s="196"/>
      <c r="AJ2178" s="197"/>
      <c r="AK2178" s="80"/>
      <c r="AL2178" s="80"/>
      <c r="AM2178" s="73"/>
      <c r="AN2178" s="73"/>
      <c r="AO2178" s="73"/>
      <c r="AP2178" s="73"/>
      <c r="AQ2178" s="73"/>
      <c r="AR2178" s="73"/>
      <c r="AS2178" s="73"/>
      <c r="AT2178" s="73"/>
      <c r="AU2178" s="73"/>
      <c r="AV2178" s="73"/>
      <c r="AW2178" s="73"/>
      <c r="AX2178" s="73"/>
      <c r="AY2178" s="73"/>
      <c r="AZ2178" s="73"/>
      <c r="BA2178" s="73"/>
      <c r="BB2178" s="73"/>
      <c r="BC2178" s="73"/>
      <c r="BD2178" s="73"/>
      <c r="BE2178" s="73"/>
      <c r="BF2178" s="73"/>
      <c r="BG2178" s="73"/>
      <c r="BH2178" s="73"/>
      <c r="BI2178" s="73"/>
      <c r="BJ2178" s="73"/>
      <c r="BK2178" s="73"/>
      <c r="BL2178" s="73"/>
      <c r="BM2178" s="73"/>
      <c r="BN2178" s="73"/>
      <c r="BO2178" s="73"/>
      <c r="BP2178" s="73"/>
      <c r="BQ2178" s="73"/>
      <c r="BR2178" s="73"/>
      <c r="BS2178" s="73"/>
      <c r="BT2178" s="73"/>
      <c r="BU2178" s="73"/>
      <c r="BV2178" s="73"/>
      <c r="BW2178" s="73"/>
      <c r="BX2178" s="73"/>
      <c r="BY2178" s="73"/>
      <c r="BZ2178" s="73"/>
      <c r="CA2178" s="73"/>
      <c r="CB2178" s="73"/>
      <c r="CC2178" s="73"/>
      <c r="CD2178" s="73"/>
      <c r="CE2178" s="73"/>
      <c r="CF2178" s="73"/>
      <c r="CG2178" s="73"/>
      <c r="CH2178" s="73"/>
    </row>
    <row r="2179">
      <c r="A2179" s="80"/>
      <c r="B2179" s="80"/>
      <c r="C2179" s="80"/>
      <c r="D2179" s="80"/>
      <c r="E2179" s="124"/>
      <c r="F2179" s="80"/>
      <c r="G2179" s="80"/>
      <c r="H2179" s="80"/>
      <c r="I2179" s="80"/>
      <c r="J2179" s="196"/>
      <c r="K2179" s="196"/>
      <c r="L2179" s="196"/>
      <c r="M2179" s="196"/>
      <c r="N2179" s="196"/>
      <c r="O2179" s="196"/>
      <c r="P2179" s="196"/>
      <c r="Q2179" s="196"/>
      <c r="R2179" s="196"/>
      <c r="S2179" s="196"/>
      <c r="T2179" s="196"/>
      <c r="U2179" s="196"/>
      <c r="V2179" s="196"/>
      <c r="W2179" s="196"/>
      <c r="X2179" s="196"/>
      <c r="Y2179" s="196"/>
      <c r="Z2179" s="196"/>
      <c r="AA2179" s="196"/>
      <c r="AB2179" s="196"/>
      <c r="AC2179" s="196"/>
      <c r="AD2179" s="196"/>
      <c r="AE2179" s="196"/>
      <c r="AF2179" s="196"/>
      <c r="AG2179" s="196"/>
      <c r="AH2179" s="196"/>
      <c r="AI2179" s="196"/>
      <c r="AJ2179" s="197"/>
      <c r="AK2179" s="80"/>
      <c r="AL2179" s="80"/>
      <c r="AM2179" s="73"/>
      <c r="AN2179" s="73"/>
      <c r="AO2179" s="73"/>
      <c r="AP2179" s="73"/>
      <c r="AQ2179" s="73"/>
      <c r="AR2179" s="73"/>
      <c r="AS2179" s="73"/>
      <c r="AT2179" s="73"/>
      <c r="AU2179" s="73"/>
      <c r="AV2179" s="73"/>
      <c r="AW2179" s="73"/>
      <c r="AX2179" s="73"/>
      <c r="AY2179" s="73"/>
      <c r="AZ2179" s="73"/>
      <c r="BA2179" s="73"/>
      <c r="BB2179" s="73"/>
      <c r="BC2179" s="73"/>
      <c r="BD2179" s="73"/>
      <c r="BE2179" s="73"/>
      <c r="BF2179" s="73"/>
      <c r="BG2179" s="73"/>
      <c r="BH2179" s="73"/>
      <c r="BI2179" s="73"/>
      <c r="BJ2179" s="73"/>
      <c r="BK2179" s="73"/>
      <c r="BL2179" s="73"/>
      <c r="BM2179" s="73"/>
      <c r="BN2179" s="73"/>
      <c r="BO2179" s="73"/>
      <c r="BP2179" s="73"/>
      <c r="BQ2179" s="73"/>
      <c r="BR2179" s="73"/>
      <c r="BS2179" s="73"/>
      <c r="BT2179" s="73"/>
      <c r="BU2179" s="73"/>
      <c r="BV2179" s="73"/>
      <c r="BW2179" s="73"/>
      <c r="BX2179" s="73"/>
      <c r="BY2179" s="73"/>
      <c r="BZ2179" s="73"/>
      <c r="CA2179" s="73"/>
      <c r="CB2179" s="73"/>
      <c r="CC2179" s="73"/>
      <c r="CD2179" s="73"/>
      <c r="CE2179" s="73"/>
      <c r="CF2179" s="73"/>
      <c r="CG2179" s="73"/>
      <c r="CH2179" s="73"/>
    </row>
    <row r="2180">
      <c r="A2180" s="80"/>
      <c r="B2180" s="80"/>
      <c r="C2180" s="80"/>
      <c r="D2180" s="80"/>
      <c r="E2180" s="124"/>
      <c r="F2180" s="80"/>
      <c r="G2180" s="80"/>
      <c r="H2180" s="80"/>
      <c r="I2180" s="80"/>
      <c r="J2180" s="196"/>
      <c r="K2180" s="196"/>
      <c r="L2180" s="196"/>
      <c r="M2180" s="196"/>
      <c r="N2180" s="196"/>
      <c r="O2180" s="196"/>
      <c r="P2180" s="196"/>
      <c r="Q2180" s="196"/>
      <c r="R2180" s="196"/>
      <c r="S2180" s="196"/>
      <c r="T2180" s="196"/>
      <c r="U2180" s="196"/>
      <c r="V2180" s="196"/>
      <c r="W2180" s="196"/>
      <c r="X2180" s="196"/>
      <c r="Y2180" s="196"/>
      <c r="Z2180" s="196"/>
      <c r="AA2180" s="196"/>
      <c r="AB2180" s="196"/>
      <c r="AC2180" s="196"/>
      <c r="AD2180" s="196"/>
      <c r="AE2180" s="196"/>
      <c r="AF2180" s="196"/>
      <c r="AG2180" s="196"/>
      <c r="AH2180" s="196"/>
      <c r="AI2180" s="196"/>
      <c r="AJ2180" s="197"/>
      <c r="AK2180" s="80"/>
      <c r="AL2180" s="80"/>
      <c r="AM2180" s="73"/>
      <c r="AN2180" s="73"/>
      <c r="AO2180" s="73"/>
      <c r="AP2180" s="73"/>
      <c r="AQ2180" s="73"/>
      <c r="AR2180" s="73"/>
      <c r="AS2180" s="73"/>
      <c r="AT2180" s="73"/>
      <c r="AU2180" s="73"/>
      <c r="AV2180" s="73"/>
      <c r="AW2180" s="73"/>
      <c r="AX2180" s="73"/>
      <c r="AY2180" s="73"/>
      <c r="AZ2180" s="73"/>
      <c r="BA2180" s="73"/>
      <c r="BB2180" s="73"/>
      <c r="BC2180" s="73"/>
      <c r="BD2180" s="73"/>
      <c r="BE2180" s="73"/>
      <c r="BF2180" s="73"/>
      <c r="BG2180" s="73"/>
      <c r="BH2180" s="73"/>
      <c r="BI2180" s="73"/>
      <c r="BJ2180" s="73"/>
      <c r="BK2180" s="73"/>
      <c r="BL2180" s="73"/>
      <c r="BM2180" s="73"/>
      <c r="BN2180" s="73"/>
      <c r="BO2180" s="73"/>
      <c r="BP2180" s="73"/>
      <c r="BQ2180" s="73"/>
      <c r="BR2180" s="73"/>
      <c r="BS2180" s="73"/>
      <c r="BT2180" s="73"/>
      <c r="BU2180" s="73"/>
      <c r="BV2180" s="73"/>
      <c r="BW2180" s="73"/>
      <c r="BX2180" s="73"/>
      <c r="BY2180" s="73"/>
      <c r="BZ2180" s="73"/>
      <c r="CA2180" s="73"/>
      <c r="CB2180" s="73"/>
      <c r="CC2180" s="73"/>
      <c r="CD2180" s="73"/>
      <c r="CE2180" s="73"/>
      <c r="CF2180" s="73"/>
      <c r="CG2180" s="73"/>
      <c r="CH2180" s="73"/>
    </row>
    <row r="2181">
      <c r="A2181" s="80"/>
      <c r="B2181" s="80"/>
      <c r="C2181" s="80"/>
      <c r="D2181" s="80"/>
      <c r="E2181" s="124"/>
      <c r="F2181" s="80"/>
      <c r="G2181" s="80"/>
      <c r="H2181" s="80"/>
      <c r="I2181" s="80"/>
      <c r="J2181" s="196"/>
      <c r="K2181" s="196"/>
      <c r="L2181" s="196"/>
      <c r="M2181" s="196"/>
      <c r="N2181" s="196"/>
      <c r="O2181" s="196"/>
      <c r="P2181" s="196"/>
      <c r="Q2181" s="196"/>
      <c r="R2181" s="196"/>
      <c r="S2181" s="196"/>
      <c r="T2181" s="196"/>
      <c r="U2181" s="196"/>
      <c r="V2181" s="196"/>
      <c r="W2181" s="196"/>
      <c r="X2181" s="196"/>
      <c r="Y2181" s="196"/>
      <c r="Z2181" s="196"/>
      <c r="AA2181" s="196"/>
      <c r="AB2181" s="196"/>
      <c r="AC2181" s="196"/>
      <c r="AD2181" s="196"/>
      <c r="AE2181" s="196"/>
      <c r="AF2181" s="196"/>
      <c r="AG2181" s="196"/>
      <c r="AH2181" s="196"/>
      <c r="AI2181" s="196"/>
      <c r="AJ2181" s="197"/>
      <c r="AK2181" s="80"/>
      <c r="AL2181" s="80"/>
      <c r="AM2181" s="73"/>
      <c r="AN2181" s="73"/>
      <c r="AO2181" s="73"/>
      <c r="AP2181" s="73"/>
      <c r="AQ2181" s="73"/>
      <c r="AR2181" s="73"/>
      <c r="AS2181" s="73"/>
      <c r="AT2181" s="73"/>
      <c r="AU2181" s="73"/>
      <c r="AV2181" s="73"/>
      <c r="AW2181" s="73"/>
      <c r="AX2181" s="73"/>
      <c r="AY2181" s="73"/>
      <c r="AZ2181" s="73"/>
      <c r="BA2181" s="73"/>
      <c r="BB2181" s="73"/>
      <c r="BC2181" s="73"/>
      <c r="BD2181" s="73"/>
      <c r="BE2181" s="73"/>
      <c r="BF2181" s="73"/>
      <c r="BG2181" s="73"/>
      <c r="BH2181" s="73"/>
      <c r="BI2181" s="73"/>
      <c r="BJ2181" s="73"/>
      <c r="BK2181" s="73"/>
      <c r="BL2181" s="73"/>
      <c r="BM2181" s="73"/>
      <c r="BN2181" s="73"/>
      <c r="BO2181" s="73"/>
      <c r="BP2181" s="73"/>
      <c r="BQ2181" s="73"/>
      <c r="BR2181" s="73"/>
      <c r="BS2181" s="73"/>
      <c r="BT2181" s="73"/>
      <c r="BU2181" s="73"/>
      <c r="BV2181" s="73"/>
      <c r="BW2181" s="73"/>
      <c r="BX2181" s="73"/>
      <c r="BY2181" s="73"/>
      <c r="BZ2181" s="73"/>
      <c r="CA2181" s="73"/>
      <c r="CB2181" s="73"/>
      <c r="CC2181" s="73"/>
      <c r="CD2181" s="73"/>
      <c r="CE2181" s="73"/>
      <c r="CF2181" s="73"/>
      <c r="CG2181" s="73"/>
      <c r="CH2181" s="73"/>
    </row>
    <row r="2182">
      <c r="A2182" s="80"/>
      <c r="B2182" s="80"/>
      <c r="C2182" s="80"/>
      <c r="D2182" s="80"/>
      <c r="E2182" s="124"/>
      <c r="F2182" s="80"/>
      <c r="G2182" s="80"/>
      <c r="H2182" s="80"/>
      <c r="I2182" s="80"/>
      <c r="J2182" s="196"/>
      <c r="K2182" s="196"/>
      <c r="L2182" s="196"/>
      <c r="M2182" s="196"/>
      <c r="N2182" s="196"/>
      <c r="O2182" s="196"/>
      <c r="P2182" s="196"/>
      <c r="Q2182" s="196"/>
      <c r="R2182" s="196"/>
      <c r="S2182" s="196"/>
      <c r="T2182" s="196"/>
      <c r="U2182" s="196"/>
      <c r="V2182" s="196"/>
      <c r="W2182" s="196"/>
      <c r="X2182" s="196"/>
      <c r="Y2182" s="196"/>
      <c r="Z2182" s="196"/>
      <c r="AA2182" s="196"/>
      <c r="AB2182" s="196"/>
      <c r="AC2182" s="196"/>
      <c r="AD2182" s="196"/>
      <c r="AE2182" s="196"/>
      <c r="AF2182" s="196"/>
      <c r="AG2182" s="196"/>
      <c r="AH2182" s="196"/>
      <c r="AI2182" s="196"/>
      <c r="AJ2182" s="197"/>
      <c r="AK2182" s="80"/>
      <c r="AL2182" s="80"/>
      <c r="AM2182" s="73"/>
      <c r="AN2182" s="73"/>
      <c r="AO2182" s="73"/>
      <c r="AP2182" s="73"/>
      <c r="AQ2182" s="73"/>
      <c r="AR2182" s="73"/>
      <c r="AS2182" s="73"/>
      <c r="AT2182" s="73"/>
      <c r="AU2182" s="73"/>
      <c r="AV2182" s="73"/>
      <c r="AW2182" s="73"/>
      <c r="AX2182" s="73"/>
      <c r="AY2182" s="73"/>
      <c r="AZ2182" s="73"/>
      <c r="BA2182" s="73"/>
      <c r="BB2182" s="73"/>
      <c r="BC2182" s="73"/>
      <c r="BD2182" s="73"/>
      <c r="BE2182" s="73"/>
      <c r="BF2182" s="73"/>
      <c r="BG2182" s="73"/>
      <c r="BH2182" s="73"/>
      <c r="BI2182" s="73"/>
      <c r="BJ2182" s="73"/>
      <c r="BK2182" s="73"/>
      <c r="BL2182" s="73"/>
      <c r="BM2182" s="73"/>
      <c r="BN2182" s="73"/>
      <c r="BO2182" s="73"/>
      <c r="BP2182" s="73"/>
      <c r="BQ2182" s="73"/>
      <c r="BR2182" s="73"/>
      <c r="BS2182" s="73"/>
      <c r="BT2182" s="73"/>
      <c r="BU2182" s="73"/>
      <c r="BV2182" s="73"/>
      <c r="BW2182" s="73"/>
      <c r="BX2182" s="73"/>
      <c r="BY2182" s="73"/>
      <c r="BZ2182" s="73"/>
      <c r="CA2182" s="73"/>
      <c r="CB2182" s="73"/>
      <c r="CC2182" s="73"/>
      <c r="CD2182" s="73"/>
      <c r="CE2182" s="73"/>
      <c r="CF2182" s="73"/>
      <c r="CG2182" s="73"/>
      <c r="CH2182" s="73"/>
    </row>
    <row r="2183">
      <c r="A2183" s="80"/>
      <c r="B2183" s="80"/>
      <c r="C2183" s="80"/>
      <c r="D2183" s="80"/>
      <c r="E2183" s="124"/>
      <c r="F2183" s="80"/>
      <c r="G2183" s="80"/>
      <c r="H2183" s="80"/>
      <c r="I2183" s="80"/>
      <c r="J2183" s="196"/>
      <c r="K2183" s="196"/>
      <c r="L2183" s="196"/>
      <c r="M2183" s="196"/>
      <c r="N2183" s="196"/>
      <c r="O2183" s="196"/>
      <c r="P2183" s="196"/>
      <c r="Q2183" s="196"/>
      <c r="R2183" s="196"/>
      <c r="S2183" s="196"/>
      <c r="T2183" s="196"/>
      <c r="U2183" s="196"/>
      <c r="V2183" s="196"/>
      <c r="W2183" s="196"/>
      <c r="X2183" s="196"/>
      <c r="Y2183" s="196"/>
      <c r="Z2183" s="196"/>
      <c r="AA2183" s="196"/>
      <c r="AB2183" s="196"/>
      <c r="AC2183" s="196"/>
      <c r="AD2183" s="196"/>
      <c r="AE2183" s="196"/>
      <c r="AF2183" s="196"/>
      <c r="AG2183" s="196"/>
      <c r="AH2183" s="196"/>
      <c r="AI2183" s="196"/>
      <c r="AJ2183" s="197"/>
      <c r="AK2183" s="80"/>
      <c r="AL2183" s="80"/>
      <c r="AM2183" s="73"/>
      <c r="AN2183" s="73"/>
      <c r="AO2183" s="73"/>
      <c r="AP2183" s="73"/>
      <c r="AQ2183" s="73"/>
      <c r="AR2183" s="73"/>
      <c r="AS2183" s="73"/>
      <c r="AT2183" s="73"/>
      <c r="AU2183" s="73"/>
      <c r="AV2183" s="73"/>
      <c r="AW2183" s="73"/>
      <c r="AX2183" s="73"/>
      <c r="AY2183" s="73"/>
      <c r="AZ2183" s="73"/>
      <c r="BA2183" s="73"/>
      <c r="BB2183" s="73"/>
      <c r="BC2183" s="73"/>
      <c r="BD2183" s="73"/>
      <c r="BE2183" s="73"/>
      <c r="BF2183" s="73"/>
      <c r="BG2183" s="73"/>
      <c r="BH2183" s="73"/>
      <c r="BI2183" s="73"/>
      <c r="BJ2183" s="73"/>
      <c r="BK2183" s="73"/>
      <c r="BL2183" s="73"/>
      <c r="BM2183" s="73"/>
      <c r="BN2183" s="73"/>
      <c r="BO2183" s="73"/>
      <c r="BP2183" s="73"/>
      <c r="BQ2183" s="73"/>
      <c r="BR2183" s="73"/>
      <c r="BS2183" s="73"/>
      <c r="BT2183" s="73"/>
      <c r="BU2183" s="73"/>
      <c r="BV2183" s="73"/>
      <c r="BW2183" s="73"/>
      <c r="BX2183" s="73"/>
      <c r="BY2183" s="73"/>
      <c r="BZ2183" s="73"/>
      <c r="CA2183" s="73"/>
      <c r="CB2183" s="73"/>
      <c r="CC2183" s="73"/>
      <c r="CD2183" s="73"/>
      <c r="CE2183" s="73"/>
      <c r="CF2183" s="73"/>
      <c r="CG2183" s="73"/>
      <c r="CH2183" s="73"/>
    </row>
    <row r="2184">
      <c r="A2184" s="80"/>
      <c r="B2184" s="80"/>
      <c r="C2184" s="80"/>
      <c r="D2184" s="80"/>
      <c r="E2184" s="124"/>
      <c r="F2184" s="80"/>
      <c r="G2184" s="80"/>
      <c r="H2184" s="80"/>
      <c r="I2184" s="80"/>
      <c r="J2184" s="196"/>
      <c r="K2184" s="196"/>
      <c r="L2184" s="196"/>
      <c r="M2184" s="196"/>
      <c r="N2184" s="196"/>
      <c r="O2184" s="196"/>
      <c r="P2184" s="196"/>
      <c r="Q2184" s="196"/>
      <c r="R2184" s="196"/>
      <c r="S2184" s="196"/>
      <c r="T2184" s="196"/>
      <c r="U2184" s="196"/>
      <c r="V2184" s="196"/>
      <c r="W2184" s="196"/>
      <c r="X2184" s="196"/>
      <c r="Y2184" s="196"/>
      <c r="Z2184" s="196"/>
      <c r="AA2184" s="196"/>
      <c r="AB2184" s="196"/>
      <c r="AC2184" s="196"/>
      <c r="AD2184" s="196"/>
      <c r="AE2184" s="196"/>
      <c r="AF2184" s="196"/>
      <c r="AG2184" s="196"/>
      <c r="AH2184" s="196"/>
      <c r="AI2184" s="196"/>
      <c r="AJ2184" s="197"/>
      <c r="AK2184" s="80"/>
      <c r="AL2184" s="80"/>
      <c r="AM2184" s="73"/>
      <c r="AN2184" s="73"/>
      <c r="AO2184" s="73"/>
      <c r="AP2184" s="73"/>
      <c r="AQ2184" s="73"/>
      <c r="AR2184" s="73"/>
      <c r="AS2184" s="73"/>
      <c r="AT2184" s="73"/>
      <c r="AU2184" s="73"/>
      <c r="AV2184" s="73"/>
      <c r="AW2184" s="73"/>
      <c r="AX2184" s="73"/>
      <c r="AY2184" s="73"/>
      <c r="AZ2184" s="73"/>
      <c r="BA2184" s="73"/>
      <c r="BB2184" s="73"/>
      <c r="BC2184" s="73"/>
      <c r="BD2184" s="73"/>
      <c r="BE2184" s="73"/>
      <c r="BF2184" s="73"/>
      <c r="BG2184" s="73"/>
      <c r="BH2184" s="73"/>
      <c r="BI2184" s="73"/>
      <c r="BJ2184" s="73"/>
      <c r="BK2184" s="73"/>
      <c r="BL2184" s="73"/>
      <c r="BM2184" s="73"/>
      <c r="BN2184" s="73"/>
      <c r="BO2184" s="73"/>
      <c r="BP2184" s="73"/>
      <c r="BQ2184" s="73"/>
      <c r="BR2184" s="73"/>
      <c r="BS2184" s="73"/>
      <c r="BT2184" s="73"/>
      <c r="BU2184" s="73"/>
      <c r="BV2184" s="73"/>
      <c r="BW2184" s="73"/>
      <c r="BX2184" s="73"/>
      <c r="BY2184" s="73"/>
      <c r="BZ2184" s="73"/>
      <c r="CA2184" s="73"/>
      <c r="CB2184" s="73"/>
      <c r="CC2184" s="73"/>
      <c r="CD2184" s="73"/>
      <c r="CE2184" s="73"/>
      <c r="CF2184" s="73"/>
      <c r="CG2184" s="73"/>
      <c r="CH2184" s="73"/>
    </row>
    <row r="2185">
      <c r="A2185" s="80"/>
      <c r="B2185" s="80"/>
      <c r="C2185" s="80"/>
      <c r="D2185" s="80"/>
      <c r="E2185" s="124"/>
      <c r="F2185" s="80"/>
      <c r="G2185" s="80"/>
      <c r="H2185" s="80"/>
      <c r="I2185" s="80"/>
      <c r="J2185" s="196"/>
      <c r="K2185" s="196"/>
      <c r="L2185" s="196"/>
      <c r="M2185" s="196"/>
      <c r="N2185" s="196"/>
      <c r="O2185" s="196"/>
      <c r="P2185" s="196"/>
      <c r="Q2185" s="196"/>
      <c r="R2185" s="196"/>
      <c r="S2185" s="196"/>
      <c r="T2185" s="196"/>
      <c r="U2185" s="196"/>
      <c r="V2185" s="196"/>
      <c r="W2185" s="196"/>
      <c r="X2185" s="196"/>
      <c r="Y2185" s="196"/>
      <c r="Z2185" s="196"/>
      <c r="AA2185" s="196"/>
      <c r="AB2185" s="196"/>
      <c r="AC2185" s="196"/>
      <c r="AD2185" s="196"/>
      <c r="AE2185" s="196"/>
      <c r="AF2185" s="196"/>
      <c r="AG2185" s="196"/>
      <c r="AH2185" s="196"/>
      <c r="AI2185" s="196"/>
      <c r="AJ2185" s="197"/>
      <c r="AK2185" s="80"/>
      <c r="AL2185" s="80"/>
      <c r="AM2185" s="73"/>
      <c r="AN2185" s="73"/>
      <c r="AO2185" s="73"/>
      <c r="AP2185" s="73"/>
      <c r="AQ2185" s="73"/>
      <c r="AR2185" s="73"/>
      <c r="AS2185" s="73"/>
      <c r="AT2185" s="73"/>
      <c r="AU2185" s="73"/>
      <c r="AV2185" s="73"/>
      <c r="AW2185" s="73"/>
      <c r="AX2185" s="73"/>
      <c r="AY2185" s="73"/>
      <c r="AZ2185" s="73"/>
      <c r="BA2185" s="73"/>
      <c r="BB2185" s="73"/>
      <c r="BC2185" s="73"/>
      <c r="BD2185" s="73"/>
      <c r="BE2185" s="73"/>
      <c r="BF2185" s="73"/>
      <c r="BG2185" s="73"/>
      <c r="BH2185" s="73"/>
      <c r="BI2185" s="73"/>
      <c r="BJ2185" s="73"/>
      <c r="BK2185" s="73"/>
      <c r="BL2185" s="73"/>
      <c r="BM2185" s="73"/>
      <c r="BN2185" s="73"/>
      <c r="BO2185" s="73"/>
      <c r="BP2185" s="73"/>
      <c r="BQ2185" s="73"/>
      <c r="BR2185" s="73"/>
      <c r="BS2185" s="73"/>
      <c r="BT2185" s="73"/>
      <c r="BU2185" s="73"/>
      <c r="BV2185" s="73"/>
      <c r="BW2185" s="73"/>
      <c r="BX2185" s="73"/>
      <c r="BY2185" s="73"/>
      <c r="BZ2185" s="73"/>
      <c r="CA2185" s="73"/>
      <c r="CB2185" s="73"/>
      <c r="CC2185" s="73"/>
      <c r="CD2185" s="73"/>
      <c r="CE2185" s="73"/>
      <c r="CF2185" s="73"/>
      <c r="CG2185" s="73"/>
      <c r="CH2185" s="73"/>
    </row>
    <row r="2186">
      <c r="A2186" s="80"/>
      <c r="B2186" s="80"/>
      <c r="C2186" s="80"/>
      <c r="D2186" s="80"/>
      <c r="E2186" s="124"/>
      <c r="F2186" s="80"/>
      <c r="G2186" s="80"/>
      <c r="H2186" s="80"/>
      <c r="I2186" s="80"/>
      <c r="J2186" s="196"/>
      <c r="K2186" s="196"/>
      <c r="L2186" s="196"/>
      <c r="M2186" s="196"/>
      <c r="N2186" s="196"/>
      <c r="O2186" s="196"/>
      <c r="P2186" s="196"/>
      <c r="Q2186" s="196"/>
      <c r="R2186" s="196"/>
      <c r="S2186" s="196"/>
      <c r="T2186" s="196"/>
      <c r="U2186" s="196"/>
      <c r="V2186" s="196"/>
      <c r="W2186" s="196"/>
      <c r="X2186" s="196"/>
      <c r="Y2186" s="196"/>
      <c r="Z2186" s="196"/>
      <c r="AA2186" s="196"/>
      <c r="AB2186" s="196"/>
      <c r="AC2186" s="196"/>
      <c r="AD2186" s="196"/>
      <c r="AE2186" s="196"/>
      <c r="AF2186" s="196"/>
      <c r="AG2186" s="196"/>
      <c r="AH2186" s="196"/>
      <c r="AI2186" s="196"/>
      <c r="AJ2186" s="197"/>
      <c r="AK2186" s="80"/>
      <c r="AL2186" s="80"/>
      <c r="AM2186" s="73"/>
      <c r="AN2186" s="73"/>
      <c r="AO2186" s="73"/>
      <c r="AP2186" s="73"/>
      <c r="AQ2186" s="73"/>
      <c r="AR2186" s="73"/>
      <c r="AS2186" s="73"/>
      <c r="AT2186" s="73"/>
      <c r="AU2186" s="73"/>
      <c r="AV2186" s="73"/>
      <c r="AW2186" s="73"/>
      <c r="AX2186" s="73"/>
      <c r="AY2186" s="73"/>
      <c r="AZ2186" s="73"/>
      <c r="BA2186" s="73"/>
      <c r="BB2186" s="73"/>
      <c r="BC2186" s="73"/>
      <c r="BD2186" s="73"/>
      <c r="BE2186" s="73"/>
      <c r="BF2186" s="73"/>
      <c r="BG2186" s="73"/>
      <c r="BH2186" s="73"/>
      <c r="BI2186" s="73"/>
      <c r="BJ2186" s="73"/>
      <c r="BK2186" s="73"/>
      <c r="BL2186" s="73"/>
      <c r="BM2186" s="73"/>
      <c r="BN2186" s="73"/>
      <c r="BO2186" s="73"/>
      <c r="BP2186" s="73"/>
      <c r="BQ2186" s="73"/>
      <c r="BR2186" s="73"/>
      <c r="BS2186" s="73"/>
      <c r="BT2186" s="73"/>
      <c r="BU2186" s="73"/>
      <c r="BV2186" s="73"/>
      <c r="BW2186" s="73"/>
      <c r="BX2186" s="73"/>
      <c r="BY2186" s="73"/>
      <c r="BZ2186" s="73"/>
      <c r="CA2186" s="73"/>
      <c r="CB2186" s="73"/>
      <c r="CC2186" s="73"/>
      <c r="CD2186" s="73"/>
      <c r="CE2186" s="73"/>
      <c r="CF2186" s="73"/>
      <c r="CG2186" s="73"/>
      <c r="CH2186" s="73"/>
    </row>
    <row r="2187">
      <c r="A2187" s="80"/>
      <c r="B2187" s="80"/>
      <c r="C2187" s="80"/>
      <c r="D2187" s="80"/>
      <c r="E2187" s="124"/>
      <c r="F2187" s="80"/>
      <c r="G2187" s="80"/>
      <c r="H2187" s="80"/>
      <c r="I2187" s="80"/>
      <c r="J2187" s="196"/>
      <c r="K2187" s="196"/>
      <c r="L2187" s="196"/>
      <c r="M2187" s="196"/>
      <c r="N2187" s="196"/>
      <c r="O2187" s="196"/>
      <c r="P2187" s="196"/>
      <c r="Q2187" s="196"/>
      <c r="R2187" s="196"/>
      <c r="S2187" s="196"/>
      <c r="T2187" s="196"/>
      <c r="U2187" s="196"/>
      <c r="V2187" s="196"/>
      <c r="W2187" s="196"/>
      <c r="X2187" s="196"/>
      <c r="Y2187" s="196"/>
      <c r="Z2187" s="196"/>
      <c r="AA2187" s="196"/>
      <c r="AB2187" s="196"/>
      <c r="AC2187" s="196"/>
      <c r="AD2187" s="196"/>
      <c r="AE2187" s="196"/>
      <c r="AF2187" s="196"/>
      <c r="AG2187" s="196"/>
      <c r="AH2187" s="196"/>
      <c r="AI2187" s="196"/>
      <c r="AJ2187" s="197"/>
      <c r="AK2187" s="80"/>
      <c r="AL2187" s="80"/>
      <c r="AM2187" s="73"/>
      <c r="AN2187" s="73"/>
      <c r="AO2187" s="73"/>
      <c r="AP2187" s="73"/>
      <c r="AQ2187" s="73"/>
      <c r="AR2187" s="73"/>
      <c r="AS2187" s="73"/>
      <c r="AT2187" s="73"/>
      <c r="AU2187" s="73"/>
      <c r="AV2187" s="73"/>
      <c r="AW2187" s="73"/>
      <c r="AX2187" s="73"/>
      <c r="AY2187" s="73"/>
      <c r="AZ2187" s="73"/>
      <c r="BA2187" s="73"/>
      <c r="BB2187" s="73"/>
      <c r="BC2187" s="73"/>
      <c r="BD2187" s="73"/>
      <c r="BE2187" s="73"/>
      <c r="BF2187" s="73"/>
      <c r="BG2187" s="73"/>
      <c r="BH2187" s="73"/>
      <c r="BI2187" s="73"/>
      <c r="BJ2187" s="73"/>
      <c r="BK2187" s="73"/>
      <c r="BL2187" s="73"/>
      <c r="BM2187" s="73"/>
      <c r="BN2187" s="73"/>
      <c r="BO2187" s="73"/>
      <c r="BP2187" s="73"/>
      <c r="BQ2187" s="73"/>
      <c r="BR2187" s="73"/>
      <c r="BS2187" s="73"/>
      <c r="BT2187" s="73"/>
      <c r="BU2187" s="73"/>
      <c r="BV2187" s="73"/>
      <c r="BW2187" s="73"/>
      <c r="BX2187" s="73"/>
      <c r="BY2187" s="73"/>
      <c r="BZ2187" s="73"/>
      <c r="CA2187" s="73"/>
      <c r="CB2187" s="73"/>
      <c r="CC2187" s="73"/>
      <c r="CD2187" s="73"/>
      <c r="CE2187" s="73"/>
      <c r="CF2187" s="73"/>
      <c r="CG2187" s="73"/>
      <c r="CH2187" s="73"/>
    </row>
    <row r="2188">
      <c r="A2188" s="80"/>
      <c r="B2188" s="80"/>
      <c r="C2188" s="80"/>
      <c r="D2188" s="80"/>
      <c r="E2188" s="124"/>
      <c r="F2188" s="80"/>
      <c r="G2188" s="80"/>
      <c r="H2188" s="80"/>
      <c r="I2188" s="80"/>
      <c r="J2188" s="196"/>
      <c r="K2188" s="196"/>
      <c r="L2188" s="196"/>
      <c r="M2188" s="196"/>
      <c r="N2188" s="196"/>
      <c r="O2188" s="196"/>
      <c r="P2188" s="196"/>
      <c r="Q2188" s="196"/>
      <c r="R2188" s="196"/>
      <c r="S2188" s="196"/>
      <c r="T2188" s="196"/>
      <c r="U2188" s="196"/>
      <c r="V2188" s="196"/>
      <c r="W2188" s="196"/>
      <c r="X2188" s="196"/>
      <c r="Y2188" s="196"/>
      <c r="Z2188" s="196"/>
      <c r="AA2188" s="196"/>
      <c r="AB2188" s="196"/>
      <c r="AC2188" s="196"/>
      <c r="AD2188" s="196"/>
      <c r="AE2188" s="196"/>
      <c r="AF2188" s="196"/>
      <c r="AG2188" s="196"/>
      <c r="AH2188" s="196"/>
      <c r="AI2188" s="196"/>
      <c r="AJ2188" s="197"/>
      <c r="AK2188" s="80"/>
      <c r="AL2188" s="80"/>
      <c r="AM2188" s="73"/>
      <c r="AN2188" s="73"/>
      <c r="AO2188" s="73"/>
      <c r="AP2188" s="73"/>
      <c r="AQ2188" s="73"/>
      <c r="AR2188" s="73"/>
      <c r="AS2188" s="73"/>
      <c r="AT2188" s="73"/>
      <c r="AU2188" s="73"/>
      <c r="AV2188" s="73"/>
      <c r="AW2188" s="73"/>
      <c r="AX2188" s="73"/>
      <c r="AY2188" s="73"/>
      <c r="AZ2188" s="73"/>
      <c r="BA2188" s="73"/>
      <c r="BB2188" s="73"/>
      <c r="BC2188" s="73"/>
      <c r="BD2188" s="73"/>
      <c r="BE2188" s="73"/>
      <c r="BF2188" s="73"/>
      <c r="BG2188" s="73"/>
      <c r="BH2188" s="73"/>
      <c r="BI2188" s="73"/>
      <c r="BJ2188" s="73"/>
      <c r="BK2188" s="73"/>
      <c r="BL2188" s="73"/>
      <c r="BM2188" s="73"/>
      <c r="BN2188" s="73"/>
      <c r="BO2188" s="73"/>
      <c r="BP2188" s="73"/>
      <c r="BQ2188" s="73"/>
      <c r="BR2188" s="73"/>
      <c r="BS2188" s="73"/>
      <c r="BT2188" s="73"/>
      <c r="BU2188" s="73"/>
      <c r="BV2188" s="73"/>
      <c r="BW2188" s="73"/>
      <c r="BX2188" s="73"/>
      <c r="BY2188" s="73"/>
      <c r="BZ2188" s="73"/>
      <c r="CA2188" s="73"/>
      <c r="CB2188" s="73"/>
      <c r="CC2188" s="73"/>
      <c r="CD2188" s="73"/>
      <c r="CE2188" s="73"/>
      <c r="CF2188" s="73"/>
      <c r="CG2188" s="73"/>
      <c r="CH2188" s="73"/>
    </row>
    <row r="2189">
      <c r="A2189" s="80"/>
      <c r="B2189" s="80"/>
      <c r="C2189" s="80"/>
      <c r="D2189" s="80"/>
      <c r="E2189" s="124"/>
      <c r="F2189" s="80"/>
      <c r="G2189" s="80"/>
      <c r="H2189" s="80"/>
      <c r="I2189" s="80"/>
      <c r="J2189" s="196"/>
      <c r="K2189" s="196"/>
      <c r="L2189" s="196"/>
      <c r="M2189" s="196"/>
      <c r="N2189" s="196"/>
      <c r="O2189" s="196"/>
      <c r="P2189" s="196"/>
      <c r="Q2189" s="196"/>
      <c r="R2189" s="196"/>
      <c r="S2189" s="196"/>
      <c r="T2189" s="196"/>
      <c r="U2189" s="196"/>
      <c r="V2189" s="196"/>
      <c r="W2189" s="196"/>
      <c r="X2189" s="196"/>
      <c r="Y2189" s="196"/>
      <c r="Z2189" s="196"/>
      <c r="AA2189" s="196"/>
      <c r="AB2189" s="196"/>
      <c r="AC2189" s="196"/>
      <c r="AD2189" s="196"/>
      <c r="AE2189" s="196"/>
      <c r="AF2189" s="196"/>
      <c r="AG2189" s="196"/>
      <c r="AH2189" s="196"/>
      <c r="AI2189" s="196"/>
      <c r="AJ2189" s="197"/>
      <c r="AK2189" s="80"/>
      <c r="AL2189" s="80"/>
      <c r="AM2189" s="73"/>
      <c r="AN2189" s="73"/>
      <c r="AO2189" s="73"/>
      <c r="AP2189" s="73"/>
      <c r="AQ2189" s="73"/>
      <c r="AR2189" s="73"/>
      <c r="AS2189" s="73"/>
      <c r="AT2189" s="73"/>
      <c r="AU2189" s="73"/>
      <c r="AV2189" s="73"/>
      <c r="AW2189" s="73"/>
      <c r="AX2189" s="73"/>
      <c r="AY2189" s="73"/>
      <c r="AZ2189" s="73"/>
      <c r="BA2189" s="73"/>
      <c r="BB2189" s="73"/>
      <c r="BC2189" s="73"/>
      <c r="BD2189" s="73"/>
      <c r="BE2189" s="73"/>
      <c r="BF2189" s="73"/>
      <c r="BG2189" s="73"/>
      <c r="BH2189" s="73"/>
      <c r="BI2189" s="73"/>
      <c r="BJ2189" s="73"/>
      <c r="BK2189" s="73"/>
      <c r="BL2189" s="73"/>
      <c r="BM2189" s="73"/>
      <c r="BN2189" s="73"/>
      <c r="BO2189" s="73"/>
      <c r="BP2189" s="73"/>
      <c r="BQ2189" s="73"/>
      <c r="BR2189" s="73"/>
      <c r="BS2189" s="73"/>
      <c r="BT2189" s="73"/>
      <c r="BU2189" s="73"/>
      <c r="BV2189" s="73"/>
      <c r="BW2189" s="73"/>
      <c r="BX2189" s="73"/>
      <c r="BY2189" s="73"/>
      <c r="BZ2189" s="73"/>
      <c r="CA2189" s="73"/>
      <c r="CB2189" s="73"/>
      <c r="CC2189" s="73"/>
      <c r="CD2189" s="73"/>
      <c r="CE2189" s="73"/>
      <c r="CF2189" s="73"/>
      <c r="CG2189" s="73"/>
      <c r="CH2189" s="73"/>
    </row>
    <row r="2190">
      <c r="A2190" s="80"/>
      <c r="B2190" s="80"/>
      <c r="C2190" s="80"/>
      <c r="D2190" s="80"/>
      <c r="E2190" s="124"/>
      <c r="F2190" s="80"/>
      <c r="G2190" s="80"/>
      <c r="H2190" s="80"/>
      <c r="I2190" s="80"/>
      <c r="J2190" s="196"/>
      <c r="K2190" s="196"/>
      <c r="L2190" s="196"/>
      <c r="M2190" s="196"/>
      <c r="N2190" s="196"/>
      <c r="O2190" s="196"/>
      <c r="P2190" s="196"/>
      <c r="Q2190" s="196"/>
      <c r="R2190" s="196"/>
      <c r="S2190" s="196"/>
      <c r="T2190" s="196"/>
      <c r="U2190" s="196"/>
      <c r="V2190" s="196"/>
      <c r="W2190" s="196"/>
      <c r="X2190" s="196"/>
      <c r="Y2190" s="196"/>
      <c r="Z2190" s="196"/>
      <c r="AA2190" s="196"/>
      <c r="AB2190" s="196"/>
      <c r="AC2190" s="196"/>
      <c r="AD2190" s="196"/>
      <c r="AE2190" s="196"/>
      <c r="AF2190" s="196"/>
      <c r="AG2190" s="196"/>
      <c r="AH2190" s="196"/>
      <c r="AI2190" s="196"/>
      <c r="AJ2190" s="197"/>
      <c r="AK2190" s="80"/>
      <c r="AL2190" s="80"/>
      <c r="AM2190" s="73"/>
      <c r="AN2190" s="73"/>
      <c r="AO2190" s="73"/>
      <c r="AP2190" s="73"/>
      <c r="AQ2190" s="73"/>
      <c r="AR2190" s="73"/>
      <c r="AS2190" s="73"/>
      <c r="AT2190" s="73"/>
      <c r="AU2190" s="73"/>
      <c r="AV2190" s="73"/>
      <c r="AW2190" s="73"/>
      <c r="AX2190" s="73"/>
      <c r="AY2190" s="73"/>
      <c r="AZ2190" s="73"/>
      <c r="BA2190" s="73"/>
      <c r="BB2190" s="73"/>
      <c r="BC2190" s="73"/>
      <c r="BD2190" s="73"/>
      <c r="BE2190" s="73"/>
      <c r="BF2190" s="73"/>
      <c r="BG2190" s="73"/>
      <c r="BH2190" s="73"/>
      <c r="BI2190" s="73"/>
      <c r="BJ2190" s="73"/>
      <c r="BK2190" s="73"/>
      <c r="BL2190" s="73"/>
      <c r="BM2190" s="73"/>
      <c r="BN2190" s="73"/>
      <c r="BO2190" s="73"/>
      <c r="BP2190" s="73"/>
      <c r="BQ2190" s="73"/>
      <c r="BR2190" s="73"/>
      <c r="BS2190" s="73"/>
      <c r="BT2190" s="73"/>
      <c r="BU2190" s="73"/>
      <c r="BV2190" s="73"/>
      <c r="BW2190" s="73"/>
      <c r="BX2190" s="73"/>
      <c r="BY2190" s="73"/>
      <c r="BZ2190" s="73"/>
      <c r="CA2190" s="73"/>
      <c r="CB2190" s="73"/>
      <c r="CC2190" s="73"/>
      <c r="CD2190" s="73"/>
      <c r="CE2190" s="73"/>
      <c r="CF2190" s="73"/>
      <c r="CG2190" s="73"/>
      <c r="CH2190" s="73"/>
    </row>
    <row r="2191">
      <c r="A2191" s="80"/>
      <c r="B2191" s="80"/>
      <c r="C2191" s="80"/>
      <c r="D2191" s="80"/>
      <c r="E2191" s="124"/>
      <c r="F2191" s="80"/>
      <c r="G2191" s="80"/>
      <c r="H2191" s="80"/>
      <c r="I2191" s="80"/>
      <c r="J2191" s="196"/>
      <c r="K2191" s="196"/>
      <c r="L2191" s="196"/>
      <c r="M2191" s="196"/>
      <c r="N2191" s="196"/>
      <c r="O2191" s="196"/>
      <c r="P2191" s="196"/>
      <c r="Q2191" s="196"/>
      <c r="R2191" s="196"/>
      <c r="S2191" s="196"/>
      <c r="T2191" s="196"/>
      <c r="U2191" s="196"/>
      <c r="V2191" s="196"/>
      <c r="W2191" s="196"/>
      <c r="X2191" s="196"/>
      <c r="Y2191" s="196"/>
      <c r="Z2191" s="196"/>
      <c r="AA2191" s="196"/>
      <c r="AB2191" s="196"/>
      <c r="AC2191" s="196"/>
      <c r="AD2191" s="196"/>
      <c r="AE2191" s="196"/>
      <c r="AF2191" s="196"/>
      <c r="AG2191" s="196"/>
      <c r="AH2191" s="196"/>
      <c r="AI2191" s="196"/>
      <c r="AJ2191" s="197"/>
      <c r="AK2191" s="80"/>
      <c r="AL2191" s="80"/>
      <c r="AM2191" s="73"/>
      <c r="AN2191" s="73"/>
      <c r="AO2191" s="73"/>
      <c r="AP2191" s="73"/>
      <c r="AQ2191" s="73"/>
      <c r="AR2191" s="73"/>
      <c r="AS2191" s="73"/>
      <c r="AT2191" s="73"/>
      <c r="AU2191" s="73"/>
      <c r="AV2191" s="73"/>
      <c r="AW2191" s="73"/>
      <c r="AX2191" s="73"/>
      <c r="AY2191" s="73"/>
      <c r="AZ2191" s="73"/>
      <c r="BA2191" s="73"/>
      <c r="BB2191" s="73"/>
      <c r="BC2191" s="73"/>
      <c r="BD2191" s="73"/>
      <c r="BE2191" s="73"/>
      <c r="BF2191" s="73"/>
      <c r="BG2191" s="73"/>
      <c r="BH2191" s="73"/>
      <c r="BI2191" s="73"/>
      <c r="BJ2191" s="73"/>
      <c r="BK2191" s="73"/>
      <c r="BL2191" s="73"/>
      <c r="BM2191" s="73"/>
      <c r="BN2191" s="73"/>
      <c r="BO2191" s="73"/>
      <c r="BP2191" s="73"/>
      <c r="BQ2191" s="73"/>
      <c r="BR2191" s="73"/>
      <c r="BS2191" s="73"/>
      <c r="BT2191" s="73"/>
      <c r="BU2191" s="73"/>
      <c r="BV2191" s="73"/>
      <c r="BW2191" s="73"/>
      <c r="BX2191" s="73"/>
      <c r="BY2191" s="73"/>
      <c r="BZ2191" s="73"/>
      <c r="CA2191" s="73"/>
      <c r="CB2191" s="73"/>
      <c r="CC2191" s="73"/>
      <c r="CD2191" s="73"/>
      <c r="CE2191" s="73"/>
      <c r="CF2191" s="73"/>
      <c r="CG2191" s="73"/>
      <c r="CH2191" s="73"/>
    </row>
    <row r="2192">
      <c r="A2192" s="80"/>
      <c r="B2192" s="80"/>
      <c r="C2192" s="80"/>
      <c r="D2192" s="80"/>
      <c r="E2192" s="124"/>
      <c r="F2192" s="80"/>
      <c r="G2192" s="80"/>
      <c r="H2192" s="80"/>
      <c r="I2192" s="80"/>
      <c r="J2192" s="196"/>
      <c r="K2192" s="196"/>
      <c r="L2192" s="196"/>
      <c r="M2192" s="196"/>
      <c r="N2192" s="196"/>
      <c r="O2192" s="196"/>
      <c r="P2192" s="196"/>
      <c r="Q2192" s="196"/>
      <c r="R2192" s="196"/>
      <c r="S2192" s="196"/>
      <c r="T2192" s="196"/>
      <c r="U2192" s="196"/>
      <c r="V2192" s="196"/>
      <c r="W2192" s="196"/>
      <c r="X2192" s="196"/>
      <c r="Y2192" s="196"/>
      <c r="Z2192" s="196"/>
      <c r="AA2192" s="196"/>
      <c r="AB2192" s="196"/>
      <c r="AC2192" s="196"/>
      <c r="AD2192" s="196"/>
      <c r="AE2192" s="196"/>
      <c r="AF2192" s="196"/>
      <c r="AG2192" s="196"/>
      <c r="AH2192" s="196"/>
      <c r="AI2192" s="196"/>
      <c r="AJ2192" s="197"/>
      <c r="AK2192" s="80"/>
      <c r="AL2192" s="80"/>
      <c r="AM2192" s="73"/>
      <c r="AN2192" s="73"/>
      <c r="AO2192" s="73"/>
      <c r="AP2192" s="73"/>
      <c r="AQ2192" s="73"/>
      <c r="AR2192" s="73"/>
      <c r="AS2192" s="73"/>
      <c r="AT2192" s="73"/>
      <c r="AU2192" s="73"/>
      <c r="AV2192" s="73"/>
      <c r="AW2192" s="73"/>
      <c r="AX2192" s="73"/>
      <c r="AY2192" s="73"/>
      <c r="AZ2192" s="73"/>
      <c r="BA2192" s="73"/>
      <c r="BB2192" s="73"/>
      <c r="BC2192" s="73"/>
      <c r="BD2192" s="73"/>
      <c r="BE2192" s="73"/>
      <c r="BF2192" s="73"/>
      <c r="BG2192" s="73"/>
      <c r="BH2192" s="73"/>
      <c r="BI2192" s="73"/>
      <c r="BJ2192" s="73"/>
      <c r="BK2192" s="73"/>
      <c r="BL2192" s="73"/>
      <c r="BM2192" s="73"/>
      <c r="BN2192" s="73"/>
      <c r="BO2192" s="73"/>
      <c r="BP2192" s="73"/>
      <c r="BQ2192" s="73"/>
      <c r="BR2192" s="73"/>
      <c r="BS2192" s="73"/>
      <c r="BT2192" s="73"/>
      <c r="BU2192" s="73"/>
      <c r="BV2192" s="73"/>
      <c r="BW2192" s="73"/>
      <c r="BX2192" s="73"/>
      <c r="BY2192" s="73"/>
      <c r="BZ2192" s="73"/>
      <c r="CA2192" s="73"/>
      <c r="CB2192" s="73"/>
      <c r="CC2192" s="73"/>
      <c r="CD2192" s="73"/>
      <c r="CE2192" s="73"/>
      <c r="CF2192" s="73"/>
      <c r="CG2192" s="73"/>
      <c r="CH2192" s="73"/>
    </row>
    <row r="2193">
      <c r="A2193" s="80"/>
      <c r="B2193" s="80"/>
      <c r="C2193" s="80"/>
      <c r="D2193" s="80"/>
      <c r="E2193" s="124"/>
      <c r="F2193" s="80"/>
      <c r="G2193" s="80"/>
      <c r="H2193" s="80"/>
      <c r="I2193" s="80"/>
      <c r="J2193" s="196"/>
      <c r="K2193" s="196"/>
      <c r="L2193" s="196"/>
      <c r="M2193" s="196"/>
      <c r="N2193" s="196"/>
      <c r="O2193" s="196"/>
      <c r="P2193" s="196"/>
      <c r="Q2193" s="196"/>
      <c r="R2193" s="196"/>
      <c r="S2193" s="196"/>
      <c r="T2193" s="196"/>
      <c r="U2193" s="196"/>
      <c r="V2193" s="196"/>
      <c r="W2193" s="196"/>
      <c r="X2193" s="196"/>
      <c r="Y2193" s="196"/>
      <c r="Z2193" s="196"/>
      <c r="AA2193" s="196"/>
      <c r="AB2193" s="196"/>
      <c r="AC2193" s="196"/>
      <c r="AD2193" s="196"/>
      <c r="AE2193" s="196"/>
      <c r="AF2193" s="196"/>
      <c r="AG2193" s="196"/>
      <c r="AH2193" s="196"/>
      <c r="AI2193" s="196"/>
      <c r="AJ2193" s="197"/>
      <c r="AK2193" s="80"/>
      <c r="AL2193" s="80"/>
      <c r="AM2193" s="73"/>
      <c r="AN2193" s="73"/>
      <c r="AO2193" s="73"/>
      <c r="AP2193" s="73"/>
      <c r="AQ2193" s="73"/>
      <c r="AR2193" s="73"/>
      <c r="AS2193" s="73"/>
      <c r="AT2193" s="73"/>
      <c r="AU2193" s="73"/>
      <c r="AV2193" s="73"/>
      <c r="AW2193" s="73"/>
      <c r="AX2193" s="73"/>
      <c r="AY2193" s="73"/>
      <c r="AZ2193" s="73"/>
      <c r="BA2193" s="73"/>
      <c r="BB2193" s="73"/>
      <c r="BC2193" s="73"/>
      <c r="BD2193" s="73"/>
      <c r="BE2193" s="73"/>
      <c r="BF2193" s="73"/>
      <c r="BG2193" s="73"/>
      <c r="BH2193" s="73"/>
      <c r="BI2193" s="73"/>
      <c r="BJ2193" s="73"/>
      <c r="BK2193" s="73"/>
      <c r="BL2193" s="73"/>
      <c r="BM2193" s="73"/>
      <c r="BN2193" s="73"/>
      <c r="BO2193" s="73"/>
      <c r="BP2193" s="73"/>
      <c r="BQ2193" s="73"/>
      <c r="BR2193" s="73"/>
      <c r="BS2193" s="73"/>
      <c r="BT2193" s="73"/>
      <c r="BU2193" s="73"/>
      <c r="BV2193" s="73"/>
      <c r="BW2193" s="73"/>
      <c r="BX2193" s="73"/>
      <c r="BY2193" s="73"/>
      <c r="BZ2193" s="73"/>
      <c r="CA2193" s="73"/>
      <c r="CB2193" s="73"/>
      <c r="CC2193" s="73"/>
      <c r="CD2193" s="73"/>
      <c r="CE2193" s="73"/>
      <c r="CF2193" s="73"/>
      <c r="CG2193" s="73"/>
      <c r="CH2193" s="73"/>
    </row>
    <row r="2194">
      <c r="A2194" s="80"/>
      <c r="B2194" s="80"/>
      <c r="C2194" s="80"/>
      <c r="D2194" s="80"/>
      <c r="E2194" s="124"/>
      <c r="F2194" s="80"/>
      <c r="G2194" s="80"/>
      <c r="H2194" s="80"/>
      <c r="I2194" s="80"/>
      <c r="J2194" s="196"/>
      <c r="K2194" s="196"/>
      <c r="L2194" s="196"/>
      <c r="M2194" s="196"/>
      <c r="N2194" s="196"/>
      <c r="O2194" s="196"/>
      <c r="P2194" s="196"/>
      <c r="Q2194" s="196"/>
      <c r="R2194" s="196"/>
      <c r="S2194" s="196"/>
      <c r="T2194" s="196"/>
      <c r="U2194" s="196"/>
      <c r="V2194" s="196"/>
      <c r="W2194" s="196"/>
      <c r="X2194" s="196"/>
      <c r="Y2194" s="196"/>
      <c r="Z2194" s="196"/>
      <c r="AA2194" s="196"/>
      <c r="AB2194" s="196"/>
      <c r="AC2194" s="196"/>
      <c r="AD2194" s="196"/>
      <c r="AE2194" s="196"/>
      <c r="AF2194" s="196"/>
      <c r="AG2194" s="196"/>
      <c r="AH2194" s="196"/>
      <c r="AI2194" s="196"/>
      <c r="AJ2194" s="197"/>
      <c r="AK2194" s="80"/>
      <c r="AL2194" s="80"/>
      <c r="AM2194" s="73"/>
      <c r="AN2194" s="73"/>
      <c r="AO2194" s="73"/>
      <c r="AP2194" s="73"/>
      <c r="AQ2194" s="73"/>
      <c r="AR2194" s="73"/>
      <c r="AS2194" s="73"/>
      <c r="AT2194" s="73"/>
      <c r="AU2194" s="73"/>
      <c r="AV2194" s="73"/>
      <c r="AW2194" s="73"/>
      <c r="AX2194" s="73"/>
      <c r="AY2194" s="73"/>
      <c r="AZ2194" s="73"/>
      <c r="BA2194" s="73"/>
      <c r="BB2194" s="73"/>
      <c r="BC2194" s="73"/>
      <c r="BD2194" s="73"/>
      <c r="BE2194" s="73"/>
      <c r="BF2194" s="73"/>
      <c r="BG2194" s="73"/>
      <c r="BH2194" s="73"/>
      <c r="BI2194" s="73"/>
      <c r="BJ2194" s="73"/>
      <c r="BK2194" s="73"/>
      <c r="BL2194" s="73"/>
      <c r="BM2194" s="73"/>
      <c r="BN2194" s="73"/>
      <c r="BO2194" s="73"/>
      <c r="BP2194" s="73"/>
      <c r="BQ2194" s="73"/>
      <c r="BR2194" s="73"/>
      <c r="BS2194" s="73"/>
      <c r="BT2194" s="73"/>
      <c r="BU2194" s="73"/>
      <c r="BV2194" s="73"/>
      <c r="BW2194" s="73"/>
      <c r="BX2194" s="73"/>
      <c r="BY2194" s="73"/>
      <c r="BZ2194" s="73"/>
      <c r="CA2194" s="73"/>
      <c r="CB2194" s="73"/>
      <c r="CC2194" s="73"/>
      <c r="CD2194" s="73"/>
      <c r="CE2194" s="73"/>
      <c r="CF2194" s="73"/>
      <c r="CG2194" s="73"/>
      <c r="CH2194" s="73"/>
    </row>
    <row r="2195">
      <c r="A2195" s="80"/>
      <c r="B2195" s="80"/>
      <c r="C2195" s="80"/>
      <c r="D2195" s="80"/>
      <c r="E2195" s="124"/>
      <c r="F2195" s="80"/>
      <c r="G2195" s="80"/>
      <c r="H2195" s="80"/>
      <c r="I2195" s="80"/>
      <c r="J2195" s="196"/>
      <c r="K2195" s="196"/>
      <c r="L2195" s="196"/>
      <c r="M2195" s="196"/>
      <c r="N2195" s="196"/>
      <c r="O2195" s="196"/>
      <c r="P2195" s="196"/>
      <c r="Q2195" s="196"/>
      <c r="R2195" s="196"/>
      <c r="S2195" s="196"/>
      <c r="T2195" s="196"/>
      <c r="U2195" s="196"/>
      <c r="V2195" s="196"/>
      <c r="W2195" s="196"/>
      <c r="X2195" s="196"/>
      <c r="Y2195" s="196"/>
      <c r="Z2195" s="196"/>
      <c r="AA2195" s="196"/>
      <c r="AB2195" s="196"/>
      <c r="AC2195" s="196"/>
      <c r="AD2195" s="196"/>
      <c r="AE2195" s="196"/>
      <c r="AF2195" s="196"/>
      <c r="AG2195" s="196"/>
      <c r="AH2195" s="196"/>
      <c r="AI2195" s="196"/>
      <c r="AJ2195" s="197"/>
      <c r="AK2195" s="80"/>
      <c r="AL2195" s="80"/>
      <c r="AM2195" s="73"/>
      <c r="AN2195" s="73"/>
      <c r="AO2195" s="73"/>
      <c r="AP2195" s="73"/>
      <c r="AQ2195" s="73"/>
      <c r="AR2195" s="73"/>
      <c r="AS2195" s="73"/>
      <c r="AT2195" s="73"/>
      <c r="AU2195" s="73"/>
      <c r="AV2195" s="73"/>
      <c r="AW2195" s="73"/>
      <c r="AX2195" s="73"/>
      <c r="AY2195" s="73"/>
      <c r="AZ2195" s="73"/>
      <c r="BA2195" s="73"/>
      <c r="BB2195" s="73"/>
      <c r="BC2195" s="73"/>
      <c r="BD2195" s="73"/>
      <c r="BE2195" s="73"/>
      <c r="BF2195" s="73"/>
      <c r="BG2195" s="73"/>
      <c r="BH2195" s="73"/>
      <c r="BI2195" s="73"/>
      <c r="BJ2195" s="73"/>
      <c r="BK2195" s="73"/>
      <c r="BL2195" s="73"/>
      <c r="BM2195" s="73"/>
      <c r="BN2195" s="73"/>
      <c r="BO2195" s="73"/>
      <c r="BP2195" s="73"/>
      <c r="BQ2195" s="73"/>
      <c r="BR2195" s="73"/>
      <c r="BS2195" s="73"/>
      <c r="BT2195" s="73"/>
      <c r="BU2195" s="73"/>
      <c r="BV2195" s="73"/>
      <c r="BW2195" s="73"/>
      <c r="BX2195" s="73"/>
      <c r="BY2195" s="73"/>
      <c r="BZ2195" s="73"/>
      <c r="CA2195" s="73"/>
      <c r="CB2195" s="73"/>
      <c r="CC2195" s="73"/>
      <c r="CD2195" s="73"/>
      <c r="CE2195" s="73"/>
      <c r="CF2195" s="73"/>
      <c r="CG2195" s="73"/>
      <c r="CH2195" s="73"/>
    </row>
    <row r="2196">
      <c r="A2196" s="80"/>
      <c r="B2196" s="80"/>
      <c r="C2196" s="80"/>
      <c r="D2196" s="80"/>
      <c r="E2196" s="124"/>
      <c r="F2196" s="80"/>
      <c r="G2196" s="80"/>
      <c r="H2196" s="80"/>
      <c r="I2196" s="80"/>
      <c r="J2196" s="196"/>
      <c r="K2196" s="196"/>
      <c r="L2196" s="196"/>
      <c r="M2196" s="196"/>
      <c r="N2196" s="196"/>
      <c r="O2196" s="196"/>
      <c r="P2196" s="196"/>
      <c r="Q2196" s="196"/>
      <c r="R2196" s="196"/>
      <c r="S2196" s="196"/>
      <c r="T2196" s="196"/>
      <c r="U2196" s="196"/>
      <c r="V2196" s="196"/>
      <c r="W2196" s="196"/>
      <c r="X2196" s="196"/>
      <c r="Y2196" s="196"/>
      <c r="Z2196" s="196"/>
      <c r="AA2196" s="196"/>
      <c r="AB2196" s="196"/>
      <c r="AC2196" s="196"/>
      <c r="AD2196" s="196"/>
      <c r="AE2196" s="196"/>
      <c r="AF2196" s="196"/>
      <c r="AG2196" s="196"/>
      <c r="AH2196" s="196"/>
      <c r="AI2196" s="196"/>
      <c r="AJ2196" s="197"/>
      <c r="AK2196" s="80"/>
      <c r="AL2196" s="80"/>
      <c r="AM2196" s="73"/>
      <c r="AN2196" s="73"/>
      <c r="AO2196" s="73"/>
      <c r="AP2196" s="73"/>
      <c r="AQ2196" s="73"/>
      <c r="AR2196" s="73"/>
      <c r="AS2196" s="73"/>
      <c r="AT2196" s="73"/>
      <c r="AU2196" s="73"/>
      <c r="AV2196" s="73"/>
      <c r="AW2196" s="73"/>
      <c r="AX2196" s="73"/>
      <c r="AY2196" s="73"/>
      <c r="AZ2196" s="73"/>
      <c r="BA2196" s="73"/>
      <c r="BB2196" s="73"/>
      <c r="BC2196" s="73"/>
      <c r="BD2196" s="73"/>
      <c r="BE2196" s="73"/>
      <c r="BF2196" s="73"/>
      <c r="BG2196" s="73"/>
      <c r="BH2196" s="73"/>
      <c r="BI2196" s="73"/>
      <c r="BJ2196" s="73"/>
      <c r="BK2196" s="73"/>
      <c r="BL2196" s="73"/>
      <c r="BM2196" s="73"/>
      <c r="BN2196" s="73"/>
      <c r="BO2196" s="73"/>
      <c r="BP2196" s="73"/>
      <c r="BQ2196" s="73"/>
      <c r="BR2196" s="73"/>
      <c r="BS2196" s="73"/>
      <c r="BT2196" s="73"/>
      <c r="BU2196" s="73"/>
      <c r="BV2196" s="73"/>
      <c r="BW2196" s="73"/>
      <c r="BX2196" s="73"/>
      <c r="BY2196" s="73"/>
      <c r="BZ2196" s="73"/>
      <c r="CA2196" s="73"/>
      <c r="CB2196" s="73"/>
      <c r="CC2196" s="73"/>
      <c r="CD2196" s="73"/>
      <c r="CE2196" s="73"/>
      <c r="CF2196" s="73"/>
      <c r="CG2196" s="73"/>
      <c r="CH2196" s="73"/>
    </row>
    <row r="2197">
      <c r="A2197" s="80"/>
      <c r="B2197" s="80"/>
      <c r="C2197" s="80"/>
      <c r="D2197" s="80"/>
      <c r="E2197" s="124"/>
      <c r="F2197" s="80"/>
      <c r="G2197" s="80"/>
      <c r="H2197" s="80"/>
      <c r="I2197" s="80"/>
      <c r="J2197" s="196"/>
      <c r="K2197" s="196"/>
      <c r="L2197" s="196"/>
      <c r="M2197" s="196"/>
      <c r="N2197" s="196"/>
      <c r="O2197" s="196"/>
      <c r="P2197" s="196"/>
      <c r="Q2197" s="196"/>
      <c r="R2197" s="196"/>
      <c r="S2197" s="196"/>
      <c r="T2197" s="196"/>
      <c r="U2197" s="196"/>
      <c r="V2197" s="196"/>
      <c r="W2197" s="196"/>
      <c r="X2197" s="196"/>
      <c r="Y2197" s="196"/>
      <c r="Z2197" s="196"/>
      <c r="AA2197" s="196"/>
      <c r="AB2197" s="196"/>
      <c r="AC2197" s="196"/>
      <c r="AD2197" s="196"/>
      <c r="AE2197" s="196"/>
      <c r="AF2197" s="196"/>
      <c r="AG2197" s="196"/>
      <c r="AH2197" s="196"/>
      <c r="AI2197" s="196"/>
      <c r="AJ2197" s="197"/>
      <c r="AK2197" s="80"/>
      <c r="AL2197" s="80"/>
      <c r="AM2197" s="73"/>
      <c r="AN2197" s="73"/>
      <c r="AO2197" s="73"/>
      <c r="AP2197" s="73"/>
      <c r="AQ2197" s="73"/>
      <c r="AR2197" s="73"/>
      <c r="AS2197" s="73"/>
      <c r="AT2197" s="73"/>
      <c r="AU2197" s="73"/>
      <c r="AV2197" s="73"/>
      <c r="AW2197" s="73"/>
      <c r="AX2197" s="73"/>
      <c r="AY2197" s="73"/>
      <c r="AZ2197" s="73"/>
      <c r="BA2197" s="73"/>
      <c r="BB2197" s="73"/>
      <c r="BC2197" s="73"/>
      <c r="BD2197" s="73"/>
      <c r="BE2197" s="73"/>
      <c r="BF2197" s="73"/>
      <c r="BG2197" s="73"/>
      <c r="BH2197" s="73"/>
      <c r="BI2197" s="73"/>
      <c r="BJ2197" s="73"/>
      <c r="BK2197" s="73"/>
      <c r="BL2197" s="73"/>
      <c r="BM2197" s="73"/>
      <c r="BN2197" s="73"/>
      <c r="BO2197" s="73"/>
      <c r="BP2197" s="73"/>
      <c r="BQ2197" s="73"/>
      <c r="BR2197" s="73"/>
      <c r="BS2197" s="73"/>
      <c r="BT2197" s="73"/>
      <c r="BU2197" s="73"/>
      <c r="BV2197" s="73"/>
      <c r="BW2197" s="73"/>
      <c r="BX2197" s="73"/>
      <c r="BY2197" s="73"/>
      <c r="BZ2197" s="73"/>
      <c r="CA2197" s="73"/>
      <c r="CB2197" s="73"/>
      <c r="CC2197" s="73"/>
      <c r="CD2197" s="73"/>
      <c r="CE2197" s="73"/>
      <c r="CF2197" s="73"/>
      <c r="CG2197" s="73"/>
      <c r="CH2197" s="73"/>
    </row>
    <row r="2198">
      <c r="A2198" s="80"/>
      <c r="B2198" s="80"/>
      <c r="C2198" s="80"/>
      <c r="D2198" s="80"/>
      <c r="E2198" s="124"/>
      <c r="F2198" s="80"/>
      <c r="G2198" s="80"/>
      <c r="H2198" s="80"/>
      <c r="I2198" s="80"/>
      <c r="J2198" s="196"/>
      <c r="K2198" s="196"/>
      <c r="L2198" s="196"/>
      <c r="M2198" s="196"/>
      <c r="N2198" s="196"/>
      <c r="O2198" s="196"/>
      <c r="P2198" s="196"/>
      <c r="Q2198" s="196"/>
      <c r="R2198" s="196"/>
      <c r="S2198" s="196"/>
      <c r="T2198" s="196"/>
      <c r="U2198" s="196"/>
      <c r="V2198" s="196"/>
      <c r="W2198" s="196"/>
      <c r="X2198" s="196"/>
      <c r="Y2198" s="196"/>
      <c r="Z2198" s="196"/>
      <c r="AA2198" s="196"/>
      <c r="AB2198" s="196"/>
      <c r="AC2198" s="196"/>
      <c r="AD2198" s="196"/>
      <c r="AE2198" s="196"/>
      <c r="AF2198" s="196"/>
      <c r="AG2198" s="196"/>
      <c r="AH2198" s="196"/>
      <c r="AI2198" s="196"/>
      <c r="AJ2198" s="197"/>
      <c r="AK2198" s="80"/>
      <c r="AL2198" s="80"/>
      <c r="AM2198" s="73"/>
      <c r="AN2198" s="73"/>
      <c r="AO2198" s="73"/>
      <c r="AP2198" s="73"/>
      <c r="AQ2198" s="73"/>
      <c r="AR2198" s="73"/>
      <c r="AS2198" s="73"/>
      <c r="AT2198" s="73"/>
      <c r="AU2198" s="73"/>
      <c r="AV2198" s="73"/>
      <c r="AW2198" s="73"/>
      <c r="AX2198" s="73"/>
      <c r="AY2198" s="73"/>
      <c r="AZ2198" s="73"/>
      <c r="BA2198" s="73"/>
      <c r="BB2198" s="73"/>
      <c r="BC2198" s="73"/>
      <c r="BD2198" s="73"/>
      <c r="BE2198" s="73"/>
      <c r="BF2198" s="73"/>
      <c r="BG2198" s="73"/>
      <c r="BH2198" s="73"/>
      <c r="BI2198" s="73"/>
      <c r="BJ2198" s="73"/>
      <c r="BK2198" s="73"/>
      <c r="BL2198" s="73"/>
      <c r="BM2198" s="73"/>
      <c r="BN2198" s="73"/>
      <c r="BO2198" s="73"/>
      <c r="BP2198" s="73"/>
      <c r="BQ2198" s="73"/>
      <c r="BR2198" s="73"/>
      <c r="BS2198" s="73"/>
      <c r="BT2198" s="73"/>
      <c r="BU2198" s="73"/>
      <c r="BV2198" s="73"/>
      <c r="BW2198" s="73"/>
      <c r="BX2198" s="73"/>
      <c r="BY2198" s="73"/>
      <c r="BZ2198" s="73"/>
      <c r="CA2198" s="73"/>
      <c r="CB2198" s="73"/>
      <c r="CC2198" s="73"/>
      <c r="CD2198" s="73"/>
      <c r="CE2198" s="73"/>
      <c r="CF2198" s="73"/>
      <c r="CG2198" s="73"/>
      <c r="CH2198" s="73"/>
    </row>
    <row r="2199">
      <c r="A2199" s="80"/>
      <c r="B2199" s="80"/>
      <c r="C2199" s="80"/>
      <c r="D2199" s="80"/>
      <c r="E2199" s="124"/>
      <c r="F2199" s="80"/>
      <c r="G2199" s="80"/>
      <c r="H2199" s="80"/>
      <c r="I2199" s="80"/>
      <c r="J2199" s="196"/>
      <c r="K2199" s="196"/>
      <c r="L2199" s="196"/>
      <c r="M2199" s="196"/>
      <c r="N2199" s="196"/>
      <c r="O2199" s="196"/>
      <c r="P2199" s="196"/>
      <c r="Q2199" s="196"/>
      <c r="R2199" s="196"/>
      <c r="S2199" s="196"/>
      <c r="T2199" s="196"/>
      <c r="U2199" s="196"/>
      <c r="V2199" s="196"/>
      <c r="W2199" s="196"/>
      <c r="X2199" s="196"/>
      <c r="Y2199" s="196"/>
      <c r="Z2199" s="196"/>
      <c r="AA2199" s="196"/>
      <c r="AB2199" s="196"/>
      <c r="AC2199" s="196"/>
      <c r="AD2199" s="196"/>
      <c r="AE2199" s="196"/>
      <c r="AF2199" s="196"/>
      <c r="AG2199" s="196"/>
      <c r="AH2199" s="196"/>
      <c r="AI2199" s="196"/>
      <c r="AJ2199" s="197"/>
      <c r="AK2199" s="80"/>
      <c r="AL2199" s="80"/>
      <c r="AM2199" s="73"/>
      <c r="AN2199" s="73"/>
      <c r="AO2199" s="73"/>
      <c r="AP2199" s="73"/>
      <c r="AQ2199" s="73"/>
      <c r="AR2199" s="73"/>
      <c r="AS2199" s="73"/>
      <c r="AT2199" s="73"/>
      <c r="AU2199" s="73"/>
      <c r="AV2199" s="73"/>
      <c r="AW2199" s="73"/>
      <c r="AX2199" s="73"/>
      <c r="AY2199" s="73"/>
      <c r="AZ2199" s="73"/>
      <c r="BA2199" s="73"/>
      <c r="BB2199" s="73"/>
      <c r="BC2199" s="73"/>
      <c r="BD2199" s="73"/>
      <c r="BE2199" s="73"/>
      <c r="BF2199" s="73"/>
      <c r="BG2199" s="73"/>
      <c r="BH2199" s="73"/>
      <c r="BI2199" s="73"/>
      <c r="BJ2199" s="73"/>
      <c r="BK2199" s="73"/>
      <c r="BL2199" s="73"/>
      <c r="BM2199" s="73"/>
      <c r="BN2199" s="73"/>
      <c r="BO2199" s="73"/>
      <c r="BP2199" s="73"/>
      <c r="BQ2199" s="73"/>
      <c r="BR2199" s="73"/>
      <c r="BS2199" s="73"/>
      <c r="BT2199" s="73"/>
      <c r="BU2199" s="73"/>
      <c r="BV2199" s="73"/>
      <c r="BW2199" s="73"/>
      <c r="BX2199" s="73"/>
      <c r="BY2199" s="73"/>
      <c r="BZ2199" s="73"/>
      <c r="CA2199" s="73"/>
      <c r="CB2199" s="73"/>
      <c r="CC2199" s="73"/>
      <c r="CD2199" s="73"/>
      <c r="CE2199" s="73"/>
      <c r="CF2199" s="73"/>
      <c r="CG2199" s="73"/>
      <c r="CH2199" s="73"/>
    </row>
    <row r="2200">
      <c r="A2200" s="80"/>
      <c r="B2200" s="80"/>
      <c r="C2200" s="80"/>
      <c r="D2200" s="80"/>
      <c r="E2200" s="124"/>
      <c r="F2200" s="80"/>
      <c r="G2200" s="80"/>
      <c r="H2200" s="80"/>
      <c r="I2200" s="80"/>
      <c r="J2200" s="196"/>
      <c r="K2200" s="196"/>
      <c r="L2200" s="196"/>
      <c r="M2200" s="196"/>
      <c r="N2200" s="196"/>
      <c r="O2200" s="196"/>
      <c r="P2200" s="196"/>
      <c r="Q2200" s="196"/>
      <c r="R2200" s="196"/>
      <c r="S2200" s="196"/>
      <c r="T2200" s="196"/>
      <c r="U2200" s="196"/>
      <c r="V2200" s="196"/>
      <c r="W2200" s="196"/>
      <c r="X2200" s="196"/>
      <c r="Y2200" s="196"/>
      <c r="Z2200" s="196"/>
      <c r="AA2200" s="196"/>
      <c r="AB2200" s="196"/>
      <c r="AC2200" s="196"/>
      <c r="AD2200" s="196"/>
      <c r="AE2200" s="196"/>
      <c r="AF2200" s="196"/>
      <c r="AG2200" s="196"/>
      <c r="AH2200" s="196"/>
      <c r="AI2200" s="196"/>
      <c r="AJ2200" s="197"/>
      <c r="AK2200" s="80"/>
      <c r="AL2200" s="80"/>
      <c r="AM2200" s="73"/>
      <c r="AN2200" s="73"/>
      <c r="AO2200" s="73"/>
      <c r="AP2200" s="73"/>
      <c r="AQ2200" s="73"/>
      <c r="AR2200" s="73"/>
      <c r="AS2200" s="73"/>
      <c r="AT2200" s="73"/>
      <c r="AU2200" s="73"/>
      <c r="AV2200" s="73"/>
      <c r="AW2200" s="73"/>
      <c r="AX2200" s="73"/>
      <c r="AY2200" s="73"/>
      <c r="AZ2200" s="73"/>
      <c r="BA2200" s="73"/>
      <c r="BB2200" s="73"/>
      <c r="BC2200" s="73"/>
      <c r="BD2200" s="73"/>
      <c r="BE2200" s="73"/>
      <c r="BF2200" s="73"/>
      <c r="BG2200" s="73"/>
      <c r="BH2200" s="73"/>
      <c r="BI2200" s="73"/>
      <c r="BJ2200" s="73"/>
      <c r="BK2200" s="73"/>
      <c r="BL2200" s="73"/>
      <c r="BM2200" s="73"/>
      <c r="BN2200" s="73"/>
      <c r="BO2200" s="73"/>
      <c r="BP2200" s="73"/>
      <c r="BQ2200" s="73"/>
      <c r="BR2200" s="73"/>
      <c r="BS2200" s="73"/>
      <c r="BT2200" s="73"/>
      <c r="BU2200" s="73"/>
      <c r="BV2200" s="73"/>
      <c r="BW2200" s="73"/>
      <c r="BX2200" s="73"/>
      <c r="BY2200" s="73"/>
      <c r="BZ2200" s="73"/>
      <c r="CA2200" s="73"/>
      <c r="CB2200" s="73"/>
      <c r="CC2200" s="73"/>
      <c r="CD2200" s="73"/>
      <c r="CE2200" s="73"/>
      <c r="CF2200" s="73"/>
      <c r="CG2200" s="73"/>
      <c r="CH2200" s="73"/>
    </row>
    <row r="2201">
      <c r="A2201" s="80"/>
      <c r="B2201" s="80"/>
      <c r="C2201" s="80"/>
      <c r="D2201" s="80"/>
      <c r="E2201" s="124"/>
      <c r="F2201" s="80"/>
      <c r="G2201" s="80"/>
      <c r="H2201" s="80"/>
      <c r="I2201" s="80"/>
      <c r="J2201" s="196"/>
      <c r="K2201" s="196"/>
      <c r="L2201" s="196"/>
      <c r="M2201" s="196"/>
      <c r="N2201" s="196"/>
      <c r="O2201" s="196"/>
      <c r="P2201" s="196"/>
      <c r="Q2201" s="196"/>
      <c r="R2201" s="196"/>
      <c r="S2201" s="196"/>
      <c r="T2201" s="196"/>
      <c r="U2201" s="196"/>
      <c r="V2201" s="196"/>
      <c r="W2201" s="196"/>
      <c r="X2201" s="196"/>
      <c r="Y2201" s="196"/>
      <c r="Z2201" s="196"/>
      <c r="AA2201" s="196"/>
      <c r="AB2201" s="196"/>
      <c r="AC2201" s="196"/>
      <c r="AD2201" s="196"/>
      <c r="AE2201" s="196"/>
      <c r="AF2201" s="196"/>
      <c r="AG2201" s="196"/>
      <c r="AH2201" s="196"/>
      <c r="AI2201" s="196"/>
      <c r="AJ2201" s="197"/>
      <c r="AK2201" s="80"/>
      <c r="AL2201" s="80"/>
      <c r="AM2201" s="73"/>
      <c r="AN2201" s="73"/>
      <c r="AO2201" s="73"/>
      <c r="AP2201" s="73"/>
      <c r="AQ2201" s="73"/>
      <c r="AR2201" s="73"/>
      <c r="AS2201" s="73"/>
      <c r="AT2201" s="73"/>
      <c r="AU2201" s="73"/>
      <c r="AV2201" s="73"/>
      <c r="AW2201" s="73"/>
      <c r="AX2201" s="73"/>
      <c r="AY2201" s="73"/>
      <c r="AZ2201" s="73"/>
      <c r="BA2201" s="73"/>
      <c r="BB2201" s="73"/>
      <c r="BC2201" s="73"/>
      <c r="BD2201" s="73"/>
      <c r="BE2201" s="73"/>
      <c r="BF2201" s="73"/>
      <c r="BG2201" s="73"/>
      <c r="BH2201" s="73"/>
      <c r="BI2201" s="73"/>
      <c r="BJ2201" s="73"/>
      <c r="BK2201" s="73"/>
      <c r="BL2201" s="73"/>
      <c r="BM2201" s="73"/>
      <c r="BN2201" s="73"/>
      <c r="BO2201" s="73"/>
      <c r="BP2201" s="73"/>
      <c r="BQ2201" s="73"/>
      <c r="BR2201" s="73"/>
      <c r="BS2201" s="73"/>
      <c r="BT2201" s="73"/>
      <c r="BU2201" s="73"/>
      <c r="BV2201" s="73"/>
      <c r="BW2201" s="73"/>
      <c r="BX2201" s="73"/>
      <c r="BY2201" s="73"/>
      <c r="BZ2201" s="73"/>
      <c r="CA2201" s="73"/>
      <c r="CB2201" s="73"/>
      <c r="CC2201" s="73"/>
      <c r="CD2201" s="73"/>
      <c r="CE2201" s="73"/>
      <c r="CF2201" s="73"/>
      <c r="CG2201" s="73"/>
      <c r="CH2201" s="73"/>
    </row>
    <row r="2202">
      <c r="A2202" s="80"/>
      <c r="B2202" s="80"/>
      <c r="C2202" s="80"/>
      <c r="D2202" s="80"/>
      <c r="E2202" s="124"/>
      <c r="F2202" s="80"/>
      <c r="G2202" s="80"/>
      <c r="H2202" s="80"/>
      <c r="I2202" s="80"/>
      <c r="J2202" s="196"/>
      <c r="K2202" s="196"/>
      <c r="L2202" s="196"/>
      <c r="M2202" s="196"/>
      <c r="N2202" s="196"/>
      <c r="O2202" s="196"/>
      <c r="P2202" s="196"/>
      <c r="Q2202" s="196"/>
      <c r="R2202" s="196"/>
      <c r="S2202" s="196"/>
      <c r="T2202" s="196"/>
      <c r="U2202" s="196"/>
      <c r="V2202" s="196"/>
      <c r="W2202" s="196"/>
      <c r="X2202" s="196"/>
      <c r="Y2202" s="196"/>
      <c r="Z2202" s="196"/>
      <c r="AA2202" s="196"/>
      <c r="AB2202" s="196"/>
      <c r="AC2202" s="196"/>
      <c r="AD2202" s="196"/>
      <c r="AE2202" s="196"/>
      <c r="AF2202" s="196"/>
      <c r="AG2202" s="196"/>
      <c r="AH2202" s="196"/>
      <c r="AI2202" s="196"/>
      <c r="AJ2202" s="197"/>
      <c r="AK2202" s="80"/>
      <c r="AL2202" s="80"/>
      <c r="AM2202" s="73"/>
      <c r="AN2202" s="73"/>
      <c r="AO2202" s="73"/>
      <c r="AP2202" s="73"/>
      <c r="AQ2202" s="73"/>
      <c r="AR2202" s="73"/>
      <c r="AS2202" s="73"/>
      <c r="AT2202" s="73"/>
      <c r="AU2202" s="73"/>
      <c r="AV2202" s="73"/>
      <c r="AW2202" s="73"/>
      <c r="AX2202" s="73"/>
      <c r="AY2202" s="73"/>
      <c r="AZ2202" s="73"/>
      <c r="BA2202" s="73"/>
      <c r="BB2202" s="73"/>
      <c r="BC2202" s="73"/>
      <c r="BD2202" s="73"/>
      <c r="BE2202" s="73"/>
      <c r="BF2202" s="73"/>
      <c r="BG2202" s="73"/>
      <c r="BH2202" s="73"/>
      <c r="BI2202" s="73"/>
      <c r="BJ2202" s="73"/>
      <c r="BK2202" s="73"/>
      <c r="BL2202" s="73"/>
      <c r="BM2202" s="73"/>
      <c r="BN2202" s="73"/>
      <c r="BO2202" s="73"/>
      <c r="BP2202" s="73"/>
      <c r="BQ2202" s="73"/>
      <c r="BR2202" s="73"/>
      <c r="BS2202" s="73"/>
      <c r="BT2202" s="73"/>
      <c r="BU2202" s="73"/>
      <c r="BV2202" s="73"/>
      <c r="BW2202" s="73"/>
      <c r="BX2202" s="73"/>
      <c r="BY2202" s="73"/>
      <c r="BZ2202" s="73"/>
      <c r="CA2202" s="73"/>
      <c r="CB2202" s="73"/>
      <c r="CC2202" s="73"/>
      <c r="CD2202" s="73"/>
      <c r="CE2202" s="73"/>
      <c r="CF2202" s="73"/>
      <c r="CG2202" s="73"/>
      <c r="CH2202" s="73"/>
    </row>
    <row r="2203">
      <c r="A2203" s="80"/>
      <c r="B2203" s="80"/>
      <c r="C2203" s="80"/>
      <c r="D2203" s="80"/>
      <c r="E2203" s="124"/>
      <c r="F2203" s="80"/>
      <c r="G2203" s="80"/>
      <c r="H2203" s="80"/>
      <c r="I2203" s="80"/>
      <c r="J2203" s="196"/>
      <c r="K2203" s="196"/>
      <c r="L2203" s="196"/>
      <c r="M2203" s="196"/>
      <c r="N2203" s="196"/>
      <c r="O2203" s="196"/>
      <c r="P2203" s="196"/>
      <c r="Q2203" s="196"/>
      <c r="R2203" s="196"/>
      <c r="S2203" s="196"/>
      <c r="T2203" s="196"/>
      <c r="U2203" s="196"/>
      <c r="V2203" s="196"/>
      <c r="W2203" s="196"/>
      <c r="X2203" s="196"/>
      <c r="Y2203" s="196"/>
      <c r="Z2203" s="196"/>
      <c r="AA2203" s="196"/>
      <c r="AB2203" s="196"/>
      <c r="AC2203" s="196"/>
      <c r="AD2203" s="196"/>
      <c r="AE2203" s="196"/>
      <c r="AF2203" s="196"/>
      <c r="AG2203" s="196"/>
      <c r="AH2203" s="196"/>
      <c r="AI2203" s="196"/>
      <c r="AJ2203" s="197"/>
      <c r="AK2203" s="80"/>
      <c r="AL2203" s="80"/>
      <c r="AM2203" s="73"/>
      <c r="AN2203" s="73"/>
      <c r="AO2203" s="73"/>
      <c r="AP2203" s="73"/>
      <c r="AQ2203" s="73"/>
      <c r="AR2203" s="73"/>
      <c r="AS2203" s="73"/>
      <c r="AT2203" s="73"/>
      <c r="AU2203" s="73"/>
      <c r="AV2203" s="73"/>
      <c r="AW2203" s="73"/>
      <c r="AX2203" s="73"/>
      <c r="AY2203" s="73"/>
      <c r="AZ2203" s="73"/>
      <c r="BA2203" s="73"/>
      <c r="BB2203" s="73"/>
      <c r="BC2203" s="73"/>
      <c r="BD2203" s="73"/>
      <c r="BE2203" s="73"/>
      <c r="BF2203" s="73"/>
      <c r="BG2203" s="73"/>
      <c r="BH2203" s="73"/>
      <c r="BI2203" s="73"/>
      <c r="BJ2203" s="73"/>
      <c r="BK2203" s="73"/>
      <c r="BL2203" s="73"/>
      <c r="BM2203" s="73"/>
      <c r="BN2203" s="73"/>
      <c r="BO2203" s="73"/>
      <c r="BP2203" s="73"/>
      <c r="BQ2203" s="73"/>
      <c r="BR2203" s="73"/>
      <c r="BS2203" s="73"/>
      <c r="BT2203" s="73"/>
      <c r="BU2203" s="73"/>
      <c r="BV2203" s="73"/>
      <c r="BW2203" s="73"/>
      <c r="BX2203" s="73"/>
      <c r="BY2203" s="73"/>
      <c r="BZ2203" s="73"/>
      <c r="CA2203" s="73"/>
      <c r="CB2203" s="73"/>
      <c r="CC2203" s="73"/>
      <c r="CD2203" s="73"/>
      <c r="CE2203" s="73"/>
      <c r="CF2203" s="73"/>
      <c r="CG2203" s="73"/>
      <c r="CH2203" s="73"/>
    </row>
    <row r="2204">
      <c r="A2204" s="80"/>
      <c r="B2204" s="80"/>
      <c r="C2204" s="80"/>
      <c r="D2204" s="80"/>
      <c r="E2204" s="124"/>
      <c r="F2204" s="80"/>
      <c r="G2204" s="80"/>
      <c r="H2204" s="80"/>
      <c r="I2204" s="80"/>
      <c r="J2204" s="196"/>
      <c r="K2204" s="196"/>
      <c r="L2204" s="196"/>
      <c r="M2204" s="196"/>
      <c r="N2204" s="196"/>
      <c r="O2204" s="196"/>
      <c r="P2204" s="196"/>
      <c r="Q2204" s="196"/>
      <c r="R2204" s="196"/>
      <c r="S2204" s="196"/>
      <c r="T2204" s="196"/>
      <c r="U2204" s="196"/>
      <c r="V2204" s="196"/>
      <c r="W2204" s="196"/>
      <c r="X2204" s="196"/>
      <c r="Y2204" s="196"/>
      <c r="Z2204" s="196"/>
      <c r="AA2204" s="196"/>
      <c r="AB2204" s="196"/>
      <c r="AC2204" s="196"/>
      <c r="AD2204" s="196"/>
      <c r="AE2204" s="196"/>
      <c r="AF2204" s="196"/>
      <c r="AG2204" s="196"/>
      <c r="AH2204" s="196"/>
      <c r="AI2204" s="196"/>
      <c r="AJ2204" s="197"/>
      <c r="AK2204" s="80"/>
      <c r="AL2204" s="80"/>
      <c r="AM2204" s="73"/>
      <c r="AN2204" s="73"/>
      <c r="AO2204" s="73"/>
      <c r="AP2204" s="73"/>
      <c r="AQ2204" s="73"/>
      <c r="AR2204" s="73"/>
      <c r="AS2204" s="73"/>
      <c r="AT2204" s="73"/>
      <c r="AU2204" s="73"/>
      <c r="AV2204" s="73"/>
      <c r="AW2204" s="73"/>
      <c r="AX2204" s="73"/>
      <c r="AY2204" s="73"/>
      <c r="AZ2204" s="73"/>
      <c r="BA2204" s="73"/>
      <c r="BB2204" s="73"/>
      <c r="BC2204" s="73"/>
      <c r="BD2204" s="73"/>
      <c r="BE2204" s="73"/>
      <c r="BF2204" s="73"/>
      <c r="BG2204" s="73"/>
      <c r="BH2204" s="73"/>
      <c r="BI2204" s="73"/>
      <c r="BJ2204" s="73"/>
      <c r="BK2204" s="73"/>
      <c r="BL2204" s="73"/>
      <c r="BM2204" s="73"/>
      <c r="BN2204" s="73"/>
      <c r="BO2204" s="73"/>
      <c r="BP2204" s="73"/>
      <c r="BQ2204" s="73"/>
      <c r="BR2204" s="73"/>
      <c r="BS2204" s="73"/>
      <c r="BT2204" s="73"/>
      <c r="BU2204" s="73"/>
      <c r="BV2204" s="73"/>
      <c r="BW2204" s="73"/>
      <c r="BX2204" s="73"/>
      <c r="BY2204" s="73"/>
      <c r="BZ2204" s="73"/>
      <c r="CA2204" s="73"/>
      <c r="CB2204" s="73"/>
      <c r="CC2204" s="73"/>
      <c r="CD2204" s="73"/>
      <c r="CE2204" s="73"/>
      <c r="CF2204" s="73"/>
      <c r="CG2204" s="73"/>
      <c r="CH2204" s="73"/>
    </row>
    <row r="2205">
      <c r="A2205" s="80"/>
      <c r="B2205" s="80"/>
      <c r="C2205" s="80"/>
      <c r="D2205" s="80"/>
      <c r="E2205" s="124"/>
      <c r="F2205" s="80"/>
      <c r="G2205" s="80"/>
      <c r="H2205" s="80"/>
      <c r="I2205" s="80"/>
      <c r="J2205" s="196"/>
      <c r="K2205" s="196"/>
      <c r="L2205" s="196"/>
      <c r="M2205" s="196"/>
      <c r="N2205" s="196"/>
      <c r="O2205" s="196"/>
      <c r="P2205" s="196"/>
      <c r="Q2205" s="196"/>
      <c r="R2205" s="196"/>
      <c r="S2205" s="196"/>
      <c r="T2205" s="196"/>
      <c r="U2205" s="196"/>
      <c r="V2205" s="196"/>
      <c r="W2205" s="196"/>
      <c r="X2205" s="196"/>
      <c r="Y2205" s="196"/>
      <c r="Z2205" s="196"/>
      <c r="AA2205" s="196"/>
      <c r="AB2205" s="196"/>
      <c r="AC2205" s="196"/>
      <c r="AD2205" s="196"/>
      <c r="AE2205" s="196"/>
      <c r="AF2205" s="196"/>
      <c r="AG2205" s="196"/>
      <c r="AH2205" s="196"/>
      <c r="AI2205" s="196"/>
      <c r="AJ2205" s="197"/>
      <c r="AK2205" s="80"/>
      <c r="AL2205" s="80"/>
      <c r="AM2205" s="73"/>
      <c r="AN2205" s="73"/>
      <c r="AO2205" s="73"/>
      <c r="AP2205" s="73"/>
      <c r="AQ2205" s="73"/>
      <c r="AR2205" s="73"/>
      <c r="AS2205" s="73"/>
      <c r="AT2205" s="73"/>
      <c r="AU2205" s="73"/>
      <c r="AV2205" s="73"/>
      <c r="AW2205" s="73"/>
      <c r="AX2205" s="73"/>
      <c r="AY2205" s="73"/>
      <c r="AZ2205" s="73"/>
      <c r="BA2205" s="73"/>
      <c r="BB2205" s="73"/>
      <c r="BC2205" s="73"/>
      <c r="BD2205" s="73"/>
      <c r="BE2205" s="73"/>
      <c r="BF2205" s="73"/>
      <c r="BG2205" s="73"/>
      <c r="BH2205" s="73"/>
      <c r="BI2205" s="73"/>
      <c r="BJ2205" s="73"/>
      <c r="BK2205" s="73"/>
      <c r="BL2205" s="73"/>
      <c r="BM2205" s="73"/>
      <c r="BN2205" s="73"/>
      <c r="BO2205" s="73"/>
      <c r="BP2205" s="73"/>
      <c r="BQ2205" s="73"/>
      <c r="BR2205" s="73"/>
      <c r="BS2205" s="73"/>
      <c r="BT2205" s="73"/>
      <c r="BU2205" s="73"/>
      <c r="BV2205" s="73"/>
      <c r="BW2205" s="73"/>
      <c r="BX2205" s="73"/>
      <c r="BY2205" s="73"/>
      <c r="BZ2205" s="73"/>
      <c r="CA2205" s="73"/>
      <c r="CB2205" s="73"/>
      <c r="CC2205" s="73"/>
      <c r="CD2205" s="73"/>
      <c r="CE2205" s="73"/>
      <c r="CF2205" s="73"/>
      <c r="CG2205" s="73"/>
      <c r="CH2205" s="73"/>
    </row>
    <row r="2206">
      <c r="A2206" s="80"/>
      <c r="B2206" s="80"/>
      <c r="C2206" s="80"/>
      <c r="D2206" s="80"/>
      <c r="E2206" s="124"/>
      <c r="F2206" s="80"/>
      <c r="G2206" s="80"/>
      <c r="H2206" s="80"/>
      <c r="I2206" s="80"/>
      <c r="J2206" s="196"/>
      <c r="K2206" s="196"/>
      <c r="L2206" s="196"/>
      <c r="M2206" s="196"/>
      <c r="N2206" s="196"/>
      <c r="O2206" s="196"/>
      <c r="P2206" s="196"/>
      <c r="Q2206" s="196"/>
      <c r="R2206" s="196"/>
      <c r="S2206" s="196"/>
      <c r="T2206" s="196"/>
      <c r="U2206" s="196"/>
      <c r="V2206" s="196"/>
      <c r="W2206" s="196"/>
      <c r="X2206" s="196"/>
      <c r="Y2206" s="196"/>
      <c r="Z2206" s="196"/>
      <c r="AA2206" s="196"/>
      <c r="AB2206" s="196"/>
      <c r="AC2206" s="196"/>
      <c r="AD2206" s="196"/>
      <c r="AE2206" s="196"/>
      <c r="AF2206" s="196"/>
      <c r="AG2206" s="196"/>
      <c r="AH2206" s="196"/>
      <c r="AI2206" s="196"/>
      <c r="AJ2206" s="197"/>
      <c r="AK2206" s="80"/>
      <c r="AL2206" s="80"/>
      <c r="AM2206" s="73"/>
      <c r="AN2206" s="73"/>
      <c r="AO2206" s="73"/>
      <c r="AP2206" s="73"/>
      <c r="AQ2206" s="73"/>
      <c r="AR2206" s="73"/>
      <c r="AS2206" s="73"/>
      <c r="AT2206" s="73"/>
      <c r="AU2206" s="73"/>
      <c r="AV2206" s="73"/>
      <c r="AW2206" s="73"/>
      <c r="AX2206" s="73"/>
      <c r="AY2206" s="73"/>
      <c r="AZ2206" s="73"/>
      <c r="BA2206" s="73"/>
      <c r="BB2206" s="73"/>
      <c r="BC2206" s="73"/>
      <c r="BD2206" s="73"/>
      <c r="BE2206" s="73"/>
      <c r="BF2206" s="73"/>
      <c r="BG2206" s="73"/>
      <c r="BH2206" s="73"/>
      <c r="BI2206" s="73"/>
      <c r="BJ2206" s="73"/>
      <c r="BK2206" s="73"/>
      <c r="BL2206" s="73"/>
      <c r="BM2206" s="73"/>
      <c r="BN2206" s="73"/>
      <c r="BO2206" s="73"/>
      <c r="BP2206" s="73"/>
      <c r="BQ2206" s="73"/>
      <c r="BR2206" s="73"/>
      <c r="BS2206" s="73"/>
      <c r="BT2206" s="73"/>
      <c r="BU2206" s="73"/>
      <c r="BV2206" s="73"/>
      <c r="BW2206" s="73"/>
      <c r="BX2206" s="73"/>
      <c r="BY2206" s="73"/>
      <c r="BZ2206" s="73"/>
      <c r="CA2206" s="73"/>
      <c r="CB2206" s="73"/>
      <c r="CC2206" s="73"/>
      <c r="CD2206" s="73"/>
      <c r="CE2206" s="73"/>
      <c r="CF2206" s="73"/>
      <c r="CG2206" s="73"/>
      <c r="CH2206" s="73"/>
    </row>
    <row r="2207">
      <c r="A2207" s="80"/>
      <c r="B2207" s="80"/>
      <c r="C2207" s="80"/>
      <c r="D2207" s="80"/>
      <c r="E2207" s="124"/>
      <c r="F2207" s="80"/>
      <c r="G2207" s="80"/>
      <c r="H2207" s="80"/>
      <c r="I2207" s="80"/>
      <c r="J2207" s="196"/>
      <c r="K2207" s="196"/>
      <c r="L2207" s="196"/>
      <c r="M2207" s="196"/>
      <c r="N2207" s="196"/>
      <c r="O2207" s="196"/>
      <c r="P2207" s="196"/>
      <c r="Q2207" s="196"/>
      <c r="R2207" s="196"/>
      <c r="S2207" s="196"/>
      <c r="T2207" s="196"/>
      <c r="U2207" s="196"/>
      <c r="V2207" s="196"/>
      <c r="W2207" s="196"/>
      <c r="X2207" s="196"/>
      <c r="Y2207" s="196"/>
      <c r="Z2207" s="196"/>
      <c r="AA2207" s="196"/>
      <c r="AB2207" s="196"/>
      <c r="AC2207" s="196"/>
      <c r="AD2207" s="196"/>
      <c r="AE2207" s="196"/>
      <c r="AF2207" s="196"/>
      <c r="AG2207" s="196"/>
      <c r="AH2207" s="196"/>
      <c r="AI2207" s="196"/>
      <c r="AJ2207" s="197"/>
      <c r="AK2207" s="80"/>
      <c r="AL2207" s="80"/>
      <c r="AM2207" s="73"/>
      <c r="AN2207" s="73"/>
      <c r="AO2207" s="73"/>
      <c r="AP2207" s="73"/>
      <c r="AQ2207" s="73"/>
      <c r="AR2207" s="73"/>
      <c r="AS2207" s="73"/>
      <c r="AT2207" s="73"/>
      <c r="AU2207" s="73"/>
      <c r="AV2207" s="73"/>
      <c r="AW2207" s="73"/>
      <c r="AX2207" s="73"/>
      <c r="AY2207" s="73"/>
      <c r="AZ2207" s="73"/>
      <c r="BA2207" s="73"/>
      <c r="BB2207" s="73"/>
      <c r="BC2207" s="73"/>
      <c r="BD2207" s="73"/>
      <c r="BE2207" s="73"/>
      <c r="BF2207" s="73"/>
      <c r="BG2207" s="73"/>
      <c r="BH2207" s="73"/>
      <c r="BI2207" s="73"/>
      <c r="BJ2207" s="73"/>
      <c r="BK2207" s="73"/>
      <c r="BL2207" s="73"/>
      <c r="BM2207" s="73"/>
      <c r="BN2207" s="73"/>
      <c r="BO2207" s="73"/>
      <c r="BP2207" s="73"/>
      <c r="BQ2207" s="73"/>
      <c r="BR2207" s="73"/>
      <c r="BS2207" s="73"/>
      <c r="BT2207" s="73"/>
      <c r="BU2207" s="73"/>
      <c r="BV2207" s="73"/>
      <c r="BW2207" s="73"/>
      <c r="BX2207" s="73"/>
      <c r="BY2207" s="73"/>
      <c r="BZ2207" s="73"/>
      <c r="CA2207" s="73"/>
      <c r="CB2207" s="73"/>
      <c r="CC2207" s="73"/>
      <c r="CD2207" s="73"/>
      <c r="CE2207" s="73"/>
      <c r="CF2207" s="73"/>
      <c r="CG2207" s="73"/>
      <c r="CH2207" s="73"/>
    </row>
    <row r="2208">
      <c r="A2208" s="80"/>
      <c r="B2208" s="80"/>
      <c r="C2208" s="80"/>
      <c r="D2208" s="80"/>
      <c r="E2208" s="124"/>
      <c r="F2208" s="80"/>
      <c r="G2208" s="80"/>
      <c r="H2208" s="80"/>
      <c r="I2208" s="80"/>
      <c r="J2208" s="196"/>
      <c r="K2208" s="196"/>
      <c r="L2208" s="196"/>
      <c r="M2208" s="196"/>
      <c r="N2208" s="196"/>
      <c r="O2208" s="196"/>
      <c r="P2208" s="196"/>
      <c r="Q2208" s="196"/>
      <c r="R2208" s="196"/>
      <c r="S2208" s="196"/>
      <c r="T2208" s="196"/>
      <c r="U2208" s="196"/>
      <c r="V2208" s="196"/>
      <c r="W2208" s="196"/>
      <c r="X2208" s="196"/>
      <c r="Y2208" s="196"/>
      <c r="Z2208" s="196"/>
      <c r="AA2208" s="196"/>
      <c r="AB2208" s="196"/>
      <c r="AC2208" s="196"/>
      <c r="AD2208" s="196"/>
      <c r="AE2208" s="196"/>
      <c r="AF2208" s="196"/>
      <c r="AG2208" s="196"/>
      <c r="AH2208" s="196"/>
      <c r="AI2208" s="196"/>
      <c r="AJ2208" s="197"/>
      <c r="AK2208" s="80"/>
      <c r="AL2208" s="80"/>
      <c r="AM2208" s="73"/>
      <c r="AN2208" s="73"/>
      <c r="AO2208" s="73"/>
      <c r="AP2208" s="73"/>
      <c r="AQ2208" s="73"/>
      <c r="AR2208" s="73"/>
      <c r="AS2208" s="73"/>
      <c r="AT2208" s="73"/>
      <c r="AU2208" s="73"/>
      <c r="AV2208" s="73"/>
      <c r="AW2208" s="73"/>
      <c r="AX2208" s="73"/>
      <c r="AY2208" s="73"/>
      <c r="AZ2208" s="73"/>
      <c r="BA2208" s="73"/>
      <c r="BB2208" s="73"/>
      <c r="BC2208" s="73"/>
      <c r="BD2208" s="73"/>
      <c r="BE2208" s="73"/>
      <c r="BF2208" s="73"/>
      <c r="BG2208" s="73"/>
      <c r="BH2208" s="73"/>
      <c r="BI2208" s="73"/>
      <c r="BJ2208" s="73"/>
      <c r="BK2208" s="73"/>
      <c r="BL2208" s="73"/>
      <c r="BM2208" s="73"/>
      <c r="BN2208" s="73"/>
      <c r="BO2208" s="73"/>
      <c r="BP2208" s="73"/>
      <c r="BQ2208" s="73"/>
      <c r="BR2208" s="73"/>
      <c r="BS2208" s="73"/>
      <c r="BT2208" s="73"/>
      <c r="BU2208" s="73"/>
      <c r="BV2208" s="73"/>
      <c r="BW2208" s="73"/>
      <c r="BX2208" s="73"/>
      <c r="BY2208" s="73"/>
      <c r="BZ2208" s="73"/>
      <c r="CA2208" s="73"/>
      <c r="CB2208" s="73"/>
      <c r="CC2208" s="73"/>
      <c r="CD2208" s="73"/>
      <c r="CE2208" s="73"/>
      <c r="CF2208" s="73"/>
      <c r="CG2208" s="73"/>
      <c r="CH2208" s="73"/>
    </row>
    <row r="2209">
      <c r="A2209" s="80"/>
      <c r="B2209" s="80"/>
      <c r="C2209" s="80"/>
      <c r="D2209" s="80"/>
      <c r="E2209" s="124"/>
      <c r="F2209" s="80"/>
      <c r="G2209" s="80"/>
      <c r="H2209" s="80"/>
      <c r="I2209" s="80"/>
      <c r="J2209" s="196"/>
      <c r="K2209" s="196"/>
      <c r="L2209" s="196"/>
      <c r="M2209" s="196"/>
      <c r="N2209" s="196"/>
      <c r="O2209" s="196"/>
      <c r="P2209" s="196"/>
      <c r="Q2209" s="196"/>
      <c r="R2209" s="196"/>
      <c r="S2209" s="196"/>
      <c r="T2209" s="196"/>
      <c r="U2209" s="196"/>
      <c r="V2209" s="196"/>
      <c r="W2209" s="196"/>
      <c r="X2209" s="196"/>
      <c r="Y2209" s="196"/>
      <c r="Z2209" s="196"/>
      <c r="AA2209" s="196"/>
      <c r="AB2209" s="196"/>
      <c r="AC2209" s="196"/>
      <c r="AD2209" s="196"/>
      <c r="AE2209" s="196"/>
      <c r="AF2209" s="196"/>
      <c r="AG2209" s="196"/>
      <c r="AH2209" s="196"/>
      <c r="AI2209" s="196"/>
      <c r="AJ2209" s="197"/>
      <c r="AK2209" s="80"/>
      <c r="AL2209" s="80"/>
      <c r="AM2209" s="73"/>
      <c r="AN2209" s="73"/>
      <c r="AO2209" s="73"/>
      <c r="AP2209" s="73"/>
      <c r="AQ2209" s="73"/>
      <c r="AR2209" s="73"/>
      <c r="AS2209" s="73"/>
      <c r="AT2209" s="73"/>
      <c r="AU2209" s="73"/>
      <c r="AV2209" s="73"/>
      <c r="AW2209" s="73"/>
      <c r="AX2209" s="73"/>
      <c r="AY2209" s="73"/>
      <c r="AZ2209" s="73"/>
      <c r="BA2209" s="73"/>
      <c r="BB2209" s="73"/>
      <c r="BC2209" s="73"/>
      <c r="BD2209" s="73"/>
      <c r="BE2209" s="73"/>
      <c r="BF2209" s="73"/>
      <c r="BG2209" s="73"/>
      <c r="BH2209" s="73"/>
      <c r="BI2209" s="73"/>
      <c r="BJ2209" s="73"/>
      <c r="BK2209" s="73"/>
      <c r="BL2209" s="73"/>
      <c r="BM2209" s="73"/>
      <c r="BN2209" s="73"/>
      <c r="BO2209" s="73"/>
      <c r="BP2209" s="73"/>
      <c r="BQ2209" s="73"/>
      <c r="BR2209" s="73"/>
      <c r="BS2209" s="73"/>
      <c r="BT2209" s="73"/>
      <c r="BU2209" s="73"/>
      <c r="BV2209" s="73"/>
      <c r="BW2209" s="73"/>
      <c r="BX2209" s="73"/>
      <c r="BY2209" s="73"/>
      <c r="BZ2209" s="73"/>
      <c r="CA2209" s="73"/>
      <c r="CB2209" s="73"/>
      <c r="CC2209" s="73"/>
      <c r="CD2209" s="73"/>
      <c r="CE2209" s="73"/>
      <c r="CF2209" s="73"/>
      <c r="CG2209" s="73"/>
      <c r="CH2209" s="73"/>
    </row>
    <row r="2210">
      <c r="A2210" s="80"/>
      <c r="B2210" s="80"/>
      <c r="C2210" s="80"/>
      <c r="D2210" s="80"/>
      <c r="E2210" s="124"/>
      <c r="F2210" s="80"/>
      <c r="G2210" s="80"/>
      <c r="H2210" s="80"/>
      <c r="I2210" s="80"/>
      <c r="J2210" s="196"/>
      <c r="K2210" s="196"/>
      <c r="L2210" s="196"/>
      <c r="M2210" s="196"/>
      <c r="N2210" s="196"/>
      <c r="O2210" s="196"/>
      <c r="P2210" s="196"/>
      <c r="Q2210" s="196"/>
      <c r="R2210" s="196"/>
      <c r="S2210" s="196"/>
      <c r="T2210" s="196"/>
      <c r="U2210" s="196"/>
      <c r="V2210" s="196"/>
      <c r="W2210" s="196"/>
      <c r="X2210" s="196"/>
      <c r="Y2210" s="196"/>
      <c r="Z2210" s="196"/>
      <c r="AA2210" s="196"/>
      <c r="AB2210" s="196"/>
      <c r="AC2210" s="196"/>
      <c r="AD2210" s="196"/>
      <c r="AE2210" s="196"/>
      <c r="AF2210" s="196"/>
      <c r="AG2210" s="196"/>
      <c r="AH2210" s="196"/>
      <c r="AI2210" s="196"/>
      <c r="AJ2210" s="197"/>
      <c r="AK2210" s="80"/>
      <c r="AL2210" s="80"/>
      <c r="AM2210" s="73"/>
      <c r="AN2210" s="73"/>
      <c r="AO2210" s="73"/>
      <c r="AP2210" s="73"/>
      <c r="AQ2210" s="73"/>
      <c r="AR2210" s="73"/>
      <c r="AS2210" s="73"/>
      <c r="AT2210" s="73"/>
      <c r="AU2210" s="73"/>
      <c r="AV2210" s="73"/>
      <c r="AW2210" s="73"/>
      <c r="AX2210" s="73"/>
      <c r="AY2210" s="73"/>
      <c r="AZ2210" s="73"/>
      <c r="BA2210" s="73"/>
      <c r="BB2210" s="73"/>
      <c r="BC2210" s="73"/>
      <c r="BD2210" s="73"/>
      <c r="BE2210" s="73"/>
      <c r="BF2210" s="73"/>
      <c r="BG2210" s="73"/>
      <c r="BH2210" s="73"/>
      <c r="BI2210" s="73"/>
      <c r="BJ2210" s="73"/>
      <c r="BK2210" s="73"/>
      <c r="BL2210" s="73"/>
      <c r="BM2210" s="73"/>
      <c r="BN2210" s="73"/>
      <c r="BO2210" s="73"/>
      <c r="BP2210" s="73"/>
      <c r="BQ2210" s="73"/>
      <c r="BR2210" s="73"/>
      <c r="BS2210" s="73"/>
      <c r="BT2210" s="73"/>
      <c r="BU2210" s="73"/>
      <c r="BV2210" s="73"/>
      <c r="BW2210" s="73"/>
      <c r="BX2210" s="73"/>
      <c r="BY2210" s="73"/>
      <c r="BZ2210" s="73"/>
      <c r="CA2210" s="73"/>
      <c r="CB2210" s="73"/>
      <c r="CC2210" s="73"/>
      <c r="CD2210" s="73"/>
      <c r="CE2210" s="73"/>
      <c r="CF2210" s="73"/>
      <c r="CG2210" s="73"/>
      <c r="CH2210" s="73"/>
    </row>
    <row r="2211">
      <c r="A2211" s="80"/>
      <c r="B2211" s="80"/>
      <c r="C2211" s="80"/>
      <c r="D2211" s="80"/>
      <c r="E2211" s="124"/>
      <c r="F2211" s="80"/>
      <c r="G2211" s="80"/>
      <c r="H2211" s="80"/>
      <c r="I2211" s="80"/>
      <c r="J2211" s="196"/>
      <c r="K2211" s="196"/>
      <c r="L2211" s="196"/>
      <c r="M2211" s="196"/>
      <c r="N2211" s="196"/>
      <c r="O2211" s="196"/>
      <c r="P2211" s="196"/>
      <c r="Q2211" s="196"/>
      <c r="R2211" s="196"/>
      <c r="S2211" s="196"/>
      <c r="T2211" s="196"/>
      <c r="U2211" s="196"/>
      <c r="V2211" s="196"/>
      <c r="W2211" s="196"/>
      <c r="X2211" s="196"/>
      <c r="Y2211" s="196"/>
      <c r="Z2211" s="196"/>
      <c r="AA2211" s="196"/>
      <c r="AB2211" s="196"/>
      <c r="AC2211" s="196"/>
      <c r="AD2211" s="196"/>
      <c r="AE2211" s="196"/>
      <c r="AF2211" s="196"/>
      <c r="AG2211" s="196"/>
      <c r="AH2211" s="196"/>
      <c r="AI2211" s="196"/>
      <c r="AJ2211" s="197"/>
      <c r="AK2211" s="80"/>
      <c r="AL2211" s="80"/>
      <c r="AM2211" s="73"/>
      <c r="AN2211" s="73"/>
      <c r="AO2211" s="73"/>
      <c r="AP2211" s="73"/>
      <c r="AQ2211" s="73"/>
      <c r="AR2211" s="73"/>
      <c r="AS2211" s="73"/>
      <c r="AT2211" s="73"/>
      <c r="AU2211" s="73"/>
      <c r="AV2211" s="73"/>
      <c r="AW2211" s="73"/>
      <c r="AX2211" s="73"/>
      <c r="AY2211" s="73"/>
      <c r="AZ2211" s="73"/>
      <c r="BA2211" s="73"/>
      <c r="BB2211" s="73"/>
      <c r="BC2211" s="73"/>
      <c r="BD2211" s="73"/>
      <c r="BE2211" s="73"/>
      <c r="BF2211" s="73"/>
      <c r="BG2211" s="73"/>
      <c r="BH2211" s="73"/>
      <c r="BI2211" s="73"/>
      <c r="BJ2211" s="73"/>
      <c r="BK2211" s="73"/>
      <c r="BL2211" s="73"/>
      <c r="BM2211" s="73"/>
      <c r="BN2211" s="73"/>
      <c r="BO2211" s="73"/>
      <c r="BP2211" s="73"/>
      <c r="BQ2211" s="73"/>
      <c r="BR2211" s="73"/>
      <c r="BS2211" s="73"/>
      <c r="BT2211" s="73"/>
      <c r="BU2211" s="73"/>
      <c r="BV2211" s="73"/>
      <c r="BW2211" s="73"/>
      <c r="BX2211" s="73"/>
      <c r="BY2211" s="73"/>
      <c r="BZ2211" s="73"/>
      <c r="CA2211" s="73"/>
      <c r="CB2211" s="73"/>
      <c r="CC2211" s="73"/>
      <c r="CD2211" s="73"/>
      <c r="CE2211" s="73"/>
      <c r="CF2211" s="73"/>
      <c r="CG2211" s="73"/>
      <c r="CH2211" s="73"/>
    </row>
    <row r="2212">
      <c r="A2212" s="80"/>
      <c r="B2212" s="80"/>
      <c r="C2212" s="80"/>
      <c r="D2212" s="80"/>
      <c r="E2212" s="124"/>
      <c r="F2212" s="80"/>
      <c r="G2212" s="80"/>
      <c r="H2212" s="80"/>
      <c r="I2212" s="80"/>
      <c r="J2212" s="196"/>
      <c r="K2212" s="196"/>
      <c r="L2212" s="196"/>
      <c r="M2212" s="196"/>
      <c r="N2212" s="196"/>
      <c r="O2212" s="196"/>
      <c r="P2212" s="196"/>
      <c r="Q2212" s="196"/>
      <c r="R2212" s="196"/>
      <c r="S2212" s="196"/>
      <c r="T2212" s="196"/>
      <c r="U2212" s="196"/>
      <c r="V2212" s="196"/>
      <c r="W2212" s="196"/>
      <c r="X2212" s="196"/>
      <c r="Y2212" s="196"/>
      <c r="Z2212" s="196"/>
      <c r="AA2212" s="196"/>
      <c r="AB2212" s="196"/>
      <c r="AC2212" s="196"/>
      <c r="AD2212" s="196"/>
      <c r="AE2212" s="196"/>
      <c r="AF2212" s="196"/>
      <c r="AG2212" s="196"/>
      <c r="AH2212" s="196"/>
      <c r="AI2212" s="196"/>
      <c r="AJ2212" s="197"/>
      <c r="AK2212" s="80"/>
      <c r="AL2212" s="80"/>
      <c r="AM2212" s="73"/>
      <c r="AN2212" s="73"/>
      <c r="AO2212" s="73"/>
      <c r="AP2212" s="73"/>
      <c r="AQ2212" s="73"/>
      <c r="AR2212" s="73"/>
      <c r="AS2212" s="73"/>
      <c r="AT2212" s="73"/>
      <c r="AU2212" s="73"/>
      <c r="AV2212" s="73"/>
      <c r="AW2212" s="73"/>
      <c r="AX2212" s="73"/>
      <c r="AY2212" s="73"/>
      <c r="AZ2212" s="73"/>
      <c r="BA2212" s="73"/>
      <c r="BB2212" s="73"/>
      <c r="BC2212" s="73"/>
      <c r="BD2212" s="73"/>
      <c r="BE2212" s="73"/>
      <c r="BF2212" s="73"/>
      <c r="BG2212" s="73"/>
      <c r="BH2212" s="73"/>
      <c r="BI2212" s="73"/>
      <c r="BJ2212" s="73"/>
      <c r="BK2212" s="73"/>
      <c r="BL2212" s="73"/>
      <c r="BM2212" s="73"/>
      <c r="BN2212" s="73"/>
      <c r="BO2212" s="73"/>
      <c r="BP2212" s="73"/>
      <c r="BQ2212" s="73"/>
      <c r="BR2212" s="73"/>
      <c r="BS2212" s="73"/>
      <c r="BT2212" s="73"/>
      <c r="BU2212" s="73"/>
      <c r="BV2212" s="73"/>
      <c r="BW2212" s="73"/>
      <c r="BX2212" s="73"/>
      <c r="BY2212" s="73"/>
      <c r="BZ2212" s="73"/>
      <c r="CA2212" s="73"/>
      <c r="CB2212" s="73"/>
      <c r="CC2212" s="73"/>
      <c r="CD2212" s="73"/>
      <c r="CE2212" s="73"/>
      <c r="CF2212" s="73"/>
      <c r="CG2212" s="73"/>
      <c r="CH2212" s="73"/>
    </row>
    <row r="2213">
      <c r="A2213" s="80"/>
      <c r="B2213" s="80"/>
      <c r="C2213" s="80"/>
      <c r="D2213" s="80"/>
      <c r="E2213" s="124"/>
      <c r="F2213" s="80"/>
      <c r="G2213" s="80"/>
      <c r="H2213" s="80"/>
      <c r="I2213" s="80"/>
      <c r="J2213" s="196"/>
      <c r="K2213" s="196"/>
      <c r="L2213" s="196"/>
      <c r="M2213" s="196"/>
      <c r="N2213" s="196"/>
      <c r="O2213" s="196"/>
      <c r="P2213" s="196"/>
      <c r="Q2213" s="196"/>
      <c r="R2213" s="196"/>
      <c r="S2213" s="196"/>
      <c r="T2213" s="196"/>
      <c r="U2213" s="196"/>
      <c r="V2213" s="196"/>
      <c r="W2213" s="196"/>
      <c r="X2213" s="196"/>
      <c r="Y2213" s="196"/>
      <c r="Z2213" s="196"/>
      <c r="AA2213" s="196"/>
      <c r="AB2213" s="196"/>
      <c r="AC2213" s="196"/>
      <c r="AD2213" s="196"/>
      <c r="AE2213" s="196"/>
      <c r="AF2213" s="196"/>
      <c r="AG2213" s="196"/>
      <c r="AH2213" s="196"/>
      <c r="AI2213" s="196"/>
      <c r="AJ2213" s="197"/>
      <c r="AK2213" s="80"/>
      <c r="AL2213" s="80"/>
      <c r="AM2213" s="73"/>
      <c r="AN2213" s="73"/>
      <c r="AO2213" s="73"/>
      <c r="AP2213" s="73"/>
      <c r="AQ2213" s="73"/>
      <c r="AR2213" s="73"/>
      <c r="AS2213" s="73"/>
      <c r="AT2213" s="73"/>
      <c r="AU2213" s="73"/>
      <c r="AV2213" s="73"/>
      <c r="AW2213" s="73"/>
      <c r="AX2213" s="73"/>
      <c r="AY2213" s="73"/>
      <c r="AZ2213" s="73"/>
      <c r="BA2213" s="73"/>
      <c r="BB2213" s="73"/>
      <c r="BC2213" s="73"/>
      <c r="BD2213" s="73"/>
      <c r="BE2213" s="73"/>
      <c r="BF2213" s="73"/>
      <c r="BG2213" s="73"/>
      <c r="BH2213" s="73"/>
      <c r="BI2213" s="73"/>
      <c r="BJ2213" s="73"/>
      <c r="BK2213" s="73"/>
      <c r="BL2213" s="73"/>
      <c r="BM2213" s="73"/>
      <c r="BN2213" s="73"/>
      <c r="BO2213" s="73"/>
      <c r="BP2213" s="73"/>
      <c r="BQ2213" s="73"/>
      <c r="BR2213" s="73"/>
      <c r="BS2213" s="73"/>
      <c r="BT2213" s="73"/>
      <c r="BU2213" s="73"/>
      <c r="BV2213" s="73"/>
      <c r="BW2213" s="73"/>
      <c r="BX2213" s="73"/>
      <c r="BY2213" s="73"/>
      <c r="BZ2213" s="73"/>
      <c r="CA2213" s="73"/>
      <c r="CB2213" s="73"/>
      <c r="CC2213" s="73"/>
      <c r="CD2213" s="73"/>
      <c r="CE2213" s="73"/>
      <c r="CF2213" s="73"/>
      <c r="CG2213" s="73"/>
      <c r="CH2213" s="73"/>
    </row>
    <row r="2214">
      <c r="A2214" s="80"/>
      <c r="B2214" s="80"/>
      <c r="C2214" s="80"/>
      <c r="D2214" s="80"/>
      <c r="E2214" s="124"/>
      <c r="F2214" s="80"/>
      <c r="G2214" s="80"/>
      <c r="H2214" s="80"/>
      <c r="I2214" s="80"/>
      <c r="J2214" s="196"/>
      <c r="K2214" s="196"/>
      <c r="L2214" s="196"/>
      <c r="M2214" s="196"/>
      <c r="N2214" s="196"/>
      <c r="O2214" s="196"/>
      <c r="P2214" s="196"/>
      <c r="Q2214" s="196"/>
      <c r="R2214" s="196"/>
      <c r="S2214" s="196"/>
      <c r="T2214" s="196"/>
      <c r="U2214" s="196"/>
      <c r="V2214" s="196"/>
      <c r="W2214" s="196"/>
      <c r="X2214" s="196"/>
      <c r="Y2214" s="196"/>
      <c r="Z2214" s="196"/>
      <c r="AA2214" s="196"/>
      <c r="AB2214" s="196"/>
      <c r="AC2214" s="196"/>
      <c r="AD2214" s="196"/>
      <c r="AE2214" s="196"/>
      <c r="AF2214" s="196"/>
      <c r="AG2214" s="196"/>
      <c r="AH2214" s="196"/>
      <c r="AI2214" s="196"/>
      <c r="AJ2214" s="197"/>
      <c r="AK2214" s="80"/>
      <c r="AL2214" s="80"/>
      <c r="AM2214" s="73"/>
      <c r="AN2214" s="73"/>
      <c r="AO2214" s="73"/>
      <c r="AP2214" s="73"/>
      <c r="AQ2214" s="73"/>
      <c r="AR2214" s="73"/>
      <c r="AS2214" s="73"/>
      <c r="AT2214" s="73"/>
      <c r="AU2214" s="73"/>
      <c r="AV2214" s="73"/>
      <c r="AW2214" s="73"/>
      <c r="AX2214" s="73"/>
      <c r="AY2214" s="73"/>
      <c r="AZ2214" s="73"/>
      <c r="BA2214" s="73"/>
      <c r="BB2214" s="73"/>
      <c r="BC2214" s="73"/>
      <c r="BD2214" s="73"/>
      <c r="BE2214" s="73"/>
      <c r="BF2214" s="73"/>
      <c r="BG2214" s="73"/>
      <c r="BH2214" s="73"/>
      <c r="BI2214" s="73"/>
      <c r="BJ2214" s="73"/>
      <c r="BK2214" s="73"/>
      <c r="BL2214" s="73"/>
      <c r="BM2214" s="73"/>
      <c r="BN2214" s="73"/>
      <c r="BO2214" s="73"/>
      <c r="BP2214" s="73"/>
      <c r="BQ2214" s="73"/>
      <c r="BR2214" s="73"/>
      <c r="BS2214" s="73"/>
      <c r="BT2214" s="73"/>
      <c r="BU2214" s="73"/>
      <c r="BV2214" s="73"/>
      <c r="BW2214" s="73"/>
      <c r="BX2214" s="73"/>
      <c r="BY2214" s="73"/>
      <c r="BZ2214" s="73"/>
      <c r="CA2214" s="73"/>
      <c r="CB2214" s="73"/>
      <c r="CC2214" s="73"/>
      <c r="CD2214" s="73"/>
      <c r="CE2214" s="73"/>
      <c r="CF2214" s="73"/>
      <c r="CG2214" s="73"/>
      <c r="CH2214" s="73"/>
    </row>
    <row r="2215">
      <c r="A2215" s="80"/>
      <c r="B2215" s="80"/>
      <c r="C2215" s="80"/>
      <c r="D2215" s="80"/>
      <c r="E2215" s="124"/>
      <c r="F2215" s="80"/>
      <c r="G2215" s="80"/>
      <c r="H2215" s="80"/>
      <c r="I2215" s="80"/>
      <c r="J2215" s="196"/>
      <c r="K2215" s="196"/>
      <c r="L2215" s="196"/>
      <c r="M2215" s="196"/>
      <c r="N2215" s="196"/>
      <c r="O2215" s="196"/>
      <c r="P2215" s="196"/>
      <c r="Q2215" s="196"/>
      <c r="R2215" s="196"/>
      <c r="S2215" s="196"/>
      <c r="T2215" s="196"/>
      <c r="U2215" s="196"/>
      <c r="V2215" s="196"/>
      <c r="W2215" s="196"/>
      <c r="X2215" s="196"/>
      <c r="Y2215" s="196"/>
      <c r="Z2215" s="196"/>
      <c r="AA2215" s="196"/>
      <c r="AB2215" s="196"/>
      <c r="AC2215" s="196"/>
      <c r="AD2215" s="196"/>
      <c r="AE2215" s="196"/>
      <c r="AF2215" s="196"/>
      <c r="AG2215" s="196"/>
      <c r="AH2215" s="196"/>
      <c r="AI2215" s="196"/>
      <c r="AJ2215" s="197"/>
      <c r="AK2215" s="80"/>
      <c r="AL2215" s="80"/>
      <c r="AM2215" s="73"/>
      <c r="AN2215" s="73"/>
      <c r="AO2215" s="73"/>
      <c r="AP2215" s="73"/>
      <c r="AQ2215" s="73"/>
      <c r="AR2215" s="73"/>
      <c r="AS2215" s="73"/>
      <c r="AT2215" s="73"/>
      <c r="AU2215" s="73"/>
      <c r="AV2215" s="73"/>
      <c r="AW2215" s="73"/>
      <c r="AX2215" s="73"/>
      <c r="AY2215" s="73"/>
      <c r="AZ2215" s="73"/>
      <c r="BA2215" s="73"/>
      <c r="BB2215" s="73"/>
      <c r="BC2215" s="73"/>
      <c r="BD2215" s="73"/>
      <c r="BE2215" s="73"/>
      <c r="BF2215" s="73"/>
      <c r="BG2215" s="73"/>
      <c r="BH2215" s="73"/>
      <c r="BI2215" s="73"/>
      <c r="BJ2215" s="73"/>
      <c r="BK2215" s="73"/>
      <c r="BL2215" s="73"/>
      <c r="BM2215" s="73"/>
      <c r="BN2215" s="73"/>
      <c r="BO2215" s="73"/>
      <c r="BP2215" s="73"/>
      <c r="BQ2215" s="73"/>
      <c r="BR2215" s="73"/>
      <c r="BS2215" s="73"/>
      <c r="BT2215" s="73"/>
      <c r="BU2215" s="73"/>
      <c r="BV2215" s="73"/>
      <c r="BW2215" s="73"/>
      <c r="BX2215" s="73"/>
      <c r="BY2215" s="73"/>
      <c r="BZ2215" s="73"/>
      <c r="CA2215" s="73"/>
      <c r="CB2215" s="73"/>
      <c r="CC2215" s="73"/>
      <c r="CD2215" s="73"/>
      <c r="CE2215" s="73"/>
      <c r="CF2215" s="73"/>
      <c r="CG2215" s="73"/>
      <c r="CH2215" s="73"/>
    </row>
    <row r="2216">
      <c r="A2216" s="80"/>
      <c r="B2216" s="80"/>
      <c r="C2216" s="80"/>
      <c r="D2216" s="80"/>
      <c r="E2216" s="124"/>
      <c r="F2216" s="80"/>
      <c r="G2216" s="80"/>
      <c r="H2216" s="80"/>
      <c r="I2216" s="80"/>
      <c r="J2216" s="196"/>
      <c r="K2216" s="196"/>
      <c r="L2216" s="196"/>
      <c r="M2216" s="196"/>
      <c r="N2216" s="196"/>
      <c r="O2216" s="196"/>
      <c r="P2216" s="196"/>
      <c r="Q2216" s="196"/>
      <c r="R2216" s="196"/>
      <c r="S2216" s="196"/>
      <c r="T2216" s="196"/>
      <c r="U2216" s="196"/>
      <c r="V2216" s="196"/>
      <c r="W2216" s="196"/>
      <c r="X2216" s="196"/>
      <c r="Y2216" s="196"/>
      <c r="Z2216" s="196"/>
      <c r="AA2216" s="196"/>
      <c r="AB2216" s="196"/>
      <c r="AC2216" s="196"/>
      <c r="AD2216" s="196"/>
      <c r="AE2216" s="196"/>
      <c r="AF2216" s="196"/>
      <c r="AG2216" s="196"/>
      <c r="AH2216" s="196"/>
      <c r="AI2216" s="196"/>
      <c r="AJ2216" s="197"/>
      <c r="AK2216" s="80"/>
      <c r="AL2216" s="80"/>
      <c r="AM2216" s="73"/>
      <c r="AN2216" s="73"/>
      <c r="AO2216" s="73"/>
      <c r="AP2216" s="73"/>
      <c r="AQ2216" s="73"/>
      <c r="AR2216" s="73"/>
      <c r="AS2216" s="73"/>
      <c r="AT2216" s="73"/>
      <c r="AU2216" s="73"/>
      <c r="AV2216" s="73"/>
      <c r="AW2216" s="73"/>
      <c r="AX2216" s="73"/>
      <c r="AY2216" s="73"/>
      <c r="AZ2216" s="73"/>
      <c r="BA2216" s="73"/>
      <c r="BB2216" s="73"/>
      <c r="BC2216" s="73"/>
      <c r="BD2216" s="73"/>
      <c r="BE2216" s="73"/>
      <c r="BF2216" s="73"/>
      <c r="BG2216" s="73"/>
      <c r="BH2216" s="73"/>
      <c r="BI2216" s="73"/>
      <c r="BJ2216" s="73"/>
      <c r="BK2216" s="73"/>
      <c r="BL2216" s="73"/>
      <c r="BM2216" s="73"/>
      <c r="BN2216" s="73"/>
      <c r="BO2216" s="73"/>
      <c r="BP2216" s="73"/>
      <c r="BQ2216" s="73"/>
      <c r="BR2216" s="73"/>
      <c r="BS2216" s="73"/>
      <c r="BT2216" s="73"/>
      <c r="BU2216" s="73"/>
      <c r="BV2216" s="73"/>
      <c r="BW2216" s="73"/>
      <c r="BX2216" s="73"/>
      <c r="BY2216" s="73"/>
      <c r="BZ2216" s="73"/>
      <c r="CA2216" s="73"/>
      <c r="CB2216" s="73"/>
      <c r="CC2216" s="73"/>
      <c r="CD2216" s="73"/>
      <c r="CE2216" s="73"/>
      <c r="CF2216" s="73"/>
      <c r="CG2216" s="73"/>
      <c r="CH2216" s="73"/>
    </row>
    <row r="2217">
      <c r="A2217" s="80"/>
      <c r="B2217" s="80"/>
      <c r="C2217" s="80"/>
      <c r="D2217" s="80"/>
      <c r="E2217" s="124"/>
      <c r="F2217" s="80"/>
      <c r="G2217" s="80"/>
      <c r="H2217" s="80"/>
      <c r="I2217" s="80"/>
      <c r="J2217" s="196"/>
      <c r="K2217" s="196"/>
      <c r="L2217" s="196"/>
      <c r="M2217" s="196"/>
      <c r="N2217" s="196"/>
      <c r="O2217" s="196"/>
      <c r="P2217" s="196"/>
      <c r="Q2217" s="196"/>
      <c r="R2217" s="196"/>
      <c r="S2217" s="196"/>
      <c r="T2217" s="196"/>
      <c r="U2217" s="196"/>
      <c r="V2217" s="196"/>
      <c r="W2217" s="196"/>
      <c r="X2217" s="196"/>
      <c r="Y2217" s="196"/>
      <c r="Z2217" s="196"/>
      <c r="AA2217" s="196"/>
      <c r="AB2217" s="196"/>
      <c r="AC2217" s="196"/>
      <c r="AD2217" s="196"/>
      <c r="AE2217" s="196"/>
      <c r="AF2217" s="196"/>
      <c r="AG2217" s="196"/>
      <c r="AH2217" s="196"/>
      <c r="AI2217" s="196"/>
      <c r="AJ2217" s="197"/>
      <c r="AK2217" s="80"/>
      <c r="AL2217" s="80"/>
      <c r="AM2217" s="73"/>
      <c r="AN2217" s="73"/>
      <c r="AO2217" s="73"/>
      <c r="AP2217" s="73"/>
      <c r="AQ2217" s="73"/>
      <c r="AR2217" s="73"/>
      <c r="AS2217" s="73"/>
      <c r="AT2217" s="73"/>
      <c r="AU2217" s="73"/>
      <c r="AV2217" s="73"/>
      <c r="AW2217" s="73"/>
      <c r="AX2217" s="73"/>
      <c r="AY2217" s="73"/>
      <c r="AZ2217" s="73"/>
      <c r="BA2217" s="73"/>
      <c r="BB2217" s="73"/>
      <c r="BC2217" s="73"/>
      <c r="BD2217" s="73"/>
      <c r="BE2217" s="73"/>
      <c r="BF2217" s="73"/>
      <c r="BG2217" s="73"/>
      <c r="BH2217" s="73"/>
      <c r="BI2217" s="73"/>
      <c r="BJ2217" s="73"/>
      <c r="BK2217" s="73"/>
      <c r="BL2217" s="73"/>
      <c r="BM2217" s="73"/>
      <c r="BN2217" s="73"/>
      <c r="BO2217" s="73"/>
      <c r="BP2217" s="73"/>
      <c r="BQ2217" s="73"/>
      <c r="BR2217" s="73"/>
      <c r="BS2217" s="73"/>
      <c r="BT2217" s="73"/>
      <c r="BU2217" s="73"/>
      <c r="BV2217" s="73"/>
      <c r="BW2217" s="73"/>
      <c r="BX2217" s="73"/>
      <c r="BY2217" s="73"/>
      <c r="BZ2217" s="73"/>
      <c r="CA2217" s="73"/>
      <c r="CB2217" s="73"/>
      <c r="CC2217" s="73"/>
      <c r="CD2217" s="73"/>
      <c r="CE2217" s="73"/>
      <c r="CF2217" s="73"/>
      <c r="CG2217" s="73"/>
      <c r="CH2217" s="73"/>
    </row>
    <row r="2218">
      <c r="A2218" s="80"/>
      <c r="B2218" s="80"/>
      <c r="C2218" s="80"/>
      <c r="D2218" s="80"/>
      <c r="E2218" s="124"/>
      <c r="F2218" s="80"/>
      <c r="G2218" s="80"/>
      <c r="H2218" s="80"/>
      <c r="I2218" s="80"/>
      <c r="J2218" s="196"/>
      <c r="K2218" s="196"/>
      <c r="L2218" s="196"/>
      <c r="M2218" s="196"/>
      <c r="N2218" s="196"/>
      <c r="O2218" s="196"/>
      <c r="P2218" s="196"/>
      <c r="Q2218" s="196"/>
      <c r="R2218" s="196"/>
      <c r="S2218" s="196"/>
      <c r="T2218" s="196"/>
      <c r="U2218" s="196"/>
      <c r="V2218" s="196"/>
      <c r="W2218" s="196"/>
      <c r="X2218" s="196"/>
      <c r="Y2218" s="196"/>
      <c r="Z2218" s="196"/>
      <c r="AA2218" s="196"/>
      <c r="AB2218" s="196"/>
      <c r="AC2218" s="196"/>
      <c r="AD2218" s="196"/>
      <c r="AE2218" s="196"/>
      <c r="AF2218" s="196"/>
      <c r="AG2218" s="196"/>
      <c r="AH2218" s="196"/>
      <c r="AI2218" s="196"/>
      <c r="AJ2218" s="197"/>
      <c r="AK2218" s="80"/>
      <c r="AL2218" s="80"/>
      <c r="AM2218" s="73"/>
      <c r="AN2218" s="73"/>
      <c r="AO2218" s="73"/>
      <c r="AP2218" s="73"/>
      <c r="AQ2218" s="73"/>
      <c r="AR2218" s="73"/>
      <c r="AS2218" s="73"/>
      <c r="AT2218" s="73"/>
      <c r="AU2218" s="73"/>
      <c r="AV2218" s="73"/>
      <c r="AW2218" s="73"/>
      <c r="AX2218" s="73"/>
      <c r="AY2218" s="73"/>
      <c r="AZ2218" s="73"/>
      <c r="BA2218" s="73"/>
      <c r="BB2218" s="73"/>
      <c r="BC2218" s="73"/>
      <c r="BD2218" s="73"/>
      <c r="BE2218" s="73"/>
      <c r="BF2218" s="73"/>
      <c r="BG2218" s="73"/>
      <c r="BH2218" s="73"/>
      <c r="BI2218" s="73"/>
      <c r="BJ2218" s="73"/>
      <c r="BK2218" s="73"/>
      <c r="BL2218" s="73"/>
      <c r="BM2218" s="73"/>
      <c r="BN2218" s="73"/>
      <c r="BO2218" s="73"/>
      <c r="BP2218" s="73"/>
      <c r="BQ2218" s="73"/>
      <c r="BR2218" s="73"/>
      <c r="BS2218" s="73"/>
      <c r="BT2218" s="73"/>
      <c r="BU2218" s="73"/>
      <c r="BV2218" s="73"/>
      <c r="BW2218" s="73"/>
      <c r="BX2218" s="73"/>
      <c r="BY2218" s="73"/>
      <c r="BZ2218" s="73"/>
      <c r="CA2218" s="73"/>
      <c r="CB2218" s="73"/>
      <c r="CC2218" s="73"/>
      <c r="CD2218" s="73"/>
      <c r="CE2218" s="73"/>
      <c r="CF2218" s="73"/>
      <c r="CG2218" s="73"/>
      <c r="CH2218" s="73"/>
    </row>
    <row r="2219">
      <c r="A2219" s="80"/>
      <c r="B2219" s="80"/>
      <c r="C2219" s="80"/>
      <c r="D2219" s="80"/>
      <c r="E2219" s="124"/>
      <c r="F2219" s="80"/>
      <c r="G2219" s="80"/>
      <c r="H2219" s="80"/>
      <c r="I2219" s="80"/>
      <c r="J2219" s="196"/>
      <c r="K2219" s="196"/>
      <c r="L2219" s="196"/>
      <c r="M2219" s="196"/>
      <c r="N2219" s="196"/>
      <c r="O2219" s="196"/>
      <c r="P2219" s="196"/>
      <c r="Q2219" s="196"/>
      <c r="R2219" s="196"/>
      <c r="S2219" s="196"/>
      <c r="T2219" s="196"/>
      <c r="U2219" s="196"/>
      <c r="V2219" s="196"/>
      <c r="W2219" s="196"/>
      <c r="X2219" s="196"/>
      <c r="Y2219" s="196"/>
      <c r="Z2219" s="196"/>
      <c r="AA2219" s="196"/>
      <c r="AB2219" s="196"/>
      <c r="AC2219" s="196"/>
      <c r="AD2219" s="196"/>
      <c r="AE2219" s="196"/>
      <c r="AF2219" s="196"/>
      <c r="AG2219" s="196"/>
      <c r="AH2219" s="196"/>
      <c r="AI2219" s="196"/>
      <c r="AJ2219" s="197"/>
      <c r="AK2219" s="80"/>
      <c r="AL2219" s="80"/>
      <c r="AM2219" s="73"/>
      <c r="AN2219" s="73"/>
      <c r="AO2219" s="73"/>
      <c r="AP2219" s="73"/>
      <c r="AQ2219" s="73"/>
      <c r="AR2219" s="73"/>
      <c r="AS2219" s="73"/>
      <c r="AT2219" s="73"/>
      <c r="AU2219" s="73"/>
      <c r="AV2219" s="73"/>
      <c r="AW2219" s="73"/>
      <c r="AX2219" s="73"/>
      <c r="AY2219" s="73"/>
      <c r="AZ2219" s="73"/>
      <c r="BA2219" s="73"/>
      <c r="BB2219" s="73"/>
      <c r="BC2219" s="73"/>
      <c r="BD2219" s="73"/>
      <c r="BE2219" s="73"/>
      <c r="BF2219" s="73"/>
      <c r="BG2219" s="73"/>
      <c r="BH2219" s="73"/>
      <c r="BI2219" s="73"/>
      <c r="BJ2219" s="73"/>
      <c r="BK2219" s="73"/>
      <c r="BL2219" s="73"/>
      <c r="BM2219" s="73"/>
      <c r="BN2219" s="73"/>
      <c r="BO2219" s="73"/>
      <c r="BP2219" s="73"/>
      <c r="BQ2219" s="73"/>
      <c r="BR2219" s="73"/>
      <c r="BS2219" s="73"/>
      <c r="BT2219" s="73"/>
      <c r="BU2219" s="73"/>
      <c r="BV2219" s="73"/>
      <c r="BW2219" s="73"/>
      <c r="BX2219" s="73"/>
      <c r="BY2219" s="73"/>
      <c r="BZ2219" s="73"/>
      <c r="CA2219" s="73"/>
      <c r="CB2219" s="73"/>
      <c r="CC2219" s="73"/>
      <c r="CD2219" s="73"/>
      <c r="CE2219" s="73"/>
      <c r="CF2219" s="73"/>
      <c r="CG2219" s="73"/>
      <c r="CH2219" s="73"/>
    </row>
    <row r="2220">
      <c r="A2220" s="80"/>
      <c r="B2220" s="80"/>
      <c r="C2220" s="80"/>
      <c r="D2220" s="80"/>
      <c r="E2220" s="124"/>
      <c r="F2220" s="80"/>
      <c r="G2220" s="80"/>
      <c r="H2220" s="80"/>
      <c r="I2220" s="80"/>
      <c r="J2220" s="196"/>
      <c r="K2220" s="196"/>
      <c r="L2220" s="196"/>
      <c r="M2220" s="196"/>
      <c r="N2220" s="196"/>
      <c r="O2220" s="196"/>
      <c r="P2220" s="196"/>
      <c r="Q2220" s="196"/>
      <c r="R2220" s="196"/>
      <c r="S2220" s="196"/>
      <c r="T2220" s="196"/>
      <c r="U2220" s="196"/>
      <c r="V2220" s="196"/>
      <c r="W2220" s="196"/>
      <c r="X2220" s="196"/>
      <c r="Y2220" s="196"/>
      <c r="Z2220" s="196"/>
      <c r="AA2220" s="196"/>
      <c r="AB2220" s="196"/>
      <c r="AC2220" s="196"/>
      <c r="AD2220" s="196"/>
      <c r="AE2220" s="196"/>
      <c r="AF2220" s="196"/>
      <c r="AG2220" s="196"/>
      <c r="AH2220" s="196"/>
      <c r="AI2220" s="196"/>
      <c r="AJ2220" s="197"/>
      <c r="AK2220" s="80"/>
      <c r="AL2220" s="80"/>
      <c r="AM2220" s="73"/>
      <c r="AN2220" s="73"/>
      <c r="AO2220" s="73"/>
      <c r="AP2220" s="73"/>
      <c r="AQ2220" s="73"/>
      <c r="AR2220" s="73"/>
      <c r="AS2220" s="73"/>
      <c r="AT2220" s="73"/>
      <c r="AU2220" s="73"/>
      <c r="AV2220" s="73"/>
      <c r="AW2220" s="73"/>
      <c r="AX2220" s="73"/>
      <c r="AY2220" s="73"/>
      <c r="AZ2220" s="73"/>
      <c r="BA2220" s="73"/>
      <c r="BB2220" s="73"/>
      <c r="BC2220" s="73"/>
      <c r="BD2220" s="73"/>
      <c r="BE2220" s="73"/>
      <c r="BF2220" s="73"/>
      <c r="BG2220" s="73"/>
      <c r="BH2220" s="73"/>
      <c r="BI2220" s="73"/>
      <c r="BJ2220" s="73"/>
      <c r="BK2220" s="73"/>
      <c r="BL2220" s="73"/>
      <c r="BM2220" s="73"/>
      <c r="BN2220" s="73"/>
      <c r="BO2220" s="73"/>
      <c r="BP2220" s="73"/>
      <c r="BQ2220" s="73"/>
      <c r="BR2220" s="73"/>
      <c r="BS2220" s="73"/>
      <c r="BT2220" s="73"/>
      <c r="BU2220" s="73"/>
      <c r="BV2220" s="73"/>
      <c r="BW2220" s="73"/>
      <c r="BX2220" s="73"/>
      <c r="BY2220" s="73"/>
      <c r="BZ2220" s="73"/>
      <c r="CA2220" s="73"/>
      <c r="CB2220" s="73"/>
      <c r="CC2220" s="73"/>
      <c r="CD2220" s="73"/>
      <c r="CE2220" s="73"/>
      <c r="CF2220" s="73"/>
      <c r="CG2220" s="73"/>
      <c r="CH2220" s="73"/>
    </row>
    <row r="2221">
      <c r="A2221" s="80"/>
      <c r="B2221" s="80"/>
      <c r="C2221" s="80"/>
      <c r="D2221" s="80"/>
      <c r="E2221" s="124"/>
      <c r="F2221" s="80"/>
      <c r="G2221" s="80"/>
      <c r="H2221" s="80"/>
      <c r="I2221" s="80"/>
      <c r="J2221" s="196"/>
      <c r="K2221" s="196"/>
      <c r="L2221" s="196"/>
      <c r="M2221" s="196"/>
      <c r="N2221" s="196"/>
      <c r="O2221" s="196"/>
      <c r="P2221" s="196"/>
      <c r="Q2221" s="196"/>
      <c r="R2221" s="196"/>
      <c r="S2221" s="196"/>
      <c r="T2221" s="196"/>
      <c r="U2221" s="196"/>
      <c r="V2221" s="196"/>
      <c r="W2221" s="196"/>
      <c r="X2221" s="196"/>
      <c r="Y2221" s="196"/>
      <c r="Z2221" s="196"/>
      <c r="AA2221" s="196"/>
      <c r="AB2221" s="196"/>
      <c r="AC2221" s="196"/>
      <c r="AD2221" s="196"/>
      <c r="AE2221" s="196"/>
      <c r="AF2221" s="196"/>
      <c r="AG2221" s="196"/>
      <c r="AH2221" s="196"/>
      <c r="AI2221" s="196"/>
      <c r="AJ2221" s="197"/>
      <c r="AK2221" s="80"/>
      <c r="AL2221" s="80"/>
      <c r="AM2221" s="73"/>
      <c r="AN2221" s="73"/>
      <c r="AO2221" s="73"/>
      <c r="AP2221" s="73"/>
      <c r="AQ2221" s="73"/>
      <c r="AR2221" s="73"/>
      <c r="AS2221" s="73"/>
      <c r="AT2221" s="73"/>
      <c r="AU2221" s="73"/>
      <c r="AV2221" s="73"/>
      <c r="AW2221" s="73"/>
      <c r="AX2221" s="73"/>
      <c r="AY2221" s="73"/>
      <c r="AZ2221" s="73"/>
      <c r="BA2221" s="73"/>
      <c r="BB2221" s="73"/>
      <c r="BC2221" s="73"/>
      <c r="BD2221" s="73"/>
      <c r="BE2221" s="73"/>
      <c r="BF2221" s="73"/>
      <c r="BG2221" s="73"/>
      <c r="BH2221" s="73"/>
      <c r="BI2221" s="73"/>
      <c r="BJ2221" s="73"/>
      <c r="BK2221" s="73"/>
      <c r="BL2221" s="73"/>
      <c r="BM2221" s="73"/>
      <c r="BN2221" s="73"/>
      <c r="BO2221" s="73"/>
      <c r="BP2221" s="73"/>
      <c r="BQ2221" s="73"/>
      <c r="BR2221" s="73"/>
      <c r="BS2221" s="73"/>
      <c r="BT2221" s="73"/>
      <c r="BU2221" s="73"/>
      <c r="BV2221" s="73"/>
      <c r="BW2221" s="73"/>
      <c r="BX2221" s="73"/>
      <c r="BY2221" s="73"/>
      <c r="BZ2221" s="73"/>
      <c r="CA2221" s="73"/>
      <c r="CB2221" s="73"/>
      <c r="CC2221" s="73"/>
      <c r="CD2221" s="73"/>
      <c r="CE2221" s="73"/>
      <c r="CF2221" s="73"/>
      <c r="CG2221" s="73"/>
      <c r="CH2221" s="73"/>
    </row>
    <row r="2222">
      <c r="A2222" s="80"/>
      <c r="B2222" s="80"/>
      <c r="C2222" s="80"/>
      <c r="D2222" s="80"/>
      <c r="E2222" s="124"/>
      <c r="F2222" s="80"/>
      <c r="G2222" s="80"/>
      <c r="H2222" s="80"/>
      <c r="I2222" s="80"/>
      <c r="J2222" s="196"/>
      <c r="K2222" s="196"/>
      <c r="L2222" s="196"/>
      <c r="M2222" s="196"/>
      <c r="N2222" s="196"/>
      <c r="O2222" s="196"/>
      <c r="P2222" s="196"/>
      <c r="Q2222" s="196"/>
      <c r="R2222" s="196"/>
      <c r="S2222" s="196"/>
      <c r="T2222" s="196"/>
      <c r="U2222" s="196"/>
      <c r="V2222" s="196"/>
      <c r="W2222" s="196"/>
      <c r="X2222" s="196"/>
      <c r="Y2222" s="196"/>
      <c r="Z2222" s="196"/>
      <c r="AA2222" s="196"/>
      <c r="AB2222" s="196"/>
      <c r="AC2222" s="196"/>
      <c r="AD2222" s="196"/>
      <c r="AE2222" s="196"/>
      <c r="AF2222" s="196"/>
      <c r="AG2222" s="196"/>
      <c r="AH2222" s="196"/>
      <c r="AI2222" s="196"/>
      <c r="AJ2222" s="197"/>
      <c r="AK2222" s="80"/>
      <c r="AL2222" s="80"/>
      <c r="AM2222" s="73"/>
      <c r="AN2222" s="73"/>
      <c r="AO2222" s="73"/>
      <c r="AP2222" s="73"/>
      <c r="AQ2222" s="73"/>
      <c r="AR2222" s="73"/>
      <c r="AS2222" s="73"/>
      <c r="AT2222" s="73"/>
      <c r="AU2222" s="73"/>
      <c r="AV2222" s="73"/>
      <c r="AW2222" s="73"/>
      <c r="AX2222" s="73"/>
      <c r="AY2222" s="73"/>
      <c r="AZ2222" s="73"/>
      <c r="BA2222" s="73"/>
      <c r="BB2222" s="73"/>
      <c r="BC2222" s="73"/>
      <c r="BD2222" s="73"/>
      <c r="BE2222" s="73"/>
      <c r="BF2222" s="73"/>
      <c r="BG2222" s="73"/>
      <c r="BH2222" s="73"/>
      <c r="BI2222" s="73"/>
      <c r="BJ2222" s="73"/>
      <c r="BK2222" s="73"/>
      <c r="BL2222" s="73"/>
      <c r="BM2222" s="73"/>
      <c r="BN2222" s="73"/>
      <c r="BO2222" s="73"/>
      <c r="BP2222" s="73"/>
      <c r="BQ2222" s="73"/>
      <c r="BR2222" s="73"/>
      <c r="BS2222" s="73"/>
      <c r="BT2222" s="73"/>
      <c r="BU2222" s="73"/>
      <c r="BV2222" s="73"/>
      <c r="BW2222" s="73"/>
      <c r="BX2222" s="73"/>
      <c r="BY2222" s="73"/>
      <c r="BZ2222" s="73"/>
      <c r="CA2222" s="73"/>
      <c r="CB2222" s="73"/>
      <c r="CC2222" s="73"/>
      <c r="CD2222" s="73"/>
      <c r="CE2222" s="73"/>
      <c r="CF2222" s="73"/>
      <c r="CG2222" s="73"/>
      <c r="CH2222" s="73"/>
    </row>
    <row r="2223">
      <c r="A2223" s="80"/>
      <c r="B2223" s="80"/>
      <c r="C2223" s="80"/>
      <c r="D2223" s="80"/>
      <c r="E2223" s="124"/>
      <c r="F2223" s="80"/>
      <c r="G2223" s="80"/>
      <c r="H2223" s="80"/>
      <c r="I2223" s="80"/>
      <c r="J2223" s="196"/>
      <c r="K2223" s="196"/>
      <c r="L2223" s="196"/>
      <c r="M2223" s="196"/>
      <c r="N2223" s="196"/>
      <c r="O2223" s="196"/>
      <c r="P2223" s="196"/>
      <c r="Q2223" s="196"/>
      <c r="R2223" s="196"/>
      <c r="S2223" s="196"/>
      <c r="T2223" s="196"/>
      <c r="U2223" s="196"/>
      <c r="V2223" s="196"/>
      <c r="W2223" s="196"/>
      <c r="X2223" s="196"/>
      <c r="Y2223" s="196"/>
      <c r="Z2223" s="196"/>
      <c r="AA2223" s="196"/>
      <c r="AB2223" s="196"/>
      <c r="AC2223" s="196"/>
      <c r="AD2223" s="196"/>
      <c r="AE2223" s="196"/>
      <c r="AF2223" s="196"/>
      <c r="AG2223" s="196"/>
      <c r="AH2223" s="196"/>
      <c r="AI2223" s="196"/>
      <c r="AJ2223" s="197"/>
      <c r="AK2223" s="80"/>
      <c r="AL2223" s="80"/>
      <c r="AM2223" s="73"/>
      <c r="AN2223" s="73"/>
      <c r="AO2223" s="73"/>
      <c r="AP2223" s="73"/>
      <c r="AQ2223" s="73"/>
      <c r="AR2223" s="73"/>
      <c r="AS2223" s="73"/>
      <c r="AT2223" s="73"/>
      <c r="AU2223" s="73"/>
      <c r="AV2223" s="73"/>
      <c r="AW2223" s="73"/>
      <c r="AX2223" s="73"/>
      <c r="AY2223" s="73"/>
      <c r="AZ2223" s="73"/>
      <c r="BA2223" s="73"/>
      <c r="BB2223" s="73"/>
      <c r="BC2223" s="73"/>
      <c r="BD2223" s="73"/>
      <c r="BE2223" s="73"/>
      <c r="BF2223" s="73"/>
      <c r="BG2223" s="73"/>
      <c r="BH2223" s="73"/>
      <c r="BI2223" s="73"/>
      <c r="BJ2223" s="73"/>
      <c r="BK2223" s="73"/>
      <c r="BL2223" s="73"/>
      <c r="BM2223" s="73"/>
      <c r="BN2223" s="73"/>
      <c r="BO2223" s="73"/>
      <c r="BP2223" s="73"/>
      <c r="BQ2223" s="73"/>
      <c r="BR2223" s="73"/>
      <c r="BS2223" s="73"/>
      <c r="BT2223" s="73"/>
      <c r="BU2223" s="73"/>
      <c r="BV2223" s="73"/>
      <c r="BW2223" s="73"/>
      <c r="BX2223" s="73"/>
      <c r="BY2223" s="73"/>
      <c r="BZ2223" s="73"/>
      <c r="CA2223" s="73"/>
      <c r="CB2223" s="73"/>
      <c r="CC2223" s="73"/>
      <c r="CD2223" s="73"/>
      <c r="CE2223" s="73"/>
      <c r="CF2223" s="73"/>
      <c r="CG2223" s="73"/>
      <c r="CH2223" s="73"/>
    </row>
    <row r="2224">
      <c r="A2224" s="80"/>
      <c r="B2224" s="80"/>
      <c r="C2224" s="80"/>
      <c r="D2224" s="80"/>
      <c r="E2224" s="124"/>
      <c r="F2224" s="80"/>
      <c r="G2224" s="80"/>
      <c r="H2224" s="80"/>
      <c r="I2224" s="80"/>
      <c r="J2224" s="196"/>
      <c r="K2224" s="196"/>
      <c r="L2224" s="196"/>
      <c r="M2224" s="196"/>
      <c r="N2224" s="196"/>
      <c r="O2224" s="196"/>
      <c r="P2224" s="196"/>
      <c r="Q2224" s="196"/>
      <c r="R2224" s="196"/>
      <c r="S2224" s="196"/>
      <c r="T2224" s="196"/>
      <c r="U2224" s="196"/>
      <c r="V2224" s="196"/>
      <c r="W2224" s="196"/>
      <c r="X2224" s="196"/>
      <c r="Y2224" s="196"/>
      <c r="Z2224" s="196"/>
      <c r="AA2224" s="196"/>
      <c r="AB2224" s="196"/>
      <c r="AC2224" s="196"/>
      <c r="AD2224" s="196"/>
      <c r="AE2224" s="196"/>
      <c r="AF2224" s="196"/>
      <c r="AG2224" s="196"/>
      <c r="AH2224" s="196"/>
      <c r="AI2224" s="196"/>
      <c r="AJ2224" s="197"/>
      <c r="AK2224" s="80"/>
      <c r="AL2224" s="80"/>
      <c r="AM2224" s="73"/>
      <c r="AN2224" s="73"/>
      <c r="AO2224" s="73"/>
      <c r="AP2224" s="73"/>
      <c r="AQ2224" s="73"/>
      <c r="AR2224" s="73"/>
      <c r="AS2224" s="73"/>
      <c r="AT2224" s="73"/>
      <c r="AU2224" s="73"/>
      <c r="AV2224" s="73"/>
      <c r="AW2224" s="73"/>
      <c r="AX2224" s="73"/>
      <c r="AY2224" s="73"/>
      <c r="AZ2224" s="73"/>
      <c r="BA2224" s="73"/>
      <c r="BB2224" s="73"/>
      <c r="BC2224" s="73"/>
      <c r="BD2224" s="73"/>
      <c r="BE2224" s="73"/>
      <c r="BF2224" s="73"/>
      <c r="BG2224" s="73"/>
      <c r="BH2224" s="73"/>
      <c r="BI2224" s="73"/>
      <c r="BJ2224" s="73"/>
      <c r="BK2224" s="73"/>
      <c r="BL2224" s="73"/>
      <c r="BM2224" s="73"/>
      <c r="BN2224" s="73"/>
      <c r="BO2224" s="73"/>
      <c r="BP2224" s="73"/>
      <c r="BQ2224" s="73"/>
      <c r="BR2224" s="73"/>
      <c r="BS2224" s="73"/>
      <c r="BT2224" s="73"/>
      <c r="BU2224" s="73"/>
      <c r="BV2224" s="73"/>
      <c r="BW2224" s="73"/>
      <c r="BX2224" s="73"/>
      <c r="BY2224" s="73"/>
      <c r="BZ2224" s="73"/>
      <c r="CA2224" s="73"/>
      <c r="CB2224" s="73"/>
      <c r="CC2224" s="73"/>
      <c r="CD2224" s="73"/>
      <c r="CE2224" s="73"/>
      <c r="CF2224" s="73"/>
      <c r="CG2224" s="73"/>
      <c r="CH2224" s="73"/>
    </row>
    <row r="2225">
      <c r="A2225" s="80"/>
      <c r="B2225" s="80"/>
      <c r="C2225" s="80"/>
      <c r="D2225" s="80"/>
      <c r="E2225" s="124"/>
      <c r="F2225" s="80"/>
      <c r="G2225" s="80"/>
      <c r="H2225" s="80"/>
      <c r="I2225" s="80"/>
      <c r="J2225" s="196"/>
      <c r="K2225" s="196"/>
      <c r="L2225" s="196"/>
      <c r="M2225" s="196"/>
      <c r="N2225" s="196"/>
      <c r="O2225" s="196"/>
      <c r="P2225" s="196"/>
      <c r="Q2225" s="196"/>
      <c r="R2225" s="196"/>
      <c r="S2225" s="196"/>
      <c r="T2225" s="196"/>
      <c r="U2225" s="196"/>
      <c r="V2225" s="196"/>
      <c r="W2225" s="196"/>
      <c r="X2225" s="196"/>
      <c r="Y2225" s="196"/>
      <c r="Z2225" s="196"/>
      <c r="AA2225" s="196"/>
      <c r="AB2225" s="196"/>
      <c r="AC2225" s="196"/>
      <c r="AD2225" s="196"/>
      <c r="AE2225" s="196"/>
      <c r="AF2225" s="196"/>
      <c r="AG2225" s="196"/>
      <c r="AH2225" s="196"/>
      <c r="AI2225" s="196"/>
      <c r="AJ2225" s="197"/>
      <c r="AK2225" s="80"/>
      <c r="AL2225" s="80"/>
      <c r="AM2225" s="73"/>
      <c r="AN2225" s="73"/>
      <c r="AO2225" s="73"/>
      <c r="AP2225" s="73"/>
      <c r="AQ2225" s="73"/>
      <c r="AR2225" s="73"/>
      <c r="AS2225" s="73"/>
      <c r="AT2225" s="73"/>
      <c r="AU2225" s="73"/>
      <c r="AV2225" s="73"/>
      <c r="AW2225" s="73"/>
      <c r="AX2225" s="73"/>
      <c r="AY2225" s="73"/>
      <c r="AZ2225" s="73"/>
      <c r="BA2225" s="73"/>
      <c r="BB2225" s="73"/>
      <c r="BC2225" s="73"/>
      <c r="BD2225" s="73"/>
      <c r="BE2225" s="73"/>
      <c r="BF2225" s="73"/>
      <c r="BG2225" s="73"/>
      <c r="BH2225" s="73"/>
      <c r="BI2225" s="73"/>
      <c r="BJ2225" s="73"/>
      <c r="BK2225" s="73"/>
      <c r="BL2225" s="73"/>
      <c r="BM2225" s="73"/>
      <c r="BN2225" s="73"/>
      <c r="BO2225" s="73"/>
      <c r="BP2225" s="73"/>
      <c r="BQ2225" s="73"/>
      <c r="BR2225" s="73"/>
      <c r="BS2225" s="73"/>
      <c r="BT2225" s="73"/>
      <c r="BU2225" s="73"/>
      <c r="BV2225" s="73"/>
      <c r="BW2225" s="73"/>
      <c r="BX2225" s="73"/>
      <c r="BY2225" s="73"/>
      <c r="BZ2225" s="73"/>
      <c r="CA2225" s="73"/>
      <c r="CB2225" s="73"/>
      <c r="CC2225" s="73"/>
      <c r="CD2225" s="73"/>
      <c r="CE2225" s="73"/>
      <c r="CF2225" s="73"/>
      <c r="CG2225" s="73"/>
      <c r="CH2225" s="73"/>
    </row>
    <row r="2226">
      <c r="A2226" s="80"/>
      <c r="B2226" s="80"/>
      <c r="C2226" s="80"/>
      <c r="D2226" s="80"/>
      <c r="E2226" s="124"/>
      <c r="F2226" s="80"/>
      <c r="G2226" s="80"/>
      <c r="H2226" s="80"/>
      <c r="I2226" s="80"/>
      <c r="J2226" s="196"/>
      <c r="K2226" s="196"/>
      <c r="L2226" s="196"/>
      <c r="M2226" s="196"/>
      <c r="N2226" s="196"/>
      <c r="O2226" s="196"/>
      <c r="P2226" s="196"/>
      <c r="Q2226" s="196"/>
      <c r="R2226" s="196"/>
      <c r="S2226" s="196"/>
      <c r="T2226" s="196"/>
      <c r="U2226" s="196"/>
      <c r="V2226" s="196"/>
      <c r="W2226" s="196"/>
      <c r="X2226" s="196"/>
      <c r="Y2226" s="196"/>
      <c r="Z2226" s="196"/>
      <c r="AA2226" s="196"/>
      <c r="AB2226" s="196"/>
      <c r="AC2226" s="196"/>
      <c r="AD2226" s="196"/>
      <c r="AE2226" s="196"/>
      <c r="AF2226" s="196"/>
      <c r="AG2226" s="196"/>
      <c r="AH2226" s="196"/>
      <c r="AI2226" s="196"/>
      <c r="AJ2226" s="197"/>
      <c r="AK2226" s="80"/>
      <c r="AL2226" s="80"/>
      <c r="AM2226" s="73"/>
      <c r="AN2226" s="73"/>
      <c r="AO2226" s="73"/>
      <c r="AP2226" s="73"/>
      <c r="AQ2226" s="73"/>
      <c r="AR2226" s="73"/>
      <c r="AS2226" s="73"/>
      <c r="AT2226" s="73"/>
      <c r="AU2226" s="73"/>
      <c r="AV2226" s="73"/>
      <c r="AW2226" s="73"/>
      <c r="AX2226" s="73"/>
      <c r="AY2226" s="73"/>
      <c r="AZ2226" s="73"/>
      <c r="BA2226" s="73"/>
      <c r="BB2226" s="73"/>
      <c r="BC2226" s="73"/>
      <c r="BD2226" s="73"/>
      <c r="BE2226" s="73"/>
      <c r="BF2226" s="73"/>
      <c r="BG2226" s="73"/>
      <c r="BH2226" s="73"/>
      <c r="BI2226" s="73"/>
      <c r="BJ2226" s="73"/>
      <c r="BK2226" s="73"/>
      <c r="BL2226" s="73"/>
      <c r="BM2226" s="73"/>
      <c r="BN2226" s="73"/>
      <c r="BO2226" s="73"/>
      <c r="BP2226" s="73"/>
      <c r="BQ2226" s="73"/>
      <c r="BR2226" s="73"/>
      <c r="BS2226" s="73"/>
      <c r="BT2226" s="73"/>
      <c r="BU2226" s="73"/>
      <c r="BV2226" s="73"/>
      <c r="BW2226" s="73"/>
      <c r="BX2226" s="73"/>
      <c r="BY2226" s="73"/>
      <c r="BZ2226" s="73"/>
      <c r="CA2226" s="73"/>
      <c r="CB2226" s="73"/>
      <c r="CC2226" s="73"/>
      <c r="CD2226" s="73"/>
      <c r="CE2226" s="73"/>
      <c r="CF2226" s="73"/>
      <c r="CG2226" s="73"/>
      <c r="CH2226" s="73"/>
    </row>
    <row r="2227">
      <c r="A2227" s="80"/>
      <c r="B2227" s="80"/>
      <c r="C2227" s="80"/>
      <c r="D2227" s="80"/>
      <c r="E2227" s="124"/>
      <c r="F2227" s="80"/>
      <c r="G2227" s="80"/>
      <c r="H2227" s="80"/>
      <c r="I2227" s="80"/>
      <c r="J2227" s="196"/>
      <c r="K2227" s="196"/>
      <c r="L2227" s="196"/>
      <c r="M2227" s="196"/>
      <c r="N2227" s="196"/>
      <c r="O2227" s="196"/>
      <c r="P2227" s="196"/>
      <c r="Q2227" s="196"/>
      <c r="R2227" s="196"/>
      <c r="S2227" s="196"/>
      <c r="T2227" s="196"/>
      <c r="U2227" s="196"/>
      <c r="V2227" s="196"/>
      <c r="W2227" s="196"/>
      <c r="X2227" s="196"/>
      <c r="Y2227" s="196"/>
      <c r="Z2227" s="196"/>
      <c r="AA2227" s="196"/>
      <c r="AB2227" s="196"/>
      <c r="AC2227" s="196"/>
      <c r="AD2227" s="196"/>
      <c r="AE2227" s="196"/>
      <c r="AF2227" s="196"/>
      <c r="AG2227" s="196"/>
      <c r="AH2227" s="196"/>
      <c r="AI2227" s="196"/>
      <c r="AJ2227" s="197"/>
      <c r="AK2227" s="80"/>
      <c r="AL2227" s="80"/>
      <c r="AM2227" s="73"/>
      <c r="AN2227" s="73"/>
      <c r="AO2227" s="73"/>
      <c r="AP2227" s="73"/>
      <c r="AQ2227" s="73"/>
      <c r="AR2227" s="73"/>
      <c r="AS2227" s="73"/>
      <c r="AT2227" s="73"/>
      <c r="AU2227" s="73"/>
      <c r="AV2227" s="73"/>
      <c r="AW2227" s="73"/>
      <c r="AX2227" s="73"/>
      <c r="AY2227" s="73"/>
      <c r="AZ2227" s="73"/>
      <c r="BA2227" s="73"/>
      <c r="BB2227" s="73"/>
      <c r="BC2227" s="73"/>
      <c r="BD2227" s="73"/>
      <c r="BE2227" s="73"/>
      <c r="BF2227" s="73"/>
      <c r="BG2227" s="73"/>
      <c r="BH2227" s="73"/>
      <c r="BI2227" s="73"/>
      <c r="BJ2227" s="73"/>
      <c r="BK2227" s="73"/>
      <c r="BL2227" s="73"/>
      <c r="BM2227" s="73"/>
      <c r="BN2227" s="73"/>
      <c r="BO2227" s="73"/>
      <c r="BP2227" s="73"/>
      <c r="BQ2227" s="73"/>
      <c r="BR2227" s="73"/>
      <c r="BS2227" s="73"/>
      <c r="BT2227" s="73"/>
      <c r="BU2227" s="73"/>
      <c r="BV2227" s="73"/>
      <c r="BW2227" s="73"/>
      <c r="BX2227" s="73"/>
      <c r="BY2227" s="73"/>
      <c r="BZ2227" s="73"/>
      <c r="CA2227" s="73"/>
      <c r="CB2227" s="73"/>
      <c r="CC2227" s="73"/>
      <c r="CD2227" s="73"/>
      <c r="CE2227" s="73"/>
      <c r="CF2227" s="73"/>
      <c r="CG2227" s="73"/>
      <c r="CH2227" s="73"/>
    </row>
    <row r="2228">
      <c r="A2228" s="80"/>
      <c r="B2228" s="80"/>
      <c r="C2228" s="80"/>
      <c r="D2228" s="80"/>
      <c r="E2228" s="124"/>
      <c r="F2228" s="80"/>
      <c r="G2228" s="80"/>
      <c r="H2228" s="80"/>
      <c r="I2228" s="80"/>
      <c r="J2228" s="196"/>
      <c r="K2228" s="196"/>
      <c r="L2228" s="196"/>
      <c r="M2228" s="196"/>
      <c r="N2228" s="196"/>
      <c r="O2228" s="196"/>
      <c r="P2228" s="196"/>
      <c r="Q2228" s="196"/>
      <c r="R2228" s="196"/>
      <c r="S2228" s="196"/>
      <c r="T2228" s="196"/>
      <c r="U2228" s="196"/>
      <c r="V2228" s="196"/>
      <c r="W2228" s="196"/>
      <c r="X2228" s="196"/>
      <c r="Y2228" s="196"/>
      <c r="Z2228" s="196"/>
      <c r="AA2228" s="196"/>
      <c r="AB2228" s="196"/>
      <c r="AC2228" s="196"/>
      <c r="AD2228" s="196"/>
      <c r="AE2228" s="196"/>
      <c r="AF2228" s="196"/>
      <c r="AG2228" s="196"/>
      <c r="AH2228" s="196"/>
      <c r="AI2228" s="196"/>
      <c r="AJ2228" s="197"/>
      <c r="AK2228" s="80"/>
      <c r="AL2228" s="80"/>
      <c r="AM2228" s="73"/>
      <c r="AN2228" s="73"/>
      <c r="AO2228" s="73"/>
      <c r="AP2228" s="73"/>
      <c r="AQ2228" s="73"/>
      <c r="AR2228" s="73"/>
      <c r="AS2228" s="73"/>
      <c r="AT2228" s="73"/>
      <c r="AU2228" s="73"/>
      <c r="AV2228" s="73"/>
      <c r="AW2228" s="73"/>
      <c r="AX2228" s="73"/>
      <c r="AY2228" s="73"/>
      <c r="AZ2228" s="73"/>
      <c r="BA2228" s="73"/>
      <c r="BB2228" s="73"/>
      <c r="BC2228" s="73"/>
      <c r="BD2228" s="73"/>
      <c r="BE2228" s="73"/>
      <c r="BF2228" s="73"/>
      <c r="BG2228" s="73"/>
      <c r="BH2228" s="73"/>
      <c r="BI2228" s="73"/>
      <c r="BJ2228" s="73"/>
      <c r="BK2228" s="73"/>
      <c r="BL2228" s="73"/>
      <c r="BM2228" s="73"/>
      <c r="BN2228" s="73"/>
      <c r="BO2228" s="73"/>
      <c r="BP2228" s="73"/>
      <c r="BQ2228" s="73"/>
      <c r="BR2228" s="73"/>
      <c r="BS2228" s="73"/>
      <c r="BT2228" s="73"/>
      <c r="BU2228" s="73"/>
      <c r="BV2228" s="73"/>
      <c r="BW2228" s="73"/>
      <c r="BX2228" s="73"/>
      <c r="BY2228" s="73"/>
      <c r="BZ2228" s="73"/>
      <c r="CA2228" s="73"/>
      <c r="CB2228" s="73"/>
      <c r="CC2228" s="73"/>
      <c r="CD2228" s="73"/>
      <c r="CE2228" s="73"/>
      <c r="CF2228" s="73"/>
      <c r="CG2228" s="73"/>
      <c r="CH2228" s="73"/>
    </row>
    <row r="2229">
      <c r="A2229" s="80"/>
      <c r="B2229" s="80"/>
      <c r="C2229" s="80"/>
      <c r="D2229" s="80"/>
      <c r="E2229" s="124"/>
      <c r="F2229" s="80"/>
      <c r="G2229" s="80"/>
      <c r="H2229" s="80"/>
      <c r="I2229" s="80"/>
      <c r="J2229" s="196"/>
      <c r="K2229" s="196"/>
      <c r="L2229" s="196"/>
      <c r="M2229" s="196"/>
      <c r="N2229" s="196"/>
      <c r="O2229" s="196"/>
      <c r="P2229" s="196"/>
      <c r="Q2229" s="196"/>
      <c r="R2229" s="196"/>
      <c r="S2229" s="196"/>
      <c r="T2229" s="196"/>
      <c r="U2229" s="196"/>
      <c r="V2229" s="196"/>
      <c r="W2229" s="196"/>
      <c r="X2229" s="196"/>
      <c r="Y2229" s="196"/>
      <c r="Z2229" s="196"/>
      <c r="AA2229" s="196"/>
      <c r="AB2229" s="196"/>
      <c r="AC2229" s="196"/>
      <c r="AD2229" s="196"/>
      <c r="AE2229" s="196"/>
      <c r="AF2229" s="196"/>
      <c r="AG2229" s="196"/>
      <c r="AH2229" s="196"/>
      <c r="AI2229" s="196"/>
      <c r="AJ2229" s="197"/>
      <c r="AK2229" s="80"/>
      <c r="AL2229" s="80"/>
      <c r="AM2229" s="73"/>
      <c r="AN2229" s="73"/>
      <c r="AO2229" s="73"/>
      <c r="AP2229" s="73"/>
      <c r="AQ2229" s="73"/>
      <c r="AR2229" s="73"/>
      <c r="AS2229" s="73"/>
      <c r="AT2229" s="73"/>
      <c r="AU2229" s="73"/>
      <c r="AV2229" s="73"/>
      <c r="AW2229" s="73"/>
      <c r="AX2229" s="73"/>
      <c r="AY2229" s="73"/>
      <c r="AZ2229" s="73"/>
      <c r="BA2229" s="73"/>
      <c r="BB2229" s="73"/>
      <c r="BC2229" s="73"/>
      <c r="BD2229" s="73"/>
      <c r="BE2229" s="73"/>
      <c r="BF2229" s="73"/>
      <c r="BG2229" s="73"/>
      <c r="BH2229" s="73"/>
      <c r="BI2229" s="73"/>
      <c r="BJ2229" s="73"/>
      <c r="BK2229" s="73"/>
      <c r="BL2229" s="73"/>
      <c r="BM2229" s="73"/>
      <c r="BN2229" s="73"/>
      <c r="BO2229" s="73"/>
      <c r="BP2229" s="73"/>
      <c r="BQ2229" s="73"/>
      <c r="BR2229" s="73"/>
      <c r="BS2229" s="73"/>
      <c r="BT2229" s="73"/>
      <c r="BU2229" s="73"/>
      <c r="BV2229" s="73"/>
      <c r="BW2229" s="73"/>
      <c r="BX2229" s="73"/>
      <c r="BY2229" s="73"/>
      <c r="BZ2229" s="73"/>
      <c r="CA2229" s="73"/>
      <c r="CB2229" s="73"/>
      <c r="CC2229" s="73"/>
      <c r="CD2229" s="73"/>
      <c r="CE2229" s="73"/>
      <c r="CF2229" s="73"/>
      <c r="CG2229" s="73"/>
      <c r="CH2229" s="73"/>
    </row>
    <row r="2230">
      <c r="A2230" s="80"/>
      <c r="B2230" s="80"/>
      <c r="C2230" s="80"/>
      <c r="D2230" s="80"/>
      <c r="E2230" s="124"/>
      <c r="F2230" s="80"/>
      <c r="G2230" s="80"/>
      <c r="H2230" s="80"/>
      <c r="I2230" s="80"/>
      <c r="J2230" s="196"/>
      <c r="K2230" s="196"/>
      <c r="L2230" s="196"/>
      <c r="M2230" s="196"/>
      <c r="N2230" s="196"/>
      <c r="O2230" s="196"/>
      <c r="P2230" s="196"/>
      <c r="Q2230" s="196"/>
      <c r="R2230" s="196"/>
      <c r="S2230" s="196"/>
      <c r="T2230" s="196"/>
      <c r="U2230" s="196"/>
      <c r="V2230" s="196"/>
      <c r="W2230" s="196"/>
      <c r="X2230" s="196"/>
      <c r="Y2230" s="196"/>
      <c r="Z2230" s="196"/>
      <c r="AA2230" s="196"/>
      <c r="AB2230" s="196"/>
      <c r="AC2230" s="196"/>
      <c r="AD2230" s="196"/>
      <c r="AE2230" s="196"/>
      <c r="AF2230" s="196"/>
      <c r="AG2230" s="196"/>
      <c r="AH2230" s="196"/>
      <c r="AI2230" s="196"/>
      <c r="AJ2230" s="197"/>
      <c r="AK2230" s="80"/>
      <c r="AL2230" s="80"/>
      <c r="AM2230" s="73"/>
      <c r="AN2230" s="73"/>
      <c r="AO2230" s="73"/>
      <c r="AP2230" s="73"/>
      <c r="AQ2230" s="73"/>
      <c r="AR2230" s="73"/>
      <c r="AS2230" s="73"/>
      <c r="AT2230" s="73"/>
      <c r="AU2230" s="73"/>
      <c r="AV2230" s="73"/>
      <c r="AW2230" s="73"/>
      <c r="AX2230" s="73"/>
      <c r="AY2230" s="73"/>
      <c r="AZ2230" s="73"/>
      <c r="BA2230" s="73"/>
      <c r="BB2230" s="73"/>
      <c r="BC2230" s="73"/>
      <c r="BD2230" s="73"/>
      <c r="BE2230" s="73"/>
      <c r="BF2230" s="73"/>
      <c r="BG2230" s="73"/>
      <c r="BH2230" s="73"/>
      <c r="BI2230" s="73"/>
      <c r="BJ2230" s="73"/>
      <c r="BK2230" s="73"/>
      <c r="BL2230" s="73"/>
      <c r="BM2230" s="73"/>
      <c r="BN2230" s="73"/>
      <c r="BO2230" s="73"/>
      <c r="BP2230" s="73"/>
      <c r="BQ2230" s="73"/>
      <c r="BR2230" s="73"/>
      <c r="BS2230" s="73"/>
      <c r="BT2230" s="73"/>
      <c r="BU2230" s="73"/>
      <c r="BV2230" s="73"/>
      <c r="BW2230" s="73"/>
      <c r="BX2230" s="73"/>
      <c r="BY2230" s="73"/>
      <c r="BZ2230" s="73"/>
      <c r="CA2230" s="73"/>
      <c r="CB2230" s="73"/>
      <c r="CC2230" s="73"/>
      <c r="CD2230" s="73"/>
      <c r="CE2230" s="73"/>
      <c r="CF2230" s="73"/>
      <c r="CG2230" s="73"/>
      <c r="CH2230" s="73"/>
    </row>
    <row r="2231">
      <c r="A2231" s="80"/>
      <c r="B2231" s="80"/>
      <c r="C2231" s="80"/>
      <c r="D2231" s="80"/>
      <c r="E2231" s="124"/>
      <c r="F2231" s="80"/>
      <c r="G2231" s="80"/>
      <c r="H2231" s="80"/>
      <c r="I2231" s="80"/>
      <c r="J2231" s="196"/>
      <c r="K2231" s="196"/>
      <c r="L2231" s="196"/>
      <c r="M2231" s="196"/>
      <c r="N2231" s="196"/>
      <c r="O2231" s="196"/>
      <c r="P2231" s="196"/>
      <c r="Q2231" s="196"/>
      <c r="R2231" s="196"/>
      <c r="S2231" s="196"/>
      <c r="T2231" s="196"/>
      <c r="U2231" s="196"/>
      <c r="V2231" s="196"/>
      <c r="W2231" s="196"/>
      <c r="X2231" s="196"/>
      <c r="Y2231" s="196"/>
      <c r="Z2231" s="196"/>
      <c r="AA2231" s="196"/>
      <c r="AB2231" s="196"/>
      <c r="AC2231" s="196"/>
      <c r="AD2231" s="196"/>
      <c r="AE2231" s="196"/>
      <c r="AF2231" s="196"/>
      <c r="AG2231" s="196"/>
      <c r="AH2231" s="196"/>
      <c r="AI2231" s="196"/>
      <c r="AJ2231" s="197"/>
      <c r="AK2231" s="80"/>
      <c r="AL2231" s="80"/>
      <c r="AM2231" s="73"/>
      <c r="AN2231" s="73"/>
      <c r="AO2231" s="73"/>
      <c r="AP2231" s="73"/>
      <c r="AQ2231" s="73"/>
      <c r="AR2231" s="73"/>
      <c r="AS2231" s="73"/>
      <c r="AT2231" s="73"/>
      <c r="AU2231" s="73"/>
      <c r="AV2231" s="73"/>
      <c r="AW2231" s="73"/>
      <c r="AX2231" s="73"/>
      <c r="AY2231" s="73"/>
      <c r="AZ2231" s="73"/>
      <c r="BA2231" s="73"/>
      <c r="BB2231" s="73"/>
      <c r="BC2231" s="73"/>
      <c r="BD2231" s="73"/>
      <c r="BE2231" s="73"/>
      <c r="BF2231" s="73"/>
      <c r="BG2231" s="73"/>
      <c r="BH2231" s="73"/>
      <c r="BI2231" s="73"/>
      <c r="BJ2231" s="73"/>
      <c r="BK2231" s="73"/>
      <c r="BL2231" s="73"/>
      <c r="BM2231" s="73"/>
      <c r="BN2231" s="73"/>
      <c r="BO2231" s="73"/>
      <c r="BP2231" s="73"/>
      <c r="BQ2231" s="73"/>
      <c r="BR2231" s="73"/>
      <c r="BS2231" s="73"/>
      <c r="BT2231" s="73"/>
      <c r="BU2231" s="73"/>
      <c r="BV2231" s="73"/>
      <c r="BW2231" s="73"/>
      <c r="BX2231" s="73"/>
      <c r="BY2231" s="73"/>
      <c r="BZ2231" s="73"/>
      <c r="CA2231" s="73"/>
      <c r="CB2231" s="73"/>
      <c r="CC2231" s="73"/>
      <c r="CD2231" s="73"/>
      <c r="CE2231" s="73"/>
      <c r="CF2231" s="73"/>
      <c r="CG2231" s="73"/>
      <c r="CH2231" s="73"/>
    </row>
    <row r="2232">
      <c r="A2232" s="80"/>
      <c r="B2232" s="80"/>
      <c r="C2232" s="80"/>
      <c r="D2232" s="80"/>
      <c r="E2232" s="124"/>
      <c r="F2232" s="80"/>
      <c r="G2232" s="80"/>
      <c r="H2232" s="80"/>
      <c r="I2232" s="80"/>
      <c r="J2232" s="196"/>
      <c r="K2232" s="196"/>
      <c r="L2232" s="196"/>
      <c r="M2232" s="196"/>
      <c r="N2232" s="196"/>
      <c r="O2232" s="196"/>
      <c r="P2232" s="196"/>
      <c r="Q2232" s="196"/>
      <c r="R2232" s="196"/>
      <c r="S2232" s="196"/>
      <c r="T2232" s="196"/>
      <c r="U2232" s="196"/>
      <c r="V2232" s="196"/>
      <c r="W2232" s="196"/>
      <c r="X2232" s="196"/>
      <c r="Y2232" s="196"/>
      <c r="Z2232" s="196"/>
      <c r="AA2232" s="196"/>
      <c r="AB2232" s="196"/>
      <c r="AC2232" s="196"/>
      <c r="AD2232" s="196"/>
      <c r="AE2232" s="196"/>
      <c r="AF2232" s="196"/>
      <c r="AG2232" s="196"/>
      <c r="AH2232" s="196"/>
      <c r="AI2232" s="196"/>
      <c r="AJ2232" s="197"/>
      <c r="AK2232" s="80"/>
      <c r="AL2232" s="80"/>
      <c r="AM2232" s="73"/>
      <c r="AN2232" s="73"/>
      <c r="AO2232" s="73"/>
      <c r="AP2232" s="73"/>
      <c r="AQ2232" s="73"/>
      <c r="AR2232" s="73"/>
      <c r="AS2232" s="73"/>
      <c r="AT2232" s="73"/>
      <c r="AU2232" s="73"/>
      <c r="AV2232" s="73"/>
      <c r="AW2232" s="73"/>
      <c r="AX2232" s="73"/>
      <c r="AY2232" s="73"/>
      <c r="AZ2232" s="73"/>
      <c r="BA2232" s="73"/>
      <c r="BB2232" s="73"/>
      <c r="BC2232" s="73"/>
      <c r="BD2232" s="73"/>
      <c r="BE2232" s="73"/>
      <c r="BF2232" s="73"/>
      <c r="BG2232" s="73"/>
      <c r="BH2232" s="73"/>
      <c r="BI2232" s="73"/>
      <c r="BJ2232" s="73"/>
      <c r="BK2232" s="73"/>
      <c r="BL2232" s="73"/>
      <c r="BM2232" s="73"/>
      <c r="BN2232" s="73"/>
      <c r="BO2232" s="73"/>
      <c r="BP2232" s="73"/>
      <c r="BQ2232" s="73"/>
      <c r="BR2232" s="73"/>
      <c r="BS2232" s="73"/>
      <c r="BT2232" s="73"/>
      <c r="BU2232" s="73"/>
      <c r="BV2232" s="73"/>
      <c r="BW2232" s="73"/>
      <c r="BX2232" s="73"/>
      <c r="BY2232" s="73"/>
      <c r="BZ2232" s="73"/>
      <c r="CA2232" s="73"/>
      <c r="CB2232" s="73"/>
      <c r="CC2232" s="73"/>
      <c r="CD2232" s="73"/>
      <c r="CE2232" s="73"/>
      <c r="CF2232" s="73"/>
      <c r="CG2232" s="73"/>
      <c r="CH2232" s="73"/>
    </row>
    <row r="2233">
      <c r="A2233" s="80"/>
      <c r="B2233" s="80"/>
      <c r="C2233" s="80"/>
      <c r="D2233" s="80"/>
      <c r="E2233" s="124"/>
      <c r="F2233" s="80"/>
      <c r="G2233" s="80"/>
      <c r="H2233" s="80"/>
      <c r="I2233" s="80"/>
      <c r="J2233" s="196"/>
      <c r="K2233" s="196"/>
      <c r="L2233" s="196"/>
      <c r="M2233" s="196"/>
      <c r="N2233" s="196"/>
      <c r="O2233" s="196"/>
      <c r="P2233" s="196"/>
      <c r="Q2233" s="196"/>
      <c r="R2233" s="196"/>
      <c r="S2233" s="196"/>
      <c r="T2233" s="196"/>
      <c r="U2233" s="196"/>
      <c r="V2233" s="196"/>
      <c r="W2233" s="196"/>
      <c r="X2233" s="196"/>
      <c r="Y2233" s="196"/>
      <c r="Z2233" s="196"/>
      <c r="AA2233" s="196"/>
      <c r="AB2233" s="196"/>
      <c r="AC2233" s="196"/>
      <c r="AD2233" s="196"/>
      <c r="AE2233" s="196"/>
      <c r="AF2233" s="196"/>
      <c r="AG2233" s="196"/>
      <c r="AH2233" s="196"/>
      <c r="AI2233" s="196"/>
      <c r="AJ2233" s="197"/>
      <c r="AK2233" s="80"/>
      <c r="AL2233" s="80"/>
      <c r="AM2233" s="73"/>
      <c r="AN2233" s="73"/>
      <c r="AO2233" s="73"/>
      <c r="AP2233" s="73"/>
      <c r="AQ2233" s="73"/>
      <c r="AR2233" s="73"/>
      <c r="AS2233" s="73"/>
      <c r="AT2233" s="73"/>
      <c r="AU2233" s="73"/>
      <c r="AV2233" s="73"/>
      <c r="AW2233" s="73"/>
      <c r="AX2233" s="73"/>
      <c r="AY2233" s="73"/>
      <c r="AZ2233" s="73"/>
      <c r="BA2233" s="73"/>
      <c r="BB2233" s="73"/>
      <c r="BC2233" s="73"/>
      <c r="BD2233" s="73"/>
      <c r="BE2233" s="73"/>
      <c r="BF2233" s="73"/>
      <c r="BG2233" s="73"/>
      <c r="BH2233" s="73"/>
      <c r="BI2233" s="73"/>
      <c r="BJ2233" s="73"/>
      <c r="BK2233" s="73"/>
      <c r="BL2233" s="73"/>
      <c r="BM2233" s="73"/>
      <c r="BN2233" s="73"/>
      <c r="BO2233" s="73"/>
      <c r="BP2233" s="73"/>
      <c r="BQ2233" s="73"/>
      <c r="BR2233" s="73"/>
      <c r="BS2233" s="73"/>
      <c r="BT2233" s="73"/>
      <c r="BU2233" s="73"/>
      <c r="BV2233" s="73"/>
      <c r="BW2233" s="73"/>
      <c r="BX2233" s="73"/>
      <c r="BY2233" s="73"/>
      <c r="BZ2233" s="73"/>
      <c r="CA2233" s="73"/>
      <c r="CB2233" s="73"/>
      <c r="CC2233" s="73"/>
      <c r="CD2233" s="73"/>
      <c r="CE2233" s="73"/>
      <c r="CF2233" s="73"/>
      <c r="CG2233" s="73"/>
      <c r="CH2233" s="73"/>
    </row>
    <row r="2234">
      <c r="A2234" s="80"/>
      <c r="B2234" s="80"/>
      <c r="C2234" s="80"/>
      <c r="D2234" s="80"/>
      <c r="E2234" s="124"/>
      <c r="F2234" s="80"/>
      <c r="G2234" s="80"/>
      <c r="H2234" s="80"/>
      <c r="I2234" s="80"/>
      <c r="J2234" s="196"/>
      <c r="K2234" s="196"/>
      <c r="L2234" s="196"/>
      <c r="M2234" s="196"/>
      <c r="N2234" s="196"/>
      <c r="O2234" s="196"/>
      <c r="P2234" s="196"/>
      <c r="Q2234" s="196"/>
      <c r="R2234" s="196"/>
      <c r="S2234" s="196"/>
      <c r="T2234" s="196"/>
      <c r="U2234" s="196"/>
      <c r="V2234" s="196"/>
      <c r="W2234" s="196"/>
      <c r="X2234" s="196"/>
      <c r="Y2234" s="196"/>
      <c r="Z2234" s="196"/>
      <c r="AA2234" s="196"/>
      <c r="AB2234" s="196"/>
      <c r="AC2234" s="196"/>
      <c r="AD2234" s="196"/>
      <c r="AE2234" s="196"/>
      <c r="AF2234" s="196"/>
      <c r="AG2234" s="196"/>
      <c r="AH2234" s="196"/>
      <c r="AI2234" s="196"/>
      <c r="AJ2234" s="197"/>
      <c r="AK2234" s="80"/>
      <c r="AL2234" s="80"/>
      <c r="AM2234" s="73"/>
      <c r="AN2234" s="73"/>
      <c r="AO2234" s="73"/>
      <c r="AP2234" s="73"/>
      <c r="AQ2234" s="73"/>
      <c r="AR2234" s="73"/>
      <c r="AS2234" s="73"/>
      <c r="AT2234" s="73"/>
      <c r="AU2234" s="73"/>
      <c r="AV2234" s="73"/>
      <c r="AW2234" s="73"/>
      <c r="AX2234" s="73"/>
      <c r="AY2234" s="73"/>
      <c r="AZ2234" s="73"/>
      <c r="BA2234" s="73"/>
      <c r="BB2234" s="73"/>
      <c r="BC2234" s="73"/>
      <c r="BD2234" s="73"/>
      <c r="BE2234" s="73"/>
      <c r="BF2234" s="73"/>
      <c r="BG2234" s="73"/>
      <c r="BH2234" s="73"/>
      <c r="BI2234" s="73"/>
      <c r="BJ2234" s="73"/>
      <c r="BK2234" s="73"/>
      <c r="BL2234" s="73"/>
      <c r="BM2234" s="73"/>
      <c r="BN2234" s="73"/>
      <c r="BO2234" s="73"/>
      <c r="BP2234" s="73"/>
      <c r="BQ2234" s="73"/>
      <c r="BR2234" s="73"/>
      <c r="BS2234" s="73"/>
      <c r="BT2234" s="73"/>
      <c r="BU2234" s="73"/>
      <c r="BV2234" s="73"/>
      <c r="BW2234" s="73"/>
      <c r="BX2234" s="73"/>
      <c r="BY2234" s="73"/>
      <c r="BZ2234" s="73"/>
      <c r="CA2234" s="73"/>
      <c r="CB2234" s="73"/>
      <c r="CC2234" s="73"/>
      <c r="CD2234" s="73"/>
      <c r="CE2234" s="73"/>
      <c r="CF2234" s="73"/>
      <c r="CG2234" s="73"/>
      <c r="CH2234" s="73"/>
    </row>
    <row r="2235">
      <c r="A2235" s="80"/>
      <c r="B2235" s="80"/>
      <c r="C2235" s="80"/>
      <c r="D2235" s="80"/>
      <c r="E2235" s="124"/>
      <c r="F2235" s="80"/>
      <c r="G2235" s="80"/>
      <c r="H2235" s="80"/>
      <c r="I2235" s="80"/>
      <c r="J2235" s="196"/>
      <c r="K2235" s="196"/>
      <c r="L2235" s="196"/>
      <c r="M2235" s="196"/>
      <c r="N2235" s="196"/>
      <c r="O2235" s="196"/>
      <c r="P2235" s="196"/>
      <c r="Q2235" s="196"/>
      <c r="R2235" s="196"/>
      <c r="S2235" s="196"/>
      <c r="T2235" s="196"/>
      <c r="U2235" s="196"/>
      <c r="V2235" s="196"/>
      <c r="W2235" s="196"/>
      <c r="X2235" s="196"/>
      <c r="Y2235" s="196"/>
      <c r="Z2235" s="196"/>
      <c r="AA2235" s="196"/>
      <c r="AB2235" s="196"/>
      <c r="AC2235" s="196"/>
      <c r="AD2235" s="196"/>
      <c r="AE2235" s="196"/>
      <c r="AF2235" s="196"/>
      <c r="AG2235" s="196"/>
      <c r="AH2235" s="196"/>
      <c r="AI2235" s="196"/>
      <c r="AJ2235" s="197"/>
      <c r="AK2235" s="80"/>
      <c r="AL2235" s="80"/>
      <c r="AM2235" s="73"/>
      <c r="AN2235" s="73"/>
      <c r="AO2235" s="73"/>
      <c r="AP2235" s="73"/>
      <c r="AQ2235" s="73"/>
      <c r="AR2235" s="73"/>
      <c r="AS2235" s="73"/>
      <c r="AT2235" s="73"/>
      <c r="AU2235" s="73"/>
      <c r="AV2235" s="73"/>
      <c r="AW2235" s="73"/>
      <c r="AX2235" s="73"/>
      <c r="AY2235" s="73"/>
      <c r="AZ2235" s="73"/>
      <c r="BA2235" s="73"/>
      <c r="BB2235" s="73"/>
      <c r="BC2235" s="73"/>
      <c r="BD2235" s="73"/>
      <c r="BE2235" s="73"/>
      <c r="BF2235" s="73"/>
      <c r="BG2235" s="73"/>
      <c r="BH2235" s="73"/>
      <c r="BI2235" s="73"/>
      <c r="BJ2235" s="73"/>
      <c r="BK2235" s="73"/>
      <c r="BL2235" s="73"/>
      <c r="BM2235" s="73"/>
      <c r="BN2235" s="73"/>
      <c r="BO2235" s="73"/>
      <c r="BP2235" s="73"/>
      <c r="BQ2235" s="73"/>
      <c r="BR2235" s="73"/>
      <c r="BS2235" s="73"/>
      <c r="BT2235" s="73"/>
      <c r="BU2235" s="73"/>
      <c r="BV2235" s="73"/>
      <c r="BW2235" s="73"/>
      <c r="BX2235" s="73"/>
      <c r="BY2235" s="73"/>
      <c r="BZ2235" s="73"/>
      <c r="CA2235" s="73"/>
      <c r="CB2235" s="73"/>
      <c r="CC2235" s="73"/>
      <c r="CD2235" s="73"/>
      <c r="CE2235" s="73"/>
      <c r="CF2235" s="73"/>
      <c r="CG2235" s="73"/>
      <c r="CH2235" s="73"/>
    </row>
    <row r="2236">
      <c r="A2236" s="80"/>
      <c r="B2236" s="80"/>
      <c r="C2236" s="80"/>
      <c r="D2236" s="80"/>
      <c r="E2236" s="124"/>
      <c r="F2236" s="80"/>
      <c r="G2236" s="80"/>
      <c r="H2236" s="80"/>
      <c r="I2236" s="80"/>
      <c r="J2236" s="196"/>
      <c r="K2236" s="196"/>
      <c r="L2236" s="196"/>
      <c r="M2236" s="196"/>
      <c r="N2236" s="196"/>
      <c r="O2236" s="196"/>
      <c r="P2236" s="196"/>
      <c r="Q2236" s="196"/>
      <c r="R2236" s="196"/>
      <c r="S2236" s="196"/>
      <c r="T2236" s="196"/>
      <c r="U2236" s="196"/>
      <c r="V2236" s="196"/>
      <c r="W2236" s="196"/>
      <c r="X2236" s="196"/>
      <c r="Y2236" s="196"/>
      <c r="Z2236" s="196"/>
      <c r="AA2236" s="196"/>
      <c r="AB2236" s="196"/>
      <c r="AC2236" s="196"/>
      <c r="AD2236" s="196"/>
      <c r="AE2236" s="196"/>
      <c r="AF2236" s="196"/>
      <c r="AG2236" s="196"/>
      <c r="AH2236" s="196"/>
      <c r="AI2236" s="196"/>
      <c r="AJ2236" s="197"/>
      <c r="AK2236" s="80"/>
      <c r="AL2236" s="80"/>
      <c r="AM2236" s="73"/>
      <c r="AN2236" s="73"/>
      <c r="AO2236" s="73"/>
      <c r="AP2236" s="73"/>
      <c r="AQ2236" s="73"/>
      <c r="AR2236" s="73"/>
      <c r="AS2236" s="73"/>
      <c r="AT2236" s="73"/>
      <c r="AU2236" s="73"/>
      <c r="AV2236" s="73"/>
      <c r="AW2236" s="73"/>
      <c r="AX2236" s="73"/>
      <c r="AY2236" s="73"/>
      <c r="AZ2236" s="73"/>
      <c r="BA2236" s="73"/>
      <c r="BB2236" s="73"/>
      <c r="BC2236" s="73"/>
      <c r="BD2236" s="73"/>
      <c r="BE2236" s="73"/>
      <c r="BF2236" s="73"/>
      <c r="BG2236" s="73"/>
      <c r="BH2236" s="73"/>
      <c r="BI2236" s="73"/>
      <c r="BJ2236" s="73"/>
      <c r="BK2236" s="73"/>
      <c r="BL2236" s="73"/>
      <c r="BM2236" s="73"/>
      <c r="BN2236" s="73"/>
      <c r="BO2236" s="73"/>
      <c r="BP2236" s="73"/>
      <c r="BQ2236" s="73"/>
      <c r="BR2236" s="73"/>
      <c r="BS2236" s="73"/>
      <c r="BT2236" s="73"/>
      <c r="BU2236" s="73"/>
      <c r="BV2236" s="73"/>
      <c r="BW2236" s="73"/>
      <c r="BX2236" s="73"/>
      <c r="BY2236" s="73"/>
      <c r="BZ2236" s="73"/>
      <c r="CA2236" s="73"/>
      <c r="CB2236" s="73"/>
      <c r="CC2236" s="73"/>
      <c r="CD2236" s="73"/>
      <c r="CE2236" s="73"/>
      <c r="CF2236" s="73"/>
      <c r="CG2236" s="73"/>
      <c r="CH2236" s="73"/>
    </row>
    <row r="2237">
      <c r="A2237" s="80"/>
      <c r="B2237" s="80"/>
      <c r="C2237" s="80"/>
      <c r="D2237" s="80"/>
      <c r="E2237" s="124"/>
      <c r="F2237" s="80"/>
      <c r="G2237" s="80"/>
      <c r="H2237" s="80"/>
      <c r="I2237" s="80"/>
      <c r="J2237" s="196"/>
      <c r="K2237" s="196"/>
      <c r="L2237" s="196"/>
      <c r="M2237" s="196"/>
      <c r="N2237" s="196"/>
      <c r="O2237" s="196"/>
      <c r="P2237" s="196"/>
      <c r="Q2237" s="196"/>
      <c r="R2237" s="196"/>
      <c r="S2237" s="196"/>
      <c r="T2237" s="196"/>
      <c r="U2237" s="196"/>
      <c r="V2237" s="196"/>
      <c r="W2237" s="196"/>
      <c r="X2237" s="196"/>
      <c r="Y2237" s="196"/>
      <c r="Z2237" s="196"/>
      <c r="AA2237" s="196"/>
      <c r="AB2237" s="196"/>
      <c r="AC2237" s="196"/>
      <c r="AD2237" s="196"/>
      <c r="AE2237" s="196"/>
      <c r="AF2237" s="196"/>
      <c r="AG2237" s="196"/>
      <c r="AH2237" s="196"/>
      <c r="AI2237" s="196"/>
      <c r="AJ2237" s="197"/>
      <c r="AK2237" s="80"/>
      <c r="AL2237" s="80"/>
      <c r="AM2237" s="73"/>
      <c r="AN2237" s="73"/>
      <c r="AO2237" s="73"/>
      <c r="AP2237" s="73"/>
      <c r="AQ2237" s="73"/>
      <c r="AR2237" s="73"/>
      <c r="AS2237" s="73"/>
      <c r="AT2237" s="73"/>
      <c r="AU2237" s="73"/>
      <c r="AV2237" s="73"/>
      <c r="AW2237" s="73"/>
      <c r="AX2237" s="73"/>
      <c r="AY2237" s="73"/>
      <c r="AZ2237" s="73"/>
      <c r="BA2237" s="73"/>
      <c r="BB2237" s="73"/>
      <c r="BC2237" s="73"/>
      <c r="BD2237" s="73"/>
      <c r="BE2237" s="73"/>
      <c r="BF2237" s="73"/>
      <c r="BG2237" s="73"/>
      <c r="BH2237" s="73"/>
      <c r="BI2237" s="73"/>
      <c r="BJ2237" s="73"/>
      <c r="BK2237" s="73"/>
      <c r="BL2237" s="73"/>
      <c r="BM2237" s="73"/>
      <c r="BN2237" s="73"/>
      <c r="BO2237" s="73"/>
      <c r="BP2237" s="73"/>
      <c r="BQ2237" s="73"/>
      <c r="BR2237" s="73"/>
      <c r="BS2237" s="73"/>
      <c r="BT2237" s="73"/>
      <c r="BU2237" s="73"/>
      <c r="BV2237" s="73"/>
      <c r="BW2237" s="73"/>
      <c r="BX2237" s="73"/>
      <c r="BY2237" s="73"/>
      <c r="BZ2237" s="73"/>
      <c r="CA2237" s="73"/>
      <c r="CB2237" s="73"/>
      <c r="CC2237" s="73"/>
      <c r="CD2237" s="73"/>
      <c r="CE2237" s="73"/>
      <c r="CF2237" s="73"/>
      <c r="CG2237" s="73"/>
      <c r="CH2237" s="73"/>
    </row>
    <row r="2238">
      <c r="A2238" s="80"/>
      <c r="B2238" s="80"/>
      <c r="C2238" s="80"/>
      <c r="D2238" s="80"/>
      <c r="E2238" s="124"/>
      <c r="F2238" s="80"/>
      <c r="G2238" s="80"/>
      <c r="H2238" s="80"/>
      <c r="I2238" s="80"/>
      <c r="J2238" s="196"/>
      <c r="K2238" s="196"/>
      <c r="L2238" s="196"/>
      <c r="M2238" s="196"/>
      <c r="N2238" s="196"/>
      <c r="O2238" s="196"/>
      <c r="P2238" s="196"/>
      <c r="Q2238" s="196"/>
      <c r="R2238" s="196"/>
      <c r="S2238" s="196"/>
      <c r="T2238" s="196"/>
      <c r="U2238" s="196"/>
      <c r="V2238" s="196"/>
      <c r="W2238" s="196"/>
      <c r="X2238" s="196"/>
      <c r="Y2238" s="196"/>
      <c r="Z2238" s="196"/>
      <c r="AA2238" s="196"/>
      <c r="AB2238" s="196"/>
      <c r="AC2238" s="196"/>
      <c r="AD2238" s="196"/>
      <c r="AE2238" s="196"/>
      <c r="AF2238" s="196"/>
      <c r="AG2238" s="196"/>
      <c r="AH2238" s="196"/>
      <c r="AI2238" s="196"/>
      <c r="AJ2238" s="197"/>
      <c r="AK2238" s="80"/>
      <c r="AL2238" s="80"/>
      <c r="AM2238" s="73"/>
      <c r="AN2238" s="73"/>
      <c r="AO2238" s="73"/>
      <c r="AP2238" s="73"/>
      <c r="AQ2238" s="73"/>
      <c r="AR2238" s="73"/>
      <c r="AS2238" s="73"/>
      <c r="AT2238" s="73"/>
      <c r="AU2238" s="73"/>
      <c r="AV2238" s="73"/>
      <c r="AW2238" s="73"/>
      <c r="AX2238" s="73"/>
      <c r="AY2238" s="73"/>
      <c r="AZ2238" s="73"/>
      <c r="BA2238" s="73"/>
      <c r="BB2238" s="73"/>
      <c r="BC2238" s="73"/>
      <c r="BD2238" s="73"/>
      <c r="BE2238" s="73"/>
      <c r="BF2238" s="73"/>
      <c r="BG2238" s="73"/>
      <c r="BH2238" s="73"/>
      <c r="BI2238" s="73"/>
      <c r="BJ2238" s="73"/>
      <c r="BK2238" s="73"/>
      <c r="BL2238" s="73"/>
      <c r="BM2238" s="73"/>
      <c r="BN2238" s="73"/>
      <c r="BO2238" s="73"/>
      <c r="BP2238" s="73"/>
      <c r="BQ2238" s="73"/>
      <c r="BR2238" s="73"/>
      <c r="BS2238" s="73"/>
      <c r="BT2238" s="73"/>
      <c r="BU2238" s="73"/>
      <c r="BV2238" s="73"/>
      <c r="BW2238" s="73"/>
      <c r="BX2238" s="73"/>
      <c r="BY2238" s="73"/>
      <c r="BZ2238" s="73"/>
      <c r="CA2238" s="73"/>
      <c r="CB2238" s="73"/>
      <c r="CC2238" s="73"/>
      <c r="CD2238" s="73"/>
      <c r="CE2238" s="73"/>
      <c r="CF2238" s="73"/>
      <c r="CG2238" s="73"/>
      <c r="CH2238" s="73"/>
    </row>
    <row r="2239">
      <c r="A2239" s="80"/>
      <c r="B2239" s="80"/>
      <c r="C2239" s="80"/>
      <c r="D2239" s="80"/>
      <c r="E2239" s="124"/>
      <c r="F2239" s="80"/>
      <c r="G2239" s="80"/>
      <c r="H2239" s="80"/>
      <c r="I2239" s="80"/>
      <c r="J2239" s="196"/>
      <c r="K2239" s="196"/>
      <c r="L2239" s="196"/>
      <c r="M2239" s="196"/>
      <c r="N2239" s="196"/>
      <c r="O2239" s="196"/>
      <c r="P2239" s="196"/>
      <c r="Q2239" s="196"/>
      <c r="R2239" s="196"/>
      <c r="S2239" s="196"/>
      <c r="T2239" s="196"/>
      <c r="U2239" s="196"/>
      <c r="V2239" s="196"/>
      <c r="W2239" s="196"/>
      <c r="X2239" s="196"/>
      <c r="Y2239" s="196"/>
      <c r="Z2239" s="196"/>
      <c r="AA2239" s="196"/>
      <c r="AB2239" s="196"/>
      <c r="AC2239" s="196"/>
      <c r="AD2239" s="196"/>
      <c r="AE2239" s="196"/>
      <c r="AF2239" s="196"/>
      <c r="AG2239" s="196"/>
      <c r="AH2239" s="196"/>
      <c r="AI2239" s="196"/>
      <c r="AJ2239" s="197"/>
      <c r="AK2239" s="80"/>
      <c r="AL2239" s="80"/>
      <c r="AM2239" s="73"/>
      <c r="AN2239" s="73"/>
      <c r="AO2239" s="73"/>
      <c r="AP2239" s="73"/>
      <c r="AQ2239" s="73"/>
      <c r="AR2239" s="73"/>
      <c r="AS2239" s="73"/>
      <c r="AT2239" s="73"/>
      <c r="AU2239" s="73"/>
      <c r="AV2239" s="73"/>
      <c r="AW2239" s="73"/>
      <c r="AX2239" s="73"/>
      <c r="AY2239" s="73"/>
      <c r="AZ2239" s="73"/>
      <c r="BA2239" s="73"/>
      <c r="BB2239" s="73"/>
      <c r="BC2239" s="73"/>
      <c r="BD2239" s="73"/>
      <c r="BE2239" s="73"/>
      <c r="BF2239" s="73"/>
      <c r="BG2239" s="73"/>
      <c r="BH2239" s="73"/>
      <c r="BI2239" s="73"/>
      <c r="BJ2239" s="73"/>
      <c r="BK2239" s="73"/>
      <c r="BL2239" s="73"/>
      <c r="BM2239" s="73"/>
      <c r="BN2239" s="73"/>
      <c r="BO2239" s="73"/>
      <c r="BP2239" s="73"/>
      <c r="BQ2239" s="73"/>
      <c r="BR2239" s="73"/>
      <c r="BS2239" s="73"/>
      <c r="BT2239" s="73"/>
      <c r="BU2239" s="73"/>
      <c r="BV2239" s="73"/>
      <c r="BW2239" s="73"/>
      <c r="BX2239" s="73"/>
      <c r="BY2239" s="73"/>
      <c r="BZ2239" s="73"/>
      <c r="CA2239" s="73"/>
      <c r="CB2239" s="73"/>
      <c r="CC2239" s="73"/>
      <c r="CD2239" s="73"/>
      <c r="CE2239" s="73"/>
      <c r="CF2239" s="73"/>
      <c r="CG2239" s="73"/>
      <c r="CH2239" s="73"/>
    </row>
    <row r="2240">
      <c r="A2240" s="80"/>
      <c r="B2240" s="80"/>
      <c r="C2240" s="80"/>
      <c r="D2240" s="80"/>
      <c r="E2240" s="124"/>
      <c r="F2240" s="80"/>
      <c r="G2240" s="80"/>
      <c r="H2240" s="80"/>
      <c r="I2240" s="80"/>
      <c r="J2240" s="196"/>
      <c r="K2240" s="196"/>
      <c r="L2240" s="196"/>
      <c r="M2240" s="196"/>
      <c r="N2240" s="196"/>
      <c r="O2240" s="196"/>
      <c r="P2240" s="196"/>
      <c r="Q2240" s="196"/>
      <c r="R2240" s="196"/>
      <c r="S2240" s="196"/>
      <c r="T2240" s="196"/>
      <c r="U2240" s="196"/>
      <c r="V2240" s="196"/>
      <c r="W2240" s="196"/>
      <c r="X2240" s="196"/>
      <c r="Y2240" s="196"/>
      <c r="Z2240" s="196"/>
      <c r="AA2240" s="196"/>
      <c r="AB2240" s="196"/>
      <c r="AC2240" s="196"/>
      <c r="AD2240" s="196"/>
      <c r="AE2240" s="196"/>
      <c r="AF2240" s="196"/>
      <c r="AG2240" s="196"/>
      <c r="AH2240" s="196"/>
      <c r="AI2240" s="196"/>
      <c r="AJ2240" s="197"/>
      <c r="AK2240" s="80"/>
      <c r="AL2240" s="80"/>
      <c r="AM2240" s="73"/>
      <c r="AN2240" s="73"/>
      <c r="AO2240" s="73"/>
      <c r="AP2240" s="73"/>
      <c r="AQ2240" s="73"/>
      <c r="AR2240" s="73"/>
      <c r="AS2240" s="73"/>
      <c r="AT2240" s="73"/>
      <c r="AU2240" s="73"/>
      <c r="AV2240" s="73"/>
      <c r="AW2240" s="73"/>
      <c r="AX2240" s="73"/>
      <c r="AY2240" s="73"/>
      <c r="AZ2240" s="73"/>
      <c r="BA2240" s="73"/>
      <c r="BB2240" s="73"/>
      <c r="BC2240" s="73"/>
      <c r="BD2240" s="73"/>
      <c r="BE2240" s="73"/>
      <c r="BF2240" s="73"/>
      <c r="BG2240" s="73"/>
      <c r="BH2240" s="73"/>
      <c r="BI2240" s="73"/>
      <c r="BJ2240" s="73"/>
      <c r="BK2240" s="73"/>
      <c r="BL2240" s="73"/>
      <c r="BM2240" s="73"/>
      <c r="BN2240" s="73"/>
      <c r="BO2240" s="73"/>
      <c r="BP2240" s="73"/>
      <c r="BQ2240" s="73"/>
      <c r="BR2240" s="73"/>
      <c r="BS2240" s="73"/>
      <c r="BT2240" s="73"/>
      <c r="BU2240" s="73"/>
      <c r="BV2240" s="73"/>
      <c r="BW2240" s="73"/>
      <c r="BX2240" s="73"/>
      <c r="BY2240" s="73"/>
      <c r="BZ2240" s="73"/>
      <c r="CA2240" s="73"/>
      <c r="CB2240" s="73"/>
      <c r="CC2240" s="73"/>
      <c r="CD2240" s="73"/>
      <c r="CE2240" s="73"/>
      <c r="CF2240" s="73"/>
      <c r="CG2240" s="73"/>
      <c r="CH2240" s="73"/>
    </row>
    <row r="2241">
      <c r="A2241" s="80"/>
      <c r="B2241" s="80"/>
      <c r="C2241" s="80"/>
      <c r="D2241" s="80"/>
      <c r="E2241" s="124"/>
      <c r="F2241" s="80"/>
      <c r="G2241" s="80"/>
      <c r="H2241" s="80"/>
      <c r="I2241" s="80"/>
      <c r="J2241" s="196"/>
      <c r="K2241" s="196"/>
      <c r="L2241" s="196"/>
      <c r="M2241" s="196"/>
      <c r="N2241" s="196"/>
      <c r="O2241" s="196"/>
      <c r="P2241" s="196"/>
      <c r="Q2241" s="196"/>
      <c r="R2241" s="196"/>
      <c r="S2241" s="196"/>
      <c r="T2241" s="196"/>
      <c r="U2241" s="196"/>
      <c r="V2241" s="196"/>
      <c r="W2241" s="196"/>
      <c r="X2241" s="196"/>
      <c r="Y2241" s="196"/>
      <c r="Z2241" s="196"/>
      <c r="AA2241" s="196"/>
      <c r="AB2241" s="196"/>
      <c r="AC2241" s="196"/>
      <c r="AD2241" s="196"/>
      <c r="AE2241" s="196"/>
      <c r="AF2241" s="196"/>
      <c r="AG2241" s="196"/>
      <c r="AH2241" s="196"/>
      <c r="AI2241" s="196"/>
      <c r="AJ2241" s="197"/>
      <c r="AK2241" s="80"/>
      <c r="AL2241" s="80"/>
      <c r="AM2241" s="73"/>
      <c r="AN2241" s="73"/>
      <c r="AO2241" s="73"/>
      <c r="AP2241" s="73"/>
      <c r="AQ2241" s="73"/>
      <c r="AR2241" s="73"/>
      <c r="AS2241" s="73"/>
      <c r="AT2241" s="73"/>
      <c r="AU2241" s="73"/>
      <c r="AV2241" s="73"/>
      <c r="AW2241" s="73"/>
      <c r="AX2241" s="73"/>
      <c r="AY2241" s="73"/>
      <c r="AZ2241" s="73"/>
      <c r="BA2241" s="73"/>
      <c r="BB2241" s="73"/>
      <c r="BC2241" s="73"/>
      <c r="BD2241" s="73"/>
      <c r="BE2241" s="73"/>
      <c r="BF2241" s="73"/>
      <c r="BG2241" s="73"/>
      <c r="BH2241" s="73"/>
      <c r="BI2241" s="73"/>
      <c r="BJ2241" s="73"/>
      <c r="BK2241" s="73"/>
      <c r="BL2241" s="73"/>
      <c r="BM2241" s="73"/>
      <c r="BN2241" s="73"/>
      <c r="BO2241" s="73"/>
      <c r="BP2241" s="73"/>
      <c r="BQ2241" s="73"/>
      <c r="BR2241" s="73"/>
      <c r="BS2241" s="73"/>
      <c r="BT2241" s="73"/>
      <c r="BU2241" s="73"/>
      <c r="BV2241" s="73"/>
      <c r="BW2241" s="73"/>
      <c r="BX2241" s="73"/>
      <c r="BY2241" s="73"/>
      <c r="BZ2241" s="73"/>
      <c r="CA2241" s="73"/>
      <c r="CB2241" s="73"/>
      <c r="CC2241" s="73"/>
      <c r="CD2241" s="73"/>
      <c r="CE2241" s="73"/>
      <c r="CF2241" s="73"/>
      <c r="CG2241" s="73"/>
      <c r="CH2241" s="73"/>
    </row>
    <row r="2242">
      <c r="A2242" s="80"/>
      <c r="B2242" s="80"/>
      <c r="C2242" s="80"/>
      <c r="D2242" s="80"/>
      <c r="E2242" s="124"/>
      <c r="F2242" s="80"/>
      <c r="G2242" s="80"/>
      <c r="H2242" s="80"/>
      <c r="I2242" s="80"/>
      <c r="J2242" s="196"/>
      <c r="K2242" s="196"/>
      <c r="L2242" s="196"/>
      <c r="M2242" s="196"/>
      <c r="N2242" s="196"/>
      <c r="O2242" s="196"/>
      <c r="P2242" s="196"/>
      <c r="Q2242" s="196"/>
      <c r="R2242" s="196"/>
      <c r="S2242" s="196"/>
      <c r="T2242" s="196"/>
      <c r="U2242" s="196"/>
      <c r="V2242" s="196"/>
      <c r="W2242" s="196"/>
      <c r="X2242" s="196"/>
      <c r="Y2242" s="196"/>
      <c r="Z2242" s="196"/>
      <c r="AA2242" s="196"/>
      <c r="AB2242" s="196"/>
      <c r="AC2242" s="196"/>
      <c r="AD2242" s="196"/>
      <c r="AE2242" s="196"/>
      <c r="AF2242" s="196"/>
      <c r="AG2242" s="196"/>
      <c r="AH2242" s="196"/>
      <c r="AI2242" s="196"/>
      <c r="AJ2242" s="197"/>
      <c r="AK2242" s="80"/>
      <c r="AL2242" s="80"/>
      <c r="AM2242" s="73"/>
      <c r="AN2242" s="73"/>
      <c r="AO2242" s="73"/>
      <c r="AP2242" s="73"/>
      <c r="AQ2242" s="73"/>
      <c r="AR2242" s="73"/>
      <c r="AS2242" s="73"/>
      <c r="AT2242" s="73"/>
      <c r="AU2242" s="73"/>
      <c r="AV2242" s="73"/>
      <c r="AW2242" s="73"/>
      <c r="AX2242" s="73"/>
      <c r="AY2242" s="73"/>
      <c r="AZ2242" s="73"/>
      <c r="BA2242" s="73"/>
      <c r="BB2242" s="73"/>
      <c r="BC2242" s="73"/>
      <c r="BD2242" s="73"/>
      <c r="BE2242" s="73"/>
      <c r="BF2242" s="73"/>
      <c r="BG2242" s="73"/>
      <c r="BH2242" s="73"/>
      <c r="BI2242" s="73"/>
      <c r="BJ2242" s="73"/>
      <c r="BK2242" s="73"/>
      <c r="BL2242" s="73"/>
      <c r="BM2242" s="73"/>
      <c r="BN2242" s="73"/>
      <c r="BO2242" s="73"/>
      <c r="BP2242" s="73"/>
      <c r="BQ2242" s="73"/>
      <c r="BR2242" s="73"/>
      <c r="BS2242" s="73"/>
      <c r="BT2242" s="73"/>
      <c r="BU2242" s="73"/>
      <c r="BV2242" s="73"/>
      <c r="BW2242" s="73"/>
      <c r="BX2242" s="73"/>
      <c r="BY2242" s="73"/>
      <c r="BZ2242" s="73"/>
      <c r="CA2242" s="73"/>
      <c r="CB2242" s="73"/>
      <c r="CC2242" s="73"/>
      <c r="CD2242" s="73"/>
      <c r="CE2242" s="73"/>
      <c r="CF2242" s="73"/>
      <c r="CG2242" s="73"/>
      <c r="CH2242" s="73"/>
    </row>
    <row r="2243">
      <c r="A2243" s="80"/>
      <c r="B2243" s="80"/>
      <c r="C2243" s="80"/>
      <c r="D2243" s="80"/>
      <c r="E2243" s="124"/>
      <c r="F2243" s="80"/>
      <c r="G2243" s="80"/>
      <c r="H2243" s="80"/>
      <c r="I2243" s="80"/>
      <c r="J2243" s="196"/>
      <c r="K2243" s="196"/>
      <c r="L2243" s="196"/>
      <c r="M2243" s="196"/>
      <c r="N2243" s="196"/>
      <c r="O2243" s="196"/>
      <c r="P2243" s="196"/>
      <c r="Q2243" s="196"/>
      <c r="R2243" s="196"/>
      <c r="S2243" s="196"/>
      <c r="T2243" s="196"/>
      <c r="U2243" s="196"/>
      <c r="V2243" s="196"/>
      <c r="W2243" s="196"/>
      <c r="X2243" s="196"/>
      <c r="Y2243" s="196"/>
      <c r="Z2243" s="196"/>
      <c r="AA2243" s="196"/>
      <c r="AB2243" s="196"/>
      <c r="AC2243" s="196"/>
      <c r="AD2243" s="196"/>
      <c r="AE2243" s="196"/>
      <c r="AF2243" s="196"/>
      <c r="AG2243" s="196"/>
      <c r="AH2243" s="196"/>
      <c r="AI2243" s="196"/>
      <c r="AJ2243" s="197"/>
      <c r="AK2243" s="80"/>
      <c r="AL2243" s="80"/>
      <c r="AM2243" s="73"/>
      <c r="AN2243" s="73"/>
      <c r="AO2243" s="73"/>
      <c r="AP2243" s="73"/>
      <c r="AQ2243" s="73"/>
      <c r="AR2243" s="73"/>
      <c r="AS2243" s="73"/>
      <c r="AT2243" s="73"/>
      <c r="AU2243" s="73"/>
      <c r="AV2243" s="73"/>
      <c r="AW2243" s="73"/>
      <c r="AX2243" s="73"/>
      <c r="AY2243" s="73"/>
      <c r="AZ2243" s="73"/>
      <c r="BA2243" s="73"/>
      <c r="BB2243" s="73"/>
      <c r="BC2243" s="73"/>
      <c r="BD2243" s="73"/>
      <c r="BE2243" s="73"/>
      <c r="BF2243" s="73"/>
      <c r="BG2243" s="73"/>
      <c r="BH2243" s="73"/>
      <c r="BI2243" s="73"/>
      <c r="BJ2243" s="73"/>
      <c r="BK2243" s="73"/>
      <c r="BL2243" s="73"/>
      <c r="BM2243" s="73"/>
      <c r="BN2243" s="73"/>
      <c r="BO2243" s="73"/>
      <c r="BP2243" s="73"/>
      <c r="BQ2243" s="73"/>
      <c r="BR2243" s="73"/>
      <c r="BS2243" s="73"/>
      <c r="BT2243" s="73"/>
      <c r="BU2243" s="73"/>
      <c r="BV2243" s="73"/>
      <c r="BW2243" s="73"/>
      <c r="BX2243" s="73"/>
      <c r="BY2243" s="73"/>
      <c r="BZ2243" s="73"/>
      <c r="CA2243" s="73"/>
      <c r="CB2243" s="73"/>
      <c r="CC2243" s="73"/>
      <c r="CD2243" s="73"/>
      <c r="CE2243" s="73"/>
      <c r="CF2243" s="73"/>
      <c r="CG2243" s="73"/>
      <c r="CH2243" s="73"/>
    </row>
    <row r="2244">
      <c r="A2244" s="80"/>
      <c r="B2244" s="80"/>
      <c r="C2244" s="80"/>
      <c r="D2244" s="80"/>
      <c r="E2244" s="124"/>
      <c r="F2244" s="80"/>
      <c r="G2244" s="80"/>
      <c r="H2244" s="80"/>
      <c r="I2244" s="80"/>
      <c r="J2244" s="196"/>
      <c r="K2244" s="196"/>
      <c r="L2244" s="196"/>
      <c r="M2244" s="196"/>
      <c r="N2244" s="196"/>
      <c r="O2244" s="196"/>
      <c r="P2244" s="196"/>
      <c r="Q2244" s="196"/>
      <c r="R2244" s="196"/>
      <c r="S2244" s="196"/>
      <c r="T2244" s="196"/>
      <c r="U2244" s="196"/>
      <c r="V2244" s="196"/>
      <c r="W2244" s="196"/>
      <c r="X2244" s="196"/>
      <c r="Y2244" s="196"/>
      <c r="Z2244" s="196"/>
      <c r="AA2244" s="196"/>
      <c r="AB2244" s="196"/>
      <c r="AC2244" s="196"/>
      <c r="AD2244" s="196"/>
      <c r="AE2244" s="196"/>
      <c r="AF2244" s="196"/>
      <c r="AG2244" s="196"/>
      <c r="AH2244" s="196"/>
      <c r="AI2244" s="196"/>
      <c r="AJ2244" s="197"/>
      <c r="AK2244" s="80"/>
      <c r="AL2244" s="80"/>
      <c r="AM2244" s="73"/>
      <c r="AN2244" s="73"/>
      <c r="AO2244" s="73"/>
      <c r="AP2244" s="73"/>
      <c r="AQ2244" s="73"/>
      <c r="AR2244" s="73"/>
      <c r="AS2244" s="73"/>
      <c r="AT2244" s="73"/>
      <c r="AU2244" s="73"/>
      <c r="AV2244" s="73"/>
      <c r="AW2244" s="73"/>
      <c r="AX2244" s="73"/>
      <c r="AY2244" s="73"/>
      <c r="AZ2244" s="73"/>
      <c r="BA2244" s="73"/>
      <c r="BB2244" s="73"/>
      <c r="BC2244" s="73"/>
      <c r="BD2244" s="73"/>
      <c r="BE2244" s="73"/>
      <c r="BF2244" s="73"/>
      <c r="BG2244" s="73"/>
      <c r="BH2244" s="73"/>
      <c r="BI2244" s="73"/>
      <c r="BJ2244" s="73"/>
      <c r="BK2244" s="73"/>
      <c r="BL2244" s="73"/>
      <c r="BM2244" s="73"/>
      <c r="BN2244" s="73"/>
      <c r="BO2244" s="73"/>
      <c r="BP2244" s="73"/>
      <c r="BQ2244" s="73"/>
      <c r="BR2244" s="73"/>
      <c r="BS2244" s="73"/>
      <c r="BT2244" s="73"/>
      <c r="BU2244" s="73"/>
      <c r="BV2244" s="73"/>
      <c r="BW2244" s="73"/>
      <c r="BX2244" s="73"/>
      <c r="BY2244" s="73"/>
      <c r="BZ2244" s="73"/>
      <c r="CA2244" s="73"/>
      <c r="CB2244" s="73"/>
      <c r="CC2244" s="73"/>
      <c r="CD2244" s="73"/>
      <c r="CE2244" s="73"/>
      <c r="CF2244" s="73"/>
      <c r="CG2244" s="73"/>
      <c r="CH2244" s="73"/>
    </row>
    <row r="2245">
      <c r="A2245" s="80"/>
      <c r="B2245" s="80"/>
      <c r="C2245" s="80"/>
      <c r="D2245" s="80"/>
      <c r="E2245" s="124"/>
      <c r="F2245" s="80"/>
      <c r="G2245" s="80"/>
      <c r="H2245" s="80"/>
      <c r="I2245" s="80"/>
      <c r="J2245" s="196"/>
      <c r="K2245" s="196"/>
      <c r="L2245" s="196"/>
      <c r="M2245" s="196"/>
      <c r="N2245" s="196"/>
      <c r="O2245" s="196"/>
      <c r="P2245" s="196"/>
      <c r="Q2245" s="196"/>
      <c r="R2245" s="196"/>
      <c r="S2245" s="196"/>
      <c r="T2245" s="196"/>
      <c r="U2245" s="196"/>
      <c r="V2245" s="196"/>
      <c r="W2245" s="196"/>
      <c r="X2245" s="196"/>
      <c r="Y2245" s="196"/>
      <c r="Z2245" s="196"/>
      <c r="AA2245" s="196"/>
      <c r="AB2245" s="196"/>
      <c r="AC2245" s="196"/>
      <c r="AD2245" s="196"/>
      <c r="AE2245" s="196"/>
      <c r="AF2245" s="196"/>
      <c r="AG2245" s="196"/>
      <c r="AH2245" s="196"/>
      <c r="AI2245" s="196"/>
      <c r="AJ2245" s="197"/>
      <c r="AK2245" s="80"/>
      <c r="AL2245" s="80"/>
      <c r="AM2245" s="73"/>
      <c r="AN2245" s="73"/>
      <c r="AO2245" s="73"/>
      <c r="AP2245" s="73"/>
      <c r="AQ2245" s="73"/>
      <c r="AR2245" s="73"/>
      <c r="AS2245" s="73"/>
      <c r="AT2245" s="73"/>
      <c r="AU2245" s="73"/>
      <c r="AV2245" s="73"/>
      <c r="AW2245" s="73"/>
      <c r="AX2245" s="73"/>
      <c r="AY2245" s="73"/>
      <c r="AZ2245" s="73"/>
      <c r="BA2245" s="73"/>
      <c r="BB2245" s="73"/>
      <c r="BC2245" s="73"/>
      <c r="BD2245" s="73"/>
      <c r="BE2245" s="73"/>
      <c r="BF2245" s="73"/>
      <c r="BG2245" s="73"/>
      <c r="BH2245" s="73"/>
      <c r="BI2245" s="73"/>
      <c r="BJ2245" s="73"/>
      <c r="BK2245" s="73"/>
      <c r="BL2245" s="73"/>
      <c r="BM2245" s="73"/>
      <c r="BN2245" s="73"/>
      <c r="BO2245" s="73"/>
      <c r="BP2245" s="73"/>
      <c r="BQ2245" s="73"/>
      <c r="BR2245" s="73"/>
      <c r="BS2245" s="73"/>
      <c r="BT2245" s="73"/>
      <c r="BU2245" s="73"/>
      <c r="BV2245" s="73"/>
      <c r="BW2245" s="73"/>
      <c r="BX2245" s="73"/>
      <c r="BY2245" s="73"/>
      <c r="BZ2245" s="73"/>
      <c r="CA2245" s="73"/>
      <c r="CB2245" s="73"/>
      <c r="CC2245" s="73"/>
      <c r="CD2245" s="73"/>
      <c r="CE2245" s="73"/>
      <c r="CF2245" s="73"/>
      <c r="CG2245" s="73"/>
      <c r="CH2245" s="73"/>
    </row>
    <row r="2246">
      <c r="A2246" s="80"/>
      <c r="B2246" s="80"/>
      <c r="C2246" s="80"/>
      <c r="D2246" s="80"/>
      <c r="E2246" s="124"/>
      <c r="F2246" s="80"/>
      <c r="G2246" s="80"/>
      <c r="H2246" s="80"/>
      <c r="I2246" s="80"/>
      <c r="J2246" s="196"/>
      <c r="K2246" s="196"/>
      <c r="L2246" s="196"/>
      <c r="M2246" s="196"/>
      <c r="N2246" s="196"/>
      <c r="O2246" s="196"/>
      <c r="P2246" s="196"/>
      <c r="Q2246" s="196"/>
      <c r="R2246" s="196"/>
      <c r="S2246" s="196"/>
      <c r="T2246" s="196"/>
      <c r="U2246" s="196"/>
      <c r="V2246" s="196"/>
      <c r="W2246" s="196"/>
      <c r="X2246" s="196"/>
      <c r="Y2246" s="196"/>
      <c r="Z2246" s="196"/>
      <c r="AA2246" s="196"/>
      <c r="AB2246" s="196"/>
      <c r="AC2246" s="196"/>
      <c r="AD2246" s="196"/>
      <c r="AE2246" s="196"/>
      <c r="AF2246" s="196"/>
      <c r="AG2246" s="196"/>
      <c r="AH2246" s="196"/>
      <c r="AI2246" s="196"/>
      <c r="AJ2246" s="197"/>
      <c r="AK2246" s="80"/>
      <c r="AL2246" s="80"/>
      <c r="AM2246" s="73"/>
      <c r="AN2246" s="73"/>
      <c r="AO2246" s="73"/>
      <c r="AP2246" s="73"/>
      <c r="AQ2246" s="73"/>
      <c r="AR2246" s="73"/>
      <c r="AS2246" s="73"/>
      <c r="AT2246" s="73"/>
      <c r="AU2246" s="73"/>
      <c r="AV2246" s="73"/>
      <c r="AW2246" s="73"/>
      <c r="AX2246" s="73"/>
      <c r="AY2246" s="73"/>
      <c r="AZ2246" s="73"/>
      <c r="BA2246" s="73"/>
      <c r="BB2246" s="73"/>
      <c r="BC2246" s="73"/>
      <c r="BD2246" s="73"/>
      <c r="BE2246" s="73"/>
      <c r="BF2246" s="73"/>
      <c r="BG2246" s="73"/>
      <c r="BH2246" s="73"/>
      <c r="BI2246" s="73"/>
      <c r="BJ2246" s="73"/>
      <c r="BK2246" s="73"/>
      <c r="BL2246" s="73"/>
      <c r="BM2246" s="73"/>
      <c r="BN2246" s="73"/>
      <c r="BO2246" s="73"/>
      <c r="BP2246" s="73"/>
      <c r="BQ2246" s="73"/>
      <c r="BR2246" s="73"/>
      <c r="BS2246" s="73"/>
      <c r="BT2246" s="73"/>
      <c r="BU2246" s="73"/>
      <c r="BV2246" s="73"/>
      <c r="BW2246" s="73"/>
      <c r="BX2246" s="73"/>
      <c r="BY2246" s="73"/>
      <c r="BZ2246" s="73"/>
      <c r="CA2246" s="73"/>
      <c r="CB2246" s="73"/>
      <c r="CC2246" s="73"/>
      <c r="CD2246" s="73"/>
      <c r="CE2246" s="73"/>
      <c r="CF2246" s="73"/>
      <c r="CG2246" s="73"/>
      <c r="CH2246" s="73"/>
    </row>
    <row r="2247">
      <c r="A2247" s="80"/>
      <c r="B2247" s="80"/>
      <c r="C2247" s="80"/>
      <c r="D2247" s="80"/>
      <c r="E2247" s="124"/>
      <c r="F2247" s="80"/>
      <c r="G2247" s="80"/>
      <c r="H2247" s="80"/>
      <c r="I2247" s="80"/>
      <c r="J2247" s="196"/>
      <c r="K2247" s="196"/>
      <c r="L2247" s="196"/>
      <c r="M2247" s="196"/>
      <c r="N2247" s="196"/>
      <c r="O2247" s="196"/>
      <c r="P2247" s="196"/>
      <c r="Q2247" s="196"/>
      <c r="R2247" s="196"/>
      <c r="S2247" s="196"/>
      <c r="T2247" s="196"/>
      <c r="U2247" s="196"/>
      <c r="V2247" s="196"/>
      <c r="W2247" s="196"/>
      <c r="X2247" s="196"/>
      <c r="Y2247" s="196"/>
      <c r="Z2247" s="196"/>
      <c r="AA2247" s="196"/>
      <c r="AB2247" s="196"/>
      <c r="AC2247" s="196"/>
      <c r="AD2247" s="196"/>
      <c r="AE2247" s="196"/>
      <c r="AF2247" s="196"/>
      <c r="AG2247" s="196"/>
      <c r="AH2247" s="196"/>
      <c r="AI2247" s="196"/>
      <c r="AJ2247" s="197"/>
      <c r="AK2247" s="80"/>
      <c r="AL2247" s="80"/>
      <c r="AM2247" s="73"/>
      <c r="AN2247" s="73"/>
      <c r="AO2247" s="73"/>
      <c r="AP2247" s="73"/>
      <c r="AQ2247" s="73"/>
      <c r="AR2247" s="73"/>
      <c r="AS2247" s="73"/>
      <c r="AT2247" s="73"/>
      <c r="AU2247" s="73"/>
      <c r="AV2247" s="73"/>
      <c r="AW2247" s="73"/>
      <c r="AX2247" s="73"/>
      <c r="AY2247" s="73"/>
      <c r="AZ2247" s="73"/>
      <c r="BA2247" s="73"/>
      <c r="BB2247" s="73"/>
      <c r="BC2247" s="73"/>
      <c r="BD2247" s="73"/>
      <c r="BE2247" s="73"/>
      <c r="BF2247" s="73"/>
      <c r="BG2247" s="73"/>
      <c r="BH2247" s="73"/>
      <c r="BI2247" s="73"/>
      <c r="BJ2247" s="73"/>
      <c r="BK2247" s="73"/>
      <c r="BL2247" s="73"/>
      <c r="BM2247" s="73"/>
      <c r="BN2247" s="73"/>
      <c r="BO2247" s="73"/>
      <c r="BP2247" s="73"/>
      <c r="BQ2247" s="73"/>
      <c r="BR2247" s="73"/>
      <c r="BS2247" s="73"/>
      <c r="BT2247" s="73"/>
      <c r="BU2247" s="73"/>
      <c r="BV2247" s="73"/>
      <c r="BW2247" s="73"/>
      <c r="BX2247" s="73"/>
      <c r="BY2247" s="73"/>
      <c r="BZ2247" s="73"/>
      <c r="CA2247" s="73"/>
      <c r="CB2247" s="73"/>
      <c r="CC2247" s="73"/>
      <c r="CD2247" s="73"/>
      <c r="CE2247" s="73"/>
      <c r="CF2247" s="73"/>
      <c r="CG2247" s="73"/>
      <c r="CH2247" s="73"/>
    </row>
    <row r="2248">
      <c r="A2248" s="80"/>
      <c r="B2248" s="80"/>
      <c r="C2248" s="80"/>
      <c r="D2248" s="80"/>
      <c r="E2248" s="124"/>
      <c r="F2248" s="80"/>
      <c r="G2248" s="80"/>
      <c r="H2248" s="80"/>
      <c r="I2248" s="80"/>
      <c r="J2248" s="196"/>
      <c r="K2248" s="196"/>
      <c r="L2248" s="196"/>
      <c r="M2248" s="196"/>
      <c r="N2248" s="196"/>
      <c r="O2248" s="196"/>
      <c r="P2248" s="196"/>
      <c r="Q2248" s="196"/>
      <c r="R2248" s="196"/>
      <c r="S2248" s="196"/>
      <c r="T2248" s="196"/>
      <c r="U2248" s="196"/>
      <c r="V2248" s="196"/>
      <c r="W2248" s="196"/>
      <c r="X2248" s="196"/>
      <c r="Y2248" s="196"/>
      <c r="Z2248" s="196"/>
      <c r="AA2248" s="196"/>
      <c r="AB2248" s="196"/>
      <c r="AC2248" s="196"/>
      <c r="AD2248" s="196"/>
      <c r="AE2248" s="196"/>
      <c r="AF2248" s="196"/>
      <c r="AG2248" s="196"/>
      <c r="AH2248" s="196"/>
      <c r="AI2248" s="196"/>
      <c r="AJ2248" s="197"/>
      <c r="AK2248" s="80"/>
      <c r="AL2248" s="80"/>
      <c r="AM2248" s="73"/>
      <c r="AN2248" s="73"/>
      <c r="AO2248" s="73"/>
      <c r="AP2248" s="73"/>
      <c r="AQ2248" s="73"/>
      <c r="AR2248" s="73"/>
      <c r="AS2248" s="73"/>
      <c r="AT2248" s="73"/>
      <c r="AU2248" s="73"/>
      <c r="AV2248" s="73"/>
      <c r="AW2248" s="73"/>
      <c r="AX2248" s="73"/>
      <c r="AY2248" s="73"/>
      <c r="AZ2248" s="73"/>
      <c r="BA2248" s="73"/>
      <c r="BB2248" s="73"/>
      <c r="BC2248" s="73"/>
      <c r="BD2248" s="73"/>
      <c r="BE2248" s="73"/>
      <c r="BF2248" s="73"/>
      <c r="BG2248" s="73"/>
      <c r="BH2248" s="73"/>
      <c r="BI2248" s="73"/>
      <c r="BJ2248" s="73"/>
      <c r="BK2248" s="73"/>
      <c r="BL2248" s="73"/>
      <c r="BM2248" s="73"/>
      <c r="BN2248" s="73"/>
      <c r="BO2248" s="73"/>
      <c r="BP2248" s="73"/>
      <c r="BQ2248" s="73"/>
      <c r="BR2248" s="73"/>
      <c r="BS2248" s="73"/>
      <c r="BT2248" s="73"/>
      <c r="BU2248" s="73"/>
      <c r="BV2248" s="73"/>
      <c r="BW2248" s="73"/>
      <c r="BX2248" s="73"/>
      <c r="BY2248" s="73"/>
      <c r="BZ2248" s="73"/>
      <c r="CA2248" s="73"/>
      <c r="CB2248" s="73"/>
      <c r="CC2248" s="73"/>
      <c r="CD2248" s="73"/>
      <c r="CE2248" s="73"/>
      <c r="CF2248" s="73"/>
      <c r="CG2248" s="73"/>
      <c r="CH2248" s="73"/>
    </row>
    <row r="2249">
      <c r="A2249" s="80"/>
      <c r="B2249" s="80"/>
      <c r="C2249" s="80"/>
      <c r="D2249" s="80"/>
      <c r="E2249" s="124"/>
      <c r="F2249" s="80"/>
      <c r="G2249" s="80"/>
      <c r="H2249" s="80"/>
      <c r="I2249" s="80"/>
      <c r="J2249" s="196"/>
      <c r="K2249" s="196"/>
      <c r="L2249" s="196"/>
      <c r="M2249" s="196"/>
      <c r="N2249" s="196"/>
      <c r="O2249" s="196"/>
      <c r="P2249" s="196"/>
      <c r="Q2249" s="196"/>
      <c r="R2249" s="196"/>
      <c r="S2249" s="196"/>
      <c r="T2249" s="196"/>
      <c r="U2249" s="196"/>
      <c r="V2249" s="196"/>
      <c r="W2249" s="196"/>
      <c r="X2249" s="196"/>
      <c r="Y2249" s="196"/>
      <c r="Z2249" s="196"/>
      <c r="AA2249" s="196"/>
      <c r="AB2249" s="196"/>
      <c r="AC2249" s="196"/>
      <c r="AD2249" s="196"/>
      <c r="AE2249" s="196"/>
      <c r="AF2249" s="196"/>
      <c r="AG2249" s="196"/>
      <c r="AH2249" s="196"/>
      <c r="AI2249" s="196"/>
      <c r="AJ2249" s="197"/>
      <c r="AK2249" s="80"/>
      <c r="AL2249" s="80"/>
      <c r="AM2249" s="73"/>
      <c r="AN2249" s="73"/>
      <c r="AO2249" s="73"/>
      <c r="AP2249" s="73"/>
      <c r="AQ2249" s="73"/>
      <c r="AR2249" s="73"/>
      <c r="AS2249" s="73"/>
      <c r="AT2249" s="73"/>
      <c r="AU2249" s="73"/>
      <c r="AV2249" s="73"/>
      <c r="AW2249" s="73"/>
      <c r="AX2249" s="73"/>
      <c r="AY2249" s="73"/>
      <c r="AZ2249" s="73"/>
      <c r="BA2249" s="73"/>
      <c r="BB2249" s="73"/>
      <c r="BC2249" s="73"/>
      <c r="BD2249" s="73"/>
      <c r="BE2249" s="73"/>
      <c r="BF2249" s="73"/>
      <c r="BG2249" s="73"/>
      <c r="BH2249" s="73"/>
      <c r="BI2249" s="73"/>
      <c r="BJ2249" s="73"/>
      <c r="BK2249" s="73"/>
      <c r="BL2249" s="73"/>
      <c r="BM2249" s="73"/>
      <c r="BN2249" s="73"/>
      <c r="BO2249" s="73"/>
      <c r="BP2249" s="73"/>
      <c r="BQ2249" s="73"/>
      <c r="BR2249" s="73"/>
      <c r="BS2249" s="73"/>
      <c r="BT2249" s="73"/>
      <c r="BU2249" s="73"/>
      <c r="BV2249" s="73"/>
      <c r="BW2249" s="73"/>
      <c r="BX2249" s="73"/>
      <c r="BY2249" s="73"/>
      <c r="BZ2249" s="73"/>
      <c r="CA2249" s="73"/>
      <c r="CB2249" s="73"/>
      <c r="CC2249" s="73"/>
      <c r="CD2249" s="73"/>
      <c r="CE2249" s="73"/>
      <c r="CF2249" s="73"/>
      <c r="CG2249" s="73"/>
      <c r="CH2249" s="73"/>
    </row>
    <row r="2250">
      <c r="A2250" s="80"/>
      <c r="B2250" s="80"/>
      <c r="C2250" s="80"/>
      <c r="D2250" s="80"/>
      <c r="E2250" s="124"/>
      <c r="F2250" s="80"/>
      <c r="G2250" s="80"/>
      <c r="H2250" s="80"/>
      <c r="I2250" s="80"/>
      <c r="J2250" s="196"/>
      <c r="K2250" s="196"/>
      <c r="L2250" s="196"/>
      <c r="M2250" s="196"/>
      <c r="N2250" s="196"/>
      <c r="O2250" s="196"/>
      <c r="P2250" s="196"/>
      <c r="Q2250" s="196"/>
      <c r="R2250" s="196"/>
      <c r="S2250" s="196"/>
      <c r="T2250" s="196"/>
      <c r="U2250" s="196"/>
      <c r="V2250" s="196"/>
      <c r="W2250" s="196"/>
      <c r="X2250" s="196"/>
      <c r="Y2250" s="196"/>
      <c r="Z2250" s="196"/>
      <c r="AA2250" s="196"/>
      <c r="AB2250" s="196"/>
      <c r="AC2250" s="196"/>
      <c r="AD2250" s="196"/>
      <c r="AE2250" s="196"/>
      <c r="AF2250" s="196"/>
      <c r="AG2250" s="196"/>
      <c r="AH2250" s="196"/>
      <c r="AI2250" s="196"/>
      <c r="AJ2250" s="197"/>
      <c r="AK2250" s="80"/>
      <c r="AL2250" s="80"/>
      <c r="AM2250" s="73"/>
      <c r="AN2250" s="73"/>
      <c r="AO2250" s="73"/>
      <c r="AP2250" s="73"/>
      <c r="AQ2250" s="73"/>
      <c r="AR2250" s="73"/>
      <c r="AS2250" s="73"/>
      <c r="AT2250" s="73"/>
      <c r="AU2250" s="73"/>
      <c r="AV2250" s="73"/>
      <c r="AW2250" s="73"/>
      <c r="AX2250" s="73"/>
      <c r="AY2250" s="73"/>
      <c r="AZ2250" s="73"/>
      <c r="BA2250" s="73"/>
      <c r="BB2250" s="73"/>
      <c r="BC2250" s="73"/>
      <c r="BD2250" s="73"/>
      <c r="BE2250" s="73"/>
      <c r="BF2250" s="73"/>
      <c r="BG2250" s="73"/>
      <c r="BH2250" s="73"/>
      <c r="BI2250" s="73"/>
      <c r="BJ2250" s="73"/>
      <c r="BK2250" s="73"/>
      <c r="BL2250" s="73"/>
      <c r="BM2250" s="73"/>
      <c r="BN2250" s="73"/>
      <c r="BO2250" s="73"/>
      <c r="BP2250" s="73"/>
      <c r="BQ2250" s="73"/>
      <c r="BR2250" s="73"/>
      <c r="BS2250" s="73"/>
      <c r="BT2250" s="73"/>
      <c r="BU2250" s="73"/>
      <c r="BV2250" s="73"/>
      <c r="BW2250" s="73"/>
      <c r="BX2250" s="73"/>
      <c r="BY2250" s="73"/>
      <c r="BZ2250" s="73"/>
      <c r="CA2250" s="73"/>
      <c r="CB2250" s="73"/>
      <c r="CC2250" s="73"/>
      <c r="CD2250" s="73"/>
      <c r="CE2250" s="73"/>
      <c r="CF2250" s="73"/>
      <c r="CG2250" s="73"/>
      <c r="CH2250" s="73"/>
    </row>
    <row r="2251">
      <c r="A2251" s="80"/>
      <c r="B2251" s="80"/>
      <c r="C2251" s="80"/>
      <c r="D2251" s="80"/>
      <c r="E2251" s="124"/>
      <c r="F2251" s="80"/>
      <c r="G2251" s="80"/>
      <c r="H2251" s="80"/>
      <c r="I2251" s="80"/>
      <c r="J2251" s="196"/>
      <c r="K2251" s="196"/>
      <c r="L2251" s="196"/>
      <c r="M2251" s="196"/>
      <c r="N2251" s="196"/>
      <c r="O2251" s="196"/>
      <c r="P2251" s="196"/>
      <c r="Q2251" s="196"/>
      <c r="R2251" s="196"/>
      <c r="S2251" s="196"/>
      <c r="T2251" s="196"/>
      <c r="U2251" s="196"/>
      <c r="V2251" s="196"/>
      <c r="W2251" s="196"/>
      <c r="X2251" s="196"/>
      <c r="Y2251" s="196"/>
      <c r="Z2251" s="196"/>
      <c r="AA2251" s="196"/>
      <c r="AB2251" s="196"/>
      <c r="AC2251" s="196"/>
      <c r="AD2251" s="196"/>
      <c r="AE2251" s="196"/>
      <c r="AF2251" s="196"/>
      <c r="AG2251" s="196"/>
      <c r="AH2251" s="196"/>
      <c r="AI2251" s="196"/>
      <c r="AJ2251" s="197"/>
      <c r="AK2251" s="80"/>
      <c r="AL2251" s="80"/>
      <c r="AM2251" s="73"/>
      <c r="AN2251" s="73"/>
      <c r="AO2251" s="73"/>
      <c r="AP2251" s="73"/>
      <c r="AQ2251" s="73"/>
      <c r="AR2251" s="73"/>
      <c r="AS2251" s="73"/>
      <c r="AT2251" s="73"/>
      <c r="AU2251" s="73"/>
      <c r="AV2251" s="73"/>
      <c r="AW2251" s="73"/>
      <c r="AX2251" s="73"/>
      <c r="AY2251" s="73"/>
      <c r="AZ2251" s="73"/>
      <c r="BA2251" s="73"/>
      <c r="BB2251" s="73"/>
      <c r="BC2251" s="73"/>
      <c r="BD2251" s="73"/>
      <c r="BE2251" s="73"/>
      <c r="BF2251" s="73"/>
      <c r="BG2251" s="73"/>
      <c r="BH2251" s="73"/>
      <c r="BI2251" s="73"/>
      <c r="BJ2251" s="73"/>
      <c r="BK2251" s="73"/>
      <c r="BL2251" s="73"/>
      <c r="BM2251" s="73"/>
      <c r="BN2251" s="73"/>
      <c r="BO2251" s="73"/>
      <c r="BP2251" s="73"/>
      <c r="BQ2251" s="73"/>
      <c r="BR2251" s="73"/>
      <c r="BS2251" s="73"/>
      <c r="BT2251" s="73"/>
      <c r="BU2251" s="73"/>
      <c r="BV2251" s="73"/>
      <c r="BW2251" s="73"/>
      <c r="BX2251" s="73"/>
      <c r="BY2251" s="73"/>
      <c r="BZ2251" s="73"/>
      <c r="CA2251" s="73"/>
      <c r="CB2251" s="73"/>
      <c r="CC2251" s="73"/>
      <c r="CD2251" s="73"/>
      <c r="CE2251" s="73"/>
      <c r="CF2251" s="73"/>
      <c r="CG2251" s="73"/>
      <c r="CH2251" s="73"/>
    </row>
    <row r="2252">
      <c r="A2252" s="80"/>
      <c r="B2252" s="80"/>
      <c r="C2252" s="80"/>
      <c r="D2252" s="80"/>
      <c r="E2252" s="124"/>
      <c r="F2252" s="80"/>
      <c r="G2252" s="80"/>
      <c r="H2252" s="80"/>
      <c r="I2252" s="80"/>
      <c r="J2252" s="196"/>
      <c r="K2252" s="196"/>
      <c r="L2252" s="196"/>
      <c r="M2252" s="196"/>
      <c r="N2252" s="196"/>
      <c r="O2252" s="196"/>
      <c r="P2252" s="196"/>
      <c r="Q2252" s="196"/>
      <c r="R2252" s="196"/>
      <c r="S2252" s="196"/>
      <c r="T2252" s="196"/>
      <c r="U2252" s="196"/>
      <c r="V2252" s="196"/>
      <c r="W2252" s="196"/>
      <c r="X2252" s="196"/>
      <c r="Y2252" s="196"/>
      <c r="Z2252" s="196"/>
      <c r="AA2252" s="196"/>
      <c r="AB2252" s="196"/>
      <c r="AC2252" s="196"/>
      <c r="AD2252" s="196"/>
      <c r="AE2252" s="196"/>
      <c r="AF2252" s="196"/>
      <c r="AG2252" s="196"/>
      <c r="AH2252" s="196"/>
      <c r="AI2252" s="196"/>
      <c r="AJ2252" s="197"/>
      <c r="AK2252" s="80"/>
      <c r="AL2252" s="80"/>
      <c r="AM2252" s="73"/>
      <c r="AN2252" s="73"/>
      <c r="AO2252" s="73"/>
      <c r="AP2252" s="73"/>
      <c r="AQ2252" s="73"/>
      <c r="AR2252" s="73"/>
      <c r="AS2252" s="73"/>
      <c r="AT2252" s="73"/>
      <c r="AU2252" s="73"/>
      <c r="AV2252" s="73"/>
      <c r="AW2252" s="73"/>
      <c r="AX2252" s="73"/>
      <c r="AY2252" s="73"/>
      <c r="AZ2252" s="73"/>
      <c r="BA2252" s="73"/>
      <c r="BB2252" s="73"/>
      <c r="BC2252" s="73"/>
      <c r="BD2252" s="73"/>
      <c r="BE2252" s="73"/>
      <c r="BF2252" s="73"/>
      <c r="BG2252" s="73"/>
      <c r="BH2252" s="73"/>
      <c r="BI2252" s="73"/>
      <c r="BJ2252" s="73"/>
      <c r="BK2252" s="73"/>
      <c r="BL2252" s="73"/>
      <c r="BM2252" s="73"/>
      <c r="BN2252" s="73"/>
      <c r="BO2252" s="73"/>
      <c r="BP2252" s="73"/>
      <c r="BQ2252" s="73"/>
      <c r="BR2252" s="73"/>
      <c r="BS2252" s="73"/>
      <c r="BT2252" s="73"/>
      <c r="BU2252" s="73"/>
      <c r="BV2252" s="73"/>
      <c r="BW2252" s="73"/>
      <c r="BX2252" s="73"/>
      <c r="BY2252" s="73"/>
      <c r="BZ2252" s="73"/>
      <c r="CA2252" s="73"/>
      <c r="CB2252" s="73"/>
      <c r="CC2252" s="73"/>
      <c r="CD2252" s="73"/>
      <c r="CE2252" s="73"/>
      <c r="CF2252" s="73"/>
      <c r="CG2252" s="73"/>
      <c r="CH2252" s="73"/>
    </row>
    <row r="2253">
      <c r="A2253" s="80"/>
      <c r="B2253" s="80"/>
      <c r="C2253" s="80"/>
      <c r="D2253" s="80"/>
      <c r="E2253" s="124"/>
      <c r="F2253" s="80"/>
      <c r="G2253" s="80"/>
      <c r="H2253" s="80"/>
      <c r="I2253" s="80"/>
      <c r="J2253" s="196"/>
      <c r="K2253" s="196"/>
      <c r="L2253" s="196"/>
      <c r="M2253" s="196"/>
      <c r="N2253" s="196"/>
      <c r="O2253" s="196"/>
      <c r="P2253" s="196"/>
      <c r="Q2253" s="196"/>
      <c r="R2253" s="196"/>
      <c r="S2253" s="196"/>
      <c r="T2253" s="196"/>
      <c r="U2253" s="196"/>
      <c r="V2253" s="196"/>
      <c r="W2253" s="196"/>
      <c r="X2253" s="196"/>
      <c r="Y2253" s="196"/>
      <c r="Z2253" s="196"/>
      <c r="AA2253" s="196"/>
      <c r="AB2253" s="196"/>
      <c r="AC2253" s="196"/>
      <c r="AD2253" s="196"/>
      <c r="AE2253" s="196"/>
      <c r="AF2253" s="196"/>
      <c r="AG2253" s="196"/>
      <c r="AH2253" s="196"/>
      <c r="AI2253" s="196"/>
      <c r="AJ2253" s="197"/>
      <c r="AK2253" s="80"/>
      <c r="AL2253" s="80"/>
      <c r="AM2253" s="73"/>
      <c r="AN2253" s="73"/>
      <c r="AO2253" s="73"/>
      <c r="AP2253" s="73"/>
      <c r="AQ2253" s="73"/>
      <c r="AR2253" s="73"/>
      <c r="AS2253" s="73"/>
      <c r="AT2253" s="73"/>
      <c r="AU2253" s="73"/>
      <c r="AV2253" s="73"/>
      <c r="AW2253" s="73"/>
      <c r="AX2253" s="73"/>
      <c r="AY2253" s="73"/>
      <c r="AZ2253" s="73"/>
      <c r="BA2253" s="73"/>
      <c r="BB2253" s="73"/>
      <c r="BC2253" s="73"/>
      <c r="BD2253" s="73"/>
      <c r="BE2253" s="73"/>
      <c r="BF2253" s="73"/>
      <c r="BG2253" s="73"/>
      <c r="BH2253" s="73"/>
      <c r="BI2253" s="73"/>
      <c r="BJ2253" s="73"/>
      <c r="BK2253" s="73"/>
      <c r="BL2253" s="73"/>
      <c r="BM2253" s="73"/>
      <c r="BN2253" s="73"/>
      <c r="BO2253" s="73"/>
      <c r="BP2253" s="73"/>
      <c r="BQ2253" s="73"/>
      <c r="BR2253" s="73"/>
      <c r="BS2253" s="73"/>
      <c r="BT2253" s="73"/>
      <c r="BU2253" s="73"/>
      <c r="BV2253" s="73"/>
      <c r="BW2253" s="73"/>
      <c r="BX2253" s="73"/>
      <c r="BY2253" s="73"/>
      <c r="BZ2253" s="73"/>
      <c r="CA2253" s="73"/>
      <c r="CB2253" s="73"/>
      <c r="CC2253" s="73"/>
      <c r="CD2253" s="73"/>
      <c r="CE2253" s="73"/>
      <c r="CF2253" s="73"/>
      <c r="CG2253" s="73"/>
      <c r="CH2253" s="73"/>
    </row>
    <row r="2254">
      <c r="A2254" s="80"/>
      <c r="B2254" s="80"/>
      <c r="C2254" s="80"/>
      <c r="D2254" s="80"/>
      <c r="E2254" s="124"/>
      <c r="F2254" s="80"/>
      <c r="G2254" s="80"/>
      <c r="H2254" s="80"/>
      <c r="I2254" s="80"/>
      <c r="J2254" s="196"/>
      <c r="K2254" s="196"/>
      <c r="L2254" s="196"/>
      <c r="M2254" s="196"/>
      <c r="N2254" s="196"/>
      <c r="O2254" s="196"/>
      <c r="P2254" s="196"/>
      <c r="Q2254" s="196"/>
      <c r="R2254" s="196"/>
      <c r="S2254" s="196"/>
      <c r="T2254" s="196"/>
      <c r="U2254" s="196"/>
      <c r="V2254" s="196"/>
      <c r="W2254" s="196"/>
      <c r="X2254" s="196"/>
      <c r="Y2254" s="196"/>
      <c r="Z2254" s="196"/>
      <c r="AA2254" s="196"/>
      <c r="AB2254" s="196"/>
      <c r="AC2254" s="196"/>
      <c r="AD2254" s="196"/>
      <c r="AE2254" s="196"/>
      <c r="AF2254" s="196"/>
      <c r="AG2254" s="196"/>
      <c r="AH2254" s="196"/>
      <c r="AI2254" s="196"/>
      <c r="AJ2254" s="197"/>
      <c r="AK2254" s="80"/>
      <c r="AL2254" s="80"/>
      <c r="AM2254" s="73"/>
      <c r="AN2254" s="73"/>
      <c r="AO2254" s="73"/>
      <c r="AP2254" s="73"/>
      <c r="AQ2254" s="73"/>
      <c r="AR2254" s="73"/>
      <c r="AS2254" s="73"/>
      <c r="AT2254" s="73"/>
      <c r="AU2254" s="73"/>
      <c r="AV2254" s="73"/>
      <c r="AW2254" s="73"/>
      <c r="AX2254" s="73"/>
      <c r="AY2254" s="73"/>
      <c r="AZ2254" s="73"/>
      <c r="BA2254" s="73"/>
      <c r="BB2254" s="73"/>
      <c r="BC2254" s="73"/>
      <c r="BD2254" s="73"/>
      <c r="BE2254" s="73"/>
      <c r="BF2254" s="73"/>
      <c r="BG2254" s="73"/>
      <c r="BH2254" s="73"/>
      <c r="BI2254" s="73"/>
      <c r="BJ2254" s="73"/>
      <c r="BK2254" s="73"/>
      <c r="BL2254" s="73"/>
      <c r="BM2254" s="73"/>
      <c r="BN2254" s="73"/>
      <c r="BO2254" s="73"/>
      <c r="BP2254" s="73"/>
      <c r="BQ2254" s="73"/>
      <c r="BR2254" s="73"/>
      <c r="BS2254" s="73"/>
      <c r="BT2254" s="73"/>
      <c r="BU2254" s="73"/>
      <c r="BV2254" s="73"/>
      <c r="BW2254" s="73"/>
      <c r="BX2254" s="73"/>
      <c r="BY2254" s="73"/>
      <c r="BZ2254" s="73"/>
      <c r="CA2254" s="73"/>
      <c r="CB2254" s="73"/>
      <c r="CC2254" s="73"/>
      <c r="CD2254" s="73"/>
      <c r="CE2254" s="73"/>
      <c r="CF2254" s="73"/>
      <c r="CG2254" s="73"/>
      <c r="CH2254" s="73"/>
    </row>
    <row r="2255">
      <c r="A2255" s="80"/>
      <c r="B2255" s="80"/>
      <c r="C2255" s="80"/>
      <c r="D2255" s="80"/>
      <c r="E2255" s="124"/>
      <c r="F2255" s="80"/>
      <c r="G2255" s="80"/>
      <c r="H2255" s="80"/>
      <c r="I2255" s="80"/>
      <c r="J2255" s="196"/>
      <c r="K2255" s="196"/>
      <c r="L2255" s="196"/>
      <c r="M2255" s="196"/>
      <c r="N2255" s="196"/>
      <c r="O2255" s="196"/>
      <c r="P2255" s="196"/>
      <c r="Q2255" s="196"/>
      <c r="R2255" s="196"/>
      <c r="S2255" s="196"/>
      <c r="T2255" s="196"/>
      <c r="U2255" s="196"/>
      <c r="V2255" s="196"/>
      <c r="W2255" s="196"/>
      <c r="X2255" s="196"/>
      <c r="Y2255" s="196"/>
      <c r="Z2255" s="196"/>
      <c r="AA2255" s="196"/>
      <c r="AB2255" s="196"/>
      <c r="AC2255" s="196"/>
      <c r="AD2255" s="196"/>
      <c r="AE2255" s="196"/>
      <c r="AF2255" s="196"/>
      <c r="AG2255" s="196"/>
      <c r="AH2255" s="196"/>
      <c r="AI2255" s="196"/>
      <c r="AJ2255" s="197"/>
      <c r="AK2255" s="80"/>
      <c r="AL2255" s="80"/>
      <c r="AM2255" s="73"/>
      <c r="AN2255" s="73"/>
      <c r="AO2255" s="73"/>
      <c r="AP2255" s="73"/>
      <c r="AQ2255" s="73"/>
      <c r="AR2255" s="73"/>
      <c r="AS2255" s="73"/>
      <c r="AT2255" s="73"/>
      <c r="AU2255" s="73"/>
      <c r="AV2255" s="73"/>
      <c r="AW2255" s="73"/>
      <c r="AX2255" s="73"/>
      <c r="AY2255" s="73"/>
      <c r="AZ2255" s="73"/>
      <c r="BA2255" s="73"/>
      <c r="BB2255" s="73"/>
      <c r="BC2255" s="73"/>
      <c r="BD2255" s="73"/>
      <c r="BE2255" s="73"/>
      <c r="BF2255" s="73"/>
      <c r="BG2255" s="73"/>
      <c r="BH2255" s="73"/>
      <c r="BI2255" s="73"/>
      <c r="BJ2255" s="73"/>
      <c r="BK2255" s="73"/>
      <c r="BL2255" s="73"/>
      <c r="BM2255" s="73"/>
      <c r="BN2255" s="73"/>
      <c r="BO2255" s="73"/>
      <c r="BP2255" s="73"/>
      <c r="BQ2255" s="73"/>
      <c r="BR2255" s="73"/>
      <c r="BS2255" s="73"/>
      <c r="BT2255" s="73"/>
      <c r="BU2255" s="73"/>
      <c r="BV2255" s="73"/>
      <c r="BW2255" s="73"/>
      <c r="BX2255" s="73"/>
      <c r="BY2255" s="73"/>
      <c r="BZ2255" s="73"/>
      <c r="CA2255" s="73"/>
      <c r="CB2255" s="73"/>
      <c r="CC2255" s="73"/>
      <c r="CD2255" s="73"/>
      <c r="CE2255" s="73"/>
      <c r="CF2255" s="73"/>
      <c r="CG2255" s="73"/>
      <c r="CH2255" s="73"/>
    </row>
    <row r="2256">
      <c r="A2256" s="80"/>
      <c r="B2256" s="80"/>
      <c r="C2256" s="80"/>
      <c r="D2256" s="80"/>
      <c r="E2256" s="124"/>
      <c r="F2256" s="80"/>
      <c r="G2256" s="80"/>
      <c r="H2256" s="80"/>
      <c r="I2256" s="80"/>
      <c r="J2256" s="196"/>
      <c r="K2256" s="196"/>
      <c r="L2256" s="196"/>
      <c r="M2256" s="196"/>
      <c r="N2256" s="196"/>
      <c r="O2256" s="196"/>
      <c r="P2256" s="196"/>
      <c r="Q2256" s="196"/>
      <c r="R2256" s="196"/>
      <c r="S2256" s="196"/>
      <c r="T2256" s="196"/>
      <c r="U2256" s="196"/>
      <c r="V2256" s="196"/>
      <c r="W2256" s="196"/>
      <c r="X2256" s="196"/>
      <c r="Y2256" s="196"/>
      <c r="Z2256" s="196"/>
      <c r="AA2256" s="196"/>
      <c r="AB2256" s="196"/>
      <c r="AC2256" s="196"/>
      <c r="AD2256" s="196"/>
      <c r="AE2256" s="196"/>
      <c r="AF2256" s="196"/>
      <c r="AG2256" s="196"/>
      <c r="AH2256" s="196"/>
      <c r="AI2256" s="196"/>
      <c r="AJ2256" s="197"/>
      <c r="AK2256" s="80"/>
      <c r="AL2256" s="80"/>
      <c r="AM2256" s="73"/>
      <c r="AN2256" s="73"/>
      <c r="AO2256" s="73"/>
      <c r="AP2256" s="73"/>
      <c r="AQ2256" s="73"/>
      <c r="AR2256" s="73"/>
      <c r="AS2256" s="73"/>
      <c r="AT2256" s="73"/>
      <c r="AU2256" s="73"/>
      <c r="AV2256" s="73"/>
      <c r="AW2256" s="73"/>
      <c r="AX2256" s="73"/>
      <c r="AY2256" s="73"/>
      <c r="AZ2256" s="73"/>
      <c r="BA2256" s="73"/>
      <c r="BB2256" s="73"/>
      <c r="BC2256" s="73"/>
      <c r="BD2256" s="73"/>
      <c r="BE2256" s="73"/>
      <c r="BF2256" s="73"/>
      <c r="BG2256" s="73"/>
      <c r="BH2256" s="73"/>
      <c r="BI2256" s="73"/>
      <c r="BJ2256" s="73"/>
      <c r="BK2256" s="73"/>
      <c r="BL2256" s="73"/>
      <c r="BM2256" s="73"/>
      <c r="BN2256" s="73"/>
      <c r="BO2256" s="73"/>
      <c r="BP2256" s="73"/>
      <c r="BQ2256" s="73"/>
      <c r="BR2256" s="73"/>
      <c r="BS2256" s="73"/>
      <c r="BT2256" s="73"/>
      <c r="BU2256" s="73"/>
      <c r="BV2256" s="73"/>
      <c r="BW2256" s="73"/>
      <c r="BX2256" s="73"/>
      <c r="BY2256" s="73"/>
      <c r="BZ2256" s="73"/>
      <c r="CA2256" s="73"/>
      <c r="CB2256" s="73"/>
      <c r="CC2256" s="73"/>
      <c r="CD2256" s="73"/>
      <c r="CE2256" s="73"/>
      <c r="CF2256" s="73"/>
      <c r="CG2256" s="73"/>
      <c r="CH2256" s="73"/>
    </row>
    <row r="2257">
      <c r="A2257" s="80"/>
      <c r="B2257" s="80"/>
      <c r="C2257" s="80"/>
      <c r="D2257" s="80"/>
      <c r="E2257" s="124"/>
      <c r="F2257" s="80"/>
      <c r="G2257" s="80"/>
      <c r="H2257" s="80"/>
      <c r="I2257" s="80"/>
      <c r="J2257" s="196"/>
      <c r="K2257" s="196"/>
      <c r="L2257" s="196"/>
      <c r="M2257" s="196"/>
      <c r="N2257" s="196"/>
      <c r="O2257" s="196"/>
      <c r="P2257" s="196"/>
      <c r="Q2257" s="196"/>
      <c r="R2257" s="196"/>
      <c r="S2257" s="196"/>
      <c r="T2257" s="196"/>
      <c r="U2257" s="196"/>
      <c r="V2257" s="196"/>
      <c r="W2257" s="196"/>
      <c r="X2257" s="196"/>
      <c r="Y2257" s="196"/>
      <c r="Z2257" s="196"/>
      <c r="AA2257" s="196"/>
      <c r="AB2257" s="196"/>
      <c r="AC2257" s="196"/>
      <c r="AD2257" s="196"/>
      <c r="AE2257" s="196"/>
      <c r="AF2257" s="196"/>
      <c r="AG2257" s="196"/>
      <c r="AH2257" s="196"/>
      <c r="AI2257" s="196"/>
      <c r="AJ2257" s="197"/>
      <c r="AK2257" s="80"/>
      <c r="AL2257" s="80"/>
      <c r="AM2257" s="73"/>
      <c r="AN2257" s="73"/>
      <c r="AO2257" s="73"/>
      <c r="AP2257" s="73"/>
      <c r="AQ2257" s="73"/>
      <c r="AR2257" s="73"/>
      <c r="AS2257" s="73"/>
      <c r="AT2257" s="73"/>
      <c r="AU2257" s="73"/>
      <c r="AV2257" s="73"/>
      <c r="AW2257" s="73"/>
      <c r="AX2257" s="73"/>
      <c r="AY2257" s="73"/>
      <c r="AZ2257" s="73"/>
      <c r="BA2257" s="73"/>
      <c r="BB2257" s="73"/>
      <c r="BC2257" s="73"/>
      <c r="BD2257" s="73"/>
      <c r="BE2257" s="73"/>
      <c r="BF2257" s="73"/>
      <c r="BG2257" s="73"/>
      <c r="BH2257" s="73"/>
      <c r="BI2257" s="73"/>
      <c r="BJ2257" s="73"/>
      <c r="BK2257" s="73"/>
      <c r="BL2257" s="73"/>
      <c r="BM2257" s="73"/>
      <c r="BN2257" s="73"/>
      <c r="BO2257" s="73"/>
      <c r="BP2257" s="73"/>
      <c r="BQ2257" s="73"/>
      <c r="BR2257" s="73"/>
      <c r="BS2257" s="73"/>
      <c r="BT2257" s="73"/>
      <c r="BU2257" s="73"/>
      <c r="BV2257" s="73"/>
      <c r="BW2257" s="73"/>
      <c r="BX2257" s="73"/>
      <c r="BY2257" s="73"/>
      <c r="BZ2257" s="73"/>
      <c r="CA2257" s="73"/>
      <c r="CB2257" s="73"/>
      <c r="CC2257" s="73"/>
      <c r="CD2257" s="73"/>
      <c r="CE2257" s="73"/>
      <c r="CF2257" s="73"/>
      <c r="CG2257" s="73"/>
      <c r="CH2257" s="73"/>
    </row>
    <row r="2258">
      <c r="A2258" s="80"/>
      <c r="B2258" s="80"/>
      <c r="C2258" s="80"/>
      <c r="D2258" s="80"/>
      <c r="E2258" s="124"/>
      <c r="F2258" s="80"/>
      <c r="G2258" s="80"/>
      <c r="H2258" s="80"/>
      <c r="I2258" s="80"/>
      <c r="J2258" s="196"/>
      <c r="K2258" s="196"/>
      <c r="L2258" s="196"/>
      <c r="M2258" s="196"/>
      <c r="N2258" s="196"/>
      <c r="O2258" s="196"/>
      <c r="P2258" s="196"/>
      <c r="Q2258" s="196"/>
      <c r="R2258" s="196"/>
      <c r="S2258" s="196"/>
      <c r="T2258" s="196"/>
      <c r="U2258" s="196"/>
      <c r="V2258" s="196"/>
      <c r="W2258" s="196"/>
      <c r="X2258" s="196"/>
      <c r="Y2258" s="196"/>
      <c r="Z2258" s="196"/>
      <c r="AA2258" s="196"/>
      <c r="AB2258" s="196"/>
      <c r="AC2258" s="196"/>
      <c r="AD2258" s="196"/>
      <c r="AE2258" s="196"/>
      <c r="AF2258" s="196"/>
      <c r="AG2258" s="196"/>
      <c r="AH2258" s="196"/>
      <c r="AI2258" s="196"/>
      <c r="AJ2258" s="197"/>
      <c r="AK2258" s="80"/>
      <c r="AL2258" s="80"/>
      <c r="AM2258" s="73"/>
      <c r="AN2258" s="73"/>
      <c r="AO2258" s="73"/>
      <c r="AP2258" s="73"/>
      <c r="AQ2258" s="73"/>
      <c r="AR2258" s="73"/>
      <c r="AS2258" s="73"/>
      <c r="AT2258" s="73"/>
      <c r="AU2258" s="73"/>
      <c r="AV2258" s="73"/>
      <c r="AW2258" s="73"/>
      <c r="AX2258" s="73"/>
      <c r="AY2258" s="73"/>
      <c r="AZ2258" s="73"/>
      <c r="BA2258" s="73"/>
      <c r="BB2258" s="73"/>
      <c r="BC2258" s="73"/>
      <c r="BD2258" s="73"/>
      <c r="BE2258" s="73"/>
      <c r="BF2258" s="73"/>
      <c r="BG2258" s="73"/>
      <c r="BH2258" s="73"/>
      <c r="BI2258" s="73"/>
      <c r="BJ2258" s="73"/>
      <c r="BK2258" s="73"/>
      <c r="BL2258" s="73"/>
      <c r="BM2258" s="73"/>
      <c r="BN2258" s="73"/>
      <c r="BO2258" s="73"/>
      <c r="BP2258" s="73"/>
      <c r="BQ2258" s="73"/>
      <c r="BR2258" s="73"/>
      <c r="BS2258" s="73"/>
      <c r="BT2258" s="73"/>
      <c r="BU2258" s="73"/>
      <c r="BV2258" s="73"/>
      <c r="BW2258" s="73"/>
      <c r="BX2258" s="73"/>
      <c r="BY2258" s="73"/>
      <c r="BZ2258" s="73"/>
      <c r="CA2258" s="73"/>
      <c r="CB2258" s="73"/>
      <c r="CC2258" s="73"/>
      <c r="CD2258" s="73"/>
      <c r="CE2258" s="73"/>
      <c r="CF2258" s="73"/>
      <c r="CG2258" s="73"/>
      <c r="CH2258" s="73"/>
    </row>
    <row r="2259">
      <c r="A2259" s="80"/>
      <c r="B2259" s="80"/>
      <c r="C2259" s="80"/>
      <c r="D2259" s="80"/>
      <c r="E2259" s="124"/>
      <c r="F2259" s="80"/>
      <c r="G2259" s="80"/>
      <c r="H2259" s="80"/>
      <c r="I2259" s="80"/>
      <c r="J2259" s="196"/>
      <c r="K2259" s="196"/>
      <c r="L2259" s="196"/>
      <c r="M2259" s="196"/>
      <c r="N2259" s="196"/>
      <c r="O2259" s="196"/>
      <c r="P2259" s="196"/>
      <c r="Q2259" s="196"/>
      <c r="R2259" s="196"/>
      <c r="S2259" s="196"/>
      <c r="T2259" s="196"/>
      <c r="U2259" s="196"/>
      <c r="V2259" s="196"/>
      <c r="W2259" s="196"/>
      <c r="X2259" s="196"/>
      <c r="Y2259" s="196"/>
      <c r="Z2259" s="196"/>
      <c r="AA2259" s="196"/>
      <c r="AB2259" s="196"/>
      <c r="AC2259" s="196"/>
      <c r="AD2259" s="196"/>
      <c r="AE2259" s="196"/>
      <c r="AF2259" s="196"/>
      <c r="AG2259" s="196"/>
      <c r="AH2259" s="196"/>
      <c r="AI2259" s="196"/>
      <c r="AJ2259" s="197"/>
      <c r="AK2259" s="80"/>
      <c r="AL2259" s="80"/>
      <c r="AM2259" s="73"/>
      <c r="AN2259" s="73"/>
      <c r="AO2259" s="73"/>
      <c r="AP2259" s="73"/>
      <c r="AQ2259" s="73"/>
      <c r="AR2259" s="73"/>
      <c r="AS2259" s="73"/>
      <c r="AT2259" s="73"/>
      <c r="AU2259" s="73"/>
      <c r="AV2259" s="73"/>
      <c r="AW2259" s="73"/>
      <c r="AX2259" s="73"/>
      <c r="AY2259" s="73"/>
      <c r="AZ2259" s="73"/>
      <c r="BA2259" s="73"/>
      <c r="BB2259" s="73"/>
      <c r="BC2259" s="73"/>
      <c r="BD2259" s="73"/>
      <c r="BE2259" s="73"/>
      <c r="BF2259" s="73"/>
      <c r="BG2259" s="73"/>
      <c r="BH2259" s="73"/>
      <c r="BI2259" s="73"/>
      <c r="BJ2259" s="73"/>
      <c r="BK2259" s="73"/>
      <c r="BL2259" s="73"/>
      <c r="BM2259" s="73"/>
      <c r="BN2259" s="73"/>
      <c r="BO2259" s="73"/>
      <c r="BP2259" s="73"/>
      <c r="BQ2259" s="73"/>
      <c r="BR2259" s="73"/>
      <c r="BS2259" s="73"/>
      <c r="BT2259" s="73"/>
      <c r="BU2259" s="73"/>
      <c r="BV2259" s="73"/>
      <c r="BW2259" s="73"/>
      <c r="BX2259" s="73"/>
      <c r="BY2259" s="73"/>
      <c r="BZ2259" s="73"/>
      <c r="CA2259" s="73"/>
      <c r="CB2259" s="73"/>
      <c r="CC2259" s="73"/>
      <c r="CD2259" s="73"/>
      <c r="CE2259" s="73"/>
      <c r="CF2259" s="73"/>
      <c r="CG2259" s="73"/>
      <c r="CH2259" s="73"/>
    </row>
    <row r="2260">
      <c r="A2260" s="80"/>
      <c r="B2260" s="80"/>
      <c r="C2260" s="80"/>
      <c r="D2260" s="80"/>
      <c r="E2260" s="124"/>
      <c r="F2260" s="80"/>
      <c r="G2260" s="80"/>
      <c r="H2260" s="80"/>
      <c r="I2260" s="80"/>
      <c r="J2260" s="196"/>
      <c r="K2260" s="196"/>
      <c r="L2260" s="196"/>
      <c r="M2260" s="196"/>
      <c r="N2260" s="196"/>
      <c r="O2260" s="196"/>
      <c r="P2260" s="196"/>
      <c r="Q2260" s="196"/>
      <c r="R2260" s="196"/>
      <c r="S2260" s="196"/>
      <c r="T2260" s="196"/>
      <c r="U2260" s="196"/>
      <c r="V2260" s="196"/>
      <c r="W2260" s="196"/>
      <c r="X2260" s="196"/>
      <c r="Y2260" s="196"/>
      <c r="Z2260" s="196"/>
      <c r="AA2260" s="196"/>
      <c r="AB2260" s="196"/>
      <c r="AC2260" s="196"/>
      <c r="AD2260" s="196"/>
      <c r="AE2260" s="196"/>
      <c r="AF2260" s="196"/>
      <c r="AG2260" s="196"/>
      <c r="AH2260" s="196"/>
      <c r="AI2260" s="196"/>
      <c r="AJ2260" s="197"/>
      <c r="AK2260" s="80"/>
      <c r="AL2260" s="80"/>
      <c r="AM2260" s="73"/>
      <c r="AN2260" s="73"/>
      <c r="AO2260" s="73"/>
      <c r="AP2260" s="73"/>
      <c r="AQ2260" s="73"/>
      <c r="AR2260" s="73"/>
      <c r="AS2260" s="73"/>
      <c r="AT2260" s="73"/>
      <c r="AU2260" s="73"/>
      <c r="AV2260" s="73"/>
      <c r="AW2260" s="73"/>
      <c r="AX2260" s="73"/>
      <c r="AY2260" s="73"/>
      <c r="AZ2260" s="73"/>
      <c r="BA2260" s="73"/>
      <c r="BB2260" s="73"/>
      <c r="BC2260" s="73"/>
      <c r="BD2260" s="73"/>
      <c r="BE2260" s="73"/>
      <c r="BF2260" s="73"/>
      <c r="BG2260" s="73"/>
      <c r="BH2260" s="73"/>
      <c r="BI2260" s="73"/>
      <c r="BJ2260" s="73"/>
      <c r="BK2260" s="73"/>
      <c r="BL2260" s="73"/>
      <c r="BM2260" s="73"/>
      <c r="BN2260" s="73"/>
      <c r="BO2260" s="73"/>
      <c r="BP2260" s="73"/>
      <c r="BQ2260" s="73"/>
      <c r="BR2260" s="73"/>
      <c r="BS2260" s="73"/>
      <c r="BT2260" s="73"/>
      <c r="BU2260" s="73"/>
      <c r="BV2260" s="73"/>
      <c r="BW2260" s="73"/>
      <c r="BX2260" s="73"/>
      <c r="BY2260" s="73"/>
      <c r="BZ2260" s="73"/>
      <c r="CA2260" s="73"/>
      <c r="CB2260" s="73"/>
      <c r="CC2260" s="73"/>
      <c r="CD2260" s="73"/>
      <c r="CE2260" s="73"/>
      <c r="CF2260" s="73"/>
      <c r="CG2260" s="73"/>
      <c r="CH2260" s="73"/>
    </row>
    <row r="2261">
      <c r="A2261" s="80"/>
      <c r="B2261" s="80"/>
      <c r="C2261" s="80"/>
      <c r="D2261" s="80"/>
      <c r="E2261" s="124"/>
      <c r="F2261" s="80"/>
      <c r="G2261" s="80"/>
      <c r="H2261" s="80"/>
      <c r="I2261" s="80"/>
      <c r="J2261" s="196"/>
      <c r="K2261" s="196"/>
      <c r="L2261" s="196"/>
      <c r="M2261" s="196"/>
      <c r="N2261" s="196"/>
      <c r="O2261" s="196"/>
      <c r="P2261" s="196"/>
      <c r="Q2261" s="196"/>
      <c r="R2261" s="196"/>
      <c r="S2261" s="196"/>
      <c r="T2261" s="196"/>
      <c r="U2261" s="196"/>
      <c r="V2261" s="196"/>
      <c r="W2261" s="196"/>
      <c r="X2261" s="196"/>
      <c r="Y2261" s="196"/>
      <c r="Z2261" s="196"/>
      <c r="AA2261" s="196"/>
      <c r="AB2261" s="196"/>
      <c r="AC2261" s="196"/>
      <c r="AD2261" s="196"/>
      <c r="AE2261" s="196"/>
      <c r="AF2261" s="196"/>
      <c r="AG2261" s="196"/>
      <c r="AH2261" s="196"/>
      <c r="AI2261" s="196"/>
      <c r="AJ2261" s="197"/>
      <c r="AK2261" s="80"/>
      <c r="AL2261" s="80"/>
      <c r="AM2261" s="73"/>
      <c r="AN2261" s="73"/>
      <c r="AO2261" s="73"/>
      <c r="AP2261" s="73"/>
      <c r="AQ2261" s="73"/>
      <c r="AR2261" s="73"/>
      <c r="AS2261" s="73"/>
      <c r="AT2261" s="73"/>
      <c r="AU2261" s="73"/>
      <c r="AV2261" s="73"/>
      <c r="AW2261" s="73"/>
      <c r="AX2261" s="73"/>
      <c r="AY2261" s="73"/>
      <c r="AZ2261" s="73"/>
      <c r="BA2261" s="73"/>
      <c r="BB2261" s="73"/>
      <c r="BC2261" s="73"/>
      <c r="BD2261" s="73"/>
      <c r="BE2261" s="73"/>
      <c r="BF2261" s="73"/>
      <c r="BG2261" s="73"/>
      <c r="BH2261" s="73"/>
      <c r="BI2261" s="73"/>
      <c r="BJ2261" s="73"/>
      <c r="BK2261" s="73"/>
      <c r="BL2261" s="73"/>
      <c r="BM2261" s="73"/>
      <c r="BN2261" s="73"/>
      <c r="BO2261" s="73"/>
      <c r="BP2261" s="73"/>
      <c r="BQ2261" s="73"/>
      <c r="BR2261" s="73"/>
      <c r="BS2261" s="73"/>
      <c r="BT2261" s="73"/>
      <c r="BU2261" s="73"/>
      <c r="BV2261" s="73"/>
      <c r="BW2261" s="73"/>
      <c r="BX2261" s="73"/>
      <c r="BY2261" s="73"/>
      <c r="BZ2261" s="73"/>
      <c r="CA2261" s="73"/>
      <c r="CB2261" s="73"/>
      <c r="CC2261" s="73"/>
      <c r="CD2261" s="73"/>
      <c r="CE2261" s="73"/>
      <c r="CF2261" s="73"/>
      <c r="CG2261" s="73"/>
      <c r="CH2261" s="73"/>
    </row>
    <row r="2262">
      <c r="A2262" s="80"/>
      <c r="B2262" s="80"/>
      <c r="C2262" s="80"/>
      <c r="D2262" s="80"/>
      <c r="E2262" s="124"/>
      <c r="F2262" s="80"/>
      <c r="G2262" s="80"/>
      <c r="H2262" s="80"/>
      <c r="I2262" s="80"/>
      <c r="J2262" s="196"/>
      <c r="K2262" s="196"/>
      <c r="L2262" s="196"/>
      <c r="M2262" s="196"/>
      <c r="N2262" s="196"/>
      <c r="O2262" s="196"/>
      <c r="P2262" s="196"/>
      <c r="Q2262" s="196"/>
      <c r="R2262" s="196"/>
      <c r="S2262" s="196"/>
      <c r="T2262" s="196"/>
      <c r="U2262" s="196"/>
      <c r="V2262" s="196"/>
      <c r="W2262" s="196"/>
      <c r="X2262" s="196"/>
      <c r="Y2262" s="196"/>
      <c r="Z2262" s="196"/>
      <c r="AA2262" s="196"/>
      <c r="AB2262" s="196"/>
      <c r="AC2262" s="196"/>
      <c r="AD2262" s="196"/>
      <c r="AE2262" s="196"/>
      <c r="AF2262" s="196"/>
      <c r="AG2262" s="196"/>
      <c r="AH2262" s="196"/>
      <c r="AI2262" s="196"/>
      <c r="AJ2262" s="197"/>
      <c r="AK2262" s="80"/>
      <c r="AL2262" s="80"/>
      <c r="AM2262" s="73"/>
      <c r="AN2262" s="73"/>
      <c r="AO2262" s="73"/>
      <c r="AP2262" s="73"/>
      <c r="AQ2262" s="73"/>
      <c r="AR2262" s="73"/>
      <c r="AS2262" s="73"/>
      <c r="AT2262" s="73"/>
      <c r="AU2262" s="73"/>
      <c r="AV2262" s="73"/>
      <c r="AW2262" s="73"/>
      <c r="AX2262" s="73"/>
      <c r="AY2262" s="73"/>
      <c r="AZ2262" s="73"/>
      <c r="BA2262" s="73"/>
      <c r="BB2262" s="73"/>
      <c r="BC2262" s="73"/>
      <c r="BD2262" s="73"/>
      <c r="BE2262" s="73"/>
      <c r="BF2262" s="73"/>
      <c r="BG2262" s="73"/>
      <c r="BH2262" s="73"/>
      <c r="BI2262" s="73"/>
      <c r="BJ2262" s="73"/>
      <c r="BK2262" s="73"/>
      <c r="BL2262" s="73"/>
      <c r="BM2262" s="73"/>
      <c r="BN2262" s="73"/>
      <c r="BO2262" s="73"/>
      <c r="BP2262" s="73"/>
      <c r="BQ2262" s="73"/>
      <c r="BR2262" s="73"/>
      <c r="BS2262" s="73"/>
      <c r="BT2262" s="73"/>
      <c r="BU2262" s="73"/>
      <c r="BV2262" s="73"/>
      <c r="BW2262" s="73"/>
      <c r="BX2262" s="73"/>
      <c r="BY2262" s="73"/>
      <c r="BZ2262" s="73"/>
      <c r="CA2262" s="73"/>
      <c r="CB2262" s="73"/>
      <c r="CC2262" s="73"/>
      <c r="CD2262" s="73"/>
      <c r="CE2262" s="73"/>
      <c r="CF2262" s="73"/>
      <c r="CG2262" s="73"/>
      <c r="CH2262" s="73"/>
    </row>
    <row r="2263">
      <c r="A2263" s="80"/>
      <c r="B2263" s="80"/>
      <c r="C2263" s="80"/>
      <c r="D2263" s="80"/>
      <c r="E2263" s="124"/>
      <c r="F2263" s="80"/>
      <c r="G2263" s="80"/>
      <c r="H2263" s="80"/>
      <c r="I2263" s="80"/>
      <c r="J2263" s="196"/>
      <c r="K2263" s="196"/>
      <c r="L2263" s="196"/>
      <c r="M2263" s="196"/>
      <c r="N2263" s="196"/>
      <c r="O2263" s="196"/>
      <c r="P2263" s="196"/>
      <c r="Q2263" s="196"/>
      <c r="R2263" s="196"/>
      <c r="S2263" s="196"/>
      <c r="T2263" s="196"/>
      <c r="U2263" s="196"/>
      <c r="V2263" s="196"/>
      <c r="W2263" s="196"/>
      <c r="X2263" s="196"/>
      <c r="Y2263" s="196"/>
      <c r="Z2263" s="196"/>
      <c r="AA2263" s="196"/>
      <c r="AB2263" s="196"/>
      <c r="AC2263" s="196"/>
      <c r="AD2263" s="196"/>
      <c r="AE2263" s="196"/>
      <c r="AF2263" s="196"/>
      <c r="AG2263" s="196"/>
      <c r="AH2263" s="196"/>
      <c r="AI2263" s="196"/>
      <c r="AJ2263" s="197"/>
      <c r="AK2263" s="80"/>
      <c r="AL2263" s="80"/>
      <c r="AM2263" s="73"/>
      <c r="AN2263" s="73"/>
      <c r="AO2263" s="73"/>
      <c r="AP2263" s="73"/>
      <c r="AQ2263" s="73"/>
      <c r="AR2263" s="73"/>
      <c r="AS2263" s="73"/>
      <c r="AT2263" s="73"/>
      <c r="AU2263" s="73"/>
      <c r="AV2263" s="73"/>
      <c r="AW2263" s="73"/>
      <c r="AX2263" s="73"/>
      <c r="AY2263" s="73"/>
      <c r="AZ2263" s="73"/>
      <c r="BA2263" s="73"/>
      <c r="BB2263" s="73"/>
      <c r="BC2263" s="73"/>
      <c r="BD2263" s="73"/>
      <c r="BE2263" s="73"/>
      <c r="BF2263" s="73"/>
      <c r="BG2263" s="73"/>
      <c r="BH2263" s="73"/>
      <c r="BI2263" s="73"/>
      <c r="BJ2263" s="73"/>
      <c r="BK2263" s="73"/>
      <c r="BL2263" s="73"/>
      <c r="BM2263" s="73"/>
      <c r="BN2263" s="73"/>
      <c r="BO2263" s="73"/>
      <c r="BP2263" s="73"/>
      <c r="BQ2263" s="73"/>
      <c r="BR2263" s="73"/>
      <c r="BS2263" s="73"/>
      <c r="BT2263" s="73"/>
      <c r="BU2263" s="73"/>
      <c r="BV2263" s="73"/>
      <c r="BW2263" s="73"/>
      <c r="BX2263" s="73"/>
      <c r="BY2263" s="73"/>
      <c r="BZ2263" s="73"/>
      <c r="CA2263" s="73"/>
      <c r="CB2263" s="73"/>
      <c r="CC2263" s="73"/>
      <c r="CD2263" s="73"/>
      <c r="CE2263" s="73"/>
      <c r="CF2263" s="73"/>
      <c r="CG2263" s="73"/>
      <c r="CH2263" s="73"/>
    </row>
    <row r="2264">
      <c r="A2264" s="80"/>
      <c r="B2264" s="80"/>
      <c r="C2264" s="80"/>
      <c r="D2264" s="80"/>
      <c r="E2264" s="124"/>
      <c r="F2264" s="80"/>
      <c r="G2264" s="80"/>
      <c r="H2264" s="80"/>
      <c r="I2264" s="80"/>
      <c r="J2264" s="196"/>
      <c r="K2264" s="196"/>
      <c r="L2264" s="196"/>
      <c r="M2264" s="196"/>
      <c r="N2264" s="196"/>
      <c r="O2264" s="196"/>
      <c r="P2264" s="196"/>
      <c r="Q2264" s="196"/>
      <c r="R2264" s="196"/>
      <c r="S2264" s="196"/>
      <c r="T2264" s="196"/>
      <c r="U2264" s="196"/>
      <c r="V2264" s="196"/>
      <c r="W2264" s="196"/>
      <c r="X2264" s="196"/>
      <c r="Y2264" s="196"/>
      <c r="Z2264" s="196"/>
      <c r="AA2264" s="196"/>
      <c r="AB2264" s="196"/>
      <c r="AC2264" s="196"/>
      <c r="AD2264" s="196"/>
      <c r="AE2264" s="196"/>
      <c r="AF2264" s="196"/>
      <c r="AG2264" s="196"/>
      <c r="AH2264" s="196"/>
      <c r="AI2264" s="196"/>
      <c r="AJ2264" s="197"/>
      <c r="AK2264" s="80"/>
      <c r="AL2264" s="80"/>
      <c r="AM2264" s="73"/>
      <c r="AN2264" s="73"/>
      <c r="AO2264" s="73"/>
      <c r="AP2264" s="73"/>
      <c r="AQ2264" s="73"/>
      <c r="AR2264" s="73"/>
      <c r="AS2264" s="73"/>
      <c r="AT2264" s="73"/>
      <c r="AU2264" s="73"/>
      <c r="AV2264" s="73"/>
      <c r="AW2264" s="73"/>
      <c r="AX2264" s="73"/>
      <c r="AY2264" s="73"/>
      <c r="AZ2264" s="73"/>
      <c r="BA2264" s="73"/>
      <c r="BB2264" s="73"/>
      <c r="BC2264" s="73"/>
      <c r="BD2264" s="73"/>
      <c r="BE2264" s="73"/>
      <c r="BF2264" s="73"/>
      <c r="BG2264" s="73"/>
      <c r="BH2264" s="73"/>
      <c r="BI2264" s="73"/>
      <c r="BJ2264" s="73"/>
      <c r="BK2264" s="73"/>
      <c r="BL2264" s="73"/>
      <c r="BM2264" s="73"/>
      <c r="BN2264" s="73"/>
      <c r="BO2264" s="73"/>
      <c r="BP2264" s="73"/>
      <c r="BQ2264" s="73"/>
      <c r="BR2264" s="73"/>
      <c r="BS2264" s="73"/>
      <c r="BT2264" s="73"/>
      <c r="BU2264" s="73"/>
      <c r="BV2264" s="73"/>
      <c r="BW2264" s="73"/>
      <c r="BX2264" s="73"/>
      <c r="BY2264" s="73"/>
      <c r="BZ2264" s="73"/>
      <c r="CA2264" s="73"/>
      <c r="CB2264" s="73"/>
      <c r="CC2264" s="73"/>
      <c r="CD2264" s="73"/>
      <c r="CE2264" s="73"/>
      <c r="CF2264" s="73"/>
      <c r="CG2264" s="73"/>
      <c r="CH2264" s="73"/>
    </row>
    <row r="2265">
      <c r="A2265" s="80"/>
      <c r="B2265" s="80"/>
      <c r="C2265" s="80"/>
      <c r="D2265" s="80"/>
      <c r="E2265" s="124"/>
      <c r="F2265" s="80"/>
      <c r="G2265" s="80"/>
      <c r="H2265" s="80"/>
      <c r="I2265" s="80"/>
      <c r="J2265" s="196"/>
      <c r="K2265" s="196"/>
      <c r="L2265" s="196"/>
      <c r="M2265" s="196"/>
      <c r="N2265" s="196"/>
      <c r="O2265" s="196"/>
      <c r="P2265" s="196"/>
      <c r="Q2265" s="196"/>
      <c r="R2265" s="196"/>
      <c r="S2265" s="196"/>
      <c r="T2265" s="196"/>
      <c r="U2265" s="196"/>
      <c r="V2265" s="196"/>
      <c r="W2265" s="196"/>
      <c r="X2265" s="196"/>
      <c r="Y2265" s="196"/>
      <c r="Z2265" s="196"/>
      <c r="AA2265" s="196"/>
      <c r="AB2265" s="196"/>
      <c r="AC2265" s="196"/>
      <c r="AD2265" s="196"/>
      <c r="AE2265" s="196"/>
      <c r="AF2265" s="196"/>
      <c r="AG2265" s="196"/>
      <c r="AH2265" s="196"/>
      <c r="AI2265" s="196"/>
      <c r="AJ2265" s="197"/>
      <c r="AK2265" s="80"/>
      <c r="AL2265" s="80"/>
      <c r="AM2265" s="73"/>
      <c r="AN2265" s="73"/>
      <c r="AO2265" s="73"/>
      <c r="AP2265" s="73"/>
      <c r="AQ2265" s="73"/>
      <c r="AR2265" s="73"/>
      <c r="AS2265" s="73"/>
      <c r="AT2265" s="73"/>
      <c r="AU2265" s="73"/>
      <c r="AV2265" s="73"/>
      <c r="AW2265" s="73"/>
      <c r="AX2265" s="73"/>
      <c r="AY2265" s="73"/>
      <c r="AZ2265" s="73"/>
      <c r="BA2265" s="73"/>
      <c r="BB2265" s="73"/>
      <c r="BC2265" s="73"/>
      <c r="BD2265" s="73"/>
      <c r="BE2265" s="73"/>
      <c r="BF2265" s="73"/>
      <c r="BG2265" s="73"/>
      <c r="BH2265" s="73"/>
      <c r="BI2265" s="73"/>
      <c r="BJ2265" s="73"/>
      <c r="BK2265" s="73"/>
      <c r="BL2265" s="73"/>
      <c r="BM2265" s="73"/>
      <c r="BN2265" s="73"/>
      <c r="BO2265" s="73"/>
      <c r="BP2265" s="73"/>
      <c r="BQ2265" s="73"/>
      <c r="BR2265" s="73"/>
      <c r="BS2265" s="73"/>
      <c r="BT2265" s="73"/>
      <c r="BU2265" s="73"/>
      <c r="BV2265" s="73"/>
      <c r="BW2265" s="73"/>
      <c r="BX2265" s="73"/>
      <c r="BY2265" s="73"/>
      <c r="BZ2265" s="73"/>
      <c r="CA2265" s="73"/>
      <c r="CB2265" s="73"/>
      <c r="CC2265" s="73"/>
      <c r="CD2265" s="73"/>
      <c r="CE2265" s="73"/>
      <c r="CF2265" s="73"/>
      <c r="CG2265" s="73"/>
      <c r="CH2265" s="73"/>
    </row>
    <row r="2266">
      <c r="A2266" s="80"/>
      <c r="B2266" s="80"/>
      <c r="C2266" s="80"/>
      <c r="D2266" s="80"/>
      <c r="E2266" s="124"/>
      <c r="F2266" s="80"/>
      <c r="G2266" s="80"/>
      <c r="H2266" s="80"/>
      <c r="I2266" s="80"/>
      <c r="J2266" s="196"/>
      <c r="K2266" s="196"/>
      <c r="L2266" s="196"/>
      <c r="M2266" s="196"/>
      <c r="N2266" s="196"/>
      <c r="O2266" s="196"/>
      <c r="P2266" s="196"/>
      <c r="Q2266" s="196"/>
      <c r="R2266" s="196"/>
      <c r="S2266" s="196"/>
      <c r="T2266" s="196"/>
      <c r="U2266" s="196"/>
      <c r="V2266" s="196"/>
      <c r="W2266" s="196"/>
      <c r="X2266" s="196"/>
      <c r="Y2266" s="196"/>
      <c r="Z2266" s="196"/>
      <c r="AA2266" s="196"/>
      <c r="AB2266" s="196"/>
      <c r="AC2266" s="196"/>
      <c r="AD2266" s="196"/>
      <c r="AE2266" s="196"/>
      <c r="AF2266" s="196"/>
      <c r="AG2266" s="196"/>
      <c r="AH2266" s="196"/>
      <c r="AI2266" s="196"/>
      <c r="AJ2266" s="197"/>
      <c r="AK2266" s="80"/>
      <c r="AL2266" s="80"/>
      <c r="AM2266" s="73"/>
      <c r="AN2266" s="73"/>
      <c r="AO2266" s="73"/>
      <c r="AP2266" s="73"/>
      <c r="AQ2266" s="73"/>
      <c r="AR2266" s="73"/>
      <c r="AS2266" s="73"/>
      <c r="AT2266" s="73"/>
      <c r="AU2266" s="73"/>
      <c r="AV2266" s="73"/>
      <c r="AW2266" s="73"/>
      <c r="AX2266" s="73"/>
      <c r="AY2266" s="73"/>
      <c r="AZ2266" s="73"/>
      <c r="BA2266" s="73"/>
      <c r="BB2266" s="73"/>
      <c r="BC2266" s="73"/>
      <c r="BD2266" s="73"/>
      <c r="BE2266" s="73"/>
      <c r="BF2266" s="73"/>
      <c r="BG2266" s="73"/>
      <c r="BH2266" s="73"/>
      <c r="BI2266" s="73"/>
      <c r="BJ2266" s="73"/>
      <c r="BK2266" s="73"/>
      <c r="BL2266" s="73"/>
      <c r="BM2266" s="73"/>
      <c r="BN2266" s="73"/>
      <c r="BO2266" s="73"/>
      <c r="BP2266" s="73"/>
      <c r="BQ2266" s="73"/>
      <c r="BR2266" s="73"/>
      <c r="BS2266" s="73"/>
      <c r="BT2266" s="73"/>
      <c r="BU2266" s="73"/>
      <c r="BV2266" s="73"/>
      <c r="BW2266" s="73"/>
      <c r="BX2266" s="73"/>
      <c r="BY2266" s="73"/>
      <c r="BZ2266" s="73"/>
      <c r="CA2266" s="73"/>
      <c r="CB2266" s="73"/>
      <c r="CC2266" s="73"/>
      <c r="CD2266" s="73"/>
      <c r="CE2266" s="73"/>
      <c r="CF2266" s="73"/>
      <c r="CG2266" s="73"/>
      <c r="CH2266" s="73"/>
    </row>
    <row r="2267">
      <c r="A2267" s="80"/>
      <c r="B2267" s="80"/>
      <c r="C2267" s="80"/>
      <c r="D2267" s="80"/>
      <c r="E2267" s="124"/>
      <c r="F2267" s="80"/>
      <c r="G2267" s="80"/>
      <c r="H2267" s="80"/>
      <c r="I2267" s="80"/>
      <c r="J2267" s="196"/>
      <c r="K2267" s="196"/>
      <c r="L2267" s="196"/>
      <c r="M2267" s="196"/>
      <c r="N2267" s="196"/>
      <c r="O2267" s="196"/>
      <c r="P2267" s="196"/>
      <c r="Q2267" s="196"/>
      <c r="R2267" s="196"/>
      <c r="S2267" s="196"/>
      <c r="T2267" s="196"/>
      <c r="U2267" s="196"/>
      <c r="V2267" s="196"/>
      <c r="W2267" s="196"/>
      <c r="X2267" s="196"/>
      <c r="Y2267" s="196"/>
      <c r="Z2267" s="196"/>
      <c r="AA2267" s="196"/>
      <c r="AB2267" s="196"/>
      <c r="AC2267" s="196"/>
      <c r="AD2267" s="196"/>
      <c r="AE2267" s="196"/>
      <c r="AF2267" s="196"/>
      <c r="AG2267" s="196"/>
      <c r="AH2267" s="196"/>
      <c r="AI2267" s="196"/>
      <c r="AJ2267" s="197"/>
      <c r="AK2267" s="80"/>
      <c r="AL2267" s="80"/>
      <c r="AM2267" s="73"/>
      <c r="AN2267" s="73"/>
      <c r="AO2267" s="73"/>
      <c r="AP2267" s="73"/>
      <c r="AQ2267" s="73"/>
      <c r="AR2267" s="73"/>
      <c r="AS2267" s="73"/>
      <c r="AT2267" s="73"/>
      <c r="AU2267" s="73"/>
      <c r="AV2267" s="73"/>
      <c r="AW2267" s="73"/>
      <c r="AX2267" s="73"/>
      <c r="AY2267" s="73"/>
      <c r="AZ2267" s="73"/>
      <c r="BA2267" s="73"/>
      <c r="BB2267" s="73"/>
      <c r="BC2267" s="73"/>
      <c r="BD2267" s="73"/>
      <c r="BE2267" s="73"/>
      <c r="BF2267" s="73"/>
      <c r="BG2267" s="73"/>
      <c r="BH2267" s="73"/>
      <c r="BI2267" s="73"/>
      <c r="BJ2267" s="73"/>
      <c r="BK2267" s="73"/>
      <c r="BL2267" s="73"/>
      <c r="BM2267" s="73"/>
      <c r="BN2267" s="73"/>
      <c r="BO2267" s="73"/>
      <c r="BP2267" s="73"/>
      <c r="BQ2267" s="73"/>
      <c r="BR2267" s="73"/>
      <c r="BS2267" s="73"/>
      <c r="BT2267" s="73"/>
      <c r="BU2267" s="73"/>
      <c r="BV2267" s="73"/>
      <c r="BW2267" s="73"/>
      <c r="BX2267" s="73"/>
      <c r="BY2267" s="73"/>
      <c r="BZ2267" s="73"/>
      <c r="CA2267" s="73"/>
      <c r="CB2267" s="73"/>
      <c r="CC2267" s="73"/>
      <c r="CD2267" s="73"/>
      <c r="CE2267" s="73"/>
      <c r="CF2267" s="73"/>
      <c r="CG2267" s="73"/>
      <c r="CH2267" s="73"/>
    </row>
    <row r="2268">
      <c r="A2268" s="80"/>
      <c r="B2268" s="80"/>
      <c r="C2268" s="80"/>
      <c r="D2268" s="80"/>
      <c r="E2268" s="124"/>
      <c r="F2268" s="80"/>
      <c r="G2268" s="80"/>
      <c r="H2268" s="80"/>
      <c r="I2268" s="80"/>
      <c r="J2268" s="196"/>
      <c r="K2268" s="196"/>
      <c r="L2268" s="196"/>
      <c r="M2268" s="196"/>
      <c r="N2268" s="196"/>
      <c r="O2268" s="196"/>
      <c r="P2268" s="196"/>
      <c r="Q2268" s="196"/>
      <c r="R2268" s="196"/>
      <c r="S2268" s="196"/>
      <c r="T2268" s="196"/>
      <c r="U2268" s="196"/>
      <c r="V2268" s="196"/>
      <c r="W2268" s="196"/>
      <c r="X2268" s="196"/>
      <c r="Y2268" s="196"/>
      <c r="Z2268" s="196"/>
      <c r="AA2268" s="196"/>
      <c r="AB2268" s="196"/>
      <c r="AC2268" s="196"/>
      <c r="AD2268" s="196"/>
      <c r="AE2268" s="196"/>
      <c r="AF2268" s="196"/>
      <c r="AG2268" s="196"/>
      <c r="AH2268" s="196"/>
      <c r="AI2268" s="196"/>
      <c r="AJ2268" s="197"/>
      <c r="AK2268" s="80"/>
      <c r="AL2268" s="80"/>
      <c r="AM2268" s="73"/>
      <c r="AN2268" s="73"/>
      <c r="AO2268" s="73"/>
      <c r="AP2268" s="73"/>
      <c r="AQ2268" s="73"/>
      <c r="AR2268" s="73"/>
      <c r="AS2268" s="73"/>
      <c r="AT2268" s="73"/>
      <c r="AU2268" s="73"/>
      <c r="AV2268" s="73"/>
      <c r="AW2268" s="73"/>
      <c r="AX2268" s="73"/>
      <c r="AY2268" s="73"/>
      <c r="AZ2268" s="73"/>
      <c r="BA2268" s="73"/>
      <c r="BB2268" s="73"/>
      <c r="BC2268" s="73"/>
      <c r="BD2268" s="73"/>
      <c r="BE2268" s="73"/>
      <c r="BF2268" s="73"/>
      <c r="BG2268" s="73"/>
      <c r="BH2268" s="73"/>
      <c r="BI2268" s="73"/>
      <c r="BJ2268" s="73"/>
      <c r="BK2268" s="73"/>
      <c r="BL2268" s="73"/>
      <c r="BM2268" s="73"/>
      <c r="BN2268" s="73"/>
      <c r="BO2268" s="73"/>
      <c r="BP2268" s="73"/>
      <c r="BQ2268" s="73"/>
      <c r="BR2268" s="73"/>
      <c r="BS2268" s="73"/>
      <c r="BT2268" s="73"/>
      <c r="BU2268" s="73"/>
      <c r="BV2268" s="73"/>
      <c r="BW2268" s="73"/>
      <c r="BX2268" s="73"/>
      <c r="BY2268" s="73"/>
      <c r="BZ2268" s="73"/>
      <c r="CA2268" s="73"/>
      <c r="CB2268" s="73"/>
      <c r="CC2268" s="73"/>
      <c r="CD2268" s="73"/>
      <c r="CE2268" s="73"/>
      <c r="CF2268" s="73"/>
      <c r="CG2268" s="73"/>
      <c r="CH2268" s="73"/>
    </row>
    <row r="2269">
      <c r="A2269" s="80"/>
      <c r="B2269" s="80"/>
      <c r="C2269" s="80"/>
      <c r="D2269" s="80"/>
      <c r="E2269" s="124"/>
      <c r="F2269" s="80"/>
      <c r="G2269" s="80"/>
      <c r="H2269" s="80"/>
      <c r="I2269" s="80"/>
      <c r="J2269" s="196"/>
      <c r="K2269" s="196"/>
      <c r="L2269" s="196"/>
      <c r="M2269" s="196"/>
      <c r="N2269" s="196"/>
      <c r="O2269" s="196"/>
      <c r="P2269" s="196"/>
      <c r="Q2269" s="196"/>
      <c r="R2269" s="196"/>
      <c r="S2269" s="196"/>
      <c r="T2269" s="196"/>
      <c r="U2269" s="196"/>
      <c r="V2269" s="196"/>
      <c r="W2269" s="196"/>
      <c r="X2269" s="196"/>
      <c r="Y2269" s="196"/>
      <c r="Z2269" s="196"/>
      <c r="AA2269" s="196"/>
      <c r="AB2269" s="196"/>
      <c r="AC2269" s="196"/>
      <c r="AD2269" s="196"/>
      <c r="AE2269" s="196"/>
      <c r="AF2269" s="196"/>
      <c r="AG2269" s="196"/>
      <c r="AH2269" s="196"/>
      <c r="AI2269" s="196"/>
      <c r="AJ2269" s="197"/>
      <c r="AK2269" s="80"/>
      <c r="AL2269" s="80"/>
      <c r="AM2269" s="73"/>
      <c r="AN2269" s="73"/>
      <c r="AO2269" s="73"/>
      <c r="AP2269" s="73"/>
      <c r="AQ2269" s="73"/>
      <c r="AR2269" s="73"/>
      <c r="AS2269" s="73"/>
      <c r="AT2269" s="73"/>
      <c r="AU2269" s="73"/>
      <c r="AV2269" s="73"/>
      <c r="AW2269" s="73"/>
      <c r="AX2269" s="73"/>
      <c r="AY2269" s="73"/>
      <c r="AZ2269" s="73"/>
      <c r="BA2269" s="73"/>
      <c r="BB2269" s="73"/>
      <c r="BC2269" s="73"/>
      <c r="BD2269" s="73"/>
      <c r="BE2269" s="73"/>
      <c r="BF2269" s="73"/>
      <c r="BG2269" s="73"/>
      <c r="BH2269" s="73"/>
      <c r="BI2269" s="73"/>
      <c r="BJ2269" s="73"/>
      <c r="BK2269" s="73"/>
      <c r="BL2269" s="73"/>
      <c r="BM2269" s="73"/>
      <c r="BN2269" s="73"/>
      <c r="BO2269" s="73"/>
      <c r="BP2269" s="73"/>
      <c r="BQ2269" s="73"/>
      <c r="BR2269" s="73"/>
      <c r="BS2269" s="73"/>
      <c r="BT2269" s="73"/>
      <c r="BU2269" s="73"/>
      <c r="BV2269" s="73"/>
      <c r="BW2269" s="73"/>
      <c r="BX2269" s="73"/>
      <c r="BY2269" s="73"/>
      <c r="BZ2269" s="73"/>
      <c r="CA2269" s="73"/>
      <c r="CB2269" s="73"/>
      <c r="CC2269" s="73"/>
      <c r="CD2269" s="73"/>
      <c r="CE2269" s="73"/>
      <c r="CF2269" s="73"/>
      <c r="CG2269" s="73"/>
      <c r="CH2269" s="73"/>
    </row>
    <row r="2270">
      <c r="A2270" s="80"/>
      <c r="B2270" s="80"/>
      <c r="C2270" s="80"/>
      <c r="D2270" s="80"/>
      <c r="E2270" s="124"/>
      <c r="F2270" s="80"/>
      <c r="G2270" s="80"/>
      <c r="H2270" s="80"/>
      <c r="I2270" s="80"/>
      <c r="J2270" s="196"/>
      <c r="K2270" s="196"/>
      <c r="L2270" s="196"/>
      <c r="M2270" s="196"/>
      <c r="N2270" s="196"/>
      <c r="O2270" s="196"/>
      <c r="P2270" s="196"/>
      <c r="Q2270" s="196"/>
      <c r="R2270" s="196"/>
      <c r="S2270" s="196"/>
      <c r="T2270" s="196"/>
      <c r="U2270" s="196"/>
      <c r="V2270" s="196"/>
      <c r="W2270" s="196"/>
      <c r="X2270" s="196"/>
      <c r="Y2270" s="196"/>
      <c r="Z2270" s="196"/>
      <c r="AA2270" s="196"/>
      <c r="AB2270" s="196"/>
      <c r="AC2270" s="196"/>
      <c r="AD2270" s="196"/>
      <c r="AE2270" s="196"/>
      <c r="AF2270" s="196"/>
      <c r="AG2270" s="196"/>
      <c r="AH2270" s="196"/>
      <c r="AI2270" s="196"/>
      <c r="AJ2270" s="197"/>
      <c r="AK2270" s="80"/>
      <c r="AL2270" s="80"/>
      <c r="AM2270" s="73"/>
      <c r="AN2270" s="73"/>
      <c r="AO2270" s="73"/>
      <c r="AP2270" s="73"/>
      <c r="AQ2270" s="73"/>
      <c r="AR2270" s="73"/>
      <c r="AS2270" s="73"/>
      <c r="AT2270" s="73"/>
      <c r="AU2270" s="73"/>
      <c r="AV2270" s="73"/>
      <c r="AW2270" s="73"/>
      <c r="AX2270" s="73"/>
      <c r="AY2270" s="73"/>
      <c r="AZ2270" s="73"/>
      <c r="BA2270" s="73"/>
      <c r="BB2270" s="73"/>
      <c r="BC2270" s="73"/>
      <c r="BD2270" s="73"/>
      <c r="BE2270" s="73"/>
      <c r="BF2270" s="73"/>
      <c r="BG2270" s="73"/>
      <c r="BH2270" s="73"/>
      <c r="BI2270" s="73"/>
      <c r="BJ2270" s="73"/>
      <c r="BK2270" s="73"/>
      <c r="BL2270" s="73"/>
      <c r="BM2270" s="73"/>
      <c r="BN2270" s="73"/>
      <c r="BO2270" s="73"/>
      <c r="BP2270" s="73"/>
      <c r="BQ2270" s="73"/>
      <c r="BR2270" s="73"/>
      <c r="BS2270" s="73"/>
      <c r="BT2270" s="73"/>
      <c r="BU2270" s="73"/>
      <c r="BV2270" s="73"/>
      <c r="BW2270" s="73"/>
      <c r="BX2270" s="73"/>
      <c r="BY2270" s="73"/>
      <c r="BZ2270" s="73"/>
      <c r="CA2270" s="73"/>
      <c r="CB2270" s="73"/>
      <c r="CC2270" s="73"/>
      <c r="CD2270" s="73"/>
      <c r="CE2270" s="73"/>
      <c r="CF2270" s="73"/>
      <c r="CG2270" s="73"/>
      <c r="CH2270" s="73"/>
    </row>
    <row r="2271">
      <c r="A2271" s="80"/>
      <c r="B2271" s="80"/>
      <c r="C2271" s="80"/>
      <c r="D2271" s="80"/>
      <c r="E2271" s="124"/>
      <c r="F2271" s="80"/>
      <c r="G2271" s="80"/>
      <c r="H2271" s="80"/>
      <c r="I2271" s="80"/>
      <c r="J2271" s="196"/>
      <c r="K2271" s="196"/>
      <c r="L2271" s="196"/>
      <c r="M2271" s="196"/>
      <c r="N2271" s="196"/>
      <c r="O2271" s="196"/>
      <c r="P2271" s="196"/>
      <c r="Q2271" s="196"/>
      <c r="R2271" s="196"/>
      <c r="S2271" s="196"/>
      <c r="T2271" s="196"/>
      <c r="U2271" s="196"/>
      <c r="V2271" s="196"/>
      <c r="W2271" s="196"/>
      <c r="X2271" s="196"/>
      <c r="Y2271" s="196"/>
      <c r="Z2271" s="196"/>
      <c r="AA2271" s="196"/>
      <c r="AB2271" s="196"/>
      <c r="AC2271" s="196"/>
      <c r="AD2271" s="196"/>
      <c r="AE2271" s="196"/>
      <c r="AF2271" s="196"/>
      <c r="AG2271" s="196"/>
      <c r="AH2271" s="196"/>
      <c r="AI2271" s="196"/>
      <c r="AJ2271" s="197"/>
      <c r="AK2271" s="80"/>
      <c r="AL2271" s="80"/>
      <c r="AM2271" s="73"/>
      <c r="AN2271" s="73"/>
      <c r="AO2271" s="73"/>
      <c r="AP2271" s="73"/>
      <c r="AQ2271" s="73"/>
      <c r="AR2271" s="73"/>
      <c r="AS2271" s="73"/>
      <c r="AT2271" s="73"/>
      <c r="AU2271" s="73"/>
      <c r="AV2271" s="73"/>
      <c r="AW2271" s="73"/>
      <c r="AX2271" s="73"/>
      <c r="AY2271" s="73"/>
      <c r="AZ2271" s="73"/>
      <c r="BA2271" s="73"/>
      <c r="BB2271" s="73"/>
      <c r="BC2271" s="73"/>
      <c r="BD2271" s="73"/>
      <c r="BE2271" s="73"/>
      <c r="BF2271" s="73"/>
      <c r="BG2271" s="73"/>
      <c r="BH2271" s="73"/>
      <c r="BI2271" s="73"/>
      <c r="BJ2271" s="73"/>
      <c r="BK2271" s="73"/>
      <c r="BL2271" s="73"/>
      <c r="BM2271" s="73"/>
      <c r="BN2271" s="73"/>
      <c r="BO2271" s="73"/>
      <c r="BP2271" s="73"/>
      <c r="BQ2271" s="73"/>
      <c r="BR2271" s="73"/>
      <c r="BS2271" s="73"/>
      <c r="BT2271" s="73"/>
      <c r="BU2271" s="73"/>
      <c r="BV2271" s="73"/>
      <c r="BW2271" s="73"/>
      <c r="BX2271" s="73"/>
      <c r="BY2271" s="73"/>
      <c r="BZ2271" s="73"/>
      <c r="CA2271" s="73"/>
      <c r="CB2271" s="73"/>
      <c r="CC2271" s="73"/>
      <c r="CD2271" s="73"/>
      <c r="CE2271" s="73"/>
      <c r="CF2271" s="73"/>
      <c r="CG2271" s="73"/>
      <c r="CH2271" s="73"/>
    </row>
    <row r="2272">
      <c r="A2272" s="80"/>
      <c r="B2272" s="80"/>
      <c r="C2272" s="80"/>
      <c r="D2272" s="80"/>
      <c r="E2272" s="124"/>
      <c r="F2272" s="80"/>
      <c r="G2272" s="80"/>
      <c r="H2272" s="80"/>
      <c r="I2272" s="80"/>
      <c r="J2272" s="196"/>
      <c r="K2272" s="196"/>
      <c r="L2272" s="196"/>
      <c r="M2272" s="196"/>
      <c r="N2272" s="196"/>
      <c r="O2272" s="196"/>
      <c r="P2272" s="196"/>
      <c r="Q2272" s="196"/>
      <c r="R2272" s="196"/>
      <c r="S2272" s="196"/>
      <c r="T2272" s="196"/>
      <c r="U2272" s="196"/>
      <c r="V2272" s="196"/>
      <c r="W2272" s="196"/>
      <c r="X2272" s="196"/>
      <c r="Y2272" s="196"/>
      <c r="Z2272" s="196"/>
      <c r="AA2272" s="196"/>
      <c r="AB2272" s="196"/>
      <c r="AC2272" s="196"/>
      <c r="AD2272" s="196"/>
      <c r="AE2272" s="196"/>
      <c r="AF2272" s="196"/>
      <c r="AG2272" s="196"/>
      <c r="AH2272" s="196"/>
      <c r="AI2272" s="196"/>
      <c r="AJ2272" s="197"/>
      <c r="AK2272" s="80"/>
      <c r="AL2272" s="80"/>
      <c r="AM2272" s="73"/>
      <c r="AN2272" s="73"/>
      <c r="AO2272" s="73"/>
      <c r="AP2272" s="73"/>
      <c r="AQ2272" s="73"/>
      <c r="AR2272" s="73"/>
      <c r="AS2272" s="73"/>
      <c r="AT2272" s="73"/>
      <c r="AU2272" s="73"/>
      <c r="AV2272" s="73"/>
      <c r="AW2272" s="73"/>
      <c r="AX2272" s="73"/>
      <c r="AY2272" s="73"/>
      <c r="AZ2272" s="73"/>
      <c r="BA2272" s="73"/>
      <c r="BB2272" s="73"/>
      <c r="BC2272" s="73"/>
      <c r="BD2272" s="73"/>
      <c r="BE2272" s="73"/>
      <c r="BF2272" s="73"/>
      <c r="BG2272" s="73"/>
      <c r="BH2272" s="73"/>
      <c r="BI2272" s="73"/>
      <c r="BJ2272" s="73"/>
      <c r="BK2272" s="73"/>
      <c r="BL2272" s="73"/>
      <c r="BM2272" s="73"/>
      <c r="BN2272" s="73"/>
      <c r="BO2272" s="73"/>
      <c r="BP2272" s="73"/>
      <c r="BQ2272" s="73"/>
      <c r="BR2272" s="73"/>
      <c r="BS2272" s="73"/>
      <c r="BT2272" s="73"/>
      <c r="BU2272" s="73"/>
      <c r="BV2272" s="73"/>
      <c r="BW2272" s="73"/>
      <c r="BX2272" s="73"/>
      <c r="BY2272" s="73"/>
      <c r="BZ2272" s="73"/>
      <c r="CA2272" s="73"/>
      <c r="CB2272" s="73"/>
      <c r="CC2272" s="73"/>
      <c r="CD2272" s="73"/>
      <c r="CE2272" s="73"/>
      <c r="CF2272" s="73"/>
      <c r="CG2272" s="73"/>
      <c r="CH2272" s="73"/>
    </row>
    <row r="2273">
      <c r="A2273" s="80"/>
      <c r="B2273" s="80"/>
      <c r="C2273" s="80"/>
      <c r="D2273" s="80"/>
      <c r="E2273" s="124"/>
      <c r="F2273" s="80"/>
      <c r="G2273" s="80"/>
      <c r="H2273" s="80"/>
      <c r="I2273" s="80"/>
      <c r="J2273" s="196"/>
      <c r="K2273" s="196"/>
      <c r="L2273" s="196"/>
      <c r="M2273" s="196"/>
      <c r="N2273" s="196"/>
      <c r="O2273" s="196"/>
      <c r="P2273" s="196"/>
      <c r="Q2273" s="196"/>
      <c r="R2273" s="196"/>
      <c r="S2273" s="196"/>
      <c r="T2273" s="196"/>
      <c r="U2273" s="196"/>
      <c r="V2273" s="196"/>
      <c r="W2273" s="196"/>
      <c r="X2273" s="196"/>
      <c r="Y2273" s="196"/>
      <c r="Z2273" s="196"/>
      <c r="AA2273" s="196"/>
      <c r="AB2273" s="196"/>
      <c r="AC2273" s="196"/>
      <c r="AD2273" s="196"/>
      <c r="AE2273" s="196"/>
      <c r="AF2273" s="196"/>
      <c r="AG2273" s="196"/>
      <c r="AH2273" s="196"/>
      <c r="AI2273" s="196"/>
      <c r="AJ2273" s="197"/>
      <c r="AK2273" s="80"/>
      <c r="AL2273" s="80"/>
      <c r="AM2273" s="73"/>
      <c r="AN2273" s="73"/>
      <c r="AO2273" s="73"/>
      <c r="AP2273" s="73"/>
      <c r="AQ2273" s="73"/>
      <c r="AR2273" s="73"/>
      <c r="AS2273" s="73"/>
      <c r="AT2273" s="73"/>
      <c r="AU2273" s="73"/>
      <c r="AV2273" s="73"/>
      <c r="AW2273" s="73"/>
      <c r="AX2273" s="73"/>
      <c r="AY2273" s="73"/>
      <c r="AZ2273" s="73"/>
      <c r="BA2273" s="73"/>
      <c r="BB2273" s="73"/>
      <c r="BC2273" s="73"/>
      <c r="BD2273" s="73"/>
      <c r="BE2273" s="73"/>
      <c r="BF2273" s="73"/>
      <c r="BG2273" s="73"/>
      <c r="BH2273" s="73"/>
      <c r="BI2273" s="73"/>
      <c r="BJ2273" s="73"/>
      <c r="BK2273" s="73"/>
      <c r="BL2273" s="73"/>
      <c r="BM2273" s="73"/>
      <c r="BN2273" s="73"/>
      <c r="BO2273" s="73"/>
      <c r="BP2273" s="73"/>
      <c r="BQ2273" s="73"/>
      <c r="BR2273" s="73"/>
      <c r="BS2273" s="73"/>
      <c r="BT2273" s="73"/>
      <c r="BU2273" s="73"/>
      <c r="BV2273" s="73"/>
      <c r="BW2273" s="73"/>
      <c r="BX2273" s="73"/>
      <c r="BY2273" s="73"/>
      <c r="BZ2273" s="73"/>
      <c r="CA2273" s="73"/>
      <c r="CB2273" s="73"/>
      <c r="CC2273" s="73"/>
      <c r="CD2273" s="73"/>
      <c r="CE2273" s="73"/>
      <c r="CF2273" s="73"/>
      <c r="CG2273" s="73"/>
      <c r="CH2273" s="73"/>
    </row>
    <row r="2274">
      <c r="A2274" s="80"/>
      <c r="B2274" s="80"/>
      <c r="C2274" s="80"/>
      <c r="D2274" s="80"/>
      <c r="E2274" s="124"/>
      <c r="F2274" s="80"/>
      <c r="G2274" s="80"/>
      <c r="H2274" s="80"/>
      <c r="I2274" s="80"/>
      <c r="J2274" s="196"/>
      <c r="K2274" s="196"/>
      <c r="L2274" s="196"/>
      <c r="M2274" s="196"/>
      <c r="N2274" s="196"/>
      <c r="O2274" s="196"/>
      <c r="P2274" s="196"/>
      <c r="Q2274" s="196"/>
      <c r="R2274" s="196"/>
      <c r="S2274" s="196"/>
      <c r="T2274" s="196"/>
      <c r="U2274" s="196"/>
      <c r="V2274" s="196"/>
      <c r="W2274" s="196"/>
      <c r="X2274" s="196"/>
      <c r="Y2274" s="196"/>
      <c r="Z2274" s="196"/>
      <c r="AA2274" s="196"/>
      <c r="AB2274" s="196"/>
      <c r="AC2274" s="196"/>
      <c r="AD2274" s="196"/>
      <c r="AE2274" s="196"/>
      <c r="AF2274" s="196"/>
      <c r="AG2274" s="196"/>
      <c r="AH2274" s="196"/>
      <c r="AI2274" s="196"/>
      <c r="AJ2274" s="197"/>
      <c r="AK2274" s="80"/>
      <c r="AL2274" s="80"/>
      <c r="AM2274" s="73"/>
      <c r="AN2274" s="73"/>
      <c r="AO2274" s="73"/>
      <c r="AP2274" s="73"/>
      <c r="AQ2274" s="73"/>
      <c r="AR2274" s="73"/>
      <c r="AS2274" s="73"/>
      <c r="AT2274" s="73"/>
      <c r="AU2274" s="73"/>
      <c r="AV2274" s="73"/>
      <c r="AW2274" s="73"/>
      <c r="AX2274" s="73"/>
      <c r="AY2274" s="73"/>
      <c r="AZ2274" s="73"/>
      <c r="BA2274" s="73"/>
      <c r="BB2274" s="73"/>
      <c r="BC2274" s="73"/>
      <c r="BD2274" s="73"/>
      <c r="BE2274" s="73"/>
      <c r="BF2274" s="73"/>
      <c r="BG2274" s="73"/>
      <c r="BH2274" s="73"/>
      <c r="BI2274" s="73"/>
      <c r="BJ2274" s="73"/>
      <c r="BK2274" s="73"/>
      <c r="BL2274" s="73"/>
      <c r="BM2274" s="73"/>
      <c r="BN2274" s="73"/>
      <c r="BO2274" s="73"/>
      <c r="BP2274" s="73"/>
      <c r="BQ2274" s="73"/>
      <c r="BR2274" s="73"/>
      <c r="BS2274" s="73"/>
      <c r="BT2274" s="73"/>
      <c r="BU2274" s="73"/>
      <c r="BV2274" s="73"/>
      <c r="BW2274" s="73"/>
      <c r="BX2274" s="73"/>
      <c r="BY2274" s="73"/>
      <c r="BZ2274" s="73"/>
      <c r="CA2274" s="73"/>
      <c r="CB2274" s="73"/>
      <c r="CC2274" s="73"/>
      <c r="CD2274" s="73"/>
      <c r="CE2274" s="73"/>
      <c r="CF2274" s="73"/>
      <c r="CG2274" s="73"/>
      <c r="CH2274" s="73"/>
    </row>
    <row r="2275">
      <c r="A2275" s="80"/>
      <c r="B2275" s="80"/>
      <c r="C2275" s="80"/>
      <c r="D2275" s="80"/>
      <c r="E2275" s="124"/>
      <c r="F2275" s="80"/>
      <c r="G2275" s="80"/>
      <c r="H2275" s="80"/>
      <c r="I2275" s="80"/>
      <c r="J2275" s="196"/>
      <c r="K2275" s="196"/>
      <c r="L2275" s="196"/>
      <c r="M2275" s="196"/>
      <c r="N2275" s="196"/>
      <c r="O2275" s="196"/>
      <c r="P2275" s="196"/>
      <c r="Q2275" s="196"/>
      <c r="R2275" s="196"/>
      <c r="S2275" s="196"/>
      <c r="T2275" s="196"/>
      <c r="U2275" s="196"/>
      <c r="V2275" s="196"/>
      <c r="W2275" s="196"/>
      <c r="X2275" s="196"/>
      <c r="Y2275" s="196"/>
      <c r="Z2275" s="196"/>
      <c r="AA2275" s="196"/>
      <c r="AB2275" s="196"/>
      <c r="AC2275" s="196"/>
      <c r="AD2275" s="196"/>
      <c r="AE2275" s="196"/>
      <c r="AF2275" s="196"/>
      <c r="AG2275" s="196"/>
      <c r="AH2275" s="196"/>
      <c r="AI2275" s="196"/>
      <c r="AJ2275" s="197"/>
      <c r="AK2275" s="80"/>
      <c r="AL2275" s="80"/>
      <c r="AM2275" s="73"/>
      <c r="AN2275" s="73"/>
      <c r="AO2275" s="73"/>
      <c r="AP2275" s="73"/>
      <c r="AQ2275" s="73"/>
      <c r="AR2275" s="73"/>
      <c r="AS2275" s="73"/>
      <c r="AT2275" s="73"/>
      <c r="AU2275" s="73"/>
      <c r="AV2275" s="73"/>
      <c r="AW2275" s="73"/>
      <c r="AX2275" s="73"/>
      <c r="AY2275" s="73"/>
      <c r="AZ2275" s="73"/>
      <c r="BA2275" s="73"/>
      <c r="BB2275" s="73"/>
      <c r="BC2275" s="73"/>
      <c r="BD2275" s="73"/>
      <c r="BE2275" s="73"/>
      <c r="BF2275" s="73"/>
      <c r="BG2275" s="73"/>
      <c r="BH2275" s="73"/>
      <c r="BI2275" s="73"/>
      <c r="BJ2275" s="73"/>
      <c r="BK2275" s="73"/>
      <c r="BL2275" s="73"/>
      <c r="BM2275" s="73"/>
      <c r="BN2275" s="73"/>
      <c r="BO2275" s="73"/>
      <c r="BP2275" s="73"/>
      <c r="BQ2275" s="73"/>
      <c r="BR2275" s="73"/>
      <c r="BS2275" s="73"/>
      <c r="BT2275" s="73"/>
      <c r="BU2275" s="73"/>
      <c r="BV2275" s="73"/>
      <c r="BW2275" s="73"/>
      <c r="BX2275" s="73"/>
      <c r="BY2275" s="73"/>
      <c r="BZ2275" s="73"/>
      <c r="CA2275" s="73"/>
      <c r="CB2275" s="73"/>
      <c r="CC2275" s="73"/>
      <c r="CD2275" s="73"/>
      <c r="CE2275" s="73"/>
      <c r="CF2275" s="73"/>
      <c r="CG2275" s="73"/>
      <c r="CH2275" s="73"/>
    </row>
    <row r="2276">
      <c r="A2276" s="80"/>
      <c r="B2276" s="80"/>
      <c r="C2276" s="80"/>
      <c r="D2276" s="80"/>
      <c r="E2276" s="124"/>
      <c r="F2276" s="80"/>
      <c r="G2276" s="80"/>
      <c r="H2276" s="80"/>
      <c r="I2276" s="80"/>
      <c r="J2276" s="196"/>
      <c r="K2276" s="196"/>
      <c r="L2276" s="196"/>
      <c r="M2276" s="196"/>
      <c r="N2276" s="196"/>
      <c r="O2276" s="196"/>
      <c r="P2276" s="196"/>
      <c r="Q2276" s="196"/>
      <c r="R2276" s="196"/>
      <c r="S2276" s="196"/>
      <c r="T2276" s="196"/>
      <c r="U2276" s="196"/>
      <c r="V2276" s="196"/>
      <c r="W2276" s="196"/>
      <c r="X2276" s="196"/>
      <c r="Y2276" s="196"/>
      <c r="Z2276" s="196"/>
      <c r="AA2276" s="196"/>
      <c r="AB2276" s="196"/>
      <c r="AC2276" s="196"/>
      <c r="AD2276" s="196"/>
      <c r="AE2276" s="196"/>
      <c r="AF2276" s="196"/>
      <c r="AG2276" s="196"/>
      <c r="AH2276" s="196"/>
      <c r="AI2276" s="196"/>
      <c r="AJ2276" s="197"/>
      <c r="AK2276" s="80"/>
      <c r="AL2276" s="80"/>
      <c r="AM2276" s="73"/>
      <c r="AN2276" s="73"/>
      <c r="AO2276" s="73"/>
      <c r="AP2276" s="73"/>
      <c r="AQ2276" s="73"/>
      <c r="AR2276" s="73"/>
      <c r="AS2276" s="73"/>
      <c r="AT2276" s="73"/>
      <c r="AU2276" s="73"/>
      <c r="AV2276" s="73"/>
      <c r="AW2276" s="73"/>
      <c r="AX2276" s="73"/>
      <c r="AY2276" s="73"/>
      <c r="AZ2276" s="73"/>
      <c r="BA2276" s="73"/>
      <c r="BB2276" s="73"/>
      <c r="BC2276" s="73"/>
      <c r="BD2276" s="73"/>
      <c r="BE2276" s="73"/>
      <c r="BF2276" s="73"/>
      <c r="BG2276" s="73"/>
      <c r="BH2276" s="73"/>
      <c r="BI2276" s="73"/>
      <c r="BJ2276" s="73"/>
      <c r="BK2276" s="73"/>
      <c r="BL2276" s="73"/>
      <c r="BM2276" s="73"/>
      <c r="BN2276" s="73"/>
      <c r="BO2276" s="73"/>
      <c r="BP2276" s="73"/>
      <c r="BQ2276" s="73"/>
      <c r="BR2276" s="73"/>
      <c r="BS2276" s="73"/>
      <c r="BT2276" s="73"/>
      <c r="BU2276" s="73"/>
      <c r="BV2276" s="73"/>
      <c r="BW2276" s="73"/>
      <c r="BX2276" s="73"/>
      <c r="BY2276" s="73"/>
      <c r="BZ2276" s="73"/>
      <c r="CA2276" s="73"/>
      <c r="CB2276" s="73"/>
      <c r="CC2276" s="73"/>
      <c r="CD2276" s="73"/>
      <c r="CE2276" s="73"/>
      <c r="CF2276" s="73"/>
      <c r="CG2276" s="73"/>
      <c r="CH2276" s="73"/>
    </row>
    <row r="2277">
      <c r="A2277" s="80"/>
      <c r="B2277" s="80"/>
      <c r="C2277" s="80"/>
      <c r="D2277" s="80"/>
      <c r="E2277" s="124"/>
      <c r="F2277" s="80"/>
      <c r="G2277" s="80"/>
      <c r="H2277" s="80"/>
      <c r="I2277" s="80"/>
      <c r="J2277" s="196"/>
      <c r="K2277" s="196"/>
      <c r="L2277" s="196"/>
      <c r="M2277" s="196"/>
      <c r="N2277" s="196"/>
      <c r="O2277" s="196"/>
      <c r="P2277" s="196"/>
      <c r="Q2277" s="196"/>
      <c r="R2277" s="196"/>
      <c r="S2277" s="196"/>
      <c r="T2277" s="196"/>
      <c r="U2277" s="196"/>
      <c r="V2277" s="196"/>
      <c r="W2277" s="196"/>
      <c r="X2277" s="196"/>
      <c r="Y2277" s="196"/>
      <c r="Z2277" s="196"/>
      <c r="AA2277" s="196"/>
      <c r="AB2277" s="196"/>
      <c r="AC2277" s="196"/>
      <c r="AD2277" s="196"/>
      <c r="AE2277" s="196"/>
      <c r="AF2277" s="196"/>
      <c r="AG2277" s="196"/>
      <c r="AH2277" s="196"/>
      <c r="AI2277" s="196"/>
      <c r="AJ2277" s="197"/>
      <c r="AK2277" s="80"/>
      <c r="AL2277" s="80"/>
      <c r="AM2277" s="73"/>
      <c r="AN2277" s="73"/>
      <c r="AO2277" s="73"/>
      <c r="AP2277" s="73"/>
      <c r="AQ2277" s="73"/>
      <c r="AR2277" s="73"/>
      <c r="AS2277" s="73"/>
      <c r="AT2277" s="73"/>
      <c r="AU2277" s="73"/>
      <c r="AV2277" s="73"/>
      <c r="AW2277" s="73"/>
      <c r="AX2277" s="73"/>
      <c r="AY2277" s="73"/>
      <c r="AZ2277" s="73"/>
      <c r="BA2277" s="73"/>
      <c r="BB2277" s="73"/>
      <c r="BC2277" s="73"/>
      <c r="BD2277" s="73"/>
      <c r="BE2277" s="73"/>
      <c r="BF2277" s="73"/>
      <c r="BG2277" s="73"/>
      <c r="BH2277" s="73"/>
      <c r="BI2277" s="73"/>
      <c r="BJ2277" s="73"/>
      <c r="BK2277" s="73"/>
      <c r="BL2277" s="73"/>
      <c r="BM2277" s="73"/>
      <c r="BN2277" s="73"/>
      <c r="BO2277" s="73"/>
      <c r="BP2277" s="73"/>
      <c r="BQ2277" s="73"/>
      <c r="BR2277" s="73"/>
      <c r="BS2277" s="73"/>
      <c r="BT2277" s="73"/>
      <c r="BU2277" s="73"/>
      <c r="BV2277" s="73"/>
      <c r="BW2277" s="73"/>
      <c r="BX2277" s="73"/>
      <c r="BY2277" s="73"/>
      <c r="BZ2277" s="73"/>
      <c r="CA2277" s="73"/>
      <c r="CB2277" s="73"/>
      <c r="CC2277" s="73"/>
      <c r="CD2277" s="73"/>
      <c r="CE2277" s="73"/>
      <c r="CF2277" s="73"/>
      <c r="CG2277" s="73"/>
      <c r="CH2277" s="73"/>
    </row>
    <row r="2278">
      <c r="A2278" s="80"/>
      <c r="B2278" s="80"/>
      <c r="C2278" s="80"/>
      <c r="D2278" s="80"/>
      <c r="E2278" s="124"/>
      <c r="F2278" s="80"/>
      <c r="G2278" s="80"/>
      <c r="H2278" s="80"/>
      <c r="I2278" s="80"/>
      <c r="J2278" s="196"/>
      <c r="K2278" s="196"/>
      <c r="L2278" s="196"/>
      <c r="M2278" s="196"/>
      <c r="N2278" s="196"/>
      <c r="O2278" s="196"/>
      <c r="P2278" s="196"/>
      <c r="Q2278" s="196"/>
      <c r="R2278" s="196"/>
      <c r="S2278" s="196"/>
      <c r="T2278" s="196"/>
      <c r="U2278" s="196"/>
      <c r="V2278" s="196"/>
      <c r="W2278" s="196"/>
      <c r="X2278" s="196"/>
      <c r="Y2278" s="196"/>
      <c r="Z2278" s="196"/>
      <c r="AA2278" s="196"/>
      <c r="AB2278" s="196"/>
      <c r="AC2278" s="196"/>
      <c r="AD2278" s="196"/>
      <c r="AE2278" s="196"/>
      <c r="AF2278" s="196"/>
      <c r="AG2278" s="196"/>
      <c r="AH2278" s="196"/>
      <c r="AI2278" s="196"/>
      <c r="AJ2278" s="197"/>
      <c r="AK2278" s="80"/>
      <c r="AL2278" s="80"/>
      <c r="AM2278" s="73"/>
      <c r="AN2278" s="73"/>
      <c r="AO2278" s="73"/>
      <c r="AP2278" s="73"/>
      <c r="AQ2278" s="73"/>
      <c r="AR2278" s="73"/>
      <c r="AS2278" s="73"/>
      <c r="AT2278" s="73"/>
      <c r="AU2278" s="73"/>
      <c r="AV2278" s="73"/>
      <c r="AW2278" s="73"/>
      <c r="AX2278" s="73"/>
      <c r="AY2278" s="73"/>
      <c r="AZ2278" s="73"/>
      <c r="BA2278" s="73"/>
      <c r="BB2278" s="73"/>
      <c r="BC2278" s="73"/>
      <c r="BD2278" s="73"/>
      <c r="BE2278" s="73"/>
      <c r="BF2278" s="73"/>
      <c r="BG2278" s="73"/>
      <c r="BH2278" s="73"/>
      <c r="BI2278" s="73"/>
      <c r="BJ2278" s="73"/>
      <c r="BK2278" s="73"/>
      <c r="BL2278" s="73"/>
      <c r="BM2278" s="73"/>
      <c r="BN2278" s="73"/>
      <c r="BO2278" s="73"/>
      <c r="BP2278" s="73"/>
      <c r="BQ2278" s="73"/>
      <c r="BR2278" s="73"/>
      <c r="BS2278" s="73"/>
      <c r="BT2278" s="73"/>
      <c r="BU2278" s="73"/>
      <c r="BV2278" s="73"/>
      <c r="BW2278" s="73"/>
      <c r="BX2278" s="73"/>
      <c r="BY2278" s="73"/>
      <c r="BZ2278" s="73"/>
      <c r="CA2278" s="73"/>
      <c r="CB2278" s="73"/>
      <c r="CC2278" s="73"/>
      <c r="CD2278" s="73"/>
      <c r="CE2278" s="73"/>
      <c r="CF2278" s="73"/>
      <c r="CG2278" s="73"/>
      <c r="CH2278" s="73"/>
    </row>
    <row r="2279">
      <c r="A2279" s="80"/>
      <c r="B2279" s="80"/>
      <c r="C2279" s="80"/>
      <c r="D2279" s="80"/>
      <c r="E2279" s="124"/>
      <c r="F2279" s="80"/>
      <c r="G2279" s="80"/>
      <c r="H2279" s="80"/>
      <c r="I2279" s="80"/>
      <c r="J2279" s="196"/>
      <c r="K2279" s="196"/>
      <c r="L2279" s="196"/>
      <c r="M2279" s="196"/>
      <c r="N2279" s="196"/>
      <c r="O2279" s="196"/>
      <c r="P2279" s="196"/>
      <c r="Q2279" s="196"/>
      <c r="R2279" s="196"/>
      <c r="S2279" s="196"/>
      <c r="T2279" s="196"/>
      <c r="U2279" s="196"/>
      <c r="V2279" s="196"/>
      <c r="W2279" s="196"/>
      <c r="X2279" s="196"/>
      <c r="Y2279" s="196"/>
      <c r="Z2279" s="196"/>
      <c r="AA2279" s="196"/>
      <c r="AB2279" s="196"/>
      <c r="AC2279" s="196"/>
      <c r="AD2279" s="196"/>
      <c r="AE2279" s="196"/>
      <c r="AF2279" s="196"/>
      <c r="AG2279" s="196"/>
      <c r="AH2279" s="196"/>
      <c r="AI2279" s="196"/>
      <c r="AJ2279" s="197"/>
      <c r="AK2279" s="80"/>
      <c r="AL2279" s="80"/>
      <c r="AM2279" s="73"/>
      <c r="AN2279" s="73"/>
      <c r="AO2279" s="73"/>
      <c r="AP2279" s="73"/>
      <c r="AQ2279" s="73"/>
      <c r="AR2279" s="73"/>
      <c r="AS2279" s="73"/>
      <c r="AT2279" s="73"/>
      <c r="AU2279" s="73"/>
      <c r="AV2279" s="73"/>
      <c r="AW2279" s="73"/>
      <c r="AX2279" s="73"/>
      <c r="AY2279" s="73"/>
      <c r="AZ2279" s="73"/>
      <c r="BA2279" s="73"/>
      <c r="BB2279" s="73"/>
      <c r="BC2279" s="73"/>
      <c r="BD2279" s="73"/>
      <c r="BE2279" s="73"/>
      <c r="BF2279" s="73"/>
      <c r="BG2279" s="73"/>
      <c r="BH2279" s="73"/>
      <c r="BI2279" s="73"/>
      <c r="BJ2279" s="73"/>
      <c r="BK2279" s="73"/>
      <c r="BL2279" s="73"/>
      <c r="BM2279" s="73"/>
      <c r="BN2279" s="73"/>
      <c r="BO2279" s="73"/>
      <c r="BP2279" s="73"/>
      <c r="BQ2279" s="73"/>
      <c r="BR2279" s="73"/>
      <c r="BS2279" s="73"/>
      <c r="BT2279" s="73"/>
      <c r="BU2279" s="73"/>
      <c r="BV2279" s="73"/>
      <c r="BW2279" s="73"/>
      <c r="BX2279" s="73"/>
      <c r="BY2279" s="73"/>
      <c r="BZ2279" s="73"/>
      <c r="CA2279" s="73"/>
      <c r="CB2279" s="73"/>
      <c r="CC2279" s="73"/>
      <c r="CD2279" s="73"/>
      <c r="CE2279" s="73"/>
      <c r="CF2279" s="73"/>
      <c r="CG2279" s="73"/>
      <c r="CH2279" s="73"/>
    </row>
    <row r="2280">
      <c r="A2280" s="80"/>
      <c r="B2280" s="80"/>
      <c r="C2280" s="80"/>
      <c r="D2280" s="80"/>
      <c r="E2280" s="124"/>
      <c r="F2280" s="80"/>
      <c r="G2280" s="80"/>
      <c r="H2280" s="80"/>
      <c r="I2280" s="80"/>
      <c r="J2280" s="196"/>
      <c r="K2280" s="196"/>
      <c r="L2280" s="196"/>
      <c r="M2280" s="196"/>
      <c r="N2280" s="196"/>
      <c r="O2280" s="196"/>
      <c r="P2280" s="196"/>
      <c r="Q2280" s="196"/>
      <c r="R2280" s="196"/>
      <c r="S2280" s="196"/>
      <c r="T2280" s="196"/>
      <c r="U2280" s="196"/>
      <c r="V2280" s="196"/>
      <c r="W2280" s="196"/>
      <c r="X2280" s="196"/>
      <c r="Y2280" s="196"/>
      <c r="Z2280" s="196"/>
      <c r="AA2280" s="196"/>
      <c r="AB2280" s="196"/>
      <c r="AC2280" s="196"/>
      <c r="AD2280" s="196"/>
      <c r="AE2280" s="196"/>
      <c r="AF2280" s="196"/>
      <c r="AG2280" s="196"/>
      <c r="AH2280" s="196"/>
      <c r="AI2280" s="196"/>
      <c r="AJ2280" s="197"/>
      <c r="AK2280" s="80"/>
      <c r="AL2280" s="80"/>
      <c r="AM2280" s="73"/>
      <c r="AN2280" s="73"/>
      <c r="AO2280" s="73"/>
      <c r="AP2280" s="73"/>
      <c r="AQ2280" s="73"/>
      <c r="AR2280" s="73"/>
      <c r="AS2280" s="73"/>
      <c r="AT2280" s="73"/>
      <c r="AU2280" s="73"/>
      <c r="AV2280" s="73"/>
      <c r="AW2280" s="73"/>
      <c r="AX2280" s="73"/>
      <c r="AY2280" s="73"/>
      <c r="AZ2280" s="73"/>
      <c r="BA2280" s="73"/>
      <c r="BB2280" s="73"/>
      <c r="BC2280" s="73"/>
      <c r="BD2280" s="73"/>
      <c r="BE2280" s="73"/>
      <c r="BF2280" s="73"/>
      <c r="BG2280" s="73"/>
      <c r="BH2280" s="73"/>
      <c r="BI2280" s="73"/>
      <c r="BJ2280" s="73"/>
      <c r="BK2280" s="73"/>
      <c r="BL2280" s="73"/>
      <c r="BM2280" s="73"/>
      <c r="BN2280" s="73"/>
      <c r="BO2280" s="73"/>
      <c r="BP2280" s="73"/>
      <c r="BQ2280" s="73"/>
      <c r="BR2280" s="73"/>
      <c r="BS2280" s="73"/>
      <c r="BT2280" s="73"/>
      <c r="BU2280" s="73"/>
      <c r="BV2280" s="73"/>
      <c r="BW2280" s="73"/>
      <c r="BX2280" s="73"/>
      <c r="BY2280" s="73"/>
      <c r="BZ2280" s="73"/>
      <c r="CA2280" s="73"/>
      <c r="CB2280" s="73"/>
      <c r="CC2280" s="73"/>
      <c r="CD2280" s="73"/>
      <c r="CE2280" s="73"/>
      <c r="CF2280" s="73"/>
      <c r="CG2280" s="73"/>
      <c r="CH2280" s="73"/>
    </row>
    <row r="2281">
      <c r="A2281" s="80"/>
      <c r="B2281" s="80"/>
      <c r="C2281" s="80"/>
      <c r="D2281" s="80"/>
      <c r="E2281" s="124"/>
      <c r="F2281" s="80"/>
      <c r="G2281" s="80"/>
      <c r="H2281" s="80"/>
      <c r="I2281" s="80"/>
      <c r="J2281" s="196"/>
      <c r="K2281" s="196"/>
      <c r="L2281" s="196"/>
      <c r="M2281" s="196"/>
      <c r="N2281" s="196"/>
      <c r="O2281" s="196"/>
      <c r="P2281" s="196"/>
      <c r="Q2281" s="196"/>
      <c r="R2281" s="196"/>
      <c r="S2281" s="196"/>
      <c r="T2281" s="196"/>
      <c r="U2281" s="196"/>
      <c r="V2281" s="196"/>
      <c r="W2281" s="196"/>
      <c r="X2281" s="196"/>
      <c r="Y2281" s="196"/>
      <c r="Z2281" s="196"/>
      <c r="AA2281" s="196"/>
      <c r="AB2281" s="196"/>
      <c r="AC2281" s="196"/>
      <c r="AD2281" s="196"/>
      <c r="AE2281" s="196"/>
      <c r="AF2281" s="196"/>
      <c r="AG2281" s="196"/>
      <c r="AH2281" s="196"/>
      <c r="AI2281" s="196"/>
      <c r="AJ2281" s="197"/>
      <c r="AK2281" s="80"/>
      <c r="AL2281" s="80"/>
      <c r="AM2281" s="73"/>
      <c r="AN2281" s="73"/>
      <c r="AO2281" s="73"/>
      <c r="AP2281" s="73"/>
      <c r="AQ2281" s="73"/>
      <c r="AR2281" s="73"/>
      <c r="AS2281" s="73"/>
      <c r="AT2281" s="73"/>
      <c r="AU2281" s="73"/>
      <c r="AV2281" s="73"/>
      <c r="AW2281" s="73"/>
      <c r="AX2281" s="73"/>
      <c r="AY2281" s="73"/>
      <c r="AZ2281" s="73"/>
      <c r="BA2281" s="73"/>
      <c r="BB2281" s="73"/>
      <c r="BC2281" s="73"/>
      <c r="BD2281" s="73"/>
      <c r="BE2281" s="73"/>
      <c r="BF2281" s="73"/>
      <c r="BG2281" s="73"/>
      <c r="BH2281" s="73"/>
      <c r="BI2281" s="73"/>
      <c r="BJ2281" s="73"/>
      <c r="BK2281" s="73"/>
      <c r="BL2281" s="73"/>
      <c r="BM2281" s="73"/>
      <c r="BN2281" s="73"/>
      <c r="BO2281" s="73"/>
      <c r="BP2281" s="73"/>
      <c r="BQ2281" s="73"/>
      <c r="BR2281" s="73"/>
      <c r="BS2281" s="73"/>
      <c r="BT2281" s="73"/>
      <c r="BU2281" s="73"/>
      <c r="BV2281" s="73"/>
      <c r="BW2281" s="73"/>
      <c r="BX2281" s="73"/>
      <c r="BY2281" s="73"/>
      <c r="BZ2281" s="73"/>
      <c r="CA2281" s="73"/>
      <c r="CB2281" s="73"/>
      <c r="CC2281" s="73"/>
      <c r="CD2281" s="73"/>
      <c r="CE2281" s="73"/>
      <c r="CF2281" s="73"/>
      <c r="CG2281" s="73"/>
      <c r="CH2281" s="73"/>
    </row>
    <row r="2282">
      <c r="A2282" s="80"/>
      <c r="B2282" s="80"/>
      <c r="C2282" s="80"/>
      <c r="D2282" s="80"/>
      <c r="E2282" s="124"/>
      <c r="F2282" s="80"/>
      <c r="G2282" s="80"/>
      <c r="H2282" s="80"/>
      <c r="I2282" s="80"/>
      <c r="J2282" s="196"/>
      <c r="K2282" s="196"/>
      <c r="L2282" s="196"/>
      <c r="M2282" s="196"/>
      <c r="N2282" s="196"/>
      <c r="O2282" s="196"/>
      <c r="P2282" s="196"/>
      <c r="Q2282" s="196"/>
      <c r="R2282" s="196"/>
      <c r="S2282" s="196"/>
      <c r="T2282" s="196"/>
      <c r="U2282" s="196"/>
      <c r="V2282" s="196"/>
      <c r="W2282" s="196"/>
      <c r="X2282" s="196"/>
      <c r="Y2282" s="196"/>
      <c r="Z2282" s="196"/>
      <c r="AA2282" s="196"/>
      <c r="AB2282" s="196"/>
      <c r="AC2282" s="196"/>
      <c r="AD2282" s="196"/>
      <c r="AE2282" s="196"/>
      <c r="AF2282" s="196"/>
      <c r="AG2282" s="196"/>
      <c r="AH2282" s="196"/>
      <c r="AI2282" s="196"/>
      <c r="AJ2282" s="197"/>
      <c r="AK2282" s="80"/>
      <c r="AL2282" s="80"/>
      <c r="AM2282" s="73"/>
      <c r="AN2282" s="73"/>
      <c r="AO2282" s="73"/>
      <c r="AP2282" s="73"/>
      <c r="AQ2282" s="73"/>
      <c r="AR2282" s="73"/>
      <c r="AS2282" s="73"/>
      <c r="AT2282" s="73"/>
      <c r="AU2282" s="73"/>
      <c r="AV2282" s="73"/>
      <c r="AW2282" s="73"/>
      <c r="AX2282" s="73"/>
      <c r="AY2282" s="73"/>
      <c r="AZ2282" s="73"/>
      <c r="BA2282" s="73"/>
      <c r="BB2282" s="73"/>
      <c r="BC2282" s="73"/>
      <c r="BD2282" s="73"/>
      <c r="BE2282" s="73"/>
      <c r="BF2282" s="73"/>
      <c r="BG2282" s="73"/>
      <c r="BH2282" s="73"/>
      <c r="BI2282" s="73"/>
      <c r="BJ2282" s="73"/>
      <c r="BK2282" s="73"/>
      <c r="BL2282" s="73"/>
      <c r="BM2282" s="73"/>
      <c r="BN2282" s="73"/>
      <c r="BO2282" s="73"/>
      <c r="BP2282" s="73"/>
      <c r="BQ2282" s="73"/>
      <c r="BR2282" s="73"/>
      <c r="BS2282" s="73"/>
      <c r="BT2282" s="73"/>
      <c r="BU2282" s="73"/>
      <c r="BV2282" s="73"/>
      <c r="BW2282" s="73"/>
      <c r="BX2282" s="73"/>
      <c r="BY2282" s="73"/>
      <c r="BZ2282" s="73"/>
      <c r="CA2282" s="73"/>
      <c r="CB2282" s="73"/>
      <c r="CC2282" s="73"/>
      <c r="CD2282" s="73"/>
      <c r="CE2282" s="73"/>
      <c r="CF2282" s="73"/>
      <c r="CG2282" s="73"/>
      <c r="CH2282" s="73"/>
    </row>
    <row r="2283">
      <c r="A2283" s="80"/>
      <c r="B2283" s="80"/>
      <c r="C2283" s="80"/>
      <c r="D2283" s="80"/>
      <c r="E2283" s="124"/>
      <c r="F2283" s="80"/>
      <c r="G2283" s="80"/>
      <c r="H2283" s="80"/>
      <c r="I2283" s="80"/>
      <c r="J2283" s="196"/>
      <c r="K2283" s="196"/>
      <c r="L2283" s="196"/>
      <c r="M2283" s="196"/>
      <c r="N2283" s="196"/>
      <c r="O2283" s="196"/>
      <c r="P2283" s="196"/>
      <c r="Q2283" s="196"/>
      <c r="R2283" s="196"/>
      <c r="S2283" s="196"/>
      <c r="T2283" s="196"/>
      <c r="U2283" s="196"/>
      <c r="V2283" s="196"/>
      <c r="W2283" s="196"/>
      <c r="X2283" s="196"/>
      <c r="Y2283" s="196"/>
      <c r="Z2283" s="196"/>
      <c r="AA2283" s="196"/>
      <c r="AB2283" s="196"/>
      <c r="AC2283" s="196"/>
      <c r="AD2283" s="196"/>
      <c r="AE2283" s="196"/>
      <c r="AF2283" s="196"/>
      <c r="AG2283" s="196"/>
      <c r="AH2283" s="196"/>
      <c r="AI2283" s="196"/>
      <c r="AJ2283" s="197"/>
      <c r="AK2283" s="80"/>
      <c r="AL2283" s="80"/>
      <c r="AM2283" s="73"/>
      <c r="AN2283" s="73"/>
      <c r="AO2283" s="73"/>
      <c r="AP2283" s="73"/>
      <c r="AQ2283" s="73"/>
      <c r="AR2283" s="73"/>
      <c r="AS2283" s="73"/>
      <c r="AT2283" s="73"/>
      <c r="AU2283" s="73"/>
      <c r="AV2283" s="73"/>
      <c r="AW2283" s="73"/>
      <c r="AX2283" s="73"/>
      <c r="AY2283" s="73"/>
      <c r="AZ2283" s="73"/>
      <c r="BA2283" s="73"/>
      <c r="BB2283" s="73"/>
      <c r="BC2283" s="73"/>
      <c r="BD2283" s="73"/>
      <c r="BE2283" s="73"/>
      <c r="BF2283" s="73"/>
      <c r="BG2283" s="73"/>
      <c r="BH2283" s="73"/>
      <c r="BI2283" s="73"/>
      <c r="BJ2283" s="73"/>
      <c r="BK2283" s="73"/>
      <c r="BL2283" s="73"/>
      <c r="BM2283" s="73"/>
      <c r="BN2283" s="73"/>
      <c r="BO2283" s="73"/>
      <c r="BP2283" s="73"/>
      <c r="BQ2283" s="73"/>
      <c r="BR2283" s="73"/>
      <c r="BS2283" s="73"/>
      <c r="BT2283" s="73"/>
      <c r="BU2283" s="73"/>
      <c r="BV2283" s="73"/>
      <c r="BW2283" s="73"/>
      <c r="BX2283" s="73"/>
      <c r="BY2283" s="73"/>
      <c r="BZ2283" s="73"/>
      <c r="CA2283" s="73"/>
      <c r="CB2283" s="73"/>
      <c r="CC2283" s="73"/>
      <c r="CD2283" s="73"/>
      <c r="CE2283" s="73"/>
      <c r="CF2283" s="73"/>
      <c r="CG2283" s="73"/>
      <c r="CH2283" s="73"/>
    </row>
    <row r="2284">
      <c r="A2284" s="80"/>
      <c r="B2284" s="80"/>
      <c r="C2284" s="80"/>
      <c r="D2284" s="80"/>
      <c r="E2284" s="124"/>
      <c r="F2284" s="80"/>
      <c r="G2284" s="80"/>
      <c r="H2284" s="80"/>
      <c r="I2284" s="80"/>
      <c r="J2284" s="196"/>
      <c r="K2284" s="196"/>
      <c r="L2284" s="196"/>
      <c r="M2284" s="196"/>
      <c r="N2284" s="196"/>
      <c r="O2284" s="196"/>
      <c r="P2284" s="196"/>
      <c r="Q2284" s="196"/>
      <c r="R2284" s="196"/>
      <c r="S2284" s="196"/>
      <c r="T2284" s="196"/>
      <c r="U2284" s="196"/>
      <c r="V2284" s="196"/>
      <c r="W2284" s="196"/>
      <c r="X2284" s="196"/>
      <c r="Y2284" s="196"/>
      <c r="Z2284" s="196"/>
      <c r="AA2284" s="196"/>
      <c r="AB2284" s="196"/>
      <c r="AC2284" s="196"/>
      <c r="AD2284" s="196"/>
      <c r="AE2284" s="196"/>
      <c r="AF2284" s="196"/>
      <c r="AG2284" s="196"/>
      <c r="AH2284" s="196"/>
      <c r="AI2284" s="196"/>
      <c r="AJ2284" s="197"/>
      <c r="AK2284" s="80"/>
      <c r="AL2284" s="80"/>
      <c r="AM2284" s="73"/>
      <c r="AN2284" s="73"/>
      <c r="AO2284" s="73"/>
      <c r="AP2284" s="73"/>
      <c r="AQ2284" s="73"/>
      <c r="AR2284" s="73"/>
      <c r="AS2284" s="73"/>
      <c r="AT2284" s="73"/>
      <c r="AU2284" s="73"/>
      <c r="AV2284" s="73"/>
      <c r="AW2284" s="73"/>
      <c r="AX2284" s="73"/>
      <c r="AY2284" s="73"/>
      <c r="AZ2284" s="73"/>
      <c r="BA2284" s="73"/>
      <c r="BB2284" s="73"/>
      <c r="BC2284" s="73"/>
      <c r="BD2284" s="73"/>
      <c r="BE2284" s="73"/>
      <c r="BF2284" s="73"/>
      <c r="BG2284" s="73"/>
      <c r="BH2284" s="73"/>
      <c r="BI2284" s="73"/>
      <c r="BJ2284" s="73"/>
      <c r="BK2284" s="73"/>
      <c r="BL2284" s="73"/>
      <c r="BM2284" s="73"/>
      <c r="BN2284" s="73"/>
      <c r="BO2284" s="73"/>
      <c r="BP2284" s="73"/>
      <c r="BQ2284" s="73"/>
      <c r="BR2284" s="73"/>
      <c r="BS2284" s="73"/>
      <c r="BT2284" s="73"/>
      <c r="BU2284" s="73"/>
      <c r="BV2284" s="73"/>
      <c r="BW2284" s="73"/>
      <c r="BX2284" s="73"/>
      <c r="BY2284" s="73"/>
      <c r="BZ2284" s="73"/>
      <c r="CA2284" s="73"/>
      <c r="CB2284" s="73"/>
      <c r="CC2284" s="73"/>
      <c r="CD2284" s="73"/>
      <c r="CE2284" s="73"/>
      <c r="CF2284" s="73"/>
      <c r="CG2284" s="73"/>
      <c r="CH2284" s="73"/>
    </row>
    <row r="2285">
      <c r="A2285" s="80"/>
      <c r="B2285" s="80"/>
      <c r="C2285" s="80"/>
      <c r="D2285" s="80"/>
      <c r="E2285" s="124"/>
      <c r="F2285" s="80"/>
      <c r="G2285" s="80"/>
      <c r="H2285" s="80"/>
      <c r="I2285" s="80"/>
      <c r="J2285" s="196"/>
      <c r="K2285" s="196"/>
      <c r="L2285" s="196"/>
      <c r="M2285" s="196"/>
      <c r="N2285" s="196"/>
      <c r="O2285" s="196"/>
      <c r="P2285" s="196"/>
      <c r="Q2285" s="196"/>
      <c r="R2285" s="196"/>
      <c r="S2285" s="196"/>
      <c r="T2285" s="196"/>
      <c r="U2285" s="196"/>
      <c r="V2285" s="196"/>
      <c r="W2285" s="196"/>
      <c r="X2285" s="196"/>
      <c r="Y2285" s="196"/>
      <c r="Z2285" s="196"/>
      <c r="AA2285" s="196"/>
      <c r="AB2285" s="196"/>
      <c r="AC2285" s="196"/>
      <c r="AD2285" s="196"/>
      <c r="AE2285" s="196"/>
      <c r="AF2285" s="196"/>
      <c r="AG2285" s="196"/>
      <c r="AH2285" s="196"/>
      <c r="AI2285" s="196"/>
      <c r="AJ2285" s="197"/>
      <c r="AK2285" s="80"/>
      <c r="AL2285" s="80"/>
      <c r="AM2285" s="73"/>
      <c r="AN2285" s="73"/>
      <c r="AO2285" s="73"/>
      <c r="AP2285" s="73"/>
      <c r="AQ2285" s="73"/>
      <c r="AR2285" s="73"/>
      <c r="AS2285" s="73"/>
      <c r="AT2285" s="73"/>
      <c r="AU2285" s="73"/>
      <c r="AV2285" s="73"/>
      <c r="AW2285" s="73"/>
      <c r="AX2285" s="73"/>
      <c r="AY2285" s="73"/>
      <c r="AZ2285" s="73"/>
      <c r="BA2285" s="73"/>
      <c r="BB2285" s="73"/>
      <c r="BC2285" s="73"/>
      <c r="BD2285" s="73"/>
      <c r="BE2285" s="73"/>
      <c r="BF2285" s="73"/>
      <c r="BG2285" s="73"/>
      <c r="BH2285" s="73"/>
      <c r="BI2285" s="73"/>
      <c r="BJ2285" s="73"/>
      <c r="BK2285" s="73"/>
      <c r="BL2285" s="73"/>
      <c r="BM2285" s="73"/>
      <c r="BN2285" s="73"/>
      <c r="BO2285" s="73"/>
      <c r="BP2285" s="73"/>
      <c r="BQ2285" s="73"/>
      <c r="BR2285" s="73"/>
      <c r="BS2285" s="73"/>
      <c r="BT2285" s="73"/>
      <c r="BU2285" s="73"/>
      <c r="BV2285" s="73"/>
      <c r="BW2285" s="73"/>
      <c r="BX2285" s="73"/>
      <c r="BY2285" s="73"/>
      <c r="BZ2285" s="73"/>
      <c r="CA2285" s="73"/>
      <c r="CB2285" s="73"/>
      <c r="CC2285" s="73"/>
      <c r="CD2285" s="73"/>
      <c r="CE2285" s="73"/>
      <c r="CF2285" s="73"/>
      <c r="CG2285" s="73"/>
      <c r="CH2285" s="73"/>
    </row>
    <row r="2286">
      <c r="A2286" s="80"/>
      <c r="B2286" s="80"/>
      <c r="C2286" s="80"/>
      <c r="D2286" s="80"/>
      <c r="E2286" s="124"/>
      <c r="F2286" s="80"/>
      <c r="G2286" s="80"/>
      <c r="H2286" s="80"/>
      <c r="I2286" s="80"/>
      <c r="J2286" s="196"/>
      <c r="K2286" s="196"/>
      <c r="L2286" s="196"/>
      <c r="M2286" s="196"/>
      <c r="N2286" s="196"/>
      <c r="O2286" s="196"/>
      <c r="P2286" s="196"/>
      <c r="Q2286" s="196"/>
      <c r="R2286" s="196"/>
      <c r="S2286" s="196"/>
      <c r="T2286" s="196"/>
      <c r="U2286" s="196"/>
      <c r="V2286" s="196"/>
      <c r="W2286" s="196"/>
      <c r="X2286" s="196"/>
      <c r="Y2286" s="196"/>
      <c r="Z2286" s="196"/>
      <c r="AA2286" s="196"/>
      <c r="AB2286" s="196"/>
      <c r="AC2286" s="196"/>
      <c r="AD2286" s="196"/>
      <c r="AE2286" s="196"/>
      <c r="AF2286" s="196"/>
      <c r="AG2286" s="196"/>
      <c r="AH2286" s="196"/>
      <c r="AI2286" s="196"/>
      <c r="AJ2286" s="197"/>
      <c r="AK2286" s="80"/>
      <c r="AL2286" s="80"/>
      <c r="AM2286" s="73"/>
      <c r="AN2286" s="73"/>
      <c r="AO2286" s="73"/>
      <c r="AP2286" s="73"/>
      <c r="AQ2286" s="73"/>
      <c r="AR2286" s="73"/>
      <c r="AS2286" s="73"/>
      <c r="AT2286" s="73"/>
      <c r="AU2286" s="73"/>
      <c r="AV2286" s="73"/>
      <c r="AW2286" s="73"/>
      <c r="AX2286" s="73"/>
      <c r="AY2286" s="73"/>
      <c r="AZ2286" s="73"/>
      <c r="BA2286" s="73"/>
      <c r="BB2286" s="73"/>
      <c r="BC2286" s="73"/>
      <c r="BD2286" s="73"/>
      <c r="BE2286" s="73"/>
      <c r="BF2286" s="73"/>
      <c r="BG2286" s="73"/>
      <c r="BH2286" s="73"/>
      <c r="BI2286" s="73"/>
      <c r="BJ2286" s="73"/>
      <c r="BK2286" s="73"/>
      <c r="BL2286" s="73"/>
      <c r="BM2286" s="73"/>
      <c r="BN2286" s="73"/>
      <c r="BO2286" s="73"/>
      <c r="BP2286" s="73"/>
      <c r="BQ2286" s="73"/>
      <c r="BR2286" s="73"/>
      <c r="BS2286" s="73"/>
      <c r="BT2286" s="73"/>
      <c r="BU2286" s="73"/>
      <c r="BV2286" s="73"/>
      <c r="BW2286" s="73"/>
      <c r="BX2286" s="73"/>
      <c r="BY2286" s="73"/>
      <c r="BZ2286" s="73"/>
      <c r="CA2286" s="73"/>
      <c r="CB2286" s="73"/>
      <c r="CC2286" s="73"/>
      <c r="CD2286" s="73"/>
      <c r="CE2286" s="73"/>
      <c r="CF2286" s="73"/>
      <c r="CG2286" s="73"/>
      <c r="CH2286" s="73"/>
    </row>
    <row r="2287">
      <c r="A2287" s="80"/>
      <c r="B2287" s="80"/>
      <c r="C2287" s="80"/>
      <c r="D2287" s="80"/>
      <c r="E2287" s="124"/>
      <c r="F2287" s="80"/>
      <c r="G2287" s="80"/>
      <c r="H2287" s="80"/>
      <c r="I2287" s="80"/>
      <c r="J2287" s="196"/>
      <c r="K2287" s="196"/>
      <c r="L2287" s="196"/>
      <c r="M2287" s="196"/>
      <c r="N2287" s="196"/>
      <c r="O2287" s="196"/>
      <c r="P2287" s="196"/>
      <c r="Q2287" s="196"/>
      <c r="R2287" s="196"/>
      <c r="S2287" s="196"/>
      <c r="T2287" s="196"/>
      <c r="U2287" s="196"/>
      <c r="V2287" s="196"/>
      <c r="W2287" s="196"/>
      <c r="X2287" s="196"/>
      <c r="Y2287" s="196"/>
      <c r="Z2287" s="196"/>
      <c r="AA2287" s="196"/>
      <c r="AB2287" s="196"/>
      <c r="AC2287" s="196"/>
      <c r="AD2287" s="196"/>
      <c r="AE2287" s="196"/>
      <c r="AF2287" s="196"/>
      <c r="AG2287" s="196"/>
      <c r="AH2287" s="196"/>
      <c r="AI2287" s="196"/>
      <c r="AJ2287" s="197"/>
      <c r="AK2287" s="80"/>
      <c r="AL2287" s="80"/>
      <c r="AM2287" s="73"/>
      <c r="AN2287" s="73"/>
      <c r="AO2287" s="73"/>
      <c r="AP2287" s="73"/>
      <c r="AQ2287" s="73"/>
      <c r="AR2287" s="73"/>
      <c r="AS2287" s="73"/>
      <c r="AT2287" s="73"/>
      <c r="AU2287" s="73"/>
      <c r="AV2287" s="73"/>
      <c r="AW2287" s="73"/>
      <c r="AX2287" s="73"/>
      <c r="AY2287" s="73"/>
      <c r="AZ2287" s="73"/>
      <c r="BA2287" s="73"/>
      <c r="BB2287" s="73"/>
      <c r="BC2287" s="73"/>
      <c r="BD2287" s="73"/>
      <c r="BE2287" s="73"/>
      <c r="BF2287" s="73"/>
      <c r="BG2287" s="73"/>
      <c r="BH2287" s="73"/>
      <c r="BI2287" s="73"/>
      <c r="BJ2287" s="73"/>
      <c r="BK2287" s="73"/>
      <c r="BL2287" s="73"/>
      <c r="BM2287" s="73"/>
      <c r="BN2287" s="73"/>
      <c r="BO2287" s="73"/>
      <c r="BP2287" s="73"/>
      <c r="BQ2287" s="73"/>
      <c r="BR2287" s="73"/>
      <c r="BS2287" s="73"/>
      <c r="BT2287" s="73"/>
      <c r="BU2287" s="73"/>
      <c r="BV2287" s="73"/>
      <c r="BW2287" s="73"/>
      <c r="BX2287" s="73"/>
      <c r="BY2287" s="73"/>
      <c r="BZ2287" s="73"/>
      <c r="CA2287" s="73"/>
      <c r="CB2287" s="73"/>
      <c r="CC2287" s="73"/>
      <c r="CD2287" s="73"/>
      <c r="CE2287" s="73"/>
      <c r="CF2287" s="73"/>
      <c r="CG2287" s="73"/>
      <c r="CH2287" s="73"/>
    </row>
    <row r="2288">
      <c r="A2288" s="80"/>
      <c r="B2288" s="80"/>
      <c r="C2288" s="80"/>
      <c r="D2288" s="80"/>
      <c r="E2288" s="124"/>
      <c r="F2288" s="80"/>
      <c r="G2288" s="80"/>
      <c r="H2288" s="80"/>
      <c r="I2288" s="80"/>
      <c r="J2288" s="196"/>
      <c r="K2288" s="196"/>
      <c r="L2288" s="196"/>
      <c r="M2288" s="196"/>
      <c r="N2288" s="196"/>
      <c r="O2288" s="196"/>
      <c r="P2288" s="196"/>
      <c r="Q2288" s="196"/>
      <c r="R2288" s="196"/>
      <c r="S2288" s="196"/>
      <c r="T2288" s="196"/>
      <c r="U2288" s="196"/>
      <c r="V2288" s="196"/>
      <c r="W2288" s="196"/>
      <c r="X2288" s="196"/>
      <c r="Y2288" s="196"/>
      <c r="Z2288" s="196"/>
      <c r="AA2288" s="196"/>
      <c r="AB2288" s="196"/>
      <c r="AC2288" s="196"/>
      <c r="AD2288" s="196"/>
      <c r="AE2288" s="196"/>
      <c r="AF2288" s="196"/>
      <c r="AG2288" s="196"/>
      <c r="AH2288" s="196"/>
      <c r="AI2288" s="196"/>
      <c r="AJ2288" s="197"/>
      <c r="AK2288" s="80"/>
      <c r="AL2288" s="80"/>
      <c r="AM2288" s="73"/>
      <c r="AN2288" s="73"/>
      <c r="AO2288" s="73"/>
      <c r="AP2288" s="73"/>
      <c r="AQ2288" s="73"/>
      <c r="AR2288" s="73"/>
      <c r="AS2288" s="73"/>
      <c r="AT2288" s="73"/>
      <c r="AU2288" s="73"/>
      <c r="AV2288" s="73"/>
      <c r="AW2288" s="73"/>
      <c r="AX2288" s="73"/>
      <c r="AY2288" s="73"/>
      <c r="AZ2288" s="73"/>
      <c r="BA2288" s="73"/>
      <c r="BB2288" s="73"/>
      <c r="BC2288" s="73"/>
      <c r="BD2288" s="73"/>
      <c r="BE2288" s="73"/>
      <c r="BF2288" s="73"/>
      <c r="BG2288" s="73"/>
      <c r="BH2288" s="73"/>
      <c r="BI2288" s="73"/>
      <c r="BJ2288" s="73"/>
      <c r="BK2288" s="73"/>
      <c r="BL2288" s="73"/>
      <c r="BM2288" s="73"/>
      <c r="BN2288" s="73"/>
      <c r="BO2288" s="73"/>
      <c r="BP2288" s="73"/>
      <c r="BQ2288" s="73"/>
      <c r="BR2288" s="73"/>
      <c r="BS2288" s="73"/>
      <c r="BT2288" s="73"/>
      <c r="BU2288" s="73"/>
      <c r="BV2288" s="73"/>
      <c r="BW2288" s="73"/>
      <c r="BX2288" s="73"/>
      <c r="BY2288" s="73"/>
      <c r="BZ2288" s="73"/>
      <c r="CA2288" s="73"/>
      <c r="CB2288" s="73"/>
      <c r="CC2288" s="73"/>
      <c r="CD2288" s="73"/>
      <c r="CE2288" s="73"/>
      <c r="CF2288" s="73"/>
      <c r="CG2288" s="73"/>
      <c r="CH2288" s="73"/>
    </row>
    <row r="2289">
      <c r="A2289" s="80"/>
      <c r="B2289" s="80"/>
      <c r="C2289" s="80"/>
      <c r="D2289" s="80"/>
      <c r="E2289" s="124"/>
      <c r="F2289" s="80"/>
      <c r="G2289" s="80"/>
      <c r="H2289" s="80"/>
      <c r="I2289" s="80"/>
      <c r="J2289" s="196"/>
      <c r="K2289" s="196"/>
      <c r="L2289" s="196"/>
      <c r="M2289" s="196"/>
      <c r="N2289" s="196"/>
      <c r="O2289" s="196"/>
      <c r="P2289" s="196"/>
      <c r="Q2289" s="196"/>
      <c r="R2289" s="196"/>
      <c r="S2289" s="196"/>
      <c r="T2289" s="196"/>
      <c r="U2289" s="196"/>
      <c r="V2289" s="196"/>
      <c r="W2289" s="196"/>
      <c r="X2289" s="196"/>
      <c r="Y2289" s="196"/>
      <c r="Z2289" s="196"/>
      <c r="AA2289" s="196"/>
      <c r="AB2289" s="196"/>
      <c r="AC2289" s="196"/>
      <c r="AD2289" s="196"/>
      <c r="AE2289" s="196"/>
      <c r="AF2289" s="196"/>
      <c r="AG2289" s="196"/>
      <c r="AH2289" s="196"/>
      <c r="AI2289" s="196"/>
      <c r="AJ2289" s="197"/>
      <c r="AK2289" s="80"/>
      <c r="AL2289" s="80"/>
      <c r="AM2289" s="73"/>
      <c r="AN2289" s="73"/>
      <c r="AO2289" s="73"/>
      <c r="AP2289" s="73"/>
      <c r="AQ2289" s="73"/>
      <c r="AR2289" s="73"/>
      <c r="AS2289" s="73"/>
      <c r="AT2289" s="73"/>
      <c r="AU2289" s="73"/>
      <c r="AV2289" s="73"/>
      <c r="AW2289" s="73"/>
      <c r="AX2289" s="73"/>
      <c r="AY2289" s="73"/>
      <c r="AZ2289" s="73"/>
      <c r="BA2289" s="73"/>
      <c r="BB2289" s="73"/>
      <c r="BC2289" s="73"/>
      <c r="BD2289" s="73"/>
      <c r="BE2289" s="73"/>
      <c r="BF2289" s="73"/>
      <c r="BG2289" s="73"/>
      <c r="BH2289" s="73"/>
      <c r="BI2289" s="73"/>
      <c r="BJ2289" s="73"/>
      <c r="BK2289" s="73"/>
      <c r="BL2289" s="73"/>
      <c r="BM2289" s="73"/>
      <c r="BN2289" s="73"/>
      <c r="BO2289" s="73"/>
      <c r="BP2289" s="73"/>
      <c r="BQ2289" s="73"/>
      <c r="BR2289" s="73"/>
      <c r="BS2289" s="73"/>
      <c r="BT2289" s="73"/>
      <c r="BU2289" s="73"/>
      <c r="BV2289" s="73"/>
      <c r="BW2289" s="73"/>
      <c r="BX2289" s="73"/>
      <c r="BY2289" s="73"/>
      <c r="BZ2289" s="73"/>
      <c r="CA2289" s="73"/>
      <c r="CB2289" s="73"/>
      <c r="CC2289" s="73"/>
      <c r="CD2289" s="73"/>
      <c r="CE2289" s="73"/>
      <c r="CF2289" s="73"/>
      <c r="CG2289" s="73"/>
      <c r="CH2289" s="73"/>
    </row>
    <row r="2290">
      <c r="A2290" s="80"/>
      <c r="B2290" s="80"/>
      <c r="C2290" s="80"/>
      <c r="D2290" s="80"/>
      <c r="E2290" s="124"/>
      <c r="F2290" s="80"/>
      <c r="G2290" s="80"/>
      <c r="H2290" s="80"/>
      <c r="I2290" s="80"/>
      <c r="J2290" s="196"/>
      <c r="K2290" s="196"/>
      <c r="L2290" s="196"/>
      <c r="M2290" s="196"/>
      <c r="N2290" s="196"/>
      <c r="O2290" s="196"/>
      <c r="P2290" s="196"/>
      <c r="Q2290" s="196"/>
      <c r="R2290" s="196"/>
      <c r="S2290" s="196"/>
      <c r="T2290" s="196"/>
      <c r="U2290" s="196"/>
      <c r="V2290" s="196"/>
      <c r="W2290" s="196"/>
      <c r="X2290" s="196"/>
      <c r="Y2290" s="196"/>
      <c r="Z2290" s="196"/>
      <c r="AA2290" s="196"/>
      <c r="AB2290" s="196"/>
      <c r="AC2290" s="196"/>
      <c r="AD2290" s="196"/>
      <c r="AE2290" s="196"/>
      <c r="AF2290" s="196"/>
      <c r="AG2290" s="196"/>
      <c r="AH2290" s="196"/>
      <c r="AI2290" s="196"/>
      <c r="AJ2290" s="197"/>
      <c r="AK2290" s="80"/>
      <c r="AL2290" s="80"/>
      <c r="AM2290" s="73"/>
      <c r="AN2290" s="73"/>
      <c r="AO2290" s="73"/>
      <c r="AP2290" s="73"/>
      <c r="AQ2290" s="73"/>
      <c r="AR2290" s="73"/>
      <c r="AS2290" s="73"/>
      <c r="AT2290" s="73"/>
      <c r="AU2290" s="73"/>
      <c r="AV2290" s="73"/>
      <c r="AW2290" s="73"/>
      <c r="AX2290" s="73"/>
      <c r="AY2290" s="73"/>
      <c r="AZ2290" s="73"/>
      <c r="BA2290" s="73"/>
      <c r="BB2290" s="73"/>
      <c r="BC2290" s="73"/>
      <c r="BD2290" s="73"/>
      <c r="BE2290" s="73"/>
      <c r="BF2290" s="73"/>
      <c r="BG2290" s="73"/>
      <c r="BH2290" s="73"/>
      <c r="BI2290" s="73"/>
      <c r="BJ2290" s="73"/>
      <c r="BK2290" s="73"/>
      <c r="BL2290" s="73"/>
      <c r="BM2290" s="73"/>
      <c r="BN2290" s="73"/>
      <c r="BO2290" s="73"/>
      <c r="BP2290" s="73"/>
      <c r="BQ2290" s="73"/>
      <c r="BR2290" s="73"/>
      <c r="BS2290" s="73"/>
      <c r="BT2290" s="73"/>
      <c r="BU2290" s="73"/>
      <c r="BV2290" s="73"/>
      <c r="BW2290" s="73"/>
      <c r="BX2290" s="73"/>
      <c r="BY2290" s="73"/>
      <c r="BZ2290" s="73"/>
      <c r="CA2290" s="73"/>
      <c r="CB2290" s="73"/>
      <c r="CC2290" s="73"/>
      <c r="CD2290" s="73"/>
      <c r="CE2290" s="73"/>
      <c r="CF2290" s="73"/>
      <c r="CG2290" s="73"/>
      <c r="CH2290" s="73"/>
    </row>
    <row r="2291">
      <c r="A2291" s="80"/>
      <c r="B2291" s="80"/>
      <c r="C2291" s="80"/>
      <c r="D2291" s="80"/>
      <c r="E2291" s="124"/>
      <c r="F2291" s="80"/>
      <c r="G2291" s="80"/>
      <c r="H2291" s="80"/>
      <c r="I2291" s="80"/>
      <c r="J2291" s="196"/>
      <c r="K2291" s="196"/>
      <c r="L2291" s="196"/>
      <c r="M2291" s="196"/>
      <c r="N2291" s="196"/>
      <c r="O2291" s="196"/>
      <c r="P2291" s="196"/>
      <c r="Q2291" s="196"/>
      <c r="R2291" s="196"/>
      <c r="S2291" s="196"/>
      <c r="T2291" s="196"/>
      <c r="U2291" s="196"/>
      <c r="V2291" s="196"/>
      <c r="W2291" s="196"/>
      <c r="X2291" s="196"/>
      <c r="Y2291" s="196"/>
      <c r="Z2291" s="196"/>
      <c r="AA2291" s="196"/>
      <c r="AB2291" s="196"/>
      <c r="AC2291" s="196"/>
      <c r="AD2291" s="196"/>
      <c r="AE2291" s="196"/>
      <c r="AF2291" s="196"/>
      <c r="AG2291" s="196"/>
      <c r="AH2291" s="196"/>
      <c r="AI2291" s="196"/>
      <c r="AJ2291" s="197"/>
      <c r="AK2291" s="80"/>
      <c r="AL2291" s="80"/>
      <c r="AM2291" s="73"/>
      <c r="AN2291" s="73"/>
      <c r="AO2291" s="73"/>
      <c r="AP2291" s="73"/>
      <c r="AQ2291" s="73"/>
      <c r="AR2291" s="73"/>
      <c r="AS2291" s="73"/>
      <c r="AT2291" s="73"/>
      <c r="AU2291" s="73"/>
      <c r="AV2291" s="73"/>
      <c r="AW2291" s="73"/>
      <c r="AX2291" s="73"/>
      <c r="AY2291" s="73"/>
      <c r="AZ2291" s="73"/>
      <c r="BA2291" s="73"/>
      <c r="BB2291" s="73"/>
      <c r="BC2291" s="73"/>
      <c r="BD2291" s="73"/>
      <c r="BE2291" s="73"/>
      <c r="BF2291" s="73"/>
      <c r="BG2291" s="73"/>
      <c r="BH2291" s="73"/>
      <c r="BI2291" s="73"/>
      <c r="BJ2291" s="73"/>
      <c r="BK2291" s="73"/>
      <c r="BL2291" s="73"/>
      <c r="BM2291" s="73"/>
      <c r="BN2291" s="73"/>
      <c r="BO2291" s="73"/>
      <c r="BP2291" s="73"/>
      <c r="BQ2291" s="73"/>
      <c r="BR2291" s="73"/>
      <c r="BS2291" s="73"/>
      <c r="BT2291" s="73"/>
      <c r="BU2291" s="73"/>
      <c r="BV2291" s="73"/>
      <c r="BW2291" s="73"/>
      <c r="BX2291" s="73"/>
      <c r="BY2291" s="73"/>
      <c r="BZ2291" s="73"/>
      <c r="CA2291" s="73"/>
      <c r="CB2291" s="73"/>
      <c r="CC2291" s="73"/>
      <c r="CD2291" s="73"/>
      <c r="CE2291" s="73"/>
      <c r="CF2291" s="73"/>
      <c r="CG2291" s="73"/>
      <c r="CH2291" s="73"/>
    </row>
    <row r="2292">
      <c r="A2292" s="80"/>
      <c r="B2292" s="80"/>
      <c r="C2292" s="80"/>
      <c r="D2292" s="80"/>
      <c r="E2292" s="124"/>
      <c r="F2292" s="80"/>
      <c r="G2292" s="80"/>
      <c r="H2292" s="80"/>
      <c r="I2292" s="80"/>
      <c r="J2292" s="196"/>
      <c r="K2292" s="196"/>
      <c r="L2292" s="196"/>
      <c r="M2292" s="196"/>
      <c r="N2292" s="196"/>
      <c r="O2292" s="196"/>
      <c r="P2292" s="196"/>
      <c r="Q2292" s="196"/>
      <c r="R2292" s="196"/>
      <c r="S2292" s="196"/>
      <c r="T2292" s="196"/>
      <c r="U2292" s="196"/>
      <c r="V2292" s="196"/>
      <c r="W2292" s="196"/>
      <c r="X2292" s="196"/>
      <c r="Y2292" s="196"/>
      <c r="Z2292" s="196"/>
      <c r="AA2292" s="196"/>
      <c r="AB2292" s="196"/>
      <c r="AC2292" s="196"/>
      <c r="AD2292" s="196"/>
      <c r="AE2292" s="196"/>
      <c r="AF2292" s="196"/>
      <c r="AG2292" s="196"/>
      <c r="AH2292" s="196"/>
      <c r="AI2292" s="196"/>
      <c r="AJ2292" s="197"/>
      <c r="AK2292" s="80"/>
      <c r="AL2292" s="80"/>
      <c r="AM2292" s="73"/>
      <c r="AN2292" s="73"/>
      <c r="AO2292" s="73"/>
      <c r="AP2292" s="73"/>
      <c r="AQ2292" s="73"/>
      <c r="AR2292" s="73"/>
      <c r="AS2292" s="73"/>
      <c r="AT2292" s="73"/>
      <c r="AU2292" s="73"/>
      <c r="AV2292" s="73"/>
      <c r="AW2292" s="73"/>
      <c r="AX2292" s="73"/>
      <c r="AY2292" s="73"/>
      <c r="AZ2292" s="73"/>
      <c r="BA2292" s="73"/>
      <c r="BB2292" s="73"/>
      <c r="BC2292" s="73"/>
      <c r="BD2292" s="73"/>
      <c r="BE2292" s="73"/>
      <c r="BF2292" s="73"/>
      <c r="BG2292" s="73"/>
      <c r="BH2292" s="73"/>
      <c r="BI2292" s="73"/>
      <c r="BJ2292" s="73"/>
      <c r="BK2292" s="73"/>
      <c r="BL2292" s="73"/>
      <c r="BM2292" s="73"/>
      <c r="BN2292" s="73"/>
      <c r="BO2292" s="73"/>
      <c r="BP2292" s="73"/>
      <c r="BQ2292" s="73"/>
      <c r="BR2292" s="73"/>
      <c r="BS2292" s="73"/>
      <c r="BT2292" s="73"/>
      <c r="BU2292" s="73"/>
      <c r="BV2292" s="73"/>
      <c r="BW2292" s="73"/>
      <c r="BX2292" s="73"/>
      <c r="BY2292" s="73"/>
      <c r="BZ2292" s="73"/>
      <c r="CA2292" s="73"/>
      <c r="CB2292" s="73"/>
      <c r="CC2292" s="73"/>
      <c r="CD2292" s="73"/>
      <c r="CE2292" s="73"/>
      <c r="CF2292" s="73"/>
      <c r="CG2292" s="73"/>
      <c r="CH2292" s="73"/>
    </row>
    <row r="2293">
      <c r="A2293" s="80"/>
      <c r="B2293" s="80"/>
      <c r="C2293" s="80"/>
      <c r="D2293" s="80"/>
      <c r="E2293" s="124"/>
      <c r="F2293" s="80"/>
      <c r="G2293" s="80"/>
      <c r="H2293" s="80"/>
      <c r="I2293" s="80"/>
      <c r="J2293" s="196"/>
      <c r="K2293" s="196"/>
      <c r="L2293" s="196"/>
      <c r="M2293" s="196"/>
      <c r="N2293" s="196"/>
      <c r="O2293" s="196"/>
      <c r="P2293" s="196"/>
      <c r="Q2293" s="196"/>
      <c r="R2293" s="196"/>
      <c r="S2293" s="196"/>
      <c r="T2293" s="196"/>
      <c r="U2293" s="196"/>
      <c r="V2293" s="196"/>
      <c r="W2293" s="196"/>
      <c r="X2293" s="196"/>
      <c r="Y2293" s="196"/>
      <c r="Z2293" s="196"/>
      <c r="AA2293" s="196"/>
      <c r="AB2293" s="196"/>
      <c r="AC2293" s="196"/>
      <c r="AD2293" s="196"/>
      <c r="AE2293" s="196"/>
      <c r="AF2293" s="196"/>
      <c r="AG2293" s="196"/>
      <c r="AH2293" s="196"/>
      <c r="AI2293" s="196"/>
      <c r="AJ2293" s="197"/>
      <c r="AK2293" s="80"/>
      <c r="AL2293" s="80"/>
      <c r="AM2293" s="73"/>
      <c r="AN2293" s="73"/>
      <c r="AO2293" s="73"/>
      <c r="AP2293" s="73"/>
      <c r="AQ2293" s="73"/>
      <c r="AR2293" s="73"/>
      <c r="AS2293" s="73"/>
      <c r="AT2293" s="73"/>
      <c r="AU2293" s="73"/>
      <c r="AV2293" s="73"/>
      <c r="AW2293" s="73"/>
      <c r="AX2293" s="73"/>
      <c r="AY2293" s="73"/>
      <c r="AZ2293" s="73"/>
      <c r="BA2293" s="73"/>
      <c r="BB2293" s="73"/>
      <c r="BC2293" s="73"/>
      <c r="BD2293" s="73"/>
      <c r="BE2293" s="73"/>
      <c r="BF2293" s="73"/>
      <c r="BG2293" s="73"/>
      <c r="BH2293" s="73"/>
      <c r="BI2293" s="73"/>
      <c r="BJ2293" s="73"/>
      <c r="BK2293" s="73"/>
      <c r="BL2293" s="73"/>
      <c r="BM2293" s="73"/>
      <c r="BN2293" s="73"/>
      <c r="BO2293" s="73"/>
      <c r="BP2293" s="73"/>
      <c r="BQ2293" s="73"/>
      <c r="BR2293" s="73"/>
      <c r="BS2293" s="73"/>
      <c r="BT2293" s="73"/>
      <c r="BU2293" s="73"/>
      <c r="BV2293" s="73"/>
      <c r="BW2293" s="73"/>
      <c r="BX2293" s="73"/>
      <c r="BY2293" s="73"/>
      <c r="BZ2293" s="73"/>
      <c r="CA2293" s="73"/>
      <c r="CB2293" s="73"/>
      <c r="CC2293" s="73"/>
      <c r="CD2293" s="73"/>
      <c r="CE2293" s="73"/>
      <c r="CF2293" s="73"/>
      <c r="CG2293" s="73"/>
      <c r="CH2293" s="73"/>
    </row>
    <row r="2294">
      <c r="A2294" s="80"/>
      <c r="B2294" s="80"/>
      <c r="C2294" s="80"/>
      <c r="D2294" s="80"/>
      <c r="E2294" s="124"/>
      <c r="F2294" s="80"/>
      <c r="G2294" s="80"/>
      <c r="H2294" s="80"/>
      <c r="I2294" s="80"/>
      <c r="J2294" s="196"/>
      <c r="K2294" s="196"/>
      <c r="L2294" s="196"/>
      <c r="M2294" s="196"/>
      <c r="N2294" s="196"/>
      <c r="O2294" s="196"/>
      <c r="P2294" s="196"/>
      <c r="Q2294" s="196"/>
      <c r="R2294" s="196"/>
      <c r="S2294" s="196"/>
      <c r="T2294" s="196"/>
      <c r="U2294" s="196"/>
      <c r="V2294" s="196"/>
      <c r="W2294" s="196"/>
      <c r="X2294" s="196"/>
      <c r="Y2294" s="196"/>
      <c r="Z2294" s="196"/>
      <c r="AA2294" s="196"/>
      <c r="AB2294" s="196"/>
      <c r="AC2294" s="196"/>
      <c r="AD2294" s="196"/>
      <c r="AE2294" s="196"/>
      <c r="AF2294" s="196"/>
      <c r="AG2294" s="196"/>
      <c r="AH2294" s="196"/>
      <c r="AI2294" s="196"/>
      <c r="AJ2294" s="197"/>
      <c r="AK2294" s="80"/>
      <c r="AL2294" s="80"/>
      <c r="AM2294" s="73"/>
      <c r="AN2294" s="73"/>
      <c r="AO2294" s="73"/>
      <c r="AP2294" s="73"/>
      <c r="AQ2294" s="73"/>
      <c r="AR2294" s="73"/>
      <c r="AS2294" s="73"/>
      <c r="AT2294" s="73"/>
      <c r="AU2294" s="73"/>
      <c r="AV2294" s="73"/>
      <c r="AW2294" s="73"/>
      <c r="AX2294" s="73"/>
      <c r="AY2294" s="73"/>
      <c r="AZ2294" s="73"/>
      <c r="BA2294" s="73"/>
      <c r="BB2294" s="73"/>
      <c r="BC2294" s="73"/>
      <c r="BD2294" s="73"/>
      <c r="BE2294" s="73"/>
      <c r="BF2294" s="73"/>
      <c r="BG2294" s="73"/>
      <c r="BH2294" s="73"/>
      <c r="BI2294" s="73"/>
      <c r="BJ2294" s="73"/>
      <c r="BK2294" s="73"/>
      <c r="BL2294" s="73"/>
      <c r="BM2294" s="73"/>
      <c r="BN2294" s="73"/>
      <c r="BO2294" s="73"/>
      <c r="BP2294" s="73"/>
      <c r="BQ2294" s="73"/>
      <c r="BR2294" s="73"/>
      <c r="BS2294" s="73"/>
      <c r="BT2294" s="73"/>
      <c r="BU2294" s="73"/>
      <c r="BV2294" s="73"/>
      <c r="BW2294" s="73"/>
      <c r="BX2294" s="73"/>
      <c r="BY2294" s="73"/>
      <c r="BZ2294" s="73"/>
      <c r="CA2294" s="73"/>
      <c r="CB2294" s="73"/>
      <c r="CC2294" s="73"/>
      <c r="CD2294" s="73"/>
      <c r="CE2294" s="73"/>
      <c r="CF2294" s="73"/>
      <c r="CG2294" s="73"/>
      <c r="CH2294" s="73"/>
    </row>
    <row r="2295">
      <c r="A2295" s="80"/>
      <c r="B2295" s="80"/>
      <c r="C2295" s="80"/>
      <c r="D2295" s="80"/>
      <c r="E2295" s="124"/>
      <c r="F2295" s="80"/>
      <c r="G2295" s="80"/>
      <c r="H2295" s="80"/>
      <c r="I2295" s="80"/>
      <c r="J2295" s="196"/>
      <c r="K2295" s="196"/>
      <c r="L2295" s="196"/>
      <c r="M2295" s="196"/>
      <c r="N2295" s="196"/>
      <c r="O2295" s="196"/>
      <c r="P2295" s="196"/>
      <c r="Q2295" s="196"/>
      <c r="R2295" s="196"/>
      <c r="S2295" s="196"/>
      <c r="T2295" s="196"/>
      <c r="U2295" s="196"/>
      <c r="V2295" s="196"/>
      <c r="W2295" s="196"/>
      <c r="X2295" s="196"/>
      <c r="Y2295" s="196"/>
      <c r="Z2295" s="196"/>
      <c r="AA2295" s="196"/>
      <c r="AB2295" s="196"/>
      <c r="AC2295" s="196"/>
      <c r="AD2295" s="196"/>
      <c r="AE2295" s="196"/>
      <c r="AF2295" s="196"/>
      <c r="AG2295" s="196"/>
      <c r="AH2295" s="196"/>
      <c r="AI2295" s="196"/>
      <c r="AJ2295" s="197"/>
      <c r="AK2295" s="80"/>
      <c r="AL2295" s="80"/>
      <c r="AM2295" s="73"/>
      <c r="AN2295" s="73"/>
      <c r="AO2295" s="73"/>
      <c r="AP2295" s="73"/>
      <c r="AQ2295" s="73"/>
      <c r="AR2295" s="73"/>
      <c r="AS2295" s="73"/>
      <c r="AT2295" s="73"/>
      <c r="AU2295" s="73"/>
      <c r="AV2295" s="73"/>
      <c r="AW2295" s="73"/>
      <c r="AX2295" s="73"/>
      <c r="AY2295" s="73"/>
      <c r="AZ2295" s="73"/>
      <c r="BA2295" s="73"/>
      <c r="BB2295" s="73"/>
      <c r="BC2295" s="73"/>
      <c r="BD2295" s="73"/>
      <c r="BE2295" s="73"/>
      <c r="BF2295" s="73"/>
      <c r="BG2295" s="73"/>
      <c r="BH2295" s="73"/>
      <c r="BI2295" s="73"/>
      <c r="BJ2295" s="73"/>
      <c r="BK2295" s="73"/>
      <c r="BL2295" s="73"/>
      <c r="BM2295" s="73"/>
      <c r="BN2295" s="73"/>
      <c r="BO2295" s="73"/>
      <c r="BP2295" s="73"/>
      <c r="BQ2295" s="73"/>
      <c r="BR2295" s="73"/>
      <c r="BS2295" s="73"/>
      <c r="BT2295" s="73"/>
      <c r="BU2295" s="73"/>
      <c r="BV2295" s="73"/>
      <c r="BW2295" s="73"/>
      <c r="BX2295" s="73"/>
      <c r="BY2295" s="73"/>
      <c r="BZ2295" s="73"/>
      <c r="CA2295" s="73"/>
      <c r="CB2295" s="73"/>
      <c r="CC2295" s="73"/>
      <c r="CD2295" s="73"/>
      <c r="CE2295" s="73"/>
      <c r="CF2295" s="73"/>
      <c r="CG2295" s="73"/>
      <c r="CH2295" s="73"/>
    </row>
    <row r="2296">
      <c r="A2296" s="80"/>
      <c r="B2296" s="80"/>
      <c r="C2296" s="80"/>
      <c r="D2296" s="80"/>
      <c r="E2296" s="124"/>
      <c r="F2296" s="80"/>
      <c r="G2296" s="80"/>
      <c r="H2296" s="80"/>
      <c r="I2296" s="80"/>
      <c r="J2296" s="196"/>
      <c r="K2296" s="196"/>
      <c r="L2296" s="196"/>
      <c r="M2296" s="196"/>
      <c r="N2296" s="196"/>
      <c r="O2296" s="196"/>
      <c r="P2296" s="196"/>
      <c r="Q2296" s="196"/>
      <c r="R2296" s="196"/>
      <c r="S2296" s="196"/>
      <c r="T2296" s="196"/>
      <c r="U2296" s="196"/>
      <c r="V2296" s="196"/>
      <c r="W2296" s="196"/>
      <c r="X2296" s="196"/>
      <c r="Y2296" s="196"/>
      <c r="Z2296" s="196"/>
      <c r="AA2296" s="196"/>
      <c r="AB2296" s="196"/>
      <c r="AC2296" s="196"/>
      <c r="AD2296" s="196"/>
      <c r="AE2296" s="196"/>
      <c r="AF2296" s="196"/>
      <c r="AG2296" s="196"/>
      <c r="AH2296" s="196"/>
      <c r="AI2296" s="196"/>
      <c r="AJ2296" s="197"/>
      <c r="AK2296" s="80"/>
      <c r="AL2296" s="80"/>
      <c r="AM2296" s="73"/>
      <c r="AN2296" s="73"/>
      <c r="AO2296" s="73"/>
      <c r="AP2296" s="73"/>
      <c r="AQ2296" s="73"/>
      <c r="AR2296" s="73"/>
      <c r="AS2296" s="73"/>
      <c r="AT2296" s="73"/>
      <c r="AU2296" s="73"/>
      <c r="AV2296" s="73"/>
      <c r="AW2296" s="73"/>
      <c r="AX2296" s="73"/>
      <c r="AY2296" s="73"/>
      <c r="AZ2296" s="73"/>
      <c r="BA2296" s="73"/>
      <c r="BB2296" s="73"/>
      <c r="BC2296" s="73"/>
      <c r="BD2296" s="73"/>
      <c r="BE2296" s="73"/>
      <c r="BF2296" s="73"/>
      <c r="BG2296" s="73"/>
      <c r="BH2296" s="73"/>
      <c r="BI2296" s="73"/>
      <c r="BJ2296" s="73"/>
      <c r="BK2296" s="73"/>
      <c r="BL2296" s="73"/>
      <c r="BM2296" s="73"/>
      <c r="BN2296" s="73"/>
      <c r="BO2296" s="73"/>
      <c r="BP2296" s="73"/>
      <c r="BQ2296" s="73"/>
      <c r="BR2296" s="73"/>
      <c r="BS2296" s="73"/>
      <c r="BT2296" s="73"/>
      <c r="BU2296" s="73"/>
      <c r="BV2296" s="73"/>
      <c r="BW2296" s="73"/>
      <c r="BX2296" s="73"/>
      <c r="BY2296" s="73"/>
      <c r="BZ2296" s="73"/>
      <c r="CA2296" s="73"/>
      <c r="CB2296" s="73"/>
      <c r="CC2296" s="73"/>
      <c r="CD2296" s="73"/>
      <c r="CE2296" s="73"/>
      <c r="CF2296" s="73"/>
      <c r="CG2296" s="73"/>
      <c r="CH2296" s="73"/>
    </row>
    <row r="2297">
      <c r="A2297" s="80"/>
      <c r="B2297" s="80"/>
      <c r="C2297" s="80"/>
      <c r="D2297" s="80"/>
      <c r="E2297" s="124"/>
      <c r="F2297" s="80"/>
      <c r="G2297" s="80"/>
      <c r="H2297" s="80"/>
      <c r="I2297" s="80"/>
      <c r="J2297" s="196"/>
      <c r="K2297" s="196"/>
      <c r="L2297" s="196"/>
      <c r="M2297" s="196"/>
      <c r="N2297" s="196"/>
      <c r="O2297" s="196"/>
      <c r="P2297" s="196"/>
      <c r="Q2297" s="196"/>
      <c r="R2297" s="196"/>
      <c r="S2297" s="196"/>
      <c r="T2297" s="196"/>
      <c r="U2297" s="196"/>
      <c r="V2297" s="196"/>
      <c r="W2297" s="196"/>
      <c r="X2297" s="196"/>
      <c r="Y2297" s="196"/>
      <c r="Z2297" s="196"/>
      <c r="AA2297" s="196"/>
      <c r="AB2297" s="196"/>
      <c r="AC2297" s="196"/>
      <c r="AD2297" s="196"/>
      <c r="AE2297" s="196"/>
      <c r="AF2297" s="196"/>
      <c r="AG2297" s="196"/>
      <c r="AH2297" s="196"/>
      <c r="AI2297" s="196"/>
      <c r="AJ2297" s="197"/>
      <c r="AK2297" s="80"/>
      <c r="AL2297" s="80"/>
      <c r="AM2297" s="73"/>
      <c r="AN2297" s="73"/>
      <c r="AO2297" s="73"/>
      <c r="AP2297" s="73"/>
      <c r="AQ2297" s="73"/>
      <c r="AR2297" s="73"/>
      <c r="AS2297" s="73"/>
      <c r="AT2297" s="73"/>
      <c r="AU2297" s="73"/>
      <c r="AV2297" s="73"/>
      <c r="AW2297" s="73"/>
      <c r="AX2297" s="73"/>
      <c r="AY2297" s="73"/>
      <c r="AZ2297" s="73"/>
      <c r="BA2297" s="73"/>
      <c r="BB2297" s="73"/>
      <c r="BC2297" s="73"/>
      <c r="BD2297" s="73"/>
      <c r="BE2297" s="73"/>
      <c r="BF2297" s="73"/>
      <c r="BG2297" s="73"/>
      <c r="BH2297" s="73"/>
      <c r="BI2297" s="73"/>
      <c r="BJ2297" s="73"/>
      <c r="BK2297" s="73"/>
      <c r="BL2297" s="73"/>
      <c r="BM2297" s="73"/>
      <c r="BN2297" s="73"/>
      <c r="BO2297" s="73"/>
      <c r="BP2297" s="73"/>
      <c r="BQ2297" s="73"/>
      <c r="BR2297" s="73"/>
      <c r="BS2297" s="73"/>
      <c r="BT2297" s="73"/>
      <c r="BU2297" s="73"/>
      <c r="BV2297" s="73"/>
      <c r="BW2297" s="73"/>
      <c r="BX2297" s="73"/>
      <c r="BY2297" s="73"/>
      <c r="BZ2297" s="73"/>
      <c r="CA2297" s="73"/>
      <c r="CB2297" s="73"/>
      <c r="CC2297" s="73"/>
      <c r="CD2297" s="73"/>
      <c r="CE2297" s="73"/>
      <c r="CF2297" s="73"/>
      <c r="CG2297" s="73"/>
      <c r="CH2297" s="73"/>
    </row>
    <row r="2298">
      <c r="A2298" s="80"/>
      <c r="B2298" s="80"/>
      <c r="C2298" s="80"/>
      <c r="D2298" s="80"/>
      <c r="E2298" s="124"/>
      <c r="F2298" s="80"/>
      <c r="G2298" s="80"/>
      <c r="H2298" s="80"/>
      <c r="I2298" s="80"/>
      <c r="J2298" s="196"/>
      <c r="K2298" s="196"/>
      <c r="L2298" s="196"/>
      <c r="M2298" s="196"/>
      <c r="N2298" s="196"/>
      <c r="O2298" s="196"/>
      <c r="P2298" s="196"/>
      <c r="Q2298" s="196"/>
      <c r="R2298" s="196"/>
      <c r="S2298" s="196"/>
      <c r="T2298" s="196"/>
      <c r="U2298" s="196"/>
      <c r="V2298" s="196"/>
      <c r="W2298" s="196"/>
      <c r="X2298" s="196"/>
      <c r="Y2298" s="196"/>
      <c r="Z2298" s="196"/>
      <c r="AA2298" s="196"/>
      <c r="AB2298" s="196"/>
      <c r="AC2298" s="196"/>
      <c r="AD2298" s="196"/>
      <c r="AE2298" s="196"/>
      <c r="AF2298" s="196"/>
      <c r="AG2298" s="196"/>
      <c r="AH2298" s="196"/>
      <c r="AI2298" s="196"/>
      <c r="AJ2298" s="197"/>
      <c r="AK2298" s="80"/>
      <c r="AL2298" s="80"/>
      <c r="AM2298" s="73"/>
      <c r="AN2298" s="73"/>
      <c r="AO2298" s="73"/>
      <c r="AP2298" s="73"/>
      <c r="AQ2298" s="73"/>
      <c r="AR2298" s="73"/>
      <c r="AS2298" s="73"/>
      <c r="AT2298" s="73"/>
      <c r="AU2298" s="73"/>
      <c r="AV2298" s="73"/>
      <c r="AW2298" s="73"/>
      <c r="AX2298" s="73"/>
      <c r="AY2298" s="73"/>
      <c r="AZ2298" s="73"/>
      <c r="BA2298" s="73"/>
      <c r="BB2298" s="73"/>
      <c r="BC2298" s="73"/>
      <c r="BD2298" s="73"/>
      <c r="BE2298" s="73"/>
      <c r="BF2298" s="73"/>
      <c r="BG2298" s="73"/>
      <c r="BH2298" s="73"/>
      <c r="BI2298" s="73"/>
      <c r="BJ2298" s="73"/>
      <c r="BK2298" s="73"/>
      <c r="BL2298" s="73"/>
      <c r="BM2298" s="73"/>
      <c r="BN2298" s="73"/>
      <c r="BO2298" s="73"/>
      <c r="BP2298" s="73"/>
      <c r="BQ2298" s="73"/>
      <c r="BR2298" s="73"/>
      <c r="BS2298" s="73"/>
      <c r="BT2298" s="73"/>
      <c r="BU2298" s="73"/>
      <c r="BV2298" s="73"/>
      <c r="BW2298" s="73"/>
      <c r="BX2298" s="73"/>
      <c r="BY2298" s="73"/>
      <c r="BZ2298" s="73"/>
      <c r="CA2298" s="73"/>
      <c r="CB2298" s="73"/>
      <c r="CC2298" s="73"/>
      <c r="CD2298" s="73"/>
      <c r="CE2298" s="73"/>
      <c r="CF2298" s="73"/>
      <c r="CG2298" s="73"/>
      <c r="CH2298" s="73"/>
    </row>
    <row r="2299">
      <c r="A2299" s="80"/>
      <c r="B2299" s="80"/>
      <c r="C2299" s="80"/>
      <c r="D2299" s="80"/>
      <c r="E2299" s="124"/>
      <c r="F2299" s="80"/>
      <c r="G2299" s="80"/>
      <c r="H2299" s="80"/>
      <c r="I2299" s="80"/>
      <c r="J2299" s="196"/>
      <c r="K2299" s="196"/>
      <c r="L2299" s="196"/>
      <c r="M2299" s="196"/>
      <c r="N2299" s="196"/>
      <c r="O2299" s="196"/>
      <c r="P2299" s="196"/>
      <c r="Q2299" s="196"/>
      <c r="R2299" s="196"/>
      <c r="S2299" s="196"/>
      <c r="T2299" s="196"/>
      <c r="U2299" s="196"/>
      <c r="V2299" s="196"/>
      <c r="W2299" s="196"/>
      <c r="X2299" s="196"/>
      <c r="Y2299" s="196"/>
      <c r="Z2299" s="196"/>
      <c r="AA2299" s="196"/>
      <c r="AB2299" s="196"/>
      <c r="AC2299" s="196"/>
      <c r="AD2299" s="196"/>
      <c r="AE2299" s="196"/>
      <c r="AF2299" s="196"/>
      <c r="AG2299" s="196"/>
      <c r="AH2299" s="196"/>
      <c r="AI2299" s="196"/>
      <c r="AJ2299" s="197"/>
      <c r="AK2299" s="80"/>
      <c r="AL2299" s="80"/>
      <c r="AM2299" s="73"/>
      <c r="AN2299" s="73"/>
      <c r="AO2299" s="73"/>
      <c r="AP2299" s="73"/>
      <c r="AQ2299" s="73"/>
      <c r="AR2299" s="73"/>
      <c r="AS2299" s="73"/>
      <c r="AT2299" s="73"/>
      <c r="AU2299" s="73"/>
      <c r="AV2299" s="73"/>
      <c r="AW2299" s="73"/>
      <c r="AX2299" s="73"/>
      <c r="AY2299" s="73"/>
      <c r="AZ2299" s="73"/>
      <c r="BA2299" s="73"/>
      <c r="BB2299" s="73"/>
      <c r="BC2299" s="73"/>
      <c r="BD2299" s="73"/>
      <c r="BE2299" s="73"/>
      <c r="BF2299" s="73"/>
      <c r="BG2299" s="73"/>
      <c r="BH2299" s="73"/>
      <c r="BI2299" s="73"/>
      <c r="BJ2299" s="73"/>
      <c r="BK2299" s="73"/>
      <c r="BL2299" s="73"/>
      <c r="BM2299" s="73"/>
      <c r="BN2299" s="73"/>
      <c r="BO2299" s="73"/>
      <c r="BP2299" s="73"/>
      <c r="BQ2299" s="73"/>
      <c r="BR2299" s="73"/>
      <c r="BS2299" s="73"/>
      <c r="BT2299" s="73"/>
      <c r="BU2299" s="73"/>
      <c r="BV2299" s="73"/>
      <c r="BW2299" s="73"/>
      <c r="BX2299" s="73"/>
      <c r="BY2299" s="73"/>
      <c r="BZ2299" s="73"/>
      <c r="CA2299" s="73"/>
      <c r="CB2299" s="73"/>
      <c r="CC2299" s="73"/>
      <c r="CD2299" s="73"/>
      <c r="CE2299" s="73"/>
      <c r="CF2299" s="73"/>
      <c r="CG2299" s="73"/>
      <c r="CH2299" s="73"/>
    </row>
    <row r="2300">
      <c r="A2300" s="80"/>
      <c r="B2300" s="80"/>
      <c r="C2300" s="80"/>
      <c r="D2300" s="80"/>
      <c r="E2300" s="124"/>
      <c r="F2300" s="80"/>
      <c r="G2300" s="80"/>
      <c r="H2300" s="80"/>
      <c r="I2300" s="80"/>
      <c r="J2300" s="196"/>
      <c r="K2300" s="196"/>
      <c r="L2300" s="196"/>
      <c r="M2300" s="196"/>
      <c r="N2300" s="196"/>
      <c r="O2300" s="196"/>
      <c r="P2300" s="196"/>
      <c r="Q2300" s="196"/>
      <c r="R2300" s="196"/>
      <c r="S2300" s="196"/>
      <c r="T2300" s="196"/>
      <c r="U2300" s="196"/>
      <c r="V2300" s="196"/>
      <c r="W2300" s="196"/>
      <c r="X2300" s="196"/>
      <c r="Y2300" s="196"/>
      <c r="Z2300" s="196"/>
      <c r="AA2300" s="196"/>
      <c r="AB2300" s="196"/>
      <c r="AC2300" s="196"/>
      <c r="AD2300" s="196"/>
      <c r="AE2300" s="196"/>
      <c r="AF2300" s="196"/>
      <c r="AG2300" s="196"/>
      <c r="AH2300" s="196"/>
      <c r="AI2300" s="196"/>
      <c r="AJ2300" s="197"/>
      <c r="AK2300" s="80"/>
      <c r="AL2300" s="80"/>
      <c r="AM2300" s="73"/>
      <c r="AN2300" s="73"/>
      <c r="AO2300" s="73"/>
      <c r="AP2300" s="73"/>
      <c r="AQ2300" s="73"/>
      <c r="AR2300" s="73"/>
      <c r="AS2300" s="73"/>
      <c r="AT2300" s="73"/>
      <c r="AU2300" s="73"/>
      <c r="AV2300" s="73"/>
      <c r="AW2300" s="73"/>
      <c r="AX2300" s="73"/>
      <c r="AY2300" s="73"/>
      <c r="AZ2300" s="73"/>
      <c r="BA2300" s="73"/>
      <c r="BB2300" s="73"/>
      <c r="BC2300" s="73"/>
      <c r="BD2300" s="73"/>
      <c r="BE2300" s="73"/>
      <c r="BF2300" s="73"/>
      <c r="BG2300" s="73"/>
      <c r="BH2300" s="73"/>
      <c r="BI2300" s="73"/>
      <c r="BJ2300" s="73"/>
      <c r="BK2300" s="73"/>
      <c r="BL2300" s="73"/>
      <c r="BM2300" s="73"/>
      <c r="BN2300" s="73"/>
      <c r="BO2300" s="73"/>
      <c r="BP2300" s="73"/>
      <c r="BQ2300" s="73"/>
      <c r="BR2300" s="73"/>
      <c r="BS2300" s="73"/>
      <c r="BT2300" s="73"/>
      <c r="BU2300" s="73"/>
      <c r="BV2300" s="73"/>
      <c r="BW2300" s="73"/>
      <c r="BX2300" s="73"/>
      <c r="BY2300" s="73"/>
      <c r="BZ2300" s="73"/>
      <c r="CA2300" s="73"/>
      <c r="CB2300" s="73"/>
      <c r="CC2300" s="73"/>
      <c r="CD2300" s="73"/>
      <c r="CE2300" s="73"/>
      <c r="CF2300" s="73"/>
      <c r="CG2300" s="73"/>
      <c r="CH2300" s="73"/>
    </row>
    <row r="2301">
      <c r="A2301" s="80"/>
      <c r="B2301" s="80"/>
      <c r="C2301" s="80"/>
      <c r="D2301" s="80"/>
      <c r="E2301" s="124"/>
      <c r="F2301" s="80"/>
      <c r="G2301" s="80"/>
      <c r="H2301" s="80"/>
      <c r="I2301" s="80"/>
      <c r="J2301" s="196"/>
      <c r="K2301" s="196"/>
      <c r="L2301" s="196"/>
      <c r="M2301" s="196"/>
      <c r="N2301" s="196"/>
      <c r="O2301" s="196"/>
      <c r="P2301" s="196"/>
      <c r="Q2301" s="196"/>
      <c r="R2301" s="196"/>
      <c r="S2301" s="196"/>
      <c r="T2301" s="196"/>
      <c r="U2301" s="196"/>
      <c r="V2301" s="196"/>
      <c r="W2301" s="196"/>
      <c r="X2301" s="196"/>
      <c r="Y2301" s="196"/>
      <c r="Z2301" s="196"/>
      <c r="AA2301" s="196"/>
      <c r="AB2301" s="196"/>
      <c r="AC2301" s="196"/>
      <c r="AD2301" s="196"/>
      <c r="AE2301" s="196"/>
      <c r="AF2301" s="196"/>
      <c r="AG2301" s="196"/>
      <c r="AH2301" s="196"/>
      <c r="AI2301" s="196"/>
      <c r="AJ2301" s="197"/>
      <c r="AK2301" s="80"/>
      <c r="AL2301" s="80"/>
      <c r="AM2301" s="73"/>
      <c r="AN2301" s="73"/>
      <c r="AO2301" s="73"/>
      <c r="AP2301" s="73"/>
      <c r="AQ2301" s="73"/>
      <c r="AR2301" s="73"/>
      <c r="AS2301" s="73"/>
      <c r="AT2301" s="73"/>
      <c r="AU2301" s="73"/>
      <c r="AV2301" s="73"/>
      <c r="AW2301" s="73"/>
      <c r="AX2301" s="73"/>
      <c r="AY2301" s="73"/>
      <c r="AZ2301" s="73"/>
      <c r="BA2301" s="73"/>
      <c r="BB2301" s="73"/>
      <c r="BC2301" s="73"/>
      <c r="BD2301" s="73"/>
      <c r="BE2301" s="73"/>
      <c r="BF2301" s="73"/>
      <c r="BG2301" s="73"/>
      <c r="BH2301" s="73"/>
      <c r="BI2301" s="73"/>
      <c r="BJ2301" s="73"/>
      <c r="BK2301" s="73"/>
      <c r="BL2301" s="73"/>
      <c r="BM2301" s="73"/>
      <c r="BN2301" s="73"/>
      <c r="BO2301" s="73"/>
      <c r="BP2301" s="73"/>
      <c r="BQ2301" s="73"/>
      <c r="BR2301" s="73"/>
      <c r="BS2301" s="73"/>
      <c r="BT2301" s="73"/>
      <c r="BU2301" s="73"/>
      <c r="BV2301" s="73"/>
      <c r="BW2301" s="73"/>
      <c r="BX2301" s="73"/>
      <c r="BY2301" s="73"/>
      <c r="BZ2301" s="73"/>
      <c r="CA2301" s="73"/>
      <c r="CB2301" s="73"/>
      <c r="CC2301" s="73"/>
      <c r="CD2301" s="73"/>
      <c r="CE2301" s="73"/>
      <c r="CF2301" s="73"/>
      <c r="CG2301" s="73"/>
      <c r="CH2301" s="73"/>
    </row>
    <row r="2302">
      <c r="A2302" s="80"/>
      <c r="B2302" s="80"/>
      <c r="C2302" s="80"/>
      <c r="D2302" s="80"/>
      <c r="E2302" s="124"/>
      <c r="F2302" s="80"/>
      <c r="G2302" s="80"/>
      <c r="H2302" s="80"/>
      <c r="I2302" s="80"/>
      <c r="J2302" s="196"/>
      <c r="K2302" s="196"/>
      <c r="L2302" s="196"/>
      <c r="M2302" s="196"/>
      <c r="N2302" s="196"/>
      <c r="O2302" s="196"/>
      <c r="P2302" s="196"/>
      <c r="Q2302" s="196"/>
      <c r="R2302" s="196"/>
      <c r="S2302" s="196"/>
      <c r="T2302" s="196"/>
      <c r="U2302" s="196"/>
      <c r="V2302" s="196"/>
      <c r="W2302" s="196"/>
      <c r="X2302" s="196"/>
      <c r="Y2302" s="196"/>
      <c r="Z2302" s="196"/>
      <c r="AA2302" s="196"/>
      <c r="AB2302" s="196"/>
      <c r="AC2302" s="196"/>
      <c r="AD2302" s="196"/>
      <c r="AE2302" s="196"/>
      <c r="AF2302" s="196"/>
      <c r="AG2302" s="196"/>
      <c r="AH2302" s="196"/>
      <c r="AI2302" s="196"/>
      <c r="AJ2302" s="197"/>
      <c r="AK2302" s="80"/>
      <c r="AL2302" s="80"/>
      <c r="AM2302" s="73"/>
      <c r="AN2302" s="73"/>
      <c r="AO2302" s="73"/>
      <c r="AP2302" s="73"/>
      <c r="AQ2302" s="73"/>
      <c r="AR2302" s="73"/>
      <c r="AS2302" s="73"/>
      <c r="AT2302" s="73"/>
      <c r="AU2302" s="73"/>
      <c r="AV2302" s="73"/>
      <c r="AW2302" s="73"/>
      <c r="AX2302" s="73"/>
      <c r="AY2302" s="73"/>
      <c r="AZ2302" s="73"/>
      <c r="BA2302" s="73"/>
      <c r="BB2302" s="73"/>
      <c r="BC2302" s="73"/>
      <c r="BD2302" s="73"/>
      <c r="BE2302" s="73"/>
      <c r="BF2302" s="73"/>
      <c r="BG2302" s="73"/>
      <c r="BH2302" s="73"/>
      <c r="BI2302" s="73"/>
      <c r="BJ2302" s="73"/>
      <c r="BK2302" s="73"/>
      <c r="BL2302" s="73"/>
      <c r="BM2302" s="73"/>
      <c r="BN2302" s="73"/>
      <c r="BO2302" s="73"/>
      <c r="BP2302" s="73"/>
      <c r="BQ2302" s="73"/>
      <c r="BR2302" s="73"/>
      <c r="BS2302" s="73"/>
      <c r="BT2302" s="73"/>
      <c r="BU2302" s="73"/>
      <c r="BV2302" s="73"/>
      <c r="BW2302" s="73"/>
      <c r="BX2302" s="73"/>
      <c r="BY2302" s="73"/>
      <c r="BZ2302" s="73"/>
      <c r="CA2302" s="73"/>
      <c r="CB2302" s="73"/>
      <c r="CC2302" s="73"/>
      <c r="CD2302" s="73"/>
      <c r="CE2302" s="73"/>
      <c r="CF2302" s="73"/>
      <c r="CG2302" s="73"/>
      <c r="CH2302" s="73"/>
    </row>
    <row r="2303">
      <c r="A2303" s="80"/>
      <c r="B2303" s="80"/>
      <c r="C2303" s="80"/>
      <c r="D2303" s="80"/>
      <c r="E2303" s="124"/>
      <c r="F2303" s="80"/>
      <c r="G2303" s="80"/>
      <c r="H2303" s="80"/>
      <c r="I2303" s="80"/>
      <c r="J2303" s="196"/>
      <c r="K2303" s="196"/>
      <c r="L2303" s="196"/>
      <c r="M2303" s="196"/>
      <c r="N2303" s="196"/>
      <c r="O2303" s="196"/>
      <c r="P2303" s="196"/>
      <c r="Q2303" s="196"/>
      <c r="R2303" s="196"/>
      <c r="S2303" s="196"/>
      <c r="T2303" s="196"/>
      <c r="U2303" s="196"/>
      <c r="V2303" s="196"/>
      <c r="W2303" s="196"/>
      <c r="X2303" s="196"/>
      <c r="Y2303" s="196"/>
      <c r="Z2303" s="196"/>
      <c r="AA2303" s="196"/>
      <c r="AB2303" s="196"/>
      <c r="AC2303" s="196"/>
      <c r="AD2303" s="196"/>
      <c r="AE2303" s="196"/>
      <c r="AF2303" s="196"/>
      <c r="AG2303" s="196"/>
      <c r="AH2303" s="196"/>
      <c r="AI2303" s="196"/>
      <c r="AJ2303" s="197"/>
      <c r="AK2303" s="80"/>
      <c r="AL2303" s="80"/>
      <c r="AM2303" s="73"/>
      <c r="AN2303" s="73"/>
      <c r="AO2303" s="73"/>
      <c r="AP2303" s="73"/>
      <c r="AQ2303" s="73"/>
      <c r="AR2303" s="73"/>
      <c r="AS2303" s="73"/>
      <c r="AT2303" s="73"/>
      <c r="AU2303" s="73"/>
      <c r="AV2303" s="73"/>
      <c r="AW2303" s="73"/>
      <c r="AX2303" s="73"/>
      <c r="AY2303" s="73"/>
      <c r="AZ2303" s="73"/>
      <c r="BA2303" s="73"/>
      <c r="BB2303" s="73"/>
      <c r="BC2303" s="73"/>
      <c r="BD2303" s="73"/>
      <c r="BE2303" s="73"/>
      <c r="BF2303" s="73"/>
      <c r="BG2303" s="73"/>
      <c r="BH2303" s="73"/>
      <c r="BI2303" s="73"/>
      <c r="BJ2303" s="73"/>
      <c r="BK2303" s="73"/>
      <c r="BL2303" s="73"/>
      <c r="BM2303" s="73"/>
      <c r="BN2303" s="73"/>
      <c r="BO2303" s="73"/>
      <c r="BP2303" s="73"/>
      <c r="BQ2303" s="73"/>
      <c r="BR2303" s="73"/>
      <c r="BS2303" s="73"/>
      <c r="BT2303" s="73"/>
      <c r="BU2303" s="73"/>
      <c r="BV2303" s="73"/>
      <c r="BW2303" s="73"/>
      <c r="BX2303" s="73"/>
      <c r="BY2303" s="73"/>
      <c r="BZ2303" s="73"/>
      <c r="CA2303" s="73"/>
      <c r="CB2303" s="73"/>
      <c r="CC2303" s="73"/>
      <c r="CD2303" s="73"/>
      <c r="CE2303" s="73"/>
      <c r="CF2303" s="73"/>
      <c r="CG2303" s="73"/>
      <c r="CH2303" s="73"/>
    </row>
    <row r="2304">
      <c r="A2304" s="80"/>
      <c r="B2304" s="80"/>
      <c r="C2304" s="80"/>
      <c r="D2304" s="80"/>
      <c r="E2304" s="124"/>
      <c r="F2304" s="80"/>
      <c r="G2304" s="80"/>
      <c r="H2304" s="80"/>
      <c r="I2304" s="80"/>
      <c r="J2304" s="196"/>
      <c r="K2304" s="196"/>
      <c r="L2304" s="196"/>
      <c r="M2304" s="196"/>
      <c r="N2304" s="196"/>
      <c r="O2304" s="196"/>
      <c r="P2304" s="196"/>
      <c r="Q2304" s="196"/>
      <c r="R2304" s="196"/>
      <c r="S2304" s="196"/>
      <c r="T2304" s="196"/>
      <c r="U2304" s="196"/>
      <c r="V2304" s="196"/>
      <c r="W2304" s="196"/>
      <c r="X2304" s="196"/>
      <c r="Y2304" s="196"/>
      <c r="Z2304" s="196"/>
      <c r="AA2304" s="196"/>
      <c r="AB2304" s="196"/>
      <c r="AC2304" s="196"/>
      <c r="AD2304" s="196"/>
      <c r="AE2304" s="196"/>
      <c r="AF2304" s="196"/>
      <c r="AG2304" s="196"/>
      <c r="AH2304" s="196"/>
      <c r="AI2304" s="196"/>
      <c r="AJ2304" s="197"/>
      <c r="AK2304" s="80"/>
      <c r="AL2304" s="80"/>
      <c r="AM2304" s="73"/>
      <c r="AN2304" s="73"/>
      <c r="AO2304" s="73"/>
      <c r="AP2304" s="73"/>
      <c r="AQ2304" s="73"/>
      <c r="AR2304" s="73"/>
      <c r="AS2304" s="73"/>
      <c r="AT2304" s="73"/>
      <c r="AU2304" s="73"/>
      <c r="AV2304" s="73"/>
      <c r="AW2304" s="73"/>
      <c r="AX2304" s="73"/>
      <c r="AY2304" s="73"/>
      <c r="AZ2304" s="73"/>
      <c r="BA2304" s="73"/>
      <c r="BB2304" s="73"/>
      <c r="BC2304" s="73"/>
      <c r="BD2304" s="73"/>
      <c r="BE2304" s="73"/>
      <c r="BF2304" s="73"/>
      <c r="BG2304" s="73"/>
      <c r="BH2304" s="73"/>
      <c r="BI2304" s="73"/>
      <c r="BJ2304" s="73"/>
      <c r="BK2304" s="73"/>
      <c r="BL2304" s="73"/>
      <c r="BM2304" s="73"/>
      <c r="BN2304" s="73"/>
      <c r="BO2304" s="73"/>
      <c r="BP2304" s="73"/>
      <c r="BQ2304" s="73"/>
      <c r="BR2304" s="73"/>
      <c r="BS2304" s="73"/>
      <c r="BT2304" s="73"/>
      <c r="BU2304" s="73"/>
      <c r="BV2304" s="73"/>
      <c r="BW2304" s="73"/>
      <c r="BX2304" s="73"/>
      <c r="BY2304" s="73"/>
      <c r="BZ2304" s="73"/>
      <c r="CA2304" s="73"/>
      <c r="CB2304" s="73"/>
      <c r="CC2304" s="73"/>
      <c r="CD2304" s="73"/>
      <c r="CE2304" s="73"/>
      <c r="CF2304" s="73"/>
      <c r="CG2304" s="73"/>
      <c r="CH2304" s="73"/>
    </row>
    <row r="2305">
      <c r="A2305" s="80"/>
      <c r="B2305" s="80"/>
      <c r="C2305" s="80"/>
      <c r="D2305" s="80"/>
      <c r="E2305" s="124"/>
      <c r="F2305" s="80"/>
      <c r="G2305" s="80"/>
      <c r="H2305" s="80"/>
      <c r="I2305" s="80"/>
      <c r="J2305" s="196"/>
      <c r="K2305" s="196"/>
      <c r="L2305" s="196"/>
      <c r="M2305" s="196"/>
      <c r="N2305" s="196"/>
      <c r="O2305" s="196"/>
      <c r="P2305" s="196"/>
      <c r="Q2305" s="196"/>
      <c r="R2305" s="196"/>
      <c r="S2305" s="196"/>
      <c r="T2305" s="196"/>
      <c r="U2305" s="196"/>
      <c r="V2305" s="196"/>
      <c r="W2305" s="196"/>
      <c r="X2305" s="196"/>
      <c r="Y2305" s="196"/>
      <c r="Z2305" s="196"/>
      <c r="AA2305" s="196"/>
      <c r="AB2305" s="196"/>
      <c r="AC2305" s="196"/>
      <c r="AD2305" s="196"/>
      <c r="AE2305" s="196"/>
      <c r="AF2305" s="196"/>
      <c r="AG2305" s="196"/>
      <c r="AH2305" s="196"/>
      <c r="AI2305" s="196"/>
      <c r="AJ2305" s="197"/>
      <c r="AK2305" s="80"/>
      <c r="AL2305" s="80"/>
      <c r="AM2305" s="73"/>
      <c r="AN2305" s="73"/>
      <c r="AO2305" s="73"/>
      <c r="AP2305" s="73"/>
      <c r="AQ2305" s="73"/>
      <c r="AR2305" s="73"/>
      <c r="AS2305" s="73"/>
      <c r="AT2305" s="73"/>
      <c r="AU2305" s="73"/>
      <c r="AV2305" s="73"/>
      <c r="AW2305" s="73"/>
      <c r="AX2305" s="73"/>
      <c r="AY2305" s="73"/>
      <c r="AZ2305" s="73"/>
      <c r="BA2305" s="73"/>
      <c r="BB2305" s="73"/>
      <c r="BC2305" s="73"/>
      <c r="BD2305" s="73"/>
      <c r="BE2305" s="73"/>
      <c r="BF2305" s="73"/>
      <c r="BG2305" s="73"/>
      <c r="BH2305" s="73"/>
      <c r="BI2305" s="73"/>
      <c r="BJ2305" s="73"/>
      <c r="BK2305" s="73"/>
      <c r="BL2305" s="73"/>
      <c r="BM2305" s="73"/>
      <c r="BN2305" s="73"/>
      <c r="BO2305" s="73"/>
      <c r="BP2305" s="73"/>
      <c r="BQ2305" s="73"/>
      <c r="BR2305" s="73"/>
      <c r="BS2305" s="73"/>
      <c r="BT2305" s="73"/>
      <c r="BU2305" s="73"/>
      <c r="BV2305" s="73"/>
      <c r="BW2305" s="73"/>
      <c r="BX2305" s="73"/>
      <c r="BY2305" s="73"/>
      <c r="BZ2305" s="73"/>
      <c r="CA2305" s="73"/>
      <c r="CB2305" s="73"/>
      <c r="CC2305" s="73"/>
      <c r="CD2305" s="73"/>
      <c r="CE2305" s="73"/>
      <c r="CF2305" s="73"/>
      <c r="CG2305" s="73"/>
      <c r="CH2305" s="73"/>
    </row>
    <row r="2306">
      <c r="A2306" s="80"/>
      <c r="B2306" s="80"/>
      <c r="C2306" s="80"/>
      <c r="D2306" s="80"/>
      <c r="E2306" s="124"/>
      <c r="F2306" s="80"/>
      <c r="G2306" s="80"/>
      <c r="H2306" s="80"/>
      <c r="I2306" s="80"/>
      <c r="J2306" s="196"/>
      <c r="K2306" s="196"/>
      <c r="L2306" s="196"/>
      <c r="M2306" s="196"/>
      <c r="N2306" s="196"/>
      <c r="O2306" s="196"/>
      <c r="P2306" s="196"/>
      <c r="Q2306" s="196"/>
      <c r="R2306" s="196"/>
      <c r="S2306" s="196"/>
      <c r="T2306" s="196"/>
      <c r="U2306" s="196"/>
      <c r="V2306" s="196"/>
      <c r="W2306" s="196"/>
      <c r="X2306" s="196"/>
      <c r="Y2306" s="196"/>
      <c r="Z2306" s="196"/>
      <c r="AA2306" s="196"/>
      <c r="AB2306" s="196"/>
      <c r="AC2306" s="196"/>
      <c r="AD2306" s="196"/>
      <c r="AE2306" s="196"/>
      <c r="AF2306" s="196"/>
      <c r="AG2306" s="196"/>
      <c r="AH2306" s="196"/>
      <c r="AI2306" s="196"/>
      <c r="AJ2306" s="197"/>
      <c r="AK2306" s="80"/>
      <c r="AL2306" s="80"/>
      <c r="AM2306" s="73"/>
      <c r="AN2306" s="73"/>
      <c r="AO2306" s="73"/>
      <c r="AP2306" s="73"/>
      <c r="AQ2306" s="73"/>
      <c r="AR2306" s="73"/>
      <c r="AS2306" s="73"/>
      <c r="AT2306" s="73"/>
      <c r="AU2306" s="73"/>
      <c r="AV2306" s="73"/>
      <c r="AW2306" s="73"/>
      <c r="AX2306" s="73"/>
      <c r="AY2306" s="73"/>
      <c r="AZ2306" s="73"/>
      <c r="BA2306" s="73"/>
      <c r="BB2306" s="73"/>
      <c r="BC2306" s="73"/>
      <c r="BD2306" s="73"/>
      <c r="BE2306" s="73"/>
      <c r="BF2306" s="73"/>
      <c r="BG2306" s="73"/>
      <c r="BH2306" s="73"/>
      <c r="BI2306" s="73"/>
      <c r="BJ2306" s="73"/>
      <c r="BK2306" s="73"/>
      <c r="BL2306" s="73"/>
      <c r="BM2306" s="73"/>
      <c r="BN2306" s="73"/>
      <c r="BO2306" s="73"/>
      <c r="BP2306" s="73"/>
      <c r="BQ2306" s="73"/>
      <c r="BR2306" s="73"/>
      <c r="BS2306" s="73"/>
      <c r="BT2306" s="73"/>
      <c r="BU2306" s="73"/>
      <c r="BV2306" s="73"/>
      <c r="BW2306" s="73"/>
      <c r="BX2306" s="73"/>
      <c r="BY2306" s="73"/>
      <c r="BZ2306" s="73"/>
      <c r="CA2306" s="73"/>
      <c r="CB2306" s="73"/>
      <c r="CC2306" s="73"/>
      <c r="CD2306" s="73"/>
      <c r="CE2306" s="73"/>
      <c r="CF2306" s="73"/>
      <c r="CG2306" s="73"/>
      <c r="CH2306" s="73"/>
    </row>
    <row r="2307">
      <c r="A2307" s="80"/>
      <c r="B2307" s="80"/>
      <c r="C2307" s="80"/>
      <c r="D2307" s="80"/>
      <c r="E2307" s="124"/>
      <c r="F2307" s="80"/>
      <c r="G2307" s="80"/>
      <c r="H2307" s="80"/>
      <c r="I2307" s="80"/>
      <c r="J2307" s="196"/>
      <c r="K2307" s="196"/>
      <c r="L2307" s="196"/>
      <c r="M2307" s="196"/>
      <c r="N2307" s="196"/>
      <c r="O2307" s="196"/>
      <c r="P2307" s="196"/>
      <c r="Q2307" s="196"/>
      <c r="R2307" s="196"/>
      <c r="S2307" s="196"/>
      <c r="T2307" s="196"/>
      <c r="U2307" s="196"/>
      <c r="V2307" s="196"/>
      <c r="W2307" s="196"/>
      <c r="X2307" s="196"/>
      <c r="Y2307" s="196"/>
      <c r="Z2307" s="196"/>
      <c r="AA2307" s="196"/>
      <c r="AB2307" s="196"/>
      <c r="AC2307" s="196"/>
      <c r="AD2307" s="196"/>
      <c r="AE2307" s="196"/>
      <c r="AF2307" s="196"/>
      <c r="AG2307" s="196"/>
      <c r="AH2307" s="196"/>
      <c r="AI2307" s="196"/>
      <c r="AJ2307" s="197"/>
      <c r="AK2307" s="80"/>
      <c r="AL2307" s="80"/>
      <c r="AM2307" s="73"/>
      <c r="AN2307" s="73"/>
      <c r="AO2307" s="73"/>
      <c r="AP2307" s="73"/>
      <c r="AQ2307" s="73"/>
      <c r="AR2307" s="73"/>
      <c r="AS2307" s="73"/>
      <c r="AT2307" s="73"/>
      <c r="AU2307" s="73"/>
      <c r="AV2307" s="73"/>
      <c r="AW2307" s="73"/>
      <c r="AX2307" s="73"/>
      <c r="AY2307" s="73"/>
      <c r="AZ2307" s="73"/>
      <c r="BA2307" s="73"/>
      <c r="BB2307" s="73"/>
      <c r="BC2307" s="73"/>
      <c r="BD2307" s="73"/>
      <c r="BE2307" s="73"/>
      <c r="BF2307" s="73"/>
      <c r="BG2307" s="73"/>
      <c r="BH2307" s="73"/>
      <c r="BI2307" s="73"/>
      <c r="BJ2307" s="73"/>
      <c r="BK2307" s="73"/>
      <c r="BL2307" s="73"/>
      <c r="BM2307" s="73"/>
      <c r="BN2307" s="73"/>
      <c r="BO2307" s="73"/>
      <c r="BP2307" s="73"/>
      <c r="BQ2307" s="73"/>
      <c r="BR2307" s="73"/>
      <c r="BS2307" s="73"/>
      <c r="BT2307" s="73"/>
      <c r="BU2307" s="73"/>
      <c r="BV2307" s="73"/>
      <c r="BW2307" s="73"/>
      <c r="BX2307" s="73"/>
      <c r="BY2307" s="73"/>
      <c r="BZ2307" s="73"/>
      <c r="CA2307" s="73"/>
      <c r="CB2307" s="73"/>
      <c r="CC2307" s="73"/>
      <c r="CD2307" s="73"/>
      <c r="CE2307" s="73"/>
      <c r="CF2307" s="73"/>
      <c r="CG2307" s="73"/>
      <c r="CH2307" s="73"/>
    </row>
    <row r="2308">
      <c r="A2308" s="80"/>
      <c r="B2308" s="80"/>
      <c r="C2308" s="80"/>
      <c r="D2308" s="80"/>
      <c r="E2308" s="124"/>
      <c r="F2308" s="80"/>
      <c r="G2308" s="80"/>
      <c r="H2308" s="80"/>
      <c r="I2308" s="80"/>
      <c r="J2308" s="196"/>
      <c r="K2308" s="196"/>
      <c r="L2308" s="196"/>
      <c r="M2308" s="196"/>
      <c r="N2308" s="196"/>
      <c r="O2308" s="196"/>
      <c r="P2308" s="196"/>
      <c r="Q2308" s="196"/>
      <c r="R2308" s="196"/>
      <c r="S2308" s="196"/>
      <c r="T2308" s="196"/>
      <c r="U2308" s="196"/>
      <c r="V2308" s="196"/>
      <c r="W2308" s="196"/>
      <c r="X2308" s="196"/>
      <c r="Y2308" s="196"/>
      <c r="Z2308" s="196"/>
      <c r="AA2308" s="196"/>
      <c r="AB2308" s="196"/>
      <c r="AC2308" s="196"/>
      <c r="AD2308" s="196"/>
      <c r="AE2308" s="196"/>
      <c r="AF2308" s="196"/>
      <c r="AG2308" s="196"/>
      <c r="AH2308" s="196"/>
      <c r="AI2308" s="196"/>
      <c r="AJ2308" s="197"/>
      <c r="AK2308" s="80"/>
      <c r="AL2308" s="80"/>
      <c r="AM2308" s="73"/>
      <c r="AN2308" s="73"/>
      <c r="AO2308" s="73"/>
      <c r="AP2308" s="73"/>
      <c r="AQ2308" s="73"/>
      <c r="AR2308" s="73"/>
      <c r="AS2308" s="73"/>
      <c r="AT2308" s="73"/>
      <c r="AU2308" s="73"/>
      <c r="AV2308" s="73"/>
      <c r="AW2308" s="73"/>
      <c r="AX2308" s="73"/>
      <c r="AY2308" s="73"/>
      <c r="AZ2308" s="73"/>
      <c r="BA2308" s="73"/>
      <c r="BB2308" s="73"/>
      <c r="BC2308" s="73"/>
      <c r="BD2308" s="73"/>
      <c r="BE2308" s="73"/>
      <c r="BF2308" s="73"/>
      <c r="BG2308" s="73"/>
      <c r="BH2308" s="73"/>
      <c r="BI2308" s="73"/>
      <c r="BJ2308" s="73"/>
      <c r="BK2308" s="73"/>
      <c r="BL2308" s="73"/>
      <c r="BM2308" s="73"/>
      <c r="BN2308" s="73"/>
      <c r="BO2308" s="73"/>
      <c r="BP2308" s="73"/>
      <c r="BQ2308" s="73"/>
      <c r="BR2308" s="73"/>
      <c r="BS2308" s="73"/>
      <c r="BT2308" s="73"/>
      <c r="BU2308" s="73"/>
      <c r="BV2308" s="73"/>
      <c r="BW2308" s="73"/>
      <c r="BX2308" s="73"/>
      <c r="BY2308" s="73"/>
      <c r="BZ2308" s="73"/>
      <c r="CA2308" s="73"/>
      <c r="CB2308" s="73"/>
      <c r="CC2308" s="73"/>
      <c r="CD2308" s="73"/>
      <c r="CE2308" s="73"/>
      <c r="CF2308" s="73"/>
      <c r="CG2308" s="73"/>
      <c r="CH2308" s="73"/>
    </row>
    <row r="2309">
      <c r="A2309" s="80"/>
      <c r="B2309" s="80"/>
      <c r="C2309" s="80"/>
      <c r="D2309" s="80"/>
      <c r="E2309" s="124"/>
      <c r="F2309" s="80"/>
      <c r="G2309" s="80"/>
      <c r="H2309" s="80"/>
      <c r="I2309" s="80"/>
      <c r="J2309" s="196"/>
      <c r="K2309" s="196"/>
      <c r="L2309" s="196"/>
      <c r="M2309" s="196"/>
      <c r="N2309" s="196"/>
      <c r="O2309" s="196"/>
      <c r="P2309" s="196"/>
      <c r="Q2309" s="196"/>
      <c r="R2309" s="196"/>
      <c r="S2309" s="196"/>
      <c r="T2309" s="196"/>
      <c r="U2309" s="196"/>
      <c r="V2309" s="196"/>
      <c r="W2309" s="196"/>
      <c r="X2309" s="196"/>
      <c r="Y2309" s="196"/>
      <c r="Z2309" s="196"/>
      <c r="AA2309" s="196"/>
      <c r="AB2309" s="196"/>
      <c r="AC2309" s="196"/>
      <c r="AD2309" s="196"/>
      <c r="AE2309" s="196"/>
      <c r="AF2309" s="196"/>
      <c r="AG2309" s="196"/>
      <c r="AH2309" s="196"/>
      <c r="AI2309" s="196"/>
      <c r="AJ2309" s="197"/>
      <c r="AK2309" s="80"/>
      <c r="AL2309" s="80"/>
      <c r="AM2309" s="73"/>
      <c r="AN2309" s="73"/>
      <c r="AO2309" s="73"/>
      <c r="AP2309" s="73"/>
      <c r="AQ2309" s="73"/>
      <c r="AR2309" s="73"/>
      <c r="AS2309" s="73"/>
      <c r="AT2309" s="73"/>
      <c r="AU2309" s="73"/>
      <c r="AV2309" s="73"/>
      <c r="AW2309" s="73"/>
      <c r="AX2309" s="73"/>
      <c r="AY2309" s="73"/>
      <c r="AZ2309" s="73"/>
      <c r="BA2309" s="73"/>
      <c r="BB2309" s="73"/>
      <c r="BC2309" s="73"/>
      <c r="BD2309" s="73"/>
      <c r="BE2309" s="73"/>
      <c r="BF2309" s="73"/>
      <c r="BG2309" s="73"/>
      <c r="BH2309" s="73"/>
      <c r="BI2309" s="73"/>
      <c r="BJ2309" s="73"/>
      <c r="BK2309" s="73"/>
      <c r="BL2309" s="73"/>
      <c r="BM2309" s="73"/>
      <c r="BN2309" s="73"/>
      <c r="BO2309" s="73"/>
      <c r="BP2309" s="73"/>
      <c r="BQ2309" s="73"/>
      <c r="BR2309" s="73"/>
      <c r="BS2309" s="73"/>
      <c r="BT2309" s="73"/>
      <c r="BU2309" s="73"/>
      <c r="BV2309" s="73"/>
      <c r="BW2309" s="73"/>
      <c r="BX2309" s="73"/>
      <c r="BY2309" s="73"/>
      <c r="BZ2309" s="73"/>
      <c r="CA2309" s="73"/>
      <c r="CB2309" s="73"/>
      <c r="CC2309" s="73"/>
      <c r="CD2309" s="73"/>
      <c r="CE2309" s="73"/>
      <c r="CF2309" s="73"/>
      <c r="CG2309" s="73"/>
      <c r="CH2309" s="73"/>
    </row>
    <row r="2310">
      <c r="A2310" s="80"/>
      <c r="B2310" s="80"/>
      <c r="C2310" s="80"/>
      <c r="D2310" s="80"/>
      <c r="E2310" s="124"/>
      <c r="F2310" s="80"/>
      <c r="G2310" s="80"/>
      <c r="H2310" s="80"/>
      <c r="I2310" s="80"/>
      <c r="J2310" s="196"/>
      <c r="K2310" s="196"/>
      <c r="L2310" s="196"/>
      <c r="M2310" s="196"/>
      <c r="N2310" s="196"/>
      <c r="O2310" s="196"/>
      <c r="P2310" s="196"/>
      <c r="Q2310" s="196"/>
      <c r="R2310" s="196"/>
      <c r="S2310" s="196"/>
      <c r="T2310" s="196"/>
      <c r="U2310" s="196"/>
      <c r="V2310" s="196"/>
      <c r="W2310" s="196"/>
      <c r="X2310" s="196"/>
      <c r="Y2310" s="196"/>
      <c r="Z2310" s="196"/>
      <c r="AA2310" s="196"/>
      <c r="AB2310" s="196"/>
      <c r="AC2310" s="196"/>
      <c r="AD2310" s="196"/>
      <c r="AE2310" s="196"/>
      <c r="AF2310" s="196"/>
      <c r="AG2310" s="196"/>
      <c r="AH2310" s="196"/>
      <c r="AI2310" s="196"/>
      <c r="AJ2310" s="197"/>
      <c r="AK2310" s="80"/>
      <c r="AL2310" s="80"/>
      <c r="AM2310" s="73"/>
      <c r="AN2310" s="73"/>
      <c r="AO2310" s="73"/>
      <c r="AP2310" s="73"/>
      <c r="AQ2310" s="73"/>
      <c r="AR2310" s="73"/>
      <c r="AS2310" s="73"/>
      <c r="AT2310" s="73"/>
      <c r="AU2310" s="73"/>
      <c r="AV2310" s="73"/>
      <c r="AW2310" s="73"/>
      <c r="AX2310" s="73"/>
      <c r="AY2310" s="73"/>
      <c r="AZ2310" s="73"/>
      <c r="BA2310" s="73"/>
      <c r="BB2310" s="73"/>
      <c r="BC2310" s="73"/>
      <c r="BD2310" s="73"/>
      <c r="BE2310" s="73"/>
      <c r="BF2310" s="73"/>
      <c r="BG2310" s="73"/>
      <c r="BH2310" s="73"/>
      <c r="BI2310" s="73"/>
      <c r="BJ2310" s="73"/>
      <c r="BK2310" s="73"/>
      <c r="BL2310" s="73"/>
      <c r="BM2310" s="73"/>
      <c r="BN2310" s="73"/>
      <c r="BO2310" s="73"/>
      <c r="BP2310" s="73"/>
      <c r="BQ2310" s="73"/>
      <c r="BR2310" s="73"/>
      <c r="BS2310" s="73"/>
      <c r="BT2310" s="73"/>
      <c r="BU2310" s="73"/>
      <c r="BV2310" s="73"/>
      <c r="BW2310" s="73"/>
      <c r="BX2310" s="73"/>
      <c r="BY2310" s="73"/>
      <c r="BZ2310" s="73"/>
      <c r="CA2310" s="73"/>
      <c r="CB2310" s="73"/>
      <c r="CC2310" s="73"/>
      <c r="CD2310" s="73"/>
      <c r="CE2310" s="73"/>
      <c r="CF2310" s="73"/>
      <c r="CG2310" s="73"/>
      <c r="CH2310" s="73"/>
    </row>
    <row r="2311">
      <c r="A2311" s="80"/>
      <c r="B2311" s="80"/>
      <c r="C2311" s="80"/>
      <c r="D2311" s="80"/>
      <c r="E2311" s="124"/>
      <c r="F2311" s="80"/>
      <c r="G2311" s="80"/>
      <c r="H2311" s="80"/>
      <c r="I2311" s="80"/>
      <c r="J2311" s="196"/>
      <c r="K2311" s="196"/>
      <c r="L2311" s="196"/>
      <c r="M2311" s="196"/>
      <c r="N2311" s="196"/>
      <c r="O2311" s="196"/>
      <c r="P2311" s="196"/>
      <c r="Q2311" s="196"/>
      <c r="R2311" s="196"/>
      <c r="S2311" s="196"/>
      <c r="T2311" s="196"/>
      <c r="U2311" s="196"/>
      <c r="V2311" s="196"/>
      <c r="W2311" s="196"/>
      <c r="X2311" s="196"/>
      <c r="Y2311" s="196"/>
      <c r="Z2311" s="196"/>
      <c r="AA2311" s="196"/>
      <c r="AB2311" s="196"/>
      <c r="AC2311" s="196"/>
      <c r="AD2311" s="196"/>
      <c r="AE2311" s="196"/>
      <c r="AF2311" s="196"/>
      <c r="AG2311" s="196"/>
      <c r="AH2311" s="196"/>
      <c r="AI2311" s="196"/>
      <c r="AJ2311" s="197"/>
      <c r="AK2311" s="80"/>
      <c r="AL2311" s="80"/>
      <c r="AM2311" s="73"/>
      <c r="AN2311" s="73"/>
      <c r="AO2311" s="73"/>
      <c r="AP2311" s="73"/>
      <c r="AQ2311" s="73"/>
      <c r="AR2311" s="73"/>
      <c r="AS2311" s="73"/>
      <c r="AT2311" s="73"/>
      <c r="AU2311" s="73"/>
      <c r="AV2311" s="73"/>
      <c r="AW2311" s="73"/>
      <c r="AX2311" s="73"/>
      <c r="AY2311" s="73"/>
      <c r="AZ2311" s="73"/>
      <c r="BA2311" s="73"/>
      <c r="BB2311" s="73"/>
      <c r="BC2311" s="73"/>
      <c r="BD2311" s="73"/>
      <c r="BE2311" s="73"/>
      <c r="BF2311" s="73"/>
      <c r="BG2311" s="73"/>
      <c r="BH2311" s="73"/>
      <c r="BI2311" s="73"/>
      <c r="BJ2311" s="73"/>
      <c r="BK2311" s="73"/>
      <c r="BL2311" s="73"/>
      <c r="BM2311" s="73"/>
      <c r="BN2311" s="73"/>
      <c r="BO2311" s="73"/>
      <c r="BP2311" s="73"/>
      <c r="BQ2311" s="73"/>
      <c r="BR2311" s="73"/>
      <c r="BS2311" s="73"/>
      <c r="BT2311" s="73"/>
      <c r="BU2311" s="73"/>
      <c r="BV2311" s="73"/>
      <c r="BW2311" s="73"/>
      <c r="BX2311" s="73"/>
      <c r="BY2311" s="73"/>
      <c r="BZ2311" s="73"/>
      <c r="CA2311" s="73"/>
      <c r="CB2311" s="73"/>
      <c r="CC2311" s="73"/>
      <c r="CD2311" s="73"/>
      <c r="CE2311" s="73"/>
      <c r="CF2311" s="73"/>
      <c r="CG2311" s="73"/>
      <c r="CH2311" s="73"/>
    </row>
    <row r="2312">
      <c r="A2312" s="80"/>
      <c r="B2312" s="80"/>
      <c r="C2312" s="80"/>
      <c r="D2312" s="80"/>
      <c r="E2312" s="124"/>
      <c r="F2312" s="80"/>
      <c r="G2312" s="80"/>
      <c r="H2312" s="80"/>
      <c r="I2312" s="80"/>
      <c r="J2312" s="196"/>
      <c r="K2312" s="196"/>
      <c r="L2312" s="196"/>
      <c r="M2312" s="196"/>
      <c r="N2312" s="196"/>
      <c r="O2312" s="196"/>
      <c r="P2312" s="196"/>
      <c r="Q2312" s="196"/>
      <c r="R2312" s="196"/>
      <c r="S2312" s="196"/>
      <c r="T2312" s="196"/>
      <c r="U2312" s="196"/>
      <c r="V2312" s="196"/>
      <c r="W2312" s="196"/>
      <c r="X2312" s="196"/>
      <c r="Y2312" s="196"/>
      <c r="Z2312" s="196"/>
      <c r="AA2312" s="196"/>
      <c r="AB2312" s="196"/>
      <c r="AC2312" s="196"/>
      <c r="AD2312" s="196"/>
      <c r="AE2312" s="196"/>
      <c r="AF2312" s="196"/>
      <c r="AG2312" s="196"/>
      <c r="AH2312" s="196"/>
      <c r="AI2312" s="196"/>
      <c r="AJ2312" s="197"/>
      <c r="AK2312" s="80"/>
      <c r="AL2312" s="80"/>
      <c r="AM2312" s="73"/>
      <c r="AN2312" s="73"/>
      <c r="AO2312" s="73"/>
      <c r="AP2312" s="73"/>
      <c r="AQ2312" s="73"/>
      <c r="AR2312" s="73"/>
      <c r="AS2312" s="73"/>
      <c r="AT2312" s="73"/>
      <c r="AU2312" s="73"/>
      <c r="AV2312" s="73"/>
      <c r="AW2312" s="73"/>
      <c r="AX2312" s="73"/>
      <c r="AY2312" s="73"/>
      <c r="AZ2312" s="73"/>
      <c r="BA2312" s="73"/>
      <c r="BB2312" s="73"/>
      <c r="BC2312" s="73"/>
      <c r="BD2312" s="73"/>
      <c r="BE2312" s="73"/>
      <c r="BF2312" s="73"/>
      <c r="BG2312" s="73"/>
      <c r="BH2312" s="73"/>
      <c r="BI2312" s="73"/>
      <c r="BJ2312" s="73"/>
      <c r="BK2312" s="73"/>
      <c r="BL2312" s="73"/>
      <c r="BM2312" s="73"/>
      <c r="BN2312" s="73"/>
      <c r="BO2312" s="73"/>
      <c r="BP2312" s="73"/>
      <c r="BQ2312" s="73"/>
      <c r="BR2312" s="73"/>
      <c r="BS2312" s="73"/>
      <c r="BT2312" s="73"/>
      <c r="BU2312" s="73"/>
      <c r="BV2312" s="73"/>
      <c r="BW2312" s="73"/>
      <c r="BX2312" s="73"/>
      <c r="BY2312" s="73"/>
      <c r="BZ2312" s="73"/>
      <c r="CA2312" s="73"/>
      <c r="CB2312" s="73"/>
      <c r="CC2312" s="73"/>
      <c r="CD2312" s="73"/>
      <c r="CE2312" s="73"/>
      <c r="CF2312" s="73"/>
      <c r="CG2312" s="73"/>
      <c r="CH2312" s="73"/>
    </row>
    <row r="2313">
      <c r="A2313" s="80"/>
      <c r="B2313" s="80"/>
      <c r="C2313" s="80"/>
      <c r="D2313" s="80"/>
      <c r="E2313" s="124"/>
      <c r="F2313" s="80"/>
      <c r="G2313" s="80"/>
      <c r="H2313" s="80"/>
      <c r="I2313" s="80"/>
      <c r="J2313" s="196"/>
      <c r="K2313" s="196"/>
      <c r="L2313" s="196"/>
      <c r="M2313" s="196"/>
      <c r="N2313" s="196"/>
      <c r="O2313" s="196"/>
      <c r="P2313" s="196"/>
      <c r="Q2313" s="196"/>
      <c r="R2313" s="196"/>
      <c r="S2313" s="196"/>
      <c r="T2313" s="196"/>
      <c r="U2313" s="196"/>
      <c r="V2313" s="196"/>
      <c r="W2313" s="196"/>
      <c r="X2313" s="196"/>
      <c r="Y2313" s="196"/>
      <c r="Z2313" s="196"/>
      <c r="AA2313" s="196"/>
      <c r="AB2313" s="196"/>
      <c r="AC2313" s="196"/>
      <c r="AD2313" s="196"/>
      <c r="AE2313" s="196"/>
      <c r="AF2313" s="196"/>
      <c r="AG2313" s="196"/>
      <c r="AH2313" s="196"/>
      <c r="AI2313" s="196"/>
      <c r="AJ2313" s="197"/>
      <c r="AK2313" s="80"/>
      <c r="AL2313" s="80"/>
      <c r="AM2313" s="73"/>
      <c r="AN2313" s="73"/>
      <c r="AO2313" s="73"/>
      <c r="AP2313" s="73"/>
      <c r="AQ2313" s="73"/>
      <c r="AR2313" s="73"/>
      <c r="AS2313" s="73"/>
      <c r="AT2313" s="73"/>
      <c r="AU2313" s="73"/>
      <c r="AV2313" s="73"/>
      <c r="AW2313" s="73"/>
      <c r="AX2313" s="73"/>
      <c r="AY2313" s="73"/>
      <c r="AZ2313" s="73"/>
      <c r="BA2313" s="73"/>
      <c r="BB2313" s="73"/>
      <c r="BC2313" s="73"/>
      <c r="BD2313" s="73"/>
      <c r="BE2313" s="73"/>
      <c r="BF2313" s="73"/>
      <c r="BG2313" s="73"/>
      <c r="BH2313" s="73"/>
      <c r="BI2313" s="73"/>
      <c r="BJ2313" s="73"/>
      <c r="BK2313" s="73"/>
      <c r="BL2313" s="73"/>
      <c r="BM2313" s="73"/>
      <c r="BN2313" s="73"/>
      <c r="BO2313" s="73"/>
      <c r="BP2313" s="73"/>
      <c r="BQ2313" s="73"/>
      <c r="BR2313" s="73"/>
      <c r="BS2313" s="73"/>
      <c r="BT2313" s="73"/>
      <c r="BU2313" s="73"/>
      <c r="BV2313" s="73"/>
      <c r="BW2313" s="73"/>
      <c r="BX2313" s="73"/>
      <c r="BY2313" s="73"/>
      <c r="BZ2313" s="73"/>
      <c r="CA2313" s="73"/>
      <c r="CB2313" s="73"/>
      <c r="CC2313" s="73"/>
      <c r="CD2313" s="73"/>
      <c r="CE2313" s="73"/>
      <c r="CF2313" s="73"/>
      <c r="CG2313" s="73"/>
      <c r="CH2313" s="73"/>
    </row>
    <row r="2314">
      <c r="A2314" s="80"/>
      <c r="B2314" s="80"/>
      <c r="C2314" s="80"/>
      <c r="D2314" s="80"/>
      <c r="E2314" s="124"/>
      <c r="F2314" s="80"/>
      <c r="G2314" s="80"/>
      <c r="H2314" s="80"/>
      <c r="I2314" s="80"/>
      <c r="J2314" s="196"/>
      <c r="K2314" s="196"/>
      <c r="L2314" s="196"/>
      <c r="M2314" s="196"/>
      <c r="N2314" s="196"/>
      <c r="O2314" s="196"/>
      <c r="P2314" s="196"/>
      <c r="Q2314" s="196"/>
      <c r="R2314" s="196"/>
      <c r="S2314" s="196"/>
      <c r="T2314" s="196"/>
      <c r="U2314" s="196"/>
      <c r="V2314" s="196"/>
      <c r="W2314" s="196"/>
      <c r="X2314" s="196"/>
      <c r="Y2314" s="196"/>
      <c r="Z2314" s="196"/>
      <c r="AA2314" s="196"/>
      <c r="AB2314" s="196"/>
      <c r="AC2314" s="196"/>
      <c r="AD2314" s="196"/>
      <c r="AE2314" s="196"/>
      <c r="AF2314" s="196"/>
      <c r="AG2314" s="196"/>
      <c r="AH2314" s="196"/>
      <c r="AI2314" s="196"/>
      <c r="AJ2314" s="197"/>
      <c r="AK2314" s="80"/>
      <c r="AL2314" s="80"/>
      <c r="AM2314" s="73"/>
      <c r="AN2314" s="73"/>
      <c r="AO2314" s="73"/>
      <c r="AP2314" s="73"/>
      <c r="AQ2314" s="73"/>
      <c r="AR2314" s="73"/>
      <c r="AS2314" s="73"/>
      <c r="AT2314" s="73"/>
      <c r="AU2314" s="73"/>
      <c r="AV2314" s="73"/>
      <c r="AW2314" s="73"/>
      <c r="AX2314" s="73"/>
      <c r="AY2314" s="73"/>
      <c r="AZ2314" s="73"/>
      <c r="BA2314" s="73"/>
      <c r="BB2314" s="73"/>
      <c r="BC2314" s="73"/>
      <c r="BD2314" s="73"/>
      <c r="BE2314" s="73"/>
      <c r="BF2314" s="73"/>
      <c r="BG2314" s="73"/>
      <c r="BH2314" s="73"/>
      <c r="BI2314" s="73"/>
      <c r="BJ2314" s="73"/>
      <c r="BK2314" s="73"/>
      <c r="BL2314" s="73"/>
      <c r="BM2314" s="73"/>
      <c r="BN2314" s="73"/>
      <c r="BO2314" s="73"/>
      <c r="BP2314" s="73"/>
      <c r="BQ2314" s="73"/>
      <c r="BR2314" s="73"/>
      <c r="BS2314" s="73"/>
      <c r="BT2314" s="73"/>
      <c r="BU2314" s="73"/>
      <c r="BV2314" s="73"/>
      <c r="BW2314" s="73"/>
      <c r="BX2314" s="73"/>
      <c r="BY2314" s="73"/>
      <c r="BZ2314" s="73"/>
      <c r="CA2314" s="73"/>
      <c r="CB2314" s="73"/>
      <c r="CC2314" s="73"/>
      <c r="CD2314" s="73"/>
      <c r="CE2314" s="73"/>
      <c r="CF2314" s="73"/>
      <c r="CG2314" s="73"/>
      <c r="CH2314" s="73"/>
    </row>
    <row r="2315">
      <c r="A2315" s="80"/>
      <c r="B2315" s="80"/>
      <c r="C2315" s="80"/>
      <c r="D2315" s="80"/>
      <c r="E2315" s="124"/>
      <c r="F2315" s="80"/>
      <c r="G2315" s="80"/>
      <c r="H2315" s="80"/>
      <c r="I2315" s="80"/>
      <c r="J2315" s="196"/>
      <c r="K2315" s="196"/>
      <c r="L2315" s="196"/>
      <c r="M2315" s="196"/>
      <c r="N2315" s="196"/>
      <c r="O2315" s="196"/>
      <c r="P2315" s="196"/>
      <c r="Q2315" s="196"/>
      <c r="R2315" s="196"/>
      <c r="S2315" s="196"/>
      <c r="T2315" s="196"/>
      <c r="U2315" s="196"/>
      <c r="V2315" s="196"/>
      <c r="W2315" s="196"/>
      <c r="X2315" s="196"/>
      <c r="Y2315" s="196"/>
      <c r="Z2315" s="196"/>
      <c r="AA2315" s="196"/>
      <c r="AB2315" s="196"/>
      <c r="AC2315" s="196"/>
      <c r="AD2315" s="196"/>
      <c r="AE2315" s="196"/>
      <c r="AF2315" s="196"/>
      <c r="AG2315" s="196"/>
      <c r="AH2315" s="196"/>
      <c r="AI2315" s="196"/>
      <c r="AJ2315" s="197"/>
      <c r="AK2315" s="80"/>
      <c r="AL2315" s="80"/>
      <c r="AM2315" s="73"/>
      <c r="AN2315" s="73"/>
      <c r="AO2315" s="73"/>
      <c r="AP2315" s="73"/>
      <c r="AQ2315" s="73"/>
      <c r="AR2315" s="73"/>
      <c r="AS2315" s="73"/>
      <c r="AT2315" s="73"/>
      <c r="AU2315" s="73"/>
      <c r="AV2315" s="73"/>
      <c r="AW2315" s="73"/>
      <c r="AX2315" s="73"/>
      <c r="AY2315" s="73"/>
      <c r="AZ2315" s="73"/>
      <c r="BA2315" s="73"/>
      <c r="BB2315" s="73"/>
      <c r="BC2315" s="73"/>
      <c r="BD2315" s="73"/>
      <c r="BE2315" s="73"/>
      <c r="BF2315" s="73"/>
      <c r="BG2315" s="73"/>
      <c r="BH2315" s="73"/>
      <c r="BI2315" s="73"/>
      <c r="BJ2315" s="73"/>
      <c r="BK2315" s="73"/>
      <c r="BL2315" s="73"/>
      <c r="BM2315" s="73"/>
      <c r="BN2315" s="73"/>
      <c r="BO2315" s="73"/>
      <c r="BP2315" s="73"/>
      <c r="BQ2315" s="73"/>
      <c r="BR2315" s="73"/>
      <c r="BS2315" s="73"/>
      <c r="BT2315" s="73"/>
      <c r="BU2315" s="73"/>
      <c r="BV2315" s="73"/>
      <c r="BW2315" s="73"/>
      <c r="BX2315" s="73"/>
      <c r="BY2315" s="73"/>
      <c r="BZ2315" s="73"/>
      <c r="CA2315" s="73"/>
      <c r="CB2315" s="73"/>
      <c r="CC2315" s="73"/>
      <c r="CD2315" s="73"/>
      <c r="CE2315" s="73"/>
      <c r="CF2315" s="73"/>
      <c r="CG2315" s="73"/>
      <c r="CH2315" s="73"/>
    </row>
    <row r="2316">
      <c r="A2316" s="80"/>
      <c r="B2316" s="80"/>
      <c r="C2316" s="80"/>
      <c r="D2316" s="80"/>
      <c r="E2316" s="124"/>
      <c r="F2316" s="80"/>
      <c r="G2316" s="80"/>
      <c r="H2316" s="80"/>
      <c r="I2316" s="80"/>
      <c r="J2316" s="196"/>
      <c r="K2316" s="196"/>
      <c r="L2316" s="196"/>
      <c r="M2316" s="196"/>
      <c r="N2316" s="196"/>
      <c r="O2316" s="196"/>
      <c r="P2316" s="196"/>
      <c r="Q2316" s="196"/>
      <c r="R2316" s="196"/>
      <c r="S2316" s="196"/>
      <c r="T2316" s="196"/>
      <c r="U2316" s="196"/>
      <c r="V2316" s="196"/>
      <c r="W2316" s="196"/>
      <c r="X2316" s="196"/>
      <c r="Y2316" s="196"/>
      <c r="Z2316" s="196"/>
      <c r="AA2316" s="196"/>
      <c r="AB2316" s="196"/>
      <c r="AC2316" s="196"/>
      <c r="AD2316" s="196"/>
      <c r="AE2316" s="196"/>
      <c r="AF2316" s="196"/>
      <c r="AG2316" s="196"/>
      <c r="AH2316" s="196"/>
      <c r="AI2316" s="196"/>
      <c r="AJ2316" s="197"/>
      <c r="AK2316" s="80"/>
      <c r="AL2316" s="80"/>
      <c r="AM2316" s="73"/>
      <c r="AN2316" s="73"/>
      <c r="AO2316" s="73"/>
      <c r="AP2316" s="73"/>
      <c r="AQ2316" s="73"/>
      <c r="AR2316" s="73"/>
      <c r="AS2316" s="73"/>
      <c r="AT2316" s="73"/>
      <c r="AU2316" s="73"/>
      <c r="AV2316" s="73"/>
      <c r="AW2316" s="73"/>
      <c r="AX2316" s="73"/>
      <c r="AY2316" s="73"/>
      <c r="AZ2316" s="73"/>
      <c r="BA2316" s="73"/>
      <c r="BB2316" s="73"/>
      <c r="BC2316" s="73"/>
      <c r="BD2316" s="73"/>
      <c r="BE2316" s="73"/>
      <c r="BF2316" s="73"/>
      <c r="BG2316" s="73"/>
      <c r="BH2316" s="73"/>
      <c r="BI2316" s="73"/>
      <c r="BJ2316" s="73"/>
      <c r="BK2316" s="73"/>
      <c r="BL2316" s="73"/>
      <c r="BM2316" s="73"/>
      <c r="BN2316" s="73"/>
      <c r="BO2316" s="73"/>
      <c r="BP2316" s="73"/>
      <c r="BQ2316" s="73"/>
      <c r="BR2316" s="73"/>
      <c r="BS2316" s="73"/>
      <c r="BT2316" s="73"/>
      <c r="BU2316" s="73"/>
      <c r="BV2316" s="73"/>
      <c r="BW2316" s="73"/>
      <c r="BX2316" s="73"/>
      <c r="BY2316" s="73"/>
      <c r="BZ2316" s="73"/>
      <c r="CA2316" s="73"/>
      <c r="CB2316" s="73"/>
      <c r="CC2316" s="73"/>
      <c r="CD2316" s="73"/>
      <c r="CE2316" s="73"/>
      <c r="CF2316" s="73"/>
      <c r="CG2316" s="73"/>
      <c r="CH2316" s="73"/>
    </row>
    <row r="2317">
      <c r="A2317" s="80"/>
      <c r="B2317" s="80"/>
      <c r="C2317" s="80"/>
      <c r="D2317" s="80"/>
      <c r="E2317" s="124"/>
      <c r="F2317" s="80"/>
      <c r="G2317" s="80"/>
      <c r="H2317" s="80"/>
      <c r="I2317" s="80"/>
      <c r="J2317" s="196"/>
      <c r="K2317" s="196"/>
      <c r="L2317" s="196"/>
      <c r="M2317" s="196"/>
      <c r="N2317" s="196"/>
      <c r="O2317" s="196"/>
      <c r="P2317" s="196"/>
      <c r="Q2317" s="196"/>
      <c r="R2317" s="196"/>
      <c r="S2317" s="196"/>
      <c r="T2317" s="196"/>
      <c r="U2317" s="196"/>
      <c r="V2317" s="196"/>
      <c r="W2317" s="196"/>
      <c r="X2317" s="196"/>
      <c r="Y2317" s="196"/>
      <c r="Z2317" s="196"/>
      <c r="AA2317" s="196"/>
      <c r="AB2317" s="196"/>
      <c r="AC2317" s="196"/>
      <c r="AD2317" s="196"/>
      <c r="AE2317" s="196"/>
      <c r="AF2317" s="196"/>
      <c r="AG2317" s="196"/>
      <c r="AH2317" s="196"/>
      <c r="AI2317" s="196"/>
      <c r="AJ2317" s="197"/>
      <c r="AK2317" s="80"/>
      <c r="AL2317" s="80"/>
      <c r="AM2317" s="73"/>
      <c r="AN2317" s="73"/>
      <c r="AO2317" s="73"/>
      <c r="AP2317" s="73"/>
      <c r="AQ2317" s="73"/>
      <c r="AR2317" s="73"/>
      <c r="AS2317" s="73"/>
      <c r="AT2317" s="73"/>
      <c r="AU2317" s="73"/>
      <c r="AV2317" s="73"/>
      <c r="AW2317" s="73"/>
      <c r="AX2317" s="73"/>
      <c r="AY2317" s="73"/>
      <c r="AZ2317" s="73"/>
      <c r="BA2317" s="73"/>
      <c r="BB2317" s="73"/>
      <c r="BC2317" s="73"/>
      <c r="BD2317" s="73"/>
      <c r="BE2317" s="73"/>
      <c r="BF2317" s="73"/>
      <c r="BG2317" s="73"/>
      <c r="BH2317" s="73"/>
      <c r="BI2317" s="73"/>
      <c r="BJ2317" s="73"/>
      <c r="BK2317" s="73"/>
      <c r="BL2317" s="73"/>
      <c r="BM2317" s="73"/>
      <c r="BN2317" s="73"/>
      <c r="BO2317" s="73"/>
      <c r="BP2317" s="73"/>
      <c r="BQ2317" s="73"/>
      <c r="BR2317" s="73"/>
      <c r="BS2317" s="73"/>
      <c r="BT2317" s="73"/>
      <c r="BU2317" s="73"/>
      <c r="BV2317" s="73"/>
      <c r="BW2317" s="73"/>
      <c r="BX2317" s="73"/>
      <c r="BY2317" s="73"/>
      <c r="BZ2317" s="73"/>
      <c r="CA2317" s="73"/>
      <c r="CB2317" s="73"/>
      <c r="CC2317" s="73"/>
      <c r="CD2317" s="73"/>
      <c r="CE2317" s="73"/>
      <c r="CF2317" s="73"/>
      <c r="CG2317" s="73"/>
      <c r="CH2317" s="73"/>
    </row>
    <row r="2318">
      <c r="A2318" s="80"/>
      <c r="B2318" s="80"/>
      <c r="C2318" s="80"/>
      <c r="D2318" s="80"/>
      <c r="E2318" s="124"/>
      <c r="F2318" s="80"/>
      <c r="G2318" s="80"/>
      <c r="H2318" s="80"/>
      <c r="I2318" s="80"/>
      <c r="J2318" s="196"/>
      <c r="K2318" s="196"/>
      <c r="L2318" s="196"/>
      <c r="M2318" s="196"/>
      <c r="N2318" s="196"/>
      <c r="O2318" s="196"/>
      <c r="P2318" s="196"/>
      <c r="Q2318" s="196"/>
      <c r="R2318" s="196"/>
      <c r="S2318" s="196"/>
      <c r="T2318" s="196"/>
      <c r="U2318" s="196"/>
      <c r="V2318" s="196"/>
      <c r="W2318" s="196"/>
      <c r="X2318" s="196"/>
      <c r="Y2318" s="196"/>
      <c r="Z2318" s="196"/>
      <c r="AA2318" s="196"/>
      <c r="AB2318" s="196"/>
      <c r="AC2318" s="196"/>
      <c r="AD2318" s="196"/>
      <c r="AE2318" s="196"/>
      <c r="AF2318" s="196"/>
      <c r="AG2318" s="196"/>
      <c r="AH2318" s="196"/>
      <c r="AI2318" s="196"/>
      <c r="AJ2318" s="197"/>
      <c r="AK2318" s="80"/>
      <c r="AL2318" s="80"/>
      <c r="AM2318" s="73"/>
      <c r="AN2318" s="73"/>
      <c r="AO2318" s="73"/>
      <c r="AP2318" s="73"/>
      <c r="AQ2318" s="73"/>
      <c r="AR2318" s="73"/>
      <c r="AS2318" s="73"/>
      <c r="AT2318" s="73"/>
      <c r="AU2318" s="73"/>
      <c r="AV2318" s="73"/>
      <c r="AW2318" s="73"/>
      <c r="AX2318" s="73"/>
      <c r="AY2318" s="73"/>
      <c r="AZ2318" s="73"/>
      <c r="BA2318" s="73"/>
      <c r="BB2318" s="73"/>
      <c r="BC2318" s="73"/>
      <c r="BD2318" s="73"/>
      <c r="BE2318" s="73"/>
      <c r="BF2318" s="73"/>
      <c r="BG2318" s="73"/>
      <c r="BH2318" s="73"/>
      <c r="BI2318" s="73"/>
      <c r="BJ2318" s="73"/>
      <c r="BK2318" s="73"/>
      <c r="BL2318" s="73"/>
      <c r="BM2318" s="73"/>
      <c r="BN2318" s="73"/>
      <c r="BO2318" s="73"/>
      <c r="BP2318" s="73"/>
      <c r="BQ2318" s="73"/>
      <c r="BR2318" s="73"/>
      <c r="BS2318" s="73"/>
      <c r="BT2318" s="73"/>
      <c r="BU2318" s="73"/>
      <c r="BV2318" s="73"/>
      <c r="BW2318" s="73"/>
      <c r="BX2318" s="73"/>
      <c r="BY2318" s="73"/>
      <c r="BZ2318" s="73"/>
      <c r="CA2318" s="73"/>
      <c r="CB2318" s="73"/>
      <c r="CC2318" s="73"/>
      <c r="CD2318" s="73"/>
      <c r="CE2318" s="73"/>
      <c r="CF2318" s="73"/>
      <c r="CG2318" s="73"/>
      <c r="CH2318" s="73"/>
    </row>
    <row r="2319">
      <c r="A2319" s="80"/>
      <c r="B2319" s="80"/>
      <c r="C2319" s="80"/>
      <c r="D2319" s="80"/>
      <c r="E2319" s="124"/>
      <c r="F2319" s="80"/>
      <c r="G2319" s="80"/>
      <c r="H2319" s="80"/>
      <c r="I2319" s="80"/>
      <c r="J2319" s="196"/>
      <c r="K2319" s="196"/>
      <c r="L2319" s="196"/>
      <c r="M2319" s="196"/>
      <c r="N2319" s="196"/>
      <c r="O2319" s="196"/>
      <c r="P2319" s="196"/>
      <c r="Q2319" s="196"/>
      <c r="R2319" s="196"/>
      <c r="S2319" s="196"/>
      <c r="T2319" s="196"/>
      <c r="U2319" s="196"/>
      <c r="V2319" s="196"/>
      <c r="W2319" s="196"/>
      <c r="X2319" s="196"/>
      <c r="Y2319" s="196"/>
      <c r="Z2319" s="196"/>
      <c r="AA2319" s="196"/>
      <c r="AB2319" s="196"/>
      <c r="AC2319" s="196"/>
      <c r="AD2319" s="196"/>
      <c r="AE2319" s="196"/>
      <c r="AF2319" s="196"/>
      <c r="AG2319" s="196"/>
      <c r="AH2319" s="196"/>
      <c r="AI2319" s="196"/>
      <c r="AJ2319" s="197"/>
      <c r="AK2319" s="80"/>
      <c r="AL2319" s="80"/>
      <c r="AM2319" s="73"/>
      <c r="AN2319" s="73"/>
      <c r="AO2319" s="73"/>
      <c r="AP2319" s="73"/>
      <c r="AQ2319" s="73"/>
      <c r="AR2319" s="73"/>
      <c r="AS2319" s="73"/>
      <c r="AT2319" s="73"/>
      <c r="AU2319" s="73"/>
      <c r="AV2319" s="73"/>
      <c r="AW2319" s="73"/>
      <c r="AX2319" s="73"/>
      <c r="AY2319" s="73"/>
      <c r="AZ2319" s="73"/>
      <c r="BA2319" s="73"/>
      <c r="BB2319" s="73"/>
      <c r="BC2319" s="73"/>
      <c r="BD2319" s="73"/>
      <c r="BE2319" s="73"/>
      <c r="BF2319" s="73"/>
      <c r="BG2319" s="73"/>
      <c r="BH2319" s="73"/>
      <c r="BI2319" s="73"/>
      <c r="BJ2319" s="73"/>
      <c r="BK2319" s="73"/>
      <c r="BL2319" s="73"/>
      <c r="BM2319" s="73"/>
      <c r="BN2319" s="73"/>
      <c r="BO2319" s="73"/>
      <c r="BP2319" s="73"/>
      <c r="BQ2319" s="73"/>
      <c r="BR2319" s="73"/>
      <c r="BS2319" s="73"/>
      <c r="BT2319" s="73"/>
      <c r="BU2319" s="73"/>
      <c r="BV2319" s="73"/>
      <c r="BW2319" s="73"/>
      <c r="BX2319" s="73"/>
      <c r="BY2319" s="73"/>
      <c r="BZ2319" s="73"/>
      <c r="CA2319" s="73"/>
      <c r="CB2319" s="73"/>
      <c r="CC2319" s="73"/>
      <c r="CD2319" s="73"/>
      <c r="CE2319" s="73"/>
      <c r="CF2319" s="73"/>
      <c r="CG2319" s="73"/>
      <c r="CH2319" s="73"/>
    </row>
    <row r="2320">
      <c r="A2320" s="80"/>
      <c r="B2320" s="80"/>
      <c r="C2320" s="80"/>
      <c r="D2320" s="80"/>
      <c r="E2320" s="124"/>
      <c r="F2320" s="80"/>
      <c r="G2320" s="80"/>
      <c r="H2320" s="80"/>
      <c r="I2320" s="80"/>
      <c r="J2320" s="196"/>
      <c r="K2320" s="196"/>
      <c r="L2320" s="196"/>
      <c r="M2320" s="196"/>
      <c r="N2320" s="196"/>
      <c r="O2320" s="196"/>
      <c r="P2320" s="196"/>
      <c r="Q2320" s="196"/>
      <c r="R2320" s="196"/>
      <c r="S2320" s="196"/>
      <c r="T2320" s="196"/>
      <c r="U2320" s="196"/>
      <c r="V2320" s="196"/>
      <c r="W2320" s="196"/>
      <c r="X2320" s="196"/>
      <c r="Y2320" s="196"/>
      <c r="Z2320" s="196"/>
      <c r="AA2320" s="196"/>
      <c r="AB2320" s="196"/>
      <c r="AC2320" s="196"/>
      <c r="AD2320" s="196"/>
      <c r="AE2320" s="196"/>
      <c r="AF2320" s="196"/>
      <c r="AG2320" s="196"/>
      <c r="AH2320" s="196"/>
      <c r="AI2320" s="196"/>
      <c r="AJ2320" s="197"/>
      <c r="AK2320" s="80"/>
      <c r="AL2320" s="80"/>
      <c r="AM2320" s="73"/>
      <c r="AN2320" s="73"/>
      <c r="AO2320" s="73"/>
      <c r="AP2320" s="73"/>
      <c r="AQ2320" s="73"/>
      <c r="AR2320" s="73"/>
      <c r="AS2320" s="73"/>
      <c r="AT2320" s="73"/>
      <c r="AU2320" s="73"/>
      <c r="AV2320" s="73"/>
      <c r="AW2320" s="73"/>
      <c r="AX2320" s="73"/>
      <c r="AY2320" s="73"/>
      <c r="AZ2320" s="73"/>
      <c r="BA2320" s="73"/>
      <c r="BB2320" s="73"/>
      <c r="BC2320" s="73"/>
      <c r="BD2320" s="73"/>
      <c r="BE2320" s="73"/>
      <c r="BF2320" s="73"/>
      <c r="BG2320" s="73"/>
      <c r="BH2320" s="73"/>
      <c r="BI2320" s="73"/>
      <c r="BJ2320" s="73"/>
      <c r="BK2320" s="73"/>
      <c r="BL2320" s="73"/>
      <c r="BM2320" s="73"/>
      <c r="BN2320" s="73"/>
      <c r="BO2320" s="73"/>
      <c r="BP2320" s="73"/>
      <c r="BQ2320" s="73"/>
      <c r="BR2320" s="73"/>
      <c r="BS2320" s="73"/>
      <c r="BT2320" s="73"/>
      <c r="BU2320" s="73"/>
      <c r="BV2320" s="73"/>
      <c r="BW2320" s="73"/>
      <c r="BX2320" s="73"/>
      <c r="BY2320" s="73"/>
      <c r="BZ2320" s="73"/>
      <c r="CA2320" s="73"/>
      <c r="CB2320" s="73"/>
      <c r="CC2320" s="73"/>
      <c r="CD2320" s="73"/>
      <c r="CE2320" s="73"/>
      <c r="CF2320" s="73"/>
      <c r="CG2320" s="73"/>
      <c r="CH2320" s="73"/>
    </row>
    <row r="2321">
      <c r="A2321" s="80"/>
      <c r="B2321" s="80"/>
      <c r="C2321" s="80"/>
      <c r="D2321" s="80"/>
      <c r="E2321" s="124"/>
      <c r="F2321" s="80"/>
      <c r="G2321" s="80"/>
      <c r="H2321" s="80"/>
      <c r="I2321" s="80"/>
      <c r="J2321" s="196"/>
      <c r="K2321" s="196"/>
      <c r="L2321" s="196"/>
      <c r="M2321" s="196"/>
      <c r="N2321" s="196"/>
      <c r="O2321" s="196"/>
      <c r="P2321" s="196"/>
      <c r="Q2321" s="196"/>
      <c r="R2321" s="196"/>
      <c r="S2321" s="196"/>
      <c r="T2321" s="196"/>
      <c r="U2321" s="196"/>
      <c r="V2321" s="196"/>
      <c r="W2321" s="196"/>
      <c r="X2321" s="196"/>
      <c r="Y2321" s="196"/>
      <c r="Z2321" s="196"/>
      <c r="AA2321" s="196"/>
      <c r="AB2321" s="196"/>
      <c r="AC2321" s="196"/>
      <c r="AD2321" s="196"/>
      <c r="AE2321" s="196"/>
      <c r="AF2321" s="196"/>
      <c r="AG2321" s="196"/>
      <c r="AH2321" s="196"/>
      <c r="AI2321" s="196"/>
      <c r="AJ2321" s="197"/>
      <c r="AK2321" s="80"/>
      <c r="AL2321" s="80"/>
      <c r="AM2321" s="73"/>
      <c r="AN2321" s="73"/>
      <c r="AO2321" s="73"/>
      <c r="AP2321" s="73"/>
      <c r="AQ2321" s="73"/>
      <c r="AR2321" s="73"/>
      <c r="AS2321" s="73"/>
      <c r="AT2321" s="73"/>
      <c r="AU2321" s="73"/>
      <c r="AV2321" s="73"/>
      <c r="AW2321" s="73"/>
      <c r="AX2321" s="73"/>
      <c r="AY2321" s="73"/>
      <c r="AZ2321" s="73"/>
      <c r="BA2321" s="73"/>
      <c r="BB2321" s="73"/>
      <c r="BC2321" s="73"/>
      <c r="BD2321" s="73"/>
      <c r="BE2321" s="73"/>
      <c r="BF2321" s="73"/>
      <c r="BG2321" s="73"/>
      <c r="BH2321" s="73"/>
      <c r="BI2321" s="73"/>
      <c r="BJ2321" s="73"/>
      <c r="BK2321" s="73"/>
      <c r="BL2321" s="73"/>
      <c r="BM2321" s="73"/>
      <c r="BN2321" s="73"/>
      <c r="BO2321" s="73"/>
      <c r="BP2321" s="73"/>
      <c r="BQ2321" s="73"/>
      <c r="BR2321" s="73"/>
      <c r="BS2321" s="73"/>
      <c r="BT2321" s="73"/>
      <c r="BU2321" s="73"/>
      <c r="BV2321" s="73"/>
      <c r="BW2321" s="73"/>
      <c r="BX2321" s="73"/>
      <c r="BY2321" s="73"/>
      <c r="BZ2321" s="73"/>
      <c r="CA2321" s="73"/>
      <c r="CB2321" s="73"/>
      <c r="CC2321" s="73"/>
      <c r="CD2321" s="73"/>
      <c r="CE2321" s="73"/>
      <c r="CF2321" s="73"/>
      <c r="CG2321" s="73"/>
      <c r="CH2321" s="73"/>
    </row>
    <row r="2322">
      <c r="A2322" s="80"/>
      <c r="B2322" s="80"/>
      <c r="C2322" s="80"/>
      <c r="D2322" s="80"/>
      <c r="E2322" s="124"/>
      <c r="F2322" s="80"/>
      <c r="G2322" s="80"/>
      <c r="H2322" s="80"/>
      <c r="I2322" s="80"/>
      <c r="J2322" s="196"/>
      <c r="K2322" s="196"/>
      <c r="L2322" s="196"/>
      <c r="M2322" s="196"/>
      <c r="N2322" s="196"/>
      <c r="O2322" s="196"/>
      <c r="P2322" s="196"/>
      <c r="Q2322" s="196"/>
      <c r="R2322" s="196"/>
      <c r="S2322" s="196"/>
      <c r="T2322" s="196"/>
      <c r="U2322" s="196"/>
      <c r="V2322" s="196"/>
      <c r="W2322" s="196"/>
      <c r="X2322" s="196"/>
      <c r="Y2322" s="196"/>
      <c r="Z2322" s="196"/>
      <c r="AA2322" s="196"/>
      <c r="AB2322" s="196"/>
      <c r="AC2322" s="196"/>
      <c r="AD2322" s="196"/>
      <c r="AE2322" s="196"/>
      <c r="AF2322" s="196"/>
      <c r="AG2322" s="196"/>
      <c r="AH2322" s="196"/>
      <c r="AI2322" s="196"/>
      <c r="AJ2322" s="197"/>
      <c r="AK2322" s="80"/>
      <c r="AL2322" s="80"/>
      <c r="AM2322" s="73"/>
      <c r="AN2322" s="73"/>
      <c r="AO2322" s="73"/>
      <c r="AP2322" s="73"/>
      <c r="AQ2322" s="73"/>
      <c r="AR2322" s="73"/>
      <c r="AS2322" s="73"/>
      <c r="AT2322" s="73"/>
      <c r="AU2322" s="73"/>
      <c r="AV2322" s="73"/>
      <c r="AW2322" s="73"/>
      <c r="AX2322" s="73"/>
      <c r="AY2322" s="73"/>
      <c r="AZ2322" s="73"/>
      <c r="BA2322" s="73"/>
      <c r="BB2322" s="73"/>
      <c r="BC2322" s="73"/>
      <c r="BD2322" s="73"/>
      <c r="BE2322" s="73"/>
      <c r="BF2322" s="73"/>
      <c r="BG2322" s="73"/>
      <c r="BH2322" s="73"/>
      <c r="BI2322" s="73"/>
      <c r="BJ2322" s="73"/>
      <c r="BK2322" s="73"/>
      <c r="BL2322" s="73"/>
      <c r="BM2322" s="73"/>
      <c r="BN2322" s="73"/>
      <c r="BO2322" s="73"/>
      <c r="BP2322" s="73"/>
      <c r="BQ2322" s="73"/>
      <c r="BR2322" s="73"/>
      <c r="BS2322" s="73"/>
      <c r="BT2322" s="73"/>
      <c r="BU2322" s="73"/>
      <c r="BV2322" s="73"/>
      <c r="BW2322" s="73"/>
      <c r="BX2322" s="73"/>
      <c r="BY2322" s="73"/>
      <c r="BZ2322" s="73"/>
      <c r="CA2322" s="73"/>
      <c r="CB2322" s="73"/>
      <c r="CC2322" s="73"/>
      <c r="CD2322" s="73"/>
      <c r="CE2322" s="73"/>
      <c r="CF2322" s="73"/>
      <c r="CG2322" s="73"/>
      <c r="CH2322" s="73"/>
    </row>
    <row r="2323">
      <c r="A2323" s="80"/>
      <c r="B2323" s="80"/>
      <c r="C2323" s="80"/>
      <c r="D2323" s="80"/>
      <c r="E2323" s="124"/>
      <c r="F2323" s="80"/>
      <c r="G2323" s="80"/>
      <c r="H2323" s="80"/>
      <c r="I2323" s="80"/>
      <c r="J2323" s="196"/>
      <c r="K2323" s="196"/>
      <c r="L2323" s="196"/>
      <c r="M2323" s="196"/>
      <c r="N2323" s="196"/>
      <c r="O2323" s="196"/>
      <c r="P2323" s="196"/>
      <c r="Q2323" s="196"/>
      <c r="R2323" s="196"/>
      <c r="S2323" s="196"/>
      <c r="T2323" s="196"/>
      <c r="U2323" s="196"/>
      <c r="V2323" s="196"/>
      <c r="W2323" s="196"/>
      <c r="X2323" s="196"/>
      <c r="Y2323" s="196"/>
      <c r="Z2323" s="196"/>
      <c r="AA2323" s="196"/>
      <c r="AB2323" s="196"/>
      <c r="AC2323" s="196"/>
      <c r="AD2323" s="196"/>
      <c r="AE2323" s="196"/>
      <c r="AF2323" s="196"/>
      <c r="AG2323" s="196"/>
      <c r="AH2323" s="196"/>
      <c r="AI2323" s="196"/>
      <c r="AJ2323" s="197"/>
      <c r="AK2323" s="80"/>
      <c r="AL2323" s="80"/>
      <c r="AM2323" s="73"/>
      <c r="AN2323" s="73"/>
      <c r="AO2323" s="73"/>
      <c r="AP2323" s="73"/>
      <c r="AQ2323" s="73"/>
      <c r="AR2323" s="73"/>
      <c r="AS2323" s="73"/>
      <c r="AT2323" s="73"/>
      <c r="AU2323" s="73"/>
      <c r="AV2323" s="73"/>
      <c r="AW2323" s="73"/>
      <c r="AX2323" s="73"/>
      <c r="AY2323" s="73"/>
      <c r="AZ2323" s="73"/>
      <c r="BA2323" s="73"/>
      <c r="BB2323" s="73"/>
      <c r="BC2323" s="73"/>
      <c r="BD2323" s="73"/>
      <c r="BE2323" s="73"/>
      <c r="BF2323" s="73"/>
      <c r="BG2323" s="73"/>
      <c r="BH2323" s="73"/>
      <c r="BI2323" s="73"/>
      <c r="BJ2323" s="73"/>
      <c r="BK2323" s="73"/>
      <c r="BL2323" s="73"/>
      <c r="BM2323" s="73"/>
      <c r="BN2323" s="73"/>
      <c r="BO2323" s="73"/>
      <c r="BP2323" s="73"/>
      <c r="BQ2323" s="73"/>
      <c r="BR2323" s="73"/>
      <c r="BS2323" s="73"/>
      <c r="BT2323" s="73"/>
      <c r="BU2323" s="73"/>
      <c r="BV2323" s="73"/>
      <c r="BW2323" s="73"/>
      <c r="BX2323" s="73"/>
      <c r="BY2323" s="73"/>
      <c r="BZ2323" s="73"/>
      <c r="CA2323" s="73"/>
      <c r="CB2323" s="73"/>
      <c r="CC2323" s="73"/>
      <c r="CD2323" s="73"/>
      <c r="CE2323" s="73"/>
      <c r="CF2323" s="73"/>
      <c r="CG2323" s="73"/>
      <c r="CH2323" s="73"/>
    </row>
    <row r="2324">
      <c r="A2324" s="80"/>
      <c r="B2324" s="80"/>
      <c r="C2324" s="80"/>
      <c r="D2324" s="80"/>
      <c r="E2324" s="124"/>
      <c r="F2324" s="80"/>
      <c r="G2324" s="80"/>
      <c r="H2324" s="80"/>
      <c r="I2324" s="80"/>
      <c r="J2324" s="196"/>
      <c r="K2324" s="196"/>
      <c r="L2324" s="196"/>
      <c r="M2324" s="196"/>
      <c r="N2324" s="196"/>
      <c r="O2324" s="196"/>
      <c r="P2324" s="196"/>
      <c r="Q2324" s="196"/>
      <c r="R2324" s="196"/>
      <c r="S2324" s="196"/>
      <c r="T2324" s="196"/>
      <c r="U2324" s="196"/>
      <c r="V2324" s="196"/>
      <c r="W2324" s="196"/>
      <c r="X2324" s="196"/>
      <c r="Y2324" s="196"/>
      <c r="Z2324" s="196"/>
      <c r="AA2324" s="196"/>
      <c r="AB2324" s="196"/>
      <c r="AC2324" s="196"/>
      <c r="AD2324" s="196"/>
      <c r="AE2324" s="196"/>
      <c r="AF2324" s="196"/>
      <c r="AG2324" s="196"/>
      <c r="AH2324" s="196"/>
      <c r="AI2324" s="196"/>
      <c r="AJ2324" s="197"/>
      <c r="AK2324" s="80"/>
      <c r="AL2324" s="80"/>
      <c r="AM2324" s="73"/>
      <c r="AN2324" s="73"/>
      <c r="AO2324" s="73"/>
      <c r="AP2324" s="73"/>
      <c r="AQ2324" s="73"/>
      <c r="AR2324" s="73"/>
      <c r="AS2324" s="73"/>
      <c r="AT2324" s="73"/>
      <c r="AU2324" s="73"/>
      <c r="AV2324" s="73"/>
      <c r="AW2324" s="73"/>
      <c r="AX2324" s="73"/>
      <c r="AY2324" s="73"/>
      <c r="AZ2324" s="73"/>
      <c r="BA2324" s="73"/>
      <c r="BB2324" s="73"/>
      <c r="BC2324" s="73"/>
      <c r="BD2324" s="73"/>
      <c r="BE2324" s="73"/>
      <c r="BF2324" s="73"/>
      <c r="BG2324" s="73"/>
      <c r="BH2324" s="73"/>
      <c r="BI2324" s="73"/>
      <c r="BJ2324" s="73"/>
      <c r="BK2324" s="73"/>
      <c r="BL2324" s="73"/>
      <c r="BM2324" s="73"/>
      <c r="BN2324" s="73"/>
      <c r="BO2324" s="73"/>
      <c r="BP2324" s="73"/>
      <c r="BQ2324" s="73"/>
      <c r="BR2324" s="73"/>
      <c r="BS2324" s="73"/>
      <c r="BT2324" s="73"/>
      <c r="BU2324" s="73"/>
      <c r="BV2324" s="73"/>
      <c r="BW2324" s="73"/>
      <c r="BX2324" s="73"/>
      <c r="BY2324" s="73"/>
      <c r="BZ2324" s="73"/>
      <c r="CA2324" s="73"/>
      <c r="CB2324" s="73"/>
      <c r="CC2324" s="73"/>
      <c r="CD2324" s="73"/>
      <c r="CE2324" s="73"/>
      <c r="CF2324" s="73"/>
      <c r="CG2324" s="73"/>
      <c r="CH2324" s="73"/>
    </row>
    <row r="2325">
      <c r="A2325" s="80"/>
      <c r="B2325" s="80"/>
      <c r="C2325" s="80"/>
      <c r="D2325" s="80"/>
      <c r="E2325" s="124"/>
      <c r="F2325" s="80"/>
      <c r="G2325" s="80"/>
      <c r="H2325" s="80"/>
      <c r="I2325" s="80"/>
      <c r="J2325" s="196"/>
      <c r="K2325" s="196"/>
      <c r="L2325" s="196"/>
      <c r="M2325" s="196"/>
      <c r="N2325" s="196"/>
      <c r="O2325" s="196"/>
      <c r="P2325" s="196"/>
      <c r="Q2325" s="196"/>
      <c r="R2325" s="196"/>
      <c r="S2325" s="196"/>
      <c r="T2325" s="196"/>
      <c r="U2325" s="196"/>
      <c r="V2325" s="196"/>
      <c r="W2325" s="196"/>
      <c r="X2325" s="196"/>
      <c r="Y2325" s="196"/>
      <c r="Z2325" s="196"/>
      <c r="AA2325" s="196"/>
      <c r="AB2325" s="196"/>
      <c r="AC2325" s="196"/>
      <c r="AD2325" s="196"/>
      <c r="AE2325" s="196"/>
      <c r="AF2325" s="196"/>
      <c r="AG2325" s="196"/>
      <c r="AH2325" s="196"/>
      <c r="AI2325" s="196"/>
      <c r="AJ2325" s="197"/>
      <c r="AK2325" s="80"/>
      <c r="AL2325" s="80"/>
      <c r="AM2325" s="73"/>
      <c r="AN2325" s="73"/>
      <c r="AO2325" s="73"/>
      <c r="AP2325" s="73"/>
      <c r="AQ2325" s="73"/>
      <c r="AR2325" s="73"/>
      <c r="AS2325" s="73"/>
      <c r="AT2325" s="73"/>
      <c r="AU2325" s="73"/>
      <c r="AV2325" s="73"/>
      <c r="AW2325" s="73"/>
      <c r="AX2325" s="73"/>
      <c r="AY2325" s="73"/>
      <c r="AZ2325" s="73"/>
      <c r="BA2325" s="73"/>
      <c r="BB2325" s="73"/>
      <c r="BC2325" s="73"/>
      <c r="BD2325" s="73"/>
      <c r="BE2325" s="73"/>
      <c r="BF2325" s="73"/>
      <c r="BG2325" s="73"/>
      <c r="BH2325" s="73"/>
      <c r="BI2325" s="73"/>
      <c r="BJ2325" s="73"/>
      <c r="BK2325" s="73"/>
      <c r="BL2325" s="73"/>
      <c r="BM2325" s="73"/>
      <c r="BN2325" s="73"/>
      <c r="BO2325" s="73"/>
      <c r="BP2325" s="73"/>
      <c r="BQ2325" s="73"/>
      <c r="BR2325" s="73"/>
      <c r="BS2325" s="73"/>
      <c r="BT2325" s="73"/>
      <c r="BU2325" s="73"/>
      <c r="BV2325" s="73"/>
      <c r="BW2325" s="73"/>
      <c r="BX2325" s="73"/>
      <c r="BY2325" s="73"/>
      <c r="BZ2325" s="73"/>
      <c r="CA2325" s="73"/>
      <c r="CB2325" s="73"/>
      <c r="CC2325" s="73"/>
      <c r="CD2325" s="73"/>
      <c r="CE2325" s="73"/>
      <c r="CF2325" s="73"/>
      <c r="CG2325" s="73"/>
      <c r="CH2325" s="73"/>
    </row>
    <row r="2326">
      <c r="A2326" s="80"/>
      <c r="B2326" s="80"/>
      <c r="C2326" s="80"/>
      <c r="D2326" s="80"/>
      <c r="E2326" s="124"/>
      <c r="F2326" s="80"/>
      <c r="G2326" s="80"/>
      <c r="H2326" s="80"/>
      <c r="I2326" s="80"/>
      <c r="J2326" s="196"/>
      <c r="K2326" s="196"/>
      <c r="L2326" s="196"/>
      <c r="M2326" s="196"/>
      <c r="N2326" s="196"/>
      <c r="O2326" s="196"/>
      <c r="P2326" s="196"/>
      <c r="Q2326" s="196"/>
      <c r="R2326" s="196"/>
      <c r="S2326" s="196"/>
      <c r="T2326" s="196"/>
      <c r="U2326" s="196"/>
      <c r="V2326" s="196"/>
      <c r="W2326" s="196"/>
      <c r="X2326" s="196"/>
      <c r="Y2326" s="196"/>
      <c r="Z2326" s="196"/>
      <c r="AA2326" s="196"/>
      <c r="AB2326" s="196"/>
      <c r="AC2326" s="196"/>
      <c r="AD2326" s="196"/>
      <c r="AE2326" s="196"/>
      <c r="AF2326" s="196"/>
      <c r="AG2326" s="196"/>
      <c r="AH2326" s="196"/>
      <c r="AI2326" s="196"/>
      <c r="AJ2326" s="197"/>
      <c r="AK2326" s="80"/>
      <c r="AL2326" s="80"/>
      <c r="AM2326" s="73"/>
      <c r="AN2326" s="73"/>
      <c r="AO2326" s="73"/>
      <c r="AP2326" s="73"/>
      <c r="AQ2326" s="73"/>
      <c r="AR2326" s="73"/>
      <c r="AS2326" s="73"/>
      <c r="AT2326" s="73"/>
      <c r="AU2326" s="73"/>
      <c r="AV2326" s="73"/>
      <c r="AW2326" s="73"/>
      <c r="AX2326" s="73"/>
      <c r="AY2326" s="73"/>
      <c r="AZ2326" s="73"/>
      <c r="BA2326" s="73"/>
      <c r="BB2326" s="73"/>
      <c r="BC2326" s="73"/>
      <c r="BD2326" s="73"/>
      <c r="BE2326" s="73"/>
      <c r="BF2326" s="73"/>
      <c r="BG2326" s="73"/>
      <c r="BH2326" s="73"/>
      <c r="BI2326" s="73"/>
      <c r="BJ2326" s="73"/>
      <c r="BK2326" s="73"/>
      <c r="BL2326" s="73"/>
      <c r="BM2326" s="73"/>
      <c r="BN2326" s="73"/>
      <c r="BO2326" s="73"/>
      <c r="BP2326" s="73"/>
      <c r="BQ2326" s="73"/>
      <c r="BR2326" s="73"/>
      <c r="BS2326" s="73"/>
      <c r="BT2326" s="73"/>
      <c r="BU2326" s="73"/>
      <c r="BV2326" s="73"/>
      <c r="BW2326" s="73"/>
      <c r="BX2326" s="73"/>
      <c r="BY2326" s="73"/>
      <c r="BZ2326" s="73"/>
      <c r="CA2326" s="73"/>
      <c r="CB2326" s="73"/>
      <c r="CC2326" s="73"/>
      <c r="CD2326" s="73"/>
      <c r="CE2326" s="73"/>
      <c r="CF2326" s="73"/>
      <c r="CG2326" s="73"/>
      <c r="CH2326" s="73"/>
    </row>
    <row r="2327">
      <c r="A2327" s="80"/>
      <c r="B2327" s="80"/>
      <c r="C2327" s="80"/>
      <c r="D2327" s="80"/>
      <c r="E2327" s="124"/>
      <c r="F2327" s="80"/>
      <c r="G2327" s="80"/>
      <c r="H2327" s="80"/>
      <c r="I2327" s="80"/>
      <c r="J2327" s="196"/>
      <c r="K2327" s="196"/>
      <c r="L2327" s="196"/>
      <c r="M2327" s="196"/>
      <c r="N2327" s="196"/>
      <c r="O2327" s="196"/>
      <c r="P2327" s="196"/>
      <c r="Q2327" s="196"/>
      <c r="R2327" s="196"/>
      <c r="S2327" s="196"/>
      <c r="T2327" s="196"/>
      <c r="U2327" s="196"/>
      <c r="V2327" s="196"/>
      <c r="W2327" s="196"/>
      <c r="X2327" s="196"/>
      <c r="Y2327" s="196"/>
      <c r="Z2327" s="196"/>
      <c r="AA2327" s="196"/>
      <c r="AB2327" s="196"/>
      <c r="AC2327" s="196"/>
      <c r="AD2327" s="196"/>
      <c r="AE2327" s="196"/>
      <c r="AF2327" s="196"/>
      <c r="AG2327" s="196"/>
      <c r="AH2327" s="196"/>
      <c r="AI2327" s="196"/>
      <c r="AJ2327" s="197"/>
      <c r="AK2327" s="80"/>
      <c r="AL2327" s="80"/>
      <c r="AM2327" s="73"/>
      <c r="AN2327" s="73"/>
      <c r="AO2327" s="73"/>
      <c r="AP2327" s="73"/>
      <c r="AQ2327" s="73"/>
      <c r="AR2327" s="73"/>
      <c r="AS2327" s="73"/>
      <c r="AT2327" s="73"/>
      <c r="AU2327" s="73"/>
      <c r="AV2327" s="73"/>
      <c r="AW2327" s="73"/>
      <c r="AX2327" s="73"/>
      <c r="AY2327" s="73"/>
      <c r="AZ2327" s="73"/>
      <c r="BA2327" s="73"/>
      <c r="BB2327" s="73"/>
      <c r="BC2327" s="73"/>
      <c r="BD2327" s="73"/>
      <c r="BE2327" s="73"/>
      <c r="BF2327" s="73"/>
      <c r="BG2327" s="73"/>
      <c r="BH2327" s="73"/>
      <c r="BI2327" s="73"/>
      <c r="BJ2327" s="73"/>
      <c r="BK2327" s="73"/>
      <c r="BL2327" s="73"/>
      <c r="BM2327" s="73"/>
      <c r="BN2327" s="73"/>
      <c r="BO2327" s="73"/>
      <c r="BP2327" s="73"/>
      <c r="BQ2327" s="73"/>
      <c r="BR2327" s="73"/>
      <c r="BS2327" s="73"/>
      <c r="BT2327" s="73"/>
      <c r="BU2327" s="73"/>
      <c r="BV2327" s="73"/>
      <c r="BW2327" s="73"/>
      <c r="BX2327" s="73"/>
      <c r="BY2327" s="73"/>
      <c r="BZ2327" s="73"/>
      <c r="CA2327" s="73"/>
      <c r="CB2327" s="73"/>
      <c r="CC2327" s="73"/>
      <c r="CD2327" s="73"/>
      <c r="CE2327" s="73"/>
      <c r="CF2327" s="73"/>
      <c r="CG2327" s="73"/>
      <c r="CH2327" s="73"/>
    </row>
    <row r="2328">
      <c r="A2328" s="80"/>
      <c r="B2328" s="80"/>
      <c r="C2328" s="80"/>
      <c r="D2328" s="80"/>
      <c r="E2328" s="124"/>
      <c r="F2328" s="80"/>
      <c r="G2328" s="80"/>
      <c r="H2328" s="80"/>
      <c r="I2328" s="80"/>
      <c r="J2328" s="196"/>
      <c r="K2328" s="196"/>
      <c r="L2328" s="196"/>
      <c r="M2328" s="196"/>
      <c r="N2328" s="196"/>
      <c r="O2328" s="196"/>
      <c r="P2328" s="196"/>
      <c r="Q2328" s="196"/>
      <c r="R2328" s="196"/>
      <c r="S2328" s="196"/>
      <c r="T2328" s="196"/>
      <c r="U2328" s="196"/>
      <c r="V2328" s="196"/>
      <c r="W2328" s="196"/>
      <c r="X2328" s="196"/>
      <c r="Y2328" s="196"/>
      <c r="Z2328" s="196"/>
      <c r="AA2328" s="196"/>
      <c r="AB2328" s="196"/>
      <c r="AC2328" s="196"/>
      <c r="AD2328" s="196"/>
      <c r="AE2328" s="196"/>
      <c r="AF2328" s="196"/>
      <c r="AG2328" s="196"/>
      <c r="AH2328" s="196"/>
      <c r="AI2328" s="196"/>
      <c r="AJ2328" s="197"/>
      <c r="AK2328" s="80"/>
      <c r="AL2328" s="80"/>
      <c r="AM2328" s="73"/>
      <c r="AN2328" s="73"/>
      <c r="AO2328" s="73"/>
      <c r="AP2328" s="73"/>
      <c r="AQ2328" s="73"/>
      <c r="AR2328" s="73"/>
      <c r="AS2328" s="73"/>
      <c r="AT2328" s="73"/>
      <c r="AU2328" s="73"/>
      <c r="AV2328" s="73"/>
      <c r="AW2328" s="73"/>
      <c r="AX2328" s="73"/>
      <c r="AY2328" s="73"/>
      <c r="AZ2328" s="73"/>
      <c r="BA2328" s="73"/>
      <c r="BB2328" s="73"/>
      <c r="BC2328" s="73"/>
      <c r="BD2328" s="73"/>
      <c r="BE2328" s="73"/>
      <c r="BF2328" s="73"/>
      <c r="BG2328" s="73"/>
      <c r="BH2328" s="73"/>
      <c r="BI2328" s="73"/>
      <c r="BJ2328" s="73"/>
      <c r="BK2328" s="73"/>
      <c r="BL2328" s="73"/>
      <c r="BM2328" s="73"/>
      <c r="BN2328" s="73"/>
      <c r="BO2328" s="73"/>
      <c r="BP2328" s="73"/>
      <c r="BQ2328" s="73"/>
      <c r="BR2328" s="73"/>
      <c r="BS2328" s="73"/>
      <c r="BT2328" s="73"/>
      <c r="BU2328" s="73"/>
      <c r="BV2328" s="73"/>
      <c r="BW2328" s="73"/>
      <c r="BX2328" s="73"/>
      <c r="BY2328" s="73"/>
      <c r="BZ2328" s="73"/>
      <c r="CA2328" s="73"/>
      <c r="CB2328" s="73"/>
      <c r="CC2328" s="73"/>
      <c r="CD2328" s="73"/>
      <c r="CE2328" s="73"/>
      <c r="CF2328" s="73"/>
      <c r="CG2328" s="73"/>
      <c r="CH2328" s="73"/>
    </row>
    <row r="2329">
      <c r="A2329" s="80"/>
      <c r="B2329" s="80"/>
      <c r="C2329" s="80"/>
      <c r="D2329" s="80"/>
      <c r="E2329" s="124"/>
      <c r="F2329" s="80"/>
      <c r="G2329" s="80"/>
      <c r="H2329" s="80"/>
      <c r="I2329" s="80"/>
      <c r="J2329" s="196"/>
      <c r="K2329" s="196"/>
      <c r="L2329" s="196"/>
      <c r="M2329" s="196"/>
      <c r="N2329" s="196"/>
      <c r="O2329" s="196"/>
      <c r="P2329" s="196"/>
      <c r="Q2329" s="196"/>
      <c r="R2329" s="196"/>
      <c r="S2329" s="196"/>
      <c r="T2329" s="196"/>
      <c r="U2329" s="196"/>
      <c r="V2329" s="196"/>
      <c r="W2329" s="196"/>
      <c r="X2329" s="196"/>
      <c r="Y2329" s="196"/>
      <c r="Z2329" s="196"/>
      <c r="AA2329" s="196"/>
      <c r="AB2329" s="196"/>
      <c r="AC2329" s="196"/>
      <c r="AD2329" s="196"/>
      <c r="AE2329" s="196"/>
      <c r="AF2329" s="196"/>
      <c r="AG2329" s="196"/>
      <c r="AH2329" s="196"/>
      <c r="AI2329" s="196"/>
      <c r="AJ2329" s="197"/>
      <c r="AK2329" s="80"/>
      <c r="AL2329" s="80"/>
      <c r="AM2329" s="73"/>
      <c r="AN2329" s="73"/>
      <c r="AO2329" s="73"/>
      <c r="AP2329" s="73"/>
      <c r="AQ2329" s="73"/>
      <c r="AR2329" s="73"/>
      <c r="AS2329" s="73"/>
      <c r="AT2329" s="73"/>
      <c r="AU2329" s="73"/>
      <c r="AV2329" s="73"/>
      <c r="AW2329" s="73"/>
      <c r="AX2329" s="73"/>
      <c r="AY2329" s="73"/>
      <c r="AZ2329" s="73"/>
      <c r="BA2329" s="73"/>
      <c r="BB2329" s="73"/>
      <c r="BC2329" s="73"/>
      <c r="BD2329" s="73"/>
      <c r="BE2329" s="73"/>
      <c r="BF2329" s="73"/>
      <c r="BG2329" s="73"/>
      <c r="BH2329" s="73"/>
      <c r="BI2329" s="73"/>
      <c r="BJ2329" s="73"/>
      <c r="BK2329" s="73"/>
      <c r="BL2329" s="73"/>
      <c r="BM2329" s="73"/>
      <c r="BN2329" s="73"/>
      <c r="BO2329" s="73"/>
      <c r="BP2329" s="73"/>
      <c r="BQ2329" s="73"/>
      <c r="BR2329" s="73"/>
      <c r="BS2329" s="73"/>
      <c r="BT2329" s="73"/>
      <c r="BU2329" s="73"/>
      <c r="BV2329" s="73"/>
      <c r="BW2329" s="73"/>
      <c r="BX2329" s="73"/>
      <c r="BY2329" s="73"/>
      <c r="BZ2329" s="73"/>
      <c r="CA2329" s="73"/>
      <c r="CB2329" s="73"/>
      <c r="CC2329" s="73"/>
      <c r="CD2329" s="73"/>
      <c r="CE2329" s="73"/>
      <c r="CF2329" s="73"/>
      <c r="CG2329" s="73"/>
      <c r="CH2329" s="73"/>
    </row>
    <row r="2330">
      <c r="A2330" s="80"/>
      <c r="B2330" s="80"/>
      <c r="C2330" s="80"/>
      <c r="D2330" s="80"/>
      <c r="E2330" s="124"/>
      <c r="F2330" s="80"/>
      <c r="G2330" s="80"/>
      <c r="H2330" s="80"/>
      <c r="I2330" s="80"/>
      <c r="J2330" s="196"/>
      <c r="K2330" s="196"/>
      <c r="L2330" s="196"/>
      <c r="M2330" s="196"/>
      <c r="N2330" s="196"/>
      <c r="O2330" s="196"/>
      <c r="P2330" s="196"/>
      <c r="Q2330" s="196"/>
      <c r="R2330" s="196"/>
      <c r="S2330" s="196"/>
      <c r="T2330" s="196"/>
      <c r="U2330" s="196"/>
      <c r="V2330" s="196"/>
      <c r="W2330" s="196"/>
      <c r="X2330" s="196"/>
      <c r="Y2330" s="196"/>
      <c r="Z2330" s="196"/>
      <c r="AA2330" s="196"/>
      <c r="AB2330" s="196"/>
      <c r="AC2330" s="196"/>
      <c r="AD2330" s="196"/>
      <c r="AE2330" s="196"/>
      <c r="AF2330" s="196"/>
      <c r="AG2330" s="196"/>
      <c r="AH2330" s="196"/>
      <c r="AI2330" s="196"/>
      <c r="AJ2330" s="197"/>
      <c r="AK2330" s="80"/>
      <c r="AL2330" s="80"/>
      <c r="AM2330" s="73"/>
      <c r="AN2330" s="73"/>
      <c r="AO2330" s="73"/>
      <c r="AP2330" s="73"/>
      <c r="AQ2330" s="73"/>
      <c r="AR2330" s="73"/>
      <c r="AS2330" s="73"/>
      <c r="AT2330" s="73"/>
      <c r="AU2330" s="73"/>
      <c r="AV2330" s="73"/>
      <c r="AW2330" s="73"/>
      <c r="AX2330" s="73"/>
      <c r="AY2330" s="73"/>
      <c r="AZ2330" s="73"/>
      <c r="BA2330" s="73"/>
      <c r="BB2330" s="73"/>
      <c r="BC2330" s="73"/>
      <c r="BD2330" s="73"/>
      <c r="BE2330" s="73"/>
      <c r="BF2330" s="73"/>
      <c r="BG2330" s="73"/>
      <c r="BH2330" s="73"/>
      <c r="BI2330" s="73"/>
      <c r="BJ2330" s="73"/>
      <c r="BK2330" s="73"/>
      <c r="BL2330" s="73"/>
      <c r="BM2330" s="73"/>
      <c r="BN2330" s="73"/>
      <c r="BO2330" s="73"/>
      <c r="BP2330" s="73"/>
      <c r="BQ2330" s="73"/>
      <c r="BR2330" s="73"/>
      <c r="BS2330" s="73"/>
      <c r="BT2330" s="73"/>
      <c r="BU2330" s="73"/>
      <c r="BV2330" s="73"/>
      <c r="BW2330" s="73"/>
      <c r="BX2330" s="73"/>
      <c r="BY2330" s="73"/>
      <c r="BZ2330" s="73"/>
      <c r="CA2330" s="73"/>
      <c r="CB2330" s="73"/>
      <c r="CC2330" s="73"/>
      <c r="CD2330" s="73"/>
      <c r="CE2330" s="73"/>
      <c r="CF2330" s="73"/>
      <c r="CG2330" s="73"/>
      <c r="CH2330" s="73"/>
    </row>
    <row r="2331">
      <c r="A2331" s="80"/>
      <c r="B2331" s="80"/>
      <c r="C2331" s="80"/>
      <c r="D2331" s="80"/>
      <c r="E2331" s="124"/>
      <c r="F2331" s="80"/>
      <c r="G2331" s="80"/>
      <c r="H2331" s="80"/>
      <c r="I2331" s="80"/>
      <c r="J2331" s="196"/>
      <c r="K2331" s="196"/>
      <c r="L2331" s="196"/>
      <c r="M2331" s="196"/>
      <c r="N2331" s="196"/>
      <c r="O2331" s="196"/>
      <c r="P2331" s="196"/>
      <c r="Q2331" s="196"/>
      <c r="R2331" s="196"/>
      <c r="S2331" s="196"/>
      <c r="T2331" s="196"/>
      <c r="U2331" s="196"/>
      <c r="V2331" s="196"/>
      <c r="W2331" s="196"/>
      <c r="X2331" s="196"/>
      <c r="Y2331" s="196"/>
      <c r="Z2331" s="196"/>
      <c r="AA2331" s="196"/>
      <c r="AB2331" s="196"/>
      <c r="AC2331" s="196"/>
      <c r="AD2331" s="196"/>
      <c r="AE2331" s="196"/>
      <c r="AF2331" s="196"/>
      <c r="AG2331" s="196"/>
      <c r="AH2331" s="196"/>
      <c r="AI2331" s="196"/>
      <c r="AJ2331" s="197"/>
      <c r="AK2331" s="80"/>
      <c r="AL2331" s="80"/>
      <c r="AM2331" s="73"/>
      <c r="AN2331" s="73"/>
      <c r="AO2331" s="73"/>
      <c r="AP2331" s="73"/>
      <c r="AQ2331" s="73"/>
      <c r="AR2331" s="73"/>
      <c r="AS2331" s="73"/>
      <c r="AT2331" s="73"/>
      <c r="AU2331" s="73"/>
      <c r="AV2331" s="73"/>
      <c r="AW2331" s="73"/>
      <c r="AX2331" s="73"/>
      <c r="AY2331" s="73"/>
      <c r="AZ2331" s="73"/>
      <c r="BA2331" s="73"/>
      <c r="BB2331" s="73"/>
      <c r="BC2331" s="73"/>
      <c r="BD2331" s="73"/>
      <c r="BE2331" s="73"/>
      <c r="BF2331" s="73"/>
      <c r="BG2331" s="73"/>
      <c r="BH2331" s="73"/>
      <c r="BI2331" s="73"/>
      <c r="BJ2331" s="73"/>
      <c r="BK2331" s="73"/>
      <c r="BL2331" s="73"/>
      <c r="BM2331" s="73"/>
      <c r="BN2331" s="73"/>
      <c r="BO2331" s="73"/>
      <c r="BP2331" s="73"/>
      <c r="BQ2331" s="73"/>
      <c r="BR2331" s="73"/>
      <c r="BS2331" s="73"/>
      <c r="BT2331" s="73"/>
      <c r="BU2331" s="73"/>
      <c r="BV2331" s="73"/>
      <c r="BW2331" s="73"/>
      <c r="BX2331" s="73"/>
      <c r="BY2331" s="73"/>
      <c r="BZ2331" s="73"/>
      <c r="CA2331" s="73"/>
      <c r="CB2331" s="73"/>
      <c r="CC2331" s="73"/>
      <c r="CD2331" s="73"/>
      <c r="CE2331" s="73"/>
      <c r="CF2331" s="73"/>
      <c r="CG2331" s="73"/>
      <c r="CH2331" s="73"/>
    </row>
    <row r="2332">
      <c r="A2332" s="80"/>
      <c r="B2332" s="80"/>
      <c r="C2332" s="80"/>
      <c r="D2332" s="80"/>
      <c r="E2332" s="124"/>
      <c r="F2332" s="80"/>
      <c r="G2332" s="80"/>
      <c r="H2332" s="80"/>
      <c r="I2332" s="80"/>
      <c r="J2332" s="196"/>
      <c r="K2332" s="196"/>
      <c r="L2332" s="196"/>
      <c r="M2332" s="196"/>
      <c r="N2332" s="196"/>
      <c r="O2332" s="196"/>
      <c r="P2332" s="196"/>
      <c r="Q2332" s="196"/>
      <c r="R2332" s="196"/>
      <c r="S2332" s="196"/>
      <c r="T2332" s="196"/>
      <c r="U2332" s="196"/>
      <c r="V2332" s="196"/>
      <c r="W2332" s="196"/>
      <c r="X2332" s="196"/>
      <c r="Y2332" s="196"/>
      <c r="Z2332" s="196"/>
      <c r="AA2332" s="196"/>
      <c r="AB2332" s="196"/>
      <c r="AC2332" s="196"/>
      <c r="AD2332" s="196"/>
      <c r="AE2332" s="196"/>
      <c r="AF2332" s="196"/>
      <c r="AG2332" s="196"/>
      <c r="AH2332" s="196"/>
      <c r="AI2332" s="196"/>
      <c r="AJ2332" s="197"/>
      <c r="AK2332" s="80"/>
      <c r="AL2332" s="80"/>
      <c r="AM2332" s="73"/>
      <c r="AN2332" s="73"/>
      <c r="AO2332" s="73"/>
      <c r="AP2332" s="73"/>
      <c r="AQ2332" s="73"/>
      <c r="AR2332" s="73"/>
      <c r="AS2332" s="73"/>
      <c r="AT2332" s="73"/>
      <c r="AU2332" s="73"/>
      <c r="AV2332" s="73"/>
      <c r="AW2332" s="73"/>
      <c r="AX2332" s="73"/>
      <c r="AY2332" s="73"/>
      <c r="AZ2332" s="73"/>
      <c r="BA2332" s="73"/>
      <c r="BB2332" s="73"/>
      <c r="BC2332" s="73"/>
      <c r="BD2332" s="73"/>
      <c r="BE2332" s="73"/>
      <c r="BF2332" s="73"/>
      <c r="BG2332" s="73"/>
      <c r="BH2332" s="73"/>
      <c r="BI2332" s="73"/>
      <c r="BJ2332" s="73"/>
      <c r="BK2332" s="73"/>
      <c r="BL2332" s="73"/>
      <c r="BM2332" s="73"/>
      <c r="BN2332" s="73"/>
      <c r="BO2332" s="73"/>
      <c r="BP2332" s="73"/>
      <c r="BQ2332" s="73"/>
      <c r="BR2332" s="73"/>
      <c r="BS2332" s="73"/>
      <c r="BT2332" s="73"/>
      <c r="BU2332" s="73"/>
      <c r="BV2332" s="73"/>
      <c r="BW2332" s="73"/>
      <c r="BX2332" s="73"/>
      <c r="BY2332" s="73"/>
      <c r="BZ2332" s="73"/>
      <c r="CA2332" s="73"/>
      <c r="CB2332" s="73"/>
      <c r="CC2332" s="73"/>
      <c r="CD2332" s="73"/>
      <c r="CE2332" s="73"/>
      <c r="CF2332" s="73"/>
      <c r="CG2332" s="73"/>
      <c r="CH2332" s="73"/>
    </row>
    <row r="2333">
      <c r="A2333" s="80"/>
      <c r="B2333" s="80"/>
      <c r="C2333" s="80"/>
      <c r="D2333" s="80"/>
      <c r="E2333" s="124"/>
      <c r="F2333" s="80"/>
      <c r="G2333" s="80"/>
      <c r="H2333" s="80"/>
      <c r="I2333" s="80"/>
      <c r="J2333" s="196"/>
      <c r="K2333" s="196"/>
      <c r="L2333" s="196"/>
      <c r="M2333" s="196"/>
      <c r="N2333" s="196"/>
      <c r="O2333" s="196"/>
      <c r="P2333" s="196"/>
      <c r="Q2333" s="196"/>
      <c r="R2333" s="196"/>
      <c r="S2333" s="196"/>
      <c r="T2333" s="196"/>
      <c r="U2333" s="196"/>
      <c r="V2333" s="196"/>
      <c r="W2333" s="196"/>
      <c r="X2333" s="196"/>
      <c r="Y2333" s="196"/>
      <c r="Z2333" s="196"/>
      <c r="AA2333" s="196"/>
      <c r="AB2333" s="196"/>
      <c r="AC2333" s="196"/>
      <c r="AD2333" s="196"/>
      <c r="AE2333" s="196"/>
      <c r="AF2333" s="196"/>
      <c r="AG2333" s="196"/>
      <c r="AH2333" s="196"/>
      <c r="AI2333" s="196"/>
      <c r="AJ2333" s="197"/>
      <c r="AK2333" s="80"/>
      <c r="AL2333" s="80"/>
      <c r="AM2333" s="73"/>
      <c r="AN2333" s="73"/>
      <c r="AO2333" s="73"/>
      <c r="AP2333" s="73"/>
      <c r="AQ2333" s="73"/>
      <c r="AR2333" s="73"/>
      <c r="AS2333" s="73"/>
      <c r="AT2333" s="73"/>
      <c r="AU2333" s="73"/>
      <c r="AV2333" s="73"/>
      <c r="AW2333" s="73"/>
      <c r="AX2333" s="73"/>
      <c r="AY2333" s="73"/>
      <c r="AZ2333" s="73"/>
      <c r="BA2333" s="73"/>
      <c r="BB2333" s="73"/>
      <c r="BC2333" s="73"/>
      <c r="BD2333" s="73"/>
      <c r="BE2333" s="73"/>
      <c r="BF2333" s="73"/>
      <c r="BG2333" s="73"/>
      <c r="BH2333" s="73"/>
      <c r="BI2333" s="73"/>
      <c r="BJ2333" s="73"/>
      <c r="BK2333" s="73"/>
      <c r="BL2333" s="73"/>
      <c r="BM2333" s="73"/>
      <c r="BN2333" s="73"/>
      <c r="BO2333" s="73"/>
      <c r="BP2333" s="73"/>
      <c r="BQ2333" s="73"/>
      <c r="BR2333" s="73"/>
      <c r="BS2333" s="73"/>
      <c r="BT2333" s="73"/>
      <c r="BU2333" s="73"/>
      <c r="BV2333" s="73"/>
      <c r="BW2333" s="73"/>
      <c r="BX2333" s="73"/>
      <c r="BY2333" s="73"/>
      <c r="BZ2333" s="73"/>
      <c r="CA2333" s="73"/>
      <c r="CB2333" s="73"/>
      <c r="CC2333" s="73"/>
      <c r="CD2333" s="73"/>
      <c r="CE2333" s="73"/>
      <c r="CF2333" s="73"/>
      <c r="CG2333" s="73"/>
      <c r="CH2333" s="73"/>
    </row>
    <row r="2334">
      <c r="A2334" s="80"/>
      <c r="B2334" s="80"/>
      <c r="C2334" s="80"/>
      <c r="D2334" s="80"/>
      <c r="E2334" s="124"/>
      <c r="F2334" s="80"/>
      <c r="G2334" s="80"/>
      <c r="H2334" s="80"/>
      <c r="I2334" s="80"/>
      <c r="J2334" s="196"/>
      <c r="K2334" s="196"/>
      <c r="L2334" s="196"/>
      <c r="M2334" s="196"/>
      <c r="N2334" s="196"/>
      <c r="O2334" s="196"/>
      <c r="P2334" s="196"/>
      <c r="Q2334" s="196"/>
      <c r="R2334" s="196"/>
      <c r="S2334" s="196"/>
      <c r="T2334" s="196"/>
      <c r="U2334" s="196"/>
      <c r="V2334" s="196"/>
      <c r="W2334" s="196"/>
      <c r="X2334" s="196"/>
      <c r="Y2334" s="196"/>
      <c r="Z2334" s="196"/>
      <c r="AA2334" s="196"/>
      <c r="AB2334" s="196"/>
      <c r="AC2334" s="196"/>
      <c r="AD2334" s="196"/>
      <c r="AE2334" s="196"/>
      <c r="AF2334" s="196"/>
      <c r="AG2334" s="196"/>
      <c r="AH2334" s="196"/>
      <c r="AI2334" s="196"/>
      <c r="AJ2334" s="197"/>
      <c r="AK2334" s="80"/>
      <c r="AL2334" s="80"/>
      <c r="AM2334" s="73"/>
      <c r="AN2334" s="73"/>
      <c r="AO2334" s="73"/>
      <c r="AP2334" s="73"/>
      <c r="AQ2334" s="73"/>
      <c r="AR2334" s="73"/>
      <c r="AS2334" s="73"/>
      <c r="AT2334" s="73"/>
      <c r="AU2334" s="73"/>
      <c r="AV2334" s="73"/>
      <c r="AW2334" s="73"/>
      <c r="AX2334" s="73"/>
      <c r="AY2334" s="73"/>
      <c r="AZ2334" s="73"/>
      <c r="BA2334" s="73"/>
      <c r="BB2334" s="73"/>
      <c r="BC2334" s="73"/>
      <c r="BD2334" s="73"/>
      <c r="BE2334" s="73"/>
      <c r="BF2334" s="73"/>
      <c r="BG2334" s="73"/>
      <c r="BH2334" s="73"/>
      <c r="BI2334" s="73"/>
      <c r="BJ2334" s="73"/>
      <c r="BK2334" s="73"/>
      <c r="BL2334" s="73"/>
      <c r="BM2334" s="73"/>
      <c r="BN2334" s="73"/>
      <c r="BO2334" s="73"/>
      <c r="BP2334" s="73"/>
      <c r="BQ2334" s="73"/>
      <c r="BR2334" s="73"/>
      <c r="BS2334" s="73"/>
      <c r="BT2334" s="73"/>
      <c r="BU2334" s="73"/>
      <c r="BV2334" s="73"/>
      <c r="BW2334" s="73"/>
      <c r="BX2334" s="73"/>
      <c r="BY2334" s="73"/>
      <c r="BZ2334" s="73"/>
      <c r="CA2334" s="73"/>
      <c r="CB2334" s="73"/>
      <c r="CC2334" s="73"/>
      <c r="CD2334" s="73"/>
      <c r="CE2334" s="73"/>
      <c r="CF2334" s="73"/>
      <c r="CG2334" s="73"/>
      <c r="CH2334" s="73"/>
    </row>
    <row r="2335">
      <c r="A2335" s="80"/>
      <c r="B2335" s="80"/>
      <c r="C2335" s="80"/>
      <c r="D2335" s="80"/>
      <c r="E2335" s="124"/>
      <c r="F2335" s="80"/>
      <c r="G2335" s="80"/>
      <c r="H2335" s="80"/>
      <c r="I2335" s="80"/>
      <c r="J2335" s="196"/>
      <c r="K2335" s="196"/>
      <c r="L2335" s="196"/>
      <c r="M2335" s="196"/>
      <c r="N2335" s="196"/>
      <c r="O2335" s="196"/>
      <c r="P2335" s="196"/>
      <c r="Q2335" s="196"/>
      <c r="R2335" s="196"/>
      <c r="S2335" s="196"/>
      <c r="T2335" s="196"/>
      <c r="U2335" s="196"/>
      <c r="V2335" s="196"/>
      <c r="W2335" s="196"/>
      <c r="X2335" s="196"/>
      <c r="Y2335" s="196"/>
      <c r="Z2335" s="196"/>
      <c r="AA2335" s="196"/>
      <c r="AB2335" s="196"/>
      <c r="AC2335" s="196"/>
      <c r="AD2335" s="196"/>
      <c r="AE2335" s="196"/>
      <c r="AF2335" s="196"/>
      <c r="AG2335" s="196"/>
      <c r="AH2335" s="196"/>
      <c r="AI2335" s="196"/>
      <c r="AJ2335" s="197"/>
      <c r="AK2335" s="80"/>
      <c r="AL2335" s="80"/>
      <c r="AM2335" s="73"/>
      <c r="AN2335" s="73"/>
      <c r="AO2335" s="73"/>
      <c r="AP2335" s="73"/>
      <c r="AQ2335" s="73"/>
      <c r="AR2335" s="73"/>
      <c r="AS2335" s="73"/>
      <c r="AT2335" s="73"/>
      <c r="AU2335" s="73"/>
      <c r="AV2335" s="73"/>
      <c r="AW2335" s="73"/>
      <c r="AX2335" s="73"/>
      <c r="AY2335" s="73"/>
      <c r="AZ2335" s="73"/>
      <c r="BA2335" s="73"/>
      <c r="BB2335" s="73"/>
      <c r="BC2335" s="73"/>
      <c r="BD2335" s="73"/>
      <c r="BE2335" s="73"/>
      <c r="BF2335" s="73"/>
      <c r="BG2335" s="73"/>
      <c r="BH2335" s="73"/>
      <c r="BI2335" s="73"/>
      <c r="BJ2335" s="73"/>
      <c r="BK2335" s="73"/>
      <c r="BL2335" s="73"/>
      <c r="BM2335" s="73"/>
      <c r="BN2335" s="73"/>
      <c r="BO2335" s="73"/>
      <c r="BP2335" s="73"/>
      <c r="BQ2335" s="73"/>
      <c r="BR2335" s="73"/>
      <c r="BS2335" s="73"/>
      <c r="BT2335" s="73"/>
      <c r="BU2335" s="73"/>
      <c r="BV2335" s="73"/>
      <c r="BW2335" s="73"/>
      <c r="BX2335" s="73"/>
      <c r="BY2335" s="73"/>
      <c r="BZ2335" s="73"/>
      <c r="CA2335" s="73"/>
      <c r="CB2335" s="73"/>
      <c r="CC2335" s="73"/>
      <c r="CD2335" s="73"/>
      <c r="CE2335" s="73"/>
      <c r="CF2335" s="73"/>
      <c r="CG2335" s="73"/>
      <c r="CH2335" s="73"/>
    </row>
    <row r="2336">
      <c r="A2336" s="80"/>
      <c r="B2336" s="80"/>
      <c r="C2336" s="80"/>
      <c r="D2336" s="80"/>
      <c r="E2336" s="124"/>
      <c r="F2336" s="80"/>
      <c r="G2336" s="80"/>
      <c r="H2336" s="80"/>
      <c r="I2336" s="80"/>
      <c r="J2336" s="196"/>
      <c r="K2336" s="196"/>
      <c r="L2336" s="196"/>
      <c r="M2336" s="196"/>
      <c r="N2336" s="196"/>
      <c r="O2336" s="196"/>
      <c r="P2336" s="196"/>
      <c r="Q2336" s="196"/>
      <c r="R2336" s="196"/>
      <c r="S2336" s="196"/>
      <c r="T2336" s="196"/>
      <c r="U2336" s="196"/>
      <c r="V2336" s="196"/>
      <c r="W2336" s="196"/>
      <c r="X2336" s="196"/>
      <c r="Y2336" s="196"/>
      <c r="Z2336" s="196"/>
      <c r="AA2336" s="196"/>
      <c r="AB2336" s="196"/>
      <c r="AC2336" s="196"/>
      <c r="AD2336" s="196"/>
      <c r="AE2336" s="196"/>
      <c r="AF2336" s="196"/>
      <c r="AG2336" s="196"/>
      <c r="AH2336" s="196"/>
      <c r="AI2336" s="196"/>
      <c r="AJ2336" s="197"/>
      <c r="AK2336" s="80"/>
      <c r="AL2336" s="80"/>
      <c r="AM2336" s="73"/>
      <c r="AN2336" s="73"/>
      <c r="AO2336" s="73"/>
      <c r="AP2336" s="73"/>
      <c r="AQ2336" s="73"/>
      <c r="AR2336" s="73"/>
      <c r="AS2336" s="73"/>
      <c r="AT2336" s="73"/>
      <c r="AU2336" s="73"/>
      <c r="AV2336" s="73"/>
      <c r="AW2336" s="73"/>
      <c r="AX2336" s="73"/>
      <c r="AY2336" s="73"/>
      <c r="AZ2336" s="73"/>
      <c r="BA2336" s="73"/>
      <c r="BB2336" s="73"/>
      <c r="BC2336" s="73"/>
      <c r="BD2336" s="73"/>
      <c r="BE2336" s="73"/>
      <c r="BF2336" s="73"/>
      <c r="BG2336" s="73"/>
      <c r="BH2336" s="73"/>
      <c r="BI2336" s="73"/>
      <c r="BJ2336" s="73"/>
      <c r="BK2336" s="73"/>
      <c r="BL2336" s="73"/>
      <c r="BM2336" s="73"/>
      <c r="BN2336" s="73"/>
      <c r="BO2336" s="73"/>
      <c r="BP2336" s="73"/>
      <c r="BQ2336" s="73"/>
      <c r="BR2336" s="73"/>
      <c r="BS2336" s="73"/>
      <c r="BT2336" s="73"/>
      <c r="BU2336" s="73"/>
      <c r="BV2336" s="73"/>
      <c r="BW2336" s="73"/>
      <c r="BX2336" s="73"/>
      <c r="BY2336" s="73"/>
      <c r="BZ2336" s="73"/>
      <c r="CA2336" s="73"/>
      <c r="CB2336" s="73"/>
      <c r="CC2336" s="73"/>
      <c r="CD2336" s="73"/>
      <c r="CE2336" s="73"/>
      <c r="CF2336" s="73"/>
      <c r="CG2336" s="73"/>
      <c r="CH2336" s="73"/>
    </row>
    <row r="2337">
      <c r="A2337" s="80"/>
      <c r="B2337" s="80"/>
      <c r="C2337" s="80"/>
      <c r="D2337" s="80"/>
      <c r="E2337" s="124"/>
      <c r="F2337" s="80"/>
      <c r="G2337" s="80"/>
      <c r="H2337" s="80"/>
      <c r="I2337" s="80"/>
      <c r="J2337" s="196"/>
      <c r="K2337" s="196"/>
      <c r="L2337" s="196"/>
      <c r="M2337" s="196"/>
      <c r="N2337" s="196"/>
      <c r="O2337" s="196"/>
      <c r="P2337" s="196"/>
      <c r="Q2337" s="196"/>
      <c r="R2337" s="196"/>
      <c r="S2337" s="196"/>
      <c r="T2337" s="196"/>
      <c r="U2337" s="196"/>
      <c r="V2337" s="196"/>
      <c r="W2337" s="196"/>
      <c r="X2337" s="196"/>
      <c r="Y2337" s="196"/>
      <c r="Z2337" s="196"/>
      <c r="AA2337" s="196"/>
      <c r="AB2337" s="196"/>
      <c r="AC2337" s="196"/>
      <c r="AD2337" s="196"/>
      <c r="AE2337" s="196"/>
      <c r="AF2337" s="196"/>
      <c r="AG2337" s="196"/>
      <c r="AH2337" s="196"/>
      <c r="AI2337" s="196"/>
      <c r="AJ2337" s="197"/>
      <c r="AK2337" s="80"/>
      <c r="AL2337" s="80"/>
      <c r="AM2337" s="73"/>
      <c r="AN2337" s="73"/>
      <c r="AO2337" s="73"/>
      <c r="AP2337" s="73"/>
      <c r="AQ2337" s="73"/>
      <c r="AR2337" s="73"/>
      <c r="AS2337" s="73"/>
      <c r="AT2337" s="73"/>
      <c r="AU2337" s="73"/>
      <c r="AV2337" s="73"/>
      <c r="AW2337" s="73"/>
      <c r="AX2337" s="73"/>
      <c r="AY2337" s="73"/>
      <c r="AZ2337" s="73"/>
      <c r="BA2337" s="73"/>
      <c r="BB2337" s="73"/>
      <c r="BC2337" s="73"/>
      <c r="BD2337" s="73"/>
      <c r="BE2337" s="73"/>
      <c r="BF2337" s="73"/>
      <c r="BG2337" s="73"/>
      <c r="BH2337" s="73"/>
      <c r="BI2337" s="73"/>
      <c r="BJ2337" s="73"/>
      <c r="BK2337" s="73"/>
      <c r="BL2337" s="73"/>
      <c r="BM2337" s="73"/>
      <c r="BN2337" s="73"/>
      <c r="BO2337" s="73"/>
      <c r="BP2337" s="73"/>
      <c r="BQ2337" s="73"/>
      <c r="BR2337" s="73"/>
      <c r="BS2337" s="73"/>
      <c r="BT2337" s="73"/>
      <c r="BU2337" s="73"/>
      <c r="BV2337" s="73"/>
      <c r="BW2337" s="73"/>
      <c r="BX2337" s="73"/>
      <c r="BY2337" s="73"/>
      <c r="BZ2337" s="73"/>
      <c r="CA2337" s="73"/>
      <c r="CB2337" s="73"/>
      <c r="CC2337" s="73"/>
      <c r="CD2337" s="73"/>
      <c r="CE2337" s="73"/>
      <c r="CF2337" s="73"/>
      <c r="CG2337" s="73"/>
      <c r="CH2337" s="73"/>
    </row>
    <row r="2338">
      <c r="A2338" s="80"/>
      <c r="B2338" s="80"/>
      <c r="C2338" s="80"/>
      <c r="D2338" s="80"/>
      <c r="E2338" s="124"/>
      <c r="F2338" s="80"/>
      <c r="G2338" s="80"/>
      <c r="H2338" s="80"/>
      <c r="I2338" s="80"/>
      <c r="J2338" s="196"/>
      <c r="K2338" s="196"/>
      <c r="L2338" s="196"/>
      <c r="M2338" s="196"/>
      <c r="N2338" s="196"/>
      <c r="O2338" s="196"/>
      <c r="P2338" s="196"/>
      <c r="Q2338" s="196"/>
      <c r="R2338" s="196"/>
      <c r="S2338" s="196"/>
      <c r="T2338" s="196"/>
      <c r="U2338" s="196"/>
      <c r="V2338" s="196"/>
      <c r="W2338" s="196"/>
      <c r="X2338" s="196"/>
      <c r="Y2338" s="196"/>
      <c r="Z2338" s="196"/>
      <c r="AA2338" s="196"/>
      <c r="AB2338" s="196"/>
      <c r="AC2338" s="196"/>
      <c r="AD2338" s="196"/>
      <c r="AE2338" s="196"/>
      <c r="AF2338" s="196"/>
      <c r="AG2338" s="196"/>
      <c r="AH2338" s="196"/>
      <c r="AI2338" s="196"/>
      <c r="AJ2338" s="197"/>
      <c r="AK2338" s="80"/>
      <c r="AL2338" s="80"/>
      <c r="AM2338" s="73"/>
      <c r="AN2338" s="73"/>
      <c r="AO2338" s="73"/>
      <c r="AP2338" s="73"/>
      <c r="AQ2338" s="73"/>
      <c r="AR2338" s="73"/>
      <c r="AS2338" s="73"/>
      <c r="AT2338" s="73"/>
      <c r="AU2338" s="73"/>
      <c r="AV2338" s="73"/>
      <c r="AW2338" s="73"/>
      <c r="AX2338" s="73"/>
      <c r="AY2338" s="73"/>
      <c r="AZ2338" s="73"/>
      <c r="BA2338" s="73"/>
      <c r="BB2338" s="73"/>
      <c r="BC2338" s="73"/>
      <c r="BD2338" s="73"/>
      <c r="BE2338" s="73"/>
      <c r="BF2338" s="73"/>
      <c r="BG2338" s="73"/>
      <c r="BH2338" s="73"/>
      <c r="BI2338" s="73"/>
      <c r="BJ2338" s="73"/>
      <c r="BK2338" s="73"/>
      <c r="BL2338" s="73"/>
      <c r="BM2338" s="73"/>
      <c r="BN2338" s="73"/>
      <c r="BO2338" s="73"/>
      <c r="BP2338" s="73"/>
      <c r="BQ2338" s="73"/>
      <c r="BR2338" s="73"/>
      <c r="BS2338" s="73"/>
      <c r="BT2338" s="73"/>
      <c r="BU2338" s="73"/>
      <c r="BV2338" s="73"/>
      <c r="BW2338" s="73"/>
      <c r="BX2338" s="73"/>
      <c r="BY2338" s="73"/>
      <c r="BZ2338" s="73"/>
      <c r="CA2338" s="73"/>
      <c r="CB2338" s="73"/>
      <c r="CC2338" s="73"/>
      <c r="CD2338" s="73"/>
      <c r="CE2338" s="73"/>
      <c r="CF2338" s="73"/>
      <c r="CG2338" s="73"/>
      <c r="CH2338" s="73"/>
    </row>
    <row r="2339">
      <c r="A2339" s="80"/>
      <c r="B2339" s="80"/>
      <c r="C2339" s="80"/>
      <c r="D2339" s="80"/>
      <c r="E2339" s="124"/>
      <c r="F2339" s="80"/>
      <c r="G2339" s="80"/>
      <c r="H2339" s="80"/>
      <c r="I2339" s="80"/>
      <c r="J2339" s="196"/>
      <c r="K2339" s="196"/>
      <c r="L2339" s="196"/>
      <c r="M2339" s="196"/>
      <c r="N2339" s="196"/>
      <c r="O2339" s="196"/>
      <c r="P2339" s="196"/>
      <c r="Q2339" s="196"/>
      <c r="R2339" s="196"/>
      <c r="S2339" s="196"/>
      <c r="T2339" s="196"/>
      <c r="U2339" s="196"/>
      <c r="V2339" s="196"/>
      <c r="W2339" s="196"/>
      <c r="X2339" s="196"/>
      <c r="Y2339" s="196"/>
      <c r="Z2339" s="196"/>
      <c r="AA2339" s="196"/>
      <c r="AB2339" s="196"/>
      <c r="AC2339" s="196"/>
      <c r="AD2339" s="196"/>
      <c r="AE2339" s="196"/>
      <c r="AF2339" s="196"/>
      <c r="AG2339" s="196"/>
      <c r="AH2339" s="196"/>
      <c r="AI2339" s="196"/>
      <c r="AJ2339" s="197"/>
      <c r="AK2339" s="80"/>
      <c r="AL2339" s="80"/>
      <c r="AM2339" s="73"/>
      <c r="AN2339" s="73"/>
      <c r="AO2339" s="73"/>
      <c r="AP2339" s="73"/>
      <c r="AQ2339" s="73"/>
      <c r="AR2339" s="73"/>
      <c r="AS2339" s="73"/>
      <c r="AT2339" s="73"/>
      <c r="AU2339" s="73"/>
      <c r="AV2339" s="73"/>
      <c r="AW2339" s="73"/>
      <c r="AX2339" s="73"/>
      <c r="AY2339" s="73"/>
      <c r="AZ2339" s="73"/>
      <c r="BA2339" s="73"/>
      <c r="BB2339" s="73"/>
      <c r="BC2339" s="73"/>
      <c r="BD2339" s="73"/>
      <c r="BE2339" s="73"/>
      <c r="BF2339" s="73"/>
      <c r="BG2339" s="73"/>
      <c r="BH2339" s="73"/>
      <c r="BI2339" s="73"/>
      <c r="BJ2339" s="73"/>
      <c r="BK2339" s="73"/>
      <c r="BL2339" s="73"/>
      <c r="BM2339" s="73"/>
      <c r="BN2339" s="73"/>
      <c r="BO2339" s="73"/>
      <c r="BP2339" s="73"/>
      <c r="BQ2339" s="73"/>
      <c r="BR2339" s="73"/>
      <c r="BS2339" s="73"/>
      <c r="BT2339" s="73"/>
      <c r="BU2339" s="73"/>
      <c r="BV2339" s="73"/>
      <c r="BW2339" s="73"/>
      <c r="BX2339" s="73"/>
      <c r="BY2339" s="73"/>
      <c r="BZ2339" s="73"/>
      <c r="CA2339" s="73"/>
      <c r="CB2339" s="73"/>
      <c r="CC2339" s="73"/>
      <c r="CD2339" s="73"/>
      <c r="CE2339" s="73"/>
      <c r="CF2339" s="73"/>
      <c r="CG2339" s="73"/>
      <c r="CH2339" s="73"/>
    </row>
    <row r="2340">
      <c r="A2340" s="80"/>
      <c r="B2340" s="80"/>
      <c r="C2340" s="80"/>
      <c r="D2340" s="80"/>
      <c r="E2340" s="124"/>
      <c r="F2340" s="80"/>
      <c r="G2340" s="80"/>
      <c r="H2340" s="80"/>
      <c r="I2340" s="80"/>
      <c r="J2340" s="196"/>
      <c r="K2340" s="196"/>
      <c r="L2340" s="196"/>
      <c r="M2340" s="196"/>
      <c r="N2340" s="196"/>
      <c r="O2340" s="196"/>
      <c r="P2340" s="196"/>
      <c r="Q2340" s="196"/>
      <c r="R2340" s="196"/>
      <c r="S2340" s="196"/>
      <c r="T2340" s="196"/>
      <c r="U2340" s="196"/>
      <c r="V2340" s="196"/>
      <c r="W2340" s="196"/>
      <c r="X2340" s="196"/>
      <c r="Y2340" s="196"/>
      <c r="Z2340" s="196"/>
      <c r="AA2340" s="196"/>
      <c r="AB2340" s="196"/>
      <c r="AC2340" s="196"/>
      <c r="AD2340" s="196"/>
      <c r="AE2340" s="196"/>
      <c r="AF2340" s="196"/>
      <c r="AG2340" s="196"/>
      <c r="AH2340" s="196"/>
      <c r="AI2340" s="196"/>
      <c r="AJ2340" s="197"/>
      <c r="AK2340" s="80"/>
      <c r="AL2340" s="80"/>
      <c r="AM2340" s="73"/>
      <c r="AN2340" s="73"/>
      <c r="AO2340" s="73"/>
      <c r="AP2340" s="73"/>
      <c r="AQ2340" s="73"/>
      <c r="AR2340" s="73"/>
      <c r="AS2340" s="73"/>
      <c r="AT2340" s="73"/>
      <c r="AU2340" s="73"/>
      <c r="AV2340" s="73"/>
      <c r="AW2340" s="73"/>
      <c r="AX2340" s="73"/>
      <c r="AY2340" s="73"/>
      <c r="AZ2340" s="73"/>
      <c r="BA2340" s="73"/>
      <c r="BB2340" s="73"/>
      <c r="BC2340" s="73"/>
      <c r="BD2340" s="73"/>
      <c r="BE2340" s="73"/>
      <c r="BF2340" s="73"/>
      <c r="BG2340" s="73"/>
      <c r="BH2340" s="73"/>
      <c r="BI2340" s="73"/>
      <c r="BJ2340" s="73"/>
      <c r="BK2340" s="73"/>
      <c r="BL2340" s="73"/>
      <c r="BM2340" s="73"/>
      <c r="BN2340" s="73"/>
      <c r="BO2340" s="73"/>
      <c r="BP2340" s="73"/>
      <c r="BQ2340" s="73"/>
      <c r="BR2340" s="73"/>
      <c r="BS2340" s="73"/>
      <c r="BT2340" s="73"/>
      <c r="BU2340" s="73"/>
      <c r="BV2340" s="73"/>
      <c r="BW2340" s="73"/>
      <c r="BX2340" s="73"/>
      <c r="BY2340" s="73"/>
      <c r="BZ2340" s="73"/>
      <c r="CA2340" s="73"/>
      <c r="CB2340" s="73"/>
      <c r="CC2340" s="73"/>
      <c r="CD2340" s="73"/>
      <c r="CE2340" s="73"/>
      <c r="CF2340" s="73"/>
      <c r="CG2340" s="73"/>
      <c r="CH2340" s="73"/>
    </row>
    <row r="2341">
      <c r="A2341" s="80"/>
      <c r="B2341" s="80"/>
      <c r="C2341" s="80"/>
      <c r="D2341" s="80"/>
      <c r="E2341" s="124"/>
      <c r="F2341" s="80"/>
      <c r="G2341" s="80"/>
      <c r="H2341" s="80"/>
      <c r="I2341" s="80"/>
      <c r="J2341" s="196"/>
      <c r="K2341" s="196"/>
      <c r="L2341" s="196"/>
      <c r="M2341" s="196"/>
      <c r="N2341" s="196"/>
      <c r="O2341" s="196"/>
      <c r="P2341" s="196"/>
      <c r="Q2341" s="196"/>
      <c r="R2341" s="196"/>
      <c r="S2341" s="196"/>
      <c r="T2341" s="196"/>
      <c r="U2341" s="196"/>
      <c r="V2341" s="196"/>
      <c r="W2341" s="196"/>
      <c r="X2341" s="196"/>
      <c r="Y2341" s="196"/>
      <c r="Z2341" s="196"/>
      <c r="AA2341" s="196"/>
      <c r="AB2341" s="196"/>
      <c r="AC2341" s="196"/>
      <c r="AD2341" s="196"/>
      <c r="AE2341" s="196"/>
      <c r="AF2341" s="196"/>
      <c r="AG2341" s="196"/>
      <c r="AH2341" s="196"/>
      <c r="AI2341" s="196"/>
      <c r="AJ2341" s="197"/>
      <c r="AK2341" s="80"/>
      <c r="AL2341" s="80"/>
      <c r="AM2341" s="73"/>
      <c r="AN2341" s="73"/>
      <c r="AO2341" s="73"/>
      <c r="AP2341" s="73"/>
      <c r="AQ2341" s="73"/>
      <c r="AR2341" s="73"/>
      <c r="AS2341" s="73"/>
      <c r="AT2341" s="73"/>
      <c r="AU2341" s="73"/>
      <c r="AV2341" s="73"/>
      <c r="AW2341" s="73"/>
      <c r="AX2341" s="73"/>
      <c r="AY2341" s="73"/>
      <c r="AZ2341" s="73"/>
      <c r="BA2341" s="73"/>
      <c r="BB2341" s="73"/>
      <c r="BC2341" s="73"/>
      <c r="BD2341" s="73"/>
      <c r="BE2341" s="73"/>
      <c r="BF2341" s="73"/>
      <c r="BG2341" s="73"/>
      <c r="BH2341" s="73"/>
      <c r="BI2341" s="73"/>
      <c r="BJ2341" s="73"/>
      <c r="BK2341" s="73"/>
      <c r="BL2341" s="73"/>
      <c r="BM2341" s="73"/>
      <c r="BN2341" s="73"/>
      <c r="BO2341" s="73"/>
      <c r="BP2341" s="73"/>
      <c r="BQ2341" s="73"/>
      <c r="BR2341" s="73"/>
      <c r="BS2341" s="73"/>
      <c r="BT2341" s="73"/>
      <c r="BU2341" s="73"/>
      <c r="BV2341" s="73"/>
      <c r="BW2341" s="73"/>
      <c r="BX2341" s="73"/>
      <c r="BY2341" s="73"/>
      <c r="BZ2341" s="73"/>
      <c r="CA2341" s="73"/>
      <c r="CB2341" s="73"/>
      <c r="CC2341" s="73"/>
      <c r="CD2341" s="73"/>
      <c r="CE2341" s="73"/>
      <c r="CF2341" s="73"/>
      <c r="CG2341" s="73"/>
      <c r="CH2341" s="73"/>
    </row>
    <row r="2342">
      <c r="A2342" s="80"/>
      <c r="B2342" s="80"/>
      <c r="C2342" s="80"/>
      <c r="D2342" s="80"/>
      <c r="E2342" s="124"/>
      <c r="F2342" s="80"/>
      <c r="G2342" s="80"/>
      <c r="H2342" s="80"/>
      <c r="I2342" s="80"/>
      <c r="J2342" s="196"/>
      <c r="K2342" s="196"/>
      <c r="L2342" s="196"/>
      <c r="M2342" s="196"/>
      <c r="N2342" s="196"/>
      <c r="O2342" s="196"/>
      <c r="P2342" s="196"/>
      <c r="Q2342" s="196"/>
      <c r="R2342" s="196"/>
      <c r="S2342" s="196"/>
      <c r="T2342" s="196"/>
      <c r="U2342" s="196"/>
      <c r="V2342" s="196"/>
      <c r="W2342" s="196"/>
      <c r="X2342" s="196"/>
      <c r="Y2342" s="196"/>
      <c r="Z2342" s="196"/>
      <c r="AA2342" s="196"/>
      <c r="AB2342" s="196"/>
      <c r="AC2342" s="196"/>
      <c r="AD2342" s="196"/>
      <c r="AE2342" s="196"/>
      <c r="AF2342" s="196"/>
      <c r="AG2342" s="196"/>
      <c r="AH2342" s="196"/>
      <c r="AI2342" s="196"/>
      <c r="AJ2342" s="197"/>
      <c r="AK2342" s="80"/>
      <c r="AL2342" s="80"/>
      <c r="AM2342" s="73"/>
      <c r="AN2342" s="73"/>
      <c r="AO2342" s="73"/>
      <c r="AP2342" s="73"/>
      <c r="AQ2342" s="73"/>
      <c r="AR2342" s="73"/>
      <c r="AS2342" s="73"/>
      <c r="AT2342" s="73"/>
      <c r="AU2342" s="73"/>
      <c r="AV2342" s="73"/>
      <c r="AW2342" s="73"/>
      <c r="AX2342" s="73"/>
      <c r="AY2342" s="73"/>
      <c r="AZ2342" s="73"/>
      <c r="BA2342" s="73"/>
      <c r="BB2342" s="73"/>
      <c r="BC2342" s="73"/>
      <c r="BD2342" s="73"/>
      <c r="BE2342" s="73"/>
      <c r="BF2342" s="73"/>
      <c r="BG2342" s="73"/>
      <c r="BH2342" s="73"/>
      <c r="BI2342" s="73"/>
      <c r="BJ2342" s="73"/>
      <c r="BK2342" s="73"/>
      <c r="BL2342" s="73"/>
      <c r="BM2342" s="73"/>
      <c r="BN2342" s="73"/>
      <c r="BO2342" s="73"/>
      <c r="BP2342" s="73"/>
      <c r="BQ2342" s="73"/>
      <c r="BR2342" s="73"/>
      <c r="BS2342" s="73"/>
      <c r="BT2342" s="73"/>
      <c r="BU2342" s="73"/>
      <c r="BV2342" s="73"/>
      <c r="BW2342" s="73"/>
      <c r="BX2342" s="73"/>
      <c r="BY2342" s="73"/>
      <c r="BZ2342" s="73"/>
      <c r="CA2342" s="73"/>
      <c r="CB2342" s="73"/>
      <c r="CC2342" s="73"/>
      <c r="CD2342" s="73"/>
      <c r="CE2342" s="73"/>
      <c r="CF2342" s="73"/>
      <c r="CG2342" s="73"/>
      <c r="CH2342" s="73"/>
    </row>
    <row r="2343">
      <c r="A2343" s="80"/>
      <c r="B2343" s="80"/>
      <c r="C2343" s="80"/>
      <c r="D2343" s="80"/>
      <c r="E2343" s="124"/>
      <c r="F2343" s="80"/>
      <c r="G2343" s="80"/>
      <c r="H2343" s="80"/>
      <c r="I2343" s="80"/>
      <c r="J2343" s="196"/>
      <c r="K2343" s="196"/>
      <c r="L2343" s="196"/>
      <c r="M2343" s="196"/>
      <c r="N2343" s="196"/>
      <c r="O2343" s="196"/>
      <c r="P2343" s="196"/>
      <c r="Q2343" s="196"/>
      <c r="R2343" s="196"/>
      <c r="S2343" s="196"/>
      <c r="T2343" s="196"/>
      <c r="U2343" s="196"/>
      <c r="V2343" s="196"/>
      <c r="W2343" s="196"/>
      <c r="X2343" s="196"/>
      <c r="Y2343" s="196"/>
      <c r="Z2343" s="196"/>
      <c r="AA2343" s="196"/>
      <c r="AB2343" s="196"/>
      <c r="AC2343" s="196"/>
      <c r="AD2343" s="196"/>
      <c r="AE2343" s="196"/>
      <c r="AF2343" s="196"/>
      <c r="AG2343" s="196"/>
      <c r="AH2343" s="196"/>
      <c r="AI2343" s="196"/>
      <c r="AJ2343" s="197"/>
      <c r="AK2343" s="80"/>
      <c r="AL2343" s="80"/>
      <c r="AM2343" s="73"/>
      <c r="AN2343" s="73"/>
      <c r="AO2343" s="73"/>
      <c r="AP2343" s="73"/>
      <c r="AQ2343" s="73"/>
      <c r="AR2343" s="73"/>
      <c r="AS2343" s="73"/>
      <c r="AT2343" s="73"/>
      <c r="AU2343" s="73"/>
      <c r="AV2343" s="73"/>
      <c r="AW2343" s="73"/>
      <c r="AX2343" s="73"/>
      <c r="AY2343" s="73"/>
      <c r="AZ2343" s="73"/>
      <c r="BA2343" s="73"/>
      <c r="BB2343" s="73"/>
      <c r="BC2343" s="73"/>
      <c r="BD2343" s="73"/>
      <c r="BE2343" s="73"/>
      <c r="BF2343" s="73"/>
      <c r="BG2343" s="73"/>
      <c r="BH2343" s="73"/>
      <c r="BI2343" s="73"/>
      <c r="BJ2343" s="73"/>
      <c r="BK2343" s="73"/>
      <c r="BL2343" s="73"/>
      <c r="BM2343" s="73"/>
      <c r="BN2343" s="73"/>
      <c r="BO2343" s="73"/>
      <c r="BP2343" s="73"/>
      <c r="BQ2343" s="73"/>
      <c r="BR2343" s="73"/>
      <c r="BS2343" s="73"/>
      <c r="BT2343" s="73"/>
      <c r="BU2343" s="73"/>
      <c r="BV2343" s="73"/>
      <c r="BW2343" s="73"/>
      <c r="BX2343" s="73"/>
      <c r="BY2343" s="73"/>
      <c r="BZ2343" s="73"/>
      <c r="CA2343" s="73"/>
      <c r="CB2343" s="73"/>
      <c r="CC2343" s="73"/>
      <c r="CD2343" s="73"/>
      <c r="CE2343" s="73"/>
      <c r="CF2343" s="73"/>
      <c r="CG2343" s="73"/>
      <c r="CH2343" s="73"/>
    </row>
    <row r="2344">
      <c r="A2344" s="80"/>
      <c r="B2344" s="80"/>
      <c r="C2344" s="80"/>
      <c r="D2344" s="80"/>
      <c r="E2344" s="124"/>
      <c r="F2344" s="80"/>
      <c r="G2344" s="80"/>
      <c r="H2344" s="80"/>
      <c r="I2344" s="80"/>
      <c r="J2344" s="196"/>
      <c r="K2344" s="196"/>
      <c r="L2344" s="196"/>
      <c r="M2344" s="196"/>
      <c r="N2344" s="196"/>
      <c r="O2344" s="196"/>
      <c r="P2344" s="196"/>
      <c r="Q2344" s="196"/>
      <c r="R2344" s="196"/>
      <c r="S2344" s="196"/>
      <c r="T2344" s="196"/>
      <c r="U2344" s="196"/>
      <c r="V2344" s="196"/>
      <c r="W2344" s="196"/>
      <c r="X2344" s="196"/>
      <c r="Y2344" s="196"/>
      <c r="Z2344" s="196"/>
      <c r="AA2344" s="196"/>
      <c r="AB2344" s="196"/>
      <c r="AC2344" s="196"/>
      <c r="AD2344" s="196"/>
      <c r="AE2344" s="196"/>
      <c r="AF2344" s="196"/>
      <c r="AG2344" s="196"/>
      <c r="AH2344" s="196"/>
      <c r="AI2344" s="196"/>
      <c r="AJ2344" s="197"/>
      <c r="AK2344" s="80"/>
      <c r="AL2344" s="80"/>
      <c r="AM2344" s="73"/>
      <c r="AN2344" s="73"/>
      <c r="AO2344" s="73"/>
      <c r="AP2344" s="73"/>
      <c r="AQ2344" s="73"/>
      <c r="AR2344" s="73"/>
      <c r="AS2344" s="73"/>
      <c r="AT2344" s="73"/>
      <c r="AU2344" s="73"/>
      <c r="AV2344" s="73"/>
      <c r="AW2344" s="73"/>
      <c r="AX2344" s="73"/>
      <c r="AY2344" s="73"/>
      <c r="AZ2344" s="73"/>
      <c r="BA2344" s="73"/>
      <c r="BB2344" s="73"/>
      <c r="BC2344" s="73"/>
      <c r="BD2344" s="73"/>
      <c r="BE2344" s="73"/>
      <c r="BF2344" s="73"/>
      <c r="BG2344" s="73"/>
      <c r="BH2344" s="73"/>
      <c r="BI2344" s="73"/>
      <c r="BJ2344" s="73"/>
      <c r="BK2344" s="73"/>
      <c r="BL2344" s="73"/>
      <c r="BM2344" s="73"/>
      <c r="BN2344" s="73"/>
      <c r="BO2344" s="73"/>
      <c r="BP2344" s="73"/>
      <c r="BQ2344" s="73"/>
      <c r="BR2344" s="73"/>
      <c r="BS2344" s="73"/>
      <c r="BT2344" s="73"/>
      <c r="BU2344" s="73"/>
      <c r="BV2344" s="73"/>
      <c r="BW2344" s="73"/>
      <c r="BX2344" s="73"/>
      <c r="BY2344" s="73"/>
      <c r="BZ2344" s="73"/>
      <c r="CA2344" s="73"/>
      <c r="CB2344" s="73"/>
      <c r="CC2344" s="73"/>
      <c r="CD2344" s="73"/>
      <c r="CE2344" s="73"/>
      <c r="CF2344" s="73"/>
      <c r="CG2344" s="73"/>
      <c r="CH2344" s="73"/>
    </row>
    <row r="2345">
      <c r="A2345" s="80"/>
      <c r="B2345" s="80"/>
      <c r="C2345" s="80"/>
      <c r="D2345" s="80"/>
      <c r="E2345" s="124"/>
      <c r="F2345" s="80"/>
      <c r="G2345" s="80"/>
      <c r="H2345" s="80"/>
      <c r="I2345" s="80"/>
      <c r="J2345" s="196"/>
      <c r="K2345" s="196"/>
      <c r="L2345" s="196"/>
      <c r="M2345" s="196"/>
      <c r="N2345" s="196"/>
      <c r="O2345" s="196"/>
      <c r="P2345" s="196"/>
      <c r="Q2345" s="196"/>
      <c r="R2345" s="196"/>
      <c r="S2345" s="196"/>
      <c r="T2345" s="196"/>
      <c r="U2345" s="196"/>
      <c r="V2345" s="196"/>
      <c r="W2345" s="196"/>
      <c r="X2345" s="196"/>
      <c r="Y2345" s="196"/>
      <c r="Z2345" s="196"/>
      <c r="AA2345" s="196"/>
      <c r="AB2345" s="196"/>
      <c r="AC2345" s="196"/>
      <c r="AD2345" s="196"/>
      <c r="AE2345" s="196"/>
      <c r="AF2345" s="196"/>
      <c r="AG2345" s="196"/>
      <c r="AH2345" s="196"/>
      <c r="AI2345" s="196"/>
      <c r="AJ2345" s="197"/>
      <c r="AK2345" s="80"/>
      <c r="AL2345" s="80"/>
      <c r="AM2345" s="73"/>
      <c r="AN2345" s="73"/>
      <c r="AO2345" s="73"/>
      <c r="AP2345" s="73"/>
      <c r="AQ2345" s="73"/>
      <c r="AR2345" s="73"/>
      <c r="AS2345" s="73"/>
      <c r="AT2345" s="73"/>
      <c r="AU2345" s="73"/>
      <c r="AV2345" s="73"/>
      <c r="AW2345" s="73"/>
      <c r="AX2345" s="73"/>
      <c r="AY2345" s="73"/>
      <c r="AZ2345" s="73"/>
      <c r="BA2345" s="73"/>
      <c r="BB2345" s="73"/>
      <c r="BC2345" s="73"/>
      <c r="BD2345" s="73"/>
      <c r="BE2345" s="73"/>
      <c r="BF2345" s="73"/>
      <c r="BG2345" s="73"/>
      <c r="BH2345" s="73"/>
      <c r="BI2345" s="73"/>
      <c r="BJ2345" s="73"/>
      <c r="BK2345" s="73"/>
      <c r="BL2345" s="73"/>
      <c r="BM2345" s="73"/>
      <c r="BN2345" s="73"/>
      <c r="BO2345" s="73"/>
      <c r="BP2345" s="73"/>
      <c r="BQ2345" s="73"/>
      <c r="BR2345" s="73"/>
      <c r="BS2345" s="73"/>
      <c r="BT2345" s="73"/>
      <c r="BU2345" s="73"/>
      <c r="BV2345" s="73"/>
      <c r="BW2345" s="73"/>
      <c r="BX2345" s="73"/>
      <c r="BY2345" s="73"/>
      <c r="BZ2345" s="73"/>
      <c r="CA2345" s="73"/>
      <c r="CB2345" s="73"/>
      <c r="CC2345" s="73"/>
      <c r="CD2345" s="73"/>
      <c r="CE2345" s="73"/>
      <c r="CF2345" s="73"/>
      <c r="CG2345" s="73"/>
      <c r="CH2345" s="73"/>
    </row>
    <row r="2346">
      <c r="A2346" s="80"/>
      <c r="B2346" s="80"/>
      <c r="C2346" s="80"/>
      <c r="D2346" s="80"/>
      <c r="E2346" s="124"/>
      <c r="F2346" s="80"/>
      <c r="G2346" s="80"/>
      <c r="H2346" s="80"/>
      <c r="I2346" s="80"/>
      <c r="J2346" s="196"/>
      <c r="K2346" s="196"/>
      <c r="L2346" s="196"/>
      <c r="M2346" s="196"/>
      <c r="N2346" s="196"/>
      <c r="O2346" s="196"/>
      <c r="P2346" s="196"/>
      <c r="Q2346" s="196"/>
      <c r="R2346" s="196"/>
      <c r="S2346" s="196"/>
      <c r="T2346" s="196"/>
      <c r="U2346" s="196"/>
      <c r="V2346" s="196"/>
      <c r="W2346" s="196"/>
      <c r="X2346" s="196"/>
      <c r="Y2346" s="196"/>
      <c r="Z2346" s="196"/>
      <c r="AA2346" s="196"/>
      <c r="AB2346" s="196"/>
      <c r="AC2346" s="196"/>
      <c r="AD2346" s="196"/>
      <c r="AE2346" s="196"/>
      <c r="AF2346" s="196"/>
      <c r="AG2346" s="196"/>
      <c r="AH2346" s="196"/>
      <c r="AI2346" s="196"/>
      <c r="AJ2346" s="197"/>
      <c r="AK2346" s="80"/>
      <c r="AL2346" s="80"/>
      <c r="AM2346" s="73"/>
      <c r="AN2346" s="73"/>
      <c r="AO2346" s="73"/>
      <c r="AP2346" s="73"/>
      <c r="AQ2346" s="73"/>
      <c r="AR2346" s="73"/>
      <c r="AS2346" s="73"/>
      <c r="AT2346" s="73"/>
      <c r="AU2346" s="73"/>
      <c r="AV2346" s="73"/>
      <c r="AW2346" s="73"/>
      <c r="AX2346" s="73"/>
      <c r="AY2346" s="73"/>
      <c r="AZ2346" s="73"/>
      <c r="BA2346" s="73"/>
      <c r="BB2346" s="73"/>
      <c r="BC2346" s="73"/>
      <c r="BD2346" s="73"/>
      <c r="BE2346" s="73"/>
      <c r="BF2346" s="73"/>
      <c r="BG2346" s="73"/>
      <c r="BH2346" s="73"/>
      <c r="BI2346" s="73"/>
      <c r="BJ2346" s="73"/>
      <c r="BK2346" s="73"/>
      <c r="BL2346" s="73"/>
      <c r="BM2346" s="73"/>
      <c r="BN2346" s="73"/>
      <c r="BO2346" s="73"/>
      <c r="BP2346" s="73"/>
      <c r="BQ2346" s="73"/>
      <c r="BR2346" s="73"/>
      <c r="BS2346" s="73"/>
      <c r="BT2346" s="73"/>
      <c r="BU2346" s="73"/>
      <c r="BV2346" s="73"/>
      <c r="BW2346" s="73"/>
      <c r="BX2346" s="73"/>
      <c r="BY2346" s="73"/>
      <c r="BZ2346" s="73"/>
      <c r="CA2346" s="73"/>
      <c r="CB2346" s="73"/>
      <c r="CC2346" s="73"/>
      <c r="CD2346" s="73"/>
      <c r="CE2346" s="73"/>
      <c r="CF2346" s="73"/>
      <c r="CG2346" s="73"/>
      <c r="CH2346" s="73"/>
    </row>
    <row r="2347">
      <c r="A2347" s="80"/>
      <c r="B2347" s="80"/>
      <c r="C2347" s="80"/>
      <c r="D2347" s="80"/>
      <c r="E2347" s="124"/>
      <c r="F2347" s="80"/>
      <c r="G2347" s="80"/>
      <c r="H2347" s="80"/>
      <c r="I2347" s="80"/>
      <c r="J2347" s="196"/>
      <c r="K2347" s="196"/>
      <c r="L2347" s="196"/>
      <c r="M2347" s="196"/>
      <c r="N2347" s="196"/>
      <c r="O2347" s="196"/>
      <c r="P2347" s="196"/>
      <c r="Q2347" s="196"/>
      <c r="R2347" s="196"/>
      <c r="S2347" s="196"/>
      <c r="T2347" s="196"/>
      <c r="U2347" s="196"/>
      <c r="V2347" s="196"/>
      <c r="W2347" s="196"/>
      <c r="X2347" s="196"/>
      <c r="Y2347" s="196"/>
      <c r="Z2347" s="196"/>
      <c r="AA2347" s="196"/>
      <c r="AB2347" s="196"/>
      <c r="AC2347" s="196"/>
      <c r="AD2347" s="196"/>
      <c r="AE2347" s="196"/>
      <c r="AF2347" s="196"/>
      <c r="AG2347" s="196"/>
      <c r="AH2347" s="196"/>
      <c r="AI2347" s="196"/>
      <c r="AJ2347" s="197"/>
      <c r="AK2347" s="80"/>
      <c r="AL2347" s="80"/>
      <c r="AM2347" s="73"/>
      <c r="AN2347" s="73"/>
      <c r="AO2347" s="73"/>
      <c r="AP2347" s="73"/>
      <c r="AQ2347" s="73"/>
      <c r="AR2347" s="73"/>
      <c r="AS2347" s="73"/>
      <c r="AT2347" s="73"/>
      <c r="AU2347" s="73"/>
      <c r="AV2347" s="73"/>
      <c r="AW2347" s="73"/>
      <c r="AX2347" s="73"/>
      <c r="AY2347" s="73"/>
      <c r="AZ2347" s="73"/>
      <c r="BA2347" s="73"/>
      <c r="BB2347" s="73"/>
      <c r="BC2347" s="73"/>
      <c r="BD2347" s="73"/>
      <c r="BE2347" s="73"/>
      <c r="BF2347" s="73"/>
      <c r="BG2347" s="73"/>
      <c r="BH2347" s="73"/>
      <c r="BI2347" s="73"/>
      <c r="BJ2347" s="73"/>
      <c r="BK2347" s="73"/>
      <c r="BL2347" s="73"/>
      <c r="BM2347" s="73"/>
      <c r="BN2347" s="73"/>
      <c r="BO2347" s="73"/>
      <c r="BP2347" s="73"/>
      <c r="BQ2347" s="73"/>
      <c r="BR2347" s="73"/>
      <c r="BS2347" s="73"/>
      <c r="BT2347" s="73"/>
      <c r="BU2347" s="73"/>
      <c r="BV2347" s="73"/>
      <c r="BW2347" s="73"/>
      <c r="BX2347" s="73"/>
      <c r="BY2347" s="73"/>
      <c r="BZ2347" s="73"/>
      <c r="CA2347" s="73"/>
      <c r="CB2347" s="73"/>
      <c r="CC2347" s="73"/>
      <c r="CD2347" s="73"/>
      <c r="CE2347" s="73"/>
      <c r="CF2347" s="73"/>
      <c r="CG2347" s="73"/>
      <c r="CH2347" s="73"/>
    </row>
    <row r="2348">
      <c r="A2348" s="80"/>
      <c r="B2348" s="80"/>
      <c r="C2348" s="80"/>
      <c r="D2348" s="80"/>
      <c r="E2348" s="124"/>
      <c r="F2348" s="80"/>
      <c r="G2348" s="80"/>
      <c r="H2348" s="80"/>
      <c r="I2348" s="80"/>
      <c r="J2348" s="196"/>
      <c r="K2348" s="196"/>
      <c r="L2348" s="196"/>
      <c r="M2348" s="196"/>
      <c r="N2348" s="196"/>
      <c r="O2348" s="196"/>
      <c r="P2348" s="196"/>
      <c r="Q2348" s="196"/>
      <c r="R2348" s="196"/>
      <c r="S2348" s="196"/>
      <c r="T2348" s="196"/>
      <c r="U2348" s="196"/>
      <c r="V2348" s="196"/>
      <c r="W2348" s="196"/>
      <c r="X2348" s="196"/>
      <c r="Y2348" s="196"/>
      <c r="Z2348" s="196"/>
      <c r="AA2348" s="196"/>
      <c r="AB2348" s="196"/>
      <c r="AC2348" s="196"/>
      <c r="AD2348" s="196"/>
      <c r="AE2348" s="196"/>
      <c r="AF2348" s="196"/>
      <c r="AG2348" s="196"/>
      <c r="AH2348" s="196"/>
      <c r="AI2348" s="196"/>
      <c r="AJ2348" s="197"/>
      <c r="AK2348" s="80"/>
      <c r="AL2348" s="80"/>
      <c r="AM2348" s="73"/>
      <c r="AN2348" s="73"/>
      <c r="AO2348" s="73"/>
      <c r="AP2348" s="73"/>
      <c r="AQ2348" s="73"/>
      <c r="AR2348" s="73"/>
      <c r="AS2348" s="73"/>
      <c r="AT2348" s="73"/>
      <c r="AU2348" s="73"/>
      <c r="AV2348" s="73"/>
      <c r="AW2348" s="73"/>
      <c r="AX2348" s="73"/>
      <c r="AY2348" s="73"/>
      <c r="AZ2348" s="73"/>
      <c r="BA2348" s="73"/>
      <c r="BB2348" s="73"/>
      <c r="BC2348" s="73"/>
      <c r="BD2348" s="73"/>
      <c r="BE2348" s="73"/>
      <c r="BF2348" s="73"/>
      <c r="BG2348" s="73"/>
      <c r="BH2348" s="73"/>
      <c r="BI2348" s="73"/>
      <c r="BJ2348" s="73"/>
      <c r="BK2348" s="73"/>
      <c r="BL2348" s="73"/>
      <c r="BM2348" s="73"/>
      <c r="BN2348" s="73"/>
      <c r="BO2348" s="73"/>
      <c r="BP2348" s="73"/>
      <c r="BQ2348" s="73"/>
      <c r="BR2348" s="73"/>
      <c r="BS2348" s="73"/>
      <c r="BT2348" s="73"/>
      <c r="BU2348" s="73"/>
      <c r="BV2348" s="73"/>
      <c r="BW2348" s="73"/>
      <c r="BX2348" s="73"/>
      <c r="BY2348" s="73"/>
      <c r="BZ2348" s="73"/>
      <c r="CA2348" s="73"/>
      <c r="CB2348" s="73"/>
      <c r="CC2348" s="73"/>
      <c r="CD2348" s="73"/>
      <c r="CE2348" s="73"/>
      <c r="CF2348" s="73"/>
      <c r="CG2348" s="73"/>
      <c r="CH2348" s="73"/>
    </row>
    <row r="2349">
      <c r="A2349" s="80"/>
      <c r="B2349" s="80"/>
      <c r="C2349" s="80"/>
      <c r="D2349" s="80"/>
      <c r="E2349" s="124"/>
      <c r="F2349" s="80"/>
      <c r="G2349" s="80"/>
      <c r="H2349" s="80"/>
      <c r="I2349" s="80"/>
      <c r="J2349" s="196"/>
      <c r="K2349" s="196"/>
      <c r="L2349" s="196"/>
      <c r="M2349" s="196"/>
      <c r="N2349" s="196"/>
      <c r="O2349" s="196"/>
      <c r="P2349" s="196"/>
      <c r="Q2349" s="196"/>
      <c r="R2349" s="196"/>
      <c r="S2349" s="196"/>
      <c r="T2349" s="196"/>
      <c r="U2349" s="196"/>
      <c r="V2349" s="196"/>
      <c r="W2349" s="196"/>
      <c r="X2349" s="196"/>
      <c r="Y2349" s="196"/>
      <c r="Z2349" s="196"/>
      <c r="AA2349" s="196"/>
      <c r="AB2349" s="196"/>
      <c r="AC2349" s="196"/>
      <c r="AD2349" s="196"/>
      <c r="AE2349" s="196"/>
      <c r="AF2349" s="196"/>
      <c r="AG2349" s="196"/>
      <c r="AH2349" s="196"/>
      <c r="AI2349" s="196"/>
      <c r="AJ2349" s="197"/>
      <c r="AK2349" s="80"/>
      <c r="AL2349" s="80"/>
      <c r="AM2349" s="73"/>
      <c r="AN2349" s="73"/>
      <c r="AO2349" s="73"/>
      <c r="AP2349" s="73"/>
      <c r="AQ2349" s="73"/>
      <c r="AR2349" s="73"/>
      <c r="AS2349" s="73"/>
      <c r="AT2349" s="73"/>
      <c r="AU2349" s="73"/>
      <c r="AV2349" s="73"/>
      <c r="AW2349" s="73"/>
      <c r="AX2349" s="73"/>
      <c r="AY2349" s="73"/>
      <c r="AZ2349" s="73"/>
      <c r="BA2349" s="73"/>
      <c r="BB2349" s="73"/>
      <c r="BC2349" s="73"/>
      <c r="BD2349" s="73"/>
      <c r="BE2349" s="73"/>
      <c r="BF2349" s="73"/>
      <c r="BG2349" s="73"/>
      <c r="BH2349" s="73"/>
      <c r="BI2349" s="73"/>
      <c r="BJ2349" s="73"/>
      <c r="BK2349" s="73"/>
      <c r="BL2349" s="73"/>
      <c r="BM2349" s="73"/>
      <c r="BN2349" s="73"/>
      <c r="BO2349" s="73"/>
      <c r="BP2349" s="73"/>
      <c r="BQ2349" s="73"/>
      <c r="BR2349" s="73"/>
      <c r="BS2349" s="73"/>
      <c r="BT2349" s="73"/>
      <c r="BU2349" s="73"/>
      <c r="BV2349" s="73"/>
      <c r="BW2349" s="73"/>
      <c r="BX2349" s="73"/>
      <c r="BY2349" s="73"/>
      <c r="BZ2349" s="73"/>
      <c r="CA2349" s="73"/>
      <c r="CB2349" s="73"/>
      <c r="CC2349" s="73"/>
      <c r="CD2349" s="73"/>
      <c r="CE2349" s="73"/>
      <c r="CF2349" s="73"/>
      <c r="CG2349" s="73"/>
      <c r="CH2349" s="73"/>
    </row>
    <row r="2350">
      <c r="A2350" s="80"/>
      <c r="B2350" s="80"/>
      <c r="C2350" s="80"/>
      <c r="D2350" s="80"/>
      <c r="E2350" s="124"/>
      <c r="F2350" s="80"/>
      <c r="G2350" s="80"/>
      <c r="H2350" s="80"/>
      <c r="I2350" s="80"/>
      <c r="J2350" s="196"/>
      <c r="K2350" s="196"/>
      <c r="L2350" s="196"/>
      <c r="M2350" s="196"/>
      <c r="N2350" s="196"/>
      <c r="O2350" s="196"/>
      <c r="P2350" s="196"/>
      <c r="Q2350" s="196"/>
      <c r="R2350" s="196"/>
      <c r="S2350" s="196"/>
      <c r="T2350" s="196"/>
      <c r="U2350" s="196"/>
      <c r="V2350" s="196"/>
      <c r="W2350" s="196"/>
      <c r="X2350" s="196"/>
      <c r="Y2350" s="196"/>
      <c r="Z2350" s="196"/>
      <c r="AA2350" s="196"/>
      <c r="AB2350" s="196"/>
      <c r="AC2350" s="196"/>
      <c r="AD2350" s="196"/>
      <c r="AE2350" s="196"/>
      <c r="AF2350" s="196"/>
      <c r="AG2350" s="196"/>
      <c r="AH2350" s="196"/>
      <c r="AI2350" s="196"/>
      <c r="AJ2350" s="197"/>
      <c r="AK2350" s="80"/>
      <c r="AL2350" s="80"/>
      <c r="AM2350" s="73"/>
      <c r="AN2350" s="73"/>
      <c r="AO2350" s="73"/>
      <c r="AP2350" s="73"/>
      <c r="AQ2350" s="73"/>
      <c r="AR2350" s="73"/>
      <c r="AS2350" s="73"/>
      <c r="AT2350" s="73"/>
      <c r="AU2350" s="73"/>
      <c r="AV2350" s="73"/>
      <c r="AW2350" s="73"/>
      <c r="AX2350" s="73"/>
      <c r="AY2350" s="73"/>
      <c r="AZ2350" s="73"/>
      <c r="BA2350" s="73"/>
      <c r="BB2350" s="73"/>
      <c r="BC2350" s="73"/>
      <c r="BD2350" s="73"/>
      <c r="BE2350" s="73"/>
      <c r="BF2350" s="73"/>
      <c r="BG2350" s="73"/>
      <c r="BH2350" s="73"/>
      <c r="BI2350" s="73"/>
      <c r="BJ2350" s="73"/>
      <c r="BK2350" s="73"/>
      <c r="BL2350" s="73"/>
      <c r="BM2350" s="73"/>
      <c r="BN2350" s="73"/>
      <c r="BO2350" s="73"/>
      <c r="BP2350" s="73"/>
      <c r="BQ2350" s="73"/>
      <c r="BR2350" s="73"/>
      <c r="BS2350" s="73"/>
      <c r="BT2350" s="73"/>
      <c r="BU2350" s="73"/>
      <c r="BV2350" s="73"/>
      <c r="BW2350" s="73"/>
      <c r="BX2350" s="73"/>
      <c r="BY2350" s="73"/>
      <c r="BZ2350" s="73"/>
      <c r="CA2350" s="73"/>
      <c r="CB2350" s="73"/>
      <c r="CC2350" s="73"/>
      <c r="CD2350" s="73"/>
      <c r="CE2350" s="73"/>
      <c r="CF2350" s="73"/>
      <c r="CG2350" s="73"/>
      <c r="CH2350" s="73"/>
    </row>
    <row r="2351">
      <c r="A2351" s="80"/>
      <c r="B2351" s="80"/>
      <c r="C2351" s="80"/>
      <c r="D2351" s="80"/>
      <c r="E2351" s="124"/>
      <c r="F2351" s="80"/>
      <c r="G2351" s="80"/>
      <c r="H2351" s="80"/>
      <c r="I2351" s="80"/>
      <c r="J2351" s="196"/>
      <c r="K2351" s="196"/>
      <c r="L2351" s="196"/>
      <c r="M2351" s="196"/>
      <c r="N2351" s="196"/>
      <c r="O2351" s="196"/>
      <c r="P2351" s="196"/>
      <c r="Q2351" s="196"/>
      <c r="R2351" s="196"/>
      <c r="S2351" s="196"/>
      <c r="T2351" s="196"/>
      <c r="U2351" s="196"/>
      <c r="V2351" s="196"/>
      <c r="W2351" s="196"/>
      <c r="X2351" s="196"/>
      <c r="Y2351" s="196"/>
      <c r="Z2351" s="196"/>
      <c r="AA2351" s="196"/>
      <c r="AB2351" s="196"/>
      <c r="AC2351" s="196"/>
      <c r="AD2351" s="196"/>
      <c r="AE2351" s="196"/>
      <c r="AF2351" s="196"/>
      <c r="AG2351" s="196"/>
      <c r="AH2351" s="196"/>
      <c r="AI2351" s="196"/>
      <c r="AJ2351" s="197"/>
      <c r="AK2351" s="80"/>
      <c r="AL2351" s="80"/>
      <c r="AM2351" s="73"/>
      <c r="AN2351" s="73"/>
      <c r="AO2351" s="73"/>
      <c r="AP2351" s="73"/>
      <c r="AQ2351" s="73"/>
      <c r="AR2351" s="73"/>
      <c r="AS2351" s="73"/>
      <c r="AT2351" s="73"/>
      <c r="AU2351" s="73"/>
      <c r="AV2351" s="73"/>
      <c r="AW2351" s="73"/>
      <c r="AX2351" s="73"/>
      <c r="AY2351" s="73"/>
      <c r="AZ2351" s="73"/>
      <c r="BA2351" s="73"/>
      <c r="BB2351" s="73"/>
      <c r="BC2351" s="73"/>
      <c r="BD2351" s="73"/>
      <c r="BE2351" s="73"/>
      <c r="BF2351" s="73"/>
      <c r="BG2351" s="73"/>
      <c r="BH2351" s="73"/>
      <c r="BI2351" s="73"/>
      <c r="BJ2351" s="73"/>
      <c r="BK2351" s="73"/>
      <c r="BL2351" s="73"/>
      <c r="BM2351" s="73"/>
      <c r="BN2351" s="73"/>
      <c r="BO2351" s="73"/>
      <c r="BP2351" s="73"/>
      <c r="BQ2351" s="73"/>
      <c r="BR2351" s="73"/>
      <c r="BS2351" s="73"/>
      <c r="BT2351" s="73"/>
      <c r="BU2351" s="73"/>
      <c r="BV2351" s="73"/>
      <c r="BW2351" s="73"/>
      <c r="BX2351" s="73"/>
      <c r="BY2351" s="73"/>
      <c r="BZ2351" s="73"/>
      <c r="CA2351" s="73"/>
      <c r="CB2351" s="73"/>
      <c r="CC2351" s="73"/>
      <c r="CD2351" s="73"/>
      <c r="CE2351" s="73"/>
      <c r="CF2351" s="73"/>
      <c r="CG2351" s="73"/>
      <c r="CH2351" s="73"/>
    </row>
    <row r="2352">
      <c r="A2352" s="80"/>
      <c r="B2352" s="80"/>
      <c r="C2352" s="80"/>
      <c r="D2352" s="80"/>
      <c r="E2352" s="124"/>
      <c r="F2352" s="80"/>
      <c r="G2352" s="80"/>
      <c r="H2352" s="80"/>
      <c r="I2352" s="80"/>
      <c r="J2352" s="196"/>
      <c r="K2352" s="196"/>
      <c r="L2352" s="196"/>
      <c r="M2352" s="196"/>
      <c r="N2352" s="196"/>
      <c r="O2352" s="196"/>
      <c r="P2352" s="196"/>
      <c r="Q2352" s="196"/>
      <c r="R2352" s="196"/>
      <c r="S2352" s="196"/>
      <c r="T2352" s="196"/>
      <c r="U2352" s="196"/>
      <c r="V2352" s="196"/>
      <c r="W2352" s="196"/>
      <c r="X2352" s="196"/>
      <c r="Y2352" s="196"/>
      <c r="Z2352" s="196"/>
      <c r="AA2352" s="196"/>
      <c r="AB2352" s="196"/>
      <c r="AC2352" s="196"/>
      <c r="AD2352" s="196"/>
      <c r="AE2352" s="196"/>
      <c r="AF2352" s="196"/>
      <c r="AG2352" s="196"/>
      <c r="AH2352" s="196"/>
      <c r="AI2352" s="196"/>
      <c r="AJ2352" s="197"/>
      <c r="AK2352" s="80"/>
      <c r="AL2352" s="80"/>
      <c r="AM2352" s="73"/>
      <c r="AN2352" s="73"/>
      <c r="AO2352" s="73"/>
      <c r="AP2352" s="73"/>
      <c r="AQ2352" s="73"/>
      <c r="AR2352" s="73"/>
      <c r="AS2352" s="73"/>
      <c r="AT2352" s="73"/>
      <c r="AU2352" s="73"/>
      <c r="AV2352" s="73"/>
      <c r="AW2352" s="73"/>
      <c r="AX2352" s="73"/>
      <c r="AY2352" s="73"/>
      <c r="AZ2352" s="73"/>
      <c r="BA2352" s="73"/>
      <c r="BB2352" s="73"/>
      <c r="BC2352" s="73"/>
      <c r="BD2352" s="73"/>
      <c r="BE2352" s="73"/>
      <c r="BF2352" s="73"/>
      <c r="BG2352" s="73"/>
      <c r="BH2352" s="73"/>
      <c r="BI2352" s="73"/>
      <c r="BJ2352" s="73"/>
      <c r="BK2352" s="73"/>
      <c r="BL2352" s="73"/>
      <c r="BM2352" s="73"/>
      <c r="BN2352" s="73"/>
      <c r="BO2352" s="73"/>
      <c r="BP2352" s="73"/>
      <c r="BQ2352" s="73"/>
      <c r="BR2352" s="73"/>
      <c r="BS2352" s="73"/>
      <c r="BT2352" s="73"/>
      <c r="BU2352" s="73"/>
      <c r="BV2352" s="73"/>
      <c r="BW2352" s="73"/>
      <c r="BX2352" s="73"/>
      <c r="BY2352" s="73"/>
      <c r="BZ2352" s="73"/>
      <c r="CA2352" s="73"/>
      <c r="CB2352" s="73"/>
      <c r="CC2352" s="73"/>
      <c r="CD2352" s="73"/>
      <c r="CE2352" s="73"/>
      <c r="CF2352" s="73"/>
      <c r="CG2352" s="73"/>
      <c r="CH2352" s="73"/>
    </row>
    <row r="2353">
      <c r="A2353" s="80"/>
      <c r="B2353" s="80"/>
      <c r="C2353" s="80"/>
      <c r="D2353" s="80"/>
      <c r="E2353" s="124"/>
      <c r="F2353" s="80"/>
      <c r="G2353" s="80"/>
      <c r="H2353" s="80"/>
      <c r="I2353" s="80"/>
      <c r="J2353" s="196"/>
      <c r="K2353" s="196"/>
      <c r="L2353" s="196"/>
      <c r="M2353" s="196"/>
      <c r="N2353" s="196"/>
      <c r="O2353" s="196"/>
      <c r="P2353" s="196"/>
      <c r="Q2353" s="196"/>
      <c r="R2353" s="196"/>
      <c r="S2353" s="196"/>
      <c r="T2353" s="196"/>
      <c r="U2353" s="196"/>
      <c r="V2353" s="196"/>
      <c r="W2353" s="196"/>
      <c r="X2353" s="196"/>
      <c r="Y2353" s="196"/>
      <c r="Z2353" s="196"/>
      <c r="AA2353" s="196"/>
      <c r="AB2353" s="196"/>
      <c r="AC2353" s="196"/>
      <c r="AD2353" s="196"/>
      <c r="AE2353" s="196"/>
      <c r="AF2353" s="196"/>
      <c r="AG2353" s="196"/>
      <c r="AH2353" s="196"/>
      <c r="AI2353" s="196"/>
      <c r="AJ2353" s="197"/>
      <c r="AK2353" s="80"/>
      <c r="AL2353" s="80"/>
      <c r="AM2353" s="73"/>
      <c r="AN2353" s="73"/>
      <c r="AO2353" s="73"/>
      <c r="AP2353" s="73"/>
      <c r="AQ2353" s="73"/>
      <c r="AR2353" s="73"/>
      <c r="AS2353" s="73"/>
      <c r="AT2353" s="73"/>
      <c r="AU2353" s="73"/>
      <c r="AV2353" s="73"/>
      <c r="AW2353" s="73"/>
      <c r="AX2353" s="73"/>
      <c r="AY2353" s="73"/>
      <c r="AZ2353" s="73"/>
      <c r="BA2353" s="73"/>
      <c r="BB2353" s="73"/>
      <c r="BC2353" s="73"/>
      <c r="BD2353" s="73"/>
      <c r="BE2353" s="73"/>
      <c r="BF2353" s="73"/>
      <c r="BG2353" s="73"/>
      <c r="BH2353" s="73"/>
      <c r="BI2353" s="73"/>
      <c r="BJ2353" s="73"/>
      <c r="BK2353" s="73"/>
      <c r="BL2353" s="73"/>
      <c r="BM2353" s="73"/>
      <c r="BN2353" s="73"/>
      <c r="BO2353" s="73"/>
      <c r="BP2353" s="73"/>
      <c r="BQ2353" s="73"/>
      <c r="BR2353" s="73"/>
      <c r="BS2353" s="73"/>
      <c r="BT2353" s="73"/>
      <c r="BU2353" s="73"/>
      <c r="BV2353" s="73"/>
      <c r="BW2353" s="73"/>
      <c r="BX2353" s="73"/>
      <c r="BY2353" s="73"/>
      <c r="BZ2353" s="73"/>
      <c r="CA2353" s="73"/>
      <c r="CB2353" s="73"/>
      <c r="CC2353" s="73"/>
      <c r="CD2353" s="73"/>
      <c r="CE2353" s="73"/>
      <c r="CF2353" s="73"/>
      <c r="CG2353" s="73"/>
      <c r="CH2353" s="73"/>
    </row>
    <row r="2354">
      <c r="A2354" s="80"/>
      <c r="B2354" s="80"/>
      <c r="C2354" s="80"/>
      <c r="D2354" s="80"/>
      <c r="E2354" s="124"/>
      <c r="F2354" s="80"/>
      <c r="G2354" s="80"/>
      <c r="H2354" s="80"/>
      <c r="I2354" s="80"/>
      <c r="J2354" s="196"/>
      <c r="K2354" s="196"/>
      <c r="L2354" s="196"/>
      <c r="M2354" s="196"/>
      <c r="N2354" s="196"/>
      <c r="O2354" s="196"/>
      <c r="P2354" s="196"/>
      <c r="Q2354" s="196"/>
      <c r="R2354" s="196"/>
      <c r="S2354" s="196"/>
      <c r="T2354" s="196"/>
      <c r="U2354" s="196"/>
      <c r="V2354" s="196"/>
      <c r="W2354" s="196"/>
      <c r="X2354" s="196"/>
      <c r="Y2354" s="196"/>
      <c r="Z2354" s="196"/>
      <c r="AA2354" s="196"/>
      <c r="AB2354" s="196"/>
      <c r="AC2354" s="196"/>
      <c r="AD2354" s="196"/>
      <c r="AE2354" s="196"/>
      <c r="AF2354" s="196"/>
      <c r="AG2354" s="196"/>
      <c r="AH2354" s="196"/>
      <c r="AI2354" s="196"/>
      <c r="AJ2354" s="197"/>
      <c r="AK2354" s="80"/>
      <c r="AL2354" s="80"/>
      <c r="AM2354" s="73"/>
      <c r="AN2354" s="73"/>
      <c r="AO2354" s="73"/>
      <c r="AP2354" s="73"/>
      <c r="AQ2354" s="73"/>
      <c r="AR2354" s="73"/>
      <c r="AS2354" s="73"/>
      <c r="AT2354" s="73"/>
      <c r="AU2354" s="73"/>
      <c r="AV2354" s="73"/>
      <c r="AW2354" s="73"/>
      <c r="AX2354" s="73"/>
      <c r="AY2354" s="73"/>
      <c r="AZ2354" s="73"/>
      <c r="BA2354" s="73"/>
      <c r="BB2354" s="73"/>
      <c r="BC2354" s="73"/>
      <c r="BD2354" s="73"/>
      <c r="BE2354" s="73"/>
      <c r="BF2354" s="73"/>
      <c r="BG2354" s="73"/>
      <c r="BH2354" s="73"/>
      <c r="BI2354" s="73"/>
      <c r="BJ2354" s="73"/>
      <c r="BK2354" s="73"/>
      <c r="BL2354" s="73"/>
      <c r="BM2354" s="73"/>
      <c r="BN2354" s="73"/>
      <c r="BO2354" s="73"/>
      <c r="BP2354" s="73"/>
      <c r="BQ2354" s="73"/>
      <c r="BR2354" s="73"/>
      <c r="BS2354" s="73"/>
      <c r="BT2354" s="73"/>
      <c r="BU2354" s="73"/>
      <c r="BV2354" s="73"/>
      <c r="BW2354" s="73"/>
      <c r="BX2354" s="73"/>
      <c r="BY2354" s="73"/>
      <c r="BZ2354" s="73"/>
      <c r="CA2354" s="73"/>
      <c r="CB2354" s="73"/>
      <c r="CC2354" s="73"/>
      <c r="CD2354" s="73"/>
      <c r="CE2354" s="73"/>
      <c r="CF2354" s="73"/>
      <c r="CG2354" s="73"/>
      <c r="CH2354" s="73"/>
    </row>
    <row r="2355">
      <c r="A2355" s="80"/>
      <c r="B2355" s="80"/>
      <c r="C2355" s="80"/>
      <c r="D2355" s="80"/>
      <c r="E2355" s="124"/>
      <c r="F2355" s="80"/>
      <c r="G2355" s="80"/>
      <c r="H2355" s="80"/>
      <c r="I2355" s="80"/>
      <c r="J2355" s="196"/>
      <c r="K2355" s="196"/>
      <c r="L2355" s="196"/>
      <c r="M2355" s="196"/>
      <c r="N2355" s="196"/>
      <c r="O2355" s="196"/>
      <c r="P2355" s="196"/>
      <c r="Q2355" s="196"/>
      <c r="R2355" s="196"/>
      <c r="S2355" s="196"/>
      <c r="T2355" s="196"/>
      <c r="U2355" s="196"/>
      <c r="V2355" s="196"/>
      <c r="W2355" s="196"/>
      <c r="X2355" s="196"/>
      <c r="Y2355" s="196"/>
      <c r="Z2355" s="196"/>
      <c r="AA2355" s="196"/>
      <c r="AB2355" s="196"/>
      <c r="AC2355" s="196"/>
      <c r="AD2355" s="196"/>
      <c r="AE2355" s="196"/>
      <c r="AF2355" s="196"/>
      <c r="AG2355" s="196"/>
      <c r="AH2355" s="196"/>
      <c r="AI2355" s="196"/>
      <c r="AJ2355" s="197"/>
      <c r="AK2355" s="80"/>
      <c r="AL2355" s="80"/>
      <c r="AM2355" s="73"/>
      <c r="AN2355" s="73"/>
      <c r="AO2355" s="73"/>
      <c r="AP2355" s="73"/>
      <c r="AQ2355" s="73"/>
      <c r="AR2355" s="73"/>
      <c r="AS2355" s="73"/>
      <c r="AT2355" s="73"/>
      <c r="AU2355" s="73"/>
      <c r="AV2355" s="73"/>
      <c r="AW2355" s="73"/>
      <c r="AX2355" s="73"/>
      <c r="AY2355" s="73"/>
      <c r="AZ2355" s="73"/>
      <c r="BA2355" s="73"/>
      <c r="BB2355" s="73"/>
      <c r="BC2355" s="73"/>
      <c r="BD2355" s="73"/>
      <c r="BE2355" s="73"/>
      <c r="BF2355" s="73"/>
      <c r="BG2355" s="73"/>
      <c r="BH2355" s="73"/>
      <c r="BI2355" s="73"/>
      <c r="BJ2355" s="73"/>
      <c r="BK2355" s="73"/>
      <c r="BL2355" s="73"/>
      <c r="BM2355" s="73"/>
      <c r="BN2355" s="73"/>
      <c r="BO2355" s="73"/>
      <c r="BP2355" s="73"/>
      <c r="BQ2355" s="73"/>
      <c r="BR2355" s="73"/>
      <c r="BS2355" s="73"/>
      <c r="BT2355" s="73"/>
      <c r="BU2355" s="73"/>
      <c r="BV2355" s="73"/>
      <c r="BW2355" s="73"/>
      <c r="BX2355" s="73"/>
      <c r="BY2355" s="73"/>
      <c r="BZ2355" s="73"/>
      <c r="CA2355" s="73"/>
      <c r="CB2355" s="73"/>
      <c r="CC2355" s="73"/>
      <c r="CD2355" s="73"/>
      <c r="CE2355" s="73"/>
      <c r="CF2355" s="73"/>
      <c r="CG2355" s="73"/>
      <c r="CH2355" s="73"/>
    </row>
    <row r="2356">
      <c r="A2356" s="80"/>
      <c r="B2356" s="80"/>
      <c r="C2356" s="80"/>
      <c r="D2356" s="80"/>
      <c r="E2356" s="124"/>
      <c r="F2356" s="80"/>
      <c r="G2356" s="80"/>
      <c r="H2356" s="80"/>
      <c r="I2356" s="80"/>
      <c r="J2356" s="196"/>
      <c r="K2356" s="196"/>
      <c r="L2356" s="196"/>
      <c r="M2356" s="196"/>
      <c r="N2356" s="196"/>
      <c r="O2356" s="196"/>
      <c r="P2356" s="196"/>
      <c r="Q2356" s="196"/>
      <c r="R2356" s="196"/>
      <c r="S2356" s="196"/>
      <c r="T2356" s="196"/>
      <c r="U2356" s="196"/>
      <c r="V2356" s="196"/>
      <c r="W2356" s="196"/>
      <c r="X2356" s="196"/>
      <c r="Y2356" s="196"/>
      <c r="Z2356" s="196"/>
      <c r="AA2356" s="196"/>
      <c r="AB2356" s="196"/>
      <c r="AC2356" s="196"/>
      <c r="AD2356" s="196"/>
      <c r="AE2356" s="196"/>
      <c r="AF2356" s="196"/>
      <c r="AG2356" s="196"/>
      <c r="AH2356" s="196"/>
      <c r="AI2356" s="196"/>
      <c r="AJ2356" s="197"/>
      <c r="AK2356" s="80"/>
      <c r="AL2356" s="80"/>
      <c r="AM2356" s="73"/>
      <c r="AN2356" s="73"/>
      <c r="AO2356" s="73"/>
      <c r="AP2356" s="73"/>
      <c r="AQ2356" s="73"/>
      <c r="AR2356" s="73"/>
      <c r="AS2356" s="73"/>
      <c r="AT2356" s="73"/>
      <c r="AU2356" s="73"/>
      <c r="AV2356" s="73"/>
      <c r="AW2356" s="73"/>
      <c r="AX2356" s="73"/>
      <c r="AY2356" s="73"/>
      <c r="AZ2356" s="73"/>
      <c r="BA2356" s="73"/>
      <c r="BB2356" s="73"/>
      <c r="BC2356" s="73"/>
      <c r="BD2356" s="73"/>
      <c r="BE2356" s="73"/>
      <c r="BF2356" s="73"/>
      <c r="BG2356" s="73"/>
      <c r="BH2356" s="73"/>
      <c r="BI2356" s="73"/>
      <c r="BJ2356" s="73"/>
      <c r="BK2356" s="73"/>
      <c r="BL2356" s="73"/>
      <c r="BM2356" s="73"/>
      <c r="BN2356" s="73"/>
      <c r="BO2356" s="73"/>
      <c r="BP2356" s="73"/>
      <c r="BQ2356" s="73"/>
      <c r="BR2356" s="73"/>
      <c r="BS2356" s="73"/>
      <c r="BT2356" s="73"/>
      <c r="BU2356" s="73"/>
      <c r="BV2356" s="73"/>
      <c r="BW2356" s="73"/>
      <c r="BX2356" s="73"/>
      <c r="BY2356" s="73"/>
      <c r="BZ2356" s="73"/>
      <c r="CA2356" s="73"/>
      <c r="CB2356" s="73"/>
      <c r="CC2356" s="73"/>
      <c r="CD2356" s="73"/>
      <c r="CE2356" s="73"/>
      <c r="CF2356" s="73"/>
      <c r="CG2356" s="73"/>
      <c r="CH2356" s="73"/>
    </row>
    <row r="2357">
      <c r="A2357" s="80"/>
      <c r="B2357" s="80"/>
      <c r="C2357" s="80"/>
      <c r="D2357" s="80"/>
      <c r="E2357" s="124"/>
      <c r="F2357" s="80"/>
      <c r="G2357" s="80"/>
      <c r="H2357" s="80"/>
      <c r="I2357" s="80"/>
      <c r="J2357" s="196"/>
      <c r="K2357" s="196"/>
      <c r="L2357" s="196"/>
      <c r="M2357" s="196"/>
      <c r="N2357" s="196"/>
      <c r="O2357" s="196"/>
      <c r="P2357" s="196"/>
      <c r="Q2357" s="196"/>
      <c r="R2357" s="196"/>
      <c r="S2357" s="196"/>
      <c r="T2357" s="196"/>
      <c r="U2357" s="196"/>
      <c r="V2357" s="196"/>
      <c r="W2357" s="196"/>
      <c r="X2357" s="196"/>
      <c r="Y2357" s="196"/>
      <c r="Z2357" s="196"/>
      <c r="AA2357" s="196"/>
      <c r="AB2357" s="196"/>
      <c r="AC2357" s="196"/>
      <c r="AD2357" s="196"/>
      <c r="AE2357" s="196"/>
      <c r="AF2357" s="196"/>
      <c r="AG2357" s="196"/>
      <c r="AH2357" s="196"/>
      <c r="AI2357" s="196"/>
      <c r="AJ2357" s="197"/>
      <c r="AK2357" s="80"/>
      <c r="AL2357" s="80"/>
      <c r="AM2357" s="73"/>
      <c r="AN2357" s="73"/>
      <c r="AO2357" s="73"/>
      <c r="AP2357" s="73"/>
      <c r="AQ2357" s="73"/>
      <c r="AR2357" s="73"/>
      <c r="AS2357" s="73"/>
      <c r="AT2357" s="73"/>
      <c r="AU2357" s="73"/>
      <c r="AV2357" s="73"/>
      <c r="AW2357" s="73"/>
      <c r="AX2357" s="73"/>
      <c r="AY2357" s="73"/>
      <c r="AZ2357" s="73"/>
      <c r="BA2357" s="73"/>
      <c r="BB2357" s="73"/>
      <c r="BC2357" s="73"/>
      <c r="BD2357" s="73"/>
      <c r="BE2357" s="73"/>
      <c r="BF2357" s="73"/>
      <c r="BG2357" s="73"/>
      <c r="BH2357" s="73"/>
      <c r="BI2357" s="73"/>
      <c r="BJ2357" s="73"/>
      <c r="BK2357" s="73"/>
      <c r="BL2357" s="73"/>
      <c r="BM2357" s="73"/>
      <c r="BN2357" s="73"/>
      <c r="BO2357" s="73"/>
      <c r="BP2357" s="73"/>
      <c r="BQ2357" s="73"/>
      <c r="BR2357" s="73"/>
      <c r="BS2357" s="73"/>
      <c r="BT2357" s="73"/>
      <c r="BU2357" s="73"/>
      <c r="BV2357" s="73"/>
      <c r="BW2357" s="73"/>
      <c r="BX2357" s="73"/>
      <c r="BY2357" s="73"/>
      <c r="BZ2357" s="73"/>
      <c r="CA2357" s="73"/>
      <c r="CB2357" s="73"/>
      <c r="CC2357" s="73"/>
      <c r="CD2357" s="73"/>
      <c r="CE2357" s="73"/>
      <c r="CF2357" s="73"/>
      <c r="CG2357" s="73"/>
      <c r="CH2357" s="73"/>
    </row>
    <row r="2358">
      <c r="A2358" s="80"/>
      <c r="B2358" s="80"/>
      <c r="C2358" s="80"/>
      <c r="D2358" s="80"/>
      <c r="E2358" s="124"/>
      <c r="F2358" s="80"/>
      <c r="G2358" s="80"/>
      <c r="H2358" s="80"/>
      <c r="I2358" s="80"/>
      <c r="J2358" s="196"/>
      <c r="K2358" s="196"/>
      <c r="L2358" s="196"/>
      <c r="M2358" s="196"/>
      <c r="N2358" s="196"/>
      <c r="O2358" s="196"/>
      <c r="P2358" s="196"/>
      <c r="Q2358" s="196"/>
      <c r="R2358" s="196"/>
      <c r="S2358" s="196"/>
      <c r="T2358" s="196"/>
      <c r="U2358" s="196"/>
      <c r="V2358" s="196"/>
      <c r="W2358" s="196"/>
      <c r="X2358" s="196"/>
      <c r="Y2358" s="196"/>
      <c r="Z2358" s="196"/>
      <c r="AA2358" s="196"/>
      <c r="AB2358" s="196"/>
      <c r="AC2358" s="196"/>
      <c r="AD2358" s="196"/>
      <c r="AE2358" s="196"/>
      <c r="AF2358" s="196"/>
      <c r="AG2358" s="196"/>
      <c r="AH2358" s="196"/>
      <c r="AI2358" s="196"/>
      <c r="AJ2358" s="197"/>
      <c r="AK2358" s="80"/>
      <c r="AL2358" s="80"/>
      <c r="AM2358" s="73"/>
      <c r="AN2358" s="73"/>
      <c r="AO2358" s="73"/>
      <c r="AP2358" s="73"/>
      <c r="AQ2358" s="73"/>
      <c r="AR2358" s="73"/>
      <c r="AS2358" s="73"/>
      <c r="AT2358" s="73"/>
      <c r="AU2358" s="73"/>
      <c r="AV2358" s="73"/>
      <c r="AW2358" s="73"/>
      <c r="AX2358" s="73"/>
      <c r="AY2358" s="73"/>
      <c r="AZ2358" s="73"/>
      <c r="BA2358" s="73"/>
      <c r="BB2358" s="73"/>
      <c r="BC2358" s="73"/>
      <c r="BD2358" s="73"/>
      <c r="BE2358" s="73"/>
      <c r="BF2358" s="73"/>
      <c r="BG2358" s="73"/>
      <c r="BH2358" s="73"/>
      <c r="BI2358" s="73"/>
      <c r="BJ2358" s="73"/>
      <c r="BK2358" s="73"/>
      <c r="BL2358" s="73"/>
      <c r="BM2358" s="73"/>
      <c r="BN2358" s="73"/>
      <c r="BO2358" s="73"/>
      <c r="BP2358" s="73"/>
      <c r="BQ2358" s="73"/>
      <c r="BR2358" s="73"/>
      <c r="BS2358" s="73"/>
      <c r="BT2358" s="73"/>
      <c r="BU2358" s="73"/>
      <c r="BV2358" s="73"/>
      <c r="BW2358" s="73"/>
      <c r="BX2358" s="73"/>
      <c r="BY2358" s="73"/>
      <c r="BZ2358" s="73"/>
      <c r="CA2358" s="73"/>
      <c r="CB2358" s="73"/>
      <c r="CC2358" s="73"/>
      <c r="CD2358" s="73"/>
      <c r="CE2358" s="73"/>
      <c r="CF2358" s="73"/>
      <c r="CG2358" s="73"/>
      <c r="CH2358" s="73"/>
    </row>
    <row r="2359">
      <c r="A2359" s="80"/>
      <c r="B2359" s="80"/>
      <c r="C2359" s="80"/>
      <c r="D2359" s="80"/>
      <c r="E2359" s="124"/>
      <c r="F2359" s="80"/>
      <c r="G2359" s="80"/>
      <c r="H2359" s="80"/>
      <c r="I2359" s="80"/>
      <c r="J2359" s="196"/>
      <c r="K2359" s="196"/>
      <c r="L2359" s="196"/>
      <c r="M2359" s="196"/>
      <c r="N2359" s="196"/>
      <c r="O2359" s="196"/>
      <c r="P2359" s="196"/>
      <c r="Q2359" s="196"/>
      <c r="R2359" s="196"/>
      <c r="S2359" s="196"/>
      <c r="T2359" s="196"/>
      <c r="U2359" s="196"/>
      <c r="V2359" s="196"/>
      <c r="W2359" s="196"/>
      <c r="X2359" s="196"/>
      <c r="Y2359" s="196"/>
      <c r="Z2359" s="196"/>
      <c r="AA2359" s="196"/>
      <c r="AB2359" s="196"/>
      <c r="AC2359" s="196"/>
      <c r="AD2359" s="196"/>
      <c r="AE2359" s="196"/>
      <c r="AF2359" s="196"/>
      <c r="AG2359" s="196"/>
      <c r="AH2359" s="196"/>
      <c r="AI2359" s="196"/>
      <c r="AJ2359" s="197"/>
      <c r="AK2359" s="80"/>
      <c r="AL2359" s="80"/>
      <c r="AM2359" s="73"/>
      <c r="AN2359" s="73"/>
      <c r="AO2359" s="73"/>
      <c r="AP2359" s="73"/>
      <c r="AQ2359" s="73"/>
      <c r="AR2359" s="73"/>
      <c r="AS2359" s="73"/>
      <c r="AT2359" s="73"/>
      <c r="AU2359" s="73"/>
      <c r="AV2359" s="73"/>
      <c r="AW2359" s="73"/>
      <c r="AX2359" s="73"/>
      <c r="AY2359" s="73"/>
      <c r="AZ2359" s="73"/>
      <c r="BA2359" s="73"/>
      <c r="BB2359" s="73"/>
      <c r="BC2359" s="73"/>
      <c r="BD2359" s="73"/>
      <c r="BE2359" s="73"/>
      <c r="BF2359" s="73"/>
      <c r="BG2359" s="73"/>
      <c r="BH2359" s="73"/>
      <c r="BI2359" s="73"/>
      <c r="BJ2359" s="73"/>
      <c r="BK2359" s="73"/>
      <c r="BL2359" s="73"/>
      <c r="BM2359" s="73"/>
      <c r="BN2359" s="73"/>
      <c r="BO2359" s="73"/>
      <c r="BP2359" s="73"/>
      <c r="BQ2359" s="73"/>
      <c r="BR2359" s="73"/>
      <c r="BS2359" s="73"/>
      <c r="BT2359" s="73"/>
      <c r="BU2359" s="73"/>
      <c r="BV2359" s="73"/>
      <c r="BW2359" s="73"/>
      <c r="BX2359" s="73"/>
      <c r="BY2359" s="73"/>
      <c r="BZ2359" s="73"/>
      <c r="CA2359" s="73"/>
      <c r="CB2359" s="73"/>
      <c r="CC2359" s="73"/>
      <c r="CD2359" s="73"/>
      <c r="CE2359" s="73"/>
      <c r="CF2359" s="73"/>
      <c r="CG2359" s="73"/>
      <c r="CH2359" s="73"/>
    </row>
    <row r="2360">
      <c r="A2360" s="80"/>
      <c r="B2360" s="80"/>
      <c r="C2360" s="80"/>
      <c r="D2360" s="80"/>
      <c r="E2360" s="124"/>
      <c r="F2360" s="80"/>
      <c r="G2360" s="80"/>
      <c r="H2360" s="80"/>
      <c r="I2360" s="80"/>
      <c r="J2360" s="196"/>
      <c r="K2360" s="196"/>
      <c r="L2360" s="196"/>
      <c r="M2360" s="196"/>
      <c r="N2360" s="196"/>
      <c r="O2360" s="196"/>
      <c r="P2360" s="196"/>
      <c r="Q2360" s="196"/>
      <c r="R2360" s="196"/>
      <c r="S2360" s="196"/>
      <c r="T2360" s="196"/>
      <c r="U2360" s="196"/>
      <c r="V2360" s="196"/>
      <c r="W2360" s="196"/>
      <c r="X2360" s="196"/>
      <c r="Y2360" s="196"/>
      <c r="Z2360" s="196"/>
      <c r="AA2360" s="196"/>
      <c r="AB2360" s="196"/>
      <c r="AC2360" s="196"/>
      <c r="AD2360" s="196"/>
      <c r="AE2360" s="196"/>
      <c r="AF2360" s="196"/>
      <c r="AG2360" s="196"/>
      <c r="AH2360" s="196"/>
      <c r="AI2360" s="196"/>
      <c r="AJ2360" s="197"/>
      <c r="AK2360" s="80"/>
      <c r="AL2360" s="80"/>
      <c r="AM2360" s="73"/>
      <c r="AN2360" s="73"/>
      <c r="AO2360" s="73"/>
      <c r="AP2360" s="73"/>
      <c r="AQ2360" s="73"/>
      <c r="AR2360" s="73"/>
      <c r="AS2360" s="73"/>
      <c r="AT2360" s="73"/>
      <c r="AU2360" s="73"/>
      <c r="AV2360" s="73"/>
      <c r="AW2360" s="73"/>
      <c r="AX2360" s="73"/>
      <c r="AY2360" s="73"/>
      <c r="AZ2360" s="73"/>
      <c r="BA2360" s="73"/>
      <c r="BB2360" s="73"/>
      <c r="BC2360" s="73"/>
      <c r="BD2360" s="73"/>
      <c r="BE2360" s="73"/>
      <c r="BF2360" s="73"/>
      <c r="BG2360" s="73"/>
      <c r="BH2360" s="73"/>
      <c r="BI2360" s="73"/>
      <c r="BJ2360" s="73"/>
      <c r="BK2360" s="73"/>
      <c r="BL2360" s="73"/>
      <c r="BM2360" s="73"/>
      <c r="BN2360" s="73"/>
      <c r="BO2360" s="73"/>
      <c r="BP2360" s="73"/>
      <c r="BQ2360" s="73"/>
      <c r="BR2360" s="73"/>
      <c r="BS2360" s="73"/>
      <c r="BT2360" s="73"/>
      <c r="BU2360" s="73"/>
      <c r="BV2360" s="73"/>
      <c r="BW2360" s="73"/>
      <c r="BX2360" s="73"/>
      <c r="BY2360" s="73"/>
      <c r="BZ2360" s="73"/>
      <c r="CA2360" s="73"/>
      <c r="CB2360" s="73"/>
      <c r="CC2360" s="73"/>
      <c r="CD2360" s="73"/>
      <c r="CE2360" s="73"/>
      <c r="CF2360" s="73"/>
      <c r="CG2360" s="73"/>
      <c r="CH2360" s="73"/>
    </row>
    <row r="2361">
      <c r="A2361" s="80"/>
      <c r="B2361" s="80"/>
      <c r="C2361" s="80"/>
      <c r="D2361" s="80"/>
      <c r="E2361" s="124"/>
      <c r="F2361" s="80"/>
      <c r="G2361" s="80"/>
      <c r="H2361" s="80"/>
      <c r="I2361" s="80"/>
      <c r="J2361" s="196"/>
      <c r="K2361" s="196"/>
      <c r="L2361" s="196"/>
      <c r="M2361" s="196"/>
      <c r="N2361" s="196"/>
      <c r="O2361" s="196"/>
      <c r="P2361" s="196"/>
      <c r="Q2361" s="196"/>
      <c r="R2361" s="196"/>
      <c r="S2361" s="196"/>
      <c r="T2361" s="196"/>
      <c r="U2361" s="196"/>
      <c r="V2361" s="196"/>
      <c r="W2361" s="196"/>
      <c r="X2361" s="196"/>
      <c r="Y2361" s="196"/>
      <c r="Z2361" s="196"/>
      <c r="AA2361" s="196"/>
      <c r="AB2361" s="196"/>
      <c r="AC2361" s="196"/>
      <c r="AD2361" s="196"/>
      <c r="AE2361" s="196"/>
      <c r="AF2361" s="196"/>
      <c r="AG2361" s="196"/>
      <c r="AH2361" s="196"/>
      <c r="AI2361" s="196"/>
      <c r="AJ2361" s="197"/>
      <c r="AK2361" s="80"/>
      <c r="AL2361" s="80"/>
      <c r="AM2361" s="73"/>
      <c r="AN2361" s="73"/>
      <c r="AO2361" s="73"/>
      <c r="AP2361" s="73"/>
      <c r="AQ2361" s="73"/>
      <c r="AR2361" s="73"/>
      <c r="AS2361" s="73"/>
      <c r="AT2361" s="73"/>
      <c r="AU2361" s="73"/>
      <c r="AV2361" s="73"/>
      <c r="AW2361" s="73"/>
      <c r="AX2361" s="73"/>
      <c r="AY2361" s="73"/>
      <c r="AZ2361" s="73"/>
      <c r="BA2361" s="73"/>
      <c r="BB2361" s="73"/>
      <c r="BC2361" s="73"/>
      <c r="BD2361" s="73"/>
      <c r="BE2361" s="73"/>
      <c r="BF2361" s="73"/>
      <c r="BG2361" s="73"/>
      <c r="BH2361" s="73"/>
      <c r="BI2361" s="73"/>
      <c r="BJ2361" s="73"/>
      <c r="BK2361" s="73"/>
      <c r="BL2361" s="73"/>
      <c r="BM2361" s="73"/>
      <c r="BN2361" s="73"/>
      <c r="BO2361" s="73"/>
      <c r="BP2361" s="73"/>
      <c r="BQ2361" s="73"/>
      <c r="BR2361" s="73"/>
      <c r="BS2361" s="73"/>
      <c r="BT2361" s="73"/>
      <c r="BU2361" s="73"/>
      <c r="BV2361" s="73"/>
      <c r="BW2361" s="73"/>
      <c r="BX2361" s="73"/>
      <c r="BY2361" s="73"/>
      <c r="BZ2361" s="73"/>
      <c r="CA2361" s="73"/>
      <c r="CB2361" s="73"/>
      <c r="CC2361" s="73"/>
      <c r="CD2361" s="73"/>
      <c r="CE2361" s="73"/>
      <c r="CF2361" s="73"/>
      <c r="CG2361" s="73"/>
      <c r="CH2361" s="73"/>
    </row>
    <row r="2362">
      <c r="A2362" s="80"/>
      <c r="B2362" s="80"/>
      <c r="C2362" s="80"/>
      <c r="D2362" s="80"/>
      <c r="E2362" s="124"/>
      <c r="F2362" s="80"/>
      <c r="G2362" s="80"/>
      <c r="H2362" s="80"/>
      <c r="I2362" s="80"/>
      <c r="J2362" s="196"/>
      <c r="K2362" s="196"/>
      <c r="L2362" s="196"/>
      <c r="M2362" s="196"/>
      <c r="N2362" s="196"/>
      <c r="O2362" s="196"/>
      <c r="P2362" s="196"/>
      <c r="Q2362" s="196"/>
      <c r="R2362" s="196"/>
      <c r="S2362" s="196"/>
      <c r="T2362" s="196"/>
      <c r="U2362" s="196"/>
      <c r="V2362" s="196"/>
      <c r="W2362" s="196"/>
      <c r="X2362" s="196"/>
      <c r="Y2362" s="196"/>
      <c r="Z2362" s="196"/>
      <c r="AA2362" s="196"/>
      <c r="AB2362" s="196"/>
      <c r="AC2362" s="196"/>
      <c r="AD2362" s="196"/>
      <c r="AE2362" s="196"/>
      <c r="AF2362" s="196"/>
      <c r="AG2362" s="196"/>
      <c r="AH2362" s="196"/>
      <c r="AI2362" s="196"/>
      <c r="AJ2362" s="197"/>
      <c r="AK2362" s="80"/>
      <c r="AL2362" s="80"/>
      <c r="AM2362" s="73"/>
      <c r="AN2362" s="73"/>
      <c r="AO2362" s="73"/>
      <c r="AP2362" s="73"/>
      <c r="AQ2362" s="73"/>
      <c r="AR2362" s="73"/>
      <c r="AS2362" s="73"/>
      <c r="AT2362" s="73"/>
      <c r="AU2362" s="73"/>
      <c r="AV2362" s="73"/>
      <c r="AW2362" s="73"/>
      <c r="AX2362" s="73"/>
      <c r="AY2362" s="73"/>
      <c r="AZ2362" s="73"/>
      <c r="BA2362" s="73"/>
      <c r="BB2362" s="73"/>
      <c r="BC2362" s="73"/>
      <c r="BD2362" s="73"/>
      <c r="BE2362" s="73"/>
      <c r="BF2362" s="73"/>
      <c r="BG2362" s="73"/>
      <c r="BH2362" s="73"/>
      <c r="BI2362" s="73"/>
      <c r="BJ2362" s="73"/>
      <c r="BK2362" s="73"/>
      <c r="BL2362" s="73"/>
      <c r="BM2362" s="73"/>
      <c r="BN2362" s="73"/>
      <c r="BO2362" s="73"/>
      <c r="BP2362" s="73"/>
      <c r="BQ2362" s="73"/>
      <c r="BR2362" s="73"/>
      <c r="BS2362" s="73"/>
      <c r="BT2362" s="73"/>
      <c r="BU2362" s="73"/>
      <c r="BV2362" s="73"/>
      <c r="BW2362" s="73"/>
      <c r="BX2362" s="73"/>
      <c r="BY2362" s="73"/>
      <c r="BZ2362" s="73"/>
      <c r="CA2362" s="73"/>
      <c r="CB2362" s="73"/>
      <c r="CC2362" s="73"/>
      <c r="CD2362" s="73"/>
      <c r="CE2362" s="73"/>
      <c r="CF2362" s="73"/>
      <c r="CG2362" s="73"/>
      <c r="CH2362" s="73"/>
    </row>
    <row r="2363">
      <c r="A2363" s="80"/>
      <c r="B2363" s="80"/>
      <c r="C2363" s="80"/>
      <c r="D2363" s="80"/>
      <c r="E2363" s="124"/>
      <c r="F2363" s="80"/>
      <c r="G2363" s="80"/>
      <c r="H2363" s="80"/>
      <c r="I2363" s="80"/>
      <c r="J2363" s="196"/>
      <c r="K2363" s="196"/>
      <c r="L2363" s="196"/>
      <c r="M2363" s="196"/>
      <c r="N2363" s="196"/>
      <c r="O2363" s="196"/>
      <c r="P2363" s="196"/>
      <c r="Q2363" s="196"/>
      <c r="R2363" s="196"/>
      <c r="S2363" s="196"/>
      <c r="T2363" s="196"/>
      <c r="U2363" s="196"/>
      <c r="V2363" s="196"/>
      <c r="W2363" s="196"/>
      <c r="X2363" s="196"/>
      <c r="Y2363" s="196"/>
      <c r="Z2363" s="196"/>
      <c r="AA2363" s="196"/>
      <c r="AB2363" s="196"/>
      <c r="AC2363" s="196"/>
      <c r="AD2363" s="196"/>
      <c r="AE2363" s="196"/>
      <c r="AF2363" s="196"/>
      <c r="AG2363" s="196"/>
      <c r="AH2363" s="196"/>
      <c r="AI2363" s="196"/>
      <c r="AJ2363" s="197"/>
      <c r="AK2363" s="80"/>
      <c r="AL2363" s="80"/>
      <c r="AM2363" s="73"/>
      <c r="AN2363" s="73"/>
      <c r="AO2363" s="73"/>
      <c r="AP2363" s="73"/>
      <c r="AQ2363" s="73"/>
      <c r="AR2363" s="73"/>
      <c r="AS2363" s="73"/>
      <c r="AT2363" s="73"/>
      <c r="AU2363" s="73"/>
      <c r="AV2363" s="73"/>
      <c r="AW2363" s="73"/>
      <c r="AX2363" s="73"/>
      <c r="AY2363" s="73"/>
      <c r="AZ2363" s="73"/>
      <c r="BA2363" s="73"/>
      <c r="BB2363" s="73"/>
      <c r="BC2363" s="73"/>
      <c r="BD2363" s="73"/>
      <c r="BE2363" s="73"/>
      <c r="BF2363" s="73"/>
      <c r="BG2363" s="73"/>
      <c r="BH2363" s="73"/>
      <c r="BI2363" s="73"/>
      <c r="BJ2363" s="73"/>
      <c r="BK2363" s="73"/>
      <c r="BL2363" s="73"/>
      <c r="BM2363" s="73"/>
      <c r="BN2363" s="73"/>
      <c r="BO2363" s="73"/>
      <c r="BP2363" s="73"/>
      <c r="BQ2363" s="73"/>
      <c r="BR2363" s="73"/>
      <c r="BS2363" s="73"/>
      <c r="BT2363" s="73"/>
      <c r="BU2363" s="73"/>
      <c r="BV2363" s="73"/>
      <c r="BW2363" s="73"/>
      <c r="BX2363" s="73"/>
      <c r="BY2363" s="73"/>
      <c r="BZ2363" s="73"/>
      <c r="CA2363" s="73"/>
      <c r="CB2363" s="73"/>
      <c r="CC2363" s="73"/>
      <c r="CD2363" s="73"/>
      <c r="CE2363" s="73"/>
      <c r="CF2363" s="73"/>
      <c r="CG2363" s="73"/>
      <c r="CH2363" s="73"/>
    </row>
    <row r="2364">
      <c r="A2364" s="80"/>
      <c r="B2364" s="80"/>
      <c r="C2364" s="80"/>
      <c r="D2364" s="80"/>
      <c r="E2364" s="124"/>
      <c r="F2364" s="80"/>
      <c r="G2364" s="80"/>
      <c r="H2364" s="80"/>
      <c r="I2364" s="80"/>
      <c r="J2364" s="196"/>
      <c r="K2364" s="196"/>
      <c r="L2364" s="196"/>
      <c r="M2364" s="196"/>
      <c r="N2364" s="196"/>
      <c r="O2364" s="196"/>
      <c r="P2364" s="196"/>
      <c r="Q2364" s="196"/>
      <c r="R2364" s="196"/>
      <c r="S2364" s="196"/>
      <c r="T2364" s="196"/>
      <c r="U2364" s="196"/>
      <c r="V2364" s="196"/>
      <c r="W2364" s="196"/>
      <c r="X2364" s="196"/>
      <c r="Y2364" s="196"/>
      <c r="Z2364" s="196"/>
      <c r="AA2364" s="196"/>
      <c r="AB2364" s="196"/>
      <c r="AC2364" s="196"/>
      <c r="AD2364" s="196"/>
      <c r="AE2364" s="196"/>
      <c r="AF2364" s="196"/>
      <c r="AG2364" s="196"/>
      <c r="AH2364" s="196"/>
      <c r="AI2364" s="196"/>
      <c r="AJ2364" s="197"/>
      <c r="AK2364" s="80"/>
      <c r="AL2364" s="80"/>
      <c r="AM2364" s="73"/>
      <c r="AN2364" s="73"/>
      <c r="AO2364" s="73"/>
      <c r="AP2364" s="73"/>
      <c r="AQ2364" s="73"/>
      <c r="AR2364" s="73"/>
      <c r="AS2364" s="73"/>
      <c r="AT2364" s="73"/>
      <c r="AU2364" s="73"/>
      <c r="AV2364" s="73"/>
      <c r="AW2364" s="73"/>
      <c r="AX2364" s="73"/>
      <c r="AY2364" s="73"/>
      <c r="AZ2364" s="73"/>
      <c r="BA2364" s="73"/>
      <c r="BB2364" s="73"/>
      <c r="BC2364" s="73"/>
      <c r="BD2364" s="73"/>
      <c r="BE2364" s="73"/>
      <c r="BF2364" s="73"/>
      <c r="BG2364" s="73"/>
      <c r="BH2364" s="73"/>
      <c r="BI2364" s="73"/>
      <c r="BJ2364" s="73"/>
      <c r="BK2364" s="73"/>
      <c r="BL2364" s="73"/>
      <c r="BM2364" s="73"/>
      <c r="BN2364" s="73"/>
      <c r="BO2364" s="73"/>
      <c r="BP2364" s="73"/>
      <c r="BQ2364" s="73"/>
      <c r="BR2364" s="73"/>
      <c r="BS2364" s="73"/>
      <c r="BT2364" s="73"/>
      <c r="BU2364" s="73"/>
      <c r="BV2364" s="73"/>
      <c r="BW2364" s="73"/>
      <c r="BX2364" s="73"/>
      <c r="BY2364" s="73"/>
      <c r="BZ2364" s="73"/>
      <c r="CA2364" s="73"/>
      <c r="CB2364" s="73"/>
      <c r="CC2364" s="73"/>
      <c r="CD2364" s="73"/>
      <c r="CE2364" s="73"/>
      <c r="CF2364" s="73"/>
      <c r="CG2364" s="73"/>
      <c r="CH2364" s="73"/>
    </row>
    <row r="2365">
      <c r="A2365" s="80"/>
      <c r="B2365" s="80"/>
      <c r="C2365" s="80"/>
      <c r="D2365" s="80"/>
      <c r="E2365" s="124"/>
      <c r="F2365" s="80"/>
      <c r="G2365" s="80"/>
      <c r="H2365" s="80"/>
      <c r="I2365" s="80"/>
      <c r="J2365" s="196"/>
      <c r="K2365" s="196"/>
      <c r="L2365" s="196"/>
      <c r="M2365" s="196"/>
      <c r="N2365" s="196"/>
      <c r="O2365" s="196"/>
      <c r="P2365" s="196"/>
      <c r="Q2365" s="196"/>
      <c r="R2365" s="196"/>
      <c r="S2365" s="196"/>
      <c r="T2365" s="196"/>
      <c r="U2365" s="196"/>
      <c r="V2365" s="196"/>
      <c r="W2365" s="196"/>
      <c r="X2365" s="196"/>
      <c r="Y2365" s="196"/>
      <c r="Z2365" s="196"/>
      <c r="AA2365" s="196"/>
      <c r="AB2365" s="196"/>
      <c r="AC2365" s="196"/>
      <c r="AD2365" s="196"/>
      <c r="AE2365" s="196"/>
      <c r="AF2365" s="196"/>
      <c r="AG2365" s="196"/>
      <c r="AH2365" s="196"/>
      <c r="AI2365" s="196"/>
      <c r="AJ2365" s="197"/>
      <c r="AK2365" s="80"/>
      <c r="AL2365" s="80"/>
      <c r="AM2365" s="73"/>
      <c r="AN2365" s="73"/>
      <c r="AO2365" s="73"/>
      <c r="AP2365" s="73"/>
      <c r="AQ2365" s="73"/>
      <c r="AR2365" s="73"/>
      <c r="AS2365" s="73"/>
      <c r="AT2365" s="73"/>
      <c r="AU2365" s="73"/>
      <c r="AV2365" s="73"/>
      <c r="AW2365" s="73"/>
      <c r="AX2365" s="73"/>
      <c r="AY2365" s="73"/>
      <c r="AZ2365" s="73"/>
      <c r="BA2365" s="73"/>
      <c r="BB2365" s="73"/>
      <c r="BC2365" s="73"/>
      <c r="BD2365" s="73"/>
      <c r="BE2365" s="73"/>
      <c r="BF2365" s="73"/>
      <c r="BG2365" s="73"/>
      <c r="BH2365" s="73"/>
      <c r="BI2365" s="73"/>
      <c r="BJ2365" s="73"/>
      <c r="BK2365" s="73"/>
      <c r="BL2365" s="73"/>
      <c r="BM2365" s="73"/>
      <c r="BN2365" s="73"/>
      <c r="BO2365" s="73"/>
      <c r="BP2365" s="73"/>
      <c r="BQ2365" s="73"/>
      <c r="BR2365" s="73"/>
      <c r="BS2365" s="73"/>
      <c r="BT2365" s="73"/>
      <c r="BU2365" s="73"/>
      <c r="BV2365" s="73"/>
      <c r="BW2365" s="73"/>
      <c r="BX2365" s="73"/>
      <c r="BY2365" s="73"/>
      <c r="BZ2365" s="73"/>
      <c r="CA2365" s="73"/>
      <c r="CB2365" s="73"/>
      <c r="CC2365" s="73"/>
      <c r="CD2365" s="73"/>
      <c r="CE2365" s="73"/>
      <c r="CF2365" s="73"/>
      <c r="CG2365" s="73"/>
      <c r="CH2365" s="73"/>
    </row>
    <row r="2366">
      <c r="A2366" s="80"/>
      <c r="B2366" s="80"/>
      <c r="C2366" s="80"/>
      <c r="D2366" s="80"/>
      <c r="E2366" s="124"/>
      <c r="F2366" s="80"/>
      <c r="G2366" s="80"/>
      <c r="H2366" s="80"/>
      <c r="I2366" s="80"/>
      <c r="J2366" s="196"/>
      <c r="K2366" s="196"/>
      <c r="L2366" s="196"/>
      <c r="M2366" s="196"/>
      <c r="N2366" s="196"/>
      <c r="O2366" s="196"/>
      <c r="P2366" s="196"/>
      <c r="Q2366" s="196"/>
      <c r="R2366" s="196"/>
      <c r="S2366" s="196"/>
      <c r="T2366" s="196"/>
      <c r="U2366" s="196"/>
      <c r="V2366" s="196"/>
      <c r="W2366" s="196"/>
      <c r="X2366" s="196"/>
      <c r="Y2366" s="196"/>
      <c r="Z2366" s="196"/>
      <c r="AA2366" s="196"/>
      <c r="AB2366" s="196"/>
      <c r="AC2366" s="196"/>
      <c r="AD2366" s="196"/>
      <c r="AE2366" s="196"/>
      <c r="AF2366" s="196"/>
      <c r="AG2366" s="196"/>
      <c r="AH2366" s="196"/>
      <c r="AI2366" s="196"/>
      <c r="AJ2366" s="197"/>
      <c r="AK2366" s="80"/>
      <c r="AL2366" s="80"/>
      <c r="AM2366" s="73"/>
      <c r="AN2366" s="73"/>
      <c r="AO2366" s="73"/>
      <c r="AP2366" s="73"/>
      <c r="AQ2366" s="73"/>
      <c r="AR2366" s="73"/>
      <c r="AS2366" s="73"/>
      <c r="AT2366" s="73"/>
      <c r="AU2366" s="73"/>
      <c r="AV2366" s="73"/>
      <c r="AW2366" s="73"/>
      <c r="AX2366" s="73"/>
      <c r="AY2366" s="73"/>
      <c r="AZ2366" s="73"/>
      <c r="BA2366" s="73"/>
      <c r="BB2366" s="73"/>
      <c r="BC2366" s="73"/>
      <c r="BD2366" s="73"/>
      <c r="BE2366" s="73"/>
      <c r="BF2366" s="73"/>
      <c r="BG2366" s="73"/>
      <c r="BH2366" s="73"/>
      <c r="BI2366" s="73"/>
      <c r="BJ2366" s="73"/>
      <c r="BK2366" s="73"/>
      <c r="BL2366" s="73"/>
      <c r="BM2366" s="73"/>
      <c r="BN2366" s="73"/>
      <c r="BO2366" s="73"/>
      <c r="BP2366" s="73"/>
      <c r="BQ2366" s="73"/>
      <c r="BR2366" s="73"/>
      <c r="BS2366" s="73"/>
      <c r="BT2366" s="73"/>
      <c r="BU2366" s="73"/>
      <c r="BV2366" s="73"/>
      <c r="BW2366" s="73"/>
      <c r="BX2366" s="73"/>
      <c r="BY2366" s="73"/>
      <c r="BZ2366" s="73"/>
      <c r="CA2366" s="73"/>
      <c r="CB2366" s="73"/>
      <c r="CC2366" s="73"/>
      <c r="CD2366" s="73"/>
      <c r="CE2366" s="73"/>
      <c r="CF2366" s="73"/>
      <c r="CG2366" s="73"/>
      <c r="CH2366" s="73"/>
    </row>
    <row r="2367">
      <c r="A2367" s="80"/>
      <c r="B2367" s="80"/>
      <c r="C2367" s="80"/>
      <c r="D2367" s="80"/>
      <c r="E2367" s="124"/>
      <c r="F2367" s="80"/>
      <c r="G2367" s="80"/>
      <c r="H2367" s="80"/>
      <c r="I2367" s="80"/>
      <c r="J2367" s="196"/>
      <c r="K2367" s="196"/>
      <c r="L2367" s="196"/>
      <c r="M2367" s="196"/>
      <c r="N2367" s="196"/>
      <c r="O2367" s="196"/>
      <c r="P2367" s="196"/>
      <c r="Q2367" s="196"/>
      <c r="R2367" s="196"/>
      <c r="S2367" s="196"/>
      <c r="T2367" s="196"/>
      <c r="U2367" s="196"/>
      <c r="V2367" s="196"/>
      <c r="W2367" s="196"/>
      <c r="X2367" s="196"/>
      <c r="Y2367" s="196"/>
      <c r="Z2367" s="196"/>
      <c r="AA2367" s="196"/>
      <c r="AB2367" s="196"/>
      <c r="AC2367" s="196"/>
      <c r="AD2367" s="196"/>
      <c r="AE2367" s="196"/>
      <c r="AF2367" s="196"/>
      <c r="AG2367" s="196"/>
      <c r="AH2367" s="196"/>
      <c r="AI2367" s="196"/>
      <c r="AJ2367" s="197"/>
      <c r="AK2367" s="80"/>
      <c r="AL2367" s="80"/>
      <c r="AM2367" s="73"/>
      <c r="AN2367" s="73"/>
      <c r="AO2367" s="73"/>
      <c r="AP2367" s="73"/>
      <c r="AQ2367" s="73"/>
      <c r="AR2367" s="73"/>
      <c r="AS2367" s="73"/>
      <c r="AT2367" s="73"/>
      <c r="AU2367" s="73"/>
      <c r="AV2367" s="73"/>
      <c r="AW2367" s="73"/>
      <c r="AX2367" s="73"/>
      <c r="AY2367" s="73"/>
      <c r="AZ2367" s="73"/>
      <c r="BA2367" s="73"/>
      <c r="BB2367" s="73"/>
      <c r="BC2367" s="73"/>
      <c r="BD2367" s="73"/>
      <c r="BE2367" s="73"/>
      <c r="BF2367" s="73"/>
      <c r="BG2367" s="73"/>
      <c r="BH2367" s="73"/>
      <c r="BI2367" s="73"/>
      <c r="BJ2367" s="73"/>
      <c r="BK2367" s="73"/>
      <c r="BL2367" s="73"/>
      <c r="BM2367" s="73"/>
      <c r="BN2367" s="73"/>
      <c r="BO2367" s="73"/>
      <c r="BP2367" s="73"/>
      <c r="BQ2367" s="73"/>
      <c r="BR2367" s="73"/>
      <c r="BS2367" s="73"/>
      <c r="BT2367" s="73"/>
      <c r="BU2367" s="73"/>
      <c r="BV2367" s="73"/>
      <c r="BW2367" s="73"/>
      <c r="BX2367" s="73"/>
      <c r="BY2367" s="73"/>
      <c r="BZ2367" s="73"/>
      <c r="CA2367" s="73"/>
      <c r="CB2367" s="73"/>
      <c r="CC2367" s="73"/>
      <c r="CD2367" s="73"/>
      <c r="CE2367" s="73"/>
      <c r="CF2367" s="73"/>
      <c r="CG2367" s="73"/>
      <c r="CH2367" s="73"/>
    </row>
    <row r="2368">
      <c r="A2368" s="80"/>
      <c r="B2368" s="80"/>
      <c r="C2368" s="80"/>
      <c r="D2368" s="80"/>
      <c r="E2368" s="124"/>
      <c r="F2368" s="80"/>
      <c r="G2368" s="80"/>
      <c r="H2368" s="80"/>
      <c r="I2368" s="80"/>
      <c r="J2368" s="196"/>
      <c r="K2368" s="196"/>
      <c r="L2368" s="196"/>
      <c r="M2368" s="196"/>
      <c r="N2368" s="196"/>
      <c r="O2368" s="196"/>
      <c r="P2368" s="196"/>
      <c r="Q2368" s="196"/>
      <c r="R2368" s="196"/>
      <c r="S2368" s="196"/>
      <c r="T2368" s="196"/>
      <c r="U2368" s="196"/>
      <c r="V2368" s="196"/>
      <c r="W2368" s="196"/>
      <c r="X2368" s="196"/>
      <c r="Y2368" s="196"/>
      <c r="Z2368" s="196"/>
      <c r="AA2368" s="196"/>
      <c r="AB2368" s="196"/>
      <c r="AC2368" s="196"/>
      <c r="AD2368" s="196"/>
      <c r="AE2368" s="196"/>
      <c r="AF2368" s="196"/>
      <c r="AG2368" s="196"/>
      <c r="AH2368" s="196"/>
      <c r="AI2368" s="196"/>
      <c r="AJ2368" s="197"/>
      <c r="AK2368" s="80"/>
      <c r="AL2368" s="80"/>
      <c r="AM2368" s="73"/>
      <c r="AN2368" s="73"/>
      <c r="AO2368" s="73"/>
      <c r="AP2368" s="73"/>
      <c r="AQ2368" s="73"/>
      <c r="AR2368" s="73"/>
      <c r="AS2368" s="73"/>
      <c r="AT2368" s="73"/>
      <c r="AU2368" s="73"/>
      <c r="AV2368" s="73"/>
      <c r="AW2368" s="73"/>
      <c r="AX2368" s="73"/>
      <c r="AY2368" s="73"/>
      <c r="AZ2368" s="73"/>
      <c r="BA2368" s="73"/>
      <c r="BB2368" s="73"/>
      <c r="BC2368" s="73"/>
      <c r="BD2368" s="73"/>
      <c r="BE2368" s="73"/>
      <c r="BF2368" s="73"/>
      <c r="BG2368" s="73"/>
      <c r="BH2368" s="73"/>
      <c r="BI2368" s="73"/>
      <c r="BJ2368" s="73"/>
      <c r="BK2368" s="73"/>
      <c r="BL2368" s="73"/>
      <c r="BM2368" s="73"/>
      <c r="BN2368" s="73"/>
      <c r="BO2368" s="73"/>
      <c r="BP2368" s="73"/>
      <c r="BQ2368" s="73"/>
      <c r="BR2368" s="73"/>
      <c r="BS2368" s="73"/>
      <c r="BT2368" s="73"/>
      <c r="BU2368" s="73"/>
      <c r="BV2368" s="73"/>
      <c r="BW2368" s="73"/>
      <c r="BX2368" s="73"/>
      <c r="BY2368" s="73"/>
      <c r="BZ2368" s="73"/>
      <c r="CA2368" s="73"/>
      <c r="CB2368" s="73"/>
      <c r="CC2368" s="73"/>
      <c r="CD2368" s="73"/>
      <c r="CE2368" s="73"/>
      <c r="CF2368" s="73"/>
      <c r="CG2368" s="73"/>
      <c r="CH2368" s="73"/>
    </row>
    <row r="2369">
      <c r="A2369" s="80"/>
      <c r="B2369" s="80"/>
      <c r="C2369" s="80"/>
      <c r="D2369" s="80"/>
      <c r="E2369" s="124"/>
      <c r="F2369" s="80"/>
      <c r="G2369" s="80"/>
      <c r="H2369" s="80"/>
      <c r="I2369" s="80"/>
      <c r="J2369" s="196"/>
      <c r="K2369" s="196"/>
      <c r="L2369" s="196"/>
      <c r="M2369" s="196"/>
      <c r="N2369" s="196"/>
      <c r="O2369" s="196"/>
      <c r="P2369" s="196"/>
      <c r="Q2369" s="196"/>
      <c r="R2369" s="196"/>
      <c r="S2369" s="196"/>
      <c r="T2369" s="196"/>
      <c r="U2369" s="196"/>
      <c r="V2369" s="196"/>
      <c r="W2369" s="196"/>
      <c r="X2369" s="196"/>
      <c r="Y2369" s="196"/>
      <c r="Z2369" s="196"/>
      <c r="AA2369" s="196"/>
      <c r="AB2369" s="196"/>
      <c r="AC2369" s="196"/>
      <c r="AD2369" s="196"/>
      <c r="AE2369" s="196"/>
      <c r="AF2369" s="196"/>
      <c r="AG2369" s="196"/>
      <c r="AH2369" s="196"/>
      <c r="AI2369" s="196"/>
      <c r="AJ2369" s="197"/>
      <c r="AK2369" s="80"/>
      <c r="AL2369" s="80"/>
      <c r="AM2369" s="73"/>
      <c r="AN2369" s="73"/>
      <c r="AO2369" s="73"/>
      <c r="AP2369" s="73"/>
      <c r="AQ2369" s="73"/>
      <c r="AR2369" s="73"/>
      <c r="AS2369" s="73"/>
      <c r="AT2369" s="73"/>
      <c r="AU2369" s="73"/>
      <c r="AV2369" s="73"/>
      <c r="AW2369" s="73"/>
      <c r="AX2369" s="73"/>
      <c r="AY2369" s="73"/>
      <c r="AZ2369" s="73"/>
      <c r="BA2369" s="73"/>
      <c r="BB2369" s="73"/>
      <c r="BC2369" s="73"/>
      <c r="BD2369" s="73"/>
      <c r="BE2369" s="73"/>
      <c r="BF2369" s="73"/>
      <c r="BG2369" s="73"/>
      <c r="BH2369" s="73"/>
      <c r="BI2369" s="73"/>
      <c r="BJ2369" s="73"/>
      <c r="BK2369" s="73"/>
      <c r="BL2369" s="73"/>
      <c r="BM2369" s="73"/>
      <c r="BN2369" s="73"/>
      <c r="BO2369" s="73"/>
      <c r="BP2369" s="73"/>
      <c r="BQ2369" s="73"/>
      <c r="BR2369" s="73"/>
      <c r="BS2369" s="73"/>
      <c r="BT2369" s="73"/>
      <c r="BU2369" s="73"/>
      <c r="BV2369" s="73"/>
      <c r="BW2369" s="73"/>
      <c r="BX2369" s="73"/>
      <c r="BY2369" s="73"/>
      <c r="BZ2369" s="73"/>
      <c r="CA2369" s="73"/>
      <c r="CB2369" s="73"/>
      <c r="CC2369" s="73"/>
      <c r="CD2369" s="73"/>
      <c r="CE2369" s="73"/>
      <c r="CF2369" s="73"/>
      <c r="CG2369" s="73"/>
      <c r="CH2369" s="73"/>
    </row>
    <row r="2370">
      <c r="A2370" s="80"/>
      <c r="B2370" s="80"/>
      <c r="C2370" s="80"/>
      <c r="D2370" s="80"/>
      <c r="E2370" s="124"/>
      <c r="F2370" s="80"/>
      <c r="G2370" s="80"/>
      <c r="H2370" s="80"/>
      <c r="I2370" s="80"/>
      <c r="J2370" s="196"/>
      <c r="K2370" s="196"/>
      <c r="L2370" s="196"/>
      <c r="M2370" s="196"/>
      <c r="N2370" s="196"/>
      <c r="O2370" s="196"/>
      <c r="P2370" s="196"/>
      <c r="Q2370" s="196"/>
      <c r="R2370" s="196"/>
      <c r="S2370" s="196"/>
      <c r="T2370" s="196"/>
      <c r="U2370" s="196"/>
      <c r="V2370" s="196"/>
      <c r="W2370" s="196"/>
      <c r="X2370" s="196"/>
      <c r="Y2370" s="196"/>
      <c r="Z2370" s="196"/>
      <c r="AA2370" s="196"/>
      <c r="AB2370" s="196"/>
      <c r="AC2370" s="196"/>
      <c r="AD2370" s="196"/>
      <c r="AE2370" s="196"/>
      <c r="AF2370" s="196"/>
      <c r="AG2370" s="196"/>
      <c r="AH2370" s="196"/>
      <c r="AI2370" s="196"/>
      <c r="AJ2370" s="197"/>
      <c r="AK2370" s="80"/>
      <c r="AL2370" s="80"/>
      <c r="AM2370" s="73"/>
      <c r="AN2370" s="73"/>
      <c r="AO2370" s="73"/>
      <c r="AP2370" s="73"/>
      <c r="AQ2370" s="73"/>
      <c r="AR2370" s="73"/>
      <c r="AS2370" s="73"/>
      <c r="AT2370" s="73"/>
      <c r="AU2370" s="73"/>
      <c r="AV2370" s="73"/>
      <c r="AW2370" s="73"/>
      <c r="AX2370" s="73"/>
      <c r="AY2370" s="73"/>
      <c r="AZ2370" s="73"/>
      <c r="BA2370" s="73"/>
      <c r="BB2370" s="73"/>
      <c r="BC2370" s="73"/>
      <c r="BD2370" s="73"/>
      <c r="BE2370" s="73"/>
      <c r="BF2370" s="73"/>
      <c r="BG2370" s="73"/>
      <c r="BH2370" s="73"/>
      <c r="BI2370" s="73"/>
      <c r="BJ2370" s="73"/>
      <c r="BK2370" s="73"/>
      <c r="BL2370" s="73"/>
      <c r="BM2370" s="73"/>
      <c r="BN2370" s="73"/>
      <c r="BO2370" s="73"/>
      <c r="BP2370" s="73"/>
      <c r="BQ2370" s="73"/>
      <c r="BR2370" s="73"/>
      <c r="BS2370" s="73"/>
      <c r="BT2370" s="73"/>
      <c r="BU2370" s="73"/>
      <c r="BV2370" s="73"/>
      <c r="BW2370" s="73"/>
      <c r="BX2370" s="73"/>
      <c r="BY2370" s="73"/>
      <c r="BZ2370" s="73"/>
      <c r="CA2370" s="73"/>
      <c r="CB2370" s="73"/>
      <c r="CC2370" s="73"/>
      <c r="CD2370" s="73"/>
      <c r="CE2370" s="73"/>
      <c r="CF2370" s="73"/>
      <c r="CG2370" s="73"/>
      <c r="CH2370" s="73"/>
    </row>
    <row r="2371">
      <c r="A2371" s="80"/>
      <c r="B2371" s="80"/>
      <c r="C2371" s="80"/>
      <c r="D2371" s="80"/>
      <c r="E2371" s="124"/>
      <c r="F2371" s="80"/>
      <c r="G2371" s="80"/>
      <c r="H2371" s="80"/>
      <c r="I2371" s="80"/>
      <c r="J2371" s="196"/>
      <c r="K2371" s="196"/>
      <c r="L2371" s="196"/>
      <c r="M2371" s="196"/>
      <c r="N2371" s="196"/>
      <c r="O2371" s="196"/>
      <c r="P2371" s="196"/>
      <c r="Q2371" s="196"/>
      <c r="R2371" s="196"/>
      <c r="S2371" s="196"/>
      <c r="T2371" s="196"/>
      <c r="U2371" s="196"/>
      <c r="V2371" s="196"/>
      <c r="W2371" s="196"/>
      <c r="X2371" s="196"/>
      <c r="Y2371" s="196"/>
      <c r="Z2371" s="196"/>
      <c r="AA2371" s="196"/>
      <c r="AB2371" s="196"/>
      <c r="AC2371" s="196"/>
      <c r="AD2371" s="196"/>
      <c r="AE2371" s="196"/>
      <c r="AF2371" s="196"/>
      <c r="AG2371" s="196"/>
      <c r="AH2371" s="196"/>
      <c r="AI2371" s="196"/>
      <c r="AJ2371" s="197"/>
      <c r="AK2371" s="80"/>
      <c r="AL2371" s="80"/>
      <c r="AM2371" s="73"/>
      <c r="AN2371" s="73"/>
      <c r="AO2371" s="73"/>
      <c r="AP2371" s="73"/>
      <c r="AQ2371" s="73"/>
      <c r="AR2371" s="73"/>
      <c r="AS2371" s="73"/>
      <c r="AT2371" s="73"/>
      <c r="AU2371" s="73"/>
      <c r="AV2371" s="73"/>
      <c r="AW2371" s="73"/>
      <c r="AX2371" s="73"/>
      <c r="AY2371" s="73"/>
      <c r="AZ2371" s="73"/>
      <c r="BA2371" s="73"/>
      <c r="BB2371" s="73"/>
      <c r="BC2371" s="73"/>
      <c r="BD2371" s="73"/>
      <c r="BE2371" s="73"/>
      <c r="BF2371" s="73"/>
      <c r="BG2371" s="73"/>
      <c r="BH2371" s="73"/>
      <c r="BI2371" s="73"/>
      <c r="BJ2371" s="73"/>
      <c r="BK2371" s="73"/>
      <c r="BL2371" s="73"/>
      <c r="BM2371" s="73"/>
      <c r="BN2371" s="73"/>
      <c r="BO2371" s="73"/>
      <c r="BP2371" s="73"/>
      <c r="BQ2371" s="73"/>
      <c r="BR2371" s="73"/>
      <c r="BS2371" s="73"/>
      <c r="BT2371" s="73"/>
      <c r="BU2371" s="73"/>
      <c r="BV2371" s="73"/>
      <c r="BW2371" s="73"/>
      <c r="BX2371" s="73"/>
      <c r="BY2371" s="73"/>
      <c r="BZ2371" s="73"/>
      <c r="CA2371" s="73"/>
      <c r="CB2371" s="73"/>
      <c r="CC2371" s="73"/>
      <c r="CD2371" s="73"/>
      <c r="CE2371" s="73"/>
      <c r="CF2371" s="73"/>
      <c r="CG2371" s="73"/>
      <c r="CH2371" s="73"/>
    </row>
    <row r="2372">
      <c r="A2372" s="80"/>
      <c r="B2372" s="80"/>
      <c r="C2372" s="80"/>
      <c r="D2372" s="80"/>
      <c r="E2372" s="124"/>
      <c r="F2372" s="80"/>
      <c r="G2372" s="80"/>
      <c r="H2372" s="80"/>
      <c r="I2372" s="80"/>
      <c r="J2372" s="196"/>
      <c r="K2372" s="196"/>
      <c r="L2372" s="196"/>
      <c r="M2372" s="196"/>
      <c r="N2372" s="196"/>
      <c r="O2372" s="196"/>
      <c r="P2372" s="196"/>
      <c r="Q2372" s="196"/>
      <c r="R2372" s="196"/>
      <c r="S2372" s="196"/>
      <c r="T2372" s="196"/>
      <c r="U2372" s="196"/>
      <c r="V2372" s="196"/>
      <c r="W2372" s="196"/>
      <c r="X2372" s="196"/>
      <c r="Y2372" s="196"/>
      <c r="Z2372" s="196"/>
      <c r="AA2372" s="196"/>
      <c r="AB2372" s="196"/>
      <c r="AC2372" s="196"/>
      <c r="AD2372" s="196"/>
      <c r="AE2372" s="196"/>
      <c r="AF2372" s="196"/>
      <c r="AG2372" s="196"/>
      <c r="AH2372" s="196"/>
      <c r="AI2372" s="196"/>
      <c r="AJ2372" s="197"/>
      <c r="AK2372" s="80"/>
      <c r="AL2372" s="80"/>
      <c r="AM2372" s="73"/>
      <c r="AN2372" s="73"/>
      <c r="AO2372" s="73"/>
      <c r="AP2372" s="73"/>
      <c r="AQ2372" s="73"/>
      <c r="AR2372" s="73"/>
      <c r="AS2372" s="73"/>
      <c r="AT2372" s="73"/>
      <c r="AU2372" s="73"/>
      <c r="AV2372" s="73"/>
      <c r="AW2372" s="73"/>
      <c r="AX2372" s="73"/>
      <c r="AY2372" s="73"/>
      <c r="AZ2372" s="73"/>
      <c r="BA2372" s="73"/>
      <c r="BB2372" s="73"/>
      <c r="BC2372" s="73"/>
      <c r="BD2372" s="73"/>
      <c r="BE2372" s="73"/>
      <c r="BF2372" s="73"/>
      <c r="BG2372" s="73"/>
      <c r="BH2372" s="73"/>
      <c r="BI2372" s="73"/>
      <c r="BJ2372" s="73"/>
      <c r="BK2372" s="73"/>
      <c r="BL2372" s="73"/>
      <c r="BM2372" s="73"/>
      <c r="BN2372" s="73"/>
      <c r="BO2372" s="73"/>
      <c r="BP2372" s="73"/>
      <c r="BQ2372" s="73"/>
      <c r="BR2372" s="73"/>
      <c r="BS2372" s="73"/>
      <c r="BT2372" s="73"/>
      <c r="BU2372" s="73"/>
      <c r="BV2372" s="73"/>
      <c r="BW2372" s="73"/>
      <c r="BX2372" s="73"/>
      <c r="BY2372" s="73"/>
      <c r="BZ2372" s="73"/>
      <c r="CA2372" s="73"/>
      <c r="CB2372" s="73"/>
      <c r="CC2372" s="73"/>
      <c r="CD2372" s="73"/>
      <c r="CE2372" s="73"/>
      <c r="CF2372" s="73"/>
      <c r="CG2372" s="73"/>
      <c r="CH2372" s="73"/>
    </row>
    <row r="2373">
      <c r="A2373" s="80"/>
      <c r="B2373" s="80"/>
      <c r="C2373" s="80"/>
      <c r="D2373" s="80"/>
      <c r="E2373" s="124"/>
      <c r="F2373" s="80"/>
      <c r="G2373" s="80"/>
      <c r="H2373" s="80"/>
      <c r="I2373" s="80"/>
      <c r="J2373" s="196"/>
      <c r="K2373" s="196"/>
      <c r="L2373" s="196"/>
      <c r="M2373" s="196"/>
      <c r="N2373" s="196"/>
      <c r="O2373" s="196"/>
      <c r="P2373" s="196"/>
      <c r="Q2373" s="196"/>
      <c r="R2373" s="196"/>
      <c r="S2373" s="196"/>
      <c r="T2373" s="196"/>
      <c r="U2373" s="196"/>
      <c r="V2373" s="196"/>
      <c r="W2373" s="196"/>
      <c r="X2373" s="196"/>
      <c r="Y2373" s="196"/>
      <c r="Z2373" s="196"/>
      <c r="AA2373" s="196"/>
      <c r="AB2373" s="196"/>
      <c r="AC2373" s="196"/>
      <c r="AD2373" s="196"/>
      <c r="AE2373" s="196"/>
      <c r="AF2373" s="196"/>
      <c r="AG2373" s="196"/>
      <c r="AH2373" s="196"/>
      <c r="AI2373" s="196"/>
      <c r="AJ2373" s="197"/>
      <c r="AK2373" s="80"/>
      <c r="AL2373" s="80"/>
      <c r="AM2373" s="73"/>
      <c r="AN2373" s="73"/>
      <c r="AO2373" s="73"/>
      <c r="AP2373" s="73"/>
      <c r="AQ2373" s="73"/>
      <c r="AR2373" s="73"/>
      <c r="AS2373" s="73"/>
      <c r="AT2373" s="73"/>
      <c r="AU2373" s="73"/>
      <c r="AV2373" s="73"/>
      <c r="AW2373" s="73"/>
      <c r="AX2373" s="73"/>
      <c r="AY2373" s="73"/>
      <c r="AZ2373" s="73"/>
      <c r="BA2373" s="73"/>
      <c r="BB2373" s="73"/>
      <c r="BC2373" s="73"/>
      <c r="BD2373" s="73"/>
      <c r="BE2373" s="73"/>
      <c r="BF2373" s="73"/>
      <c r="BG2373" s="73"/>
      <c r="BH2373" s="73"/>
      <c r="BI2373" s="73"/>
      <c r="BJ2373" s="73"/>
      <c r="BK2373" s="73"/>
      <c r="BL2373" s="73"/>
      <c r="BM2373" s="73"/>
      <c r="BN2373" s="73"/>
      <c r="BO2373" s="73"/>
      <c r="BP2373" s="73"/>
      <c r="BQ2373" s="73"/>
      <c r="BR2373" s="73"/>
      <c r="BS2373" s="73"/>
      <c r="BT2373" s="73"/>
      <c r="BU2373" s="73"/>
      <c r="BV2373" s="73"/>
      <c r="BW2373" s="73"/>
      <c r="BX2373" s="73"/>
      <c r="BY2373" s="73"/>
      <c r="BZ2373" s="73"/>
      <c r="CA2373" s="73"/>
      <c r="CB2373" s="73"/>
      <c r="CC2373" s="73"/>
      <c r="CD2373" s="73"/>
      <c r="CE2373" s="73"/>
      <c r="CF2373" s="73"/>
      <c r="CG2373" s="73"/>
      <c r="CH2373" s="73"/>
    </row>
    <row r="2374">
      <c r="A2374" s="80"/>
      <c r="B2374" s="80"/>
      <c r="C2374" s="80"/>
      <c r="D2374" s="80"/>
      <c r="E2374" s="124"/>
      <c r="F2374" s="80"/>
      <c r="G2374" s="80"/>
      <c r="H2374" s="80"/>
      <c r="I2374" s="80"/>
      <c r="J2374" s="196"/>
      <c r="K2374" s="196"/>
      <c r="L2374" s="196"/>
      <c r="M2374" s="196"/>
      <c r="N2374" s="196"/>
      <c r="O2374" s="196"/>
      <c r="P2374" s="196"/>
      <c r="Q2374" s="196"/>
      <c r="R2374" s="196"/>
      <c r="S2374" s="196"/>
      <c r="T2374" s="196"/>
      <c r="U2374" s="196"/>
      <c r="V2374" s="196"/>
      <c r="W2374" s="196"/>
      <c r="X2374" s="196"/>
      <c r="Y2374" s="196"/>
      <c r="Z2374" s="196"/>
      <c r="AA2374" s="196"/>
      <c r="AB2374" s="196"/>
      <c r="AC2374" s="196"/>
      <c r="AD2374" s="196"/>
      <c r="AE2374" s="196"/>
      <c r="AF2374" s="196"/>
      <c r="AG2374" s="196"/>
      <c r="AH2374" s="196"/>
      <c r="AI2374" s="196"/>
      <c r="AJ2374" s="197"/>
      <c r="AK2374" s="80"/>
      <c r="AL2374" s="80"/>
      <c r="AM2374" s="73"/>
      <c r="AN2374" s="73"/>
      <c r="AO2374" s="73"/>
      <c r="AP2374" s="73"/>
      <c r="AQ2374" s="73"/>
      <c r="AR2374" s="73"/>
      <c r="AS2374" s="73"/>
      <c r="AT2374" s="73"/>
      <c r="AU2374" s="73"/>
      <c r="AV2374" s="73"/>
      <c r="AW2374" s="73"/>
      <c r="AX2374" s="73"/>
      <c r="AY2374" s="73"/>
      <c r="AZ2374" s="73"/>
      <c r="BA2374" s="73"/>
      <c r="BB2374" s="73"/>
      <c r="BC2374" s="73"/>
      <c r="BD2374" s="73"/>
      <c r="BE2374" s="73"/>
      <c r="BF2374" s="73"/>
      <c r="BG2374" s="73"/>
      <c r="BH2374" s="73"/>
      <c r="BI2374" s="73"/>
      <c r="BJ2374" s="73"/>
      <c r="BK2374" s="73"/>
      <c r="BL2374" s="73"/>
      <c r="BM2374" s="73"/>
      <c r="BN2374" s="73"/>
      <c r="BO2374" s="73"/>
      <c r="BP2374" s="73"/>
      <c r="BQ2374" s="73"/>
      <c r="BR2374" s="73"/>
      <c r="BS2374" s="73"/>
      <c r="BT2374" s="73"/>
      <c r="BU2374" s="73"/>
      <c r="BV2374" s="73"/>
      <c r="BW2374" s="73"/>
      <c r="BX2374" s="73"/>
      <c r="BY2374" s="73"/>
      <c r="BZ2374" s="73"/>
      <c r="CA2374" s="73"/>
      <c r="CB2374" s="73"/>
      <c r="CC2374" s="73"/>
      <c r="CD2374" s="73"/>
      <c r="CE2374" s="73"/>
      <c r="CF2374" s="73"/>
      <c r="CG2374" s="73"/>
      <c r="CH2374" s="73"/>
    </row>
    <row r="2375">
      <c r="A2375" s="80"/>
      <c r="B2375" s="80"/>
      <c r="C2375" s="80"/>
      <c r="D2375" s="80"/>
      <c r="E2375" s="124"/>
      <c r="F2375" s="80"/>
      <c r="G2375" s="80"/>
      <c r="H2375" s="80"/>
      <c r="I2375" s="80"/>
      <c r="J2375" s="196"/>
      <c r="K2375" s="196"/>
      <c r="L2375" s="196"/>
      <c r="M2375" s="196"/>
      <c r="N2375" s="196"/>
      <c r="O2375" s="196"/>
      <c r="P2375" s="196"/>
      <c r="Q2375" s="196"/>
      <c r="R2375" s="196"/>
      <c r="S2375" s="196"/>
      <c r="T2375" s="196"/>
      <c r="U2375" s="196"/>
      <c r="V2375" s="196"/>
      <c r="W2375" s="196"/>
      <c r="X2375" s="196"/>
      <c r="Y2375" s="196"/>
      <c r="Z2375" s="196"/>
      <c r="AA2375" s="196"/>
      <c r="AB2375" s="196"/>
      <c r="AC2375" s="196"/>
      <c r="AD2375" s="196"/>
      <c r="AE2375" s="196"/>
      <c r="AF2375" s="196"/>
      <c r="AG2375" s="196"/>
      <c r="AH2375" s="196"/>
      <c r="AI2375" s="196"/>
      <c r="AJ2375" s="197"/>
      <c r="AK2375" s="80"/>
      <c r="AL2375" s="80"/>
      <c r="AM2375" s="73"/>
      <c r="AN2375" s="73"/>
      <c r="AO2375" s="73"/>
      <c r="AP2375" s="73"/>
      <c r="AQ2375" s="73"/>
      <c r="AR2375" s="73"/>
      <c r="AS2375" s="73"/>
      <c r="AT2375" s="73"/>
      <c r="AU2375" s="73"/>
      <c r="AV2375" s="73"/>
      <c r="AW2375" s="73"/>
      <c r="AX2375" s="73"/>
      <c r="AY2375" s="73"/>
      <c r="AZ2375" s="73"/>
      <c r="BA2375" s="73"/>
      <c r="BB2375" s="73"/>
      <c r="BC2375" s="73"/>
      <c r="BD2375" s="73"/>
      <c r="BE2375" s="73"/>
      <c r="BF2375" s="73"/>
      <c r="BG2375" s="73"/>
      <c r="BH2375" s="73"/>
      <c r="BI2375" s="73"/>
      <c r="BJ2375" s="73"/>
      <c r="BK2375" s="73"/>
      <c r="BL2375" s="73"/>
      <c r="BM2375" s="73"/>
      <c r="BN2375" s="73"/>
      <c r="BO2375" s="73"/>
      <c r="BP2375" s="73"/>
      <c r="BQ2375" s="73"/>
      <c r="BR2375" s="73"/>
      <c r="BS2375" s="73"/>
      <c r="BT2375" s="73"/>
      <c r="BU2375" s="73"/>
      <c r="BV2375" s="73"/>
      <c r="BW2375" s="73"/>
      <c r="BX2375" s="73"/>
      <c r="BY2375" s="73"/>
      <c r="BZ2375" s="73"/>
      <c r="CA2375" s="73"/>
      <c r="CB2375" s="73"/>
      <c r="CC2375" s="73"/>
      <c r="CD2375" s="73"/>
      <c r="CE2375" s="73"/>
      <c r="CF2375" s="73"/>
      <c r="CG2375" s="73"/>
      <c r="CH2375" s="73"/>
    </row>
    <row r="2376">
      <c r="A2376" s="80"/>
      <c r="B2376" s="80"/>
      <c r="C2376" s="80"/>
      <c r="D2376" s="80"/>
      <c r="E2376" s="124"/>
      <c r="F2376" s="80"/>
      <c r="G2376" s="80"/>
      <c r="H2376" s="80"/>
      <c r="I2376" s="80"/>
      <c r="J2376" s="196"/>
      <c r="K2376" s="196"/>
      <c r="L2376" s="196"/>
      <c r="M2376" s="196"/>
      <c r="N2376" s="196"/>
      <c r="O2376" s="196"/>
      <c r="P2376" s="196"/>
      <c r="Q2376" s="196"/>
      <c r="R2376" s="196"/>
      <c r="S2376" s="196"/>
      <c r="T2376" s="196"/>
      <c r="U2376" s="196"/>
      <c r="V2376" s="196"/>
      <c r="W2376" s="196"/>
      <c r="X2376" s="196"/>
      <c r="Y2376" s="196"/>
      <c r="Z2376" s="196"/>
      <c r="AA2376" s="196"/>
      <c r="AB2376" s="196"/>
      <c r="AC2376" s="196"/>
      <c r="AD2376" s="196"/>
      <c r="AE2376" s="196"/>
      <c r="AF2376" s="196"/>
      <c r="AG2376" s="196"/>
      <c r="AH2376" s="196"/>
      <c r="AI2376" s="196"/>
      <c r="AJ2376" s="197"/>
      <c r="AK2376" s="80"/>
      <c r="AL2376" s="80"/>
      <c r="AM2376" s="73"/>
      <c r="AN2376" s="73"/>
      <c r="AO2376" s="73"/>
      <c r="AP2376" s="73"/>
      <c r="AQ2376" s="73"/>
      <c r="AR2376" s="73"/>
      <c r="AS2376" s="73"/>
      <c r="AT2376" s="73"/>
      <c r="AU2376" s="73"/>
      <c r="AV2376" s="73"/>
      <c r="AW2376" s="73"/>
      <c r="AX2376" s="73"/>
      <c r="AY2376" s="73"/>
      <c r="AZ2376" s="73"/>
      <c r="BA2376" s="73"/>
      <c r="BB2376" s="73"/>
      <c r="BC2376" s="73"/>
      <c r="BD2376" s="73"/>
      <c r="BE2376" s="73"/>
      <c r="BF2376" s="73"/>
      <c r="BG2376" s="73"/>
      <c r="BH2376" s="73"/>
      <c r="BI2376" s="73"/>
      <c r="BJ2376" s="73"/>
      <c r="BK2376" s="73"/>
      <c r="BL2376" s="73"/>
      <c r="BM2376" s="73"/>
      <c r="BN2376" s="73"/>
      <c r="BO2376" s="73"/>
      <c r="BP2376" s="73"/>
      <c r="BQ2376" s="73"/>
      <c r="BR2376" s="73"/>
      <c r="BS2376" s="73"/>
      <c r="BT2376" s="73"/>
      <c r="BU2376" s="73"/>
      <c r="BV2376" s="73"/>
      <c r="BW2376" s="73"/>
      <c r="BX2376" s="73"/>
      <c r="BY2376" s="73"/>
      <c r="BZ2376" s="73"/>
      <c r="CA2376" s="73"/>
      <c r="CB2376" s="73"/>
      <c r="CC2376" s="73"/>
      <c r="CD2376" s="73"/>
      <c r="CE2376" s="73"/>
      <c r="CF2376" s="73"/>
      <c r="CG2376" s="73"/>
      <c r="CH2376" s="73"/>
    </row>
    <row r="2377">
      <c r="A2377" s="80"/>
      <c r="B2377" s="80"/>
      <c r="C2377" s="80"/>
      <c r="D2377" s="80"/>
      <c r="E2377" s="124"/>
      <c r="F2377" s="80"/>
      <c r="G2377" s="80"/>
      <c r="H2377" s="80"/>
      <c r="I2377" s="80"/>
      <c r="J2377" s="196"/>
      <c r="K2377" s="196"/>
      <c r="L2377" s="196"/>
      <c r="M2377" s="196"/>
      <c r="N2377" s="196"/>
      <c r="O2377" s="196"/>
      <c r="P2377" s="196"/>
      <c r="Q2377" s="196"/>
      <c r="R2377" s="196"/>
      <c r="S2377" s="196"/>
      <c r="T2377" s="196"/>
      <c r="U2377" s="196"/>
      <c r="V2377" s="196"/>
      <c r="W2377" s="196"/>
      <c r="X2377" s="196"/>
      <c r="Y2377" s="196"/>
      <c r="Z2377" s="196"/>
      <c r="AA2377" s="196"/>
      <c r="AB2377" s="196"/>
      <c r="AC2377" s="196"/>
      <c r="AD2377" s="196"/>
      <c r="AE2377" s="196"/>
      <c r="AF2377" s="196"/>
      <c r="AG2377" s="196"/>
      <c r="AH2377" s="196"/>
      <c r="AI2377" s="196"/>
      <c r="AJ2377" s="197"/>
      <c r="AK2377" s="80"/>
      <c r="AL2377" s="80"/>
      <c r="AM2377" s="73"/>
      <c r="AN2377" s="73"/>
      <c r="AO2377" s="73"/>
      <c r="AP2377" s="73"/>
      <c r="AQ2377" s="73"/>
      <c r="AR2377" s="73"/>
      <c r="AS2377" s="73"/>
      <c r="AT2377" s="73"/>
      <c r="AU2377" s="73"/>
      <c r="AV2377" s="73"/>
      <c r="AW2377" s="73"/>
      <c r="AX2377" s="73"/>
      <c r="AY2377" s="73"/>
      <c r="AZ2377" s="73"/>
      <c r="BA2377" s="73"/>
      <c r="BB2377" s="73"/>
      <c r="BC2377" s="73"/>
      <c r="BD2377" s="73"/>
      <c r="BE2377" s="73"/>
      <c r="BF2377" s="73"/>
      <c r="BG2377" s="73"/>
      <c r="BH2377" s="73"/>
      <c r="BI2377" s="73"/>
      <c r="BJ2377" s="73"/>
      <c r="BK2377" s="73"/>
      <c r="BL2377" s="73"/>
      <c r="BM2377" s="73"/>
      <c r="BN2377" s="73"/>
      <c r="BO2377" s="73"/>
      <c r="BP2377" s="73"/>
      <c r="BQ2377" s="73"/>
      <c r="BR2377" s="73"/>
      <c r="BS2377" s="73"/>
      <c r="BT2377" s="73"/>
      <c r="BU2377" s="73"/>
      <c r="BV2377" s="73"/>
      <c r="BW2377" s="73"/>
      <c r="BX2377" s="73"/>
      <c r="BY2377" s="73"/>
      <c r="BZ2377" s="73"/>
      <c r="CA2377" s="73"/>
      <c r="CB2377" s="73"/>
      <c r="CC2377" s="73"/>
      <c r="CD2377" s="73"/>
      <c r="CE2377" s="73"/>
      <c r="CF2377" s="73"/>
      <c r="CG2377" s="73"/>
      <c r="CH2377" s="73"/>
    </row>
    <row r="2378">
      <c r="A2378" s="80"/>
      <c r="B2378" s="80"/>
      <c r="C2378" s="80"/>
      <c r="D2378" s="80"/>
      <c r="E2378" s="124"/>
      <c r="F2378" s="80"/>
      <c r="G2378" s="80"/>
      <c r="H2378" s="80"/>
      <c r="I2378" s="80"/>
      <c r="J2378" s="196"/>
      <c r="K2378" s="196"/>
      <c r="L2378" s="196"/>
      <c r="M2378" s="196"/>
      <c r="N2378" s="196"/>
      <c r="O2378" s="196"/>
      <c r="P2378" s="196"/>
      <c r="Q2378" s="196"/>
      <c r="R2378" s="196"/>
      <c r="S2378" s="196"/>
      <c r="T2378" s="196"/>
      <c r="U2378" s="196"/>
      <c r="V2378" s="196"/>
      <c r="W2378" s="196"/>
      <c r="X2378" s="196"/>
      <c r="Y2378" s="196"/>
      <c r="Z2378" s="196"/>
      <c r="AA2378" s="196"/>
      <c r="AB2378" s="196"/>
      <c r="AC2378" s="196"/>
      <c r="AD2378" s="196"/>
      <c r="AE2378" s="196"/>
      <c r="AF2378" s="196"/>
      <c r="AG2378" s="196"/>
      <c r="AH2378" s="196"/>
      <c r="AI2378" s="196"/>
      <c r="AJ2378" s="197"/>
      <c r="AK2378" s="80"/>
      <c r="AL2378" s="80"/>
      <c r="AM2378" s="73"/>
      <c r="AN2378" s="73"/>
      <c r="AO2378" s="73"/>
      <c r="AP2378" s="73"/>
      <c r="AQ2378" s="73"/>
      <c r="AR2378" s="73"/>
      <c r="AS2378" s="73"/>
      <c r="AT2378" s="73"/>
      <c r="AU2378" s="73"/>
      <c r="AV2378" s="73"/>
      <c r="AW2378" s="73"/>
      <c r="AX2378" s="73"/>
      <c r="AY2378" s="73"/>
      <c r="AZ2378" s="73"/>
      <c r="BA2378" s="73"/>
      <c r="BB2378" s="73"/>
      <c r="BC2378" s="73"/>
      <c r="BD2378" s="73"/>
      <c r="BE2378" s="73"/>
      <c r="BF2378" s="73"/>
      <c r="BG2378" s="73"/>
      <c r="BH2378" s="73"/>
      <c r="BI2378" s="73"/>
      <c r="BJ2378" s="73"/>
      <c r="BK2378" s="73"/>
      <c r="BL2378" s="73"/>
      <c r="BM2378" s="73"/>
      <c r="BN2378" s="73"/>
      <c r="BO2378" s="73"/>
      <c r="BP2378" s="73"/>
      <c r="BQ2378" s="73"/>
      <c r="BR2378" s="73"/>
      <c r="BS2378" s="73"/>
      <c r="BT2378" s="73"/>
      <c r="BU2378" s="73"/>
      <c r="BV2378" s="73"/>
      <c r="BW2378" s="73"/>
      <c r="BX2378" s="73"/>
      <c r="BY2378" s="73"/>
      <c r="BZ2378" s="73"/>
      <c r="CA2378" s="73"/>
      <c r="CB2378" s="73"/>
      <c r="CC2378" s="73"/>
      <c r="CD2378" s="73"/>
      <c r="CE2378" s="73"/>
      <c r="CF2378" s="73"/>
      <c r="CG2378" s="73"/>
      <c r="CH2378" s="73"/>
    </row>
    <row r="2379">
      <c r="A2379" s="80"/>
      <c r="B2379" s="80"/>
      <c r="C2379" s="80"/>
      <c r="D2379" s="80"/>
      <c r="E2379" s="124"/>
      <c r="F2379" s="80"/>
      <c r="G2379" s="80"/>
      <c r="H2379" s="80"/>
      <c r="I2379" s="80"/>
      <c r="J2379" s="196"/>
      <c r="K2379" s="196"/>
      <c r="L2379" s="196"/>
      <c r="M2379" s="196"/>
      <c r="N2379" s="196"/>
      <c r="O2379" s="196"/>
      <c r="P2379" s="196"/>
      <c r="Q2379" s="196"/>
      <c r="R2379" s="196"/>
      <c r="S2379" s="196"/>
      <c r="T2379" s="196"/>
      <c r="U2379" s="196"/>
      <c r="V2379" s="196"/>
      <c r="W2379" s="196"/>
      <c r="X2379" s="196"/>
      <c r="Y2379" s="196"/>
      <c r="Z2379" s="196"/>
      <c r="AA2379" s="196"/>
      <c r="AB2379" s="196"/>
      <c r="AC2379" s="196"/>
      <c r="AD2379" s="196"/>
      <c r="AE2379" s="196"/>
      <c r="AF2379" s="196"/>
      <c r="AG2379" s="196"/>
      <c r="AH2379" s="196"/>
      <c r="AI2379" s="196"/>
      <c r="AJ2379" s="197"/>
      <c r="AK2379" s="80"/>
      <c r="AL2379" s="80"/>
      <c r="AM2379" s="73"/>
      <c r="AN2379" s="73"/>
      <c r="AO2379" s="73"/>
      <c r="AP2379" s="73"/>
      <c r="AQ2379" s="73"/>
      <c r="AR2379" s="73"/>
      <c r="AS2379" s="73"/>
      <c r="AT2379" s="73"/>
      <c r="AU2379" s="73"/>
      <c r="AV2379" s="73"/>
      <c r="AW2379" s="73"/>
      <c r="AX2379" s="73"/>
      <c r="AY2379" s="73"/>
      <c r="AZ2379" s="73"/>
      <c r="BA2379" s="73"/>
      <c r="BB2379" s="73"/>
      <c r="BC2379" s="73"/>
      <c r="BD2379" s="73"/>
      <c r="BE2379" s="73"/>
      <c r="BF2379" s="73"/>
      <c r="BG2379" s="73"/>
      <c r="BH2379" s="73"/>
      <c r="BI2379" s="73"/>
      <c r="BJ2379" s="73"/>
      <c r="BK2379" s="73"/>
      <c r="BL2379" s="73"/>
      <c r="BM2379" s="73"/>
      <c r="BN2379" s="73"/>
      <c r="BO2379" s="73"/>
      <c r="BP2379" s="73"/>
      <c r="BQ2379" s="73"/>
      <c r="BR2379" s="73"/>
      <c r="BS2379" s="73"/>
      <c r="BT2379" s="73"/>
      <c r="BU2379" s="73"/>
      <c r="BV2379" s="73"/>
      <c r="BW2379" s="73"/>
      <c r="BX2379" s="73"/>
      <c r="BY2379" s="73"/>
      <c r="BZ2379" s="73"/>
      <c r="CA2379" s="73"/>
      <c r="CB2379" s="73"/>
      <c r="CC2379" s="73"/>
      <c r="CD2379" s="73"/>
      <c r="CE2379" s="73"/>
      <c r="CF2379" s="73"/>
      <c r="CG2379" s="73"/>
      <c r="CH2379" s="73"/>
    </row>
    <row r="2380">
      <c r="A2380" s="80"/>
      <c r="B2380" s="80"/>
      <c r="C2380" s="80"/>
      <c r="D2380" s="80"/>
      <c r="E2380" s="124"/>
      <c r="F2380" s="80"/>
      <c r="G2380" s="80"/>
      <c r="H2380" s="80"/>
      <c r="I2380" s="80"/>
      <c r="J2380" s="196"/>
      <c r="K2380" s="196"/>
      <c r="L2380" s="196"/>
      <c r="M2380" s="196"/>
      <c r="N2380" s="196"/>
      <c r="O2380" s="196"/>
      <c r="P2380" s="196"/>
      <c r="Q2380" s="196"/>
      <c r="R2380" s="196"/>
      <c r="S2380" s="196"/>
      <c r="T2380" s="196"/>
      <c r="U2380" s="196"/>
      <c r="V2380" s="196"/>
      <c r="W2380" s="196"/>
      <c r="X2380" s="196"/>
      <c r="Y2380" s="196"/>
      <c r="Z2380" s="196"/>
      <c r="AA2380" s="196"/>
      <c r="AB2380" s="196"/>
      <c r="AC2380" s="196"/>
      <c r="AD2380" s="196"/>
      <c r="AE2380" s="196"/>
      <c r="AF2380" s="196"/>
      <c r="AG2380" s="196"/>
      <c r="AH2380" s="196"/>
      <c r="AI2380" s="196"/>
      <c r="AJ2380" s="197"/>
      <c r="AK2380" s="80"/>
      <c r="AL2380" s="80"/>
      <c r="AM2380" s="73"/>
      <c r="AN2380" s="73"/>
      <c r="AO2380" s="73"/>
      <c r="AP2380" s="73"/>
      <c r="AQ2380" s="73"/>
      <c r="AR2380" s="73"/>
      <c r="AS2380" s="73"/>
      <c r="AT2380" s="73"/>
      <c r="AU2380" s="73"/>
      <c r="AV2380" s="73"/>
      <c r="AW2380" s="73"/>
      <c r="AX2380" s="73"/>
      <c r="AY2380" s="73"/>
      <c r="AZ2380" s="73"/>
      <c r="BA2380" s="73"/>
      <c r="BB2380" s="73"/>
      <c r="BC2380" s="73"/>
      <c r="BD2380" s="73"/>
      <c r="BE2380" s="73"/>
      <c r="BF2380" s="73"/>
      <c r="BG2380" s="73"/>
      <c r="BH2380" s="73"/>
      <c r="BI2380" s="73"/>
      <c r="BJ2380" s="73"/>
      <c r="BK2380" s="73"/>
      <c r="BL2380" s="73"/>
      <c r="BM2380" s="73"/>
      <c r="BN2380" s="73"/>
      <c r="BO2380" s="73"/>
      <c r="BP2380" s="73"/>
      <c r="BQ2380" s="73"/>
      <c r="BR2380" s="73"/>
      <c r="BS2380" s="73"/>
      <c r="BT2380" s="73"/>
      <c r="BU2380" s="73"/>
      <c r="BV2380" s="73"/>
      <c r="BW2380" s="73"/>
      <c r="BX2380" s="73"/>
      <c r="BY2380" s="73"/>
      <c r="BZ2380" s="73"/>
      <c r="CA2380" s="73"/>
      <c r="CB2380" s="73"/>
      <c r="CC2380" s="73"/>
      <c r="CD2380" s="73"/>
      <c r="CE2380" s="73"/>
      <c r="CF2380" s="73"/>
      <c r="CG2380" s="73"/>
      <c r="CH2380" s="73"/>
    </row>
    <row r="2381">
      <c r="A2381" s="80"/>
      <c r="B2381" s="80"/>
      <c r="C2381" s="80"/>
      <c r="D2381" s="80"/>
      <c r="E2381" s="124"/>
      <c r="F2381" s="80"/>
      <c r="G2381" s="80"/>
      <c r="H2381" s="80"/>
      <c r="I2381" s="80"/>
      <c r="J2381" s="196"/>
      <c r="K2381" s="196"/>
      <c r="L2381" s="196"/>
      <c r="M2381" s="196"/>
      <c r="N2381" s="196"/>
      <c r="O2381" s="196"/>
      <c r="P2381" s="196"/>
      <c r="Q2381" s="196"/>
      <c r="R2381" s="196"/>
      <c r="S2381" s="196"/>
      <c r="T2381" s="196"/>
      <c r="U2381" s="196"/>
      <c r="V2381" s="196"/>
      <c r="W2381" s="196"/>
      <c r="X2381" s="196"/>
      <c r="Y2381" s="196"/>
      <c r="Z2381" s="196"/>
      <c r="AA2381" s="196"/>
      <c r="AB2381" s="196"/>
      <c r="AC2381" s="196"/>
      <c r="AD2381" s="196"/>
      <c r="AE2381" s="196"/>
      <c r="AF2381" s="196"/>
      <c r="AG2381" s="196"/>
      <c r="AH2381" s="196"/>
      <c r="AI2381" s="196"/>
      <c r="AJ2381" s="197"/>
      <c r="AK2381" s="80"/>
      <c r="AL2381" s="80"/>
      <c r="AM2381" s="73"/>
      <c r="AN2381" s="73"/>
      <c r="AO2381" s="73"/>
      <c r="AP2381" s="73"/>
      <c r="AQ2381" s="73"/>
      <c r="AR2381" s="73"/>
      <c r="AS2381" s="73"/>
      <c r="AT2381" s="73"/>
      <c r="AU2381" s="73"/>
      <c r="AV2381" s="73"/>
      <c r="AW2381" s="73"/>
      <c r="AX2381" s="73"/>
      <c r="AY2381" s="73"/>
      <c r="AZ2381" s="73"/>
      <c r="BA2381" s="73"/>
      <c r="BB2381" s="73"/>
      <c r="BC2381" s="73"/>
      <c r="BD2381" s="73"/>
      <c r="BE2381" s="73"/>
      <c r="BF2381" s="73"/>
      <c r="BG2381" s="73"/>
      <c r="BH2381" s="73"/>
      <c r="BI2381" s="73"/>
      <c r="BJ2381" s="73"/>
      <c r="BK2381" s="73"/>
      <c r="BL2381" s="73"/>
      <c r="BM2381" s="73"/>
      <c r="BN2381" s="73"/>
      <c r="BO2381" s="73"/>
      <c r="BP2381" s="73"/>
      <c r="BQ2381" s="73"/>
      <c r="BR2381" s="73"/>
      <c r="BS2381" s="73"/>
      <c r="BT2381" s="73"/>
      <c r="BU2381" s="73"/>
      <c r="BV2381" s="73"/>
      <c r="BW2381" s="73"/>
      <c r="BX2381" s="73"/>
      <c r="BY2381" s="73"/>
      <c r="BZ2381" s="73"/>
      <c r="CA2381" s="73"/>
      <c r="CB2381" s="73"/>
      <c r="CC2381" s="73"/>
      <c r="CD2381" s="73"/>
      <c r="CE2381" s="73"/>
      <c r="CF2381" s="73"/>
      <c r="CG2381" s="73"/>
      <c r="CH2381" s="73"/>
    </row>
    <row r="2382">
      <c r="A2382" s="80"/>
      <c r="B2382" s="80"/>
      <c r="C2382" s="80"/>
      <c r="D2382" s="80"/>
      <c r="E2382" s="124"/>
      <c r="F2382" s="80"/>
      <c r="G2382" s="80"/>
      <c r="H2382" s="80"/>
      <c r="I2382" s="80"/>
      <c r="J2382" s="196"/>
      <c r="K2382" s="196"/>
      <c r="L2382" s="196"/>
      <c r="M2382" s="196"/>
      <c r="N2382" s="196"/>
      <c r="O2382" s="196"/>
      <c r="P2382" s="196"/>
      <c r="Q2382" s="196"/>
      <c r="R2382" s="196"/>
      <c r="S2382" s="196"/>
      <c r="T2382" s="196"/>
      <c r="U2382" s="196"/>
      <c r="V2382" s="196"/>
      <c r="W2382" s="196"/>
      <c r="X2382" s="196"/>
      <c r="Y2382" s="196"/>
      <c r="Z2382" s="196"/>
      <c r="AA2382" s="196"/>
      <c r="AB2382" s="196"/>
      <c r="AC2382" s="196"/>
      <c r="AD2382" s="196"/>
      <c r="AE2382" s="196"/>
      <c r="AF2382" s="196"/>
      <c r="AG2382" s="196"/>
      <c r="AH2382" s="196"/>
      <c r="AI2382" s="196"/>
      <c r="AJ2382" s="197"/>
      <c r="AK2382" s="80"/>
      <c r="AL2382" s="80"/>
      <c r="AM2382" s="73"/>
      <c r="AN2382" s="73"/>
      <c r="AO2382" s="73"/>
      <c r="AP2382" s="73"/>
      <c r="AQ2382" s="73"/>
      <c r="AR2382" s="73"/>
      <c r="AS2382" s="73"/>
      <c r="AT2382" s="73"/>
      <c r="AU2382" s="73"/>
      <c r="AV2382" s="73"/>
      <c r="AW2382" s="73"/>
      <c r="AX2382" s="73"/>
      <c r="AY2382" s="73"/>
      <c r="AZ2382" s="73"/>
      <c r="BA2382" s="73"/>
      <c r="BB2382" s="73"/>
      <c r="BC2382" s="73"/>
      <c r="BD2382" s="73"/>
      <c r="BE2382" s="73"/>
      <c r="BF2382" s="73"/>
      <c r="BG2382" s="73"/>
      <c r="BH2382" s="73"/>
      <c r="BI2382" s="73"/>
      <c r="BJ2382" s="73"/>
      <c r="BK2382" s="73"/>
      <c r="BL2382" s="73"/>
      <c r="BM2382" s="73"/>
      <c r="BN2382" s="73"/>
      <c r="BO2382" s="73"/>
      <c r="BP2382" s="73"/>
      <c r="BQ2382" s="73"/>
      <c r="BR2382" s="73"/>
      <c r="BS2382" s="73"/>
      <c r="BT2382" s="73"/>
      <c r="BU2382" s="73"/>
      <c r="BV2382" s="73"/>
      <c r="BW2382" s="73"/>
      <c r="BX2382" s="73"/>
      <c r="BY2382" s="73"/>
      <c r="BZ2382" s="73"/>
      <c r="CA2382" s="73"/>
      <c r="CB2382" s="73"/>
      <c r="CC2382" s="73"/>
      <c r="CD2382" s="73"/>
      <c r="CE2382" s="73"/>
      <c r="CF2382" s="73"/>
      <c r="CG2382" s="73"/>
      <c r="CH2382" s="73"/>
    </row>
    <row r="2383">
      <c r="A2383" s="80"/>
      <c r="B2383" s="80"/>
      <c r="C2383" s="80"/>
      <c r="D2383" s="80"/>
      <c r="E2383" s="124"/>
      <c r="F2383" s="80"/>
      <c r="G2383" s="80"/>
      <c r="H2383" s="80"/>
      <c r="I2383" s="80"/>
      <c r="J2383" s="196"/>
      <c r="K2383" s="196"/>
      <c r="L2383" s="196"/>
      <c r="M2383" s="196"/>
      <c r="N2383" s="196"/>
      <c r="O2383" s="196"/>
      <c r="P2383" s="196"/>
      <c r="Q2383" s="196"/>
      <c r="R2383" s="196"/>
      <c r="S2383" s="196"/>
      <c r="T2383" s="196"/>
      <c r="U2383" s="196"/>
      <c r="V2383" s="196"/>
      <c r="W2383" s="196"/>
      <c r="X2383" s="196"/>
      <c r="Y2383" s="196"/>
      <c r="Z2383" s="196"/>
      <c r="AA2383" s="196"/>
      <c r="AB2383" s="196"/>
      <c r="AC2383" s="196"/>
      <c r="AD2383" s="196"/>
      <c r="AE2383" s="196"/>
      <c r="AF2383" s="196"/>
      <c r="AG2383" s="196"/>
      <c r="AH2383" s="196"/>
      <c r="AI2383" s="196"/>
      <c r="AJ2383" s="197"/>
      <c r="AK2383" s="80"/>
      <c r="AL2383" s="80"/>
      <c r="AM2383" s="73"/>
      <c r="AN2383" s="73"/>
      <c r="AO2383" s="73"/>
      <c r="AP2383" s="73"/>
      <c r="AQ2383" s="73"/>
      <c r="AR2383" s="73"/>
      <c r="AS2383" s="73"/>
      <c r="AT2383" s="73"/>
      <c r="AU2383" s="73"/>
      <c r="AV2383" s="73"/>
      <c r="AW2383" s="73"/>
      <c r="AX2383" s="73"/>
      <c r="AY2383" s="73"/>
      <c r="AZ2383" s="73"/>
      <c r="BA2383" s="73"/>
      <c r="BB2383" s="73"/>
      <c r="BC2383" s="73"/>
      <c r="BD2383" s="73"/>
      <c r="BE2383" s="73"/>
      <c r="BF2383" s="73"/>
      <c r="BG2383" s="73"/>
      <c r="BH2383" s="73"/>
      <c r="BI2383" s="73"/>
      <c r="BJ2383" s="73"/>
      <c r="BK2383" s="73"/>
      <c r="BL2383" s="73"/>
      <c r="BM2383" s="73"/>
      <c r="BN2383" s="73"/>
      <c r="BO2383" s="73"/>
      <c r="BP2383" s="73"/>
      <c r="BQ2383" s="73"/>
      <c r="BR2383" s="73"/>
      <c r="BS2383" s="73"/>
      <c r="BT2383" s="73"/>
      <c r="BU2383" s="73"/>
      <c r="BV2383" s="73"/>
      <c r="BW2383" s="73"/>
      <c r="BX2383" s="73"/>
      <c r="BY2383" s="73"/>
      <c r="BZ2383" s="73"/>
      <c r="CA2383" s="73"/>
      <c r="CB2383" s="73"/>
      <c r="CC2383" s="73"/>
      <c r="CD2383" s="73"/>
      <c r="CE2383" s="73"/>
      <c r="CF2383" s="73"/>
      <c r="CG2383" s="73"/>
      <c r="CH2383" s="73"/>
    </row>
    <row r="2384">
      <c r="A2384" s="80"/>
      <c r="B2384" s="80"/>
      <c r="C2384" s="80"/>
      <c r="D2384" s="80"/>
      <c r="E2384" s="124"/>
      <c r="F2384" s="80"/>
      <c r="G2384" s="80"/>
      <c r="H2384" s="80"/>
      <c r="I2384" s="80"/>
      <c r="J2384" s="196"/>
      <c r="K2384" s="196"/>
      <c r="L2384" s="196"/>
      <c r="M2384" s="196"/>
      <c r="N2384" s="196"/>
      <c r="O2384" s="196"/>
      <c r="P2384" s="196"/>
      <c r="Q2384" s="196"/>
      <c r="R2384" s="196"/>
      <c r="S2384" s="196"/>
      <c r="T2384" s="196"/>
      <c r="U2384" s="196"/>
      <c r="V2384" s="196"/>
      <c r="W2384" s="196"/>
      <c r="X2384" s="196"/>
      <c r="Y2384" s="196"/>
      <c r="Z2384" s="196"/>
      <c r="AA2384" s="196"/>
      <c r="AB2384" s="196"/>
      <c r="AC2384" s="196"/>
      <c r="AD2384" s="196"/>
      <c r="AE2384" s="196"/>
      <c r="AF2384" s="196"/>
      <c r="AG2384" s="196"/>
      <c r="AH2384" s="196"/>
      <c r="AI2384" s="196"/>
      <c r="AJ2384" s="197"/>
      <c r="AK2384" s="80"/>
      <c r="AL2384" s="80"/>
      <c r="AM2384" s="73"/>
      <c r="AN2384" s="73"/>
      <c r="AO2384" s="73"/>
      <c r="AP2384" s="73"/>
      <c r="AQ2384" s="73"/>
      <c r="AR2384" s="73"/>
      <c r="AS2384" s="73"/>
      <c r="AT2384" s="73"/>
      <c r="AU2384" s="73"/>
      <c r="AV2384" s="73"/>
      <c r="AW2384" s="73"/>
      <c r="AX2384" s="73"/>
      <c r="AY2384" s="73"/>
      <c r="AZ2384" s="73"/>
      <c r="BA2384" s="73"/>
      <c r="BB2384" s="73"/>
      <c r="BC2384" s="73"/>
      <c r="BD2384" s="73"/>
      <c r="BE2384" s="73"/>
      <c r="BF2384" s="73"/>
      <c r="BG2384" s="73"/>
      <c r="BH2384" s="73"/>
      <c r="BI2384" s="73"/>
      <c r="BJ2384" s="73"/>
      <c r="BK2384" s="73"/>
      <c r="BL2384" s="73"/>
      <c r="BM2384" s="73"/>
      <c r="BN2384" s="73"/>
      <c r="BO2384" s="73"/>
      <c r="BP2384" s="73"/>
      <c r="BQ2384" s="73"/>
      <c r="BR2384" s="73"/>
      <c r="BS2384" s="73"/>
      <c r="BT2384" s="73"/>
      <c r="BU2384" s="73"/>
      <c r="BV2384" s="73"/>
      <c r="BW2384" s="73"/>
      <c r="BX2384" s="73"/>
      <c r="BY2384" s="73"/>
      <c r="BZ2384" s="73"/>
      <c r="CA2384" s="73"/>
      <c r="CB2384" s="73"/>
      <c r="CC2384" s="73"/>
      <c r="CD2384" s="73"/>
      <c r="CE2384" s="73"/>
      <c r="CF2384" s="73"/>
      <c r="CG2384" s="73"/>
      <c r="CH2384" s="73"/>
    </row>
    <row r="2385">
      <c r="A2385" s="80"/>
      <c r="B2385" s="80"/>
      <c r="C2385" s="80"/>
      <c r="D2385" s="80"/>
      <c r="E2385" s="124"/>
      <c r="F2385" s="80"/>
      <c r="G2385" s="80"/>
      <c r="H2385" s="80"/>
      <c r="I2385" s="80"/>
      <c r="J2385" s="196"/>
      <c r="K2385" s="196"/>
      <c r="L2385" s="196"/>
      <c r="M2385" s="196"/>
      <c r="N2385" s="196"/>
      <c r="O2385" s="196"/>
      <c r="P2385" s="196"/>
      <c r="Q2385" s="196"/>
      <c r="R2385" s="196"/>
      <c r="S2385" s="196"/>
      <c r="T2385" s="196"/>
      <c r="U2385" s="196"/>
      <c r="V2385" s="196"/>
      <c r="W2385" s="196"/>
      <c r="X2385" s="196"/>
      <c r="Y2385" s="196"/>
      <c r="Z2385" s="196"/>
      <c r="AA2385" s="196"/>
      <c r="AB2385" s="196"/>
      <c r="AC2385" s="196"/>
      <c r="AD2385" s="196"/>
      <c r="AE2385" s="196"/>
      <c r="AF2385" s="196"/>
      <c r="AG2385" s="196"/>
      <c r="AH2385" s="196"/>
      <c r="AI2385" s="196"/>
      <c r="AJ2385" s="197"/>
      <c r="AK2385" s="80"/>
      <c r="AL2385" s="80"/>
      <c r="AM2385" s="73"/>
      <c r="AN2385" s="73"/>
      <c r="AO2385" s="73"/>
      <c r="AP2385" s="73"/>
      <c r="AQ2385" s="73"/>
      <c r="AR2385" s="73"/>
      <c r="AS2385" s="73"/>
      <c r="AT2385" s="73"/>
      <c r="AU2385" s="73"/>
      <c r="AV2385" s="73"/>
      <c r="AW2385" s="73"/>
      <c r="AX2385" s="73"/>
      <c r="AY2385" s="73"/>
      <c r="AZ2385" s="73"/>
      <c r="BA2385" s="73"/>
      <c r="BB2385" s="73"/>
      <c r="BC2385" s="73"/>
      <c r="BD2385" s="73"/>
      <c r="BE2385" s="73"/>
      <c r="BF2385" s="73"/>
      <c r="BG2385" s="73"/>
      <c r="BH2385" s="73"/>
      <c r="BI2385" s="73"/>
      <c r="BJ2385" s="73"/>
      <c r="BK2385" s="73"/>
      <c r="BL2385" s="73"/>
      <c r="BM2385" s="73"/>
      <c r="BN2385" s="73"/>
      <c r="BO2385" s="73"/>
      <c r="BP2385" s="73"/>
      <c r="BQ2385" s="73"/>
      <c r="BR2385" s="73"/>
      <c r="BS2385" s="73"/>
      <c r="BT2385" s="73"/>
      <c r="BU2385" s="73"/>
      <c r="BV2385" s="73"/>
      <c r="BW2385" s="73"/>
      <c r="BX2385" s="73"/>
      <c r="BY2385" s="73"/>
      <c r="BZ2385" s="73"/>
      <c r="CA2385" s="73"/>
      <c r="CB2385" s="73"/>
      <c r="CC2385" s="73"/>
      <c r="CD2385" s="73"/>
      <c r="CE2385" s="73"/>
      <c r="CF2385" s="73"/>
      <c r="CG2385" s="73"/>
      <c r="CH2385" s="73"/>
    </row>
    <row r="2386">
      <c r="A2386" s="80"/>
      <c r="B2386" s="80"/>
      <c r="C2386" s="80"/>
      <c r="D2386" s="80"/>
      <c r="E2386" s="124"/>
      <c r="F2386" s="80"/>
      <c r="G2386" s="80"/>
      <c r="H2386" s="80"/>
      <c r="I2386" s="80"/>
      <c r="J2386" s="196"/>
      <c r="K2386" s="196"/>
      <c r="L2386" s="196"/>
      <c r="M2386" s="196"/>
      <c r="N2386" s="196"/>
      <c r="O2386" s="196"/>
      <c r="P2386" s="196"/>
      <c r="Q2386" s="196"/>
      <c r="R2386" s="196"/>
      <c r="S2386" s="196"/>
      <c r="T2386" s="196"/>
      <c r="U2386" s="196"/>
      <c r="V2386" s="196"/>
      <c r="W2386" s="196"/>
      <c r="X2386" s="196"/>
      <c r="Y2386" s="196"/>
      <c r="Z2386" s="196"/>
      <c r="AA2386" s="196"/>
      <c r="AB2386" s="196"/>
      <c r="AC2386" s="196"/>
      <c r="AD2386" s="196"/>
      <c r="AE2386" s="196"/>
      <c r="AF2386" s="196"/>
      <c r="AG2386" s="196"/>
      <c r="AH2386" s="196"/>
      <c r="AI2386" s="196"/>
      <c r="AJ2386" s="197"/>
      <c r="AK2386" s="80"/>
      <c r="AL2386" s="80"/>
      <c r="AM2386" s="73"/>
      <c r="AN2386" s="73"/>
      <c r="AO2386" s="73"/>
      <c r="AP2386" s="73"/>
      <c r="AQ2386" s="73"/>
      <c r="AR2386" s="73"/>
      <c r="AS2386" s="73"/>
      <c r="AT2386" s="73"/>
      <c r="AU2386" s="73"/>
      <c r="AV2386" s="73"/>
      <c r="AW2386" s="73"/>
      <c r="AX2386" s="73"/>
      <c r="AY2386" s="73"/>
      <c r="AZ2386" s="73"/>
      <c r="BA2386" s="73"/>
      <c r="BB2386" s="73"/>
      <c r="BC2386" s="73"/>
      <c r="BD2386" s="73"/>
      <c r="BE2386" s="73"/>
      <c r="BF2386" s="73"/>
      <c r="BG2386" s="73"/>
      <c r="BH2386" s="73"/>
      <c r="BI2386" s="73"/>
      <c r="BJ2386" s="73"/>
      <c r="BK2386" s="73"/>
      <c r="BL2386" s="73"/>
      <c r="BM2386" s="73"/>
      <c r="BN2386" s="73"/>
      <c r="BO2386" s="73"/>
      <c r="BP2386" s="73"/>
      <c r="BQ2386" s="73"/>
      <c r="BR2386" s="73"/>
      <c r="BS2386" s="73"/>
      <c r="BT2386" s="73"/>
      <c r="BU2386" s="73"/>
      <c r="BV2386" s="73"/>
      <c r="BW2386" s="73"/>
      <c r="BX2386" s="73"/>
      <c r="BY2386" s="73"/>
      <c r="BZ2386" s="73"/>
      <c r="CA2386" s="73"/>
      <c r="CB2386" s="73"/>
      <c r="CC2386" s="73"/>
      <c r="CD2386" s="73"/>
      <c r="CE2386" s="73"/>
      <c r="CF2386" s="73"/>
      <c r="CG2386" s="73"/>
      <c r="CH2386" s="73"/>
    </row>
    <row r="2387">
      <c r="A2387" s="80"/>
      <c r="B2387" s="80"/>
      <c r="C2387" s="80"/>
      <c r="D2387" s="80"/>
      <c r="E2387" s="124"/>
      <c r="F2387" s="80"/>
      <c r="G2387" s="80"/>
      <c r="H2387" s="80"/>
      <c r="I2387" s="80"/>
      <c r="J2387" s="196"/>
      <c r="K2387" s="196"/>
      <c r="L2387" s="196"/>
      <c r="M2387" s="196"/>
      <c r="N2387" s="196"/>
      <c r="O2387" s="196"/>
      <c r="P2387" s="196"/>
      <c r="Q2387" s="196"/>
      <c r="R2387" s="196"/>
      <c r="S2387" s="196"/>
      <c r="T2387" s="196"/>
      <c r="U2387" s="196"/>
      <c r="V2387" s="196"/>
      <c r="W2387" s="196"/>
      <c r="X2387" s="196"/>
      <c r="Y2387" s="196"/>
      <c r="Z2387" s="196"/>
      <c r="AA2387" s="196"/>
      <c r="AB2387" s="196"/>
      <c r="AC2387" s="196"/>
      <c r="AD2387" s="196"/>
      <c r="AE2387" s="196"/>
      <c r="AF2387" s="196"/>
      <c r="AG2387" s="196"/>
      <c r="AH2387" s="196"/>
      <c r="AI2387" s="196"/>
      <c r="AJ2387" s="197"/>
      <c r="AK2387" s="80"/>
      <c r="AL2387" s="80"/>
      <c r="AM2387" s="73"/>
      <c r="AN2387" s="73"/>
      <c r="AO2387" s="73"/>
      <c r="AP2387" s="73"/>
      <c r="AQ2387" s="73"/>
      <c r="AR2387" s="73"/>
      <c r="AS2387" s="73"/>
      <c r="AT2387" s="73"/>
      <c r="AU2387" s="73"/>
      <c r="AV2387" s="73"/>
      <c r="AW2387" s="73"/>
      <c r="AX2387" s="73"/>
      <c r="AY2387" s="73"/>
      <c r="AZ2387" s="73"/>
      <c r="BA2387" s="73"/>
      <c r="BB2387" s="73"/>
      <c r="BC2387" s="73"/>
      <c r="BD2387" s="73"/>
      <c r="BE2387" s="73"/>
      <c r="BF2387" s="73"/>
      <c r="BG2387" s="73"/>
      <c r="BH2387" s="73"/>
      <c r="BI2387" s="73"/>
      <c r="BJ2387" s="73"/>
      <c r="BK2387" s="73"/>
      <c r="BL2387" s="73"/>
      <c r="BM2387" s="73"/>
      <c r="BN2387" s="73"/>
      <c r="BO2387" s="73"/>
      <c r="BP2387" s="73"/>
      <c r="BQ2387" s="73"/>
      <c r="BR2387" s="73"/>
      <c r="BS2387" s="73"/>
      <c r="BT2387" s="73"/>
      <c r="BU2387" s="73"/>
      <c r="BV2387" s="73"/>
      <c r="BW2387" s="73"/>
      <c r="BX2387" s="73"/>
      <c r="BY2387" s="73"/>
      <c r="BZ2387" s="73"/>
      <c r="CA2387" s="73"/>
      <c r="CB2387" s="73"/>
      <c r="CC2387" s="73"/>
      <c r="CD2387" s="73"/>
      <c r="CE2387" s="73"/>
      <c r="CF2387" s="73"/>
      <c r="CG2387" s="73"/>
      <c r="CH2387" s="73"/>
    </row>
    <row r="2388">
      <c r="A2388" s="80"/>
      <c r="B2388" s="80"/>
      <c r="C2388" s="80"/>
      <c r="D2388" s="80"/>
      <c r="E2388" s="124"/>
      <c r="F2388" s="80"/>
      <c r="G2388" s="80"/>
      <c r="H2388" s="80"/>
      <c r="I2388" s="80"/>
      <c r="J2388" s="196"/>
      <c r="K2388" s="196"/>
      <c r="L2388" s="196"/>
      <c r="M2388" s="196"/>
      <c r="N2388" s="196"/>
      <c r="O2388" s="196"/>
      <c r="P2388" s="196"/>
      <c r="Q2388" s="196"/>
      <c r="R2388" s="196"/>
      <c r="S2388" s="196"/>
      <c r="T2388" s="196"/>
      <c r="U2388" s="196"/>
      <c r="V2388" s="196"/>
      <c r="W2388" s="196"/>
      <c r="X2388" s="196"/>
      <c r="Y2388" s="196"/>
      <c r="Z2388" s="196"/>
      <c r="AA2388" s="196"/>
      <c r="AB2388" s="196"/>
      <c r="AC2388" s="196"/>
      <c r="AD2388" s="196"/>
      <c r="AE2388" s="196"/>
      <c r="AF2388" s="196"/>
      <c r="AG2388" s="196"/>
      <c r="AH2388" s="196"/>
      <c r="AI2388" s="196"/>
      <c r="AJ2388" s="197"/>
      <c r="AK2388" s="80"/>
      <c r="AL2388" s="80"/>
      <c r="AM2388" s="73"/>
      <c r="AN2388" s="73"/>
      <c r="AO2388" s="73"/>
      <c r="AP2388" s="73"/>
      <c r="AQ2388" s="73"/>
      <c r="AR2388" s="73"/>
      <c r="AS2388" s="73"/>
      <c r="AT2388" s="73"/>
      <c r="AU2388" s="73"/>
      <c r="AV2388" s="73"/>
      <c r="AW2388" s="73"/>
      <c r="AX2388" s="73"/>
      <c r="AY2388" s="73"/>
      <c r="AZ2388" s="73"/>
      <c r="BA2388" s="73"/>
      <c r="BB2388" s="73"/>
      <c r="BC2388" s="73"/>
      <c r="BD2388" s="73"/>
      <c r="BE2388" s="73"/>
      <c r="BF2388" s="73"/>
      <c r="BG2388" s="73"/>
      <c r="BH2388" s="73"/>
      <c r="BI2388" s="73"/>
      <c r="BJ2388" s="73"/>
      <c r="BK2388" s="73"/>
      <c r="BL2388" s="73"/>
      <c r="BM2388" s="73"/>
      <c r="BN2388" s="73"/>
      <c r="BO2388" s="73"/>
      <c r="BP2388" s="73"/>
      <c r="BQ2388" s="73"/>
      <c r="BR2388" s="73"/>
      <c r="BS2388" s="73"/>
      <c r="BT2388" s="73"/>
      <c r="BU2388" s="73"/>
      <c r="BV2388" s="73"/>
      <c r="BW2388" s="73"/>
      <c r="BX2388" s="73"/>
      <c r="BY2388" s="73"/>
      <c r="BZ2388" s="73"/>
      <c r="CA2388" s="73"/>
      <c r="CB2388" s="73"/>
      <c r="CC2388" s="73"/>
      <c r="CD2388" s="73"/>
      <c r="CE2388" s="73"/>
      <c r="CF2388" s="73"/>
      <c r="CG2388" s="73"/>
      <c r="CH2388" s="73"/>
    </row>
    <row r="2389">
      <c r="A2389" s="80"/>
      <c r="B2389" s="80"/>
      <c r="C2389" s="80"/>
      <c r="D2389" s="80"/>
      <c r="E2389" s="124"/>
      <c r="F2389" s="80"/>
      <c r="G2389" s="80"/>
      <c r="H2389" s="80"/>
      <c r="I2389" s="80"/>
      <c r="J2389" s="196"/>
      <c r="K2389" s="196"/>
      <c r="L2389" s="196"/>
      <c r="M2389" s="196"/>
      <c r="N2389" s="196"/>
      <c r="O2389" s="196"/>
      <c r="P2389" s="196"/>
      <c r="Q2389" s="196"/>
      <c r="R2389" s="196"/>
      <c r="S2389" s="196"/>
      <c r="T2389" s="196"/>
      <c r="U2389" s="196"/>
      <c r="V2389" s="196"/>
      <c r="W2389" s="196"/>
      <c r="X2389" s="196"/>
      <c r="Y2389" s="196"/>
      <c r="Z2389" s="196"/>
      <c r="AA2389" s="196"/>
      <c r="AB2389" s="196"/>
      <c r="AC2389" s="196"/>
      <c r="AD2389" s="196"/>
      <c r="AE2389" s="196"/>
      <c r="AF2389" s="196"/>
      <c r="AG2389" s="196"/>
      <c r="AH2389" s="196"/>
      <c r="AI2389" s="196"/>
      <c r="AJ2389" s="197"/>
      <c r="AK2389" s="80"/>
      <c r="AL2389" s="80"/>
      <c r="AM2389" s="73"/>
      <c r="AN2389" s="73"/>
      <c r="AO2389" s="73"/>
      <c r="AP2389" s="73"/>
      <c r="AQ2389" s="73"/>
      <c r="AR2389" s="73"/>
      <c r="AS2389" s="73"/>
      <c r="AT2389" s="73"/>
      <c r="AU2389" s="73"/>
      <c r="AV2389" s="73"/>
      <c r="AW2389" s="73"/>
      <c r="AX2389" s="73"/>
      <c r="AY2389" s="73"/>
      <c r="AZ2389" s="73"/>
      <c r="BA2389" s="73"/>
      <c r="BB2389" s="73"/>
      <c r="BC2389" s="73"/>
      <c r="BD2389" s="73"/>
      <c r="BE2389" s="73"/>
      <c r="BF2389" s="73"/>
      <c r="BG2389" s="73"/>
      <c r="BH2389" s="73"/>
      <c r="BI2389" s="73"/>
      <c r="BJ2389" s="73"/>
      <c r="BK2389" s="73"/>
      <c r="BL2389" s="73"/>
      <c r="BM2389" s="73"/>
      <c r="BN2389" s="73"/>
      <c r="BO2389" s="73"/>
      <c r="BP2389" s="73"/>
      <c r="BQ2389" s="73"/>
      <c r="BR2389" s="73"/>
      <c r="BS2389" s="73"/>
      <c r="BT2389" s="73"/>
      <c r="BU2389" s="73"/>
      <c r="BV2389" s="73"/>
      <c r="BW2389" s="73"/>
      <c r="BX2389" s="73"/>
      <c r="BY2389" s="73"/>
      <c r="BZ2389" s="73"/>
      <c r="CA2389" s="73"/>
      <c r="CB2389" s="73"/>
      <c r="CC2389" s="73"/>
      <c r="CD2389" s="73"/>
      <c r="CE2389" s="73"/>
      <c r="CF2389" s="73"/>
      <c r="CG2389" s="73"/>
      <c r="CH2389" s="73"/>
    </row>
    <row r="2390">
      <c r="A2390" s="80"/>
      <c r="B2390" s="80"/>
      <c r="C2390" s="80"/>
      <c r="D2390" s="80"/>
      <c r="E2390" s="124"/>
      <c r="F2390" s="80"/>
      <c r="G2390" s="80"/>
      <c r="H2390" s="80"/>
      <c r="I2390" s="80"/>
      <c r="J2390" s="196"/>
      <c r="K2390" s="196"/>
      <c r="L2390" s="196"/>
      <c r="M2390" s="196"/>
      <c r="N2390" s="196"/>
      <c r="O2390" s="196"/>
      <c r="P2390" s="196"/>
      <c r="Q2390" s="196"/>
      <c r="R2390" s="196"/>
      <c r="S2390" s="196"/>
      <c r="T2390" s="196"/>
      <c r="U2390" s="196"/>
      <c r="V2390" s="196"/>
      <c r="W2390" s="196"/>
      <c r="X2390" s="196"/>
      <c r="Y2390" s="196"/>
      <c r="Z2390" s="196"/>
      <c r="AA2390" s="196"/>
      <c r="AB2390" s="196"/>
      <c r="AC2390" s="196"/>
      <c r="AD2390" s="196"/>
      <c r="AE2390" s="196"/>
      <c r="AF2390" s="196"/>
      <c r="AG2390" s="196"/>
      <c r="AH2390" s="196"/>
      <c r="AI2390" s="196"/>
      <c r="AJ2390" s="197"/>
      <c r="AK2390" s="80"/>
      <c r="AL2390" s="80"/>
      <c r="AM2390" s="73"/>
      <c r="AN2390" s="73"/>
      <c r="AO2390" s="73"/>
      <c r="AP2390" s="73"/>
      <c r="AQ2390" s="73"/>
      <c r="AR2390" s="73"/>
      <c r="AS2390" s="73"/>
      <c r="AT2390" s="73"/>
      <c r="AU2390" s="73"/>
      <c r="AV2390" s="73"/>
      <c r="AW2390" s="73"/>
      <c r="AX2390" s="73"/>
      <c r="AY2390" s="73"/>
      <c r="AZ2390" s="73"/>
      <c r="BA2390" s="73"/>
      <c r="BB2390" s="73"/>
      <c r="BC2390" s="73"/>
      <c r="BD2390" s="73"/>
      <c r="BE2390" s="73"/>
      <c r="BF2390" s="73"/>
      <c r="BG2390" s="73"/>
      <c r="BH2390" s="73"/>
      <c r="BI2390" s="73"/>
      <c r="BJ2390" s="73"/>
      <c r="BK2390" s="73"/>
      <c r="BL2390" s="73"/>
      <c r="BM2390" s="73"/>
      <c r="BN2390" s="73"/>
      <c r="BO2390" s="73"/>
      <c r="BP2390" s="73"/>
      <c r="BQ2390" s="73"/>
      <c r="BR2390" s="73"/>
      <c r="BS2390" s="73"/>
      <c r="BT2390" s="73"/>
      <c r="BU2390" s="73"/>
      <c r="BV2390" s="73"/>
      <c r="BW2390" s="73"/>
      <c r="BX2390" s="73"/>
      <c r="BY2390" s="73"/>
      <c r="BZ2390" s="73"/>
      <c r="CA2390" s="73"/>
      <c r="CB2390" s="73"/>
      <c r="CC2390" s="73"/>
      <c r="CD2390" s="73"/>
      <c r="CE2390" s="73"/>
      <c r="CF2390" s="73"/>
      <c r="CG2390" s="73"/>
      <c r="CH2390" s="73"/>
    </row>
    <row r="2391">
      <c r="A2391" s="80"/>
      <c r="B2391" s="80"/>
      <c r="C2391" s="80"/>
      <c r="D2391" s="80"/>
      <c r="E2391" s="124"/>
      <c r="F2391" s="80"/>
      <c r="G2391" s="80"/>
      <c r="H2391" s="80"/>
      <c r="I2391" s="80"/>
      <c r="J2391" s="196"/>
      <c r="K2391" s="196"/>
      <c r="L2391" s="196"/>
      <c r="M2391" s="196"/>
      <c r="N2391" s="196"/>
      <c r="O2391" s="196"/>
      <c r="P2391" s="196"/>
      <c r="Q2391" s="196"/>
      <c r="R2391" s="196"/>
      <c r="S2391" s="196"/>
      <c r="T2391" s="196"/>
      <c r="U2391" s="196"/>
      <c r="V2391" s="196"/>
      <c r="W2391" s="196"/>
      <c r="X2391" s="196"/>
      <c r="Y2391" s="196"/>
      <c r="Z2391" s="196"/>
      <c r="AA2391" s="196"/>
      <c r="AB2391" s="196"/>
      <c r="AC2391" s="196"/>
      <c r="AD2391" s="196"/>
      <c r="AE2391" s="196"/>
      <c r="AF2391" s="196"/>
      <c r="AG2391" s="196"/>
      <c r="AH2391" s="196"/>
      <c r="AI2391" s="196"/>
      <c r="AJ2391" s="197"/>
      <c r="AK2391" s="80"/>
      <c r="AL2391" s="80"/>
      <c r="AM2391" s="73"/>
      <c r="AN2391" s="73"/>
      <c r="AO2391" s="73"/>
      <c r="AP2391" s="73"/>
      <c r="AQ2391" s="73"/>
      <c r="AR2391" s="73"/>
      <c r="AS2391" s="73"/>
      <c r="AT2391" s="73"/>
      <c r="AU2391" s="73"/>
      <c r="AV2391" s="73"/>
      <c r="AW2391" s="73"/>
      <c r="AX2391" s="73"/>
      <c r="AY2391" s="73"/>
      <c r="AZ2391" s="73"/>
      <c r="BA2391" s="73"/>
      <c r="BB2391" s="73"/>
      <c r="BC2391" s="73"/>
      <c r="BD2391" s="73"/>
      <c r="BE2391" s="73"/>
      <c r="BF2391" s="73"/>
      <c r="BG2391" s="73"/>
      <c r="BH2391" s="73"/>
      <c r="BI2391" s="73"/>
      <c r="BJ2391" s="73"/>
      <c r="BK2391" s="73"/>
      <c r="BL2391" s="73"/>
      <c r="BM2391" s="73"/>
      <c r="BN2391" s="73"/>
      <c r="BO2391" s="73"/>
      <c r="BP2391" s="73"/>
      <c r="BQ2391" s="73"/>
      <c r="BR2391" s="73"/>
      <c r="BS2391" s="73"/>
      <c r="BT2391" s="73"/>
      <c r="BU2391" s="73"/>
      <c r="BV2391" s="73"/>
      <c r="BW2391" s="73"/>
      <c r="BX2391" s="73"/>
      <c r="BY2391" s="73"/>
      <c r="BZ2391" s="73"/>
      <c r="CA2391" s="73"/>
      <c r="CB2391" s="73"/>
      <c r="CC2391" s="73"/>
      <c r="CD2391" s="73"/>
      <c r="CE2391" s="73"/>
      <c r="CF2391" s="73"/>
      <c r="CG2391" s="73"/>
      <c r="CH2391" s="73"/>
    </row>
    <row r="2392">
      <c r="A2392" s="80"/>
      <c r="B2392" s="80"/>
      <c r="C2392" s="80"/>
      <c r="D2392" s="80"/>
      <c r="E2392" s="124"/>
      <c r="F2392" s="80"/>
      <c r="G2392" s="80"/>
      <c r="H2392" s="80"/>
      <c r="I2392" s="80"/>
      <c r="J2392" s="196"/>
      <c r="K2392" s="196"/>
      <c r="L2392" s="196"/>
      <c r="M2392" s="196"/>
      <c r="N2392" s="196"/>
      <c r="O2392" s="196"/>
      <c r="P2392" s="196"/>
      <c r="Q2392" s="196"/>
      <c r="R2392" s="196"/>
      <c r="S2392" s="196"/>
      <c r="T2392" s="196"/>
      <c r="U2392" s="196"/>
      <c r="V2392" s="196"/>
      <c r="W2392" s="196"/>
      <c r="X2392" s="196"/>
      <c r="Y2392" s="196"/>
      <c r="Z2392" s="196"/>
      <c r="AA2392" s="196"/>
      <c r="AB2392" s="196"/>
      <c r="AC2392" s="196"/>
      <c r="AD2392" s="196"/>
      <c r="AE2392" s="196"/>
      <c r="AF2392" s="196"/>
      <c r="AG2392" s="196"/>
      <c r="AH2392" s="196"/>
      <c r="AI2392" s="196"/>
      <c r="AJ2392" s="197"/>
      <c r="AK2392" s="80"/>
      <c r="AL2392" s="80"/>
      <c r="AM2392" s="73"/>
      <c r="AN2392" s="73"/>
      <c r="AO2392" s="73"/>
      <c r="AP2392" s="73"/>
      <c r="AQ2392" s="73"/>
      <c r="AR2392" s="73"/>
      <c r="AS2392" s="73"/>
      <c r="AT2392" s="73"/>
      <c r="AU2392" s="73"/>
      <c r="AV2392" s="73"/>
      <c r="AW2392" s="73"/>
      <c r="AX2392" s="73"/>
      <c r="AY2392" s="73"/>
      <c r="AZ2392" s="73"/>
      <c r="BA2392" s="73"/>
      <c r="BB2392" s="73"/>
      <c r="BC2392" s="73"/>
      <c r="BD2392" s="73"/>
      <c r="BE2392" s="73"/>
      <c r="BF2392" s="73"/>
      <c r="BG2392" s="73"/>
      <c r="BH2392" s="73"/>
      <c r="BI2392" s="73"/>
      <c r="BJ2392" s="73"/>
      <c r="BK2392" s="73"/>
      <c r="BL2392" s="73"/>
      <c r="BM2392" s="73"/>
      <c r="BN2392" s="73"/>
      <c r="BO2392" s="73"/>
      <c r="BP2392" s="73"/>
      <c r="BQ2392" s="73"/>
      <c r="BR2392" s="73"/>
      <c r="BS2392" s="73"/>
      <c r="BT2392" s="73"/>
      <c r="BU2392" s="73"/>
      <c r="BV2392" s="73"/>
      <c r="BW2392" s="73"/>
      <c r="BX2392" s="73"/>
      <c r="BY2392" s="73"/>
      <c r="BZ2392" s="73"/>
      <c r="CA2392" s="73"/>
      <c r="CB2392" s="73"/>
      <c r="CC2392" s="73"/>
      <c r="CD2392" s="73"/>
      <c r="CE2392" s="73"/>
      <c r="CF2392" s="73"/>
      <c r="CG2392" s="73"/>
      <c r="CH2392" s="73"/>
    </row>
    <row r="2393">
      <c r="A2393" s="80"/>
      <c r="B2393" s="80"/>
      <c r="C2393" s="80"/>
      <c r="D2393" s="80"/>
      <c r="E2393" s="124"/>
      <c r="F2393" s="80"/>
      <c r="G2393" s="80"/>
      <c r="H2393" s="80"/>
      <c r="I2393" s="80"/>
      <c r="J2393" s="196"/>
      <c r="K2393" s="196"/>
      <c r="L2393" s="196"/>
      <c r="M2393" s="196"/>
      <c r="N2393" s="196"/>
      <c r="O2393" s="196"/>
      <c r="P2393" s="196"/>
      <c r="Q2393" s="196"/>
      <c r="R2393" s="196"/>
      <c r="S2393" s="196"/>
      <c r="T2393" s="196"/>
      <c r="U2393" s="196"/>
      <c r="V2393" s="196"/>
      <c r="W2393" s="196"/>
      <c r="X2393" s="196"/>
      <c r="Y2393" s="196"/>
      <c r="Z2393" s="196"/>
      <c r="AA2393" s="196"/>
      <c r="AB2393" s="196"/>
      <c r="AC2393" s="196"/>
      <c r="AD2393" s="196"/>
      <c r="AE2393" s="196"/>
      <c r="AF2393" s="196"/>
      <c r="AG2393" s="196"/>
      <c r="AH2393" s="196"/>
      <c r="AI2393" s="196"/>
      <c r="AJ2393" s="197"/>
      <c r="AK2393" s="80"/>
      <c r="AL2393" s="80"/>
      <c r="AM2393" s="73"/>
      <c r="AN2393" s="73"/>
      <c r="AO2393" s="73"/>
      <c r="AP2393" s="73"/>
      <c r="AQ2393" s="73"/>
      <c r="AR2393" s="73"/>
      <c r="AS2393" s="73"/>
      <c r="AT2393" s="73"/>
      <c r="AU2393" s="73"/>
      <c r="AV2393" s="73"/>
      <c r="AW2393" s="73"/>
      <c r="AX2393" s="73"/>
      <c r="AY2393" s="73"/>
      <c r="AZ2393" s="73"/>
      <c r="BA2393" s="73"/>
      <c r="BB2393" s="73"/>
      <c r="BC2393" s="73"/>
      <c r="BD2393" s="73"/>
      <c r="BE2393" s="73"/>
      <c r="BF2393" s="73"/>
      <c r="BG2393" s="73"/>
      <c r="BH2393" s="73"/>
      <c r="BI2393" s="73"/>
      <c r="BJ2393" s="73"/>
      <c r="BK2393" s="73"/>
      <c r="BL2393" s="73"/>
      <c r="BM2393" s="73"/>
      <c r="BN2393" s="73"/>
      <c r="BO2393" s="73"/>
      <c r="BP2393" s="73"/>
      <c r="BQ2393" s="73"/>
      <c r="BR2393" s="73"/>
      <c r="BS2393" s="73"/>
      <c r="BT2393" s="73"/>
      <c r="BU2393" s="73"/>
      <c r="BV2393" s="73"/>
      <c r="BW2393" s="73"/>
      <c r="BX2393" s="73"/>
      <c r="BY2393" s="73"/>
      <c r="BZ2393" s="73"/>
      <c r="CA2393" s="73"/>
      <c r="CB2393" s="73"/>
      <c r="CC2393" s="73"/>
      <c r="CD2393" s="73"/>
      <c r="CE2393" s="73"/>
      <c r="CF2393" s="73"/>
      <c r="CG2393" s="73"/>
      <c r="CH2393" s="73"/>
    </row>
    <row r="2394">
      <c r="A2394" s="80"/>
      <c r="B2394" s="80"/>
      <c r="C2394" s="80"/>
      <c r="D2394" s="80"/>
      <c r="E2394" s="124"/>
      <c r="F2394" s="80"/>
      <c r="G2394" s="80"/>
      <c r="H2394" s="80"/>
      <c r="I2394" s="80"/>
      <c r="J2394" s="196"/>
      <c r="K2394" s="196"/>
      <c r="L2394" s="196"/>
      <c r="M2394" s="196"/>
      <c r="N2394" s="196"/>
      <c r="O2394" s="196"/>
      <c r="P2394" s="196"/>
      <c r="Q2394" s="196"/>
      <c r="R2394" s="196"/>
      <c r="S2394" s="196"/>
      <c r="T2394" s="196"/>
      <c r="U2394" s="196"/>
      <c r="V2394" s="196"/>
      <c r="W2394" s="196"/>
      <c r="X2394" s="196"/>
      <c r="Y2394" s="196"/>
      <c r="Z2394" s="196"/>
      <c r="AA2394" s="196"/>
      <c r="AB2394" s="196"/>
      <c r="AC2394" s="196"/>
      <c r="AD2394" s="196"/>
      <c r="AE2394" s="196"/>
      <c r="AF2394" s="196"/>
      <c r="AG2394" s="196"/>
      <c r="AH2394" s="196"/>
      <c r="AI2394" s="196"/>
      <c r="AJ2394" s="197"/>
      <c r="AK2394" s="80"/>
      <c r="AL2394" s="80"/>
      <c r="AM2394" s="73"/>
      <c r="AN2394" s="73"/>
      <c r="AO2394" s="73"/>
      <c r="AP2394" s="73"/>
      <c r="AQ2394" s="73"/>
      <c r="AR2394" s="73"/>
      <c r="AS2394" s="73"/>
      <c r="AT2394" s="73"/>
      <c r="AU2394" s="73"/>
      <c r="AV2394" s="73"/>
      <c r="AW2394" s="73"/>
      <c r="AX2394" s="73"/>
      <c r="AY2394" s="73"/>
      <c r="AZ2394" s="73"/>
      <c r="BA2394" s="73"/>
      <c r="BB2394" s="73"/>
      <c r="BC2394" s="73"/>
      <c r="BD2394" s="73"/>
      <c r="BE2394" s="73"/>
      <c r="BF2394" s="73"/>
      <c r="BG2394" s="73"/>
      <c r="BH2394" s="73"/>
      <c r="BI2394" s="73"/>
      <c r="BJ2394" s="73"/>
      <c r="BK2394" s="73"/>
      <c r="BL2394" s="73"/>
      <c r="BM2394" s="73"/>
      <c r="BN2394" s="73"/>
      <c r="BO2394" s="73"/>
      <c r="BP2394" s="73"/>
      <c r="BQ2394" s="73"/>
      <c r="BR2394" s="73"/>
      <c r="BS2394" s="73"/>
      <c r="BT2394" s="73"/>
      <c r="BU2394" s="73"/>
      <c r="BV2394" s="73"/>
      <c r="BW2394" s="73"/>
      <c r="BX2394" s="73"/>
      <c r="BY2394" s="73"/>
      <c r="BZ2394" s="73"/>
      <c r="CA2394" s="73"/>
      <c r="CB2394" s="73"/>
      <c r="CC2394" s="73"/>
      <c r="CD2394" s="73"/>
      <c r="CE2394" s="73"/>
      <c r="CF2394" s="73"/>
      <c r="CG2394" s="73"/>
      <c r="CH2394" s="73"/>
    </row>
    <row r="2395">
      <c r="A2395" s="80"/>
      <c r="B2395" s="80"/>
      <c r="C2395" s="80"/>
      <c r="D2395" s="80"/>
      <c r="E2395" s="124"/>
      <c r="F2395" s="80"/>
      <c r="G2395" s="80"/>
      <c r="H2395" s="80"/>
      <c r="I2395" s="80"/>
      <c r="J2395" s="196"/>
      <c r="K2395" s="196"/>
      <c r="L2395" s="196"/>
      <c r="M2395" s="196"/>
      <c r="N2395" s="196"/>
      <c r="O2395" s="196"/>
      <c r="P2395" s="196"/>
      <c r="Q2395" s="196"/>
      <c r="R2395" s="196"/>
      <c r="S2395" s="196"/>
      <c r="T2395" s="196"/>
      <c r="U2395" s="196"/>
      <c r="V2395" s="196"/>
      <c r="W2395" s="196"/>
      <c r="X2395" s="196"/>
      <c r="Y2395" s="196"/>
      <c r="Z2395" s="196"/>
      <c r="AA2395" s="196"/>
      <c r="AB2395" s="196"/>
      <c r="AC2395" s="196"/>
      <c r="AD2395" s="196"/>
      <c r="AE2395" s="196"/>
      <c r="AF2395" s="196"/>
      <c r="AG2395" s="196"/>
      <c r="AH2395" s="196"/>
      <c r="AI2395" s="196"/>
      <c r="AJ2395" s="197"/>
      <c r="AK2395" s="80"/>
      <c r="AL2395" s="80"/>
      <c r="AM2395" s="73"/>
      <c r="AN2395" s="73"/>
      <c r="AO2395" s="73"/>
      <c r="AP2395" s="73"/>
      <c r="AQ2395" s="73"/>
      <c r="AR2395" s="73"/>
      <c r="AS2395" s="73"/>
      <c r="AT2395" s="73"/>
      <c r="AU2395" s="73"/>
      <c r="AV2395" s="73"/>
      <c r="AW2395" s="73"/>
      <c r="AX2395" s="73"/>
      <c r="AY2395" s="73"/>
      <c r="AZ2395" s="73"/>
      <c r="BA2395" s="73"/>
      <c r="BB2395" s="73"/>
      <c r="BC2395" s="73"/>
      <c r="BD2395" s="73"/>
      <c r="BE2395" s="73"/>
      <c r="BF2395" s="73"/>
      <c r="BG2395" s="73"/>
      <c r="BH2395" s="73"/>
      <c r="BI2395" s="73"/>
      <c r="BJ2395" s="73"/>
      <c r="BK2395" s="73"/>
      <c r="BL2395" s="73"/>
      <c r="BM2395" s="73"/>
      <c r="BN2395" s="73"/>
      <c r="BO2395" s="73"/>
      <c r="BP2395" s="73"/>
      <c r="BQ2395" s="73"/>
      <c r="BR2395" s="73"/>
      <c r="BS2395" s="73"/>
      <c r="BT2395" s="73"/>
      <c r="BU2395" s="73"/>
      <c r="BV2395" s="73"/>
      <c r="BW2395" s="73"/>
      <c r="BX2395" s="73"/>
      <c r="BY2395" s="73"/>
      <c r="BZ2395" s="73"/>
      <c r="CA2395" s="73"/>
      <c r="CB2395" s="73"/>
      <c r="CC2395" s="73"/>
      <c r="CD2395" s="73"/>
      <c r="CE2395" s="73"/>
      <c r="CF2395" s="73"/>
      <c r="CG2395" s="73"/>
      <c r="CH2395" s="73"/>
    </row>
    <row r="2396">
      <c r="A2396" s="80"/>
      <c r="B2396" s="80"/>
      <c r="C2396" s="80"/>
      <c r="D2396" s="80"/>
      <c r="E2396" s="124"/>
      <c r="F2396" s="80"/>
      <c r="G2396" s="80"/>
      <c r="H2396" s="80"/>
      <c r="I2396" s="80"/>
      <c r="J2396" s="196"/>
      <c r="K2396" s="196"/>
      <c r="L2396" s="196"/>
      <c r="M2396" s="196"/>
      <c r="N2396" s="196"/>
      <c r="O2396" s="196"/>
      <c r="P2396" s="196"/>
      <c r="Q2396" s="196"/>
      <c r="R2396" s="196"/>
      <c r="S2396" s="196"/>
      <c r="T2396" s="196"/>
      <c r="U2396" s="196"/>
      <c r="V2396" s="196"/>
      <c r="W2396" s="196"/>
      <c r="X2396" s="196"/>
      <c r="Y2396" s="196"/>
      <c r="Z2396" s="196"/>
      <c r="AA2396" s="196"/>
      <c r="AB2396" s="196"/>
      <c r="AC2396" s="196"/>
      <c r="AD2396" s="196"/>
      <c r="AE2396" s="196"/>
      <c r="AF2396" s="196"/>
      <c r="AG2396" s="196"/>
      <c r="AH2396" s="196"/>
      <c r="AI2396" s="196"/>
      <c r="AJ2396" s="197"/>
      <c r="AK2396" s="80"/>
      <c r="AL2396" s="80"/>
      <c r="AM2396" s="73"/>
      <c r="AN2396" s="73"/>
      <c r="AO2396" s="73"/>
      <c r="AP2396" s="73"/>
      <c r="AQ2396" s="73"/>
      <c r="AR2396" s="73"/>
      <c r="AS2396" s="73"/>
      <c r="AT2396" s="73"/>
      <c r="AU2396" s="73"/>
      <c r="AV2396" s="73"/>
      <c r="AW2396" s="73"/>
      <c r="AX2396" s="73"/>
      <c r="AY2396" s="73"/>
      <c r="AZ2396" s="73"/>
      <c r="BA2396" s="73"/>
      <c r="BB2396" s="73"/>
      <c r="BC2396" s="73"/>
      <c r="BD2396" s="73"/>
      <c r="BE2396" s="73"/>
      <c r="BF2396" s="73"/>
      <c r="BG2396" s="73"/>
      <c r="BH2396" s="73"/>
      <c r="BI2396" s="73"/>
      <c r="BJ2396" s="73"/>
      <c r="BK2396" s="73"/>
      <c r="BL2396" s="73"/>
      <c r="BM2396" s="73"/>
      <c r="BN2396" s="73"/>
      <c r="BO2396" s="73"/>
      <c r="BP2396" s="73"/>
      <c r="BQ2396" s="73"/>
      <c r="BR2396" s="73"/>
      <c r="BS2396" s="73"/>
      <c r="BT2396" s="73"/>
      <c r="BU2396" s="73"/>
      <c r="BV2396" s="73"/>
      <c r="BW2396" s="73"/>
      <c r="BX2396" s="73"/>
      <c r="BY2396" s="73"/>
      <c r="BZ2396" s="73"/>
      <c r="CA2396" s="73"/>
      <c r="CB2396" s="73"/>
      <c r="CC2396" s="73"/>
      <c r="CD2396" s="73"/>
      <c r="CE2396" s="73"/>
      <c r="CF2396" s="73"/>
      <c r="CG2396" s="73"/>
      <c r="CH2396" s="73"/>
    </row>
    <row r="2397">
      <c r="A2397" s="80"/>
      <c r="B2397" s="80"/>
      <c r="C2397" s="80"/>
      <c r="D2397" s="80"/>
      <c r="E2397" s="124"/>
      <c r="F2397" s="80"/>
      <c r="G2397" s="80"/>
      <c r="H2397" s="80"/>
      <c r="I2397" s="80"/>
      <c r="J2397" s="196"/>
      <c r="K2397" s="196"/>
      <c r="L2397" s="196"/>
      <c r="M2397" s="196"/>
      <c r="N2397" s="196"/>
      <c r="O2397" s="196"/>
      <c r="P2397" s="196"/>
      <c r="Q2397" s="196"/>
      <c r="R2397" s="196"/>
      <c r="S2397" s="196"/>
      <c r="T2397" s="196"/>
      <c r="U2397" s="196"/>
      <c r="V2397" s="196"/>
      <c r="W2397" s="196"/>
      <c r="X2397" s="196"/>
      <c r="Y2397" s="196"/>
      <c r="Z2397" s="196"/>
      <c r="AA2397" s="196"/>
      <c r="AB2397" s="196"/>
      <c r="AC2397" s="196"/>
      <c r="AD2397" s="196"/>
      <c r="AE2397" s="196"/>
      <c r="AF2397" s="196"/>
      <c r="AG2397" s="196"/>
      <c r="AH2397" s="196"/>
      <c r="AI2397" s="196"/>
      <c r="AJ2397" s="197"/>
      <c r="AK2397" s="80"/>
      <c r="AL2397" s="80"/>
      <c r="AM2397" s="73"/>
      <c r="AN2397" s="73"/>
      <c r="AO2397" s="73"/>
      <c r="AP2397" s="73"/>
      <c r="AQ2397" s="73"/>
      <c r="AR2397" s="73"/>
      <c r="AS2397" s="73"/>
      <c r="AT2397" s="73"/>
      <c r="AU2397" s="73"/>
      <c r="AV2397" s="73"/>
      <c r="AW2397" s="73"/>
      <c r="AX2397" s="73"/>
      <c r="AY2397" s="73"/>
      <c r="AZ2397" s="73"/>
      <c r="BA2397" s="73"/>
      <c r="BB2397" s="73"/>
      <c r="BC2397" s="73"/>
      <c r="BD2397" s="73"/>
      <c r="BE2397" s="73"/>
      <c r="BF2397" s="73"/>
      <c r="BG2397" s="73"/>
      <c r="BH2397" s="73"/>
      <c r="BI2397" s="73"/>
      <c r="BJ2397" s="73"/>
      <c r="BK2397" s="73"/>
      <c r="BL2397" s="73"/>
      <c r="BM2397" s="73"/>
      <c r="BN2397" s="73"/>
      <c r="BO2397" s="73"/>
      <c r="BP2397" s="73"/>
      <c r="BQ2397" s="73"/>
      <c r="BR2397" s="73"/>
      <c r="BS2397" s="73"/>
      <c r="BT2397" s="73"/>
      <c r="BU2397" s="73"/>
      <c r="BV2397" s="73"/>
      <c r="BW2397" s="73"/>
      <c r="BX2397" s="73"/>
      <c r="BY2397" s="73"/>
      <c r="BZ2397" s="73"/>
      <c r="CA2397" s="73"/>
      <c r="CB2397" s="73"/>
      <c r="CC2397" s="73"/>
      <c r="CD2397" s="73"/>
      <c r="CE2397" s="73"/>
      <c r="CF2397" s="73"/>
      <c r="CG2397" s="73"/>
      <c r="CH2397" s="73"/>
    </row>
    <row r="2398">
      <c r="A2398" s="80"/>
      <c r="B2398" s="80"/>
      <c r="C2398" s="80"/>
      <c r="D2398" s="80"/>
      <c r="E2398" s="124"/>
      <c r="F2398" s="80"/>
      <c r="G2398" s="80"/>
      <c r="H2398" s="80"/>
      <c r="I2398" s="80"/>
      <c r="J2398" s="196"/>
      <c r="K2398" s="196"/>
      <c r="L2398" s="196"/>
      <c r="M2398" s="196"/>
      <c r="N2398" s="196"/>
      <c r="O2398" s="196"/>
      <c r="P2398" s="196"/>
      <c r="Q2398" s="196"/>
      <c r="R2398" s="196"/>
      <c r="S2398" s="196"/>
      <c r="T2398" s="196"/>
      <c r="U2398" s="196"/>
      <c r="V2398" s="196"/>
      <c r="W2398" s="196"/>
      <c r="X2398" s="196"/>
      <c r="Y2398" s="196"/>
      <c r="Z2398" s="196"/>
      <c r="AA2398" s="196"/>
      <c r="AB2398" s="196"/>
      <c r="AC2398" s="196"/>
      <c r="AD2398" s="196"/>
      <c r="AE2398" s="196"/>
      <c r="AF2398" s="196"/>
      <c r="AG2398" s="196"/>
      <c r="AH2398" s="196"/>
      <c r="AI2398" s="196"/>
      <c r="AJ2398" s="197"/>
      <c r="AK2398" s="80"/>
      <c r="AL2398" s="80"/>
      <c r="AM2398" s="73"/>
      <c r="AN2398" s="73"/>
      <c r="AO2398" s="73"/>
      <c r="AP2398" s="73"/>
      <c r="AQ2398" s="73"/>
      <c r="AR2398" s="73"/>
      <c r="AS2398" s="73"/>
      <c r="AT2398" s="73"/>
      <c r="AU2398" s="73"/>
      <c r="AV2398" s="73"/>
      <c r="AW2398" s="73"/>
      <c r="AX2398" s="73"/>
      <c r="AY2398" s="73"/>
      <c r="AZ2398" s="73"/>
      <c r="BA2398" s="73"/>
      <c r="BB2398" s="73"/>
      <c r="BC2398" s="73"/>
      <c r="BD2398" s="73"/>
      <c r="BE2398" s="73"/>
      <c r="BF2398" s="73"/>
      <c r="BG2398" s="73"/>
      <c r="BH2398" s="73"/>
      <c r="BI2398" s="73"/>
      <c r="BJ2398" s="73"/>
      <c r="BK2398" s="73"/>
      <c r="BL2398" s="73"/>
      <c r="BM2398" s="73"/>
      <c r="BN2398" s="73"/>
      <c r="BO2398" s="73"/>
      <c r="BP2398" s="73"/>
      <c r="BQ2398" s="73"/>
      <c r="BR2398" s="73"/>
      <c r="BS2398" s="73"/>
      <c r="BT2398" s="73"/>
      <c r="BU2398" s="73"/>
      <c r="BV2398" s="73"/>
      <c r="BW2398" s="73"/>
      <c r="BX2398" s="73"/>
      <c r="BY2398" s="73"/>
      <c r="BZ2398" s="73"/>
      <c r="CA2398" s="73"/>
      <c r="CB2398" s="73"/>
      <c r="CC2398" s="73"/>
      <c r="CD2398" s="73"/>
      <c r="CE2398" s="73"/>
      <c r="CF2398" s="73"/>
      <c r="CG2398" s="73"/>
      <c r="CH2398" s="73"/>
    </row>
    <row r="2399">
      <c r="A2399" s="80"/>
      <c r="B2399" s="80"/>
      <c r="C2399" s="80"/>
      <c r="D2399" s="80"/>
      <c r="E2399" s="124"/>
      <c r="F2399" s="80"/>
      <c r="G2399" s="80"/>
      <c r="H2399" s="80"/>
      <c r="I2399" s="80"/>
      <c r="J2399" s="196"/>
      <c r="K2399" s="196"/>
      <c r="L2399" s="196"/>
      <c r="M2399" s="196"/>
      <c r="N2399" s="196"/>
      <c r="O2399" s="196"/>
      <c r="P2399" s="196"/>
      <c r="Q2399" s="196"/>
      <c r="R2399" s="196"/>
      <c r="S2399" s="196"/>
      <c r="T2399" s="196"/>
      <c r="U2399" s="196"/>
      <c r="V2399" s="196"/>
      <c r="W2399" s="196"/>
      <c r="X2399" s="196"/>
      <c r="Y2399" s="196"/>
      <c r="Z2399" s="196"/>
      <c r="AA2399" s="196"/>
      <c r="AB2399" s="196"/>
      <c r="AC2399" s="196"/>
      <c r="AD2399" s="196"/>
      <c r="AE2399" s="196"/>
      <c r="AF2399" s="196"/>
      <c r="AG2399" s="196"/>
      <c r="AH2399" s="196"/>
      <c r="AI2399" s="196"/>
      <c r="AJ2399" s="197"/>
      <c r="AK2399" s="80"/>
      <c r="AL2399" s="80"/>
      <c r="AM2399" s="73"/>
      <c r="AN2399" s="73"/>
      <c r="AO2399" s="73"/>
      <c r="AP2399" s="73"/>
      <c r="AQ2399" s="73"/>
      <c r="AR2399" s="73"/>
      <c r="AS2399" s="73"/>
      <c r="AT2399" s="73"/>
      <c r="AU2399" s="73"/>
      <c r="AV2399" s="73"/>
      <c r="AW2399" s="73"/>
      <c r="AX2399" s="73"/>
      <c r="AY2399" s="73"/>
      <c r="AZ2399" s="73"/>
      <c r="BA2399" s="73"/>
      <c r="BB2399" s="73"/>
      <c r="BC2399" s="73"/>
      <c r="BD2399" s="73"/>
      <c r="BE2399" s="73"/>
      <c r="BF2399" s="73"/>
      <c r="BG2399" s="73"/>
      <c r="BH2399" s="73"/>
      <c r="BI2399" s="73"/>
      <c r="BJ2399" s="73"/>
      <c r="BK2399" s="73"/>
      <c r="BL2399" s="73"/>
      <c r="BM2399" s="73"/>
      <c r="BN2399" s="73"/>
      <c r="BO2399" s="73"/>
      <c r="BP2399" s="73"/>
      <c r="BQ2399" s="73"/>
      <c r="BR2399" s="73"/>
      <c r="BS2399" s="73"/>
      <c r="BT2399" s="73"/>
      <c r="BU2399" s="73"/>
      <c r="BV2399" s="73"/>
      <c r="BW2399" s="73"/>
      <c r="BX2399" s="73"/>
      <c r="BY2399" s="73"/>
      <c r="BZ2399" s="73"/>
      <c r="CA2399" s="73"/>
      <c r="CB2399" s="73"/>
      <c r="CC2399" s="73"/>
      <c r="CD2399" s="73"/>
      <c r="CE2399" s="73"/>
      <c r="CF2399" s="73"/>
      <c r="CG2399" s="73"/>
      <c r="CH2399" s="73"/>
    </row>
    <row r="2400">
      <c r="A2400" s="80"/>
      <c r="B2400" s="80"/>
      <c r="C2400" s="80"/>
      <c r="D2400" s="80"/>
      <c r="E2400" s="124"/>
      <c r="F2400" s="80"/>
      <c r="G2400" s="80"/>
      <c r="H2400" s="80"/>
      <c r="I2400" s="80"/>
      <c r="J2400" s="196"/>
      <c r="K2400" s="196"/>
      <c r="L2400" s="196"/>
      <c r="M2400" s="196"/>
      <c r="N2400" s="196"/>
      <c r="O2400" s="196"/>
      <c r="P2400" s="196"/>
      <c r="Q2400" s="196"/>
      <c r="R2400" s="196"/>
      <c r="S2400" s="196"/>
      <c r="T2400" s="196"/>
      <c r="U2400" s="196"/>
      <c r="V2400" s="196"/>
      <c r="W2400" s="196"/>
      <c r="X2400" s="196"/>
      <c r="Y2400" s="196"/>
      <c r="Z2400" s="196"/>
      <c r="AA2400" s="196"/>
      <c r="AB2400" s="196"/>
      <c r="AC2400" s="196"/>
      <c r="AD2400" s="196"/>
      <c r="AE2400" s="196"/>
      <c r="AF2400" s="196"/>
      <c r="AG2400" s="196"/>
      <c r="AH2400" s="196"/>
      <c r="AI2400" s="196"/>
      <c r="AJ2400" s="197"/>
      <c r="AK2400" s="80"/>
      <c r="AL2400" s="80"/>
      <c r="AM2400" s="73"/>
      <c r="AN2400" s="73"/>
      <c r="AO2400" s="73"/>
      <c r="AP2400" s="73"/>
      <c r="AQ2400" s="73"/>
      <c r="AR2400" s="73"/>
      <c r="AS2400" s="73"/>
      <c r="AT2400" s="73"/>
      <c r="AU2400" s="73"/>
      <c r="AV2400" s="73"/>
      <c r="AW2400" s="73"/>
      <c r="AX2400" s="73"/>
      <c r="AY2400" s="73"/>
      <c r="AZ2400" s="73"/>
      <c r="BA2400" s="73"/>
      <c r="BB2400" s="73"/>
      <c r="BC2400" s="73"/>
      <c r="BD2400" s="73"/>
      <c r="BE2400" s="73"/>
      <c r="BF2400" s="73"/>
      <c r="BG2400" s="73"/>
      <c r="BH2400" s="73"/>
      <c r="BI2400" s="73"/>
      <c r="BJ2400" s="73"/>
      <c r="BK2400" s="73"/>
      <c r="BL2400" s="73"/>
      <c r="BM2400" s="73"/>
      <c r="BN2400" s="73"/>
      <c r="BO2400" s="73"/>
      <c r="BP2400" s="73"/>
      <c r="BQ2400" s="73"/>
      <c r="BR2400" s="73"/>
      <c r="BS2400" s="73"/>
      <c r="BT2400" s="73"/>
      <c r="BU2400" s="73"/>
      <c r="BV2400" s="73"/>
      <c r="BW2400" s="73"/>
      <c r="BX2400" s="73"/>
      <c r="BY2400" s="73"/>
      <c r="BZ2400" s="73"/>
      <c r="CA2400" s="73"/>
      <c r="CB2400" s="73"/>
      <c r="CC2400" s="73"/>
      <c r="CD2400" s="73"/>
      <c r="CE2400" s="73"/>
      <c r="CF2400" s="73"/>
      <c r="CG2400" s="73"/>
      <c r="CH2400" s="73"/>
    </row>
    <row r="2401">
      <c r="A2401" s="80"/>
      <c r="B2401" s="80"/>
      <c r="C2401" s="80"/>
      <c r="D2401" s="80"/>
      <c r="E2401" s="124"/>
      <c r="F2401" s="80"/>
      <c r="G2401" s="80"/>
      <c r="H2401" s="80"/>
      <c r="I2401" s="80"/>
      <c r="J2401" s="196"/>
      <c r="K2401" s="196"/>
      <c r="L2401" s="196"/>
      <c r="M2401" s="196"/>
      <c r="N2401" s="196"/>
      <c r="O2401" s="196"/>
      <c r="P2401" s="196"/>
      <c r="Q2401" s="196"/>
      <c r="R2401" s="196"/>
      <c r="S2401" s="196"/>
      <c r="T2401" s="196"/>
      <c r="U2401" s="196"/>
      <c r="V2401" s="196"/>
      <c r="W2401" s="196"/>
      <c r="X2401" s="196"/>
      <c r="Y2401" s="196"/>
      <c r="Z2401" s="196"/>
      <c r="AA2401" s="196"/>
      <c r="AB2401" s="196"/>
      <c r="AC2401" s="196"/>
      <c r="AD2401" s="196"/>
      <c r="AE2401" s="196"/>
      <c r="AF2401" s="196"/>
      <c r="AG2401" s="196"/>
      <c r="AH2401" s="196"/>
      <c r="AI2401" s="196"/>
      <c r="AJ2401" s="197"/>
      <c r="AK2401" s="80"/>
      <c r="AL2401" s="80"/>
      <c r="AM2401" s="73"/>
      <c r="AN2401" s="73"/>
      <c r="AO2401" s="73"/>
      <c r="AP2401" s="73"/>
      <c r="AQ2401" s="73"/>
      <c r="AR2401" s="73"/>
      <c r="AS2401" s="73"/>
      <c r="AT2401" s="73"/>
      <c r="AU2401" s="73"/>
      <c r="AV2401" s="73"/>
      <c r="AW2401" s="73"/>
      <c r="AX2401" s="73"/>
      <c r="AY2401" s="73"/>
      <c r="AZ2401" s="73"/>
      <c r="BA2401" s="73"/>
      <c r="BB2401" s="73"/>
      <c r="BC2401" s="73"/>
      <c r="BD2401" s="73"/>
      <c r="BE2401" s="73"/>
      <c r="BF2401" s="73"/>
      <c r="BG2401" s="73"/>
      <c r="BH2401" s="73"/>
      <c r="BI2401" s="73"/>
      <c r="BJ2401" s="73"/>
      <c r="BK2401" s="73"/>
      <c r="BL2401" s="73"/>
      <c r="BM2401" s="73"/>
      <c r="BN2401" s="73"/>
      <c r="BO2401" s="73"/>
      <c r="BP2401" s="73"/>
      <c r="BQ2401" s="73"/>
      <c r="BR2401" s="73"/>
      <c r="BS2401" s="73"/>
      <c r="BT2401" s="73"/>
      <c r="BU2401" s="73"/>
      <c r="BV2401" s="73"/>
      <c r="BW2401" s="73"/>
      <c r="BX2401" s="73"/>
      <c r="BY2401" s="73"/>
      <c r="BZ2401" s="73"/>
      <c r="CA2401" s="73"/>
      <c r="CB2401" s="73"/>
      <c r="CC2401" s="73"/>
      <c r="CD2401" s="73"/>
      <c r="CE2401" s="73"/>
      <c r="CF2401" s="73"/>
      <c r="CG2401" s="73"/>
      <c r="CH2401" s="73"/>
    </row>
    <row r="2402">
      <c r="A2402" s="80"/>
      <c r="B2402" s="80"/>
      <c r="C2402" s="80"/>
      <c r="D2402" s="80"/>
      <c r="E2402" s="124"/>
      <c r="F2402" s="80"/>
      <c r="G2402" s="80"/>
      <c r="H2402" s="80"/>
      <c r="I2402" s="80"/>
      <c r="J2402" s="196"/>
      <c r="K2402" s="196"/>
      <c r="L2402" s="196"/>
      <c r="M2402" s="196"/>
      <c r="N2402" s="196"/>
      <c r="O2402" s="196"/>
      <c r="P2402" s="196"/>
      <c r="Q2402" s="196"/>
      <c r="R2402" s="196"/>
      <c r="S2402" s="196"/>
      <c r="T2402" s="196"/>
      <c r="U2402" s="196"/>
      <c r="V2402" s="196"/>
      <c r="W2402" s="196"/>
      <c r="X2402" s="196"/>
      <c r="Y2402" s="196"/>
      <c r="Z2402" s="196"/>
      <c r="AA2402" s="196"/>
      <c r="AB2402" s="196"/>
      <c r="AC2402" s="196"/>
      <c r="AD2402" s="196"/>
      <c r="AE2402" s="196"/>
      <c r="AF2402" s="196"/>
      <c r="AG2402" s="196"/>
      <c r="AH2402" s="196"/>
      <c r="AI2402" s="196"/>
      <c r="AJ2402" s="197"/>
      <c r="AK2402" s="80"/>
      <c r="AL2402" s="80"/>
      <c r="AM2402" s="73"/>
      <c r="AN2402" s="73"/>
      <c r="AO2402" s="73"/>
      <c r="AP2402" s="73"/>
      <c r="AQ2402" s="73"/>
      <c r="AR2402" s="73"/>
      <c r="AS2402" s="73"/>
      <c r="AT2402" s="73"/>
      <c r="AU2402" s="73"/>
      <c r="AV2402" s="73"/>
      <c r="AW2402" s="73"/>
      <c r="AX2402" s="73"/>
      <c r="AY2402" s="73"/>
      <c r="AZ2402" s="73"/>
      <c r="BA2402" s="73"/>
      <c r="BB2402" s="73"/>
      <c r="BC2402" s="73"/>
      <c r="BD2402" s="73"/>
      <c r="BE2402" s="73"/>
      <c r="BF2402" s="73"/>
      <c r="BG2402" s="73"/>
      <c r="BH2402" s="73"/>
      <c r="BI2402" s="73"/>
      <c r="BJ2402" s="73"/>
      <c r="BK2402" s="73"/>
      <c r="BL2402" s="73"/>
      <c r="BM2402" s="73"/>
      <c r="BN2402" s="73"/>
      <c r="BO2402" s="73"/>
      <c r="BP2402" s="73"/>
      <c r="BQ2402" s="73"/>
      <c r="BR2402" s="73"/>
      <c r="BS2402" s="73"/>
      <c r="BT2402" s="73"/>
      <c r="BU2402" s="73"/>
      <c r="BV2402" s="73"/>
      <c r="BW2402" s="73"/>
      <c r="BX2402" s="73"/>
      <c r="BY2402" s="73"/>
      <c r="BZ2402" s="73"/>
      <c r="CA2402" s="73"/>
      <c r="CB2402" s="73"/>
      <c r="CC2402" s="73"/>
      <c r="CD2402" s="73"/>
      <c r="CE2402" s="73"/>
      <c r="CF2402" s="73"/>
      <c r="CG2402" s="73"/>
      <c r="CH2402" s="73"/>
    </row>
    <row r="2403">
      <c r="A2403" s="80"/>
      <c r="B2403" s="80"/>
      <c r="C2403" s="80"/>
      <c r="D2403" s="80"/>
      <c r="E2403" s="124"/>
      <c r="F2403" s="80"/>
      <c r="G2403" s="80"/>
      <c r="H2403" s="80"/>
      <c r="I2403" s="80"/>
      <c r="J2403" s="196"/>
      <c r="K2403" s="196"/>
      <c r="L2403" s="196"/>
      <c r="M2403" s="196"/>
      <c r="N2403" s="196"/>
      <c r="O2403" s="196"/>
      <c r="P2403" s="196"/>
      <c r="Q2403" s="196"/>
      <c r="R2403" s="196"/>
      <c r="S2403" s="196"/>
      <c r="T2403" s="196"/>
      <c r="U2403" s="196"/>
      <c r="V2403" s="196"/>
      <c r="W2403" s="196"/>
      <c r="X2403" s="196"/>
      <c r="Y2403" s="196"/>
      <c r="Z2403" s="196"/>
      <c r="AA2403" s="196"/>
      <c r="AB2403" s="196"/>
      <c r="AC2403" s="196"/>
      <c r="AD2403" s="196"/>
      <c r="AE2403" s="196"/>
      <c r="AF2403" s="196"/>
      <c r="AG2403" s="196"/>
      <c r="AH2403" s="196"/>
      <c r="AI2403" s="196"/>
      <c r="AJ2403" s="197"/>
      <c r="AK2403" s="80"/>
      <c r="AL2403" s="80"/>
      <c r="AM2403" s="73"/>
      <c r="AN2403" s="73"/>
      <c r="AO2403" s="73"/>
      <c r="AP2403" s="73"/>
      <c r="AQ2403" s="73"/>
      <c r="AR2403" s="73"/>
      <c r="AS2403" s="73"/>
      <c r="AT2403" s="73"/>
      <c r="AU2403" s="73"/>
      <c r="AV2403" s="73"/>
      <c r="AW2403" s="73"/>
      <c r="AX2403" s="73"/>
      <c r="AY2403" s="73"/>
      <c r="AZ2403" s="73"/>
      <c r="BA2403" s="73"/>
      <c r="BB2403" s="73"/>
      <c r="BC2403" s="73"/>
      <c r="BD2403" s="73"/>
      <c r="BE2403" s="73"/>
      <c r="BF2403" s="73"/>
      <c r="BG2403" s="73"/>
      <c r="BH2403" s="73"/>
      <c r="BI2403" s="73"/>
      <c r="BJ2403" s="73"/>
      <c r="BK2403" s="73"/>
      <c r="BL2403" s="73"/>
      <c r="BM2403" s="73"/>
      <c r="BN2403" s="73"/>
      <c r="BO2403" s="73"/>
      <c r="BP2403" s="73"/>
      <c r="BQ2403" s="73"/>
      <c r="BR2403" s="73"/>
      <c r="BS2403" s="73"/>
      <c r="BT2403" s="73"/>
      <c r="BU2403" s="73"/>
      <c r="BV2403" s="73"/>
      <c r="BW2403" s="73"/>
      <c r="BX2403" s="73"/>
      <c r="BY2403" s="73"/>
      <c r="BZ2403" s="73"/>
      <c r="CA2403" s="73"/>
      <c r="CB2403" s="73"/>
      <c r="CC2403" s="73"/>
      <c r="CD2403" s="73"/>
      <c r="CE2403" s="73"/>
      <c r="CF2403" s="73"/>
      <c r="CG2403" s="73"/>
      <c r="CH2403" s="73"/>
    </row>
    <row r="2404">
      <c r="A2404" s="80"/>
      <c r="B2404" s="80"/>
      <c r="C2404" s="80"/>
      <c r="D2404" s="80"/>
      <c r="E2404" s="124"/>
      <c r="F2404" s="80"/>
      <c r="G2404" s="80"/>
      <c r="H2404" s="80"/>
      <c r="I2404" s="80"/>
      <c r="J2404" s="196"/>
      <c r="K2404" s="196"/>
      <c r="L2404" s="196"/>
      <c r="M2404" s="196"/>
      <c r="N2404" s="196"/>
      <c r="O2404" s="196"/>
      <c r="P2404" s="196"/>
      <c r="Q2404" s="196"/>
      <c r="R2404" s="196"/>
      <c r="S2404" s="196"/>
      <c r="T2404" s="196"/>
      <c r="U2404" s="196"/>
      <c r="V2404" s="196"/>
      <c r="W2404" s="196"/>
      <c r="X2404" s="196"/>
      <c r="Y2404" s="196"/>
      <c r="Z2404" s="196"/>
      <c r="AA2404" s="196"/>
      <c r="AB2404" s="196"/>
      <c r="AC2404" s="196"/>
      <c r="AD2404" s="196"/>
      <c r="AE2404" s="196"/>
      <c r="AF2404" s="196"/>
      <c r="AG2404" s="196"/>
      <c r="AH2404" s="196"/>
      <c r="AI2404" s="196"/>
      <c r="AJ2404" s="197"/>
      <c r="AK2404" s="80"/>
      <c r="AL2404" s="80"/>
      <c r="AM2404" s="73"/>
      <c r="AN2404" s="73"/>
      <c r="AO2404" s="73"/>
      <c r="AP2404" s="73"/>
      <c r="AQ2404" s="73"/>
      <c r="AR2404" s="73"/>
      <c r="AS2404" s="73"/>
      <c r="AT2404" s="73"/>
      <c r="AU2404" s="73"/>
      <c r="AV2404" s="73"/>
      <c r="AW2404" s="73"/>
      <c r="AX2404" s="73"/>
      <c r="AY2404" s="73"/>
      <c r="AZ2404" s="73"/>
      <c r="BA2404" s="73"/>
      <c r="BB2404" s="73"/>
      <c r="BC2404" s="73"/>
      <c r="BD2404" s="73"/>
      <c r="BE2404" s="73"/>
      <c r="BF2404" s="73"/>
      <c r="BG2404" s="73"/>
      <c r="BH2404" s="73"/>
      <c r="BI2404" s="73"/>
      <c r="BJ2404" s="73"/>
      <c r="BK2404" s="73"/>
      <c r="BL2404" s="73"/>
      <c r="BM2404" s="73"/>
      <c r="BN2404" s="73"/>
      <c r="BO2404" s="73"/>
      <c r="BP2404" s="73"/>
      <c r="BQ2404" s="73"/>
      <c r="BR2404" s="73"/>
      <c r="BS2404" s="73"/>
      <c r="BT2404" s="73"/>
      <c r="BU2404" s="73"/>
      <c r="BV2404" s="73"/>
      <c r="BW2404" s="73"/>
      <c r="BX2404" s="73"/>
      <c r="BY2404" s="73"/>
      <c r="BZ2404" s="73"/>
      <c r="CA2404" s="73"/>
      <c r="CB2404" s="73"/>
      <c r="CC2404" s="73"/>
      <c r="CD2404" s="73"/>
      <c r="CE2404" s="73"/>
      <c r="CF2404" s="73"/>
      <c r="CG2404" s="73"/>
      <c r="CH2404" s="73"/>
    </row>
    <row r="2405">
      <c r="A2405" s="80"/>
      <c r="B2405" s="80"/>
      <c r="C2405" s="80"/>
      <c r="D2405" s="80"/>
      <c r="E2405" s="124"/>
      <c r="F2405" s="80"/>
      <c r="G2405" s="80"/>
      <c r="H2405" s="80"/>
      <c r="I2405" s="80"/>
      <c r="J2405" s="196"/>
      <c r="K2405" s="196"/>
      <c r="L2405" s="196"/>
      <c r="M2405" s="196"/>
      <c r="N2405" s="196"/>
      <c r="O2405" s="196"/>
      <c r="P2405" s="196"/>
      <c r="Q2405" s="196"/>
      <c r="R2405" s="196"/>
      <c r="S2405" s="196"/>
      <c r="T2405" s="196"/>
      <c r="U2405" s="196"/>
      <c r="V2405" s="196"/>
      <c r="W2405" s="196"/>
      <c r="X2405" s="196"/>
      <c r="Y2405" s="196"/>
      <c r="Z2405" s="196"/>
      <c r="AA2405" s="196"/>
      <c r="AB2405" s="196"/>
      <c r="AC2405" s="196"/>
      <c r="AD2405" s="196"/>
      <c r="AE2405" s="196"/>
      <c r="AF2405" s="196"/>
      <c r="AG2405" s="196"/>
      <c r="AH2405" s="196"/>
      <c r="AI2405" s="196"/>
      <c r="AJ2405" s="197"/>
      <c r="AK2405" s="80"/>
      <c r="AL2405" s="80"/>
      <c r="AM2405" s="73"/>
      <c r="AN2405" s="73"/>
      <c r="AO2405" s="73"/>
      <c r="AP2405" s="73"/>
      <c r="AQ2405" s="73"/>
      <c r="AR2405" s="73"/>
      <c r="AS2405" s="73"/>
      <c r="AT2405" s="73"/>
      <c r="AU2405" s="73"/>
      <c r="AV2405" s="73"/>
      <c r="AW2405" s="73"/>
      <c r="AX2405" s="73"/>
      <c r="AY2405" s="73"/>
      <c r="AZ2405" s="73"/>
      <c r="BA2405" s="73"/>
      <c r="BB2405" s="73"/>
      <c r="BC2405" s="73"/>
      <c r="BD2405" s="73"/>
      <c r="BE2405" s="73"/>
      <c r="BF2405" s="73"/>
      <c r="BG2405" s="73"/>
      <c r="BH2405" s="73"/>
      <c r="BI2405" s="73"/>
      <c r="BJ2405" s="73"/>
      <c r="BK2405" s="73"/>
      <c r="BL2405" s="73"/>
      <c r="BM2405" s="73"/>
      <c r="BN2405" s="73"/>
      <c r="BO2405" s="73"/>
      <c r="BP2405" s="73"/>
      <c r="BQ2405" s="73"/>
      <c r="BR2405" s="73"/>
      <c r="BS2405" s="73"/>
      <c r="BT2405" s="73"/>
      <c r="BU2405" s="73"/>
      <c r="BV2405" s="73"/>
      <c r="BW2405" s="73"/>
      <c r="BX2405" s="73"/>
      <c r="BY2405" s="73"/>
      <c r="BZ2405" s="73"/>
      <c r="CA2405" s="73"/>
      <c r="CB2405" s="73"/>
      <c r="CC2405" s="73"/>
      <c r="CD2405" s="73"/>
      <c r="CE2405" s="73"/>
      <c r="CF2405" s="73"/>
      <c r="CG2405" s="73"/>
      <c r="CH2405" s="73"/>
    </row>
    <row r="2406">
      <c r="A2406" s="80"/>
      <c r="B2406" s="80"/>
      <c r="C2406" s="80"/>
      <c r="D2406" s="80"/>
      <c r="E2406" s="124"/>
      <c r="F2406" s="80"/>
      <c r="G2406" s="80"/>
      <c r="H2406" s="80"/>
      <c r="I2406" s="80"/>
      <c r="J2406" s="196"/>
      <c r="K2406" s="196"/>
      <c r="L2406" s="196"/>
      <c r="M2406" s="196"/>
      <c r="N2406" s="196"/>
      <c r="O2406" s="196"/>
      <c r="P2406" s="196"/>
      <c r="Q2406" s="196"/>
      <c r="R2406" s="196"/>
      <c r="S2406" s="196"/>
      <c r="T2406" s="196"/>
      <c r="U2406" s="196"/>
      <c r="V2406" s="196"/>
      <c r="W2406" s="196"/>
      <c r="X2406" s="196"/>
      <c r="Y2406" s="196"/>
      <c r="Z2406" s="196"/>
      <c r="AA2406" s="196"/>
      <c r="AB2406" s="196"/>
      <c r="AC2406" s="196"/>
      <c r="AD2406" s="196"/>
      <c r="AE2406" s="196"/>
      <c r="AF2406" s="196"/>
      <c r="AG2406" s="196"/>
      <c r="AH2406" s="196"/>
      <c r="AI2406" s="196"/>
      <c r="AJ2406" s="197"/>
      <c r="AK2406" s="80"/>
      <c r="AL2406" s="80"/>
      <c r="AM2406" s="73"/>
      <c r="AN2406" s="73"/>
      <c r="AO2406" s="73"/>
      <c r="AP2406" s="73"/>
      <c r="AQ2406" s="73"/>
      <c r="AR2406" s="73"/>
      <c r="AS2406" s="73"/>
      <c r="AT2406" s="73"/>
      <c r="AU2406" s="73"/>
      <c r="AV2406" s="73"/>
      <c r="AW2406" s="73"/>
      <c r="AX2406" s="73"/>
      <c r="AY2406" s="73"/>
      <c r="AZ2406" s="73"/>
      <c r="BA2406" s="73"/>
      <c r="BB2406" s="73"/>
      <c r="BC2406" s="73"/>
      <c r="BD2406" s="73"/>
      <c r="BE2406" s="73"/>
      <c r="BF2406" s="73"/>
      <c r="BG2406" s="73"/>
      <c r="BH2406" s="73"/>
      <c r="BI2406" s="73"/>
      <c r="BJ2406" s="73"/>
      <c r="BK2406" s="73"/>
      <c r="BL2406" s="73"/>
      <c r="BM2406" s="73"/>
      <c r="BN2406" s="73"/>
      <c r="BO2406" s="73"/>
      <c r="BP2406" s="73"/>
      <c r="BQ2406" s="73"/>
      <c r="BR2406" s="73"/>
      <c r="BS2406" s="73"/>
      <c r="BT2406" s="73"/>
      <c r="BU2406" s="73"/>
      <c r="BV2406" s="73"/>
      <c r="BW2406" s="73"/>
      <c r="BX2406" s="73"/>
      <c r="BY2406" s="73"/>
      <c r="BZ2406" s="73"/>
      <c r="CA2406" s="73"/>
      <c r="CB2406" s="73"/>
      <c r="CC2406" s="73"/>
      <c r="CD2406" s="73"/>
      <c r="CE2406" s="73"/>
      <c r="CF2406" s="73"/>
      <c r="CG2406" s="73"/>
      <c r="CH2406" s="73"/>
    </row>
    <row r="2407">
      <c r="A2407" s="80"/>
      <c r="B2407" s="80"/>
      <c r="C2407" s="80"/>
      <c r="D2407" s="80"/>
      <c r="E2407" s="124"/>
      <c r="F2407" s="80"/>
      <c r="G2407" s="80"/>
      <c r="H2407" s="80"/>
      <c r="I2407" s="80"/>
      <c r="J2407" s="196"/>
      <c r="K2407" s="196"/>
      <c r="L2407" s="196"/>
      <c r="M2407" s="196"/>
      <c r="N2407" s="196"/>
      <c r="O2407" s="196"/>
      <c r="P2407" s="196"/>
      <c r="Q2407" s="196"/>
      <c r="R2407" s="196"/>
      <c r="S2407" s="196"/>
      <c r="T2407" s="196"/>
      <c r="U2407" s="196"/>
      <c r="V2407" s="196"/>
      <c r="W2407" s="196"/>
      <c r="X2407" s="196"/>
      <c r="Y2407" s="196"/>
      <c r="Z2407" s="196"/>
      <c r="AA2407" s="196"/>
      <c r="AB2407" s="196"/>
      <c r="AC2407" s="196"/>
      <c r="AD2407" s="196"/>
      <c r="AE2407" s="196"/>
      <c r="AF2407" s="196"/>
      <c r="AG2407" s="196"/>
      <c r="AH2407" s="196"/>
      <c r="AI2407" s="196"/>
      <c r="AJ2407" s="197"/>
      <c r="AK2407" s="80"/>
      <c r="AL2407" s="80"/>
      <c r="AM2407" s="73"/>
      <c r="AN2407" s="73"/>
      <c r="AO2407" s="73"/>
      <c r="AP2407" s="73"/>
      <c r="AQ2407" s="73"/>
      <c r="AR2407" s="73"/>
      <c r="AS2407" s="73"/>
      <c r="AT2407" s="73"/>
      <c r="AU2407" s="73"/>
      <c r="AV2407" s="73"/>
      <c r="AW2407" s="73"/>
      <c r="AX2407" s="73"/>
      <c r="AY2407" s="73"/>
      <c r="AZ2407" s="73"/>
      <c r="BA2407" s="73"/>
      <c r="BB2407" s="73"/>
      <c r="BC2407" s="73"/>
      <c r="BD2407" s="73"/>
      <c r="BE2407" s="73"/>
      <c r="BF2407" s="73"/>
      <c r="BG2407" s="73"/>
      <c r="BH2407" s="73"/>
      <c r="BI2407" s="73"/>
      <c r="BJ2407" s="73"/>
      <c r="BK2407" s="73"/>
      <c r="BL2407" s="73"/>
      <c r="BM2407" s="73"/>
      <c r="BN2407" s="73"/>
      <c r="BO2407" s="73"/>
      <c r="BP2407" s="73"/>
      <c r="BQ2407" s="73"/>
      <c r="BR2407" s="73"/>
      <c r="BS2407" s="73"/>
      <c r="BT2407" s="73"/>
      <c r="BU2407" s="73"/>
      <c r="BV2407" s="73"/>
      <c r="BW2407" s="73"/>
      <c r="BX2407" s="73"/>
      <c r="BY2407" s="73"/>
      <c r="BZ2407" s="73"/>
      <c r="CA2407" s="73"/>
      <c r="CB2407" s="73"/>
      <c r="CC2407" s="73"/>
      <c r="CD2407" s="73"/>
      <c r="CE2407" s="73"/>
      <c r="CF2407" s="73"/>
      <c r="CG2407" s="73"/>
      <c r="CH2407" s="73"/>
    </row>
    <row r="2408">
      <c r="A2408" s="80"/>
      <c r="B2408" s="80"/>
      <c r="C2408" s="80"/>
      <c r="D2408" s="80"/>
      <c r="E2408" s="124"/>
      <c r="F2408" s="80"/>
      <c r="G2408" s="80"/>
      <c r="H2408" s="80"/>
      <c r="I2408" s="80"/>
      <c r="J2408" s="196"/>
      <c r="K2408" s="196"/>
      <c r="L2408" s="196"/>
      <c r="M2408" s="196"/>
      <c r="N2408" s="196"/>
      <c r="O2408" s="196"/>
      <c r="P2408" s="196"/>
      <c r="Q2408" s="196"/>
      <c r="R2408" s="196"/>
      <c r="S2408" s="196"/>
      <c r="T2408" s="196"/>
      <c r="U2408" s="196"/>
      <c r="V2408" s="196"/>
      <c r="W2408" s="196"/>
      <c r="X2408" s="196"/>
      <c r="Y2408" s="196"/>
      <c r="Z2408" s="196"/>
      <c r="AA2408" s="196"/>
      <c r="AB2408" s="196"/>
      <c r="AC2408" s="196"/>
      <c r="AD2408" s="196"/>
      <c r="AE2408" s="196"/>
      <c r="AF2408" s="196"/>
      <c r="AG2408" s="196"/>
      <c r="AH2408" s="196"/>
      <c r="AI2408" s="196"/>
      <c r="AJ2408" s="197"/>
      <c r="AK2408" s="80"/>
      <c r="AL2408" s="80"/>
      <c r="AM2408" s="73"/>
      <c r="AN2408" s="73"/>
      <c r="AO2408" s="73"/>
      <c r="AP2408" s="73"/>
      <c r="AQ2408" s="73"/>
      <c r="AR2408" s="73"/>
      <c r="AS2408" s="73"/>
      <c r="AT2408" s="73"/>
      <c r="AU2408" s="73"/>
      <c r="AV2408" s="73"/>
      <c r="AW2408" s="73"/>
      <c r="AX2408" s="73"/>
      <c r="AY2408" s="73"/>
      <c r="AZ2408" s="73"/>
      <c r="BA2408" s="73"/>
      <c r="BB2408" s="73"/>
      <c r="BC2408" s="73"/>
      <c r="BD2408" s="73"/>
      <c r="BE2408" s="73"/>
      <c r="BF2408" s="73"/>
      <c r="BG2408" s="73"/>
      <c r="BH2408" s="73"/>
      <c r="BI2408" s="73"/>
      <c r="BJ2408" s="73"/>
      <c r="BK2408" s="73"/>
      <c r="BL2408" s="73"/>
      <c r="BM2408" s="73"/>
      <c r="BN2408" s="73"/>
      <c r="BO2408" s="73"/>
      <c r="BP2408" s="73"/>
      <c r="BQ2408" s="73"/>
      <c r="BR2408" s="73"/>
      <c r="BS2408" s="73"/>
      <c r="BT2408" s="73"/>
      <c r="BU2408" s="73"/>
      <c r="BV2408" s="73"/>
      <c r="BW2408" s="73"/>
      <c r="BX2408" s="73"/>
      <c r="BY2408" s="73"/>
      <c r="BZ2408" s="73"/>
      <c r="CA2408" s="73"/>
      <c r="CB2408" s="73"/>
      <c r="CC2408" s="73"/>
      <c r="CD2408" s="73"/>
      <c r="CE2408" s="73"/>
      <c r="CF2408" s="73"/>
      <c r="CG2408" s="73"/>
      <c r="CH2408" s="73"/>
    </row>
    <row r="2409">
      <c r="A2409" s="80"/>
      <c r="B2409" s="80"/>
      <c r="C2409" s="80"/>
      <c r="D2409" s="80"/>
      <c r="E2409" s="124"/>
      <c r="F2409" s="80"/>
      <c r="G2409" s="80"/>
      <c r="H2409" s="80"/>
      <c r="I2409" s="80"/>
      <c r="J2409" s="196"/>
      <c r="K2409" s="196"/>
      <c r="L2409" s="196"/>
      <c r="M2409" s="196"/>
      <c r="N2409" s="196"/>
      <c r="O2409" s="196"/>
      <c r="P2409" s="196"/>
      <c r="Q2409" s="196"/>
      <c r="R2409" s="196"/>
      <c r="S2409" s="196"/>
      <c r="T2409" s="196"/>
      <c r="U2409" s="196"/>
      <c r="V2409" s="196"/>
      <c r="W2409" s="196"/>
      <c r="X2409" s="196"/>
      <c r="Y2409" s="196"/>
      <c r="Z2409" s="196"/>
      <c r="AA2409" s="196"/>
      <c r="AB2409" s="196"/>
      <c r="AC2409" s="196"/>
      <c r="AD2409" s="196"/>
      <c r="AE2409" s="196"/>
      <c r="AF2409" s="196"/>
      <c r="AG2409" s="196"/>
      <c r="AH2409" s="196"/>
      <c r="AI2409" s="196"/>
      <c r="AJ2409" s="197"/>
      <c r="AK2409" s="80"/>
      <c r="AL2409" s="80"/>
      <c r="AM2409" s="73"/>
      <c r="AN2409" s="73"/>
      <c r="AO2409" s="73"/>
      <c r="AP2409" s="73"/>
      <c r="AQ2409" s="73"/>
      <c r="AR2409" s="73"/>
      <c r="AS2409" s="73"/>
      <c r="AT2409" s="73"/>
      <c r="AU2409" s="73"/>
      <c r="AV2409" s="73"/>
      <c r="AW2409" s="73"/>
      <c r="AX2409" s="73"/>
      <c r="AY2409" s="73"/>
      <c r="AZ2409" s="73"/>
      <c r="BA2409" s="73"/>
      <c r="BB2409" s="73"/>
      <c r="BC2409" s="73"/>
      <c r="BD2409" s="73"/>
      <c r="BE2409" s="73"/>
      <c r="BF2409" s="73"/>
      <c r="BG2409" s="73"/>
      <c r="BH2409" s="73"/>
      <c r="BI2409" s="73"/>
      <c r="BJ2409" s="73"/>
      <c r="BK2409" s="73"/>
      <c r="BL2409" s="73"/>
      <c r="BM2409" s="73"/>
      <c r="BN2409" s="73"/>
      <c r="BO2409" s="73"/>
      <c r="BP2409" s="73"/>
      <c r="BQ2409" s="73"/>
      <c r="BR2409" s="73"/>
      <c r="BS2409" s="73"/>
      <c r="BT2409" s="73"/>
      <c r="BU2409" s="73"/>
      <c r="BV2409" s="73"/>
      <c r="BW2409" s="73"/>
      <c r="BX2409" s="73"/>
      <c r="BY2409" s="73"/>
      <c r="BZ2409" s="73"/>
      <c r="CA2409" s="73"/>
      <c r="CB2409" s="73"/>
      <c r="CC2409" s="73"/>
      <c r="CD2409" s="73"/>
      <c r="CE2409" s="73"/>
      <c r="CF2409" s="73"/>
      <c r="CG2409" s="73"/>
      <c r="CH2409" s="73"/>
    </row>
    <row r="2410">
      <c r="A2410" s="80"/>
      <c r="B2410" s="80"/>
      <c r="C2410" s="80"/>
      <c r="D2410" s="80"/>
      <c r="E2410" s="124"/>
      <c r="F2410" s="80"/>
      <c r="G2410" s="80"/>
      <c r="H2410" s="80"/>
      <c r="I2410" s="80"/>
      <c r="J2410" s="196"/>
      <c r="K2410" s="196"/>
      <c r="L2410" s="196"/>
      <c r="M2410" s="196"/>
      <c r="N2410" s="196"/>
      <c r="O2410" s="196"/>
      <c r="P2410" s="196"/>
      <c r="Q2410" s="196"/>
      <c r="R2410" s="196"/>
      <c r="S2410" s="196"/>
      <c r="T2410" s="196"/>
      <c r="U2410" s="196"/>
      <c r="V2410" s="196"/>
      <c r="W2410" s="196"/>
      <c r="X2410" s="196"/>
      <c r="Y2410" s="196"/>
      <c r="Z2410" s="196"/>
      <c r="AA2410" s="196"/>
      <c r="AB2410" s="196"/>
      <c r="AC2410" s="196"/>
      <c r="AD2410" s="196"/>
      <c r="AE2410" s="196"/>
      <c r="AF2410" s="196"/>
      <c r="AG2410" s="196"/>
      <c r="AH2410" s="196"/>
      <c r="AI2410" s="196"/>
      <c r="AJ2410" s="197"/>
      <c r="AK2410" s="80"/>
      <c r="AL2410" s="80"/>
      <c r="AM2410" s="73"/>
      <c r="AN2410" s="73"/>
      <c r="AO2410" s="73"/>
      <c r="AP2410" s="73"/>
      <c r="AQ2410" s="73"/>
      <c r="AR2410" s="73"/>
      <c r="AS2410" s="73"/>
      <c r="AT2410" s="73"/>
      <c r="AU2410" s="73"/>
      <c r="AV2410" s="73"/>
      <c r="AW2410" s="73"/>
      <c r="AX2410" s="73"/>
      <c r="AY2410" s="73"/>
      <c r="AZ2410" s="73"/>
      <c r="BA2410" s="73"/>
      <c r="BB2410" s="73"/>
      <c r="BC2410" s="73"/>
      <c r="BD2410" s="73"/>
      <c r="BE2410" s="73"/>
      <c r="BF2410" s="73"/>
      <c r="BG2410" s="73"/>
      <c r="BH2410" s="73"/>
      <c r="BI2410" s="73"/>
      <c r="BJ2410" s="73"/>
      <c r="BK2410" s="73"/>
      <c r="BL2410" s="73"/>
      <c r="BM2410" s="73"/>
      <c r="BN2410" s="73"/>
      <c r="BO2410" s="73"/>
      <c r="BP2410" s="73"/>
      <c r="BQ2410" s="73"/>
      <c r="BR2410" s="73"/>
      <c r="BS2410" s="73"/>
      <c r="BT2410" s="73"/>
      <c r="BU2410" s="73"/>
      <c r="BV2410" s="73"/>
      <c r="BW2410" s="73"/>
      <c r="BX2410" s="73"/>
      <c r="BY2410" s="73"/>
      <c r="BZ2410" s="73"/>
      <c r="CA2410" s="73"/>
      <c r="CB2410" s="73"/>
      <c r="CC2410" s="73"/>
      <c r="CD2410" s="73"/>
      <c r="CE2410" s="73"/>
      <c r="CF2410" s="73"/>
      <c r="CG2410" s="73"/>
      <c r="CH2410" s="73"/>
    </row>
    <row r="2411">
      <c r="A2411" s="80"/>
      <c r="B2411" s="80"/>
      <c r="C2411" s="80"/>
      <c r="D2411" s="80"/>
      <c r="E2411" s="124"/>
      <c r="F2411" s="80"/>
      <c r="G2411" s="80"/>
      <c r="H2411" s="80"/>
      <c r="I2411" s="80"/>
      <c r="J2411" s="196"/>
      <c r="K2411" s="196"/>
      <c r="L2411" s="196"/>
      <c r="M2411" s="196"/>
      <c r="N2411" s="196"/>
      <c r="O2411" s="196"/>
      <c r="P2411" s="196"/>
      <c r="Q2411" s="196"/>
      <c r="R2411" s="196"/>
      <c r="S2411" s="196"/>
      <c r="T2411" s="196"/>
      <c r="U2411" s="196"/>
      <c r="V2411" s="196"/>
      <c r="W2411" s="196"/>
      <c r="X2411" s="196"/>
      <c r="Y2411" s="196"/>
      <c r="Z2411" s="196"/>
      <c r="AA2411" s="196"/>
      <c r="AB2411" s="196"/>
      <c r="AC2411" s="196"/>
      <c r="AD2411" s="196"/>
      <c r="AE2411" s="196"/>
      <c r="AF2411" s="196"/>
      <c r="AG2411" s="196"/>
      <c r="AH2411" s="196"/>
      <c r="AI2411" s="196"/>
      <c r="AJ2411" s="197"/>
      <c r="AK2411" s="80"/>
      <c r="AL2411" s="80"/>
      <c r="AM2411" s="73"/>
      <c r="AN2411" s="73"/>
      <c r="AO2411" s="73"/>
      <c r="AP2411" s="73"/>
      <c r="AQ2411" s="73"/>
      <c r="AR2411" s="73"/>
      <c r="AS2411" s="73"/>
      <c r="AT2411" s="73"/>
      <c r="AU2411" s="73"/>
      <c r="AV2411" s="73"/>
      <c r="AW2411" s="73"/>
      <c r="AX2411" s="73"/>
      <c r="AY2411" s="73"/>
      <c r="AZ2411" s="73"/>
      <c r="BA2411" s="73"/>
      <c r="BB2411" s="73"/>
      <c r="BC2411" s="73"/>
      <c r="BD2411" s="73"/>
      <c r="BE2411" s="73"/>
      <c r="BF2411" s="73"/>
      <c r="BG2411" s="73"/>
      <c r="BH2411" s="73"/>
      <c r="BI2411" s="73"/>
      <c r="BJ2411" s="73"/>
      <c r="BK2411" s="73"/>
      <c r="BL2411" s="73"/>
      <c r="BM2411" s="73"/>
      <c r="BN2411" s="73"/>
      <c r="BO2411" s="73"/>
      <c r="BP2411" s="73"/>
      <c r="BQ2411" s="73"/>
      <c r="BR2411" s="73"/>
      <c r="BS2411" s="73"/>
      <c r="BT2411" s="73"/>
      <c r="BU2411" s="73"/>
      <c r="BV2411" s="73"/>
      <c r="BW2411" s="73"/>
      <c r="BX2411" s="73"/>
      <c r="BY2411" s="73"/>
      <c r="BZ2411" s="73"/>
      <c r="CA2411" s="73"/>
      <c r="CB2411" s="73"/>
      <c r="CC2411" s="73"/>
      <c r="CD2411" s="73"/>
      <c r="CE2411" s="73"/>
      <c r="CF2411" s="73"/>
      <c r="CG2411" s="73"/>
      <c r="CH2411" s="73"/>
    </row>
    <row r="2412">
      <c r="A2412" s="80"/>
      <c r="B2412" s="80"/>
      <c r="C2412" s="80"/>
      <c r="D2412" s="80"/>
      <c r="E2412" s="124"/>
      <c r="F2412" s="80"/>
      <c r="G2412" s="80"/>
      <c r="H2412" s="80"/>
      <c r="I2412" s="80"/>
      <c r="J2412" s="196"/>
      <c r="K2412" s="196"/>
      <c r="L2412" s="196"/>
      <c r="M2412" s="196"/>
      <c r="N2412" s="196"/>
      <c r="O2412" s="196"/>
      <c r="P2412" s="196"/>
      <c r="Q2412" s="196"/>
      <c r="R2412" s="196"/>
      <c r="S2412" s="196"/>
      <c r="T2412" s="196"/>
      <c r="U2412" s="196"/>
      <c r="V2412" s="196"/>
      <c r="W2412" s="196"/>
      <c r="X2412" s="196"/>
      <c r="Y2412" s="196"/>
      <c r="Z2412" s="196"/>
      <c r="AA2412" s="196"/>
      <c r="AB2412" s="196"/>
      <c r="AC2412" s="196"/>
      <c r="AD2412" s="196"/>
      <c r="AE2412" s="196"/>
      <c r="AF2412" s="196"/>
      <c r="AG2412" s="196"/>
      <c r="AH2412" s="196"/>
      <c r="AI2412" s="196"/>
      <c r="AJ2412" s="197"/>
      <c r="AK2412" s="80"/>
      <c r="AL2412" s="80"/>
      <c r="AM2412" s="73"/>
      <c r="AN2412" s="73"/>
      <c r="AO2412" s="73"/>
      <c r="AP2412" s="73"/>
      <c r="AQ2412" s="73"/>
      <c r="AR2412" s="73"/>
      <c r="AS2412" s="73"/>
      <c r="AT2412" s="73"/>
      <c r="AU2412" s="73"/>
      <c r="AV2412" s="73"/>
      <c r="AW2412" s="73"/>
      <c r="AX2412" s="73"/>
      <c r="AY2412" s="73"/>
      <c r="AZ2412" s="73"/>
      <c r="BA2412" s="73"/>
      <c r="BB2412" s="73"/>
      <c r="BC2412" s="73"/>
      <c r="BD2412" s="73"/>
      <c r="BE2412" s="73"/>
      <c r="BF2412" s="73"/>
      <c r="BG2412" s="73"/>
      <c r="BH2412" s="73"/>
      <c r="BI2412" s="73"/>
      <c r="BJ2412" s="73"/>
      <c r="BK2412" s="73"/>
      <c r="BL2412" s="73"/>
      <c r="BM2412" s="73"/>
      <c r="BN2412" s="73"/>
      <c r="BO2412" s="73"/>
      <c r="BP2412" s="73"/>
      <c r="BQ2412" s="73"/>
      <c r="BR2412" s="73"/>
      <c r="BS2412" s="73"/>
      <c r="BT2412" s="73"/>
      <c r="BU2412" s="73"/>
      <c r="BV2412" s="73"/>
      <c r="BW2412" s="73"/>
      <c r="BX2412" s="73"/>
      <c r="BY2412" s="73"/>
      <c r="BZ2412" s="73"/>
      <c r="CA2412" s="73"/>
      <c r="CB2412" s="73"/>
      <c r="CC2412" s="73"/>
      <c r="CD2412" s="73"/>
      <c r="CE2412" s="73"/>
      <c r="CF2412" s="73"/>
      <c r="CG2412" s="73"/>
      <c r="CH2412" s="73"/>
    </row>
    <row r="2413">
      <c r="A2413" s="80"/>
      <c r="B2413" s="80"/>
      <c r="C2413" s="80"/>
      <c r="D2413" s="80"/>
      <c r="E2413" s="124"/>
      <c r="F2413" s="80"/>
      <c r="G2413" s="80"/>
      <c r="H2413" s="80"/>
      <c r="I2413" s="80"/>
      <c r="J2413" s="196"/>
      <c r="K2413" s="196"/>
      <c r="L2413" s="196"/>
      <c r="M2413" s="196"/>
      <c r="N2413" s="196"/>
      <c r="O2413" s="196"/>
      <c r="P2413" s="196"/>
      <c r="Q2413" s="196"/>
      <c r="R2413" s="196"/>
      <c r="S2413" s="196"/>
      <c r="T2413" s="196"/>
      <c r="U2413" s="196"/>
      <c r="V2413" s="196"/>
      <c r="W2413" s="196"/>
      <c r="X2413" s="196"/>
      <c r="Y2413" s="196"/>
      <c r="Z2413" s="196"/>
      <c r="AA2413" s="196"/>
      <c r="AB2413" s="196"/>
      <c r="AC2413" s="196"/>
      <c r="AD2413" s="196"/>
      <c r="AE2413" s="196"/>
      <c r="AF2413" s="196"/>
      <c r="AG2413" s="196"/>
      <c r="AH2413" s="196"/>
      <c r="AI2413" s="196"/>
      <c r="AJ2413" s="197"/>
      <c r="AK2413" s="80"/>
      <c r="AL2413" s="80"/>
      <c r="AM2413" s="73"/>
      <c r="AN2413" s="73"/>
      <c r="AO2413" s="73"/>
      <c r="AP2413" s="73"/>
      <c r="AQ2413" s="73"/>
      <c r="AR2413" s="73"/>
      <c r="AS2413" s="73"/>
      <c r="AT2413" s="73"/>
      <c r="AU2413" s="73"/>
      <c r="AV2413" s="73"/>
      <c r="AW2413" s="73"/>
      <c r="AX2413" s="73"/>
      <c r="AY2413" s="73"/>
      <c r="AZ2413" s="73"/>
      <c r="BA2413" s="73"/>
      <c r="BB2413" s="73"/>
      <c r="BC2413" s="73"/>
      <c r="BD2413" s="73"/>
      <c r="BE2413" s="73"/>
      <c r="BF2413" s="73"/>
      <c r="BG2413" s="73"/>
      <c r="BH2413" s="73"/>
      <c r="BI2413" s="73"/>
      <c r="BJ2413" s="73"/>
      <c r="BK2413" s="73"/>
      <c r="BL2413" s="73"/>
      <c r="BM2413" s="73"/>
      <c r="BN2413" s="73"/>
      <c r="BO2413" s="73"/>
      <c r="BP2413" s="73"/>
      <c r="BQ2413" s="73"/>
      <c r="BR2413" s="73"/>
      <c r="BS2413" s="73"/>
      <c r="BT2413" s="73"/>
      <c r="BU2413" s="73"/>
      <c r="BV2413" s="73"/>
      <c r="BW2413" s="73"/>
      <c r="BX2413" s="73"/>
      <c r="BY2413" s="73"/>
      <c r="BZ2413" s="73"/>
      <c r="CA2413" s="73"/>
      <c r="CB2413" s="73"/>
      <c r="CC2413" s="73"/>
      <c r="CD2413" s="73"/>
      <c r="CE2413" s="73"/>
      <c r="CF2413" s="73"/>
      <c r="CG2413" s="73"/>
      <c r="CH2413" s="73"/>
    </row>
    <row r="2414">
      <c r="A2414" s="80"/>
      <c r="B2414" s="80"/>
      <c r="C2414" s="80"/>
      <c r="D2414" s="80"/>
      <c r="E2414" s="124"/>
      <c r="F2414" s="80"/>
      <c r="G2414" s="80"/>
      <c r="H2414" s="80"/>
      <c r="I2414" s="80"/>
      <c r="J2414" s="196"/>
      <c r="K2414" s="196"/>
      <c r="L2414" s="196"/>
      <c r="M2414" s="196"/>
      <c r="N2414" s="196"/>
      <c r="O2414" s="196"/>
      <c r="P2414" s="196"/>
      <c r="Q2414" s="196"/>
      <c r="R2414" s="196"/>
      <c r="S2414" s="196"/>
      <c r="T2414" s="196"/>
      <c r="U2414" s="196"/>
      <c r="V2414" s="196"/>
      <c r="W2414" s="196"/>
      <c r="X2414" s="196"/>
      <c r="Y2414" s="196"/>
      <c r="Z2414" s="196"/>
      <c r="AA2414" s="196"/>
      <c r="AB2414" s="196"/>
      <c r="AC2414" s="196"/>
      <c r="AD2414" s="196"/>
      <c r="AE2414" s="196"/>
      <c r="AF2414" s="196"/>
      <c r="AG2414" s="196"/>
      <c r="AH2414" s="196"/>
      <c r="AI2414" s="196"/>
      <c r="AJ2414" s="197"/>
      <c r="AK2414" s="80"/>
      <c r="AL2414" s="80"/>
      <c r="AM2414" s="73"/>
      <c r="AN2414" s="73"/>
      <c r="AO2414" s="73"/>
      <c r="AP2414" s="73"/>
      <c r="AQ2414" s="73"/>
      <c r="AR2414" s="73"/>
      <c r="AS2414" s="73"/>
      <c r="AT2414" s="73"/>
      <c r="AU2414" s="73"/>
      <c r="AV2414" s="73"/>
      <c r="AW2414" s="73"/>
      <c r="AX2414" s="73"/>
      <c r="AY2414" s="73"/>
      <c r="AZ2414" s="73"/>
      <c r="BA2414" s="73"/>
      <c r="BB2414" s="73"/>
      <c r="BC2414" s="73"/>
      <c r="BD2414" s="73"/>
      <c r="BE2414" s="73"/>
      <c r="BF2414" s="73"/>
      <c r="BG2414" s="73"/>
      <c r="BH2414" s="73"/>
      <c r="BI2414" s="73"/>
      <c r="BJ2414" s="73"/>
      <c r="BK2414" s="73"/>
      <c r="BL2414" s="73"/>
      <c r="BM2414" s="73"/>
      <c r="BN2414" s="73"/>
      <c r="BO2414" s="73"/>
      <c r="BP2414" s="73"/>
      <c r="BQ2414" s="73"/>
      <c r="BR2414" s="73"/>
      <c r="BS2414" s="73"/>
      <c r="BT2414" s="73"/>
      <c r="BU2414" s="73"/>
      <c r="BV2414" s="73"/>
      <c r="BW2414" s="73"/>
      <c r="BX2414" s="73"/>
      <c r="BY2414" s="73"/>
      <c r="BZ2414" s="73"/>
      <c r="CA2414" s="73"/>
      <c r="CB2414" s="73"/>
      <c r="CC2414" s="73"/>
      <c r="CD2414" s="73"/>
      <c r="CE2414" s="73"/>
      <c r="CF2414" s="73"/>
      <c r="CG2414" s="73"/>
      <c r="CH2414" s="73"/>
    </row>
    <row r="2415">
      <c r="A2415" s="80"/>
      <c r="B2415" s="80"/>
      <c r="C2415" s="80"/>
      <c r="D2415" s="80"/>
      <c r="E2415" s="124"/>
      <c r="F2415" s="80"/>
      <c r="G2415" s="80"/>
      <c r="H2415" s="80"/>
      <c r="I2415" s="80"/>
      <c r="J2415" s="196"/>
      <c r="K2415" s="196"/>
      <c r="L2415" s="196"/>
      <c r="M2415" s="196"/>
      <c r="N2415" s="196"/>
      <c r="O2415" s="196"/>
      <c r="P2415" s="196"/>
      <c r="Q2415" s="196"/>
      <c r="R2415" s="196"/>
      <c r="S2415" s="196"/>
      <c r="T2415" s="196"/>
      <c r="U2415" s="196"/>
      <c r="V2415" s="196"/>
      <c r="W2415" s="196"/>
      <c r="X2415" s="196"/>
      <c r="Y2415" s="196"/>
      <c r="Z2415" s="196"/>
      <c r="AA2415" s="196"/>
      <c r="AB2415" s="196"/>
      <c r="AC2415" s="196"/>
      <c r="AD2415" s="196"/>
      <c r="AE2415" s="196"/>
      <c r="AF2415" s="196"/>
      <c r="AG2415" s="196"/>
      <c r="AH2415" s="196"/>
      <c r="AI2415" s="196"/>
      <c r="AJ2415" s="197"/>
      <c r="AK2415" s="80"/>
      <c r="AL2415" s="80"/>
      <c r="AM2415" s="73"/>
      <c r="AN2415" s="73"/>
      <c r="AO2415" s="73"/>
      <c r="AP2415" s="73"/>
      <c r="AQ2415" s="73"/>
      <c r="AR2415" s="73"/>
      <c r="AS2415" s="73"/>
      <c r="AT2415" s="73"/>
      <c r="AU2415" s="73"/>
      <c r="AV2415" s="73"/>
      <c r="AW2415" s="73"/>
      <c r="AX2415" s="73"/>
      <c r="AY2415" s="73"/>
      <c r="AZ2415" s="73"/>
      <c r="BA2415" s="73"/>
      <c r="BB2415" s="73"/>
      <c r="BC2415" s="73"/>
      <c r="BD2415" s="73"/>
      <c r="BE2415" s="73"/>
      <c r="BF2415" s="73"/>
      <c r="BG2415" s="73"/>
      <c r="BH2415" s="73"/>
      <c r="BI2415" s="73"/>
      <c r="BJ2415" s="73"/>
      <c r="BK2415" s="73"/>
      <c r="BL2415" s="73"/>
      <c r="BM2415" s="73"/>
      <c r="BN2415" s="73"/>
      <c r="BO2415" s="73"/>
      <c r="BP2415" s="73"/>
      <c r="BQ2415" s="73"/>
      <c r="BR2415" s="73"/>
      <c r="BS2415" s="73"/>
      <c r="BT2415" s="73"/>
      <c r="BU2415" s="73"/>
      <c r="BV2415" s="73"/>
      <c r="BW2415" s="73"/>
      <c r="BX2415" s="73"/>
      <c r="BY2415" s="73"/>
      <c r="BZ2415" s="73"/>
      <c r="CA2415" s="73"/>
      <c r="CB2415" s="73"/>
      <c r="CC2415" s="73"/>
      <c r="CD2415" s="73"/>
      <c r="CE2415" s="73"/>
      <c r="CF2415" s="73"/>
      <c r="CG2415" s="73"/>
      <c r="CH2415" s="73"/>
    </row>
    <row r="2416">
      <c r="A2416" s="80"/>
      <c r="B2416" s="80"/>
      <c r="C2416" s="80"/>
      <c r="D2416" s="80"/>
      <c r="E2416" s="124"/>
      <c r="F2416" s="80"/>
      <c r="G2416" s="80"/>
      <c r="H2416" s="80"/>
      <c r="I2416" s="80"/>
      <c r="J2416" s="196"/>
      <c r="K2416" s="196"/>
      <c r="L2416" s="196"/>
      <c r="M2416" s="196"/>
      <c r="N2416" s="196"/>
      <c r="O2416" s="196"/>
      <c r="P2416" s="196"/>
      <c r="Q2416" s="196"/>
      <c r="R2416" s="196"/>
      <c r="S2416" s="196"/>
      <c r="T2416" s="196"/>
      <c r="U2416" s="196"/>
      <c r="V2416" s="196"/>
      <c r="W2416" s="196"/>
      <c r="X2416" s="196"/>
      <c r="Y2416" s="196"/>
      <c r="Z2416" s="196"/>
      <c r="AA2416" s="196"/>
      <c r="AB2416" s="196"/>
      <c r="AC2416" s="196"/>
      <c r="AD2416" s="196"/>
      <c r="AE2416" s="196"/>
      <c r="AF2416" s="196"/>
      <c r="AG2416" s="196"/>
      <c r="AH2416" s="196"/>
      <c r="AI2416" s="196"/>
      <c r="AJ2416" s="197"/>
      <c r="AK2416" s="80"/>
      <c r="AL2416" s="80"/>
      <c r="AM2416" s="73"/>
      <c r="AN2416" s="73"/>
      <c r="AO2416" s="73"/>
      <c r="AP2416" s="73"/>
      <c r="AQ2416" s="73"/>
      <c r="AR2416" s="73"/>
      <c r="AS2416" s="73"/>
      <c r="AT2416" s="73"/>
      <c r="AU2416" s="73"/>
      <c r="AV2416" s="73"/>
      <c r="AW2416" s="73"/>
      <c r="AX2416" s="73"/>
      <c r="AY2416" s="73"/>
      <c r="AZ2416" s="73"/>
      <c r="BA2416" s="73"/>
      <c r="BB2416" s="73"/>
      <c r="BC2416" s="73"/>
      <c r="BD2416" s="73"/>
      <c r="BE2416" s="73"/>
      <c r="BF2416" s="73"/>
      <c r="BG2416" s="73"/>
      <c r="BH2416" s="73"/>
      <c r="BI2416" s="73"/>
      <c r="BJ2416" s="73"/>
      <c r="BK2416" s="73"/>
      <c r="BL2416" s="73"/>
      <c r="BM2416" s="73"/>
      <c r="BN2416" s="73"/>
      <c r="BO2416" s="73"/>
      <c r="BP2416" s="73"/>
      <c r="BQ2416" s="73"/>
      <c r="BR2416" s="73"/>
      <c r="BS2416" s="73"/>
      <c r="BT2416" s="73"/>
      <c r="BU2416" s="73"/>
      <c r="BV2416" s="73"/>
      <c r="BW2416" s="73"/>
      <c r="BX2416" s="73"/>
      <c r="BY2416" s="73"/>
      <c r="BZ2416" s="73"/>
      <c r="CA2416" s="73"/>
      <c r="CB2416" s="73"/>
      <c r="CC2416" s="73"/>
      <c r="CD2416" s="73"/>
      <c r="CE2416" s="73"/>
      <c r="CF2416" s="73"/>
      <c r="CG2416" s="73"/>
      <c r="CH2416" s="73"/>
    </row>
    <row r="2417">
      <c r="A2417" s="80"/>
      <c r="B2417" s="80"/>
      <c r="C2417" s="80"/>
      <c r="D2417" s="80"/>
      <c r="E2417" s="124"/>
      <c r="F2417" s="80"/>
      <c r="G2417" s="80"/>
      <c r="H2417" s="80"/>
      <c r="I2417" s="80"/>
      <c r="J2417" s="196"/>
      <c r="K2417" s="196"/>
      <c r="L2417" s="196"/>
      <c r="M2417" s="196"/>
      <c r="N2417" s="196"/>
      <c r="O2417" s="196"/>
      <c r="P2417" s="196"/>
      <c r="Q2417" s="196"/>
      <c r="R2417" s="196"/>
      <c r="S2417" s="196"/>
      <c r="T2417" s="196"/>
      <c r="U2417" s="196"/>
      <c r="V2417" s="196"/>
      <c r="W2417" s="196"/>
      <c r="X2417" s="196"/>
      <c r="Y2417" s="196"/>
      <c r="Z2417" s="196"/>
      <c r="AA2417" s="196"/>
      <c r="AB2417" s="196"/>
      <c r="AC2417" s="196"/>
      <c r="AD2417" s="196"/>
      <c r="AE2417" s="196"/>
      <c r="AF2417" s="196"/>
      <c r="AG2417" s="196"/>
      <c r="AH2417" s="196"/>
      <c r="AI2417" s="196"/>
      <c r="AJ2417" s="197"/>
      <c r="AK2417" s="80"/>
      <c r="AL2417" s="80"/>
      <c r="AM2417" s="73"/>
      <c r="AN2417" s="73"/>
      <c r="AO2417" s="73"/>
      <c r="AP2417" s="73"/>
      <c r="AQ2417" s="73"/>
      <c r="AR2417" s="73"/>
      <c r="AS2417" s="73"/>
      <c r="AT2417" s="73"/>
      <c r="AU2417" s="73"/>
      <c r="AV2417" s="73"/>
      <c r="AW2417" s="73"/>
      <c r="AX2417" s="73"/>
      <c r="AY2417" s="73"/>
      <c r="AZ2417" s="73"/>
      <c r="BA2417" s="73"/>
      <c r="BB2417" s="73"/>
      <c r="BC2417" s="73"/>
      <c r="BD2417" s="73"/>
      <c r="BE2417" s="73"/>
      <c r="BF2417" s="73"/>
      <c r="BG2417" s="73"/>
      <c r="BH2417" s="73"/>
      <c r="BI2417" s="73"/>
      <c r="BJ2417" s="73"/>
      <c r="BK2417" s="73"/>
      <c r="BL2417" s="73"/>
      <c r="BM2417" s="73"/>
      <c r="BN2417" s="73"/>
      <c r="BO2417" s="73"/>
      <c r="BP2417" s="73"/>
      <c r="BQ2417" s="73"/>
      <c r="BR2417" s="73"/>
      <c r="BS2417" s="73"/>
      <c r="BT2417" s="73"/>
      <c r="BU2417" s="73"/>
      <c r="BV2417" s="73"/>
      <c r="BW2417" s="73"/>
      <c r="BX2417" s="73"/>
      <c r="BY2417" s="73"/>
      <c r="BZ2417" s="73"/>
      <c r="CA2417" s="73"/>
      <c r="CB2417" s="73"/>
      <c r="CC2417" s="73"/>
      <c r="CD2417" s="73"/>
      <c r="CE2417" s="73"/>
      <c r="CF2417" s="73"/>
      <c r="CG2417" s="73"/>
      <c r="CH2417" s="73"/>
    </row>
    <row r="2418">
      <c r="A2418" s="80"/>
      <c r="B2418" s="80"/>
      <c r="C2418" s="80"/>
      <c r="D2418" s="80"/>
      <c r="E2418" s="124"/>
      <c r="F2418" s="80"/>
      <c r="G2418" s="80"/>
      <c r="H2418" s="80"/>
      <c r="I2418" s="80"/>
      <c r="J2418" s="196"/>
      <c r="K2418" s="196"/>
      <c r="L2418" s="196"/>
      <c r="M2418" s="196"/>
      <c r="N2418" s="196"/>
      <c r="O2418" s="196"/>
      <c r="P2418" s="196"/>
      <c r="Q2418" s="196"/>
      <c r="R2418" s="196"/>
      <c r="S2418" s="196"/>
      <c r="T2418" s="196"/>
      <c r="U2418" s="196"/>
      <c r="V2418" s="196"/>
      <c r="W2418" s="196"/>
      <c r="X2418" s="196"/>
      <c r="Y2418" s="196"/>
      <c r="Z2418" s="196"/>
      <c r="AA2418" s="196"/>
      <c r="AB2418" s="196"/>
      <c r="AC2418" s="196"/>
      <c r="AD2418" s="196"/>
      <c r="AE2418" s="196"/>
      <c r="AF2418" s="196"/>
      <c r="AG2418" s="196"/>
      <c r="AH2418" s="196"/>
      <c r="AI2418" s="196"/>
      <c r="AJ2418" s="197"/>
      <c r="AK2418" s="80"/>
      <c r="AL2418" s="80"/>
      <c r="AM2418" s="73"/>
      <c r="AN2418" s="73"/>
      <c r="AO2418" s="73"/>
      <c r="AP2418" s="73"/>
      <c r="AQ2418" s="73"/>
      <c r="AR2418" s="73"/>
      <c r="AS2418" s="73"/>
      <c r="AT2418" s="73"/>
      <c r="AU2418" s="73"/>
      <c r="AV2418" s="73"/>
      <c r="AW2418" s="73"/>
      <c r="AX2418" s="73"/>
      <c r="AY2418" s="73"/>
      <c r="AZ2418" s="73"/>
      <c r="BA2418" s="73"/>
      <c r="BB2418" s="73"/>
      <c r="BC2418" s="73"/>
      <c r="BD2418" s="73"/>
      <c r="BE2418" s="73"/>
      <c r="BF2418" s="73"/>
      <c r="BG2418" s="73"/>
      <c r="BH2418" s="73"/>
      <c r="BI2418" s="73"/>
      <c r="BJ2418" s="73"/>
      <c r="BK2418" s="73"/>
      <c r="BL2418" s="73"/>
      <c r="BM2418" s="73"/>
      <c r="BN2418" s="73"/>
      <c r="BO2418" s="73"/>
      <c r="BP2418" s="73"/>
      <c r="BQ2418" s="73"/>
      <c r="BR2418" s="73"/>
      <c r="BS2418" s="73"/>
      <c r="BT2418" s="73"/>
      <c r="BU2418" s="73"/>
      <c r="BV2418" s="73"/>
      <c r="BW2418" s="73"/>
      <c r="BX2418" s="73"/>
      <c r="BY2418" s="73"/>
      <c r="BZ2418" s="73"/>
      <c r="CA2418" s="73"/>
      <c r="CB2418" s="73"/>
      <c r="CC2418" s="73"/>
      <c r="CD2418" s="73"/>
      <c r="CE2418" s="73"/>
      <c r="CF2418" s="73"/>
      <c r="CG2418" s="73"/>
      <c r="CH2418" s="73"/>
    </row>
    <row r="2419">
      <c r="A2419" s="80"/>
      <c r="B2419" s="80"/>
      <c r="C2419" s="80"/>
      <c r="D2419" s="80"/>
      <c r="E2419" s="124"/>
      <c r="F2419" s="80"/>
      <c r="G2419" s="80"/>
      <c r="H2419" s="80"/>
      <c r="I2419" s="80"/>
      <c r="J2419" s="196"/>
      <c r="K2419" s="196"/>
      <c r="L2419" s="196"/>
      <c r="M2419" s="196"/>
      <c r="N2419" s="196"/>
      <c r="O2419" s="196"/>
      <c r="P2419" s="196"/>
      <c r="Q2419" s="196"/>
      <c r="R2419" s="196"/>
      <c r="S2419" s="196"/>
      <c r="T2419" s="196"/>
      <c r="U2419" s="196"/>
      <c r="V2419" s="196"/>
      <c r="W2419" s="196"/>
      <c r="X2419" s="196"/>
      <c r="Y2419" s="196"/>
      <c r="Z2419" s="196"/>
      <c r="AA2419" s="196"/>
      <c r="AB2419" s="196"/>
      <c r="AC2419" s="196"/>
      <c r="AD2419" s="196"/>
      <c r="AE2419" s="196"/>
      <c r="AF2419" s="196"/>
      <c r="AG2419" s="196"/>
      <c r="AH2419" s="196"/>
      <c r="AI2419" s="196"/>
      <c r="AJ2419" s="197"/>
      <c r="AK2419" s="80"/>
      <c r="AL2419" s="80"/>
      <c r="AM2419" s="73"/>
      <c r="AN2419" s="73"/>
      <c r="AO2419" s="73"/>
      <c r="AP2419" s="73"/>
      <c r="AQ2419" s="73"/>
      <c r="AR2419" s="73"/>
      <c r="AS2419" s="73"/>
      <c r="AT2419" s="73"/>
      <c r="AU2419" s="73"/>
      <c r="AV2419" s="73"/>
      <c r="AW2419" s="73"/>
      <c r="AX2419" s="73"/>
      <c r="AY2419" s="73"/>
      <c r="AZ2419" s="73"/>
      <c r="BA2419" s="73"/>
      <c r="BB2419" s="73"/>
      <c r="BC2419" s="73"/>
      <c r="BD2419" s="73"/>
      <c r="BE2419" s="73"/>
      <c r="BF2419" s="73"/>
      <c r="BG2419" s="73"/>
      <c r="BH2419" s="73"/>
      <c r="BI2419" s="73"/>
      <c r="BJ2419" s="73"/>
      <c r="BK2419" s="73"/>
      <c r="BL2419" s="73"/>
      <c r="BM2419" s="73"/>
      <c r="BN2419" s="73"/>
      <c r="BO2419" s="73"/>
      <c r="BP2419" s="73"/>
      <c r="BQ2419" s="73"/>
      <c r="BR2419" s="73"/>
      <c r="BS2419" s="73"/>
      <c r="BT2419" s="73"/>
      <c r="BU2419" s="73"/>
      <c r="BV2419" s="73"/>
      <c r="BW2419" s="73"/>
      <c r="BX2419" s="73"/>
      <c r="BY2419" s="73"/>
      <c r="BZ2419" s="73"/>
      <c r="CA2419" s="73"/>
      <c r="CB2419" s="73"/>
      <c r="CC2419" s="73"/>
      <c r="CD2419" s="73"/>
      <c r="CE2419" s="73"/>
      <c r="CF2419" s="73"/>
      <c r="CG2419" s="73"/>
      <c r="CH2419" s="73"/>
    </row>
    <row r="2420">
      <c r="A2420" s="80"/>
      <c r="B2420" s="80"/>
      <c r="C2420" s="80"/>
      <c r="D2420" s="80"/>
      <c r="E2420" s="124"/>
      <c r="F2420" s="80"/>
      <c r="G2420" s="80"/>
      <c r="H2420" s="80"/>
      <c r="I2420" s="80"/>
      <c r="J2420" s="196"/>
      <c r="K2420" s="196"/>
      <c r="L2420" s="196"/>
      <c r="M2420" s="196"/>
      <c r="N2420" s="196"/>
      <c r="O2420" s="196"/>
      <c r="P2420" s="196"/>
      <c r="Q2420" s="196"/>
      <c r="R2420" s="196"/>
      <c r="S2420" s="196"/>
      <c r="T2420" s="196"/>
      <c r="U2420" s="196"/>
      <c r="V2420" s="196"/>
      <c r="W2420" s="196"/>
      <c r="X2420" s="196"/>
      <c r="Y2420" s="196"/>
      <c r="Z2420" s="196"/>
      <c r="AA2420" s="196"/>
      <c r="AB2420" s="196"/>
      <c r="AC2420" s="196"/>
      <c r="AD2420" s="196"/>
      <c r="AE2420" s="196"/>
      <c r="AF2420" s="196"/>
      <c r="AG2420" s="196"/>
      <c r="AH2420" s="196"/>
      <c r="AI2420" s="196"/>
      <c r="AJ2420" s="197"/>
      <c r="AK2420" s="80"/>
      <c r="AL2420" s="80"/>
      <c r="AM2420" s="73"/>
      <c r="AN2420" s="73"/>
      <c r="AO2420" s="73"/>
      <c r="AP2420" s="73"/>
      <c r="AQ2420" s="73"/>
      <c r="AR2420" s="73"/>
      <c r="AS2420" s="73"/>
      <c r="AT2420" s="73"/>
      <c r="AU2420" s="73"/>
      <c r="AV2420" s="73"/>
      <c r="AW2420" s="73"/>
      <c r="AX2420" s="73"/>
      <c r="AY2420" s="73"/>
      <c r="AZ2420" s="73"/>
      <c r="BA2420" s="73"/>
      <c r="BB2420" s="73"/>
      <c r="BC2420" s="73"/>
      <c r="BD2420" s="73"/>
      <c r="BE2420" s="73"/>
      <c r="BF2420" s="73"/>
      <c r="BG2420" s="73"/>
      <c r="BH2420" s="73"/>
      <c r="BI2420" s="73"/>
      <c r="BJ2420" s="73"/>
      <c r="BK2420" s="73"/>
      <c r="BL2420" s="73"/>
      <c r="BM2420" s="73"/>
      <c r="BN2420" s="73"/>
      <c r="BO2420" s="73"/>
      <c r="BP2420" s="73"/>
      <c r="BQ2420" s="73"/>
      <c r="BR2420" s="73"/>
      <c r="BS2420" s="73"/>
      <c r="BT2420" s="73"/>
      <c r="BU2420" s="73"/>
      <c r="BV2420" s="73"/>
      <c r="BW2420" s="73"/>
      <c r="BX2420" s="73"/>
      <c r="BY2420" s="73"/>
      <c r="BZ2420" s="73"/>
      <c r="CA2420" s="73"/>
      <c r="CB2420" s="73"/>
      <c r="CC2420" s="73"/>
      <c r="CD2420" s="73"/>
      <c r="CE2420" s="73"/>
      <c r="CF2420" s="73"/>
      <c r="CG2420" s="73"/>
      <c r="CH2420" s="73"/>
    </row>
    <row r="2421">
      <c r="A2421" s="80"/>
      <c r="B2421" s="80"/>
      <c r="C2421" s="80"/>
      <c r="D2421" s="80"/>
      <c r="E2421" s="124"/>
      <c r="F2421" s="80"/>
      <c r="G2421" s="80"/>
      <c r="H2421" s="80"/>
      <c r="I2421" s="80"/>
      <c r="J2421" s="196"/>
      <c r="K2421" s="196"/>
      <c r="L2421" s="196"/>
      <c r="M2421" s="196"/>
      <c r="N2421" s="196"/>
      <c r="O2421" s="196"/>
      <c r="P2421" s="196"/>
      <c r="Q2421" s="196"/>
      <c r="R2421" s="196"/>
      <c r="S2421" s="196"/>
      <c r="T2421" s="196"/>
      <c r="U2421" s="196"/>
      <c r="V2421" s="196"/>
      <c r="W2421" s="196"/>
      <c r="X2421" s="196"/>
      <c r="Y2421" s="196"/>
      <c r="Z2421" s="196"/>
      <c r="AA2421" s="196"/>
      <c r="AB2421" s="196"/>
      <c r="AC2421" s="196"/>
      <c r="AD2421" s="196"/>
      <c r="AE2421" s="196"/>
      <c r="AF2421" s="196"/>
      <c r="AG2421" s="196"/>
      <c r="AH2421" s="196"/>
      <c r="AI2421" s="196"/>
      <c r="AJ2421" s="197"/>
      <c r="AK2421" s="80"/>
      <c r="AL2421" s="80"/>
      <c r="AM2421" s="73"/>
      <c r="AN2421" s="73"/>
      <c r="AO2421" s="73"/>
      <c r="AP2421" s="73"/>
      <c r="AQ2421" s="73"/>
      <c r="AR2421" s="73"/>
      <c r="AS2421" s="73"/>
      <c r="AT2421" s="73"/>
      <c r="AU2421" s="73"/>
      <c r="AV2421" s="73"/>
      <c r="AW2421" s="73"/>
      <c r="AX2421" s="73"/>
      <c r="AY2421" s="73"/>
      <c r="AZ2421" s="73"/>
      <c r="BA2421" s="73"/>
      <c r="BB2421" s="73"/>
      <c r="BC2421" s="73"/>
      <c r="BD2421" s="73"/>
      <c r="BE2421" s="73"/>
      <c r="BF2421" s="73"/>
      <c r="BG2421" s="73"/>
      <c r="BH2421" s="73"/>
      <c r="BI2421" s="73"/>
      <c r="BJ2421" s="73"/>
      <c r="BK2421" s="73"/>
      <c r="BL2421" s="73"/>
      <c r="BM2421" s="73"/>
      <c r="BN2421" s="73"/>
      <c r="BO2421" s="73"/>
      <c r="BP2421" s="73"/>
      <c r="BQ2421" s="73"/>
      <c r="BR2421" s="73"/>
      <c r="BS2421" s="73"/>
      <c r="BT2421" s="73"/>
      <c r="BU2421" s="73"/>
      <c r="BV2421" s="73"/>
      <c r="BW2421" s="73"/>
      <c r="BX2421" s="73"/>
      <c r="BY2421" s="73"/>
      <c r="BZ2421" s="73"/>
      <c r="CA2421" s="73"/>
      <c r="CB2421" s="73"/>
      <c r="CC2421" s="73"/>
      <c r="CD2421" s="73"/>
      <c r="CE2421" s="73"/>
      <c r="CF2421" s="73"/>
      <c r="CG2421" s="73"/>
      <c r="CH2421" s="73"/>
    </row>
    <row r="2422">
      <c r="A2422" s="80"/>
      <c r="B2422" s="80"/>
      <c r="C2422" s="80"/>
      <c r="D2422" s="80"/>
      <c r="E2422" s="124"/>
      <c r="F2422" s="80"/>
      <c r="G2422" s="80"/>
      <c r="H2422" s="80"/>
      <c r="I2422" s="80"/>
      <c r="J2422" s="196"/>
      <c r="K2422" s="196"/>
      <c r="L2422" s="196"/>
      <c r="M2422" s="196"/>
      <c r="N2422" s="196"/>
      <c r="O2422" s="196"/>
      <c r="P2422" s="196"/>
      <c r="Q2422" s="196"/>
      <c r="R2422" s="196"/>
      <c r="S2422" s="196"/>
      <c r="T2422" s="196"/>
      <c r="U2422" s="196"/>
      <c r="V2422" s="196"/>
      <c r="W2422" s="196"/>
      <c r="X2422" s="196"/>
      <c r="Y2422" s="196"/>
      <c r="Z2422" s="196"/>
      <c r="AA2422" s="196"/>
      <c r="AB2422" s="196"/>
      <c r="AC2422" s="196"/>
      <c r="AD2422" s="196"/>
      <c r="AE2422" s="196"/>
      <c r="AF2422" s="196"/>
      <c r="AG2422" s="196"/>
      <c r="AH2422" s="196"/>
      <c r="AI2422" s="196"/>
      <c r="AJ2422" s="197"/>
      <c r="AK2422" s="80"/>
      <c r="AL2422" s="80"/>
      <c r="AM2422" s="73"/>
      <c r="AN2422" s="73"/>
      <c r="AO2422" s="73"/>
      <c r="AP2422" s="73"/>
      <c r="AQ2422" s="73"/>
      <c r="AR2422" s="73"/>
      <c r="AS2422" s="73"/>
      <c r="AT2422" s="73"/>
      <c r="AU2422" s="73"/>
      <c r="AV2422" s="73"/>
      <c r="AW2422" s="73"/>
      <c r="AX2422" s="73"/>
      <c r="AY2422" s="73"/>
      <c r="AZ2422" s="73"/>
      <c r="BA2422" s="73"/>
      <c r="BB2422" s="73"/>
      <c r="BC2422" s="73"/>
      <c r="BD2422" s="73"/>
      <c r="BE2422" s="73"/>
      <c r="BF2422" s="73"/>
      <c r="BG2422" s="73"/>
      <c r="BH2422" s="73"/>
      <c r="BI2422" s="73"/>
      <c r="BJ2422" s="73"/>
      <c r="BK2422" s="73"/>
      <c r="BL2422" s="73"/>
      <c r="BM2422" s="73"/>
      <c r="BN2422" s="73"/>
      <c r="BO2422" s="73"/>
      <c r="BP2422" s="73"/>
      <c r="BQ2422" s="73"/>
      <c r="BR2422" s="73"/>
      <c r="BS2422" s="73"/>
      <c r="BT2422" s="73"/>
      <c r="BU2422" s="73"/>
      <c r="BV2422" s="73"/>
      <c r="BW2422" s="73"/>
      <c r="BX2422" s="73"/>
      <c r="BY2422" s="73"/>
      <c r="BZ2422" s="73"/>
      <c r="CA2422" s="73"/>
      <c r="CB2422" s="73"/>
      <c r="CC2422" s="73"/>
      <c r="CD2422" s="73"/>
      <c r="CE2422" s="73"/>
      <c r="CF2422" s="73"/>
      <c r="CG2422" s="73"/>
      <c r="CH2422" s="73"/>
    </row>
    <row r="2423">
      <c r="A2423" s="80"/>
      <c r="B2423" s="80"/>
      <c r="C2423" s="80"/>
      <c r="D2423" s="80"/>
      <c r="E2423" s="124"/>
      <c r="F2423" s="80"/>
      <c r="G2423" s="80"/>
      <c r="H2423" s="80"/>
      <c r="I2423" s="80"/>
      <c r="J2423" s="196"/>
      <c r="K2423" s="196"/>
      <c r="L2423" s="196"/>
      <c r="M2423" s="196"/>
      <c r="N2423" s="196"/>
      <c r="O2423" s="196"/>
      <c r="P2423" s="196"/>
      <c r="Q2423" s="196"/>
      <c r="R2423" s="196"/>
      <c r="S2423" s="196"/>
      <c r="T2423" s="196"/>
      <c r="U2423" s="196"/>
      <c r="V2423" s="196"/>
      <c r="W2423" s="196"/>
      <c r="X2423" s="196"/>
      <c r="Y2423" s="196"/>
      <c r="Z2423" s="196"/>
      <c r="AA2423" s="196"/>
      <c r="AB2423" s="196"/>
      <c r="AC2423" s="196"/>
      <c r="AD2423" s="196"/>
      <c r="AE2423" s="196"/>
      <c r="AF2423" s="196"/>
      <c r="AG2423" s="196"/>
      <c r="AH2423" s="196"/>
      <c r="AI2423" s="196"/>
      <c r="AJ2423" s="197"/>
      <c r="AK2423" s="80"/>
      <c r="AL2423" s="80"/>
      <c r="AM2423" s="73"/>
      <c r="AN2423" s="73"/>
      <c r="AO2423" s="73"/>
      <c r="AP2423" s="73"/>
      <c r="AQ2423" s="73"/>
      <c r="AR2423" s="73"/>
      <c r="AS2423" s="73"/>
      <c r="AT2423" s="73"/>
      <c r="AU2423" s="73"/>
      <c r="AV2423" s="73"/>
      <c r="AW2423" s="73"/>
      <c r="AX2423" s="73"/>
      <c r="AY2423" s="73"/>
      <c r="AZ2423" s="73"/>
      <c r="BA2423" s="73"/>
      <c r="BB2423" s="73"/>
      <c r="BC2423" s="73"/>
      <c r="BD2423" s="73"/>
      <c r="BE2423" s="73"/>
      <c r="BF2423" s="73"/>
      <c r="BG2423" s="73"/>
      <c r="BH2423" s="73"/>
      <c r="BI2423" s="73"/>
      <c r="BJ2423" s="73"/>
      <c r="BK2423" s="73"/>
      <c r="BL2423" s="73"/>
      <c r="BM2423" s="73"/>
      <c r="BN2423" s="73"/>
      <c r="BO2423" s="73"/>
      <c r="BP2423" s="73"/>
      <c r="BQ2423" s="73"/>
      <c r="BR2423" s="73"/>
      <c r="BS2423" s="73"/>
      <c r="BT2423" s="73"/>
      <c r="BU2423" s="73"/>
      <c r="BV2423" s="73"/>
      <c r="BW2423" s="73"/>
      <c r="BX2423" s="73"/>
      <c r="BY2423" s="73"/>
      <c r="BZ2423" s="73"/>
      <c r="CA2423" s="73"/>
      <c r="CB2423" s="73"/>
      <c r="CC2423" s="73"/>
      <c r="CD2423" s="73"/>
      <c r="CE2423" s="73"/>
      <c r="CF2423" s="73"/>
      <c r="CG2423" s="73"/>
      <c r="CH2423" s="73"/>
    </row>
    <row r="2424">
      <c r="A2424" s="80"/>
      <c r="B2424" s="80"/>
      <c r="C2424" s="80"/>
      <c r="D2424" s="80"/>
      <c r="E2424" s="124"/>
      <c r="F2424" s="80"/>
      <c r="G2424" s="80"/>
      <c r="H2424" s="80"/>
      <c r="I2424" s="80"/>
      <c r="J2424" s="196"/>
      <c r="K2424" s="196"/>
      <c r="L2424" s="196"/>
      <c r="M2424" s="196"/>
      <c r="N2424" s="196"/>
      <c r="O2424" s="196"/>
      <c r="P2424" s="196"/>
      <c r="Q2424" s="196"/>
      <c r="R2424" s="196"/>
      <c r="S2424" s="196"/>
      <c r="T2424" s="196"/>
      <c r="U2424" s="196"/>
      <c r="V2424" s="196"/>
      <c r="W2424" s="196"/>
      <c r="X2424" s="196"/>
      <c r="Y2424" s="196"/>
      <c r="Z2424" s="196"/>
      <c r="AA2424" s="196"/>
      <c r="AB2424" s="196"/>
      <c r="AC2424" s="196"/>
      <c r="AD2424" s="196"/>
      <c r="AE2424" s="196"/>
      <c r="AF2424" s="196"/>
      <c r="AG2424" s="196"/>
      <c r="AH2424" s="196"/>
      <c r="AI2424" s="196"/>
      <c r="AJ2424" s="197"/>
      <c r="AK2424" s="80"/>
      <c r="AL2424" s="80"/>
      <c r="AM2424" s="73"/>
      <c r="AN2424" s="73"/>
      <c r="AO2424" s="73"/>
      <c r="AP2424" s="73"/>
      <c r="AQ2424" s="73"/>
      <c r="AR2424" s="73"/>
      <c r="AS2424" s="73"/>
      <c r="AT2424" s="73"/>
      <c r="AU2424" s="73"/>
      <c r="AV2424" s="73"/>
      <c r="AW2424" s="73"/>
      <c r="AX2424" s="73"/>
      <c r="AY2424" s="73"/>
      <c r="AZ2424" s="73"/>
      <c r="BA2424" s="73"/>
      <c r="BB2424" s="73"/>
      <c r="BC2424" s="73"/>
      <c r="BD2424" s="73"/>
      <c r="BE2424" s="73"/>
      <c r="BF2424" s="73"/>
      <c r="BG2424" s="73"/>
      <c r="BH2424" s="73"/>
      <c r="BI2424" s="73"/>
      <c r="BJ2424" s="73"/>
      <c r="BK2424" s="73"/>
      <c r="BL2424" s="73"/>
      <c r="BM2424" s="73"/>
      <c r="BN2424" s="73"/>
      <c r="BO2424" s="73"/>
      <c r="BP2424" s="73"/>
      <c r="BQ2424" s="73"/>
      <c r="BR2424" s="73"/>
      <c r="BS2424" s="73"/>
      <c r="BT2424" s="73"/>
      <c r="BU2424" s="73"/>
      <c r="BV2424" s="73"/>
      <c r="BW2424" s="73"/>
      <c r="BX2424" s="73"/>
      <c r="BY2424" s="73"/>
      <c r="BZ2424" s="73"/>
      <c r="CA2424" s="73"/>
      <c r="CB2424" s="73"/>
      <c r="CC2424" s="73"/>
      <c r="CD2424" s="73"/>
      <c r="CE2424" s="73"/>
      <c r="CF2424" s="73"/>
      <c r="CG2424" s="73"/>
      <c r="CH2424" s="73"/>
    </row>
    <row r="2425">
      <c r="A2425" s="80"/>
      <c r="B2425" s="80"/>
      <c r="C2425" s="80"/>
      <c r="D2425" s="80"/>
      <c r="E2425" s="124"/>
      <c r="F2425" s="80"/>
      <c r="G2425" s="80"/>
      <c r="H2425" s="80"/>
      <c r="I2425" s="80"/>
      <c r="J2425" s="196"/>
      <c r="K2425" s="196"/>
      <c r="L2425" s="196"/>
      <c r="M2425" s="196"/>
      <c r="N2425" s="196"/>
      <c r="O2425" s="196"/>
      <c r="P2425" s="196"/>
      <c r="Q2425" s="196"/>
      <c r="R2425" s="196"/>
      <c r="S2425" s="196"/>
      <c r="T2425" s="196"/>
      <c r="U2425" s="196"/>
      <c r="V2425" s="196"/>
      <c r="W2425" s="196"/>
      <c r="X2425" s="196"/>
      <c r="Y2425" s="196"/>
      <c r="Z2425" s="196"/>
      <c r="AA2425" s="196"/>
      <c r="AB2425" s="196"/>
      <c r="AC2425" s="196"/>
      <c r="AD2425" s="196"/>
      <c r="AE2425" s="196"/>
      <c r="AF2425" s="196"/>
      <c r="AG2425" s="196"/>
      <c r="AH2425" s="196"/>
      <c r="AI2425" s="196"/>
      <c r="AJ2425" s="197"/>
      <c r="AK2425" s="80"/>
      <c r="AL2425" s="80"/>
      <c r="AM2425" s="73"/>
      <c r="AN2425" s="73"/>
      <c r="AO2425" s="73"/>
      <c r="AP2425" s="73"/>
      <c r="AQ2425" s="73"/>
      <c r="AR2425" s="73"/>
      <c r="AS2425" s="73"/>
      <c r="AT2425" s="73"/>
      <c r="AU2425" s="73"/>
      <c r="AV2425" s="73"/>
      <c r="AW2425" s="73"/>
      <c r="AX2425" s="73"/>
      <c r="AY2425" s="73"/>
      <c r="AZ2425" s="73"/>
      <c r="BA2425" s="73"/>
      <c r="BB2425" s="73"/>
      <c r="BC2425" s="73"/>
      <c r="BD2425" s="73"/>
      <c r="BE2425" s="73"/>
      <c r="BF2425" s="73"/>
      <c r="BG2425" s="73"/>
      <c r="BH2425" s="73"/>
      <c r="BI2425" s="73"/>
      <c r="BJ2425" s="73"/>
      <c r="BK2425" s="73"/>
      <c r="BL2425" s="73"/>
      <c r="BM2425" s="73"/>
      <c r="BN2425" s="73"/>
      <c r="BO2425" s="73"/>
      <c r="BP2425" s="73"/>
      <c r="BQ2425" s="73"/>
      <c r="BR2425" s="73"/>
      <c r="BS2425" s="73"/>
      <c r="BT2425" s="73"/>
      <c r="BU2425" s="73"/>
      <c r="BV2425" s="73"/>
      <c r="BW2425" s="73"/>
      <c r="BX2425" s="73"/>
      <c r="BY2425" s="73"/>
      <c r="BZ2425" s="73"/>
      <c r="CA2425" s="73"/>
      <c r="CB2425" s="73"/>
      <c r="CC2425" s="73"/>
      <c r="CD2425" s="73"/>
      <c r="CE2425" s="73"/>
      <c r="CF2425" s="73"/>
      <c r="CG2425" s="73"/>
      <c r="CH2425" s="73"/>
    </row>
    <row r="2426">
      <c r="A2426" s="80"/>
      <c r="B2426" s="80"/>
      <c r="C2426" s="80"/>
      <c r="D2426" s="80"/>
      <c r="E2426" s="124"/>
      <c r="F2426" s="80"/>
      <c r="G2426" s="80"/>
      <c r="H2426" s="80"/>
      <c r="I2426" s="80"/>
      <c r="J2426" s="196"/>
      <c r="K2426" s="196"/>
      <c r="L2426" s="196"/>
      <c r="M2426" s="196"/>
      <c r="N2426" s="196"/>
      <c r="O2426" s="196"/>
      <c r="P2426" s="196"/>
      <c r="Q2426" s="196"/>
      <c r="R2426" s="196"/>
      <c r="S2426" s="196"/>
      <c r="T2426" s="196"/>
      <c r="U2426" s="196"/>
      <c r="V2426" s="196"/>
      <c r="W2426" s="196"/>
      <c r="X2426" s="196"/>
      <c r="Y2426" s="196"/>
      <c r="Z2426" s="196"/>
      <c r="AA2426" s="196"/>
      <c r="AB2426" s="196"/>
      <c r="AC2426" s="196"/>
      <c r="AD2426" s="196"/>
      <c r="AE2426" s="196"/>
      <c r="AF2426" s="196"/>
      <c r="AG2426" s="196"/>
      <c r="AH2426" s="196"/>
      <c r="AI2426" s="196"/>
      <c r="AJ2426" s="197"/>
      <c r="AK2426" s="80"/>
      <c r="AL2426" s="80"/>
      <c r="AM2426" s="73"/>
      <c r="AN2426" s="73"/>
      <c r="AO2426" s="73"/>
      <c r="AP2426" s="73"/>
      <c r="AQ2426" s="73"/>
      <c r="AR2426" s="73"/>
      <c r="AS2426" s="73"/>
      <c r="AT2426" s="73"/>
      <c r="AU2426" s="73"/>
      <c r="AV2426" s="73"/>
      <c r="AW2426" s="73"/>
      <c r="AX2426" s="73"/>
      <c r="AY2426" s="73"/>
      <c r="AZ2426" s="73"/>
      <c r="BA2426" s="73"/>
      <c r="BB2426" s="73"/>
      <c r="BC2426" s="73"/>
      <c r="BD2426" s="73"/>
      <c r="BE2426" s="73"/>
      <c r="BF2426" s="73"/>
      <c r="BG2426" s="73"/>
      <c r="BH2426" s="73"/>
      <c r="BI2426" s="73"/>
      <c r="BJ2426" s="73"/>
      <c r="BK2426" s="73"/>
      <c r="BL2426" s="73"/>
      <c r="BM2426" s="73"/>
      <c r="BN2426" s="73"/>
      <c r="BO2426" s="73"/>
      <c r="BP2426" s="73"/>
      <c r="BQ2426" s="73"/>
      <c r="BR2426" s="73"/>
      <c r="BS2426" s="73"/>
      <c r="BT2426" s="73"/>
      <c r="BU2426" s="73"/>
      <c r="BV2426" s="73"/>
      <c r="BW2426" s="73"/>
      <c r="BX2426" s="73"/>
      <c r="BY2426" s="73"/>
      <c r="BZ2426" s="73"/>
      <c r="CA2426" s="73"/>
      <c r="CB2426" s="73"/>
      <c r="CC2426" s="73"/>
      <c r="CD2426" s="73"/>
      <c r="CE2426" s="73"/>
      <c r="CF2426" s="73"/>
      <c r="CG2426" s="73"/>
      <c r="CH2426" s="73"/>
    </row>
    <row r="2427">
      <c r="A2427" s="80"/>
      <c r="B2427" s="80"/>
      <c r="C2427" s="80"/>
      <c r="D2427" s="80"/>
      <c r="E2427" s="124"/>
      <c r="F2427" s="80"/>
      <c r="G2427" s="80"/>
      <c r="H2427" s="80"/>
      <c r="I2427" s="80"/>
      <c r="J2427" s="196"/>
      <c r="K2427" s="196"/>
      <c r="L2427" s="196"/>
      <c r="M2427" s="196"/>
      <c r="N2427" s="196"/>
      <c r="O2427" s="196"/>
      <c r="P2427" s="196"/>
      <c r="Q2427" s="196"/>
      <c r="R2427" s="196"/>
      <c r="S2427" s="196"/>
      <c r="T2427" s="196"/>
      <c r="U2427" s="196"/>
      <c r="V2427" s="196"/>
      <c r="W2427" s="196"/>
      <c r="X2427" s="196"/>
      <c r="Y2427" s="196"/>
      <c r="Z2427" s="196"/>
      <c r="AA2427" s="196"/>
      <c r="AB2427" s="196"/>
      <c r="AC2427" s="196"/>
      <c r="AD2427" s="196"/>
      <c r="AE2427" s="196"/>
      <c r="AF2427" s="196"/>
      <c r="AG2427" s="196"/>
      <c r="AH2427" s="196"/>
      <c r="AI2427" s="196"/>
      <c r="AJ2427" s="197"/>
      <c r="AK2427" s="80"/>
      <c r="AL2427" s="80"/>
      <c r="AM2427" s="73"/>
      <c r="AN2427" s="73"/>
      <c r="AO2427" s="73"/>
      <c r="AP2427" s="73"/>
      <c r="AQ2427" s="73"/>
      <c r="AR2427" s="73"/>
      <c r="AS2427" s="73"/>
      <c r="AT2427" s="73"/>
      <c r="AU2427" s="73"/>
      <c r="AV2427" s="73"/>
      <c r="AW2427" s="73"/>
      <c r="AX2427" s="73"/>
      <c r="AY2427" s="73"/>
      <c r="AZ2427" s="73"/>
      <c r="BA2427" s="73"/>
      <c r="BB2427" s="73"/>
      <c r="BC2427" s="73"/>
      <c r="BD2427" s="73"/>
      <c r="BE2427" s="73"/>
      <c r="BF2427" s="73"/>
      <c r="BG2427" s="73"/>
      <c r="BH2427" s="73"/>
      <c r="BI2427" s="73"/>
      <c r="BJ2427" s="73"/>
      <c r="BK2427" s="73"/>
      <c r="BL2427" s="73"/>
      <c r="BM2427" s="73"/>
      <c r="BN2427" s="73"/>
      <c r="BO2427" s="73"/>
      <c r="BP2427" s="73"/>
      <c r="BQ2427" s="73"/>
      <c r="BR2427" s="73"/>
      <c r="BS2427" s="73"/>
      <c r="BT2427" s="73"/>
      <c r="BU2427" s="73"/>
      <c r="BV2427" s="73"/>
      <c r="BW2427" s="73"/>
      <c r="BX2427" s="73"/>
      <c r="BY2427" s="73"/>
      <c r="BZ2427" s="73"/>
      <c r="CA2427" s="73"/>
      <c r="CB2427" s="73"/>
      <c r="CC2427" s="73"/>
      <c r="CD2427" s="73"/>
      <c r="CE2427" s="73"/>
      <c r="CF2427" s="73"/>
      <c r="CG2427" s="73"/>
      <c r="CH2427" s="73"/>
    </row>
    <row r="2428">
      <c r="A2428" s="80"/>
      <c r="B2428" s="80"/>
      <c r="C2428" s="80"/>
      <c r="D2428" s="80"/>
      <c r="E2428" s="124"/>
      <c r="F2428" s="80"/>
      <c r="G2428" s="80"/>
      <c r="H2428" s="80"/>
      <c r="I2428" s="80"/>
      <c r="J2428" s="196"/>
      <c r="K2428" s="196"/>
      <c r="L2428" s="196"/>
      <c r="M2428" s="196"/>
      <c r="N2428" s="196"/>
      <c r="O2428" s="196"/>
      <c r="P2428" s="196"/>
      <c r="Q2428" s="196"/>
      <c r="R2428" s="196"/>
      <c r="S2428" s="196"/>
      <c r="T2428" s="196"/>
      <c r="U2428" s="196"/>
      <c r="V2428" s="196"/>
      <c r="W2428" s="196"/>
      <c r="X2428" s="196"/>
      <c r="Y2428" s="196"/>
      <c r="Z2428" s="196"/>
      <c r="AA2428" s="196"/>
      <c r="AB2428" s="196"/>
      <c r="AC2428" s="196"/>
      <c r="AD2428" s="196"/>
      <c r="AE2428" s="196"/>
      <c r="AF2428" s="196"/>
      <c r="AG2428" s="196"/>
      <c r="AH2428" s="196"/>
      <c r="AI2428" s="196"/>
      <c r="AJ2428" s="197"/>
      <c r="AK2428" s="80"/>
      <c r="AL2428" s="80"/>
      <c r="AM2428" s="73"/>
      <c r="AN2428" s="73"/>
      <c r="AO2428" s="73"/>
      <c r="AP2428" s="73"/>
      <c r="AQ2428" s="73"/>
      <c r="AR2428" s="73"/>
      <c r="AS2428" s="73"/>
      <c r="AT2428" s="73"/>
      <c r="AU2428" s="73"/>
      <c r="AV2428" s="73"/>
      <c r="AW2428" s="73"/>
      <c r="AX2428" s="73"/>
      <c r="AY2428" s="73"/>
      <c r="AZ2428" s="73"/>
      <c r="BA2428" s="73"/>
      <c r="BB2428" s="73"/>
      <c r="BC2428" s="73"/>
      <c r="BD2428" s="73"/>
      <c r="BE2428" s="73"/>
      <c r="BF2428" s="73"/>
      <c r="BG2428" s="73"/>
      <c r="BH2428" s="73"/>
      <c r="BI2428" s="73"/>
      <c r="BJ2428" s="73"/>
      <c r="BK2428" s="73"/>
      <c r="BL2428" s="73"/>
      <c r="BM2428" s="73"/>
      <c r="BN2428" s="73"/>
      <c r="BO2428" s="73"/>
      <c r="BP2428" s="73"/>
      <c r="BQ2428" s="73"/>
      <c r="BR2428" s="73"/>
      <c r="BS2428" s="73"/>
      <c r="BT2428" s="73"/>
      <c r="BU2428" s="73"/>
      <c r="BV2428" s="73"/>
      <c r="BW2428" s="73"/>
      <c r="BX2428" s="73"/>
      <c r="BY2428" s="73"/>
      <c r="BZ2428" s="73"/>
      <c r="CA2428" s="73"/>
      <c r="CB2428" s="73"/>
      <c r="CC2428" s="73"/>
      <c r="CD2428" s="73"/>
      <c r="CE2428" s="73"/>
      <c r="CF2428" s="73"/>
      <c r="CG2428" s="73"/>
      <c r="CH2428" s="73"/>
    </row>
    <row r="2429">
      <c r="A2429" s="80"/>
      <c r="B2429" s="80"/>
      <c r="C2429" s="80"/>
      <c r="D2429" s="80"/>
      <c r="E2429" s="124"/>
      <c r="F2429" s="80"/>
      <c r="G2429" s="80"/>
      <c r="H2429" s="80"/>
      <c r="I2429" s="80"/>
      <c r="J2429" s="196"/>
      <c r="K2429" s="196"/>
      <c r="L2429" s="196"/>
      <c r="M2429" s="196"/>
      <c r="N2429" s="196"/>
      <c r="O2429" s="196"/>
      <c r="P2429" s="196"/>
      <c r="Q2429" s="196"/>
      <c r="R2429" s="196"/>
      <c r="S2429" s="196"/>
      <c r="T2429" s="196"/>
      <c r="U2429" s="196"/>
      <c r="V2429" s="196"/>
      <c r="W2429" s="196"/>
      <c r="X2429" s="196"/>
      <c r="Y2429" s="196"/>
      <c r="Z2429" s="196"/>
      <c r="AA2429" s="196"/>
      <c r="AB2429" s="196"/>
      <c r="AC2429" s="196"/>
      <c r="AD2429" s="196"/>
      <c r="AE2429" s="196"/>
      <c r="AF2429" s="196"/>
      <c r="AG2429" s="196"/>
      <c r="AH2429" s="196"/>
      <c r="AI2429" s="196"/>
      <c r="AJ2429" s="197"/>
      <c r="AK2429" s="80"/>
      <c r="AL2429" s="80"/>
      <c r="AM2429" s="73"/>
      <c r="AN2429" s="73"/>
      <c r="AO2429" s="73"/>
      <c r="AP2429" s="73"/>
      <c r="AQ2429" s="73"/>
      <c r="AR2429" s="73"/>
      <c r="AS2429" s="73"/>
      <c r="AT2429" s="73"/>
      <c r="AU2429" s="73"/>
      <c r="AV2429" s="73"/>
      <c r="AW2429" s="73"/>
      <c r="AX2429" s="73"/>
      <c r="AY2429" s="73"/>
      <c r="AZ2429" s="73"/>
      <c r="BA2429" s="73"/>
      <c r="BB2429" s="73"/>
      <c r="BC2429" s="73"/>
      <c r="BD2429" s="73"/>
      <c r="BE2429" s="73"/>
      <c r="BF2429" s="73"/>
      <c r="BG2429" s="73"/>
      <c r="BH2429" s="73"/>
      <c r="BI2429" s="73"/>
      <c r="BJ2429" s="73"/>
      <c r="BK2429" s="73"/>
      <c r="BL2429" s="73"/>
      <c r="BM2429" s="73"/>
      <c r="BN2429" s="73"/>
      <c r="BO2429" s="73"/>
      <c r="BP2429" s="73"/>
      <c r="BQ2429" s="73"/>
      <c r="BR2429" s="73"/>
      <c r="BS2429" s="73"/>
      <c r="BT2429" s="73"/>
      <c r="BU2429" s="73"/>
      <c r="BV2429" s="73"/>
      <c r="BW2429" s="73"/>
      <c r="BX2429" s="73"/>
      <c r="BY2429" s="73"/>
      <c r="BZ2429" s="73"/>
      <c r="CA2429" s="73"/>
      <c r="CB2429" s="73"/>
      <c r="CC2429" s="73"/>
      <c r="CD2429" s="73"/>
      <c r="CE2429" s="73"/>
      <c r="CF2429" s="73"/>
      <c r="CG2429" s="73"/>
      <c r="CH2429" s="73"/>
    </row>
    <row r="2430">
      <c r="A2430" s="80"/>
      <c r="B2430" s="80"/>
      <c r="C2430" s="80"/>
      <c r="D2430" s="80"/>
      <c r="E2430" s="124"/>
      <c r="F2430" s="80"/>
      <c r="G2430" s="80"/>
      <c r="H2430" s="80"/>
      <c r="I2430" s="80"/>
      <c r="J2430" s="196"/>
      <c r="K2430" s="196"/>
      <c r="L2430" s="196"/>
      <c r="M2430" s="196"/>
      <c r="N2430" s="196"/>
      <c r="O2430" s="196"/>
      <c r="P2430" s="196"/>
      <c r="Q2430" s="196"/>
      <c r="R2430" s="196"/>
      <c r="S2430" s="196"/>
      <c r="T2430" s="196"/>
      <c r="U2430" s="196"/>
      <c r="V2430" s="196"/>
      <c r="W2430" s="196"/>
      <c r="X2430" s="196"/>
      <c r="Y2430" s="196"/>
      <c r="Z2430" s="196"/>
      <c r="AA2430" s="196"/>
      <c r="AB2430" s="196"/>
      <c r="AC2430" s="196"/>
      <c r="AD2430" s="196"/>
      <c r="AE2430" s="196"/>
      <c r="AF2430" s="196"/>
      <c r="AG2430" s="196"/>
      <c r="AH2430" s="196"/>
      <c r="AI2430" s="196"/>
      <c r="AJ2430" s="197"/>
      <c r="AK2430" s="80"/>
      <c r="AL2430" s="80"/>
      <c r="AM2430" s="73"/>
      <c r="AN2430" s="73"/>
      <c r="AO2430" s="73"/>
      <c r="AP2430" s="73"/>
      <c r="AQ2430" s="73"/>
      <c r="AR2430" s="73"/>
      <c r="AS2430" s="73"/>
      <c r="AT2430" s="73"/>
      <c r="AU2430" s="73"/>
      <c r="AV2430" s="73"/>
      <c r="AW2430" s="73"/>
      <c r="AX2430" s="73"/>
      <c r="AY2430" s="73"/>
      <c r="AZ2430" s="73"/>
      <c r="BA2430" s="73"/>
      <c r="BB2430" s="73"/>
      <c r="BC2430" s="73"/>
      <c r="BD2430" s="73"/>
      <c r="BE2430" s="73"/>
      <c r="BF2430" s="73"/>
      <c r="BG2430" s="73"/>
      <c r="BH2430" s="73"/>
      <c r="BI2430" s="73"/>
      <c r="BJ2430" s="73"/>
      <c r="BK2430" s="73"/>
      <c r="BL2430" s="73"/>
      <c r="BM2430" s="73"/>
      <c r="BN2430" s="73"/>
      <c r="BO2430" s="73"/>
      <c r="BP2430" s="73"/>
      <c r="BQ2430" s="73"/>
      <c r="BR2430" s="73"/>
      <c r="BS2430" s="73"/>
      <c r="BT2430" s="73"/>
      <c r="BU2430" s="73"/>
      <c r="BV2430" s="73"/>
      <c r="BW2430" s="73"/>
      <c r="BX2430" s="73"/>
      <c r="BY2430" s="73"/>
      <c r="BZ2430" s="73"/>
      <c r="CA2430" s="73"/>
      <c r="CB2430" s="73"/>
      <c r="CC2430" s="73"/>
      <c r="CD2430" s="73"/>
      <c r="CE2430" s="73"/>
      <c r="CF2430" s="73"/>
      <c r="CG2430" s="73"/>
      <c r="CH2430" s="73"/>
    </row>
    <row r="2431">
      <c r="A2431" s="80"/>
      <c r="B2431" s="80"/>
      <c r="C2431" s="80"/>
      <c r="D2431" s="80"/>
      <c r="E2431" s="124"/>
      <c r="F2431" s="80"/>
      <c r="G2431" s="80"/>
      <c r="H2431" s="80"/>
      <c r="I2431" s="80"/>
      <c r="J2431" s="196"/>
      <c r="K2431" s="196"/>
      <c r="L2431" s="196"/>
      <c r="M2431" s="196"/>
      <c r="N2431" s="196"/>
      <c r="O2431" s="196"/>
      <c r="P2431" s="196"/>
      <c r="Q2431" s="196"/>
      <c r="R2431" s="196"/>
      <c r="S2431" s="196"/>
      <c r="T2431" s="196"/>
      <c r="U2431" s="196"/>
      <c r="V2431" s="196"/>
      <c r="W2431" s="196"/>
      <c r="X2431" s="196"/>
      <c r="Y2431" s="196"/>
      <c r="Z2431" s="196"/>
      <c r="AA2431" s="196"/>
      <c r="AB2431" s="196"/>
      <c r="AC2431" s="196"/>
      <c r="AD2431" s="196"/>
      <c r="AE2431" s="196"/>
      <c r="AF2431" s="196"/>
      <c r="AG2431" s="196"/>
      <c r="AH2431" s="196"/>
      <c r="AI2431" s="196"/>
      <c r="AJ2431" s="197"/>
      <c r="AK2431" s="80"/>
      <c r="AL2431" s="80"/>
      <c r="AM2431" s="73"/>
      <c r="AN2431" s="73"/>
      <c r="AO2431" s="73"/>
      <c r="AP2431" s="73"/>
      <c r="AQ2431" s="73"/>
      <c r="AR2431" s="73"/>
      <c r="AS2431" s="73"/>
      <c r="AT2431" s="73"/>
      <c r="AU2431" s="73"/>
      <c r="AV2431" s="73"/>
      <c r="AW2431" s="73"/>
      <c r="AX2431" s="73"/>
      <c r="AY2431" s="73"/>
      <c r="AZ2431" s="73"/>
      <c r="BA2431" s="73"/>
      <c r="BB2431" s="73"/>
      <c r="BC2431" s="73"/>
      <c r="BD2431" s="73"/>
      <c r="BE2431" s="73"/>
      <c r="BF2431" s="73"/>
      <c r="BG2431" s="73"/>
      <c r="BH2431" s="73"/>
      <c r="BI2431" s="73"/>
      <c r="BJ2431" s="73"/>
      <c r="BK2431" s="73"/>
      <c r="BL2431" s="73"/>
      <c r="BM2431" s="73"/>
      <c r="BN2431" s="73"/>
      <c r="BO2431" s="73"/>
      <c r="BP2431" s="73"/>
      <c r="BQ2431" s="73"/>
      <c r="BR2431" s="73"/>
      <c r="BS2431" s="73"/>
      <c r="BT2431" s="73"/>
      <c r="BU2431" s="73"/>
      <c r="BV2431" s="73"/>
      <c r="BW2431" s="73"/>
      <c r="BX2431" s="73"/>
      <c r="BY2431" s="73"/>
      <c r="BZ2431" s="73"/>
      <c r="CA2431" s="73"/>
      <c r="CB2431" s="73"/>
      <c r="CC2431" s="73"/>
      <c r="CD2431" s="73"/>
      <c r="CE2431" s="73"/>
      <c r="CF2431" s="73"/>
      <c r="CG2431" s="73"/>
      <c r="CH2431" s="73"/>
    </row>
    <row r="2432">
      <c r="A2432" s="80"/>
      <c r="B2432" s="80"/>
      <c r="C2432" s="80"/>
      <c r="D2432" s="80"/>
      <c r="E2432" s="124"/>
      <c r="F2432" s="80"/>
      <c r="G2432" s="80"/>
      <c r="H2432" s="80"/>
      <c r="I2432" s="80"/>
      <c r="J2432" s="196"/>
      <c r="K2432" s="196"/>
      <c r="L2432" s="196"/>
      <c r="M2432" s="196"/>
      <c r="N2432" s="196"/>
      <c r="O2432" s="196"/>
      <c r="P2432" s="196"/>
      <c r="Q2432" s="196"/>
      <c r="R2432" s="196"/>
      <c r="S2432" s="196"/>
      <c r="T2432" s="196"/>
      <c r="U2432" s="196"/>
      <c r="V2432" s="196"/>
      <c r="W2432" s="196"/>
      <c r="X2432" s="196"/>
      <c r="Y2432" s="196"/>
      <c r="Z2432" s="196"/>
      <c r="AA2432" s="196"/>
      <c r="AB2432" s="196"/>
      <c r="AC2432" s="196"/>
      <c r="AD2432" s="196"/>
      <c r="AE2432" s="196"/>
      <c r="AF2432" s="196"/>
      <c r="AG2432" s="196"/>
      <c r="AH2432" s="196"/>
      <c r="AI2432" s="196"/>
      <c r="AJ2432" s="197"/>
      <c r="AK2432" s="80"/>
      <c r="AL2432" s="80"/>
      <c r="AM2432" s="73"/>
      <c r="AN2432" s="73"/>
      <c r="AO2432" s="73"/>
      <c r="AP2432" s="73"/>
      <c r="AQ2432" s="73"/>
      <c r="AR2432" s="73"/>
      <c r="AS2432" s="73"/>
      <c r="AT2432" s="73"/>
      <c r="AU2432" s="73"/>
      <c r="AV2432" s="73"/>
      <c r="AW2432" s="73"/>
      <c r="AX2432" s="73"/>
      <c r="AY2432" s="73"/>
      <c r="AZ2432" s="73"/>
      <c r="BA2432" s="73"/>
      <c r="BB2432" s="73"/>
      <c r="BC2432" s="73"/>
      <c r="BD2432" s="73"/>
      <c r="BE2432" s="73"/>
      <c r="BF2432" s="73"/>
      <c r="BG2432" s="73"/>
      <c r="BH2432" s="73"/>
      <c r="BI2432" s="73"/>
      <c r="BJ2432" s="73"/>
      <c r="BK2432" s="73"/>
      <c r="BL2432" s="73"/>
      <c r="BM2432" s="73"/>
      <c r="BN2432" s="73"/>
      <c r="BO2432" s="73"/>
      <c r="BP2432" s="73"/>
      <c r="BQ2432" s="73"/>
      <c r="BR2432" s="73"/>
      <c r="BS2432" s="73"/>
      <c r="BT2432" s="73"/>
      <c r="BU2432" s="73"/>
      <c r="BV2432" s="73"/>
      <c r="BW2432" s="73"/>
      <c r="BX2432" s="73"/>
      <c r="BY2432" s="73"/>
      <c r="BZ2432" s="73"/>
      <c r="CA2432" s="73"/>
      <c r="CB2432" s="73"/>
      <c r="CC2432" s="73"/>
      <c r="CD2432" s="73"/>
      <c r="CE2432" s="73"/>
      <c r="CF2432" s="73"/>
      <c r="CG2432" s="73"/>
      <c r="CH2432" s="73"/>
    </row>
    <row r="2433">
      <c r="A2433" s="80"/>
      <c r="B2433" s="80"/>
      <c r="C2433" s="80"/>
      <c r="D2433" s="80"/>
      <c r="E2433" s="124"/>
      <c r="F2433" s="80"/>
      <c r="G2433" s="80"/>
      <c r="H2433" s="80"/>
      <c r="I2433" s="80"/>
      <c r="J2433" s="196"/>
      <c r="K2433" s="196"/>
      <c r="L2433" s="196"/>
      <c r="M2433" s="196"/>
      <c r="N2433" s="196"/>
      <c r="O2433" s="196"/>
      <c r="P2433" s="196"/>
      <c r="Q2433" s="196"/>
      <c r="R2433" s="196"/>
      <c r="S2433" s="196"/>
      <c r="T2433" s="196"/>
      <c r="U2433" s="196"/>
      <c r="V2433" s="196"/>
      <c r="W2433" s="196"/>
      <c r="X2433" s="196"/>
      <c r="Y2433" s="196"/>
      <c r="Z2433" s="196"/>
      <c r="AA2433" s="196"/>
      <c r="AB2433" s="196"/>
      <c r="AC2433" s="196"/>
      <c r="AD2433" s="196"/>
      <c r="AE2433" s="196"/>
      <c r="AF2433" s="196"/>
      <c r="AG2433" s="196"/>
      <c r="AH2433" s="196"/>
      <c r="AI2433" s="196"/>
      <c r="AJ2433" s="197"/>
      <c r="AK2433" s="80"/>
      <c r="AL2433" s="80"/>
      <c r="AM2433" s="73"/>
      <c r="AN2433" s="73"/>
      <c r="AO2433" s="73"/>
      <c r="AP2433" s="73"/>
      <c r="AQ2433" s="73"/>
      <c r="AR2433" s="73"/>
      <c r="AS2433" s="73"/>
      <c r="AT2433" s="73"/>
      <c r="AU2433" s="73"/>
      <c r="AV2433" s="73"/>
      <c r="AW2433" s="73"/>
      <c r="AX2433" s="73"/>
      <c r="AY2433" s="73"/>
      <c r="AZ2433" s="73"/>
      <c r="BA2433" s="73"/>
      <c r="BB2433" s="73"/>
      <c r="BC2433" s="73"/>
      <c r="BD2433" s="73"/>
      <c r="BE2433" s="73"/>
      <c r="BF2433" s="73"/>
      <c r="BG2433" s="73"/>
      <c r="BH2433" s="73"/>
      <c r="BI2433" s="73"/>
      <c r="BJ2433" s="73"/>
      <c r="BK2433" s="73"/>
      <c r="BL2433" s="73"/>
      <c r="BM2433" s="73"/>
      <c r="BN2433" s="73"/>
      <c r="BO2433" s="73"/>
      <c r="BP2433" s="73"/>
      <c r="BQ2433" s="73"/>
      <c r="BR2433" s="73"/>
      <c r="BS2433" s="73"/>
      <c r="BT2433" s="73"/>
      <c r="BU2433" s="73"/>
      <c r="BV2433" s="73"/>
      <c r="BW2433" s="73"/>
      <c r="BX2433" s="73"/>
      <c r="BY2433" s="73"/>
      <c r="BZ2433" s="73"/>
      <c r="CA2433" s="73"/>
      <c r="CB2433" s="73"/>
      <c r="CC2433" s="73"/>
      <c r="CD2433" s="73"/>
      <c r="CE2433" s="73"/>
      <c r="CF2433" s="73"/>
      <c r="CG2433" s="73"/>
      <c r="CH2433" s="73"/>
    </row>
    <row r="2434">
      <c r="A2434" s="80"/>
      <c r="B2434" s="80"/>
      <c r="C2434" s="80"/>
      <c r="D2434" s="80"/>
      <c r="E2434" s="124"/>
      <c r="F2434" s="80"/>
      <c r="G2434" s="80"/>
      <c r="H2434" s="80"/>
      <c r="I2434" s="80"/>
      <c r="J2434" s="196"/>
      <c r="K2434" s="196"/>
      <c r="L2434" s="196"/>
      <c r="M2434" s="196"/>
      <c r="N2434" s="196"/>
      <c r="O2434" s="196"/>
      <c r="P2434" s="196"/>
      <c r="Q2434" s="196"/>
      <c r="R2434" s="196"/>
      <c r="S2434" s="196"/>
      <c r="T2434" s="196"/>
      <c r="U2434" s="196"/>
      <c r="V2434" s="196"/>
      <c r="W2434" s="196"/>
      <c r="X2434" s="196"/>
      <c r="Y2434" s="196"/>
      <c r="Z2434" s="196"/>
      <c r="AA2434" s="196"/>
      <c r="AB2434" s="196"/>
      <c r="AC2434" s="196"/>
      <c r="AD2434" s="196"/>
      <c r="AE2434" s="196"/>
      <c r="AF2434" s="196"/>
      <c r="AG2434" s="196"/>
      <c r="AH2434" s="196"/>
      <c r="AI2434" s="196"/>
      <c r="AJ2434" s="197"/>
      <c r="AK2434" s="80"/>
      <c r="AL2434" s="80"/>
      <c r="AM2434" s="73"/>
      <c r="AN2434" s="73"/>
      <c r="AO2434" s="73"/>
      <c r="AP2434" s="73"/>
      <c r="AQ2434" s="73"/>
      <c r="AR2434" s="73"/>
      <c r="AS2434" s="73"/>
      <c r="AT2434" s="73"/>
      <c r="AU2434" s="73"/>
      <c r="AV2434" s="73"/>
      <c r="AW2434" s="73"/>
      <c r="AX2434" s="73"/>
      <c r="AY2434" s="73"/>
      <c r="AZ2434" s="73"/>
      <c r="BA2434" s="73"/>
      <c r="BB2434" s="73"/>
      <c r="BC2434" s="73"/>
      <c r="BD2434" s="73"/>
      <c r="BE2434" s="73"/>
      <c r="BF2434" s="73"/>
      <c r="BG2434" s="73"/>
      <c r="BH2434" s="73"/>
      <c r="BI2434" s="73"/>
      <c r="BJ2434" s="73"/>
      <c r="BK2434" s="73"/>
      <c r="BL2434" s="73"/>
      <c r="BM2434" s="73"/>
      <c r="BN2434" s="73"/>
      <c r="BO2434" s="73"/>
      <c r="BP2434" s="73"/>
      <c r="BQ2434" s="73"/>
      <c r="BR2434" s="73"/>
      <c r="BS2434" s="73"/>
      <c r="BT2434" s="73"/>
      <c r="BU2434" s="73"/>
      <c r="BV2434" s="73"/>
      <c r="BW2434" s="73"/>
      <c r="BX2434" s="73"/>
      <c r="BY2434" s="73"/>
      <c r="BZ2434" s="73"/>
      <c r="CA2434" s="73"/>
      <c r="CB2434" s="73"/>
      <c r="CC2434" s="73"/>
      <c r="CD2434" s="73"/>
      <c r="CE2434" s="73"/>
      <c r="CF2434" s="73"/>
      <c r="CG2434" s="73"/>
      <c r="CH2434" s="73"/>
    </row>
    <row r="2435">
      <c r="A2435" s="80"/>
      <c r="B2435" s="80"/>
      <c r="C2435" s="80"/>
      <c r="D2435" s="80"/>
      <c r="E2435" s="124"/>
      <c r="F2435" s="80"/>
      <c r="G2435" s="80"/>
      <c r="H2435" s="80"/>
      <c r="I2435" s="80"/>
      <c r="J2435" s="196"/>
      <c r="K2435" s="196"/>
      <c r="L2435" s="196"/>
      <c r="M2435" s="196"/>
      <c r="N2435" s="196"/>
      <c r="O2435" s="196"/>
      <c r="P2435" s="196"/>
      <c r="Q2435" s="196"/>
      <c r="R2435" s="196"/>
      <c r="S2435" s="196"/>
      <c r="T2435" s="196"/>
      <c r="U2435" s="196"/>
      <c r="V2435" s="196"/>
      <c r="W2435" s="196"/>
      <c r="X2435" s="196"/>
      <c r="Y2435" s="196"/>
      <c r="Z2435" s="196"/>
      <c r="AA2435" s="196"/>
      <c r="AB2435" s="196"/>
      <c r="AC2435" s="196"/>
      <c r="AD2435" s="196"/>
      <c r="AE2435" s="196"/>
      <c r="AF2435" s="196"/>
      <c r="AG2435" s="196"/>
      <c r="AH2435" s="196"/>
      <c r="AI2435" s="196"/>
      <c r="AJ2435" s="197"/>
      <c r="AK2435" s="80"/>
      <c r="AL2435" s="80"/>
      <c r="AM2435" s="73"/>
      <c r="AN2435" s="73"/>
      <c r="AO2435" s="73"/>
      <c r="AP2435" s="73"/>
      <c r="AQ2435" s="73"/>
      <c r="AR2435" s="73"/>
      <c r="AS2435" s="73"/>
      <c r="AT2435" s="73"/>
      <c r="AU2435" s="73"/>
      <c r="AV2435" s="73"/>
      <c r="AW2435" s="73"/>
      <c r="AX2435" s="73"/>
      <c r="AY2435" s="73"/>
      <c r="AZ2435" s="73"/>
      <c r="BA2435" s="73"/>
      <c r="BB2435" s="73"/>
      <c r="BC2435" s="73"/>
      <c r="BD2435" s="73"/>
      <c r="BE2435" s="73"/>
      <c r="BF2435" s="73"/>
      <c r="BG2435" s="73"/>
      <c r="BH2435" s="73"/>
      <c r="BI2435" s="73"/>
      <c r="BJ2435" s="73"/>
      <c r="BK2435" s="73"/>
      <c r="BL2435" s="73"/>
      <c r="BM2435" s="73"/>
      <c r="BN2435" s="73"/>
      <c r="BO2435" s="73"/>
      <c r="BP2435" s="73"/>
      <c r="BQ2435" s="73"/>
      <c r="BR2435" s="73"/>
      <c r="BS2435" s="73"/>
      <c r="BT2435" s="73"/>
      <c r="BU2435" s="73"/>
      <c r="BV2435" s="73"/>
      <c r="BW2435" s="73"/>
      <c r="BX2435" s="73"/>
      <c r="BY2435" s="73"/>
      <c r="BZ2435" s="73"/>
      <c r="CA2435" s="73"/>
      <c r="CB2435" s="73"/>
      <c r="CC2435" s="73"/>
      <c r="CD2435" s="73"/>
      <c r="CE2435" s="73"/>
      <c r="CF2435" s="73"/>
      <c r="CG2435" s="73"/>
      <c r="CH2435" s="73"/>
    </row>
    <row r="2436">
      <c r="A2436" s="80"/>
      <c r="B2436" s="80"/>
      <c r="C2436" s="80"/>
      <c r="D2436" s="80"/>
      <c r="E2436" s="124"/>
      <c r="F2436" s="80"/>
      <c r="G2436" s="80"/>
      <c r="H2436" s="80"/>
      <c r="I2436" s="80"/>
      <c r="J2436" s="196"/>
      <c r="K2436" s="196"/>
      <c r="L2436" s="196"/>
      <c r="M2436" s="196"/>
      <c r="N2436" s="196"/>
      <c r="O2436" s="196"/>
      <c r="P2436" s="196"/>
      <c r="Q2436" s="196"/>
      <c r="R2436" s="196"/>
      <c r="S2436" s="196"/>
      <c r="T2436" s="196"/>
      <c r="U2436" s="196"/>
      <c r="V2436" s="196"/>
      <c r="W2436" s="196"/>
      <c r="X2436" s="196"/>
      <c r="Y2436" s="196"/>
      <c r="Z2436" s="196"/>
      <c r="AA2436" s="196"/>
      <c r="AB2436" s="196"/>
      <c r="AC2436" s="196"/>
      <c r="AD2436" s="196"/>
      <c r="AE2436" s="196"/>
      <c r="AF2436" s="196"/>
      <c r="AG2436" s="196"/>
      <c r="AH2436" s="196"/>
      <c r="AI2436" s="196"/>
      <c r="AJ2436" s="197"/>
      <c r="AK2436" s="80"/>
      <c r="AL2436" s="80"/>
      <c r="AM2436" s="73"/>
      <c r="AN2436" s="73"/>
      <c r="AO2436" s="73"/>
      <c r="AP2436" s="73"/>
      <c r="AQ2436" s="73"/>
      <c r="AR2436" s="73"/>
      <c r="AS2436" s="73"/>
      <c r="AT2436" s="73"/>
      <c r="AU2436" s="73"/>
      <c r="AV2436" s="73"/>
      <c r="AW2436" s="73"/>
      <c r="AX2436" s="73"/>
      <c r="AY2436" s="73"/>
      <c r="AZ2436" s="73"/>
      <c r="BA2436" s="73"/>
      <c r="BB2436" s="73"/>
      <c r="BC2436" s="73"/>
      <c r="BD2436" s="73"/>
      <c r="BE2436" s="73"/>
      <c r="BF2436" s="73"/>
      <c r="BG2436" s="73"/>
      <c r="BH2436" s="73"/>
      <c r="BI2436" s="73"/>
      <c r="BJ2436" s="73"/>
      <c r="BK2436" s="73"/>
      <c r="BL2436" s="73"/>
      <c r="BM2436" s="73"/>
      <c r="BN2436" s="73"/>
      <c r="BO2436" s="73"/>
      <c r="BP2436" s="73"/>
      <c r="BQ2436" s="73"/>
      <c r="BR2436" s="73"/>
      <c r="BS2436" s="73"/>
      <c r="BT2436" s="73"/>
      <c r="BU2436" s="73"/>
      <c r="BV2436" s="73"/>
      <c r="BW2436" s="73"/>
      <c r="BX2436" s="73"/>
      <c r="BY2436" s="73"/>
      <c r="BZ2436" s="73"/>
      <c r="CA2436" s="73"/>
      <c r="CB2436" s="73"/>
      <c r="CC2436" s="73"/>
      <c r="CD2436" s="73"/>
      <c r="CE2436" s="73"/>
      <c r="CF2436" s="73"/>
      <c r="CG2436" s="73"/>
      <c r="CH2436" s="73"/>
    </row>
    <row r="2437">
      <c r="A2437" s="80"/>
      <c r="B2437" s="80"/>
      <c r="C2437" s="80"/>
      <c r="D2437" s="80"/>
      <c r="E2437" s="124"/>
      <c r="F2437" s="80"/>
      <c r="G2437" s="80"/>
      <c r="H2437" s="80"/>
      <c r="I2437" s="80"/>
      <c r="J2437" s="196"/>
      <c r="K2437" s="196"/>
      <c r="L2437" s="196"/>
      <c r="M2437" s="196"/>
      <c r="N2437" s="196"/>
      <c r="O2437" s="196"/>
      <c r="P2437" s="196"/>
      <c r="Q2437" s="196"/>
      <c r="R2437" s="196"/>
      <c r="S2437" s="196"/>
      <c r="T2437" s="196"/>
      <c r="U2437" s="196"/>
      <c r="V2437" s="196"/>
      <c r="W2437" s="196"/>
      <c r="X2437" s="196"/>
      <c r="Y2437" s="196"/>
      <c r="Z2437" s="196"/>
      <c r="AA2437" s="196"/>
      <c r="AB2437" s="196"/>
      <c r="AC2437" s="196"/>
      <c r="AD2437" s="196"/>
      <c r="AE2437" s="196"/>
      <c r="AF2437" s="196"/>
      <c r="AG2437" s="196"/>
      <c r="AH2437" s="196"/>
      <c r="AI2437" s="196"/>
      <c r="AJ2437" s="197"/>
      <c r="AK2437" s="80"/>
      <c r="AL2437" s="80"/>
      <c r="AM2437" s="73"/>
      <c r="AN2437" s="73"/>
      <c r="AO2437" s="73"/>
      <c r="AP2437" s="73"/>
      <c r="AQ2437" s="73"/>
      <c r="AR2437" s="73"/>
      <c r="AS2437" s="73"/>
      <c r="AT2437" s="73"/>
      <c r="AU2437" s="73"/>
      <c r="AV2437" s="73"/>
      <c r="AW2437" s="73"/>
      <c r="AX2437" s="73"/>
      <c r="AY2437" s="73"/>
      <c r="AZ2437" s="73"/>
      <c r="BA2437" s="73"/>
      <c r="BB2437" s="73"/>
      <c r="BC2437" s="73"/>
      <c r="BD2437" s="73"/>
      <c r="BE2437" s="73"/>
      <c r="BF2437" s="73"/>
      <c r="BG2437" s="73"/>
      <c r="BH2437" s="73"/>
      <c r="BI2437" s="73"/>
      <c r="BJ2437" s="73"/>
      <c r="BK2437" s="73"/>
      <c r="BL2437" s="73"/>
      <c r="BM2437" s="73"/>
      <c r="BN2437" s="73"/>
      <c r="BO2437" s="73"/>
      <c r="BP2437" s="73"/>
      <c r="BQ2437" s="73"/>
      <c r="BR2437" s="73"/>
      <c r="BS2437" s="73"/>
      <c r="BT2437" s="73"/>
      <c r="BU2437" s="73"/>
      <c r="BV2437" s="73"/>
      <c r="BW2437" s="73"/>
      <c r="BX2437" s="73"/>
      <c r="BY2437" s="73"/>
      <c r="BZ2437" s="73"/>
      <c r="CA2437" s="73"/>
      <c r="CB2437" s="73"/>
      <c r="CC2437" s="73"/>
      <c r="CD2437" s="73"/>
      <c r="CE2437" s="73"/>
      <c r="CF2437" s="73"/>
      <c r="CG2437" s="73"/>
      <c r="CH2437" s="73"/>
    </row>
    <row r="2438">
      <c r="A2438" s="80"/>
      <c r="B2438" s="80"/>
      <c r="C2438" s="80"/>
      <c r="D2438" s="80"/>
      <c r="E2438" s="124"/>
      <c r="F2438" s="80"/>
      <c r="G2438" s="80"/>
      <c r="H2438" s="80"/>
      <c r="I2438" s="80"/>
      <c r="J2438" s="196"/>
      <c r="K2438" s="196"/>
      <c r="L2438" s="196"/>
      <c r="M2438" s="196"/>
      <c r="N2438" s="196"/>
      <c r="O2438" s="196"/>
      <c r="P2438" s="196"/>
      <c r="Q2438" s="196"/>
      <c r="R2438" s="196"/>
      <c r="S2438" s="196"/>
      <c r="T2438" s="196"/>
      <c r="U2438" s="196"/>
      <c r="V2438" s="196"/>
      <c r="W2438" s="196"/>
      <c r="X2438" s="196"/>
      <c r="Y2438" s="196"/>
      <c r="Z2438" s="196"/>
      <c r="AA2438" s="196"/>
      <c r="AB2438" s="196"/>
      <c r="AC2438" s="196"/>
      <c r="AD2438" s="196"/>
      <c r="AE2438" s="196"/>
      <c r="AF2438" s="196"/>
      <c r="AG2438" s="196"/>
      <c r="AH2438" s="196"/>
      <c r="AI2438" s="196"/>
      <c r="AJ2438" s="197"/>
      <c r="AK2438" s="80"/>
      <c r="AL2438" s="80"/>
      <c r="AM2438" s="73"/>
      <c r="AN2438" s="73"/>
      <c r="AO2438" s="73"/>
      <c r="AP2438" s="73"/>
      <c r="AQ2438" s="73"/>
      <c r="AR2438" s="73"/>
      <c r="AS2438" s="73"/>
      <c r="AT2438" s="73"/>
      <c r="AU2438" s="73"/>
      <c r="AV2438" s="73"/>
      <c r="AW2438" s="73"/>
      <c r="AX2438" s="73"/>
      <c r="AY2438" s="73"/>
      <c r="AZ2438" s="73"/>
      <c r="BA2438" s="73"/>
      <c r="BB2438" s="73"/>
      <c r="BC2438" s="73"/>
      <c r="BD2438" s="73"/>
      <c r="BE2438" s="73"/>
      <c r="BF2438" s="73"/>
      <c r="BG2438" s="73"/>
      <c r="BH2438" s="73"/>
      <c r="BI2438" s="73"/>
      <c r="BJ2438" s="73"/>
      <c r="BK2438" s="73"/>
      <c r="BL2438" s="73"/>
      <c r="BM2438" s="73"/>
      <c r="BN2438" s="73"/>
      <c r="BO2438" s="73"/>
      <c r="BP2438" s="73"/>
      <c r="BQ2438" s="73"/>
      <c r="BR2438" s="73"/>
      <c r="BS2438" s="73"/>
      <c r="BT2438" s="73"/>
      <c r="BU2438" s="73"/>
      <c r="BV2438" s="73"/>
      <c r="BW2438" s="73"/>
      <c r="BX2438" s="73"/>
      <c r="BY2438" s="73"/>
      <c r="BZ2438" s="73"/>
      <c r="CA2438" s="73"/>
      <c r="CB2438" s="73"/>
      <c r="CC2438" s="73"/>
      <c r="CD2438" s="73"/>
      <c r="CE2438" s="73"/>
      <c r="CF2438" s="73"/>
      <c r="CG2438" s="73"/>
      <c r="CH2438" s="73"/>
    </row>
    <row r="2439">
      <c r="A2439" s="80"/>
      <c r="B2439" s="80"/>
      <c r="C2439" s="80"/>
      <c r="D2439" s="80"/>
      <c r="E2439" s="124"/>
      <c r="F2439" s="80"/>
      <c r="G2439" s="80"/>
      <c r="H2439" s="80"/>
      <c r="I2439" s="80"/>
      <c r="J2439" s="196"/>
      <c r="K2439" s="196"/>
      <c r="L2439" s="196"/>
      <c r="M2439" s="196"/>
      <c r="N2439" s="196"/>
      <c r="O2439" s="196"/>
      <c r="P2439" s="196"/>
      <c r="Q2439" s="196"/>
      <c r="R2439" s="196"/>
      <c r="S2439" s="196"/>
      <c r="T2439" s="196"/>
      <c r="U2439" s="196"/>
      <c r="V2439" s="196"/>
      <c r="W2439" s="196"/>
      <c r="X2439" s="196"/>
      <c r="Y2439" s="196"/>
      <c r="Z2439" s="196"/>
      <c r="AA2439" s="196"/>
      <c r="AB2439" s="196"/>
      <c r="AC2439" s="196"/>
      <c r="AD2439" s="196"/>
      <c r="AE2439" s="196"/>
      <c r="AF2439" s="196"/>
      <c r="AG2439" s="196"/>
      <c r="AH2439" s="196"/>
      <c r="AI2439" s="196"/>
      <c r="AJ2439" s="197"/>
      <c r="AK2439" s="80"/>
      <c r="AL2439" s="80"/>
      <c r="AM2439" s="73"/>
      <c r="AN2439" s="73"/>
      <c r="AO2439" s="73"/>
      <c r="AP2439" s="73"/>
      <c r="AQ2439" s="73"/>
      <c r="AR2439" s="73"/>
      <c r="AS2439" s="73"/>
      <c r="AT2439" s="73"/>
      <c r="AU2439" s="73"/>
      <c r="AV2439" s="73"/>
      <c r="AW2439" s="73"/>
      <c r="AX2439" s="73"/>
      <c r="AY2439" s="73"/>
      <c r="AZ2439" s="73"/>
      <c r="BA2439" s="73"/>
      <c r="BB2439" s="73"/>
      <c r="BC2439" s="73"/>
      <c r="BD2439" s="73"/>
      <c r="BE2439" s="73"/>
      <c r="BF2439" s="73"/>
      <c r="BG2439" s="73"/>
      <c r="BH2439" s="73"/>
      <c r="BI2439" s="73"/>
      <c r="BJ2439" s="73"/>
      <c r="BK2439" s="73"/>
      <c r="BL2439" s="73"/>
      <c r="BM2439" s="73"/>
      <c r="BN2439" s="73"/>
      <c r="BO2439" s="73"/>
      <c r="BP2439" s="73"/>
      <c r="BQ2439" s="73"/>
      <c r="BR2439" s="73"/>
      <c r="BS2439" s="73"/>
      <c r="BT2439" s="73"/>
      <c r="BU2439" s="73"/>
      <c r="BV2439" s="73"/>
      <c r="BW2439" s="73"/>
      <c r="BX2439" s="73"/>
      <c r="BY2439" s="73"/>
      <c r="BZ2439" s="73"/>
      <c r="CA2439" s="73"/>
      <c r="CB2439" s="73"/>
      <c r="CC2439" s="73"/>
      <c r="CD2439" s="73"/>
      <c r="CE2439" s="73"/>
      <c r="CF2439" s="73"/>
      <c r="CG2439" s="73"/>
      <c r="CH2439" s="73"/>
    </row>
    <row r="2440">
      <c r="A2440" s="80"/>
      <c r="B2440" s="80"/>
      <c r="C2440" s="80"/>
      <c r="D2440" s="80"/>
      <c r="E2440" s="124"/>
      <c r="F2440" s="80"/>
      <c r="G2440" s="80"/>
      <c r="H2440" s="80"/>
      <c r="I2440" s="80"/>
      <c r="J2440" s="196"/>
      <c r="K2440" s="196"/>
      <c r="L2440" s="196"/>
      <c r="M2440" s="196"/>
      <c r="N2440" s="196"/>
      <c r="O2440" s="196"/>
      <c r="P2440" s="196"/>
      <c r="Q2440" s="196"/>
      <c r="R2440" s="196"/>
      <c r="S2440" s="196"/>
      <c r="T2440" s="196"/>
      <c r="U2440" s="196"/>
      <c r="V2440" s="196"/>
      <c r="W2440" s="196"/>
      <c r="X2440" s="196"/>
      <c r="Y2440" s="196"/>
      <c r="Z2440" s="196"/>
      <c r="AA2440" s="196"/>
      <c r="AB2440" s="196"/>
      <c r="AC2440" s="196"/>
      <c r="AD2440" s="196"/>
      <c r="AE2440" s="196"/>
      <c r="AF2440" s="196"/>
      <c r="AG2440" s="196"/>
      <c r="AH2440" s="196"/>
      <c r="AI2440" s="196"/>
      <c r="AJ2440" s="197"/>
      <c r="AK2440" s="80"/>
      <c r="AL2440" s="80"/>
      <c r="AM2440" s="73"/>
      <c r="AN2440" s="73"/>
      <c r="AO2440" s="73"/>
      <c r="AP2440" s="73"/>
      <c r="AQ2440" s="73"/>
      <c r="AR2440" s="73"/>
      <c r="AS2440" s="73"/>
      <c r="AT2440" s="73"/>
      <c r="AU2440" s="73"/>
      <c r="AV2440" s="73"/>
      <c r="AW2440" s="73"/>
      <c r="AX2440" s="73"/>
      <c r="AY2440" s="73"/>
      <c r="AZ2440" s="73"/>
      <c r="BA2440" s="73"/>
      <c r="BB2440" s="73"/>
      <c r="BC2440" s="73"/>
      <c r="BD2440" s="73"/>
      <c r="BE2440" s="73"/>
      <c r="BF2440" s="73"/>
      <c r="BG2440" s="73"/>
      <c r="BH2440" s="73"/>
      <c r="BI2440" s="73"/>
      <c r="BJ2440" s="73"/>
      <c r="BK2440" s="73"/>
      <c r="BL2440" s="73"/>
      <c r="BM2440" s="73"/>
      <c r="BN2440" s="73"/>
      <c r="BO2440" s="73"/>
      <c r="BP2440" s="73"/>
      <c r="BQ2440" s="73"/>
      <c r="BR2440" s="73"/>
      <c r="BS2440" s="73"/>
      <c r="BT2440" s="73"/>
      <c r="BU2440" s="73"/>
      <c r="BV2440" s="73"/>
      <c r="BW2440" s="73"/>
      <c r="BX2440" s="73"/>
      <c r="BY2440" s="73"/>
      <c r="BZ2440" s="73"/>
      <c r="CA2440" s="73"/>
      <c r="CB2440" s="73"/>
      <c r="CC2440" s="73"/>
      <c r="CD2440" s="73"/>
      <c r="CE2440" s="73"/>
      <c r="CF2440" s="73"/>
      <c r="CG2440" s="73"/>
      <c r="CH2440" s="73"/>
    </row>
    <row r="2441">
      <c r="A2441" s="80"/>
      <c r="B2441" s="80"/>
      <c r="C2441" s="80"/>
      <c r="D2441" s="80"/>
      <c r="E2441" s="124"/>
      <c r="F2441" s="80"/>
      <c r="G2441" s="80"/>
      <c r="H2441" s="80"/>
      <c r="I2441" s="80"/>
      <c r="J2441" s="196"/>
      <c r="K2441" s="196"/>
      <c r="L2441" s="196"/>
      <c r="M2441" s="196"/>
      <c r="N2441" s="196"/>
      <c r="O2441" s="196"/>
      <c r="P2441" s="196"/>
      <c r="Q2441" s="196"/>
      <c r="R2441" s="196"/>
      <c r="S2441" s="196"/>
      <c r="T2441" s="196"/>
      <c r="U2441" s="196"/>
      <c r="V2441" s="196"/>
      <c r="W2441" s="196"/>
      <c r="X2441" s="196"/>
      <c r="Y2441" s="196"/>
      <c r="Z2441" s="196"/>
      <c r="AA2441" s="196"/>
      <c r="AB2441" s="196"/>
      <c r="AC2441" s="196"/>
      <c r="AD2441" s="196"/>
      <c r="AE2441" s="196"/>
      <c r="AF2441" s="196"/>
      <c r="AG2441" s="196"/>
      <c r="AH2441" s="196"/>
      <c r="AI2441" s="196"/>
      <c r="AJ2441" s="197"/>
      <c r="AK2441" s="80"/>
      <c r="AL2441" s="80"/>
      <c r="AM2441" s="73"/>
      <c r="AN2441" s="73"/>
      <c r="AO2441" s="73"/>
      <c r="AP2441" s="73"/>
      <c r="AQ2441" s="73"/>
      <c r="AR2441" s="73"/>
      <c r="AS2441" s="73"/>
      <c r="AT2441" s="73"/>
      <c r="AU2441" s="73"/>
      <c r="AV2441" s="73"/>
      <c r="AW2441" s="73"/>
      <c r="AX2441" s="73"/>
      <c r="AY2441" s="73"/>
      <c r="AZ2441" s="73"/>
      <c r="BA2441" s="73"/>
      <c r="BB2441" s="73"/>
      <c r="BC2441" s="73"/>
      <c r="BD2441" s="73"/>
      <c r="BE2441" s="73"/>
      <c r="BF2441" s="73"/>
      <c r="BG2441" s="73"/>
      <c r="BH2441" s="73"/>
      <c r="BI2441" s="73"/>
      <c r="BJ2441" s="73"/>
      <c r="BK2441" s="73"/>
      <c r="BL2441" s="73"/>
      <c r="BM2441" s="73"/>
      <c r="BN2441" s="73"/>
      <c r="BO2441" s="73"/>
      <c r="BP2441" s="73"/>
      <c r="BQ2441" s="73"/>
      <c r="BR2441" s="73"/>
      <c r="BS2441" s="73"/>
      <c r="BT2441" s="73"/>
      <c r="BU2441" s="73"/>
      <c r="BV2441" s="73"/>
      <c r="BW2441" s="73"/>
      <c r="BX2441" s="73"/>
      <c r="BY2441" s="73"/>
      <c r="BZ2441" s="73"/>
      <c r="CA2441" s="73"/>
      <c r="CB2441" s="73"/>
      <c r="CC2441" s="73"/>
      <c r="CD2441" s="73"/>
      <c r="CE2441" s="73"/>
      <c r="CF2441" s="73"/>
      <c r="CG2441" s="73"/>
      <c r="CH2441" s="73"/>
    </row>
    <row r="2442">
      <c r="A2442" s="80"/>
      <c r="B2442" s="80"/>
      <c r="C2442" s="80"/>
      <c r="D2442" s="80"/>
      <c r="E2442" s="124"/>
      <c r="F2442" s="80"/>
      <c r="G2442" s="80"/>
      <c r="H2442" s="80"/>
      <c r="I2442" s="80"/>
      <c r="J2442" s="196"/>
      <c r="K2442" s="196"/>
      <c r="L2442" s="196"/>
      <c r="M2442" s="196"/>
      <c r="N2442" s="196"/>
      <c r="O2442" s="196"/>
      <c r="P2442" s="196"/>
      <c r="Q2442" s="196"/>
      <c r="R2442" s="196"/>
      <c r="S2442" s="196"/>
      <c r="T2442" s="196"/>
      <c r="U2442" s="196"/>
      <c r="V2442" s="196"/>
      <c r="W2442" s="196"/>
      <c r="X2442" s="196"/>
      <c r="Y2442" s="196"/>
      <c r="Z2442" s="196"/>
      <c r="AA2442" s="196"/>
      <c r="AB2442" s="196"/>
      <c r="AC2442" s="196"/>
      <c r="AD2442" s="196"/>
      <c r="AE2442" s="196"/>
      <c r="AF2442" s="196"/>
      <c r="AG2442" s="196"/>
      <c r="AH2442" s="196"/>
      <c r="AI2442" s="196"/>
      <c r="AJ2442" s="197"/>
      <c r="AK2442" s="80"/>
      <c r="AL2442" s="80"/>
      <c r="AM2442" s="73"/>
      <c r="AN2442" s="73"/>
      <c r="AO2442" s="73"/>
      <c r="AP2442" s="73"/>
      <c r="AQ2442" s="73"/>
      <c r="AR2442" s="73"/>
      <c r="AS2442" s="73"/>
      <c r="AT2442" s="73"/>
      <c r="AU2442" s="73"/>
      <c r="AV2442" s="73"/>
      <c r="AW2442" s="73"/>
      <c r="AX2442" s="73"/>
      <c r="AY2442" s="73"/>
      <c r="AZ2442" s="73"/>
      <c r="BA2442" s="73"/>
      <c r="BB2442" s="73"/>
      <c r="BC2442" s="73"/>
      <c r="BD2442" s="73"/>
      <c r="BE2442" s="73"/>
      <c r="BF2442" s="73"/>
      <c r="BG2442" s="73"/>
      <c r="BH2442" s="73"/>
      <c r="BI2442" s="73"/>
      <c r="BJ2442" s="73"/>
      <c r="BK2442" s="73"/>
      <c r="BL2442" s="73"/>
      <c r="BM2442" s="73"/>
      <c r="BN2442" s="73"/>
      <c r="BO2442" s="73"/>
      <c r="BP2442" s="73"/>
      <c r="BQ2442" s="73"/>
      <c r="BR2442" s="73"/>
      <c r="BS2442" s="73"/>
      <c r="BT2442" s="73"/>
      <c r="BU2442" s="73"/>
      <c r="BV2442" s="73"/>
      <c r="BW2442" s="73"/>
      <c r="BX2442" s="73"/>
      <c r="BY2442" s="73"/>
      <c r="BZ2442" s="73"/>
      <c r="CA2442" s="73"/>
      <c r="CB2442" s="73"/>
      <c r="CC2442" s="73"/>
      <c r="CD2442" s="73"/>
      <c r="CE2442" s="73"/>
      <c r="CF2442" s="73"/>
      <c r="CG2442" s="73"/>
      <c r="CH2442" s="73"/>
    </row>
    <row r="2443">
      <c r="A2443" s="80"/>
      <c r="B2443" s="80"/>
      <c r="C2443" s="80"/>
      <c r="D2443" s="80"/>
      <c r="E2443" s="124"/>
      <c r="F2443" s="80"/>
      <c r="G2443" s="80"/>
      <c r="H2443" s="80"/>
      <c r="I2443" s="80"/>
      <c r="J2443" s="196"/>
      <c r="K2443" s="196"/>
      <c r="L2443" s="196"/>
      <c r="M2443" s="196"/>
      <c r="N2443" s="196"/>
      <c r="O2443" s="196"/>
      <c r="P2443" s="196"/>
      <c r="Q2443" s="196"/>
      <c r="R2443" s="196"/>
      <c r="S2443" s="196"/>
      <c r="T2443" s="196"/>
      <c r="U2443" s="196"/>
      <c r="V2443" s="196"/>
      <c r="W2443" s="196"/>
      <c r="X2443" s="196"/>
      <c r="Y2443" s="196"/>
      <c r="Z2443" s="196"/>
      <c r="AA2443" s="196"/>
      <c r="AB2443" s="196"/>
      <c r="AC2443" s="196"/>
      <c r="AD2443" s="196"/>
      <c r="AE2443" s="196"/>
      <c r="AF2443" s="196"/>
      <c r="AG2443" s="196"/>
      <c r="AH2443" s="196"/>
      <c r="AI2443" s="196"/>
      <c r="AJ2443" s="197"/>
      <c r="AK2443" s="80"/>
      <c r="AL2443" s="80"/>
      <c r="AM2443" s="73"/>
      <c r="AN2443" s="73"/>
      <c r="AO2443" s="73"/>
      <c r="AP2443" s="73"/>
      <c r="AQ2443" s="73"/>
      <c r="AR2443" s="73"/>
      <c r="AS2443" s="73"/>
      <c r="AT2443" s="73"/>
      <c r="AU2443" s="73"/>
      <c r="AV2443" s="73"/>
      <c r="AW2443" s="73"/>
      <c r="AX2443" s="73"/>
      <c r="AY2443" s="73"/>
      <c r="AZ2443" s="73"/>
      <c r="BA2443" s="73"/>
      <c r="BB2443" s="73"/>
      <c r="BC2443" s="73"/>
      <c r="BD2443" s="73"/>
      <c r="BE2443" s="73"/>
      <c r="BF2443" s="73"/>
      <c r="BG2443" s="73"/>
      <c r="BH2443" s="73"/>
      <c r="BI2443" s="73"/>
      <c r="BJ2443" s="73"/>
      <c r="BK2443" s="73"/>
      <c r="BL2443" s="73"/>
      <c r="BM2443" s="73"/>
      <c r="BN2443" s="73"/>
      <c r="BO2443" s="73"/>
      <c r="BP2443" s="73"/>
      <c r="BQ2443" s="73"/>
      <c r="BR2443" s="73"/>
      <c r="BS2443" s="73"/>
      <c r="BT2443" s="73"/>
      <c r="BU2443" s="73"/>
      <c r="BV2443" s="73"/>
      <c r="BW2443" s="73"/>
      <c r="BX2443" s="73"/>
      <c r="BY2443" s="73"/>
      <c r="BZ2443" s="73"/>
      <c r="CA2443" s="73"/>
      <c r="CB2443" s="73"/>
      <c r="CC2443" s="73"/>
      <c r="CD2443" s="73"/>
      <c r="CE2443" s="73"/>
      <c r="CF2443" s="73"/>
      <c r="CG2443" s="73"/>
      <c r="CH2443" s="73"/>
    </row>
    <row r="2444">
      <c r="A2444" s="80"/>
      <c r="B2444" s="80"/>
      <c r="C2444" s="80"/>
      <c r="D2444" s="80"/>
      <c r="E2444" s="124"/>
      <c r="F2444" s="80"/>
      <c r="G2444" s="80"/>
      <c r="H2444" s="80"/>
      <c r="I2444" s="80"/>
      <c r="J2444" s="196"/>
      <c r="K2444" s="196"/>
      <c r="L2444" s="196"/>
      <c r="M2444" s="196"/>
      <c r="N2444" s="196"/>
      <c r="O2444" s="196"/>
      <c r="P2444" s="196"/>
      <c r="Q2444" s="196"/>
      <c r="R2444" s="196"/>
      <c r="S2444" s="196"/>
      <c r="T2444" s="196"/>
      <c r="U2444" s="196"/>
      <c r="V2444" s="196"/>
      <c r="W2444" s="196"/>
      <c r="X2444" s="196"/>
      <c r="Y2444" s="196"/>
      <c r="Z2444" s="196"/>
      <c r="AA2444" s="196"/>
      <c r="AB2444" s="196"/>
      <c r="AC2444" s="196"/>
      <c r="AD2444" s="196"/>
      <c r="AE2444" s="196"/>
      <c r="AF2444" s="196"/>
      <c r="AG2444" s="196"/>
      <c r="AH2444" s="196"/>
      <c r="AI2444" s="196"/>
      <c r="AJ2444" s="197"/>
      <c r="AK2444" s="80"/>
      <c r="AL2444" s="80"/>
      <c r="AM2444" s="73"/>
      <c r="AN2444" s="73"/>
      <c r="AO2444" s="73"/>
      <c r="AP2444" s="73"/>
      <c r="AQ2444" s="73"/>
      <c r="AR2444" s="73"/>
      <c r="AS2444" s="73"/>
      <c r="AT2444" s="73"/>
      <c r="AU2444" s="73"/>
      <c r="AV2444" s="73"/>
      <c r="AW2444" s="73"/>
      <c r="AX2444" s="73"/>
      <c r="AY2444" s="73"/>
      <c r="AZ2444" s="73"/>
      <c r="BA2444" s="73"/>
      <c r="BB2444" s="73"/>
      <c r="BC2444" s="73"/>
      <c r="BD2444" s="73"/>
      <c r="BE2444" s="73"/>
      <c r="BF2444" s="73"/>
      <c r="BG2444" s="73"/>
      <c r="BH2444" s="73"/>
      <c r="BI2444" s="73"/>
      <c r="BJ2444" s="73"/>
      <c r="BK2444" s="73"/>
      <c r="BL2444" s="73"/>
      <c r="BM2444" s="73"/>
      <c r="BN2444" s="73"/>
      <c r="BO2444" s="73"/>
      <c r="BP2444" s="73"/>
      <c r="BQ2444" s="73"/>
      <c r="BR2444" s="73"/>
      <c r="BS2444" s="73"/>
      <c r="BT2444" s="73"/>
      <c r="BU2444" s="73"/>
      <c r="BV2444" s="73"/>
      <c r="BW2444" s="73"/>
      <c r="BX2444" s="73"/>
      <c r="BY2444" s="73"/>
      <c r="BZ2444" s="73"/>
      <c r="CA2444" s="73"/>
      <c r="CB2444" s="73"/>
      <c r="CC2444" s="73"/>
      <c r="CD2444" s="73"/>
      <c r="CE2444" s="73"/>
      <c r="CF2444" s="73"/>
      <c r="CG2444" s="73"/>
      <c r="CH2444" s="73"/>
    </row>
    <row r="2445">
      <c r="A2445" s="80"/>
      <c r="B2445" s="80"/>
      <c r="C2445" s="80"/>
      <c r="D2445" s="80"/>
      <c r="E2445" s="124"/>
      <c r="F2445" s="80"/>
      <c r="G2445" s="80"/>
      <c r="H2445" s="80"/>
      <c r="I2445" s="80"/>
      <c r="J2445" s="196"/>
      <c r="K2445" s="196"/>
      <c r="L2445" s="196"/>
      <c r="M2445" s="196"/>
      <c r="N2445" s="196"/>
      <c r="O2445" s="196"/>
      <c r="P2445" s="196"/>
      <c r="Q2445" s="196"/>
      <c r="R2445" s="196"/>
      <c r="S2445" s="196"/>
      <c r="T2445" s="196"/>
      <c r="U2445" s="196"/>
      <c r="V2445" s="196"/>
      <c r="W2445" s="196"/>
      <c r="X2445" s="196"/>
      <c r="Y2445" s="196"/>
      <c r="Z2445" s="196"/>
      <c r="AA2445" s="196"/>
      <c r="AB2445" s="196"/>
      <c r="AC2445" s="196"/>
      <c r="AD2445" s="196"/>
      <c r="AE2445" s="196"/>
      <c r="AF2445" s="196"/>
      <c r="AG2445" s="196"/>
      <c r="AH2445" s="196"/>
      <c r="AI2445" s="196"/>
      <c r="AJ2445" s="197"/>
      <c r="AK2445" s="80"/>
      <c r="AL2445" s="80"/>
      <c r="AM2445" s="73"/>
      <c r="AN2445" s="73"/>
      <c r="AO2445" s="73"/>
      <c r="AP2445" s="73"/>
      <c r="AQ2445" s="73"/>
      <c r="AR2445" s="73"/>
      <c r="AS2445" s="73"/>
      <c r="AT2445" s="73"/>
      <c r="AU2445" s="73"/>
      <c r="AV2445" s="73"/>
      <c r="AW2445" s="73"/>
      <c r="AX2445" s="73"/>
      <c r="AY2445" s="73"/>
      <c r="AZ2445" s="73"/>
      <c r="BA2445" s="73"/>
      <c r="BB2445" s="73"/>
      <c r="BC2445" s="73"/>
      <c r="BD2445" s="73"/>
      <c r="BE2445" s="73"/>
      <c r="BF2445" s="73"/>
      <c r="BG2445" s="73"/>
      <c r="BH2445" s="73"/>
      <c r="BI2445" s="73"/>
      <c r="BJ2445" s="73"/>
      <c r="BK2445" s="73"/>
      <c r="BL2445" s="73"/>
      <c r="BM2445" s="73"/>
      <c r="BN2445" s="73"/>
      <c r="BO2445" s="73"/>
      <c r="BP2445" s="73"/>
      <c r="BQ2445" s="73"/>
      <c r="BR2445" s="73"/>
      <c r="BS2445" s="73"/>
      <c r="BT2445" s="73"/>
      <c r="BU2445" s="73"/>
      <c r="BV2445" s="73"/>
      <c r="BW2445" s="73"/>
      <c r="BX2445" s="73"/>
      <c r="BY2445" s="73"/>
      <c r="BZ2445" s="73"/>
      <c r="CA2445" s="73"/>
      <c r="CB2445" s="73"/>
      <c r="CC2445" s="73"/>
      <c r="CD2445" s="73"/>
      <c r="CE2445" s="73"/>
      <c r="CF2445" s="73"/>
      <c r="CG2445" s="73"/>
      <c r="CH2445" s="73"/>
    </row>
    <row r="2446">
      <c r="A2446" s="80"/>
      <c r="B2446" s="80"/>
      <c r="C2446" s="80"/>
      <c r="D2446" s="80"/>
      <c r="E2446" s="124"/>
      <c r="F2446" s="80"/>
      <c r="G2446" s="80"/>
      <c r="H2446" s="80"/>
      <c r="I2446" s="80"/>
      <c r="J2446" s="196"/>
      <c r="K2446" s="196"/>
      <c r="L2446" s="196"/>
      <c r="M2446" s="196"/>
      <c r="N2446" s="196"/>
      <c r="O2446" s="196"/>
      <c r="P2446" s="196"/>
      <c r="Q2446" s="196"/>
      <c r="R2446" s="196"/>
      <c r="S2446" s="196"/>
      <c r="T2446" s="196"/>
      <c r="U2446" s="196"/>
      <c r="V2446" s="196"/>
      <c r="W2446" s="196"/>
      <c r="X2446" s="196"/>
      <c r="Y2446" s="196"/>
      <c r="Z2446" s="196"/>
      <c r="AA2446" s="196"/>
      <c r="AB2446" s="196"/>
      <c r="AC2446" s="196"/>
      <c r="AD2446" s="196"/>
      <c r="AE2446" s="196"/>
      <c r="AF2446" s="196"/>
      <c r="AG2446" s="196"/>
      <c r="AH2446" s="196"/>
      <c r="AI2446" s="196"/>
      <c r="AJ2446" s="197"/>
      <c r="AK2446" s="80"/>
      <c r="AL2446" s="80"/>
      <c r="AM2446" s="73"/>
      <c r="AN2446" s="73"/>
      <c r="AO2446" s="73"/>
      <c r="AP2446" s="73"/>
      <c r="AQ2446" s="73"/>
      <c r="AR2446" s="73"/>
      <c r="AS2446" s="73"/>
      <c r="AT2446" s="73"/>
      <c r="AU2446" s="73"/>
      <c r="AV2446" s="73"/>
      <c r="AW2446" s="73"/>
      <c r="AX2446" s="73"/>
      <c r="AY2446" s="73"/>
      <c r="AZ2446" s="73"/>
      <c r="BA2446" s="73"/>
      <c r="BB2446" s="73"/>
      <c r="BC2446" s="73"/>
      <c r="BD2446" s="73"/>
      <c r="BE2446" s="73"/>
      <c r="BF2446" s="73"/>
      <c r="BG2446" s="73"/>
      <c r="BH2446" s="73"/>
      <c r="BI2446" s="73"/>
      <c r="BJ2446" s="73"/>
      <c r="BK2446" s="73"/>
      <c r="BL2446" s="73"/>
      <c r="BM2446" s="73"/>
      <c r="BN2446" s="73"/>
      <c r="BO2446" s="73"/>
      <c r="BP2446" s="73"/>
      <c r="BQ2446" s="73"/>
      <c r="BR2446" s="73"/>
      <c r="BS2446" s="73"/>
      <c r="BT2446" s="73"/>
      <c r="BU2446" s="73"/>
      <c r="BV2446" s="73"/>
      <c r="BW2446" s="73"/>
      <c r="BX2446" s="73"/>
      <c r="BY2446" s="73"/>
      <c r="BZ2446" s="73"/>
      <c r="CA2446" s="73"/>
      <c r="CB2446" s="73"/>
      <c r="CC2446" s="73"/>
      <c r="CD2446" s="73"/>
      <c r="CE2446" s="73"/>
      <c r="CF2446" s="73"/>
      <c r="CG2446" s="73"/>
      <c r="CH2446" s="73"/>
    </row>
    <row r="2447">
      <c r="A2447" s="80"/>
      <c r="B2447" s="80"/>
      <c r="C2447" s="80"/>
      <c r="D2447" s="80"/>
      <c r="E2447" s="124"/>
      <c r="F2447" s="80"/>
      <c r="G2447" s="80"/>
      <c r="H2447" s="80"/>
      <c r="I2447" s="80"/>
      <c r="J2447" s="196"/>
      <c r="K2447" s="196"/>
      <c r="L2447" s="196"/>
      <c r="M2447" s="196"/>
      <c r="N2447" s="196"/>
      <c r="O2447" s="196"/>
      <c r="P2447" s="196"/>
      <c r="Q2447" s="196"/>
      <c r="R2447" s="196"/>
      <c r="S2447" s="196"/>
      <c r="T2447" s="196"/>
      <c r="U2447" s="196"/>
      <c r="V2447" s="196"/>
      <c r="W2447" s="196"/>
      <c r="X2447" s="196"/>
      <c r="Y2447" s="196"/>
      <c r="Z2447" s="196"/>
      <c r="AA2447" s="196"/>
      <c r="AB2447" s="196"/>
      <c r="AC2447" s="196"/>
      <c r="AD2447" s="196"/>
      <c r="AE2447" s="196"/>
      <c r="AF2447" s="196"/>
      <c r="AG2447" s="196"/>
      <c r="AH2447" s="196"/>
      <c r="AI2447" s="196"/>
      <c r="AJ2447" s="197"/>
      <c r="AK2447" s="80"/>
      <c r="AL2447" s="80"/>
      <c r="AM2447" s="73"/>
      <c r="AN2447" s="73"/>
      <c r="AO2447" s="73"/>
      <c r="AP2447" s="73"/>
      <c r="AQ2447" s="73"/>
      <c r="AR2447" s="73"/>
      <c r="AS2447" s="73"/>
      <c r="AT2447" s="73"/>
      <c r="AU2447" s="73"/>
      <c r="AV2447" s="73"/>
      <c r="AW2447" s="73"/>
      <c r="AX2447" s="73"/>
      <c r="AY2447" s="73"/>
      <c r="AZ2447" s="73"/>
      <c r="BA2447" s="73"/>
      <c r="BB2447" s="73"/>
      <c r="BC2447" s="73"/>
      <c r="BD2447" s="73"/>
      <c r="BE2447" s="73"/>
      <c r="BF2447" s="73"/>
      <c r="BG2447" s="73"/>
      <c r="BH2447" s="73"/>
      <c r="BI2447" s="73"/>
      <c r="BJ2447" s="73"/>
      <c r="BK2447" s="73"/>
      <c r="BL2447" s="73"/>
      <c r="BM2447" s="73"/>
      <c r="BN2447" s="73"/>
      <c r="BO2447" s="73"/>
      <c r="BP2447" s="73"/>
      <c r="BQ2447" s="73"/>
      <c r="BR2447" s="73"/>
      <c r="BS2447" s="73"/>
      <c r="BT2447" s="73"/>
      <c r="BU2447" s="73"/>
      <c r="BV2447" s="73"/>
      <c r="BW2447" s="73"/>
      <c r="BX2447" s="73"/>
      <c r="BY2447" s="73"/>
      <c r="BZ2447" s="73"/>
      <c r="CA2447" s="73"/>
      <c r="CB2447" s="73"/>
      <c r="CC2447" s="73"/>
      <c r="CD2447" s="73"/>
      <c r="CE2447" s="73"/>
      <c r="CF2447" s="73"/>
      <c r="CG2447" s="73"/>
      <c r="CH2447" s="73"/>
    </row>
    <row r="2448">
      <c r="A2448" s="80"/>
      <c r="B2448" s="80"/>
      <c r="C2448" s="80"/>
      <c r="D2448" s="80"/>
      <c r="E2448" s="124"/>
      <c r="F2448" s="80"/>
      <c r="G2448" s="80"/>
      <c r="H2448" s="80"/>
      <c r="I2448" s="80"/>
      <c r="J2448" s="196"/>
      <c r="K2448" s="196"/>
      <c r="L2448" s="196"/>
      <c r="M2448" s="196"/>
      <c r="N2448" s="196"/>
      <c r="O2448" s="196"/>
      <c r="P2448" s="196"/>
      <c r="Q2448" s="196"/>
      <c r="R2448" s="196"/>
      <c r="S2448" s="196"/>
      <c r="T2448" s="196"/>
      <c r="U2448" s="196"/>
      <c r="V2448" s="196"/>
      <c r="W2448" s="196"/>
      <c r="X2448" s="196"/>
      <c r="Y2448" s="196"/>
      <c r="Z2448" s="196"/>
      <c r="AA2448" s="196"/>
      <c r="AB2448" s="196"/>
      <c r="AC2448" s="196"/>
      <c r="AD2448" s="196"/>
      <c r="AE2448" s="196"/>
      <c r="AF2448" s="196"/>
      <c r="AG2448" s="196"/>
      <c r="AH2448" s="196"/>
      <c r="AI2448" s="196"/>
      <c r="AJ2448" s="197"/>
      <c r="AK2448" s="80"/>
      <c r="AL2448" s="80"/>
      <c r="AM2448" s="73"/>
      <c r="AN2448" s="73"/>
      <c r="AO2448" s="73"/>
      <c r="AP2448" s="73"/>
      <c r="AQ2448" s="73"/>
      <c r="AR2448" s="73"/>
      <c r="AS2448" s="73"/>
      <c r="AT2448" s="73"/>
      <c r="AU2448" s="73"/>
      <c r="AV2448" s="73"/>
      <c r="AW2448" s="73"/>
      <c r="AX2448" s="73"/>
      <c r="AY2448" s="73"/>
      <c r="AZ2448" s="73"/>
      <c r="BA2448" s="73"/>
      <c r="BB2448" s="73"/>
      <c r="BC2448" s="73"/>
      <c r="BD2448" s="73"/>
      <c r="BE2448" s="73"/>
      <c r="BF2448" s="73"/>
      <c r="BG2448" s="73"/>
      <c r="BH2448" s="73"/>
      <c r="BI2448" s="73"/>
      <c r="BJ2448" s="73"/>
      <c r="BK2448" s="73"/>
      <c r="BL2448" s="73"/>
      <c r="BM2448" s="73"/>
      <c r="BN2448" s="73"/>
      <c r="BO2448" s="73"/>
      <c r="BP2448" s="73"/>
      <c r="BQ2448" s="73"/>
      <c r="BR2448" s="73"/>
      <c r="BS2448" s="73"/>
      <c r="BT2448" s="73"/>
      <c r="BU2448" s="73"/>
      <c r="BV2448" s="73"/>
      <c r="BW2448" s="73"/>
      <c r="BX2448" s="73"/>
      <c r="BY2448" s="73"/>
      <c r="BZ2448" s="73"/>
      <c r="CA2448" s="73"/>
      <c r="CB2448" s="73"/>
      <c r="CC2448" s="73"/>
      <c r="CD2448" s="73"/>
      <c r="CE2448" s="73"/>
      <c r="CF2448" s="73"/>
      <c r="CG2448" s="73"/>
      <c r="CH2448" s="73"/>
    </row>
    <row r="2449">
      <c r="A2449" s="80"/>
      <c r="B2449" s="80"/>
      <c r="C2449" s="80"/>
      <c r="D2449" s="80"/>
      <c r="E2449" s="124"/>
      <c r="F2449" s="80"/>
      <c r="G2449" s="80"/>
      <c r="H2449" s="80"/>
      <c r="I2449" s="80"/>
      <c r="J2449" s="196"/>
      <c r="K2449" s="196"/>
      <c r="L2449" s="196"/>
      <c r="M2449" s="196"/>
      <c r="N2449" s="196"/>
      <c r="O2449" s="196"/>
      <c r="P2449" s="196"/>
      <c r="Q2449" s="196"/>
      <c r="R2449" s="196"/>
      <c r="S2449" s="196"/>
      <c r="T2449" s="196"/>
      <c r="U2449" s="196"/>
      <c r="V2449" s="196"/>
      <c r="W2449" s="196"/>
      <c r="X2449" s="196"/>
      <c r="Y2449" s="196"/>
      <c r="Z2449" s="196"/>
      <c r="AA2449" s="196"/>
      <c r="AB2449" s="196"/>
      <c r="AC2449" s="196"/>
      <c r="AD2449" s="196"/>
      <c r="AE2449" s="196"/>
      <c r="AF2449" s="196"/>
      <c r="AG2449" s="196"/>
      <c r="AH2449" s="196"/>
      <c r="AI2449" s="196"/>
      <c r="AJ2449" s="197"/>
      <c r="AK2449" s="80"/>
      <c r="AL2449" s="80"/>
      <c r="AM2449" s="73"/>
      <c r="AN2449" s="73"/>
      <c r="AO2449" s="73"/>
      <c r="AP2449" s="73"/>
      <c r="AQ2449" s="73"/>
      <c r="AR2449" s="73"/>
      <c r="AS2449" s="73"/>
      <c r="AT2449" s="73"/>
      <c r="AU2449" s="73"/>
      <c r="AV2449" s="73"/>
      <c r="AW2449" s="73"/>
      <c r="AX2449" s="73"/>
      <c r="AY2449" s="73"/>
      <c r="AZ2449" s="73"/>
      <c r="BA2449" s="73"/>
      <c r="BB2449" s="73"/>
      <c r="BC2449" s="73"/>
      <c r="BD2449" s="73"/>
      <c r="BE2449" s="73"/>
      <c r="BF2449" s="73"/>
      <c r="BG2449" s="73"/>
      <c r="BH2449" s="73"/>
      <c r="BI2449" s="73"/>
      <c r="BJ2449" s="73"/>
      <c r="BK2449" s="73"/>
      <c r="BL2449" s="73"/>
      <c r="BM2449" s="73"/>
      <c r="BN2449" s="73"/>
      <c r="BO2449" s="73"/>
      <c r="BP2449" s="73"/>
      <c r="BQ2449" s="73"/>
      <c r="BR2449" s="73"/>
      <c r="BS2449" s="73"/>
      <c r="BT2449" s="73"/>
      <c r="BU2449" s="73"/>
      <c r="BV2449" s="73"/>
      <c r="BW2449" s="73"/>
      <c r="BX2449" s="73"/>
      <c r="BY2449" s="73"/>
      <c r="BZ2449" s="73"/>
      <c r="CA2449" s="73"/>
      <c r="CB2449" s="73"/>
      <c r="CC2449" s="73"/>
      <c r="CD2449" s="73"/>
      <c r="CE2449" s="73"/>
      <c r="CF2449" s="73"/>
      <c r="CG2449" s="73"/>
      <c r="CH2449" s="73"/>
    </row>
    <row r="2450">
      <c r="A2450" s="80"/>
      <c r="B2450" s="80"/>
      <c r="C2450" s="80"/>
      <c r="D2450" s="80"/>
      <c r="E2450" s="124"/>
      <c r="F2450" s="80"/>
      <c r="G2450" s="80"/>
      <c r="H2450" s="80"/>
      <c r="I2450" s="80"/>
      <c r="J2450" s="196"/>
      <c r="K2450" s="196"/>
      <c r="L2450" s="196"/>
      <c r="M2450" s="196"/>
      <c r="N2450" s="196"/>
      <c r="O2450" s="196"/>
      <c r="P2450" s="196"/>
      <c r="Q2450" s="196"/>
      <c r="R2450" s="196"/>
      <c r="S2450" s="196"/>
      <c r="T2450" s="196"/>
      <c r="U2450" s="196"/>
      <c r="V2450" s="196"/>
      <c r="W2450" s="196"/>
      <c r="X2450" s="196"/>
      <c r="Y2450" s="196"/>
      <c r="Z2450" s="196"/>
      <c r="AA2450" s="196"/>
      <c r="AB2450" s="196"/>
      <c r="AC2450" s="196"/>
      <c r="AD2450" s="196"/>
      <c r="AE2450" s="196"/>
      <c r="AF2450" s="196"/>
      <c r="AG2450" s="196"/>
      <c r="AH2450" s="196"/>
      <c r="AI2450" s="196"/>
      <c r="AJ2450" s="197"/>
      <c r="AK2450" s="80"/>
      <c r="AL2450" s="80"/>
      <c r="AM2450" s="73"/>
      <c r="AN2450" s="73"/>
      <c r="AO2450" s="73"/>
      <c r="AP2450" s="73"/>
      <c r="AQ2450" s="73"/>
      <c r="AR2450" s="73"/>
      <c r="AS2450" s="73"/>
      <c r="AT2450" s="73"/>
      <c r="AU2450" s="73"/>
      <c r="AV2450" s="73"/>
      <c r="AW2450" s="73"/>
      <c r="AX2450" s="73"/>
      <c r="AY2450" s="73"/>
      <c r="AZ2450" s="73"/>
      <c r="BA2450" s="73"/>
      <c r="BB2450" s="73"/>
      <c r="BC2450" s="73"/>
      <c r="BD2450" s="73"/>
      <c r="BE2450" s="73"/>
      <c r="BF2450" s="73"/>
      <c r="BG2450" s="73"/>
      <c r="BH2450" s="73"/>
      <c r="BI2450" s="73"/>
      <c r="BJ2450" s="73"/>
      <c r="BK2450" s="73"/>
      <c r="BL2450" s="73"/>
      <c r="BM2450" s="73"/>
      <c r="BN2450" s="73"/>
      <c r="BO2450" s="73"/>
      <c r="BP2450" s="73"/>
      <c r="BQ2450" s="73"/>
      <c r="BR2450" s="73"/>
      <c r="BS2450" s="73"/>
      <c r="BT2450" s="73"/>
      <c r="BU2450" s="73"/>
      <c r="BV2450" s="73"/>
      <c r="BW2450" s="73"/>
      <c r="BX2450" s="73"/>
      <c r="BY2450" s="73"/>
      <c r="BZ2450" s="73"/>
      <c r="CA2450" s="73"/>
      <c r="CB2450" s="73"/>
      <c r="CC2450" s="73"/>
      <c r="CD2450" s="73"/>
      <c r="CE2450" s="73"/>
      <c r="CF2450" s="73"/>
      <c r="CG2450" s="73"/>
      <c r="CH2450" s="73"/>
    </row>
    <row r="2451">
      <c r="A2451" s="80"/>
      <c r="B2451" s="80"/>
      <c r="C2451" s="80"/>
      <c r="D2451" s="80"/>
      <c r="E2451" s="124"/>
      <c r="F2451" s="80"/>
      <c r="G2451" s="80"/>
      <c r="H2451" s="80"/>
      <c r="I2451" s="80"/>
      <c r="J2451" s="196"/>
      <c r="K2451" s="196"/>
      <c r="L2451" s="196"/>
      <c r="M2451" s="196"/>
      <c r="N2451" s="196"/>
      <c r="O2451" s="196"/>
      <c r="P2451" s="196"/>
      <c r="Q2451" s="196"/>
      <c r="R2451" s="196"/>
      <c r="S2451" s="196"/>
      <c r="T2451" s="196"/>
      <c r="U2451" s="196"/>
      <c r="V2451" s="196"/>
      <c r="W2451" s="196"/>
      <c r="X2451" s="196"/>
      <c r="Y2451" s="196"/>
      <c r="Z2451" s="196"/>
      <c r="AA2451" s="196"/>
      <c r="AB2451" s="196"/>
      <c r="AC2451" s="196"/>
      <c r="AD2451" s="196"/>
      <c r="AE2451" s="196"/>
      <c r="AF2451" s="196"/>
      <c r="AG2451" s="196"/>
      <c r="AH2451" s="196"/>
      <c r="AI2451" s="196"/>
      <c r="AJ2451" s="197"/>
      <c r="AK2451" s="80"/>
      <c r="AL2451" s="80"/>
      <c r="AM2451" s="73"/>
      <c r="AN2451" s="73"/>
      <c r="AO2451" s="73"/>
      <c r="AP2451" s="73"/>
      <c r="AQ2451" s="73"/>
      <c r="AR2451" s="73"/>
      <c r="AS2451" s="73"/>
      <c r="AT2451" s="73"/>
      <c r="AU2451" s="73"/>
      <c r="AV2451" s="73"/>
      <c r="AW2451" s="73"/>
      <c r="AX2451" s="73"/>
      <c r="AY2451" s="73"/>
      <c r="AZ2451" s="73"/>
      <c r="BA2451" s="73"/>
      <c r="BB2451" s="73"/>
      <c r="BC2451" s="73"/>
      <c r="BD2451" s="73"/>
      <c r="BE2451" s="73"/>
      <c r="BF2451" s="73"/>
      <c r="BG2451" s="73"/>
      <c r="BH2451" s="73"/>
      <c r="BI2451" s="73"/>
      <c r="BJ2451" s="73"/>
      <c r="BK2451" s="73"/>
      <c r="BL2451" s="73"/>
      <c r="BM2451" s="73"/>
      <c r="BN2451" s="73"/>
      <c r="BO2451" s="73"/>
      <c r="BP2451" s="73"/>
      <c r="BQ2451" s="73"/>
      <c r="BR2451" s="73"/>
      <c r="BS2451" s="73"/>
      <c r="BT2451" s="73"/>
      <c r="BU2451" s="73"/>
      <c r="BV2451" s="73"/>
      <c r="BW2451" s="73"/>
      <c r="BX2451" s="73"/>
      <c r="BY2451" s="73"/>
      <c r="BZ2451" s="73"/>
      <c r="CA2451" s="73"/>
      <c r="CB2451" s="73"/>
      <c r="CC2451" s="73"/>
      <c r="CD2451" s="73"/>
      <c r="CE2451" s="73"/>
      <c r="CF2451" s="73"/>
      <c r="CG2451" s="73"/>
      <c r="CH2451" s="73"/>
    </row>
    <row r="2452">
      <c r="A2452" s="80"/>
      <c r="B2452" s="80"/>
      <c r="C2452" s="80"/>
      <c r="D2452" s="80"/>
      <c r="E2452" s="124"/>
      <c r="F2452" s="80"/>
      <c r="G2452" s="80"/>
      <c r="H2452" s="80"/>
      <c r="I2452" s="80"/>
      <c r="J2452" s="196"/>
      <c r="K2452" s="196"/>
      <c r="L2452" s="196"/>
      <c r="M2452" s="196"/>
      <c r="N2452" s="196"/>
      <c r="O2452" s="196"/>
      <c r="P2452" s="196"/>
      <c r="Q2452" s="196"/>
      <c r="R2452" s="196"/>
      <c r="S2452" s="196"/>
      <c r="T2452" s="196"/>
      <c r="U2452" s="196"/>
      <c r="V2452" s="196"/>
      <c r="W2452" s="196"/>
      <c r="X2452" s="196"/>
      <c r="Y2452" s="196"/>
      <c r="Z2452" s="196"/>
      <c r="AA2452" s="196"/>
      <c r="AB2452" s="196"/>
      <c r="AC2452" s="196"/>
      <c r="AD2452" s="196"/>
      <c r="AE2452" s="196"/>
      <c r="AF2452" s="196"/>
      <c r="AG2452" s="196"/>
      <c r="AH2452" s="196"/>
      <c r="AI2452" s="196"/>
      <c r="AJ2452" s="197"/>
      <c r="AK2452" s="80"/>
      <c r="AL2452" s="80"/>
      <c r="AM2452" s="73"/>
      <c r="AN2452" s="73"/>
      <c r="AO2452" s="73"/>
      <c r="AP2452" s="73"/>
      <c r="AQ2452" s="73"/>
      <c r="AR2452" s="73"/>
      <c r="AS2452" s="73"/>
      <c r="AT2452" s="73"/>
      <c r="AU2452" s="73"/>
      <c r="AV2452" s="73"/>
      <c r="AW2452" s="73"/>
      <c r="AX2452" s="73"/>
      <c r="AY2452" s="73"/>
      <c r="AZ2452" s="73"/>
      <c r="BA2452" s="73"/>
      <c r="BB2452" s="73"/>
      <c r="BC2452" s="73"/>
      <c r="BD2452" s="73"/>
      <c r="BE2452" s="73"/>
      <c r="BF2452" s="73"/>
      <c r="BG2452" s="73"/>
      <c r="BH2452" s="73"/>
      <c r="BI2452" s="73"/>
      <c r="BJ2452" s="73"/>
      <c r="BK2452" s="73"/>
      <c r="BL2452" s="73"/>
      <c r="BM2452" s="73"/>
      <c r="BN2452" s="73"/>
      <c r="BO2452" s="73"/>
      <c r="BP2452" s="73"/>
      <c r="BQ2452" s="73"/>
      <c r="BR2452" s="73"/>
      <c r="BS2452" s="73"/>
      <c r="BT2452" s="73"/>
      <c r="BU2452" s="73"/>
      <c r="BV2452" s="73"/>
      <c r="BW2452" s="73"/>
      <c r="BX2452" s="73"/>
      <c r="BY2452" s="73"/>
      <c r="BZ2452" s="73"/>
      <c r="CA2452" s="73"/>
      <c r="CB2452" s="73"/>
      <c r="CC2452" s="73"/>
      <c r="CD2452" s="73"/>
      <c r="CE2452" s="73"/>
      <c r="CF2452" s="73"/>
      <c r="CG2452" s="73"/>
      <c r="CH2452" s="73"/>
    </row>
    <row r="2453">
      <c r="A2453" s="80"/>
      <c r="B2453" s="80"/>
      <c r="C2453" s="80"/>
      <c r="D2453" s="80"/>
      <c r="E2453" s="124"/>
      <c r="F2453" s="80"/>
      <c r="G2453" s="80"/>
      <c r="H2453" s="80"/>
      <c r="I2453" s="80"/>
      <c r="J2453" s="196"/>
      <c r="K2453" s="196"/>
      <c r="L2453" s="196"/>
      <c r="M2453" s="196"/>
      <c r="N2453" s="196"/>
      <c r="O2453" s="196"/>
      <c r="P2453" s="196"/>
      <c r="Q2453" s="196"/>
      <c r="R2453" s="196"/>
      <c r="S2453" s="196"/>
      <c r="T2453" s="196"/>
      <c r="U2453" s="196"/>
      <c r="V2453" s="196"/>
      <c r="W2453" s="196"/>
      <c r="X2453" s="196"/>
      <c r="Y2453" s="196"/>
      <c r="Z2453" s="196"/>
      <c r="AA2453" s="196"/>
      <c r="AB2453" s="196"/>
      <c r="AC2453" s="196"/>
      <c r="AD2453" s="196"/>
      <c r="AE2453" s="196"/>
      <c r="AF2453" s="196"/>
      <c r="AG2453" s="196"/>
      <c r="AH2453" s="196"/>
      <c r="AI2453" s="196"/>
      <c r="AJ2453" s="197"/>
      <c r="AK2453" s="80"/>
      <c r="AL2453" s="80"/>
      <c r="AM2453" s="73"/>
      <c r="AN2453" s="73"/>
      <c r="AO2453" s="73"/>
      <c r="AP2453" s="73"/>
      <c r="AQ2453" s="73"/>
      <c r="AR2453" s="73"/>
      <c r="AS2453" s="73"/>
      <c r="AT2453" s="73"/>
      <c r="AU2453" s="73"/>
      <c r="AV2453" s="73"/>
      <c r="AW2453" s="73"/>
      <c r="AX2453" s="73"/>
      <c r="AY2453" s="73"/>
      <c r="AZ2453" s="73"/>
      <c r="BA2453" s="73"/>
      <c r="BB2453" s="73"/>
      <c r="BC2453" s="73"/>
      <c r="BD2453" s="73"/>
      <c r="BE2453" s="73"/>
      <c r="BF2453" s="73"/>
      <c r="BG2453" s="73"/>
      <c r="BH2453" s="73"/>
      <c r="BI2453" s="73"/>
      <c r="BJ2453" s="73"/>
      <c r="BK2453" s="73"/>
      <c r="BL2453" s="73"/>
      <c r="BM2453" s="73"/>
      <c r="BN2453" s="73"/>
      <c r="BO2453" s="73"/>
      <c r="BP2453" s="73"/>
      <c r="BQ2453" s="73"/>
      <c r="BR2453" s="73"/>
      <c r="BS2453" s="73"/>
      <c r="BT2453" s="73"/>
      <c r="BU2453" s="73"/>
      <c r="BV2453" s="73"/>
      <c r="BW2453" s="73"/>
      <c r="BX2453" s="73"/>
      <c r="BY2453" s="73"/>
      <c r="BZ2453" s="73"/>
      <c r="CA2453" s="73"/>
      <c r="CB2453" s="73"/>
      <c r="CC2453" s="73"/>
      <c r="CD2453" s="73"/>
      <c r="CE2453" s="73"/>
      <c r="CF2453" s="73"/>
      <c r="CG2453" s="73"/>
      <c r="CH2453" s="73"/>
    </row>
    <row r="2454">
      <c r="A2454" s="80"/>
      <c r="B2454" s="80"/>
      <c r="C2454" s="80"/>
      <c r="D2454" s="80"/>
      <c r="E2454" s="124"/>
      <c r="F2454" s="80"/>
      <c r="G2454" s="80"/>
      <c r="H2454" s="80"/>
      <c r="I2454" s="80"/>
      <c r="J2454" s="196"/>
      <c r="K2454" s="196"/>
      <c r="L2454" s="196"/>
      <c r="M2454" s="196"/>
      <c r="N2454" s="196"/>
      <c r="O2454" s="196"/>
      <c r="P2454" s="196"/>
      <c r="Q2454" s="196"/>
      <c r="R2454" s="196"/>
      <c r="S2454" s="196"/>
      <c r="T2454" s="196"/>
      <c r="U2454" s="196"/>
      <c r="V2454" s="196"/>
      <c r="W2454" s="196"/>
      <c r="X2454" s="196"/>
      <c r="Y2454" s="196"/>
      <c r="Z2454" s="196"/>
      <c r="AA2454" s="196"/>
      <c r="AB2454" s="196"/>
      <c r="AC2454" s="196"/>
      <c r="AD2454" s="196"/>
      <c r="AE2454" s="196"/>
      <c r="AF2454" s="196"/>
      <c r="AG2454" s="196"/>
      <c r="AH2454" s="196"/>
      <c r="AI2454" s="196"/>
      <c r="AJ2454" s="197"/>
      <c r="AK2454" s="80"/>
      <c r="AL2454" s="80"/>
      <c r="AM2454" s="73"/>
      <c r="AN2454" s="73"/>
      <c r="AO2454" s="73"/>
      <c r="AP2454" s="73"/>
      <c r="AQ2454" s="73"/>
      <c r="AR2454" s="73"/>
      <c r="AS2454" s="73"/>
      <c r="AT2454" s="73"/>
      <c r="AU2454" s="73"/>
      <c r="AV2454" s="73"/>
      <c r="AW2454" s="73"/>
      <c r="AX2454" s="73"/>
      <c r="AY2454" s="73"/>
      <c r="AZ2454" s="73"/>
      <c r="BA2454" s="73"/>
      <c r="BB2454" s="73"/>
      <c r="BC2454" s="73"/>
      <c r="BD2454" s="73"/>
      <c r="BE2454" s="73"/>
      <c r="BF2454" s="73"/>
      <c r="BG2454" s="73"/>
      <c r="BH2454" s="73"/>
      <c r="BI2454" s="73"/>
      <c r="BJ2454" s="73"/>
      <c r="BK2454" s="73"/>
      <c r="BL2454" s="73"/>
      <c r="BM2454" s="73"/>
      <c r="BN2454" s="73"/>
      <c r="BO2454" s="73"/>
      <c r="BP2454" s="73"/>
      <c r="BQ2454" s="73"/>
      <c r="BR2454" s="73"/>
      <c r="BS2454" s="73"/>
      <c r="BT2454" s="73"/>
      <c r="BU2454" s="73"/>
      <c r="BV2454" s="73"/>
      <c r="BW2454" s="73"/>
      <c r="BX2454" s="73"/>
      <c r="BY2454" s="73"/>
      <c r="BZ2454" s="73"/>
      <c r="CA2454" s="73"/>
      <c r="CB2454" s="73"/>
      <c r="CC2454" s="73"/>
      <c r="CD2454" s="73"/>
      <c r="CE2454" s="73"/>
      <c r="CF2454" s="73"/>
      <c r="CG2454" s="73"/>
      <c r="CH2454" s="73"/>
    </row>
    <row r="2455">
      <c r="A2455" s="80"/>
      <c r="B2455" s="80"/>
      <c r="C2455" s="80"/>
      <c r="D2455" s="80"/>
      <c r="E2455" s="124"/>
      <c r="F2455" s="80"/>
      <c r="G2455" s="80"/>
      <c r="H2455" s="80"/>
      <c r="I2455" s="80"/>
      <c r="J2455" s="196"/>
      <c r="K2455" s="196"/>
      <c r="L2455" s="196"/>
      <c r="M2455" s="196"/>
      <c r="N2455" s="196"/>
      <c r="O2455" s="196"/>
      <c r="P2455" s="196"/>
      <c r="Q2455" s="196"/>
      <c r="R2455" s="196"/>
      <c r="S2455" s="196"/>
      <c r="T2455" s="196"/>
      <c r="U2455" s="196"/>
      <c r="V2455" s="196"/>
      <c r="W2455" s="196"/>
      <c r="X2455" s="196"/>
      <c r="Y2455" s="196"/>
      <c r="Z2455" s="196"/>
      <c r="AA2455" s="196"/>
      <c r="AB2455" s="196"/>
      <c r="AC2455" s="196"/>
      <c r="AD2455" s="196"/>
      <c r="AE2455" s="196"/>
      <c r="AF2455" s="196"/>
      <c r="AG2455" s="196"/>
      <c r="AH2455" s="196"/>
      <c r="AI2455" s="196"/>
      <c r="AJ2455" s="197"/>
      <c r="AK2455" s="80"/>
      <c r="AL2455" s="80"/>
      <c r="AM2455" s="73"/>
      <c r="AN2455" s="73"/>
      <c r="AO2455" s="73"/>
      <c r="AP2455" s="73"/>
      <c r="AQ2455" s="73"/>
      <c r="AR2455" s="73"/>
      <c r="AS2455" s="73"/>
      <c r="AT2455" s="73"/>
      <c r="AU2455" s="73"/>
      <c r="AV2455" s="73"/>
      <c r="AW2455" s="73"/>
      <c r="AX2455" s="73"/>
      <c r="AY2455" s="73"/>
      <c r="AZ2455" s="73"/>
      <c r="BA2455" s="73"/>
      <c r="BB2455" s="73"/>
      <c r="BC2455" s="73"/>
      <c r="BD2455" s="73"/>
      <c r="BE2455" s="73"/>
      <c r="BF2455" s="73"/>
      <c r="BG2455" s="73"/>
      <c r="BH2455" s="73"/>
      <c r="BI2455" s="73"/>
      <c r="BJ2455" s="73"/>
      <c r="BK2455" s="73"/>
      <c r="BL2455" s="73"/>
      <c r="BM2455" s="73"/>
      <c r="BN2455" s="73"/>
      <c r="BO2455" s="73"/>
      <c r="BP2455" s="73"/>
      <c r="BQ2455" s="73"/>
      <c r="BR2455" s="73"/>
      <c r="BS2455" s="73"/>
      <c r="BT2455" s="73"/>
      <c r="BU2455" s="73"/>
      <c r="BV2455" s="73"/>
      <c r="BW2455" s="73"/>
      <c r="BX2455" s="73"/>
      <c r="BY2455" s="73"/>
      <c r="BZ2455" s="73"/>
      <c r="CA2455" s="73"/>
      <c r="CB2455" s="73"/>
      <c r="CC2455" s="73"/>
      <c r="CD2455" s="73"/>
      <c r="CE2455" s="73"/>
      <c r="CF2455" s="73"/>
      <c r="CG2455" s="73"/>
      <c r="CH2455" s="73"/>
    </row>
    <row r="2456">
      <c r="A2456" s="80"/>
      <c r="B2456" s="80"/>
      <c r="C2456" s="80"/>
      <c r="D2456" s="80"/>
      <c r="E2456" s="124"/>
      <c r="F2456" s="80"/>
      <c r="G2456" s="80"/>
      <c r="H2456" s="80"/>
      <c r="I2456" s="80"/>
      <c r="J2456" s="196"/>
      <c r="K2456" s="196"/>
      <c r="L2456" s="196"/>
      <c r="M2456" s="196"/>
      <c r="N2456" s="196"/>
      <c r="O2456" s="196"/>
      <c r="P2456" s="196"/>
      <c r="Q2456" s="196"/>
      <c r="R2456" s="196"/>
      <c r="S2456" s="196"/>
      <c r="T2456" s="196"/>
      <c r="U2456" s="196"/>
      <c r="V2456" s="196"/>
      <c r="W2456" s="196"/>
      <c r="X2456" s="196"/>
      <c r="Y2456" s="196"/>
      <c r="Z2456" s="196"/>
      <c r="AA2456" s="196"/>
      <c r="AB2456" s="196"/>
      <c r="AC2456" s="196"/>
      <c r="AD2456" s="196"/>
      <c r="AE2456" s="196"/>
      <c r="AF2456" s="196"/>
      <c r="AG2456" s="196"/>
      <c r="AH2456" s="196"/>
      <c r="AI2456" s="196"/>
      <c r="AJ2456" s="197"/>
      <c r="AK2456" s="80"/>
      <c r="AL2456" s="80"/>
      <c r="AM2456" s="73"/>
      <c r="AN2456" s="73"/>
      <c r="AO2456" s="73"/>
      <c r="AP2456" s="73"/>
      <c r="AQ2456" s="73"/>
      <c r="AR2456" s="73"/>
      <c r="AS2456" s="73"/>
      <c r="AT2456" s="73"/>
      <c r="AU2456" s="73"/>
      <c r="AV2456" s="73"/>
      <c r="AW2456" s="73"/>
      <c r="AX2456" s="73"/>
      <c r="AY2456" s="73"/>
      <c r="AZ2456" s="73"/>
      <c r="BA2456" s="73"/>
      <c r="BB2456" s="73"/>
      <c r="BC2456" s="73"/>
      <c r="BD2456" s="73"/>
      <c r="BE2456" s="73"/>
      <c r="BF2456" s="73"/>
      <c r="BG2456" s="73"/>
      <c r="BH2456" s="73"/>
      <c r="BI2456" s="73"/>
      <c r="BJ2456" s="73"/>
      <c r="BK2456" s="73"/>
      <c r="BL2456" s="73"/>
      <c r="BM2456" s="73"/>
      <c r="BN2456" s="73"/>
      <c r="BO2456" s="73"/>
      <c r="BP2456" s="73"/>
      <c r="BQ2456" s="73"/>
      <c r="BR2456" s="73"/>
      <c r="BS2456" s="73"/>
      <c r="BT2456" s="73"/>
      <c r="BU2456" s="73"/>
      <c r="BV2456" s="73"/>
      <c r="BW2456" s="73"/>
      <c r="BX2456" s="73"/>
      <c r="BY2456" s="73"/>
      <c r="BZ2456" s="73"/>
      <c r="CA2456" s="73"/>
      <c r="CB2456" s="73"/>
      <c r="CC2456" s="73"/>
      <c r="CD2456" s="73"/>
      <c r="CE2456" s="73"/>
      <c r="CF2456" s="73"/>
      <c r="CG2456" s="73"/>
      <c r="CH2456" s="73"/>
    </row>
    <row r="2457">
      <c r="A2457" s="80"/>
      <c r="B2457" s="80"/>
      <c r="C2457" s="80"/>
      <c r="D2457" s="80"/>
      <c r="E2457" s="124"/>
      <c r="F2457" s="80"/>
      <c r="G2457" s="80"/>
      <c r="H2457" s="80"/>
      <c r="I2457" s="80"/>
      <c r="J2457" s="196"/>
      <c r="K2457" s="196"/>
      <c r="L2457" s="196"/>
      <c r="M2457" s="196"/>
      <c r="N2457" s="196"/>
      <c r="O2457" s="196"/>
      <c r="P2457" s="196"/>
      <c r="Q2457" s="196"/>
      <c r="R2457" s="196"/>
      <c r="S2457" s="196"/>
      <c r="T2457" s="196"/>
      <c r="U2457" s="196"/>
      <c r="V2457" s="196"/>
      <c r="W2457" s="196"/>
      <c r="X2457" s="196"/>
      <c r="Y2457" s="196"/>
      <c r="Z2457" s="196"/>
      <c r="AA2457" s="196"/>
      <c r="AB2457" s="196"/>
      <c r="AC2457" s="196"/>
      <c r="AD2457" s="196"/>
      <c r="AE2457" s="196"/>
      <c r="AF2457" s="196"/>
      <c r="AG2457" s="196"/>
      <c r="AH2457" s="196"/>
      <c r="AI2457" s="196"/>
      <c r="AJ2457" s="197"/>
      <c r="AK2457" s="80"/>
      <c r="AL2457" s="80"/>
      <c r="AM2457" s="73"/>
      <c r="AN2457" s="73"/>
      <c r="AO2457" s="73"/>
      <c r="AP2457" s="73"/>
      <c r="AQ2457" s="73"/>
      <c r="AR2457" s="73"/>
      <c r="AS2457" s="73"/>
      <c r="AT2457" s="73"/>
      <c r="AU2457" s="73"/>
      <c r="AV2457" s="73"/>
      <c r="AW2457" s="73"/>
      <c r="AX2457" s="73"/>
      <c r="AY2457" s="73"/>
      <c r="AZ2457" s="73"/>
      <c r="BA2457" s="73"/>
      <c r="BB2457" s="73"/>
      <c r="BC2457" s="73"/>
      <c r="BD2457" s="73"/>
      <c r="BE2457" s="73"/>
      <c r="BF2457" s="73"/>
      <c r="BG2457" s="73"/>
      <c r="BH2457" s="73"/>
      <c r="BI2457" s="73"/>
      <c r="BJ2457" s="73"/>
      <c r="BK2457" s="73"/>
      <c r="BL2457" s="73"/>
      <c r="BM2457" s="73"/>
      <c r="BN2457" s="73"/>
      <c r="BO2457" s="73"/>
      <c r="BP2457" s="73"/>
      <c r="BQ2457" s="73"/>
      <c r="BR2457" s="73"/>
      <c r="BS2457" s="73"/>
      <c r="BT2457" s="73"/>
      <c r="BU2457" s="73"/>
      <c r="BV2457" s="73"/>
      <c r="BW2457" s="73"/>
      <c r="BX2457" s="73"/>
      <c r="BY2457" s="73"/>
      <c r="BZ2457" s="73"/>
      <c r="CA2457" s="73"/>
      <c r="CB2457" s="73"/>
      <c r="CC2457" s="73"/>
      <c r="CD2457" s="73"/>
      <c r="CE2457" s="73"/>
      <c r="CF2457" s="73"/>
      <c r="CG2457" s="73"/>
      <c r="CH2457" s="73"/>
    </row>
  </sheetData>
  <hyperlinks>
    <hyperlink r:id="rId1" ref="AJ16"/>
    <hyperlink r:id="rId2" ref="A17"/>
    <hyperlink r:id="rId3" ref="AJ17"/>
    <hyperlink r:id="rId4" ref="A18"/>
    <hyperlink r:id="rId5" ref="A19"/>
    <hyperlink r:id="rId6" ref="A20"/>
    <hyperlink r:id="rId7" ref="A21"/>
    <hyperlink r:id="rId8" ref="A22"/>
    <hyperlink r:id="rId9" ref="A23"/>
    <hyperlink r:id="rId10" ref="A24"/>
    <hyperlink r:id="rId11" ref="A25"/>
    <hyperlink r:id="rId12" ref="A26"/>
    <hyperlink r:id="rId13" ref="A27"/>
    <hyperlink r:id="rId14" ref="A28"/>
    <hyperlink r:id="rId15" ref="A29"/>
    <hyperlink r:id="rId16" ref="A30"/>
    <hyperlink r:id="rId17" ref="A31"/>
    <hyperlink r:id="rId18" ref="A32"/>
    <hyperlink r:id="rId19" ref="A33"/>
    <hyperlink r:id="rId20" ref="A34"/>
    <hyperlink r:id="rId21" ref="A35"/>
    <hyperlink r:id="rId22" ref="A36"/>
    <hyperlink r:id="rId23" ref="A37"/>
    <hyperlink r:id="rId24" ref="A38"/>
    <hyperlink r:id="rId25" ref="A39"/>
    <hyperlink r:id="rId26" ref="A40"/>
    <hyperlink r:id="rId27" ref="A41"/>
    <hyperlink r:id="rId28" ref="A42"/>
    <hyperlink r:id="rId29" ref="A43"/>
    <hyperlink r:id="rId30" ref="A44"/>
    <hyperlink r:id="rId31" ref="A45"/>
    <hyperlink r:id="rId32" ref="A46"/>
    <hyperlink r:id="rId33" ref="A47"/>
    <hyperlink r:id="rId34" ref="A48"/>
    <hyperlink r:id="rId35" ref="A49"/>
    <hyperlink r:id="rId36" ref="A50"/>
    <hyperlink r:id="rId37" ref="A51"/>
    <hyperlink r:id="rId38" ref="A52"/>
    <hyperlink r:id="rId39" ref="A53"/>
    <hyperlink r:id="rId40" ref="A54"/>
    <hyperlink r:id="rId41" ref="A55"/>
    <hyperlink r:id="rId42" ref="A56"/>
    <hyperlink r:id="rId43" ref="A57"/>
    <hyperlink r:id="rId44" ref="A58"/>
    <hyperlink r:id="rId45" ref="A59"/>
    <hyperlink r:id="rId46" ref="A60"/>
    <hyperlink r:id="rId47" ref="A61"/>
    <hyperlink r:id="rId48" ref="A62"/>
    <hyperlink r:id="rId49" ref="A63"/>
    <hyperlink r:id="rId50" ref="A64"/>
    <hyperlink r:id="rId51" ref="A65"/>
    <hyperlink r:id="rId52" ref="A66"/>
    <hyperlink r:id="rId53" ref="A67"/>
    <hyperlink r:id="rId54" ref="A68"/>
    <hyperlink r:id="rId55" ref="A69"/>
    <hyperlink r:id="rId56" ref="A70"/>
    <hyperlink r:id="rId57" ref="A71"/>
    <hyperlink r:id="rId58" ref="A72"/>
    <hyperlink r:id="rId59" ref="A73"/>
    <hyperlink r:id="rId60" ref="A74"/>
    <hyperlink r:id="rId61" ref="A75"/>
    <hyperlink r:id="rId62" ref="A76"/>
    <hyperlink r:id="rId63" ref="A77"/>
    <hyperlink r:id="rId64" ref="A78"/>
    <hyperlink r:id="rId65" ref="A79"/>
    <hyperlink r:id="rId66" ref="A80"/>
    <hyperlink r:id="rId67" ref="A81"/>
    <hyperlink r:id="rId68" ref="A82"/>
    <hyperlink r:id="rId69" ref="A83"/>
    <hyperlink r:id="rId70" ref="A84"/>
    <hyperlink r:id="rId71" ref="A85"/>
    <hyperlink r:id="rId72" ref="A86"/>
    <hyperlink r:id="rId73" ref="A87"/>
    <hyperlink r:id="rId74" ref="A88"/>
    <hyperlink r:id="rId75" ref="A89"/>
    <hyperlink r:id="rId76" ref="A90"/>
    <hyperlink r:id="rId77" ref="A91"/>
    <hyperlink r:id="rId78" ref="A92"/>
    <hyperlink r:id="rId79" ref="A93"/>
    <hyperlink r:id="rId80" ref="A94"/>
    <hyperlink r:id="rId81" ref="A95"/>
    <hyperlink r:id="rId82" ref="A96"/>
    <hyperlink r:id="rId83" ref="A97"/>
    <hyperlink r:id="rId84" ref="A98"/>
    <hyperlink r:id="rId85" ref="A99"/>
    <hyperlink r:id="rId86" ref="A100"/>
    <hyperlink r:id="rId87" ref="A101"/>
    <hyperlink r:id="rId88" ref="A102"/>
    <hyperlink r:id="rId89" ref="A103"/>
    <hyperlink r:id="rId90" ref="A104"/>
    <hyperlink r:id="rId91" ref="A105"/>
    <hyperlink r:id="rId92" ref="A106"/>
    <hyperlink r:id="rId93" ref="A107"/>
    <hyperlink r:id="rId94" ref="A108"/>
    <hyperlink r:id="rId95" ref="A109"/>
    <hyperlink r:id="rId96" ref="A110"/>
    <hyperlink r:id="rId97" ref="A111"/>
    <hyperlink r:id="rId98" ref="A112"/>
    <hyperlink r:id="rId99" ref="A113"/>
    <hyperlink r:id="rId100" ref="A114"/>
    <hyperlink r:id="rId101" ref="A115"/>
    <hyperlink r:id="rId102" ref="A116"/>
    <hyperlink r:id="rId103" ref="A117"/>
    <hyperlink r:id="rId104" ref="A118"/>
    <hyperlink r:id="rId105" ref="A119"/>
    <hyperlink r:id="rId106" ref="A120"/>
    <hyperlink r:id="rId107" ref="A121"/>
    <hyperlink r:id="rId108" ref="A122"/>
    <hyperlink r:id="rId109" ref="A123"/>
    <hyperlink r:id="rId110" ref="A124"/>
    <hyperlink r:id="rId111" ref="A125"/>
    <hyperlink r:id="rId112" ref="A126"/>
    <hyperlink r:id="rId113" ref="A127"/>
    <hyperlink r:id="rId114" ref="A128"/>
    <hyperlink r:id="rId115" ref="A129"/>
    <hyperlink r:id="rId116" ref="A130"/>
    <hyperlink r:id="rId117" ref="A131"/>
    <hyperlink r:id="rId118" ref="A132"/>
    <hyperlink r:id="rId119" ref="A133"/>
    <hyperlink r:id="rId120" ref="A134"/>
    <hyperlink r:id="rId121" ref="A135"/>
    <hyperlink r:id="rId122" ref="A136"/>
    <hyperlink r:id="rId123" ref="A137"/>
    <hyperlink r:id="rId124" ref="A138"/>
    <hyperlink r:id="rId125" ref="A139"/>
    <hyperlink r:id="rId126" ref="A140"/>
    <hyperlink r:id="rId127" ref="A141"/>
    <hyperlink r:id="rId128" ref="A142"/>
    <hyperlink r:id="rId129" ref="A143"/>
    <hyperlink r:id="rId130" ref="A144"/>
    <hyperlink r:id="rId131" ref="A145"/>
    <hyperlink r:id="rId132" ref="A146"/>
    <hyperlink r:id="rId133" ref="A147"/>
    <hyperlink r:id="rId134" ref="A148"/>
    <hyperlink r:id="rId135" ref="A149"/>
    <hyperlink r:id="rId136" ref="A150"/>
    <hyperlink r:id="rId137" ref="A151"/>
    <hyperlink r:id="rId138" ref="A152"/>
    <hyperlink r:id="rId139" ref="A153"/>
    <hyperlink r:id="rId140" ref="A154"/>
    <hyperlink r:id="rId141" ref="A155"/>
    <hyperlink r:id="rId142" ref="A156"/>
    <hyperlink r:id="rId143" ref="A157"/>
    <hyperlink r:id="rId144" ref="A158"/>
    <hyperlink r:id="rId145" ref="A159"/>
    <hyperlink r:id="rId146" ref="A160"/>
    <hyperlink r:id="rId147" ref="A161"/>
    <hyperlink r:id="rId148" ref="A162"/>
    <hyperlink r:id="rId149" ref="A163"/>
    <hyperlink r:id="rId150" ref="A164"/>
    <hyperlink r:id="rId151" ref="A165"/>
    <hyperlink r:id="rId152" ref="A166"/>
    <hyperlink r:id="rId153" ref="A167"/>
    <hyperlink r:id="rId154" ref="A168"/>
    <hyperlink r:id="rId155" ref="A169"/>
    <hyperlink r:id="rId156" ref="A170"/>
    <hyperlink r:id="rId157" ref="A171"/>
    <hyperlink r:id="rId158" ref="A172"/>
    <hyperlink r:id="rId159" ref="A173"/>
    <hyperlink r:id="rId160" ref="A174"/>
    <hyperlink r:id="rId161" ref="A175"/>
    <hyperlink r:id="rId162" ref="A176"/>
    <hyperlink r:id="rId163" ref="A177"/>
    <hyperlink r:id="rId164" ref="A178"/>
    <hyperlink r:id="rId165" ref="A179"/>
    <hyperlink r:id="rId166" ref="A180"/>
    <hyperlink r:id="rId167" ref="A181"/>
    <hyperlink r:id="rId168" ref="A182"/>
    <hyperlink r:id="rId169" ref="A183"/>
    <hyperlink r:id="rId170" ref="A184"/>
    <hyperlink r:id="rId171" ref="A185"/>
    <hyperlink r:id="rId172" ref="A186"/>
    <hyperlink r:id="rId173" ref="A187"/>
    <hyperlink r:id="rId174" ref="A188"/>
    <hyperlink r:id="rId175" ref="A189"/>
    <hyperlink r:id="rId176" ref="A190"/>
    <hyperlink r:id="rId177" ref="A191"/>
    <hyperlink r:id="rId178" ref="A192"/>
    <hyperlink r:id="rId179" ref="A193"/>
    <hyperlink r:id="rId180" ref="A194"/>
    <hyperlink r:id="rId181" ref="A195"/>
    <hyperlink r:id="rId182" ref="A196"/>
    <hyperlink r:id="rId183" ref="A197"/>
    <hyperlink r:id="rId184" ref="A198"/>
    <hyperlink r:id="rId185" ref="A199"/>
    <hyperlink r:id="rId186" ref="A200"/>
    <hyperlink r:id="rId187" ref="A201"/>
    <hyperlink r:id="rId188" ref="A202"/>
    <hyperlink r:id="rId189" ref="A203"/>
    <hyperlink r:id="rId190" ref="A204"/>
    <hyperlink r:id="rId191" ref="A205"/>
    <hyperlink r:id="rId192" ref="A206"/>
    <hyperlink r:id="rId193" ref="A207"/>
    <hyperlink r:id="rId194" ref="A208"/>
    <hyperlink r:id="rId195" ref="A209"/>
    <hyperlink r:id="rId196" ref="A210"/>
    <hyperlink r:id="rId197" ref="A211"/>
    <hyperlink r:id="rId198" ref="A212"/>
    <hyperlink r:id="rId199" ref="A213"/>
    <hyperlink r:id="rId200" ref="A214"/>
    <hyperlink r:id="rId201" ref="A215"/>
    <hyperlink r:id="rId202" ref="A216"/>
    <hyperlink r:id="rId203" ref="A217"/>
    <hyperlink r:id="rId204" ref="A219"/>
    <hyperlink r:id="rId205" ref="A224"/>
    <hyperlink r:id="rId206" ref="A229"/>
    <hyperlink r:id="rId207" ref="A230"/>
    <hyperlink r:id="rId208" ref="A231"/>
    <hyperlink r:id="rId209" ref="A233"/>
    <hyperlink r:id="rId210" ref="A234"/>
    <hyperlink r:id="rId211" ref="A235"/>
  </hyperlinks>
  <drawing r:id="rId2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6" max="31" width="12.63"/>
  </cols>
  <sheetData>
    <row r="1">
      <c r="A1" s="198"/>
      <c r="B1" s="198" t="str">
        <f>Main!B1</f>
        <v>Category</v>
      </c>
      <c r="C1" s="198" t="str">
        <f>Main!C1</f>
        <v>Sub Category</v>
      </c>
      <c r="D1" s="198" t="str">
        <f>Main!D1</f>
        <v>Specifications</v>
      </c>
      <c r="E1" s="189" t="str">
        <f>Main!E1</f>
        <v>No.  of Ups</v>
      </c>
      <c r="F1" s="198" t="str">
        <f>Main!F1</f>
        <v>Machine</v>
      </c>
      <c r="G1" s="198" t="str">
        <f>Main!J1</f>
        <v>GSM</v>
      </c>
      <c r="H1" s="198" t="str">
        <f>Main!K1</f>
        <v>Final Qty</v>
      </c>
      <c r="I1" s="198" t="str">
        <f>Main!L1</f>
        <v>Sheet Qty</v>
      </c>
      <c r="J1" s="196" t="str">
        <f>Main!AG1:AG629</f>
        <v>SBS</v>
      </c>
      <c r="K1" s="196" t="str">
        <f>Main!AH1</f>
        <v>WhiteBack</v>
      </c>
      <c r="L1" s="196" t="str">
        <f>Main!AI1</f>
        <v>GreyBack</v>
      </c>
      <c r="M1" s="196" t="str">
        <f>Main!AJ1</f>
        <v>Art Card</v>
      </c>
      <c r="N1" s="196" t="str">
        <f>Main!AK1</f>
        <v>Maplitho</v>
      </c>
      <c r="O1" s="196" t="str">
        <f>Main!AL1</f>
        <v>Other Type</v>
      </c>
      <c r="P1" s="196" t="str">
        <f>Main!AW1</f>
        <v>Lamination Thermal</v>
      </c>
      <c r="Q1" s="196" t="str">
        <f>Main!AX1</f>
        <v>Lamination Normal Gloss</v>
      </c>
      <c r="R1" s="196" t="str">
        <f>Main!AY1</f>
        <v>Lamination Normal Matt</v>
      </c>
      <c r="S1" s="196" t="str">
        <f>Main!AZ1</f>
        <v>Varnish</v>
      </c>
      <c r="T1" s="196" t="str">
        <f>Main!BC1</f>
        <v>UV Hybrid</v>
      </c>
      <c r="U1" s="196" t="str">
        <f>Main!BD1</f>
        <v>Spot UV</v>
      </c>
      <c r="V1" s="198" t="s">
        <v>74</v>
      </c>
      <c r="W1" s="199"/>
      <c r="X1" s="80"/>
      <c r="Y1" s="80"/>
      <c r="Z1" s="80"/>
      <c r="AA1" s="73"/>
      <c r="AB1" s="73"/>
      <c r="AC1" s="73"/>
      <c r="AD1" s="73"/>
      <c r="AE1" s="73"/>
      <c r="AF1" s="200" t="s">
        <v>42</v>
      </c>
      <c r="AG1" s="111" t="s">
        <v>43</v>
      </c>
      <c r="AH1" s="111" t="s">
        <v>44</v>
      </c>
      <c r="AI1" s="201" t="s">
        <v>92</v>
      </c>
      <c r="AJ1" s="201" t="s">
        <v>94</v>
      </c>
      <c r="AK1" s="201" t="s">
        <v>47</v>
      </c>
      <c r="AL1" s="199" t="s">
        <v>74</v>
      </c>
      <c r="AT1" s="92" t="s">
        <v>233</v>
      </c>
      <c r="AU1" s="92" t="s">
        <v>2</v>
      </c>
    </row>
    <row r="2">
      <c r="A2" s="202"/>
      <c r="B2" s="180"/>
      <c r="C2" s="180" t="str">
        <f>Quotation!A31</f>
        <v>Wrap</v>
      </c>
      <c r="D2" s="80" t="str">
        <f>Quotation!D30</f>
        <v/>
      </c>
      <c r="E2" s="124" t="str">
        <f>AF16</f>
        <v/>
      </c>
      <c r="F2" s="124" t="str">
        <f>V16</f>
        <v/>
      </c>
      <c r="G2" s="80" t="str">
        <f>'Custom Quote'!C28</f>
        <v>#REF!</v>
      </c>
      <c r="H2" s="104" t="str">
        <f>'Custom Quote'!E27</f>
        <v>#REF!</v>
      </c>
      <c r="I2" s="104" t="str">
        <f>Main!L22</f>
        <v/>
      </c>
      <c r="J2" s="203" t="str">
        <f>Main!AG22</f>
        <v/>
      </c>
      <c r="K2" s="203" t="str">
        <f>J2</f>
        <v/>
      </c>
      <c r="L2" s="203" t="str">
        <f>J2</f>
        <v/>
      </c>
      <c r="M2" s="203" t="str">
        <f>J2</f>
        <v/>
      </c>
      <c r="N2" s="203" t="str">
        <f>J2</f>
        <v/>
      </c>
      <c r="O2" s="203" t="str">
        <f>Main!AL22</f>
        <v/>
      </c>
      <c r="P2" s="203" t="str">
        <f>Main!AW22</f>
        <v/>
      </c>
      <c r="Q2" s="203" t="str">
        <f>Main!AX22</f>
        <v/>
      </c>
      <c r="R2" s="203" t="str">
        <f>Main!AY22</f>
        <v/>
      </c>
      <c r="S2" s="203" t="str">
        <f>Main!AZ22</f>
        <v/>
      </c>
      <c r="T2" s="203" t="str">
        <f>Main!BC22</f>
        <v/>
      </c>
      <c r="U2" s="203" t="str">
        <f>Main!BD22</f>
        <v/>
      </c>
      <c r="V2" s="104">
        <v>0.0</v>
      </c>
      <c r="W2" s="102"/>
      <c r="X2" s="80"/>
      <c r="Y2" s="80"/>
      <c r="Z2" s="80"/>
      <c r="AA2" s="73"/>
      <c r="AB2" s="73"/>
      <c r="AC2" s="73"/>
      <c r="AD2" s="73"/>
      <c r="AE2" s="73"/>
      <c r="AF2" s="194" t="str">
        <f>Main!BI22</f>
        <v/>
      </c>
      <c r="AG2" s="194" t="str">
        <f>Main!BJ22</f>
        <v/>
      </c>
      <c r="AH2" s="194" t="str">
        <f>Main!BK22</f>
        <v/>
      </c>
      <c r="AI2" s="194" t="str">
        <f>Main!BL22</f>
        <v/>
      </c>
      <c r="AJ2" s="194" t="str">
        <f>Main!BM22</f>
        <v/>
      </c>
      <c r="AK2" s="194" t="str">
        <f>Main!BN22</f>
        <v/>
      </c>
      <c r="AL2" s="102">
        <v>0.0</v>
      </c>
      <c r="AT2" s="49" t="str">
        <f t="array" ref="AT2:AT8">Unique(INDEX(Price!F2:F629,0))</f>
        <v>Gumming Sticker</v>
      </c>
      <c r="AU2" s="33" t="str">
        <f t="array" ref="AU2:AU7">unique(INDEX(Price!A2:A629,0))</f>
        <v>#REF!</v>
      </c>
    </row>
    <row r="3">
      <c r="A3" s="204"/>
      <c r="B3" s="204" t="str">
        <f t="shared" ref="B3:V3" si="1">B1</f>
        <v>Category</v>
      </c>
      <c r="C3" s="204" t="str">
        <f t="shared" si="1"/>
        <v>Sub Category</v>
      </c>
      <c r="D3" s="204" t="str">
        <f t="shared" si="1"/>
        <v>Specifications</v>
      </c>
      <c r="E3" s="204" t="str">
        <f t="shared" si="1"/>
        <v>No.  of Ups</v>
      </c>
      <c r="F3" s="204" t="str">
        <f t="shared" si="1"/>
        <v>Machine</v>
      </c>
      <c r="G3" s="204" t="str">
        <f t="shared" si="1"/>
        <v>GSM</v>
      </c>
      <c r="H3" s="204" t="str">
        <f t="shared" si="1"/>
        <v>Final Qty</v>
      </c>
      <c r="I3" s="204" t="str">
        <f t="shared" si="1"/>
        <v>Sheet Qty</v>
      </c>
      <c r="J3" s="204" t="str">
        <f t="shared" si="1"/>
        <v>SBS</v>
      </c>
      <c r="K3" s="198" t="str">
        <f t="shared" si="1"/>
        <v>WhiteBack</v>
      </c>
      <c r="L3" s="198" t="str">
        <f t="shared" si="1"/>
        <v>GreyBack</v>
      </c>
      <c r="M3" s="198" t="str">
        <f t="shared" si="1"/>
        <v>Art Card</v>
      </c>
      <c r="N3" s="198" t="str">
        <f t="shared" si="1"/>
        <v>Maplitho</v>
      </c>
      <c r="O3" s="204" t="str">
        <f t="shared" si="1"/>
        <v>Other Type</v>
      </c>
      <c r="P3" s="204" t="str">
        <f t="shared" si="1"/>
        <v>Lamination Thermal</v>
      </c>
      <c r="Q3" s="204" t="str">
        <f t="shared" si="1"/>
        <v>Lamination Normal Gloss</v>
      </c>
      <c r="R3" s="204" t="str">
        <f t="shared" si="1"/>
        <v>Lamination Normal Matt</v>
      </c>
      <c r="S3" s="204" t="str">
        <f t="shared" si="1"/>
        <v>Varnish</v>
      </c>
      <c r="T3" s="204" t="str">
        <f t="shared" si="1"/>
        <v>UV Hybrid</v>
      </c>
      <c r="U3" s="204" t="str">
        <f t="shared" si="1"/>
        <v>Spot UV</v>
      </c>
      <c r="V3" s="204" t="str">
        <f t="shared" si="1"/>
        <v>Plain</v>
      </c>
      <c r="W3" s="204"/>
      <c r="X3" s="80"/>
      <c r="Y3" s="80"/>
      <c r="Z3" s="80"/>
      <c r="AA3" s="73"/>
      <c r="AB3" s="73"/>
      <c r="AC3" s="73"/>
      <c r="AD3" s="73"/>
      <c r="AE3" s="73"/>
      <c r="AF3" s="200" t="s">
        <v>42</v>
      </c>
      <c r="AG3" s="111" t="s">
        <v>43</v>
      </c>
      <c r="AH3" s="111" t="s">
        <v>44</v>
      </c>
      <c r="AI3" s="201" t="s">
        <v>92</v>
      </c>
      <c r="AJ3" s="201" t="s">
        <v>94</v>
      </c>
      <c r="AK3" s="201" t="s">
        <v>47</v>
      </c>
      <c r="AL3" s="199" t="s">
        <v>74</v>
      </c>
      <c r="AT3" s="49" t="s">
        <v>29</v>
      </c>
      <c r="AU3" s="49"/>
    </row>
    <row r="4">
      <c r="A4" s="80"/>
      <c r="B4" s="80" t="str">
        <f t="shared" ref="B4:G4" si="2">B2</f>
        <v/>
      </c>
      <c r="C4" s="80" t="str">
        <f t="shared" si="2"/>
        <v>Wrap</v>
      </c>
      <c r="D4" s="80" t="str">
        <f t="shared" si="2"/>
        <v/>
      </c>
      <c r="E4" s="124" t="str">
        <f t="shared" si="2"/>
        <v/>
      </c>
      <c r="F4" s="124" t="str">
        <f t="shared" si="2"/>
        <v/>
      </c>
      <c r="G4" s="124" t="str">
        <f t="shared" si="2"/>
        <v>#REF!</v>
      </c>
      <c r="H4" s="104" t="str">
        <f>'Custom Quote'!E28</f>
        <v>#REF!</v>
      </c>
      <c r="I4" s="104" t="str">
        <f>Main!L23</f>
        <v/>
      </c>
      <c r="J4" s="203" t="str">
        <f>Main!AG23</f>
        <v/>
      </c>
      <c r="K4" s="203" t="str">
        <f>J4</f>
        <v/>
      </c>
      <c r="L4" s="53" t="str">
        <f>J4</f>
        <v/>
      </c>
      <c r="M4" s="53" t="str">
        <f>J4</f>
        <v/>
      </c>
      <c r="N4" s="53" t="str">
        <f>J4</f>
        <v/>
      </c>
      <c r="O4" s="203" t="str">
        <f>Main!AL23</f>
        <v/>
      </c>
      <c r="P4" s="203" t="str">
        <f>Main!AW23</f>
        <v/>
      </c>
      <c r="Q4" s="203" t="str">
        <f>Main!AX23</f>
        <v/>
      </c>
      <c r="R4" s="203" t="str">
        <f>Main!AY23</f>
        <v/>
      </c>
      <c r="S4" s="203" t="str">
        <f>Main!AZ23</f>
        <v/>
      </c>
      <c r="T4" s="203" t="str">
        <f>Main!BC23</f>
        <v/>
      </c>
      <c r="U4" s="203" t="str">
        <f>Main!BD23</f>
        <v/>
      </c>
      <c r="V4" s="104">
        <v>0.0</v>
      </c>
      <c r="W4" s="102"/>
      <c r="X4" s="80"/>
      <c r="Y4" s="80"/>
      <c r="Z4" s="80"/>
      <c r="AA4" s="73"/>
      <c r="AB4" s="73"/>
      <c r="AC4" s="73"/>
      <c r="AD4" s="73"/>
      <c r="AE4" s="73"/>
      <c r="AF4" s="194" t="str">
        <f>Main!BI23</f>
        <v/>
      </c>
      <c r="AG4" s="194" t="str">
        <f>Main!BJ23</f>
        <v/>
      </c>
      <c r="AH4" s="194" t="str">
        <f>Main!BK23</f>
        <v/>
      </c>
      <c r="AI4" s="194" t="str">
        <f>Main!BL23</f>
        <v/>
      </c>
      <c r="AJ4" s="194" t="str">
        <f>Main!BM23</f>
        <v/>
      </c>
      <c r="AK4" s="194" t="str">
        <f>Main!BN23</f>
        <v/>
      </c>
      <c r="AL4" s="102">
        <v>0.0</v>
      </c>
      <c r="AT4" s="49" t="s">
        <v>234</v>
      </c>
      <c r="AU4" s="49"/>
    </row>
    <row r="5">
      <c r="A5" s="204"/>
      <c r="B5" s="204" t="str">
        <f t="shared" ref="B5:J5" si="3">B3</f>
        <v>Category</v>
      </c>
      <c r="C5" s="204" t="str">
        <f t="shared" si="3"/>
        <v>Sub Category</v>
      </c>
      <c r="D5" s="204" t="str">
        <f t="shared" si="3"/>
        <v>Specifications</v>
      </c>
      <c r="E5" s="204" t="str">
        <f t="shared" si="3"/>
        <v>No.  of Ups</v>
      </c>
      <c r="F5" s="204" t="str">
        <f t="shared" si="3"/>
        <v>Machine</v>
      </c>
      <c r="G5" s="204" t="str">
        <f t="shared" si="3"/>
        <v>GSM</v>
      </c>
      <c r="H5" s="204" t="str">
        <f t="shared" si="3"/>
        <v>Final Qty</v>
      </c>
      <c r="I5" s="204" t="str">
        <f t="shared" si="3"/>
        <v>Sheet Qty</v>
      </c>
      <c r="J5" s="204" t="str">
        <f t="shared" si="3"/>
        <v>SBS</v>
      </c>
      <c r="K5" s="198" t="str">
        <f t="shared" ref="K5:N5" si="4">K1</f>
        <v>WhiteBack</v>
      </c>
      <c r="L5" s="198" t="str">
        <f t="shared" si="4"/>
        <v>GreyBack</v>
      </c>
      <c r="M5" s="198" t="str">
        <f t="shared" si="4"/>
        <v>Art Card</v>
      </c>
      <c r="N5" s="198" t="str">
        <f t="shared" si="4"/>
        <v>Maplitho</v>
      </c>
      <c r="O5" s="204" t="str">
        <f t="shared" ref="O5:V5" si="5">O3</f>
        <v>Other Type</v>
      </c>
      <c r="P5" s="204" t="str">
        <f t="shared" si="5"/>
        <v>Lamination Thermal</v>
      </c>
      <c r="Q5" s="204" t="str">
        <f t="shared" si="5"/>
        <v>Lamination Normal Gloss</v>
      </c>
      <c r="R5" s="204" t="str">
        <f t="shared" si="5"/>
        <v>Lamination Normal Matt</v>
      </c>
      <c r="S5" s="204" t="str">
        <f t="shared" si="5"/>
        <v>Varnish</v>
      </c>
      <c r="T5" s="204" t="str">
        <f t="shared" si="5"/>
        <v>UV Hybrid</v>
      </c>
      <c r="U5" s="204" t="str">
        <f t="shared" si="5"/>
        <v>Spot UV</v>
      </c>
      <c r="V5" s="204" t="str">
        <f t="shared" si="5"/>
        <v>Plain</v>
      </c>
      <c r="W5" s="204"/>
      <c r="X5" s="80"/>
      <c r="Y5" s="80"/>
      <c r="Z5" s="80"/>
      <c r="AA5" s="73"/>
      <c r="AB5" s="73"/>
      <c r="AC5" s="73"/>
      <c r="AD5" s="73"/>
      <c r="AE5" s="73"/>
      <c r="AF5" s="200" t="s">
        <v>42</v>
      </c>
      <c r="AG5" s="111" t="s">
        <v>43</v>
      </c>
      <c r="AH5" s="111" t="s">
        <v>44</v>
      </c>
      <c r="AI5" s="201" t="s">
        <v>92</v>
      </c>
      <c r="AJ5" s="201" t="s">
        <v>94</v>
      </c>
      <c r="AK5" s="201" t="s">
        <v>47</v>
      </c>
      <c r="AL5" s="199" t="s">
        <v>74</v>
      </c>
      <c r="AT5" s="49" t="s">
        <v>235</v>
      </c>
      <c r="AU5" s="49"/>
    </row>
    <row r="6">
      <c r="A6" s="80"/>
      <c r="B6" s="80" t="str">
        <f t="shared" ref="B6:G6" si="6">B4</f>
        <v/>
      </c>
      <c r="C6" s="80" t="str">
        <f t="shared" si="6"/>
        <v>Wrap</v>
      </c>
      <c r="D6" s="80" t="str">
        <f t="shared" si="6"/>
        <v/>
      </c>
      <c r="E6" s="124" t="str">
        <f t="shared" si="6"/>
        <v/>
      </c>
      <c r="F6" s="124" t="str">
        <f t="shared" si="6"/>
        <v/>
      </c>
      <c r="G6" s="124" t="str">
        <f t="shared" si="6"/>
        <v>#REF!</v>
      </c>
      <c r="H6" s="104" t="str">
        <f>'Custom Quote'!E29</f>
        <v>#REF!</v>
      </c>
      <c r="I6" s="104" t="str">
        <f>#REF!</f>
        <v>#REF!</v>
      </c>
      <c r="J6" s="203" t="str">
        <f>Main!AG24</f>
        <v/>
      </c>
      <c r="K6" s="203" t="str">
        <f>J6</f>
        <v/>
      </c>
      <c r="L6" s="53" t="str">
        <f>J6</f>
        <v/>
      </c>
      <c r="M6" s="53" t="str">
        <f>J6</f>
        <v/>
      </c>
      <c r="N6" s="53" t="str">
        <f>J6</f>
        <v/>
      </c>
      <c r="O6" s="203" t="str">
        <f>Main!AL24</f>
        <v/>
      </c>
      <c r="P6" s="196" t="str">
        <f t="shared" ref="P6:S6" si="7">'Client Price'!AX2</f>
        <v>#REF!</v>
      </c>
      <c r="Q6" s="196" t="str">
        <f t="shared" si="7"/>
        <v>#REF!</v>
      </c>
      <c r="R6" s="196" t="str">
        <f t="shared" si="7"/>
        <v>#REF!</v>
      </c>
      <c r="S6" s="196" t="str">
        <f t="shared" si="7"/>
        <v>#REF!</v>
      </c>
      <c r="T6" s="203" t="str">
        <f>Main!BC24</f>
        <v/>
      </c>
      <c r="U6" s="203" t="str">
        <f>Main!BD24</f>
        <v/>
      </c>
      <c r="V6" s="104">
        <v>0.0</v>
      </c>
      <c r="W6" s="102"/>
      <c r="X6" s="80"/>
      <c r="Y6" s="80"/>
      <c r="Z6" s="80"/>
      <c r="AA6" s="73"/>
      <c r="AB6" s="73"/>
      <c r="AC6" s="73"/>
      <c r="AD6" s="73"/>
      <c r="AE6" s="73"/>
      <c r="AF6" s="194" t="str">
        <f>Main!BI24</f>
        <v/>
      </c>
      <c r="AG6" s="194" t="str">
        <f>Main!BJ24</f>
        <v/>
      </c>
      <c r="AH6" s="194" t="str">
        <f>Main!BK24</f>
        <v/>
      </c>
      <c r="AI6" s="194" t="str">
        <f>Main!BL24</f>
        <v/>
      </c>
      <c r="AJ6" s="194" t="str">
        <f>Main!BM24</f>
        <v/>
      </c>
      <c r="AK6" s="194" t="str">
        <f>Main!BN24</f>
        <v/>
      </c>
      <c r="AL6" s="102">
        <v>0.0</v>
      </c>
      <c r="AT6" s="49" t="s">
        <v>30</v>
      </c>
      <c r="AU6" s="49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40"/>
      <c r="Q7" s="140"/>
      <c r="R7" s="77"/>
      <c r="S7" s="73"/>
      <c r="T7" s="73"/>
      <c r="U7" s="73"/>
      <c r="V7" s="73"/>
      <c r="W7" s="49">
        <f>Product2!BI45</f>
        <v>1926</v>
      </c>
      <c r="X7" s="33" t="str">
        <f>IF(W7="","","and AM = "&amp;W7&amp;"")</f>
        <v>and AM = 1926</v>
      </c>
      <c r="AT7" s="49" t="s">
        <v>87</v>
      </c>
      <c r="AU7" s="49" t="s">
        <v>236</v>
      </c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40"/>
      <c r="R8" s="77"/>
      <c r="X8" s="33" t="str">
        <f>CONCATENATE("select * where 1=1",X7)</f>
        <v>select * where 1=1and AM = 1926</v>
      </c>
      <c r="AT8" s="49"/>
      <c r="AU8" s="49" t="s">
        <v>237</v>
      </c>
    </row>
    <row r="9">
      <c r="A9" s="205" t="s">
        <v>238</v>
      </c>
      <c r="B9" s="206" t="s">
        <v>239</v>
      </c>
      <c r="C9" s="206" t="s">
        <v>240</v>
      </c>
      <c r="D9" s="207" t="s">
        <v>241</v>
      </c>
      <c r="E9" s="207" t="s">
        <v>5</v>
      </c>
      <c r="F9" s="208" t="s">
        <v>242</v>
      </c>
      <c r="G9" s="208" t="s">
        <v>243</v>
      </c>
      <c r="H9" s="209" t="s">
        <v>244</v>
      </c>
      <c r="I9" s="16" t="s">
        <v>245</v>
      </c>
      <c r="J9" s="16" t="s">
        <v>246</v>
      </c>
      <c r="K9" s="16" t="s">
        <v>247</v>
      </c>
      <c r="L9" s="16" t="s">
        <v>248</v>
      </c>
      <c r="M9" s="16" t="s">
        <v>249</v>
      </c>
      <c r="N9" s="16" t="s">
        <v>250</v>
      </c>
      <c r="O9" s="210" t="s">
        <v>251</v>
      </c>
      <c r="P9" s="211" t="s">
        <v>252</v>
      </c>
      <c r="Q9" s="212"/>
      <c r="R9" s="213" t="s">
        <v>253</v>
      </c>
      <c r="U9" s="33" t="str">
        <f>IF(T12="All","","and U = "&amp;T12&amp;"")</f>
        <v>#VALUE!</v>
      </c>
      <c r="X9" s="214" t="str">
        <f>IF(B2="","","and F = '"&amp;B2&amp;"'")</f>
        <v/>
      </c>
      <c r="Z9" s="33" t="str">
        <f>IF(C2="","","and A = '"&amp;C2&amp;"'")</f>
        <v>and A = 'Wrap'</v>
      </c>
      <c r="AU9" s="49" t="s">
        <v>254</v>
      </c>
    </row>
    <row r="10">
      <c r="A10" s="77"/>
      <c r="B10" s="78" t="str">
        <f>IFERROR(__xludf.DUMMYFUNCTION("SPLIT(Quotation!D30,""*"")"),"#VALUE!")</f>
        <v>#VALUE!</v>
      </c>
      <c r="C10" s="78"/>
      <c r="D10" s="33" t="str">
        <f>IFERROR(__xludf.DUMMYFUNCTION("QUERY(AL16:AP629,X8)"),"#N/A")</f>
        <v>#N/A</v>
      </c>
      <c r="E10" s="78"/>
      <c r="F10" s="77"/>
      <c r="G10" s="77"/>
      <c r="H10" s="77"/>
      <c r="I10" s="77" t="str">
        <f t="shared" ref="I10:I69" si="8">rounddown(F10/$B$10,0)</f>
        <v>#VALUE!</v>
      </c>
      <c r="J10" s="77" t="str">
        <f t="shared" ref="J10:J69" si="9">rounddown(G10/$C$10,0)</f>
        <v>#DIV/0!</v>
      </c>
      <c r="K10" s="83" t="str">
        <f t="shared" ref="K10:K69" si="10">rounddown(G10/$B$10,0)</f>
        <v>#VALUE!</v>
      </c>
      <c r="L10" s="83" t="str">
        <f t="shared" ref="L10:L69" si="11">rounddown(F10/$C$10,0)</f>
        <v>#DIV/0!</v>
      </c>
      <c r="M10" s="77" t="str">
        <f t="shared" ref="M10:M69" si="12">(I10*J10)+(MAX((ROUNDDOWN((F10-(I10*$B$10))/$B$10,0)),(ROUNDDOWN((G10-(J10*$C$10))/$B$10,0)))*L10)</f>
        <v>#VALUE!</v>
      </c>
      <c r="N10" s="77" t="str">
        <f t="shared" ref="N10:N69" si="13">(K10*L10)+((MAX((Rounddown((G10-(K10*$B$10))/$B$10,0)),(Rounddown((F10-(L10*$C$10))/$B$10,0)))*J10))</f>
        <v>#VALUE!</v>
      </c>
      <c r="O10" s="77" t="str">
        <f t="shared" ref="O10:O15" si="14">ifna(max(M10:N10),"")</f>
        <v>#VALUE!</v>
      </c>
      <c r="P10" s="46" t="str">
        <f t="shared" ref="P10:P11" si="15">H10/O10</f>
        <v>#VALUE!</v>
      </c>
      <c r="Q10" s="215"/>
      <c r="R10" s="77" t="str">
        <f t="shared" ref="R10:R69" si="16">roundup(Q10/O10,0)</f>
        <v>#VALUE!</v>
      </c>
      <c r="S10" s="216" t="str">
        <f t="shared" ref="S10:S21" si="17">((F10+0.5)*G10)/O10</f>
        <v>#VALUE!</v>
      </c>
      <c r="T10" s="92" t="str">
        <f>MIN(S10:S13)</f>
        <v>#VALUE!</v>
      </c>
      <c r="U10" s="33" t="str">
        <f t="shared" ref="U10:U11" si="18">IF(T10="All","","and O = "&amp;T10&amp;"")</f>
        <v>#VALUE!</v>
      </c>
      <c r="X10" s="214" t="str">
        <f>IF(A10="","","and A = '"&amp;A10&amp;"'")</f>
        <v/>
      </c>
      <c r="AG10" s="33" t="str">
        <f>IF(J10="","","and A = '"&amp;J10&amp;"'")</f>
        <v>#DIV/0!</v>
      </c>
    </row>
    <row r="11">
      <c r="A11" s="73"/>
      <c r="B11" s="74"/>
      <c r="C11" s="74"/>
      <c r="D11" s="77"/>
      <c r="E11" s="77"/>
      <c r="F11" s="77"/>
      <c r="G11" s="77"/>
      <c r="H11" s="77"/>
      <c r="I11" s="77" t="str">
        <f t="shared" si="8"/>
        <v>#VALUE!</v>
      </c>
      <c r="J11" s="77" t="str">
        <f t="shared" si="9"/>
        <v>#DIV/0!</v>
      </c>
      <c r="K11" s="83" t="str">
        <f t="shared" si="10"/>
        <v>#VALUE!</v>
      </c>
      <c r="L11" s="83" t="str">
        <f t="shared" si="11"/>
        <v>#DIV/0!</v>
      </c>
      <c r="M11" s="77" t="str">
        <f t="shared" si="12"/>
        <v>#VALUE!</v>
      </c>
      <c r="N11" s="77" t="str">
        <f t="shared" si="13"/>
        <v>#VALUE!</v>
      </c>
      <c r="O11" s="77" t="str">
        <f t="shared" si="14"/>
        <v>#VALUE!</v>
      </c>
      <c r="P11" s="46" t="str">
        <f t="shared" si="15"/>
        <v>#VALUE!</v>
      </c>
      <c r="Q11" s="215"/>
      <c r="R11" s="77" t="str">
        <f t="shared" si="16"/>
        <v>#VALUE!</v>
      </c>
      <c r="S11" s="216" t="str">
        <f t="shared" si="17"/>
        <v>#VALUE!</v>
      </c>
      <c r="T11" s="49" t="str">
        <f>MAX(O10:O13)</f>
        <v>#VALUE!</v>
      </c>
      <c r="U11" s="33" t="str">
        <f t="shared" si="18"/>
        <v>#VALUE!</v>
      </c>
      <c r="X11" s="214" t="str">
        <f>CONCATENATE("select * where 1=1",X9,Z9)</f>
        <v>select * where 1=1and A = 'Wrap'</v>
      </c>
    </row>
    <row r="12">
      <c r="A12" s="73"/>
      <c r="B12" s="73"/>
      <c r="C12" s="73"/>
      <c r="D12" s="77"/>
      <c r="E12" s="77"/>
      <c r="F12" s="77"/>
      <c r="G12" s="77"/>
      <c r="I12" s="77" t="str">
        <f t="shared" si="8"/>
        <v>#VALUE!</v>
      </c>
      <c r="J12" s="77" t="str">
        <f t="shared" si="9"/>
        <v>#DIV/0!</v>
      </c>
      <c r="K12" s="83" t="str">
        <f t="shared" si="10"/>
        <v>#VALUE!</v>
      </c>
      <c r="L12" s="83" t="str">
        <f t="shared" si="11"/>
        <v>#DIV/0!</v>
      </c>
      <c r="M12" s="77" t="str">
        <f t="shared" si="12"/>
        <v>#VALUE!</v>
      </c>
      <c r="N12" s="77" t="str">
        <f t="shared" si="13"/>
        <v>#VALUE!</v>
      </c>
      <c r="O12" s="77" t="str">
        <f t="shared" si="14"/>
        <v>#VALUE!</v>
      </c>
      <c r="P12" s="46" t="str">
        <f>H11/O12</f>
        <v>#VALUE!</v>
      </c>
      <c r="Q12" s="140"/>
      <c r="R12" s="77" t="str">
        <f t="shared" si="16"/>
        <v>#VALUE!</v>
      </c>
      <c r="S12" s="216" t="str">
        <f t="shared" si="17"/>
        <v>#VALUE!</v>
      </c>
      <c r="T12" s="49" t="str">
        <f>MIN(U29:U629)</f>
        <v>#VALUE!</v>
      </c>
      <c r="U12" s="33" t="str">
        <f>CONCATENATE("select * where 1=1",U11)</f>
        <v>#VALUE!</v>
      </c>
    </row>
    <row r="13">
      <c r="A13" s="73"/>
      <c r="B13" s="73"/>
      <c r="C13" s="73"/>
      <c r="D13" s="77"/>
      <c r="E13" s="77"/>
      <c r="F13" s="77"/>
      <c r="G13" s="77"/>
      <c r="H13" s="77"/>
      <c r="I13" s="77" t="str">
        <f t="shared" si="8"/>
        <v>#VALUE!</v>
      </c>
      <c r="J13" s="77" t="str">
        <f t="shared" si="9"/>
        <v>#DIV/0!</v>
      </c>
      <c r="K13" s="83" t="str">
        <f t="shared" si="10"/>
        <v>#VALUE!</v>
      </c>
      <c r="L13" s="83" t="str">
        <f t="shared" si="11"/>
        <v>#DIV/0!</v>
      </c>
      <c r="M13" s="77" t="str">
        <f t="shared" si="12"/>
        <v>#VALUE!</v>
      </c>
      <c r="N13" s="77" t="str">
        <f t="shared" si="13"/>
        <v>#VALUE!</v>
      </c>
      <c r="O13" s="77" t="str">
        <f t="shared" si="14"/>
        <v>#VALUE!</v>
      </c>
      <c r="P13" s="46" t="str">
        <f t="shared" ref="P13:P69" si="19">H13/O13</f>
        <v>#VALUE!</v>
      </c>
      <c r="Q13" s="140"/>
      <c r="R13" s="77" t="str">
        <f t="shared" si="16"/>
        <v>#VALUE!</v>
      </c>
      <c r="S13" s="216" t="str">
        <f t="shared" si="17"/>
        <v>#VALUE!</v>
      </c>
      <c r="U13" s="33" t="str">
        <f>CONCATENATE("select * where 1=1",U9)</f>
        <v>#VALUE!</v>
      </c>
    </row>
    <row r="14">
      <c r="A14" s="73"/>
      <c r="B14" s="73"/>
      <c r="C14" s="73"/>
      <c r="D14" s="73"/>
      <c r="E14" s="73"/>
      <c r="F14" s="77"/>
      <c r="G14" s="77"/>
      <c r="H14" s="73"/>
      <c r="I14" s="77" t="str">
        <f t="shared" si="8"/>
        <v>#VALUE!</v>
      </c>
      <c r="J14" s="77" t="str">
        <f t="shared" si="9"/>
        <v>#DIV/0!</v>
      </c>
      <c r="K14" s="83" t="str">
        <f t="shared" si="10"/>
        <v>#VALUE!</v>
      </c>
      <c r="L14" s="83" t="str">
        <f t="shared" si="11"/>
        <v>#DIV/0!</v>
      </c>
      <c r="M14" s="77" t="str">
        <f t="shared" si="12"/>
        <v>#VALUE!</v>
      </c>
      <c r="N14" s="77" t="str">
        <f t="shared" si="13"/>
        <v>#VALUE!</v>
      </c>
      <c r="O14" s="77" t="str">
        <f t="shared" si="14"/>
        <v>#VALUE!</v>
      </c>
      <c r="P14" s="46" t="str">
        <f t="shared" si="19"/>
        <v>#VALUE!</v>
      </c>
      <c r="Q14" s="140"/>
      <c r="R14" s="77" t="str">
        <f t="shared" si="16"/>
        <v>#VALUE!</v>
      </c>
      <c r="S14" s="216" t="str">
        <f t="shared" si="17"/>
        <v>#VALUE!</v>
      </c>
    </row>
    <row r="15">
      <c r="A15" s="73"/>
      <c r="B15" s="73"/>
      <c r="C15" s="73"/>
      <c r="D15" s="73"/>
      <c r="E15" s="73"/>
      <c r="F15" s="77"/>
      <c r="G15" s="77"/>
      <c r="H15" s="73"/>
      <c r="I15" s="77" t="str">
        <f t="shared" si="8"/>
        <v>#VALUE!</v>
      </c>
      <c r="J15" s="77" t="str">
        <f t="shared" si="9"/>
        <v>#DIV/0!</v>
      </c>
      <c r="K15" s="83" t="str">
        <f t="shared" si="10"/>
        <v>#VALUE!</v>
      </c>
      <c r="L15" s="83" t="str">
        <f t="shared" si="11"/>
        <v>#DIV/0!</v>
      </c>
      <c r="M15" s="77" t="str">
        <f t="shared" si="12"/>
        <v>#VALUE!</v>
      </c>
      <c r="N15" s="77" t="str">
        <f t="shared" si="13"/>
        <v>#VALUE!</v>
      </c>
      <c r="O15" s="77" t="str">
        <f t="shared" si="14"/>
        <v>#VALUE!</v>
      </c>
      <c r="P15" s="46" t="str">
        <f t="shared" si="19"/>
        <v>#VALUE!</v>
      </c>
      <c r="Q15" s="140"/>
      <c r="R15" s="77" t="str">
        <f t="shared" si="16"/>
        <v>#VALUE!</v>
      </c>
      <c r="S15" s="216" t="str">
        <f t="shared" si="17"/>
        <v>#VALUE!</v>
      </c>
      <c r="U15" s="207" t="s">
        <v>241</v>
      </c>
      <c r="V15" s="207" t="s">
        <v>5</v>
      </c>
      <c r="W15" s="208" t="s">
        <v>242</v>
      </c>
      <c r="X15" s="208" t="s">
        <v>243</v>
      </c>
      <c r="Y15" s="209" t="s">
        <v>244</v>
      </c>
      <c r="Z15" s="16" t="s">
        <v>245</v>
      </c>
      <c r="AA15" s="16" t="s">
        <v>246</v>
      </c>
      <c r="AB15" s="16" t="s">
        <v>247</v>
      </c>
      <c r="AC15" s="16" t="s">
        <v>248</v>
      </c>
      <c r="AD15" s="16" t="s">
        <v>249</v>
      </c>
      <c r="AE15" s="16" t="s">
        <v>250</v>
      </c>
      <c r="AF15" s="210" t="s">
        <v>251</v>
      </c>
      <c r="AG15" s="211" t="s">
        <v>252</v>
      </c>
      <c r="AH15" s="212"/>
      <c r="AI15" s="217" t="s">
        <v>253</v>
      </c>
      <c r="AL15" s="207" t="s">
        <v>241</v>
      </c>
      <c r="AM15" s="207" t="s">
        <v>5</v>
      </c>
      <c r="AN15" s="208" t="s">
        <v>242</v>
      </c>
      <c r="AO15" s="208" t="s">
        <v>243</v>
      </c>
      <c r="AP15" s="209" t="s">
        <v>244</v>
      </c>
      <c r="AQ15" s="218"/>
      <c r="AR15" s="105"/>
      <c r="AS15" s="200"/>
      <c r="AT15" s="219"/>
      <c r="AU15" s="220" t="s">
        <v>233</v>
      </c>
      <c r="AV15" s="220" t="s">
        <v>241</v>
      </c>
      <c r="AW15" s="220" t="s">
        <v>255</v>
      </c>
      <c r="AX15" s="221" t="s">
        <v>256</v>
      </c>
      <c r="AY15" s="222" t="s">
        <v>5</v>
      </c>
      <c r="AZ15" s="218" t="s">
        <v>233</v>
      </c>
      <c r="BA15" s="105" t="s">
        <v>257</v>
      </c>
      <c r="BB15" s="200" t="s">
        <v>258</v>
      </c>
      <c r="BD15" s="220" t="s">
        <v>233</v>
      </c>
      <c r="BE15" s="220" t="s">
        <v>241</v>
      </c>
      <c r="BF15" s="220" t="s">
        <v>255</v>
      </c>
      <c r="BG15" s="221" t="s">
        <v>256</v>
      </c>
      <c r="BH15" s="222" t="s">
        <v>5</v>
      </c>
      <c r="BI15" s="218" t="s">
        <v>233</v>
      </c>
      <c r="BJ15" s="105" t="s">
        <v>257</v>
      </c>
      <c r="BK15" s="200" t="s">
        <v>258</v>
      </c>
    </row>
    <row r="16">
      <c r="A16" s="73"/>
      <c r="B16" s="33"/>
      <c r="C16" s="33"/>
      <c r="D16" s="73"/>
      <c r="E16" s="73"/>
      <c r="F16" s="77"/>
      <c r="G16" s="77"/>
      <c r="H16" s="73"/>
      <c r="I16" s="77" t="str">
        <f t="shared" si="8"/>
        <v>#VALUE!</v>
      </c>
      <c r="J16" s="77" t="str">
        <f t="shared" si="9"/>
        <v>#DIV/0!</v>
      </c>
      <c r="K16" s="83" t="str">
        <f t="shared" si="10"/>
        <v>#VALUE!</v>
      </c>
      <c r="L16" s="83" t="str">
        <f t="shared" si="11"/>
        <v>#DIV/0!</v>
      </c>
      <c r="M16" s="77" t="str">
        <f t="shared" si="12"/>
        <v>#VALUE!</v>
      </c>
      <c r="N16" s="77" t="str">
        <f t="shared" si="13"/>
        <v>#VALUE!</v>
      </c>
      <c r="O16" s="77" t="str">
        <f t="shared" ref="O16:O69" si="21">max(M16:N16)</f>
        <v>#VALUE!</v>
      </c>
      <c r="P16" s="46" t="str">
        <f t="shared" si="19"/>
        <v>#VALUE!</v>
      </c>
      <c r="Q16" s="140"/>
      <c r="R16" s="77" t="str">
        <f t="shared" si="16"/>
        <v>#VALUE!</v>
      </c>
      <c r="S16" s="216" t="str">
        <f t="shared" si="17"/>
        <v>#VALUE!</v>
      </c>
      <c r="U16" s="33" t="str">
        <f>IFERROR(__xludf.DUMMYFUNCTION("QUERY($U$29:$AI$99,U$13)"),"#VALUE!")</f>
        <v>#VALUE!</v>
      </c>
      <c r="AL16" s="33" t="str">
        <f t="array" ref="AL16:AL629">INDEX(BE16:BE629,0)</f>
        <v/>
      </c>
      <c r="AM16" s="33" t="str">
        <f t="array" ref="AM16:AM629">INDEX(BH16:BH629,0)</f>
        <v/>
      </c>
      <c r="AN16" s="33" t="str">
        <f t="shared" ref="AN16:AO16" si="20">INDEX((BJ16:BJ629)-0.5,0)</f>
        <v>#VALUE!</v>
      </c>
      <c r="AO16" s="33">
        <f t="shared" si="20"/>
        <v>-0.5</v>
      </c>
      <c r="AP16" s="33" t="str">
        <f t="array" ref="AP16:AP629">INDEX(BG16:BG629,0)</f>
        <v/>
      </c>
      <c r="AR16" s="127"/>
      <c r="AU16" s="33" t="str">
        <f>IFERROR(__xludf.DUMMYFUNCTION("QUERY(Price!$A$2:$F629,$X$11)"),"#N/A")</f>
        <v>#N/A</v>
      </c>
      <c r="BA16" s="127" t="str">
        <f>IFERROR(__xludf.DUMMYFUNCTION("SPLIT(AW16,""*"")"),"#VALUE!")</f>
        <v>#VALUE!</v>
      </c>
      <c r="BD16" s="33" t="str">
        <f>IFERROR(__xludf.DUMMYFUNCTION("QUERY(AU16:BB629,""Select * where AU is not null"",0)"),"#N/A")</f>
        <v>#N/A</v>
      </c>
      <c r="BE16" s="49"/>
      <c r="BF16" s="49"/>
      <c r="BG16" s="49"/>
      <c r="BH16" s="49"/>
      <c r="BI16" s="49"/>
      <c r="BJ16" s="49" t="str">
        <f>IFERROR(__xludf.DUMMYFUNCTION("""COMPUTED_VALUE"""),"#VALUE!")</f>
        <v>#VALUE!</v>
      </c>
      <c r="BK16" s="49"/>
    </row>
    <row r="17">
      <c r="A17" s="73"/>
      <c r="B17" s="73"/>
      <c r="C17" s="73"/>
      <c r="D17" s="73"/>
      <c r="E17" s="73"/>
      <c r="F17" s="77"/>
      <c r="G17" s="77"/>
      <c r="H17" s="73"/>
      <c r="I17" s="77" t="str">
        <f t="shared" si="8"/>
        <v>#VALUE!</v>
      </c>
      <c r="J17" s="77" t="str">
        <f t="shared" si="9"/>
        <v>#DIV/0!</v>
      </c>
      <c r="K17" s="83" t="str">
        <f t="shared" si="10"/>
        <v>#VALUE!</v>
      </c>
      <c r="L17" s="83" t="str">
        <f t="shared" si="11"/>
        <v>#DIV/0!</v>
      </c>
      <c r="M17" s="77" t="str">
        <f t="shared" si="12"/>
        <v>#VALUE!</v>
      </c>
      <c r="N17" s="77" t="str">
        <f t="shared" si="13"/>
        <v>#VALUE!</v>
      </c>
      <c r="O17" s="77" t="str">
        <f t="shared" si="21"/>
        <v>#VALUE!</v>
      </c>
      <c r="P17" s="46" t="str">
        <f t="shared" si="19"/>
        <v>#VALUE!</v>
      </c>
      <c r="Q17" s="140"/>
      <c r="R17" s="77" t="str">
        <f t="shared" si="16"/>
        <v>#VALUE!</v>
      </c>
      <c r="S17" s="216" t="str">
        <f t="shared" si="17"/>
        <v>#VALUE!</v>
      </c>
      <c r="AL17" s="49"/>
      <c r="AM17" s="49"/>
      <c r="AN17" s="49">
        <v>-0.5</v>
      </c>
      <c r="AO17" s="49">
        <v>-0.5</v>
      </c>
      <c r="AP17" s="49"/>
      <c r="AR17" s="127"/>
      <c r="BA17" s="127" t="str">
        <f>IFERROR(__xludf.DUMMYFUNCTION("SPLIT(AW17,""*"")"),"#VALUE!")</f>
        <v>#VALUE!</v>
      </c>
    </row>
    <row r="18">
      <c r="A18" s="73"/>
      <c r="B18" s="73"/>
      <c r="C18" s="73"/>
      <c r="D18" s="73"/>
      <c r="E18" s="73"/>
      <c r="F18" s="77"/>
      <c r="G18" s="77"/>
      <c r="H18" s="73"/>
      <c r="I18" s="77" t="str">
        <f t="shared" si="8"/>
        <v>#VALUE!</v>
      </c>
      <c r="J18" s="77" t="str">
        <f t="shared" si="9"/>
        <v>#DIV/0!</v>
      </c>
      <c r="K18" s="83" t="str">
        <f t="shared" si="10"/>
        <v>#VALUE!</v>
      </c>
      <c r="L18" s="83" t="str">
        <f t="shared" si="11"/>
        <v>#DIV/0!</v>
      </c>
      <c r="M18" s="77" t="str">
        <f t="shared" si="12"/>
        <v>#VALUE!</v>
      </c>
      <c r="N18" s="77" t="str">
        <f t="shared" si="13"/>
        <v>#VALUE!</v>
      </c>
      <c r="O18" s="77" t="str">
        <f t="shared" si="21"/>
        <v>#VALUE!</v>
      </c>
      <c r="P18" s="46" t="str">
        <f t="shared" si="19"/>
        <v>#VALUE!</v>
      </c>
      <c r="Q18" s="140"/>
      <c r="R18" s="77" t="str">
        <f t="shared" si="16"/>
        <v>#VALUE!</v>
      </c>
      <c r="S18" s="216" t="str">
        <f t="shared" si="17"/>
        <v>#VALUE!</v>
      </c>
      <c r="AL18" s="49"/>
      <c r="AM18" s="49"/>
      <c r="AN18" s="49">
        <v>-0.5</v>
      </c>
      <c r="AO18" s="49">
        <v>-0.5</v>
      </c>
      <c r="AP18" s="49"/>
      <c r="AR18" s="127"/>
      <c r="BA18" s="127" t="str">
        <f>IFERROR(__xludf.DUMMYFUNCTION("SPLIT(AW18,""*"")"),"#VALUE!")</f>
        <v>#VALUE!</v>
      </c>
    </row>
    <row r="19">
      <c r="A19" s="73"/>
      <c r="B19" s="73"/>
      <c r="C19" s="73"/>
      <c r="D19" s="73"/>
      <c r="E19" s="73"/>
      <c r="F19" s="77"/>
      <c r="G19" s="77"/>
      <c r="H19" s="73"/>
      <c r="I19" s="77" t="str">
        <f t="shared" si="8"/>
        <v>#VALUE!</v>
      </c>
      <c r="J19" s="77" t="str">
        <f t="shared" si="9"/>
        <v>#DIV/0!</v>
      </c>
      <c r="K19" s="83" t="str">
        <f t="shared" si="10"/>
        <v>#VALUE!</v>
      </c>
      <c r="L19" s="83" t="str">
        <f t="shared" si="11"/>
        <v>#DIV/0!</v>
      </c>
      <c r="M19" s="77" t="str">
        <f t="shared" si="12"/>
        <v>#VALUE!</v>
      </c>
      <c r="N19" s="77" t="str">
        <f t="shared" si="13"/>
        <v>#VALUE!</v>
      </c>
      <c r="O19" s="77" t="str">
        <f t="shared" si="21"/>
        <v>#VALUE!</v>
      </c>
      <c r="P19" s="46" t="str">
        <f t="shared" si="19"/>
        <v>#VALUE!</v>
      </c>
      <c r="Q19" s="140"/>
      <c r="R19" s="77" t="str">
        <f t="shared" si="16"/>
        <v>#VALUE!</v>
      </c>
      <c r="S19" s="216" t="str">
        <f t="shared" si="17"/>
        <v>#VALUE!</v>
      </c>
      <c r="AL19" s="49"/>
      <c r="AM19" s="49"/>
      <c r="AN19" s="49">
        <v>-0.5</v>
      </c>
      <c r="AO19" s="49">
        <v>-0.5</v>
      </c>
      <c r="AP19" s="49"/>
      <c r="AR19" s="127"/>
      <c r="BA19" s="127" t="str">
        <f>IFERROR(__xludf.DUMMYFUNCTION("SPLIT(AW19,""*"")"),"#VALUE!")</f>
        <v>#VALUE!</v>
      </c>
    </row>
    <row r="20">
      <c r="A20" s="73"/>
      <c r="B20" s="73"/>
      <c r="C20" s="73"/>
      <c r="D20" s="73"/>
      <c r="E20" s="73"/>
      <c r="F20" s="77"/>
      <c r="G20" s="77"/>
      <c r="H20" s="73"/>
      <c r="I20" s="77" t="str">
        <f t="shared" si="8"/>
        <v>#VALUE!</v>
      </c>
      <c r="J20" s="77" t="str">
        <f t="shared" si="9"/>
        <v>#DIV/0!</v>
      </c>
      <c r="K20" s="83" t="str">
        <f t="shared" si="10"/>
        <v>#VALUE!</v>
      </c>
      <c r="L20" s="83" t="str">
        <f t="shared" si="11"/>
        <v>#DIV/0!</v>
      </c>
      <c r="M20" s="77" t="str">
        <f t="shared" si="12"/>
        <v>#VALUE!</v>
      </c>
      <c r="N20" s="77" t="str">
        <f t="shared" si="13"/>
        <v>#VALUE!</v>
      </c>
      <c r="O20" s="77" t="str">
        <f t="shared" si="21"/>
        <v>#VALUE!</v>
      </c>
      <c r="P20" s="46" t="str">
        <f t="shared" si="19"/>
        <v>#VALUE!</v>
      </c>
      <c r="Q20" s="140"/>
      <c r="R20" s="77" t="str">
        <f t="shared" si="16"/>
        <v>#VALUE!</v>
      </c>
      <c r="S20" s="216" t="str">
        <f t="shared" si="17"/>
        <v>#VALUE!</v>
      </c>
      <c r="AL20" s="49"/>
      <c r="AM20" s="49"/>
      <c r="AN20" s="49">
        <v>-0.5</v>
      </c>
      <c r="AO20" s="49">
        <v>-0.5</v>
      </c>
      <c r="AP20" s="49"/>
      <c r="AR20" s="127"/>
      <c r="BA20" s="127" t="str">
        <f>IFERROR(__xludf.DUMMYFUNCTION("SPLIT(AW20,""*"")"),"#VALUE!")</f>
        <v>#VALUE!</v>
      </c>
    </row>
    <row r="21">
      <c r="A21" s="73"/>
      <c r="B21" s="73"/>
      <c r="C21" s="73"/>
      <c r="D21" s="73"/>
      <c r="E21" s="73"/>
      <c r="F21" s="77"/>
      <c r="G21" s="77"/>
      <c r="H21" s="77"/>
      <c r="I21" s="77" t="str">
        <f t="shared" si="8"/>
        <v>#VALUE!</v>
      </c>
      <c r="J21" s="77" t="str">
        <f t="shared" si="9"/>
        <v>#DIV/0!</v>
      </c>
      <c r="K21" s="83" t="str">
        <f t="shared" si="10"/>
        <v>#VALUE!</v>
      </c>
      <c r="L21" s="83" t="str">
        <f t="shared" si="11"/>
        <v>#DIV/0!</v>
      </c>
      <c r="M21" s="77" t="str">
        <f t="shared" si="12"/>
        <v>#VALUE!</v>
      </c>
      <c r="N21" s="77" t="str">
        <f t="shared" si="13"/>
        <v>#VALUE!</v>
      </c>
      <c r="O21" s="77" t="str">
        <f t="shared" si="21"/>
        <v>#VALUE!</v>
      </c>
      <c r="P21" s="46" t="str">
        <f t="shared" si="19"/>
        <v>#VALUE!</v>
      </c>
      <c r="Q21" s="140"/>
      <c r="R21" s="77" t="str">
        <f t="shared" si="16"/>
        <v>#VALUE!</v>
      </c>
      <c r="S21" s="216" t="str">
        <f t="shared" si="17"/>
        <v>#VALUE!</v>
      </c>
      <c r="AL21" s="49"/>
      <c r="AM21" s="49"/>
      <c r="AN21" s="49">
        <v>-0.5</v>
      </c>
      <c r="AO21" s="49">
        <v>-0.5</v>
      </c>
      <c r="AP21" s="49"/>
      <c r="AR21" s="127"/>
      <c r="BA21" s="127" t="str">
        <f>IFERROR(__xludf.DUMMYFUNCTION("SPLIT(AW21,""*"")"),"#VALUE!")</f>
        <v>#VALUE!</v>
      </c>
    </row>
    <row r="22">
      <c r="A22" s="73"/>
      <c r="B22" s="73"/>
      <c r="C22" s="73"/>
      <c r="D22" s="73"/>
      <c r="E22" s="73"/>
      <c r="F22" s="77"/>
      <c r="G22" s="77"/>
      <c r="H22" s="77"/>
      <c r="I22" s="77" t="str">
        <f t="shared" si="8"/>
        <v>#VALUE!</v>
      </c>
      <c r="J22" s="77" t="str">
        <f t="shared" si="9"/>
        <v>#DIV/0!</v>
      </c>
      <c r="K22" s="83" t="str">
        <f t="shared" si="10"/>
        <v>#VALUE!</v>
      </c>
      <c r="L22" s="83" t="str">
        <f t="shared" si="11"/>
        <v>#DIV/0!</v>
      </c>
      <c r="M22" s="77" t="str">
        <f t="shared" si="12"/>
        <v>#VALUE!</v>
      </c>
      <c r="N22" s="77" t="str">
        <f t="shared" si="13"/>
        <v>#VALUE!</v>
      </c>
      <c r="O22" s="77" t="str">
        <f t="shared" si="21"/>
        <v>#VALUE!</v>
      </c>
      <c r="P22" s="46" t="str">
        <f t="shared" si="19"/>
        <v>#VALUE!</v>
      </c>
      <c r="Q22" s="140"/>
      <c r="R22" s="77" t="str">
        <f t="shared" si="16"/>
        <v>#VALUE!</v>
      </c>
      <c r="AL22" s="49"/>
      <c r="AM22" s="49"/>
      <c r="AN22" s="49">
        <v>-0.5</v>
      </c>
      <c r="AO22" s="49">
        <v>-0.5</v>
      </c>
      <c r="AP22" s="49"/>
      <c r="AR22" s="127"/>
      <c r="BA22" s="127" t="str">
        <f>IFERROR(__xludf.DUMMYFUNCTION("SPLIT(AW22,""*"")"),"#VALUE!")</f>
        <v>#VALUE!</v>
      </c>
    </row>
    <row r="23">
      <c r="A23" s="73"/>
      <c r="B23" s="73"/>
      <c r="C23" s="73"/>
      <c r="D23" s="73"/>
      <c r="E23" s="73"/>
      <c r="F23" s="77"/>
      <c r="G23" s="77"/>
      <c r="H23" s="77"/>
      <c r="I23" s="77" t="str">
        <f t="shared" si="8"/>
        <v>#VALUE!</v>
      </c>
      <c r="J23" s="77" t="str">
        <f t="shared" si="9"/>
        <v>#DIV/0!</v>
      </c>
      <c r="K23" s="83" t="str">
        <f t="shared" si="10"/>
        <v>#VALUE!</v>
      </c>
      <c r="L23" s="83" t="str">
        <f t="shared" si="11"/>
        <v>#DIV/0!</v>
      </c>
      <c r="M23" s="77" t="str">
        <f t="shared" si="12"/>
        <v>#VALUE!</v>
      </c>
      <c r="N23" s="77" t="str">
        <f t="shared" si="13"/>
        <v>#VALUE!</v>
      </c>
      <c r="O23" s="77" t="str">
        <f t="shared" si="21"/>
        <v>#VALUE!</v>
      </c>
      <c r="P23" s="46" t="str">
        <f t="shared" si="19"/>
        <v>#VALUE!</v>
      </c>
      <c r="Q23" s="140"/>
      <c r="R23" s="77" t="str">
        <f t="shared" si="16"/>
        <v>#VALUE!</v>
      </c>
      <c r="AL23" s="49"/>
      <c r="AM23" s="49"/>
      <c r="AN23" s="49">
        <v>-0.5</v>
      </c>
      <c r="AO23" s="49">
        <v>-0.5</v>
      </c>
      <c r="AP23" s="49"/>
      <c r="AR23" s="127"/>
      <c r="BA23" s="127" t="str">
        <f>IFERROR(__xludf.DUMMYFUNCTION("SPLIT(AW23,""*"")"),"#VALUE!")</f>
        <v>#VALUE!</v>
      </c>
    </row>
    <row r="24">
      <c r="A24" s="73"/>
      <c r="B24" s="73"/>
      <c r="C24" s="73"/>
      <c r="D24" s="73"/>
      <c r="E24" s="73"/>
      <c r="F24" s="77"/>
      <c r="G24" s="77"/>
      <c r="H24" s="73"/>
      <c r="I24" s="77" t="str">
        <f t="shared" si="8"/>
        <v>#VALUE!</v>
      </c>
      <c r="J24" s="77" t="str">
        <f t="shared" si="9"/>
        <v>#DIV/0!</v>
      </c>
      <c r="K24" s="83" t="str">
        <f t="shared" si="10"/>
        <v>#VALUE!</v>
      </c>
      <c r="L24" s="83" t="str">
        <f t="shared" si="11"/>
        <v>#DIV/0!</v>
      </c>
      <c r="M24" s="77" t="str">
        <f t="shared" si="12"/>
        <v>#VALUE!</v>
      </c>
      <c r="N24" s="77" t="str">
        <f t="shared" si="13"/>
        <v>#VALUE!</v>
      </c>
      <c r="O24" s="77" t="str">
        <f t="shared" si="21"/>
        <v>#VALUE!</v>
      </c>
      <c r="P24" s="46" t="str">
        <f t="shared" si="19"/>
        <v>#VALUE!</v>
      </c>
      <c r="Q24" s="140"/>
      <c r="R24" s="77" t="str">
        <f t="shared" si="16"/>
        <v>#VALUE!</v>
      </c>
      <c r="U24" s="33"/>
      <c r="AL24" s="49"/>
      <c r="AM24" s="49"/>
      <c r="AN24" s="49">
        <v>-0.5</v>
      </c>
      <c r="AO24" s="49">
        <v>-0.5</v>
      </c>
      <c r="AP24" s="49"/>
      <c r="AR24" s="127"/>
      <c r="BA24" s="127" t="str">
        <f>IFERROR(__xludf.DUMMYFUNCTION("SPLIT(AW24,""*"")"),"#VALUE!")</f>
        <v>#VALUE!</v>
      </c>
    </row>
    <row r="25">
      <c r="A25" s="73"/>
      <c r="B25" s="73"/>
      <c r="C25" s="73"/>
      <c r="D25" s="73"/>
      <c r="E25" s="73"/>
      <c r="F25" s="77"/>
      <c r="G25" s="77"/>
      <c r="H25" s="73"/>
      <c r="I25" s="77" t="str">
        <f t="shared" si="8"/>
        <v>#VALUE!</v>
      </c>
      <c r="J25" s="77" t="str">
        <f t="shared" si="9"/>
        <v>#DIV/0!</v>
      </c>
      <c r="K25" s="83" t="str">
        <f t="shared" si="10"/>
        <v>#VALUE!</v>
      </c>
      <c r="L25" s="83" t="str">
        <f t="shared" si="11"/>
        <v>#DIV/0!</v>
      </c>
      <c r="M25" s="77" t="str">
        <f t="shared" si="12"/>
        <v>#VALUE!</v>
      </c>
      <c r="N25" s="77" t="str">
        <f t="shared" si="13"/>
        <v>#VALUE!</v>
      </c>
      <c r="O25" s="77" t="str">
        <f t="shared" si="21"/>
        <v>#VALUE!</v>
      </c>
      <c r="P25" s="46" t="str">
        <f t="shared" si="19"/>
        <v>#VALUE!</v>
      </c>
      <c r="Q25" s="140"/>
      <c r="R25" s="77" t="str">
        <f t="shared" si="16"/>
        <v>#VALUE!</v>
      </c>
      <c r="AL25" s="49"/>
      <c r="AM25" s="49"/>
      <c r="AN25" s="49">
        <v>-0.5</v>
      </c>
      <c r="AO25" s="49">
        <v>-0.5</v>
      </c>
      <c r="AP25" s="49"/>
      <c r="AR25" s="127"/>
      <c r="BA25" s="127" t="str">
        <f>IFERROR(__xludf.DUMMYFUNCTION("SPLIT(AW25,""*"")"),"#VALUE!")</f>
        <v>#VALUE!</v>
      </c>
    </row>
    <row r="26">
      <c r="A26" s="73"/>
      <c r="B26" s="73"/>
      <c r="C26" s="73"/>
      <c r="D26" s="73"/>
      <c r="E26" s="73"/>
      <c r="F26" s="77"/>
      <c r="G26" s="77"/>
      <c r="H26" s="73"/>
      <c r="I26" s="77" t="str">
        <f t="shared" si="8"/>
        <v>#VALUE!</v>
      </c>
      <c r="J26" s="77" t="str">
        <f t="shared" si="9"/>
        <v>#DIV/0!</v>
      </c>
      <c r="K26" s="83" t="str">
        <f t="shared" si="10"/>
        <v>#VALUE!</v>
      </c>
      <c r="L26" s="83" t="str">
        <f t="shared" si="11"/>
        <v>#DIV/0!</v>
      </c>
      <c r="M26" s="77" t="str">
        <f t="shared" si="12"/>
        <v>#VALUE!</v>
      </c>
      <c r="N26" s="77" t="str">
        <f t="shared" si="13"/>
        <v>#VALUE!</v>
      </c>
      <c r="O26" s="77" t="str">
        <f t="shared" si="21"/>
        <v>#VALUE!</v>
      </c>
      <c r="P26" s="46" t="str">
        <f t="shared" si="19"/>
        <v>#VALUE!</v>
      </c>
      <c r="Q26" s="140"/>
      <c r="R26" s="77" t="str">
        <f t="shared" si="16"/>
        <v>#VALUE!</v>
      </c>
      <c r="AL26" s="49"/>
      <c r="AM26" s="49"/>
      <c r="AN26" s="49">
        <v>-0.5</v>
      </c>
      <c r="AO26" s="49">
        <v>-0.5</v>
      </c>
      <c r="AP26" s="49"/>
      <c r="AR26" s="127"/>
      <c r="BA26" s="127" t="str">
        <f>IFERROR(__xludf.DUMMYFUNCTION("SPLIT(AW26,""*"")"),"#VALUE!")</f>
        <v>#VALUE!</v>
      </c>
    </row>
    <row r="27">
      <c r="A27" s="73"/>
      <c r="B27" s="73"/>
      <c r="C27" s="73"/>
      <c r="D27" s="73"/>
      <c r="E27" s="73"/>
      <c r="F27" s="77"/>
      <c r="G27" s="77"/>
      <c r="H27" s="73"/>
      <c r="I27" s="77" t="str">
        <f t="shared" si="8"/>
        <v>#VALUE!</v>
      </c>
      <c r="J27" s="77" t="str">
        <f t="shared" si="9"/>
        <v>#DIV/0!</v>
      </c>
      <c r="K27" s="83" t="str">
        <f t="shared" si="10"/>
        <v>#VALUE!</v>
      </c>
      <c r="L27" s="83" t="str">
        <f t="shared" si="11"/>
        <v>#DIV/0!</v>
      </c>
      <c r="M27" s="77" t="str">
        <f t="shared" si="12"/>
        <v>#VALUE!</v>
      </c>
      <c r="N27" s="77" t="str">
        <f t="shared" si="13"/>
        <v>#VALUE!</v>
      </c>
      <c r="O27" s="77" t="str">
        <f t="shared" si="21"/>
        <v>#VALUE!</v>
      </c>
      <c r="P27" s="46" t="str">
        <f t="shared" si="19"/>
        <v>#VALUE!</v>
      </c>
      <c r="Q27" s="140"/>
      <c r="R27" s="77" t="str">
        <f t="shared" si="16"/>
        <v>#VALUE!</v>
      </c>
      <c r="AL27" s="49"/>
      <c r="AM27" s="49"/>
      <c r="AN27" s="49">
        <v>-0.5</v>
      </c>
      <c r="AO27" s="49">
        <v>-0.5</v>
      </c>
      <c r="AP27" s="49"/>
      <c r="AR27" s="127"/>
      <c r="BA27" s="127" t="str">
        <f>IFERROR(__xludf.DUMMYFUNCTION("SPLIT(AW27,""*"")"),"#VALUE!")</f>
        <v>#VALUE!</v>
      </c>
    </row>
    <row r="28">
      <c r="A28" s="73"/>
      <c r="B28" s="73"/>
      <c r="C28" s="73"/>
      <c r="D28" s="73"/>
      <c r="E28" s="73"/>
      <c r="F28" s="77"/>
      <c r="G28" s="77"/>
      <c r="H28" s="73"/>
      <c r="I28" s="77" t="str">
        <f t="shared" si="8"/>
        <v>#VALUE!</v>
      </c>
      <c r="J28" s="77" t="str">
        <f t="shared" si="9"/>
        <v>#DIV/0!</v>
      </c>
      <c r="K28" s="83" t="str">
        <f t="shared" si="10"/>
        <v>#VALUE!</v>
      </c>
      <c r="L28" s="83" t="str">
        <f t="shared" si="11"/>
        <v>#DIV/0!</v>
      </c>
      <c r="M28" s="77" t="str">
        <f t="shared" si="12"/>
        <v>#VALUE!</v>
      </c>
      <c r="N28" s="77" t="str">
        <f t="shared" si="13"/>
        <v>#VALUE!</v>
      </c>
      <c r="O28" s="77" t="str">
        <f t="shared" si="21"/>
        <v>#VALUE!</v>
      </c>
      <c r="P28" s="46" t="str">
        <f t="shared" si="19"/>
        <v>#VALUE!</v>
      </c>
      <c r="Q28" s="140"/>
      <c r="R28" s="77" t="str">
        <f t="shared" si="16"/>
        <v>#VALUE!</v>
      </c>
      <c r="U28" s="207" t="s">
        <v>241</v>
      </c>
      <c r="V28" s="207" t="s">
        <v>5</v>
      </c>
      <c r="W28" s="208" t="s">
        <v>242</v>
      </c>
      <c r="X28" s="208" t="s">
        <v>243</v>
      </c>
      <c r="Y28" s="209" t="s">
        <v>244</v>
      </c>
      <c r="Z28" s="16" t="s">
        <v>245</v>
      </c>
      <c r="AA28" s="16" t="s">
        <v>246</v>
      </c>
      <c r="AB28" s="16" t="s">
        <v>247</v>
      </c>
      <c r="AC28" s="16" t="s">
        <v>248</v>
      </c>
      <c r="AD28" s="16" t="s">
        <v>249</v>
      </c>
      <c r="AE28" s="16" t="s">
        <v>250</v>
      </c>
      <c r="AF28" s="210" t="s">
        <v>251</v>
      </c>
      <c r="AG28" s="211" t="s">
        <v>252</v>
      </c>
      <c r="AH28" s="212"/>
      <c r="AI28" s="217" t="s">
        <v>253</v>
      </c>
      <c r="AL28" s="49"/>
      <c r="AM28" s="49"/>
      <c r="AN28" s="49">
        <v>-0.5</v>
      </c>
      <c r="AO28" s="49">
        <v>-0.5</v>
      </c>
      <c r="AP28" s="49"/>
      <c r="AR28" s="127"/>
      <c r="BA28" s="127" t="str">
        <f>IFERROR(__xludf.DUMMYFUNCTION("SPLIT(AW28,""*"")"),"#VALUE!")</f>
        <v>#VALUE!</v>
      </c>
    </row>
    <row r="29">
      <c r="A29" s="73"/>
      <c r="B29" s="73"/>
      <c r="C29" s="73"/>
      <c r="D29" s="73"/>
      <c r="E29" s="73"/>
      <c r="F29" s="77"/>
      <c r="G29" s="77"/>
      <c r="H29" s="73"/>
      <c r="I29" s="77" t="str">
        <f t="shared" si="8"/>
        <v>#VALUE!</v>
      </c>
      <c r="J29" s="77" t="str">
        <f t="shared" si="9"/>
        <v>#DIV/0!</v>
      </c>
      <c r="K29" s="83" t="str">
        <f t="shared" si="10"/>
        <v>#VALUE!</v>
      </c>
      <c r="L29" s="83" t="str">
        <f t="shared" si="11"/>
        <v>#DIV/0!</v>
      </c>
      <c r="M29" s="77" t="str">
        <f t="shared" si="12"/>
        <v>#VALUE!</v>
      </c>
      <c r="N29" s="77" t="str">
        <f t="shared" si="13"/>
        <v>#VALUE!</v>
      </c>
      <c r="O29" s="77" t="str">
        <f t="shared" si="21"/>
        <v>#VALUE!</v>
      </c>
      <c r="P29" s="46" t="str">
        <f t="shared" si="19"/>
        <v>#VALUE!</v>
      </c>
      <c r="Q29" s="140"/>
      <c r="R29" s="77" t="str">
        <f t="shared" si="16"/>
        <v>#VALUE!</v>
      </c>
      <c r="U29" s="33" t="str">
        <f>IFERROR(__xludf.DUMMYFUNCTION("QUERY($D$10:$S$20,U$12)"),"#VALUE!")</f>
        <v>#VALUE!</v>
      </c>
      <c r="AL29" s="49"/>
      <c r="AM29" s="49"/>
      <c r="AN29" s="49">
        <v>-0.5</v>
      </c>
      <c r="AO29" s="49">
        <v>-0.5</v>
      </c>
      <c r="AP29" s="49"/>
      <c r="AR29" s="127"/>
      <c r="BA29" s="127" t="str">
        <f>IFERROR(__xludf.DUMMYFUNCTION("SPLIT(AW29,""*"")"),"#VALUE!")</f>
        <v>#VALUE!</v>
      </c>
    </row>
    <row r="30">
      <c r="A30" s="73"/>
      <c r="B30" s="73"/>
      <c r="C30" s="73"/>
      <c r="D30" s="73"/>
      <c r="E30" s="73"/>
      <c r="F30" s="77"/>
      <c r="G30" s="77"/>
      <c r="H30" s="73"/>
      <c r="I30" s="77" t="str">
        <f t="shared" si="8"/>
        <v>#VALUE!</v>
      </c>
      <c r="J30" s="77" t="str">
        <f t="shared" si="9"/>
        <v>#DIV/0!</v>
      </c>
      <c r="K30" s="83" t="str">
        <f t="shared" si="10"/>
        <v>#VALUE!</v>
      </c>
      <c r="L30" s="83" t="str">
        <f t="shared" si="11"/>
        <v>#DIV/0!</v>
      </c>
      <c r="M30" s="77" t="str">
        <f t="shared" si="12"/>
        <v>#VALUE!</v>
      </c>
      <c r="N30" s="77" t="str">
        <f t="shared" si="13"/>
        <v>#VALUE!</v>
      </c>
      <c r="O30" s="77" t="str">
        <f t="shared" si="21"/>
        <v>#VALUE!</v>
      </c>
      <c r="P30" s="46" t="str">
        <f t="shared" si="19"/>
        <v>#VALUE!</v>
      </c>
      <c r="Q30" s="140"/>
      <c r="R30" s="77" t="str">
        <f t="shared" si="16"/>
        <v>#VALUE!</v>
      </c>
      <c r="AL30" s="49"/>
      <c r="AM30" s="49"/>
      <c r="AN30" s="49">
        <v>-0.5</v>
      </c>
      <c r="AO30" s="49">
        <v>-0.5</v>
      </c>
      <c r="AP30" s="49"/>
      <c r="AR30" s="127"/>
      <c r="BA30" s="127" t="str">
        <f>IFERROR(__xludf.DUMMYFUNCTION("SPLIT(AW30,""*"")"),"#VALUE!")</f>
        <v>#VALUE!</v>
      </c>
    </row>
    <row r="31">
      <c r="A31" s="73"/>
      <c r="B31" s="73"/>
      <c r="C31" s="73"/>
      <c r="D31" s="73"/>
      <c r="E31" s="73"/>
      <c r="F31" s="77"/>
      <c r="G31" s="77"/>
      <c r="H31" s="73"/>
      <c r="I31" s="77" t="str">
        <f t="shared" si="8"/>
        <v>#VALUE!</v>
      </c>
      <c r="J31" s="77" t="str">
        <f t="shared" si="9"/>
        <v>#DIV/0!</v>
      </c>
      <c r="K31" s="83" t="str">
        <f t="shared" si="10"/>
        <v>#VALUE!</v>
      </c>
      <c r="L31" s="83" t="str">
        <f t="shared" si="11"/>
        <v>#DIV/0!</v>
      </c>
      <c r="M31" s="77" t="str">
        <f t="shared" si="12"/>
        <v>#VALUE!</v>
      </c>
      <c r="N31" s="77" t="str">
        <f t="shared" si="13"/>
        <v>#VALUE!</v>
      </c>
      <c r="O31" s="77" t="str">
        <f t="shared" si="21"/>
        <v>#VALUE!</v>
      </c>
      <c r="P31" s="46" t="str">
        <f t="shared" si="19"/>
        <v>#VALUE!</v>
      </c>
      <c r="Q31" s="140"/>
      <c r="R31" s="77" t="str">
        <f t="shared" si="16"/>
        <v>#VALUE!</v>
      </c>
      <c r="AL31" s="49"/>
      <c r="AM31" s="49"/>
      <c r="AN31" s="49">
        <v>-0.5</v>
      </c>
      <c r="AO31" s="49">
        <v>-0.5</v>
      </c>
      <c r="AP31" s="49"/>
      <c r="AR31" s="127"/>
      <c r="BA31" s="127" t="str">
        <f>IFERROR(__xludf.DUMMYFUNCTION("SPLIT(AW31,""*"")"),"#VALUE!")</f>
        <v>#VALUE!</v>
      </c>
    </row>
    <row r="32">
      <c r="A32" s="73"/>
      <c r="B32" s="73"/>
      <c r="C32" s="73"/>
      <c r="D32" s="73"/>
      <c r="E32" s="73"/>
      <c r="F32" s="77"/>
      <c r="G32" s="77"/>
      <c r="H32" s="73"/>
      <c r="I32" s="77" t="str">
        <f t="shared" si="8"/>
        <v>#VALUE!</v>
      </c>
      <c r="J32" s="77" t="str">
        <f t="shared" si="9"/>
        <v>#DIV/0!</v>
      </c>
      <c r="K32" s="83" t="str">
        <f t="shared" si="10"/>
        <v>#VALUE!</v>
      </c>
      <c r="L32" s="83" t="str">
        <f t="shared" si="11"/>
        <v>#DIV/0!</v>
      </c>
      <c r="M32" s="77" t="str">
        <f t="shared" si="12"/>
        <v>#VALUE!</v>
      </c>
      <c r="N32" s="77" t="str">
        <f t="shared" si="13"/>
        <v>#VALUE!</v>
      </c>
      <c r="O32" s="77" t="str">
        <f t="shared" si="21"/>
        <v>#VALUE!</v>
      </c>
      <c r="P32" s="46" t="str">
        <f t="shared" si="19"/>
        <v>#VALUE!</v>
      </c>
      <c r="Q32" s="140"/>
      <c r="R32" s="77" t="str">
        <f t="shared" si="16"/>
        <v>#VALUE!</v>
      </c>
      <c r="AL32" s="49"/>
      <c r="AM32" s="49"/>
      <c r="AN32" s="49">
        <v>-0.5</v>
      </c>
      <c r="AO32" s="49">
        <v>-0.5</v>
      </c>
      <c r="AP32" s="49"/>
      <c r="AR32" s="127"/>
      <c r="BA32" s="127" t="str">
        <f>IFERROR(__xludf.DUMMYFUNCTION("SPLIT(AW32,""*"")"),"#VALUE!")</f>
        <v>#VALUE!</v>
      </c>
    </row>
    <row r="33">
      <c r="A33" s="73"/>
      <c r="B33" s="73"/>
      <c r="C33" s="73"/>
      <c r="D33" s="73"/>
      <c r="E33" s="73"/>
      <c r="F33" s="77"/>
      <c r="G33" s="77"/>
      <c r="H33" s="73"/>
      <c r="I33" s="77" t="str">
        <f t="shared" si="8"/>
        <v>#VALUE!</v>
      </c>
      <c r="J33" s="77" t="str">
        <f t="shared" si="9"/>
        <v>#DIV/0!</v>
      </c>
      <c r="K33" s="83" t="str">
        <f t="shared" si="10"/>
        <v>#VALUE!</v>
      </c>
      <c r="L33" s="83" t="str">
        <f t="shared" si="11"/>
        <v>#DIV/0!</v>
      </c>
      <c r="M33" s="77" t="str">
        <f t="shared" si="12"/>
        <v>#VALUE!</v>
      </c>
      <c r="N33" s="77" t="str">
        <f t="shared" si="13"/>
        <v>#VALUE!</v>
      </c>
      <c r="O33" s="77" t="str">
        <f t="shared" si="21"/>
        <v>#VALUE!</v>
      </c>
      <c r="P33" s="46" t="str">
        <f t="shared" si="19"/>
        <v>#VALUE!</v>
      </c>
      <c r="Q33" s="140"/>
      <c r="R33" s="77" t="str">
        <f t="shared" si="16"/>
        <v>#VALUE!</v>
      </c>
      <c r="AL33" s="49"/>
      <c r="AM33" s="49"/>
      <c r="AN33" s="49">
        <v>-0.5</v>
      </c>
      <c r="AO33" s="49">
        <v>-0.5</v>
      </c>
      <c r="AP33" s="49"/>
      <c r="AR33" s="127"/>
      <c r="BA33" s="127" t="str">
        <f>IFERROR(__xludf.DUMMYFUNCTION("SPLIT(AW33,""*"")"),"#VALUE!")</f>
        <v>#VALUE!</v>
      </c>
    </row>
    <row r="34">
      <c r="A34" s="73"/>
      <c r="B34" s="73"/>
      <c r="C34" s="73"/>
      <c r="D34" s="73"/>
      <c r="E34" s="73"/>
      <c r="F34" s="77"/>
      <c r="G34" s="77"/>
      <c r="H34" s="73"/>
      <c r="I34" s="77" t="str">
        <f t="shared" si="8"/>
        <v>#VALUE!</v>
      </c>
      <c r="J34" s="77" t="str">
        <f t="shared" si="9"/>
        <v>#DIV/0!</v>
      </c>
      <c r="K34" s="83" t="str">
        <f t="shared" si="10"/>
        <v>#VALUE!</v>
      </c>
      <c r="L34" s="83" t="str">
        <f t="shared" si="11"/>
        <v>#DIV/0!</v>
      </c>
      <c r="M34" s="77" t="str">
        <f t="shared" si="12"/>
        <v>#VALUE!</v>
      </c>
      <c r="N34" s="77" t="str">
        <f t="shared" si="13"/>
        <v>#VALUE!</v>
      </c>
      <c r="O34" s="77" t="str">
        <f t="shared" si="21"/>
        <v>#VALUE!</v>
      </c>
      <c r="P34" s="46" t="str">
        <f t="shared" si="19"/>
        <v>#VALUE!</v>
      </c>
      <c r="Q34" s="140"/>
      <c r="R34" s="77" t="str">
        <f t="shared" si="16"/>
        <v>#VALUE!</v>
      </c>
      <c r="AL34" s="49"/>
      <c r="AM34" s="49"/>
      <c r="AN34" s="49">
        <v>-0.5</v>
      </c>
      <c r="AO34" s="49">
        <v>-0.5</v>
      </c>
      <c r="AP34" s="49"/>
      <c r="AR34" s="127"/>
      <c r="BA34" s="127" t="str">
        <f>IFERROR(__xludf.DUMMYFUNCTION("SPLIT(AW34,""*"")"),"#VALUE!")</f>
        <v>#VALUE!</v>
      </c>
    </row>
    <row r="35">
      <c r="A35" s="73"/>
      <c r="B35" s="73"/>
      <c r="C35" s="73"/>
      <c r="D35" s="73"/>
      <c r="E35" s="73"/>
      <c r="F35" s="77"/>
      <c r="G35" s="77"/>
      <c r="H35" s="73"/>
      <c r="I35" s="77" t="str">
        <f t="shared" si="8"/>
        <v>#VALUE!</v>
      </c>
      <c r="J35" s="77" t="str">
        <f t="shared" si="9"/>
        <v>#DIV/0!</v>
      </c>
      <c r="K35" s="83" t="str">
        <f t="shared" si="10"/>
        <v>#VALUE!</v>
      </c>
      <c r="L35" s="83" t="str">
        <f t="shared" si="11"/>
        <v>#DIV/0!</v>
      </c>
      <c r="M35" s="77" t="str">
        <f t="shared" si="12"/>
        <v>#VALUE!</v>
      </c>
      <c r="N35" s="77" t="str">
        <f t="shared" si="13"/>
        <v>#VALUE!</v>
      </c>
      <c r="O35" s="77" t="str">
        <f t="shared" si="21"/>
        <v>#VALUE!</v>
      </c>
      <c r="P35" s="46" t="str">
        <f t="shared" si="19"/>
        <v>#VALUE!</v>
      </c>
      <c r="Q35" s="140"/>
      <c r="R35" s="77" t="str">
        <f t="shared" si="16"/>
        <v>#VALUE!</v>
      </c>
      <c r="AL35" s="49"/>
      <c r="AM35" s="49"/>
      <c r="AN35" s="49">
        <v>-0.5</v>
      </c>
      <c r="AO35" s="49">
        <v>-0.5</v>
      </c>
      <c r="AP35" s="49"/>
      <c r="AR35" s="127"/>
      <c r="BA35" s="127" t="str">
        <f>IFERROR(__xludf.DUMMYFUNCTION("SPLIT(AW35,""*"")"),"#VALUE!")</f>
        <v>#VALUE!</v>
      </c>
    </row>
    <row r="36">
      <c r="A36" s="73"/>
      <c r="B36" s="73"/>
      <c r="C36" s="73"/>
      <c r="D36" s="73"/>
      <c r="E36" s="73"/>
      <c r="F36" s="77"/>
      <c r="G36" s="77"/>
      <c r="H36" s="73"/>
      <c r="I36" s="77" t="str">
        <f t="shared" si="8"/>
        <v>#VALUE!</v>
      </c>
      <c r="J36" s="77" t="str">
        <f t="shared" si="9"/>
        <v>#DIV/0!</v>
      </c>
      <c r="K36" s="83" t="str">
        <f t="shared" si="10"/>
        <v>#VALUE!</v>
      </c>
      <c r="L36" s="83" t="str">
        <f t="shared" si="11"/>
        <v>#DIV/0!</v>
      </c>
      <c r="M36" s="77" t="str">
        <f t="shared" si="12"/>
        <v>#VALUE!</v>
      </c>
      <c r="N36" s="77" t="str">
        <f t="shared" si="13"/>
        <v>#VALUE!</v>
      </c>
      <c r="O36" s="77" t="str">
        <f t="shared" si="21"/>
        <v>#VALUE!</v>
      </c>
      <c r="P36" s="46" t="str">
        <f t="shared" si="19"/>
        <v>#VALUE!</v>
      </c>
      <c r="Q36" s="140"/>
      <c r="R36" s="77" t="str">
        <f t="shared" si="16"/>
        <v>#VALUE!</v>
      </c>
      <c r="AL36" s="49"/>
      <c r="AM36" s="49"/>
      <c r="AN36" s="49">
        <v>-0.5</v>
      </c>
      <c r="AO36" s="49">
        <v>-0.5</v>
      </c>
      <c r="AP36" s="49"/>
      <c r="AR36" s="127"/>
      <c r="BA36" s="127" t="str">
        <f>IFERROR(__xludf.DUMMYFUNCTION("SPLIT(AW36,""*"")"),"#VALUE!")</f>
        <v>#VALUE!</v>
      </c>
    </row>
    <row r="37">
      <c r="A37" s="73"/>
      <c r="B37" s="73"/>
      <c r="C37" s="73"/>
      <c r="D37" s="73"/>
      <c r="E37" s="73"/>
      <c r="F37" s="77"/>
      <c r="G37" s="77"/>
      <c r="H37" s="73"/>
      <c r="I37" s="77" t="str">
        <f t="shared" si="8"/>
        <v>#VALUE!</v>
      </c>
      <c r="J37" s="77" t="str">
        <f t="shared" si="9"/>
        <v>#DIV/0!</v>
      </c>
      <c r="K37" s="83" t="str">
        <f t="shared" si="10"/>
        <v>#VALUE!</v>
      </c>
      <c r="L37" s="83" t="str">
        <f t="shared" si="11"/>
        <v>#DIV/0!</v>
      </c>
      <c r="M37" s="77" t="str">
        <f t="shared" si="12"/>
        <v>#VALUE!</v>
      </c>
      <c r="N37" s="77" t="str">
        <f t="shared" si="13"/>
        <v>#VALUE!</v>
      </c>
      <c r="O37" s="77" t="str">
        <f t="shared" si="21"/>
        <v>#VALUE!</v>
      </c>
      <c r="P37" s="46" t="str">
        <f t="shared" si="19"/>
        <v>#VALUE!</v>
      </c>
      <c r="Q37" s="140"/>
      <c r="R37" s="77" t="str">
        <f t="shared" si="16"/>
        <v>#VALUE!</v>
      </c>
      <c r="AL37" s="49"/>
      <c r="AM37" s="49"/>
      <c r="AN37" s="49">
        <v>-0.5</v>
      </c>
      <c r="AO37" s="49">
        <v>-0.5</v>
      </c>
      <c r="AP37" s="49"/>
      <c r="AR37" s="127"/>
      <c r="BA37" s="127" t="str">
        <f>IFERROR(__xludf.DUMMYFUNCTION("SPLIT(AW37,""*"")"),"#VALUE!")</f>
        <v>#VALUE!</v>
      </c>
    </row>
    <row r="38">
      <c r="A38" s="73"/>
      <c r="B38" s="73"/>
      <c r="C38" s="73"/>
      <c r="D38" s="73"/>
      <c r="E38" s="73"/>
      <c r="F38" s="77"/>
      <c r="G38" s="77"/>
      <c r="H38" s="73"/>
      <c r="I38" s="77" t="str">
        <f t="shared" si="8"/>
        <v>#VALUE!</v>
      </c>
      <c r="J38" s="77" t="str">
        <f t="shared" si="9"/>
        <v>#DIV/0!</v>
      </c>
      <c r="K38" s="83" t="str">
        <f t="shared" si="10"/>
        <v>#VALUE!</v>
      </c>
      <c r="L38" s="83" t="str">
        <f t="shared" si="11"/>
        <v>#DIV/0!</v>
      </c>
      <c r="M38" s="77" t="str">
        <f t="shared" si="12"/>
        <v>#VALUE!</v>
      </c>
      <c r="N38" s="77" t="str">
        <f t="shared" si="13"/>
        <v>#VALUE!</v>
      </c>
      <c r="O38" s="77" t="str">
        <f t="shared" si="21"/>
        <v>#VALUE!</v>
      </c>
      <c r="P38" s="46" t="str">
        <f t="shared" si="19"/>
        <v>#VALUE!</v>
      </c>
      <c r="Q38" s="140"/>
      <c r="R38" s="77" t="str">
        <f t="shared" si="16"/>
        <v>#VALUE!</v>
      </c>
      <c r="AL38" s="49"/>
      <c r="AM38" s="49"/>
      <c r="AN38" s="49">
        <v>-0.5</v>
      </c>
      <c r="AO38" s="49">
        <v>-0.5</v>
      </c>
      <c r="AP38" s="49"/>
      <c r="AR38" s="127"/>
      <c r="BA38" s="127" t="str">
        <f>IFERROR(__xludf.DUMMYFUNCTION("SPLIT(AW38,""*"")"),"#VALUE!")</f>
        <v>#VALUE!</v>
      </c>
    </row>
    <row r="39">
      <c r="A39" s="73"/>
      <c r="B39" s="73"/>
      <c r="C39" s="73"/>
      <c r="D39" s="73"/>
      <c r="E39" s="73"/>
      <c r="F39" s="77"/>
      <c r="G39" s="77"/>
      <c r="H39" s="73"/>
      <c r="I39" s="77" t="str">
        <f t="shared" si="8"/>
        <v>#VALUE!</v>
      </c>
      <c r="J39" s="77" t="str">
        <f t="shared" si="9"/>
        <v>#DIV/0!</v>
      </c>
      <c r="K39" s="83" t="str">
        <f t="shared" si="10"/>
        <v>#VALUE!</v>
      </c>
      <c r="L39" s="83" t="str">
        <f t="shared" si="11"/>
        <v>#DIV/0!</v>
      </c>
      <c r="M39" s="77" t="str">
        <f t="shared" si="12"/>
        <v>#VALUE!</v>
      </c>
      <c r="N39" s="77" t="str">
        <f t="shared" si="13"/>
        <v>#VALUE!</v>
      </c>
      <c r="O39" s="77" t="str">
        <f t="shared" si="21"/>
        <v>#VALUE!</v>
      </c>
      <c r="P39" s="46" t="str">
        <f t="shared" si="19"/>
        <v>#VALUE!</v>
      </c>
      <c r="Q39" s="140"/>
      <c r="R39" s="77" t="str">
        <f t="shared" si="16"/>
        <v>#VALUE!</v>
      </c>
      <c r="AL39" s="49"/>
      <c r="AM39" s="49"/>
      <c r="AN39" s="49">
        <v>-0.5</v>
      </c>
      <c r="AO39" s="49">
        <v>-0.5</v>
      </c>
      <c r="AP39" s="49"/>
      <c r="AR39" s="127"/>
      <c r="BA39" s="127" t="str">
        <f>IFERROR(__xludf.DUMMYFUNCTION("SPLIT(AW39,""*"")"),"#VALUE!")</f>
        <v>#VALUE!</v>
      </c>
    </row>
    <row r="40">
      <c r="A40" s="73"/>
      <c r="B40" s="73"/>
      <c r="C40" s="73"/>
      <c r="D40" s="73"/>
      <c r="E40" s="73"/>
      <c r="F40" s="77"/>
      <c r="G40" s="77"/>
      <c r="H40" s="73"/>
      <c r="I40" s="77" t="str">
        <f t="shared" si="8"/>
        <v>#VALUE!</v>
      </c>
      <c r="J40" s="77" t="str">
        <f t="shared" si="9"/>
        <v>#DIV/0!</v>
      </c>
      <c r="K40" s="83" t="str">
        <f t="shared" si="10"/>
        <v>#VALUE!</v>
      </c>
      <c r="L40" s="83" t="str">
        <f t="shared" si="11"/>
        <v>#DIV/0!</v>
      </c>
      <c r="M40" s="77" t="str">
        <f t="shared" si="12"/>
        <v>#VALUE!</v>
      </c>
      <c r="N40" s="77" t="str">
        <f t="shared" si="13"/>
        <v>#VALUE!</v>
      </c>
      <c r="O40" s="77" t="str">
        <f t="shared" si="21"/>
        <v>#VALUE!</v>
      </c>
      <c r="P40" s="46" t="str">
        <f t="shared" si="19"/>
        <v>#VALUE!</v>
      </c>
      <c r="Q40" s="140"/>
      <c r="R40" s="77" t="str">
        <f t="shared" si="16"/>
        <v>#VALUE!</v>
      </c>
      <c r="AL40" s="49"/>
      <c r="AM40" s="49"/>
      <c r="AN40" s="49">
        <v>-0.5</v>
      </c>
      <c r="AO40" s="49">
        <v>-0.5</v>
      </c>
      <c r="AP40" s="49"/>
      <c r="AR40" s="127"/>
      <c r="BA40" s="127" t="str">
        <f>IFERROR(__xludf.DUMMYFUNCTION("SPLIT(AW40,""*"")"),"#VALUE!")</f>
        <v>#VALUE!</v>
      </c>
    </row>
    <row r="41">
      <c r="A41" s="73"/>
      <c r="B41" s="73"/>
      <c r="C41" s="73"/>
      <c r="D41" s="73"/>
      <c r="E41" s="73"/>
      <c r="F41" s="77"/>
      <c r="G41" s="77"/>
      <c r="H41" s="73"/>
      <c r="I41" s="77" t="str">
        <f t="shared" si="8"/>
        <v>#VALUE!</v>
      </c>
      <c r="J41" s="77" t="str">
        <f t="shared" si="9"/>
        <v>#DIV/0!</v>
      </c>
      <c r="K41" s="83" t="str">
        <f t="shared" si="10"/>
        <v>#VALUE!</v>
      </c>
      <c r="L41" s="83" t="str">
        <f t="shared" si="11"/>
        <v>#DIV/0!</v>
      </c>
      <c r="M41" s="77" t="str">
        <f t="shared" si="12"/>
        <v>#VALUE!</v>
      </c>
      <c r="N41" s="77" t="str">
        <f t="shared" si="13"/>
        <v>#VALUE!</v>
      </c>
      <c r="O41" s="77" t="str">
        <f t="shared" si="21"/>
        <v>#VALUE!</v>
      </c>
      <c r="P41" s="46" t="str">
        <f t="shared" si="19"/>
        <v>#VALUE!</v>
      </c>
      <c r="Q41" s="140"/>
      <c r="R41" s="77" t="str">
        <f t="shared" si="16"/>
        <v>#VALUE!</v>
      </c>
      <c r="AL41" s="49"/>
      <c r="AM41" s="49"/>
      <c r="AN41" s="49">
        <v>-0.5</v>
      </c>
      <c r="AO41" s="49">
        <v>-0.5</v>
      </c>
      <c r="AP41" s="49"/>
      <c r="AR41" s="127"/>
      <c r="BA41" s="127" t="str">
        <f>IFERROR(__xludf.DUMMYFUNCTION("SPLIT(AW41,""*"")"),"#VALUE!")</f>
        <v>#VALUE!</v>
      </c>
    </row>
    <row r="42">
      <c r="A42" s="73"/>
      <c r="B42" s="73"/>
      <c r="C42" s="73"/>
      <c r="D42" s="73"/>
      <c r="E42" s="73"/>
      <c r="F42" s="77"/>
      <c r="G42" s="77"/>
      <c r="H42" s="73"/>
      <c r="I42" s="77" t="str">
        <f t="shared" si="8"/>
        <v>#VALUE!</v>
      </c>
      <c r="J42" s="77" t="str">
        <f t="shared" si="9"/>
        <v>#DIV/0!</v>
      </c>
      <c r="K42" s="83" t="str">
        <f t="shared" si="10"/>
        <v>#VALUE!</v>
      </c>
      <c r="L42" s="83" t="str">
        <f t="shared" si="11"/>
        <v>#DIV/0!</v>
      </c>
      <c r="M42" s="77" t="str">
        <f t="shared" si="12"/>
        <v>#VALUE!</v>
      </c>
      <c r="N42" s="77" t="str">
        <f t="shared" si="13"/>
        <v>#VALUE!</v>
      </c>
      <c r="O42" s="77" t="str">
        <f t="shared" si="21"/>
        <v>#VALUE!</v>
      </c>
      <c r="P42" s="46" t="str">
        <f t="shared" si="19"/>
        <v>#VALUE!</v>
      </c>
      <c r="Q42" s="140"/>
      <c r="R42" s="77" t="str">
        <f t="shared" si="16"/>
        <v>#VALUE!</v>
      </c>
      <c r="AL42" s="49"/>
      <c r="AM42" s="49"/>
      <c r="AN42" s="49">
        <v>-0.5</v>
      </c>
      <c r="AO42" s="49">
        <v>-0.5</v>
      </c>
      <c r="AP42" s="49"/>
      <c r="AR42" s="127"/>
      <c r="BA42" s="127" t="str">
        <f>IFERROR(__xludf.DUMMYFUNCTION("SPLIT(AW42,""*"")"),"#VALUE!")</f>
        <v>#VALUE!</v>
      </c>
    </row>
    <row r="43">
      <c r="A43" s="73"/>
      <c r="B43" s="73"/>
      <c r="C43" s="73"/>
      <c r="D43" s="73"/>
      <c r="E43" s="73"/>
      <c r="F43" s="77"/>
      <c r="G43" s="77"/>
      <c r="H43" s="73"/>
      <c r="I43" s="77" t="str">
        <f t="shared" si="8"/>
        <v>#VALUE!</v>
      </c>
      <c r="J43" s="77" t="str">
        <f t="shared" si="9"/>
        <v>#DIV/0!</v>
      </c>
      <c r="K43" s="83" t="str">
        <f t="shared" si="10"/>
        <v>#VALUE!</v>
      </c>
      <c r="L43" s="83" t="str">
        <f t="shared" si="11"/>
        <v>#DIV/0!</v>
      </c>
      <c r="M43" s="77" t="str">
        <f t="shared" si="12"/>
        <v>#VALUE!</v>
      </c>
      <c r="N43" s="77" t="str">
        <f t="shared" si="13"/>
        <v>#VALUE!</v>
      </c>
      <c r="O43" s="77" t="str">
        <f t="shared" si="21"/>
        <v>#VALUE!</v>
      </c>
      <c r="P43" s="46" t="str">
        <f t="shared" si="19"/>
        <v>#VALUE!</v>
      </c>
      <c r="Q43" s="140"/>
      <c r="R43" s="77" t="str">
        <f t="shared" si="16"/>
        <v>#VALUE!</v>
      </c>
      <c r="AL43" s="49"/>
      <c r="AM43" s="49"/>
      <c r="AN43" s="49">
        <v>-0.5</v>
      </c>
      <c r="AO43" s="49">
        <v>-0.5</v>
      </c>
      <c r="AP43" s="49"/>
      <c r="AR43" s="127"/>
      <c r="BA43" s="127" t="str">
        <f>IFERROR(__xludf.DUMMYFUNCTION("SPLIT(AW43,""*"")"),"#VALUE!")</f>
        <v>#VALUE!</v>
      </c>
    </row>
    <row r="44">
      <c r="A44" s="73"/>
      <c r="B44" s="73"/>
      <c r="C44" s="73"/>
      <c r="D44" s="73"/>
      <c r="E44" s="73"/>
      <c r="F44" s="77"/>
      <c r="G44" s="77"/>
      <c r="H44" s="73"/>
      <c r="I44" s="77" t="str">
        <f t="shared" si="8"/>
        <v>#VALUE!</v>
      </c>
      <c r="J44" s="77" t="str">
        <f t="shared" si="9"/>
        <v>#DIV/0!</v>
      </c>
      <c r="K44" s="83" t="str">
        <f t="shared" si="10"/>
        <v>#VALUE!</v>
      </c>
      <c r="L44" s="83" t="str">
        <f t="shared" si="11"/>
        <v>#DIV/0!</v>
      </c>
      <c r="M44" s="77" t="str">
        <f t="shared" si="12"/>
        <v>#VALUE!</v>
      </c>
      <c r="N44" s="77" t="str">
        <f t="shared" si="13"/>
        <v>#VALUE!</v>
      </c>
      <c r="O44" s="77" t="str">
        <f t="shared" si="21"/>
        <v>#VALUE!</v>
      </c>
      <c r="P44" s="46" t="str">
        <f t="shared" si="19"/>
        <v>#VALUE!</v>
      </c>
      <c r="Q44" s="140"/>
      <c r="R44" s="77" t="str">
        <f t="shared" si="16"/>
        <v>#VALUE!</v>
      </c>
      <c r="AL44" s="49"/>
      <c r="AM44" s="49"/>
      <c r="AN44" s="49">
        <v>-0.5</v>
      </c>
      <c r="AO44" s="49">
        <v>-0.5</v>
      </c>
      <c r="AP44" s="49"/>
      <c r="AR44" s="127"/>
      <c r="BA44" s="127" t="str">
        <f>IFERROR(__xludf.DUMMYFUNCTION("SPLIT(AW44,""*"")"),"#VALUE!")</f>
        <v>#VALUE!</v>
      </c>
    </row>
    <row r="45">
      <c r="A45" s="73"/>
      <c r="B45" s="73"/>
      <c r="C45" s="73"/>
      <c r="D45" s="73"/>
      <c r="E45" s="73"/>
      <c r="F45" s="77"/>
      <c r="G45" s="77"/>
      <c r="H45" s="73"/>
      <c r="I45" s="77" t="str">
        <f t="shared" si="8"/>
        <v>#VALUE!</v>
      </c>
      <c r="J45" s="77" t="str">
        <f t="shared" si="9"/>
        <v>#DIV/0!</v>
      </c>
      <c r="K45" s="83" t="str">
        <f t="shared" si="10"/>
        <v>#VALUE!</v>
      </c>
      <c r="L45" s="83" t="str">
        <f t="shared" si="11"/>
        <v>#DIV/0!</v>
      </c>
      <c r="M45" s="77" t="str">
        <f t="shared" si="12"/>
        <v>#VALUE!</v>
      </c>
      <c r="N45" s="77" t="str">
        <f t="shared" si="13"/>
        <v>#VALUE!</v>
      </c>
      <c r="O45" s="77" t="str">
        <f t="shared" si="21"/>
        <v>#VALUE!</v>
      </c>
      <c r="P45" s="46" t="str">
        <f t="shared" si="19"/>
        <v>#VALUE!</v>
      </c>
      <c r="Q45" s="140"/>
      <c r="R45" s="77" t="str">
        <f t="shared" si="16"/>
        <v>#VALUE!</v>
      </c>
      <c r="AL45" s="49"/>
      <c r="AM45" s="49"/>
      <c r="AN45" s="49">
        <v>-0.5</v>
      </c>
      <c r="AO45" s="49">
        <v>-0.5</v>
      </c>
      <c r="AP45" s="49"/>
      <c r="AR45" s="127"/>
      <c r="BA45" s="127" t="str">
        <f>IFERROR(__xludf.DUMMYFUNCTION("SPLIT(AW45,""*"")"),"#VALUE!")</f>
        <v>#VALUE!</v>
      </c>
    </row>
    <row r="46">
      <c r="A46" s="73"/>
      <c r="B46" s="73"/>
      <c r="C46" s="73"/>
      <c r="D46" s="73"/>
      <c r="E46" s="73"/>
      <c r="F46" s="77"/>
      <c r="G46" s="77"/>
      <c r="H46" s="73"/>
      <c r="I46" s="77" t="str">
        <f t="shared" si="8"/>
        <v>#VALUE!</v>
      </c>
      <c r="J46" s="77" t="str">
        <f t="shared" si="9"/>
        <v>#DIV/0!</v>
      </c>
      <c r="K46" s="83" t="str">
        <f t="shared" si="10"/>
        <v>#VALUE!</v>
      </c>
      <c r="L46" s="83" t="str">
        <f t="shared" si="11"/>
        <v>#DIV/0!</v>
      </c>
      <c r="M46" s="77" t="str">
        <f t="shared" si="12"/>
        <v>#VALUE!</v>
      </c>
      <c r="N46" s="77" t="str">
        <f t="shared" si="13"/>
        <v>#VALUE!</v>
      </c>
      <c r="O46" s="77" t="str">
        <f t="shared" si="21"/>
        <v>#VALUE!</v>
      </c>
      <c r="P46" s="46" t="str">
        <f t="shared" si="19"/>
        <v>#VALUE!</v>
      </c>
      <c r="Q46" s="140"/>
      <c r="R46" s="77" t="str">
        <f t="shared" si="16"/>
        <v>#VALUE!</v>
      </c>
      <c r="T46" s="33" t="str">
        <f>IFERROR(__xludf.DUMMYFUNCTION("QUERY(D10:H629,X8)"),"#VALUE!")</f>
        <v>#VALUE!</v>
      </c>
      <c r="AL46" s="49"/>
      <c r="AM46" s="49"/>
      <c r="AN46" s="49">
        <v>-0.5</v>
      </c>
      <c r="AO46" s="49">
        <v>-0.5</v>
      </c>
      <c r="AP46" s="49"/>
      <c r="AR46" s="127"/>
      <c r="BA46" s="127" t="str">
        <f>IFERROR(__xludf.DUMMYFUNCTION("SPLIT(AW46,""*"")"),"#VALUE!")</f>
        <v>#VALUE!</v>
      </c>
    </row>
    <row r="47">
      <c r="A47" s="73"/>
      <c r="B47" s="73"/>
      <c r="C47" s="73"/>
      <c r="D47" s="73"/>
      <c r="E47" s="73"/>
      <c r="F47" s="77"/>
      <c r="G47" s="77"/>
      <c r="H47" s="73"/>
      <c r="I47" s="77" t="str">
        <f t="shared" si="8"/>
        <v>#VALUE!</v>
      </c>
      <c r="J47" s="77" t="str">
        <f t="shared" si="9"/>
        <v>#DIV/0!</v>
      </c>
      <c r="K47" s="83" t="str">
        <f t="shared" si="10"/>
        <v>#VALUE!</v>
      </c>
      <c r="L47" s="83" t="str">
        <f t="shared" si="11"/>
        <v>#DIV/0!</v>
      </c>
      <c r="M47" s="77" t="str">
        <f t="shared" si="12"/>
        <v>#VALUE!</v>
      </c>
      <c r="N47" s="77" t="str">
        <f t="shared" si="13"/>
        <v>#VALUE!</v>
      </c>
      <c r="O47" s="77" t="str">
        <f t="shared" si="21"/>
        <v>#VALUE!</v>
      </c>
      <c r="P47" s="46" t="str">
        <f t="shared" si="19"/>
        <v>#VALUE!</v>
      </c>
      <c r="Q47" s="140"/>
      <c r="R47" s="77" t="str">
        <f t="shared" si="16"/>
        <v>#VALUE!</v>
      </c>
      <c r="AL47" s="49"/>
      <c r="AM47" s="49"/>
      <c r="AN47" s="49">
        <v>-0.5</v>
      </c>
      <c r="AO47" s="49">
        <v>-0.5</v>
      </c>
      <c r="AP47" s="49"/>
      <c r="AR47" s="127"/>
      <c r="BA47" s="127" t="str">
        <f>IFERROR(__xludf.DUMMYFUNCTION("SPLIT(AW47,""*"")"),"#VALUE!")</f>
        <v>#VALUE!</v>
      </c>
    </row>
    <row r="48">
      <c r="A48" s="73"/>
      <c r="B48" s="73"/>
      <c r="C48" s="73"/>
      <c r="D48" s="73"/>
      <c r="E48" s="73"/>
      <c r="F48" s="77"/>
      <c r="G48" s="77"/>
      <c r="H48" s="73"/>
      <c r="I48" s="77" t="str">
        <f t="shared" si="8"/>
        <v>#VALUE!</v>
      </c>
      <c r="J48" s="77" t="str">
        <f t="shared" si="9"/>
        <v>#DIV/0!</v>
      </c>
      <c r="K48" s="83" t="str">
        <f t="shared" si="10"/>
        <v>#VALUE!</v>
      </c>
      <c r="L48" s="83" t="str">
        <f t="shared" si="11"/>
        <v>#DIV/0!</v>
      </c>
      <c r="M48" s="77" t="str">
        <f t="shared" si="12"/>
        <v>#VALUE!</v>
      </c>
      <c r="N48" s="77" t="str">
        <f t="shared" si="13"/>
        <v>#VALUE!</v>
      </c>
      <c r="O48" s="77" t="str">
        <f t="shared" si="21"/>
        <v>#VALUE!</v>
      </c>
      <c r="P48" s="46" t="str">
        <f t="shared" si="19"/>
        <v>#VALUE!</v>
      </c>
      <c r="Q48" s="140"/>
      <c r="R48" s="77" t="str">
        <f t="shared" si="16"/>
        <v>#VALUE!</v>
      </c>
      <c r="AL48" s="49"/>
      <c r="AM48" s="49"/>
      <c r="AN48" s="49">
        <v>-0.5</v>
      </c>
      <c r="AO48" s="49">
        <v>-0.5</v>
      </c>
      <c r="AP48" s="49"/>
      <c r="AR48" s="127"/>
      <c r="BA48" s="127" t="str">
        <f>IFERROR(__xludf.DUMMYFUNCTION("SPLIT(AW48,""*"")"),"#VALUE!")</f>
        <v>#VALUE!</v>
      </c>
    </row>
    <row r="49">
      <c r="A49" s="73"/>
      <c r="B49" s="73"/>
      <c r="C49" s="73"/>
      <c r="D49" s="73"/>
      <c r="E49" s="73"/>
      <c r="F49" s="77"/>
      <c r="G49" s="77"/>
      <c r="H49" s="73"/>
      <c r="I49" s="77" t="str">
        <f t="shared" si="8"/>
        <v>#VALUE!</v>
      </c>
      <c r="J49" s="77" t="str">
        <f t="shared" si="9"/>
        <v>#DIV/0!</v>
      </c>
      <c r="K49" s="83" t="str">
        <f t="shared" si="10"/>
        <v>#VALUE!</v>
      </c>
      <c r="L49" s="83" t="str">
        <f t="shared" si="11"/>
        <v>#DIV/0!</v>
      </c>
      <c r="M49" s="77" t="str">
        <f t="shared" si="12"/>
        <v>#VALUE!</v>
      </c>
      <c r="N49" s="77" t="str">
        <f t="shared" si="13"/>
        <v>#VALUE!</v>
      </c>
      <c r="O49" s="77" t="str">
        <f t="shared" si="21"/>
        <v>#VALUE!</v>
      </c>
      <c r="P49" s="46" t="str">
        <f t="shared" si="19"/>
        <v>#VALUE!</v>
      </c>
      <c r="Q49" s="140"/>
      <c r="R49" s="77" t="str">
        <f t="shared" si="16"/>
        <v>#VALUE!</v>
      </c>
      <c r="AL49" s="49"/>
      <c r="AM49" s="49"/>
      <c r="AN49" s="49">
        <v>-0.5</v>
      </c>
      <c r="AO49" s="49">
        <v>-0.5</v>
      </c>
      <c r="AP49" s="49"/>
      <c r="AR49" s="127"/>
      <c r="BA49" s="127" t="str">
        <f>IFERROR(__xludf.DUMMYFUNCTION("SPLIT(AW49,""*"")"),"#VALUE!")</f>
        <v>#VALUE!</v>
      </c>
    </row>
    <row r="50">
      <c r="A50" s="73"/>
      <c r="B50" s="73"/>
      <c r="C50" s="73"/>
      <c r="D50" s="73"/>
      <c r="E50" s="73"/>
      <c r="F50" s="77"/>
      <c r="G50" s="77"/>
      <c r="H50" s="73"/>
      <c r="I50" s="77" t="str">
        <f t="shared" si="8"/>
        <v>#VALUE!</v>
      </c>
      <c r="J50" s="77" t="str">
        <f t="shared" si="9"/>
        <v>#DIV/0!</v>
      </c>
      <c r="K50" s="83" t="str">
        <f t="shared" si="10"/>
        <v>#VALUE!</v>
      </c>
      <c r="L50" s="83" t="str">
        <f t="shared" si="11"/>
        <v>#DIV/0!</v>
      </c>
      <c r="M50" s="77" t="str">
        <f t="shared" si="12"/>
        <v>#VALUE!</v>
      </c>
      <c r="N50" s="77" t="str">
        <f t="shared" si="13"/>
        <v>#VALUE!</v>
      </c>
      <c r="O50" s="77" t="str">
        <f t="shared" si="21"/>
        <v>#VALUE!</v>
      </c>
      <c r="P50" s="46" t="str">
        <f t="shared" si="19"/>
        <v>#VALUE!</v>
      </c>
      <c r="Q50" s="140"/>
      <c r="R50" s="77" t="str">
        <f t="shared" si="16"/>
        <v>#VALUE!</v>
      </c>
      <c r="AL50" s="49"/>
      <c r="AM50" s="49"/>
      <c r="AN50" s="49">
        <v>-0.5</v>
      </c>
      <c r="AO50" s="49">
        <v>-0.5</v>
      </c>
      <c r="AP50" s="49"/>
      <c r="AR50" s="127"/>
      <c r="BA50" s="127" t="str">
        <f>IFERROR(__xludf.DUMMYFUNCTION("SPLIT(AW50,""*"")"),"#VALUE!")</f>
        <v>#VALUE!</v>
      </c>
    </row>
    <row r="51">
      <c r="A51" s="73"/>
      <c r="B51" s="73"/>
      <c r="C51" s="73"/>
      <c r="D51" s="73"/>
      <c r="E51" s="73"/>
      <c r="F51" s="77"/>
      <c r="G51" s="77"/>
      <c r="H51" s="73"/>
      <c r="I51" s="77" t="str">
        <f t="shared" si="8"/>
        <v>#VALUE!</v>
      </c>
      <c r="J51" s="77" t="str">
        <f t="shared" si="9"/>
        <v>#DIV/0!</v>
      </c>
      <c r="K51" s="83" t="str">
        <f t="shared" si="10"/>
        <v>#VALUE!</v>
      </c>
      <c r="L51" s="83" t="str">
        <f t="shared" si="11"/>
        <v>#DIV/0!</v>
      </c>
      <c r="M51" s="77" t="str">
        <f t="shared" si="12"/>
        <v>#VALUE!</v>
      </c>
      <c r="N51" s="77" t="str">
        <f t="shared" si="13"/>
        <v>#VALUE!</v>
      </c>
      <c r="O51" s="77" t="str">
        <f t="shared" si="21"/>
        <v>#VALUE!</v>
      </c>
      <c r="P51" s="46" t="str">
        <f t="shared" si="19"/>
        <v>#VALUE!</v>
      </c>
      <c r="Q51" s="140"/>
      <c r="R51" s="77" t="str">
        <f t="shared" si="16"/>
        <v>#VALUE!</v>
      </c>
      <c r="AL51" s="49"/>
      <c r="AM51" s="49"/>
      <c r="AN51" s="49">
        <v>-0.5</v>
      </c>
      <c r="AO51" s="49">
        <v>-0.5</v>
      </c>
      <c r="AP51" s="49"/>
      <c r="AR51" s="127"/>
      <c r="BA51" s="127" t="str">
        <f>IFERROR(__xludf.DUMMYFUNCTION("SPLIT(AW51,""*"")"),"#VALUE!")</f>
        <v>#VALUE!</v>
      </c>
    </row>
    <row r="52">
      <c r="A52" s="73"/>
      <c r="B52" s="73"/>
      <c r="C52" s="73"/>
      <c r="D52" s="73"/>
      <c r="E52" s="73"/>
      <c r="F52" s="77"/>
      <c r="G52" s="77"/>
      <c r="H52" s="73"/>
      <c r="I52" s="77" t="str">
        <f t="shared" si="8"/>
        <v>#VALUE!</v>
      </c>
      <c r="J52" s="77" t="str">
        <f t="shared" si="9"/>
        <v>#DIV/0!</v>
      </c>
      <c r="K52" s="83" t="str">
        <f t="shared" si="10"/>
        <v>#VALUE!</v>
      </c>
      <c r="L52" s="83" t="str">
        <f t="shared" si="11"/>
        <v>#DIV/0!</v>
      </c>
      <c r="M52" s="77" t="str">
        <f t="shared" si="12"/>
        <v>#VALUE!</v>
      </c>
      <c r="N52" s="77" t="str">
        <f t="shared" si="13"/>
        <v>#VALUE!</v>
      </c>
      <c r="O52" s="77" t="str">
        <f t="shared" si="21"/>
        <v>#VALUE!</v>
      </c>
      <c r="P52" s="46" t="str">
        <f t="shared" si="19"/>
        <v>#VALUE!</v>
      </c>
      <c r="Q52" s="140"/>
      <c r="R52" s="77" t="str">
        <f t="shared" si="16"/>
        <v>#VALUE!</v>
      </c>
      <c r="AL52" s="49"/>
      <c r="AM52" s="49"/>
      <c r="AN52" s="49">
        <v>-0.5</v>
      </c>
      <c r="AO52" s="49">
        <v>-0.5</v>
      </c>
      <c r="AP52" s="49"/>
      <c r="AR52" s="127"/>
      <c r="BA52" s="127" t="str">
        <f>IFERROR(__xludf.DUMMYFUNCTION("SPLIT(AW52,""*"")"),"#VALUE!")</f>
        <v>#VALUE!</v>
      </c>
    </row>
    <row r="53">
      <c r="A53" s="73"/>
      <c r="B53" s="73"/>
      <c r="C53" s="73"/>
      <c r="D53" s="73"/>
      <c r="E53" s="73"/>
      <c r="F53" s="77"/>
      <c r="G53" s="77"/>
      <c r="H53" s="73"/>
      <c r="I53" s="77" t="str">
        <f t="shared" si="8"/>
        <v>#VALUE!</v>
      </c>
      <c r="J53" s="77" t="str">
        <f t="shared" si="9"/>
        <v>#DIV/0!</v>
      </c>
      <c r="K53" s="83" t="str">
        <f t="shared" si="10"/>
        <v>#VALUE!</v>
      </c>
      <c r="L53" s="83" t="str">
        <f t="shared" si="11"/>
        <v>#DIV/0!</v>
      </c>
      <c r="M53" s="77" t="str">
        <f t="shared" si="12"/>
        <v>#VALUE!</v>
      </c>
      <c r="N53" s="77" t="str">
        <f t="shared" si="13"/>
        <v>#VALUE!</v>
      </c>
      <c r="O53" s="77" t="str">
        <f t="shared" si="21"/>
        <v>#VALUE!</v>
      </c>
      <c r="P53" s="46" t="str">
        <f t="shared" si="19"/>
        <v>#VALUE!</v>
      </c>
      <c r="Q53" s="140"/>
      <c r="R53" s="77" t="str">
        <f t="shared" si="16"/>
        <v>#VALUE!</v>
      </c>
      <c r="AL53" s="49"/>
      <c r="AM53" s="49"/>
      <c r="AN53" s="49">
        <v>-0.5</v>
      </c>
      <c r="AO53" s="49">
        <v>-0.5</v>
      </c>
      <c r="AP53" s="49"/>
      <c r="AR53" s="127"/>
      <c r="BA53" s="127" t="str">
        <f>IFERROR(__xludf.DUMMYFUNCTION("SPLIT(AW53,""*"")"),"#VALUE!")</f>
        <v>#VALUE!</v>
      </c>
    </row>
    <row r="54">
      <c r="A54" s="73"/>
      <c r="B54" s="73"/>
      <c r="C54" s="73"/>
      <c r="D54" s="73"/>
      <c r="E54" s="73"/>
      <c r="F54" s="77"/>
      <c r="G54" s="77"/>
      <c r="H54" s="73"/>
      <c r="I54" s="77" t="str">
        <f t="shared" si="8"/>
        <v>#VALUE!</v>
      </c>
      <c r="J54" s="77" t="str">
        <f t="shared" si="9"/>
        <v>#DIV/0!</v>
      </c>
      <c r="K54" s="83" t="str">
        <f t="shared" si="10"/>
        <v>#VALUE!</v>
      </c>
      <c r="L54" s="83" t="str">
        <f t="shared" si="11"/>
        <v>#DIV/0!</v>
      </c>
      <c r="M54" s="77" t="str">
        <f t="shared" si="12"/>
        <v>#VALUE!</v>
      </c>
      <c r="N54" s="77" t="str">
        <f t="shared" si="13"/>
        <v>#VALUE!</v>
      </c>
      <c r="O54" s="77" t="str">
        <f t="shared" si="21"/>
        <v>#VALUE!</v>
      </c>
      <c r="P54" s="46" t="str">
        <f t="shared" si="19"/>
        <v>#VALUE!</v>
      </c>
      <c r="Q54" s="140"/>
      <c r="R54" s="77" t="str">
        <f t="shared" si="16"/>
        <v>#VALUE!</v>
      </c>
      <c r="AL54" s="49"/>
      <c r="AM54" s="49"/>
      <c r="AN54" s="49">
        <v>-0.5</v>
      </c>
      <c r="AO54" s="49">
        <v>-0.5</v>
      </c>
      <c r="AP54" s="49"/>
      <c r="AR54" s="127"/>
      <c r="BA54" s="127" t="str">
        <f>IFERROR(__xludf.DUMMYFUNCTION("SPLIT(AW54,""*"")"),"#VALUE!")</f>
        <v>#VALUE!</v>
      </c>
    </row>
    <row r="55">
      <c r="A55" s="73"/>
      <c r="B55" s="73"/>
      <c r="C55" s="73"/>
      <c r="D55" s="73"/>
      <c r="E55" s="73"/>
      <c r="F55" s="77"/>
      <c r="G55" s="77"/>
      <c r="H55" s="73"/>
      <c r="I55" s="77" t="str">
        <f t="shared" si="8"/>
        <v>#VALUE!</v>
      </c>
      <c r="J55" s="77" t="str">
        <f t="shared" si="9"/>
        <v>#DIV/0!</v>
      </c>
      <c r="K55" s="83" t="str">
        <f t="shared" si="10"/>
        <v>#VALUE!</v>
      </c>
      <c r="L55" s="83" t="str">
        <f t="shared" si="11"/>
        <v>#DIV/0!</v>
      </c>
      <c r="M55" s="77" t="str">
        <f t="shared" si="12"/>
        <v>#VALUE!</v>
      </c>
      <c r="N55" s="77" t="str">
        <f t="shared" si="13"/>
        <v>#VALUE!</v>
      </c>
      <c r="O55" s="77" t="str">
        <f t="shared" si="21"/>
        <v>#VALUE!</v>
      </c>
      <c r="P55" s="46" t="str">
        <f t="shared" si="19"/>
        <v>#VALUE!</v>
      </c>
      <c r="Q55" s="140"/>
      <c r="R55" s="77" t="str">
        <f t="shared" si="16"/>
        <v>#VALUE!</v>
      </c>
      <c r="AL55" s="49"/>
      <c r="AM55" s="49"/>
      <c r="AN55" s="49">
        <v>-0.5</v>
      </c>
      <c r="AO55" s="49">
        <v>-0.5</v>
      </c>
      <c r="AP55" s="49"/>
      <c r="AR55" s="127"/>
      <c r="BA55" s="127" t="str">
        <f>IFERROR(__xludf.DUMMYFUNCTION("SPLIT(AW55,""*"")"),"#VALUE!")</f>
        <v>#VALUE!</v>
      </c>
    </row>
    <row r="56">
      <c r="A56" s="73"/>
      <c r="B56" s="73"/>
      <c r="C56" s="73"/>
      <c r="D56" s="73"/>
      <c r="E56" s="73"/>
      <c r="F56" s="77"/>
      <c r="G56" s="77"/>
      <c r="H56" s="73"/>
      <c r="I56" s="77" t="str">
        <f t="shared" si="8"/>
        <v>#VALUE!</v>
      </c>
      <c r="J56" s="77" t="str">
        <f t="shared" si="9"/>
        <v>#DIV/0!</v>
      </c>
      <c r="K56" s="83" t="str">
        <f t="shared" si="10"/>
        <v>#VALUE!</v>
      </c>
      <c r="L56" s="83" t="str">
        <f t="shared" si="11"/>
        <v>#DIV/0!</v>
      </c>
      <c r="M56" s="77" t="str">
        <f t="shared" si="12"/>
        <v>#VALUE!</v>
      </c>
      <c r="N56" s="77" t="str">
        <f t="shared" si="13"/>
        <v>#VALUE!</v>
      </c>
      <c r="O56" s="77" t="str">
        <f t="shared" si="21"/>
        <v>#VALUE!</v>
      </c>
      <c r="P56" s="46" t="str">
        <f t="shared" si="19"/>
        <v>#VALUE!</v>
      </c>
      <c r="Q56" s="140"/>
      <c r="R56" s="77" t="str">
        <f t="shared" si="16"/>
        <v>#VALUE!</v>
      </c>
      <c r="AL56" s="49"/>
      <c r="AM56" s="49"/>
      <c r="AN56" s="49">
        <v>-0.5</v>
      </c>
      <c r="AO56" s="49">
        <v>-0.5</v>
      </c>
      <c r="AP56" s="49"/>
      <c r="AR56" s="127"/>
      <c r="BA56" s="127" t="str">
        <f>IFERROR(__xludf.DUMMYFUNCTION("SPLIT(AW56,""*"")"),"#VALUE!")</f>
        <v>#VALUE!</v>
      </c>
    </row>
    <row r="57">
      <c r="A57" s="73"/>
      <c r="B57" s="73"/>
      <c r="C57" s="73"/>
      <c r="D57" s="73"/>
      <c r="E57" s="73"/>
      <c r="F57" s="77"/>
      <c r="G57" s="77"/>
      <c r="H57" s="73"/>
      <c r="I57" s="77" t="str">
        <f t="shared" si="8"/>
        <v>#VALUE!</v>
      </c>
      <c r="J57" s="77" t="str">
        <f t="shared" si="9"/>
        <v>#DIV/0!</v>
      </c>
      <c r="K57" s="83" t="str">
        <f t="shared" si="10"/>
        <v>#VALUE!</v>
      </c>
      <c r="L57" s="83" t="str">
        <f t="shared" si="11"/>
        <v>#DIV/0!</v>
      </c>
      <c r="M57" s="77" t="str">
        <f t="shared" si="12"/>
        <v>#VALUE!</v>
      </c>
      <c r="N57" s="77" t="str">
        <f t="shared" si="13"/>
        <v>#VALUE!</v>
      </c>
      <c r="O57" s="77" t="str">
        <f t="shared" si="21"/>
        <v>#VALUE!</v>
      </c>
      <c r="P57" s="46" t="str">
        <f t="shared" si="19"/>
        <v>#VALUE!</v>
      </c>
      <c r="Q57" s="140"/>
      <c r="R57" s="77" t="str">
        <f t="shared" si="16"/>
        <v>#VALUE!</v>
      </c>
      <c r="AL57" s="49"/>
      <c r="AM57" s="49"/>
      <c r="AN57" s="49">
        <v>-0.5</v>
      </c>
      <c r="AO57" s="49">
        <v>-0.5</v>
      </c>
      <c r="AP57" s="49"/>
      <c r="AR57" s="127"/>
      <c r="BA57" s="127" t="str">
        <f>IFERROR(__xludf.DUMMYFUNCTION("SPLIT(AW57,""*"")"),"#VALUE!")</f>
        <v>#VALUE!</v>
      </c>
    </row>
    <row r="58">
      <c r="A58" s="73"/>
      <c r="B58" s="73"/>
      <c r="C58" s="73"/>
      <c r="D58" s="73"/>
      <c r="E58" s="73"/>
      <c r="F58" s="77"/>
      <c r="G58" s="77"/>
      <c r="H58" s="73"/>
      <c r="I58" s="77" t="str">
        <f t="shared" si="8"/>
        <v>#VALUE!</v>
      </c>
      <c r="J58" s="77" t="str">
        <f t="shared" si="9"/>
        <v>#DIV/0!</v>
      </c>
      <c r="K58" s="83" t="str">
        <f t="shared" si="10"/>
        <v>#VALUE!</v>
      </c>
      <c r="L58" s="83" t="str">
        <f t="shared" si="11"/>
        <v>#DIV/0!</v>
      </c>
      <c r="M58" s="77" t="str">
        <f t="shared" si="12"/>
        <v>#VALUE!</v>
      </c>
      <c r="N58" s="77" t="str">
        <f t="shared" si="13"/>
        <v>#VALUE!</v>
      </c>
      <c r="O58" s="77" t="str">
        <f t="shared" si="21"/>
        <v>#VALUE!</v>
      </c>
      <c r="P58" s="46" t="str">
        <f t="shared" si="19"/>
        <v>#VALUE!</v>
      </c>
      <c r="Q58" s="140"/>
      <c r="R58" s="77" t="str">
        <f t="shared" si="16"/>
        <v>#VALUE!</v>
      </c>
      <c r="AL58" s="49"/>
      <c r="AM58" s="49"/>
      <c r="AN58" s="49">
        <v>-0.5</v>
      </c>
      <c r="AO58" s="49">
        <v>-0.5</v>
      </c>
      <c r="AP58" s="49"/>
      <c r="AR58" s="127"/>
      <c r="BA58" s="127" t="str">
        <f>IFERROR(__xludf.DUMMYFUNCTION("SPLIT(AW58,""*"")"),"#VALUE!")</f>
        <v>#VALUE!</v>
      </c>
    </row>
    <row r="59">
      <c r="A59" s="73"/>
      <c r="B59" s="73"/>
      <c r="C59" s="73"/>
      <c r="D59" s="73"/>
      <c r="E59" s="73"/>
      <c r="F59" s="77"/>
      <c r="G59" s="77"/>
      <c r="H59" s="73"/>
      <c r="I59" s="77" t="str">
        <f t="shared" si="8"/>
        <v>#VALUE!</v>
      </c>
      <c r="J59" s="77" t="str">
        <f t="shared" si="9"/>
        <v>#DIV/0!</v>
      </c>
      <c r="K59" s="83" t="str">
        <f t="shared" si="10"/>
        <v>#VALUE!</v>
      </c>
      <c r="L59" s="83" t="str">
        <f t="shared" si="11"/>
        <v>#DIV/0!</v>
      </c>
      <c r="M59" s="77" t="str">
        <f t="shared" si="12"/>
        <v>#VALUE!</v>
      </c>
      <c r="N59" s="77" t="str">
        <f t="shared" si="13"/>
        <v>#VALUE!</v>
      </c>
      <c r="O59" s="77" t="str">
        <f t="shared" si="21"/>
        <v>#VALUE!</v>
      </c>
      <c r="P59" s="46" t="str">
        <f t="shared" si="19"/>
        <v>#VALUE!</v>
      </c>
      <c r="Q59" s="140"/>
      <c r="R59" s="77" t="str">
        <f t="shared" si="16"/>
        <v>#VALUE!</v>
      </c>
      <c r="AL59" s="49"/>
      <c r="AM59" s="49"/>
      <c r="AN59" s="49">
        <v>-0.5</v>
      </c>
      <c r="AO59" s="49">
        <v>-0.5</v>
      </c>
      <c r="AP59" s="49"/>
      <c r="AR59" s="127"/>
      <c r="BA59" s="127" t="str">
        <f>IFERROR(__xludf.DUMMYFUNCTION("SPLIT(AW59,""*"")"),"#VALUE!")</f>
        <v>#VALUE!</v>
      </c>
    </row>
    <row r="60">
      <c r="A60" s="73"/>
      <c r="B60" s="73"/>
      <c r="C60" s="73"/>
      <c r="D60" s="73"/>
      <c r="E60" s="73"/>
      <c r="F60" s="77"/>
      <c r="G60" s="77"/>
      <c r="H60" s="73"/>
      <c r="I60" s="77" t="str">
        <f t="shared" si="8"/>
        <v>#VALUE!</v>
      </c>
      <c r="J60" s="77" t="str">
        <f t="shared" si="9"/>
        <v>#DIV/0!</v>
      </c>
      <c r="K60" s="83" t="str">
        <f t="shared" si="10"/>
        <v>#VALUE!</v>
      </c>
      <c r="L60" s="83" t="str">
        <f t="shared" si="11"/>
        <v>#DIV/0!</v>
      </c>
      <c r="M60" s="77" t="str">
        <f t="shared" si="12"/>
        <v>#VALUE!</v>
      </c>
      <c r="N60" s="77" t="str">
        <f t="shared" si="13"/>
        <v>#VALUE!</v>
      </c>
      <c r="O60" s="77" t="str">
        <f t="shared" si="21"/>
        <v>#VALUE!</v>
      </c>
      <c r="P60" s="46" t="str">
        <f t="shared" si="19"/>
        <v>#VALUE!</v>
      </c>
      <c r="Q60" s="140"/>
      <c r="R60" s="77" t="str">
        <f t="shared" si="16"/>
        <v>#VALUE!</v>
      </c>
      <c r="AL60" s="49"/>
      <c r="AM60" s="49"/>
      <c r="AN60" s="49">
        <v>-0.5</v>
      </c>
      <c r="AO60" s="49">
        <v>-0.5</v>
      </c>
      <c r="AP60" s="49"/>
      <c r="AR60" s="127"/>
      <c r="BA60" s="127" t="str">
        <f>IFERROR(__xludf.DUMMYFUNCTION("SPLIT(AW60,""*"")"),"#VALUE!")</f>
        <v>#VALUE!</v>
      </c>
    </row>
    <row r="61">
      <c r="A61" s="73"/>
      <c r="B61" s="73"/>
      <c r="C61" s="73"/>
      <c r="D61" s="73"/>
      <c r="E61" s="73"/>
      <c r="F61" s="77"/>
      <c r="G61" s="77"/>
      <c r="H61" s="73"/>
      <c r="I61" s="77" t="str">
        <f t="shared" si="8"/>
        <v>#VALUE!</v>
      </c>
      <c r="J61" s="77" t="str">
        <f t="shared" si="9"/>
        <v>#DIV/0!</v>
      </c>
      <c r="K61" s="83" t="str">
        <f t="shared" si="10"/>
        <v>#VALUE!</v>
      </c>
      <c r="L61" s="83" t="str">
        <f t="shared" si="11"/>
        <v>#DIV/0!</v>
      </c>
      <c r="M61" s="77" t="str">
        <f t="shared" si="12"/>
        <v>#VALUE!</v>
      </c>
      <c r="N61" s="77" t="str">
        <f t="shared" si="13"/>
        <v>#VALUE!</v>
      </c>
      <c r="O61" s="77" t="str">
        <f t="shared" si="21"/>
        <v>#VALUE!</v>
      </c>
      <c r="P61" s="46" t="str">
        <f t="shared" si="19"/>
        <v>#VALUE!</v>
      </c>
      <c r="Q61" s="140"/>
      <c r="R61" s="77" t="str">
        <f t="shared" si="16"/>
        <v>#VALUE!</v>
      </c>
      <c r="AL61" s="49"/>
      <c r="AM61" s="49"/>
      <c r="AN61" s="49">
        <v>-0.5</v>
      </c>
      <c r="AO61" s="49">
        <v>-0.5</v>
      </c>
      <c r="AP61" s="49"/>
      <c r="AR61" s="127"/>
      <c r="BA61" s="127" t="str">
        <f>IFERROR(__xludf.DUMMYFUNCTION("SPLIT(AW61,""*"")"),"#VALUE!")</f>
        <v>#VALUE!</v>
      </c>
    </row>
    <row r="62">
      <c r="A62" s="73"/>
      <c r="B62" s="73"/>
      <c r="C62" s="73"/>
      <c r="D62" s="73"/>
      <c r="E62" s="73"/>
      <c r="F62" s="77"/>
      <c r="G62" s="77"/>
      <c r="H62" s="73"/>
      <c r="I62" s="77" t="str">
        <f t="shared" si="8"/>
        <v>#VALUE!</v>
      </c>
      <c r="J62" s="77" t="str">
        <f t="shared" si="9"/>
        <v>#DIV/0!</v>
      </c>
      <c r="K62" s="83" t="str">
        <f t="shared" si="10"/>
        <v>#VALUE!</v>
      </c>
      <c r="L62" s="83" t="str">
        <f t="shared" si="11"/>
        <v>#DIV/0!</v>
      </c>
      <c r="M62" s="77" t="str">
        <f t="shared" si="12"/>
        <v>#VALUE!</v>
      </c>
      <c r="N62" s="77" t="str">
        <f t="shared" si="13"/>
        <v>#VALUE!</v>
      </c>
      <c r="O62" s="77" t="str">
        <f t="shared" si="21"/>
        <v>#VALUE!</v>
      </c>
      <c r="P62" s="46" t="str">
        <f t="shared" si="19"/>
        <v>#VALUE!</v>
      </c>
      <c r="Q62" s="140"/>
      <c r="R62" s="77" t="str">
        <f t="shared" si="16"/>
        <v>#VALUE!</v>
      </c>
      <c r="AL62" s="49"/>
      <c r="AM62" s="49"/>
      <c r="AN62" s="49">
        <v>-0.5</v>
      </c>
      <c r="AO62" s="49">
        <v>-0.5</v>
      </c>
      <c r="AP62" s="49"/>
      <c r="AR62" s="127"/>
      <c r="BA62" s="127" t="str">
        <f>IFERROR(__xludf.DUMMYFUNCTION("SPLIT(AW62,""*"")"),"#VALUE!")</f>
        <v>#VALUE!</v>
      </c>
    </row>
    <row r="63">
      <c r="A63" s="73"/>
      <c r="B63" s="73"/>
      <c r="C63" s="73"/>
      <c r="D63" s="73"/>
      <c r="E63" s="73"/>
      <c r="F63" s="77"/>
      <c r="G63" s="77"/>
      <c r="H63" s="73"/>
      <c r="I63" s="77" t="str">
        <f t="shared" si="8"/>
        <v>#VALUE!</v>
      </c>
      <c r="J63" s="77" t="str">
        <f t="shared" si="9"/>
        <v>#DIV/0!</v>
      </c>
      <c r="K63" s="83" t="str">
        <f t="shared" si="10"/>
        <v>#VALUE!</v>
      </c>
      <c r="L63" s="83" t="str">
        <f t="shared" si="11"/>
        <v>#DIV/0!</v>
      </c>
      <c r="M63" s="77" t="str">
        <f t="shared" si="12"/>
        <v>#VALUE!</v>
      </c>
      <c r="N63" s="77" t="str">
        <f t="shared" si="13"/>
        <v>#VALUE!</v>
      </c>
      <c r="O63" s="77" t="str">
        <f t="shared" si="21"/>
        <v>#VALUE!</v>
      </c>
      <c r="P63" s="46" t="str">
        <f t="shared" si="19"/>
        <v>#VALUE!</v>
      </c>
      <c r="Q63" s="140"/>
      <c r="R63" s="77" t="str">
        <f t="shared" si="16"/>
        <v>#VALUE!</v>
      </c>
      <c r="AL63" s="49"/>
      <c r="AM63" s="49"/>
      <c r="AN63" s="49">
        <v>-0.5</v>
      </c>
      <c r="AO63" s="49">
        <v>-0.5</v>
      </c>
      <c r="AP63" s="49"/>
      <c r="AR63" s="127"/>
      <c r="BA63" s="127" t="str">
        <f>IFERROR(__xludf.DUMMYFUNCTION("SPLIT(AW63,""*"")"),"#VALUE!")</f>
        <v>#VALUE!</v>
      </c>
    </row>
    <row r="64">
      <c r="A64" s="73"/>
      <c r="B64" s="73"/>
      <c r="C64" s="73"/>
      <c r="D64" s="73"/>
      <c r="E64" s="73"/>
      <c r="F64" s="77"/>
      <c r="G64" s="77"/>
      <c r="H64" s="73"/>
      <c r="I64" s="77" t="str">
        <f t="shared" si="8"/>
        <v>#VALUE!</v>
      </c>
      <c r="J64" s="77" t="str">
        <f t="shared" si="9"/>
        <v>#DIV/0!</v>
      </c>
      <c r="K64" s="83" t="str">
        <f t="shared" si="10"/>
        <v>#VALUE!</v>
      </c>
      <c r="L64" s="83" t="str">
        <f t="shared" si="11"/>
        <v>#DIV/0!</v>
      </c>
      <c r="M64" s="77" t="str">
        <f t="shared" si="12"/>
        <v>#VALUE!</v>
      </c>
      <c r="N64" s="77" t="str">
        <f t="shared" si="13"/>
        <v>#VALUE!</v>
      </c>
      <c r="O64" s="77" t="str">
        <f t="shared" si="21"/>
        <v>#VALUE!</v>
      </c>
      <c r="P64" s="46" t="str">
        <f t="shared" si="19"/>
        <v>#VALUE!</v>
      </c>
      <c r="Q64" s="140"/>
      <c r="R64" s="77" t="str">
        <f t="shared" si="16"/>
        <v>#VALUE!</v>
      </c>
      <c r="AL64" s="49"/>
      <c r="AM64" s="49"/>
      <c r="AN64" s="49">
        <v>-0.5</v>
      </c>
      <c r="AO64" s="49">
        <v>-0.5</v>
      </c>
      <c r="AP64" s="49"/>
      <c r="AR64" s="127"/>
      <c r="BA64" s="127" t="str">
        <f>IFERROR(__xludf.DUMMYFUNCTION("SPLIT(AW64,""*"")"),"#VALUE!")</f>
        <v>#VALUE!</v>
      </c>
    </row>
    <row r="65">
      <c r="A65" s="73"/>
      <c r="B65" s="73"/>
      <c r="C65" s="73"/>
      <c r="D65" s="73"/>
      <c r="E65" s="73"/>
      <c r="F65" s="77"/>
      <c r="G65" s="77"/>
      <c r="H65" s="73"/>
      <c r="I65" s="77" t="str">
        <f t="shared" si="8"/>
        <v>#VALUE!</v>
      </c>
      <c r="J65" s="77" t="str">
        <f t="shared" si="9"/>
        <v>#DIV/0!</v>
      </c>
      <c r="K65" s="83" t="str">
        <f t="shared" si="10"/>
        <v>#VALUE!</v>
      </c>
      <c r="L65" s="83" t="str">
        <f t="shared" si="11"/>
        <v>#DIV/0!</v>
      </c>
      <c r="M65" s="77" t="str">
        <f t="shared" si="12"/>
        <v>#VALUE!</v>
      </c>
      <c r="N65" s="77" t="str">
        <f t="shared" si="13"/>
        <v>#VALUE!</v>
      </c>
      <c r="O65" s="77" t="str">
        <f t="shared" si="21"/>
        <v>#VALUE!</v>
      </c>
      <c r="P65" s="46" t="str">
        <f t="shared" si="19"/>
        <v>#VALUE!</v>
      </c>
      <c r="Q65" s="140"/>
      <c r="R65" s="77" t="str">
        <f t="shared" si="16"/>
        <v>#VALUE!</v>
      </c>
      <c r="AL65" s="49"/>
      <c r="AM65" s="49"/>
      <c r="AN65" s="49">
        <v>-0.5</v>
      </c>
      <c r="AO65" s="49">
        <v>-0.5</v>
      </c>
      <c r="AP65" s="49"/>
      <c r="AR65" s="127"/>
      <c r="BA65" s="127" t="str">
        <f>IFERROR(__xludf.DUMMYFUNCTION("SPLIT(AW65,""*"")"),"#VALUE!")</f>
        <v>#VALUE!</v>
      </c>
    </row>
    <row r="66">
      <c r="A66" s="73"/>
      <c r="B66" s="73"/>
      <c r="C66" s="73"/>
      <c r="D66" s="73"/>
      <c r="E66" s="73"/>
      <c r="F66" s="77"/>
      <c r="G66" s="77"/>
      <c r="H66" s="73"/>
      <c r="I66" s="77" t="str">
        <f t="shared" si="8"/>
        <v>#VALUE!</v>
      </c>
      <c r="J66" s="77" t="str">
        <f t="shared" si="9"/>
        <v>#DIV/0!</v>
      </c>
      <c r="K66" s="83" t="str">
        <f t="shared" si="10"/>
        <v>#VALUE!</v>
      </c>
      <c r="L66" s="83" t="str">
        <f t="shared" si="11"/>
        <v>#DIV/0!</v>
      </c>
      <c r="M66" s="77" t="str">
        <f t="shared" si="12"/>
        <v>#VALUE!</v>
      </c>
      <c r="N66" s="77" t="str">
        <f t="shared" si="13"/>
        <v>#VALUE!</v>
      </c>
      <c r="O66" s="77" t="str">
        <f t="shared" si="21"/>
        <v>#VALUE!</v>
      </c>
      <c r="P66" s="46" t="str">
        <f t="shared" si="19"/>
        <v>#VALUE!</v>
      </c>
      <c r="Q66" s="140"/>
      <c r="R66" s="77" t="str">
        <f t="shared" si="16"/>
        <v>#VALUE!</v>
      </c>
      <c r="AL66" s="49"/>
      <c r="AM66" s="49"/>
      <c r="AN66" s="49">
        <v>-0.5</v>
      </c>
      <c r="AO66" s="49">
        <v>-0.5</v>
      </c>
      <c r="AP66" s="49"/>
      <c r="AR66" s="127"/>
      <c r="BA66" s="127" t="str">
        <f>IFERROR(__xludf.DUMMYFUNCTION("SPLIT(AW66,""*"")"),"#VALUE!")</f>
        <v>#VALUE!</v>
      </c>
    </row>
    <row r="67">
      <c r="A67" s="73"/>
      <c r="B67" s="73"/>
      <c r="C67" s="73"/>
      <c r="D67" s="73"/>
      <c r="E67" s="73"/>
      <c r="F67" s="77"/>
      <c r="G67" s="77"/>
      <c r="H67" s="73"/>
      <c r="I67" s="77" t="str">
        <f t="shared" si="8"/>
        <v>#VALUE!</v>
      </c>
      <c r="J67" s="77" t="str">
        <f t="shared" si="9"/>
        <v>#DIV/0!</v>
      </c>
      <c r="K67" s="83" t="str">
        <f t="shared" si="10"/>
        <v>#VALUE!</v>
      </c>
      <c r="L67" s="83" t="str">
        <f t="shared" si="11"/>
        <v>#DIV/0!</v>
      </c>
      <c r="M67" s="77" t="str">
        <f t="shared" si="12"/>
        <v>#VALUE!</v>
      </c>
      <c r="N67" s="77" t="str">
        <f t="shared" si="13"/>
        <v>#VALUE!</v>
      </c>
      <c r="O67" s="77" t="str">
        <f t="shared" si="21"/>
        <v>#VALUE!</v>
      </c>
      <c r="P67" s="46" t="str">
        <f t="shared" si="19"/>
        <v>#VALUE!</v>
      </c>
      <c r="Q67" s="140"/>
      <c r="R67" s="77" t="str">
        <f t="shared" si="16"/>
        <v>#VALUE!</v>
      </c>
      <c r="AL67" s="49"/>
      <c r="AM67" s="49"/>
      <c r="AN67" s="49">
        <v>-0.5</v>
      </c>
      <c r="AO67" s="49">
        <v>-0.5</v>
      </c>
      <c r="AP67" s="49"/>
      <c r="AR67" s="127"/>
      <c r="BA67" s="127" t="str">
        <f>IFERROR(__xludf.DUMMYFUNCTION("SPLIT(AW67,""*"")"),"#VALUE!")</f>
        <v>#VALUE!</v>
      </c>
    </row>
    <row r="68">
      <c r="A68" s="73"/>
      <c r="B68" s="73"/>
      <c r="C68" s="73"/>
      <c r="D68" s="73"/>
      <c r="E68" s="73"/>
      <c r="F68" s="77"/>
      <c r="G68" s="77"/>
      <c r="H68" s="73"/>
      <c r="I68" s="77" t="str">
        <f t="shared" si="8"/>
        <v>#VALUE!</v>
      </c>
      <c r="J68" s="77" t="str">
        <f t="shared" si="9"/>
        <v>#DIV/0!</v>
      </c>
      <c r="K68" s="83" t="str">
        <f t="shared" si="10"/>
        <v>#VALUE!</v>
      </c>
      <c r="L68" s="83" t="str">
        <f t="shared" si="11"/>
        <v>#DIV/0!</v>
      </c>
      <c r="M68" s="77" t="str">
        <f t="shared" si="12"/>
        <v>#VALUE!</v>
      </c>
      <c r="N68" s="77" t="str">
        <f t="shared" si="13"/>
        <v>#VALUE!</v>
      </c>
      <c r="O68" s="77" t="str">
        <f t="shared" si="21"/>
        <v>#VALUE!</v>
      </c>
      <c r="P68" s="46" t="str">
        <f t="shared" si="19"/>
        <v>#VALUE!</v>
      </c>
      <c r="Q68" s="140"/>
      <c r="R68" s="77" t="str">
        <f t="shared" si="16"/>
        <v>#VALUE!</v>
      </c>
      <c r="AL68" s="49"/>
      <c r="AM68" s="49"/>
      <c r="AN68" s="49">
        <v>-0.5</v>
      </c>
      <c r="AO68" s="49">
        <v>-0.5</v>
      </c>
      <c r="AP68" s="49"/>
      <c r="AR68" s="127"/>
      <c r="BA68" s="127" t="str">
        <f>IFERROR(__xludf.DUMMYFUNCTION("SPLIT(AW68,""*"")"),"#VALUE!")</f>
        <v>#VALUE!</v>
      </c>
    </row>
    <row r="69">
      <c r="A69" s="73"/>
      <c r="B69" s="73"/>
      <c r="C69" s="73"/>
      <c r="D69" s="73"/>
      <c r="E69" s="73"/>
      <c r="F69" s="77"/>
      <c r="G69" s="77"/>
      <c r="H69" s="73"/>
      <c r="I69" s="77" t="str">
        <f t="shared" si="8"/>
        <v>#VALUE!</v>
      </c>
      <c r="J69" s="77" t="str">
        <f t="shared" si="9"/>
        <v>#DIV/0!</v>
      </c>
      <c r="K69" s="83" t="str">
        <f t="shared" si="10"/>
        <v>#VALUE!</v>
      </c>
      <c r="L69" s="83" t="str">
        <f t="shared" si="11"/>
        <v>#DIV/0!</v>
      </c>
      <c r="M69" s="77" t="str">
        <f t="shared" si="12"/>
        <v>#VALUE!</v>
      </c>
      <c r="N69" s="77" t="str">
        <f t="shared" si="13"/>
        <v>#VALUE!</v>
      </c>
      <c r="O69" s="77" t="str">
        <f t="shared" si="21"/>
        <v>#VALUE!</v>
      </c>
      <c r="P69" s="46" t="str">
        <f t="shared" si="19"/>
        <v>#VALUE!</v>
      </c>
      <c r="Q69" s="140"/>
      <c r="R69" s="77" t="str">
        <f t="shared" si="16"/>
        <v>#VALUE!</v>
      </c>
      <c r="AL69" s="49"/>
      <c r="AM69" s="49"/>
      <c r="AN69" s="49">
        <v>-0.5</v>
      </c>
      <c r="AO69" s="49">
        <v>-0.5</v>
      </c>
      <c r="AP69" s="49"/>
      <c r="AR69" s="127"/>
      <c r="BA69" s="127" t="str">
        <f>IFERROR(__xludf.DUMMYFUNCTION("SPLIT(AW69,""*"")"),"#VALUE!")</f>
        <v>#VALUE!</v>
      </c>
    </row>
    <row r="70">
      <c r="F70" s="77"/>
      <c r="G70" s="77"/>
      <c r="R70" s="223"/>
      <c r="AL70" s="49"/>
      <c r="AM70" s="49"/>
      <c r="AN70" s="49">
        <v>-0.5</v>
      </c>
      <c r="AO70" s="49">
        <v>-0.5</v>
      </c>
      <c r="AP70" s="49"/>
      <c r="AR70" s="127"/>
      <c r="BA70" s="127" t="str">
        <f>IFERROR(__xludf.DUMMYFUNCTION("SPLIT(AW70,""*"")"),"#VALUE!")</f>
        <v>#VALUE!</v>
      </c>
    </row>
    <row r="71">
      <c r="F71" s="77"/>
      <c r="G71" s="77"/>
      <c r="R71" s="223"/>
      <c r="AL71" s="49"/>
      <c r="AM71" s="49"/>
      <c r="AN71" s="49">
        <v>-0.5</v>
      </c>
      <c r="AO71" s="49">
        <v>-0.5</v>
      </c>
      <c r="AP71" s="49"/>
      <c r="AR71" s="127"/>
      <c r="BA71" s="127" t="str">
        <f>IFERROR(__xludf.DUMMYFUNCTION("SPLIT(AW71,""*"")"),"#VALUE!")</f>
        <v>#VALUE!</v>
      </c>
    </row>
    <row r="72">
      <c r="F72" s="77"/>
      <c r="G72" s="77"/>
      <c r="R72" s="223"/>
      <c r="AL72" s="49"/>
      <c r="AM72" s="49"/>
      <c r="AN72" s="49">
        <v>-0.5</v>
      </c>
      <c r="AO72" s="49">
        <v>-0.5</v>
      </c>
      <c r="AP72" s="49"/>
      <c r="AR72" s="127"/>
      <c r="BA72" s="127" t="str">
        <f>IFERROR(__xludf.DUMMYFUNCTION("SPLIT(AW72,""*"")"),"#VALUE!")</f>
        <v>#VALUE!</v>
      </c>
    </row>
    <row r="73">
      <c r="F73" s="77"/>
      <c r="G73" s="77"/>
      <c r="R73" s="223"/>
      <c r="AL73" s="49"/>
      <c r="AM73" s="49"/>
      <c r="AN73" s="49">
        <v>-0.5</v>
      </c>
      <c r="AO73" s="49">
        <v>-0.5</v>
      </c>
      <c r="AP73" s="49"/>
      <c r="AR73" s="127"/>
      <c r="BA73" s="127" t="str">
        <f>IFERROR(__xludf.DUMMYFUNCTION("SPLIT(AW73,""*"")"),"#VALUE!")</f>
        <v>#VALUE!</v>
      </c>
    </row>
    <row r="74">
      <c r="F74" s="77"/>
      <c r="G74" s="77"/>
      <c r="R74" s="223"/>
      <c r="AL74" s="49"/>
      <c r="AM74" s="49"/>
      <c r="AN74" s="49">
        <v>-0.5</v>
      </c>
      <c r="AO74" s="49">
        <v>-0.5</v>
      </c>
      <c r="AP74" s="49"/>
      <c r="AR74" s="127"/>
      <c r="BA74" s="127" t="str">
        <f>IFERROR(__xludf.DUMMYFUNCTION("SPLIT(AW74,""*"")"),"#VALUE!")</f>
        <v>#VALUE!</v>
      </c>
    </row>
    <row r="75">
      <c r="F75" s="77"/>
      <c r="G75" s="77"/>
      <c r="R75" s="223"/>
      <c r="AL75" s="49"/>
      <c r="AM75" s="49"/>
      <c r="AN75" s="49">
        <v>-0.5</v>
      </c>
      <c r="AO75" s="49">
        <v>-0.5</v>
      </c>
      <c r="AP75" s="49"/>
      <c r="AR75" s="127"/>
      <c r="BA75" s="127" t="str">
        <f>IFERROR(__xludf.DUMMYFUNCTION("SPLIT(AW75,""*"")"),"#VALUE!")</f>
        <v>#VALUE!</v>
      </c>
    </row>
    <row r="76">
      <c r="F76" s="77"/>
      <c r="G76" s="77"/>
      <c r="R76" s="223"/>
      <c r="AL76" s="49"/>
      <c r="AM76" s="49"/>
      <c r="AN76" s="49">
        <v>-0.5</v>
      </c>
      <c r="AO76" s="49">
        <v>-0.5</v>
      </c>
      <c r="AP76" s="49"/>
      <c r="AR76" s="127"/>
      <c r="BA76" s="127" t="str">
        <f>IFERROR(__xludf.DUMMYFUNCTION("SPLIT(AW76,""*"")"),"#VALUE!")</f>
        <v>#VALUE!</v>
      </c>
    </row>
    <row r="77">
      <c r="F77" s="77"/>
      <c r="G77" s="77"/>
      <c r="R77" s="223"/>
      <c r="AL77" s="49"/>
      <c r="AM77" s="49"/>
      <c r="AN77" s="49">
        <v>-0.5</v>
      </c>
      <c r="AO77" s="49">
        <v>-0.5</v>
      </c>
      <c r="AP77" s="49"/>
      <c r="AR77" s="127"/>
      <c r="BA77" s="127" t="str">
        <f>IFERROR(__xludf.DUMMYFUNCTION("SPLIT(AW77,""*"")"),"#VALUE!")</f>
        <v>#VALUE!</v>
      </c>
    </row>
    <row r="78">
      <c r="F78" s="77"/>
      <c r="G78" s="77"/>
      <c r="R78" s="223"/>
      <c r="AL78" s="49"/>
      <c r="AM78" s="49"/>
      <c r="AN78" s="49">
        <v>-0.5</v>
      </c>
      <c r="AO78" s="49">
        <v>-0.5</v>
      </c>
      <c r="AP78" s="49"/>
      <c r="AR78" s="127"/>
      <c r="BA78" s="127" t="str">
        <f>IFERROR(__xludf.DUMMYFUNCTION("SPLIT(AW78,""*"")"),"#VALUE!")</f>
        <v>#VALUE!</v>
      </c>
    </row>
    <row r="79">
      <c r="F79" s="77"/>
      <c r="G79" s="77"/>
      <c r="R79" s="223"/>
      <c r="AL79" s="49"/>
      <c r="AM79" s="49"/>
      <c r="AN79" s="49">
        <v>-0.5</v>
      </c>
      <c r="AO79" s="49">
        <v>-0.5</v>
      </c>
      <c r="AP79" s="49"/>
      <c r="AR79" s="127"/>
      <c r="BA79" s="127" t="str">
        <f>IFERROR(__xludf.DUMMYFUNCTION("SPLIT(AW79,""*"")"),"#VALUE!")</f>
        <v>#VALUE!</v>
      </c>
    </row>
    <row r="80">
      <c r="F80" s="77"/>
      <c r="G80" s="77"/>
      <c r="R80" s="223"/>
      <c r="AL80" s="49"/>
      <c r="AM80" s="49"/>
      <c r="AN80" s="49">
        <v>-0.5</v>
      </c>
      <c r="AO80" s="49">
        <v>-0.5</v>
      </c>
      <c r="AP80" s="49"/>
      <c r="AR80" s="127"/>
      <c r="BA80" s="127" t="str">
        <f>IFERROR(__xludf.DUMMYFUNCTION("SPLIT(AW80,""*"")"),"#VALUE!")</f>
        <v>#VALUE!</v>
      </c>
    </row>
    <row r="81">
      <c r="F81" s="77"/>
      <c r="G81" s="77"/>
      <c r="R81" s="223"/>
      <c r="AL81" s="49"/>
      <c r="AM81" s="49"/>
      <c r="AN81" s="49">
        <v>-0.5</v>
      </c>
      <c r="AO81" s="49">
        <v>-0.5</v>
      </c>
      <c r="AP81" s="49"/>
      <c r="AR81" s="127"/>
      <c r="BA81" s="127" t="str">
        <f>IFERROR(__xludf.DUMMYFUNCTION("SPLIT(AW81,""*"")"),"#VALUE!")</f>
        <v>#VALUE!</v>
      </c>
    </row>
    <row r="82">
      <c r="F82" s="77"/>
      <c r="G82" s="77"/>
      <c r="R82" s="223"/>
      <c r="AL82" s="49"/>
      <c r="AM82" s="49"/>
      <c r="AN82" s="49">
        <v>-0.5</v>
      </c>
      <c r="AO82" s="49">
        <v>-0.5</v>
      </c>
      <c r="AP82" s="49"/>
      <c r="AR82" s="127"/>
      <c r="BA82" s="127" t="str">
        <f>IFERROR(__xludf.DUMMYFUNCTION("SPLIT(AW82,""*"")"),"#VALUE!")</f>
        <v>#VALUE!</v>
      </c>
    </row>
    <row r="83">
      <c r="F83" s="77"/>
      <c r="G83" s="77"/>
      <c r="R83" s="223"/>
      <c r="AL83" s="49"/>
      <c r="AM83" s="49"/>
      <c r="AN83" s="49">
        <v>-0.5</v>
      </c>
      <c r="AO83" s="49">
        <v>-0.5</v>
      </c>
      <c r="AP83" s="49"/>
      <c r="AR83" s="127"/>
      <c r="BA83" s="127" t="str">
        <f>IFERROR(__xludf.DUMMYFUNCTION("SPLIT(AW83,""*"")"),"#VALUE!")</f>
        <v>#VALUE!</v>
      </c>
    </row>
    <row r="84">
      <c r="F84" s="77"/>
      <c r="G84" s="77"/>
      <c r="R84" s="223"/>
      <c r="AL84" s="49"/>
      <c r="AM84" s="49"/>
      <c r="AN84" s="49">
        <v>-0.5</v>
      </c>
      <c r="AO84" s="49">
        <v>-0.5</v>
      </c>
      <c r="AP84" s="49"/>
      <c r="AR84" s="127"/>
      <c r="BA84" s="127" t="str">
        <f>IFERROR(__xludf.DUMMYFUNCTION("SPLIT(AW84,""*"")"),"#VALUE!")</f>
        <v>#VALUE!</v>
      </c>
    </row>
    <row r="85">
      <c r="F85" s="77"/>
      <c r="G85" s="77"/>
      <c r="R85" s="223"/>
      <c r="AL85" s="49"/>
      <c r="AM85" s="49"/>
      <c r="AN85" s="49">
        <v>-0.5</v>
      </c>
      <c r="AO85" s="49">
        <v>-0.5</v>
      </c>
      <c r="AP85" s="49"/>
      <c r="AR85" s="127"/>
      <c r="BA85" s="127" t="str">
        <f>IFERROR(__xludf.DUMMYFUNCTION("SPLIT(AW85,""*"")"),"#VALUE!")</f>
        <v>#VALUE!</v>
      </c>
    </row>
    <row r="86">
      <c r="F86" s="77"/>
      <c r="G86" s="77"/>
      <c r="R86" s="223"/>
      <c r="AL86" s="49"/>
      <c r="AM86" s="49"/>
      <c r="AN86" s="49">
        <v>-0.5</v>
      </c>
      <c r="AO86" s="49">
        <v>-0.5</v>
      </c>
      <c r="AP86" s="49"/>
      <c r="AR86" s="127"/>
      <c r="BA86" s="127" t="str">
        <f>IFERROR(__xludf.DUMMYFUNCTION("SPLIT(AW86,""*"")"),"#VALUE!")</f>
        <v>#VALUE!</v>
      </c>
    </row>
    <row r="87">
      <c r="F87" s="77"/>
      <c r="G87" s="77"/>
      <c r="R87" s="223"/>
      <c r="AL87" s="49"/>
      <c r="AM87" s="49"/>
      <c r="AN87" s="49">
        <v>-0.5</v>
      </c>
      <c r="AO87" s="49">
        <v>-0.5</v>
      </c>
      <c r="AP87" s="49"/>
      <c r="AR87" s="127"/>
      <c r="BA87" s="127" t="str">
        <f>IFERROR(__xludf.DUMMYFUNCTION("SPLIT(AW87,""*"")"),"#VALUE!")</f>
        <v>#VALUE!</v>
      </c>
    </row>
    <row r="88">
      <c r="F88" s="77"/>
      <c r="G88" s="77"/>
      <c r="R88" s="223"/>
      <c r="AL88" s="49"/>
      <c r="AM88" s="49"/>
      <c r="AN88" s="49">
        <v>-0.5</v>
      </c>
      <c r="AO88" s="49">
        <v>-0.5</v>
      </c>
      <c r="AP88" s="49"/>
      <c r="AR88" s="127"/>
      <c r="BA88" s="127" t="str">
        <f>IFERROR(__xludf.DUMMYFUNCTION("SPLIT(AW88,""*"")"),"#VALUE!")</f>
        <v>#VALUE!</v>
      </c>
    </row>
    <row r="89">
      <c r="F89" s="77"/>
      <c r="G89" s="77"/>
      <c r="R89" s="223"/>
      <c r="AL89" s="49"/>
      <c r="AM89" s="49"/>
      <c r="AN89" s="49">
        <v>-0.5</v>
      </c>
      <c r="AO89" s="49">
        <v>-0.5</v>
      </c>
      <c r="AP89" s="49"/>
      <c r="AR89" s="127"/>
      <c r="BA89" s="127" t="str">
        <f>IFERROR(__xludf.DUMMYFUNCTION("SPLIT(AW89,""*"")"),"#VALUE!")</f>
        <v>#VALUE!</v>
      </c>
    </row>
    <row r="90">
      <c r="F90" s="77"/>
      <c r="G90" s="77"/>
      <c r="R90" s="223"/>
      <c r="AL90" s="49"/>
      <c r="AM90" s="49"/>
      <c r="AN90" s="49">
        <v>-0.5</v>
      </c>
      <c r="AO90" s="49">
        <v>-0.5</v>
      </c>
      <c r="AP90" s="49"/>
      <c r="AR90" s="127"/>
      <c r="BA90" s="127" t="str">
        <f>IFERROR(__xludf.DUMMYFUNCTION("SPLIT(AW90,""*"")"),"#VALUE!")</f>
        <v>#VALUE!</v>
      </c>
    </row>
    <row r="91">
      <c r="F91" s="77"/>
      <c r="G91" s="77"/>
      <c r="R91" s="223"/>
      <c r="AL91" s="49"/>
      <c r="AM91" s="49"/>
      <c r="AN91" s="49">
        <v>-0.5</v>
      </c>
      <c r="AO91" s="49">
        <v>-0.5</v>
      </c>
      <c r="AP91" s="49"/>
      <c r="AR91" s="127">
        <f>IFERROR(__xludf.DUMMYFUNCTION("SPLIT(AN91,""*"")"),-0.5)</f>
        <v>-0.5</v>
      </c>
      <c r="BA91" s="127" t="str">
        <f>IFERROR(__xludf.DUMMYFUNCTION("SPLIT(AW91,""*"")"),"#VALUE!")</f>
        <v>#VALUE!</v>
      </c>
    </row>
    <row r="92">
      <c r="F92" s="77"/>
      <c r="G92" s="77"/>
      <c r="R92" s="223"/>
      <c r="AL92" s="49"/>
      <c r="AM92" s="49"/>
      <c r="AN92" s="49">
        <v>-0.5</v>
      </c>
      <c r="AO92" s="49">
        <v>-0.5</v>
      </c>
      <c r="AP92" s="49"/>
      <c r="AR92" s="127">
        <f>IFERROR(__xludf.DUMMYFUNCTION("SPLIT(AN92,""*"")"),-0.5)</f>
        <v>-0.5</v>
      </c>
      <c r="BA92" s="127" t="str">
        <f>IFERROR(__xludf.DUMMYFUNCTION("SPLIT(AW92,""*"")"),"#VALUE!")</f>
        <v>#VALUE!</v>
      </c>
    </row>
    <row r="93">
      <c r="F93" s="77"/>
      <c r="G93" s="77"/>
      <c r="R93" s="223"/>
      <c r="AL93" s="49"/>
      <c r="AM93" s="49"/>
      <c r="AN93" s="49">
        <v>-0.5</v>
      </c>
      <c r="AO93" s="49">
        <v>-0.5</v>
      </c>
      <c r="AP93" s="49"/>
      <c r="AR93" s="127">
        <f>IFERROR(__xludf.DUMMYFUNCTION("SPLIT(AN93,""*"")"),-0.5)</f>
        <v>-0.5</v>
      </c>
      <c r="BA93" s="127" t="str">
        <f>IFERROR(__xludf.DUMMYFUNCTION("SPLIT(AW93,""*"")"),"#VALUE!")</f>
        <v>#VALUE!</v>
      </c>
    </row>
    <row r="94">
      <c r="F94" s="77"/>
      <c r="G94" s="77"/>
      <c r="R94" s="223"/>
      <c r="AL94" s="49"/>
      <c r="AM94" s="49"/>
      <c r="AN94" s="49">
        <v>-0.5</v>
      </c>
      <c r="AO94" s="49">
        <v>-0.5</v>
      </c>
      <c r="AP94" s="49"/>
      <c r="AR94" s="127">
        <f>IFERROR(__xludf.DUMMYFUNCTION("SPLIT(AN94,""*"")"),-0.5)</f>
        <v>-0.5</v>
      </c>
      <c r="BA94" s="127" t="str">
        <f>IFERROR(__xludf.DUMMYFUNCTION("SPLIT(AW94,""*"")"),"#VALUE!")</f>
        <v>#VALUE!</v>
      </c>
    </row>
    <row r="95">
      <c r="F95" s="77"/>
      <c r="G95" s="77"/>
      <c r="R95" s="223"/>
      <c r="AL95" s="49"/>
      <c r="AM95" s="49"/>
      <c r="AN95" s="49">
        <v>-0.5</v>
      </c>
      <c r="AO95" s="49">
        <v>-0.5</v>
      </c>
      <c r="AP95" s="49"/>
      <c r="AR95" s="127">
        <f>IFERROR(__xludf.DUMMYFUNCTION("SPLIT(AN95,""*"")"),-0.5)</f>
        <v>-0.5</v>
      </c>
      <c r="BA95" s="127" t="str">
        <f>IFERROR(__xludf.DUMMYFUNCTION("SPLIT(AW95,""*"")"),"#VALUE!")</f>
        <v>#VALUE!</v>
      </c>
    </row>
    <row r="96">
      <c r="F96" s="77"/>
      <c r="G96" s="77"/>
      <c r="R96" s="223"/>
      <c r="AL96" s="49"/>
      <c r="AM96" s="49"/>
      <c r="AN96" s="49">
        <v>-0.5</v>
      </c>
      <c r="AO96" s="49">
        <v>-0.5</v>
      </c>
      <c r="AP96" s="49"/>
      <c r="AR96" s="127">
        <f>IFERROR(__xludf.DUMMYFUNCTION("SPLIT(AN96,""*"")"),-0.5)</f>
        <v>-0.5</v>
      </c>
      <c r="BA96" s="127" t="str">
        <f>IFERROR(__xludf.DUMMYFUNCTION("SPLIT(AW96,""*"")"),"#VALUE!")</f>
        <v>#VALUE!</v>
      </c>
    </row>
    <row r="97">
      <c r="F97" s="77"/>
      <c r="G97" s="77"/>
      <c r="R97" s="223"/>
      <c r="AL97" s="49"/>
      <c r="AM97" s="49"/>
      <c r="AN97" s="49">
        <v>-0.5</v>
      </c>
      <c r="AO97" s="49">
        <v>-0.5</v>
      </c>
      <c r="AP97" s="49"/>
      <c r="AR97" s="127">
        <f>IFERROR(__xludf.DUMMYFUNCTION("SPLIT(AN97,""*"")"),-0.5)</f>
        <v>-0.5</v>
      </c>
      <c r="BA97" s="127" t="str">
        <f>IFERROR(__xludf.DUMMYFUNCTION("SPLIT(AW97,""*"")"),"#VALUE!")</f>
        <v>#VALUE!</v>
      </c>
    </row>
    <row r="98">
      <c r="R98" s="223"/>
      <c r="AL98" s="49"/>
      <c r="AM98" s="49"/>
      <c r="AN98" s="49">
        <v>-0.5</v>
      </c>
      <c r="AO98" s="49">
        <v>-0.5</v>
      </c>
      <c r="AP98" s="49"/>
      <c r="AR98" s="127">
        <f>IFERROR(__xludf.DUMMYFUNCTION("SPLIT(AN98,""*"")"),-0.5)</f>
        <v>-0.5</v>
      </c>
      <c r="BA98" s="127" t="str">
        <f>IFERROR(__xludf.DUMMYFUNCTION("SPLIT(AW98,""*"")"),"#VALUE!")</f>
        <v>#VALUE!</v>
      </c>
    </row>
    <row r="99">
      <c r="R99" s="223"/>
      <c r="AL99" s="49"/>
      <c r="AM99" s="49"/>
      <c r="AN99" s="49">
        <v>-0.5</v>
      </c>
      <c r="AO99" s="49">
        <v>-0.5</v>
      </c>
      <c r="AP99" s="49"/>
      <c r="AR99" s="127">
        <f>IFERROR(__xludf.DUMMYFUNCTION("SPLIT(AN99,""*"")"),-0.5)</f>
        <v>-0.5</v>
      </c>
      <c r="BA99" s="127" t="str">
        <f>IFERROR(__xludf.DUMMYFUNCTION("SPLIT(AW99,""*"")"),"#VALUE!")</f>
        <v>#VALUE!</v>
      </c>
    </row>
    <row r="100">
      <c r="R100" s="223"/>
      <c r="AL100" s="49"/>
      <c r="AM100" s="49"/>
      <c r="AN100" s="49">
        <v>-0.5</v>
      </c>
      <c r="AO100" s="49">
        <v>-0.5</v>
      </c>
      <c r="AP100" s="49"/>
      <c r="AR100" s="127"/>
      <c r="BA100" s="127"/>
    </row>
    <row r="101">
      <c r="R101" s="223"/>
      <c r="AL101" s="49"/>
      <c r="AM101" s="49"/>
      <c r="AN101" s="49">
        <v>-0.5</v>
      </c>
      <c r="AO101" s="49">
        <v>-0.5</v>
      </c>
      <c r="AP101" s="49"/>
      <c r="AR101" s="127"/>
      <c r="BA101" s="127"/>
    </row>
    <row r="102">
      <c r="R102" s="223"/>
      <c r="AL102" s="49"/>
      <c r="AM102" s="49"/>
      <c r="AN102" s="49">
        <v>-0.5</v>
      </c>
      <c r="AO102" s="49">
        <v>-0.5</v>
      </c>
      <c r="AP102" s="49"/>
      <c r="AR102" s="127"/>
      <c r="BA102" s="127"/>
    </row>
    <row r="103">
      <c r="R103" s="223"/>
      <c r="AL103" s="49"/>
      <c r="AM103" s="49"/>
      <c r="AN103" s="49">
        <v>-0.5</v>
      </c>
      <c r="AO103" s="49">
        <v>-0.5</v>
      </c>
      <c r="AP103" s="49"/>
      <c r="AR103" s="127"/>
      <c r="BA103" s="127"/>
    </row>
    <row r="104">
      <c r="R104" s="223"/>
      <c r="AL104" s="49"/>
      <c r="AM104" s="49"/>
      <c r="AN104" s="49">
        <v>-0.5</v>
      </c>
      <c r="AO104" s="49">
        <v>-0.5</v>
      </c>
      <c r="AP104" s="49"/>
      <c r="AR104" s="127"/>
      <c r="BA104" s="127"/>
    </row>
    <row r="105">
      <c r="R105" s="223"/>
      <c r="AL105" s="49"/>
      <c r="AM105" s="49"/>
      <c r="AN105" s="49">
        <v>-0.5</v>
      </c>
      <c r="AO105" s="49">
        <v>-0.5</v>
      </c>
      <c r="AP105" s="49"/>
      <c r="AR105" s="127"/>
      <c r="BA105" s="127"/>
    </row>
    <row r="106">
      <c r="R106" s="223"/>
      <c r="AL106" s="49"/>
      <c r="AM106" s="49"/>
      <c r="AN106" s="49">
        <v>-0.5</v>
      </c>
      <c r="AO106" s="49">
        <v>-0.5</v>
      </c>
      <c r="AP106" s="49"/>
      <c r="AR106" s="127"/>
      <c r="BA106" s="127"/>
    </row>
    <row r="107">
      <c r="R107" s="223"/>
      <c r="AL107" s="49"/>
      <c r="AM107" s="49"/>
      <c r="AN107" s="49">
        <v>-0.5</v>
      </c>
      <c r="AO107" s="49">
        <v>-0.5</v>
      </c>
      <c r="AP107" s="49"/>
      <c r="AR107" s="127"/>
      <c r="BA107" s="127"/>
    </row>
    <row r="108">
      <c r="R108" s="223"/>
      <c r="AL108" s="49"/>
      <c r="AM108" s="49"/>
      <c r="AN108" s="49">
        <v>-0.5</v>
      </c>
      <c r="AO108" s="49">
        <v>-0.5</v>
      </c>
      <c r="AP108" s="49"/>
      <c r="AR108" s="127"/>
      <c r="BA108" s="127"/>
    </row>
    <row r="109">
      <c r="R109" s="223"/>
      <c r="AL109" s="49"/>
      <c r="AM109" s="49"/>
      <c r="AN109" s="49">
        <v>-0.5</v>
      </c>
      <c r="AO109" s="49">
        <v>-0.5</v>
      </c>
      <c r="AP109" s="49"/>
      <c r="AR109" s="127"/>
      <c r="BA109" s="127"/>
    </row>
    <row r="110">
      <c r="R110" s="223"/>
      <c r="AL110" s="49"/>
      <c r="AM110" s="49"/>
      <c r="AN110" s="49">
        <v>-0.5</v>
      </c>
      <c r="AO110" s="49">
        <v>-0.5</v>
      </c>
      <c r="AP110" s="49"/>
      <c r="AR110" s="127"/>
      <c r="BA110" s="127"/>
    </row>
    <row r="111">
      <c r="R111" s="223"/>
      <c r="AL111" s="49"/>
      <c r="AM111" s="49"/>
      <c r="AN111" s="49">
        <v>-0.5</v>
      </c>
      <c r="AO111" s="49">
        <v>-0.5</v>
      </c>
      <c r="AP111" s="49"/>
      <c r="AR111" s="127"/>
      <c r="BA111" s="127"/>
    </row>
    <row r="112">
      <c r="R112" s="223"/>
      <c r="AL112" s="49"/>
      <c r="AM112" s="49"/>
      <c r="AN112" s="49">
        <v>-0.5</v>
      </c>
      <c r="AO112" s="49">
        <v>-0.5</v>
      </c>
      <c r="AP112" s="49"/>
      <c r="AR112" s="127"/>
      <c r="BA112" s="127"/>
    </row>
    <row r="113">
      <c r="R113" s="223"/>
      <c r="AL113" s="49"/>
      <c r="AM113" s="49"/>
      <c r="AN113" s="49">
        <v>-0.5</v>
      </c>
      <c r="AO113" s="49">
        <v>-0.5</v>
      </c>
      <c r="AP113" s="49"/>
      <c r="AR113" s="127"/>
      <c r="BA113" s="127"/>
    </row>
    <row r="114">
      <c r="R114" s="223"/>
      <c r="AL114" s="49"/>
      <c r="AM114" s="49"/>
      <c r="AN114" s="49">
        <v>-0.5</v>
      </c>
      <c r="AO114" s="49">
        <v>-0.5</v>
      </c>
      <c r="AP114" s="49"/>
      <c r="AR114" s="127"/>
      <c r="BA114" s="127"/>
    </row>
    <row r="115">
      <c r="R115" s="223"/>
      <c r="AL115" s="49"/>
      <c r="AM115" s="49"/>
      <c r="AN115" s="49">
        <v>-0.5</v>
      </c>
      <c r="AO115" s="49">
        <v>-0.5</v>
      </c>
      <c r="AP115" s="49"/>
      <c r="AR115" s="127"/>
      <c r="BA115" s="127"/>
    </row>
    <row r="116">
      <c r="R116" s="223"/>
      <c r="AL116" s="49"/>
      <c r="AM116" s="49"/>
      <c r="AN116" s="49">
        <v>-0.5</v>
      </c>
      <c r="AO116" s="49">
        <v>-0.5</v>
      </c>
      <c r="AP116" s="49"/>
      <c r="AR116" s="127"/>
      <c r="BA116" s="127"/>
    </row>
    <row r="117">
      <c r="R117" s="223"/>
      <c r="AL117" s="49"/>
      <c r="AM117" s="49"/>
      <c r="AN117" s="49">
        <v>-0.5</v>
      </c>
      <c r="AO117" s="49">
        <v>-0.5</v>
      </c>
      <c r="AP117" s="49"/>
      <c r="AR117" s="127"/>
      <c r="BA117" s="127"/>
    </row>
    <row r="118">
      <c r="R118" s="223"/>
      <c r="AL118" s="49"/>
      <c r="AM118" s="49"/>
      <c r="AN118" s="49">
        <v>-0.5</v>
      </c>
      <c r="AO118" s="49">
        <v>-0.5</v>
      </c>
      <c r="AP118" s="49"/>
      <c r="AR118" s="127"/>
      <c r="BA118" s="127"/>
    </row>
    <row r="119">
      <c r="R119" s="223"/>
      <c r="AL119" s="49"/>
      <c r="AM119" s="49"/>
      <c r="AN119" s="49">
        <v>-0.5</v>
      </c>
      <c r="AO119" s="49">
        <v>-0.5</v>
      </c>
      <c r="AP119" s="49"/>
      <c r="AR119" s="127"/>
      <c r="BA119" s="127"/>
    </row>
    <row r="120">
      <c r="R120" s="223"/>
      <c r="AL120" s="49"/>
      <c r="AM120" s="49"/>
      <c r="AN120" s="49">
        <v>-0.5</v>
      </c>
      <c r="AO120" s="49">
        <v>-0.5</v>
      </c>
      <c r="AP120" s="49"/>
      <c r="AR120" s="127"/>
      <c r="BA120" s="127"/>
    </row>
    <row r="121">
      <c r="R121" s="223"/>
      <c r="AL121" s="49"/>
      <c r="AM121" s="49"/>
      <c r="AN121" s="49">
        <v>-0.5</v>
      </c>
      <c r="AO121" s="49">
        <v>-0.5</v>
      </c>
      <c r="AP121" s="49"/>
      <c r="AR121" s="127"/>
      <c r="BA121" s="127"/>
    </row>
    <row r="122">
      <c r="R122" s="223"/>
      <c r="AL122" s="49"/>
      <c r="AM122" s="49"/>
      <c r="AN122" s="49">
        <v>-0.5</v>
      </c>
      <c r="AO122" s="49">
        <v>-0.5</v>
      </c>
      <c r="AP122" s="49"/>
      <c r="AR122" s="127"/>
      <c r="BA122" s="127"/>
    </row>
    <row r="123">
      <c r="R123" s="223"/>
      <c r="AL123" s="49"/>
      <c r="AM123" s="49"/>
      <c r="AN123" s="49">
        <v>-0.5</v>
      </c>
      <c r="AO123" s="49">
        <v>-0.5</v>
      </c>
      <c r="AP123" s="49"/>
      <c r="AR123" s="127"/>
      <c r="BA123" s="127"/>
    </row>
    <row r="124">
      <c r="R124" s="223"/>
      <c r="AL124" s="49"/>
      <c r="AM124" s="49"/>
      <c r="AN124" s="49">
        <v>-0.5</v>
      </c>
      <c r="AO124" s="49">
        <v>-0.5</v>
      </c>
      <c r="AP124" s="49"/>
      <c r="AR124" s="127"/>
      <c r="BA124" s="127"/>
    </row>
    <row r="125">
      <c r="R125" s="223"/>
      <c r="AL125" s="49"/>
      <c r="AM125" s="49"/>
      <c r="AN125" s="49">
        <v>-0.5</v>
      </c>
      <c r="AO125" s="49">
        <v>-0.5</v>
      </c>
      <c r="AP125" s="49"/>
      <c r="AR125" s="127"/>
      <c r="BA125" s="127"/>
    </row>
    <row r="126">
      <c r="R126" s="223"/>
      <c r="AL126" s="49"/>
      <c r="AM126" s="49"/>
      <c r="AN126" s="49">
        <v>-0.5</v>
      </c>
      <c r="AO126" s="49">
        <v>-0.5</v>
      </c>
      <c r="AP126" s="49"/>
      <c r="AR126" s="127"/>
      <c r="BA126" s="127"/>
    </row>
    <row r="127">
      <c r="R127" s="223"/>
      <c r="AL127" s="49"/>
      <c r="AM127" s="49"/>
      <c r="AN127" s="49">
        <v>-0.5</v>
      </c>
      <c r="AO127" s="49">
        <v>-0.5</v>
      </c>
      <c r="AP127" s="49"/>
      <c r="AR127" s="127"/>
      <c r="BA127" s="127"/>
    </row>
    <row r="128">
      <c r="R128" s="223"/>
      <c r="AL128" s="49"/>
      <c r="AM128" s="49"/>
      <c r="AN128" s="49">
        <v>-0.5</v>
      </c>
      <c r="AO128" s="49">
        <v>-0.5</v>
      </c>
      <c r="AP128" s="49"/>
      <c r="AR128" s="127"/>
      <c r="BA128" s="127"/>
    </row>
    <row r="129">
      <c r="R129" s="223"/>
      <c r="AL129" s="49"/>
      <c r="AM129" s="49"/>
      <c r="AN129" s="49">
        <v>-0.5</v>
      </c>
      <c r="AO129" s="49">
        <v>-0.5</v>
      </c>
      <c r="AP129" s="49"/>
      <c r="AR129" s="127"/>
      <c r="BA129" s="127"/>
    </row>
    <row r="130">
      <c r="R130" s="223"/>
      <c r="AL130" s="49"/>
      <c r="AM130" s="49"/>
      <c r="AN130" s="49">
        <v>-0.5</v>
      </c>
      <c r="AO130" s="49">
        <v>-0.5</v>
      </c>
      <c r="AP130" s="49"/>
      <c r="AR130" s="127"/>
      <c r="BA130" s="127"/>
    </row>
    <row r="131">
      <c r="R131" s="223"/>
      <c r="AL131" s="49"/>
      <c r="AM131" s="49"/>
      <c r="AN131" s="49">
        <v>-0.5</v>
      </c>
      <c r="AO131" s="49">
        <v>-0.5</v>
      </c>
      <c r="AP131" s="49"/>
      <c r="AR131" s="127"/>
      <c r="BA131" s="127"/>
    </row>
    <row r="132">
      <c r="R132" s="223"/>
      <c r="AL132" s="49"/>
      <c r="AM132" s="49"/>
      <c r="AN132" s="49">
        <v>-0.5</v>
      </c>
      <c r="AO132" s="49">
        <v>-0.5</v>
      </c>
      <c r="AP132" s="49"/>
      <c r="AR132" s="127"/>
      <c r="BA132" s="127"/>
    </row>
    <row r="133">
      <c r="R133" s="223"/>
      <c r="AL133" s="49"/>
      <c r="AM133" s="49"/>
      <c r="AN133" s="49">
        <v>-0.5</v>
      </c>
      <c r="AO133" s="49">
        <v>-0.5</v>
      </c>
      <c r="AP133" s="49"/>
      <c r="AR133" s="127"/>
      <c r="BA133" s="127"/>
    </row>
    <row r="134">
      <c r="R134" s="223"/>
      <c r="AL134" s="49"/>
      <c r="AM134" s="49"/>
      <c r="AN134" s="49">
        <v>-0.5</v>
      </c>
      <c r="AO134" s="49">
        <v>-0.5</v>
      </c>
      <c r="AP134" s="49"/>
      <c r="AR134" s="127"/>
      <c r="BA134" s="127"/>
    </row>
    <row r="135">
      <c r="R135" s="223"/>
      <c r="AL135" s="49"/>
      <c r="AM135" s="49"/>
      <c r="AN135" s="49">
        <v>-0.5</v>
      </c>
      <c r="AO135" s="49">
        <v>-0.5</v>
      </c>
      <c r="AP135" s="49"/>
      <c r="AR135" s="127"/>
      <c r="BA135" s="127"/>
    </row>
    <row r="136">
      <c r="R136" s="223"/>
      <c r="AL136" s="49"/>
      <c r="AM136" s="49"/>
      <c r="AN136" s="49">
        <v>-0.5</v>
      </c>
      <c r="AO136" s="49">
        <v>-0.5</v>
      </c>
      <c r="AP136" s="49"/>
      <c r="AR136" s="127"/>
      <c r="BA136" s="127"/>
    </row>
    <row r="137">
      <c r="R137" s="223"/>
      <c r="AL137" s="49"/>
      <c r="AM137" s="49"/>
      <c r="AN137" s="49">
        <v>-0.5</v>
      </c>
      <c r="AO137" s="49">
        <v>-0.5</v>
      </c>
      <c r="AP137" s="49"/>
      <c r="AR137" s="127"/>
      <c r="BA137" s="127"/>
    </row>
    <row r="138">
      <c r="R138" s="223"/>
      <c r="AL138" s="49"/>
      <c r="AM138" s="49"/>
      <c r="AN138" s="49">
        <v>-0.5</v>
      </c>
      <c r="AO138" s="49">
        <v>-0.5</v>
      </c>
      <c r="AP138" s="49"/>
      <c r="AR138" s="127"/>
      <c r="BA138" s="127"/>
    </row>
    <row r="139">
      <c r="R139" s="223"/>
      <c r="AL139" s="49"/>
      <c r="AM139" s="49"/>
      <c r="AN139" s="49">
        <v>-0.5</v>
      </c>
      <c r="AO139" s="49">
        <v>-0.5</v>
      </c>
      <c r="AP139" s="49"/>
      <c r="AR139" s="127"/>
      <c r="BA139" s="127"/>
    </row>
    <row r="140">
      <c r="R140" s="223"/>
      <c r="AL140" s="49"/>
      <c r="AM140" s="49"/>
      <c r="AN140" s="49">
        <v>-0.5</v>
      </c>
      <c r="AO140" s="49">
        <v>-0.5</v>
      </c>
      <c r="AP140" s="49"/>
      <c r="AR140" s="127"/>
      <c r="BA140" s="127"/>
    </row>
    <row r="141">
      <c r="R141" s="223"/>
      <c r="AL141" s="49"/>
      <c r="AM141" s="49"/>
      <c r="AN141" s="49">
        <v>-0.5</v>
      </c>
      <c r="AO141" s="49">
        <v>-0.5</v>
      </c>
      <c r="AP141" s="49"/>
      <c r="AR141" s="127"/>
      <c r="BA141" s="127"/>
    </row>
    <row r="142">
      <c r="R142" s="223"/>
      <c r="AL142" s="49"/>
      <c r="AM142" s="49"/>
      <c r="AN142" s="49">
        <v>-0.5</v>
      </c>
      <c r="AO142" s="49">
        <v>-0.5</v>
      </c>
      <c r="AP142" s="49"/>
      <c r="AR142" s="127"/>
      <c r="BA142" s="127"/>
    </row>
    <row r="143">
      <c r="R143" s="223"/>
      <c r="AL143" s="49"/>
      <c r="AM143" s="49"/>
      <c r="AN143" s="49">
        <v>-0.5</v>
      </c>
      <c r="AO143" s="49">
        <v>-0.5</v>
      </c>
      <c r="AP143" s="49"/>
      <c r="AR143" s="127"/>
      <c r="BA143" s="127"/>
    </row>
    <row r="144">
      <c r="R144" s="223"/>
      <c r="AL144" s="49"/>
      <c r="AM144" s="49"/>
      <c r="AN144" s="49">
        <v>-0.5</v>
      </c>
      <c r="AO144" s="49">
        <v>-0.5</v>
      </c>
      <c r="AP144" s="49"/>
      <c r="AR144" s="127"/>
      <c r="BA144" s="127"/>
    </row>
    <row r="145">
      <c r="R145" s="223"/>
      <c r="AL145" s="49"/>
      <c r="AM145" s="49"/>
      <c r="AN145" s="49">
        <v>-0.5</v>
      </c>
      <c r="AO145" s="49">
        <v>-0.5</v>
      </c>
      <c r="AP145" s="49"/>
      <c r="AR145" s="127"/>
      <c r="BA145" s="127"/>
    </row>
    <row r="146">
      <c r="R146" s="223"/>
      <c r="AL146" s="49"/>
      <c r="AM146" s="49"/>
      <c r="AN146" s="49">
        <v>-0.5</v>
      </c>
      <c r="AO146" s="49">
        <v>-0.5</v>
      </c>
      <c r="AP146" s="49"/>
      <c r="AR146" s="127"/>
      <c r="BA146" s="127"/>
    </row>
    <row r="147">
      <c r="R147" s="223"/>
      <c r="AL147" s="49"/>
      <c r="AM147" s="49"/>
      <c r="AN147" s="49">
        <v>-0.5</v>
      </c>
      <c r="AO147" s="49">
        <v>-0.5</v>
      </c>
      <c r="AP147" s="49"/>
      <c r="AR147" s="127"/>
      <c r="BA147" s="127"/>
    </row>
    <row r="148">
      <c r="R148" s="223"/>
      <c r="AL148" s="49"/>
      <c r="AM148" s="49"/>
      <c r="AN148" s="49">
        <v>-0.5</v>
      </c>
      <c r="AO148" s="49">
        <v>-0.5</v>
      </c>
      <c r="AP148" s="49"/>
      <c r="AR148" s="127"/>
      <c r="BA148" s="127"/>
    </row>
    <row r="149">
      <c r="R149" s="223"/>
      <c r="AL149" s="49"/>
      <c r="AM149" s="49"/>
      <c r="AN149" s="49">
        <v>-0.5</v>
      </c>
      <c r="AO149" s="49">
        <v>-0.5</v>
      </c>
      <c r="AP149" s="49"/>
      <c r="AR149" s="127"/>
      <c r="BA149" s="127"/>
    </row>
    <row r="150">
      <c r="R150" s="223"/>
      <c r="AL150" s="49"/>
      <c r="AM150" s="49"/>
      <c r="AN150" s="49">
        <v>-0.5</v>
      </c>
      <c r="AO150" s="49">
        <v>-0.5</v>
      </c>
      <c r="AP150" s="49"/>
      <c r="AR150" s="127"/>
      <c r="BA150" s="127"/>
    </row>
    <row r="151">
      <c r="R151" s="223"/>
      <c r="AL151" s="49"/>
      <c r="AM151" s="49"/>
      <c r="AN151" s="49">
        <v>-0.5</v>
      </c>
      <c r="AO151" s="49">
        <v>-0.5</v>
      </c>
      <c r="AP151" s="49"/>
      <c r="AR151" s="127"/>
      <c r="BA151" s="127"/>
    </row>
    <row r="152">
      <c r="R152" s="223"/>
      <c r="AL152" s="49"/>
      <c r="AM152" s="49"/>
      <c r="AN152" s="49">
        <v>-0.5</v>
      </c>
      <c r="AO152" s="49">
        <v>-0.5</v>
      </c>
      <c r="AP152" s="49"/>
      <c r="AR152" s="127"/>
      <c r="BA152" s="127"/>
    </row>
    <row r="153">
      <c r="R153" s="223"/>
      <c r="AL153" s="49"/>
      <c r="AM153" s="49"/>
      <c r="AN153" s="49">
        <v>-0.5</v>
      </c>
      <c r="AO153" s="49">
        <v>-0.5</v>
      </c>
      <c r="AP153" s="49"/>
      <c r="AR153" s="127"/>
      <c r="BA153" s="127"/>
    </row>
    <row r="154">
      <c r="R154" s="223"/>
      <c r="AL154" s="49"/>
      <c r="AM154" s="49"/>
      <c r="AN154" s="49">
        <v>-0.5</v>
      </c>
      <c r="AO154" s="49">
        <v>-0.5</v>
      </c>
      <c r="AP154" s="49"/>
      <c r="AR154" s="127"/>
      <c r="BA154" s="127"/>
    </row>
    <row r="155">
      <c r="R155" s="223"/>
      <c r="AL155" s="49"/>
      <c r="AM155" s="49"/>
      <c r="AN155" s="49">
        <v>-0.5</v>
      </c>
      <c r="AO155" s="49">
        <v>-0.5</v>
      </c>
      <c r="AP155" s="49"/>
      <c r="AR155" s="127"/>
      <c r="BA155" s="127"/>
    </row>
    <row r="156">
      <c r="R156" s="223"/>
      <c r="AL156" s="49"/>
      <c r="AM156" s="49"/>
      <c r="AN156" s="49">
        <v>-0.5</v>
      </c>
      <c r="AO156" s="49">
        <v>-0.5</v>
      </c>
      <c r="AP156" s="49"/>
      <c r="AR156" s="127"/>
      <c r="BA156" s="127"/>
    </row>
    <row r="157">
      <c r="R157" s="223"/>
      <c r="AL157" s="49"/>
      <c r="AM157" s="49"/>
      <c r="AN157" s="49">
        <v>-0.5</v>
      </c>
      <c r="AO157" s="49">
        <v>-0.5</v>
      </c>
      <c r="AP157" s="49"/>
      <c r="AR157" s="127"/>
      <c r="BA157" s="127"/>
    </row>
    <row r="158">
      <c r="R158" s="223"/>
      <c r="AL158" s="49"/>
      <c r="AM158" s="49"/>
      <c r="AN158" s="49">
        <v>-0.5</v>
      </c>
      <c r="AO158" s="49">
        <v>-0.5</v>
      </c>
      <c r="AP158" s="49"/>
      <c r="AR158" s="127"/>
      <c r="BA158" s="127"/>
    </row>
    <row r="159">
      <c r="R159" s="223"/>
      <c r="AL159" s="49"/>
      <c r="AM159" s="49"/>
      <c r="AN159" s="49">
        <v>-0.5</v>
      </c>
      <c r="AO159" s="49">
        <v>-0.5</v>
      </c>
      <c r="AP159" s="49"/>
      <c r="AR159" s="127"/>
      <c r="BA159" s="127"/>
    </row>
    <row r="160">
      <c r="R160" s="223"/>
      <c r="AL160" s="49"/>
      <c r="AM160" s="49"/>
      <c r="AN160" s="49">
        <v>-0.5</v>
      </c>
      <c r="AO160" s="49">
        <v>-0.5</v>
      </c>
      <c r="AP160" s="49"/>
      <c r="AR160" s="127"/>
      <c r="BA160" s="127"/>
    </row>
    <row r="161">
      <c r="R161" s="223"/>
      <c r="AL161" s="49"/>
      <c r="AM161" s="49"/>
      <c r="AN161" s="49">
        <v>-0.5</v>
      </c>
      <c r="AO161" s="49">
        <v>-0.5</v>
      </c>
      <c r="AP161" s="49"/>
      <c r="AR161" s="127"/>
      <c r="BA161" s="127"/>
    </row>
    <row r="162">
      <c r="R162" s="223"/>
      <c r="AL162" s="49"/>
      <c r="AM162" s="49"/>
      <c r="AN162" s="49">
        <v>-0.5</v>
      </c>
      <c r="AO162" s="49">
        <v>-0.5</v>
      </c>
      <c r="AP162" s="49"/>
      <c r="AR162" s="127"/>
      <c r="BA162" s="127"/>
    </row>
    <row r="163">
      <c r="R163" s="223"/>
      <c r="AL163" s="49"/>
      <c r="AM163" s="49"/>
      <c r="AN163" s="49">
        <v>-0.5</v>
      </c>
      <c r="AO163" s="49">
        <v>-0.5</v>
      </c>
      <c r="AP163" s="49"/>
      <c r="AR163" s="127"/>
      <c r="BA163" s="127"/>
    </row>
    <row r="164">
      <c r="R164" s="223"/>
      <c r="AL164" s="49"/>
      <c r="AM164" s="49"/>
      <c r="AN164" s="49">
        <v>-0.5</v>
      </c>
      <c r="AO164" s="49">
        <v>-0.5</v>
      </c>
      <c r="AP164" s="49"/>
      <c r="AR164" s="127"/>
      <c r="BA164" s="127"/>
    </row>
    <row r="165">
      <c r="R165" s="223"/>
      <c r="AL165" s="49"/>
      <c r="AM165" s="49"/>
      <c r="AN165" s="49">
        <v>-0.5</v>
      </c>
      <c r="AO165" s="49">
        <v>-0.5</v>
      </c>
      <c r="AP165" s="49"/>
      <c r="AR165" s="127"/>
      <c r="BA165" s="127"/>
    </row>
    <row r="166">
      <c r="R166" s="223"/>
      <c r="AL166" s="49"/>
      <c r="AM166" s="49"/>
      <c r="AN166" s="49">
        <v>-0.5</v>
      </c>
      <c r="AO166" s="49">
        <v>-0.5</v>
      </c>
      <c r="AP166" s="49"/>
      <c r="AR166" s="127"/>
      <c r="BA166" s="127"/>
    </row>
    <row r="167">
      <c r="R167" s="223"/>
      <c r="AL167" s="49"/>
      <c r="AM167" s="49"/>
      <c r="AN167" s="49">
        <v>-0.5</v>
      </c>
      <c r="AO167" s="49">
        <v>-0.5</v>
      </c>
      <c r="AP167" s="49"/>
      <c r="AR167" s="127"/>
      <c r="BA167" s="127"/>
    </row>
    <row r="168">
      <c r="R168" s="223"/>
      <c r="AL168" s="49"/>
      <c r="AM168" s="49"/>
      <c r="AN168" s="49">
        <v>-0.5</v>
      </c>
      <c r="AO168" s="49">
        <v>-0.5</v>
      </c>
      <c r="AP168" s="49"/>
      <c r="AR168" s="127"/>
      <c r="BA168" s="127"/>
    </row>
    <row r="169">
      <c r="R169" s="223"/>
      <c r="AL169" s="49"/>
      <c r="AM169" s="49"/>
      <c r="AN169" s="49">
        <v>-0.5</v>
      </c>
      <c r="AO169" s="49">
        <v>-0.5</v>
      </c>
      <c r="AP169" s="49"/>
      <c r="AR169" s="127"/>
      <c r="BA169" s="127"/>
    </row>
    <row r="170">
      <c r="R170" s="223"/>
      <c r="AL170" s="49"/>
      <c r="AM170" s="49"/>
      <c r="AN170" s="49">
        <v>-0.5</v>
      </c>
      <c r="AO170" s="49">
        <v>-0.5</v>
      </c>
      <c r="AP170" s="49"/>
      <c r="AR170" s="127"/>
      <c r="BA170" s="127"/>
    </row>
    <row r="171">
      <c r="R171" s="223"/>
      <c r="AL171" s="49"/>
      <c r="AM171" s="49"/>
      <c r="AN171" s="49">
        <v>-0.5</v>
      </c>
      <c r="AO171" s="49">
        <v>-0.5</v>
      </c>
      <c r="AP171" s="49"/>
      <c r="AR171" s="127"/>
      <c r="BA171" s="127"/>
    </row>
    <row r="172">
      <c r="R172" s="223"/>
      <c r="AL172" s="49"/>
      <c r="AM172" s="49"/>
      <c r="AN172" s="49">
        <v>-0.5</v>
      </c>
      <c r="AO172" s="49">
        <v>-0.5</v>
      </c>
      <c r="AP172" s="49"/>
      <c r="AR172" s="127"/>
      <c r="BA172" s="127"/>
    </row>
    <row r="173">
      <c r="R173" s="223"/>
      <c r="AL173" s="49"/>
      <c r="AM173" s="49"/>
      <c r="AN173" s="49">
        <v>-0.5</v>
      </c>
      <c r="AO173" s="49">
        <v>-0.5</v>
      </c>
      <c r="AP173" s="49"/>
      <c r="AR173" s="127"/>
      <c r="BA173" s="127"/>
    </row>
    <row r="174">
      <c r="R174" s="223"/>
      <c r="AL174" s="49"/>
      <c r="AM174" s="49"/>
      <c r="AN174" s="49">
        <v>-0.5</v>
      </c>
      <c r="AO174" s="49">
        <v>-0.5</v>
      </c>
      <c r="AP174" s="49"/>
      <c r="AR174" s="127"/>
      <c r="BA174" s="127"/>
    </row>
    <row r="175">
      <c r="R175" s="223"/>
      <c r="AL175" s="49"/>
      <c r="AM175" s="49"/>
      <c r="AN175" s="49">
        <v>-0.5</v>
      </c>
      <c r="AO175" s="49">
        <v>-0.5</v>
      </c>
      <c r="AP175" s="49"/>
      <c r="AR175" s="127"/>
      <c r="BA175" s="127"/>
    </row>
    <row r="176">
      <c r="R176" s="223"/>
      <c r="AL176" s="49"/>
      <c r="AM176" s="49"/>
      <c r="AN176" s="49">
        <v>-0.5</v>
      </c>
      <c r="AO176" s="49">
        <v>-0.5</v>
      </c>
      <c r="AP176" s="49"/>
      <c r="AR176" s="127"/>
      <c r="BA176" s="127"/>
    </row>
    <row r="177">
      <c r="R177" s="223"/>
      <c r="AL177" s="49"/>
      <c r="AM177" s="49"/>
      <c r="AN177" s="49">
        <v>-0.5</v>
      </c>
      <c r="AO177" s="49">
        <v>-0.5</v>
      </c>
      <c r="AP177" s="49"/>
      <c r="AR177" s="127"/>
      <c r="BA177" s="127"/>
    </row>
    <row r="178">
      <c r="R178" s="223"/>
      <c r="AL178" s="49"/>
      <c r="AM178" s="49"/>
      <c r="AN178" s="49">
        <v>-0.5</v>
      </c>
      <c r="AO178" s="49">
        <v>-0.5</v>
      </c>
      <c r="AP178" s="49"/>
      <c r="AR178" s="127"/>
      <c r="BA178" s="127"/>
    </row>
    <row r="179">
      <c r="R179" s="223"/>
      <c r="AL179" s="49"/>
      <c r="AM179" s="49"/>
      <c r="AN179" s="49">
        <v>-0.5</v>
      </c>
      <c r="AO179" s="49">
        <v>-0.5</v>
      </c>
      <c r="AP179" s="49"/>
      <c r="AR179" s="127"/>
      <c r="BA179" s="127"/>
    </row>
    <row r="180">
      <c r="R180" s="223"/>
      <c r="AL180" s="49"/>
      <c r="AM180" s="49"/>
      <c r="AN180" s="49">
        <v>-0.5</v>
      </c>
      <c r="AO180" s="49">
        <v>-0.5</v>
      </c>
      <c r="AP180" s="49"/>
      <c r="AR180" s="127"/>
      <c r="BA180" s="127"/>
    </row>
    <row r="181">
      <c r="R181" s="223"/>
      <c r="AL181" s="49"/>
      <c r="AM181" s="49"/>
      <c r="AN181" s="49">
        <v>-0.5</v>
      </c>
      <c r="AO181" s="49">
        <v>-0.5</v>
      </c>
      <c r="AP181" s="49"/>
      <c r="AR181" s="127"/>
      <c r="BA181" s="127"/>
    </row>
    <row r="182">
      <c r="R182" s="223"/>
      <c r="AL182" s="49"/>
      <c r="AM182" s="49"/>
      <c r="AN182" s="49">
        <v>-0.5</v>
      </c>
      <c r="AO182" s="49">
        <v>-0.5</v>
      </c>
      <c r="AP182" s="49"/>
      <c r="AR182" s="127"/>
      <c r="BA182" s="127"/>
    </row>
    <row r="183">
      <c r="R183" s="223"/>
      <c r="AL183" s="49"/>
      <c r="AM183" s="49"/>
      <c r="AN183" s="49">
        <v>-0.5</v>
      </c>
      <c r="AO183" s="49">
        <v>-0.5</v>
      </c>
      <c r="AP183" s="49"/>
      <c r="AR183" s="127"/>
      <c r="BA183" s="127"/>
    </row>
    <row r="184">
      <c r="R184" s="223"/>
      <c r="AL184" s="49"/>
      <c r="AM184" s="49"/>
      <c r="AN184" s="49">
        <v>-0.5</v>
      </c>
      <c r="AO184" s="49">
        <v>-0.5</v>
      </c>
      <c r="AP184" s="49"/>
      <c r="AR184" s="127"/>
      <c r="BA184" s="127"/>
    </row>
    <row r="185">
      <c r="R185" s="223"/>
      <c r="AL185" s="49"/>
      <c r="AM185" s="49"/>
      <c r="AN185" s="49">
        <v>-0.5</v>
      </c>
      <c r="AO185" s="49">
        <v>-0.5</v>
      </c>
      <c r="AP185" s="49"/>
      <c r="AR185" s="127"/>
      <c r="BA185" s="127"/>
    </row>
    <row r="186">
      <c r="R186" s="223"/>
      <c r="AL186" s="49"/>
      <c r="AM186" s="49"/>
      <c r="AN186" s="49">
        <v>-0.5</v>
      </c>
      <c r="AO186" s="49">
        <v>-0.5</v>
      </c>
      <c r="AP186" s="49"/>
      <c r="AR186" s="127"/>
      <c r="BA186" s="127"/>
    </row>
    <row r="187">
      <c r="R187" s="223"/>
      <c r="AL187" s="49"/>
      <c r="AM187" s="49"/>
      <c r="AN187" s="49">
        <v>-0.5</v>
      </c>
      <c r="AO187" s="49">
        <v>-0.5</v>
      </c>
      <c r="AP187" s="49"/>
      <c r="AR187" s="127"/>
      <c r="BA187" s="127"/>
    </row>
    <row r="188">
      <c r="R188" s="223"/>
      <c r="AL188" s="49"/>
      <c r="AM188" s="49"/>
      <c r="AN188" s="49">
        <v>-0.5</v>
      </c>
      <c r="AO188" s="49">
        <v>-0.5</v>
      </c>
      <c r="AP188" s="49"/>
      <c r="AR188" s="127"/>
      <c r="BA188" s="127"/>
    </row>
    <row r="189">
      <c r="R189" s="223"/>
      <c r="AL189" s="49"/>
      <c r="AM189" s="49"/>
      <c r="AN189" s="49">
        <v>-0.5</v>
      </c>
      <c r="AO189" s="49">
        <v>-0.5</v>
      </c>
      <c r="AP189" s="49"/>
      <c r="AR189" s="127"/>
      <c r="BA189" s="127"/>
    </row>
    <row r="190">
      <c r="R190" s="223"/>
      <c r="AL190" s="49"/>
      <c r="AM190" s="49"/>
      <c r="AN190" s="49">
        <v>-0.5</v>
      </c>
      <c r="AO190" s="49">
        <v>-0.5</v>
      </c>
      <c r="AP190" s="49"/>
      <c r="AR190" s="127"/>
      <c r="BA190" s="127"/>
    </row>
    <row r="191">
      <c r="R191" s="223"/>
      <c r="AL191" s="49"/>
      <c r="AM191" s="49"/>
      <c r="AN191" s="49">
        <v>-0.5</v>
      </c>
      <c r="AO191" s="49">
        <v>-0.5</v>
      </c>
      <c r="AP191" s="49"/>
      <c r="AR191" s="127"/>
      <c r="BA191" s="127"/>
    </row>
    <row r="192">
      <c r="R192" s="223"/>
      <c r="AL192" s="49"/>
      <c r="AM192" s="49"/>
      <c r="AN192" s="49">
        <v>-0.5</v>
      </c>
      <c r="AO192" s="49">
        <v>-0.5</v>
      </c>
      <c r="AP192" s="49"/>
      <c r="AR192" s="127"/>
      <c r="BA192" s="127"/>
    </row>
    <row r="193">
      <c r="R193" s="223"/>
      <c r="AL193" s="49"/>
      <c r="AM193" s="49"/>
      <c r="AN193" s="49">
        <v>-0.5</v>
      </c>
      <c r="AO193" s="49">
        <v>-0.5</v>
      </c>
      <c r="AP193" s="49"/>
      <c r="AR193" s="127"/>
      <c r="BA193" s="127"/>
    </row>
    <row r="194">
      <c r="R194" s="223"/>
      <c r="AL194" s="49"/>
      <c r="AM194" s="49"/>
      <c r="AN194" s="49">
        <v>-0.5</v>
      </c>
      <c r="AO194" s="49">
        <v>-0.5</v>
      </c>
      <c r="AP194" s="49"/>
      <c r="AR194" s="127"/>
      <c r="BA194" s="127"/>
    </row>
    <row r="195">
      <c r="R195" s="223"/>
      <c r="AL195" s="49"/>
      <c r="AM195" s="49"/>
      <c r="AN195" s="49">
        <v>-0.5</v>
      </c>
      <c r="AO195" s="49">
        <v>-0.5</v>
      </c>
      <c r="AP195" s="49"/>
      <c r="AR195" s="127"/>
      <c r="BA195" s="127"/>
    </row>
    <row r="196">
      <c r="R196" s="223"/>
      <c r="AL196" s="49"/>
      <c r="AM196" s="49"/>
      <c r="AN196" s="49">
        <v>-0.5</v>
      </c>
      <c r="AO196" s="49">
        <v>-0.5</v>
      </c>
      <c r="AP196" s="49"/>
      <c r="AR196" s="127"/>
      <c r="BA196" s="127"/>
    </row>
    <row r="197">
      <c r="R197" s="223"/>
      <c r="AL197" s="49"/>
      <c r="AM197" s="49"/>
      <c r="AN197" s="49">
        <v>-0.5</v>
      </c>
      <c r="AO197" s="49">
        <v>-0.5</v>
      </c>
      <c r="AP197" s="49"/>
      <c r="AR197" s="127"/>
      <c r="BA197" s="127"/>
    </row>
    <row r="198">
      <c r="R198" s="223"/>
      <c r="AL198" s="49"/>
      <c r="AM198" s="49"/>
      <c r="AN198" s="49">
        <v>-0.5</v>
      </c>
      <c r="AO198" s="49">
        <v>-0.5</v>
      </c>
      <c r="AP198" s="49"/>
      <c r="AR198" s="127"/>
      <c r="BA198" s="127"/>
    </row>
    <row r="199">
      <c r="R199" s="223"/>
      <c r="AL199" s="49"/>
      <c r="AM199" s="49"/>
      <c r="AN199" s="49">
        <v>-0.5</v>
      </c>
      <c r="AO199" s="49">
        <v>-0.5</v>
      </c>
      <c r="AP199" s="49"/>
      <c r="AR199" s="127"/>
      <c r="BA199" s="127"/>
    </row>
    <row r="200">
      <c r="R200" s="223"/>
      <c r="AL200" s="49"/>
      <c r="AM200" s="49"/>
      <c r="AN200" s="49">
        <v>-0.5</v>
      </c>
      <c r="AO200" s="49">
        <v>-0.5</v>
      </c>
      <c r="AP200" s="49"/>
      <c r="AR200" s="127"/>
      <c r="BA200" s="127"/>
    </row>
    <row r="201">
      <c r="R201" s="223"/>
      <c r="AL201" s="49"/>
      <c r="AM201" s="49"/>
      <c r="AN201" s="49">
        <v>-0.5</v>
      </c>
      <c r="AO201" s="49">
        <v>-0.5</v>
      </c>
      <c r="AP201" s="49"/>
      <c r="AR201" s="127"/>
      <c r="BA201" s="127"/>
    </row>
    <row r="202">
      <c r="R202" s="223"/>
      <c r="AL202" s="49"/>
      <c r="AM202" s="49"/>
      <c r="AN202" s="49">
        <v>-0.5</v>
      </c>
      <c r="AO202" s="49">
        <v>-0.5</v>
      </c>
      <c r="AP202" s="49"/>
      <c r="AR202" s="127"/>
      <c r="BA202" s="127"/>
    </row>
    <row r="203">
      <c r="R203" s="223"/>
      <c r="AL203" s="49"/>
      <c r="AM203" s="49"/>
      <c r="AN203" s="49">
        <v>-0.5</v>
      </c>
      <c r="AO203" s="49">
        <v>-0.5</v>
      </c>
      <c r="AP203" s="49"/>
      <c r="AR203" s="127"/>
      <c r="BA203" s="127"/>
    </row>
    <row r="204">
      <c r="R204" s="223"/>
      <c r="AL204" s="49"/>
      <c r="AM204" s="49"/>
      <c r="AN204" s="49">
        <v>-0.5</v>
      </c>
      <c r="AO204" s="49">
        <v>-0.5</v>
      </c>
      <c r="AP204" s="49"/>
      <c r="AR204" s="127"/>
      <c r="BA204" s="127"/>
    </row>
    <row r="205">
      <c r="R205" s="223"/>
      <c r="AL205" s="49"/>
      <c r="AM205" s="49"/>
      <c r="AN205" s="49">
        <v>-0.5</v>
      </c>
      <c r="AO205" s="49">
        <v>-0.5</v>
      </c>
      <c r="AP205" s="49"/>
      <c r="AR205" s="127"/>
      <c r="BA205" s="127"/>
    </row>
    <row r="206">
      <c r="R206" s="223"/>
      <c r="AL206" s="49"/>
      <c r="AM206" s="49"/>
      <c r="AN206" s="49">
        <v>-0.5</v>
      </c>
      <c r="AO206" s="49">
        <v>-0.5</v>
      </c>
      <c r="AP206" s="49"/>
      <c r="AR206" s="127"/>
      <c r="BA206" s="127"/>
    </row>
    <row r="207">
      <c r="R207" s="223"/>
      <c r="AL207" s="49"/>
      <c r="AM207" s="49"/>
      <c r="AN207" s="49">
        <v>-0.5</v>
      </c>
      <c r="AO207" s="49">
        <v>-0.5</v>
      </c>
      <c r="AP207" s="49"/>
      <c r="AR207" s="127"/>
      <c r="BA207" s="127"/>
    </row>
    <row r="208">
      <c r="R208" s="223"/>
      <c r="AL208" s="49"/>
      <c r="AM208" s="49"/>
      <c r="AN208" s="49">
        <v>-0.5</v>
      </c>
      <c r="AO208" s="49">
        <v>-0.5</v>
      </c>
      <c r="AP208" s="49"/>
      <c r="AR208" s="127"/>
      <c r="BA208" s="127"/>
    </row>
    <row r="209">
      <c r="R209" s="223"/>
      <c r="AL209" s="49"/>
      <c r="AM209" s="49"/>
      <c r="AN209" s="49">
        <v>-0.5</v>
      </c>
      <c r="AO209" s="49">
        <v>-0.5</v>
      </c>
      <c r="AP209" s="49"/>
      <c r="AR209" s="127"/>
      <c r="BA209" s="127"/>
    </row>
    <row r="210">
      <c r="R210" s="223"/>
      <c r="AL210" s="49"/>
      <c r="AM210" s="49"/>
      <c r="AN210" s="49">
        <v>-0.5</v>
      </c>
      <c r="AO210" s="49">
        <v>-0.5</v>
      </c>
      <c r="AP210" s="49"/>
      <c r="AR210" s="127"/>
      <c r="BA210" s="127"/>
    </row>
    <row r="211">
      <c r="R211" s="223"/>
      <c r="AL211" s="49"/>
      <c r="AM211" s="49"/>
      <c r="AN211" s="49">
        <v>-0.5</v>
      </c>
      <c r="AO211" s="49">
        <v>-0.5</v>
      </c>
      <c r="AP211" s="49"/>
      <c r="AR211" s="127"/>
      <c r="BA211" s="127"/>
    </row>
    <row r="212">
      <c r="R212" s="223"/>
      <c r="AL212" s="49"/>
      <c r="AM212" s="49"/>
      <c r="AN212" s="49">
        <v>-0.5</v>
      </c>
      <c r="AO212" s="49">
        <v>-0.5</v>
      </c>
      <c r="AP212" s="49"/>
      <c r="AR212" s="127"/>
      <c r="BA212" s="127"/>
    </row>
    <row r="213">
      <c r="R213" s="223"/>
      <c r="AL213" s="49"/>
      <c r="AM213" s="49"/>
      <c r="AN213" s="49">
        <v>-0.5</v>
      </c>
      <c r="AO213" s="49">
        <v>-0.5</v>
      </c>
      <c r="AP213" s="49"/>
      <c r="AR213" s="127"/>
      <c r="BA213" s="127"/>
    </row>
    <row r="214">
      <c r="R214" s="223"/>
      <c r="AL214" s="49"/>
      <c r="AM214" s="49"/>
      <c r="AN214" s="49">
        <v>-0.5</v>
      </c>
      <c r="AO214" s="49">
        <v>-0.5</v>
      </c>
      <c r="AP214" s="49"/>
      <c r="AR214" s="127"/>
      <c r="BA214" s="127"/>
    </row>
    <row r="215">
      <c r="R215" s="223"/>
      <c r="AL215" s="49"/>
      <c r="AM215" s="49"/>
      <c r="AN215" s="49">
        <v>-0.5</v>
      </c>
      <c r="AO215" s="49">
        <v>-0.5</v>
      </c>
      <c r="AP215" s="49"/>
      <c r="AR215" s="127"/>
      <c r="BA215" s="127"/>
    </row>
    <row r="216">
      <c r="R216" s="223"/>
      <c r="AL216" s="49"/>
      <c r="AM216" s="49"/>
      <c r="AN216" s="49">
        <v>-0.5</v>
      </c>
      <c r="AO216" s="49">
        <v>-0.5</v>
      </c>
      <c r="AP216" s="49"/>
      <c r="AR216" s="127"/>
      <c r="BA216" s="127"/>
    </row>
    <row r="217">
      <c r="R217" s="223"/>
      <c r="AL217" s="49"/>
      <c r="AM217" s="49"/>
      <c r="AN217" s="49">
        <v>-0.5</v>
      </c>
      <c r="AO217" s="49">
        <v>-0.5</v>
      </c>
      <c r="AP217" s="49"/>
      <c r="AR217" s="127"/>
      <c r="BA217" s="127"/>
    </row>
    <row r="218">
      <c r="R218" s="223"/>
      <c r="AL218" s="49"/>
      <c r="AM218" s="49"/>
      <c r="AN218" s="49">
        <v>-0.5</v>
      </c>
      <c r="AO218" s="49">
        <v>-0.5</v>
      </c>
      <c r="AP218" s="49"/>
      <c r="AR218" s="127"/>
      <c r="BA218" s="127"/>
    </row>
    <row r="219">
      <c r="R219" s="223"/>
      <c r="AL219" s="49"/>
      <c r="AM219" s="49"/>
      <c r="AN219" s="49">
        <v>-0.5</v>
      </c>
      <c r="AO219" s="49">
        <v>-0.5</v>
      </c>
      <c r="AP219" s="49"/>
      <c r="AR219" s="127"/>
      <c r="BA219" s="127"/>
    </row>
    <row r="220">
      <c r="R220" s="223"/>
      <c r="AL220" s="49"/>
      <c r="AM220" s="49"/>
      <c r="AN220" s="49">
        <v>-0.5</v>
      </c>
      <c r="AO220" s="49">
        <v>-0.5</v>
      </c>
      <c r="AP220" s="49"/>
      <c r="AR220" s="127"/>
      <c r="BA220" s="127"/>
    </row>
    <row r="221">
      <c r="R221" s="223"/>
      <c r="AL221" s="49"/>
      <c r="AM221" s="49"/>
      <c r="AN221" s="49">
        <v>-0.5</v>
      </c>
      <c r="AO221" s="49">
        <v>-0.5</v>
      </c>
      <c r="AP221" s="49"/>
      <c r="AR221" s="127"/>
      <c r="BA221" s="127"/>
    </row>
    <row r="222">
      <c r="R222" s="223"/>
      <c r="AL222" s="49"/>
      <c r="AM222" s="49"/>
      <c r="AN222" s="49">
        <v>-0.5</v>
      </c>
      <c r="AO222" s="49">
        <v>-0.5</v>
      </c>
      <c r="AP222" s="49"/>
      <c r="AR222" s="127"/>
      <c r="BA222" s="127"/>
    </row>
    <row r="223">
      <c r="R223" s="223"/>
      <c r="AL223" s="49"/>
      <c r="AM223" s="49"/>
      <c r="AN223" s="49">
        <v>-0.5</v>
      </c>
      <c r="AO223" s="49">
        <v>-0.5</v>
      </c>
      <c r="AP223" s="49"/>
      <c r="AR223" s="127"/>
      <c r="BA223" s="127"/>
    </row>
    <row r="224">
      <c r="R224" s="223"/>
      <c r="AL224" s="49"/>
      <c r="AM224" s="49"/>
      <c r="AN224" s="49">
        <v>-0.5</v>
      </c>
      <c r="AO224" s="49">
        <v>-0.5</v>
      </c>
      <c r="AP224" s="49"/>
      <c r="AR224" s="127"/>
      <c r="BA224" s="127"/>
    </row>
    <row r="225">
      <c r="R225" s="223"/>
      <c r="AL225" s="49"/>
      <c r="AM225" s="49"/>
      <c r="AN225" s="49">
        <v>-0.5</v>
      </c>
      <c r="AO225" s="49">
        <v>-0.5</v>
      </c>
      <c r="AP225" s="49"/>
      <c r="AR225" s="127"/>
      <c r="BA225" s="127"/>
    </row>
    <row r="226">
      <c r="R226" s="223"/>
      <c r="AL226" s="49"/>
      <c r="AM226" s="49"/>
      <c r="AN226" s="49">
        <v>-0.5</v>
      </c>
      <c r="AO226" s="49">
        <v>-0.5</v>
      </c>
      <c r="AP226" s="49"/>
      <c r="AR226" s="127"/>
      <c r="BA226" s="127"/>
    </row>
    <row r="227">
      <c r="R227" s="223"/>
      <c r="AL227" s="49"/>
      <c r="AM227" s="49"/>
      <c r="AN227" s="49">
        <v>-0.5</v>
      </c>
      <c r="AO227" s="49">
        <v>-0.5</v>
      </c>
      <c r="AP227" s="49"/>
      <c r="AR227" s="127"/>
      <c r="BA227" s="127"/>
    </row>
    <row r="228">
      <c r="R228" s="223"/>
      <c r="AL228" s="49"/>
      <c r="AM228" s="49"/>
      <c r="AN228" s="49">
        <v>-0.5</v>
      </c>
      <c r="AO228" s="49">
        <v>-0.5</v>
      </c>
      <c r="AP228" s="49"/>
      <c r="AR228" s="127"/>
      <c r="BA228" s="127"/>
    </row>
    <row r="229">
      <c r="R229" s="223"/>
      <c r="AL229" s="49"/>
      <c r="AM229" s="49"/>
      <c r="AN229" s="49">
        <v>-0.5</v>
      </c>
      <c r="AO229" s="49">
        <v>-0.5</v>
      </c>
      <c r="AP229" s="49"/>
      <c r="AR229" s="127"/>
      <c r="BA229" s="127"/>
    </row>
    <row r="230">
      <c r="R230" s="223"/>
      <c r="AL230" s="49"/>
      <c r="AM230" s="49"/>
      <c r="AN230" s="49">
        <v>-0.5</v>
      </c>
      <c r="AO230" s="49">
        <v>-0.5</v>
      </c>
      <c r="AP230" s="49"/>
      <c r="AR230" s="127"/>
      <c r="BA230" s="127"/>
    </row>
    <row r="231">
      <c r="R231" s="223"/>
      <c r="AL231" s="49"/>
      <c r="AM231" s="49"/>
      <c r="AN231" s="49">
        <v>-0.5</v>
      </c>
      <c r="AO231" s="49">
        <v>-0.5</v>
      </c>
      <c r="AP231" s="49"/>
      <c r="AR231" s="127"/>
      <c r="BA231" s="127"/>
    </row>
    <row r="232">
      <c r="R232" s="223"/>
      <c r="AL232" s="49"/>
      <c r="AM232" s="49"/>
      <c r="AN232" s="49">
        <v>-0.5</v>
      </c>
      <c r="AO232" s="49">
        <v>-0.5</v>
      </c>
      <c r="AP232" s="49"/>
      <c r="AR232" s="127"/>
      <c r="BA232" s="127"/>
    </row>
    <row r="233">
      <c r="R233" s="223"/>
      <c r="AL233" s="49"/>
      <c r="AM233" s="49"/>
      <c r="AN233" s="49">
        <v>-0.5</v>
      </c>
      <c r="AO233" s="49">
        <v>-0.5</v>
      </c>
      <c r="AP233" s="49"/>
      <c r="AR233" s="127"/>
      <c r="BA233" s="127"/>
    </row>
    <row r="234">
      <c r="R234" s="223"/>
      <c r="AL234" s="49"/>
      <c r="AM234" s="49"/>
      <c r="AN234" s="49">
        <v>-0.5</v>
      </c>
      <c r="AO234" s="49">
        <v>-0.5</v>
      </c>
      <c r="AP234" s="49"/>
      <c r="AR234" s="127"/>
      <c r="BA234" s="127"/>
    </row>
    <row r="235">
      <c r="R235" s="223"/>
      <c r="AL235" s="49"/>
      <c r="AM235" s="49"/>
      <c r="AN235" s="49">
        <v>-0.5</v>
      </c>
      <c r="AO235" s="49">
        <v>-0.5</v>
      </c>
      <c r="AP235" s="49"/>
      <c r="AR235" s="127"/>
      <c r="BA235" s="127"/>
    </row>
    <row r="236">
      <c r="R236" s="223"/>
      <c r="AL236" s="49"/>
      <c r="AM236" s="49"/>
      <c r="AN236" s="49">
        <v>-0.5</v>
      </c>
      <c r="AO236" s="49">
        <v>-0.5</v>
      </c>
      <c r="AP236" s="49"/>
      <c r="AR236" s="127"/>
      <c r="BA236" s="127"/>
    </row>
    <row r="237">
      <c r="R237" s="223"/>
      <c r="AL237" s="49"/>
      <c r="AM237" s="49"/>
      <c r="AN237" s="49">
        <v>-0.5</v>
      </c>
      <c r="AO237" s="49">
        <v>-0.5</v>
      </c>
      <c r="AP237" s="49"/>
      <c r="AR237" s="127"/>
      <c r="BA237" s="127"/>
    </row>
    <row r="238">
      <c r="R238" s="223"/>
      <c r="AL238" s="49"/>
      <c r="AM238" s="49"/>
      <c r="AN238" s="49">
        <v>-0.5</v>
      </c>
      <c r="AO238" s="49">
        <v>-0.5</v>
      </c>
      <c r="AP238" s="49"/>
      <c r="AR238" s="127"/>
      <c r="BA238" s="127"/>
    </row>
    <row r="239">
      <c r="R239" s="223"/>
      <c r="AL239" s="49"/>
      <c r="AM239" s="49"/>
      <c r="AN239" s="49">
        <v>-0.5</v>
      </c>
      <c r="AO239" s="49">
        <v>-0.5</v>
      </c>
      <c r="AP239" s="49"/>
      <c r="AR239" s="127"/>
      <c r="BA239" s="127"/>
    </row>
    <row r="240">
      <c r="R240" s="223"/>
      <c r="AL240" s="49"/>
      <c r="AM240" s="49"/>
      <c r="AN240" s="49">
        <v>-0.5</v>
      </c>
      <c r="AO240" s="49">
        <v>-0.5</v>
      </c>
      <c r="AP240" s="49"/>
      <c r="AR240" s="127"/>
      <c r="BA240" s="127"/>
    </row>
    <row r="241">
      <c r="R241" s="223"/>
      <c r="AL241" s="49"/>
      <c r="AM241" s="49"/>
      <c r="AN241" s="49">
        <v>-0.5</v>
      </c>
      <c r="AO241" s="49">
        <v>-0.5</v>
      </c>
      <c r="AP241" s="49"/>
      <c r="AR241" s="127"/>
      <c r="BA241" s="127"/>
    </row>
    <row r="242">
      <c r="R242" s="223"/>
      <c r="AL242" s="49"/>
      <c r="AM242" s="49"/>
      <c r="AN242" s="49">
        <v>-0.5</v>
      </c>
      <c r="AO242" s="49">
        <v>-0.5</v>
      </c>
      <c r="AP242" s="49"/>
      <c r="AR242" s="127"/>
      <c r="BA242" s="127"/>
    </row>
    <row r="243">
      <c r="R243" s="223"/>
      <c r="AL243" s="49"/>
      <c r="AM243" s="49"/>
      <c r="AN243" s="49">
        <v>-0.5</v>
      </c>
      <c r="AO243" s="49">
        <v>-0.5</v>
      </c>
      <c r="AP243" s="49"/>
      <c r="AR243" s="127"/>
      <c r="BA243" s="127"/>
    </row>
    <row r="244">
      <c r="R244" s="223"/>
      <c r="AL244" s="49"/>
      <c r="AM244" s="49"/>
      <c r="AN244" s="49">
        <v>-0.5</v>
      </c>
      <c r="AO244" s="49">
        <v>-0.5</v>
      </c>
      <c r="AP244" s="49"/>
      <c r="AR244" s="127"/>
      <c r="BA244" s="127"/>
    </row>
    <row r="245">
      <c r="R245" s="223"/>
      <c r="AL245" s="49"/>
      <c r="AM245" s="49"/>
      <c r="AN245" s="49">
        <v>-0.5</v>
      </c>
      <c r="AO245" s="49">
        <v>-0.5</v>
      </c>
      <c r="AP245" s="49"/>
      <c r="AR245" s="127"/>
      <c r="BA245" s="127"/>
    </row>
    <row r="246">
      <c r="R246" s="223"/>
      <c r="AL246" s="49"/>
      <c r="AM246" s="49"/>
      <c r="AN246" s="49">
        <v>-0.5</v>
      </c>
      <c r="AO246" s="49">
        <v>-0.5</v>
      </c>
      <c r="AP246" s="49"/>
      <c r="AR246" s="127"/>
      <c r="BA246" s="127"/>
    </row>
    <row r="247">
      <c r="R247" s="223"/>
      <c r="AL247" s="49"/>
      <c r="AM247" s="49"/>
      <c r="AN247" s="49">
        <v>-0.5</v>
      </c>
      <c r="AO247" s="49">
        <v>-0.5</v>
      </c>
      <c r="AP247" s="49"/>
      <c r="AR247" s="127"/>
      <c r="BA247" s="127"/>
    </row>
    <row r="248">
      <c r="R248" s="223"/>
      <c r="AL248" s="49"/>
      <c r="AM248" s="49"/>
      <c r="AN248" s="49">
        <v>-0.5</v>
      </c>
      <c r="AO248" s="49">
        <v>-0.5</v>
      </c>
      <c r="AP248" s="49"/>
      <c r="AR248" s="127"/>
      <c r="BA248" s="127"/>
    </row>
    <row r="249">
      <c r="R249" s="223"/>
      <c r="AL249" s="49"/>
      <c r="AM249" s="49"/>
      <c r="AN249" s="49">
        <v>-0.5</v>
      </c>
      <c r="AO249" s="49">
        <v>-0.5</v>
      </c>
      <c r="AP249" s="49"/>
      <c r="AR249" s="127"/>
      <c r="BA249" s="127"/>
    </row>
    <row r="250">
      <c r="R250" s="223"/>
      <c r="AL250" s="49"/>
      <c r="AM250" s="49"/>
      <c r="AN250" s="49">
        <v>-0.5</v>
      </c>
      <c r="AO250" s="49">
        <v>-0.5</v>
      </c>
      <c r="AP250" s="49"/>
      <c r="AR250" s="127"/>
      <c r="BA250" s="127"/>
    </row>
    <row r="251">
      <c r="R251" s="223"/>
      <c r="AL251" s="49"/>
      <c r="AM251" s="49"/>
      <c r="AN251" s="49">
        <v>-0.5</v>
      </c>
      <c r="AO251" s="49">
        <v>-0.5</v>
      </c>
      <c r="AP251" s="49"/>
      <c r="AR251" s="127"/>
      <c r="BA251" s="127"/>
    </row>
    <row r="252">
      <c r="R252" s="223"/>
      <c r="AL252" s="49"/>
      <c r="AM252" s="49"/>
      <c r="AN252" s="49">
        <v>-0.5</v>
      </c>
      <c r="AO252" s="49">
        <v>-0.5</v>
      </c>
      <c r="AP252" s="49"/>
      <c r="AR252" s="127"/>
      <c r="BA252" s="127"/>
    </row>
    <row r="253">
      <c r="R253" s="223"/>
      <c r="AL253" s="49"/>
      <c r="AM253" s="49"/>
      <c r="AN253" s="49">
        <v>-0.5</v>
      </c>
      <c r="AO253" s="49">
        <v>-0.5</v>
      </c>
      <c r="AP253" s="49"/>
      <c r="AR253" s="127"/>
      <c r="BA253" s="127"/>
    </row>
    <row r="254">
      <c r="R254" s="223"/>
      <c r="AL254" s="49"/>
      <c r="AM254" s="49"/>
      <c r="AN254" s="49">
        <v>-0.5</v>
      </c>
      <c r="AO254" s="49">
        <v>-0.5</v>
      </c>
      <c r="AP254" s="49"/>
      <c r="AR254" s="127"/>
      <c r="BA254" s="127"/>
    </row>
    <row r="255">
      <c r="R255" s="223"/>
      <c r="AL255" s="49"/>
      <c r="AM255" s="49"/>
      <c r="AN255" s="49">
        <v>-0.5</v>
      </c>
      <c r="AO255" s="49">
        <v>-0.5</v>
      </c>
      <c r="AP255" s="49"/>
      <c r="AR255" s="127"/>
      <c r="BA255" s="127"/>
    </row>
    <row r="256">
      <c r="R256" s="223"/>
      <c r="AL256" s="49"/>
      <c r="AM256" s="49"/>
      <c r="AN256" s="49">
        <v>-0.5</v>
      </c>
      <c r="AO256" s="49">
        <v>-0.5</v>
      </c>
      <c r="AP256" s="49"/>
      <c r="AR256" s="127"/>
      <c r="BA256" s="127"/>
    </row>
    <row r="257">
      <c r="R257" s="223"/>
      <c r="AL257" s="49"/>
      <c r="AM257" s="49"/>
      <c r="AN257" s="49">
        <v>-0.5</v>
      </c>
      <c r="AO257" s="49">
        <v>-0.5</v>
      </c>
      <c r="AP257" s="49"/>
      <c r="AR257" s="127"/>
      <c r="BA257" s="127"/>
    </row>
    <row r="258">
      <c r="R258" s="223"/>
      <c r="AL258" s="49"/>
      <c r="AM258" s="49"/>
      <c r="AN258" s="49">
        <v>-0.5</v>
      </c>
      <c r="AO258" s="49">
        <v>-0.5</v>
      </c>
      <c r="AP258" s="49"/>
      <c r="AR258" s="127"/>
      <c r="BA258" s="127"/>
    </row>
    <row r="259">
      <c r="R259" s="223"/>
      <c r="AL259" s="49"/>
      <c r="AM259" s="49"/>
      <c r="AN259" s="49">
        <v>-0.5</v>
      </c>
      <c r="AO259" s="49">
        <v>-0.5</v>
      </c>
      <c r="AP259" s="49"/>
      <c r="AR259" s="127"/>
      <c r="BA259" s="127"/>
    </row>
    <row r="260">
      <c r="R260" s="223"/>
      <c r="AL260" s="49"/>
      <c r="AM260" s="49"/>
      <c r="AN260" s="49">
        <v>-0.5</v>
      </c>
      <c r="AO260" s="49">
        <v>-0.5</v>
      </c>
      <c r="AP260" s="49"/>
      <c r="AR260" s="127"/>
      <c r="BA260" s="127"/>
    </row>
    <row r="261">
      <c r="R261" s="223"/>
      <c r="AL261" s="49"/>
      <c r="AM261" s="49"/>
      <c r="AN261" s="49">
        <v>-0.5</v>
      </c>
      <c r="AO261" s="49">
        <v>-0.5</v>
      </c>
      <c r="AP261" s="49"/>
      <c r="AR261" s="127"/>
      <c r="BA261" s="127"/>
    </row>
    <row r="262">
      <c r="R262" s="223"/>
      <c r="AL262" s="49"/>
      <c r="AM262" s="49"/>
      <c r="AN262" s="49">
        <v>-0.5</v>
      </c>
      <c r="AO262" s="49">
        <v>-0.5</v>
      </c>
      <c r="AP262" s="49"/>
      <c r="AR262" s="127"/>
      <c r="BA262" s="127"/>
    </row>
    <row r="263">
      <c r="R263" s="223"/>
      <c r="AL263" s="49"/>
      <c r="AM263" s="49"/>
      <c r="AN263" s="49">
        <v>-0.5</v>
      </c>
      <c r="AO263" s="49">
        <v>-0.5</v>
      </c>
      <c r="AP263" s="49"/>
      <c r="AR263" s="127"/>
      <c r="BA263" s="127"/>
    </row>
    <row r="264">
      <c r="R264" s="223"/>
      <c r="AL264" s="49"/>
      <c r="AM264" s="49"/>
      <c r="AN264" s="49">
        <v>-0.5</v>
      </c>
      <c r="AO264" s="49">
        <v>-0.5</v>
      </c>
      <c r="AP264" s="49"/>
      <c r="AR264" s="127"/>
      <c r="BA264" s="127"/>
    </row>
    <row r="265">
      <c r="R265" s="223"/>
      <c r="AL265" s="49"/>
      <c r="AM265" s="49"/>
      <c r="AN265" s="49">
        <v>-0.5</v>
      </c>
      <c r="AO265" s="49">
        <v>-0.5</v>
      </c>
      <c r="AP265" s="49"/>
      <c r="AR265" s="127"/>
      <c r="BA265" s="127"/>
    </row>
    <row r="266">
      <c r="R266" s="223"/>
      <c r="AL266" s="49"/>
      <c r="AM266" s="49"/>
      <c r="AN266" s="49">
        <v>-0.5</v>
      </c>
      <c r="AO266" s="49">
        <v>-0.5</v>
      </c>
      <c r="AP266" s="49"/>
      <c r="AR266" s="127"/>
      <c r="BA266" s="127"/>
    </row>
    <row r="267">
      <c r="R267" s="223"/>
      <c r="AL267" s="49"/>
      <c r="AM267" s="49"/>
      <c r="AN267" s="49">
        <v>-0.5</v>
      </c>
      <c r="AO267" s="49">
        <v>-0.5</v>
      </c>
      <c r="AP267" s="49"/>
      <c r="AR267" s="127"/>
      <c r="BA267" s="127"/>
    </row>
    <row r="268">
      <c r="R268" s="223"/>
      <c r="AL268" s="49"/>
      <c r="AM268" s="49"/>
      <c r="AN268" s="49">
        <v>-0.5</v>
      </c>
      <c r="AO268" s="49">
        <v>-0.5</v>
      </c>
      <c r="AP268" s="49"/>
      <c r="AR268" s="127"/>
      <c r="BA268" s="127"/>
    </row>
    <row r="269">
      <c r="R269" s="223"/>
      <c r="AL269" s="49"/>
      <c r="AM269" s="49"/>
      <c r="AN269" s="49">
        <v>-0.5</v>
      </c>
      <c r="AO269" s="49">
        <v>-0.5</v>
      </c>
      <c r="AP269" s="49"/>
      <c r="AR269" s="127"/>
      <c r="BA269" s="127"/>
    </row>
    <row r="270">
      <c r="R270" s="223"/>
      <c r="AL270" s="49"/>
      <c r="AM270" s="49"/>
      <c r="AN270" s="49">
        <v>-0.5</v>
      </c>
      <c r="AO270" s="49">
        <v>-0.5</v>
      </c>
      <c r="AP270" s="49"/>
      <c r="AR270" s="127"/>
      <c r="BA270" s="127"/>
    </row>
    <row r="271">
      <c r="R271" s="223"/>
      <c r="AL271" s="49"/>
      <c r="AM271" s="49"/>
      <c r="AN271" s="49">
        <v>-0.5</v>
      </c>
      <c r="AO271" s="49">
        <v>-0.5</v>
      </c>
      <c r="AP271" s="49"/>
      <c r="AR271" s="127"/>
      <c r="BA271" s="127"/>
    </row>
    <row r="272">
      <c r="R272" s="223"/>
      <c r="AL272" s="49"/>
      <c r="AM272" s="49"/>
      <c r="AN272" s="49">
        <v>-0.5</v>
      </c>
      <c r="AO272" s="49">
        <v>-0.5</v>
      </c>
      <c r="AP272" s="49"/>
      <c r="AR272" s="127"/>
      <c r="BA272" s="127"/>
    </row>
    <row r="273">
      <c r="R273" s="223"/>
      <c r="AL273" s="49"/>
      <c r="AM273" s="49"/>
      <c r="AN273" s="49">
        <v>-0.5</v>
      </c>
      <c r="AO273" s="49">
        <v>-0.5</v>
      </c>
      <c r="AP273" s="49"/>
      <c r="AR273" s="127"/>
      <c r="BA273" s="127"/>
    </row>
    <row r="274">
      <c r="R274" s="223"/>
      <c r="AL274" s="49"/>
      <c r="AM274" s="49"/>
      <c r="AN274" s="49">
        <v>-0.5</v>
      </c>
      <c r="AO274" s="49">
        <v>-0.5</v>
      </c>
      <c r="AP274" s="49"/>
      <c r="AR274" s="127"/>
      <c r="BA274" s="127"/>
    </row>
    <row r="275">
      <c r="R275" s="223"/>
      <c r="AL275" s="49"/>
      <c r="AM275" s="49"/>
      <c r="AN275" s="49">
        <v>-0.5</v>
      </c>
      <c r="AO275" s="49">
        <v>-0.5</v>
      </c>
      <c r="AP275" s="49"/>
      <c r="AR275" s="127"/>
      <c r="BA275" s="127"/>
    </row>
    <row r="276">
      <c r="R276" s="223"/>
      <c r="AL276" s="49"/>
      <c r="AM276" s="49"/>
      <c r="AN276" s="49">
        <v>-0.5</v>
      </c>
      <c r="AO276" s="49">
        <v>-0.5</v>
      </c>
      <c r="AP276" s="49"/>
      <c r="AR276" s="127"/>
      <c r="BA276" s="127"/>
    </row>
    <row r="277">
      <c r="R277" s="223"/>
      <c r="AL277" s="49"/>
      <c r="AM277" s="49"/>
      <c r="AN277" s="49">
        <v>-0.5</v>
      </c>
      <c r="AO277" s="49">
        <v>-0.5</v>
      </c>
      <c r="AP277" s="49"/>
      <c r="AR277" s="127"/>
      <c r="BA277" s="127"/>
    </row>
    <row r="278">
      <c r="R278" s="223"/>
      <c r="AL278" s="49"/>
      <c r="AM278" s="49"/>
      <c r="AN278" s="49">
        <v>-0.5</v>
      </c>
      <c r="AO278" s="49">
        <v>-0.5</v>
      </c>
      <c r="AP278" s="49"/>
      <c r="AR278" s="127"/>
      <c r="BA278" s="127"/>
    </row>
    <row r="279">
      <c r="R279" s="223"/>
      <c r="AL279" s="49"/>
      <c r="AM279" s="49"/>
      <c r="AN279" s="49">
        <v>-0.5</v>
      </c>
      <c r="AO279" s="49">
        <v>-0.5</v>
      </c>
      <c r="AP279" s="49"/>
      <c r="AR279" s="127"/>
      <c r="BA279" s="127"/>
    </row>
    <row r="280">
      <c r="R280" s="223"/>
      <c r="AL280" s="49"/>
      <c r="AM280" s="49"/>
      <c r="AN280" s="49">
        <v>-0.5</v>
      </c>
      <c r="AO280" s="49">
        <v>-0.5</v>
      </c>
      <c r="AP280" s="49"/>
      <c r="AR280" s="127"/>
      <c r="BA280" s="127"/>
    </row>
    <row r="281">
      <c r="R281" s="223"/>
      <c r="AL281" s="49"/>
      <c r="AM281" s="49"/>
      <c r="AN281" s="49">
        <v>-0.5</v>
      </c>
      <c r="AO281" s="49">
        <v>-0.5</v>
      </c>
      <c r="AP281" s="49"/>
      <c r="AR281" s="127"/>
      <c r="BA281" s="127"/>
    </row>
    <row r="282">
      <c r="R282" s="223"/>
      <c r="AL282" s="49"/>
      <c r="AM282" s="49"/>
      <c r="AN282" s="49">
        <v>-0.5</v>
      </c>
      <c r="AO282" s="49">
        <v>-0.5</v>
      </c>
      <c r="AP282" s="49"/>
      <c r="AR282" s="127"/>
      <c r="BA282" s="127"/>
    </row>
    <row r="283">
      <c r="R283" s="223"/>
      <c r="AL283" s="49"/>
      <c r="AM283" s="49"/>
      <c r="AN283" s="49">
        <v>-0.5</v>
      </c>
      <c r="AO283" s="49">
        <v>-0.5</v>
      </c>
      <c r="AP283" s="49"/>
      <c r="AR283" s="127"/>
      <c r="BA283" s="127"/>
    </row>
    <row r="284">
      <c r="R284" s="223"/>
      <c r="AL284" s="49"/>
      <c r="AM284" s="49"/>
      <c r="AN284" s="49">
        <v>-0.5</v>
      </c>
      <c r="AO284" s="49">
        <v>-0.5</v>
      </c>
      <c r="AP284" s="49"/>
      <c r="AR284" s="127"/>
      <c r="BA284" s="127"/>
    </row>
    <row r="285">
      <c r="R285" s="223"/>
      <c r="AL285" s="49"/>
      <c r="AM285" s="49"/>
      <c r="AN285" s="49">
        <v>-0.5</v>
      </c>
      <c r="AO285" s="49">
        <v>-0.5</v>
      </c>
      <c r="AP285" s="49"/>
      <c r="AR285" s="127"/>
      <c r="BA285" s="127"/>
    </row>
    <row r="286">
      <c r="R286" s="223"/>
      <c r="AL286" s="49"/>
      <c r="AM286" s="49"/>
      <c r="AN286" s="49">
        <v>-0.5</v>
      </c>
      <c r="AO286" s="49">
        <v>-0.5</v>
      </c>
      <c r="AP286" s="49"/>
      <c r="AR286" s="127"/>
      <c r="BA286" s="127"/>
    </row>
    <row r="287">
      <c r="R287" s="223"/>
      <c r="AL287" s="49"/>
      <c r="AM287" s="49"/>
      <c r="AN287" s="49">
        <v>-0.5</v>
      </c>
      <c r="AO287" s="49">
        <v>-0.5</v>
      </c>
      <c r="AP287" s="49"/>
      <c r="AR287" s="127"/>
      <c r="BA287" s="127"/>
    </row>
    <row r="288">
      <c r="R288" s="223"/>
      <c r="AL288" s="49"/>
      <c r="AM288" s="49"/>
      <c r="AN288" s="49">
        <v>-0.5</v>
      </c>
      <c r="AO288" s="49">
        <v>-0.5</v>
      </c>
      <c r="AP288" s="49"/>
      <c r="AR288" s="127"/>
      <c r="BA288" s="127"/>
    </row>
    <row r="289">
      <c r="R289" s="223"/>
      <c r="AL289" s="49"/>
      <c r="AM289" s="49"/>
      <c r="AN289" s="49">
        <v>-0.5</v>
      </c>
      <c r="AO289" s="49">
        <v>-0.5</v>
      </c>
      <c r="AP289" s="49"/>
      <c r="AR289" s="127"/>
      <c r="BA289" s="127"/>
    </row>
    <row r="290">
      <c r="R290" s="223"/>
      <c r="AL290" s="49"/>
      <c r="AM290" s="49"/>
      <c r="AN290" s="49">
        <v>-0.5</v>
      </c>
      <c r="AO290" s="49">
        <v>-0.5</v>
      </c>
      <c r="AP290" s="49"/>
      <c r="AR290" s="127"/>
      <c r="BA290" s="127"/>
    </row>
    <row r="291">
      <c r="R291" s="223"/>
      <c r="AL291" s="49"/>
      <c r="AM291" s="49"/>
      <c r="AN291" s="49">
        <v>-0.5</v>
      </c>
      <c r="AO291" s="49">
        <v>-0.5</v>
      </c>
      <c r="AP291" s="49"/>
      <c r="AR291" s="127"/>
      <c r="BA291" s="127"/>
    </row>
    <row r="292">
      <c r="R292" s="223"/>
      <c r="AL292" s="49"/>
      <c r="AM292" s="49"/>
      <c r="AN292" s="49">
        <v>-0.5</v>
      </c>
      <c r="AO292" s="49">
        <v>-0.5</v>
      </c>
      <c r="AP292" s="49"/>
      <c r="AR292" s="127"/>
      <c r="BA292" s="127"/>
    </row>
    <row r="293">
      <c r="R293" s="223"/>
      <c r="AL293" s="49"/>
      <c r="AM293" s="49"/>
      <c r="AN293" s="49">
        <v>-0.5</v>
      </c>
      <c r="AO293" s="49">
        <v>-0.5</v>
      </c>
      <c r="AP293" s="49"/>
      <c r="AR293" s="127"/>
      <c r="BA293" s="127"/>
    </row>
    <row r="294">
      <c r="R294" s="223"/>
      <c r="AL294" s="49"/>
      <c r="AM294" s="49"/>
      <c r="AN294" s="49">
        <v>-0.5</v>
      </c>
      <c r="AO294" s="49">
        <v>-0.5</v>
      </c>
      <c r="AP294" s="49"/>
      <c r="AR294" s="127"/>
      <c r="BA294" s="127"/>
    </row>
    <row r="295">
      <c r="R295" s="223"/>
      <c r="AL295" s="49"/>
      <c r="AM295" s="49"/>
      <c r="AN295" s="49">
        <v>-0.5</v>
      </c>
      <c r="AO295" s="49">
        <v>-0.5</v>
      </c>
      <c r="AP295" s="49"/>
      <c r="AR295" s="127"/>
      <c r="BA295" s="127"/>
    </row>
    <row r="296">
      <c r="R296" s="223"/>
      <c r="AL296" s="49"/>
      <c r="AM296" s="49"/>
      <c r="AN296" s="49">
        <v>-0.5</v>
      </c>
      <c r="AO296" s="49">
        <v>-0.5</v>
      </c>
      <c r="AP296" s="49"/>
      <c r="AR296" s="127"/>
      <c r="BA296" s="127"/>
    </row>
    <row r="297">
      <c r="R297" s="223"/>
      <c r="AL297" s="49"/>
      <c r="AM297" s="49"/>
      <c r="AN297" s="49">
        <v>-0.5</v>
      </c>
      <c r="AO297" s="49">
        <v>-0.5</v>
      </c>
      <c r="AP297" s="49"/>
      <c r="AR297" s="127"/>
      <c r="BA297" s="127"/>
    </row>
    <row r="298">
      <c r="R298" s="223"/>
      <c r="AL298" s="49"/>
      <c r="AM298" s="49"/>
      <c r="AN298" s="49">
        <v>-0.5</v>
      </c>
      <c r="AO298" s="49">
        <v>-0.5</v>
      </c>
      <c r="AP298" s="49"/>
      <c r="AR298" s="127"/>
      <c r="BA298" s="127"/>
    </row>
    <row r="299">
      <c r="R299" s="223"/>
      <c r="AL299" s="49"/>
      <c r="AM299" s="49"/>
      <c r="AN299" s="49">
        <v>-0.5</v>
      </c>
      <c r="AO299" s="49">
        <v>-0.5</v>
      </c>
      <c r="AP299" s="49"/>
      <c r="AR299" s="127"/>
      <c r="BA299" s="127"/>
    </row>
    <row r="300">
      <c r="R300" s="223"/>
      <c r="AL300" s="49"/>
      <c r="AM300" s="49"/>
      <c r="AN300" s="49">
        <v>-0.5</v>
      </c>
      <c r="AO300" s="49">
        <v>-0.5</v>
      </c>
      <c r="AP300" s="49"/>
      <c r="AR300" s="127"/>
      <c r="BA300" s="127"/>
    </row>
    <row r="301">
      <c r="R301" s="223"/>
      <c r="AL301" s="49"/>
      <c r="AM301" s="49"/>
      <c r="AN301" s="49">
        <v>-0.5</v>
      </c>
      <c r="AO301" s="49">
        <v>-0.5</v>
      </c>
      <c r="AP301" s="49"/>
      <c r="AR301" s="127"/>
      <c r="BA301" s="127"/>
    </row>
    <row r="302">
      <c r="R302" s="223"/>
      <c r="AL302" s="49"/>
      <c r="AM302" s="49"/>
      <c r="AN302" s="49">
        <v>-0.5</v>
      </c>
      <c r="AO302" s="49">
        <v>-0.5</v>
      </c>
      <c r="AP302" s="49"/>
      <c r="AR302" s="127"/>
      <c r="BA302" s="127"/>
    </row>
    <row r="303">
      <c r="R303" s="223"/>
      <c r="AL303" s="49"/>
      <c r="AM303" s="49"/>
      <c r="AN303" s="49">
        <v>-0.5</v>
      </c>
      <c r="AO303" s="49">
        <v>-0.5</v>
      </c>
      <c r="AP303" s="49"/>
      <c r="AR303" s="127"/>
      <c r="BA303" s="127"/>
    </row>
    <row r="304">
      <c r="R304" s="223"/>
      <c r="AL304" s="49"/>
      <c r="AM304" s="49"/>
      <c r="AN304" s="49">
        <v>-0.5</v>
      </c>
      <c r="AO304" s="49">
        <v>-0.5</v>
      </c>
      <c r="AP304" s="49"/>
      <c r="AR304" s="127"/>
      <c r="BA304" s="127"/>
    </row>
    <row r="305">
      <c r="R305" s="223"/>
      <c r="AL305" s="49"/>
      <c r="AM305" s="49"/>
      <c r="AN305" s="49">
        <v>-0.5</v>
      </c>
      <c r="AO305" s="49">
        <v>-0.5</v>
      </c>
      <c r="AP305" s="49"/>
      <c r="AR305" s="127"/>
      <c r="BA305" s="127"/>
    </row>
    <row r="306">
      <c r="R306" s="223"/>
      <c r="AL306" s="49"/>
      <c r="AM306" s="49"/>
      <c r="AN306" s="49">
        <v>-0.5</v>
      </c>
      <c r="AO306" s="49">
        <v>-0.5</v>
      </c>
      <c r="AP306" s="49"/>
      <c r="AR306" s="127"/>
      <c r="BA306" s="127"/>
    </row>
    <row r="307">
      <c r="R307" s="223"/>
      <c r="AL307" s="49"/>
      <c r="AM307" s="49"/>
      <c r="AN307" s="49">
        <v>-0.5</v>
      </c>
      <c r="AO307" s="49">
        <v>-0.5</v>
      </c>
      <c r="AP307" s="49"/>
      <c r="AR307" s="127"/>
      <c r="BA307" s="127"/>
    </row>
    <row r="308">
      <c r="R308" s="223"/>
      <c r="AL308" s="49"/>
      <c r="AM308" s="49"/>
      <c r="AN308" s="49">
        <v>-0.5</v>
      </c>
      <c r="AO308" s="49">
        <v>-0.5</v>
      </c>
      <c r="AP308" s="49"/>
      <c r="AR308" s="127"/>
      <c r="BA308" s="127"/>
    </row>
    <row r="309">
      <c r="R309" s="223"/>
      <c r="AL309" s="49"/>
      <c r="AM309" s="49"/>
      <c r="AN309" s="49">
        <v>-0.5</v>
      </c>
      <c r="AO309" s="49">
        <v>-0.5</v>
      </c>
      <c r="AP309" s="49"/>
      <c r="AR309" s="127"/>
      <c r="BA309" s="127"/>
    </row>
    <row r="310">
      <c r="R310" s="223"/>
      <c r="AL310" s="49"/>
      <c r="AM310" s="49"/>
      <c r="AN310" s="49">
        <v>-0.5</v>
      </c>
      <c r="AO310" s="49">
        <v>-0.5</v>
      </c>
      <c r="AP310" s="49"/>
      <c r="AR310" s="127"/>
      <c r="BA310" s="127"/>
    </row>
    <row r="311">
      <c r="R311" s="223"/>
      <c r="AL311" s="49"/>
      <c r="AM311" s="49"/>
      <c r="AN311" s="49">
        <v>-0.5</v>
      </c>
      <c r="AO311" s="49">
        <v>-0.5</v>
      </c>
      <c r="AP311" s="49"/>
      <c r="AR311" s="127"/>
      <c r="BA311" s="127"/>
    </row>
    <row r="312">
      <c r="R312" s="223"/>
      <c r="AL312" s="49"/>
      <c r="AM312" s="49"/>
      <c r="AN312" s="49">
        <v>-0.5</v>
      </c>
      <c r="AO312" s="49">
        <v>-0.5</v>
      </c>
      <c r="AP312" s="49"/>
      <c r="AR312" s="127"/>
      <c r="BA312" s="127"/>
    </row>
    <row r="313">
      <c r="R313" s="223"/>
      <c r="AL313" s="49"/>
      <c r="AM313" s="49"/>
      <c r="AN313" s="49">
        <v>-0.5</v>
      </c>
      <c r="AO313" s="49">
        <v>-0.5</v>
      </c>
      <c r="AP313" s="49"/>
      <c r="AR313" s="127"/>
      <c r="BA313" s="127"/>
    </row>
    <row r="314">
      <c r="R314" s="223"/>
      <c r="AL314" s="49"/>
      <c r="AM314" s="49"/>
      <c r="AN314" s="49">
        <v>-0.5</v>
      </c>
      <c r="AO314" s="49">
        <v>-0.5</v>
      </c>
      <c r="AP314" s="49"/>
      <c r="AR314" s="127"/>
      <c r="BA314" s="127"/>
    </row>
    <row r="315">
      <c r="R315" s="223"/>
      <c r="AL315" s="49"/>
      <c r="AM315" s="49"/>
      <c r="AN315" s="49">
        <v>-0.5</v>
      </c>
      <c r="AO315" s="49">
        <v>-0.5</v>
      </c>
      <c r="AP315" s="49"/>
      <c r="AR315" s="127"/>
      <c r="BA315" s="127"/>
    </row>
    <row r="316">
      <c r="R316" s="223"/>
      <c r="AL316" s="49"/>
      <c r="AM316" s="49"/>
      <c r="AN316" s="49">
        <v>-0.5</v>
      </c>
      <c r="AO316" s="49">
        <v>-0.5</v>
      </c>
      <c r="AP316" s="49"/>
      <c r="AR316" s="127"/>
      <c r="BA316" s="127"/>
    </row>
    <row r="317">
      <c r="R317" s="223"/>
      <c r="AL317" s="49"/>
      <c r="AM317" s="49"/>
      <c r="AN317" s="49">
        <v>-0.5</v>
      </c>
      <c r="AO317" s="49">
        <v>-0.5</v>
      </c>
      <c r="AP317" s="49"/>
      <c r="AR317" s="127"/>
      <c r="BA317" s="127"/>
    </row>
    <row r="318">
      <c r="R318" s="223"/>
      <c r="AL318" s="49"/>
      <c r="AM318" s="49"/>
      <c r="AN318" s="49">
        <v>-0.5</v>
      </c>
      <c r="AO318" s="49">
        <v>-0.5</v>
      </c>
      <c r="AP318" s="49"/>
      <c r="AR318" s="127"/>
      <c r="BA318" s="127"/>
    </row>
    <row r="319">
      <c r="R319" s="223"/>
      <c r="AL319" s="49"/>
      <c r="AM319" s="49"/>
      <c r="AN319" s="49">
        <v>-0.5</v>
      </c>
      <c r="AO319" s="49">
        <v>-0.5</v>
      </c>
      <c r="AP319" s="49"/>
      <c r="AR319" s="127"/>
      <c r="BA319" s="127"/>
    </row>
    <row r="320">
      <c r="R320" s="223"/>
      <c r="AL320" s="49"/>
      <c r="AM320" s="49"/>
      <c r="AN320" s="49">
        <v>-0.5</v>
      </c>
      <c r="AO320" s="49">
        <v>-0.5</v>
      </c>
      <c r="AP320" s="49"/>
      <c r="AR320" s="127"/>
      <c r="BA320" s="127"/>
    </row>
    <row r="321">
      <c r="R321" s="223"/>
      <c r="AL321" s="49"/>
      <c r="AM321" s="49"/>
      <c r="AN321" s="49">
        <v>-0.5</v>
      </c>
      <c r="AO321" s="49">
        <v>-0.5</v>
      </c>
      <c r="AP321" s="49"/>
      <c r="AR321" s="127"/>
      <c r="BA321" s="127"/>
    </row>
    <row r="322">
      <c r="R322" s="223"/>
      <c r="AL322" s="49"/>
      <c r="AM322" s="49"/>
      <c r="AN322" s="49">
        <v>-0.5</v>
      </c>
      <c r="AO322" s="49">
        <v>-0.5</v>
      </c>
      <c r="AP322" s="49"/>
      <c r="AR322" s="127"/>
      <c r="BA322" s="127"/>
    </row>
    <row r="323">
      <c r="R323" s="223"/>
      <c r="AL323" s="49"/>
      <c r="AM323" s="49"/>
      <c r="AN323" s="49">
        <v>-0.5</v>
      </c>
      <c r="AO323" s="49">
        <v>-0.5</v>
      </c>
      <c r="AP323" s="49"/>
      <c r="AR323" s="127"/>
      <c r="BA323" s="127"/>
    </row>
    <row r="324">
      <c r="R324" s="223"/>
      <c r="AL324" s="49"/>
      <c r="AM324" s="49"/>
      <c r="AN324" s="49">
        <v>-0.5</v>
      </c>
      <c r="AO324" s="49">
        <v>-0.5</v>
      </c>
      <c r="AP324" s="49"/>
      <c r="AR324" s="127"/>
      <c r="BA324" s="127"/>
    </row>
    <row r="325">
      <c r="R325" s="223"/>
      <c r="AL325" s="49"/>
      <c r="AM325" s="49"/>
      <c r="AN325" s="49">
        <v>-0.5</v>
      </c>
      <c r="AO325" s="49">
        <v>-0.5</v>
      </c>
      <c r="AP325" s="49"/>
      <c r="AR325" s="127"/>
      <c r="BA325" s="127"/>
    </row>
    <row r="326">
      <c r="R326" s="223"/>
      <c r="AL326" s="49"/>
      <c r="AM326" s="49"/>
      <c r="AN326" s="49">
        <v>-0.5</v>
      </c>
      <c r="AO326" s="49">
        <v>-0.5</v>
      </c>
      <c r="AP326" s="49"/>
      <c r="AR326" s="127"/>
      <c r="BA326" s="127"/>
    </row>
    <row r="327">
      <c r="R327" s="223"/>
      <c r="AL327" s="49"/>
      <c r="AM327" s="49"/>
      <c r="AN327" s="49">
        <v>-0.5</v>
      </c>
      <c r="AO327" s="49">
        <v>-0.5</v>
      </c>
      <c r="AP327" s="49"/>
      <c r="AR327" s="127"/>
      <c r="BA327" s="127"/>
    </row>
    <row r="328">
      <c r="R328" s="223"/>
      <c r="AL328" s="49"/>
      <c r="AM328" s="49"/>
      <c r="AN328" s="49">
        <v>-0.5</v>
      </c>
      <c r="AO328" s="49">
        <v>-0.5</v>
      </c>
      <c r="AP328" s="49"/>
      <c r="AR328" s="127"/>
      <c r="BA328" s="127"/>
    </row>
    <row r="329">
      <c r="R329" s="223"/>
      <c r="AL329" s="49"/>
      <c r="AM329" s="49"/>
      <c r="AN329" s="49">
        <v>-0.5</v>
      </c>
      <c r="AO329" s="49">
        <v>-0.5</v>
      </c>
      <c r="AP329" s="49"/>
      <c r="AR329" s="127"/>
      <c r="BA329" s="127"/>
    </row>
    <row r="330">
      <c r="R330" s="223"/>
      <c r="AL330" s="49"/>
      <c r="AM330" s="49"/>
      <c r="AN330" s="49">
        <v>-0.5</v>
      </c>
      <c r="AO330" s="49">
        <v>-0.5</v>
      </c>
      <c r="AP330" s="49"/>
      <c r="AR330" s="127"/>
      <c r="BA330" s="127"/>
    </row>
    <row r="331">
      <c r="R331" s="223"/>
      <c r="AL331" s="49"/>
      <c r="AM331" s="49"/>
      <c r="AN331" s="49">
        <v>-0.5</v>
      </c>
      <c r="AO331" s="49">
        <v>-0.5</v>
      </c>
      <c r="AP331" s="49"/>
      <c r="AR331" s="127"/>
      <c r="BA331" s="127"/>
    </row>
    <row r="332">
      <c r="R332" s="223"/>
      <c r="AL332" s="49"/>
      <c r="AM332" s="49"/>
      <c r="AN332" s="49">
        <v>-0.5</v>
      </c>
      <c r="AO332" s="49">
        <v>-0.5</v>
      </c>
      <c r="AP332" s="49"/>
      <c r="AR332" s="127"/>
      <c r="BA332" s="127"/>
    </row>
    <row r="333">
      <c r="R333" s="223"/>
      <c r="AL333" s="49"/>
      <c r="AM333" s="49"/>
      <c r="AN333" s="49">
        <v>-0.5</v>
      </c>
      <c r="AO333" s="49">
        <v>-0.5</v>
      </c>
      <c r="AP333" s="49"/>
      <c r="AR333" s="127"/>
      <c r="BA333" s="127"/>
    </row>
    <row r="334">
      <c r="R334" s="223"/>
      <c r="AL334" s="49"/>
      <c r="AM334" s="49"/>
      <c r="AN334" s="49">
        <v>-0.5</v>
      </c>
      <c r="AO334" s="49">
        <v>-0.5</v>
      </c>
      <c r="AP334" s="49"/>
      <c r="AR334" s="127"/>
      <c r="BA334" s="127"/>
    </row>
    <row r="335">
      <c r="R335" s="223"/>
      <c r="AL335" s="49"/>
      <c r="AM335" s="49"/>
      <c r="AN335" s="49">
        <v>-0.5</v>
      </c>
      <c r="AO335" s="49">
        <v>-0.5</v>
      </c>
      <c r="AP335" s="49"/>
      <c r="AR335" s="127"/>
      <c r="BA335" s="127"/>
    </row>
    <row r="336">
      <c r="R336" s="223"/>
      <c r="AL336" s="49"/>
      <c r="AM336" s="49"/>
      <c r="AN336" s="49">
        <v>-0.5</v>
      </c>
      <c r="AO336" s="49">
        <v>-0.5</v>
      </c>
      <c r="AP336" s="49"/>
      <c r="AR336" s="127"/>
      <c r="BA336" s="127"/>
    </row>
    <row r="337">
      <c r="R337" s="223"/>
      <c r="AL337" s="49"/>
      <c r="AM337" s="49"/>
      <c r="AN337" s="49">
        <v>-0.5</v>
      </c>
      <c r="AO337" s="49">
        <v>-0.5</v>
      </c>
      <c r="AP337" s="49"/>
      <c r="AR337" s="127"/>
      <c r="BA337" s="127"/>
    </row>
    <row r="338">
      <c r="R338" s="223"/>
      <c r="AL338" s="49"/>
      <c r="AM338" s="49"/>
      <c r="AN338" s="49">
        <v>-0.5</v>
      </c>
      <c r="AO338" s="49">
        <v>-0.5</v>
      </c>
      <c r="AP338" s="49"/>
      <c r="AR338" s="127"/>
      <c r="BA338" s="127"/>
    </row>
    <row r="339">
      <c r="R339" s="223"/>
      <c r="AL339" s="49"/>
      <c r="AM339" s="49"/>
      <c r="AN339" s="49">
        <v>-0.5</v>
      </c>
      <c r="AO339" s="49">
        <v>-0.5</v>
      </c>
      <c r="AP339" s="49"/>
      <c r="AR339" s="127"/>
      <c r="BA339" s="127"/>
    </row>
    <row r="340">
      <c r="R340" s="223"/>
      <c r="AL340" s="49"/>
      <c r="AM340" s="49"/>
      <c r="AN340" s="49">
        <v>-0.5</v>
      </c>
      <c r="AO340" s="49">
        <v>-0.5</v>
      </c>
      <c r="AP340" s="49"/>
      <c r="AR340" s="127"/>
      <c r="BA340" s="127"/>
    </row>
    <row r="341">
      <c r="R341" s="223"/>
      <c r="AL341" s="49"/>
      <c r="AM341" s="49"/>
      <c r="AN341" s="49">
        <v>-0.5</v>
      </c>
      <c r="AO341" s="49">
        <v>-0.5</v>
      </c>
      <c r="AP341" s="49"/>
      <c r="AR341" s="127"/>
      <c r="BA341" s="127"/>
    </row>
    <row r="342">
      <c r="R342" s="223"/>
      <c r="AL342" s="49"/>
      <c r="AM342" s="49"/>
      <c r="AN342" s="49">
        <v>-0.5</v>
      </c>
      <c r="AO342" s="49">
        <v>-0.5</v>
      </c>
      <c r="AP342" s="49"/>
      <c r="AR342" s="127"/>
      <c r="BA342" s="127"/>
    </row>
    <row r="343">
      <c r="R343" s="223"/>
      <c r="AL343" s="49"/>
      <c r="AM343" s="49"/>
      <c r="AN343" s="49">
        <v>-0.5</v>
      </c>
      <c r="AO343" s="49">
        <v>-0.5</v>
      </c>
      <c r="AP343" s="49"/>
      <c r="AR343" s="127"/>
      <c r="BA343" s="127"/>
    </row>
    <row r="344">
      <c r="R344" s="223"/>
      <c r="AL344" s="49"/>
      <c r="AM344" s="49"/>
      <c r="AN344" s="49">
        <v>-0.5</v>
      </c>
      <c r="AO344" s="49">
        <v>-0.5</v>
      </c>
      <c r="AP344" s="49"/>
      <c r="AR344" s="127"/>
      <c r="BA344" s="127"/>
    </row>
    <row r="345">
      <c r="R345" s="223"/>
      <c r="AL345" s="49"/>
      <c r="AM345" s="49"/>
      <c r="AN345" s="49">
        <v>-0.5</v>
      </c>
      <c r="AO345" s="49">
        <v>-0.5</v>
      </c>
      <c r="AP345" s="49"/>
      <c r="AR345" s="127"/>
      <c r="BA345" s="127"/>
    </row>
    <row r="346">
      <c r="R346" s="223"/>
      <c r="AL346" s="49"/>
      <c r="AM346" s="49"/>
      <c r="AN346" s="49">
        <v>-0.5</v>
      </c>
      <c r="AO346" s="49">
        <v>-0.5</v>
      </c>
      <c r="AP346" s="49"/>
      <c r="AR346" s="127"/>
      <c r="BA346" s="127"/>
    </row>
    <row r="347">
      <c r="R347" s="223"/>
      <c r="AL347" s="49"/>
      <c r="AM347" s="49"/>
      <c r="AN347" s="49">
        <v>-0.5</v>
      </c>
      <c r="AO347" s="49">
        <v>-0.5</v>
      </c>
      <c r="AP347" s="49"/>
      <c r="AR347" s="127"/>
      <c r="BA347" s="127"/>
    </row>
    <row r="348">
      <c r="R348" s="223"/>
      <c r="AL348" s="49"/>
      <c r="AM348" s="49"/>
      <c r="AN348" s="49">
        <v>-0.5</v>
      </c>
      <c r="AO348" s="49">
        <v>-0.5</v>
      </c>
      <c r="AP348" s="49"/>
      <c r="AR348" s="127"/>
      <c r="BA348" s="127"/>
    </row>
    <row r="349">
      <c r="R349" s="223"/>
      <c r="AL349" s="49"/>
      <c r="AM349" s="49"/>
      <c r="AN349" s="49">
        <v>-0.5</v>
      </c>
      <c r="AO349" s="49">
        <v>-0.5</v>
      </c>
      <c r="AP349" s="49"/>
      <c r="AR349" s="127"/>
      <c r="BA349" s="127"/>
    </row>
    <row r="350">
      <c r="R350" s="223"/>
      <c r="AL350" s="49"/>
      <c r="AM350" s="49"/>
      <c r="AN350" s="49">
        <v>-0.5</v>
      </c>
      <c r="AO350" s="49">
        <v>-0.5</v>
      </c>
      <c r="AP350" s="49"/>
      <c r="AR350" s="127"/>
      <c r="BA350" s="127"/>
    </row>
    <row r="351">
      <c r="R351" s="223"/>
      <c r="AL351" s="49"/>
      <c r="AM351" s="49"/>
      <c r="AN351" s="49">
        <v>-0.5</v>
      </c>
      <c r="AO351" s="49">
        <v>-0.5</v>
      </c>
      <c r="AP351" s="49"/>
      <c r="AR351" s="127"/>
      <c r="BA351" s="127"/>
    </row>
    <row r="352">
      <c r="R352" s="223"/>
      <c r="AL352" s="49"/>
      <c r="AM352" s="49"/>
      <c r="AN352" s="49">
        <v>-0.5</v>
      </c>
      <c r="AO352" s="49">
        <v>-0.5</v>
      </c>
      <c r="AP352" s="49"/>
      <c r="AR352" s="127"/>
      <c r="BA352" s="127"/>
    </row>
    <row r="353">
      <c r="R353" s="223"/>
      <c r="AL353" s="49"/>
      <c r="AM353" s="49"/>
      <c r="AN353" s="49">
        <v>-0.5</v>
      </c>
      <c r="AO353" s="49">
        <v>-0.5</v>
      </c>
      <c r="AP353" s="49"/>
      <c r="AR353" s="127"/>
      <c r="BA353" s="127"/>
    </row>
    <row r="354">
      <c r="R354" s="223"/>
      <c r="AL354" s="49"/>
      <c r="AM354" s="49"/>
      <c r="AN354" s="49">
        <v>-0.5</v>
      </c>
      <c r="AO354" s="49">
        <v>-0.5</v>
      </c>
      <c r="AP354" s="49"/>
      <c r="AR354" s="127"/>
      <c r="BA354" s="127"/>
    </row>
    <row r="355">
      <c r="R355" s="223"/>
      <c r="AL355" s="49"/>
      <c r="AM355" s="49"/>
      <c r="AN355" s="49">
        <v>-0.5</v>
      </c>
      <c r="AO355" s="49">
        <v>-0.5</v>
      </c>
      <c r="AP355" s="49"/>
      <c r="AR355" s="127"/>
      <c r="BA355" s="127"/>
    </row>
    <row r="356">
      <c r="R356" s="223"/>
      <c r="AL356" s="49"/>
      <c r="AM356" s="49"/>
      <c r="AN356" s="49">
        <v>-0.5</v>
      </c>
      <c r="AO356" s="49">
        <v>-0.5</v>
      </c>
      <c r="AP356" s="49"/>
      <c r="AR356" s="127"/>
      <c r="BA356" s="127"/>
    </row>
    <row r="357">
      <c r="R357" s="223"/>
      <c r="AL357" s="49"/>
      <c r="AM357" s="49"/>
      <c r="AN357" s="49">
        <v>-0.5</v>
      </c>
      <c r="AO357" s="49">
        <v>-0.5</v>
      </c>
      <c r="AP357" s="49"/>
      <c r="AR357" s="127"/>
      <c r="BA357" s="127"/>
    </row>
    <row r="358">
      <c r="R358" s="223"/>
      <c r="AL358" s="49"/>
      <c r="AM358" s="49"/>
      <c r="AN358" s="49">
        <v>-0.5</v>
      </c>
      <c r="AO358" s="49">
        <v>-0.5</v>
      </c>
      <c r="AP358" s="49"/>
      <c r="AR358" s="127"/>
      <c r="BA358" s="127"/>
    </row>
    <row r="359">
      <c r="R359" s="223"/>
      <c r="AL359" s="49"/>
      <c r="AM359" s="49"/>
      <c r="AN359" s="49">
        <v>-0.5</v>
      </c>
      <c r="AO359" s="49">
        <v>-0.5</v>
      </c>
      <c r="AP359" s="49"/>
      <c r="AR359" s="127"/>
      <c r="BA359" s="127"/>
    </row>
    <row r="360">
      <c r="R360" s="223"/>
      <c r="AL360" s="49"/>
      <c r="AM360" s="49"/>
      <c r="AN360" s="49">
        <v>-0.5</v>
      </c>
      <c r="AO360" s="49">
        <v>-0.5</v>
      </c>
      <c r="AP360" s="49"/>
      <c r="AR360" s="127"/>
      <c r="BA360" s="127"/>
    </row>
    <row r="361">
      <c r="R361" s="223"/>
      <c r="AL361" s="49"/>
      <c r="AM361" s="49"/>
      <c r="AN361" s="49">
        <v>-0.5</v>
      </c>
      <c r="AO361" s="49">
        <v>-0.5</v>
      </c>
      <c r="AP361" s="49"/>
      <c r="AR361" s="127"/>
      <c r="BA361" s="127"/>
    </row>
    <row r="362">
      <c r="R362" s="223"/>
      <c r="AL362" s="49"/>
      <c r="AM362" s="49"/>
      <c r="AN362" s="49">
        <v>-0.5</v>
      </c>
      <c r="AO362" s="49">
        <v>-0.5</v>
      </c>
      <c r="AP362" s="49"/>
      <c r="AR362" s="127"/>
      <c r="BA362" s="127"/>
    </row>
    <row r="363">
      <c r="R363" s="223"/>
      <c r="AL363" s="49"/>
      <c r="AM363" s="49"/>
      <c r="AN363" s="49">
        <v>-0.5</v>
      </c>
      <c r="AO363" s="49">
        <v>-0.5</v>
      </c>
      <c r="AP363" s="49"/>
      <c r="AR363" s="127"/>
      <c r="BA363" s="127"/>
    </row>
    <row r="364">
      <c r="R364" s="223"/>
      <c r="AL364" s="49"/>
      <c r="AM364" s="49"/>
      <c r="AN364" s="49">
        <v>-0.5</v>
      </c>
      <c r="AO364" s="49">
        <v>-0.5</v>
      </c>
      <c r="AP364" s="49"/>
      <c r="AR364" s="127"/>
      <c r="BA364" s="127"/>
    </row>
    <row r="365">
      <c r="R365" s="223"/>
      <c r="AL365" s="49"/>
      <c r="AM365" s="49"/>
      <c r="AN365" s="49">
        <v>-0.5</v>
      </c>
      <c r="AO365" s="49">
        <v>-0.5</v>
      </c>
      <c r="AP365" s="49"/>
      <c r="AR365" s="127"/>
      <c r="BA365" s="127"/>
    </row>
    <row r="366">
      <c r="R366" s="223"/>
      <c r="AL366" s="49"/>
      <c r="AM366" s="49"/>
      <c r="AN366" s="49">
        <v>-0.5</v>
      </c>
      <c r="AO366" s="49">
        <v>-0.5</v>
      </c>
      <c r="AP366" s="49"/>
      <c r="AR366" s="127"/>
      <c r="BA366" s="127"/>
    </row>
    <row r="367">
      <c r="R367" s="223"/>
      <c r="AL367" s="49"/>
      <c r="AM367" s="49"/>
      <c r="AN367" s="49">
        <v>-0.5</v>
      </c>
      <c r="AO367" s="49">
        <v>-0.5</v>
      </c>
      <c r="AP367" s="49"/>
      <c r="AR367" s="127"/>
      <c r="BA367" s="127"/>
    </row>
    <row r="368">
      <c r="R368" s="223"/>
      <c r="AL368" s="49"/>
      <c r="AM368" s="49"/>
      <c r="AN368" s="49">
        <v>-0.5</v>
      </c>
      <c r="AO368" s="49">
        <v>-0.5</v>
      </c>
      <c r="AP368" s="49"/>
      <c r="AR368" s="127"/>
      <c r="BA368" s="127"/>
    </row>
    <row r="369">
      <c r="R369" s="223"/>
      <c r="AL369" s="49"/>
      <c r="AM369" s="49"/>
      <c r="AN369" s="49">
        <v>-0.5</v>
      </c>
      <c r="AO369" s="49">
        <v>-0.5</v>
      </c>
      <c r="AP369" s="49"/>
      <c r="AR369" s="127"/>
      <c r="BA369" s="127"/>
    </row>
    <row r="370">
      <c r="R370" s="223"/>
      <c r="AL370" s="49"/>
      <c r="AM370" s="49"/>
      <c r="AN370" s="49">
        <v>-0.5</v>
      </c>
      <c r="AO370" s="49">
        <v>-0.5</v>
      </c>
      <c r="AP370" s="49"/>
      <c r="AR370" s="127"/>
      <c r="BA370" s="127"/>
    </row>
    <row r="371">
      <c r="R371" s="223"/>
      <c r="AL371" s="49"/>
      <c r="AM371" s="49"/>
      <c r="AN371" s="49">
        <v>-0.5</v>
      </c>
      <c r="AO371" s="49">
        <v>-0.5</v>
      </c>
      <c r="AP371" s="49"/>
      <c r="AR371" s="127"/>
      <c r="BA371" s="127"/>
    </row>
    <row r="372">
      <c r="R372" s="223"/>
      <c r="AL372" s="49"/>
      <c r="AM372" s="49"/>
      <c r="AN372" s="49">
        <v>-0.5</v>
      </c>
      <c r="AO372" s="49">
        <v>-0.5</v>
      </c>
      <c r="AP372" s="49"/>
      <c r="AR372" s="127"/>
      <c r="BA372" s="127"/>
    </row>
    <row r="373">
      <c r="R373" s="223"/>
      <c r="AL373" s="49"/>
      <c r="AM373" s="49"/>
      <c r="AN373" s="49">
        <v>-0.5</v>
      </c>
      <c r="AO373" s="49">
        <v>-0.5</v>
      </c>
      <c r="AP373" s="49"/>
      <c r="AR373" s="127"/>
      <c r="BA373" s="127"/>
    </row>
    <row r="374">
      <c r="R374" s="223"/>
      <c r="AL374" s="49"/>
      <c r="AM374" s="49"/>
      <c r="AN374" s="49">
        <v>-0.5</v>
      </c>
      <c r="AO374" s="49">
        <v>-0.5</v>
      </c>
      <c r="AP374" s="49"/>
      <c r="AR374" s="127"/>
      <c r="BA374" s="127"/>
    </row>
    <row r="375">
      <c r="R375" s="223"/>
      <c r="AL375" s="49"/>
      <c r="AM375" s="49"/>
      <c r="AN375" s="49">
        <v>-0.5</v>
      </c>
      <c r="AO375" s="49">
        <v>-0.5</v>
      </c>
      <c r="AP375" s="49"/>
      <c r="AR375" s="127"/>
      <c r="BA375" s="127"/>
    </row>
    <row r="376">
      <c r="R376" s="223"/>
      <c r="AL376" s="49"/>
      <c r="AM376" s="49"/>
      <c r="AN376" s="49">
        <v>-0.5</v>
      </c>
      <c r="AO376" s="49">
        <v>-0.5</v>
      </c>
      <c r="AP376" s="49"/>
      <c r="AR376" s="127"/>
      <c r="BA376" s="127"/>
    </row>
    <row r="377">
      <c r="R377" s="223"/>
      <c r="AL377" s="49"/>
      <c r="AM377" s="49"/>
      <c r="AN377" s="49">
        <v>-0.5</v>
      </c>
      <c r="AO377" s="49">
        <v>-0.5</v>
      </c>
      <c r="AP377" s="49"/>
      <c r="AR377" s="127"/>
      <c r="BA377" s="127"/>
    </row>
    <row r="378">
      <c r="R378" s="223"/>
      <c r="AL378" s="49"/>
      <c r="AM378" s="49"/>
      <c r="AN378" s="49">
        <v>-0.5</v>
      </c>
      <c r="AO378" s="49">
        <v>-0.5</v>
      </c>
      <c r="AP378" s="49"/>
      <c r="AR378" s="127"/>
      <c r="BA378" s="127"/>
    </row>
    <row r="379">
      <c r="R379" s="223"/>
      <c r="AL379" s="49"/>
      <c r="AM379" s="49"/>
      <c r="AN379" s="49">
        <v>-0.5</v>
      </c>
      <c r="AO379" s="49">
        <v>-0.5</v>
      </c>
      <c r="AP379" s="49"/>
      <c r="AR379" s="127"/>
      <c r="BA379" s="127"/>
    </row>
    <row r="380">
      <c r="R380" s="223"/>
      <c r="AL380" s="49"/>
      <c r="AM380" s="49"/>
      <c r="AN380" s="49">
        <v>-0.5</v>
      </c>
      <c r="AO380" s="49">
        <v>-0.5</v>
      </c>
      <c r="AP380" s="49"/>
      <c r="AR380" s="127"/>
      <c r="BA380" s="127"/>
    </row>
    <row r="381">
      <c r="R381" s="223"/>
      <c r="AL381" s="49"/>
      <c r="AM381" s="49"/>
      <c r="AN381" s="49">
        <v>-0.5</v>
      </c>
      <c r="AO381" s="49">
        <v>-0.5</v>
      </c>
      <c r="AP381" s="49"/>
      <c r="AR381" s="127"/>
      <c r="BA381" s="127"/>
    </row>
    <row r="382">
      <c r="R382" s="223"/>
      <c r="AL382" s="49"/>
      <c r="AM382" s="49"/>
      <c r="AN382" s="49">
        <v>-0.5</v>
      </c>
      <c r="AO382" s="49">
        <v>-0.5</v>
      </c>
      <c r="AP382" s="49"/>
      <c r="AR382" s="127"/>
      <c r="BA382" s="127"/>
    </row>
    <row r="383">
      <c r="R383" s="223"/>
      <c r="AL383" s="49"/>
      <c r="AM383" s="49"/>
      <c r="AN383" s="49">
        <v>-0.5</v>
      </c>
      <c r="AO383" s="49">
        <v>-0.5</v>
      </c>
      <c r="AP383" s="49"/>
      <c r="AR383" s="127"/>
      <c r="BA383" s="127"/>
    </row>
    <row r="384">
      <c r="R384" s="223"/>
      <c r="AL384" s="49"/>
      <c r="AM384" s="49"/>
      <c r="AN384" s="49">
        <v>-0.5</v>
      </c>
      <c r="AO384" s="49">
        <v>-0.5</v>
      </c>
      <c r="AP384" s="49"/>
      <c r="AR384" s="127"/>
      <c r="BA384" s="127"/>
    </row>
    <row r="385">
      <c r="R385" s="223"/>
      <c r="AL385" s="49"/>
      <c r="AM385" s="49"/>
      <c r="AN385" s="49">
        <v>-0.5</v>
      </c>
      <c r="AO385" s="49">
        <v>-0.5</v>
      </c>
      <c r="AP385" s="49"/>
      <c r="AR385" s="127"/>
      <c r="BA385" s="127"/>
    </row>
    <row r="386">
      <c r="R386" s="223"/>
      <c r="AL386" s="49"/>
      <c r="AM386" s="49"/>
      <c r="AN386" s="49">
        <v>-0.5</v>
      </c>
      <c r="AO386" s="49">
        <v>-0.5</v>
      </c>
      <c r="AP386" s="49"/>
      <c r="AR386" s="127"/>
      <c r="BA386" s="127"/>
    </row>
    <row r="387">
      <c r="R387" s="223"/>
      <c r="AL387" s="49"/>
      <c r="AM387" s="49"/>
      <c r="AN387" s="49">
        <v>-0.5</v>
      </c>
      <c r="AO387" s="49">
        <v>-0.5</v>
      </c>
      <c r="AP387" s="49"/>
      <c r="AR387" s="127"/>
      <c r="BA387" s="127"/>
    </row>
    <row r="388">
      <c r="R388" s="223"/>
      <c r="AL388" s="49"/>
      <c r="AM388" s="49"/>
      <c r="AN388" s="49">
        <v>-0.5</v>
      </c>
      <c r="AO388" s="49">
        <v>-0.5</v>
      </c>
      <c r="AP388" s="49"/>
      <c r="AR388" s="127"/>
      <c r="BA388" s="127"/>
    </row>
    <row r="389">
      <c r="R389" s="223"/>
      <c r="AL389" s="49"/>
      <c r="AM389" s="49"/>
      <c r="AN389" s="49">
        <v>-0.5</v>
      </c>
      <c r="AO389" s="49">
        <v>-0.5</v>
      </c>
      <c r="AP389" s="49"/>
      <c r="AR389" s="127"/>
      <c r="BA389" s="127"/>
    </row>
    <row r="390">
      <c r="R390" s="223"/>
      <c r="AL390" s="49"/>
      <c r="AM390" s="49"/>
      <c r="AN390" s="49">
        <v>-0.5</v>
      </c>
      <c r="AO390" s="49">
        <v>-0.5</v>
      </c>
      <c r="AP390" s="49"/>
      <c r="AR390" s="127"/>
      <c r="BA390" s="127"/>
    </row>
    <row r="391">
      <c r="R391" s="223"/>
      <c r="AL391" s="49"/>
      <c r="AM391" s="49"/>
      <c r="AN391" s="49">
        <v>-0.5</v>
      </c>
      <c r="AO391" s="49">
        <v>-0.5</v>
      </c>
      <c r="AP391" s="49"/>
      <c r="AR391" s="127"/>
      <c r="BA391" s="127"/>
    </row>
    <row r="392">
      <c r="R392" s="223"/>
      <c r="AL392" s="49"/>
      <c r="AM392" s="49"/>
      <c r="AN392" s="49">
        <v>-0.5</v>
      </c>
      <c r="AO392" s="49">
        <v>-0.5</v>
      </c>
      <c r="AP392" s="49"/>
      <c r="AR392" s="127"/>
      <c r="BA392" s="127"/>
    </row>
    <row r="393">
      <c r="R393" s="223"/>
      <c r="AL393" s="49"/>
      <c r="AM393" s="49"/>
      <c r="AN393" s="49">
        <v>-0.5</v>
      </c>
      <c r="AO393" s="49">
        <v>-0.5</v>
      </c>
      <c r="AP393" s="49"/>
      <c r="AR393" s="127"/>
      <c r="BA393" s="127"/>
    </row>
    <row r="394">
      <c r="R394" s="223"/>
      <c r="AL394" s="49"/>
      <c r="AM394" s="49"/>
      <c r="AN394" s="49">
        <v>-0.5</v>
      </c>
      <c r="AO394" s="49">
        <v>-0.5</v>
      </c>
      <c r="AP394" s="49"/>
      <c r="AR394" s="127"/>
      <c r="BA394" s="127"/>
    </row>
    <row r="395">
      <c r="R395" s="223"/>
      <c r="AL395" s="49"/>
      <c r="AM395" s="49"/>
      <c r="AN395" s="49">
        <v>-0.5</v>
      </c>
      <c r="AO395" s="49">
        <v>-0.5</v>
      </c>
      <c r="AP395" s="49"/>
      <c r="AR395" s="127"/>
      <c r="BA395" s="127"/>
    </row>
    <row r="396">
      <c r="R396" s="223"/>
      <c r="AL396" s="49"/>
      <c r="AM396" s="49"/>
      <c r="AN396" s="49">
        <v>-0.5</v>
      </c>
      <c r="AO396" s="49">
        <v>-0.5</v>
      </c>
      <c r="AP396" s="49"/>
      <c r="AR396" s="127"/>
      <c r="BA396" s="127"/>
    </row>
    <row r="397">
      <c r="R397" s="223"/>
      <c r="AL397" s="49"/>
      <c r="AM397" s="49"/>
      <c r="AN397" s="49">
        <v>-0.5</v>
      </c>
      <c r="AO397" s="49">
        <v>-0.5</v>
      </c>
      <c r="AP397" s="49"/>
      <c r="AR397" s="127"/>
      <c r="BA397" s="127"/>
    </row>
    <row r="398">
      <c r="R398" s="223"/>
      <c r="AL398" s="49"/>
      <c r="AM398" s="49"/>
      <c r="AN398" s="49">
        <v>-0.5</v>
      </c>
      <c r="AO398" s="49">
        <v>-0.5</v>
      </c>
      <c r="AP398" s="49"/>
      <c r="AR398" s="127"/>
      <c r="BA398" s="127"/>
    </row>
    <row r="399">
      <c r="R399" s="223"/>
      <c r="AL399" s="49"/>
      <c r="AM399" s="49"/>
      <c r="AN399" s="49">
        <v>-0.5</v>
      </c>
      <c r="AO399" s="49">
        <v>-0.5</v>
      </c>
      <c r="AP399" s="49"/>
      <c r="AR399" s="127"/>
      <c r="BA399" s="127"/>
    </row>
    <row r="400">
      <c r="R400" s="223"/>
      <c r="AL400" s="49"/>
      <c r="AM400" s="49"/>
      <c r="AN400" s="49">
        <v>-0.5</v>
      </c>
      <c r="AO400" s="49">
        <v>-0.5</v>
      </c>
      <c r="AP400" s="49"/>
      <c r="AR400" s="127"/>
      <c r="BA400" s="127"/>
    </row>
    <row r="401">
      <c r="R401" s="223"/>
      <c r="AL401" s="49"/>
      <c r="AM401" s="49"/>
      <c r="AN401" s="49">
        <v>-0.5</v>
      </c>
      <c r="AO401" s="49">
        <v>-0.5</v>
      </c>
      <c r="AP401" s="49"/>
      <c r="AR401" s="127"/>
      <c r="BA401" s="127"/>
    </row>
    <row r="402">
      <c r="R402" s="223"/>
      <c r="AL402" s="49"/>
      <c r="AM402" s="49"/>
      <c r="AN402" s="49">
        <v>-0.5</v>
      </c>
      <c r="AO402" s="49">
        <v>-0.5</v>
      </c>
      <c r="AP402" s="49"/>
      <c r="AR402" s="127"/>
      <c r="BA402" s="127"/>
    </row>
    <row r="403">
      <c r="R403" s="223"/>
      <c r="AL403" s="49"/>
      <c r="AM403" s="49"/>
      <c r="AN403" s="49">
        <v>-0.5</v>
      </c>
      <c r="AO403" s="49">
        <v>-0.5</v>
      </c>
      <c r="AP403" s="49"/>
      <c r="AR403" s="127"/>
      <c r="BA403" s="127"/>
    </row>
    <row r="404">
      <c r="R404" s="223"/>
      <c r="AL404" s="49"/>
      <c r="AM404" s="49"/>
      <c r="AN404" s="49">
        <v>-0.5</v>
      </c>
      <c r="AO404" s="49">
        <v>-0.5</v>
      </c>
      <c r="AP404" s="49"/>
      <c r="AR404" s="127"/>
      <c r="BA404" s="127"/>
    </row>
    <row r="405">
      <c r="R405" s="223"/>
      <c r="AL405" s="49"/>
      <c r="AM405" s="49"/>
      <c r="AN405" s="49">
        <v>-0.5</v>
      </c>
      <c r="AO405" s="49">
        <v>-0.5</v>
      </c>
      <c r="AP405" s="49"/>
      <c r="AR405" s="127"/>
      <c r="BA405" s="127"/>
    </row>
    <row r="406">
      <c r="R406" s="223"/>
      <c r="AL406" s="49"/>
      <c r="AM406" s="49"/>
      <c r="AN406" s="49">
        <v>-0.5</v>
      </c>
      <c r="AO406" s="49">
        <v>-0.5</v>
      </c>
      <c r="AP406" s="49"/>
      <c r="AR406" s="127"/>
      <c r="BA406" s="127"/>
    </row>
    <row r="407">
      <c r="R407" s="223"/>
      <c r="AL407" s="49"/>
      <c r="AM407" s="49"/>
      <c r="AN407" s="49">
        <v>-0.5</v>
      </c>
      <c r="AO407" s="49">
        <v>-0.5</v>
      </c>
      <c r="AP407" s="49"/>
      <c r="AR407" s="127"/>
      <c r="BA407" s="127"/>
    </row>
    <row r="408">
      <c r="R408" s="223"/>
      <c r="AL408" s="49"/>
      <c r="AM408" s="49"/>
      <c r="AN408" s="49">
        <v>-0.5</v>
      </c>
      <c r="AO408" s="49">
        <v>-0.5</v>
      </c>
      <c r="AP408" s="49"/>
      <c r="AR408" s="127"/>
      <c r="BA408" s="127"/>
    </row>
    <row r="409">
      <c r="R409" s="223"/>
      <c r="AL409" s="49"/>
      <c r="AM409" s="49"/>
      <c r="AN409" s="49">
        <v>-0.5</v>
      </c>
      <c r="AO409" s="49">
        <v>-0.5</v>
      </c>
      <c r="AP409" s="49"/>
      <c r="AR409" s="127"/>
      <c r="BA409" s="127"/>
    </row>
    <row r="410">
      <c r="R410" s="223"/>
      <c r="AL410" s="49"/>
      <c r="AM410" s="49"/>
      <c r="AN410" s="49">
        <v>-0.5</v>
      </c>
      <c r="AO410" s="49">
        <v>-0.5</v>
      </c>
      <c r="AP410" s="49"/>
      <c r="AR410" s="127"/>
      <c r="BA410" s="127"/>
    </row>
    <row r="411">
      <c r="R411" s="223"/>
      <c r="AL411" s="49"/>
      <c r="AM411" s="49"/>
      <c r="AN411" s="49">
        <v>-0.5</v>
      </c>
      <c r="AO411" s="49">
        <v>-0.5</v>
      </c>
      <c r="AP411" s="49"/>
      <c r="AR411" s="127"/>
      <c r="BA411" s="127"/>
    </row>
    <row r="412">
      <c r="R412" s="223"/>
      <c r="AL412" s="49"/>
      <c r="AM412" s="49"/>
      <c r="AN412" s="49">
        <v>-0.5</v>
      </c>
      <c r="AO412" s="49">
        <v>-0.5</v>
      </c>
      <c r="AP412" s="49"/>
      <c r="AR412" s="127"/>
      <c r="BA412" s="127"/>
    </row>
    <row r="413">
      <c r="R413" s="223"/>
      <c r="AL413" s="49"/>
      <c r="AM413" s="49"/>
      <c r="AN413" s="49">
        <v>-0.5</v>
      </c>
      <c r="AO413" s="49">
        <v>-0.5</v>
      </c>
      <c r="AP413" s="49"/>
      <c r="AR413" s="127"/>
      <c r="BA413" s="127"/>
    </row>
    <row r="414">
      <c r="R414" s="223"/>
      <c r="AL414" s="49"/>
      <c r="AM414" s="49"/>
      <c r="AN414" s="49">
        <v>-0.5</v>
      </c>
      <c r="AO414" s="49">
        <v>-0.5</v>
      </c>
      <c r="AP414" s="49"/>
      <c r="AR414" s="127"/>
      <c r="BA414" s="127"/>
    </row>
    <row r="415">
      <c r="R415" s="223"/>
      <c r="AL415" s="49"/>
      <c r="AM415" s="49"/>
      <c r="AN415" s="49">
        <v>-0.5</v>
      </c>
      <c r="AO415" s="49">
        <v>-0.5</v>
      </c>
      <c r="AP415" s="49"/>
      <c r="AR415" s="127"/>
      <c r="BA415" s="127"/>
    </row>
    <row r="416">
      <c r="R416" s="223"/>
      <c r="AL416" s="49"/>
      <c r="AM416" s="49"/>
      <c r="AN416" s="49">
        <v>-0.5</v>
      </c>
      <c r="AO416" s="49">
        <v>-0.5</v>
      </c>
      <c r="AP416" s="49"/>
      <c r="AR416" s="127"/>
      <c r="BA416" s="127"/>
    </row>
    <row r="417">
      <c r="R417" s="223"/>
      <c r="AL417" s="49"/>
      <c r="AM417" s="49"/>
      <c r="AN417" s="49">
        <v>-0.5</v>
      </c>
      <c r="AO417" s="49">
        <v>-0.5</v>
      </c>
      <c r="AP417" s="49"/>
      <c r="AR417" s="127"/>
      <c r="BA417" s="127"/>
    </row>
    <row r="418">
      <c r="R418" s="223"/>
      <c r="AL418" s="49"/>
      <c r="AM418" s="49"/>
      <c r="AN418" s="49">
        <v>-0.5</v>
      </c>
      <c r="AO418" s="49">
        <v>-0.5</v>
      </c>
      <c r="AP418" s="49"/>
      <c r="AR418" s="127"/>
      <c r="BA418" s="127"/>
    </row>
    <row r="419">
      <c r="R419" s="223"/>
      <c r="AL419" s="49"/>
      <c r="AM419" s="49"/>
      <c r="AN419" s="49">
        <v>-0.5</v>
      </c>
      <c r="AO419" s="49">
        <v>-0.5</v>
      </c>
      <c r="AP419" s="49"/>
      <c r="AR419" s="127"/>
      <c r="BA419" s="127"/>
    </row>
    <row r="420">
      <c r="R420" s="223"/>
      <c r="AL420" s="49"/>
      <c r="AM420" s="49"/>
      <c r="AN420" s="49">
        <v>-0.5</v>
      </c>
      <c r="AO420" s="49">
        <v>-0.5</v>
      </c>
      <c r="AP420" s="49"/>
      <c r="AR420" s="127"/>
      <c r="BA420" s="127"/>
    </row>
    <row r="421">
      <c r="R421" s="223"/>
      <c r="AL421" s="49"/>
      <c r="AM421" s="49"/>
      <c r="AN421" s="49">
        <v>-0.5</v>
      </c>
      <c r="AO421" s="49">
        <v>-0.5</v>
      </c>
      <c r="AP421" s="49"/>
      <c r="AR421" s="127"/>
      <c r="BA421" s="127"/>
    </row>
    <row r="422">
      <c r="R422" s="223"/>
      <c r="AL422" s="49"/>
      <c r="AM422" s="49"/>
      <c r="AN422" s="49">
        <v>-0.5</v>
      </c>
      <c r="AO422" s="49">
        <v>-0.5</v>
      </c>
      <c r="AP422" s="49"/>
      <c r="AR422" s="127"/>
      <c r="BA422" s="127"/>
    </row>
    <row r="423">
      <c r="R423" s="223"/>
      <c r="AL423" s="49"/>
      <c r="AM423" s="49"/>
      <c r="AN423" s="49">
        <v>-0.5</v>
      </c>
      <c r="AO423" s="49">
        <v>-0.5</v>
      </c>
      <c r="AP423" s="49"/>
      <c r="AR423" s="127"/>
      <c r="BA423" s="127"/>
    </row>
    <row r="424">
      <c r="R424" s="223"/>
      <c r="AL424" s="49"/>
      <c r="AM424" s="49"/>
      <c r="AN424" s="49">
        <v>-0.5</v>
      </c>
      <c r="AO424" s="49">
        <v>-0.5</v>
      </c>
      <c r="AP424" s="49"/>
      <c r="AR424" s="127"/>
      <c r="BA424" s="127"/>
    </row>
    <row r="425">
      <c r="R425" s="223"/>
      <c r="AL425" s="49"/>
      <c r="AM425" s="49"/>
      <c r="AN425" s="49">
        <v>-0.5</v>
      </c>
      <c r="AO425" s="49">
        <v>-0.5</v>
      </c>
      <c r="AP425" s="49"/>
      <c r="AR425" s="127"/>
      <c r="BA425" s="127"/>
    </row>
    <row r="426">
      <c r="R426" s="223"/>
      <c r="AL426" s="49"/>
      <c r="AM426" s="49"/>
      <c r="AN426" s="49">
        <v>-0.5</v>
      </c>
      <c r="AO426" s="49">
        <v>-0.5</v>
      </c>
      <c r="AP426" s="49"/>
      <c r="AR426" s="127"/>
      <c r="BA426" s="127"/>
    </row>
    <row r="427">
      <c r="R427" s="223"/>
      <c r="AL427" s="49"/>
      <c r="AM427" s="49"/>
      <c r="AN427" s="49">
        <v>-0.5</v>
      </c>
      <c r="AO427" s="49">
        <v>-0.5</v>
      </c>
      <c r="AP427" s="49"/>
      <c r="AR427" s="127"/>
      <c r="BA427" s="127"/>
    </row>
    <row r="428">
      <c r="R428" s="223"/>
      <c r="AL428" s="49"/>
      <c r="AM428" s="49"/>
      <c r="AN428" s="49">
        <v>-0.5</v>
      </c>
      <c r="AO428" s="49">
        <v>-0.5</v>
      </c>
      <c r="AP428" s="49"/>
      <c r="AR428" s="127"/>
      <c r="BA428" s="127"/>
    </row>
    <row r="429">
      <c r="R429" s="223"/>
      <c r="AL429" s="49"/>
      <c r="AM429" s="49"/>
      <c r="AN429" s="49">
        <v>-0.5</v>
      </c>
      <c r="AO429" s="49">
        <v>-0.5</v>
      </c>
      <c r="AP429" s="49"/>
      <c r="AR429" s="127"/>
      <c r="BA429" s="127"/>
    </row>
    <row r="430">
      <c r="R430" s="223"/>
      <c r="AL430" s="49"/>
      <c r="AM430" s="49"/>
      <c r="AN430" s="49">
        <v>-0.5</v>
      </c>
      <c r="AO430" s="49">
        <v>-0.5</v>
      </c>
      <c r="AP430" s="49"/>
      <c r="AR430" s="127"/>
      <c r="BA430" s="127"/>
    </row>
    <row r="431">
      <c r="R431" s="223"/>
      <c r="AL431" s="49"/>
      <c r="AM431" s="49"/>
      <c r="AN431" s="49">
        <v>-0.5</v>
      </c>
      <c r="AO431" s="49">
        <v>-0.5</v>
      </c>
      <c r="AP431" s="49"/>
      <c r="AR431" s="127"/>
      <c r="BA431" s="127"/>
    </row>
    <row r="432">
      <c r="R432" s="223"/>
      <c r="AL432" s="49"/>
      <c r="AM432" s="49"/>
      <c r="AN432" s="49">
        <v>-0.5</v>
      </c>
      <c r="AO432" s="49">
        <v>-0.5</v>
      </c>
      <c r="AP432" s="49"/>
      <c r="AR432" s="127"/>
      <c r="BA432" s="127"/>
    </row>
    <row r="433">
      <c r="R433" s="223"/>
      <c r="AL433" s="49"/>
      <c r="AM433" s="49"/>
      <c r="AN433" s="49">
        <v>-0.5</v>
      </c>
      <c r="AO433" s="49">
        <v>-0.5</v>
      </c>
      <c r="AP433" s="49"/>
      <c r="AR433" s="127"/>
      <c r="BA433" s="127"/>
    </row>
    <row r="434">
      <c r="R434" s="223"/>
      <c r="AL434" s="49"/>
      <c r="AM434" s="49"/>
      <c r="AN434" s="49">
        <v>-0.5</v>
      </c>
      <c r="AO434" s="49">
        <v>-0.5</v>
      </c>
      <c r="AP434" s="49"/>
      <c r="AR434" s="127"/>
      <c r="BA434" s="127"/>
    </row>
    <row r="435">
      <c r="R435" s="223"/>
      <c r="AL435" s="49"/>
      <c r="AM435" s="49"/>
      <c r="AN435" s="49">
        <v>-0.5</v>
      </c>
      <c r="AO435" s="49">
        <v>-0.5</v>
      </c>
      <c r="AP435" s="49"/>
      <c r="AR435" s="127"/>
      <c r="BA435" s="127"/>
    </row>
    <row r="436">
      <c r="R436" s="223"/>
      <c r="AL436" s="49"/>
      <c r="AM436" s="49"/>
      <c r="AN436" s="49">
        <v>-0.5</v>
      </c>
      <c r="AO436" s="49">
        <v>-0.5</v>
      </c>
      <c r="AP436" s="49"/>
      <c r="AR436" s="127"/>
      <c r="BA436" s="127"/>
    </row>
    <row r="437">
      <c r="R437" s="223"/>
      <c r="AL437" s="49"/>
      <c r="AM437" s="49"/>
      <c r="AN437" s="49">
        <v>-0.5</v>
      </c>
      <c r="AO437" s="49">
        <v>-0.5</v>
      </c>
      <c r="AP437" s="49"/>
      <c r="AR437" s="127"/>
      <c r="BA437" s="127"/>
    </row>
    <row r="438">
      <c r="R438" s="223"/>
      <c r="AL438" s="49"/>
      <c r="AM438" s="49"/>
      <c r="AN438" s="49">
        <v>-0.5</v>
      </c>
      <c r="AO438" s="49">
        <v>-0.5</v>
      </c>
      <c r="AP438" s="49"/>
      <c r="AR438" s="127"/>
      <c r="BA438" s="127"/>
    </row>
    <row r="439">
      <c r="R439" s="223"/>
      <c r="AL439" s="49"/>
      <c r="AM439" s="49"/>
      <c r="AN439" s="49">
        <v>-0.5</v>
      </c>
      <c r="AO439" s="49">
        <v>-0.5</v>
      </c>
      <c r="AP439" s="49"/>
      <c r="AR439" s="127"/>
      <c r="BA439" s="127"/>
    </row>
    <row r="440">
      <c r="R440" s="223"/>
      <c r="AL440" s="49"/>
      <c r="AM440" s="49"/>
      <c r="AN440" s="49">
        <v>-0.5</v>
      </c>
      <c r="AO440" s="49">
        <v>-0.5</v>
      </c>
      <c r="AP440" s="49"/>
      <c r="AR440" s="127"/>
      <c r="BA440" s="127"/>
    </row>
    <row r="441">
      <c r="R441" s="223"/>
      <c r="AL441" s="49"/>
      <c r="AM441" s="49"/>
      <c r="AN441" s="49">
        <v>-0.5</v>
      </c>
      <c r="AO441" s="49">
        <v>-0.5</v>
      </c>
      <c r="AP441" s="49"/>
      <c r="AR441" s="127"/>
      <c r="BA441" s="127"/>
    </row>
    <row r="442">
      <c r="R442" s="223"/>
      <c r="AL442" s="49"/>
      <c r="AM442" s="49"/>
      <c r="AN442" s="49">
        <v>-0.5</v>
      </c>
      <c r="AO442" s="49">
        <v>-0.5</v>
      </c>
      <c r="AP442" s="49"/>
      <c r="AR442" s="127"/>
      <c r="BA442" s="127"/>
    </row>
    <row r="443">
      <c r="R443" s="223"/>
      <c r="AL443" s="49"/>
      <c r="AM443" s="49"/>
      <c r="AN443" s="49">
        <v>-0.5</v>
      </c>
      <c r="AO443" s="49">
        <v>-0.5</v>
      </c>
      <c r="AP443" s="49"/>
      <c r="AR443" s="127"/>
      <c r="BA443" s="127"/>
    </row>
    <row r="444">
      <c r="R444" s="223"/>
      <c r="AL444" s="49"/>
      <c r="AM444" s="49"/>
      <c r="AN444" s="49">
        <v>-0.5</v>
      </c>
      <c r="AO444" s="49">
        <v>-0.5</v>
      </c>
      <c r="AP444" s="49"/>
      <c r="AR444" s="127"/>
      <c r="BA444" s="127"/>
    </row>
    <row r="445">
      <c r="R445" s="223"/>
      <c r="AL445" s="49"/>
      <c r="AM445" s="49"/>
      <c r="AN445" s="49">
        <v>-0.5</v>
      </c>
      <c r="AO445" s="49">
        <v>-0.5</v>
      </c>
      <c r="AP445" s="49"/>
      <c r="AR445" s="127"/>
      <c r="BA445" s="127"/>
    </row>
    <row r="446">
      <c r="R446" s="223"/>
      <c r="AL446" s="49"/>
      <c r="AM446" s="49"/>
      <c r="AN446" s="49">
        <v>-0.5</v>
      </c>
      <c r="AO446" s="49">
        <v>-0.5</v>
      </c>
      <c r="AP446" s="49"/>
      <c r="AR446" s="127"/>
      <c r="BA446" s="127"/>
    </row>
    <row r="447">
      <c r="R447" s="223"/>
      <c r="AL447" s="49"/>
      <c r="AM447" s="49"/>
      <c r="AN447" s="49">
        <v>-0.5</v>
      </c>
      <c r="AO447" s="49">
        <v>-0.5</v>
      </c>
      <c r="AP447" s="49"/>
      <c r="AR447" s="127"/>
      <c r="BA447" s="127"/>
    </row>
    <row r="448">
      <c r="R448" s="223"/>
      <c r="AL448" s="49"/>
      <c r="AM448" s="49"/>
      <c r="AN448" s="49">
        <v>-0.5</v>
      </c>
      <c r="AO448" s="49">
        <v>-0.5</v>
      </c>
      <c r="AP448" s="49"/>
      <c r="AR448" s="127"/>
      <c r="BA448" s="127"/>
    </row>
    <row r="449">
      <c r="R449" s="223"/>
      <c r="AL449" s="49"/>
      <c r="AM449" s="49"/>
      <c r="AN449" s="49">
        <v>-0.5</v>
      </c>
      <c r="AO449" s="49">
        <v>-0.5</v>
      </c>
      <c r="AP449" s="49"/>
      <c r="AR449" s="127"/>
      <c r="BA449" s="127"/>
    </row>
    <row r="450">
      <c r="R450" s="223"/>
      <c r="AL450" s="49"/>
      <c r="AM450" s="49"/>
      <c r="AN450" s="49">
        <v>-0.5</v>
      </c>
      <c r="AO450" s="49">
        <v>-0.5</v>
      </c>
      <c r="AP450" s="49"/>
      <c r="AR450" s="127"/>
      <c r="BA450" s="127"/>
    </row>
    <row r="451">
      <c r="R451" s="223"/>
      <c r="AL451" s="49"/>
      <c r="AM451" s="49"/>
      <c r="AN451" s="49">
        <v>-0.5</v>
      </c>
      <c r="AO451" s="49">
        <v>-0.5</v>
      </c>
      <c r="AP451" s="49"/>
      <c r="AR451" s="127"/>
      <c r="BA451" s="127"/>
    </row>
    <row r="452">
      <c r="R452" s="223"/>
      <c r="AL452" s="49"/>
      <c r="AM452" s="49"/>
      <c r="AN452" s="49">
        <v>-0.5</v>
      </c>
      <c r="AO452" s="49">
        <v>-0.5</v>
      </c>
      <c r="AP452" s="49"/>
      <c r="AR452" s="127"/>
      <c r="BA452" s="127"/>
    </row>
    <row r="453">
      <c r="R453" s="223"/>
      <c r="AL453" s="49"/>
      <c r="AM453" s="49"/>
      <c r="AN453" s="49">
        <v>-0.5</v>
      </c>
      <c r="AO453" s="49">
        <v>-0.5</v>
      </c>
      <c r="AP453" s="49"/>
      <c r="AR453" s="127"/>
      <c r="BA453" s="127"/>
    </row>
    <row r="454">
      <c r="R454" s="223"/>
      <c r="AL454" s="49"/>
      <c r="AM454" s="49"/>
      <c r="AN454" s="49">
        <v>-0.5</v>
      </c>
      <c r="AO454" s="49">
        <v>-0.5</v>
      </c>
      <c r="AP454" s="49"/>
      <c r="AR454" s="127"/>
      <c r="BA454" s="127"/>
    </row>
    <row r="455">
      <c r="R455" s="223"/>
      <c r="AL455" s="49"/>
      <c r="AM455" s="49"/>
      <c r="AN455" s="49">
        <v>-0.5</v>
      </c>
      <c r="AO455" s="49">
        <v>-0.5</v>
      </c>
      <c r="AP455" s="49"/>
      <c r="AR455" s="127"/>
      <c r="BA455" s="127"/>
    </row>
    <row r="456">
      <c r="R456" s="223"/>
      <c r="AL456" s="49"/>
      <c r="AM456" s="49"/>
      <c r="AN456" s="49">
        <v>-0.5</v>
      </c>
      <c r="AO456" s="49">
        <v>-0.5</v>
      </c>
      <c r="AP456" s="49"/>
      <c r="AR456" s="127"/>
      <c r="BA456" s="127"/>
    </row>
    <row r="457">
      <c r="R457" s="223"/>
      <c r="AL457" s="49"/>
      <c r="AM457" s="49"/>
      <c r="AN457" s="49">
        <v>-0.5</v>
      </c>
      <c r="AO457" s="49">
        <v>-0.5</v>
      </c>
      <c r="AP457" s="49"/>
      <c r="AR457" s="127"/>
      <c r="BA457" s="127"/>
    </row>
    <row r="458">
      <c r="R458" s="223"/>
      <c r="AL458" s="49"/>
      <c r="AM458" s="49"/>
      <c r="AN458" s="49">
        <v>-0.5</v>
      </c>
      <c r="AO458" s="49">
        <v>-0.5</v>
      </c>
      <c r="AP458" s="49"/>
      <c r="AR458" s="127"/>
      <c r="BA458" s="127"/>
    </row>
    <row r="459">
      <c r="R459" s="223"/>
      <c r="AL459" s="49"/>
      <c r="AM459" s="49"/>
      <c r="AN459" s="49">
        <v>-0.5</v>
      </c>
      <c r="AO459" s="49">
        <v>-0.5</v>
      </c>
      <c r="AP459" s="49"/>
      <c r="AR459" s="127"/>
      <c r="BA459" s="127"/>
    </row>
    <row r="460">
      <c r="R460" s="223"/>
      <c r="AL460" s="49"/>
      <c r="AM460" s="49"/>
      <c r="AN460" s="49">
        <v>-0.5</v>
      </c>
      <c r="AO460" s="49">
        <v>-0.5</v>
      </c>
      <c r="AP460" s="49"/>
      <c r="AR460" s="127"/>
      <c r="BA460" s="127"/>
    </row>
    <row r="461">
      <c r="R461" s="223"/>
      <c r="AL461" s="49"/>
      <c r="AM461" s="49"/>
      <c r="AN461" s="49">
        <v>-0.5</v>
      </c>
      <c r="AO461" s="49">
        <v>-0.5</v>
      </c>
      <c r="AP461" s="49"/>
      <c r="AR461" s="127"/>
      <c r="BA461" s="127"/>
    </row>
    <row r="462">
      <c r="R462" s="223"/>
      <c r="AL462" s="49"/>
      <c r="AM462" s="49"/>
      <c r="AN462" s="49">
        <v>-0.5</v>
      </c>
      <c r="AO462" s="49">
        <v>-0.5</v>
      </c>
      <c r="AP462" s="49"/>
      <c r="AR462" s="127"/>
      <c r="BA462" s="127"/>
    </row>
    <row r="463">
      <c r="R463" s="223"/>
      <c r="AL463" s="49"/>
      <c r="AM463" s="49"/>
      <c r="AN463" s="49">
        <v>-0.5</v>
      </c>
      <c r="AO463" s="49">
        <v>-0.5</v>
      </c>
      <c r="AP463" s="49"/>
      <c r="AR463" s="127"/>
      <c r="BA463" s="127"/>
    </row>
    <row r="464">
      <c r="R464" s="223"/>
      <c r="AL464" s="49"/>
      <c r="AM464" s="49"/>
      <c r="AN464" s="49">
        <v>-0.5</v>
      </c>
      <c r="AO464" s="49">
        <v>-0.5</v>
      </c>
      <c r="AP464" s="49"/>
      <c r="AR464" s="127"/>
      <c r="BA464" s="127"/>
    </row>
    <row r="465">
      <c r="R465" s="223"/>
      <c r="AL465" s="49"/>
      <c r="AM465" s="49"/>
      <c r="AN465" s="49">
        <v>-0.5</v>
      </c>
      <c r="AO465" s="49">
        <v>-0.5</v>
      </c>
      <c r="AP465" s="49"/>
      <c r="AR465" s="127"/>
      <c r="BA465" s="127"/>
    </row>
    <row r="466">
      <c r="R466" s="223"/>
      <c r="AL466" s="49"/>
      <c r="AM466" s="49"/>
      <c r="AN466" s="49">
        <v>-0.5</v>
      </c>
      <c r="AO466" s="49">
        <v>-0.5</v>
      </c>
      <c r="AP466" s="49"/>
      <c r="AR466" s="127"/>
      <c r="BA466" s="127"/>
    </row>
    <row r="467">
      <c r="R467" s="223"/>
      <c r="AL467" s="49"/>
      <c r="AM467" s="49"/>
      <c r="AN467" s="49">
        <v>-0.5</v>
      </c>
      <c r="AO467" s="49">
        <v>-0.5</v>
      </c>
      <c r="AP467" s="49"/>
      <c r="AR467" s="127"/>
      <c r="BA467" s="127"/>
    </row>
    <row r="468">
      <c r="R468" s="223"/>
      <c r="AL468" s="49"/>
      <c r="AM468" s="49"/>
      <c r="AN468" s="49">
        <v>-0.5</v>
      </c>
      <c r="AO468" s="49">
        <v>-0.5</v>
      </c>
      <c r="AP468" s="49"/>
      <c r="AR468" s="127"/>
      <c r="BA468" s="127"/>
    </row>
    <row r="469">
      <c r="R469" s="223"/>
      <c r="AL469" s="49"/>
      <c r="AM469" s="49"/>
      <c r="AN469" s="49">
        <v>-0.5</v>
      </c>
      <c r="AO469" s="49">
        <v>-0.5</v>
      </c>
      <c r="AP469" s="49"/>
      <c r="AR469" s="127"/>
      <c r="BA469" s="127"/>
    </row>
    <row r="470">
      <c r="R470" s="223"/>
      <c r="AL470" s="49"/>
      <c r="AM470" s="49"/>
      <c r="AN470" s="49">
        <v>-0.5</v>
      </c>
      <c r="AO470" s="49">
        <v>-0.5</v>
      </c>
      <c r="AP470" s="49"/>
      <c r="AR470" s="127"/>
      <c r="BA470" s="127"/>
    </row>
    <row r="471">
      <c r="R471" s="223"/>
      <c r="AL471" s="49"/>
      <c r="AM471" s="49"/>
      <c r="AN471" s="49">
        <v>-0.5</v>
      </c>
      <c r="AO471" s="49">
        <v>-0.5</v>
      </c>
      <c r="AP471" s="49"/>
      <c r="AR471" s="127"/>
      <c r="BA471" s="127"/>
    </row>
    <row r="472">
      <c r="R472" s="223"/>
      <c r="AL472" s="49"/>
      <c r="AM472" s="49"/>
      <c r="AN472" s="49">
        <v>-0.5</v>
      </c>
      <c r="AO472" s="49">
        <v>-0.5</v>
      </c>
      <c r="AP472" s="49"/>
      <c r="AR472" s="127"/>
      <c r="BA472" s="127"/>
    </row>
    <row r="473">
      <c r="R473" s="223"/>
      <c r="AL473" s="49"/>
      <c r="AM473" s="49"/>
      <c r="AN473" s="49">
        <v>-0.5</v>
      </c>
      <c r="AO473" s="49">
        <v>-0.5</v>
      </c>
      <c r="AP473" s="49"/>
      <c r="AR473" s="127"/>
      <c r="BA473" s="127"/>
    </row>
    <row r="474">
      <c r="R474" s="223"/>
      <c r="AL474" s="49"/>
      <c r="AM474" s="49"/>
      <c r="AN474" s="49">
        <v>-0.5</v>
      </c>
      <c r="AO474" s="49">
        <v>-0.5</v>
      </c>
      <c r="AP474" s="49"/>
      <c r="AR474" s="127"/>
      <c r="BA474" s="127"/>
    </row>
    <row r="475">
      <c r="R475" s="223"/>
      <c r="AL475" s="49"/>
      <c r="AM475" s="49"/>
      <c r="AN475" s="49">
        <v>-0.5</v>
      </c>
      <c r="AO475" s="49">
        <v>-0.5</v>
      </c>
      <c r="AP475" s="49"/>
      <c r="AR475" s="127"/>
      <c r="BA475" s="127"/>
    </row>
    <row r="476">
      <c r="R476" s="223"/>
      <c r="AL476" s="49"/>
      <c r="AM476" s="49"/>
      <c r="AN476" s="49">
        <v>-0.5</v>
      </c>
      <c r="AO476" s="49">
        <v>-0.5</v>
      </c>
      <c r="AP476" s="49"/>
      <c r="AR476" s="127"/>
      <c r="BA476" s="127"/>
    </row>
    <row r="477">
      <c r="R477" s="223"/>
      <c r="AL477" s="49"/>
      <c r="AM477" s="49"/>
      <c r="AN477" s="49">
        <v>-0.5</v>
      </c>
      <c r="AO477" s="49">
        <v>-0.5</v>
      </c>
      <c r="AP477" s="49"/>
      <c r="AR477" s="127"/>
      <c r="BA477" s="127"/>
    </row>
    <row r="478">
      <c r="R478" s="223"/>
      <c r="AL478" s="49"/>
      <c r="AM478" s="49"/>
      <c r="AN478" s="49">
        <v>-0.5</v>
      </c>
      <c r="AO478" s="49">
        <v>-0.5</v>
      </c>
      <c r="AP478" s="49"/>
      <c r="AR478" s="127"/>
      <c r="BA478" s="127"/>
    </row>
    <row r="479">
      <c r="R479" s="223"/>
      <c r="AL479" s="49"/>
      <c r="AM479" s="49"/>
      <c r="AN479" s="49">
        <v>-0.5</v>
      </c>
      <c r="AO479" s="49">
        <v>-0.5</v>
      </c>
      <c r="AP479" s="49"/>
      <c r="AR479" s="127"/>
      <c r="BA479" s="127"/>
    </row>
    <row r="480">
      <c r="R480" s="223"/>
      <c r="AL480" s="49"/>
      <c r="AM480" s="49"/>
      <c r="AN480" s="49">
        <v>-0.5</v>
      </c>
      <c r="AO480" s="49">
        <v>-0.5</v>
      </c>
      <c r="AP480" s="49"/>
      <c r="AR480" s="127"/>
      <c r="BA480" s="127"/>
    </row>
    <row r="481">
      <c r="R481" s="223"/>
      <c r="AL481" s="49"/>
      <c r="AM481" s="49"/>
      <c r="AN481" s="49">
        <v>-0.5</v>
      </c>
      <c r="AO481" s="49">
        <v>-0.5</v>
      </c>
      <c r="AP481" s="49"/>
      <c r="AR481" s="127"/>
      <c r="BA481" s="127"/>
    </row>
    <row r="482">
      <c r="R482" s="223"/>
      <c r="AL482" s="49"/>
      <c r="AM482" s="49"/>
      <c r="AN482" s="49">
        <v>-0.5</v>
      </c>
      <c r="AO482" s="49">
        <v>-0.5</v>
      </c>
      <c r="AP482" s="49"/>
      <c r="AR482" s="127"/>
      <c r="BA482" s="127"/>
    </row>
    <row r="483">
      <c r="R483" s="223"/>
      <c r="AL483" s="49"/>
      <c r="AM483" s="49"/>
      <c r="AN483" s="49">
        <v>-0.5</v>
      </c>
      <c r="AO483" s="49">
        <v>-0.5</v>
      </c>
      <c r="AP483" s="49"/>
      <c r="AR483" s="127"/>
      <c r="BA483" s="127"/>
    </row>
    <row r="484">
      <c r="R484" s="223"/>
      <c r="AL484" s="49"/>
      <c r="AM484" s="49"/>
      <c r="AN484" s="49">
        <v>-0.5</v>
      </c>
      <c r="AO484" s="49">
        <v>-0.5</v>
      </c>
      <c r="AP484" s="49"/>
      <c r="AR484" s="127"/>
      <c r="BA484" s="127"/>
    </row>
    <row r="485">
      <c r="R485" s="223"/>
      <c r="AL485" s="49"/>
      <c r="AM485" s="49"/>
      <c r="AN485" s="49">
        <v>-0.5</v>
      </c>
      <c r="AO485" s="49">
        <v>-0.5</v>
      </c>
      <c r="AP485" s="49"/>
      <c r="AR485" s="127"/>
      <c r="BA485" s="127"/>
    </row>
    <row r="486">
      <c r="R486" s="223"/>
      <c r="AL486" s="49"/>
      <c r="AM486" s="49"/>
      <c r="AN486" s="49">
        <v>-0.5</v>
      </c>
      <c r="AO486" s="49">
        <v>-0.5</v>
      </c>
      <c r="AP486" s="49"/>
      <c r="AR486" s="127"/>
      <c r="BA486" s="127"/>
    </row>
    <row r="487">
      <c r="R487" s="223"/>
      <c r="AL487" s="49"/>
      <c r="AM487" s="49"/>
      <c r="AN487" s="49">
        <v>-0.5</v>
      </c>
      <c r="AO487" s="49">
        <v>-0.5</v>
      </c>
      <c r="AP487" s="49"/>
      <c r="AR487" s="127"/>
      <c r="BA487" s="127"/>
    </row>
    <row r="488">
      <c r="R488" s="223"/>
      <c r="AL488" s="49"/>
      <c r="AM488" s="49"/>
      <c r="AN488" s="49">
        <v>-0.5</v>
      </c>
      <c r="AO488" s="49">
        <v>-0.5</v>
      </c>
      <c r="AP488" s="49"/>
      <c r="AR488" s="127"/>
      <c r="BA488" s="127"/>
    </row>
    <row r="489">
      <c r="R489" s="223"/>
      <c r="AL489" s="49"/>
      <c r="AM489" s="49"/>
      <c r="AN489" s="49">
        <v>-0.5</v>
      </c>
      <c r="AO489" s="49">
        <v>-0.5</v>
      </c>
      <c r="AP489" s="49"/>
      <c r="AR489" s="127"/>
      <c r="BA489" s="127"/>
    </row>
    <row r="490">
      <c r="R490" s="223"/>
      <c r="AL490" s="49"/>
      <c r="AM490" s="49"/>
      <c r="AN490" s="49">
        <v>-0.5</v>
      </c>
      <c r="AO490" s="49">
        <v>-0.5</v>
      </c>
      <c r="AP490" s="49"/>
      <c r="AR490" s="127"/>
      <c r="BA490" s="127"/>
    </row>
    <row r="491">
      <c r="R491" s="223"/>
      <c r="AL491" s="49"/>
      <c r="AM491" s="49"/>
      <c r="AN491" s="49">
        <v>-0.5</v>
      </c>
      <c r="AO491" s="49">
        <v>-0.5</v>
      </c>
      <c r="AP491" s="49"/>
      <c r="AR491" s="127"/>
      <c r="BA491" s="127"/>
    </row>
    <row r="492">
      <c r="R492" s="223"/>
      <c r="AL492" s="49"/>
      <c r="AM492" s="49"/>
      <c r="AN492" s="49">
        <v>-0.5</v>
      </c>
      <c r="AO492" s="49">
        <v>-0.5</v>
      </c>
      <c r="AP492" s="49"/>
      <c r="AR492" s="127"/>
      <c r="BA492" s="127"/>
    </row>
    <row r="493">
      <c r="R493" s="223"/>
      <c r="AL493" s="49"/>
      <c r="AM493" s="49"/>
      <c r="AN493" s="49">
        <v>-0.5</v>
      </c>
      <c r="AO493" s="49">
        <v>-0.5</v>
      </c>
      <c r="AP493" s="49"/>
      <c r="AR493" s="127"/>
      <c r="BA493" s="127"/>
    </row>
    <row r="494">
      <c r="R494" s="223"/>
      <c r="AL494" s="49"/>
      <c r="AM494" s="49"/>
      <c r="AN494" s="49">
        <v>-0.5</v>
      </c>
      <c r="AO494" s="49">
        <v>-0.5</v>
      </c>
      <c r="AP494" s="49"/>
      <c r="AR494" s="127"/>
      <c r="BA494" s="127"/>
    </row>
    <row r="495">
      <c r="R495" s="223"/>
      <c r="AL495" s="49"/>
      <c r="AM495" s="49"/>
      <c r="AN495" s="49">
        <v>-0.5</v>
      </c>
      <c r="AO495" s="49">
        <v>-0.5</v>
      </c>
      <c r="AP495" s="49"/>
      <c r="AR495" s="127"/>
      <c r="BA495" s="127"/>
    </row>
    <row r="496">
      <c r="R496" s="223"/>
      <c r="AL496" s="49"/>
      <c r="AM496" s="49"/>
      <c r="AN496" s="49">
        <v>-0.5</v>
      </c>
      <c r="AO496" s="49">
        <v>-0.5</v>
      </c>
      <c r="AP496" s="49"/>
      <c r="AR496" s="127"/>
      <c r="BA496" s="127"/>
    </row>
    <row r="497">
      <c r="R497" s="223"/>
      <c r="AL497" s="49"/>
      <c r="AM497" s="49"/>
      <c r="AN497" s="49">
        <v>-0.5</v>
      </c>
      <c r="AO497" s="49">
        <v>-0.5</v>
      </c>
      <c r="AP497" s="49"/>
      <c r="AR497" s="127"/>
      <c r="BA497" s="127"/>
    </row>
    <row r="498">
      <c r="R498" s="223"/>
      <c r="AL498" s="49"/>
      <c r="AM498" s="49"/>
      <c r="AN498" s="49">
        <v>-0.5</v>
      </c>
      <c r="AO498" s="49">
        <v>-0.5</v>
      </c>
      <c r="AP498" s="49"/>
      <c r="AR498" s="127"/>
      <c r="BA498" s="127"/>
    </row>
    <row r="499">
      <c r="R499" s="223"/>
      <c r="AL499" s="49"/>
      <c r="AM499" s="49"/>
      <c r="AN499" s="49">
        <v>-0.5</v>
      </c>
      <c r="AO499" s="49">
        <v>-0.5</v>
      </c>
      <c r="AP499" s="49"/>
      <c r="AR499" s="127"/>
      <c r="BA499" s="127"/>
    </row>
    <row r="500">
      <c r="R500" s="223"/>
      <c r="AL500" s="49"/>
      <c r="AM500" s="49"/>
      <c r="AN500" s="49">
        <v>-0.5</v>
      </c>
      <c r="AO500" s="49">
        <v>-0.5</v>
      </c>
      <c r="AP500" s="49"/>
      <c r="AR500" s="127"/>
      <c r="BA500" s="127"/>
    </row>
    <row r="501">
      <c r="R501" s="223"/>
      <c r="AL501" s="49"/>
      <c r="AM501" s="49"/>
      <c r="AN501" s="49">
        <v>-0.5</v>
      </c>
      <c r="AO501" s="49">
        <v>-0.5</v>
      </c>
      <c r="AP501" s="49"/>
      <c r="AR501" s="127"/>
      <c r="BA501" s="127"/>
    </row>
    <row r="502">
      <c r="R502" s="223"/>
      <c r="AL502" s="49"/>
      <c r="AM502" s="49"/>
      <c r="AN502" s="49">
        <v>-0.5</v>
      </c>
      <c r="AO502" s="49">
        <v>-0.5</v>
      </c>
      <c r="AP502" s="49"/>
      <c r="AR502" s="127"/>
      <c r="BA502" s="127"/>
    </row>
    <row r="503">
      <c r="R503" s="223"/>
      <c r="AL503" s="49"/>
      <c r="AM503" s="49"/>
      <c r="AN503" s="49">
        <v>-0.5</v>
      </c>
      <c r="AO503" s="49">
        <v>-0.5</v>
      </c>
      <c r="AP503" s="49"/>
      <c r="AR503" s="127"/>
      <c r="BA503" s="127"/>
    </row>
    <row r="504">
      <c r="R504" s="223"/>
      <c r="AL504" s="49"/>
      <c r="AM504" s="49"/>
      <c r="AN504" s="49">
        <v>-0.5</v>
      </c>
      <c r="AO504" s="49">
        <v>-0.5</v>
      </c>
      <c r="AP504" s="49"/>
      <c r="AR504" s="127"/>
      <c r="BA504" s="127"/>
    </row>
    <row r="505">
      <c r="R505" s="223"/>
      <c r="AL505" s="49"/>
      <c r="AM505" s="49"/>
      <c r="AN505" s="49">
        <v>-0.5</v>
      </c>
      <c r="AO505" s="49">
        <v>-0.5</v>
      </c>
      <c r="AP505" s="49"/>
      <c r="AR505" s="127"/>
      <c r="BA505" s="127"/>
    </row>
    <row r="506">
      <c r="R506" s="223"/>
      <c r="AL506" s="49"/>
      <c r="AM506" s="49"/>
      <c r="AN506" s="49">
        <v>-0.5</v>
      </c>
      <c r="AO506" s="49">
        <v>-0.5</v>
      </c>
      <c r="AP506" s="49"/>
      <c r="AR506" s="127"/>
      <c r="BA506" s="127"/>
    </row>
    <row r="507">
      <c r="R507" s="223"/>
      <c r="AL507" s="49"/>
      <c r="AM507" s="49"/>
      <c r="AN507" s="49">
        <v>-0.5</v>
      </c>
      <c r="AO507" s="49">
        <v>-0.5</v>
      </c>
      <c r="AP507" s="49"/>
      <c r="AR507" s="127"/>
      <c r="BA507" s="127"/>
    </row>
    <row r="508">
      <c r="R508" s="223"/>
      <c r="AL508" s="49"/>
      <c r="AM508" s="49"/>
      <c r="AN508" s="49">
        <v>-0.5</v>
      </c>
      <c r="AO508" s="49">
        <v>-0.5</v>
      </c>
      <c r="AP508" s="49"/>
      <c r="AR508" s="127"/>
      <c r="BA508" s="127"/>
    </row>
    <row r="509">
      <c r="R509" s="223"/>
      <c r="AL509" s="49"/>
      <c r="AM509" s="49"/>
      <c r="AN509" s="49">
        <v>-0.5</v>
      </c>
      <c r="AO509" s="49">
        <v>-0.5</v>
      </c>
      <c r="AP509" s="49"/>
      <c r="AR509" s="127"/>
      <c r="BA509" s="127"/>
    </row>
    <row r="510">
      <c r="R510" s="223"/>
      <c r="AL510" s="49"/>
      <c r="AM510" s="49"/>
      <c r="AN510" s="49">
        <v>-0.5</v>
      </c>
      <c r="AO510" s="49">
        <v>-0.5</v>
      </c>
      <c r="AP510" s="49"/>
      <c r="AR510" s="127"/>
      <c r="BA510" s="127"/>
    </row>
    <row r="511">
      <c r="R511" s="223"/>
      <c r="AL511" s="49"/>
      <c r="AM511" s="49"/>
      <c r="AN511" s="49">
        <v>-0.5</v>
      </c>
      <c r="AO511" s="49">
        <v>-0.5</v>
      </c>
      <c r="AP511" s="49"/>
      <c r="AR511" s="127"/>
      <c r="BA511" s="127"/>
    </row>
    <row r="512">
      <c r="R512" s="223"/>
      <c r="AL512" s="49"/>
      <c r="AM512" s="49"/>
      <c r="AN512" s="49">
        <v>-0.5</v>
      </c>
      <c r="AO512" s="49">
        <v>-0.5</v>
      </c>
      <c r="AP512" s="49"/>
      <c r="AR512" s="127"/>
      <c r="BA512" s="127"/>
    </row>
    <row r="513">
      <c r="R513" s="223"/>
      <c r="AL513" s="49"/>
      <c r="AM513" s="49"/>
      <c r="AN513" s="49">
        <v>-0.5</v>
      </c>
      <c r="AO513" s="49">
        <v>-0.5</v>
      </c>
      <c r="AP513" s="49"/>
      <c r="AR513" s="127"/>
      <c r="BA513" s="127"/>
    </row>
    <row r="514">
      <c r="R514" s="223"/>
      <c r="AL514" s="49"/>
      <c r="AM514" s="49"/>
      <c r="AN514" s="49">
        <v>-0.5</v>
      </c>
      <c r="AO514" s="49">
        <v>-0.5</v>
      </c>
      <c r="AP514" s="49"/>
      <c r="AR514" s="127"/>
      <c r="BA514" s="127"/>
    </row>
    <row r="515">
      <c r="R515" s="223"/>
      <c r="AL515" s="49"/>
      <c r="AM515" s="49"/>
      <c r="AN515" s="49">
        <v>-0.5</v>
      </c>
      <c r="AO515" s="49">
        <v>-0.5</v>
      </c>
      <c r="AP515" s="49"/>
      <c r="AR515" s="127"/>
      <c r="BA515" s="127"/>
    </row>
    <row r="516">
      <c r="R516" s="223"/>
      <c r="AL516" s="49"/>
      <c r="AM516" s="49"/>
      <c r="AN516" s="49">
        <v>-0.5</v>
      </c>
      <c r="AO516" s="49">
        <v>-0.5</v>
      </c>
      <c r="AP516" s="49"/>
      <c r="AR516" s="127"/>
      <c r="BA516" s="127"/>
    </row>
    <row r="517">
      <c r="R517" s="223"/>
      <c r="AL517" s="49"/>
      <c r="AM517" s="49"/>
      <c r="AN517" s="49">
        <v>-0.5</v>
      </c>
      <c r="AO517" s="49">
        <v>-0.5</v>
      </c>
      <c r="AP517" s="49"/>
      <c r="AR517" s="127"/>
      <c r="BA517" s="127"/>
    </row>
    <row r="518">
      <c r="R518" s="223"/>
      <c r="AL518" s="49"/>
      <c r="AM518" s="49"/>
      <c r="AN518" s="49">
        <v>-0.5</v>
      </c>
      <c r="AO518" s="49">
        <v>-0.5</v>
      </c>
      <c r="AP518" s="49"/>
      <c r="AR518" s="127"/>
      <c r="BA518" s="127"/>
    </row>
    <row r="519">
      <c r="R519" s="223"/>
      <c r="AL519" s="49"/>
      <c r="AM519" s="49"/>
      <c r="AN519" s="49">
        <v>-0.5</v>
      </c>
      <c r="AO519" s="49">
        <v>-0.5</v>
      </c>
      <c r="AP519" s="49"/>
      <c r="AR519" s="127"/>
      <c r="BA519" s="127"/>
    </row>
    <row r="520">
      <c r="R520" s="223"/>
      <c r="AL520" s="49"/>
      <c r="AM520" s="49"/>
      <c r="AN520" s="49">
        <v>-0.5</v>
      </c>
      <c r="AO520" s="49">
        <v>-0.5</v>
      </c>
      <c r="AP520" s="49"/>
      <c r="AR520" s="127"/>
      <c r="BA520" s="127"/>
    </row>
    <row r="521">
      <c r="R521" s="223"/>
      <c r="AL521" s="49"/>
      <c r="AM521" s="49"/>
      <c r="AN521" s="49">
        <v>-0.5</v>
      </c>
      <c r="AO521" s="49">
        <v>-0.5</v>
      </c>
      <c r="AP521" s="49"/>
      <c r="AR521" s="127"/>
      <c r="BA521" s="127"/>
    </row>
    <row r="522">
      <c r="R522" s="223"/>
      <c r="AL522" s="49"/>
      <c r="AM522" s="49"/>
      <c r="AN522" s="49">
        <v>-0.5</v>
      </c>
      <c r="AO522" s="49">
        <v>-0.5</v>
      </c>
      <c r="AP522" s="49"/>
      <c r="AR522" s="127"/>
      <c r="BA522" s="127"/>
    </row>
    <row r="523">
      <c r="R523" s="223"/>
      <c r="AL523" s="49"/>
      <c r="AM523" s="49"/>
      <c r="AN523" s="49">
        <v>-0.5</v>
      </c>
      <c r="AO523" s="49">
        <v>-0.5</v>
      </c>
      <c r="AP523" s="49"/>
      <c r="AR523" s="127"/>
      <c r="BA523" s="127"/>
    </row>
    <row r="524">
      <c r="R524" s="223"/>
      <c r="AL524" s="49"/>
      <c r="AM524" s="49"/>
      <c r="AN524" s="49">
        <v>-0.5</v>
      </c>
      <c r="AO524" s="49">
        <v>-0.5</v>
      </c>
      <c r="AP524" s="49"/>
      <c r="AR524" s="127"/>
      <c r="BA524" s="127"/>
    </row>
    <row r="525">
      <c r="R525" s="223"/>
      <c r="AL525" s="49"/>
      <c r="AM525" s="49"/>
      <c r="AN525" s="49">
        <v>-0.5</v>
      </c>
      <c r="AO525" s="49">
        <v>-0.5</v>
      </c>
      <c r="AP525" s="49"/>
      <c r="AR525" s="127"/>
      <c r="BA525" s="127"/>
    </row>
    <row r="526">
      <c r="R526" s="223"/>
      <c r="AL526" s="49"/>
      <c r="AM526" s="49"/>
      <c r="AN526" s="49">
        <v>-0.5</v>
      </c>
      <c r="AO526" s="49">
        <v>-0.5</v>
      </c>
      <c r="AP526" s="49"/>
      <c r="AR526" s="127"/>
      <c r="BA526" s="127"/>
    </row>
    <row r="527">
      <c r="R527" s="223"/>
      <c r="AL527" s="49"/>
      <c r="AM527" s="49"/>
      <c r="AN527" s="49">
        <v>-0.5</v>
      </c>
      <c r="AO527" s="49">
        <v>-0.5</v>
      </c>
      <c r="AP527" s="49"/>
      <c r="AR527" s="127"/>
      <c r="BA527" s="127"/>
    </row>
    <row r="528">
      <c r="R528" s="223"/>
      <c r="AL528" s="49"/>
      <c r="AM528" s="49"/>
      <c r="AN528" s="49">
        <v>-0.5</v>
      </c>
      <c r="AO528" s="49">
        <v>-0.5</v>
      </c>
      <c r="AP528" s="49"/>
      <c r="AR528" s="127"/>
      <c r="BA528" s="127"/>
    </row>
    <row r="529">
      <c r="R529" s="223"/>
      <c r="AL529" s="49"/>
      <c r="AM529" s="49"/>
      <c r="AN529" s="49">
        <v>-0.5</v>
      </c>
      <c r="AO529" s="49">
        <v>-0.5</v>
      </c>
      <c r="AP529" s="49"/>
      <c r="AR529" s="127"/>
      <c r="BA529" s="127"/>
    </row>
    <row r="530">
      <c r="R530" s="223"/>
      <c r="AL530" s="49"/>
      <c r="AM530" s="49"/>
      <c r="AN530" s="49">
        <v>-0.5</v>
      </c>
      <c r="AO530" s="49">
        <v>-0.5</v>
      </c>
      <c r="AP530" s="49"/>
      <c r="AR530" s="127"/>
      <c r="BA530" s="127"/>
    </row>
    <row r="531">
      <c r="R531" s="223"/>
      <c r="AL531" s="49"/>
      <c r="AM531" s="49"/>
      <c r="AN531" s="49">
        <v>-0.5</v>
      </c>
      <c r="AO531" s="49">
        <v>-0.5</v>
      </c>
      <c r="AP531" s="49"/>
      <c r="AR531" s="127"/>
      <c r="BA531" s="127"/>
    </row>
    <row r="532">
      <c r="R532" s="223"/>
      <c r="AL532" s="49"/>
      <c r="AM532" s="49"/>
      <c r="AN532" s="49">
        <v>-0.5</v>
      </c>
      <c r="AO532" s="49">
        <v>-0.5</v>
      </c>
      <c r="AP532" s="49"/>
      <c r="AR532" s="127"/>
      <c r="BA532" s="127"/>
    </row>
    <row r="533">
      <c r="R533" s="223"/>
      <c r="AL533" s="49"/>
      <c r="AM533" s="49"/>
      <c r="AN533" s="49">
        <v>-0.5</v>
      </c>
      <c r="AO533" s="49">
        <v>-0.5</v>
      </c>
      <c r="AP533" s="49"/>
      <c r="AR533" s="127"/>
      <c r="BA533" s="127"/>
    </row>
    <row r="534">
      <c r="R534" s="223"/>
      <c r="AL534" s="49"/>
      <c r="AM534" s="49"/>
      <c r="AN534" s="49">
        <v>-0.5</v>
      </c>
      <c r="AO534" s="49">
        <v>-0.5</v>
      </c>
      <c r="AP534" s="49"/>
      <c r="AR534" s="127"/>
      <c r="BA534" s="127"/>
    </row>
    <row r="535">
      <c r="R535" s="223"/>
      <c r="AL535" s="49"/>
      <c r="AM535" s="49"/>
      <c r="AN535" s="49">
        <v>-0.5</v>
      </c>
      <c r="AO535" s="49">
        <v>-0.5</v>
      </c>
      <c r="AP535" s="49"/>
      <c r="AR535" s="127"/>
      <c r="BA535" s="127"/>
    </row>
    <row r="536">
      <c r="R536" s="223"/>
      <c r="AL536" s="49"/>
      <c r="AM536" s="49"/>
      <c r="AN536" s="49">
        <v>-0.5</v>
      </c>
      <c r="AO536" s="49">
        <v>-0.5</v>
      </c>
      <c r="AP536" s="49"/>
      <c r="AR536" s="127"/>
      <c r="BA536" s="127"/>
    </row>
    <row r="537">
      <c r="R537" s="223"/>
      <c r="AL537" s="49"/>
      <c r="AM537" s="49"/>
      <c r="AN537" s="49">
        <v>-0.5</v>
      </c>
      <c r="AO537" s="49">
        <v>-0.5</v>
      </c>
      <c r="AP537" s="49"/>
      <c r="AR537" s="127"/>
      <c r="BA537" s="127"/>
    </row>
    <row r="538">
      <c r="R538" s="223"/>
      <c r="AL538" s="49"/>
      <c r="AM538" s="49"/>
      <c r="AN538" s="49">
        <v>-0.5</v>
      </c>
      <c r="AO538" s="49">
        <v>-0.5</v>
      </c>
      <c r="AP538" s="49"/>
      <c r="AR538" s="127"/>
      <c r="BA538" s="127"/>
    </row>
    <row r="539">
      <c r="R539" s="223"/>
      <c r="AL539" s="49"/>
      <c r="AM539" s="49"/>
      <c r="AN539" s="49">
        <v>-0.5</v>
      </c>
      <c r="AO539" s="49">
        <v>-0.5</v>
      </c>
      <c r="AP539" s="49"/>
      <c r="AR539" s="127"/>
      <c r="BA539" s="127"/>
    </row>
    <row r="540">
      <c r="R540" s="223"/>
      <c r="AL540" s="49"/>
      <c r="AM540" s="49"/>
      <c r="AN540" s="49">
        <v>-0.5</v>
      </c>
      <c r="AO540" s="49">
        <v>-0.5</v>
      </c>
      <c r="AP540" s="49"/>
      <c r="AR540" s="127"/>
      <c r="BA540" s="127"/>
    </row>
    <row r="541">
      <c r="R541" s="223"/>
      <c r="AL541" s="49"/>
      <c r="AM541" s="49"/>
      <c r="AN541" s="49">
        <v>-0.5</v>
      </c>
      <c r="AO541" s="49">
        <v>-0.5</v>
      </c>
      <c r="AP541" s="49"/>
      <c r="AR541" s="127"/>
      <c r="BA541" s="127"/>
    </row>
    <row r="542">
      <c r="R542" s="223"/>
      <c r="AL542" s="49"/>
      <c r="AM542" s="49"/>
      <c r="AN542" s="49">
        <v>-0.5</v>
      </c>
      <c r="AO542" s="49">
        <v>-0.5</v>
      </c>
      <c r="AP542" s="49"/>
      <c r="AR542" s="127"/>
      <c r="BA542" s="127"/>
    </row>
    <row r="543">
      <c r="R543" s="223"/>
      <c r="AL543" s="49"/>
      <c r="AM543" s="49"/>
      <c r="AN543" s="49">
        <v>-0.5</v>
      </c>
      <c r="AO543" s="49">
        <v>-0.5</v>
      </c>
      <c r="AP543" s="49"/>
      <c r="AR543" s="127"/>
      <c r="BA543" s="127"/>
    </row>
    <row r="544">
      <c r="R544" s="223"/>
      <c r="AL544" s="49"/>
      <c r="AM544" s="49"/>
      <c r="AN544" s="49">
        <v>-0.5</v>
      </c>
      <c r="AO544" s="49">
        <v>-0.5</v>
      </c>
      <c r="AP544" s="49"/>
      <c r="AR544" s="127"/>
      <c r="BA544" s="127"/>
    </row>
    <row r="545">
      <c r="R545" s="223"/>
      <c r="AL545" s="49"/>
      <c r="AM545" s="49"/>
      <c r="AN545" s="49">
        <v>-0.5</v>
      </c>
      <c r="AO545" s="49">
        <v>-0.5</v>
      </c>
      <c r="AP545" s="49"/>
      <c r="AR545" s="127"/>
      <c r="BA545" s="127"/>
    </row>
    <row r="546">
      <c r="R546" s="223"/>
      <c r="AL546" s="49"/>
      <c r="AM546" s="49"/>
      <c r="AN546" s="49">
        <v>-0.5</v>
      </c>
      <c r="AO546" s="49">
        <v>-0.5</v>
      </c>
      <c r="AP546" s="49"/>
      <c r="AR546" s="127"/>
      <c r="BA546" s="127"/>
    </row>
    <row r="547">
      <c r="R547" s="223"/>
      <c r="AL547" s="49"/>
      <c r="AM547" s="49"/>
      <c r="AN547" s="49">
        <v>-0.5</v>
      </c>
      <c r="AO547" s="49">
        <v>-0.5</v>
      </c>
      <c r="AP547" s="49"/>
      <c r="AR547" s="127"/>
      <c r="BA547" s="127"/>
    </row>
    <row r="548">
      <c r="R548" s="223"/>
      <c r="AL548" s="49"/>
      <c r="AM548" s="49"/>
      <c r="AN548" s="49">
        <v>-0.5</v>
      </c>
      <c r="AO548" s="49">
        <v>-0.5</v>
      </c>
      <c r="AP548" s="49"/>
      <c r="AR548" s="127"/>
      <c r="BA548" s="127"/>
    </row>
    <row r="549">
      <c r="R549" s="223"/>
      <c r="AL549" s="49"/>
      <c r="AM549" s="49"/>
      <c r="AN549" s="49">
        <v>-0.5</v>
      </c>
      <c r="AO549" s="49">
        <v>-0.5</v>
      </c>
      <c r="AP549" s="49"/>
      <c r="AR549" s="127"/>
      <c r="BA549" s="127"/>
    </row>
    <row r="550">
      <c r="R550" s="223"/>
      <c r="AL550" s="49"/>
      <c r="AM550" s="49"/>
      <c r="AN550" s="49">
        <v>-0.5</v>
      </c>
      <c r="AO550" s="49">
        <v>-0.5</v>
      </c>
      <c r="AP550" s="49"/>
      <c r="AR550" s="127"/>
      <c r="BA550" s="127"/>
    </row>
    <row r="551">
      <c r="R551" s="223"/>
      <c r="AL551" s="49"/>
      <c r="AM551" s="49"/>
      <c r="AN551" s="49">
        <v>-0.5</v>
      </c>
      <c r="AO551" s="49">
        <v>-0.5</v>
      </c>
      <c r="AP551" s="49"/>
      <c r="AR551" s="127"/>
      <c r="BA551" s="127"/>
    </row>
    <row r="552">
      <c r="R552" s="223"/>
      <c r="AL552" s="49"/>
      <c r="AM552" s="49"/>
      <c r="AN552" s="49">
        <v>-0.5</v>
      </c>
      <c r="AO552" s="49">
        <v>-0.5</v>
      </c>
      <c r="AP552" s="49"/>
      <c r="AR552" s="127"/>
      <c r="BA552" s="127"/>
    </row>
    <row r="553">
      <c r="R553" s="223"/>
      <c r="AL553" s="49"/>
      <c r="AM553" s="49"/>
      <c r="AN553" s="49">
        <v>-0.5</v>
      </c>
      <c r="AO553" s="49">
        <v>-0.5</v>
      </c>
      <c r="AP553" s="49"/>
      <c r="AR553" s="127"/>
      <c r="BA553" s="127"/>
    </row>
    <row r="554">
      <c r="R554" s="223"/>
      <c r="AL554" s="49"/>
      <c r="AM554" s="49"/>
      <c r="AN554" s="49">
        <v>-0.5</v>
      </c>
      <c r="AO554" s="49">
        <v>-0.5</v>
      </c>
      <c r="AP554" s="49"/>
      <c r="AR554" s="127"/>
      <c r="BA554" s="127"/>
    </row>
    <row r="555">
      <c r="R555" s="223"/>
      <c r="AL555" s="49"/>
      <c r="AM555" s="49"/>
      <c r="AN555" s="49">
        <v>-0.5</v>
      </c>
      <c r="AO555" s="49">
        <v>-0.5</v>
      </c>
      <c r="AP555" s="49"/>
      <c r="AR555" s="127"/>
      <c r="BA555" s="127"/>
    </row>
    <row r="556">
      <c r="R556" s="223"/>
      <c r="AL556" s="49"/>
      <c r="AM556" s="49"/>
      <c r="AN556" s="49">
        <v>-0.5</v>
      </c>
      <c r="AO556" s="49">
        <v>-0.5</v>
      </c>
      <c r="AP556" s="49"/>
      <c r="AR556" s="127"/>
      <c r="BA556" s="127"/>
    </row>
    <row r="557">
      <c r="R557" s="223"/>
      <c r="AL557" s="49"/>
      <c r="AM557" s="49"/>
      <c r="AN557" s="49">
        <v>-0.5</v>
      </c>
      <c r="AO557" s="49">
        <v>-0.5</v>
      </c>
      <c r="AP557" s="49"/>
      <c r="AR557" s="127"/>
      <c r="BA557" s="127"/>
    </row>
    <row r="558">
      <c r="R558" s="223"/>
      <c r="AL558" s="49"/>
      <c r="AM558" s="49"/>
      <c r="AN558" s="49">
        <v>-0.5</v>
      </c>
      <c r="AO558" s="49">
        <v>-0.5</v>
      </c>
      <c r="AP558" s="49"/>
      <c r="AR558" s="127"/>
      <c r="BA558" s="127"/>
    </row>
    <row r="559">
      <c r="R559" s="223"/>
      <c r="AL559" s="49"/>
      <c r="AM559" s="49"/>
      <c r="AN559" s="49">
        <v>-0.5</v>
      </c>
      <c r="AO559" s="49">
        <v>-0.5</v>
      </c>
      <c r="AP559" s="49"/>
      <c r="AR559" s="127"/>
      <c r="BA559" s="127"/>
    </row>
    <row r="560">
      <c r="R560" s="223"/>
      <c r="AL560" s="49"/>
      <c r="AM560" s="49"/>
      <c r="AN560" s="49">
        <v>-0.5</v>
      </c>
      <c r="AO560" s="49">
        <v>-0.5</v>
      </c>
      <c r="AP560" s="49"/>
      <c r="AR560" s="127"/>
      <c r="BA560" s="127"/>
    </row>
    <row r="561">
      <c r="R561" s="223"/>
      <c r="AL561" s="49"/>
      <c r="AM561" s="49"/>
      <c r="AN561" s="49">
        <v>-0.5</v>
      </c>
      <c r="AO561" s="49">
        <v>-0.5</v>
      </c>
      <c r="AP561" s="49"/>
      <c r="AR561" s="127"/>
      <c r="BA561" s="127"/>
    </row>
    <row r="562">
      <c r="R562" s="223"/>
      <c r="AL562" s="49"/>
      <c r="AM562" s="49"/>
      <c r="AN562" s="49">
        <v>-0.5</v>
      </c>
      <c r="AO562" s="49">
        <v>-0.5</v>
      </c>
      <c r="AP562" s="49"/>
      <c r="AR562" s="127"/>
      <c r="BA562" s="127"/>
    </row>
    <row r="563">
      <c r="R563" s="223"/>
      <c r="AL563" s="49"/>
      <c r="AM563" s="49"/>
      <c r="AN563" s="49">
        <v>-0.5</v>
      </c>
      <c r="AO563" s="49">
        <v>-0.5</v>
      </c>
      <c r="AP563" s="49"/>
      <c r="AR563" s="127"/>
      <c r="BA563" s="127"/>
    </row>
    <row r="564">
      <c r="R564" s="223"/>
      <c r="AL564" s="49"/>
      <c r="AM564" s="49"/>
      <c r="AN564" s="49">
        <v>-0.5</v>
      </c>
      <c r="AO564" s="49">
        <v>-0.5</v>
      </c>
      <c r="AP564" s="49"/>
      <c r="AR564" s="127"/>
      <c r="BA564" s="127"/>
    </row>
    <row r="565">
      <c r="R565" s="223"/>
      <c r="AL565" s="49"/>
      <c r="AM565" s="49"/>
      <c r="AN565" s="49">
        <v>-0.5</v>
      </c>
      <c r="AO565" s="49">
        <v>-0.5</v>
      </c>
      <c r="AP565" s="49"/>
      <c r="AR565" s="127"/>
      <c r="BA565" s="127"/>
    </row>
    <row r="566">
      <c r="R566" s="223"/>
      <c r="AL566" s="49"/>
      <c r="AM566" s="49"/>
      <c r="AN566" s="49">
        <v>-0.5</v>
      </c>
      <c r="AO566" s="49">
        <v>-0.5</v>
      </c>
      <c r="AP566" s="49"/>
      <c r="AR566" s="127"/>
      <c r="BA566" s="127"/>
    </row>
    <row r="567">
      <c r="R567" s="223"/>
      <c r="AL567" s="49"/>
      <c r="AM567" s="49"/>
      <c r="AN567" s="49">
        <v>-0.5</v>
      </c>
      <c r="AO567" s="49">
        <v>-0.5</v>
      </c>
      <c r="AP567" s="49"/>
      <c r="AR567" s="127"/>
      <c r="BA567" s="127"/>
    </row>
    <row r="568">
      <c r="R568" s="223"/>
      <c r="AL568" s="49"/>
      <c r="AM568" s="49"/>
      <c r="AN568" s="49">
        <v>-0.5</v>
      </c>
      <c r="AO568" s="49">
        <v>-0.5</v>
      </c>
      <c r="AP568" s="49"/>
      <c r="AR568" s="127"/>
      <c r="BA568" s="127"/>
    </row>
    <row r="569">
      <c r="R569" s="223"/>
      <c r="AL569" s="49"/>
      <c r="AM569" s="49"/>
      <c r="AN569" s="49">
        <v>-0.5</v>
      </c>
      <c r="AO569" s="49">
        <v>-0.5</v>
      </c>
      <c r="AP569" s="49"/>
      <c r="AR569" s="127"/>
      <c r="BA569" s="127"/>
    </row>
    <row r="570">
      <c r="R570" s="223"/>
      <c r="AL570" s="49"/>
      <c r="AM570" s="49"/>
      <c r="AN570" s="49">
        <v>-0.5</v>
      </c>
      <c r="AO570" s="49">
        <v>-0.5</v>
      </c>
      <c r="AP570" s="49"/>
      <c r="AR570" s="127"/>
      <c r="BA570" s="127"/>
    </row>
    <row r="571">
      <c r="R571" s="223"/>
      <c r="AL571" s="49"/>
      <c r="AM571" s="49"/>
      <c r="AN571" s="49">
        <v>-0.5</v>
      </c>
      <c r="AO571" s="49">
        <v>-0.5</v>
      </c>
      <c r="AP571" s="49"/>
      <c r="AR571" s="127"/>
      <c r="BA571" s="127"/>
    </row>
    <row r="572">
      <c r="R572" s="223"/>
      <c r="AL572" s="49"/>
      <c r="AM572" s="49"/>
      <c r="AN572" s="49">
        <v>-0.5</v>
      </c>
      <c r="AO572" s="49">
        <v>-0.5</v>
      </c>
      <c r="AP572" s="49"/>
      <c r="AR572" s="127"/>
      <c r="BA572" s="127"/>
    </row>
    <row r="573">
      <c r="R573" s="223"/>
      <c r="AL573" s="49"/>
      <c r="AM573" s="49"/>
      <c r="AN573" s="49">
        <v>-0.5</v>
      </c>
      <c r="AO573" s="49">
        <v>-0.5</v>
      </c>
      <c r="AP573" s="49"/>
      <c r="AR573" s="127"/>
      <c r="BA573" s="127"/>
    </row>
    <row r="574">
      <c r="R574" s="223"/>
      <c r="AL574" s="49"/>
      <c r="AM574" s="49"/>
      <c r="AN574" s="49">
        <v>-0.5</v>
      </c>
      <c r="AO574" s="49">
        <v>-0.5</v>
      </c>
      <c r="AP574" s="49"/>
      <c r="AR574" s="127"/>
      <c r="BA574" s="127"/>
    </row>
    <row r="575">
      <c r="R575" s="223"/>
      <c r="AL575" s="49"/>
      <c r="AM575" s="49"/>
      <c r="AN575" s="49">
        <v>-0.5</v>
      </c>
      <c r="AO575" s="49">
        <v>-0.5</v>
      </c>
      <c r="AP575" s="49"/>
      <c r="AR575" s="127"/>
      <c r="BA575" s="127"/>
    </row>
    <row r="576">
      <c r="R576" s="223"/>
      <c r="AL576" s="49"/>
      <c r="AM576" s="49"/>
      <c r="AN576" s="49">
        <v>-0.5</v>
      </c>
      <c r="AO576" s="49">
        <v>-0.5</v>
      </c>
      <c r="AP576" s="49"/>
      <c r="AR576" s="127"/>
      <c r="BA576" s="127"/>
    </row>
    <row r="577">
      <c r="R577" s="223"/>
      <c r="AL577" s="49"/>
      <c r="AM577" s="49"/>
      <c r="AN577" s="49">
        <v>-0.5</v>
      </c>
      <c r="AO577" s="49">
        <v>-0.5</v>
      </c>
      <c r="AP577" s="49"/>
      <c r="AR577" s="127"/>
      <c r="BA577" s="127"/>
    </row>
    <row r="578">
      <c r="R578" s="223"/>
      <c r="AL578" s="49"/>
      <c r="AM578" s="49"/>
      <c r="AN578" s="49">
        <v>-0.5</v>
      </c>
      <c r="AO578" s="49">
        <v>-0.5</v>
      </c>
      <c r="AP578" s="49"/>
      <c r="AR578" s="127"/>
      <c r="BA578" s="127"/>
    </row>
    <row r="579">
      <c r="R579" s="223"/>
      <c r="AL579" s="49"/>
      <c r="AM579" s="49"/>
      <c r="AN579" s="49">
        <v>-0.5</v>
      </c>
      <c r="AO579" s="49">
        <v>-0.5</v>
      </c>
      <c r="AP579" s="49"/>
      <c r="AR579" s="127"/>
      <c r="BA579" s="127"/>
    </row>
    <row r="580">
      <c r="R580" s="223"/>
      <c r="AL580" s="49"/>
      <c r="AM580" s="49"/>
      <c r="AN580" s="49">
        <v>-0.5</v>
      </c>
      <c r="AO580" s="49">
        <v>-0.5</v>
      </c>
      <c r="AP580" s="49"/>
      <c r="AR580" s="127"/>
      <c r="BA580" s="127"/>
    </row>
    <row r="581">
      <c r="R581" s="223"/>
      <c r="AL581" s="49"/>
      <c r="AM581" s="49"/>
      <c r="AN581" s="49">
        <v>-0.5</v>
      </c>
      <c r="AO581" s="49">
        <v>-0.5</v>
      </c>
      <c r="AP581" s="49"/>
      <c r="AR581" s="127"/>
      <c r="BA581" s="127"/>
    </row>
    <row r="582">
      <c r="R582" s="223"/>
      <c r="AL582" s="49"/>
      <c r="AM582" s="49"/>
      <c r="AN582" s="49">
        <v>-0.5</v>
      </c>
      <c r="AO582" s="49">
        <v>-0.5</v>
      </c>
      <c r="AP582" s="49"/>
      <c r="AR582" s="127"/>
      <c r="BA582" s="127"/>
    </row>
    <row r="583">
      <c r="R583" s="223"/>
      <c r="AL583" s="49"/>
      <c r="AM583" s="49"/>
      <c r="AN583" s="49">
        <v>-0.5</v>
      </c>
      <c r="AO583" s="49">
        <v>-0.5</v>
      </c>
      <c r="AP583" s="49"/>
      <c r="AR583" s="127"/>
      <c r="BA583" s="127"/>
    </row>
    <row r="584">
      <c r="R584" s="223"/>
      <c r="AL584" s="49"/>
      <c r="AM584" s="49"/>
      <c r="AN584" s="49">
        <v>-0.5</v>
      </c>
      <c r="AO584" s="49">
        <v>-0.5</v>
      </c>
      <c r="AP584" s="49"/>
      <c r="AR584" s="127"/>
      <c r="BA584" s="127"/>
    </row>
    <row r="585">
      <c r="R585" s="223"/>
      <c r="AL585" s="49"/>
      <c r="AM585" s="49"/>
      <c r="AN585" s="49">
        <v>-0.5</v>
      </c>
      <c r="AO585" s="49">
        <v>-0.5</v>
      </c>
      <c r="AP585" s="49"/>
      <c r="AR585" s="127"/>
      <c r="BA585" s="127"/>
    </row>
    <row r="586">
      <c r="R586" s="223"/>
      <c r="AL586" s="49"/>
      <c r="AM586" s="49"/>
      <c r="AN586" s="49">
        <v>-0.5</v>
      </c>
      <c r="AO586" s="49">
        <v>-0.5</v>
      </c>
      <c r="AP586" s="49"/>
      <c r="AR586" s="127"/>
      <c r="BA586" s="127"/>
    </row>
    <row r="587">
      <c r="R587" s="223"/>
      <c r="AL587" s="49"/>
      <c r="AM587" s="49"/>
      <c r="AN587" s="49">
        <v>-0.5</v>
      </c>
      <c r="AO587" s="49">
        <v>-0.5</v>
      </c>
      <c r="AP587" s="49"/>
      <c r="AR587" s="127"/>
      <c r="BA587" s="127"/>
    </row>
    <row r="588">
      <c r="R588" s="223"/>
      <c r="AL588" s="49"/>
      <c r="AM588" s="49"/>
      <c r="AN588" s="49">
        <v>-0.5</v>
      </c>
      <c r="AO588" s="49">
        <v>-0.5</v>
      </c>
      <c r="AP588" s="49"/>
      <c r="AR588" s="127"/>
      <c r="BA588" s="127"/>
    </row>
    <row r="589">
      <c r="R589" s="223"/>
      <c r="AL589" s="49"/>
      <c r="AM589" s="49"/>
      <c r="AN589" s="49">
        <v>-0.5</v>
      </c>
      <c r="AO589" s="49">
        <v>-0.5</v>
      </c>
      <c r="AP589" s="49"/>
      <c r="AR589" s="127"/>
      <c r="BA589" s="127"/>
    </row>
    <row r="590">
      <c r="R590" s="223"/>
      <c r="AL590" s="49"/>
      <c r="AM590" s="49"/>
      <c r="AN590" s="49">
        <v>-0.5</v>
      </c>
      <c r="AO590" s="49">
        <v>-0.5</v>
      </c>
      <c r="AP590" s="49"/>
      <c r="AR590" s="127"/>
      <c r="BA590" s="127"/>
    </row>
    <row r="591">
      <c r="R591" s="223"/>
      <c r="AL591" s="49"/>
      <c r="AM591" s="49"/>
      <c r="AN591" s="49">
        <v>-0.5</v>
      </c>
      <c r="AO591" s="49">
        <v>-0.5</v>
      </c>
      <c r="AP591" s="49"/>
      <c r="AR591" s="127"/>
      <c r="BA591" s="127"/>
    </row>
    <row r="592">
      <c r="R592" s="223"/>
      <c r="AL592" s="49"/>
      <c r="AM592" s="49"/>
      <c r="AN592" s="49">
        <v>-0.5</v>
      </c>
      <c r="AO592" s="49">
        <v>-0.5</v>
      </c>
      <c r="AP592" s="49"/>
      <c r="AR592" s="127"/>
      <c r="BA592" s="127"/>
    </row>
    <row r="593">
      <c r="R593" s="223"/>
      <c r="AL593" s="49"/>
      <c r="AM593" s="49"/>
      <c r="AN593" s="49">
        <v>-0.5</v>
      </c>
      <c r="AO593" s="49">
        <v>-0.5</v>
      </c>
      <c r="AP593" s="49"/>
      <c r="AR593" s="127"/>
      <c r="BA593" s="127"/>
    </row>
    <row r="594">
      <c r="R594" s="223"/>
      <c r="AL594" s="49"/>
      <c r="AM594" s="49"/>
      <c r="AN594" s="49">
        <v>-0.5</v>
      </c>
      <c r="AO594" s="49">
        <v>-0.5</v>
      </c>
      <c r="AP594" s="49"/>
      <c r="AR594" s="127"/>
      <c r="BA594" s="127"/>
    </row>
    <row r="595">
      <c r="R595" s="223"/>
      <c r="AL595" s="49"/>
      <c r="AM595" s="49"/>
      <c r="AN595" s="49">
        <v>-0.5</v>
      </c>
      <c r="AO595" s="49">
        <v>-0.5</v>
      </c>
      <c r="AP595" s="49"/>
      <c r="AR595" s="127"/>
      <c r="BA595" s="127"/>
    </row>
    <row r="596">
      <c r="R596" s="223"/>
      <c r="AL596" s="49"/>
      <c r="AM596" s="49"/>
      <c r="AN596" s="49">
        <v>-0.5</v>
      </c>
      <c r="AO596" s="49">
        <v>-0.5</v>
      </c>
      <c r="AP596" s="49"/>
      <c r="AR596" s="127"/>
      <c r="BA596" s="127"/>
    </row>
    <row r="597">
      <c r="R597" s="223"/>
      <c r="AL597" s="49"/>
      <c r="AM597" s="49"/>
      <c r="AN597" s="49">
        <v>-0.5</v>
      </c>
      <c r="AO597" s="49">
        <v>-0.5</v>
      </c>
      <c r="AP597" s="49"/>
      <c r="AR597" s="127"/>
      <c r="BA597" s="127"/>
    </row>
    <row r="598">
      <c r="R598" s="223"/>
      <c r="AL598" s="49"/>
      <c r="AM598" s="49"/>
      <c r="AN598" s="49">
        <v>-0.5</v>
      </c>
      <c r="AO598" s="49">
        <v>-0.5</v>
      </c>
      <c r="AP598" s="49"/>
      <c r="AR598" s="127"/>
      <c r="BA598" s="127"/>
    </row>
    <row r="599">
      <c r="R599" s="223"/>
      <c r="AL599" s="49"/>
      <c r="AM599" s="49"/>
      <c r="AN599" s="49">
        <v>-0.5</v>
      </c>
      <c r="AO599" s="49">
        <v>-0.5</v>
      </c>
      <c r="AP599" s="49"/>
      <c r="AR599" s="127"/>
      <c r="BA599" s="127"/>
    </row>
    <row r="600">
      <c r="R600" s="223"/>
      <c r="AL600" s="49"/>
      <c r="AM600" s="49"/>
      <c r="AN600" s="49">
        <v>-0.5</v>
      </c>
      <c r="AO600" s="49">
        <v>-0.5</v>
      </c>
      <c r="AP600" s="49"/>
      <c r="AR600" s="127"/>
      <c r="BA600" s="127"/>
    </row>
    <row r="601">
      <c r="R601" s="223"/>
      <c r="AL601" s="49"/>
      <c r="AM601" s="49"/>
      <c r="AN601" s="49">
        <v>-0.5</v>
      </c>
      <c r="AO601" s="49">
        <v>-0.5</v>
      </c>
      <c r="AP601" s="49"/>
      <c r="AR601" s="127"/>
      <c r="BA601" s="127"/>
    </row>
    <row r="602">
      <c r="R602" s="223"/>
      <c r="AL602" s="49"/>
      <c r="AM602" s="49"/>
      <c r="AN602" s="49">
        <v>-0.5</v>
      </c>
      <c r="AO602" s="49">
        <v>-0.5</v>
      </c>
      <c r="AP602" s="49"/>
      <c r="AR602" s="127"/>
      <c r="BA602" s="127"/>
    </row>
    <row r="603">
      <c r="R603" s="223"/>
      <c r="AL603" s="49"/>
      <c r="AM603" s="49"/>
      <c r="AN603" s="49">
        <v>-0.5</v>
      </c>
      <c r="AO603" s="49">
        <v>-0.5</v>
      </c>
      <c r="AP603" s="49"/>
      <c r="AR603" s="127"/>
      <c r="BA603" s="127"/>
    </row>
    <row r="604">
      <c r="R604" s="223"/>
      <c r="AL604" s="49"/>
      <c r="AM604" s="49"/>
      <c r="AN604" s="49">
        <v>-0.5</v>
      </c>
      <c r="AO604" s="49">
        <v>-0.5</v>
      </c>
      <c r="AP604" s="49"/>
      <c r="AR604" s="127"/>
      <c r="BA604" s="127"/>
    </row>
    <row r="605">
      <c r="R605" s="223"/>
      <c r="AL605" s="49"/>
      <c r="AM605" s="49"/>
      <c r="AN605" s="49">
        <v>-0.5</v>
      </c>
      <c r="AO605" s="49">
        <v>-0.5</v>
      </c>
      <c r="AP605" s="49"/>
      <c r="AR605" s="127"/>
      <c r="BA605" s="127"/>
    </row>
    <row r="606">
      <c r="R606" s="223"/>
      <c r="AL606" s="49"/>
      <c r="AM606" s="49"/>
      <c r="AN606" s="49">
        <v>-0.5</v>
      </c>
      <c r="AO606" s="49">
        <v>-0.5</v>
      </c>
      <c r="AP606" s="49"/>
      <c r="AR606" s="127"/>
      <c r="BA606" s="127"/>
    </row>
    <row r="607">
      <c r="R607" s="223"/>
      <c r="AL607" s="49"/>
      <c r="AM607" s="49"/>
      <c r="AN607" s="49">
        <v>-0.5</v>
      </c>
      <c r="AO607" s="49">
        <v>-0.5</v>
      </c>
      <c r="AP607" s="49"/>
      <c r="AR607" s="127"/>
      <c r="BA607" s="127"/>
    </row>
    <row r="608">
      <c r="R608" s="223"/>
      <c r="AL608" s="49"/>
      <c r="AM608" s="49"/>
      <c r="AN608" s="49">
        <v>-0.5</v>
      </c>
      <c r="AO608" s="49">
        <v>-0.5</v>
      </c>
      <c r="AP608" s="49"/>
      <c r="AR608" s="127"/>
      <c r="BA608" s="127"/>
    </row>
    <row r="609">
      <c r="R609" s="223"/>
      <c r="AL609" s="49"/>
      <c r="AM609" s="49"/>
      <c r="AN609" s="49">
        <v>-0.5</v>
      </c>
      <c r="AO609" s="49">
        <v>-0.5</v>
      </c>
      <c r="AP609" s="49"/>
      <c r="AR609" s="127"/>
      <c r="BA609" s="127"/>
    </row>
    <row r="610">
      <c r="R610" s="223"/>
      <c r="AL610" s="49"/>
      <c r="AM610" s="49"/>
      <c r="AN610" s="49">
        <v>-0.5</v>
      </c>
      <c r="AO610" s="49">
        <v>-0.5</v>
      </c>
      <c r="AP610" s="49"/>
      <c r="AR610" s="127"/>
      <c r="BA610" s="127"/>
    </row>
    <row r="611">
      <c r="R611" s="223"/>
      <c r="AL611" s="49"/>
      <c r="AM611" s="49"/>
      <c r="AN611" s="49">
        <v>-0.5</v>
      </c>
      <c r="AO611" s="49">
        <v>-0.5</v>
      </c>
      <c r="AP611" s="49"/>
      <c r="AR611" s="127"/>
      <c r="BA611" s="127"/>
    </row>
    <row r="612">
      <c r="R612" s="223"/>
      <c r="AL612" s="49"/>
      <c r="AM612" s="49"/>
      <c r="AN612" s="49">
        <v>-0.5</v>
      </c>
      <c r="AO612" s="49">
        <v>-0.5</v>
      </c>
      <c r="AP612" s="49"/>
      <c r="AR612" s="127"/>
      <c r="BA612" s="127"/>
    </row>
    <row r="613">
      <c r="R613" s="223"/>
      <c r="AL613" s="49"/>
      <c r="AM613" s="49"/>
      <c r="AN613" s="49">
        <v>-0.5</v>
      </c>
      <c r="AO613" s="49">
        <v>-0.5</v>
      </c>
      <c r="AP613" s="49"/>
      <c r="AR613" s="127"/>
      <c r="BA613" s="127"/>
    </row>
    <row r="614">
      <c r="R614" s="223"/>
      <c r="AL614" s="49"/>
      <c r="AM614" s="49"/>
      <c r="AN614" s="49">
        <v>-0.5</v>
      </c>
      <c r="AO614" s="49">
        <v>-0.5</v>
      </c>
      <c r="AP614" s="49"/>
      <c r="AR614" s="127"/>
      <c r="BA614" s="127"/>
    </row>
    <row r="615">
      <c r="R615" s="223"/>
      <c r="AL615" s="49"/>
      <c r="AM615" s="49"/>
      <c r="AN615" s="49">
        <v>-0.5</v>
      </c>
      <c r="AO615" s="49">
        <v>-0.5</v>
      </c>
      <c r="AP615" s="49"/>
      <c r="AR615" s="127"/>
      <c r="BA615" s="127"/>
    </row>
    <row r="616">
      <c r="R616" s="223"/>
      <c r="AL616" s="49"/>
      <c r="AM616" s="49"/>
      <c r="AN616" s="49">
        <v>-0.5</v>
      </c>
      <c r="AO616" s="49">
        <v>-0.5</v>
      </c>
      <c r="AP616" s="49"/>
      <c r="AR616" s="127"/>
      <c r="BA616" s="127"/>
    </row>
    <row r="617">
      <c r="R617" s="223"/>
      <c r="AL617" s="49"/>
      <c r="AM617" s="49"/>
      <c r="AN617" s="49">
        <v>-0.5</v>
      </c>
      <c r="AO617" s="49">
        <v>-0.5</v>
      </c>
      <c r="AP617" s="49"/>
      <c r="AR617" s="127"/>
      <c r="BA617" s="127"/>
    </row>
    <row r="618">
      <c r="R618" s="223"/>
      <c r="AL618" s="49"/>
      <c r="AM618" s="49"/>
      <c r="AN618" s="49">
        <v>-0.5</v>
      </c>
      <c r="AO618" s="49">
        <v>-0.5</v>
      </c>
      <c r="AP618" s="49"/>
      <c r="AR618" s="127"/>
      <c r="BA618" s="127"/>
    </row>
    <row r="619">
      <c r="R619" s="223"/>
      <c r="AL619" s="49"/>
      <c r="AM619" s="49"/>
      <c r="AN619" s="49">
        <v>-0.5</v>
      </c>
      <c r="AO619" s="49">
        <v>-0.5</v>
      </c>
      <c r="AP619" s="49"/>
      <c r="AR619" s="127"/>
      <c r="BA619" s="127"/>
    </row>
    <row r="620">
      <c r="R620" s="223"/>
      <c r="AL620" s="49"/>
      <c r="AM620" s="49"/>
      <c r="AN620" s="49">
        <v>-0.5</v>
      </c>
      <c r="AO620" s="49">
        <v>-0.5</v>
      </c>
      <c r="AP620" s="49"/>
      <c r="AR620" s="127"/>
      <c r="BA620" s="127"/>
    </row>
    <row r="621">
      <c r="R621" s="223"/>
      <c r="AL621" s="49"/>
      <c r="AM621" s="49"/>
      <c r="AN621" s="49">
        <v>-0.5</v>
      </c>
      <c r="AO621" s="49">
        <v>-0.5</v>
      </c>
      <c r="AP621" s="49"/>
      <c r="AR621" s="127"/>
      <c r="BA621" s="127"/>
    </row>
    <row r="622">
      <c r="R622" s="223"/>
      <c r="AL622" s="49"/>
      <c r="AM622" s="49"/>
      <c r="AN622" s="49">
        <v>-0.5</v>
      </c>
      <c r="AO622" s="49">
        <v>-0.5</v>
      </c>
      <c r="AP622" s="49"/>
      <c r="AR622" s="127"/>
      <c r="BA622" s="127"/>
    </row>
    <row r="623">
      <c r="R623" s="223"/>
      <c r="AL623" s="49"/>
      <c r="AM623" s="49"/>
      <c r="AN623" s="49">
        <v>-0.5</v>
      </c>
      <c r="AO623" s="49">
        <v>-0.5</v>
      </c>
      <c r="AP623" s="49"/>
      <c r="AR623" s="127"/>
      <c r="BA623" s="127"/>
    </row>
    <row r="624">
      <c r="R624" s="223"/>
      <c r="AL624" s="49"/>
      <c r="AM624" s="49"/>
      <c r="AN624" s="49">
        <v>-0.5</v>
      </c>
      <c r="AO624" s="49">
        <v>-0.5</v>
      </c>
      <c r="AP624" s="49"/>
      <c r="AR624" s="127"/>
      <c r="BA624" s="127"/>
    </row>
    <row r="625">
      <c r="R625" s="223"/>
      <c r="AL625" s="49"/>
      <c r="AM625" s="49"/>
      <c r="AN625" s="49">
        <v>-0.5</v>
      </c>
      <c r="AO625" s="49">
        <v>-0.5</v>
      </c>
      <c r="AP625" s="49"/>
      <c r="AR625" s="127"/>
      <c r="BA625" s="127"/>
    </row>
    <row r="626">
      <c r="R626" s="223"/>
      <c r="AL626" s="49"/>
      <c r="AM626" s="49"/>
      <c r="AN626" s="49">
        <v>-0.5</v>
      </c>
      <c r="AO626" s="49">
        <v>-0.5</v>
      </c>
      <c r="AP626" s="49"/>
      <c r="AR626" s="127"/>
      <c r="BA626" s="127"/>
    </row>
    <row r="627">
      <c r="R627" s="223"/>
      <c r="AL627" s="49"/>
      <c r="AM627" s="49"/>
      <c r="AN627" s="49">
        <v>-0.5</v>
      </c>
      <c r="AO627" s="49">
        <v>-0.5</v>
      </c>
      <c r="AP627" s="49"/>
      <c r="AR627" s="127"/>
      <c r="BA627" s="127"/>
    </row>
    <row r="628">
      <c r="R628" s="223"/>
      <c r="AL628" s="49"/>
      <c r="AM628" s="49"/>
      <c r="AN628" s="49">
        <v>-0.5</v>
      </c>
      <c r="AO628" s="49">
        <v>-0.5</v>
      </c>
      <c r="AP628" s="49"/>
      <c r="AR628" s="127"/>
      <c r="BA628" s="127"/>
    </row>
    <row r="629">
      <c r="R629" s="223"/>
      <c r="AL629" s="49"/>
      <c r="AM629" s="49"/>
      <c r="AN629" s="49">
        <v>-0.5</v>
      </c>
      <c r="AO629" s="49">
        <v>-0.5</v>
      </c>
      <c r="AP629" s="49"/>
      <c r="AR629" s="127"/>
      <c r="BA629" s="12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5" max="45" width="13.75"/>
  </cols>
  <sheetData>
    <row r="1">
      <c r="A1" s="198"/>
      <c r="B1" s="198" t="str">
        <f>Main!B1</f>
        <v>Category</v>
      </c>
      <c r="C1" s="198" t="str">
        <f>Main!C1</f>
        <v>Sub Category</v>
      </c>
      <c r="D1" s="198" t="str">
        <f>Main!D1</f>
        <v>Specifications</v>
      </c>
      <c r="E1" s="189" t="str">
        <f>Main!E1</f>
        <v>No.  of Ups</v>
      </c>
      <c r="F1" s="198" t="str">
        <f>Main!F1</f>
        <v>Machine</v>
      </c>
      <c r="G1" s="198" t="str">
        <f>Main!J1</f>
        <v>GSM</v>
      </c>
      <c r="H1" s="198" t="str">
        <f>Main!K1</f>
        <v>Final Qty</v>
      </c>
      <c r="I1" s="198" t="str">
        <f>Main!L1</f>
        <v>Sheet Qty</v>
      </c>
      <c r="J1" s="196" t="str">
        <f>Main!AG1:AG1030</f>
        <v>SBS</v>
      </c>
      <c r="K1" s="196" t="str">
        <f>Main!AH1</f>
        <v>WhiteBack</v>
      </c>
      <c r="L1" s="196" t="str">
        <f>Main!AI1</f>
        <v>GreyBack</v>
      </c>
      <c r="M1" s="196" t="str">
        <f>Main!AJ1</f>
        <v>Art Card</v>
      </c>
      <c r="N1" s="196" t="str">
        <f>Main!AK1</f>
        <v>Maplitho</v>
      </c>
      <c r="O1" s="196" t="str">
        <f>Main!AL1</f>
        <v>Other Type</v>
      </c>
      <c r="P1" s="196" t="str">
        <f>Main!AW1</f>
        <v>Lamination Thermal</v>
      </c>
      <c r="Q1" s="196" t="str">
        <f>Main!AX1</f>
        <v>Lamination Normal Gloss</v>
      </c>
      <c r="R1" s="196" t="str">
        <f>Main!AY1</f>
        <v>Lamination Normal Matt</v>
      </c>
      <c r="S1" s="196" t="str">
        <f>Main!AZ1</f>
        <v>Varnish</v>
      </c>
      <c r="T1" s="196" t="str">
        <f>Main!BC1</f>
        <v>UV Hybrid</v>
      </c>
      <c r="U1" s="196" t="str">
        <f>Main!BD1</f>
        <v>Spot UV</v>
      </c>
      <c r="V1" s="198" t="s">
        <v>74</v>
      </c>
      <c r="W1" s="199"/>
      <c r="X1" s="80"/>
      <c r="Y1" s="80"/>
      <c r="Z1" s="80"/>
      <c r="AA1" s="73"/>
      <c r="AB1" s="73"/>
      <c r="AC1" s="73"/>
      <c r="AD1" s="73"/>
      <c r="AE1" s="73"/>
      <c r="AF1" s="200" t="s">
        <v>42</v>
      </c>
      <c r="AG1" s="111" t="s">
        <v>43</v>
      </c>
      <c r="AH1" s="111" t="s">
        <v>44</v>
      </c>
      <c r="AI1" s="201" t="s">
        <v>92</v>
      </c>
      <c r="AJ1" s="201" t="s">
        <v>94</v>
      </c>
      <c r="AK1" s="201" t="s">
        <v>47</v>
      </c>
      <c r="AL1" s="199" t="s">
        <v>74</v>
      </c>
      <c r="AS1" s="49" t="str">
        <f>B2</f>
        <v>Bakery</v>
      </c>
      <c r="AT1" s="92" t="s">
        <v>233</v>
      </c>
      <c r="AU1" s="92" t="s">
        <v>2</v>
      </c>
    </row>
    <row r="2">
      <c r="A2" s="202"/>
      <c r="B2" s="180" t="str">
        <f>Quotation!A22</f>
        <v>Bakery</v>
      </c>
      <c r="C2" s="80" t="str">
        <f>Quotation!A23</f>
        <v>Brownie 2</v>
      </c>
      <c r="D2" s="80" t="str">
        <f>Quotation!D22</f>
        <v/>
      </c>
      <c r="E2" s="124" t="str">
        <f>AF16</f>
        <v/>
      </c>
      <c r="F2" s="124" t="str">
        <f>V16</f>
        <v/>
      </c>
      <c r="G2" s="80" t="str">
        <f>'Custom Quote'!C22</f>
        <v>#REF!</v>
      </c>
      <c r="H2" s="104" t="str">
        <f>'Custom Quote'!E21</f>
        <v>#REF!</v>
      </c>
      <c r="I2" s="104" t="str">
        <f>Main!L18</f>
        <v/>
      </c>
      <c r="J2" s="203" t="str">
        <f>Main!AG18</f>
        <v/>
      </c>
      <c r="K2" s="203" t="str">
        <f>J2</f>
        <v/>
      </c>
      <c r="L2" s="203" t="str">
        <f>J2</f>
        <v/>
      </c>
      <c r="M2" s="203" t="str">
        <f>J2</f>
        <v/>
      </c>
      <c r="N2" s="203" t="str">
        <f>J2</f>
        <v/>
      </c>
      <c r="O2" s="203" t="str">
        <f>Main!AL18</f>
        <v/>
      </c>
      <c r="P2" s="203" t="str">
        <f>Main!AW18</f>
        <v/>
      </c>
      <c r="Q2" s="203" t="str">
        <f>Main!AX18</f>
        <v/>
      </c>
      <c r="R2" s="203" t="str">
        <f>Main!AY18</f>
        <v/>
      </c>
      <c r="S2" s="203" t="str">
        <f>Main!AZ18</f>
        <v/>
      </c>
      <c r="T2" s="203" t="str">
        <f>Main!BC18</f>
        <v/>
      </c>
      <c r="U2" s="203" t="str">
        <f>Main!BD18</f>
        <v/>
      </c>
      <c r="V2" s="104">
        <v>0.0</v>
      </c>
      <c r="W2" s="102"/>
      <c r="X2" s="80"/>
      <c r="Y2" s="80"/>
      <c r="Z2" s="80"/>
      <c r="AA2" s="73"/>
      <c r="AB2" s="73"/>
      <c r="AC2" s="73"/>
      <c r="AD2" s="73"/>
      <c r="AE2" s="73"/>
      <c r="AF2" s="194" t="str">
        <f>Main!BI18</f>
        <v/>
      </c>
      <c r="AG2" s="194" t="str">
        <f>Main!BJ18</f>
        <v/>
      </c>
      <c r="AH2" s="194" t="str">
        <f>Main!BK18</f>
        <v/>
      </c>
      <c r="AI2" s="194" t="str">
        <f>Main!BL18</f>
        <v/>
      </c>
      <c r="AJ2" s="194" t="str">
        <f>Main!BM18</f>
        <v/>
      </c>
      <c r="AK2" s="194" t="str">
        <f>Main!BN18</f>
        <v/>
      </c>
      <c r="AL2" s="102">
        <v>0.0</v>
      </c>
      <c r="AT2" s="49" t="str">
        <f t="array" ref="AT2:AT8">Unique(INDEX(Price!F2:F1030,0))</f>
        <v>Gumming Sticker</v>
      </c>
      <c r="AU2" s="33" t="str">
        <f t="array" ref="AU2:AU15">unique(INDEX(Price!A2:A1030,0))</f>
        <v>#REF!</v>
      </c>
    </row>
    <row r="3">
      <c r="A3" s="204"/>
      <c r="B3" s="204" t="str">
        <f t="shared" ref="B3:V3" si="1">B1</f>
        <v>Category</v>
      </c>
      <c r="C3" s="204" t="str">
        <f t="shared" si="1"/>
        <v>Sub Category</v>
      </c>
      <c r="D3" s="204" t="str">
        <f t="shared" si="1"/>
        <v>Specifications</v>
      </c>
      <c r="E3" s="204" t="str">
        <f t="shared" si="1"/>
        <v>No.  of Ups</v>
      </c>
      <c r="F3" s="204" t="str">
        <f t="shared" si="1"/>
        <v>Machine</v>
      </c>
      <c r="G3" s="204" t="str">
        <f t="shared" si="1"/>
        <v>GSM</v>
      </c>
      <c r="H3" s="204" t="str">
        <f t="shared" si="1"/>
        <v>Final Qty</v>
      </c>
      <c r="I3" s="204" t="str">
        <f t="shared" si="1"/>
        <v>Sheet Qty</v>
      </c>
      <c r="J3" s="204" t="str">
        <f t="shared" si="1"/>
        <v>SBS</v>
      </c>
      <c r="K3" s="198" t="str">
        <f t="shared" si="1"/>
        <v>WhiteBack</v>
      </c>
      <c r="L3" s="198" t="str">
        <f t="shared" si="1"/>
        <v>GreyBack</v>
      </c>
      <c r="M3" s="198" t="str">
        <f t="shared" si="1"/>
        <v>Art Card</v>
      </c>
      <c r="N3" s="198" t="str">
        <f t="shared" si="1"/>
        <v>Maplitho</v>
      </c>
      <c r="O3" s="204" t="str">
        <f t="shared" si="1"/>
        <v>Other Type</v>
      </c>
      <c r="P3" s="204" t="str">
        <f t="shared" si="1"/>
        <v>Lamination Thermal</v>
      </c>
      <c r="Q3" s="204" t="str">
        <f t="shared" si="1"/>
        <v>Lamination Normal Gloss</v>
      </c>
      <c r="R3" s="204" t="str">
        <f t="shared" si="1"/>
        <v>Lamination Normal Matt</v>
      </c>
      <c r="S3" s="204" t="str">
        <f t="shared" si="1"/>
        <v>Varnish</v>
      </c>
      <c r="T3" s="204" t="str">
        <f t="shared" si="1"/>
        <v>UV Hybrid</v>
      </c>
      <c r="U3" s="204" t="str">
        <f t="shared" si="1"/>
        <v>Spot UV</v>
      </c>
      <c r="V3" s="204" t="str">
        <f t="shared" si="1"/>
        <v>Plain</v>
      </c>
      <c r="W3" s="204"/>
      <c r="X3" s="80"/>
      <c r="Y3" s="80"/>
      <c r="Z3" s="80"/>
      <c r="AA3" s="73"/>
      <c r="AB3" s="73"/>
      <c r="AC3" s="73"/>
      <c r="AD3" s="73"/>
      <c r="AE3" s="73"/>
      <c r="AF3" s="200" t="s">
        <v>42</v>
      </c>
      <c r="AG3" s="111" t="s">
        <v>43</v>
      </c>
      <c r="AH3" s="111" t="s">
        <v>44</v>
      </c>
      <c r="AI3" s="201" t="s">
        <v>92</v>
      </c>
      <c r="AJ3" s="201" t="s">
        <v>94</v>
      </c>
      <c r="AK3" s="201" t="s">
        <v>47</v>
      </c>
      <c r="AL3" s="199" t="s">
        <v>74</v>
      </c>
      <c r="AT3" s="49" t="s">
        <v>29</v>
      </c>
      <c r="AU3" s="49"/>
    </row>
    <row r="4">
      <c r="A4" s="80"/>
      <c r="B4" s="80" t="str">
        <f t="shared" ref="B4:G4" si="2">B2</f>
        <v>Bakery</v>
      </c>
      <c r="C4" s="80" t="str">
        <f t="shared" si="2"/>
        <v>Brownie 2</v>
      </c>
      <c r="D4" s="80" t="str">
        <f t="shared" si="2"/>
        <v/>
      </c>
      <c r="E4" s="124" t="str">
        <f t="shared" si="2"/>
        <v/>
      </c>
      <c r="F4" s="124" t="str">
        <f t="shared" si="2"/>
        <v/>
      </c>
      <c r="G4" s="124" t="str">
        <f t="shared" si="2"/>
        <v>#REF!</v>
      </c>
      <c r="H4" s="104" t="str">
        <f>'Custom Quote'!E22</f>
        <v>#REF!</v>
      </c>
      <c r="I4" s="104" t="str">
        <f>Main!L19</f>
        <v/>
      </c>
      <c r="J4" s="203" t="str">
        <f>Main!AG19</f>
        <v/>
      </c>
      <c r="K4" s="203" t="str">
        <f>J4</f>
        <v/>
      </c>
      <c r="L4" s="53" t="str">
        <f>J4</f>
        <v/>
      </c>
      <c r="M4" s="53" t="str">
        <f>J4</f>
        <v/>
      </c>
      <c r="N4" s="53" t="str">
        <f>J4</f>
        <v/>
      </c>
      <c r="O4" s="203" t="str">
        <f>Main!AL19</f>
        <v/>
      </c>
      <c r="P4" s="203" t="str">
        <f>Main!AW19</f>
        <v/>
      </c>
      <c r="Q4" s="203" t="str">
        <f>Main!AX19</f>
        <v/>
      </c>
      <c r="R4" s="203" t="str">
        <f>Main!AY19</f>
        <v/>
      </c>
      <c r="S4" s="203" t="str">
        <f>Main!AZ19</f>
        <v/>
      </c>
      <c r="T4" s="203" t="str">
        <f>Main!BC19</f>
        <v/>
      </c>
      <c r="U4" s="203" t="str">
        <f>Main!BD19</f>
        <v/>
      </c>
      <c r="V4" s="104">
        <v>0.0</v>
      </c>
      <c r="W4" s="102"/>
      <c r="X4" s="80"/>
      <c r="Y4" s="80"/>
      <c r="Z4" s="80"/>
      <c r="AA4" s="73"/>
      <c r="AB4" s="73"/>
      <c r="AC4" s="73"/>
      <c r="AD4" s="73"/>
      <c r="AE4" s="73"/>
      <c r="AF4" s="194" t="str">
        <f>Main!BI19</f>
        <v/>
      </c>
      <c r="AG4" s="194" t="str">
        <f>Main!BJ19</f>
        <v/>
      </c>
      <c r="AH4" s="194" t="str">
        <f>Main!BK19</f>
        <v/>
      </c>
      <c r="AI4" s="194" t="str">
        <f>Main!BL19</f>
        <v/>
      </c>
      <c r="AJ4" s="194" t="str">
        <f>Main!BM19</f>
        <v/>
      </c>
      <c r="AK4" s="194" t="str">
        <f>Main!BN19</f>
        <v/>
      </c>
      <c r="AL4" s="102">
        <v>0.0</v>
      </c>
      <c r="AT4" s="49" t="s">
        <v>234</v>
      </c>
      <c r="AU4" s="49"/>
    </row>
    <row r="5">
      <c r="A5" s="204"/>
      <c r="B5" s="204" t="str">
        <f t="shared" ref="B5:J5" si="3">B3</f>
        <v>Category</v>
      </c>
      <c r="C5" s="204" t="str">
        <f t="shared" si="3"/>
        <v>Sub Category</v>
      </c>
      <c r="D5" s="204" t="str">
        <f t="shared" si="3"/>
        <v>Specifications</v>
      </c>
      <c r="E5" s="204" t="str">
        <f t="shared" si="3"/>
        <v>No.  of Ups</v>
      </c>
      <c r="F5" s="204" t="str">
        <f t="shared" si="3"/>
        <v>Machine</v>
      </c>
      <c r="G5" s="204" t="str">
        <f t="shared" si="3"/>
        <v>GSM</v>
      </c>
      <c r="H5" s="204" t="str">
        <f t="shared" si="3"/>
        <v>Final Qty</v>
      </c>
      <c r="I5" s="204" t="str">
        <f t="shared" si="3"/>
        <v>Sheet Qty</v>
      </c>
      <c r="J5" s="204" t="str">
        <f t="shared" si="3"/>
        <v>SBS</v>
      </c>
      <c r="K5" s="198" t="str">
        <f t="shared" ref="K5:N5" si="4">K1</f>
        <v>WhiteBack</v>
      </c>
      <c r="L5" s="198" t="str">
        <f t="shared" si="4"/>
        <v>GreyBack</v>
      </c>
      <c r="M5" s="198" t="str">
        <f t="shared" si="4"/>
        <v>Art Card</v>
      </c>
      <c r="N5" s="198" t="str">
        <f t="shared" si="4"/>
        <v>Maplitho</v>
      </c>
      <c r="O5" s="204" t="str">
        <f t="shared" ref="O5:V5" si="5">O3</f>
        <v>Other Type</v>
      </c>
      <c r="P5" s="204" t="str">
        <f t="shared" si="5"/>
        <v>Lamination Thermal</v>
      </c>
      <c r="Q5" s="204" t="str">
        <f t="shared" si="5"/>
        <v>Lamination Normal Gloss</v>
      </c>
      <c r="R5" s="204" t="str">
        <f t="shared" si="5"/>
        <v>Lamination Normal Matt</v>
      </c>
      <c r="S5" s="204" t="str">
        <f t="shared" si="5"/>
        <v>Varnish</v>
      </c>
      <c r="T5" s="204" t="str">
        <f t="shared" si="5"/>
        <v>UV Hybrid</v>
      </c>
      <c r="U5" s="204" t="str">
        <f t="shared" si="5"/>
        <v>Spot UV</v>
      </c>
      <c r="V5" s="204" t="str">
        <f t="shared" si="5"/>
        <v>Plain</v>
      </c>
      <c r="W5" s="204"/>
      <c r="X5" s="80"/>
      <c r="Y5" s="80"/>
      <c r="Z5" s="80"/>
      <c r="AA5" s="73"/>
      <c r="AB5" s="73"/>
      <c r="AC5" s="73"/>
      <c r="AD5" s="73"/>
      <c r="AE5" s="73"/>
      <c r="AF5" s="200" t="s">
        <v>42</v>
      </c>
      <c r="AG5" s="111" t="s">
        <v>43</v>
      </c>
      <c r="AH5" s="111" t="s">
        <v>44</v>
      </c>
      <c r="AI5" s="201" t="s">
        <v>92</v>
      </c>
      <c r="AJ5" s="201" t="s">
        <v>94</v>
      </c>
      <c r="AK5" s="201" t="s">
        <v>47</v>
      </c>
      <c r="AL5" s="199" t="s">
        <v>74</v>
      </c>
      <c r="AT5" s="49" t="s">
        <v>235</v>
      </c>
      <c r="AU5" s="49"/>
    </row>
    <row r="6">
      <c r="A6" s="80"/>
      <c r="B6" s="80" t="str">
        <f t="shared" ref="B6:G6" si="6">B4</f>
        <v>Bakery</v>
      </c>
      <c r="C6" s="80" t="str">
        <f t="shared" si="6"/>
        <v>Brownie 2</v>
      </c>
      <c r="D6" s="80" t="str">
        <f t="shared" si="6"/>
        <v/>
      </c>
      <c r="E6" s="124" t="str">
        <f t="shared" si="6"/>
        <v/>
      </c>
      <c r="F6" s="124" t="str">
        <f t="shared" si="6"/>
        <v/>
      </c>
      <c r="G6" s="124" t="str">
        <f t="shared" si="6"/>
        <v>#REF!</v>
      </c>
      <c r="H6" s="104" t="str">
        <f>'Custom Quote'!E23</f>
        <v>#REF!</v>
      </c>
      <c r="I6" s="104" t="str">
        <f>Main!L20</f>
        <v/>
      </c>
      <c r="J6" s="203" t="str">
        <f>Main!AG20</f>
        <v/>
      </c>
      <c r="K6" s="203" t="str">
        <f>J6</f>
        <v/>
      </c>
      <c r="L6" s="53" t="str">
        <f>J6</f>
        <v/>
      </c>
      <c r="M6" s="53" t="str">
        <f>J6</f>
        <v/>
      </c>
      <c r="N6" s="53" t="str">
        <f>J6</f>
        <v/>
      </c>
      <c r="O6" s="203" t="str">
        <f>Main!AL20</f>
        <v/>
      </c>
      <c r="P6" s="203" t="str">
        <f>Main!AW20</f>
        <v/>
      </c>
      <c r="Q6" s="203" t="str">
        <f>Main!AX20</f>
        <v/>
      </c>
      <c r="R6" s="203" t="str">
        <f>Main!AY20</f>
        <v/>
      </c>
      <c r="S6" s="203" t="str">
        <f>Main!AZ20</f>
        <v/>
      </c>
      <c r="T6" s="203" t="str">
        <f>Main!BC20</f>
        <v/>
      </c>
      <c r="U6" s="203" t="str">
        <f>Main!BD20</f>
        <v/>
      </c>
      <c r="V6" s="104">
        <v>0.0</v>
      </c>
      <c r="W6" s="102"/>
      <c r="X6" s="80"/>
      <c r="Y6" s="80"/>
      <c r="Z6" s="80"/>
      <c r="AA6" s="73"/>
      <c r="AB6" s="73"/>
      <c r="AC6" s="73"/>
      <c r="AD6" s="73"/>
      <c r="AE6" s="73"/>
      <c r="AF6" s="194" t="str">
        <f>Main!BI20</f>
        <v/>
      </c>
      <c r="AG6" s="194" t="str">
        <f>Main!BJ20</f>
        <v/>
      </c>
      <c r="AH6" s="194" t="str">
        <f>Main!BK20</f>
        <v/>
      </c>
      <c r="AI6" s="194" t="str">
        <f>Main!BL20</f>
        <v/>
      </c>
      <c r="AJ6" s="194" t="str">
        <f>Main!BM20</f>
        <v/>
      </c>
      <c r="AK6" s="194" t="str">
        <f>Main!BN20</f>
        <v/>
      </c>
      <c r="AL6" s="102">
        <v>0.0</v>
      </c>
      <c r="AT6" s="49" t="s">
        <v>30</v>
      </c>
      <c r="AU6" s="49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40"/>
      <c r="Q7" s="140"/>
      <c r="R7" s="77"/>
      <c r="S7" s="73"/>
      <c r="T7" s="73"/>
      <c r="U7" s="73"/>
      <c r="V7" s="73"/>
      <c r="W7" s="92">
        <f>Product!BI45</f>
        <v>1926</v>
      </c>
      <c r="X7" s="33" t="str">
        <f>IF(W7="","","and AM = "&amp;W7&amp;"")</f>
        <v>and AM = 1926</v>
      </c>
      <c r="AT7" s="49" t="s">
        <v>87</v>
      </c>
      <c r="AU7" s="49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40"/>
      <c r="R8" s="77"/>
      <c r="X8" s="33" t="str">
        <f>CONCATENATE("select * where 1=1",X7)</f>
        <v>select * where 1=1and AM = 1926</v>
      </c>
      <c r="AT8" s="49"/>
      <c r="AU8" s="49"/>
    </row>
    <row r="9">
      <c r="A9" s="205" t="s">
        <v>238</v>
      </c>
      <c r="B9" s="206" t="s">
        <v>239</v>
      </c>
      <c r="C9" s="206" t="s">
        <v>240</v>
      </c>
      <c r="D9" s="207" t="s">
        <v>241</v>
      </c>
      <c r="E9" s="207" t="s">
        <v>5</v>
      </c>
      <c r="F9" s="208" t="s">
        <v>242</v>
      </c>
      <c r="G9" s="208" t="s">
        <v>243</v>
      </c>
      <c r="H9" s="209" t="s">
        <v>244</v>
      </c>
      <c r="I9" s="16" t="s">
        <v>245</v>
      </c>
      <c r="J9" s="16" t="s">
        <v>246</v>
      </c>
      <c r="K9" s="16" t="s">
        <v>247</v>
      </c>
      <c r="L9" s="16" t="s">
        <v>248</v>
      </c>
      <c r="M9" s="16" t="s">
        <v>249</v>
      </c>
      <c r="N9" s="16" t="s">
        <v>250</v>
      </c>
      <c r="O9" s="210" t="s">
        <v>251</v>
      </c>
      <c r="P9" s="211" t="s">
        <v>252</v>
      </c>
      <c r="Q9" s="212"/>
      <c r="R9" s="213" t="s">
        <v>253</v>
      </c>
      <c r="U9" s="33" t="str">
        <f>IF(T12="All","","and U = "&amp;T12&amp;"")</f>
        <v>#VALUE!</v>
      </c>
      <c r="X9" s="214" t="str">
        <f>IF(B2="","","and F = '"&amp;B2&amp;"'")</f>
        <v>and F = 'Bakery'</v>
      </c>
      <c r="Z9" s="33" t="str">
        <f>IF(C2="","","and A = '"&amp;C2&amp;"'")</f>
        <v>and A = 'Brownie 2'</v>
      </c>
      <c r="AU9" s="49"/>
    </row>
    <row r="10">
      <c r="A10" s="77"/>
      <c r="B10" s="78" t="str">
        <f>IFERROR(__xludf.DUMMYFUNCTION("SPLIT(Quotation!D22,""*"")"),"#VALUE!")</f>
        <v>#VALUE!</v>
      </c>
      <c r="C10" s="78"/>
      <c r="D10" s="33" t="str">
        <f>IFERROR(__xludf.DUMMYFUNCTION("QUERY(AL16:AP1030,X8)"),"#N/A")</f>
        <v>#N/A</v>
      </c>
      <c r="E10" s="78"/>
      <c r="F10" s="77"/>
      <c r="G10" s="77"/>
      <c r="H10" s="77"/>
      <c r="I10" s="77" t="str">
        <f t="shared" ref="I10:I69" si="7">rounddown(F10/$B$10,0)</f>
        <v>#VALUE!</v>
      </c>
      <c r="J10" s="77" t="str">
        <f t="shared" ref="J10:J69" si="8">rounddown(G10/$C$10,0)</f>
        <v>#DIV/0!</v>
      </c>
      <c r="K10" s="83" t="str">
        <f t="shared" ref="K10:K69" si="9">rounddown(G10/$B$10,0)</f>
        <v>#VALUE!</v>
      </c>
      <c r="L10" s="83" t="str">
        <f t="shared" ref="L10:L69" si="10">rounddown(F10/$C$10,0)</f>
        <v>#DIV/0!</v>
      </c>
      <c r="M10" s="77" t="str">
        <f t="shared" ref="M10:M69" si="11">(I10*J10)+(MAX((ROUNDDOWN((F10-(I10*$B$10))/$B$10,0)),(ROUNDDOWN((G10-(J10*$C$10))/$B$10,0)))*L10)</f>
        <v>#VALUE!</v>
      </c>
      <c r="N10" s="77" t="str">
        <f t="shared" ref="N10:N69" si="12">(K10*L10)+((MAX((Rounddown((G10-(K10*$B$10))/$B$10,0)),(Rounddown((F10-(L10*$C$10))/$B$10,0)))*J10))</f>
        <v>#VALUE!</v>
      </c>
      <c r="O10" s="77" t="str">
        <f t="shared" ref="O10:O15" si="13">ifna(max(M10:N10),"")</f>
        <v>#VALUE!</v>
      </c>
      <c r="P10" s="46" t="str">
        <f t="shared" ref="P10:P11" si="14">H10/O10</f>
        <v>#VALUE!</v>
      </c>
      <c r="Q10" s="215"/>
      <c r="R10" s="77" t="str">
        <f t="shared" ref="R10:R69" si="15">roundup(Q10/O10,0)</f>
        <v>#VALUE!</v>
      </c>
      <c r="S10" s="216" t="str">
        <f t="shared" ref="S10:S21" si="16">((F10+0.5)*G10)/O10</f>
        <v>#VALUE!</v>
      </c>
      <c r="T10" s="92" t="str">
        <f>MIN(S10:S13)</f>
        <v>#VALUE!</v>
      </c>
      <c r="U10" s="33" t="str">
        <f t="shared" ref="U10:U11" si="17">IF(T10="All","","and O = "&amp;T10&amp;"")</f>
        <v>#VALUE!</v>
      </c>
      <c r="X10" s="214" t="str">
        <f>IF(A10="","","and A = '"&amp;A10&amp;"'")</f>
        <v/>
      </c>
      <c r="AG10" s="33" t="str">
        <f>IF(J10="","","and A = '"&amp;J10&amp;"'")</f>
        <v>#DIV/0!</v>
      </c>
      <c r="AU10" s="49"/>
    </row>
    <row r="11">
      <c r="A11" s="73"/>
      <c r="B11" s="74"/>
      <c r="C11" s="74"/>
      <c r="D11" s="77"/>
      <c r="E11" s="77"/>
      <c r="F11" s="77"/>
      <c r="G11" s="77"/>
      <c r="H11" s="77"/>
      <c r="I11" s="77" t="str">
        <f t="shared" si="7"/>
        <v>#VALUE!</v>
      </c>
      <c r="J11" s="77" t="str">
        <f t="shared" si="8"/>
        <v>#DIV/0!</v>
      </c>
      <c r="K11" s="83" t="str">
        <f t="shared" si="9"/>
        <v>#VALUE!</v>
      </c>
      <c r="L11" s="83" t="str">
        <f t="shared" si="10"/>
        <v>#DIV/0!</v>
      </c>
      <c r="M11" s="77" t="str">
        <f t="shared" si="11"/>
        <v>#VALUE!</v>
      </c>
      <c r="N11" s="77" t="str">
        <f t="shared" si="12"/>
        <v>#VALUE!</v>
      </c>
      <c r="O11" s="77" t="str">
        <f t="shared" si="13"/>
        <v>#VALUE!</v>
      </c>
      <c r="P11" s="46" t="str">
        <f t="shared" si="14"/>
        <v>#VALUE!</v>
      </c>
      <c r="Q11" s="215"/>
      <c r="R11" s="77" t="str">
        <f t="shared" si="15"/>
        <v>#VALUE!</v>
      </c>
      <c r="S11" s="216" t="str">
        <f t="shared" si="16"/>
        <v>#VALUE!</v>
      </c>
      <c r="T11" s="49" t="str">
        <f>MAX(O10:O13)</f>
        <v>#VALUE!</v>
      </c>
      <c r="U11" s="33" t="str">
        <f t="shared" si="17"/>
        <v>#VALUE!</v>
      </c>
      <c r="X11" s="214" t="str">
        <f>CONCATENATE("select * where 1=1",X9,Z9)</f>
        <v>select * where 1=1and F = 'Bakery'and A = 'Brownie 2'</v>
      </c>
      <c r="AU11" s="49"/>
    </row>
    <row r="12">
      <c r="A12" s="73"/>
      <c r="B12" s="73"/>
      <c r="C12" s="73"/>
      <c r="D12" s="77"/>
      <c r="E12" s="77"/>
      <c r="F12" s="77"/>
      <c r="G12" s="77"/>
      <c r="I12" s="77" t="str">
        <f t="shared" si="7"/>
        <v>#VALUE!</v>
      </c>
      <c r="J12" s="77" t="str">
        <f t="shared" si="8"/>
        <v>#DIV/0!</v>
      </c>
      <c r="K12" s="83" t="str">
        <f t="shared" si="9"/>
        <v>#VALUE!</v>
      </c>
      <c r="L12" s="83" t="str">
        <f t="shared" si="10"/>
        <v>#DIV/0!</v>
      </c>
      <c r="M12" s="77" t="str">
        <f t="shared" si="11"/>
        <v>#VALUE!</v>
      </c>
      <c r="N12" s="77" t="str">
        <f t="shared" si="12"/>
        <v>#VALUE!</v>
      </c>
      <c r="O12" s="77" t="str">
        <f t="shared" si="13"/>
        <v>#VALUE!</v>
      </c>
      <c r="P12" s="46" t="str">
        <f>H11/O12</f>
        <v>#VALUE!</v>
      </c>
      <c r="Q12" s="140"/>
      <c r="R12" s="77" t="str">
        <f t="shared" si="15"/>
        <v>#VALUE!</v>
      </c>
      <c r="S12" s="216" t="str">
        <f t="shared" si="16"/>
        <v>#VALUE!</v>
      </c>
      <c r="T12" s="49" t="str">
        <f>MIN(U29:U1030)</f>
        <v>#VALUE!</v>
      </c>
      <c r="U12" s="33" t="str">
        <f>CONCATENATE("select * where 1=1",U11)</f>
        <v>#VALUE!</v>
      </c>
      <c r="AU12" s="49"/>
    </row>
    <row r="13">
      <c r="A13" s="73"/>
      <c r="B13" s="73"/>
      <c r="C13" s="73"/>
      <c r="D13" s="77"/>
      <c r="E13" s="77"/>
      <c r="F13" s="77"/>
      <c r="G13" s="77"/>
      <c r="H13" s="77"/>
      <c r="I13" s="77" t="str">
        <f t="shared" si="7"/>
        <v>#VALUE!</v>
      </c>
      <c r="J13" s="77" t="str">
        <f t="shared" si="8"/>
        <v>#DIV/0!</v>
      </c>
      <c r="K13" s="83" t="str">
        <f t="shared" si="9"/>
        <v>#VALUE!</v>
      </c>
      <c r="L13" s="83" t="str">
        <f t="shared" si="10"/>
        <v>#DIV/0!</v>
      </c>
      <c r="M13" s="77" t="str">
        <f t="shared" si="11"/>
        <v>#VALUE!</v>
      </c>
      <c r="N13" s="77" t="str">
        <f t="shared" si="12"/>
        <v>#VALUE!</v>
      </c>
      <c r="O13" s="77" t="str">
        <f t="shared" si="13"/>
        <v>#VALUE!</v>
      </c>
      <c r="P13" s="46" t="str">
        <f t="shared" ref="P13:P69" si="18">H13/O13</f>
        <v>#VALUE!</v>
      </c>
      <c r="Q13" s="140"/>
      <c r="R13" s="77" t="str">
        <f t="shared" si="15"/>
        <v>#VALUE!</v>
      </c>
      <c r="S13" s="216" t="str">
        <f t="shared" si="16"/>
        <v>#VALUE!</v>
      </c>
      <c r="U13" s="33" t="str">
        <f>CONCATENATE("select * where 1=1",U9)</f>
        <v>#VALUE!</v>
      </c>
      <c r="AU13" s="49"/>
    </row>
    <row r="14">
      <c r="A14" s="73"/>
      <c r="B14" s="73"/>
      <c r="C14" s="73"/>
      <c r="D14" s="73"/>
      <c r="E14" s="73"/>
      <c r="F14" s="77"/>
      <c r="G14" s="77"/>
      <c r="H14" s="73"/>
      <c r="I14" s="77" t="str">
        <f t="shared" si="7"/>
        <v>#VALUE!</v>
      </c>
      <c r="J14" s="77" t="str">
        <f t="shared" si="8"/>
        <v>#DIV/0!</v>
      </c>
      <c r="K14" s="83" t="str">
        <f t="shared" si="9"/>
        <v>#VALUE!</v>
      </c>
      <c r="L14" s="83" t="str">
        <f t="shared" si="10"/>
        <v>#DIV/0!</v>
      </c>
      <c r="M14" s="77" t="str">
        <f t="shared" si="11"/>
        <v>#VALUE!</v>
      </c>
      <c r="N14" s="77" t="str">
        <f t="shared" si="12"/>
        <v>#VALUE!</v>
      </c>
      <c r="O14" s="77" t="str">
        <f t="shared" si="13"/>
        <v>#VALUE!</v>
      </c>
      <c r="P14" s="46" t="str">
        <f t="shared" si="18"/>
        <v>#VALUE!</v>
      </c>
      <c r="Q14" s="140"/>
      <c r="R14" s="77" t="str">
        <f t="shared" si="15"/>
        <v>#VALUE!</v>
      </c>
      <c r="S14" s="216" t="str">
        <f t="shared" si="16"/>
        <v>#VALUE!</v>
      </c>
      <c r="AU14" s="49"/>
    </row>
    <row r="15">
      <c r="A15" s="73"/>
      <c r="B15" s="73"/>
      <c r="C15" s="73"/>
      <c r="D15" s="73"/>
      <c r="E15" s="73"/>
      <c r="F15" s="77"/>
      <c r="G15" s="77"/>
      <c r="H15" s="73"/>
      <c r="I15" s="77" t="str">
        <f t="shared" si="7"/>
        <v>#VALUE!</v>
      </c>
      <c r="J15" s="77" t="str">
        <f t="shared" si="8"/>
        <v>#DIV/0!</v>
      </c>
      <c r="K15" s="83" t="str">
        <f t="shared" si="9"/>
        <v>#VALUE!</v>
      </c>
      <c r="L15" s="83" t="str">
        <f t="shared" si="10"/>
        <v>#DIV/0!</v>
      </c>
      <c r="M15" s="77" t="str">
        <f t="shared" si="11"/>
        <v>#VALUE!</v>
      </c>
      <c r="N15" s="77" t="str">
        <f t="shared" si="12"/>
        <v>#VALUE!</v>
      </c>
      <c r="O15" s="77" t="str">
        <f t="shared" si="13"/>
        <v>#VALUE!</v>
      </c>
      <c r="P15" s="46" t="str">
        <f t="shared" si="18"/>
        <v>#VALUE!</v>
      </c>
      <c r="Q15" s="140"/>
      <c r="R15" s="77" t="str">
        <f t="shared" si="15"/>
        <v>#VALUE!</v>
      </c>
      <c r="S15" s="216" t="str">
        <f t="shared" si="16"/>
        <v>#VALUE!</v>
      </c>
      <c r="U15" s="207" t="s">
        <v>241</v>
      </c>
      <c r="V15" s="207" t="s">
        <v>5</v>
      </c>
      <c r="W15" s="208" t="s">
        <v>242</v>
      </c>
      <c r="X15" s="208" t="s">
        <v>243</v>
      </c>
      <c r="Y15" s="209" t="s">
        <v>244</v>
      </c>
      <c r="Z15" s="16" t="s">
        <v>245</v>
      </c>
      <c r="AA15" s="16" t="s">
        <v>246</v>
      </c>
      <c r="AB15" s="16" t="s">
        <v>247</v>
      </c>
      <c r="AC15" s="16" t="s">
        <v>248</v>
      </c>
      <c r="AD15" s="16" t="s">
        <v>249</v>
      </c>
      <c r="AE15" s="16" t="s">
        <v>250</v>
      </c>
      <c r="AF15" s="210" t="s">
        <v>251</v>
      </c>
      <c r="AG15" s="211" t="s">
        <v>252</v>
      </c>
      <c r="AH15" s="212"/>
      <c r="AI15" s="217" t="s">
        <v>253</v>
      </c>
      <c r="AL15" s="207" t="s">
        <v>241</v>
      </c>
      <c r="AM15" s="207" t="s">
        <v>5</v>
      </c>
      <c r="AN15" s="208" t="s">
        <v>242</v>
      </c>
      <c r="AO15" s="208" t="s">
        <v>243</v>
      </c>
      <c r="AP15" s="209" t="s">
        <v>244</v>
      </c>
      <c r="AQ15" s="218"/>
      <c r="AR15" s="105"/>
      <c r="AS15" s="200"/>
      <c r="AT15" s="219"/>
      <c r="AU15" s="220" t="s">
        <v>233</v>
      </c>
      <c r="AV15" s="220" t="s">
        <v>241</v>
      </c>
      <c r="AW15" s="220" t="s">
        <v>255</v>
      </c>
      <c r="AX15" s="221" t="s">
        <v>256</v>
      </c>
      <c r="AY15" s="222" t="s">
        <v>5</v>
      </c>
      <c r="AZ15" s="218" t="s">
        <v>233</v>
      </c>
      <c r="BA15" s="105" t="s">
        <v>257</v>
      </c>
      <c r="BB15" s="200" t="s">
        <v>258</v>
      </c>
      <c r="BD15" s="220" t="s">
        <v>233</v>
      </c>
      <c r="BE15" s="220" t="s">
        <v>241</v>
      </c>
      <c r="BF15" s="220" t="s">
        <v>255</v>
      </c>
      <c r="BG15" s="221" t="s">
        <v>256</v>
      </c>
      <c r="BH15" s="222" t="s">
        <v>5</v>
      </c>
      <c r="BI15" s="218" t="s">
        <v>233</v>
      </c>
      <c r="BJ15" s="105" t="s">
        <v>257</v>
      </c>
      <c r="BK15" s="200" t="s">
        <v>258</v>
      </c>
    </row>
    <row r="16">
      <c r="A16" s="73"/>
      <c r="B16" s="33"/>
      <c r="C16" s="33"/>
      <c r="D16" s="73"/>
      <c r="E16" s="73"/>
      <c r="F16" s="77"/>
      <c r="G16" s="77"/>
      <c r="H16" s="73"/>
      <c r="I16" s="77" t="str">
        <f t="shared" si="7"/>
        <v>#VALUE!</v>
      </c>
      <c r="J16" s="77" t="str">
        <f t="shared" si="8"/>
        <v>#DIV/0!</v>
      </c>
      <c r="K16" s="83" t="str">
        <f t="shared" si="9"/>
        <v>#VALUE!</v>
      </c>
      <c r="L16" s="83" t="str">
        <f t="shared" si="10"/>
        <v>#DIV/0!</v>
      </c>
      <c r="M16" s="77" t="str">
        <f t="shared" si="11"/>
        <v>#VALUE!</v>
      </c>
      <c r="N16" s="77" t="str">
        <f t="shared" si="12"/>
        <v>#VALUE!</v>
      </c>
      <c r="O16" s="77" t="str">
        <f t="shared" ref="O16:O69" si="20">max(M16:N16)</f>
        <v>#VALUE!</v>
      </c>
      <c r="P16" s="46" t="str">
        <f t="shared" si="18"/>
        <v>#VALUE!</v>
      </c>
      <c r="Q16" s="140"/>
      <c r="R16" s="77" t="str">
        <f t="shared" si="15"/>
        <v>#VALUE!</v>
      </c>
      <c r="S16" s="216" t="str">
        <f t="shared" si="16"/>
        <v>#VALUE!</v>
      </c>
      <c r="U16" s="33" t="str">
        <f>IFERROR(__xludf.DUMMYFUNCTION("QUERY($U$29:$AI$70,U$13)"),"#VALUE!")</f>
        <v>#VALUE!</v>
      </c>
      <c r="AL16" s="33" t="str">
        <f t="array" ref="AL16:AL1030">INDEX(BE16:BE1030,0)</f>
        <v/>
      </c>
      <c r="AM16" s="33" t="str">
        <f t="array" ref="AM16:AM1030">INDEX(BH16:BH1030,0)</f>
        <v/>
      </c>
      <c r="AN16" s="33" t="str">
        <f t="shared" ref="AN16:AO16" si="19">INDEX((BJ16:BJ1030)-0.5,0)</f>
        <v>#VALUE!</v>
      </c>
      <c r="AO16" s="35">
        <f t="shared" si="19"/>
        <v>-0.5</v>
      </c>
      <c r="AP16" s="33" t="str">
        <f t="array" ref="AP16:AP1030">INDEX(BG16:BG1030,0)</f>
        <v/>
      </c>
      <c r="AR16" s="127"/>
      <c r="AU16" s="33" t="str">
        <f>IFERROR(__xludf.DUMMYFUNCTION("QUERY(Price!$A$2:$F1030,$X$11)"),"#N/A")</f>
        <v>#N/A</v>
      </c>
      <c r="BA16" s="127" t="str">
        <f>IFERROR(__xludf.DUMMYFUNCTION("SPLIT(AW16,""*"")"),"#VALUE!")</f>
        <v>#VALUE!</v>
      </c>
      <c r="BD16" s="33" t="str">
        <f>IFERROR(__xludf.DUMMYFUNCTION("QUERY(AU16:BB1030,""Select * where AU is not null"",0)"),"#N/A")</f>
        <v>#N/A</v>
      </c>
      <c r="BE16" s="49"/>
      <c r="BF16" s="49"/>
      <c r="BG16" s="49"/>
      <c r="BH16" s="49"/>
      <c r="BI16" s="49"/>
      <c r="BJ16" s="49" t="str">
        <f>IFERROR(__xludf.DUMMYFUNCTION("""COMPUTED_VALUE"""),"#VALUE!")</f>
        <v>#VALUE!</v>
      </c>
      <c r="BK16" s="49"/>
    </row>
    <row r="17">
      <c r="A17" s="73"/>
      <c r="B17" s="73"/>
      <c r="C17" s="73"/>
      <c r="D17" s="73"/>
      <c r="E17" s="73"/>
      <c r="F17" s="77"/>
      <c r="G17" s="77"/>
      <c r="H17" s="73"/>
      <c r="I17" s="77" t="str">
        <f t="shared" si="7"/>
        <v>#VALUE!</v>
      </c>
      <c r="J17" s="77" t="str">
        <f t="shared" si="8"/>
        <v>#DIV/0!</v>
      </c>
      <c r="K17" s="83" t="str">
        <f t="shared" si="9"/>
        <v>#VALUE!</v>
      </c>
      <c r="L17" s="83" t="str">
        <f t="shared" si="10"/>
        <v>#DIV/0!</v>
      </c>
      <c r="M17" s="77" t="str">
        <f t="shared" si="11"/>
        <v>#VALUE!</v>
      </c>
      <c r="N17" s="77" t="str">
        <f t="shared" si="12"/>
        <v>#VALUE!</v>
      </c>
      <c r="O17" s="77" t="str">
        <f t="shared" si="20"/>
        <v>#VALUE!</v>
      </c>
      <c r="P17" s="46" t="str">
        <f t="shared" si="18"/>
        <v>#VALUE!</v>
      </c>
      <c r="Q17" s="140"/>
      <c r="R17" s="77" t="str">
        <f t="shared" si="15"/>
        <v>#VALUE!</v>
      </c>
      <c r="S17" s="216" t="str">
        <f t="shared" si="16"/>
        <v>#VALUE!</v>
      </c>
      <c r="AL17" s="49"/>
      <c r="AM17" s="49"/>
      <c r="AN17" s="49">
        <v>-0.5</v>
      </c>
      <c r="AO17" s="49">
        <v>-0.5</v>
      </c>
      <c r="AP17" s="49"/>
      <c r="AR17" s="127"/>
      <c r="BA17" s="127" t="str">
        <f>IFERROR(__xludf.DUMMYFUNCTION("SPLIT(AW17,""*"")"),"#VALUE!")</f>
        <v>#VALUE!</v>
      </c>
    </row>
    <row r="18">
      <c r="A18" s="73"/>
      <c r="B18" s="73"/>
      <c r="C18" s="73"/>
      <c r="D18" s="73"/>
      <c r="E18" s="73"/>
      <c r="F18" s="77"/>
      <c r="G18" s="77"/>
      <c r="H18" s="73"/>
      <c r="I18" s="77" t="str">
        <f t="shared" si="7"/>
        <v>#VALUE!</v>
      </c>
      <c r="J18" s="77" t="str">
        <f t="shared" si="8"/>
        <v>#DIV/0!</v>
      </c>
      <c r="K18" s="83" t="str">
        <f t="shared" si="9"/>
        <v>#VALUE!</v>
      </c>
      <c r="L18" s="83" t="str">
        <f t="shared" si="10"/>
        <v>#DIV/0!</v>
      </c>
      <c r="M18" s="77" t="str">
        <f t="shared" si="11"/>
        <v>#VALUE!</v>
      </c>
      <c r="N18" s="77" t="str">
        <f t="shared" si="12"/>
        <v>#VALUE!</v>
      </c>
      <c r="O18" s="77" t="str">
        <f t="shared" si="20"/>
        <v>#VALUE!</v>
      </c>
      <c r="P18" s="46" t="str">
        <f t="shared" si="18"/>
        <v>#VALUE!</v>
      </c>
      <c r="Q18" s="140"/>
      <c r="R18" s="77" t="str">
        <f t="shared" si="15"/>
        <v>#VALUE!</v>
      </c>
      <c r="S18" s="216" t="str">
        <f t="shared" si="16"/>
        <v>#VALUE!</v>
      </c>
      <c r="AL18" s="49"/>
      <c r="AM18" s="49"/>
      <c r="AN18" s="49">
        <v>-0.5</v>
      </c>
      <c r="AO18" s="49">
        <v>-0.5</v>
      </c>
      <c r="AP18" s="49"/>
      <c r="AR18" s="127"/>
      <c r="BA18" s="127" t="str">
        <f>IFERROR(__xludf.DUMMYFUNCTION("SPLIT(AW18,""*"")"),"#VALUE!")</f>
        <v>#VALUE!</v>
      </c>
    </row>
    <row r="19">
      <c r="A19" s="73"/>
      <c r="B19" s="73"/>
      <c r="C19" s="73"/>
      <c r="D19" s="73"/>
      <c r="E19" s="73"/>
      <c r="F19" s="77"/>
      <c r="G19" s="77"/>
      <c r="H19" s="73"/>
      <c r="I19" s="77" t="str">
        <f t="shared" si="7"/>
        <v>#VALUE!</v>
      </c>
      <c r="J19" s="77" t="str">
        <f t="shared" si="8"/>
        <v>#DIV/0!</v>
      </c>
      <c r="K19" s="83" t="str">
        <f t="shared" si="9"/>
        <v>#VALUE!</v>
      </c>
      <c r="L19" s="83" t="str">
        <f t="shared" si="10"/>
        <v>#DIV/0!</v>
      </c>
      <c r="M19" s="77" t="str">
        <f t="shared" si="11"/>
        <v>#VALUE!</v>
      </c>
      <c r="N19" s="77" t="str">
        <f t="shared" si="12"/>
        <v>#VALUE!</v>
      </c>
      <c r="O19" s="77" t="str">
        <f t="shared" si="20"/>
        <v>#VALUE!</v>
      </c>
      <c r="P19" s="46" t="str">
        <f t="shared" si="18"/>
        <v>#VALUE!</v>
      </c>
      <c r="Q19" s="140"/>
      <c r="R19" s="77" t="str">
        <f t="shared" si="15"/>
        <v>#VALUE!</v>
      </c>
      <c r="S19" s="216" t="str">
        <f t="shared" si="16"/>
        <v>#VALUE!</v>
      </c>
      <c r="AL19" s="49"/>
      <c r="AM19" s="49"/>
      <c r="AN19" s="49">
        <v>-0.5</v>
      </c>
      <c r="AO19" s="49">
        <v>-0.5</v>
      </c>
      <c r="AP19" s="49"/>
      <c r="AR19" s="127"/>
      <c r="BA19" s="127" t="str">
        <f>IFERROR(__xludf.DUMMYFUNCTION("SPLIT(AW19,""*"")"),"#VALUE!")</f>
        <v>#VALUE!</v>
      </c>
    </row>
    <row r="20">
      <c r="A20" s="73"/>
      <c r="B20" s="73"/>
      <c r="C20" s="73"/>
      <c r="D20" s="73"/>
      <c r="E20" s="73"/>
      <c r="F20" s="77"/>
      <c r="G20" s="77"/>
      <c r="H20" s="73"/>
      <c r="I20" s="77" t="str">
        <f t="shared" si="7"/>
        <v>#VALUE!</v>
      </c>
      <c r="J20" s="77" t="str">
        <f t="shared" si="8"/>
        <v>#DIV/0!</v>
      </c>
      <c r="K20" s="83" t="str">
        <f t="shared" si="9"/>
        <v>#VALUE!</v>
      </c>
      <c r="L20" s="83" t="str">
        <f t="shared" si="10"/>
        <v>#DIV/0!</v>
      </c>
      <c r="M20" s="77" t="str">
        <f t="shared" si="11"/>
        <v>#VALUE!</v>
      </c>
      <c r="N20" s="77" t="str">
        <f t="shared" si="12"/>
        <v>#VALUE!</v>
      </c>
      <c r="O20" s="77" t="str">
        <f t="shared" si="20"/>
        <v>#VALUE!</v>
      </c>
      <c r="P20" s="46" t="str">
        <f t="shared" si="18"/>
        <v>#VALUE!</v>
      </c>
      <c r="Q20" s="140"/>
      <c r="R20" s="77" t="str">
        <f t="shared" si="15"/>
        <v>#VALUE!</v>
      </c>
      <c r="S20" s="216" t="str">
        <f t="shared" si="16"/>
        <v>#VALUE!</v>
      </c>
      <c r="AL20" s="49"/>
      <c r="AM20" s="49"/>
      <c r="AN20" s="49">
        <v>-0.5</v>
      </c>
      <c r="AO20" s="49">
        <v>-0.5</v>
      </c>
      <c r="AP20" s="49"/>
      <c r="AR20" s="127"/>
      <c r="BA20" s="127" t="str">
        <f>IFERROR(__xludf.DUMMYFUNCTION("SPLIT(AW20,""*"")"),"#VALUE!")</f>
        <v>#VALUE!</v>
      </c>
    </row>
    <row r="21">
      <c r="A21" s="73"/>
      <c r="B21" s="73"/>
      <c r="C21" s="73"/>
      <c r="D21" s="73"/>
      <c r="E21" s="73"/>
      <c r="F21" s="77"/>
      <c r="G21" s="77"/>
      <c r="H21" s="77"/>
      <c r="I21" s="77" t="str">
        <f t="shared" si="7"/>
        <v>#VALUE!</v>
      </c>
      <c r="J21" s="77" t="str">
        <f t="shared" si="8"/>
        <v>#DIV/0!</v>
      </c>
      <c r="K21" s="83" t="str">
        <f t="shared" si="9"/>
        <v>#VALUE!</v>
      </c>
      <c r="L21" s="83" t="str">
        <f t="shared" si="10"/>
        <v>#DIV/0!</v>
      </c>
      <c r="M21" s="77" t="str">
        <f t="shared" si="11"/>
        <v>#VALUE!</v>
      </c>
      <c r="N21" s="77" t="str">
        <f t="shared" si="12"/>
        <v>#VALUE!</v>
      </c>
      <c r="O21" s="77" t="str">
        <f t="shared" si="20"/>
        <v>#VALUE!</v>
      </c>
      <c r="P21" s="46" t="str">
        <f t="shared" si="18"/>
        <v>#VALUE!</v>
      </c>
      <c r="Q21" s="140"/>
      <c r="R21" s="77" t="str">
        <f t="shared" si="15"/>
        <v>#VALUE!</v>
      </c>
      <c r="S21" s="216" t="str">
        <f t="shared" si="16"/>
        <v>#VALUE!</v>
      </c>
      <c r="AL21" s="49"/>
      <c r="AM21" s="49"/>
      <c r="AN21" s="49">
        <v>-0.5</v>
      </c>
      <c r="AO21" s="49">
        <v>-0.5</v>
      </c>
      <c r="AP21" s="49"/>
      <c r="AR21" s="127"/>
      <c r="BA21" s="127" t="str">
        <f>IFERROR(__xludf.DUMMYFUNCTION("SPLIT(AW21,""*"")"),"#VALUE!")</f>
        <v>#VALUE!</v>
      </c>
    </row>
    <row r="22">
      <c r="A22" s="73"/>
      <c r="B22" s="73"/>
      <c r="C22" s="73"/>
      <c r="D22" s="73"/>
      <c r="E22" s="73"/>
      <c r="F22" s="77"/>
      <c r="G22" s="77"/>
      <c r="H22" s="77"/>
      <c r="I22" s="77" t="str">
        <f t="shared" si="7"/>
        <v>#VALUE!</v>
      </c>
      <c r="J22" s="77" t="str">
        <f t="shared" si="8"/>
        <v>#DIV/0!</v>
      </c>
      <c r="K22" s="83" t="str">
        <f t="shared" si="9"/>
        <v>#VALUE!</v>
      </c>
      <c r="L22" s="83" t="str">
        <f t="shared" si="10"/>
        <v>#DIV/0!</v>
      </c>
      <c r="M22" s="77" t="str">
        <f t="shared" si="11"/>
        <v>#VALUE!</v>
      </c>
      <c r="N22" s="77" t="str">
        <f t="shared" si="12"/>
        <v>#VALUE!</v>
      </c>
      <c r="O22" s="77" t="str">
        <f t="shared" si="20"/>
        <v>#VALUE!</v>
      </c>
      <c r="P22" s="46" t="str">
        <f t="shared" si="18"/>
        <v>#VALUE!</v>
      </c>
      <c r="Q22" s="140"/>
      <c r="R22" s="77" t="str">
        <f t="shared" si="15"/>
        <v>#VALUE!</v>
      </c>
      <c r="AL22" s="49"/>
      <c r="AM22" s="49"/>
      <c r="AN22" s="49">
        <v>-0.5</v>
      </c>
      <c r="AO22" s="49">
        <v>-0.5</v>
      </c>
      <c r="AP22" s="49"/>
      <c r="AR22" s="127"/>
      <c r="BA22" s="127" t="str">
        <f>IFERROR(__xludf.DUMMYFUNCTION("SPLIT(AW22,""*"")"),"#VALUE!")</f>
        <v>#VALUE!</v>
      </c>
    </row>
    <row r="23">
      <c r="A23" s="73"/>
      <c r="B23" s="73"/>
      <c r="C23" s="73"/>
      <c r="D23" s="73"/>
      <c r="E23" s="73"/>
      <c r="F23" s="77"/>
      <c r="G23" s="77"/>
      <c r="H23" s="77"/>
      <c r="I23" s="77" t="str">
        <f t="shared" si="7"/>
        <v>#VALUE!</v>
      </c>
      <c r="J23" s="77" t="str">
        <f t="shared" si="8"/>
        <v>#DIV/0!</v>
      </c>
      <c r="K23" s="83" t="str">
        <f t="shared" si="9"/>
        <v>#VALUE!</v>
      </c>
      <c r="L23" s="83" t="str">
        <f t="shared" si="10"/>
        <v>#DIV/0!</v>
      </c>
      <c r="M23" s="77" t="str">
        <f t="shared" si="11"/>
        <v>#VALUE!</v>
      </c>
      <c r="N23" s="77" t="str">
        <f t="shared" si="12"/>
        <v>#VALUE!</v>
      </c>
      <c r="O23" s="77" t="str">
        <f t="shared" si="20"/>
        <v>#VALUE!</v>
      </c>
      <c r="P23" s="46" t="str">
        <f t="shared" si="18"/>
        <v>#VALUE!</v>
      </c>
      <c r="Q23" s="140"/>
      <c r="R23" s="77" t="str">
        <f t="shared" si="15"/>
        <v>#VALUE!</v>
      </c>
      <c r="AL23" s="49"/>
      <c r="AM23" s="49"/>
      <c r="AN23" s="49">
        <v>-0.5</v>
      </c>
      <c r="AO23" s="49">
        <v>-0.5</v>
      </c>
      <c r="AP23" s="49"/>
      <c r="AR23" s="127"/>
      <c r="BA23" s="127" t="str">
        <f>IFERROR(__xludf.DUMMYFUNCTION("SPLIT(AW23,""*"")"),"#VALUE!")</f>
        <v>#VALUE!</v>
      </c>
    </row>
    <row r="24">
      <c r="A24" s="73"/>
      <c r="B24" s="73"/>
      <c r="C24" s="73"/>
      <c r="D24" s="73"/>
      <c r="E24" s="73"/>
      <c r="F24" s="77"/>
      <c r="G24" s="77"/>
      <c r="H24" s="73"/>
      <c r="I24" s="77" t="str">
        <f t="shared" si="7"/>
        <v>#VALUE!</v>
      </c>
      <c r="J24" s="77" t="str">
        <f t="shared" si="8"/>
        <v>#DIV/0!</v>
      </c>
      <c r="K24" s="83" t="str">
        <f t="shared" si="9"/>
        <v>#VALUE!</v>
      </c>
      <c r="L24" s="83" t="str">
        <f t="shared" si="10"/>
        <v>#DIV/0!</v>
      </c>
      <c r="M24" s="77" t="str">
        <f t="shared" si="11"/>
        <v>#VALUE!</v>
      </c>
      <c r="N24" s="77" t="str">
        <f t="shared" si="12"/>
        <v>#VALUE!</v>
      </c>
      <c r="O24" s="77" t="str">
        <f t="shared" si="20"/>
        <v>#VALUE!</v>
      </c>
      <c r="P24" s="46" t="str">
        <f t="shared" si="18"/>
        <v>#VALUE!</v>
      </c>
      <c r="Q24" s="140"/>
      <c r="R24" s="77" t="str">
        <f t="shared" si="15"/>
        <v>#VALUE!</v>
      </c>
      <c r="U24" s="33"/>
      <c r="AL24" s="49"/>
      <c r="AM24" s="49"/>
      <c r="AN24" s="49">
        <v>-0.5</v>
      </c>
      <c r="AO24" s="49">
        <v>-0.5</v>
      </c>
      <c r="AP24" s="49"/>
      <c r="AR24" s="127"/>
      <c r="BA24" s="127" t="str">
        <f>IFERROR(__xludf.DUMMYFUNCTION("SPLIT(AW24,""*"")"),"#VALUE!")</f>
        <v>#VALUE!</v>
      </c>
    </row>
    <row r="25">
      <c r="A25" s="73"/>
      <c r="B25" s="73"/>
      <c r="C25" s="73"/>
      <c r="D25" s="73"/>
      <c r="E25" s="73"/>
      <c r="F25" s="77"/>
      <c r="G25" s="77"/>
      <c r="H25" s="73"/>
      <c r="I25" s="77" t="str">
        <f t="shared" si="7"/>
        <v>#VALUE!</v>
      </c>
      <c r="J25" s="77" t="str">
        <f t="shared" si="8"/>
        <v>#DIV/0!</v>
      </c>
      <c r="K25" s="83" t="str">
        <f t="shared" si="9"/>
        <v>#VALUE!</v>
      </c>
      <c r="L25" s="83" t="str">
        <f t="shared" si="10"/>
        <v>#DIV/0!</v>
      </c>
      <c r="M25" s="77" t="str">
        <f t="shared" si="11"/>
        <v>#VALUE!</v>
      </c>
      <c r="N25" s="77" t="str">
        <f t="shared" si="12"/>
        <v>#VALUE!</v>
      </c>
      <c r="O25" s="77" t="str">
        <f t="shared" si="20"/>
        <v>#VALUE!</v>
      </c>
      <c r="P25" s="46" t="str">
        <f t="shared" si="18"/>
        <v>#VALUE!</v>
      </c>
      <c r="Q25" s="140"/>
      <c r="R25" s="77" t="str">
        <f t="shared" si="15"/>
        <v>#VALUE!</v>
      </c>
      <c r="AL25" s="49"/>
      <c r="AM25" s="49"/>
      <c r="AN25" s="49">
        <v>-0.5</v>
      </c>
      <c r="AO25" s="49">
        <v>-0.5</v>
      </c>
      <c r="AP25" s="49"/>
      <c r="AR25" s="127"/>
      <c r="BA25" s="127" t="str">
        <f>IFERROR(__xludf.DUMMYFUNCTION("SPLIT(AW25,""*"")"),"#VALUE!")</f>
        <v>#VALUE!</v>
      </c>
    </row>
    <row r="26">
      <c r="A26" s="73"/>
      <c r="B26" s="73"/>
      <c r="C26" s="73"/>
      <c r="D26" s="73"/>
      <c r="E26" s="73"/>
      <c r="F26" s="77"/>
      <c r="G26" s="77"/>
      <c r="H26" s="73"/>
      <c r="I26" s="77" t="str">
        <f t="shared" si="7"/>
        <v>#VALUE!</v>
      </c>
      <c r="J26" s="77" t="str">
        <f t="shared" si="8"/>
        <v>#DIV/0!</v>
      </c>
      <c r="K26" s="83" t="str">
        <f t="shared" si="9"/>
        <v>#VALUE!</v>
      </c>
      <c r="L26" s="83" t="str">
        <f t="shared" si="10"/>
        <v>#DIV/0!</v>
      </c>
      <c r="M26" s="77" t="str">
        <f t="shared" si="11"/>
        <v>#VALUE!</v>
      </c>
      <c r="N26" s="77" t="str">
        <f t="shared" si="12"/>
        <v>#VALUE!</v>
      </c>
      <c r="O26" s="77" t="str">
        <f t="shared" si="20"/>
        <v>#VALUE!</v>
      </c>
      <c r="P26" s="46" t="str">
        <f t="shared" si="18"/>
        <v>#VALUE!</v>
      </c>
      <c r="Q26" s="140"/>
      <c r="R26" s="77" t="str">
        <f t="shared" si="15"/>
        <v>#VALUE!</v>
      </c>
      <c r="AL26" s="49"/>
      <c r="AM26" s="49"/>
      <c r="AN26" s="49">
        <v>-0.5</v>
      </c>
      <c r="AO26" s="49">
        <v>-0.5</v>
      </c>
      <c r="AP26" s="49"/>
      <c r="AR26" s="127"/>
      <c r="BA26" s="127" t="str">
        <f>IFERROR(__xludf.DUMMYFUNCTION("SPLIT(AW26,""*"")"),"#VALUE!")</f>
        <v>#VALUE!</v>
      </c>
    </row>
    <row r="27">
      <c r="A27" s="73"/>
      <c r="B27" s="73"/>
      <c r="C27" s="73"/>
      <c r="D27" s="73"/>
      <c r="E27" s="73"/>
      <c r="F27" s="77"/>
      <c r="G27" s="77"/>
      <c r="H27" s="73"/>
      <c r="I27" s="77" t="str">
        <f t="shared" si="7"/>
        <v>#VALUE!</v>
      </c>
      <c r="J27" s="77" t="str">
        <f t="shared" si="8"/>
        <v>#DIV/0!</v>
      </c>
      <c r="K27" s="83" t="str">
        <f t="shared" si="9"/>
        <v>#VALUE!</v>
      </c>
      <c r="L27" s="83" t="str">
        <f t="shared" si="10"/>
        <v>#DIV/0!</v>
      </c>
      <c r="M27" s="77" t="str">
        <f t="shared" si="11"/>
        <v>#VALUE!</v>
      </c>
      <c r="N27" s="77" t="str">
        <f t="shared" si="12"/>
        <v>#VALUE!</v>
      </c>
      <c r="O27" s="77" t="str">
        <f t="shared" si="20"/>
        <v>#VALUE!</v>
      </c>
      <c r="P27" s="46" t="str">
        <f t="shared" si="18"/>
        <v>#VALUE!</v>
      </c>
      <c r="Q27" s="140"/>
      <c r="R27" s="77" t="str">
        <f t="shared" si="15"/>
        <v>#VALUE!</v>
      </c>
      <c r="AL27" s="49"/>
      <c r="AM27" s="49"/>
      <c r="AN27" s="49">
        <v>-0.5</v>
      </c>
      <c r="AO27" s="49">
        <v>-0.5</v>
      </c>
      <c r="AP27" s="49"/>
      <c r="AR27" s="127"/>
      <c r="BA27" s="127" t="str">
        <f>IFERROR(__xludf.DUMMYFUNCTION("SPLIT(AW27,""*"")"),"#VALUE!")</f>
        <v>#VALUE!</v>
      </c>
    </row>
    <row r="28">
      <c r="A28" s="73"/>
      <c r="B28" s="73"/>
      <c r="C28" s="73"/>
      <c r="D28" s="73"/>
      <c r="E28" s="73"/>
      <c r="F28" s="77"/>
      <c r="G28" s="77"/>
      <c r="H28" s="73"/>
      <c r="I28" s="77" t="str">
        <f t="shared" si="7"/>
        <v>#VALUE!</v>
      </c>
      <c r="J28" s="77" t="str">
        <f t="shared" si="8"/>
        <v>#DIV/0!</v>
      </c>
      <c r="K28" s="83" t="str">
        <f t="shared" si="9"/>
        <v>#VALUE!</v>
      </c>
      <c r="L28" s="83" t="str">
        <f t="shared" si="10"/>
        <v>#DIV/0!</v>
      </c>
      <c r="M28" s="77" t="str">
        <f t="shared" si="11"/>
        <v>#VALUE!</v>
      </c>
      <c r="N28" s="77" t="str">
        <f t="shared" si="12"/>
        <v>#VALUE!</v>
      </c>
      <c r="O28" s="77" t="str">
        <f t="shared" si="20"/>
        <v>#VALUE!</v>
      </c>
      <c r="P28" s="46" t="str">
        <f t="shared" si="18"/>
        <v>#VALUE!</v>
      </c>
      <c r="Q28" s="140"/>
      <c r="R28" s="77" t="str">
        <f t="shared" si="15"/>
        <v>#VALUE!</v>
      </c>
      <c r="U28" s="207" t="s">
        <v>241</v>
      </c>
      <c r="V28" s="207" t="s">
        <v>5</v>
      </c>
      <c r="W28" s="208" t="s">
        <v>242</v>
      </c>
      <c r="X28" s="208" t="s">
        <v>243</v>
      </c>
      <c r="Y28" s="209" t="s">
        <v>244</v>
      </c>
      <c r="Z28" s="16" t="s">
        <v>245</v>
      </c>
      <c r="AA28" s="16" t="s">
        <v>246</v>
      </c>
      <c r="AB28" s="16" t="s">
        <v>247</v>
      </c>
      <c r="AC28" s="16" t="s">
        <v>248</v>
      </c>
      <c r="AD28" s="16" t="s">
        <v>249</v>
      </c>
      <c r="AE28" s="16" t="s">
        <v>250</v>
      </c>
      <c r="AF28" s="210" t="s">
        <v>251</v>
      </c>
      <c r="AG28" s="211" t="s">
        <v>252</v>
      </c>
      <c r="AH28" s="212"/>
      <c r="AI28" s="217" t="s">
        <v>253</v>
      </c>
      <c r="AL28" s="49"/>
      <c r="AM28" s="49"/>
      <c r="AN28" s="49">
        <v>-0.5</v>
      </c>
      <c r="AO28" s="49">
        <v>-0.5</v>
      </c>
      <c r="AP28" s="49"/>
      <c r="AR28" s="127"/>
      <c r="BA28" s="127" t="str">
        <f>IFERROR(__xludf.DUMMYFUNCTION("SPLIT(AW28,""*"")"),"#VALUE!")</f>
        <v>#VALUE!</v>
      </c>
    </row>
    <row r="29">
      <c r="A29" s="73"/>
      <c r="B29" s="73"/>
      <c r="C29" s="73"/>
      <c r="D29" s="73"/>
      <c r="E29" s="73"/>
      <c r="F29" s="77"/>
      <c r="G29" s="77"/>
      <c r="H29" s="73"/>
      <c r="I29" s="77" t="str">
        <f t="shared" si="7"/>
        <v>#VALUE!</v>
      </c>
      <c r="J29" s="77" t="str">
        <f t="shared" si="8"/>
        <v>#DIV/0!</v>
      </c>
      <c r="K29" s="83" t="str">
        <f t="shared" si="9"/>
        <v>#VALUE!</v>
      </c>
      <c r="L29" s="83" t="str">
        <f t="shared" si="10"/>
        <v>#DIV/0!</v>
      </c>
      <c r="M29" s="77" t="str">
        <f t="shared" si="11"/>
        <v>#VALUE!</v>
      </c>
      <c r="N29" s="77" t="str">
        <f t="shared" si="12"/>
        <v>#VALUE!</v>
      </c>
      <c r="O29" s="77" t="str">
        <f t="shared" si="20"/>
        <v>#VALUE!</v>
      </c>
      <c r="P29" s="46" t="str">
        <f t="shared" si="18"/>
        <v>#VALUE!</v>
      </c>
      <c r="Q29" s="140"/>
      <c r="R29" s="77" t="str">
        <f t="shared" si="15"/>
        <v>#VALUE!</v>
      </c>
      <c r="U29" s="33" t="str">
        <f>IFERROR(__xludf.DUMMYFUNCTION("QUERY($D$10:$S$20,U$12)"),"#VALUE!")</f>
        <v>#VALUE!</v>
      </c>
      <c r="AL29" s="49"/>
      <c r="AM29" s="49"/>
      <c r="AN29" s="49">
        <v>-0.5</v>
      </c>
      <c r="AO29" s="49">
        <v>-0.5</v>
      </c>
      <c r="AP29" s="49"/>
      <c r="AR29" s="127"/>
      <c r="BA29" s="127" t="str">
        <f>IFERROR(__xludf.DUMMYFUNCTION("SPLIT(AW29,""*"")"),"#VALUE!")</f>
        <v>#VALUE!</v>
      </c>
    </row>
    <row r="30">
      <c r="A30" s="73"/>
      <c r="B30" s="73"/>
      <c r="C30" s="73"/>
      <c r="D30" s="73"/>
      <c r="E30" s="73"/>
      <c r="F30" s="77"/>
      <c r="G30" s="77"/>
      <c r="H30" s="73"/>
      <c r="I30" s="77" t="str">
        <f t="shared" si="7"/>
        <v>#VALUE!</v>
      </c>
      <c r="J30" s="77" t="str">
        <f t="shared" si="8"/>
        <v>#DIV/0!</v>
      </c>
      <c r="K30" s="83" t="str">
        <f t="shared" si="9"/>
        <v>#VALUE!</v>
      </c>
      <c r="L30" s="83" t="str">
        <f t="shared" si="10"/>
        <v>#DIV/0!</v>
      </c>
      <c r="M30" s="77" t="str">
        <f t="shared" si="11"/>
        <v>#VALUE!</v>
      </c>
      <c r="N30" s="77" t="str">
        <f t="shared" si="12"/>
        <v>#VALUE!</v>
      </c>
      <c r="O30" s="77" t="str">
        <f t="shared" si="20"/>
        <v>#VALUE!</v>
      </c>
      <c r="P30" s="46" t="str">
        <f t="shared" si="18"/>
        <v>#VALUE!</v>
      </c>
      <c r="Q30" s="140"/>
      <c r="R30" s="77" t="str">
        <f t="shared" si="15"/>
        <v>#VALUE!</v>
      </c>
      <c r="AL30" s="49"/>
      <c r="AM30" s="49"/>
      <c r="AN30" s="49">
        <v>-0.5</v>
      </c>
      <c r="AO30" s="49">
        <v>-0.5</v>
      </c>
      <c r="AP30" s="49"/>
      <c r="AR30" s="127"/>
      <c r="BA30" s="127" t="str">
        <f>IFERROR(__xludf.DUMMYFUNCTION("SPLIT(AW30,""*"")"),"#VALUE!")</f>
        <v>#VALUE!</v>
      </c>
    </row>
    <row r="31">
      <c r="A31" s="73"/>
      <c r="B31" s="73"/>
      <c r="C31" s="73"/>
      <c r="D31" s="73"/>
      <c r="E31" s="73"/>
      <c r="F31" s="77"/>
      <c r="G31" s="77"/>
      <c r="H31" s="73"/>
      <c r="I31" s="77" t="str">
        <f t="shared" si="7"/>
        <v>#VALUE!</v>
      </c>
      <c r="J31" s="77" t="str">
        <f t="shared" si="8"/>
        <v>#DIV/0!</v>
      </c>
      <c r="K31" s="83" t="str">
        <f t="shared" si="9"/>
        <v>#VALUE!</v>
      </c>
      <c r="L31" s="83" t="str">
        <f t="shared" si="10"/>
        <v>#DIV/0!</v>
      </c>
      <c r="M31" s="77" t="str">
        <f t="shared" si="11"/>
        <v>#VALUE!</v>
      </c>
      <c r="N31" s="77" t="str">
        <f t="shared" si="12"/>
        <v>#VALUE!</v>
      </c>
      <c r="O31" s="77" t="str">
        <f t="shared" si="20"/>
        <v>#VALUE!</v>
      </c>
      <c r="P31" s="46" t="str">
        <f t="shared" si="18"/>
        <v>#VALUE!</v>
      </c>
      <c r="Q31" s="140"/>
      <c r="R31" s="77" t="str">
        <f t="shared" si="15"/>
        <v>#VALUE!</v>
      </c>
      <c r="AL31" s="49"/>
      <c r="AM31" s="49"/>
      <c r="AN31" s="49">
        <v>-0.5</v>
      </c>
      <c r="AO31" s="49">
        <v>-0.5</v>
      </c>
      <c r="AP31" s="49"/>
      <c r="AR31" s="127"/>
      <c r="BA31" s="127" t="str">
        <f>IFERROR(__xludf.DUMMYFUNCTION("SPLIT(AW31,""*"")"),"#VALUE!")</f>
        <v>#VALUE!</v>
      </c>
    </row>
    <row r="32">
      <c r="A32" s="73"/>
      <c r="B32" s="73"/>
      <c r="C32" s="73"/>
      <c r="D32" s="73"/>
      <c r="E32" s="73"/>
      <c r="F32" s="77"/>
      <c r="G32" s="77"/>
      <c r="H32" s="73"/>
      <c r="I32" s="77" t="str">
        <f t="shared" si="7"/>
        <v>#VALUE!</v>
      </c>
      <c r="J32" s="77" t="str">
        <f t="shared" si="8"/>
        <v>#DIV/0!</v>
      </c>
      <c r="K32" s="83" t="str">
        <f t="shared" si="9"/>
        <v>#VALUE!</v>
      </c>
      <c r="L32" s="83" t="str">
        <f t="shared" si="10"/>
        <v>#DIV/0!</v>
      </c>
      <c r="M32" s="77" t="str">
        <f t="shared" si="11"/>
        <v>#VALUE!</v>
      </c>
      <c r="N32" s="77" t="str">
        <f t="shared" si="12"/>
        <v>#VALUE!</v>
      </c>
      <c r="O32" s="77" t="str">
        <f t="shared" si="20"/>
        <v>#VALUE!</v>
      </c>
      <c r="P32" s="46" t="str">
        <f t="shared" si="18"/>
        <v>#VALUE!</v>
      </c>
      <c r="Q32" s="140"/>
      <c r="R32" s="77" t="str">
        <f t="shared" si="15"/>
        <v>#VALUE!</v>
      </c>
      <c r="AL32" s="49"/>
      <c r="AM32" s="49"/>
      <c r="AN32" s="49">
        <v>-0.5</v>
      </c>
      <c r="AO32" s="49">
        <v>-0.5</v>
      </c>
      <c r="AP32" s="49"/>
      <c r="AR32" s="127"/>
      <c r="BA32" s="127" t="str">
        <f>IFERROR(__xludf.DUMMYFUNCTION("SPLIT(AW32,""*"")"),"#VALUE!")</f>
        <v>#VALUE!</v>
      </c>
    </row>
    <row r="33">
      <c r="A33" s="73"/>
      <c r="B33" s="73"/>
      <c r="C33" s="73"/>
      <c r="D33" s="73"/>
      <c r="E33" s="73"/>
      <c r="F33" s="77"/>
      <c r="G33" s="77"/>
      <c r="H33" s="73"/>
      <c r="I33" s="77" t="str">
        <f t="shared" si="7"/>
        <v>#VALUE!</v>
      </c>
      <c r="J33" s="77" t="str">
        <f t="shared" si="8"/>
        <v>#DIV/0!</v>
      </c>
      <c r="K33" s="83" t="str">
        <f t="shared" si="9"/>
        <v>#VALUE!</v>
      </c>
      <c r="L33" s="83" t="str">
        <f t="shared" si="10"/>
        <v>#DIV/0!</v>
      </c>
      <c r="M33" s="77" t="str">
        <f t="shared" si="11"/>
        <v>#VALUE!</v>
      </c>
      <c r="N33" s="77" t="str">
        <f t="shared" si="12"/>
        <v>#VALUE!</v>
      </c>
      <c r="O33" s="77" t="str">
        <f t="shared" si="20"/>
        <v>#VALUE!</v>
      </c>
      <c r="P33" s="46" t="str">
        <f t="shared" si="18"/>
        <v>#VALUE!</v>
      </c>
      <c r="Q33" s="140"/>
      <c r="R33" s="77" t="str">
        <f t="shared" si="15"/>
        <v>#VALUE!</v>
      </c>
      <c r="AL33" s="49"/>
      <c r="AM33" s="49"/>
      <c r="AN33" s="49">
        <v>-0.5</v>
      </c>
      <c r="AO33" s="49">
        <v>-0.5</v>
      </c>
      <c r="AP33" s="49"/>
      <c r="AR33" s="127"/>
      <c r="BA33" s="127" t="str">
        <f>IFERROR(__xludf.DUMMYFUNCTION("SPLIT(AW33,""*"")"),"#VALUE!")</f>
        <v>#VALUE!</v>
      </c>
    </row>
    <row r="34">
      <c r="A34" s="73"/>
      <c r="B34" s="73"/>
      <c r="C34" s="73"/>
      <c r="D34" s="73"/>
      <c r="E34" s="73"/>
      <c r="F34" s="77"/>
      <c r="G34" s="77"/>
      <c r="H34" s="73"/>
      <c r="I34" s="77" t="str">
        <f t="shared" si="7"/>
        <v>#VALUE!</v>
      </c>
      <c r="J34" s="77" t="str">
        <f t="shared" si="8"/>
        <v>#DIV/0!</v>
      </c>
      <c r="K34" s="83" t="str">
        <f t="shared" si="9"/>
        <v>#VALUE!</v>
      </c>
      <c r="L34" s="83" t="str">
        <f t="shared" si="10"/>
        <v>#DIV/0!</v>
      </c>
      <c r="M34" s="77" t="str">
        <f t="shared" si="11"/>
        <v>#VALUE!</v>
      </c>
      <c r="N34" s="77" t="str">
        <f t="shared" si="12"/>
        <v>#VALUE!</v>
      </c>
      <c r="O34" s="77" t="str">
        <f t="shared" si="20"/>
        <v>#VALUE!</v>
      </c>
      <c r="P34" s="46" t="str">
        <f t="shared" si="18"/>
        <v>#VALUE!</v>
      </c>
      <c r="Q34" s="140"/>
      <c r="R34" s="77" t="str">
        <f t="shared" si="15"/>
        <v>#VALUE!</v>
      </c>
      <c r="AL34" s="49"/>
      <c r="AM34" s="49"/>
      <c r="AN34" s="49">
        <v>-0.5</v>
      </c>
      <c r="AO34" s="49">
        <v>-0.5</v>
      </c>
      <c r="AP34" s="49"/>
      <c r="AR34" s="127"/>
      <c r="BA34" s="127" t="str">
        <f>IFERROR(__xludf.DUMMYFUNCTION("SPLIT(AW34,""*"")"),"#VALUE!")</f>
        <v>#VALUE!</v>
      </c>
    </row>
    <row r="35">
      <c r="A35" s="73"/>
      <c r="B35" s="73"/>
      <c r="C35" s="73"/>
      <c r="D35" s="73"/>
      <c r="E35" s="73"/>
      <c r="F35" s="77"/>
      <c r="G35" s="77"/>
      <c r="H35" s="73"/>
      <c r="I35" s="77" t="str">
        <f t="shared" si="7"/>
        <v>#VALUE!</v>
      </c>
      <c r="J35" s="77" t="str">
        <f t="shared" si="8"/>
        <v>#DIV/0!</v>
      </c>
      <c r="K35" s="83" t="str">
        <f t="shared" si="9"/>
        <v>#VALUE!</v>
      </c>
      <c r="L35" s="83" t="str">
        <f t="shared" si="10"/>
        <v>#DIV/0!</v>
      </c>
      <c r="M35" s="77" t="str">
        <f t="shared" si="11"/>
        <v>#VALUE!</v>
      </c>
      <c r="N35" s="77" t="str">
        <f t="shared" si="12"/>
        <v>#VALUE!</v>
      </c>
      <c r="O35" s="77" t="str">
        <f t="shared" si="20"/>
        <v>#VALUE!</v>
      </c>
      <c r="P35" s="46" t="str">
        <f t="shared" si="18"/>
        <v>#VALUE!</v>
      </c>
      <c r="Q35" s="140"/>
      <c r="R35" s="77" t="str">
        <f t="shared" si="15"/>
        <v>#VALUE!</v>
      </c>
      <c r="AL35" s="49"/>
      <c r="AM35" s="49"/>
      <c r="AN35" s="49">
        <v>-0.5</v>
      </c>
      <c r="AO35" s="49">
        <v>-0.5</v>
      </c>
      <c r="AP35" s="49"/>
      <c r="AR35" s="127"/>
      <c r="BA35" s="127" t="str">
        <f>IFERROR(__xludf.DUMMYFUNCTION("SPLIT(AW35,""*"")"),"#VALUE!")</f>
        <v>#VALUE!</v>
      </c>
    </row>
    <row r="36">
      <c r="A36" s="73"/>
      <c r="B36" s="73"/>
      <c r="C36" s="73"/>
      <c r="D36" s="73"/>
      <c r="E36" s="73"/>
      <c r="F36" s="77"/>
      <c r="G36" s="77"/>
      <c r="H36" s="73"/>
      <c r="I36" s="77" t="str">
        <f t="shared" si="7"/>
        <v>#VALUE!</v>
      </c>
      <c r="J36" s="77" t="str">
        <f t="shared" si="8"/>
        <v>#DIV/0!</v>
      </c>
      <c r="K36" s="83" t="str">
        <f t="shared" si="9"/>
        <v>#VALUE!</v>
      </c>
      <c r="L36" s="83" t="str">
        <f t="shared" si="10"/>
        <v>#DIV/0!</v>
      </c>
      <c r="M36" s="77" t="str">
        <f t="shared" si="11"/>
        <v>#VALUE!</v>
      </c>
      <c r="N36" s="77" t="str">
        <f t="shared" si="12"/>
        <v>#VALUE!</v>
      </c>
      <c r="O36" s="77" t="str">
        <f t="shared" si="20"/>
        <v>#VALUE!</v>
      </c>
      <c r="P36" s="46" t="str">
        <f t="shared" si="18"/>
        <v>#VALUE!</v>
      </c>
      <c r="Q36" s="140"/>
      <c r="R36" s="77" t="str">
        <f t="shared" si="15"/>
        <v>#VALUE!</v>
      </c>
      <c r="AL36" s="49"/>
      <c r="AM36" s="49"/>
      <c r="AN36" s="49">
        <v>-0.5</v>
      </c>
      <c r="AO36" s="49">
        <v>-0.5</v>
      </c>
      <c r="AP36" s="49"/>
      <c r="AR36" s="127"/>
      <c r="BA36" s="127" t="str">
        <f>IFERROR(__xludf.DUMMYFUNCTION("SPLIT(AW36,""*"")"),"#VALUE!")</f>
        <v>#VALUE!</v>
      </c>
    </row>
    <row r="37">
      <c r="A37" s="73"/>
      <c r="B37" s="73"/>
      <c r="C37" s="73"/>
      <c r="D37" s="73"/>
      <c r="E37" s="73"/>
      <c r="F37" s="77"/>
      <c r="G37" s="77"/>
      <c r="H37" s="73"/>
      <c r="I37" s="77" t="str">
        <f t="shared" si="7"/>
        <v>#VALUE!</v>
      </c>
      <c r="J37" s="77" t="str">
        <f t="shared" si="8"/>
        <v>#DIV/0!</v>
      </c>
      <c r="K37" s="83" t="str">
        <f t="shared" si="9"/>
        <v>#VALUE!</v>
      </c>
      <c r="L37" s="83" t="str">
        <f t="shared" si="10"/>
        <v>#DIV/0!</v>
      </c>
      <c r="M37" s="77" t="str">
        <f t="shared" si="11"/>
        <v>#VALUE!</v>
      </c>
      <c r="N37" s="77" t="str">
        <f t="shared" si="12"/>
        <v>#VALUE!</v>
      </c>
      <c r="O37" s="77" t="str">
        <f t="shared" si="20"/>
        <v>#VALUE!</v>
      </c>
      <c r="P37" s="46" t="str">
        <f t="shared" si="18"/>
        <v>#VALUE!</v>
      </c>
      <c r="Q37" s="140"/>
      <c r="R37" s="77" t="str">
        <f t="shared" si="15"/>
        <v>#VALUE!</v>
      </c>
      <c r="AL37" s="49"/>
      <c r="AM37" s="49"/>
      <c r="AN37" s="49">
        <v>-0.5</v>
      </c>
      <c r="AO37" s="49">
        <v>-0.5</v>
      </c>
      <c r="AP37" s="49"/>
      <c r="AR37" s="127"/>
      <c r="BA37" s="127" t="str">
        <f>IFERROR(__xludf.DUMMYFUNCTION("SPLIT(AW37,""*"")"),"#VALUE!")</f>
        <v>#VALUE!</v>
      </c>
    </row>
    <row r="38">
      <c r="A38" s="73"/>
      <c r="B38" s="73"/>
      <c r="C38" s="73"/>
      <c r="D38" s="73"/>
      <c r="E38" s="73"/>
      <c r="F38" s="77"/>
      <c r="G38" s="77"/>
      <c r="H38" s="73"/>
      <c r="I38" s="77" t="str">
        <f t="shared" si="7"/>
        <v>#VALUE!</v>
      </c>
      <c r="J38" s="77" t="str">
        <f t="shared" si="8"/>
        <v>#DIV/0!</v>
      </c>
      <c r="K38" s="83" t="str">
        <f t="shared" si="9"/>
        <v>#VALUE!</v>
      </c>
      <c r="L38" s="83" t="str">
        <f t="shared" si="10"/>
        <v>#DIV/0!</v>
      </c>
      <c r="M38" s="77" t="str">
        <f t="shared" si="11"/>
        <v>#VALUE!</v>
      </c>
      <c r="N38" s="77" t="str">
        <f t="shared" si="12"/>
        <v>#VALUE!</v>
      </c>
      <c r="O38" s="77" t="str">
        <f t="shared" si="20"/>
        <v>#VALUE!</v>
      </c>
      <c r="P38" s="46" t="str">
        <f t="shared" si="18"/>
        <v>#VALUE!</v>
      </c>
      <c r="Q38" s="140"/>
      <c r="R38" s="77" t="str">
        <f t="shared" si="15"/>
        <v>#VALUE!</v>
      </c>
      <c r="AL38" s="49"/>
      <c r="AM38" s="49"/>
      <c r="AN38" s="49">
        <v>-0.5</v>
      </c>
      <c r="AO38" s="49">
        <v>-0.5</v>
      </c>
      <c r="AP38" s="49"/>
      <c r="AR38" s="127"/>
      <c r="BA38" s="127" t="str">
        <f>IFERROR(__xludf.DUMMYFUNCTION("SPLIT(AW38,""*"")"),"#VALUE!")</f>
        <v>#VALUE!</v>
      </c>
    </row>
    <row r="39">
      <c r="A39" s="73"/>
      <c r="B39" s="73"/>
      <c r="C39" s="73"/>
      <c r="D39" s="73"/>
      <c r="E39" s="73"/>
      <c r="F39" s="77"/>
      <c r="G39" s="77"/>
      <c r="H39" s="73"/>
      <c r="I39" s="77" t="str">
        <f t="shared" si="7"/>
        <v>#VALUE!</v>
      </c>
      <c r="J39" s="77" t="str">
        <f t="shared" si="8"/>
        <v>#DIV/0!</v>
      </c>
      <c r="K39" s="83" t="str">
        <f t="shared" si="9"/>
        <v>#VALUE!</v>
      </c>
      <c r="L39" s="83" t="str">
        <f t="shared" si="10"/>
        <v>#DIV/0!</v>
      </c>
      <c r="M39" s="77" t="str">
        <f t="shared" si="11"/>
        <v>#VALUE!</v>
      </c>
      <c r="N39" s="77" t="str">
        <f t="shared" si="12"/>
        <v>#VALUE!</v>
      </c>
      <c r="O39" s="77" t="str">
        <f t="shared" si="20"/>
        <v>#VALUE!</v>
      </c>
      <c r="P39" s="46" t="str">
        <f t="shared" si="18"/>
        <v>#VALUE!</v>
      </c>
      <c r="Q39" s="140"/>
      <c r="R39" s="77" t="str">
        <f t="shared" si="15"/>
        <v>#VALUE!</v>
      </c>
      <c r="AL39" s="49"/>
      <c r="AM39" s="49"/>
      <c r="AN39" s="49">
        <v>-0.5</v>
      </c>
      <c r="AO39" s="49">
        <v>-0.5</v>
      </c>
      <c r="AP39" s="49"/>
      <c r="AR39" s="127"/>
      <c r="BA39" s="127" t="str">
        <f>IFERROR(__xludf.DUMMYFUNCTION("SPLIT(AW39,""*"")"),"#VALUE!")</f>
        <v>#VALUE!</v>
      </c>
    </row>
    <row r="40">
      <c r="A40" s="73"/>
      <c r="B40" s="73"/>
      <c r="C40" s="73"/>
      <c r="D40" s="73"/>
      <c r="E40" s="73"/>
      <c r="F40" s="77"/>
      <c r="G40" s="77"/>
      <c r="H40" s="73"/>
      <c r="I40" s="77" t="str">
        <f t="shared" si="7"/>
        <v>#VALUE!</v>
      </c>
      <c r="J40" s="77" t="str">
        <f t="shared" si="8"/>
        <v>#DIV/0!</v>
      </c>
      <c r="K40" s="83" t="str">
        <f t="shared" si="9"/>
        <v>#VALUE!</v>
      </c>
      <c r="L40" s="83" t="str">
        <f t="shared" si="10"/>
        <v>#DIV/0!</v>
      </c>
      <c r="M40" s="77" t="str">
        <f t="shared" si="11"/>
        <v>#VALUE!</v>
      </c>
      <c r="N40" s="77" t="str">
        <f t="shared" si="12"/>
        <v>#VALUE!</v>
      </c>
      <c r="O40" s="77" t="str">
        <f t="shared" si="20"/>
        <v>#VALUE!</v>
      </c>
      <c r="P40" s="46" t="str">
        <f t="shared" si="18"/>
        <v>#VALUE!</v>
      </c>
      <c r="Q40" s="140"/>
      <c r="R40" s="77" t="str">
        <f t="shared" si="15"/>
        <v>#VALUE!</v>
      </c>
      <c r="AL40" s="49"/>
      <c r="AM40" s="49"/>
      <c r="AN40" s="49">
        <v>-0.5</v>
      </c>
      <c r="AO40" s="49">
        <v>-0.5</v>
      </c>
      <c r="AP40" s="49"/>
      <c r="AR40" s="127"/>
      <c r="BA40" s="127" t="str">
        <f>IFERROR(__xludf.DUMMYFUNCTION("SPLIT(AW40,""*"")"),"#VALUE!")</f>
        <v>#VALUE!</v>
      </c>
    </row>
    <row r="41">
      <c r="A41" s="73"/>
      <c r="B41" s="73"/>
      <c r="C41" s="73"/>
      <c r="D41" s="73"/>
      <c r="E41" s="73"/>
      <c r="F41" s="77"/>
      <c r="G41" s="77"/>
      <c r="H41" s="73"/>
      <c r="I41" s="77" t="str">
        <f t="shared" si="7"/>
        <v>#VALUE!</v>
      </c>
      <c r="J41" s="77" t="str">
        <f t="shared" si="8"/>
        <v>#DIV/0!</v>
      </c>
      <c r="K41" s="83" t="str">
        <f t="shared" si="9"/>
        <v>#VALUE!</v>
      </c>
      <c r="L41" s="83" t="str">
        <f t="shared" si="10"/>
        <v>#DIV/0!</v>
      </c>
      <c r="M41" s="77" t="str">
        <f t="shared" si="11"/>
        <v>#VALUE!</v>
      </c>
      <c r="N41" s="77" t="str">
        <f t="shared" si="12"/>
        <v>#VALUE!</v>
      </c>
      <c r="O41" s="77" t="str">
        <f t="shared" si="20"/>
        <v>#VALUE!</v>
      </c>
      <c r="P41" s="46" t="str">
        <f t="shared" si="18"/>
        <v>#VALUE!</v>
      </c>
      <c r="Q41" s="140"/>
      <c r="R41" s="77" t="str">
        <f t="shared" si="15"/>
        <v>#VALUE!</v>
      </c>
      <c r="AL41" s="49"/>
      <c r="AM41" s="49"/>
      <c r="AN41" s="49">
        <v>-0.5</v>
      </c>
      <c r="AO41" s="49">
        <v>-0.5</v>
      </c>
      <c r="AP41" s="49"/>
      <c r="AR41" s="127"/>
      <c r="BA41" s="127" t="str">
        <f>IFERROR(__xludf.DUMMYFUNCTION("SPLIT(AW41,""*"")"),"#VALUE!")</f>
        <v>#VALUE!</v>
      </c>
    </row>
    <row r="42">
      <c r="A42" s="73"/>
      <c r="B42" s="73"/>
      <c r="C42" s="73"/>
      <c r="D42" s="73"/>
      <c r="E42" s="73"/>
      <c r="F42" s="77"/>
      <c r="G42" s="77"/>
      <c r="H42" s="73"/>
      <c r="I42" s="77" t="str">
        <f t="shared" si="7"/>
        <v>#VALUE!</v>
      </c>
      <c r="J42" s="77" t="str">
        <f t="shared" si="8"/>
        <v>#DIV/0!</v>
      </c>
      <c r="K42" s="83" t="str">
        <f t="shared" si="9"/>
        <v>#VALUE!</v>
      </c>
      <c r="L42" s="83" t="str">
        <f t="shared" si="10"/>
        <v>#DIV/0!</v>
      </c>
      <c r="M42" s="77" t="str">
        <f t="shared" si="11"/>
        <v>#VALUE!</v>
      </c>
      <c r="N42" s="77" t="str">
        <f t="shared" si="12"/>
        <v>#VALUE!</v>
      </c>
      <c r="O42" s="77" t="str">
        <f t="shared" si="20"/>
        <v>#VALUE!</v>
      </c>
      <c r="P42" s="46" t="str">
        <f t="shared" si="18"/>
        <v>#VALUE!</v>
      </c>
      <c r="Q42" s="140"/>
      <c r="R42" s="77" t="str">
        <f t="shared" si="15"/>
        <v>#VALUE!</v>
      </c>
      <c r="AL42" s="49"/>
      <c r="AM42" s="49"/>
      <c r="AN42" s="49">
        <v>-0.5</v>
      </c>
      <c r="AO42" s="49">
        <v>-0.5</v>
      </c>
      <c r="AP42" s="49"/>
      <c r="AR42" s="127"/>
      <c r="BA42" s="127" t="str">
        <f>IFERROR(__xludf.DUMMYFUNCTION("SPLIT(AW42,""*"")"),"#VALUE!")</f>
        <v>#VALUE!</v>
      </c>
    </row>
    <row r="43">
      <c r="A43" s="73"/>
      <c r="B43" s="73"/>
      <c r="C43" s="73"/>
      <c r="D43" s="73"/>
      <c r="E43" s="73"/>
      <c r="F43" s="77"/>
      <c r="G43" s="77"/>
      <c r="H43" s="73"/>
      <c r="I43" s="77" t="str">
        <f t="shared" si="7"/>
        <v>#VALUE!</v>
      </c>
      <c r="J43" s="77" t="str">
        <f t="shared" si="8"/>
        <v>#DIV/0!</v>
      </c>
      <c r="K43" s="83" t="str">
        <f t="shared" si="9"/>
        <v>#VALUE!</v>
      </c>
      <c r="L43" s="83" t="str">
        <f t="shared" si="10"/>
        <v>#DIV/0!</v>
      </c>
      <c r="M43" s="77" t="str">
        <f t="shared" si="11"/>
        <v>#VALUE!</v>
      </c>
      <c r="N43" s="77" t="str">
        <f t="shared" si="12"/>
        <v>#VALUE!</v>
      </c>
      <c r="O43" s="77" t="str">
        <f t="shared" si="20"/>
        <v>#VALUE!</v>
      </c>
      <c r="P43" s="46" t="str">
        <f t="shared" si="18"/>
        <v>#VALUE!</v>
      </c>
      <c r="Q43" s="140"/>
      <c r="R43" s="77" t="str">
        <f t="shared" si="15"/>
        <v>#VALUE!</v>
      </c>
      <c r="AL43" s="49"/>
      <c r="AM43" s="49"/>
      <c r="AN43" s="49">
        <v>-0.5</v>
      </c>
      <c r="AO43" s="49">
        <v>-0.5</v>
      </c>
      <c r="AP43" s="49"/>
      <c r="AR43" s="127"/>
      <c r="BA43" s="127" t="str">
        <f>IFERROR(__xludf.DUMMYFUNCTION("SPLIT(AW43,""*"")"),"#VALUE!")</f>
        <v>#VALUE!</v>
      </c>
    </row>
    <row r="44">
      <c r="A44" s="73"/>
      <c r="B44" s="73"/>
      <c r="C44" s="73"/>
      <c r="D44" s="73"/>
      <c r="E44" s="73"/>
      <c r="F44" s="77"/>
      <c r="G44" s="77"/>
      <c r="H44" s="73"/>
      <c r="I44" s="77" t="str">
        <f t="shared" si="7"/>
        <v>#VALUE!</v>
      </c>
      <c r="J44" s="77" t="str">
        <f t="shared" si="8"/>
        <v>#DIV/0!</v>
      </c>
      <c r="K44" s="83" t="str">
        <f t="shared" si="9"/>
        <v>#VALUE!</v>
      </c>
      <c r="L44" s="83" t="str">
        <f t="shared" si="10"/>
        <v>#DIV/0!</v>
      </c>
      <c r="M44" s="77" t="str">
        <f t="shared" si="11"/>
        <v>#VALUE!</v>
      </c>
      <c r="N44" s="77" t="str">
        <f t="shared" si="12"/>
        <v>#VALUE!</v>
      </c>
      <c r="O44" s="77" t="str">
        <f t="shared" si="20"/>
        <v>#VALUE!</v>
      </c>
      <c r="P44" s="46" t="str">
        <f t="shared" si="18"/>
        <v>#VALUE!</v>
      </c>
      <c r="Q44" s="140"/>
      <c r="R44" s="77" t="str">
        <f t="shared" si="15"/>
        <v>#VALUE!</v>
      </c>
      <c r="AL44" s="49"/>
      <c r="AM44" s="49"/>
      <c r="AN44" s="49">
        <v>-0.5</v>
      </c>
      <c r="AO44" s="49">
        <v>-0.5</v>
      </c>
      <c r="AP44" s="49"/>
      <c r="AR44" s="127"/>
      <c r="BA44" s="127" t="str">
        <f>IFERROR(__xludf.DUMMYFUNCTION("SPLIT(AW44,""*"")"),"#VALUE!")</f>
        <v>#VALUE!</v>
      </c>
    </row>
    <row r="45">
      <c r="A45" s="73"/>
      <c r="B45" s="73"/>
      <c r="C45" s="73"/>
      <c r="D45" s="73"/>
      <c r="E45" s="73"/>
      <c r="F45" s="77"/>
      <c r="G45" s="77"/>
      <c r="H45" s="73"/>
      <c r="I45" s="77" t="str">
        <f t="shared" si="7"/>
        <v>#VALUE!</v>
      </c>
      <c r="J45" s="77" t="str">
        <f t="shared" si="8"/>
        <v>#DIV/0!</v>
      </c>
      <c r="K45" s="83" t="str">
        <f t="shared" si="9"/>
        <v>#VALUE!</v>
      </c>
      <c r="L45" s="83" t="str">
        <f t="shared" si="10"/>
        <v>#DIV/0!</v>
      </c>
      <c r="M45" s="77" t="str">
        <f t="shared" si="11"/>
        <v>#VALUE!</v>
      </c>
      <c r="N45" s="77" t="str">
        <f t="shared" si="12"/>
        <v>#VALUE!</v>
      </c>
      <c r="O45" s="77" t="str">
        <f t="shared" si="20"/>
        <v>#VALUE!</v>
      </c>
      <c r="P45" s="46" t="str">
        <f t="shared" si="18"/>
        <v>#VALUE!</v>
      </c>
      <c r="Q45" s="140"/>
      <c r="R45" s="77" t="str">
        <f t="shared" si="15"/>
        <v>#VALUE!</v>
      </c>
      <c r="AL45" s="49"/>
      <c r="AM45" s="49"/>
      <c r="AN45" s="49">
        <v>-0.5</v>
      </c>
      <c r="AO45" s="49">
        <v>-0.5</v>
      </c>
      <c r="AP45" s="49"/>
      <c r="AR45" s="127"/>
      <c r="BA45" s="127" t="str">
        <f>IFERROR(__xludf.DUMMYFUNCTION("SPLIT(AW45,""*"")"),"#VALUE!")</f>
        <v>#VALUE!</v>
      </c>
    </row>
    <row r="46">
      <c r="A46" s="73"/>
      <c r="B46" s="73"/>
      <c r="C46" s="73"/>
      <c r="D46" s="73"/>
      <c r="E46" s="73"/>
      <c r="F46" s="77"/>
      <c r="G46" s="77"/>
      <c r="H46" s="73"/>
      <c r="I46" s="77" t="str">
        <f t="shared" si="7"/>
        <v>#VALUE!</v>
      </c>
      <c r="J46" s="77" t="str">
        <f t="shared" si="8"/>
        <v>#DIV/0!</v>
      </c>
      <c r="K46" s="83" t="str">
        <f t="shared" si="9"/>
        <v>#VALUE!</v>
      </c>
      <c r="L46" s="83" t="str">
        <f t="shared" si="10"/>
        <v>#DIV/0!</v>
      </c>
      <c r="M46" s="77" t="str">
        <f t="shared" si="11"/>
        <v>#VALUE!</v>
      </c>
      <c r="N46" s="77" t="str">
        <f t="shared" si="12"/>
        <v>#VALUE!</v>
      </c>
      <c r="O46" s="77" t="str">
        <f t="shared" si="20"/>
        <v>#VALUE!</v>
      </c>
      <c r="P46" s="46" t="str">
        <f t="shared" si="18"/>
        <v>#VALUE!</v>
      </c>
      <c r="Q46" s="140"/>
      <c r="R46" s="77" t="str">
        <f t="shared" si="15"/>
        <v>#VALUE!</v>
      </c>
      <c r="T46" s="33" t="str">
        <f>IFERROR(__xludf.DUMMYFUNCTION("QUERY(D10:H1030,X8)"),"#VALUE!")</f>
        <v>#VALUE!</v>
      </c>
      <c r="AL46" s="49"/>
      <c r="AM46" s="49"/>
      <c r="AN46" s="49">
        <v>-0.5</v>
      </c>
      <c r="AO46" s="49">
        <v>-0.5</v>
      </c>
      <c r="AP46" s="49"/>
      <c r="AR46" s="127"/>
      <c r="BA46" s="127" t="str">
        <f>IFERROR(__xludf.DUMMYFUNCTION("SPLIT(AW46,""*"")"),"#VALUE!")</f>
        <v>#VALUE!</v>
      </c>
    </row>
    <row r="47">
      <c r="A47" s="73"/>
      <c r="B47" s="73"/>
      <c r="C47" s="73"/>
      <c r="D47" s="73"/>
      <c r="E47" s="73"/>
      <c r="F47" s="77"/>
      <c r="G47" s="77"/>
      <c r="H47" s="73"/>
      <c r="I47" s="77" t="str">
        <f t="shared" si="7"/>
        <v>#VALUE!</v>
      </c>
      <c r="J47" s="77" t="str">
        <f t="shared" si="8"/>
        <v>#DIV/0!</v>
      </c>
      <c r="K47" s="83" t="str">
        <f t="shared" si="9"/>
        <v>#VALUE!</v>
      </c>
      <c r="L47" s="83" t="str">
        <f t="shared" si="10"/>
        <v>#DIV/0!</v>
      </c>
      <c r="M47" s="77" t="str">
        <f t="shared" si="11"/>
        <v>#VALUE!</v>
      </c>
      <c r="N47" s="77" t="str">
        <f t="shared" si="12"/>
        <v>#VALUE!</v>
      </c>
      <c r="O47" s="77" t="str">
        <f t="shared" si="20"/>
        <v>#VALUE!</v>
      </c>
      <c r="P47" s="46" t="str">
        <f t="shared" si="18"/>
        <v>#VALUE!</v>
      </c>
      <c r="Q47" s="140"/>
      <c r="R47" s="77" t="str">
        <f t="shared" si="15"/>
        <v>#VALUE!</v>
      </c>
      <c r="AL47" s="49"/>
      <c r="AM47" s="49"/>
      <c r="AN47" s="49">
        <v>-0.5</v>
      </c>
      <c r="AO47" s="49">
        <v>-0.5</v>
      </c>
      <c r="AP47" s="49"/>
      <c r="AR47" s="127"/>
      <c r="BA47" s="127" t="str">
        <f>IFERROR(__xludf.DUMMYFUNCTION("SPLIT(AW47,""*"")"),"#VALUE!")</f>
        <v>#VALUE!</v>
      </c>
    </row>
    <row r="48">
      <c r="A48" s="73"/>
      <c r="B48" s="73"/>
      <c r="C48" s="73"/>
      <c r="D48" s="73"/>
      <c r="E48" s="73"/>
      <c r="F48" s="77"/>
      <c r="G48" s="77"/>
      <c r="H48" s="73"/>
      <c r="I48" s="77" t="str">
        <f t="shared" si="7"/>
        <v>#VALUE!</v>
      </c>
      <c r="J48" s="77" t="str">
        <f t="shared" si="8"/>
        <v>#DIV/0!</v>
      </c>
      <c r="K48" s="83" t="str">
        <f t="shared" si="9"/>
        <v>#VALUE!</v>
      </c>
      <c r="L48" s="83" t="str">
        <f t="shared" si="10"/>
        <v>#DIV/0!</v>
      </c>
      <c r="M48" s="77" t="str">
        <f t="shared" si="11"/>
        <v>#VALUE!</v>
      </c>
      <c r="N48" s="77" t="str">
        <f t="shared" si="12"/>
        <v>#VALUE!</v>
      </c>
      <c r="O48" s="77" t="str">
        <f t="shared" si="20"/>
        <v>#VALUE!</v>
      </c>
      <c r="P48" s="46" t="str">
        <f t="shared" si="18"/>
        <v>#VALUE!</v>
      </c>
      <c r="Q48" s="140"/>
      <c r="R48" s="77" t="str">
        <f t="shared" si="15"/>
        <v>#VALUE!</v>
      </c>
      <c r="AL48" s="49"/>
      <c r="AM48" s="49"/>
      <c r="AN48" s="49">
        <v>-0.5</v>
      </c>
      <c r="AO48" s="49">
        <v>-0.5</v>
      </c>
      <c r="AP48" s="49"/>
      <c r="AR48" s="127"/>
      <c r="BA48" s="127" t="str">
        <f>IFERROR(__xludf.DUMMYFUNCTION("SPLIT(AW48,""*"")"),"#VALUE!")</f>
        <v>#VALUE!</v>
      </c>
    </row>
    <row r="49">
      <c r="A49" s="73"/>
      <c r="B49" s="73"/>
      <c r="C49" s="73"/>
      <c r="D49" s="73"/>
      <c r="E49" s="73"/>
      <c r="F49" s="77"/>
      <c r="G49" s="77"/>
      <c r="H49" s="73"/>
      <c r="I49" s="77" t="str">
        <f t="shared" si="7"/>
        <v>#VALUE!</v>
      </c>
      <c r="J49" s="77" t="str">
        <f t="shared" si="8"/>
        <v>#DIV/0!</v>
      </c>
      <c r="K49" s="83" t="str">
        <f t="shared" si="9"/>
        <v>#VALUE!</v>
      </c>
      <c r="L49" s="83" t="str">
        <f t="shared" si="10"/>
        <v>#DIV/0!</v>
      </c>
      <c r="M49" s="77" t="str">
        <f t="shared" si="11"/>
        <v>#VALUE!</v>
      </c>
      <c r="N49" s="77" t="str">
        <f t="shared" si="12"/>
        <v>#VALUE!</v>
      </c>
      <c r="O49" s="77" t="str">
        <f t="shared" si="20"/>
        <v>#VALUE!</v>
      </c>
      <c r="P49" s="46" t="str">
        <f t="shared" si="18"/>
        <v>#VALUE!</v>
      </c>
      <c r="Q49" s="140"/>
      <c r="R49" s="77" t="str">
        <f t="shared" si="15"/>
        <v>#VALUE!</v>
      </c>
      <c r="AL49" s="49"/>
      <c r="AM49" s="49"/>
      <c r="AN49" s="49">
        <v>-0.5</v>
      </c>
      <c r="AO49" s="49">
        <v>-0.5</v>
      </c>
      <c r="AP49" s="49"/>
      <c r="AR49" s="127"/>
      <c r="BA49" s="127" t="str">
        <f>IFERROR(__xludf.DUMMYFUNCTION("SPLIT(AW49,""*"")"),"#VALUE!")</f>
        <v>#VALUE!</v>
      </c>
    </row>
    <row r="50">
      <c r="A50" s="73"/>
      <c r="B50" s="73"/>
      <c r="C50" s="73"/>
      <c r="D50" s="73"/>
      <c r="E50" s="73"/>
      <c r="F50" s="77"/>
      <c r="G50" s="77"/>
      <c r="H50" s="73"/>
      <c r="I50" s="77" t="str">
        <f t="shared" si="7"/>
        <v>#VALUE!</v>
      </c>
      <c r="J50" s="77" t="str">
        <f t="shared" si="8"/>
        <v>#DIV/0!</v>
      </c>
      <c r="K50" s="83" t="str">
        <f t="shared" si="9"/>
        <v>#VALUE!</v>
      </c>
      <c r="L50" s="83" t="str">
        <f t="shared" si="10"/>
        <v>#DIV/0!</v>
      </c>
      <c r="M50" s="77" t="str">
        <f t="shared" si="11"/>
        <v>#VALUE!</v>
      </c>
      <c r="N50" s="77" t="str">
        <f t="shared" si="12"/>
        <v>#VALUE!</v>
      </c>
      <c r="O50" s="77" t="str">
        <f t="shared" si="20"/>
        <v>#VALUE!</v>
      </c>
      <c r="P50" s="46" t="str">
        <f t="shared" si="18"/>
        <v>#VALUE!</v>
      </c>
      <c r="Q50" s="140"/>
      <c r="R50" s="77" t="str">
        <f t="shared" si="15"/>
        <v>#VALUE!</v>
      </c>
      <c r="AL50" s="49"/>
      <c r="AM50" s="49"/>
      <c r="AN50" s="49">
        <v>-0.5</v>
      </c>
      <c r="AO50" s="49">
        <v>-0.5</v>
      </c>
      <c r="AP50" s="49"/>
      <c r="AR50" s="127"/>
      <c r="BA50" s="127" t="str">
        <f>IFERROR(__xludf.DUMMYFUNCTION("SPLIT(AW50,""*"")"),"#VALUE!")</f>
        <v>#VALUE!</v>
      </c>
    </row>
    <row r="51">
      <c r="A51" s="73"/>
      <c r="B51" s="73"/>
      <c r="C51" s="73"/>
      <c r="D51" s="73"/>
      <c r="E51" s="73"/>
      <c r="F51" s="77"/>
      <c r="G51" s="77"/>
      <c r="H51" s="73"/>
      <c r="I51" s="77" t="str">
        <f t="shared" si="7"/>
        <v>#VALUE!</v>
      </c>
      <c r="J51" s="77" t="str">
        <f t="shared" si="8"/>
        <v>#DIV/0!</v>
      </c>
      <c r="K51" s="83" t="str">
        <f t="shared" si="9"/>
        <v>#VALUE!</v>
      </c>
      <c r="L51" s="83" t="str">
        <f t="shared" si="10"/>
        <v>#DIV/0!</v>
      </c>
      <c r="M51" s="77" t="str">
        <f t="shared" si="11"/>
        <v>#VALUE!</v>
      </c>
      <c r="N51" s="77" t="str">
        <f t="shared" si="12"/>
        <v>#VALUE!</v>
      </c>
      <c r="O51" s="77" t="str">
        <f t="shared" si="20"/>
        <v>#VALUE!</v>
      </c>
      <c r="P51" s="46" t="str">
        <f t="shared" si="18"/>
        <v>#VALUE!</v>
      </c>
      <c r="Q51" s="140"/>
      <c r="R51" s="77" t="str">
        <f t="shared" si="15"/>
        <v>#VALUE!</v>
      </c>
      <c r="AL51" s="49"/>
      <c r="AM51" s="49"/>
      <c r="AN51" s="49">
        <v>-0.5</v>
      </c>
      <c r="AO51" s="49">
        <v>-0.5</v>
      </c>
      <c r="AP51" s="49"/>
      <c r="AR51" s="127"/>
      <c r="BA51" s="127" t="str">
        <f>IFERROR(__xludf.DUMMYFUNCTION("SPLIT(AW51,""*"")"),"#VALUE!")</f>
        <v>#VALUE!</v>
      </c>
    </row>
    <row r="52">
      <c r="A52" s="73"/>
      <c r="B52" s="73"/>
      <c r="C52" s="73"/>
      <c r="D52" s="73"/>
      <c r="E52" s="73"/>
      <c r="F52" s="77"/>
      <c r="G52" s="77"/>
      <c r="H52" s="73"/>
      <c r="I52" s="77" t="str">
        <f t="shared" si="7"/>
        <v>#VALUE!</v>
      </c>
      <c r="J52" s="77" t="str">
        <f t="shared" si="8"/>
        <v>#DIV/0!</v>
      </c>
      <c r="K52" s="83" t="str">
        <f t="shared" si="9"/>
        <v>#VALUE!</v>
      </c>
      <c r="L52" s="83" t="str">
        <f t="shared" si="10"/>
        <v>#DIV/0!</v>
      </c>
      <c r="M52" s="77" t="str">
        <f t="shared" si="11"/>
        <v>#VALUE!</v>
      </c>
      <c r="N52" s="77" t="str">
        <f t="shared" si="12"/>
        <v>#VALUE!</v>
      </c>
      <c r="O52" s="77" t="str">
        <f t="shared" si="20"/>
        <v>#VALUE!</v>
      </c>
      <c r="P52" s="46" t="str">
        <f t="shared" si="18"/>
        <v>#VALUE!</v>
      </c>
      <c r="Q52" s="140"/>
      <c r="R52" s="77" t="str">
        <f t="shared" si="15"/>
        <v>#VALUE!</v>
      </c>
      <c r="AL52" s="49"/>
      <c r="AM52" s="49"/>
      <c r="AN52" s="49">
        <v>-0.5</v>
      </c>
      <c r="AO52" s="49">
        <v>-0.5</v>
      </c>
      <c r="AP52" s="49"/>
      <c r="AR52" s="127"/>
      <c r="BA52" s="127" t="str">
        <f>IFERROR(__xludf.DUMMYFUNCTION("SPLIT(AW52,""*"")"),"#VALUE!")</f>
        <v>#VALUE!</v>
      </c>
    </row>
    <row r="53">
      <c r="A53" s="73"/>
      <c r="B53" s="73"/>
      <c r="C53" s="73"/>
      <c r="D53" s="73"/>
      <c r="E53" s="73"/>
      <c r="F53" s="77"/>
      <c r="G53" s="77"/>
      <c r="H53" s="73"/>
      <c r="I53" s="77" t="str">
        <f t="shared" si="7"/>
        <v>#VALUE!</v>
      </c>
      <c r="J53" s="77" t="str">
        <f t="shared" si="8"/>
        <v>#DIV/0!</v>
      </c>
      <c r="K53" s="83" t="str">
        <f t="shared" si="9"/>
        <v>#VALUE!</v>
      </c>
      <c r="L53" s="83" t="str">
        <f t="shared" si="10"/>
        <v>#DIV/0!</v>
      </c>
      <c r="M53" s="77" t="str">
        <f t="shared" si="11"/>
        <v>#VALUE!</v>
      </c>
      <c r="N53" s="77" t="str">
        <f t="shared" si="12"/>
        <v>#VALUE!</v>
      </c>
      <c r="O53" s="77" t="str">
        <f t="shared" si="20"/>
        <v>#VALUE!</v>
      </c>
      <c r="P53" s="46" t="str">
        <f t="shared" si="18"/>
        <v>#VALUE!</v>
      </c>
      <c r="Q53" s="140"/>
      <c r="R53" s="77" t="str">
        <f t="shared" si="15"/>
        <v>#VALUE!</v>
      </c>
      <c r="AL53" s="49"/>
      <c r="AM53" s="49"/>
      <c r="AN53" s="49">
        <v>-0.5</v>
      </c>
      <c r="AO53" s="49">
        <v>-0.5</v>
      </c>
      <c r="AP53" s="49"/>
      <c r="AR53" s="127"/>
      <c r="BA53" s="127" t="str">
        <f>IFERROR(__xludf.DUMMYFUNCTION("SPLIT(AW53,""*"")"),"#VALUE!")</f>
        <v>#VALUE!</v>
      </c>
    </row>
    <row r="54">
      <c r="A54" s="73"/>
      <c r="B54" s="73"/>
      <c r="C54" s="73"/>
      <c r="D54" s="73"/>
      <c r="E54" s="73"/>
      <c r="F54" s="77"/>
      <c r="G54" s="77"/>
      <c r="H54" s="73"/>
      <c r="I54" s="77" t="str">
        <f t="shared" si="7"/>
        <v>#VALUE!</v>
      </c>
      <c r="J54" s="77" t="str">
        <f t="shared" si="8"/>
        <v>#DIV/0!</v>
      </c>
      <c r="K54" s="83" t="str">
        <f t="shared" si="9"/>
        <v>#VALUE!</v>
      </c>
      <c r="L54" s="83" t="str">
        <f t="shared" si="10"/>
        <v>#DIV/0!</v>
      </c>
      <c r="M54" s="77" t="str">
        <f t="shared" si="11"/>
        <v>#VALUE!</v>
      </c>
      <c r="N54" s="77" t="str">
        <f t="shared" si="12"/>
        <v>#VALUE!</v>
      </c>
      <c r="O54" s="77" t="str">
        <f t="shared" si="20"/>
        <v>#VALUE!</v>
      </c>
      <c r="P54" s="46" t="str">
        <f t="shared" si="18"/>
        <v>#VALUE!</v>
      </c>
      <c r="Q54" s="140"/>
      <c r="R54" s="77" t="str">
        <f t="shared" si="15"/>
        <v>#VALUE!</v>
      </c>
      <c r="AL54" s="49"/>
      <c r="AM54" s="49"/>
      <c r="AN54" s="49">
        <v>-0.5</v>
      </c>
      <c r="AO54" s="49">
        <v>-0.5</v>
      </c>
      <c r="AP54" s="49"/>
      <c r="AR54" s="127"/>
      <c r="BA54" s="127" t="str">
        <f>IFERROR(__xludf.DUMMYFUNCTION("SPLIT(AW54,""*"")"),"#VALUE!")</f>
        <v>#VALUE!</v>
      </c>
    </row>
    <row r="55">
      <c r="A55" s="73"/>
      <c r="B55" s="73"/>
      <c r="C55" s="73"/>
      <c r="D55" s="73"/>
      <c r="E55" s="73"/>
      <c r="F55" s="77"/>
      <c r="G55" s="77"/>
      <c r="H55" s="73"/>
      <c r="I55" s="77" t="str">
        <f t="shared" si="7"/>
        <v>#VALUE!</v>
      </c>
      <c r="J55" s="77" t="str">
        <f t="shared" si="8"/>
        <v>#DIV/0!</v>
      </c>
      <c r="K55" s="83" t="str">
        <f t="shared" si="9"/>
        <v>#VALUE!</v>
      </c>
      <c r="L55" s="83" t="str">
        <f t="shared" si="10"/>
        <v>#DIV/0!</v>
      </c>
      <c r="M55" s="77" t="str">
        <f t="shared" si="11"/>
        <v>#VALUE!</v>
      </c>
      <c r="N55" s="77" t="str">
        <f t="shared" si="12"/>
        <v>#VALUE!</v>
      </c>
      <c r="O55" s="77" t="str">
        <f t="shared" si="20"/>
        <v>#VALUE!</v>
      </c>
      <c r="P55" s="46" t="str">
        <f t="shared" si="18"/>
        <v>#VALUE!</v>
      </c>
      <c r="Q55" s="140"/>
      <c r="R55" s="77" t="str">
        <f t="shared" si="15"/>
        <v>#VALUE!</v>
      </c>
      <c r="AL55" s="49"/>
      <c r="AM55" s="49"/>
      <c r="AN55" s="49">
        <v>-0.5</v>
      </c>
      <c r="AO55" s="49">
        <v>-0.5</v>
      </c>
      <c r="AP55" s="49"/>
      <c r="AR55" s="127"/>
      <c r="BA55" s="127" t="str">
        <f>IFERROR(__xludf.DUMMYFUNCTION("SPLIT(AW55,""*"")"),"#VALUE!")</f>
        <v>#VALUE!</v>
      </c>
    </row>
    <row r="56">
      <c r="A56" s="73"/>
      <c r="B56" s="73"/>
      <c r="C56" s="73"/>
      <c r="D56" s="73"/>
      <c r="E56" s="73"/>
      <c r="F56" s="77"/>
      <c r="G56" s="77"/>
      <c r="H56" s="73"/>
      <c r="I56" s="77" t="str">
        <f t="shared" si="7"/>
        <v>#VALUE!</v>
      </c>
      <c r="J56" s="77" t="str">
        <f t="shared" si="8"/>
        <v>#DIV/0!</v>
      </c>
      <c r="K56" s="83" t="str">
        <f t="shared" si="9"/>
        <v>#VALUE!</v>
      </c>
      <c r="L56" s="83" t="str">
        <f t="shared" si="10"/>
        <v>#DIV/0!</v>
      </c>
      <c r="M56" s="77" t="str">
        <f t="shared" si="11"/>
        <v>#VALUE!</v>
      </c>
      <c r="N56" s="77" t="str">
        <f t="shared" si="12"/>
        <v>#VALUE!</v>
      </c>
      <c r="O56" s="77" t="str">
        <f t="shared" si="20"/>
        <v>#VALUE!</v>
      </c>
      <c r="P56" s="46" t="str">
        <f t="shared" si="18"/>
        <v>#VALUE!</v>
      </c>
      <c r="Q56" s="140"/>
      <c r="R56" s="77" t="str">
        <f t="shared" si="15"/>
        <v>#VALUE!</v>
      </c>
      <c r="AL56" s="49"/>
      <c r="AM56" s="49"/>
      <c r="AN56" s="49">
        <v>-0.5</v>
      </c>
      <c r="AO56" s="49">
        <v>-0.5</v>
      </c>
      <c r="AP56" s="49"/>
      <c r="AR56" s="127"/>
      <c r="BA56" s="127" t="str">
        <f>IFERROR(__xludf.DUMMYFUNCTION("SPLIT(AW56,""*"")"),"#VALUE!")</f>
        <v>#VALUE!</v>
      </c>
    </row>
    <row r="57">
      <c r="A57" s="73"/>
      <c r="B57" s="73"/>
      <c r="C57" s="73"/>
      <c r="D57" s="73"/>
      <c r="E57" s="73"/>
      <c r="F57" s="77"/>
      <c r="G57" s="77"/>
      <c r="H57" s="73"/>
      <c r="I57" s="77" t="str">
        <f t="shared" si="7"/>
        <v>#VALUE!</v>
      </c>
      <c r="J57" s="77" t="str">
        <f t="shared" si="8"/>
        <v>#DIV/0!</v>
      </c>
      <c r="K57" s="83" t="str">
        <f t="shared" si="9"/>
        <v>#VALUE!</v>
      </c>
      <c r="L57" s="83" t="str">
        <f t="shared" si="10"/>
        <v>#DIV/0!</v>
      </c>
      <c r="M57" s="77" t="str">
        <f t="shared" si="11"/>
        <v>#VALUE!</v>
      </c>
      <c r="N57" s="77" t="str">
        <f t="shared" si="12"/>
        <v>#VALUE!</v>
      </c>
      <c r="O57" s="77" t="str">
        <f t="shared" si="20"/>
        <v>#VALUE!</v>
      </c>
      <c r="P57" s="46" t="str">
        <f t="shared" si="18"/>
        <v>#VALUE!</v>
      </c>
      <c r="Q57" s="140"/>
      <c r="R57" s="77" t="str">
        <f t="shared" si="15"/>
        <v>#VALUE!</v>
      </c>
      <c r="AL57" s="49"/>
      <c r="AM57" s="49"/>
      <c r="AN57" s="49">
        <v>-0.5</v>
      </c>
      <c r="AO57" s="49">
        <v>-0.5</v>
      </c>
      <c r="AP57" s="49"/>
      <c r="AR57" s="127"/>
      <c r="BA57" s="127" t="str">
        <f>IFERROR(__xludf.DUMMYFUNCTION("SPLIT(AW57,""*"")"),"#VALUE!")</f>
        <v>#VALUE!</v>
      </c>
    </row>
    <row r="58">
      <c r="A58" s="73"/>
      <c r="B58" s="73"/>
      <c r="C58" s="73"/>
      <c r="D58" s="73"/>
      <c r="E58" s="73"/>
      <c r="F58" s="77"/>
      <c r="G58" s="77"/>
      <c r="H58" s="73"/>
      <c r="I58" s="77" t="str">
        <f t="shared" si="7"/>
        <v>#VALUE!</v>
      </c>
      <c r="J58" s="77" t="str">
        <f t="shared" si="8"/>
        <v>#DIV/0!</v>
      </c>
      <c r="K58" s="83" t="str">
        <f t="shared" si="9"/>
        <v>#VALUE!</v>
      </c>
      <c r="L58" s="83" t="str">
        <f t="shared" si="10"/>
        <v>#DIV/0!</v>
      </c>
      <c r="M58" s="77" t="str">
        <f t="shared" si="11"/>
        <v>#VALUE!</v>
      </c>
      <c r="N58" s="77" t="str">
        <f t="shared" si="12"/>
        <v>#VALUE!</v>
      </c>
      <c r="O58" s="77" t="str">
        <f t="shared" si="20"/>
        <v>#VALUE!</v>
      </c>
      <c r="P58" s="46" t="str">
        <f t="shared" si="18"/>
        <v>#VALUE!</v>
      </c>
      <c r="Q58" s="140"/>
      <c r="R58" s="77" t="str">
        <f t="shared" si="15"/>
        <v>#VALUE!</v>
      </c>
      <c r="AL58" s="49"/>
      <c r="AM58" s="49"/>
      <c r="AN58" s="49">
        <v>-0.5</v>
      </c>
      <c r="AO58" s="49">
        <v>-0.5</v>
      </c>
      <c r="AP58" s="49"/>
      <c r="AR58" s="127"/>
      <c r="BA58" s="127" t="str">
        <f>IFERROR(__xludf.DUMMYFUNCTION("SPLIT(AW58,""*"")"),"#VALUE!")</f>
        <v>#VALUE!</v>
      </c>
    </row>
    <row r="59">
      <c r="A59" s="73"/>
      <c r="B59" s="73"/>
      <c r="C59" s="73"/>
      <c r="D59" s="73"/>
      <c r="E59" s="73"/>
      <c r="F59" s="77"/>
      <c r="G59" s="77"/>
      <c r="H59" s="73"/>
      <c r="I59" s="77" t="str">
        <f t="shared" si="7"/>
        <v>#VALUE!</v>
      </c>
      <c r="J59" s="77" t="str">
        <f t="shared" si="8"/>
        <v>#DIV/0!</v>
      </c>
      <c r="K59" s="83" t="str">
        <f t="shared" si="9"/>
        <v>#VALUE!</v>
      </c>
      <c r="L59" s="83" t="str">
        <f t="shared" si="10"/>
        <v>#DIV/0!</v>
      </c>
      <c r="M59" s="77" t="str">
        <f t="shared" si="11"/>
        <v>#VALUE!</v>
      </c>
      <c r="N59" s="77" t="str">
        <f t="shared" si="12"/>
        <v>#VALUE!</v>
      </c>
      <c r="O59" s="77" t="str">
        <f t="shared" si="20"/>
        <v>#VALUE!</v>
      </c>
      <c r="P59" s="46" t="str">
        <f t="shared" si="18"/>
        <v>#VALUE!</v>
      </c>
      <c r="Q59" s="140"/>
      <c r="R59" s="77" t="str">
        <f t="shared" si="15"/>
        <v>#VALUE!</v>
      </c>
      <c r="AL59" s="49"/>
      <c r="AM59" s="49"/>
      <c r="AN59" s="49">
        <v>-0.5</v>
      </c>
      <c r="AO59" s="49">
        <v>-0.5</v>
      </c>
      <c r="AP59" s="49"/>
      <c r="AR59" s="127"/>
      <c r="BA59" s="127" t="str">
        <f>IFERROR(__xludf.DUMMYFUNCTION("SPLIT(AW59,""*"")"),"#VALUE!")</f>
        <v>#VALUE!</v>
      </c>
    </row>
    <row r="60">
      <c r="A60" s="73"/>
      <c r="B60" s="73"/>
      <c r="C60" s="73"/>
      <c r="D60" s="73"/>
      <c r="E60" s="73"/>
      <c r="F60" s="77"/>
      <c r="G60" s="77"/>
      <c r="H60" s="73"/>
      <c r="I60" s="77" t="str">
        <f t="shared" si="7"/>
        <v>#VALUE!</v>
      </c>
      <c r="J60" s="77" t="str">
        <f t="shared" si="8"/>
        <v>#DIV/0!</v>
      </c>
      <c r="K60" s="83" t="str">
        <f t="shared" si="9"/>
        <v>#VALUE!</v>
      </c>
      <c r="L60" s="83" t="str">
        <f t="shared" si="10"/>
        <v>#DIV/0!</v>
      </c>
      <c r="M60" s="77" t="str">
        <f t="shared" si="11"/>
        <v>#VALUE!</v>
      </c>
      <c r="N60" s="77" t="str">
        <f t="shared" si="12"/>
        <v>#VALUE!</v>
      </c>
      <c r="O60" s="77" t="str">
        <f t="shared" si="20"/>
        <v>#VALUE!</v>
      </c>
      <c r="P60" s="46" t="str">
        <f t="shared" si="18"/>
        <v>#VALUE!</v>
      </c>
      <c r="Q60" s="140"/>
      <c r="R60" s="77" t="str">
        <f t="shared" si="15"/>
        <v>#VALUE!</v>
      </c>
      <c r="AL60" s="49"/>
      <c r="AM60" s="49"/>
      <c r="AN60" s="49">
        <v>-0.5</v>
      </c>
      <c r="AO60" s="49">
        <v>-0.5</v>
      </c>
      <c r="AP60" s="49"/>
      <c r="AR60" s="127"/>
      <c r="BA60" s="127" t="str">
        <f>IFERROR(__xludf.DUMMYFUNCTION("SPLIT(AW60,""*"")"),"#VALUE!")</f>
        <v>#VALUE!</v>
      </c>
    </row>
    <row r="61">
      <c r="A61" s="73"/>
      <c r="B61" s="73"/>
      <c r="C61" s="73"/>
      <c r="D61" s="73"/>
      <c r="E61" s="73"/>
      <c r="F61" s="77"/>
      <c r="G61" s="77"/>
      <c r="H61" s="73"/>
      <c r="I61" s="77" t="str">
        <f t="shared" si="7"/>
        <v>#VALUE!</v>
      </c>
      <c r="J61" s="77" t="str">
        <f t="shared" si="8"/>
        <v>#DIV/0!</v>
      </c>
      <c r="K61" s="83" t="str">
        <f t="shared" si="9"/>
        <v>#VALUE!</v>
      </c>
      <c r="L61" s="83" t="str">
        <f t="shared" si="10"/>
        <v>#DIV/0!</v>
      </c>
      <c r="M61" s="77" t="str">
        <f t="shared" si="11"/>
        <v>#VALUE!</v>
      </c>
      <c r="N61" s="77" t="str">
        <f t="shared" si="12"/>
        <v>#VALUE!</v>
      </c>
      <c r="O61" s="77" t="str">
        <f t="shared" si="20"/>
        <v>#VALUE!</v>
      </c>
      <c r="P61" s="46" t="str">
        <f t="shared" si="18"/>
        <v>#VALUE!</v>
      </c>
      <c r="Q61" s="140"/>
      <c r="R61" s="77" t="str">
        <f t="shared" si="15"/>
        <v>#VALUE!</v>
      </c>
      <c r="AL61" s="49"/>
      <c r="AM61" s="49"/>
      <c r="AN61" s="49">
        <v>-0.5</v>
      </c>
      <c r="AO61" s="49">
        <v>-0.5</v>
      </c>
      <c r="AP61" s="49"/>
      <c r="AR61" s="127"/>
      <c r="BA61" s="127" t="str">
        <f>IFERROR(__xludf.DUMMYFUNCTION("SPLIT(AW61,""*"")"),"#VALUE!")</f>
        <v>#VALUE!</v>
      </c>
    </row>
    <row r="62">
      <c r="A62" s="73"/>
      <c r="B62" s="73"/>
      <c r="C62" s="73"/>
      <c r="D62" s="73"/>
      <c r="E62" s="73"/>
      <c r="F62" s="77"/>
      <c r="G62" s="77"/>
      <c r="H62" s="73"/>
      <c r="I62" s="77" t="str">
        <f t="shared" si="7"/>
        <v>#VALUE!</v>
      </c>
      <c r="J62" s="77" t="str">
        <f t="shared" si="8"/>
        <v>#DIV/0!</v>
      </c>
      <c r="K62" s="83" t="str">
        <f t="shared" si="9"/>
        <v>#VALUE!</v>
      </c>
      <c r="L62" s="83" t="str">
        <f t="shared" si="10"/>
        <v>#DIV/0!</v>
      </c>
      <c r="M62" s="77" t="str">
        <f t="shared" si="11"/>
        <v>#VALUE!</v>
      </c>
      <c r="N62" s="77" t="str">
        <f t="shared" si="12"/>
        <v>#VALUE!</v>
      </c>
      <c r="O62" s="77" t="str">
        <f t="shared" si="20"/>
        <v>#VALUE!</v>
      </c>
      <c r="P62" s="46" t="str">
        <f t="shared" si="18"/>
        <v>#VALUE!</v>
      </c>
      <c r="Q62" s="140"/>
      <c r="R62" s="77" t="str">
        <f t="shared" si="15"/>
        <v>#VALUE!</v>
      </c>
      <c r="AL62" s="49"/>
      <c r="AM62" s="49"/>
      <c r="AN62" s="49">
        <v>-0.5</v>
      </c>
      <c r="AO62" s="49">
        <v>-0.5</v>
      </c>
      <c r="AP62" s="49"/>
      <c r="AR62" s="127"/>
      <c r="BA62" s="127" t="str">
        <f>IFERROR(__xludf.DUMMYFUNCTION("SPLIT(AW62,""*"")"),"#VALUE!")</f>
        <v>#VALUE!</v>
      </c>
    </row>
    <row r="63">
      <c r="A63" s="73"/>
      <c r="B63" s="73"/>
      <c r="C63" s="73"/>
      <c r="D63" s="73"/>
      <c r="E63" s="73"/>
      <c r="F63" s="77"/>
      <c r="G63" s="77"/>
      <c r="H63" s="73"/>
      <c r="I63" s="77" t="str">
        <f t="shared" si="7"/>
        <v>#VALUE!</v>
      </c>
      <c r="J63" s="77" t="str">
        <f t="shared" si="8"/>
        <v>#DIV/0!</v>
      </c>
      <c r="K63" s="83" t="str">
        <f t="shared" si="9"/>
        <v>#VALUE!</v>
      </c>
      <c r="L63" s="83" t="str">
        <f t="shared" si="10"/>
        <v>#DIV/0!</v>
      </c>
      <c r="M63" s="77" t="str">
        <f t="shared" si="11"/>
        <v>#VALUE!</v>
      </c>
      <c r="N63" s="77" t="str">
        <f t="shared" si="12"/>
        <v>#VALUE!</v>
      </c>
      <c r="O63" s="77" t="str">
        <f t="shared" si="20"/>
        <v>#VALUE!</v>
      </c>
      <c r="P63" s="46" t="str">
        <f t="shared" si="18"/>
        <v>#VALUE!</v>
      </c>
      <c r="Q63" s="140"/>
      <c r="R63" s="77" t="str">
        <f t="shared" si="15"/>
        <v>#VALUE!</v>
      </c>
      <c r="AL63" s="49"/>
      <c r="AM63" s="49"/>
      <c r="AN63" s="49">
        <v>-0.5</v>
      </c>
      <c r="AO63" s="49">
        <v>-0.5</v>
      </c>
      <c r="AP63" s="49"/>
      <c r="AR63" s="127"/>
      <c r="BA63" s="127" t="str">
        <f>IFERROR(__xludf.DUMMYFUNCTION("SPLIT(AW63,""*"")"),"#VALUE!")</f>
        <v>#VALUE!</v>
      </c>
    </row>
    <row r="64">
      <c r="A64" s="73"/>
      <c r="B64" s="73"/>
      <c r="C64" s="73"/>
      <c r="D64" s="73"/>
      <c r="E64" s="73"/>
      <c r="F64" s="77"/>
      <c r="G64" s="77"/>
      <c r="H64" s="73"/>
      <c r="I64" s="77" t="str">
        <f t="shared" si="7"/>
        <v>#VALUE!</v>
      </c>
      <c r="J64" s="77" t="str">
        <f t="shared" si="8"/>
        <v>#DIV/0!</v>
      </c>
      <c r="K64" s="83" t="str">
        <f t="shared" si="9"/>
        <v>#VALUE!</v>
      </c>
      <c r="L64" s="83" t="str">
        <f t="shared" si="10"/>
        <v>#DIV/0!</v>
      </c>
      <c r="M64" s="77" t="str">
        <f t="shared" si="11"/>
        <v>#VALUE!</v>
      </c>
      <c r="N64" s="77" t="str">
        <f t="shared" si="12"/>
        <v>#VALUE!</v>
      </c>
      <c r="O64" s="77" t="str">
        <f t="shared" si="20"/>
        <v>#VALUE!</v>
      </c>
      <c r="P64" s="46" t="str">
        <f t="shared" si="18"/>
        <v>#VALUE!</v>
      </c>
      <c r="Q64" s="140"/>
      <c r="R64" s="77" t="str">
        <f t="shared" si="15"/>
        <v>#VALUE!</v>
      </c>
      <c r="AL64" s="49"/>
      <c r="AM64" s="49"/>
      <c r="AN64" s="49">
        <v>-0.5</v>
      </c>
      <c r="AO64" s="49">
        <v>-0.5</v>
      </c>
      <c r="AP64" s="49"/>
      <c r="AR64" s="127"/>
      <c r="BA64" s="127" t="str">
        <f>IFERROR(__xludf.DUMMYFUNCTION("SPLIT(AW64,""*"")"),"#VALUE!")</f>
        <v>#VALUE!</v>
      </c>
    </row>
    <row r="65">
      <c r="A65" s="73"/>
      <c r="B65" s="73"/>
      <c r="C65" s="73"/>
      <c r="D65" s="73"/>
      <c r="E65" s="73"/>
      <c r="F65" s="77"/>
      <c r="G65" s="77"/>
      <c r="H65" s="73"/>
      <c r="I65" s="77" t="str">
        <f t="shared" si="7"/>
        <v>#VALUE!</v>
      </c>
      <c r="J65" s="77" t="str">
        <f t="shared" si="8"/>
        <v>#DIV/0!</v>
      </c>
      <c r="K65" s="83" t="str">
        <f t="shared" si="9"/>
        <v>#VALUE!</v>
      </c>
      <c r="L65" s="83" t="str">
        <f t="shared" si="10"/>
        <v>#DIV/0!</v>
      </c>
      <c r="M65" s="77" t="str">
        <f t="shared" si="11"/>
        <v>#VALUE!</v>
      </c>
      <c r="N65" s="77" t="str">
        <f t="shared" si="12"/>
        <v>#VALUE!</v>
      </c>
      <c r="O65" s="77" t="str">
        <f t="shared" si="20"/>
        <v>#VALUE!</v>
      </c>
      <c r="P65" s="46" t="str">
        <f t="shared" si="18"/>
        <v>#VALUE!</v>
      </c>
      <c r="Q65" s="140"/>
      <c r="R65" s="77" t="str">
        <f t="shared" si="15"/>
        <v>#VALUE!</v>
      </c>
      <c r="AL65" s="49"/>
      <c r="AM65" s="49"/>
      <c r="AN65" s="49">
        <v>-0.5</v>
      </c>
      <c r="AO65" s="49">
        <v>-0.5</v>
      </c>
      <c r="AP65" s="49"/>
      <c r="AR65" s="127"/>
      <c r="BA65" s="127" t="str">
        <f>IFERROR(__xludf.DUMMYFUNCTION("SPLIT(AW65,""*"")"),"#VALUE!")</f>
        <v>#VALUE!</v>
      </c>
    </row>
    <row r="66">
      <c r="A66" s="73"/>
      <c r="B66" s="73"/>
      <c r="C66" s="73"/>
      <c r="D66" s="73"/>
      <c r="E66" s="73"/>
      <c r="F66" s="77"/>
      <c r="G66" s="77"/>
      <c r="H66" s="73"/>
      <c r="I66" s="77" t="str">
        <f t="shared" si="7"/>
        <v>#VALUE!</v>
      </c>
      <c r="J66" s="77" t="str">
        <f t="shared" si="8"/>
        <v>#DIV/0!</v>
      </c>
      <c r="K66" s="83" t="str">
        <f t="shared" si="9"/>
        <v>#VALUE!</v>
      </c>
      <c r="L66" s="83" t="str">
        <f t="shared" si="10"/>
        <v>#DIV/0!</v>
      </c>
      <c r="M66" s="77" t="str">
        <f t="shared" si="11"/>
        <v>#VALUE!</v>
      </c>
      <c r="N66" s="77" t="str">
        <f t="shared" si="12"/>
        <v>#VALUE!</v>
      </c>
      <c r="O66" s="77" t="str">
        <f t="shared" si="20"/>
        <v>#VALUE!</v>
      </c>
      <c r="P66" s="46" t="str">
        <f t="shared" si="18"/>
        <v>#VALUE!</v>
      </c>
      <c r="Q66" s="140"/>
      <c r="R66" s="77" t="str">
        <f t="shared" si="15"/>
        <v>#VALUE!</v>
      </c>
      <c r="AL66" s="49"/>
      <c r="AM66" s="49"/>
      <c r="AN66" s="49">
        <v>-0.5</v>
      </c>
      <c r="AO66" s="49">
        <v>-0.5</v>
      </c>
      <c r="AP66" s="49"/>
      <c r="AR66" s="127"/>
      <c r="BA66" s="127" t="str">
        <f>IFERROR(__xludf.DUMMYFUNCTION("SPLIT(AW66,""*"")"),"#VALUE!")</f>
        <v>#VALUE!</v>
      </c>
    </row>
    <row r="67">
      <c r="A67" s="73"/>
      <c r="B67" s="73"/>
      <c r="C67" s="73"/>
      <c r="D67" s="73"/>
      <c r="E67" s="73"/>
      <c r="F67" s="77"/>
      <c r="G67" s="77"/>
      <c r="H67" s="73"/>
      <c r="I67" s="77" t="str">
        <f t="shared" si="7"/>
        <v>#VALUE!</v>
      </c>
      <c r="J67" s="77" t="str">
        <f t="shared" si="8"/>
        <v>#DIV/0!</v>
      </c>
      <c r="K67" s="83" t="str">
        <f t="shared" si="9"/>
        <v>#VALUE!</v>
      </c>
      <c r="L67" s="83" t="str">
        <f t="shared" si="10"/>
        <v>#DIV/0!</v>
      </c>
      <c r="M67" s="77" t="str">
        <f t="shared" si="11"/>
        <v>#VALUE!</v>
      </c>
      <c r="N67" s="77" t="str">
        <f t="shared" si="12"/>
        <v>#VALUE!</v>
      </c>
      <c r="O67" s="77" t="str">
        <f t="shared" si="20"/>
        <v>#VALUE!</v>
      </c>
      <c r="P67" s="46" t="str">
        <f t="shared" si="18"/>
        <v>#VALUE!</v>
      </c>
      <c r="Q67" s="140"/>
      <c r="R67" s="77" t="str">
        <f t="shared" si="15"/>
        <v>#VALUE!</v>
      </c>
      <c r="AL67" s="49"/>
      <c r="AM67" s="49"/>
      <c r="AN67" s="49">
        <v>-0.5</v>
      </c>
      <c r="AO67" s="49">
        <v>-0.5</v>
      </c>
      <c r="AP67" s="49"/>
      <c r="AR67" s="127"/>
      <c r="BA67" s="127" t="str">
        <f>IFERROR(__xludf.DUMMYFUNCTION("SPLIT(AW67,""*"")"),"#VALUE!")</f>
        <v>#VALUE!</v>
      </c>
    </row>
    <row r="68">
      <c r="A68" s="73"/>
      <c r="B68" s="73"/>
      <c r="C68" s="73"/>
      <c r="D68" s="73"/>
      <c r="E68" s="73"/>
      <c r="F68" s="77"/>
      <c r="G68" s="77"/>
      <c r="H68" s="73"/>
      <c r="I68" s="77" t="str">
        <f t="shared" si="7"/>
        <v>#VALUE!</v>
      </c>
      <c r="J68" s="77" t="str">
        <f t="shared" si="8"/>
        <v>#DIV/0!</v>
      </c>
      <c r="K68" s="83" t="str">
        <f t="shared" si="9"/>
        <v>#VALUE!</v>
      </c>
      <c r="L68" s="83" t="str">
        <f t="shared" si="10"/>
        <v>#DIV/0!</v>
      </c>
      <c r="M68" s="77" t="str">
        <f t="shared" si="11"/>
        <v>#VALUE!</v>
      </c>
      <c r="N68" s="77" t="str">
        <f t="shared" si="12"/>
        <v>#VALUE!</v>
      </c>
      <c r="O68" s="77" t="str">
        <f t="shared" si="20"/>
        <v>#VALUE!</v>
      </c>
      <c r="P68" s="46" t="str">
        <f t="shared" si="18"/>
        <v>#VALUE!</v>
      </c>
      <c r="Q68" s="140"/>
      <c r="R68" s="77" t="str">
        <f t="shared" si="15"/>
        <v>#VALUE!</v>
      </c>
      <c r="AL68" s="49"/>
      <c r="AM68" s="49"/>
      <c r="AN68" s="49">
        <v>-0.5</v>
      </c>
      <c r="AO68" s="49">
        <v>-0.5</v>
      </c>
      <c r="AP68" s="49"/>
      <c r="AR68" s="127"/>
      <c r="BA68" s="127" t="str">
        <f>IFERROR(__xludf.DUMMYFUNCTION("SPLIT(AW68,""*"")"),"#VALUE!")</f>
        <v>#VALUE!</v>
      </c>
    </row>
    <row r="69">
      <c r="A69" s="73"/>
      <c r="B69" s="73"/>
      <c r="C69" s="73"/>
      <c r="D69" s="73"/>
      <c r="E69" s="73"/>
      <c r="F69" s="77"/>
      <c r="G69" s="77"/>
      <c r="H69" s="73"/>
      <c r="I69" s="77" t="str">
        <f t="shared" si="7"/>
        <v>#VALUE!</v>
      </c>
      <c r="J69" s="77" t="str">
        <f t="shared" si="8"/>
        <v>#DIV/0!</v>
      </c>
      <c r="K69" s="83" t="str">
        <f t="shared" si="9"/>
        <v>#VALUE!</v>
      </c>
      <c r="L69" s="83" t="str">
        <f t="shared" si="10"/>
        <v>#DIV/0!</v>
      </c>
      <c r="M69" s="77" t="str">
        <f t="shared" si="11"/>
        <v>#VALUE!</v>
      </c>
      <c r="N69" s="77" t="str">
        <f t="shared" si="12"/>
        <v>#VALUE!</v>
      </c>
      <c r="O69" s="77" t="str">
        <f t="shared" si="20"/>
        <v>#VALUE!</v>
      </c>
      <c r="P69" s="46" t="str">
        <f t="shared" si="18"/>
        <v>#VALUE!</v>
      </c>
      <c r="Q69" s="140"/>
      <c r="R69" s="77" t="str">
        <f t="shared" si="15"/>
        <v>#VALUE!</v>
      </c>
      <c r="AL69" s="49"/>
      <c r="AM69" s="49"/>
      <c r="AN69" s="49">
        <v>-0.5</v>
      </c>
      <c r="AO69" s="49">
        <v>-0.5</v>
      </c>
      <c r="AP69" s="49"/>
      <c r="AR69" s="127"/>
      <c r="BA69" s="127" t="str">
        <f>IFERROR(__xludf.DUMMYFUNCTION("SPLIT(AW69,""*"")"),"#VALUE!")</f>
        <v>#VALUE!</v>
      </c>
    </row>
    <row r="70">
      <c r="F70" s="77"/>
      <c r="G70" s="77"/>
      <c r="R70" s="223"/>
      <c r="AL70" s="49"/>
      <c r="AM70" s="49"/>
      <c r="AN70" s="49">
        <v>-0.5</v>
      </c>
      <c r="AO70" s="49">
        <v>-0.5</v>
      </c>
      <c r="AP70" s="49"/>
      <c r="AR70" s="127"/>
      <c r="BA70" s="127" t="str">
        <f>IFERROR(__xludf.DUMMYFUNCTION("SPLIT(AW70,""*"")"),"#VALUE!")</f>
        <v>#VALUE!</v>
      </c>
    </row>
    <row r="71">
      <c r="F71" s="77"/>
      <c r="G71" s="77"/>
      <c r="R71" s="223"/>
      <c r="AL71" s="49"/>
      <c r="AM71" s="49"/>
      <c r="AN71" s="49">
        <v>-0.5</v>
      </c>
      <c r="AO71" s="49">
        <v>-0.5</v>
      </c>
      <c r="AP71" s="49"/>
      <c r="AR71" s="127"/>
      <c r="BA71" s="127" t="str">
        <f>IFERROR(__xludf.DUMMYFUNCTION("SPLIT(AW71,""*"")"),"#VALUE!")</f>
        <v>#VALUE!</v>
      </c>
    </row>
    <row r="72">
      <c r="F72" s="77"/>
      <c r="G72" s="77"/>
      <c r="R72" s="223"/>
      <c r="AL72" s="49"/>
      <c r="AM72" s="49"/>
      <c r="AN72" s="49">
        <v>-0.5</v>
      </c>
      <c r="AO72" s="49">
        <v>-0.5</v>
      </c>
      <c r="AP72" s="49"/>
      <c r="AR72" s="127"/>
      <c r="BA72" s="127" t="str">
        <f>IFERROR(__xludf.DUMMYFUNCTION("SPLIT(AW72,""*"")"),"#VALUE!")</f>
        <v>#VALUE!</v>
      </c>
    </row>
    <row r="73">
      <c r="F73" s="77"/>
      <c r="G73" s="77"/>
      <c r="R73" s="223"/>
      <c r="AL73" s="49"/>
      <c r="AM73" s="49"/>
      <c r="AN73" s="49">
        <v>-0.5</v>
      </c>
      <c r="AO73" s="49">
        <v>-0.5</v>
      </c>
      <c r="AP73" s="49"/>
      <c r="AR73" s="127"/>
      <c r="BA73" s="127" t="str">
        <f>IFERROR(__xludf.DUMMYFUNCTION("SPLIT(AW73,""*"")"),"#VALUE!")</f>
        <v>#VALUE!</v>
      </c>
    </row>
    <row r="74">
      <c r="F74" s="77"/>
      <c r="G74" s="77"/>
      <c r="R74" s="223"/>
      <c r="AL74" s="49"/>
      <c r="AM74" s="49"/>
      <c r="AN74" s="49">
        <v>-0.5</v>
      </c>
      <c r="AO74" s="49">
        <v>-0.5</v>
      </c>
      <c r="AP74" s="49"/>
      <c r="AR74" s="127"/>
      <c r="BA74" s="127" t="str">
        <f>IFERROR(__xludf.DUMMYFUNCTION("SPLIT(AW74,""*"")"),"#VALUE!")</f>
        <v>#VALUE!</v>
      </c>
    </row>
    <row r="75">
      <c r="F75" s="77"/>
      <c r="G75" s="77"/>
      <c r="R75" s="223"/>
      <c r="AL75" s="49"/>
      <c r="AM75" s="49"/>
      <c r="AN75" s="49">
        <v>-0.5</v>
      </c>
      <c r="AO75" s="49">
        <v>-0.5</v>
      </c>
      <c r="AP75" s="49"/>
      <c r="AR75" s="127"/>
      <c r="BA75" s="127" t="str">
        <f>IFERROR(__xludf.DUMMYFUNCTION("SPLIT(AW75,""*"")"),"#VALUE!")</f>
        <v>#VALUE!</v>
      </c>
    </row>
    <row r="76">
      <c r="F76" s="77"/>
      <c r="G76" s="77"/>
      <c r="R76" s="223"/>
      <c r="AL76" s="49"/>
      <c r="AM76" s="49"/>
      <c r="AN76" s="49">
        <v>-0.5</v>
      </c>
      <c r="AO76" s="49">
        <v>-0.5</v>
      </c>
      <c r="AP76" s="49"/>
      <c r="AR76" s="127"/>
      <c r="BA76" s="127" t="str">
        <f>IFERROR(__xludf.DUMMYFUNCTION("SPLIT(AW76,""*"")"),"#VALUE!")</f>
        <v>#VALUE!</v>
      </c>
    </row>
    <row r="77">
      <c r="F77" s="77"/>
      <c r="G77" s="77"/>
      <c r="R77" s="223"/>
      <c r="AL77" s="49"/>
      <c r="AM77" s="49"/>
      <c r="AN77" s="49">
        <v>-0.5</v>
      </c>
      <c r="AO77" s="49">
        <v>-0.5</v>
      </c>
      <c r="AP77" s="49"/>
      <c r="AR77" s="127"/>
      <c r="BA77" s="127" t="str">
        <f>IFERROR(__xludf.DUMMYFUNCTION("SPLIT(AW77,""*"")"),"#VALUE!")</f>
        <v>#VALUE!</v>
      </c>
    </row>
    <row r="78">
      <c r="F78" s="77"/>
      <c r="G78" s="77"/>
      <c r="R78" s="223"/>
      <c r="AL78" s="49"/>
      <c r="AM78" s="49"/>
      <c r="AN78" s="49">
        <v>-0.5</v>
      </c>
      <c r="AO78" s="49">
        <v>-0.5</v>
      </c>
      <c r="AP78" s="49"/>
      <c r="AR78" s="127"/>
      <c r="BA78" s="127" t="str">
        <f>IFERROR(__xludf.DUMMYFUNCTION("SPLIT(AW78,""*"")"),"#VALUE!")</f>
        <v>#VALUE!</v>
      </c>
    </row>
    <row r="79">
      <c r="F79" s="77"/>
      <c r="G79" s="77"/>
      <c r="R79" s="223"/>
      <c r="AL79" s="49"/>
      <c r="AM79" s="49"/>
      <c r="AN79" s="49">
        <v>-0.5</v>
      </c>
      <c r="AO79" s="49">
        <v>-0.5</v>
      </c>
      <c r="AP79" s="49"/>
      <c r="AR79" s="127"/>
      <c r="BA79" s="127" t="str">
        <f>IFERROR(__xludf.DUMMYFUNCTION("SPLIT(AW79,""*"")"),"#VALUE!")</f>
        <v>#VALUE!</v>
      </c>
    </row>
    <row r="80">
      <c r="F80" s="77"/>
      <c r="G80" s="77"/>
      <c r="R80" s="223"/>
      <c r="AL80" s="49"/>
      <c r="AM80" s="49"/>
      <c r="AN80" s="49">
        <v>-0.5</v>
      </c>
      <c r="AO80" s="49">
        <v>-0.5</v>
      </c>
      <c r="AP80" s="49"/>
      <c r="AR80" s="127"/>
      <c r="BA80" s="127" t="str">
        <f>IFERROR(__xludf.DUMMYFUNCTION("SPLIT(AW80,""*"")"),"#VALUE!")</f>
        <v>#VALUE!</v>
      </c>
    </row>
    <row r="81">
      <c r="F81" s="77"/>
      <c r="G81" s="77"/>
      <c r="R81" s="223"/>
      <c r="AL81" s="49"/>
      <c r="AM81" s="49"/>
      <c r="AN81" s="49">
        <v>-0.5</v>
      </c>
      <c r="AO81" s="49">
        <v>-0.5</v>
      </c>
      <c r="AP81" s="49"/>
      <c r="AR81" s="127"/>
      <c r="BA81" s="127" t="str">
        <f>IFERROR(__xludf.DUMMYFUNCTION("SPLIT(AW81,""*"")"),"#VALUE!")</f>
        <v>#VALUE!</v>
      </c>
    </row>
    <row r="82">
      <c r="F82" s="77"/>
      <c r="G82" s="77"/>
      <c r="R82" s="223"/>
      <c r="AL82" s="49"/>
      <c r="AM82" s="49"/>
      <c r="AN82" s="49">
        <v>-0.5</v>
      </c>
      <c r="AO82" s="49">
        <v>-0.5</v>
      </c>
      <c r="AP82" s="49"/>
      <c r="AR82" s="127"/>
      <c r="BA82" s="127" t="str">
        <f>IFERROR(__xludf.DUMMYFUNCTION("SPLIT(AW82,""*"")"),"#VALUE!")</f>
        <v>#VALUE!</v>
      </c>
    </row>
    <row r="83">
      <c r="F83" s="77"/>
      <c r="G83" s="77"/>
      <c r="R83" s="223"/>
      <c r="AL83" s="49"/>
      <c r="AM83" s="49"/>
      <c r="AN83" s="49">
        <v>-0.5</v>
      </c>
      <c r="AO83" s="49">
        <v>-0.5</v>
      </c>
      <c r="AP83" s="49"/>
      <c r="AR83" s="127"/>
      <c r="BA83" s="127" t="str">
        <f>IFERROR(__xludf.DUMMYFUNCTION("SPLIT(AW83,""*"")"),"#VALUE!")</f>
        <v>#VALUE!</v>
      </c>
    </row>
    <row r="84">
      <c r="F84" s="77"/>
      <c r="G84" s="77"/>
      <c r="R84" s="223"/>
      <c r="AL84" s="49"/>
      <c r="AM84" s="49"/>
      <c r="AN84" s="49">
        <v>-0.5</v>
      </c>
      <c r="AO84" s="49">
        <v>-0.5</v>
      </c>
      <c r="AP84" s="49"/>
      <c r="AR84" s="127"/>
      <c r="BA84" s="127" t="str">
        <f>IFERROR(__xludf.DUMMYFUNCTION("SPLIT(AW84,""*"")"),"#VALUE!")</f>
        <v>#VALUE!</v>
      </c>
    </row>
    <row r="85">
      <c r="F85" s="77"/>
      <c r="G85" s="77"/>
      <c r="R85" s="223"/>
      <c r="AL85" s="49"/>
      <c r="AM85" s="49"/>
      <c r="AN85" s="49">
        <v>-0.5</v>
      </c>
      <c r="AO85" s="49">
        <v>-0.5</v>
      </c>
      <c r="AP85" s="49"/>
      <c r="AR85" s="127"/>
      <c r="BA85" s="127" t="str">
        <f>IFERROR(__xludf.DUMMYFUNCTION("SPLIT(AW85,""*"")"),"#VALUE!")</f>
        <v>#VALUE!</v>
      </c>
    </row>
    <row r="86">
      <c r="F86" s="77"/>
      <c r="G86" s="77"/>
      <c r="R86" s="223"/>
      <c r="AL86" s="49"/>
      <c r="AM86" s="49"/>
      <c r="AN86" s="49">
        <v>-0.5</v>
      </c>
      <c r="AO86" s="49">
        <v>-0.5</v>
      </c>
      <c r="AP86" s="49"/>
      <c r="AR86" s="127"/>
      <c r="BA86" s="127" t="str">
        <f>IFERROR(__xludf.DUMMYFUNCTION("SPLIT(AW86,""*"")"),"#VALUE!")</f>
        <v>#VALUE!</v>
      </c>
    </row>
    <row r="87">
      <c r="F87" s="77"/>
      <c r="G87" s="77"/>
      <c r="R87" s="223"/>
      <c r="AL87" s="49"/>
      <c r="AM87" s="49"/>
      <c r="AN87" s="49">
        <v>-0.5</v>
      </c>
      <c r="AO87" s="49">
        <v>-0.5</v>
      </c>
      <c r="AP87" s="49"/>
      <c r="AR87" s="127"/>
      <c r="BA87" s="127" t="str">
        <f>IFERROR(__xludf.DUMMYFUNCTION("SPLIT(AW87,""*"")"),"#VALUE!")</f>
        <v>#VALUE!</v>
      </c>
    </row>
    <row r="88">
      <c r="F88" s="77"/>
      <c r="G88" s="77"/>
      <c r="R88" s="223"/>
      <c r="AL88" s="49"/>
      <c r="AM88" s="49"/>
      <c r="AN88" s="49">
        <v>-0.5</v>
      </c>
      <c r="AO88" s="49">
        <v>-0.5</v>
      </c>
      <c r="AP88" s="49"/>
      <c r="AR88" s="127"/>
      <c r="BA88" s="127" t="str">
        <f>IFERROR(__xludf.DUMMYFUNCTION("SPLIT(AW88,""*"")"),"#VALUE!")</f>
        <v>#VALUE!</v>
      </c>
    </row>
    <row r="89">
      <c r="F89" s="77"/>
      <c r="G89" s="77"/>
      <c r="R89" s="223"/>
      <c r="AL89" s="49"/>
      <c r="AM89" s="49"/>
      <c r="AN89" s="49">
        <v>-0.5</v>
      </c>
      <c r="AO89" s="49">
        <v>-0.5</v>
      </c>
      <c r="AP89" s="49"/>
      <c r="AR89" s="127"/>
      <c r="BA89" s="127" t="str">
        <f>IFERROR(__xludf.DUMMYFUNCTION("SPLIT(AW89,""*"")"),"#VALUE!")</f>
        <v>#VALUE!</v>
      </c>
    </row>
    <row r="90">
      <c r="F90" s="77"/>
      <c r="G90" s="77"/>
      <c r="R90" s="223"/>
      <c r="AL90" s="49"/>
      <c r="AM90" s="49"/>
      <c r="AN90" s="49">
        <v>-0.5</v>
      </c>
      <c r="AO90" s="49">
        <v>-0.5</v>
      </c>
      <c r="AP90" s="49"/>
      <c r="AR90" s="127"/>
      <c r="BA90" s="127" t="str">
        <f>IFERROR(__xludf.DUMMYFUNCTION("SPLIT(AW90,""*"")"),"#VALUE!")</f>
        <v>#VALUE!</v>
      </c>
    </row>
    <row r="91">
      <c r="F91" s="77"/>
      <c r="G91" s="77"/>
      <c r="R91" s="223"/>
      <c r="AL91" s="49"/>
      <c r="AM91" s="49"/>
      <c r="AN91" s="49">
        <v>-0.5</v>
      </c>
      <c r="AO91" s="49">
        <v>-0.5</v>
      </c>
      <c r="AP91" s="49"/>
      <c r="AR91" s="127"/>
      <c r="BA91" s="127" t="str">
        <f>IFERROR(__xludf.DUMMYFUNCTION("SPLIT(AW91,""*"")"),"#VALUE!")</f>
        <v>#VALUE!</v>
      </c>
    </row>
    <row r="92">
      <c r="F92" s="77"/>
      <c r="G92" s="77"/>
      <c r="R92" s="223"/>
      <c r="AL92" s="49"/>
      <c r="AM92" s="49"/>
      <c r="AN92" s="49">
        <v>-0.5</v>
      </c>
      <c r="AO92" s="49">
        <v>-0.5</v>
      </c>
      <c r="AP92" s="49"/>
      <c r="AR92" s="127"/>
      <c r="BA92" s="127" t="str">
        <f>IFERROR(__xludf.DUMMYFUNCTION("SPLIT(AW92,""*"")"),"#VALUE!")</f>
        <v>#VALUE!</v>
      </c>
    </row>
    <row r="93">
      <c r="F93" s="77"/>
      <c r="G93" s="77"/>
      <c r="R93" s="223"/>
      <c r="AL93" s="49"/>
      <c r="AM93" s="49"/>
      <c r="AN93" s="49">
        <v>-0.5</v>
      </c>
      <c r="AO93" s="49">
        <v>-0.5</v>
      </c>
      <c r="AP93" s="49"/>
      <c r="AR93" s="127"/>
      <c r="BA93" s="127" t="str">
        <f>IFERROR(__xludf.DUMMYFUNCTION("SPLIT(AW93,""*"")"),"#VALUE!")</f>
        <v>#VALUE!</v>
      </c>
    </row>
    <row r="94">
      <c r="F94" s="77"/>
      <c r="G94" s="77"/>
      <c r="R94" s="223"/>
      <c r="AL94" s="49"/>
      <c r="AM94" s="49"/>
      <c r="AN94" s="49">
        <v>-0.5</v>
      </c>
      <c r="AO94" s="49">
        <v>-0.5</v>
      </c>
      <c r="AP94" s="49"/>
      <c r="AR94" s="127"/>
      <c r="BA94" s="127" t="str">
        <f>IFERROR(__xludf.DUMMYFUNCTION("SPLIT(AW94,""*"")"),"#VALUE!")</f>
        <v>#VALUE!</v>
      </c>
    </row>
    <row r="95">
      <c r="F95" s="77"/>
      <c r="G95" s="77"/>
      <c r="R95" s="223"/>
      <c r="AL95" s="49"/>
      <c r="AM95" s="49"/>
      <c r="AN95" s="49">
        <v>-0.5</v>
      </c>
      <c r="AO95" s="49">
        <v>-0.5</v>
      </c>
      <c r="AP95" s="49"/>
      <c r="AR95" s="127"/>
      <c r="BA95" s="127" t="str">
        <f>IFERROR(__xludf.DUMMYFUNCTION("SPLIT(AW95,""*"")"),"#VALUE!")</f>
        <v>#VALUE!</v>
      </c>
    </row>
    <row r="96">
      <c r="F96" s="77"/>
      <c r="G96" s="77"/>
      <c r="R96" s="223"/>
      <c r="AL96" s="49"/>
      <c r="AM96" s="49"/>
      <c r="AN96" s="49">
        <v>-0.5</v>
      </c>
      <c r="AO96" s="49">
        <v>-0.5</v>
      </c>
      <c r="AP96" s="49"/>
      <c r="AR96" s="127"/>
      <c r="BA96" s="127" t="str">
        <f>IFERROR(__xludf.DUMMYFUNCTION("SPLIT(AW96,""*"")"),"#VALUE!")</f>
        <v>#VALUE!</v>
      </c>
    </row>
    <row r="97">
      <c r="F97" s="77"/>
      <c r="G97" s="77"/>
      <c r="R97" s="223"/>
      <c r="AL97" s="49"/>
      <c r="AM97" s="49"/>
      <c r="AN97" s="49">
        <v>-0.5</v>
      </c>
      <c r="AO97" s="49">
        <v>-0.5</v>
      </c>
      <c r="AP97" s="49"/>
      <c r="AR97" s="127"/>
      <c r="BA97" s="127" t="str">
        <f>IFERROR(__xludf.DUMMYFUNCTION("SPLIT(AW97,""*"")"),"#VALUE!")</f>
        <v>#VALUE!</v>
      </c>
    </row>
    <row r="98">
      <c r="F98" s="77"/>
      <c r="G98" s="77"/>
      <c r="R98" s="223"/>
      <c r="AL98" s="49"/>
      <c r="AM98" s="49"/>
      <c r="AN98" s="49">
        <v>-0.5</v>
      </c>
      <c r="AO98" s="49">
        <v>-0.5</v>
      </c>
      <c r="AP98" s="49"/>
      <c r="AR98" s="127"/>
      <c r="BA98" s="127" t="str">
        <f>IFERROR(__xludf.DUMMYFUNCTION("SPLIT(AW98,""*"")"),"#VALUE!")</f>
        <v>#VALUE!</v>
      </c>
    </row>
    <row r="99">
      <c r="F99" s="77"/>
      <c r="G99" s="77"/>
      <c r="R99" s="223"/>
      <c r="AL99" s="49"/>
      <c r="AM99" s="49"/>
      <c r="AN99" s="49">
        <v>-0.5</v>
      </c>
      <c r="AO99" s="49">
        <v>-0.5</v>
      </c>
      <c r="AP99" s="49"/>
      <c r="AR99" s="127"/>
      <c r="BA99" s="127" t="str">
        <f>IFERROR(__xludf.DUMMYFUNCTION("SPLIT(AW99,""*"")"),"#VALUE!")</f>
        <v>#VALUE!</v>
      </c>
    </row>
    <row r="100">
      <c r="F100" s="77"/>
      <c r="G100" s="77"/>
      <c r="R100" s="223"/>
      <c r="AL100" s="49"/>
      <c r="AM100" s="49"/>
      <c r="AN100" s="49">
        <v>-0.5</v>
      </c>
      <c r="AO100" s="49">
        <v>-0.5</v>
      </c>
      <c r="AP100" s="49"/>
      <c r="AR100" s="127"/>
      <c r="BA100" s="127" t="str">
        <f>IFERROR(__xludf.DUMMYFUNCTION("SPLIT(AW100,""*"")"),"#VALUE!")</f>
        <v>#VALUE!</v>
      </c>
    </row>
    <row r="101">
      <c r="F101" s="77"/>
      <c r="G101" s="77"/>
      <c r="R101" s="223"/>
      <c r="AL101" s="49"/>
      <c r="AM101" s="49"/>
      <c r="AN101" s="49">
        <v>-0.5</v>
      </c>
      <c r="AO101" s="49">
        <v>-0.5</v>
      </c>
      <c r="AP101" s="49"/>
      <c r="AR101" s="127"/>
      <c r="BA101" s="127"/>
    </row>
    <row r="102">
      <c r="F102" s="77"/>
      <c r="G102" s="77"/>
      <c r="R102" s="223"/>
      <c r="AL102" s="49"/>
      <c r="AM102" s="49"/>
      <c r="AN102" s="49">
        <v>-0.5</v>
      </c>
      <c r="AO102" s="49">
        <v>-0.5</v>
      </c>
      <c r="AP102" s="49"/>
      <c r="AR102" s="127"/>
      <c r="BA102" s="127"/>
    </row>
    <row r="103">
      <c r="F103" s="77"/>
      <c r="G103" s="77"/>
      <c r="R103" s="223"/>
      <c r="AL103" s="49"/>
      <c r="AM103" s="49"/>
      <c r="AN103" s="49">
        <v>-0.5</v>
      </c>
      <c r="AO103" s="49">
        <v>-0.5</v>
      </c>
      <c r="AP103" s="49"/>
      <c r="AR103" s="127"/>
      <c r="BA103" s="127"/>
    </row>
    <row r="104">
      <c r="F104" s="77"/>
      <c r="G104" s="77"/>
      <c r="R104" s="223"/>
      <c r="AL104" s="49"/>
      <c r="AM104" s="49"/>
      <c r="AN104" s="49">
        <v>-0.5</v>
      </c>
      <c r="AO104" s="49">
        <v>-0.5</v>
      </c>
      <c r="AP104" s="49"/>
      <c r="AR104" s="127"/>
      <c r="BA104" s="127"/>
    </row>
    <row r="105">
      <c r="F105" s="77"/>
      <c r="G105" s="77"/>
      <c r="R105" s="223"/>
      <c r="AL105" s="49"/>
      <c r="AM105" s="49"/>
      <c r="AN105" s="49">
        <v>-0.5</v>
      </c>
      <c r="AO105" s="49">
        <v>-0.5</v>
      </c>
      <c r="AP105" s="49"/>
      <c r="AR105" s="127"/>
      <c r="BA105" s="127"/>
    </row>
    <row r="106">
      <c r="F106" s="77"/>
      <c r="G106" s="77"/>
      <c r="R106" s="223"/>
      <c r="AL106" s="49"/>
      <c r="AM106" s="49"/>
      <c r="AN106" s="49">
        <v>-0.5</v>
      </c>
      <c r="AO106" s="49">
        <v>-0.5</v>
      </c>
      <c r="AP106" s="49"/>
      <c r="AR106" s="127"/>
      <c r="BA106" s="127"/>
    </row>
    <row r="107">
      <c r="F107" s="77"/>
      <c r="G107" s="77"/>
      <c r="R107" s="223"/>
      <c r="AL107" s="49"/>
      <c r="AM107" s="49"/>
      <c r="AN107" s="49">
        <v>-0.5</v>
      </c>
      <c r="AO107" s="49">
        <v>-0.5</v>
      </c>
      <c r="AP107" s="49"/>
      <c r="AR107" s="127"/>
      <c r="BA107" s="127"/>
    </row>
    <row r="108">
      <c r="F108" s="77"/>
      <c r="G108" s="77"/>
      <c r="R108" s="223"/>
      <c r="AL108" s="49"/>
      <c r="AM108" s="49"/>
      <c r="AN108" s="49">
        <v>-0.5</v>
      </c>
      <c r="AO108" s="49">
        <v>-0.5</v>
      </c>
      <c r="AP108" s="49"/>
      <c r="AR108" s="127"/>
      <c r="BA108" s="127"/>
    </row>
    <row r="109">
      <c r="F109" s="77"/>
      <c r="G109" s="77"/>
      <c r="R109" s="223"/>
      <c r="AL109" s="49"/>
      <c r="AM109" s="49"/>
      <c r="AN109" s="49">
        <v>-0.5</v>
      </c>
      <c r="AO109" s="49">
        <v>-0.5</v>
      </c>
      <c r="AP109" s="49"/>
      <c r="AR109" s="127"/>
      <c r="BA109" s="127"/>
    </row>
    <row r="110">
      <c r="F110" s="77"/>
      <c r="G110" s="77"/>
      <c r="R110" s="223"/>
      <c r="AL110" s="49"/>
      <c r="AM110" s="49"/>
      <c r="AN110" s="49">
        <v>-0.5</v>
      </c>
      <c r="AO110" s="49">
        <v>-0.5</v>
      </c>
      <c r="AP110" s="49"/>
      <c r="AR110" s="127"/>
      <c r="BA110" s="127"/>
    </row>
    <row r="111">
      <c r="F111" s="77"/>
      <c r="G111" s="77"/>
      <c r="R111" s="223"/>
      <c r="AL111" s="49"/>
      <c r="AM111" s="49"/>
      <c r="AN111" s="49">
        <v>-0.5</v>
      </c>
      <c r="AO111" s="49">
        <v>-0.5</v>
      </c>
      <c r="AP111" s="49"/>
      <c r="AR111" s="127"/>
      <c r="BA111" s="127"/>
    </row>
    <row r="112">
      <c r="F112" s="77"/>
      <c r="G112" s="77"/>
      <c r="R112" s="223"/>
      <c r="AL112" s="49"/>
      <c r="AM112" s="49"/>
      <c r="AN112" s="49">
        <v>-0.5</v>
      </c>
      <c r="AO112" s="49">
        <v>-0.5</v>
      </c>
      <c r="AP112" s="49"/>
      <c r="AR112" s="127"/>
      <c r="BA112" s="127"/>
    </row>
    <row r="113">
      <c r="F113" s="77"/>
      <c r="G113" s="77"/>
      <c r="R113" s="223"/>
      <c r="AL113" s="49"/>
      <c r="AM113" s="49"/>
      <c r="AN113" s="49">
        <v>-0.5</v>
      </c>
      <c r="AO113" s="49">
        <v>-0.5</v>
      </c>
      <c r="AP113" s="49"/>
      <c r="AR113" s="127"/>
      <c r="BA113" s="127"/>
    </row>
    <row r="114">
      <c r="F114" s="77"/>
      <c r="G114" s="77"/>
      <c r="R114" s="223"/>
      <c r="AL114" s="49"/>
      <c r="AM114" s="49"/>
      <c r="AN114" s="49">
        <v>-0.5</v>
      </c>
      <c r="AO114" s="49">
        <v>-0.5</v>
      </c>
      <c r="AP114" s="49"/>
      <c r="AR114" s="127"/>
      <c r="BA114" s="127"/>
    </row>
    <row r="115">
      <c r="F115" s="77"/>
      <c r="G115" s="77"/>
      <c r="R115" s="223"/>
      <c r="AL115" s="49"/>
      <c r="AM115" s="49"/>
      <c r="AN115" s="49">
        <v>-0.5</v>
      </c>
      <c r="AO115" s="49">
        <v>-0.5</v>
      </c>
      <c r="AP115" s="49"/>
      <c r="AR115" s="127"/>
      <c r="BA115" s="127"/>
    </row>
    <row r="116">
      <c r="F116" s="77"/>
      <c r="G116" s="77"/>
      <c r="R116" s="223"/>
      <c r="AL116" s="49"/>
      <c r="AM116" s="49"/>
      <c r="AN116" s="49">
        <v>-0.5</v>
      </c>
      <c r="AO116" s="49">
        <v>-0.5</v>
      </c>
      <c r="AP116" s="49"/>
      <c r="AR116" s="127"/>
      <c r="BA116" s="127"/>
    </row>
    <row r="117">
      <c r="F117" s="77"/>
      <c r="G117" s="77"/>
      <c r="R117" s="223"/>
      <c r="AL117" s="49"/>
      <c r="AM117" s="49"/>
      <c r="AN117" s="49">
        <v>-0.5</v>
      </c>
      <c r="AO117" s="49">
        <v>-0.5</v>
      </c>
      <c r="AP117" s="49"/>
      <c r="AR117" s="127"/>
      <c r="BA117" s="127"/>
    </row>
    <row r="118">
      <c r="F118" s="77"/>
      <c r="G118" s="77"/>
      <c r="R118" s="223"/>
      <c r="AL118" s="49"/>
      <c r="AM118" s="49"/>
      <c r="AN118" s="49">
        <v>-0.5</v>
      </c>
      <c r="AO118" s="49">
        <v>-0.5</v>
      </c>
      <c r="AP118" s="49"/>
      <c r="AR118" s="127"/>
      <c r="BA118" s="127"/>
    </row>
    <row r="119">
      <c r="F119" s="77"/>
      <c r="G119" s="77"/>
      <c r="R119" s="223"/>
      <c r="AL119" s="49"/>
      <c r="AM119" s="49"/>
      <c r="AN119" s="49">
        <v>-0.5</v>
      </c>
      <c r="AO119" s="49">
        <v>-0.5</v>
      </c>
      <c r="AP119" s="49"/>
      <c r="AR119" s="127"/>
      <c r="BA119" s="127"/>
    </row>
    <row r="120">
      <c r="F120" s="77"/>
      <c r="G120" s="77"/>
      <c r="R120" s="223"/>
      <c r="AL120" s="49"/>
      <c r="AM120" s="49"/>
      <c r="AN120" s="49">
        <v>-0.5</v>
      </c>
      <c r="AO120" s="49">
        <v>-0.5</v>
      </c>
      <c r="AP120" s="49"/>
      <c r="AR120" s="127"/>
      <c r="BA120" s="127"/>
    </row>
    <row r="121">
      <c r="F121" s="77"/>
      <c r="G121" s="77"/>
      <c r="R121" s="223"/>
      <c r="AL121" s="49"/>
      <c r="AM121" s="49"/>
      <c r="AN121" s="49">
        <v>-0.5</v>
      </c>
      <c r="AO121" s="49">
        <v>-0.5</v>
      </c>
      <c r="AP121" s="49"/>
      <c r="AR121" s="127"/>
      <c r="BA121" s="127"/>
    </row>
    <row r="122">
      <c r="F122" s="77"/>
      <c r="G122" s="77"/>
      <c r="R122" s="223"/>
      <c r="AL122" s="49"/>
      <c r="AM122" s="49"/>
      <c r="AN122" s="49">
        <v>-0.5</v>
      </c>
      <c r="AO122" s="49">
        <v>-0.5</v>
      </c>
      <c r="AP122" s="49"/>
      <c r="AR122" s="127"/>
      <c r="BA122" s="127"/>
    </row>
    <row r="123">
      <c r="F123" s="77"/>
      <c r="G123" s="77"/>
      <c r="R123" s="223"/>
      <c r="AL123" s="49"/>
      <c r="AM123" s="49"/>
      <c r="AN123" s="49">
        <v>-0.5</v>
      </c>
      <c r="AO123" s="49">
        <v>-0.5</v>
      </c>
      <c r="AP123" s="49"/>
      <c r="AR123" s="127"/>
      <c r="BA123" s="127"/>
    </row>
    <row r="124">
      <c r="F124" s="77"/>
      <c r="G124" s="77"/>
      <c r="R124" s="223"/>
      <c r="AL124" s="49"/>
      <c r="AM124" s="49"/>
      <c r="AN124" s="49">
        <v>-0.5</v>
      </c>
      <c r="AO124" s="49">
        <v>-0.5</v>
      </c>
      <c r="AP124" s="49"/>
      <c r="AR124" s="127"/>
      <c r="BA124" s="127"/>
    </row>
    <row r="125">
      <c r="F125" s="77"/>
      <c r="G125" s="77"/>
      <c r="R125" s="223"/>
      <c r="AL125" s="49"/>
      <c r="AM125" s="49"/>
      <c r="AN125" s="49">
        <v>-0.5</v>
      </c>
      <c r="AO125" s="49">
        <v>-0.5</v>
      </c>
      <c r="AP125" s="49"/>
      <c r="AR125" s="127"/>
      <c r="BA125" s="127"/>
    </row>
    <row r="126">
      <c r="F126" s="77"/>
      <c r="G126" s="77"/>
      <c r="R126" s="223"/>
      <c r="AL126" s="49"/>
      <c r="AM126" s="49"/>
      <c r="AN126" s="49">
        <v>-0.5</v>
      </c>
      <c r="AO126" s="49">
        <v>-0.5</v>
      </c>
      <c r="AP126" s="49"/>
      <c r="AR126" s="127"/>
      <c r="BA126" s="127"/>
    </row>
    <row r="127">
      <c r="F127" s="77"/>
      <c r="G127" s="77"/>
      <c r="R127" s="223"/>
      <c r="AL127" s="49"/>
      <c r="AM127" s="49"/>
      <c r="AN127" s="49">
        <v>-0.5</v>
      </c>
      <c r="AO127" s="49">
        <v>-0.5</v>
      </c>
      <c r="AP127" s="49"/>
      <c r="AR127" s="127"/>
      <c r="BA127" s="127"/>
    </row>
    <row r="128">
      <c r="F128" s="77"/>
      <c r="G128" s="77"/>
      <c r="R128" s="223"/>
      <c r="AL128" s="49"/>
      <c r="AM128" s="49"/>
      <c r="AN128" s="49">
        <v>-0.5</v>
      </c>
      <c r="AO128" s="49">
        <v>-0.5</v>
      </c>
      <c r="AP128" s="49"/>
      <c r="AR128" s="127"/>
      <c r="BA128" s="127"/>
    </row>
    <row r="129">
      <c r="F129" s="77"/>
      <c r="G129" s="77"/>
      <c r="R129" s="223"/>
      <c r="AL129" s="49"/>
      <c r="AM129" s="49"/>
      <c r="AN129" s="49">
        <v>-0.5</v>
      </c>
      <c r="AO129" s="49">
        <v>-0.5</v>
      </c>
      <c r="AP129" s="49"/>
      <c r="AR129" s="127"/>
      <c r="BA129" s="127"/>
    </row>
    <row r="130">
      <c r="F130" s="77"/>
      <c r="G130" s="77"/>
      <c r="R130" s="223"/>
      <c r="AL130" s="49"/>
      <c r="AM130" s="49"/>
      <c r="AN130" s="49">
        <v>-0.5</v>
      </c>
      <c r="AO130" s="49">
        <v>-0.5</v>
      </c>
      <c r="AP130" s="49"/>
      <c r="AR130" s="127"/>
      <c r="BA130" s="127"/>
    </row>
    <row r="131">
      <c r="F131" s="77"/>
      <c r="G131" s="77"/>
      <c r="R131" s="223"/>
      <c r="AL131" s="49"/>
      <c r="AM131" s="49"/>
      <c r="AN131" s="49">
        <v>-0.5</v>
      </c>
      <c r="AO131" s="49">
        <v>-0.5</v>
      </c>
      <c r="AP131" s="49"/>
      <c r="AR131" s="127"/>
      <c r="BA131" s="127"/>
    </row>
    <row r="132">
      <c r="F132" s="77"/>
      <c r="G132" s="77"/>
      <c r="R132" s="223"/>
      <c r="AL132" s="49"/>
      <c r="AM132" s="49"/>
      <c r="AN132" s="49">
        <v>-0.5</v>
      </c>
      <c r="AO132" s="49">
        <v>-0.5</v>
      </c>
      <c r="AP132" s="49"/>
      <c r="AR132" s="127"/>
      <c r="BA132" s="127"/>
    </row>
    <row r="133">
      <c r="F133" s="77"/>
      <c r="G133" s="77"/>
      <c r="R133" s="223"/>
      <c r="AL133" s="49"/>
      <c r="AM133" s="49"/>
      <c r="AN133" s="49">
        <v>-0.5</v>
      </c>
      <c r="AO133" s="49">
        <v>-0.5</v>
      </c>
      <c r="AP133" s="49"/>
      <c r="AR133" s="127"/>
      <c r="BA133" s="127"/>
    </row>
    <row r="134">
      <c r="F134" s="77"/>
      <c r="G134" s="77"/>
      <c r="R134" s="223"/>
      <c r="AL134" s="49"/>
      <c r="AM134" s="49"/>
      <c r="AN134" s="49">
        <v>-0.5</v>
      </c>
      <c r="AO134" s="49">
        <v>-0.5</v>
      </c>
      <c r="AP134" s="49"/>
      <c r="AR134" s="127"/>
      <c r="BA134" s="127"/>
    </row>
    <row r="135">
      <c r="F135" s="77"/>
      <c r="G135" s="77"/>
      <c r="R135" s="223"/>
      <c r="AL135" s="49"/>
      <c r="AM135" s="49"/>
      <c r="AN135" s="49">
        <v>-0.5</v>
      </c>
      <c r="AO135" s="49">
        <v>-0.5</v>
      </c>
      <c r="AP135" s="49"/>
      <c r="AR135" s="127"/>
      <c r="BA135" s="127"/>
    </row>
    <row r="136">
      <c r="F136" s="77"/>
      <c r="G136" s="77"/>
      <c r="R136" s="223"/>
      <c r="AL136" s="49"/>
      <c r="AM136" s="49"/>
      <c r="AN136" s="49">
        <v>-0.5</v>
      </c>
      <c r="AO136" s="49">
        <v>-0.5</v>
      </c>
      <c r="AP136" s="49"/>
      <c r="AR136" s="127"/>
      <c r="BA136" s="127"/>
    </row>
    <row r="137">
      <c r="F137" s="77"/>
      <c r="G137" s="77"/>
      <c r="R137" s="223"/>
      <c r="AL137" s="49"/>
      <c r="AM137" s="49"/>
      <c r="AN137" s="49">
        <v>-0.5</v>
      </c>
      <c r="AO137" s="49">
        <v>-0.5</v>
      </c>
      <c r="AP137" s="49"/>
      <c r="AR137" s="127"/>
      <c r="BA137" s="127"/>
    </row>
    <row r="138">
      <c r="F138" s="77"/>
      <c r="G138" s="77"/>
      <c r="R138" s="223"/>
      <c r="AL138" s="49"/>
      <c r="AM138" s="49"/>
      <c r="AN138" s="49">
        <v>-0.5</v>
      </c>
      <c r="AO138" s="49">
        <v>-0.5</v>
      </c>
      <c r="AP138" s="49"/>
      <c r="AR138" s="127"/>
      <c r="BA138" s="127"/>
    </row>
    <row r="139">
      <c r="F139" s="77"/>
      <c r="G139" s="77"/>
      <c r="R139" s="223"/>
      <c r="AL139" s="49"/>
      <c r="AM139" s="49"/>
      <c r="AN139" s="49">
        <v>-0.5</v>
      </c>
      <c r="AO139" s="49">
        <v>-0.5</v>
      </c>
      <c r="AP139" s="49"/>
      <c r="AR139" s="127"/>
      <c r="BA139" s="127"/>
    </row>
    <row r="140">
      <c r="F140" s="77"/>
      <c r="G140" s="77"/>
      <c r="R140" s="223"/>
      <c r="AL140" s="49"/>
      <c r="AM140" s="49"/>
      <c r="AN140" s="49">
        <v>-0.5</v>
      </c>
      <c r="AO140" s="49">
        <v>-0.5</v>
      </c>
      <c r="AP140" s="49"/>
      <c r="AR140" s="127"/>
      <c r="BA140" s="127"/>
    </row>
    <row r="141">
      <c r="F141" s="77"/>
      <c r="G141" s="77"/>
      <c r="R141" s="223"/>
      <c r="AL141" s="49"/>
      <c r="AM141" s="49"/>
      <c r="AN141" s="49">
        <v>-0.5</v>
      </c>
      <c r="AO141" s="49">
        <v>-0.5</v>
      </c>
      <c r="AP141" s="49"/>
      <c r="AR141" s="127"/>
      <c r="BA141" s="127"/>
    </row>
    <row r="142">
      <c r="F142" s="77"/>
      <c r="G142" s="77"/>
      <c r="R142" s="223"/>
      <c r="AL142" s="49"/>
      <c r="AM142" s="49"/>
      <c r="AN142" s="49">
        <v>-0.5</v>
      </c>
      <c r="AO142" s="49">
        <v>-0.5</v>
      </c>
      <c r="AP142" s="49"/>
      <c r="AR142" s="127"/>
      <c r="BA142" s="127"/>
    </row>
    <row r="143">
      <c r="F143" s="77"/>
      <c r="G143" s="77"/>
      <c r="R143" s="223"/>
      <c r="AL143" s="49"/>
      <c r="AM143" s="49"/>
      <c r="AN143" s="49">
        <v>-0.5</v>
      </c>
      <c r="AO143" s="49">
        <v>-0.5</v>
      </c>
      <c r="AP143" s="49"/>
      <c r="AR143" s="127"/>
      <c r="BA143" s="127"/>
    </row>
    <row r="144">
      <c r="F144" s="77"/>
      <c r="G144" s="77"/>
      <c r="R144" s="223"/>
      <c r="AL144" s="49"/>
      <c r="AM144" s="49"/>
      <c r="AN144" s="49">
        <v>-0.5</v>
      </c>
      <c r="AO144" s="49">
        <v>-0.5</v>
      </c>
      <c r="AP144" s="49"/>
      <c r="AR144" s="127"/>
      <c r="BA144" s="127"/>
    </row>
    <row r="145">
      <c r="F145" s="77"/>
      <c r="G145" s="77"/>
      <c r="R145" s="223"/>
      <c r="AL145" s="49"/>
      <c r="AM145" s="49"/>
      <c r="AN145" s="49">
        <v>-0.5</v>
      </c>
      <c r="AO145" s="49">
        <v>-0.5</v>
      </c>
      <c r="AP145" s="49"/>
      <c r="AR145" s="127"/>
      <c r="BA145" s="127"/>
    </row>
    <row r="146">
      <c r="F146" s="77"/>
      <c r="G146" s="77"/>
      <c r="R146" s="223"/>
      <c r="AL146" s="49"/>
      <c r="AM146" s="49"/>
      <c r="AN146" s="49">
        <v>-0.5</v>
      </c>
      <c r="AO146" s="49">
        <v>-0.5</v>
      </c>
      <c r="AP146" s="49"/>
      <c r="AR146" s="127"/>
      <c r="BA146" s="127"/>
    </row>
    <row r="147">
      <c r="F147" s="77"/>
      <c r="G147" s="77"/>
      <c r="R147" s="223"/>
      <c r="AL147" s="49"/>
      <c r="AM147" s="49"/>
      <c r="AN147" s="49">
        <v>-0.5</v>
      </c>
      <c r="AO147" s="49">
        <v>-0.5</v>
      </c>
      <c r="AP147" s="49"/>
      <c r="AR147" s="127"/>
      <c r="BA147" s="127"/>
    </row>
    <row r="148">
      <c r="F148" s="77"/>
      <c r="G148" s="77"/>
      <c r="R148" s="223"/>
      <c r="AL148" s="49"/>
      <c r="AM148" s="49"/>
      <c r="AN148" s="49">
        <v>-0.5</v>
      </c>
      <c r="AO148" s="49">
        <v>-0.5</v>
      </c>
      <c r="AP148" s="49"/>
      <c r="AR148" s="127"/>
      <c r="BA148" s="127"/>
    </row>
    <row r="149">
      <c r="F149" s="77"/>
      <c r="G149" s="77"/>
      <c r="R149" s="223"/>
      <c r="AL149" s="49"/>
      <c r="AM149" s="49"/>
      <c r="AN149" s="49">
        <v>-0.5</v>
      </c>
      <c r="AO149" s="49">
        <v>-0.5</v>
      </c>
      <c r="AP149" s="49"/>
      <c r="AR149" s="127"/>
      <c r="BA149" s="127"/>
    </row>
    <row r="150">
      <c r="F150" s="77"/>
      <c r="G150" s="77"/>
      <c r="R150" s="223"/>
      <c r="AL150" s="49"/>
      <c r="AM150" s="49"/>
      <c r="AN150" s="49">
        <v>-0.5</v>
      </c>
      <c r="AO150" s="49">
        <v>-0.5</v>
      </c>
      <c r="AP150" s="49"/>
      <c r="AR150" s="127"/>
      <c r="BA150" s="127"/>
    </row>
    <row r="151">
      <c r="F151" s="77"/>
      <c r="G151" s="77"/>
      <c r="R151" s="223"/>
      <c r="AL151" s="49"/>
      <c r="AM151" s="49"/>
      <c r="AN151" s="49">
        <v>-0.5</v>
      </c>
      <c r="AO151" s="49">
        <v>-0.5</v>
      </c>
      <c r="AP151" s="49"/>
      <c r="AR151" s="127"/>
      <c r="BA151" s="127"/>
    </row>
    <row r="152">
      <c r="F152" s="77"/>
      <c r="G152" s="77"/>
      <c r="R152" s="223"/>
      <c r="AL152" s="49"/>
      <c r="AM152" s="49"/>
      <c r="AN152" s="49">
        <v>-0.5</v>
      </c>
      <c r="AO152" s="49">
        <v>-0.5</v>
      </c>
      <c r="AP152" s="49"/>
      <c r="AR152" s="127"/>
      <c r="BA152" s="127"/>
    </row>
    <row r="153">
      <c r="F153" s="77"/>
      <c r="G153" s="77"/>
      <c r="R153" s="223"/>
      <c r="AL153" s="49"/>
      <c r="AM153" s="49"/>
      <c r="AN153" s="49">
        <v>-0.5</v>
      </c>
      <c r="AO153" s="49">
        <v>-0.5</v>
      </c>
      <c r="AP153" s="49"/>
      <c r="AR153" s="127"/>
      <c r="BA153" s="127"/>
    </row>
    <row r="154">
      <c r="F154" s="77"/>
      <c r="G154" s="77"/>
      <c r="R154" s="223"/>
      <c r="AL154" s="49"/>
      <c r="AM154" s="49"/>
      <c r="AN154" s="49">
        <v>-0.5</v>
      </c>
      <c r="AO154" s="49">
        <v>-0.5</v>
      </c>
      <c r="AP154" s="49"/>
      <c r="AR154" s="127"/>
      <c r="BA154" s="127"/>
    </row>
    <row r="155">
      <c r="F155" s="77"/>
      <c r="G155" s="77"/>
      <c r="R155" s="223"/>
      <c r="AL155" s="49"/>
      <c r="AM155" s="49"/>
      <c r="AN155" s="49">
        <v>-0.5</v>
      </c>
      <c r="AO155" s="49">
        <v>-0.5</v>
      </c>
      <c r="AP155" s="49"/>
      <c r="AR155" s="127"/>
      <c r="BA155" s="127"/>
    </row>
    <row r="156">
      <c r="F156" s="77"/>
      <c r="G156" s="77"/>
      <c r="R156" s="223"/>
      <c r="AL156" s="49"/>
      <c r="AM156" s="49"/>
      <c r="AN156" s="49">
        <v>-0.5</v>
      </c>
      <c r="AO156" s="49">
        <v>-0.5</v>
      </c>
      <c r="AP156" s="49"/>
      <c r="AR156" s="127"/>
      <c r="BA156" s="127"/>
    </row>
    <row r="157">
      <c r="F157" s="77"/>
      <c r="G157" s="77"/>
      <c r="R157" s="223"/>
      <c r="AL157" s="49"/>
      <c r="AM157" s="49"/>
      <c r="AN157" s="49">
        <v>-0.5</v>
      </c>
      <c r="AO157" s="49">
        <v>-0.5</v>
      </c>
      <c r="AP157" s="49"/>
      <c r="AR157" s="127"/>
      <c r="BA157" s="127"/>
    </row>
    <row r="158">
      <c r="F158" s="77"/>
      <c r="G158" s="77"/>
      <c r="R158" s="223"/>
      <c r="AL158" s="49"/>
      <c r="AM158" s="49"/>
      <c r="AN158" s="49">
        <v>-0.5</v>
      </c>
      <c r="AO158" s="49">
        <v>-0.5</v>
      </c>
      <c r="AP158" s="49"/>
      <c r="AR158" s="127"/>
      <c r="BA158" s="127"/>
    </row>
    <row r="159">
      <c r="F159" s="77"/>
      <c r="G159" s="77"/>
      <c r="R159" s="223"/>
      <c r="AL159" s="49"/>
      <c r="AM159" s="49"/>
      <c r="AN159" s="49">
        <v>-0.5</v>
      </c>
      <c r="AO159" s="49">
        <v>-0.5</v>
      </c>
      <c r="AP159" s="49"/>
      <c r="AR159" s="127"/>
      <c r="BA159" s="127"/>
    </row>
    <row r="160">
      <c r="F160" s="77"/>
      <c r="G160" s="77"/>
      <c r="R160" s="223"/>
      <c r="AL160" s="49"/>
      <c r="AM160" s="49"/>
      <c r="AN160" s="49">
        <v>-0.5</v>
      </c>
      <c r="AO160" s="49">
        <v>-0.5</v>
      </c>
      <c r="AP160" s="49"/>
      <c r="AR160" s="127"/>
      <c r="BA160" s="127"/>
    </row>
    <row r="161">
      <c r="F161" s="77"/>
      <c r="G161" s="77"/>
      <c r="R161" s="223"/>
      <c r="AL161" s="49"/>
      <c r="AM161" s="49"/>
      <c r="AN161" s="49">
        <v>-0.5</v>
      </c>
      <c r="AO161" s="49">
        <v>-0.5</v>
      </c>
      <c r="AP161" s="49"/>
      <c r="AR161" s="127"/>
      <c r="BA161" s="127"/>
    </row>
    <row r="162">
      <c r="F162" s="77"/>
      <c r="G162" s="77"/>
      <c r="R162" s="223"/>
      <c r="AL162" s="49"/>
      <c r="AM162" s="49"/>
      <c r="AN162" s="49">
        <v>-0.5</v>
      </c>
      <c r="AO162" s="49">
        <v>-0.5</v>
      </c>
      <c r="AP162" s="49"/>
      <c r="AR162" s="127"/>
      <c r="BA162" s="127"/>
    </row>
    <row r="163">
      <c r="F163" s="77"/>
      <c r="G163" s="77"/>
      <c r="R163" s="223"/>
      <c r="AL163" s="49"/>
      <c r="AM163" s="49"/>
      <c r="AN163" s="49">
        <v>-0.5</v>
      </c>
      <c r="AO163" s="49">
        <v>-0.5</v>
      </c>
      <c r="AP163" s="49"/>
      <c r="AR163" s="127"/>
      <c r="BA163" s="127"/>
    </row>
    <row r="164">
      <c r="F164" s="77"/>
      <c r="G164" s="77"/>
      <c r="R164" s="223"/>
      <c r="AL164" s="49"/>
      <c r="AM164" s="49"/>
      <c r="AN164" s="49">
        <v>-0.5</v>
      </c>
      <c r="AO164" s="49">
        <v>-0.5</v>
      </c>
      <c r="AP164" s="49"/>
      <c r="AR164" s="127"/>
      <c r="BA164" s="127"/>
    </row>
    <row r="165">
      <c r="F165" s="77"/>
      <c r="G165" s="77"/>
      <c r="R165" s="223"/>
      <c r="AL165" s="49"/>
      <c r="AM165" s="49"/>
      <c r="AN165" s="49">
        <v>-0.5</v>
      </c>
      <c r="AO165" s="49">
        <v>-0.5</v>
      </c>
      <c r="AP165" s="49"/>
      <c r="AR165" s="127"/>
      <c r="BA165" s="127"/>
    </row>
    <row r="166">
      <c r="F166" s="77"/>
      <c r="G166" s="77"/>
      <c r="R166" s="223"/>
      <c r="AL166" s="49"/>
      <c r="AM166" s="49"/>
      <c r="AN166" s="49">
        <v>-0.5</v>
      </c>
      <c r="AO166" s="49">
        <v>-0.5</v>
      </c>
      <c r="AP166" s="49"/>
      <c r="AR166" s="127"/>
      <c r="BA166" s="127"/>
    </row>
    <row r="167">
      <c r="F167" s="77"/>
      <c r="G167" s="77"/>
      <c r="R167" s="223"/>
      <c r="AL167" s="49"/>
      <c r="AM167" s="49"/>
      <c r="AN167" s="49">
        <v>-0.5</v>
      </c>
      <c r="AO167" s="49">
        <v>-0.5</v>
      </c>
      <c r="AP167" s="49"/>
      <c r="AR167" s="127"/>
      <c r="BA167" s="127"/>
    </row>
    <row r="168">
      <c r="F168" s="77"/>
      <c r="G168" s="77"/>
      <c r="R168" s="223"/>
      <c r="AL168" s="49"/>
      <c r="AM168" s="49"/>
      <c r="AN168" s="49">
        <v>-0.5</v>
      </c>
      <c r="AO168" s="49">
        <v>-0.5</v>
      </c>
      <c r="AP168" s="49"/>
      <c r="AR168" s="127"/>
      <c r="BA168" s="127"/>
    </row>
    <row r="169">
      <c r="F169" s="77"/>
      <c r="G169" s="77"/>
      <c r="R169" s="223"/>
      <c r="AL169" s="49"/>
      <c r="AM169" s="49"/>
      <c r="AN169" s="49">
        <v>-0.5</v>
      </c>
      <c r="AO169" s="49">
        <v>-0.5</v>
      </c>
      <c r="AP169" s="49"/>
      <c r="AR169" s="127"/>
      <c r="BA169" s="127"/>
    </row>
    <row r="170">
      <c r="F170" s="77"/>
      <c r="G170" s="77"/>
      <c r="R170" s="223"/>
      <c r="AL170" s="49"/>
      <c r="AM170" s="49"/>
      <c r="AN170" s="49">
        <v>-0.5</v>
      </c>
      <c r="AO170" s="49">
        <v>-0.5</v>
      </c>
      <c r="AP170" s="49"/>
      <c r="AR170" s="127"/>
      <c r="BA170" s="127"/>
    </row>
    <row r="171">
      <c r="F171" s="77"/>
      <c r="G171" s="77"/>
      <c r="R171" s="223"/>
      <c r="AL171" s="49"/>
      <c r="AM171" s="49"/>
      <c r="AN171" s="49">
        <v>-0.5</v>
      </c>
      <c r="AO171" s="49">
        <v>-0.5</v>
      </c>
      <c r="AP171" s="49"/>
      <c r="AR171" s="127"/>
      <c r="BA171" s="127"/>
    </row>
    <row r="172">
      <c r="F172" s="77"/>
      <c r="G172" s="77"/>
      <c r="R172" s="223"/>
      <c r="AL172" s="49"/>
      <c r="AM172" s="49"/>
      <c r="AN172" s="49">
        <v>-0.5</v>
      </c>
      <c r="AO172" s="49">
        <v>-0.5</v>
      </c>
      <c r="AP172" s="49"/>
      <c r="AR172" s="127"/>
      <c r="BA172" s="127"/>
    </row>
    <row r="173">
      <c r="F173" s="77"/>
      <c r="G173" s="77"/>
      <c r="R173" s="223"/>
      <c r="AL173" s="49"/>
      <c r="AM173" s="49"/>
      <c r="AN173" s="49">
        <v>-0.5</v>
      </c>
      <c r="AO173" s="49">
        <v>-0.5</v>
      </c>
      <c r="AP173" s="49"/>
      <c r="AR173" s="127"/>
      <c r="BA173" s="127"/>
    </row>
    <row r="174">
      <c r="F174" s="77"/>
      <c r="G174" s="77"/>
      <c r="R174" s="223"/>
      <c r="AL174" s="49"/>
      <c r="AM174" s="49"/>
      <c r="AN174" s="49">
        <v>-0.5</v>
      </c>
      <c r="AO174" s="49">
        <v>-0.5</v>
      </c>
      <c r="AP174" s="49"/>
      <c r="AR174" s="127"/>
      <c r="BA174" s="127"/>
    </row>
    <row r="175">
      <c r="F175" s="77"/>
      <c r="G175" s="77"/>
      <c r="R175" s="223"/>
      <c r="AL175" s="49"/>
      <c r="AM175" s="49"/>
      <c r="AN175" s="49">
        <v>-0.5</v>
      </c>
      <c r="AO175" s="49">
        <v>-0.5</v>
      </c>
      <c r="AP175" s="49"/>
      <c r="AR175" s="127"/>
      <c r="BA175" s="127"/>
    </row>
    <row r="176">
      <c r="F176" s="77"/>
      <c r="G176" s="77"/>
      <c r="R176" s="223"/>
      <c r="AL176" s="49"/>
      <c r="AM176" s="49"/>
      <c r="AN176" s="49">
        <v>-0.5</v>
      </c>
      <c r="AO176" s="49">
        <v>-0.5</v>
      </c>
      <c r="AP176" s="49"/>
      <c r="AR176" s="127"/>
      <c r="BA176" s="127"/>
    </row>
    <row r="177">
      <c r="F177" s="77"/>
      <c r="G177" s="77"/>
      <c r="R177" s="223"/>
      <c r="AL177" s="49"/>
      <c r="AM177" s="49"/>
      <c r="AN177" s="49">
        <v>-0.5</v>
      </c>
      <c r="AO177" s="49">
        <v>-0.5</v>
      </c>
      <c r="AP177" s="49"/>
      <c r="AR177" s="127"/>
      <c r="BA177" s="127"/>
    </row>
    <row r="178">
      <c r="F178" s="77"/>
      <c r="G178" s="77"/>
      <c r="R178" s="223"/>
      <c r="AL178" s="49"/>
      <c r="AM178" s="49"/>
      <c r="AN178" s="49">
        <v>-0.5</v>
      </c>
      <c r="AO178" s="49">
        <v>-0.5</v>
      </c>
      <c r="AP178" s="49"/>
      <c r="AR178" s="127"/>
      <c r="BA178" s="127"/>
    </row>
    <row r="179">
      <c r="F179" s="77"/>
      <c r="G179" s="77"/>
      <c r="R179" s="223"/>
      <c r="AL179" s="49"/>
      <c r="AM179" s="49"/>
      <c r="AN179" s="49">
        <v>-0.5</v>
      </c>
      <c r="AO179" s="49">
        <v>-0.5</v>
      </c>
      <c r="AP179" s="49"/>
      <c r="AR179" s="127"/>
      <c r="BA179" s="127"/>
    </row>
    <row r="180">
      <c r="F180" s="77"/>
      <c r="G180" s="77"/>
      <c r="R180" s="223"/>
      <c r="AL180" s="49"/>
      <c r="AM180" s="49"/>
      <c r="AN180" s="49">
        <v>-0.5</v>
      </c>
      <c r="AO180" s="49">
        <v>-0.5</v>
      </c>
      <c r="AP180" s="49"/>
      <c r="AR180" s="127"/>
      <c r="BA180" s="127"/>
    </row>
    <row r="181">
      <c r="F181" s="77"/>
      <c r="G181" s="77"/>
      <c r="R181" s="223"/>
      <c r="AL181" s="49"/>
      <c r="AM181" s="49"/>
      <c r="AN181" s="49">
        <v>-0.5</v>
      </c>
      <c r="AO181" s="49">
        <v>-0.5</v>
      </c>
      <c r="AP181" s="49"/>
      <c r="AR181" s="127"/>
      <c r="BA181" s="127"/>
    </row>
    <row r="182">
      <c r="F182" s="77"/>
      <c r="G182" s="77"/>
      <c r="R182" s="223"/>
      <c r="AL182" s="49"/>
      <c r="AM182" s="49"/>
      <c r="AN182" s="49">
        <v>-0.5</v>
      </c>
      <c r="AO182" s="49">
        <v>-0.5</v>
      </c>
      <c r="AP182" s="49"/>
      <c r="AR182" s="127"/>
      <c r="BA182" s="127"/>
    </row>
    <row r="183">
      <c r="F183" s="77"/>
      <c r="G183" s="77"/>
      <c r="R183" s="223"/>
      <c r="AL183" s="49"/>
      <c r="AM183" s="49"/>
      <c r="AN183" s="49">
        <v>-0.5</v>
      </c>
      <c r="AO183" s="49">
        <v>-0.5</v>
      </c>
      <c r="AP183" s="49"/>
      <c r="AR183" s="127"/>
      <c r="BA183" s="127"/>
    </row>
    <row r="184">
      <c r="F184" s="77"/>
      <c r="G184" s="77"/>
      <c r="R184" s="223"/>
      <c r="AL184" s="49"/>
      <c r="AM184" s="49"/>
      <c r="AN184" s="49">
        <v>-0.5</v>
      </c>
      <c r="AO184" s="49">
        <v>-0.5</v>
      </c>
      <c r="AP184" s="49"/>
      <c r="AR184" s="127"/>
      <c r="BA184" s="127"/>
    </row>
    <row r="185">
      <c r="F185" s="77"/>
      <c r="G185" s="77"/>
      <c r="R185" s="223"/>
      <c r="AL185" s="49"/>
      <c r="AM185" s="49"/>
      <c r="AN185" s="49">
        <v>-0.5</v>
      </c>
      <c r="AO185" s="49">
        <v>-0.5</v>
      </c>
      <c r="AP185" s="49"/>
      <c r="AR185" s="127"/>
      <c r="BA185" s="127"/>
    </row>
    <row r="186">
      <c r="F186" s="77"/>
      <c r="G186" s="77"/>
      <c r="R186" s="223"/>
      <c r="AL186" s="49"/>
      <c r="AM186" s="49"/>
      <c r="AN186" s="49">
        <v>-0.5</v>
      </c>
      <c r="AO186" s="49">
        <v>-0.5</v>
      </c>
      <c r="AP186" s="49"/>
      <c r="AR186" s="127"/>
      <c r="BA186" s="127"/>
    </row>
    <row r="187">
      <c r="F187" s="77"/>
      <c r="G187" s="77"/>
      <c r="R187" s="223"/>
      <c r="AL187" s="49"/>
      <c r="AM187" s="49"/>
      <c r="AN187" s="49">
        <v>-0.5</v>
      </c>
      <c r="AO187" s="49">
        <v>-0.5</v>
      </c>
      <c r="AP187" s="49"/>
      <c r="AR187" s="127"/>
      <c r="BA187" s="127"/>
    </row>
    <row r="188">
      <c r="F188" s="77"/>
      <c r="G188" s="77"/>
      <c r="R188" s="223"/>
      <c r="AL188" s="49"/>
      <c r="AM188" s="49"/>
      <c r="AN188" s="49">
        <v>-0.5</v>
      </c>
      <c r="AO188" s="49">
        <v>-0.5</v>
      </c>
      <c r="AP188" s="49"/>
      <c r="AR188" s="127"/>
      <c r="BA188" s="127"/>
    </row>
    <row r="189">
      <c r="F189" s="77"/>
      <c r="G189" s="77"/>
      <c r="R189" s="223"/>
      <c r="AL189" s="49"/>
      <c r="AM189" s="49"/>
      <c r="AN189" s="49">
        <v>-0.5</v>
      </c>
      <c r="AO189" s="49">
        <v>-0.5</v>
      </c>
      <c r="AP189" s="49"/>
      <c r="AR189" s="127"/>
      <c r="BA189" s="127"/>
    </row>
    <row r="190">
      <c r="F190" s="77"/>
      <c r="G190" s="77"/>
      <c r="R190" s="223"/>
      <c r="AL190" s="49"/>
      <c r="AM190" s="49"/>
      <c r="AN190" s="49">
        <v>-0.5</v>
      </c>
      <c r="AO190" s="49">
        <v>-0.5</v>
      </c>
      <c r="AP190" s="49"/>
      <c r="AR190" s="127"/>
      <c r="BA190" s="127"/>
    </row>
    <row r="191">
      <c r="F191" s="77"/>
      <c r="G191" s="77"/>
      <c r="R191" s="223"/>
      <c r="AL191" s="49"/>
      <c r="AM191" s="49"/>
      <c r="AN191" s="49">
        <v>-0.5</v>
      </c>
      <c r="AO191" s="49">
        <v>-0.5</v>
      </c>
      <c r="AP191" s="49"/>
      <c r="AR191" s="127"/>
      <c r="BA191" s="127"/>
    </row>
    <row r="192">
      <c r="F192" s="77"/>
      <c r="G192" s="77"/>
      <c r="R192" s="223"/>
      <c r="AL192" s="49"/>
      <c r="AM192" s="49"/>
      <c r="AN192" s="49">
        <v>-0.5</v>
      </c>
      <c r="AO192" s="49">
        <v>-0.5</v>
      </c>
      <c r="AP192" s="49"/>
      <c r="AR192" s="127"/>
      <c r="BA192" s="127"/>
    </row>
    <row r="193">
      <c r="F193" s="77"/>
      <c r="G193" s="77"/>
      <c r="R193" s="223"/>
      <c r="AL193" s="49"/>
      <c r="AM193" s="49"/>
      <c r="AN193" s="49">
        <v>-0.5</v>
      </c>
      <c r="AO193" s="49">
        <v>-0.5</v>
      </c>
      <c r="AP193" s="49"/>
      <c r="AR193" s="127"/>
      <c r="BA193" s="127"/>
    </row>
    <row r="194">
      <c r="F194" s="77"/>
      <c r="G194" s="77"/>
      <c r="R194" s="223"/>
      <c r="AL194" s="49"/>
      <c r="AM194" s="49"/>
      <c r="AN194" s="49">
        <v>-0.5</v>
      </c>
      <c r="AO194" s="49">
        <v>-0.5</v>
      </c>
      <c r="AP194" s="49"/>
      <c r="AR194" s="127"/>
      <c r="BA194" s="127"/>
    </row>
    <row r="195">
      <c r="F195" s="77"/>
      <c r="G195" s="77"/>
      <c r="R195" s="223"/>
      <c r="AL195" s="49"/>
      <c r="AM195" s="49"/>
      <c r="AN195" s="49">
        <v>-0.5</v>
      </c>
      <c r="AO195" s="49">
        <v>-0.5</v>
      </c>
      <c r="AP195" s="49"/>
      <c r="AR195" s="127"/>
      <c r="BA195" s="127"/>
    </row>
    <row r="196">
      <c r="F196" s="77"/>
      <c r="G196" s="77"/>
      <c r="R196" s="223"/>
      <c r="AL196" s="49"/>
      <c r="AM196" s="49"/>
      <c r="AN196" s="49">
        <v>-0.5</v>
      </c>
      <c r="AO196" s="49">
        <v>-0.5</v>
      </c>
      <c r="AP196" s="49"/>
      <c r="AR196" s="127"/>
      <c r="BA196" s="127"/>
    </row>
    <row r="197">
      <c r="F197" s="77"/>
      <c r="G197" s="77"/>
      <c r="R197" s="223"/>
      <c r="AL197" s="49"/>
      <c r="AM197" s="49"/>
      <c r="AN197" s="49">
        <v>-0.5</v>
      </c>
      <c r="AO197" s="49">
        <v>-0.5</v>
      </c>
      <c r="AP197" s="49"/>
      <c r="AR197" s="127"/>
      <c r="BA197" s="127"/>
    </row>
    <row r="198">
      <c r="F198" s="77"/>
      <c r="G198" s="77"/>
      <c r="R198" s="223"/>
      <c r="AL198" s="49"/>
      <c r="AM198" s="49"/>
      <c r="AN198" s="49">
        <v>-0.5</v>
      </c>
      <c r="AO198" s="49">
        <v>-0.5</v>
      </c>
      <c r="AP198" s="49"/>
      <c r="AR198" s="127"/>
      <c r="BA198" s="127"/>
    </row>
    <row r="199">
      <c r="F199" s="77"/>
      <c r="G199" s="77"/>
      <c r="R199" s="223"/>
      <c r="AL199" s="49"/>
      <c r="AM199" s="49"/>
      <c r="AN199" s="49">
        <v>-0.5</v>
      </c>
      <c r="AO199" s="49">
        <v>-0.5</v>
      </c>
      <c r="AP199" s="49"/>
      <c r="AR199" s="127"/>
      <c r="BA199" s="127"/>
    </row>
    <row r="200">
      <c r="F200" s="77"/>
      <c r="G200" s="77"/>
      <c r="R200" s="223"/>
      <c r="AL200" s="49"/>
      <c r="AM200" s="49"/>
      <c r="AN200" s="49">
        <v>-0.5</v>
      </c>
      <c r="AO200" s="49">
        <v>-0.5</v>
      </c>
      <c r="AP200" s="49"/>
      <c r="AR200" s="127"/>
      <c r="BA200" s="127"/>
    </row>
    <row r="201">
      <c r="F201" s="77"/>
      <c r="G201" s="77"/>
      <c r="R201" s="223"/>
      <c r="AL201" s="49"/>
      <c r="AM201" s="49"/>
      <c r="AN201" s="49">
        <v>-0.5</v>
      </c>
      <c r="AO201" s="49">
        <v>-0.5</v>
      </c>
      <c r="AP201" s="49"/>
      <c r="AR201" s="127"/>
      <c r="BA201" s="127"/>
    </row>
    <row r="202">
      <c r="F202" s="77"/>
      <c r="G202" s="77"/>
      <c r="R202" s="223"/>
      <c r="AL202" s="49"/>
      <c r="AM202" s="49"/>
      <c r="AN202" s="49">
        <v>-0.5</v>
      </c>
      <c r="AO202" s="49">
        <v>-0.5</v>
      </c>
      <c r="AP202" s="49"/>
      <c r="AR202" s="127"/>
      <c r="BA202" s="127"/>
    </row>
    <row r="203">
      <c r="F203" s="77"/>
      <c r="G203" s="77"/>
      <c r="R203" s="223"/>
      <c r="AL203" s="49"/>
      <c r="AM203" s="49"/>
      <c r="AN203" s="49">
        <v>-0.5</v>
      </c>
      <c r="AO203" s="49">
        <v>-0.5</v>
      </c>
      <c r="AP203" s="49"/>
      <c r="AR203" s="127"/>
      <c r="BA203" s="127"/>
    </row>
    <row r="204">
      <c r="F204" s="77"/>
      <c r="G204" s="77"/>
      <c r="R204" s="223"/>
      <c r="AL204" s="49"/>
      <c r="AM204" s="49"/>
      <c r="AN204" s="49">
        <v>-0.5</v>
      </c>
      <c r="AO204" s="49">
        <v>-0.5</v>
      </c>
      <c r="AP204" s="49"/>
      <c r="AR204" s="127"/>
      <c r="BA204" s="127"/>
    </row>
    <row r="205">
      <c r="F205" s="77"/>
      <c r="G205" s="77"/>
      <c r="R205" s="223"/>
      <c r="AL205" s="49"/>
      <c r="AM205" s="49"/>
      <c r="AN205" s="49">
        <v>-0.5</v>
      </c>
      <c r="AO205" s="49">
        <v>-0.5</v>
      </c>
      <c r="AP205" s="49"/>
      <c r="AR205" s="127"/>
      <c r="BA205" s="127"/>
    </row>
    <row r="206">
      <c r="F206" s="77"/>
      <c r="G206" s="77"/>
      <c r="R206" s="223"/>
      <c r="AL206" s="49"/>
      <c r="AM206" s="49"/>
      <c r="AN206" s="49">
        <v>-0.5</v>
      </c>
      <c r="AO206" s="49">
        <v>-0.5</v>
      </c>
      <c r="AP206" s="49"/>
      <c r="AR206" s="127"/>
      <c r="BA206" s="127"/>
    </row>
    <row r="207">
      <c r="F207" s="77"/>
      <c r="G207" s="77"/>
      <c r="R207" s="223"/>
      <c r="AL207" s="49"/>
      <c r="AM207" s="49"/>
      <c r="AN207" s="49">
        <v>-0.5</v>
      </c>
      <c r="AO207" s="49">
        <v>-0.5</v>
      </c>
      <c r="AP207" s="49"/>
      <c r="AR207" s="127"/>
      <c r="BA207" s="127"/>
    </row>
    <row r="208">
      <c r="F208" s="77"/>
      <c r="G208" s="77"/>
      <c r="R208" s="223"/>
      <c r="AL208" s="49"/>
      <c r="AM208" s="49"/>
      <c r="AN208" s="49">
        <v>-0.5</v>
      </c>
      <c r="AO208" s="49">
        <v>-0.5</v>
      </c>
      <c r="AP208" s="49"/>
      <c r="AR208" s="127"/>
      <c r="BA208" s="127"/>
    </row>
    <row r="209">
      <c r="F209" s="77"/>
      <c r="G209" s="77"/>
      <c r="R209" s="223"/>
      <c r="AL209" s="49"/>
      <c r="AM209" s="49"/>
      <c r="AN209" s="49">
        <v>-0.5</v>
      </c>
      <c r="AO209" s="49">
        <v>-0.5</v>
      </c>
      <c r="AP209" s="49"/>
      <c r="AR209" s="127"/>
      <c r="BA209" s="127"/>
    </row>
    <row r="210">
      <c r="F210" s="77"/>
      <c r="G210" s="77"/>
      <c r="R210" s="223"/>
      <c r="AL210" s="49"/>
      <c r="AM210" s="49"/>
      <c r="AN210" s="49">
        <v>-0.5</v>
      </c>
      <c r="AO210" s="49">
        <v>-0.5</v>
      </c>
      <c r="AP210" s="49"/>
      <c r="AR210" s="127"/>
      <c r="BA210" s="127"/>
    </row>
    <row r="211">
      <c r="F211" s="77"/>
      <c r="G211" s="77"/>
      <c r="R211" s="223"/>
      <c r="AL211" s="49"/>
      <c r="AM211" s="49"/>
      <c r="AN211" s="49">
        <v>-0.5</v>
      </c>
      <c r="AO211" s="49">
        <v>-0.5</v>
      </c>
      <c r="AP211" s="49"/>
      <c r="AR211" s="127"/>
      <c r="BA211" s="127"/>
    </row>
    <row r="212">
      <c r="F212" s="77"/>
      <c r="G212" s="77"/>
      <c r="R212" s="223"/>
      <c r="AL212" s="49"/>
      <c r="AM212" s="49"/>
      <c r="AN212" s="49">
        <v>-0.5</v>
      </c>
      <c r="AO212" s="49">
        <v>-0.5</v>
      </c>
      <c r="AP212" s="49"/>
      <c r="AR212" s="127"/>
      <c r="BA212" s="127"/>
    </row>
    <row r="213">
      <c r="F213" s="77"/>
      <c r="G213" s="77"/>
      <c r="R213" s="223"/>
      <c r="AL213" s="49"/>
      <c r="AM213" s="49"/>
      <c r="AN213" s="49">
        <v>-0.5</v>
      </c>
      <c r="AO213" s="49">
        <v>-0.5</v>
      </c>
      <c r="AP213" s="49"/>
      <c r="AR213" s="127"/>
      <c r="BA213" s="127"/>
    </row>
    <row r="214">
      <c r="F214" s="77"/>
      <c r="G214" s="77"/>
      <c r="R214" s="223"/>
      <c r="AL214" s="49"/>
      <c r="AM214" s="49"/>
      <c r="AN214" s="49">
        <v>-0.5</v>
      </c>
      <c r="AO214" s="49">
        <v>-0.5</v>
      </c>
      <c r="AP214" s="49"/>
      <c r="AR214" s="127"/>
      <c r="BA214" s="127"/>
    </row>
    <row r="215">
      <c r="F215" s="77"/>
      <c r="G215" s="77"/>
      <c r="R215" s="223"/>
      <c r="AL215" s="49"/>
      <c r="AM215" s="49"/>
      <c r="AN215" s="49">
        <v>-0.5</v>
      </c>
      <c r="AO215" s="49">
        <v>-0.5</v>
      </c>
      <c r="AP215" s="49"/>
      <c r="AR215" s="127"/>
      <c r="BA215" s="127"/>
    </row>
    <row r="216">
      <c r="F216" s="77"/>
      <c r="G216" s="77"/>
      <c r="R216" s="223"/>
      <c r="AL216" s="49"/>
      <c r="AM216" s="49"/>
      <c r="AN216" s="49">
        <v>-0.5</v>
      </c>
      <c r="AO216" s="49">
        <v>-0.5</v>
      </c>
      <c r="AP216" s="49"/>
      <c r="AR216" s="127"/>
      <c r="BA216" s="127"/>
    </row>
    <row r="217">
      <c r="F217" s="77"/>
      <c r="G217" s="77"/>
      <c r="R217" s="223"/>
      <c r="AL217" s="49"/>
      <c r="AM217" s="49"/>
      <c r="AN217" s="49">
        <v>-0.5</v>
      </c>
      <c r="AO217" s="49">
        <v>-0.5</v>
      </c>
      <c r="AP217" s="49"/>
      <c r="AR217" s="127"/>
      <c r="BA217" s="127"/>
    </row>
    <row r="218">
      <c r="F218" s="77"/>
      <c r="G218" s="77"/>
      <c r="R218" s="223"/>
      <c r="AL218" s="49"/>
      <c r="AM218" s="49"/>
      <c r="AN218" s="49">
        <v>-0.5</v>
      </c>
      <c r="AO218" s="49">
        <v>-0.5</v>
      </c>
      <c r="AP218" s="49"/>
      <c r="AR218" s="127"/>
      <c r="BA218" s="127"/>
    </row>
    <row r="219">
      <c r="F219" s="77"/>
      <c r="G219" s="77"/>
      <c r="R219" s="223"/>
      <c r="AL219" s="49"/>
      <c r="AM219" s="49"/>
      <c r="AN219" s="49">
        <v>-0.5</v>
      </c>
      <c r="AO219" s="49">
        <v>-0.5</v>
      </c>
      <c r="AP219" s="49"/>
      <c r="AR219" s="127"/>
      <c r="BA219" s="127"/>
    </row>
    <row r="220">
      <c r="F220" s="77"/>
      <c r="G220" s="77"/>
      <c r="R220" s="223"/>
      <c r="AL220" s="49"/>
      <c r="AM220" s="49"/>
      <c r="AN220" s="49">
        <v>-0.5</v>
      </c>
      <c r="AO220" s="49">
        <v>-0.5</v>
      </c>
      <c r="AP220" s="49"/>
      <c r="AR220" s="127"/>
      <c r="BA220" s="127"/>
    </row>
    <row r="221">
      <c r="F221" s="77"/>
      <c r="G221" s="77"/>
      <c r="R221" s="223"/>
      <c r="AL221" s="49"/>
      <c r="AM221" s="49"/>
      <c r="AN221" s="49">
        <v>-0.5</v>
      </c>
      <c r="AO221" s="49">
        <v>-0.5</v>
      </c>
      <c r="AP221" s="49"/>
      <c r="AR221" s="127"/>
      <c r="BA221" s="127"/>
    </row>
    <row r="222">
      <c r="F222" s="77"/>
      <c r="G222" s="77"/>
      <c r="R222" s="223"/>
      <c r="AL222" s="49"/>
      <c r="AM222" s="49"/>
      <c r="AN222" s="49">
        <v>-0.5</v>
      </c>
      <c r="AO222" s="49">
        <v>-0.5</v>
      </c>
      <c r="AP222" s="49"/>
      <c r="AR222" s="127"/>
      <c r="BA222" s="127"/>
    </row>
    <row r="223">
      <c r="F223" s="77"/>
      <c r="G223" s="77"/>
      <c r="R223" s="223"/>
      <c r="AL223" s="49"/>
      <c r="AM223" s="49"/>
      <c r="AN223" s="49">
        <v>-0.5</v>
      </c>
      <c r="AO223" s="49">
        <v>-0.5</v>
      </c>
      <c r="AP223" s="49"/>
      <c r="AR223" s="127"/>
      <c r="BA223" s="127"/>
    </row>
    <row r="224">
      <c r="F224" s="77"/>
      <c r="G224" s="77"/>
      <c r="R224" s="223"/>
      <c r="AL224" s="49"/>
      <c r="AM224" s="49"/>
      <c r="AN224" s="49">
        <v>-0.5</v>
      </c>
      <c r="AO224" s="49">
        <v>-0.5</v>
      </c>
      <c r="AP224" s="49"/>
      <c r="AR224" s="127"/>
      <c r="BA224" s="127"/>
    </row>
    <row r="225">
      <c r="F225" s="77"/>
      <c r="G225" s="77"/>
      <c r="R225" s="223"/>
      <c r="AL225" s="49"/>
      <c r="AM225" s="49"/>
      <c r="AN225" s="49">
        <v>-0.5</v>
      </c>
      <c r="AO225" s="49">
        <v>-0.5</v>
      </c>
      <c r="AP225" s="49"/>
      <c r="AR225" s="127"/>
      <c r="BA225" s="127"/>
    </row>
    <row r="226">
      <c r="F226" s="77"/>
      <c r="G226" s="77"/>
      <c r="R226" s="223"/>
      <c r="AL226" s="49"/>
      <c r="AM226" s="49"/>
      <c r="AN226" s="49">
        <v>-0.5</v>
      </c>
      <c r="AO226" s="49">
        <v>-0.5</v>
      </c>
      <c r="AP226" s="49"/>
      <c r="AR226" s="127"/>
      <c r="BA226" s="127"/>
    </row>
    <row r="227">
      <c r="F227" s="77"/>
      <c r="G227" s="77"/>
      <c r="R227" s="223"/>
      <c r="AL227" s="49"/>
      <c r="AM227" s="49"/>
      <c r="AN227" s="49">
        <v>-0.5</v>
      </c>
      <c r="AO227" s="49">
        <v>-0.5</v>
      </c>
      <c r="AP227" s="49"/>
      <c r="AR227" s="127"/>
      <c r="BA227" s="127"/>
    </row>
    <row r="228">
      <c r="F228" s="77"/>
      <c r="G228" s="77"/>
      <c r="R228" s="223"/>
      <c r="AL228" s="49"/>
      <c r="AM228" s="49"/>
      <c r="AN228" s="49">
        <v>-0.5</v>
      </c>
      <c r="AO228" s="49">
        <v>-0.5</v>
      </c>
      <c r="AP228" s="49"/>
      <c r="AR228" s="127"/>
      <c r="BA228" s="127"/>
    </row>
    <row r="229">
      <c r="F229" s="77"/>
      <c r="G229" s="77"/>
      <c r="R229" s="223"/>
      <c r="AL229" s="49"/>
      <c r="AM229" s="49"/>
      <c r="AN229" s="49">
        <v>-0.5</v>
      </c>
      <c r="AO229" s="49">
        <v>-0.5</v>
      </c>
      <c r="AP229" s="49"/>
      <c r="AR229" s="127"/>
      <c r="BA229" s="127"/>
    </row>
    <row r="230">
      <c r="F230" s="77"/>
      <c r="G230" s="77"/>
      <c r="R230" s="223"/>
      <c r="AL230" s="49"/>
      <c r="AM230" s="49"/>
      <c r="AN230" s="49">
        <v>-0.5</v>
      </c>
      <c r="AO230" s="49">
        <v>-0.5</v>
      </c>
      <c r="AP230" s="49"/>
      <c r="AR230" s="127"/>
      <c r="BA230" s="127"/>
    </row>
    <row r="231">
      <c r="F231" s="77"/>
      <c r="G231" s="77"/>
      <c r="R231" s="223"/>
      <c r="AL231" s="49"/>
      <c r="AM231" s="49"/>
      <c r="AN231" s="49">
        <v>-0.5</v>
      </c>
      <c r="AO231" s="49">
        <v>-0.5</v>
      </c>
      <c r="AP231" s="49"/>
      <c r="AR231" s="127"/>
      <c r="BA231" s="127"/>
    </row>
    <row r="232">
      <c r="F232" s="77"/>
      <c r="G232" s="77"/>
      <c r="R232" s="223"/>
      <c r="AL232" s="49"/>
      <c r="AM232" s="49"/>
      <c r="AN232" s="49">
        <v>-0.5</v>
      </c>
      <c r="AO232" s="49">
        <v>-0.5</v>
      </c>
      <c r="AP232" s="49"/>
      <c r="AR232" s="127"/>
      <c r="BA232" s="127"/>
    </row>
    <row r="233">
      <c r="F233" s="77"/>
      <c r="G233" s="77"/>
      <c r="R233" s="223"/>
      <c r="AL233" s="49"/>
      <c r="AM233" s="49"/>
      <c r="AN233" s="49">
        <v>-0.5</v>
      </c>
      <c r="AO233" s="49">
        <v>-0.5</v>
      </c>
      <c r="AP233" s="49"/>
      <c r="AR233" s="127"/>
      <c r="BA233" s="127"/>
    </row>
    <row r="234">
      <c r="F234" s="77"/>
      <c r="G234" s="77"/>
      <c r="R234" s="223"/>
      <c r="AL234" s="49"/>
      <c r="AM234" s="49"/>
      <c r="AN234" s="49">
        <v>-0.5</v>
      </c>
      <c r="AO234" s="49">
        <v>-0.5</v>
      </c>
      <c r="AP234" s="49"/>
      <c r="AR234" s="127"/>
      <c r="BA234" s="127"/>
    </row>
    <row r="235">
      <c r="F235" s="77"/>
      <c r="G235" s="77"/>
      <c r="R235" s="223"/>
      <c r="AL235" s="49"/>
      <c r="AM235" s="49"/>
      <c r="AN235" s="49">
        <v>-0.5</v>
      </c>
      <c r="AO235" s="49">
        <v>-0.5</v>
      </c>
      <c r="AP235" s="49"/>
      <c r="AR235" s="127"/>
      <c r="BA235" s="127"/>
    </row>
    <row r="236">
      <c r="F236" s="77"/>
      <c r="G236" s="77"/>
      <c r="R236" s="223"/>
      <c r="AL236" s="49"/>
      <c r="AM236" s="49"/>
      <c r="AN236" s="49">
        <v>-0.5</v>
      </c>
      <c r="AO236" s="49">
        <v>-0.5</v>
      </c>
      <c r="AP236" s="49"/>
      <c r="AR236" s="127"/>
      <c r="BA236" s="127"/>
    </row>
    <row r="237">
      <c r="F237" s="77"/>
      <c r="G237" s="77"/>
      <c r="R237" s="223"/>
      <c r="AL237" s="49"/>
      <c r="AM237" s="49"/>
      <c r="AN237" s="49">
        <v>-0.5</v>
      </c>
      <c r="AO237" s="49">
        <v>-0.5</v>
      </c>
      <c r="AP237" s="49"/>
      <c r="AR237" s="127"/>
      <c r="BA237" s="127"/>
    </row>
    <row r="238">
      <c r="F238" s="77"/>
      <c r="G238" s="77"/>
      <c r="R238" s="223"/>
      <c r="AL238" s="49"/>
      <c r="AM238" s="49"/>
      <c r="AN238" s="49">
        <v>-0.5</v>
      </c>
      <c r="AO238" s="49">
        <v>-0.5</v>
      </c>
      <c r="AP238" s="49"/>
      <c r="AR238" s="127"/>
      <c r="BA238" s="127"/>
    </row>
    <row r="239">
      <c r="F239" s="77"/>
      <c r="G239" s="77"/>
      <c r="R239" s="223"/>
      <c r="AL239" s="49"/>
      <c r="AM239" s="49"/>
      <c r="AN239" s="49">
        <v>-0.5</v>
      </c>
      <c r="AO239" s="49">
        <v>-0.5</v>
      </c>
      <c r="AP239" s="49"/>
      <c r="AR239" s="127"/>
      <c r="BA239" s="127"/>
    </row>
    <row r="240">
      <c r="F240" s="77"/>
      <c r="G240" s="77"/>
      <c r="R240" s="223"/>
      <c r="AL240" s="49"/>
      <c r="AM240" s="49"/>
      <c r="AN240" s="49">
        <v>-0.5</v>
      </c>
      <c r="AO240" s="49">
        <v>-0.5</v>
      </c>
      <c r="AP240" s="49"/>
      <c r="AR240" s="127"/>
      <c r="BA240" s="127"/>
    </row>
    <row r="241">
      <c r="F241" s="77"/>
      <c r="G241" s="77"/>
      <c r="R241" s="223"/>
      <c r="AL241" s="49"/>
      <c r="AM241" s="49"/>
      <c r="AN241" s="49">
        <v>-0.5</v>
      </c>
      <c r="AO241" s="49">
        <v>-0.5</v>
      </c>
      <c r="AP241" s="49"/>
      <c r="AR241" s="127"/>
      <c r="BA241" s="127"/>
    </row>
    <row r="242">
      <c r="F242" s="77"/>
      <c r="G242" s="77"/>
      <c r="R242" s="223"/>
      <c r="AL242" s="49"/>
      <c r="AM242" s="49"/>
      <c r="AN242" s="49">
        <v>-0.5</v>
      </c>
      <c r="AO242" s="49">
        <v>-0.5</v>
      </c>
      <c r="AP242" s="49"/>
      <c r="AR242" s="127"/>
      <c r="BA242" s="127"/>
    </row>
    <row r="243">
      <c r="F243" s="77"/>
      <c r="G243" s="77"/>
      <c r="R243" s="223"/>
      <c r="AL243" s="49"/>
      <c r="AM243" s="49"/>
      <c r="AN243" s="49">
        <v>-0.5</v>
      </c>
      <c r="AO243" s="49">
        <v>-0.5</v>
      </c>
      <c r="AP243" s="49"/>
      <c r="AR243" s="127"/>
      <c r="BA243" s="127"/>
    </row>
    <row r="244">
      <c r="F244" s="77"/>
      <c r="G244" s="77"/>
      <c r="R244" s="223"/>
      <c r="AL244" s="49"/>
      <c r="AM244" s="49"/>
      <c r="AN244" s="49">
        <v>-0.5</v>
      </c>
      <c r="AO244" s="49">
        <v>-0.5</v>
      </c>
      <c r="AP244" s="49"/>
      <c r="AR244" s="127"/>
      <c r="BA244" s="127"/>
    </row>
    <row r="245">
      <c r="F245" s="77"/>
      <c r="G245" s="77"/>
      <c r="R245" s="223"/>
      <c r="AL245" s="49"/>
      <c r="AM245" s="49"/>
      <c r="AN245" s="49">
        <v>-0.5</v>
      </c>
      <c r="AO245" s="49">
        <v>-0.5</v>
      </c>
      <c r="AP245" s="49"/>
      <c r="AR245" s="127"/>
      <c r="BA245" s="127"/>
    </row>
    <row r="246">
      <c r="F246" s="77"/>
      <c r="G246" s="77"/>
      <c r="R246" s="223"/>
      <c r="AL246" s="49"/>
      <c r="AM246" s="49"/>
      <c r="AN246" s="49">
        <v>-0.5</v>
      </c>
      <c r="AO246" s="49">
        <v>-0.5</v>
      </c>
      <c r="AP246" s="49"/>
      <c r="AR246" s="127"/>
      <c r="BA246" s="127"/>
    </row>
    <row r="247">
      <c r="F247" s="77"/>
      <c r="G247" s="77"/>
      <c r="R247" s="223"/>
      <c r="AL247" s="49"/>
      <c r="AM247" s="49"/>
      <c r="AN247" s="49">
        <v>-0.5</v>
      </c>
      <c r="AO247" s="49">
        <v>-0.5</v>
      </c>
      <c r="AP247" s="49"/>
      <c r="AR247" s="127"/>
      <c r="BA247" s="127"/>
    </row>
    <row r="248">
      <c r="F248" s="77"/>
      <c r="G248" s="77"/>
      <c r="R248" s="223"/>
      <c r="AL248" s="49"/>
      <c r="AM248" s="49"/>
      <c r="AN248" s="49">
        <v>-0.5</v>
      </c>
      <c r="AO248" s="49">
        <v>-0.5</v>
      </c>
      <c r="AP248" s="49"/>
      <c r="AR248" s="127"/>
      <c r="BA248" s="127"/>
    </row>
    <row r="249">
      <c r="F249" s="77"/>
      <c r="G249" s="77"/>
      <c r="R249" s="223"/>
      <c r="AL249" s="49"/>
      <c r="AM249" s="49"/>
      <c r="AN249" s="49">
        <v>-0.5</v>
      </c>
      <c r="AO249" s="49">
        <v>-0.5</v>
      </c>
      <c r="AP249" s="49"/>
      <c r="AR249" s="127"/>
      <c r="BA249" s="127"/>
    </row>
    <row r="250">
      <c r="F250" s="77"/>
      <c r="G250" s="77"/>
      <c r="R250" s="223"/>
      <c r="AL250" s="49"/>
      <c r="AM250" s="49"/>
      <c r="AN250" s="49">
        <v>-0.5</v>
      </c>
      <c r="AO250" s="49">
        <v>-0.5</v>
      </c>
      <c r="AP250" s="49"/>
      <c r="AR250" s="127"/>
      <c r="BA250" s="127"/>
    </row>
    <row r="251">
      <c r="F251" s="77"/>
      <c r="G251" s="77"/>
      <c r="R251" s="223"/>
      <c r="AL251" s="49"/>
      <c r="AM251" s="49"/>
      <c r="AN251" s="49">
        <v>-0.5</v>
      </c>
      <c r="AO251" s="49">
        <v>-0.5</v>
      </c>
      <c r="AP251" s="49"/>
      <c r="AR251" s="127"/>
      <c r="BA251" s="127"/>
    </row>
    <row r="252">
      <c r="F252" s="77"/>
      <c r="G252" s="77"/>
      <c r="R252" s="223"/>
      <c r="AL252" s="49"/>
      <c r="AM252" s="49"/>
      <c r="AN252" s="49">
        <v>-0.5</v>
      </c>
      <c r="AO252" s="49">
        <v>-0.5</v>
      </c>
      <c r="AP252" s="49"/>
      <c r="AR252" s="127"/>
      <c r="BA252" s="127"/>
    </row>
    <row r="253">
      <c r="F253" s="77"/>
      <c r="G253" s="77"/>
      <c r="R253" s="223"/>
      <c r="AL253" s="49"/>
      <c r="AM253" s="49"/>
      <c r="AN253" s="49">
        <v>-0.5</v>
      </c>
      <c r="AO253" s="49">
        <v>-0.5</v>
      </c>
      <c r="AP253" s="49"/>
      <c r="AR253" s="127"/>
      <c r="BA253" s="127"/>
    </row>
    <row r="254">
      <c r="F254" s="77"/>
      <c r="G254" s="77"/>
      <c r="R254" s="223"/>
      <c r="AL254" s="49"/>
      <c r="AM254" s="49"/>
      <c r="AN254" s="49">
        <v>-0.5</v>
      </c>
      <c r="AO254" s="49">
        <v>-0.5</v>
      </c>
      <c r="AP254" s="49"/>
      <c r="AR254" s="127"/>
      <c r="BA254" s="127"/>
    </row>
    <row r="255">
      <c r="F255" s="77"/>
      <c r="G255" s="77"/>
      <c r="R255" s="223"/>
      <c r="AL255" s="49"/>
      <c r="AM255" s="49"/>
      <c r="AN255" s="49">
        <v>-0.5</v>
      </c>
      <c r="AO255" s="49">
        <v>-0.5</v>
      </c>
      <c r="AP255" s="49"/>
      <c r="AR255" s="127"/>
      <c r="BA255" s="127"/>
    </row>
    <row r="256">
      <c r="F256" s="77"/>
      <c r="G256" s="77"/>
      <c r="R256" s="223"/>
      <c r="AL256" s="49"/>
      <c r="AM256" s="49"/>
      <c r="AN256" s="49">
        <v>-0.5</v>
      </c>
      <c r="AO256" s="49">
        <v>-0.5</v>
      </c>
      <c r="AP256" s="49"/>
      <c r="AR256" s="127"/>
      <c r="BA256" s="127"/>
    </row>
    <row r="257">
      <c r="F257" s="77"/>
      <c r="G257" s="77"/>
      <c r="R257" s="223"/>
      <c r="AL257" s="49"/>
      <c r="AM257" s="49"/>
      <c r="AN257" s="49">
        <v>-0.5</v>
      </c>
      <c r="AO257" s="49">
        <v>-0.5</v>
      </c>
      <c r="AP257" s="49"/>
      <c r="AR257" s="127"/>
      <c r="BA257" s="127"/>
    </row>
    <row r="258">
      <c r="F258" s="77"/>
      <c r="G258" s="77"/>
      <c r="R258" s="223"/>
      <c r="AL258" s="49"/>
      <c r="AM258" s="49"/>
      <c r="AN258" s="49">
        <v>-0.5</v>
      </c>
      <c r="AO258" s="49">
        <v>-0.5</v>
      </c>
      <c r="AP258" s="49"/>
      <c r="AR258" s="127"/>
      <c r="BA258" s="127"/>
    </row>
    <row r="259">
      <c r="F259" s="77"/>
      <c r="G259" s="77"/>
      <c r="R259" s="223"/>
      <c r="AL259" s="49"/>
      <c r="AM259" s="49"/>
      <c r="AN259" s="49">
        <v>-0.5</v>
      </c>
      <c r="AO259" s="49">
        <v>-0.5</v>
      </c>
      <c r="AP259" s="49"/>
      <c r="AR259" s="127"/>
      <c r="BA259" s="127"/>
    </row>
    <row r="260">
      <c r="F260" s="77"/>
      <c r="G260" s="77"/>
      <c r="R260" s="223"/>
      <c r="AL260" s="49"/>
      <c r="AM260" s="49"/>
      <c r="AN260" s="49">
        <v>-0.5</v>
      </c>
      <c r="AO260" s="49">
        <v>-0.5</v>
      </c>
      <c r="AP260" s="49"/>
      <c r="AR260" s="127"/>
      <c r="BA260" s="127"/>
    </row>
    <row r="261">
      <c r="F261" s="77"/>
      <c r="G261" s="77"/>
      <c r="R261" s="223"/>
      <c r="AL261" s="49"/>
      <c r="AM261" s="49"/>
      <c r="AN261" s="49">
        <v>-0.5</v>
      </c>
      <c r="AO261" s="49">
        <v>-0.5</v>
      </c>
      <c r="AP261" s="49"/>
      <c r="AR261" s="127"/>
      <c r="BA261" s="127"/>
    </row>
    <row r="262">
      <c r="F262" s="77"/>
      <c r="G262" s="77"/>
      <c r="R262" s="223"/>
      <c r="AL262" s="49"/>
      <c r="AM262" s="49"/>
      <c r="AN262" s="49">
        <v>-0.5</v>
      </c>
      <c r="AO262" s="49">
        <v>-0.5</v>
      </c>
      <c r="AP262" s="49"/>
      <c r="AR262" s="127"/>
      <c r="BA262" s="127"/>
    </row>
    <row r="263">
      <c r="F263" s="77"/>
      <c r="G263" s="77"/>
      <c r="R263" s="223"/>
      <c r="AL263" s="49"/>
      <c r="AM263" s="49"/>
      <c r="AN263" s="49">
        <v>-0.5</v>
      </c>
      <c r="AO263" s="49">
        <v>-0.5</v>
      </c>
      <c r="AP263" s="49"/>
      <c r="AR263" s="127"/>
      <c r="BA263" s="127"/>
    </row>
    <row r="264">
      <c r="F264" s="77"/>
      <c r="G264" s="77"/>
      <c r="R264" s="223"/>
      <c r="AL264" s="49"/>
      <c r="AM264" s="49"/>
      <c r="AN264" s="49">
        <v>-0.5</v>
      </c>
      <c r="AO264" s="49">
        <v>-0.5</v>
      </c>
      <c r="AP264" s="49"/>
      <c r="AR264" s="127"/>
      <c r="BA264" s="127"/>
    </row>
    <row r="265">
      <c r="F265" s="77"/>
      <c r="G265" s="77"/>
      <c r="R265" s="223"/>
      <c r="AL265" s="49"/>
      <c r="AM265" s="49"/>
      <c r="AN265" s="49">
        <v>-0.5</v>
      </c>
      <c r="AO265" s="49">
        <v>-0.5</v>
      </c>
      <c r="AP265" s="49"/>
      <c r="AR265" s="127"/>
      <c r="BA265" s="127"/>
    </row>
    <row r="266">
      <c r="F266" s="77"/>
      <c r="G266" s="77"/>
      <c r="R266" s="223"/>
      <c r="AL266" s="49"/>
      <c r="AM266" s="49"/>
      <c r="AN266" s="49">
        <v>-0.5</v>
      </c>
      <c r="AO266" s="49">
        <v>-0.5</v>
      </c>
      <c r="AP266" s="49"/>
      <c r="AR266" s="127"/>
      <c r="BA266" s="127"/>
    </row>
    <row r="267">
      <c r="F267" s="77"/>
      <c r="G267" s="77"/>
      <c r="R267" s="223"/>
      <c r="AL267" s="49"/>
      <c r="AM267" s="49"/>
      <c r="AN267" s="49">
        <v>-0.5</v>
      </c>
      <c r="AO267" s="49">
        <v>-0.5</v>
      </c>
      <c r="AP267" s="49"/>
      <c r="AR267" s="127"/>
      <c r="BA267" s="127"/>
    </row>
    <row r="268">
      <c r="F268" s="77"/>
      <c r="G268" s="77"/>
      <c r="R268" s="223"/>
      <c r="AL268" s="49"/>
      <c r="AM268" s="49"/>
      <c r="AN268" s="49">
        <v>-0.5</v>
      </c>
      <c r="AO268" s="49">
        <v>-0.5</v>
      </c>
      <c r="AP268" s="49"/>
      <c r="AR268" s="127"/>
      <c r="BA268" s="127"/>
    </row>
    <row r="269">
      <c r="F269" s="77"/>
      <c r="G269" s="77"/>
      <c r="R269" s="223"/>
      <c r="AL269" s="49"/>
      <c r="AM269" s="49"/>
      <c r="AN269" s="49">
        <v>-0.5</v>
      </c>
      <c r="AO269" s="49">
        <v>-0.5</v>
      </c>
      <c r="AP269" s="49"/>
      <c r="AR269" s="127"/>
      <c r="BA269" s="127"/>
    </row>
    <row r="270">
      <c r="F270" s="77"/>
      <c r="G270" s="77"/>
      <c r="R270" s="223"/>
      <c r="AL270" s="49"/>
      <c r="AM270" s="49"/>
      <c r="AN270" s="49">
        <v>-0.5</v>
      </c>
      <c r="AO270" s="49">
        <v>-0.5</v>
      </c>
      <c r="AP270" s="49"/>
      <c r="AR270" s="127"/>
      <c r="BA270" s="127"/>
    </row>
    <row r="271">
      <c r="F271" s="77"/>
      <c r="G271" s="77"/>
      <c r="R271" s="223"/>
      <c r="AL271" s="49"/>
      <c r="AM271" s="49"/>
      <c r="AN271" s="49">
        <v>-0.5</v>
      </c>
      <c r="AO271" s="49">
        <v>-0.5</v>
      </c>
      <c r="AP271" s="49"/>
      <c r="AR271" s="127"/>
      <c r="BA271" s="127"/>
    </row>
    <row r="272">
      <c r="F272" s="77"/>
      <c r="G272" s="77"/>
      <c r="R272" s="223"/>
      <c r="AL272" s="49"/>
      <c r="AM272" s="49"/>
      <c r="AN272" s="49">
        <v>-0.5</v>
      </c>
      <c r="AO272" s="49">
        <v>-0.5</v>
      </c>
      <c r="AP272" s="49"/>
      <c r="AR272" s="127"/>
      <c r="BA272" s="127"/>
    </row>
    <row r="273">
      <c r="F273" s="77"/>
      <c r="G273" s="77"/>
      <c r="R273" s="223"/>
      <c r="AL273" s="49"/>
      <c r="AM273" s="49"/>
      <c r="AN273" s="49">
        <v>-0.5</v>
      </c>
      <c r="AO273" s="49">
        <v>-0.5</v>
      </c>
      <c r="AP273" s="49"/>
      <c r="AR273" s="127"/>
      <c r="BA273" s="127"/>
    </row>
    <row r="274">
      <c r="F274" s="77"/>
      <c r="G274" s="77"/>
      <c r="R274" s="223"/>
      <c r="AL274" s="49"/>
      <c r="AM274" s="49"/>
      <c r="AN274" s="49">
        <v>-0.5</v>
      </c>
      <c r="AO274" s="49">
        <v>-0.5</v>
      </c>
      <c r="AP274" s="49"/>
      <c r="AR274" s="127"/>
      <c r="BA274" s="127"/>
    </row>
    <row r="275">
      <c r="F275" s="77"/>
      <c r="G275" s="77"/>
      <c r="R275" s="223"/>
      <c r="AL275" s="49"/>
      <c r="AM275" s="49"/>
      <c r="AN275" s="49">
        <v>-0.5</v>
      </c>
      <c r="AO275" s="49">
        <v>-0.5</v>
      </c>
      <c r="AP275" s="49"/>
      <c r="AR275" s="127"/>
      <c r="BA275" s="127"/>
    </row>
    <row r="276">
      <c r="F276" s="77"/>
      <c r="G276" s="77"/>
      <c r="R276" s="223"/>
      <c r="AL276" s="49"/>
      <c r="AM276" s="49"/>
      <c r="AN276" s="49">
        <v>-0.5</v>
      </c>
      <c r="AO276" s="49">
        <v>-0.5</v>
      </c>
      <c r="AP276" s="49"/>
      <c r="AR276" s="127"/>
      <c r="BA276" s="127"/>
    </row>
    <row r="277">
      <c r="F277" s="77"/>
      <c r="G277" s="77"/>
      <c r="R277" s="223"/>
      <c r="AL277" s="49"/>
      <c r="AM277" s="49"/>
      <c r="AN277" s="49">
        <v>-0.5</v>
      </c>
      <c r="AO277" s="49">
        <v>-0.5</v>
      </c>
      <c r="AP277" s="49"/>
      <c r="AR277" s="127"/>
      <c r="BA277" s="127"/>
    </row>
    <row r="278">
      <c r="F278" s="77"/>
      <c r="G278" s="77"/>
      <c r="R278" s="223"/>
      <c r="AL278" s="49"/>
      <c r="AM278" s="49"/>
      <c r="AN278" s="49">
        <v>-0.5</v>
      </c>
      <c r="AO278" s="49">
        <v>-0.5</v>
      </c>
      <c r="AP278" s="49"/>
      <c r="AR278" s="127"/>
      <c r="BA278" s="127"/>
    </row>
    <row r="279">
      <c r="F279" s="77"/>
      <c r="G279" s="77"/>
      <c r="R279" s="223"/>
      <c r="AL279" s="49"/>
      <c r="AM279" s="49"/>
      <c r="AN279" s="49">
        <v>-0.5</v>
      </c>
      <c r="AO279" s="49">
        <v>-0.5</v>
      </c>
      <c r="AP279" s="49"/>
      <c r="AR279" s="127"/>
      <c r="BA279" s="127"/>
    </row>
    <row r="280">
      <c r="F280" s="77"/>
      <c r="G280" s="77"/>
      <c r="R280" s="223"/>
      <c r="AL280" s="49"/>
      <c r="AM280" s="49"/>
      <c r="AN280" s="49">
        <v>-0.5</v>
      </c>
      <c r="AO280" s="49">
        <v>-0.5</v>
      </c>
      <c r="AP280" s="49"/>
      <c r="AR280" s="127"/>
      <c r="BA280" s="127"/>
    </row>
    <row r="281">
      <c r="F281" s="77"/>
      <c r="G281" s="77"/>
      <c r="R281" s="223"/>
      <c r="AL281" s="49"/>
      <c r="AM281" s="49"/>
      <c r="AN281" s="49">
        <v>-0.5</v>
      </c>
      <c r="AO281" s="49">
        <v>-0.5</v>
      </c>
      <c r="AP281" s="49"/>
      <c r="AR281" s="127"/>
      <c r="BA281" s="127"/>
    </row>
    <row r="282">
      <c r="F282" s="77"/>
      <c r="G282" s="77"/>
      <c r="R282" s="223"/>
      <c r="AL282" s="49"/>
      <c r="AM282" s="49"/>
      <c r="AN282" s="49">
        <v>-0.5</v>
      </c>
      <c r="AO282" s="49">
        <v>-0.5</v>
      </c>
      <c r="AP282" s="49"/>
      <c r="AR282" s="127"/>
      <c r="BA282" s="127"/>
    </row>
    <row r="283">
      <c r="F283" s="77"/>
      <c r="G283" s="77"/>
      <c r="R283" s="223"/>
      <c r="AL283" s="49"/>
      <c r="AM283" s="49"/>
      <c r="AN283" s="49">
        <v>-0.5</v>
      </c>
      <c r="AO283" s="49">
        <v>-0.5</v>
      </c>
      <c r="AP283" s="49"/>
      <c r="AR283" s="127"/>
      <c r="BA283" s="127"/>
    </row>
    <row r="284">
      <c r="F284" s="77"/>
      <c r="G284" s="77"/>
      <c r="R284" s="223"/>
      <c r="AL284" s="49"/>
      <c r="AM284" s="49"/>
      <c r="AN284" s="49">
        <v>-0.5</v>
      </c>
      <c r="AO284" s="49">
        <v>-0.5</v>
      </c>
      <c r="AP284" s="49"/>
      <c r="AR284" s="127"/>
      <c r="BA284" s="127"/>
    </row>
    <row r="285">
      <c r="F285" s="77"/>
      <c r="G285" s="77"/>
      <c r="R285" s="223"/>
      <c r="AL285" s="49"/>
      <c r="AM285" s="49"/>
      <c r="AN285" s="49">
        <v>-0.5</v>
      </c>
      <c r="AO285" s="49">
        <v>-0.5</v>
      </c>
      <c r="AP285" s="49"/>
      <c r="AR285" s="127"/>
      <c r="BA285" s="127"/>
    </row>
    <row r="286">
      <c r="F286" s="77"/>
      <c r="G286" s="77"/>
      <c r="R286" s="223"/>
      <c r="AL286" s="49"/>
      <c r="AM286" s="49"/>
      <c r="AN286" s="49">
        <v>-0.5</v>
      </c>
      <c r="AO286" s="49">
        <v>-0.5</v>
      </c>
      <c r="AP286" s="49"/>
      <c r="AR286" s="127"/>
      <c r="BA286" s="127"/>
    </row>
    <row r="287">
      <c r="F287" s="77"/>
      <c r="G287" s="77"/>
      <c r="R287" s="223"/>
      <c r="AL287" s="49"/>
      <c r="AM287" s="49"/>
      <c r="AN287" s="49">
        <v>-0.5</v>
      </c>
      <c r="AO287" s="49">
        <v>-0.5</v>
      </c>
      <c r="AP287" s="49"/>
      <c r="AR287" s="127"/>
      <c r="BA287" s="127"/>
    </row>
    <row r="288">
      <c r="F288" s="77"/>
      <c r="G288" s="77"/>
      <c r="R288" s="223"/>
      <c r="AL288" s="49"/>
      <c r="AM288" s="49"/>
      <c r="AN288" s="49">
        <v>-0.5</v>
      </c>
      <c r="AO288" s="49">
        <v>-0.5</v>
      </c>
      <c r="AP288" s="49"/>
      <c r="AR288" s="127"/>
      <c r="BA288" s="127"/>
    </row>
    <row r="289">
      <c r="F289" s="77"/>
      <c r="G289" s="77"/>
      <c r="R289" s="223"/>
      <c r="AL289" s="49"/>
      <c r="AM289" s="49"/>
      <c r="AN289" s="49">
        <v>-0.5</v>
      </c>
      <c r="AO289" s="49">
        <v>-0.5</v>
      </c>
      <c r="AP289" s="49"/>
      <c r="AR289" s="127"/>
      <c r="BA289" s="127"/>
    </row>
    <row r="290">
      <c r="F290" s="77"/>
      <c r="G290" s="77"/>
      <c r="R290" s="223"/>
      <c r="AL290" s="49"/>
      <c r="AM290" s="49"/>
      <c r="AN290" s="49">
        <v>-0.5</v>
      </c>
      <c r="AO290" s="49">
        <v>-0.5</v>
      </c>
      <c r="AP290" s="49"/>
      <c r="AR290" s="127"/>
      <c r="BA290" s="127"/>
    </row>
    <row r="291">
      <c r="F291" s="77"/>
      <c r="G291" s="77"/>
      <c r="R291" s="223"/>
      <c r="AL291" s="49"/>
      <c r="AM291" s="49"/>
      <c r="AN291" s="49">
        <v>-0.5</v>
      </c>
      <c r="AO291" s="49">
        <v>-0.5</v>
      </c>
      <c r="AP291" s="49"/>
      <c r="AR291" s="127"/>
      <c r="BA291" s="127"/>
    </row>
    <row r="292">
      <c r="F292" s="77"/>
      <c r="G292" s="77"/>
      <c r="R292" s="223"/>
      <c r="AL292" s="49"/>
      <c r="AM292" s="49"/>
      <c r="AN292" s="49">
        <v>-0.5</v>
      </c>
      <c r="AO292" s="49">
        <v>-0.5</v>
      </c>
      <c r="AP292" s="49"/>
      <c r="AR292" s="127"/>
      <c r="BA292" s="127"/>
    </row>
    <row r="293">
      <c r="F293" s="77"/>
      <c r="G293" s="77"/>
      <c r="R293" s="223"/>
      <c r="AL293" s="49"/>
      <c r="AM293" s="49"/>
      <c r="AN293" s="49">
        <v>-0.5</v>
      </c>
      <c r="AO293" s="49">
        <v>-0.5</v>
      </c>
      <c r="AP293" s="49"/>
      <c r="AR293" s="127"/>
      <c r="BA293" s="127"/>
    </row>
    <row r="294">
      <c r="F294" s="77"/>
      <c r="G294" s="77"/>
      <c r="R294" s="223"/>
      <c r="AL294" s="49"/>
      <c r="AM294" s="49"/>
      <c r="AN294" s="49">
        <v>-0.5</v>
      </c>
      <c r="AO294" s="49">
        <v>-0.5</v>
      </c>
      <c r="AP294" s="49"/>
      <c r="AR294" s="127"/>
      <c r="BA294" s="127"/>
    </row>
    <row r="295">
      <c r="F295" s="77"/>
      <c r="G295" s="77"/>
      <c r="R295" s="223"/>
      <c r="AL295" s="49"/>
      <c r="AM295" s="49"/>
      <c r="AN295" s="49">
        <v>-0.5</v>
      </c>
      <c r="AO295" s="49">
        <v>-0.5</v>
      </c>
      <c r="AP295" s="49"/>
      <c r="AR295" s="127"/>
      <c r="BA295" s="127"/>
    </row>
    <row r="296">
      <c r="F296" s="77"/>
      <c r="G296" s="77"/>
      <c r="R296" s="223"/>
      <c r="AL296" s="49"/>
      <c r="AM296" s="49"/>
      <c r="AN296" s="49">
        <v>-0.5</v>
      </c>
      <c r="AO296" s="49">
        <v>-0.5</v>
      </c>
      <c r="AP296" s="49"/>
      <c r="AR296" s="127"/>
      <c r="BA296" s="127"/>
    </row>
    <row r="297">
      <c r="F297" s="77"/>
      <c r="G297" s="77"/>
      <c r="R297" s="223"/>
      <c r="AL297" s="49"/>
      <c r="AM297" s="49"/>
      <c r="AN297" s="49">
        <v>-0.5</v>
      </c>
      <c r="AO297" s="49">
        <v>-0.5</v>
      </c>
      <c r="AP297" s="49"/>
      <c r="AR297" s="127"/>
      <c r="BA297" s="127"/>
    </row>
    <row r="298">
      <c r="F298" s="77"/>
      <c r="G298" s="77"/>
      <c r="R298" s="223"/>
      <c r="AL298" s="49"/>
      <c r="AM298" s="49"/>
      <c r="AN298" s="49">
        <v>-0.5</v>
      </c>
      <c r="AO298" s="49">
        <v>-0.5</v>
      </c>
      <c r="AP298" s="49"/>
      <c r="AR298" s="127"/>
      <c r="BA298" s="127"/>
    </row>
    <row r="299">
      <c r="F299" s="77"/>
      <c r="G299" s="77"/>
      <c r="R299" s="223"/>
      <c r="AL299" s="49"/>
      <c r="AM299" s="49"/>
      <c r="AN299" s="49">
        <v>-0.5</v>
      </c>
      <c r="AO299" s="49">
        <v>-0.5</v>
      </c>
      <c r="AP299" s="49"/>
      <c r="AR299" s="127"/>
      <c r="BA299" s="127"/>
    </row>
    <row r="300">
      <c r="F300" s="77"/>
      <c r="G300" s="77"/>
      <c r="R300" s="223"/>
      <c r="AL300" s="49"/>
      <c r="AM300" s="49"/>
      <c r="AN300" s="49">
        <v>-0.5</v>
      </c>
      <c r="AO300" s="49">
        <v>-0.5</v>
      </c>
      <c r="AP300" s="49"/>
      <c r="AR300" s="127"/>
      <c r="BA300" s="127"/>
    </row>
    <row r="301">
      <c r="F301" s="77"/>
      <c r="G301" s="77"/>
      <c r="R301" s="223"/>
      <c r="AL301" s="49"/>
      <c r="AM301" s="49"/>
      <c r="AN301" s="49">
        <v>-0.5</v>
      </c>
      <c r="AO301" s="49">
        <v>-0.5</v>
      </c>
      <c r="AP301" s="49"/>
      <c r="AR301" s="127"/>
      <c r="BA301" s="127"/>
    </row>
    <row r="302">
      <c r="F302" s="77"/>
      <c r="G302" s="77"/>
      <c r="R302" s="223"/>
      <c r="AL302" s="49"/>
      <c r="AM302" s="49"/>
      <c r="AN302" s="49">
        <v>-0.5</v>
      </c>
      <c r="AO302" s="49">
        <v>-0.5</v>
      </c>
      <c r="AP302" s="49"/>
      <c r="AR302" s="127"/>
      <c r="BA302" s="127"/>
    </row>
    <row r="303">
      <c r="F303" s="77"/>
      <c r="G303" s="77"/>
      <c r="R303" s="223"/>
      <c r="AL303" s="49"/>
      <c r="AM303" s="49"/>
      <c r="AN303" s="49">
        <v>-0.5</v>
      </c>
      <c r="AO303" s="49">
        <v>-0.5</v>
      </c>
      <c r="AP303" s="49"/>
      <c r="AR303" s="127"/>
      <c r="BA303" s="127"/>
    </row>
    <row r="304">
      <c r="F304" s="77"/>
      <c r="G304" s="77"/>
      <c r="R304" s="223"/>
      <c r="AL304" s="49"/>
      <c r="AM304" s="49"/>
      <c r="AN304" s="49">
        <v>-0.5</v>
      </c>
      <c r="AO304" s="49">
        <v>-0.5</v>
      </c>
      <c r="AP304" s="49"/>
      <c r="AR304" s="127"/>
      <c r="BA304" s="127"/>
    </row>
    <row r="305">
      <c r="F305" s="77"/>
      <c r="G305" s="77"/>
      <c r="R305" s="223"/>
      <c r="AL305" s="49"/>
      <c r="AM305" s="49"/>
      <c r="AN305" s="49">
        <v>-0.5</v>
      </c>
      <c r="AO305" s="49">
        <v>-0.5</v>
      </c>
      <c r="AP305" s="49"/>
      <c r="AR305" s="127"/>
      <c r="BA305" s="127"/>
    </row>
    <row r="306">
      <c r="F306" s="77"/>
      <c r="G306" s="77"/>
      <c r="R306" s="223"/>
      <c r="AL306" s="49"/>
      <c r="AM306" s="49"/>
      <c r="AN306" s="49">
        <v>-0.5</v>
      </c>
      <c r="AO306" s="49">
        <v>-0.5</v>
      </c>
      <c r="AP306" s="49"/>
      <c r="AR306" s="127"/>
      <c r="BA306" s="127"/>
    </row>
    <row r="307">
      <c r="F307" s="77"/>
      <c r="G307" s="77"/>
      <c r="R307" s="223"/>
      <c r="AL307" s="49"/>
      <c r="AM307" s="49"/>
      <c r="AN307" s="49">
        <v>-0.5</v>
      </c>
      <c r="AO307" s="49">
        <v>-0.5</v>
      </c>
      <c r="AP307" s="49"/>
      <c r="AR307" s="127"/>
      <c r="BA307" s="127"/>
    </row>
    <row r="308">
      <c r="F308" s="77"/>
      <c r="G308" s="77"/>
      <c r="R308" s="223"/>
      <c r="AL308" s="49"/>
      <c r="AM308" s="49"/>
      <c r="AN308" s="49">
        <v>-0.5</v>
      </c>
      <c r="AO308" s="49">
        <v>-0.5</v>
      </c>
      <c r="AP308" s="49"/>
      <c r="AR308" s="127"/>
      <c r="BA308" s="127"/>
    </row>
    <row r="309">
      <c r="F309" s="77"/>
      <c r="G309" s="77"/>
      <c r="R309" s="223"/>
      <c r="AL309" s="49"/>
      <c r="AM309" s="49"/>
      <c r="AN309" s="49">
        <v>-0.5</v>
      </c>
      <c r="AO309" s="49">
        <v>-0.5</v>
      </c>
      <c r="AP309" s="49"/>
      <c r="AR309" s="127"/>
      <c r="BA309" s="127"/>
    </row>
    <row r="310">
      <c r="F310" s="77"/>
      <c r="G310" s="77"/>
      <c r="R310" s="223"/>
      <c r="AL310" s="49"/>
      <c r="AM310" s="49"/>
      <c r="AN310" s="49">
        <v>-0.5</v>
      </c>
      <c r="AO310" s="49">
        <v>-0.5</v>
      </c>
      <c r="AP310" s="49"/>
      <c r="AR310" s="127"/>
      <c r="BA310" s="127"/>
    </row>
    <row r="311">
      <c r="F311" s="77"/>
      <c r="G311" s="77"/>
      <c r="R311" s="223"/>
      <c r="AL311" s="49"/>
      <c r="AM311" s="49"/>
      <c r="AN311" s="49">
        <v>-0.5</v>
      </c>
      <c r="AO311" s="49">
        <v>-0.5</v>
      </c>
      <c r="AP311" s="49"/>
      <c r="AR311" s="127"/>
      <c r="BA311" s="127"/>
    </row>
    <row r="312">
      <c r="F312" s="77"/>
      <c r="G312" s="77"/>
      <c r="R312" s="223"/>
      <c r="AL312" s="49"/>
      <c r="AM312" s="49"/>
      <c r="AN312" s="49">
        <v>-0.5</v>
      </c>
      <c r="AO312" s="49">
        <v>-0.5</v>
      </c>
      <c r="AP312" s="49"/>
      <c r="AR312" s="127"/>
      <c r="BA312" s="127"/>
    </row>
    <row r="313">
      <c r="F313" s="77"/>
      <c r="G313" s="77"/>
      <c r="R313" s="223"/>
      <c r="AL313" s="49"/>
      <c r="AM313" s="49"/>
      <c r="AN313" s="49">
        <v>-0.5</v>
      </c>
      <c r="AO313" s="49">
        <v>-0.5</v>
      </c>
      <c r="AP313" s="49"/>
      <c r="AR313" s="127"/>
      <c r="BA313" s="127"/>
    </row>
    <row r="314">
      <c r="F314" s="77"/>
      <c r="G314" s="77"/>
      <c r="R314" s="223"/>
      <c r="AL314" s="49"/>
      <c r="AM314" s="49"/>
      <c r="AN314" s="49">
        <v>-0.5</v>
      </c>
      <c r="AO314" s="49">
        <v>-0.5</v>
      </c>
      <c r="AP314" s="49"/>
      <c r="AR314" s="127"/>
      <c r="BA314" s="127"/>
    </row>
    <row r="315">
      <c r="F315" s="77"/>
      <c r="G315" s="77"/>
      <c r="R315" s="223"/>
      <c r="AL315" s="49"/>
      <c r="AM315" s="49"/>
      <c r="AN315" s="49">
        <v>-0.5</v>
      </c>
      <c r="AO315" s="49">
        <v>-0.5</v>
      </c>
      <c r="AP315" s="49"/>
      <c r="AR315" s="127"/>
      <c r="BA315" s="127"/>
    </row>
    <row r="316">
      <c r="F316" s="77"/>
      <c r="G316" s="77"/>
      <c r="R316" s="223"/>
      <c r="AL316" s="49"/>
      <c r="AM316" s="49"/>
      <c r="AN316" s="49">
        <v>-0.5</v>
      </c>
      <c r="AO316" s="49">
        <v>-0.5</v>
      </c>
      <c r="AP316" s="49"/>
      <c r="AR316" s="127"/>
      <c r="BA316" s="127"/>
    </row>
    <row r="317">
      <c r="F317" s="77"/>
      <c r="G317" s="77"/>
      <c r="R317" s="223"/>
      <c r="AL317" s="49"/>
      <c r="AM317" s="49"/>
      <c r="AN317" s="49">
        <v>-0.5</v>
      </c>
      <c r="AO317" s="49">
        <v>-0.5</v>
      </c>
      <c r="AP317" s="49"/>
      <c r="AR317" s="127"/>
      <c r="BA317" s="127"/>
    </row>
    <row r="318">
      <c r="F318" s="77"/>
      <c r="G318" s="77"/>
      <c r="R318" s="223"/>
      <c r="AL318" s="49"/>
      <c r="AM318" s="49"/>
      <c r="AN318" s="49">
        <v>-0.5</v>
      </c>
      <c r="AO318" s="49">
        <v>-0.5</v>
      </c>
      <c r="AP318" s="49"/>
      <c r="AR318" s="127"/>
      <c r="BA318" s="127"/>
    </row>
    <row r="319">
      <c r="F319" s="77"/>
      <c r="G319" s="77"/>
      <c r="R319" s="223"/>
      <c r="AL319" s="49"/>
      <c r="AM319" s="49"/>
      <c r="AN319" s="49">
        <v>-0.5</v>
      </c>
      <c r="AO319" s="49">
        <v>-0.5</v>
      </c>
      <c r="AP319" s="49"/>
      <c r="AR319" s="127"/>
      <c r="BA319" s="127"/>
    </row>
    <row r="320">
      <c r="F320" s="77"/>
      <c r="G320" s="77"/>
      <c r="R320" s="223"/>
      <c r="AL320" s="49"/>
      <c r="AM320" s="49"/>
      <c r="AN320" s="49">
        <v>-0.5</v>
      </c>
      <c r="AO320" s="49">
        <v>-0.5</v>
      </c>
      <c r="AP320" s="49"/>
      <c r="AR320" s="127"/>
      <c r="BA320" s="127"/>
    </row>
    <row r="321">
      <c r="F321" s="77"/>
      <c r="G321" s="77"/>
      <c r="R321" s="223"/>
      <c r="AL321" s="49"/>
      <c r="AM321" s="49"/>
      <c r="AN321" s="49">
        <v>-0.5</v>
      </c>
      <c r="AO321" s="49">
        <v>-0.5</v>
      </c>
      <c r="AP321" s="49"/>
      <c r="AR321" s="127"/>
      <c r="BA321" s="127"/>
    </row>
    <row r="322">
      <c r="F322" s="77"/>
      <c r="G322" s="77"/>
      <c r="R322" s="223"/>
      <c r="AL322" s="49"/>
      <c r="AM322" s="49"/>
      <c r="AN322" s="49">
        <v>-0.5</v>
      </c>
      <c r="AO322" s="49">
        <v>-0.5</v>
      </c>
      <c r="AP322" s="49"/>
      <c r="AR322" s="127"/>
      <c r="BA322" s="127"/>
    </row>
    <row r="323">
      <c r="F323" s="77"/>
      <c r="G323" s="77"/>
      <c r="R323" s="223"/>
      <c r="AL323" s="49"/>
      <c r="AM323" s="49"/>
      <c r="AN323" s="49">
        <v>-0.5</v>
      </c>
      <c r="AO323" s="49">
        <v>-0.5</v>
      </c>
      <c r="AP323" s="49"/>
      <c r="AR323" s="127"/>
      <c r="BA323" s="127"/>
    </row>
    <row r="324">
      <c r="F324" s="77"/>
      <c r="G324" s="77"/>
      <c r="R324" s="223"/>
      <c r="AL324" s="49"/>
      <c r="AM324" s="49"/>
      <c r="AN324" s="49">
        <v>-0.5</v>
      </c>
      <c r="AO324" s="49">
        <v>-0.5</v>
      </c>
      <c r="AP324" s="49"/>
      <c r="AR324" s="127"/>
      <c r="BA324" s="127"/>
    </row>
    <row r="325">
      <c r="F325" s="77"/>
      <c r="G325" s="77"/>
      <c r="R325" s="223"/>
      <c r="AL325" s="49"/>
      <c r="AM325" s="49"/>
      <c r="AN325" s="49">
        <v>-0.5</v>
      </c>
      <c r="AO325" s="49">
        <v>-0.5</v>
      </c>
      <c r="AP325" s="49"/>
      <c r="AR325" s="127"/>
      <c r="BA325" s="127"/>
    </row>
    <row r="326">
      <c r="F326" s="77"/>
      <c r="G326" s="77"/>
      <c r="R326" s="223"/>
      <c r="AL326" s="49"/>
      <c r="AM326" s="49"/>
      <c r="AN326" s="49">
        <v>-0.5</v>
      </c>
      <c r="AO326" s="49">
        <v>-0.5</v>
      </c>
      <c r="AP326" s="49"/>
      <c r="AR326" s="127"/>
      <c r="BA326" s="127"/>
    </row>
    <row r="327">
      <c r="F327" s="77"/>
      <c r="G327" s="77"/>
      <c r="R327" s="223"/>
      <c r="AL327" s="49"/>
      <c r="AM327" s="49"/>
      <c r="AN327" s="49">
        <v>-0.5</v>
      </c>
      <c r="AO327" s="49">
        <v>-0.5</v>
      </c>
      <c r="AP327" s="49"/>
      <c r="AR327" s="127"/>
      <c r="BA327" s="127"/>
    </row>
    <row r="328">
      <c r="F328" s="77"/>
      <c r="G328" s="77"/>
      <c r="R328" s="223"/>
      <c r="AL328" s="49"/>
      <c r="AM328" s="49"/>
      <c r="AN328" s="49">
        <v>-0.5</v>
      </c>
      <c r="AO328" s="49">
        <v>-0.5</v>
      </c>
      <c r="AP328" s="49"/>
      <c r="AR328" s="127"/>
      <c r="BA328" s="127"/>
    </row>
    <row r="329">
      <c r="F329" s="77"/>
      <c r="G329" s="77"/>
      <c r="R329" s="223"/>
      <c r="AL329" s="49"/>
      <c r="AM329" s="49"/>
      <c r="AN329" s="49">
        <v>-0.5</v>
      </c>
      <c r="AO329" s="49">
        <v>-0.5</v>
      </c>
      <c r="AP329" s="49"/>
      <c r="AR329" s="127"/>
      <c r="BA329" s="127"/>
    </row>
    <row r="330">
      <c r="F330" s="77"/>
      <c r="G330" s="77"/>
      <c r="R330" s="223"/>
      <c r="AL330" s="49"/>
      <c r="AM330" s="49"/>
      <c r="AN330" s="49">
        <v>-0.5</v>
      </c>
      <c r="AO330" s="49">
        <v>-0.5</v>
      </c>
      <c r="AP330" s="49"/>
      <c r="AR330" s="127"/>
      <c r="BA330" s="127"/>
    </row>
    <row r="331">
      <c r="F331" s="77"/>
      <c r="G331" s="77"/>
      <c r="R331" s="223"/>
      <c r="AL331" s="49"/>
      <c r="AM331" s="49"/>
      <c r="AN331" s="49">
        <v>-0.5</v>
      </c>
      <c r="AO331" s="49">
        <v>-0.5</v>
      </c>
      <c r="AP331" s="49"/>
      <c r="AR331" s="127"/>
      <c r="BA331" s="127"/>
    </row>
    <row r="332">
      <c r="F332" s="77"/>
      <c r="G332" s="77"/>
      <c r="R332" s="223"/>
      <c r="AL332" s="49"/>
      <c r="AM332" s="49"/>
      <c r="AN332" s="49">
        <v>-0.5</v>
      </c>
      <c r="AO332" s="49">
        <v>-0.5</v>
      </c>
      <c r="AP332" s="49"/>
      <c r="AR332" s="127"/>
      <c r="BA332" s="127"/>
    </row>
    <row r="333">
      <c r="F333" s="77"/>
      <c r="G333" s="77"/>
      <c r="R333" s="223"/>
      <c r="AL333" s="49"/>
      <c r="AM333" s="49"/>
      <c r="AN333" s="49">
        <v>-0.5</v>
      </c>
      <c r="AO333" s="49">
        <v>-0.5</v>
      </c>
      <c r="AP333" s="49"/>
      <c r="AR333" s="127"/>
      <c r="BA333" s="127"/>
    </row>
    <row r="334">
      <c r="F334" s="77"/>
      <c r="G334" s="77"/>
      <c r="R334" s="223"/>
      <c r="AL334" s="49"/>
      <c r="AM334" s="49"/>
      <c r="AN334" s="49">
        <v>-0.5</v>
      </c>
      <c r="AO334" s="49">
        <v>-0.5</v>
      </c>
      <c r="AP334" s="49"/>
      <c r="AR334" s="127"/>
      <c r="BA334" s="127"/>
    </row>
    <row r="335">
      <c r="F335" s="77"/>
      <c r="G335" s="77"/>
      <c r="R335" s="223"/>
      <c r="AL335" s="49"/>
      <c r="AM335" s="49"/>
      <c r="AN335" s="49">
        <v>-0.5</v>
      </c>
      <c r="AO335" s="49">
        <v>-0.5</v>
      </c>
      <c r="AP335" s="49"/>
      <c r="AR335" s="127"/>
      <c r="BA335" s="127"/>
    </row>
    <row r="336">
      <c r="F336" s="77"/>
      <c r="G336" s="77"/>
      <c r="R336" s="223"/>
      <c r="AL336" s="49"/>
      <c r="AM336" s="49"/>
      <c r="AN336" s="49">
        <v>-0.5</v>
      </c>
      <c r="AO336" s="49">
        <v>-0.5</v>
      </c>
      <c r="AP336" s="49"/>
      <c r="AR336" s="127"/>
      <c r="BA336" s="127"/>
    </row>
    <row r="337">
      <c r="F337" s="77"/>
      <c r="G337" s="77"/>
      <c r="R337" s="223"/>
      <c r="AL337" s="49"/>
      <c r="AM337" s="49"/>
      <c r="AN337" s="49">
        <v>-0.5</v>
      </c>
      <c r="AO337" s="49">
        <v>-0.5</v>
      </c>
      <c r="AP337" s="49"/>
      <c r="AR337" s="127"/>
      <c r="BA337" s="127"/>
    </row>
    <row r="338">
      <c r="F338" s="77"/>
      <c r="G338" s="77"/>
      <c r="R338" s="223"/>
      <c r="AL338" s="49"/>
      <c r="AM338" s="49"/>
      <c r="AN338" s="49">
        <v>-0.5</v>
      </c>
      <c r="AO338" s="49">
        <v>-0.5</v>
      </c>
      <c r="AP338" s="49"/>
      <c r="AR338" s="127"/>
      <c r="BA338" s="127"/>
    </row>
    <row r="339">
      <c r="F339" s="77"/>
      <c r="G339" s="77"/>
      <c r="R339" s="223"/>
      <c r="AL339" s="49"/>
      <c r="AM339" s="49"/>
      <c r="AN339" s="49">
        <v>-0.5</v>
      </c>
      <c r="AO339" s="49">
        <v>-0.5</v>
      </c>
      <c r="AP339" s="49"/>
      <c r="AR339" s="127"/>
      <c r="BA339" s="127"/>
    </row>
    <row r="340">
      <c r="F340" s="77"/>
      <c r="G340" s="77"/>
      <c r="R340" s="223"/>
      <c r="AL340" s="49"/>
      <c r="AM340" s="49"/>
      <c r="AN340" s="49">
        <v>-0.5</v>
      </c>
      <c r="AO340" s="49">
        <v>-0.5</v>
      </c>
      <c r="AP340" s="49"/>
      <c r="AR340" s="127"/>
      <c r="BA340" s="127"/>
    </row>
    <row r="341">
      <c r="F341" s="77"/>
      <c r="G341" s="77"/>
      <c r="R341" s="223"/>
      <c r="AL341" s="49"/>
      <c r="AM341" s="49"/>
      <c r="AN341" s="49">
        <v>-0.5</v>
      </c>
      <c r="AO341" s="49">
        <v>-0.5</v>
      </c>
      <c r="AP341" s="49"/>
      <c r="AR341" s="127"/>
      <c r="BA341" s="127"/>
    </row>
    <row r="342">
      <c r="F342" s="77"/>
      <c r="G342" s="77"/>
      <c r="R342" s="223"/>
      <c r="AL342" s="49"/>
      <c r="AM342" s="49"/>
      <c r="AN342" s="49">
        <v>-0.5</v>
      </c>
      <c r="AO342" s="49">
        <v>-0.5</v>
      </c>
      <c r="AP342" s="49"/>
      <c r="AR342" s="127"/>
      <c r="BA342" s="127"/>
    </row>
    <row r="343">
      <c r="F343" s="77"/>
      <c r="G343" s="77"/>
      <c r="R343" s="223"/>
      <c r="AL343" s="49"/>
      <c r="AM343" s="49"/>
      <c r="AN343" s="49">
        <v>-0.5</v>
      </c>
      <c r="AO343" s="49">
        <v>-0.5</v>
      </c>
      <c r="AP343" s="49"/>
      <c r="AR343" s="127"/>
      <c r="BA343" s="127"/>
    </row>
    <row r="344">
      <c r="F344" s="77"/>
      <c r="G344" s="77"/>
      <c r="R344" s="223"/>
      <c r="AL344" s="49"/>
      <c r="AM344" s="49"/>
      <c r="AN344" s="49">
        <v>-0.5</v>
      </c>
      <c r="AO344" s="49">
        <v>-0.5</v>
      </c>
      <c r="AP344" s="49"/>
      <c r="AR344" s="127"/>
      <c r="BA344" s="127"/>
    </row>
    <row r="345">
      <c r="F345" s="77"/>
      <c r="G345" s="77"/>
      <c r="R345" s="223"/>
      <c r="AL345" s="49"/>
      <c r="AM345" s="49"/>
      <c r="AN345" s="49">
        <v>-0.5</v>
      </c>
      <c r="AO345" s="49">
        <v>-0.5</v>
      </c>
      <c r="AP345" s="49"/>
      <c r="AR345" s="127"/>
      <c r="BA345" s="127"/>
    </row>
    <row r="346">
      <c r="F346" s="77"/>
      <c r="G346" s="77"/>
      <c r="R346" s="223"/>
      <c r="AL346" s="49"/>
      <c r="AM346" s="49"/>
      <c r="AN346" s="49">
        <v>-0.5</v>
      </c>
      <c r="AO346" s="49">
        <v>-0.5</v>
      </c>
      <c r="AP346" s="49"/>
      <c r="AR346" s="127"/>
      <c r="BA346" s="127"/>
    </row>
    <row r="347">
      <c r="F347" s="77"/>
      <c r="G347" s="77"/>
      <c r="R347" s="223"/>
      <c r="AL347" s="49"/>
      <c r="AM347" s="49"/>
      <c r="AN347" s="49">
        <v>-0.5</v>
      </c>
      <c r="AO347" s="49">
        <v>-0.5</v>
      </c>
      <c r="AP347" s="49"/>
      <c r="AR347" s="127"/>
      <c r="BA347" s="127"/>
    </row>
    <row r="348">
      <c r="F348" s="77"/>
      <c r="G348" s="77"/>
      <c r="R348" s="223"/>
      <c r="AL348" s="49"/>
      <c r="AM348" s="49"/>
      <c r="AN348" s="49">
        <v>-0.5</v>
      </c>
      <c r="AO348" s="49">
        <v>-0.5</v>
      </c>
      <c r="AP348" s="49"/>
      <c r="AR348" s="127"/>
      <c r="BA348" s="127"/>
    </row>
    <row r="349">
      <c r="F349" s="77"/>
      <c r="G349" s="77"/>
      <c r="R349" s="223"/>
      <c r="AL349" s="49"/>
      <c r="AM349" s="49"/>
      <c r="AN349" s="49">
        <v>-0.5</v>
      </c>
      <c r="AO349" s="49">
        <v>-0.5</v>
      </c>
      <c r="AP349" s="49"/>
      <c r="AR349" s="127"/>
      <c r="BA349" s="127"/>
    </row>
    <row r="350">
      <c r="F350" s="77"/>
      <c r="G350" s="77"/>
      <c r="R350" s="223"/>
      <c r="AL350" s="49"/>
      <c r="AM350" s="49"/>
      <c r="AN350" s="49">
        <v>-0.5</v>
      </c>
      <c r="AO350" s="49">
        <v>-0.5</v>
      </c>
      <c r="AP350" s="49"/>
      <c r="AR350" s="127"/>
      <c r="BA350" s="127"/>
    </row>
    <row r="351">
      <c r="F351" s="77"/>
      <c r="G351" s="77"/>
      <c r="R351" s="223"/>
      <c r="AL351" s="49"/>
      <c r="AM351" s="49"/>
      <c r="AN351" s="49">
        <v>-0.5</v>
      </c>
      <c r="AO351" s="49">
        <v>-0.5</v>
      </c>
      <c r="AP351" s="49"/>
      <c r="AR351" s="127"/>
      <c r="BA351" s="127"/>
    </row>
    <row r="352">
      <c r="F352" s="77"/>
      <c r="G352" s="77"/>
      <c r="R352" s="223"/>
      <c r="AL352" s="49"/>
      <c r="AM352" s="49"/>
      <c r="AN352" s="49">
        <v>-0.5</v>
      </c>
      <c r="AO352" s="49">
        <v>-0.5</v>
      </c>
      <c r="AP352" s="49"/>
      <c r="AR352" s="127"/>
      <c r="BA352" s="127"/>
    </row>
    <row r="353">
      <c r="F353" s="77"/>
      <c r="G353" s="77"/>
      <c r="R353" s="223"/>
      <c r="AL353" s="49"/>
      <c r="AM353" s="49"/>
      <c r="AN353" s="49">
        <v>-0.5</v>
      </c>
      <c r="AO353" s="49">
        <v>-0.5</v>
      </c>
      <c r="AP353" s="49"/>
      <c r="AR353" s="127"/>
      <c r="BA353" s="127"/>
    </row>
    <row r="354">
      <c r="F354" s="77"/>
      <c r="G354" s="77"/>
      <c r="R354" s="223"/>
      <c r="AL354" s="49"/>
      <c r="AM354" s="49"/>
      <c r="AN354" s="49">
        <v>-0.5</v>
      </c>
      <c r="AO354" s="49">
        <v>-0.5</v>
      </c>
      <c r="AP354" s="49"/>
      <c r="AR354" s="127"/>
      <c r="BA354" s="127"/>
    </row>
    <row r="355">
      <c r="F355" s="77"/>
      <c r="G355" s="77"/>
      <c r="R355" s="223"/>
      <c r="AL355" s="49"/>
      <c r="AM355" s="49"/>
      <c r="AN355" s="49">
        <v>-0.5</v>
      </c>
      <c r="AO355" s="49">
        <v>-0.5</v>
      </c>
      <c r="AP355" s="49"/>
      <c r="AR355" s="127"/>
      <c r="BA355" s="127"/>
    </row>
    <row r="356">
      <c r="F356" s="77"/>
      <c r="G356" s="77"/>
      <c r="R356" s="223"/>
      <c r="AL356" s="49"/>
      <c r="AM356" s="49"/>
      <c r="AN356" s="49">
        <v>-0.5</v>
      </c>
      <c r="AO356" s="49">
        <v>-0.5</v>
      </c>
      <c r="AP356" s="49"/>
      <c r="AR356" s="127"/>
      <c r="BA356" s="127"/>
    </row>
    <row r="357">
      <c r="F357" s="77"/>
      <c r="G357" s="77"/>
      <c r="R357" s="223"/>
      <c r="AL357" s="49"/>
      <c r="AM357" s="49"/>
      <c r="AN357" s="49">
        <v>-0.5</v>
      </c>
      <c r="AO357" s="49">
        <v>-0.5</v>
      </c>
      <c r="AP357" s="49"/>
      <c r="AR357" s="127"/>
      <c r="BA357" s="127"/>
    </row>
    <row r="358">
      <c r="F358" s="77"/>
      <c r="G358" s="77"/>
      <c r="R358" s="223"/>
      <c r="AL358" s="49"/>
      <c r="AM358" s="49"/>
      <c r="AN358" s="49">
        <v>-0.5</v>
      </c>
      <c r="AO358" s="49">
        <v>-0.5</v>
      </c>
      <c r="AP358" s="49"/>
      <c r="AR358" s="127"/>
      <c r="BA358" s="127"/>
    </row>
    <row r="359">
      <c r="F359" s="77"/>
      <c r="G359" s="77"/>
      <c r="R359" s="223"/>
      <c r="AL359" s="49"/>
      <c r="AM359" s="49"/>
      <c r="AN359" s="49">
        <v>-0.5</v>
      </c>
      <c r="AO359" s="49">
        <v>-0.5</v>
      </c>
      <c r="AP359" s="49"/>
      <c r="AR359" s="127"/>
      <c r="BA359" s="127"/>
    </row>
    <row r="360">
      <c r="F360" s="77"/>
      <c r="G360" s="77"/>
      <c r="R360" s="223"/>
      <c r="AL360" s="49"/>
      <c r="AM360" s="49"/>
      <c r="AN360" s="49">
        <v>-0.5</v>
      </c>
      <c r="AO360" s="49">
        <v>-0.5</v>
      </c>
      <c r="AP360" s="49"/>
      <c r="AR360" s="127"/>
      <c r="BA360" s="127"/>
    </row>
    <row r="361">
      <c r="F361" s="77"/>
      <c r="G361" s="77"/>
      <c r="R361" s="223"/>
      <c r="AL361" s="49"/>
      <c r="AM361" s="49"/>
      <c r="AN361" s="49">
        <v>-0.5</v>
      </c>
      <c r="AO361" s="49">
        <v>-0.5</v>
      </c>
      <c r="AP361" s="49"/>
      <c r="AR361" s="127"/>
      <c r="BA361" s="127"/>
    </row>
    <row r="362">
      <c r="F362" s="77"/>
      <c r="G362" s="77"/>
      <c r="R362" s="223"/>
      <c r="AL362" s="49"/>
      <c r="AM362" s="49"/>
      <c r="AN362" s="49">
        <v>-0.5</v>
      </c>
      <c r="AO362" s="49">
        <v>-0.5</v>
      </c>
      <c r="AP362" s="49"/>
      <c r="AR362" s="127"/>
      <c r="BA362" s="127"/>
    </row>
    <row r="363">
      <c r="F363" s="77"/>
      <c r="G363" s="77"/>
      <c r="R363" s="223"/>
      <c r="AL363" s="49"/>
      <c r="AM363" s="49"/>
      <c r="AN363" s="49">
        <v>-0.5</v>
      </c>
      <c r="AO363" s="49">
        <v>-0.5</v>
      </c>
      <c r="AP363" s="49"/>
      <c r="AR363" s="127"/>
      <c r="BA363" s="127"/>
    </row>
    <row r="364">
      <c r="F364" s="77"/>
      <c r="G364" s="77"/>
      <c r="R364" s="223"/>
      <c r="AL364" s="49"/>
      <c r="AM364" s="49"/>
      <c r="AN364" s="49">
        <v>-0.5</v>
      </c>
      <c r="AO364" s="49">
        <v>-0.5</v>
      </c>
      <c r="AP364" s="49"/>
      <c r="AR364" s="127"/>
      <c r="BA364" s="127"/>
    </row>
    <row r="365">
      <c r="F365" s="77"/>
      <c r="G365" s="77"/>
      <c r="R365" s="223"/>
      <c r="AL365" s="49"/>
      <c r="AM365" s="49"/>
      <c r="AN365" s="49">
        <v>-0.5</v>
      </c>
      <c r="AO365" s="49">
        <v>-0.5</v>
      </c>
      <c r="AP365" s="49"/>
      <c r="AR365" s="127"/>
      <c r="BA365" s="127"/>
    </row>
    <row r="366">
      <c r="F366" s="77"/>
      <c r="G366" s="77"/>
      <c r="R366" s="223"/>
      <c r="AL366" s="49"/>
      <c r="AM366" s="49"/>
      <c r="AN366" s="49">
        <v>-0.5</v>
      </c>
      <c r="AO366" s="49">
        <v>-0.5</v>
      </c>
      <c r="AP366" s="49"/>
      <c r="AR366" s="127"/>
      <c r="BA366" s="127"/>
    </row>
    <row r="367">
      <c r="F367" s="77"/>
      <c r="G367" s="77"/>
      <c r="R367" s="223"/>
      <c r="AL367" s="49"/>
      <c r="AM367" s="49"/>
      <c r="AN367" s="49">
        <v>-0.5</v>
      </c>
      <c r="AO367" s="49">
        <v>-0.5</v>
      </c>
      <c r="AP367" s="49"/>
      <c r="AR367" s="127"/>
      <c r="BA367" s="127"/>
    </row>
    <row r="368">
      <c r="F368" s="77"/>
      <c r="G368" s="77"/>
      <c r="R368" s="223"/>
      <c r="AL368" s="49"/>
      <c r="AM368" s="49"/>
      <c r="AN368" s="49">
        <v>-0.5</v>
      </c>
      <c r="AO368" s="49">
        <v>-0.5</v>
      </c>
      <c r="AP368" s="49"/>
      <c r="AR368" s="127"/>
      <c r="BA368" s="127"/>
    </row>
    <row r="369">
      <c r="F369" s="77"/>
      <c r="G369" s="77"/>
      <c r="R369" s="223"/>
      <c r="AL369" s="49"/>
      <c r="AM369" s="49"/>
      <c r="AN369" s="49">
        <v>-0.5</v>
      </c>
      <c r="AO369" s="49">
        <v>-0.5</v>
      </c>
      <c r="AP369" s="49"/>
      <c r="AR369" s="127"/>
      <c r="BA369" s="127"/>
    </row>
    <row r="370">
      <c r="F370" s="77"/>
      <c r="G370" s="77"/>
      <c r="R370" s="223"/>
      <c r="AL370" s="49"/>
      <c r="AM370" s="49"/>
      <c r="AN370" s="49">
        <v>-0.5</v>
      </c>
      <c r="AO370" s="49">
        <v>-0.5</v>
      </c>
      <c r="AP370" s="49"/>
      <c r="AR370" s="127"/>
      <c r="BA370" s="127"/>
    </row>
    <row r="371">
      <c r="F371" s="77"/>
      <c r="G371" s="77"/>
      <c r="R371" s="223"/>
      <c r="AL371" s="49"/>
      <c r="AM371" s="49"/>
      <c r="AN371" s="49">
        <v>-0.5</v>
      </c>
      <c r="AO371" s="49">
        <v>-0.5</v>
      </c>
      <c r="AP371" s="49"/>
      <c r="AR371" s="127"/>
      <c r="BA371" s="127"/>
    </row>
    <row r="372">
      <c r="F372" s="77"/>
      <c r="G372" s="77"/>
      <c r="R372" s="223"/>
      <c r="AL372" s="49"/>
      <c r="AM372" s="49"/>
      <c r="AN372" s="49">
        <v>-0.5</v>
      </c>
      <c r="AO372" s="49">
        <v>-0.5</v>
      </c>
      <c r="AP372" s="49"/>
      <c r="AR372" s="127"/>
      <c r="BA372" s="127"/>
    </row>
    <row r="373">
      <c r="F373" s="77"/>
      <c r="G373" s="77"/>
      <c r="R373" s="223"/>
      <c r="AL373" s="49"/>
      <c r="AM373" s="49"/>
      <c r="AN373" s="49">
        <v>-0.5</v>
      </c>
      <c r="AO373" s="49">
        <v>-0.5</v>
      </c>
      <c r="AP373" s="49"/>
      <c r="AR373" s="127"/>
      <c r="BA373" s="127"/>
    </row>
    <row r="374">
      <c r="F374" s="77"/>
      <c r="G374" s="77"/>
      <c r="R374" s="223"/>
      <c r="AL374" s="49"/>
      <c r="AM374" s="49"/>
      <c r="AN374" s="49">
        <v>-0.5</v>
      </c>
      <c r="AO374" s="49">
        <v>-0.5</v>
      </c>
      <c r="AP374" s="49"/>
      <c r="AR374" s="127"/>
      <c r="BA374" s="127"/>
    </row>
    <row r="375">
      <c r="F375" s="77"/>
      <c r="G375" s="77"/>
      <c r="R375" s="223"/>
      <c r="AL375" s="49"/>
      <c r="AM375" s="49"/>
      <c r="AN375" s="49">
        <v>-0.5</v>
      </c>
      <c r="AO375" s="49">
        <v>-0.5</v>
      </c>
      <c r="AP375" s="49"/>
      <c r="AR375" s="127"/>
      <c r="BA375" s="127"/>
    </row>
    <row r="376">
      <c r="F376" s="77"/>
      <c r="G376" s="77"/>
      <c r="R376" s="223"/>
      <c r="AL376" s="49"/>
      <c r="AM376" s="49"/>
      <c r="AN376" s="49">
        <v>-0.5</v>
      </c>
      <c r="AO376" s="49">
        <v>-0.5</v>
      </c>
      <c r="AP376" s="49"/>
      <c r="AR376" s="127"/>
      <c r="BA376" s="127"/>
    </row>
    <row r="377">
      <c r="F377" s="77"/>
      <c r="G377" s="77"/>
      <c r="R377" s="223"/>
      <c r="AL377" s="49"/>
      <c r="AM377" s="49"/>
      <c r="AN377" s="49">
        <v>-0.5</v>
      </c>
      <c r="AO377" s="49">
        <v>-0.5</v>
      </c>
      <c r="AP377" s="49"/>
      <c r="AR377" s="127"/>
      <c r="BA377" s="127"/>
    </row>
    <row r="378">
      <c r="F378" s="77"/>
      <c r="G378" s="77"/>
      <c r="R378" s="223"/>
      <c r="AL378" s="49"/>
      <c r="AM378" s="49"/>
      <c r="AN378" s="49">
        <v>-0.5</v>
      </c>
      <c r="AO378" s="49">
        <v>-0.5</v>
      </c>
      <c r="AP378" s="49"/>
      <c r="AR378" s="127"/>
      <c r="BA378" s="127"/>
    </row>
    <row r="379">
      <c r="F379" s="77"/>
      <c r="G379" s="77"/>
      <c r="R379" s="223"/>
      <c r="AL379" s="49"/>
      <c r="AM379" s="49"/>
      <c r="AN379" s="49">
        <v>-0.5</v>
      </c>
      <c r="AO379" s="49">
        <v>-0.5</v>
      </c>
      <c r="AP379" s="49"/>
      <c r="AR379" s="127"/>
      <c r="BA379" s="127"/>
    </row>
    <row r="380">
      <c r="F380" s="77"/>
      <c r="G380" s="77"/>
      <c r="R380" s="223"/>
      <c r="AL380" s="49"/>
      <c r="AM380" s="49"/>
      <c r="AN380" s="49">
        <v>-0.5</v>
      </c>
      <c r="AO380" s="49">
        <v>-0.5</v>
      </c>
      <c r="AP380" s="49"/>
      <c r="AR380" s="127"/>
      <c r="BA380" s="127"/>
    </row>
    <row r="381">
      <c r="F381" s="77"/>
      <c r="G381" s="77"/>
      <c r="R381" s="223"/>
      <c r="AL381" s="49"/>
      <c r="AM381" s="49"/>
      <c r="AN381" s="49">
        <v>-0.5</v>
      </c>
      <c r="AO381" s="49">
        <v>-0.5</v>
      </c>
      <c r="AP381" s="49"/>
      <c r="AR381" s="127"/>
      <c r="BA381" s="127"/>
    </row>
    <row r="382">
      <c r="F382" s="77"/>
      <c r="G382" s="77"/>
      <c r="R382" s="223"/>
      <c r="AL382" s="49"/>
      <c r="AM382" s="49"/>
      <c r="AN382" s="49">
        <v>-0.5</v>
      </c>
      <c r="AO382" s="49">
        <v>-0.5</v>
      </c>
      <c r="AP382" s="49"/>
      <c r="AR382" s="127"/>
      <c r="BA382" s="127"/>
    </row>
    <row r="383">
      <c r="F383" s="77"/>
      <c r="G383" s="77"/>
      <c r="R383" s="223"/>
      <c r="AL383" s="49"/>
      <c r="AM383" s="49"/>
      <c r="AN383" s="49">
        <v>-0.5</v>
      </c>
      <c r="AO383" s="49">
        <v>-0.5</v>
      </c>
      <c r="AP383" s="49"/>
      <c r="AR383" s="127"/>
      <c r="BA383" s="127"/>
    </row>
    <row r="384">
      <c r="F384" s="77"/>
      <c r="G384" s="77"/>
      <c r="R384" s="223"/>
      <c r="AL384" s="49"/>
      <c r="AM384" s="49"/>
      <c r="AN384" s="49">
        <v>-0.5</v>
      </c>
      <c r="AO384" s="49">
        <v>-0.5</v>
      </c>
      <c r="AP384" s="49"/>
      <c r="AR384" s="127"/>
      <c r="BA384" s="127"/>
    </row>
    <row r="385">
      <c r="F385" s="77"/>
      <c r="G385" s="77"/>
      <c r="R385" s="223"/>
      <c r="AL385" s="49"/>
      <c r="AM385" s="49"/>
      <c r="AN385" s="49">
        <v>-0.5</v>
      </c>
      <c r="AO385" s="49">
        <v>-0.5</v>
      </c>
      <c r="AP385" s="49"/>
      <c r="AR385" s="127"/>
      <c r="BA385" s="127"/>
    </row>
    <row r="386">
      <c r="F386" s="77"/>
      <c r="G386" s="77"/>
      <c r="R386" s="223"/>
      <c r="AL386" s="49"/>
      <c r="AM386" s="49"/>
      <c r="AN386" s="49">
        <v>-0.5</v>
      </c>
      <c r="AO386" s="49">
        <v>-0.5</v>
      </c>
      <c r="AP386" s="49"/>
      <c r="AR386" s="127"/>
      <c r="BA386" s="127"/>
    </row>
    <row r="387">
      <c r="F387" s="77"/>
      <c r="G387" s="77"/>
      <c r="R387" s="223"/>
      <c r="AL387" s="49"/>
      <c r="AM387" s="49"/>
      <c r="AN387" s="49">
        <v>-0.5</v>
      </c>
      <c r="AO387" s="49">
        <v>-0.5</v>
      </c>
      <c r="AP387" s="49"/>
      <c r="AR387" s="127"/>
      <c r="BA387" s="127"/>
    </row>
    <row r="388">
      <c r="F388" s="77"/>
      <c r="G388" s="77"/>
      <c r="R388" s="223"/>
      <c r="AL388" s="49"/>
      <c r="AM388" s="49"/>
      <c r="AN388" s="49">
        <v>-0.5</v>
      </c>
      <c r="AO388" s="49">
        <v>-0.5</v>
      </c>
      <c r="AP388" s="49"/>
      <c r="AR388" s="127"/>
      <c r="BA388" s="127"/>
    </row>
    <row r="389">
      <c r="F389" s="77"/>
      <c r="G389" s="77"/>
      <c r="R389" s="223"/>
      <c r="AL389" s="49"/>
      <c r="AM389" s="49"/>
      <c r="AN389" s="49">
        <v>-0.5</v>
      </c>
      <c r="AO389" s="49">
        <v>-0.5</v>
      </c>
      <c r="AP389" s="49"/>
      <c r="AR389" s="127"/>
      <c r="BA389" s="127"/>
    </row>
    <row r="390">
      <c r="F390" s="77"/>
      <c r="G390" s="77"/>
      <c r="R390" s="223"/>
      <c r="AL390" s="49"/>
      <c r="AM390" s="49"/>
      <c r="AN390" s="49">
        <v>-0.5</v>
      </c>
      <c r="AO390" s="49">
        <v>-0.5</v>
      </c>
      <c r="AP390" s="49"/>
      <c r="AR390" s="127"/>
      <c r="BA390" s="127"/>
    </row>
    <row r="391">
      <c r="F391" s="77"/>
      <c r="G391" s="77"/>
      <c r="R391" s="223"/>
      <c r="AL391" s="49"/>
      <c r="AM391" s="49"/>
      <c r="AN391" s="49">
        <v>-0.5</v>
      </c>
      <c r="AO391" s="49">
        <v>-0.5</v>
      </c>
      <c r="AP391" s="49"/>
      <c r="AR391" s="127"/>
      <c r="BA391" s="127"/>
    </row>
    <row r="392">
      <c r="F392" s="77"/>
      <c r="G392" s="77"/>
      <c r="R392" s="223"/>
      <c r="AL392" s="49"/>
      <c r="AM392" s="49"/>
      <c r="AN392" s="49">
        <v>-0.5</v>
      </c>
      <c r="AO392" s="49">
        <v>-0.5</v>
      </c>
      <c r="AP392" s="49"/>
      <c r="AR392" s="127"/>
      <c r="BA392" s="127"/>
    </row>
    <row r="393">
      <c r="F393" s="77"/>
      <c r="G393" s="77"/>
      <c r="R393" s="223"/>
      <c r="AL393" s="49"/>
      <c r="AM393" s="49"/>
      <c r="AN393" s="49">
        <v>-0.5</v>
      </c>
      <c r="AO393" s="49">
        <v>-0.5</v>
      </c>
      <c r="AP393" s="49"/>
      <c r="AR393" s="127"/>
      <c r="BA393" s="127"/>
    </row>
    <row r="394">
      <c r="F394" s="77"/>
      <c r="G394" s="77"/>
      <c r="R394" s="223"/>
      <c r="AL394" s="49"/>
      <c r="AM394" s="49"/>
      <c r="AN394" s="49">
        <v>-0.5</v>
      </c>
      <c r="AO394" s="49">
        <v>-0.5</v>
      </c>
      <c r="AP394" s="49"/>
      <c r="AR394" s="127"/>
      <c r="BA394" s="127"/>
    </row>
    <row r="395">
      <c r="F395" s="77"/>
      <c r="G395" s="77"/>
      <c r="R395" s="223"/>
      <c r="AL395" s="49"/>
      <c r="AM395" s="49"/>
      <c r="AN395" s="49">
        <v>-0.5</v>
      </c>
      <c r="AO395" s="49">
        <v>-0.5</v>
      </c>
      <c r="AP395" s="49"/>
      <c r="AR395" s="127"/>
      <c r="BA395" s="127"/>
    </row>
    <row r="396">
      <c r="F396" s="77"/>
      <c r="G396" s="77"/>
      <c r="R396" s="223"/>
      <c r="AL396" s="49"/>
      <c r="AM396" s="49"/>
      <c r="AN396" s="49">
        <v>-0.5</v>
      </c>
      <c r="AO396" s="49">
        <v>-0.5</v>
      </c>
      <c r="AP396" s="49"/>
      <c r="AR396" s="127"/>
      <c r="BA396" s="127"/>
    </row>
    <row r="397">
      <c r="F397" s="77"/>
      <c r="G397" s="77"/>
      <c r="R397" s="223"/>
      <c r="AL397" s="49"/>
      <c r="AM397" s="49"/>
      <c r="AN397" s="49">
        <v>-0.5</v>
      </c>
      <c r="AO397" s="49">
        <v>-0.5</v>
      </c>
      <c r="AP397" s="49"/>
      <c r="AR397" s="127"/>
      <c r="BA397" s="127"/>
    </row>
    <row r="398">
      <c r="F398" s="77"/>
      <c r="G398" s="77"/>
      <c r="R398" s="223"/>
      <c r="AL398" s="49"/>
      <c r="AM398" s="49"/>
      <c r="AN398" s="49">
        <v>-0.5</v>
      </c>
      <c r="AO398" s="49">
        <v>-0.5</v>
      </c>
      <c r="AP398" s="49"/>
      <c r="AR398" s="127"/>
      <c r="BA398" s="127"/>
    </row>
    <row r="399">
      <c r="F399" s="77"/>
      <c r="G399" s="77"/>
      <c r="R399" s="223"/>
      <c r="AL399" s="49"/>
      <c r="AM399" s="49"/>
      <c r="AN399" s="49">
        <v>-0.5</v>
      </c>
      <c r="AO399" s="49">
        <v>-0.5</v>
      </c>
      <c r="AP399" s="49"/>
      <c r="AR399" s="127"/>
      <c r="BA399" s="127"/>
    </row>
    <row r="400">
      <c r="F400" s="77"/>
      <c r="G400" s="77"/>
      <c r="R400" s="223"/>
      <c r="AL400" s="49"/>
      <c r="AM400" s="49"/>
      <c r="AN400" s="49">
        <v>-0.5</v>
      </c>
      <c r="AO400" s="49">
        <v>-0.5</v>
      </c>
      <c r="AP400" s="49"/>
      <c r="AR400" s="127"/>
      <c r="BA400" s="127"/>
    </row>
    <row r="401">
      <c r="F401" s="77"/>
      <c r="G401" s="77"/>
      <c r="R401" s="223"/>
      <c r="AL401" s="49"/>
      <c r="AM401" s="49"/>
      <c r="AN401" s="49">
        <v>-0.5</v>
      </c>
      <c r="AO401" s="49">
        <v>-0.5</v>
      </c>
      <c r="AP401" s="49"/>
      <c r="AR401" s="127"/>
      <c r="BA401" s="127"/>
    </row>
    <row r="402">
      <c r="F402" s="77"/>
      <c r="G402" s="77"/>
      <c r="R402" s="223"/>
      <c r="AL402" s="49"/>
      <c r="AM402" s="49"/>
      <c r="AN402" s="49">
        <v>-0.5</v>
      </c>
      <c r="AO402" s="49">
        <v>-0.5</v>
      </c>
      <c r="AP402" s="49"/>
      <c r="AR402" s="127"/>
      <c r="BA402" s="127"/>
    </row>
    <row r="403">
      <c r="F403" s="77"/>
      <c r="G403" s="77"/>
      <c r="R403" s="223"/>
      <c r="AL403" s="49"/>
      <c r="AM403" s="49"/>
      <c r="AN403" s="49">
        <v>-0.5</v>
      </c>
      <c r="AO403" s="49">
        <v>-0.5</v>
      </c>
      <c r="AP403" s="49"/>
      <c r="AR403" s="127"/>
      <c r="BA403" s="127"/>
    </row>
    <row r="404">
      <c r="F404" s="77"/>
      <c r="G404" s="77"/>
      <c r="R404" s="223"/>
      <c r="AL404" s="49"/>
      <c r="AM404" s="49"/>
      <c r="AN404" s="49">
        <v>-0.5</v>
      </c>
      <c r="AO404" s="49">
        <v>-0.5</v>
      </c>
      <c r="AP404" s="49"/>
      <c r="AR404" s="127"/>
      <c r="BA404" s="127"/>
    </row>
    <row r="405">
      <c r="F405" s="77"/>
      <c r="G405" s="77"/>
      <c r="R405" s="223"/>
      <c r="AL405" s="49"/>
      <c r="AM405" s="49"/>
      <c r="AN405" s="49">
        <v>-0.5</v>
      </c>
      <c r="AO405" s="49">
        <v>-0.5</v>
      </c>
      <c r="AP405" s="49"/>
      <c r="AR405" s="127"/>
      <c r="BA405" s="127"/>
    </row>
    <row r="406">
      <c r="F406" s="77"/>
      <c r="G406" s="77"/>
      <c r="R406" s="223"/>
      <c r="AL406" s="49"/>
      <c r="AM406" s="49"/>
      <c r="AN406" s="49">
        <v>-0.5</v>
      </c>
      <c r="AO406" s="49">
        <v>-0.5</v>
      </c>
      <c r="AP406" s="49"/>
      <c r="AR406" s="127"/>
      <c r="BA406" s="127"/>
    </row>
    <row r="407">
      <c r="F407" s="77"/>
      <c r="G407" s="77"/>
      <c r="R407" s="223"/>
      <c r="AL407" s="49"/>
      <c r="AM407" s="49"/>
      <c r="AN407" s="49">
        <v>-0.5</v>
      </c>
      <c r="AO407" s="49">
        <v>-0.5</v>
      </c>
      <c r="AP407" s="49"/>
      <c r="AR407" s="127"/>
      <c r="BA407" s="127"/>
    </row>
    <row r="408">
      <c r="F408" s="77"/>
      <c r="G408" s="77"/>
      <c r="R408" s="223"/>
      <c r="AL408" s="49"/>
      <c r="AM408" s="49"/>
      <c r="AN408" s="49">
        <v>-0.5</v>
      </c>
      <c r="AO408" s="49">
        <v>-0.5</v>
      </c>
      <c r="AP408" s="49"/>
      <c r="AR408" s="127"/>
      <c r="BA408" s="127"/>
    </row>
    <row r="409">
      <c r="F409" s="77"/>
      <c r="G409" s="77"/>
      <c r="R409" s="223"/>
      <c r="AL409" s="49"/>
      <c r="AM409" s="49"/>
      <c r="AN409" s="49">
        <v>-0.5</v>
      </c>
      <c r="AO409" s="49">
        <v>-0.5</v>
      </c>
      <c r="AP409" s="49"/>
      <c r="AR409" s="127"/>
      <c r="BA409" s="127"/>
    </row>
    <row r="410">
      <c r="F410" s="77"/>
      <c r="G410" s="77"/>
      <c r="R410" s="223"/>
      <c r="AL410" s="49"/>
      <c r="AM410" s="49"/>
      <c r="AN410" s="49">
        <v>-0.5</v>
      </c>
      <c r="AO410" s="49">
        <v>-0.5</v>
      </c>
      <c r="AP410" s="49"/>
      <c r="AR410" s="127"/>
      <c r="BA410" s="127"/>
    </row>
    <row r="411">
      <c r="F411" s="77"/>
      <c r="G411" s="77"/>
      <c r="R411" s="223"/>
      <c r="AL411" s="49"/>
      <c r="AM411" s="49"/>
      <c r="AN411" s="49">
        <v>-0.5</v>
      </c>
      <c r="AO411" s="49">
        <v>-0.5</v>
      </c>
      <c r="AP411" s="49"/>
      <c r="AR411" s="127"/>
      <c r="BA411" s="127"/>
    </row>
    <row r="412">
      <c r="F412" s="77"/>
      <c r="G412" s="77"/>
      <c r="R412" s="223"/>
      <c r="AL412" s="49"/>
      <c r="AM412" s="49"/>
      <c r="AN412" s="49">
        <v>-0.5</v>
      </c>
      <c r="AO412" s="49">
        <v>-0.5</v>
      </c>
      <c r="AP412" s="49"/>
      <c r="AR412" s="127"/>
      <c r="BA412" s="127"/>
    </row>
    <row r="413">
      <c r="F413" s="77"/>
      <c r="G413" s="77"/>
      <c r="R413" s="223"/>
      <c r="AL413" s="49"/>
      <c r="AM413" s="49"/>
      <c r="AN413" s="49">
        <v>-0.5</v>
      </c>
      <c r="AO413" s="49">
        <v>-0.5</v>
      </c>
      <c r="AP413" s="49"/>
      <c r="AR413" s="127"/>
      <c r="BA413" s="127"/>
    </row>
    <row r="414">
      <c r="F414" s="77"/>
      <c r="G414" s="77"/>
      <c r="R414" s="223"/>
      <c r="AL414" s="49"/>
      <c r="AM414" s="49"/>
      <c r="AN414" s="49">
        <v>-0.5</v>
      </c>
      <c r="AO414" s="49">
        <v>-0.5</v>
      </c>
      <c r="AP414" s="49"/>
      <c r="AR414" s="127"/>
      <c r="BA414" s="127"/>
    </row>
    <row r="415">
      <c r="F415" s="77"/>
      <c r="G415" s="77"/>
      <c r="R415" s="223"/>
      <c r="AL415" s="49"/>
      <c r="AM415" s="49"/>
      <c r="AN415" s="49">
        <v>-0.5</v>
      </c>
      <c r="AO415" s="49">
        <v>-0.5</v>
      </c>
      <c r="AP415" s="49"/>
      <c r="AR415" s="127"/>
      <c r="BA415" s="127"/>
    </row>
    <row r="416">
      <c r="F416" s="77"/>
      <c r="G416" s="77"/>
      <c r="R416" s="223"/>
      <c r="AL416" s="49"/>
      <c r="AM416" s="49"/>
      <c r="AN416" s="49">
        <v>-0.5</v>
      </c>
      <c r="AO416" s="49">
        <v>-0.5</v>
      </c>
      <c r="AP416" s="49"/>
      <c r="AR416" s="127"/>
      <c r="BA416" s="127"/>
    </row>
    <row r="417">
      <c r="F417" s="77"/>
      <c r="G417" s="77"/>
      <c r="R417" s="223"/>
      <c r="AL417" s="49"/>
      <c r="AM417" s="49"/>
      <c r="AN417" s="49">
        <v>-0.5</v>
      </c>
      <c r="AO417" s="49">
        <v>-0.5</v>
      </c>
      <c r="AP417" s="49"/>
      <c r="AR417" s="127"/>
      <c r="BA417" s="127"/>
    </row>
    <row r="418">
      <c r="F418" s="77"/>
      <c r="G418" s="77"/>
      <c r="R418" s="223"/>
      <c r="AL418" s="49"/>
      <c r="AM418" s="49"/>
      <c r="AN418" s="49">
        <v>-0.5</v>
      </c>
      <c r="AO418" s="49">
        <v>-0.5</v>
      </c>
      <c r="AP418" s="49"/>
      <c r="AR418" s="127"/>
      <c r="BA418" s="127"/>
    </row>
    <row r="419">
      <c r="F419" s="77"/>
      <c r="G419" s="77"/>
      <c r="R419" s="223"/>
      <c r="AL419" s="49"/>
      <c r="AM419" s="49"/>
      <c r="AN419" s="49">
        <v>-0.5</v>
      </c>
      <c r="AO419" s="49">
        <v>-0.5</v>
      </c>
      <c r="AP419" s="49"/>
      <c r="AR419" s="127"/>
      <c r="BA419" s="127"/>
    </row>
    <row r="420">
      <c r="F420" s="77"/>
      <c r="G420" s="77"/>
      <c r="R420" s="223"/>
      <c r="AL420" s="49"/>
      <c r="AM420" s="49"/>
      <c r="AN420" s="49">
        <v>-0.5</v>
      </c>
      <c r="AO420" s="49">
        <v>-0.5</v>
      </c>
      <c r="AP420" s="49"/>
      <c r="AR420" s="127"/>
      <c r="BA420" s="127"/>
    </row>
    <row r="421">
      <c r="F421" s="77"/>
      <c r="G421" s="77"/>
      <c r="R421" s="223"/>
      <c r="AL421" s="49"/>
      <c r="AM421" s="49"/>
      <c r="AN421" s="49">
        <v>-0.5</v>
      </c>
      <c r="AO421" s="49">
        <v>-0.5</v>
      </c>
      <c r="AP421" s="49"/>
      <c r="AR421" s="127"/>
      <c r="BA421" s="127"/>
    </row>
    <row r="422">
      <c r="F422" s="77"/>
      <c r="G422" s="77"/>
      <c r="R422" s="223"/>
      <c r="AL422" s="49"/>
      <c r="AM422" s="49"/>
      <c r="AN422" s="49">
        <v>-0.5</v>
      </c>
      <c r="AO422" s="49">
        <v>-0.5</v>
      </c>
      <c r="AP422" s="49"/>
      <c r="AR422" s="127"/>
      <c r="BA422" s="127"/>
    </row>
    <row r="423">
      <c r="F423" s="77"/>
      <c r="G423" s="77"/>
      <c r="R423" s="223"/>
      <c r="AL423" s="49"/>
      <c r="AM423" s="49"/>
      <c r="AN423" s="49">
        <v>-0.5</v>
      </c>
      <c r="AO423" s="49">
        <v>-0.5</v>
      </c>
      <c r="AP423" s="49"/>
      <c r="AR423" s="127"/>
      <c r="BA423" s="127"/>
    </row>
    <row r="424">
      <c r="F424" s="77"/>
      <c r="G424" s="77"/>
      <c r="R424" s="223"/>
      <c r="AL424" s="49"/>
      <c r="AM424" s="49"/>
      <c r="AN424" s="49">
        <v>-0.5</v>
      </c>
      <c r="AO424" s="49">
        <v>-0.5</v>
      </c>
      <c r="AP424" s="49"/>
      <c r="AR424" s="127"/>
      <c r="BA424" s="127"/>
    </row>
    <row r="425">
      <c r="F425" s="77"/>
      <c r="G425" s="77"/>
      <c r="R425" s="223"/>
      <c r="AL425" s="49"/>
      <c r="AM425" s="49"/>
      <c r="AN425" s="49">
        <v>-0.5</v>
      </c>
      <c r="AO425" s="49">
        <v>-0.5</v>
      </c>
      <c r="AP425" s="49"/>
      <c r="AR425" s="127"/>
      <c r="BA425" s="127"/>
    </row>
    <row r="426">
      <c r="F426" s="77"/>
      <c r="G426" s="77"/>
      <c r="R426" s="223"/>
      <c r="AL426" s="49"/>
      <c r="AM426" s="49"/>
      <c r="AN426" s="49">
        <v>-0.5</v>
      </c>
      <c r="AO426" s="49">
        <v>-0.5</v>
      </c>
      <c r="AP426" s="49"/>
      <c r="AR426" s="127"/>
      <c r="BA426" s="127"/>
    </row>
    <row r="427">
      <c r="F427" s="77"/>
      <c r="G427" s="77"/>
      <c r="R427" s="223"/>
      <c r="AL427" s="49"/>
      <c r="AM427" s="49"/>
      <c r="AN427" s="49">
        <v>-0.5</v>
      </c>
      <c r="AO427" s="49">
        <v>-0.5</v>
      </c>
      <c r="AP427" s="49"/>
      <c r="AR427" s="127"/>
      <c r="BA427" s="127"/>
    </row>
    <row r="428">
      <c r="F428" s="77"/>
      <c r="G428" s="77"/>
      <c r="R428" s="223"/>
      <c r="AL428" s="49"/>
      <c r="AM428" s="49"/>
      <c r="AN428" s="49">
        <v>-0.5</v>
      </c>
      <c r="AO428" s="49">
        <v>-0.5</v>
      </c>
      <c r="AP428" s="49"/>
      <c r="AR428" s="127"/>
      <c r="BA428" s="127"/>
    </row>
    <row r="429">
      <c r="F429" s="77"/>
      <c r="G429" s="77"/>
      <c r="R429" s="223"/>
      <c r="AL429" s="49"/>
      <c r="AM429" s="49"/>
      <c r="AN429" s="49">
        <v>-0.5</v>
      </c>
      <c r="AO429" s="49">
        <v>-0.5</v>
      </c>
      <c r="AP429" s="49"/>
      <c r="AR429" s="127"/>
      <c r="BA429" s="127"/>
    </row>
    <row r="430">
      <c r="F430" s="77"/>
      <c r="G430" s="77"/>
      <c r="R430" s="223"/>
      <c r="AL430" s="49"/>
      <c r="AM430" s="49"/>
      <c r="AN430" s="49">
        <v>-0.5</v>
      </c>
      <c r="AO430" s="49">
        <v>-0.5</v>
      </c>
      <c r="AP430" s="49"/>
      <c r="AR430" s="127"/>
      <c r="BA430" s="127"/>
    </row>
    <row r="431">
      <c r="F431" s="77"/>
      <c r="G431" s="77"/>
      <c r="R431" s="223"/>
      <c r="AL431" s="49"/>
      <c r="AM431" s="49"/>
      <c r="AN431" s="49">
        <v>-0.5</v>
      </c>
      <c r="AO431" s="49">
        <v>-0.5</v>
      </c>
      <c r="AP431" s="49"/>
      <c r="AR431" s="127"/>
      <c r="BA431" s="127"/>
    </row>
    <row r="432">
      <c r="F432" s="77"/>
      <c r="G432" s="77"/>
      <c r="R432" s="223"/>
      <c r="AL432" s="49"/>
      <c r="AM432" s="49"/>
      <c r="AN432" s="49">
        <v>-0.5</v>
      </c>
      <c r="AO432" s="49">
        <v>-0.5</v>
      </c>
      <c r="AP432" s="49"/>
      <c r="AR432" s="127"/>
      <c r="BA432" s="127"/>
    </row>
    <row r="433">
      <c r="F433" s="77"/>
      <c r="G433" s="77"/>
      <c r="R433" s="223"/>
      <c r="AL433" s="49"/>
      <c r="AM433" s="49"/>
      <c r="AN433" s="49">
        <v>-0.5</v>
      </c>
      <c r="AO433" s="49">
        <v>-0.5</v>
      </c>
      <c r="AP433" s="49"/>
      <c r="AR433" s="127"/>
      <c r="BA433" s="127"/>
    </row>
    <row r="434">
      <c r="F434" s="77"/>
      <c r="G434" s="77"/>
      <c r="R434" s="223"/>
      <c r="AL434" s="49"/>
      <c r="AM434" s="49"/>
      <c r="AN434" s="49">
        <v>-0.5</v>
      </c>
      <c r="AO434" s="49">
        <v>-0.5</v>
      </c>
      <c r="AP434" s="49"/>
      <c r="AR434" s="127"/>
      <c r="BA434" s="127"/>
    </row>
    <row r="435">
      <c r="F435" s="77"/>
      <c r="G435" s="77"/>
      <c r="R435" s="223"/>
      <c r="AL435" s="49"/>
      <c r="AM435" s="49"/>
      <c r="AN435" s="49">
        <v>-0.5</v>
      </c>
      <c r="AO435" s="49">
        <v>-0.5</v>
      </c>
      <c r="AP435" s="49"/>
      <c r="AR435" s="127"/>
      <c r="BA435" s="127"/>
    </row>
    <row r="436">
      <c r="F436" s="77"/>
      <c r="G436" s="77"/>
      <c r="R436" s="223"/>
      <c r="AL436" s="49"/>
      <c r="AM436" s="49"/>
      <c r="AN436" s="49">
        <v>-0.5</v>
      </c>
      <c r="AO436" s="49">
        <v>-0.5</v>
      </c>
      <c r="AP436" s="49"/>
      <c r="AR436" s="127"/>
      <c r="BA436" s="127"/>
    </row>
    <row r="437">
      <c r="F437" s="77"/>
      <c r="G437" s="77"/>
      <c r="R437" s="223"/>
      <c r="AL437" s="49"/>
      <c r="AM437" s="49"/>
      <c r="AN437" s="49">
        <v>-0.5</v>
      </c>
      <c r="AO437" s="49">
        <v>-0.5</v>
      </c>
      <c r="AP437" s="49"/>
      <c r="AR437" s="127"/>
      <c r="BA437" s="127"/>
    </row>
    <row r="438">
      <c r="F438" s="77"/>
      <c r="G438" s="77"/>
      <c r="R438" s="223"/>
      <c r="AL438" s="49"/>
      <c r="AM438" s="49"/>
      <c r="AN438" s="49">
        <v>-0.5</v>
      </c>
      <c r="AO438" s="49">
        <v>-0.5</v>
      </c>
      <c r="AP438" s="49"/>
      <c r="AR438" s="127"/>
      <c r="BA438" s="127"/>
    </row>
    <row r="439">
      <c r="F439" s="77"/>
      <c r="G439" s="77"/>
      <c r="R439" s="223"/>
      <c r="AL439" s="49"/>
      <c r="AM439" s="49"/>
      <c r="AN439" s="49">
        <v>-0.5</v>
      </c>
      <c r="AO439" s="49">
        <v>-0.5</v>
      </c>
      <c r="AP439" s="49"/>
      <c r="AR439" s="127"/>
      <c r="BA439" s="127"/>
    </row>
    <row r="440">
      <c r="F440" s="77"/>
      <c r="G440" s="77"/>
      <c r="R440" s="223"/>
      <c r="AL440" s="49"/>
      <c r="AM440" s="49"/>
      <c r="AN440" s="49">
        <v>-0.5</v>
      </c>
      <c r="AO440" s="49">
        <v>-0.5</v>
      </c>
      <c r="AP440" s="49"/>
      <c r="AR440" s="127"/>
      <c r="BA440" s="127"/>
    </row>
    <row r="441">
      <c r="F441" s="77"/>
      <c r="G441" s="77"/>
      <c r="R441" s="223"/>
      <c r="AL441" s="49"/>
      <c r="AM441" s="49"/>
      <c r="AN441" s="49">
        <v>-0.5</v>
      </c>
      <c r="AO441" s="49">
        <v>-0.5</v>
      </c>
      <c r="AP441" s="49"/>
      <c r="AR441" s="127"/>
      <c r="BA441" s="127"/>
    </row>
    <row r="442">
      <c r="F442" s="77"/>
      <c r="G442" s="77"/>
      <c r="R442" s="223"/>
      <c r="AL442" s="49"/>
      <c r="AM442" s="49"/>
      <c r="AN442" s="49">
        <v>-0.5</v>
      </c>
      <c r="AO442" s="49">
        <v>-0.5</v>
      </c>
      <c r="AP442" s="49"/>
      <c r="AR442" s="127"/>
      <c r="BA442" s="127"/>
    </row>
    <row r="443">
      <c r="F443" s="77"/>
      <c r="G443" s="77"/>
      <c r="R443" s="223"/>
      <c r="AL443" s="49"/>
      <c r="AM443" s="49"/>
      <c r="AN443" s="49">
        <v>-0.5</v>
      </c>
      <c r="AO443" s="49">
        <v>-0.5</v>
      </c>
      <c r="AP443" s="49"/>
      <c r="AR443" s="127"/>
      <c r="BA443" s="127"/>
    </row>
    <row r="444">
      <c r="F444" s="77"/>
      <c r="G444" s="77"/>
      <c r="R444" s="223"/>
      <c r="AL444" s="49"/>
      <c r="AM444" s="49"/>
      <c r="AN444" s="49">
        <v>-0.5</v>
      </c>
      <c r="AO444" s="49">
        <v>-0.5</v>
      </c>
      <c r="AP444" s="49"/>
      <c r="AR444" s="127"/>
      <c r="BA444" s="127"/>
    </row>
    <row r="445">
      <c r="F445" s="77"/>
      <c r="G445" s="77"/>
      <c r="R445" s="223"/>
      <c r="AL445" s="49"/>
      <c r="AM445" s="49"/>
      <c r="AN445" s="49">
        <v>-0.5</v>
      </c>
      <c r="AO445" s="49">
        <v>-0.5</v>
      </c>
      <c r="AP445" s="49"/>
      <c r="AR445" s="127"/>
      <c r="BA445" s="127"/>
    </row>
    <row r="446">
      <c r="F446" s="77"/>
      <c r="G446" s="77"/>
      <c r="R446" s="223"/>
      <c r="AL446" s="49"/>
      <c r="AM446" s="49"/>
      <c r="AN446" s="49">
        <v>-0.5</v>
      </c>
      <c r="AO446" s="49">
        <v>-0.5</v>
      </c>
      <c r="AP446" s="49"/>
      <c r="AR446" s="127"/>
      <c r="BA446" s="127"/>
    </row>
    <row r="447">
      <c r="F447" s="77"/>
      <c r="G447" s="77"/>
      <c r="R447" s="223"/>
      <c r="AL447" s="49"/>
      <c r="AM447" s="49"/>
      <c r="AN447" s="49">
        <v>-0.5</v>
      </c>
      <c r="AO447" s="49">
        <v>-0.5</v>
      </c>
      <c r="AP447" s="49"/>
      <c r="AR447" s="127"/>
      <c r="BA447" s="127"/>
    </row>
    <row r="448">
      <c r="F448" s="77"/>
      <c r="G448" s="77"/>
      <c r="R448" s="223"/>
      <c r="AL448" s="49"/>
      <c r="AM448" s="49"/>
      <c r="AN448" s="49">
        <v>-0.5</v>
      </c>
      <c r="AO448" s="49">
        <v>-0.5</v>
      </c>
      <c r="AP448" s="49"/>
      <c r="AR448" s="127"/>
      <c r="BA448" s="127"/>
    </row>
    <row r="449">
      <c r="F449" s="77"/>
      <c r="G449" s="77"/>
      <c r="R449" s="223"/>
      <c r="AL449" s="49"/>
      <c r="AM449" s="49"/>
      <c r="AN449" s="49">
        <v>-0.5</v>
      </c>
      <c r="AO449" s="49">
        <v>-0.5</v>
      </c>
      <c r="AP449" s="49"/>
      <c r="AR449" s="127"/>
      <c r="BA449" s="127"/>
    </row>
    <row r="450">
      <c r="F450" s="77"/>
      <c r="G450" s="77"/>
      <c r="R450" s="223"/>
      <c r="AL450" s="49"/>
      <c r="AM450" s="49"/>
      <c r="AN450" s="49">
        <v>-0.5</v>
      </c>
      <c r="AO450" s="49">
        <v>-0.5</v>
      </c>
      <c r="AP450" s="49"/>
      <c r="AR450" s="127"/>
      <c r="BA450" s="127"/>
    </row>
    <row r="451">
      <c r="F451" s="77"/>
      <c r="G451" s="77"/>
      <c r="R451" s="223"/>
      <c r="AL451" s="49"/>
      <c r="AM451" s="49"/>
      <c r="AN451" s="49">
        <v>-0.5</v>
      </c>
      <c r="AO451" s="49">
        <v>-0.5</v>
      </c>
      <c r="AP451" s="49"/>
      <c r="AR451" s="127"/>
      <c r="BA451" s="127"/>
    </row>
    <row r="452">
      <c r="F452" s="77"/>
      <c r="G452" s="77"/>
      <c r="R452" s="223"/>
      <c r="AL452" s="49"/>
      <c r="AM452" s="49"/>
      <c r="AN452" s="49">
        <v>-0.5</v>
      </c>
      <c r="AO452" s="49">
        <v>-0.5</v>
      </c>
      <c r="AP452" s="49"/>
      <c r="AR452" s="127"/>
      <c r="BA452" s="127"/>
    </row>
    <row r="453">
      <c r="F453" s="77"/>
      <c r="G453" s="77"/>
      <c r="R453" s="223"/>
      <c r="AL453" s="49"/>
      <c r="AM453" s="49"/>
      <c r="AN453" s="49">
        <v>-0.5</v>
      </c>
      <c r="AO453" s="49">
        <v>-0.5</v>
      </c>
      <c r="AP453" s="49"/>
      <c r="AR453" s="127"/>
      <c r="BA453" s="127"/>
    </row>
    <row r="454">
      <c r="F454" s="77"/>
      <c r="G454" s="77"/>
      <c r="R454" s="223"/>
      <c r="AL454" s="49"/>
      <c r="AM454" s="49"/>
      <c r="AN454" s="49">
        <v>-0.5</v>
      </c>
      <c r="AO454" s="49">
        <v>-0.5</v>
      </c>
      <c r="AP454" s="49"/>
      <c r="AR454" s="127"/>
      <c r="BA454" s="127"/>
    </row>
    <row r="455">
      <c r="F455" s="77"/>
      <c r="G455" s="77"/>
      <c r="R455" s="223"/>
      <c r="AL455" s="49"/>
      <c r="AM455" s="49"/>
      <c r="AN455" s="49">
        <v>-0.5</v>
      </c>
      <c r="AO455" s="49">
        <v>-0.5</v>
      </c>
      <c r="AP455" s="49"/>
      <c r="AR455" s="127"/>
      <c r="BA455" s="127"/>
    </row>
    <row r="456">
      <c r="F456" s="77"/>
      <c r="G456" s="77"/>
      <c r="R456" s="223"/>
      <c r="AL456" s="49"/>
      <c r="AM456" s="49"/>
      <c r="AN456" s="49">
        <v>-0.5</v>
      </c>
      <c r="AO456" s="49">
        <v>-0.5</v>
      </c>
      <c r="AP456" s="49"/>
      <c r="AR456" s="127"/>
      <c r="BA456" s="127"/>
    </row>
    <row r="457">
      <c r="F457" s="77"/>
      <c r="G457" s="77"/>
      <c r="R457" s="223"/>
      <c r="AL457" s="49"/>
      <c r="AM457" s="49"/>
      <c r="AN457" s="49">
        <v>-0.5</v>
      </c>
      <c r="AO457" s="49">
        <v>-0.5</v>
      </c>
      <c r="AP457" s="49"/>
      <c r="AR457" s="127"/>
      <c r="BA457" s="127"/>
    </row>
    <row r="458">
      <c r="F458" s="77"/>
      <c r="G458" s="77"/>
      <c r="R458" s="223"/>
      <c r="AL458" s="49"/>
      <c r="AM458" s="49"/>
      <c r="AN458" s="49">
        <v>-0.5</v>
      </c>
      <c r="AO458" s="49">
        <v>-0.5</v>
      </c>
      <c r="AP458" s="49"/>
      <c r="AR458" s="127"/>
      <c r="BA458" s="127"/>
    </row>
    <row r="459">
      <c r="F459" s="77"/>
      <c r="G459" s="77"/>
      <c r="R459" s="223"/>
      <c r="AL459" s="49"/>
      <c r="AM459" s="49"/>
      <c r="AN459" s="49">
        <v>-0.5</v>
      </c>
      <c r="AO459" s="49">
        <v>-0.5</v>
      </c>
      <c r="AP459" s="49"/>
      <c r="AR459" s="127"/>
      <c r="BA459" s="127"/>
    </row>
    <row r="460">
      <c r="F460" s="77"/>
      <c r="G460" s="77"/>
      <c r="R460" s="223"/>
      <c r="AL460" s="49"/>
      <c r="AM460" s="49"/>
      <c r="AN460" s="49">
        <v>-0.5</v>
      </c>
      <c r="AO460" s="49">
        <v>-0.5</v>
      </c>
      <c r="AP460" s="49"/>
      <c r="AR460" s="127"/>
      <c r="BA460" s="127"/>
    </row>
    <row r="461">
      <c r="F461" s="77"/>
      <c r="G461" s="77"/>
      <c r="R461" s="223"/>
      <c r="AL461" s="49"/>
      <c r="AM461" s="49"/>
      <c r="AN461" s="49">
        <v>-0.5</v>
      </c>
      <c r="AO461" s="49">
        <v>-0.5</v>
      </c>
      <c r="AP461" s="49"/>
      <c r="AR461" s="127"/>
      <c r="BA461" s="127"/>
    </row>
    <row r="462">
      <c r="F462" s="77"/>
      <c r="G462" s="77"/>
      <c r="R462" s="223"/>
      <c r="AL462" s="49"/>
      <c r="AM462" s="49"/>
      <c r="AN462" s="49">
        <v>-0.5</v>
      </c>
      <c r="AO462" s="49">
        <v>-0.5</v>
      </c>
      <c r="AP462" s="49"/>
      <c r="AR462" s="127"/>
      <c r="BA462" s="127"/>
    </row>
    <row r="463">
      <c r="F463" s="77"/>
      <c r="G463" s="77"/>
      <c r="R463" s="223"/>
      <c r="AL463" s="49"/>
      <c r="AM463" s="49"/>
      <c r="AN463" s="49">
        <v>-0.5</v>
      </c>
      <c r="AO463" s="49">
        <v>-0.5</v>
      </c>
      <c r="AP463" s="49"/>
      <c r="AR463" s="127"/>
      <c r="BA463" s="127"/>
    </row>
    <row r="464">
      <c r="F464" s="77"/>
      <c r="G464" s="77"/>
      <c r="R464" s="223"/>
      <c r="AL464" s="49"/>
      <c r="AM464" s="49"/>
      <c r="AN464" s="49">
        <v>-0.5</v>
      </c>
      <c r="AO464" s="49">
        <v>-0.5</v>
      </c>
      <c r="AP464" s="49"/>
      <c r="AR464" s="127"/>
      <c r="BA464" s="127"/>
    </row>
    <row r="465">
      <c r="F465" s="77"/>
      <c r="G465" s="77"/>
      <c r="R465" s="223"/>
      <c r="AL465" s="49"/>
      <c r="AM465" s="49"/>
      <c r="AN465" s="49">
        <v>-0.5</v>
      </c>
      <c r="AO465" s="49">
        <v>-0.5</v>
      </c>
      <c r="AP465" s="49"/>
      <c r="AR465" s="127"/>
      <c r="BA465" s="127"/>
    </row>
    <row r="466">
      <c r="F466" s="77"/>
      <c r="G466" s="77"/>
      <c r="R466" s="223"/>
      <c r="AL466" s="49"/>
      <c r="AM466" s="49"/>
      <c r="AN466" s="49">
        <v>-0.5</v>
      </c>
      <c r="AO466" s="49">
        <v>-0.5</v>
      </c>
      <c r="AP466" s="49"/>
      <c r="AR466" s="127"/>
      <c r="BA466" s="127"/>
    </row>
    <row r="467">
      <c r="F467" s="77"/>
      <c r="G467" s="77"/>
      <c r="R467" s="223"/>
      <c r="AL467" s="49"/>
      <c r="AM467" s="49"/>
      <c r="AN467" s="49">
        <v>-0.5</v>
      </c>
      <c r="AO467" s="49">
        <v>-0.5</v>
      </c>
      <c r="AP467" s="49"/>
      <c r="AR467" s="127"/>
      <c r="BA467" s="127"/>
    </row>
    <row r="468">
      <c r="F468" s="77"/>
      <c r="G468" s="77"/>
      <c r="R468" s="223"/>
      <c r="AL468" s="49"/>
      <c r="AM468" s="49"/>
      <c r="AN468" s="49">
        <v>-0.5</v>
      </c>
      <c r="AO468" s="49">
        <v>-0.5</v>
      </c>
      <c r="AP468" s="49"/>
      <c r="AR468" s="127"/>
      <c r="BA468" s="127"/>
    </row>
    <row r="469">
      <c r="F469" s="77"/>
      <c r="G469" s="77"/>
      <c r="R469" s="223"/>
      <c r="AL469" s="49"/>
      <c r="AM469" s="49"/>
      <c r="AN469" s="49">
        <v>-0.5</v>
      </c>
      <c r="AO469" s="49">
        <v>-0.5</v>
      </c>
      <c r="AP469" s="49"/>
      <c r="AR469" s="127"/>
      <c r="BA469" s="127"/>
    </row>
    <row r="470">
      <c r="F470" s="77"/>
      <c r="G470" s="77"/>
      <c r="R470" s="223"/>
      <c r="AL470" s="49"/>
      <c r="AM470" s="49"/>
      <c r="AN470" s="49">
        <v>-0.5</v>
      </c>
      <c r="AO470" s="49">
        <v>-0.5</v>
      </c>
      <c r="AP470" s="49"/>
      <c r="AR470" s="127"/>
      <c r="BA470" s="127"/>
    </row>
    <row r="471">
      <c r="F471" s="77"/>
      <c r="G471" s="77"/>
      <c r="R471" s="223"/>
      <c r="AL471" s="49"/>
      <c r="AM471" s="49"/>
      <c r="AN471" s="49">
        <v>-0.5</v>
      </c>
      <c r="AO471" s="49">
        <v>-0.5</v>
      </c>
      <c r="AP471" s="49"/>
      <c r="AR471" s="127"/>
      <c r="BA471" s="127"/>
    </row>
    <row r="472">
      <c r="F472" s="77"/>
      <c r="G472" s="77"/>
      <c r="R472" s="223"/>
      <c r="AL472" s="49"/>
      <c r="AM472" s="49"/>
      <c r="AN472" s="49">
        <v>-0.5</v>
      </c>
      <c r="AO472" s="49">
        <v>-0.5</v>
      </c>
      <c r="AP472" s="49"/>
      <c r="AR472" s="127"/>
      <c r="BA472" s="127"/>
    </row>
    <row r="473">
      <c r="F473" s="77"/>
      <c r="G473" s="77"/>
      <c r="R473" s="223"/>
      <c r="AL473" s="49"/>
      <c r="AM473" s="49"/>
      <c r="AN473" s="49">
        <v>-0.5</v>
      </c>
      <c r="AO473" s="49">
        <v>-0.5</v>
      </c>
      <c r="AP473" s="49"/>
      <c r="AR473" s="127"/>
      <c r="BA473" s="127"/>
    </row>
    <row r="474">
      <c r="F474" s="77"/>
      <c r="G474" s="77"/>
      <c r="R474" s="223"/>
      <c r="AL474" s="49"/>
      <c r="AM474" s="49"/>
      <c r="AN474" s="49">
        <v>-0.5</v>
      </c>
      <c r="AO474" s="49">
        <v>-0.5</v>
      </c>
      <c r="AP474" s="49"/>
      <c r="AR474" s="127"/>
      <c r="BA474" s="127"/>
    </row>
    <row r="475">
      <c r="F475" s="77"/>
      <c r="G475" s="77"/>
      <c r="R475" s="223"/>
      <c r="AL475" s="49"/>
      <c r="AM475" s="49"/>
      <c r="AN475" s="49">
        <v>-0.5</v>
      </c>
      <c r="AO475" s="49">
        <v>-0.5</v>
      </c>
      <c r="AP475" s="49"/>
      <c r="AR475" s="127"/>
      <c r="BA475" s="127"/>
    </row>
    <row r="476">
      <c r="F476" s="77"/>
      <c r="G476" s="77"/>
      <c r="R476" s="223"/>
      <c r="AL476" s="49"/>
      <c r="AM476" s="49"/>
      <c r="AN476" s="49">
        <v>-0.5</v>
      </c>
      <c r="AO476" s="49">
        <v>-0.5</v>
      </c>
      <c r="AP476" s="49"/>
      <c r="AR476" s="127"/>
      <c r="BA476" s="127"/>
    </row>
    <row r="477">
      <c r="F477" s="77"/>
      <c r="G477" s="77"/>
      <c r="R477" s="223"/>
      <c r="AL477" s="49"/>
      <c r="AM477" s="49"/>
      <c r="AN477" s="49">
        <v>-0.5</v>
      </c>
      <c r="AO477" s="49">
        <v>-0.5</v>
      </c>
      <c r="AP477" s="49"/>
      <c r="AR477" s="127"/>
      <c r="BA477" s="127"/>
    </row>
    <row r="478">
      <c r="F478" s="77"/>
      <c r="G478" s="77"/>
      <c r="R478" s="223"/>
      <c r="AL478" s="49"/>
      <c r="AM478" s="49"/>
      <c r="AN478" s="49">
        <v>-0.5</v>
      </c>
      <c r="AO478" s="49">
        <v>-0.5</v>
      </c>
      <c r="AP478" s="49"/>
      <c r="AR478" s="127"/>
      <c r="BA478" s="127"/>
    </row>
    <row r="479">
      <c r="F479" s="77"/>
      <c r="G479" s="77"/>
      <c r="R479" s="223"/>
      <c r="AL479" s="49"/>
      <c r="AM479" s="49"/>
      <c r="AN479" s="49">
        <v>-0.5</v>
      </c>
      <c r="AO479" s="49">
        <v>-0.5</v>
      </c>
      <c r="AP479" s="49"/>
      <c r="AR479" s="127"/>
      <c r="BA479" s="127"/>
    </row>
    <row r="480">
      <c r="F480" s="77"/>
      <c r="G480" s="77"/>
      <c r="R480" s="223"/>
      <c r="AL480" s="49"/>
      <c r="AM480" s="49"/>
      <c r="AN480" s="49">
        <v>-0.5</v>
      </c>
      <c r="AO480" s="49">
        <v>-0.5</v>
      </c>
      <c r="AP480" s="49"/>
      <c r="AR480" s="127"/>
      <c r="BA480" s="127"/>
    </row>
    <row r="481">
      <c r="F481" s="77"/>
      <c r="G481" s="77"/>
      <c r="R481" s="223"/>
      <c r="AL481" s="49"/>
      <c r="AM481" s="49"/>
      <c r="AN481" s="49">
        <v>-0.5</v>
      </c>
      <c r="AO481" s="49">
        <v>-0.5</v>
      </c>
      <c r="AP481" s="49"/>
      <c r="AR481" s="127"/>
      <c r="BA481" s="127"/>
    </row>
    <row r="482">
      <c r="F482" s="77"/>
      <c r="G482" s="77"/>
      <c r="R482" s="223"/>
      <c r="AL482" s="49"/>
      <c r="AM482" s="49"/>
      <c r="AN482" s="49">
        <v>-0.5</v>
      </c>
      <c r="AO482" s="49">
        <v>-0.5</v>
      </c>
      <c r="AP482" s="49"/>
      <c r="AR482" s="127"/>
      <c r="BA482" s="127"/>
    </row>
    <row r="483">
      <c r="F483" s="77"/>
      <c r="G483" s="77"/>
      <c r="R483" s="223"/>
      <c r="AL483" s="49"/>
      <c r="AM483" s="49"/>
      <c r="AN483" s="49">
        <v>-0.5</v>
      </c>
      <c r="AO483" s="49">
        <v>-0.5</v>
      </c>
      <c r="AP483" s="49"/>
      <c r="AR483" s="127"/>
      <c r="BA483" s="127"/>
    </row>
    <row r="484">
      <c r="F484" s="77"/>
      <c r="G484" s="77"/>
      <c r="R484" s="223"/>
      <c r="AL484" s="49"/>
      <c r="AM484" s="49"/>
      <c r="AN484" s="49">
        <v>-0.5</v>
      </c>
      <c r="AO484" s="49">
        <v>-0.5</v>
      </c>
      <c r="AP484" s="49"/>
      <c r="AR484" s="127"/>
      <c r="BA484" s="127"/>
    </row>
    <row r="485">
      <c r="F485" s="77"/>
      <c r="G485" s="77"/>
      <c r="R485" s="223"/>
      <c r="AL485" s="49"/>
      <c r="AM485" s="49"/>
      <c r="AN485" s="49">
        <v>-0.5</v>
      </c>
      <c r="AO485" s="49">
        <v>-0.5</v>
      </c>
      <c r="AP485" s="49"/>
      <c r="AR485" s="127"/>
      <c r="BA485" s="127"/>
    </row>
    <row r="486">
      <c r="F486" s="77"/>
      <c r="G486" s="77"/>
      <c r="R486" s="223"/>
      <c r="AL486" s="49"/>
      <c r="AM486" s="49"/>
      <c r="AN486" s="49">
        <v>-0.5</v>
      </c>
      <c r="AO486" s="49">
        <v>-0.5</v>
      </c>
      <c r="AP486" s="49"/>
      <c r="AR486" s="127"/>
      <c r="BA486" s="127"/>
    </row>
    <row r="487">
      <c r="F487" s="77"/>
      <c r="G487" s="77"/>
      <c r="R487" s="223"/>
      <c r="AL487" s="49"/>
      <c r="AM487" s="49"/>
      <c r="AN487" s="49">
        <v>-0.5</v>
      </c>
      <c r="AO487" s="49">
        <v>-0.5</v>
      </c>
      <c r="AP487" s="49"/>
      <c r="AR487" s="127"/>
      <c r="BA487" s="127"/>
    </row>
    <row r="488">
      <c r="F488" s="77"/>
      <c r="G488" s="77"/>
      <c r="R488" s="223"/>
      <c r="AL488" s="49"/>
      <c r="AM488" s="49"/>
      <c r="AN488" s="49">
        <v>-0.5</v>
      </c>
      <c r="AO488" s="49">
        <v>-0.5</v>
      </c>
      <c r="AP488" s="49"/>
      <c r="AR488" s="127"/>
      <c r="BA488" s="127"/>
    </row>
    <row r="489">
      <c r="F489" s="77"/>
      <c r="G489" s="77"/>
      <c r="R489" s="223"/>
      <c r="AL489" s="49"/>
      <c r="AM489" s="49"/>
      <c r="AN489" s="49">
        <v>-0.5</v>
      </c>
      <c r="AO489" s="49">
        <v>-0.5</v>
      </c>
      <c r="AP489" s="49"/>
      <c r="AR489" s="127"/>
      <c r="BA489" s="127"/>
    </row>
    <row r="490">
      <c r="F490" s="77"/>
      <c r="G490" s="77"/>
      <c r="R490" s="223"/>
      <c r="AL490" s="49"/>
      <c r="AM490" s="49"/>
      <c r="AN490" s="49">
        <v>-0.5</v>
      </c>
      <c r="AO490" s="49">
        <v>-0.5</v>
      </c>
      <c r="AP490" s="49"/>
      <c r="AR490" s="127"/>
      <c r="BA490" s="127"/>
    </row>
    <row r="491">
      <c r="F491" s="77"/>
      <c r="G491" s="77"/>
      <c r="R491" s="223"/>
      <c r="AL491" s="49"/>
      <c r="AM491" s="49"/>
      <c r="AN491" s="49">
        <v>-0.5</v>
      </c>
      <c r="AO491" s="49">
        <v>-0.5</v>
      </c>
      <c r="AP491" s="49"/>
      <c r="AR491" s="127"/>
      <c r="BA491" s="127"/>
    </row>
    <row r="492">
      <c r="F492" s="77"/>
      <c r="G492" s="77"/>
      <c r="R492" s="223"/>
      <c r="AL492" s="49"/>
      <c r="AM492" s="49"/>
      <c r="AN492" s="49">
        <v>-0.5</v>
      </c>
      <c r="AO492" s="49">
        <v>-0.5</v>
      </c>
      <c r="AP492" s="49"/>
      <c r="AR492" s="127"/>
      <c r="BA492" s="127"/>
    </row>
    <row r="493">
      <c r="F493" s="77"/>
      <c r="G493" s="77"/>
      <c r="R493" s="223"/>
      <c r="AL493" s="49"/>
      <c r="AM493" s="49"/>
      <c r="AN493" s="49">
        <v>-0.5</v>
      </c>
      <c r="AO493" s="49">
        <v>-0.5</v>
      </c>
      <c r="AP493" s="49"/>
      <c r="AR493" s="127"/>
      <c r="BA493" s="127"/>
    </row>
    <row r="494">
      <c r="F494" s="77"/>
      <c r="G494" s="77"/>
      <c r="R494" s="223"/>
      <c r="AL494" s="49"/>
      <c r="AM494" s="49"/>
      <c r="AN494" s="49">
        <v>-0.5</v>
      </c>
      <c r="AO494" s="49">
        <v>-0.5</v>
      </c>
      <c r="AP494" s="49"/>
      <c r="AR494" s="127"/>
      <c r="BA494" s="127"/>
    </row>
    <row r="495">
      <c r="F495" s="77"/>
      <c r="G495" s="77"/>
      <c r="R495" s="223"/>
      <c r="AL495" s="49"/>
      <c r="AM495" s="49"/>
      <c r="AN495" s="49">
        <v>-0.5</v>
      </c>
      <c r="AO495" s="49">
        <v>-0.5</v>
      </c>
      <c r="AP495" s="49"/>
      <c r="AR495" s="127"/>
      <c r="BA495" s="127"/>
    </row>
    <row r="496">
      <c r="F496" s="77"/>
      <c r="G496" s="77"/>
      <c r="R496" s="223"/>
      <c r="AL496" s="49"/>
      <c r="AM496" s="49"/>
      <c r="AN496" s="49">
        <v>-0.5</v>
      </c>
      <c r="AO496" s="49">
        <v>-0.5</v>
      </c>
      <c r="AP496" s="49"/>
      <c r="AR496" s="127"/>
      <c r="BA496" s="127"/>
    </row>
    <row r="497">
      <c r="F497" s="77"/>
      <c r="G497" s="77"/>
      <c r="R497" s="223"/>
      <c r="AL497" s="49"/>
      <c r="AM497" s="49"/>
      <c r="AN497" s="49">
        <v>-0.5</v>
      </c>
      <c r="AO497" s="49">
        <v>-0.5</v>
      </c>
      <c r="AP497" s="49"/>
      <c r="AR497" s="127"/>
      <c r="BA497" s="127"/>
    </row>
    <row r="498">
      <c r="F498" s="77"/>
      <c r="G498" s="77"/>
      <c r="R498" s="223"/>
      <c r="AL498" s="49"/>
      <c r="AM498" s="49"/>
      <c r="AN498" s="49">
        <v>-0.5</v>
      </c>
      <c r="AO498" s="49">
        <v>-0.5</v>
      </c>
      <c r="AP498" s="49"/>
      <c r="AR498" s="127"/>
      <c r="BA498" s="127"/>
    </row>
    <row r="499">
      <c r="F499" s="77"/>
      <c r="G499" s="77"/>
      <c r="R499" s="223"/>
      <c r="AL499" s="49"/>
      <c r="AM499" s="49"/>
      <c r="AN499" s="49">
        <v>-0.5</v>
      </c>
      <c r="AO499" s="49">
        <v>-0.5</v>
      </c>
      <c r="AP499" s="49"/>
      <c r="AR499" s="127"/>
      <c r="BA499" s="127"/>
    </row>
    <row r="500">
      <c r="F500" s="77"/>
      <c r="G500" s="77"/>
      <c r="R500" s="223"/>
      <c r="AL500" s="49"/>
      <c r="AM500" s="49"/>
      <c r="AN500" s="49">
        <v>-0.5</v>
      </c>
      <c r="AO500" s="49">
        <v>-0.5</v>
      </c>
      <c r="AP500" s="49"/>
      <c r="AR500" s="127"/>
      <c r="BA500" s="127"/>
    </row>
    <row r="501">
      <c r="F501" s="77"/>
      <c r="G501" s="77"/>
      <c r="R501" s="223"/>
      <c r="AL501" s="49"/>
      <c r="AM501" s="49"/>
      <c r="AN501" s="49">
        <v>-0.5</v>
      </c>
      <c r="AO501" s="49">
        <v>-0.5</v>
      </c>
      <c r="AP501" s="49"/>
      <c r="AR501" s="127"/>
      <c r="BA501" s="127"/>
    </row>
    <row r="502">
      <c r="F502" s="77"/>
      <c r="G502" s="77"/>
      <c r="R502" s="223"/>
      <c r="AL502" s="49"/>
      <c r="AM502" s="49"/>
      <c r="AN502" s="49">
        <v>-0.5</v>
      </c>
      <c r="AO502" s="49">
        <v>-0.5</v>
      </c>
      <c r="AP502" s="49"/>
      <c r="AR502" s="127"/>
      <c r="BA502" s="127"/>
    </row>
    <row r="503">
      <c r="F503" s="77"/>
      <c r="G503" s="77"/>
      <c r="R503" s="223"/>
      <c r="AL503" s="49"/>
      <c r="AM503" s="49"/>
      <c r="AN503" s="49">
        <v>-0.5</v>
      </c>
      <c r="AO503" s="49">
        <v>-0.5</v>
      </c>
      <c r="AP503" s="49"/>
      <c r="AR503" s="127"/>
      <c r="BA503" s="127"/>
    </row>
    <row r="504">
      <c r="F504" s="77"/>
      <c r="G504" s="77"/>
      <c r="R504" s="223"/>
      <c r="AL504" s="49"/>
      <c r="AM504" s="49"/>
      <c r="AN504" s="49">
        <v>-0.5</v>
      </c>
      <c r="AO504" s="49">
        <v>-0.5</v>
      </c>
      <c r="AP504" s="49"/>
      <c r="AR504" s="127"/>
      <c r="BA504" s="127"/>
    </row>
    <row r="505">
      <c r="F505" s="77"/>
      <c r="G505" s="77"/>
      <c r="R505" s="223"/>
      <c r="AL505" s="49"/>
      <c r="AM505" s="49"/>
      <c r="AN505" s="49">
        <v>-0.5</v>
      </c>
      <c r="AO505" s="49">
        <v>-0.5</v>
      </c>
      <c r="AP505" s="49"/>
      <c r="AR505" s="127"/>
      <c r="BA505" s="127"/>
    </row>
    <row r="506">
      <c r="F506" s="77"/>
      <c r="G506" s="77"/>
      <c r="R506" s="223"/>
      <c r="AL506" s="49"/>
      <c r="AM506" s="49"/>
      <c r="AN506" s="49">
        <v>-0.5</v>
      </c>
      <c r="AO506" s="49">
        <v>-0.5</v>
      </c>
      <c r="AP506" s="49"/>
      <c r="AR506" s="127"/>
      <c r="BA506" s="127"/>
    </row>
    <row r="507">
      <c r="F507" s="77"/>
      <c r="G507" s="77"/>
      <c r="R507" s="223"/>
      <c r="AL507" s="49"/>
      <c r="AM507" s="49"/>
      <c r="AN507" s="49">
        <v>-0.5</v>
      </c>
      <c r="AO507" s="49">
        <v>-0.5</v>
      </c>
      <c r="AP507" s="49"/>
      <c r="AR507" s="127"/>
      <c r="BA507" s="127"/>
    </row>
    <row r="508">
      <c r="F508" s="77"/>
      <c r="G508" s="77"/>
      <c r="R508" s="223"/>
      <c r="AL508" s="49"/>
      <c r="AM508" s="49"/>
      <c r="AN508" s="49">
        <v>-0.5</v>
      </c>
      <c r="AO508" s="49">
        <v>-0.5</v>
      </c>
      <c r="AP508" s="49"/>
      <c r="AR508" s="127"/>
      <c r="BA508" s="127"/>
    </row>
    <row r="509">
      <c r="F509" s="77"/>
      <c r="G509" s="77"/>
      <c r="R509" s="223"/>
      <c r="AL509" s="49"/>
      <c r="AM509" s="49"/>
      <c r="AN509" s="49">
        <v>-0.5</v>
      </c>
      <c r="AO509" s="49">
        <v>-0.5</v>
      </c>
      <c r="AP509" s="49"/>
      <c r="AR509" s="127"/>
      <c r="BA509" s="127"/>
    </row>
    <row r="510">
      <c r="F510" s="77"/>
      <c r="G510" s="77"/>
      <c r="R510" s="223"/>
      <c r="AL510" s="49"/>
      <c r="AM510" s="49"/>
      <c r="AN510" s="49">
        <v>-0.5</v>
      </c>
      <c r="AO510" s="49">
        <v>-0.5</v>
      </c>
      <c r="AP510" s="49"/>
      <c r="AR510" s="127"/>
      <c r="BA510" s="127"/>
    </row>
    <row r="511">
      <c r="F511" s="77"/>
      <c r="G511" s="77"/>
      <c r="R511" s="223"/>
      <c r="AL511" s="49"/>
      <c r="AM511" s="49"/>
      <c r="AN511" s="49">
        <v>-0.5</v>
      </c>
      <c r="AO511" s="49">
        <v>-0.5</v>
      </c>
      <c r="AP511" s="49"/>
      <c r="AR511" s="127"/>
      <c r="BA511" s="127"/>
    </row>
    <row r="512">
      <c r="F512" s="77"/>
      <c r="G512" s="77"/>
      <c r="R512" s="223"/>
      <c r="AL512" s="49"/>
      <c r="AM512" s="49"/>
      <c r="AN512" s="49">
        <v>-0.5</v>
      </c>
      <c r="AO512" s="49">
        <v>-0.5</v>
      </c>
      <c r="AP512" s="49"/>
      <c r="AR512" s="127"/>
      <c r="BA512" s="127"/>
    </row>
    <row r="513">
      <c r="F513" s="77"/>
      <c r="G513" s="77"/>
      <c r="R513" s="223"/>
      <c r="AL513" s="49"/>
      <c r="AM513" s="49"/>
      <c r="AN513" s="49">
        <v>-0.5</v>
      </c>
      <c r="AO513" s="49">
        <v>-0.5</v>
      </c>
      <c r="AP513" s="49"/>
      <c r="AR513" s="127"/>
      <c r="BA513" s="127"/>
    </row>
    <row r="514">
      <c r="F514" s="77"/>
      <c r="G514" s="77"/>
      <c r="R514" s="223"/>
      <c r="AL514" s="49"/>
      <c r="AM514" s="49"/>
      <c r="AN514" s="49">
        <v>-0.5</v>
      </c>
      <c r="AO514" s="49">
        <v>-0.5</v>
      </c>
      <c r="AP514" s="49"/>
      <c r="AR514" s="127"/>
      <c r="BA514" s="127"/>
    </row>
    <row r="515">
      <c r="F515" s="77"/>
      <c r="G515" s="77"/>
      <c r="R515" s="223"/>
      <c r="AL515" s="49"/>
      <c r="AM515" s="49"/>
      <c r="AN515" s="49">
        <v>-0.5</v>
      </c>
      <c r="AO515" s="49">
        <v>-0.5</v>
      </c>
      <c r="AP515" s="49"/>
      <c r="AR515" s="127"/>
      <c r="BA515" s="127"/>
    </row>
    <row r="516">
      <c r="F516" s="77"/>
      <c r="G516" s="77"/>
      <c r="R516" s="223"/>
      <c r="AL516" s="49"/>
      <c r="AM516" s="49"/>
      <c r="AN516" s="49">
        <v>-0.5</v>
      </c>
      <c r="AO516" s="49">
        <v>-0.5</v>
      </c>
      <c r="AP516" s="49"/>
      <c r="AR516" s="127"/>
      <c r="BA516" s="127"/>
    </row>
    <row r="517">
      <c r="F517" s="77"/>
      <c r="G517" s="77"/>
      <c r="R517" s="223"/>
      <c r="AL517" s="49"/>
      <c r="AM517" s="49"/>
      <c r="AN517" s="49">
        <v>-0.5</v>
      </c>
      <c r="AO517" s="49">
        <v>-0.5</v>
      </c>
      <c r="AP517" s="49"/>
      <c r="AR517" s="127"/>
      <c r="BA517" s="127"/>
    </row>
    <row r="518">
      <c r="F518" s="77"/>
      <c r="G518" s="77"/>
      <c r="R518" s="223"/>
      <c r="AL518" s="49"/>
      <c r="AM518" s="49"/>
      <c r="AN518" s="49">
        <v>-0.5</v>
      </c>
      <c r="AO518" s="49">
        <v>-0.5</v>
      </c>
      <c r="AP518" s="49"/>
      <c r="AR518" s="127"/>
      <c r="BA518" s="127"/>
    </row>
    <row r="519">
      <c r="F519" s="77"/>
      <c r="G519" s="77"/>
      <c r="R519" s="223"/>
      <c r="AL519" s="49"/>
      <c r="AM519" s="49"/>
      <c r="AN519" s="49">
        <v>-0.5</v>
      </c>
      <c r="AO519" s="49">
        <v>-0.5</v>
      </c>
      <c r="AP519" s="49"/>
      <c r="AR519" s="127"/>
      <c r="BA519" s="127"/>
    </row>
    <row r="520">
      <c r="F520" s="77"/>
      <c r="G520" s="77"/>
      <c r="R520" s="223"/>
      <c r="AL520" s="49"/>
      <c r="AM520" s="49"/>
      <c r="AN520" s="49">
        <v>-0.5</v>
      </c>
      <c r="AO520" s="49">
        <v>-0.5</v>
      </c>
      <c r="AP520" s="49"/>
      <c r="AR520" s="127"/>
      <c r="BA520" s="127"/>
    </row>
    <row r="521">
      <c r="F521" s="77"/>
      <c r="G521" s="77"/>
      <c r="R521" s="223"/>
      <c r="AL521" s="49"/>
      <c r="AM521" s="49"/>
      <c r="AN521" s="49">
        <v>-0.5</v>
      </c>
      <c r="AO521" s="49">
        <v>-0.5</v>
      </c>
      <c r="AP521" s="49"/>
      <c r="AR521" s="127"/>
      <c r="BA521" s="127"/>
    </row>
    <row r="522">
      <c r="F522" s="77"/>
      <c r="G522" s="77"/>
      <c r="R522" s="223"/>
      <c r="AL522" s="49"/>
      <c r="AM522" s="49"/>
      <c r="AN522" s="49">
        <v>-0.5</v>
      </c>
      <c r="AO522" s="49">
        <v>-0.5</v>
      </c>
      <c r="AP522" s="49"/>
      <c r="AR522" s="127"/>
      <c r="BA522" s="127"/>
    </row>
    <row r="523">
      <c r="F523" s="77"/>
      <c r="G523" s="77"/>
      <c r="R523" s="223"/>
      <c r="AL523" s="49"/>
      <c r="AM523" s="49"/>
      <c r="AN523" s="49">
        <v>-0.5</v>
      </c>
      <c r="AO523" s="49">
        <v>-0.5</v>
      </c>
      <c r="AP523" s="49"/>
      <c r="AR523" s="127"/>
      <c r="BA523" s="127"/>
    </row>
    <row r="524">
      <c r="F524" s="77"/>
      <c r="G524" s="77"/>
      <c r="R524" s="223"/>
      <c r="AL524" s="49"/>
      <c r="AM524" s="49"/>
      <c r="AN524" s="49">
        <v>-0.5</v>
      </c>
      <c r="AO524" s="49">
        <v>-0.5</v>
      </c>
      <c r="AP524" s="49"/>
      <c r="AR524" s="127"/>
      <c r="BA524" s="127"/>
    </row>
    <row r="525">
      <c r="F525" s="77"/>
      <c r="G525" s="77"/>
      <c r="R525" s="223"/>
      <c r="AL525" s="49"/>
      <c r="AM525" s="49"/>
      <c r="AN525" s="49">
        <v>-0.5</v>
      </c>
      <c r="AO525" s="49">
        <v>-0.5</v>
      </c>
      <c r="AP525" s="49"/>
      <c r="AR525" s="127"/>
      <c r="BA525" s="127"/>
    </row>
    <row r="526">
      <c r="F526" s="77"/>
      <c r="G526" s="77"/>
      <c r="R526" s="223"/>
      <c r="AL526" s="49"/>
      <c r="AM526" s="49"/>
      <c r="AN526" s="49">
        <v>-0.5</v>
      </c>
      <c r="AO526" s="49">
        <v>-0.5</v>
      </c>
      <c r="AP526" s="49"/>
      <c r="AR526" s="127"/>
      <c r="BA526" s="127"/>
    </row>
    <row r="527">
      <c r="F527" s="77"/>
      <c r="G527" s="77"/>
      <c r="R527" s="223"/>
      <c r="AL527" s="49"/>
      <c r="AM527" s="49"/>
      <c r="AN527" s="49">
        <v>-0.5</v>
      </c>
      <c r="AO527" s="49">
        <v>-0.5</v>
      </c>
      <c r="AP527" s="49"/>
      <c r="AR527" s="127"/>
      <c r="BA527" s="127"/>
    </row>
    <row r="528">
      <c r="F528" s="77"/>
      <c r="G528" s="77"/>
      <c r="R528" s="223"/>
      <c r="AL528" s="49"/>
      <c r="AM528" s="49"/>
      <c r="AN528" s="49">
        <v>-0.5</v>
      </c>
      <c r="AO528" s="49">
        <v>-0.5</v>
      </c>
      <c r="AP528" s="49"/>
      <c r="AR528" s="127"/>
      <c r="BA528" s="127"/>
    </row>
    <row r="529">
      <c r="F529" s="77"/>
      <c r="G529" s="77"/>
      <c r="R529" s="223"/>
      <c r="AL529" s="49"/>
      <c r="AM529" s="49"/>
      <c r="AN529" s="49">
        <v>-0.5</v>
      </c>
      <c r="AO529" s="49">
        <v>-0.5</v>
      </c>
      <c r="AP529" s="49"/>
      <c r="AR529" s="127"/>
      <c r="BA529" s="127"/>
    </row>
    <row r="530">
      <c r="F530" s="77"/>
      <c r="G530" s="77"/>
      <c r="R530" s="223"/>
      <c r="AL530" s="49"/>
      <c r="AM530" s="49"/>
      <c r="AN530" s="49">
        <v>-0.5</v>
      </c>
      <c r="AO530" s="49">
        <v>-0.5</v>
      </c>
      <c r="AP530" s="49"/>
      <c r="AR530" s="127"/>
      <c r="BA530" s="127"/>
    </row>
    <row r="531">
      <c r="F531" s="77"/>
      <c r="G531" s="77"/>
      <c r="R531" s="223"/>
      <c r="AL531" s="49"/>
      <c r="AM531" s="49"/>
      <c r="AN531" s="49">
        <v>-0.5</v>
      </c>
      <c r="AO531" s="49">
        <v>-0.5</v>
      </c>
      <c r="AP531" s="49"/>
      <c r="AR531" s="127"/>
      <c r="BA531" s="127"/>
    </row>
    <row r="532">
      <c r="F532" s="77"/>
      <c r="G532" s="77"/>
      <c r="R532" s="223"/>
      <c r="AL532" s="49"/>
      <c r="AM532" s="49"/>
      <c r="AN532" s="49">
        <v>-0.5</v>
      </c>
      <c r="AO532" s="49">
        <v>-0.5</v>
      </c>
      <c r="AP532" s="49"/>
      <c r="AR532" s="127"/>
      <c r="BA532" s="127"/>
    </row>
    <row r="533">
      <c r="F533" s="77"/>
      <c r="G533" s="77"/>
      <c r="R533" s="223"/>
      <c r="AL533" s="49"/>
      <c r="AM533" s="49"/>
      <c r="AN533" s="49">
        <v>-0.5</v>
      </c>
      <c r="AO533" s="49">
        <v>-0.5</v>
      </c>
      <c r="AP533" s="49"/>
      <c r="AR533" s="127"/>
      <c r="BA533" s="127"/>
    </row>
    <row r="534">
      <c r="F534" s="77"/>
      <c r="G534" s="77"/>
      <c r="R534" s="223"/>
      <c r="AL534" s="49"/>
      <c r="AM534" s="49"/>
      <c r="AN534" s="49">
        <v>-0.5</v>
      </c>
      <c r="AO534" s="49">
        <v>-0.5</v>
      </c>
      <c r="AP534" s="49"/>
      <c r="AR534" s="127"/>
      <c r="BA534" s="127"/>
    </row>
    <row r="535">
      <c r="F535" s="77"/>
      <c r="G535" s="77"/>
      <c r="R535" s="223"/>
      <c r="AL535" s="49"/>
      <c r="AM535" s="49"/>
      <c r="AN535" s="49">
        <v>-0.5</v>
      </c>
      <c r="AO535" s="49">
        <v>-0.5</v>
      </c>
      <c r="AP535" s="49"/>
      <c r="AR535" s="127"/>
      <c r="BA535" s="127"/>
    </row>
    <row r="536">
      <c r="F536" s="77"/>
      <c r="G536" s="77"/>
      <c r="R536" s="223"/>
      <c r="AL536" s="49"/>
      <c r="AM536" s="49"/>
      <c r="AN536" s="49">
        <v>-0.5</v>
      </c>
      <c r="AO536" s="49">
        <v>-0.5</v>
      </c>
      <c r="AP536" s="49"/>
      <c r="AR536" s="127"/>
      <c r="BA536" s="127"/>
    </row>
    <row r="537">
      <c r="F537" s="77"/>
      <c r="G537" s="77"/>
      <c r="R537" s="223"/>
      <c r="AL537" s="49"/>
      <c r="AM537" s="49"/>
      <c r="AN537" s="49">
        <v>-0.5</v>
      </c>
      <c r="AO537" s="49">
        <v>-0.5</v>
      </c>
      <c r="AP537" s="49"/>
      <c r="AR537" s="127"/>
      <c r="BA537" s="127"/>
    </row>
    <row r="538">
      <c r="F538" s="77"/>
      <c r="G538" s="77"/>
      <c r="R538" s="223"/>
      <c r="AL538" s="49"/>
      <c r="AM538" s="49"/>
      <c r="AN538" s="49">
        <v>-0.5</v>
      </c>
      <c r="AO538" s="49">
        <v>-0.5</v>
      </c>
      <c r="AP538" s="49"/>
      <c r="AR538" s="127"/>
      <c r="BA538" s="127"/>
    </row>
    <row r="539">
      <c r="F539" s="77"/>
      <c r="G539" s="77"/>
      <c r="R539" s="223"/>
      <c r="AL539" s="49"/>
      <c r="AM539" s="49"/>
      <c r="AN539" s="49">
        <v>-0.5</v>
      </c>
      <c r="AO539" s="49">
        <v>-0.5</v>
      </c>
      <c r="AP539" s="49"/>
      <c r="AR539" s="127"/>
      <c r="BA539" s="127"/>
    </row>
    <row r="540">
      <c r="F540" s="77"/>
      <c r="G540" s="77"/>
      <c r="R540" s="223"/>
      <c r="AL540" s="49"/>
      <c r="AM540" s="49"/>
      <c r="AN540" s="49">
        <v>-0.5</v>
      </c>
      <c r="AO540" s="49">
        <v>-0.5</v>
      </c>
      <c r="AP540" s="49"/>
      <c r="AR540" s="127"/>
      <c r="BA540" s="127"/>
    </row>
    <row r="541">
      <c r="F541" s="77"/>
      <c r="G541" s="77"/>
      <c r="R541" s="223"/>
      <c r="AL541" s="49"/>
      <c r="AM541" s="49"/>
      <c r="AN541" s="49">
        <v>-0.5</v>
      </c>
      <c r="AO541" s="49">
        <v>-0.5</v>
      </c>
      <c r="AP541" s="49"/>
      <c r="AR541" s="127"/>
      <c r="BA541" s="127"/>
    </row>
    <row r="542">
      <c r="F542" s="77"/>
      <c r="G542" s="77"/>
      <c r="R542" s="223"/>
      <c r="AL542" s="49"/>
      <c r="AM542" s="49"/>
      <c r="AN542" s="49">
        <v>-0.5</v>
      </c>
      <c r="AO542" s="49">
        <v>-0.5</v>
      </c>
      <c r="AP542" s="49"/>
      <c r="AR542" s="127"/>
      <c r="BA542" s="127"/>
    </row>
    <row r="543">
      <c r="F543" s="77"/>
      <c r="G543" s="77"/>
      <c r="R543" s="223"/>
      <c r="AL543" s="49"/>
      <c r="AM543" s="49"/>
      <c r="AN543" s="49">
        <v>-0.5</v>
      </c>
      <c r="AO543" s="49">
        <v>-0.5</v>
      </c>
      <c r="AP543" s="49"/>
      <c r="AR543" s="127"/>
      <c r="BA543" s="127"/>
    </row>
    <row r="544">
      <c r="F544" s="77"/>
      <c r="G544" s="77"/>
      <c r="R544" s="223"/>
      <c r="AL544" s="49"/>
      <c r="AM544" s="49"/>
      <c r="AN544" s="49">
        <v>-0.5</v>
      </c>
      <c r="AO544" s="49">
        <v>-0.5</v>
      </c>
      <c r="AP544" s="49"/>
      <c r="AR544" s="127"/>
      <c r="BA544" s="127"/>
    </row>
    <row r="545">
      <c r="F545" s="77"/>
      <c r="G545" s="77"/>
      <c r="R545" s="223"/>
      <c r="AL545" s="49"/>
      <c r="AM545" s="49"/>
      <c r="AN545" s="49">
        <v>-0.5</v>
      </c>
      <c r="AO545" s="49">
        <v>-0.5</v>
      </c>
      <c r="AP545" s="49"/>
      <c r="AR545" s="127"/>
      <c r="BA545" s="127"/>
    </row>
    <row r="546">
      <c r="F546" s="77"/>
      <c r="G546" s="77"/>
      <c r="R546" s="223"/>
      <c r="AL546" s="49"/>
      <c r="AM546" s="49"/>
      <c r="AN546" s="49">
        <v>-0.5</v>
      </c>
      <c r="AO546" s="49">
        <v>-0.5</v>
      </c>
      <c r="AP546" s="49"/>
      <c r="AR546" s="127"/>
      <c r="BA546" s="127"/>
    </row>
    <row r="547">
      <c r="F547" s="77"/>
      <c r="G547" s="77"/>
      <c r="R547" s="223"/>
      <c r="AL547" s="49"/>
      <c r="AM547" s="49"/>
      <c r="AN547" s="49">
        <v>-0.5</v>
      </c>
      <c r="AO547" s="49">
        <v>-0.5</v>
      </c>
      <c r="AP547" s="49"/>
      <c r="AR547" s="127"/>
      <c r="BA547" s="127"/>
    </row>
    <row r="548">
      <c r="F548" s="77"/>
      <c r="G548" s="77"/>
      <c r="R548" s="223"/>
      <c r="AL548" s="49"/>
      <c r="AM548" s="49"/>
      <c r="AN548" s="49">
        <v>-0.5</v>
      </c>
      <c r="AO548" s="49">
        <v>-0.5</v>
      </c>
      <c r="AP548" s="49"/>
      <c r="AR548" s="127"/>
      <c r="BA548" s="127"/>
    </row>
    <row r="549">
      <c r="F549" s="77"/>
      <c r="G549" s="77"/>
      <c r="R549" s="223"/>
      <c r="AL549" s="49"/>
      <c r="AM549" s="49"/>
      <c r="AN549" s="49">
        <v>-0.5</v>
      </c>
      <c r="AO549" s="49">
        <v>-0.5</v>
      </c>
      <c r="AP549" s="49"/>
      <c r="AR549" s="127"/>
      <c r="BA549" s="127"/>
    </row>
    <row r="550">
      <c r="F550" s="77"/>
      <c r="G550" s="77"/>
      <c r="R550" s="223"/>
      <c r="AL550" s="49"/>
      <c r="AM550" s="49"/>
      <c r="AN550" s="49">
        <v>-0.5</v>
      </c>
      <c r="AO550" s="49">
        <v>-0.5</v>
      </c>
      <c r="AP550" s="49"/>
      <c r="AR550" s="127"/>
      <c r="BA550" s="127"/>
    </row>
    <row r="551">
      <c r="F551" s="77"/>
      <c r="G551" s="77"/>
      <c r="R551" s="223"/>
      <c r="AL551" s="49"/>
      <c r="AM551" s="49"/>
      <c r="AN551" s="49">
        <v>-0.5</v>
      </c>
      <c r="AO551" s="49">
        <v>-0.5</v>
      </c>
      <c r="AP551" s="49"/>
      <c r="AR551" s="127"/>
      <c r="BA551" s="127"/>
    </row>
    <row r="552">
      <c r="F552" s="77"/>
      <c r="G552" s="77"/>
      <c r="R552" s="223"/>
      <c r="AL552" s="49"/>
      <c r="AM552" s="49"/>
      <c r="AN552" s="49">
        <v>-0.5</v>
      </c>
      <c r="AO552" s="49">
        <v>-0.5</v>
      </c>
      <c r="AP552" s="49"/>
      <c r="AR552" s="127"/>
      <c r="BA552" s="127"/>
    </row>
    <row r="553">
      <c r="F553" s="77"/>
      <c r="G553" s="77"/>
      <c r="R553" s="223"/>
      <c r="AL553" s="49"/>
      <c r="AM553" s="49"/>
      <c r="AN553" s="49">
        <v>-0.5</v>
      </c>
      <c r="AO553" s="49">
        <v>-0.5</v>
      </c>
      <c r="AP553" s="49"/>
      <c r="AR553" s="127"/>
      <c r="BA553" s="127"/>
    </row>
    <row r="554">
      <c r="F554" s="77"/>
      <c r="G554" s="77"/>
      <c r="R554" s="223"/>
      <c r="AL554" s="49"/>
      <c r="AM554" s="49"/>
      <c r="AN554" s="49">
        <v>-0.5</v>
      </c>
      <c r="AO554" s="49">
        <v>-0.5</v>
      </c>
      <c r="AP554" s="49"/>
      <c r="AR554" s="127"/>
      <c r="BA554" s="127"/>
    </row>
    <row r="555">
      <c r="F555" s="77"/>
      <c r="G555" s="77"/>
      <c r="R555" s="223"/>
      <c r="AL555" s="49"/>
      <c r="AM555" s="49"/>
      <c r="AN555" s="49">
        <v>-0.5</v>
      </c>
      <c r="AO555" s="49">
        <v>-0.5</v>
      </c>
      <c r="AP555" s="49"/>
      <c r="AR555" s="127"/>
      <c r="BA555" s="127"/>
    </row>
    <row r="556">
      <c r="F556" s="77"/>
      <c r="G556" s="77"/>
      <c r="R556" s="223"/>
      <c r="AL556" s="49"/>
      <c r="AM556" s="49"/>
      <c r="AN556" s="49">
        <v>-0.5</v>
      </c>
      <c r="AO556" s="49">
        <v>-0.5</v>
      </c>
      <c r="AP556" s="49"/>
      <c r="AR556" s="127"/>
      <c r="BA556" s="127"/>
    </row>
    <row r="557">
      <c r="F557" s="77"/>
      <c r="G557" s="77"/>
      <c r="R557" s="223"/>
      <c r="AL557" s="49"/>
      <c r="AM557" s="49"/>
      <c r="AN557" s="49">
        <v>-0.5</v>
      </c>
      <c r="AO557" s="49">
        <v>-0.5</v>
      </c>
      <c r="AP557" s="49"/>
      <c r="AR557" s="127"/>
      <c r="BA557" s="127"/>
    </row>
    <row r="558">
      <c r="F558" s="77"/>
      <c r="G558" s="77"/>
      <c r="R558" s="223"/>
      <c r="AL558" s="49"/>
      <c r="AM558" s="49"/>
      <c r="AN558" s="49">
        <v>-0.5</v>
      </c>
      <c r="AO558" s="49">
        <v>-0.5</v>
      </c>
      <c r="AP558" s="49"/>
      <c r="AR558" s="127"/>
      <c r="BA558" s="127"/>
    </row>
    <row r="559">
      <c r="F559" s="77"/>
      <c r="G559" s="77"/>
      <c r="R559" s="223"/>
      <c r="AL559" s="49"/>
      <c r="AM559" s="49"/>
      <c r="AN559" s="49">
        <v>-0.5</v>
      </c>
      <c r="AO559" s="49">
        <v>-0.5</v>
      </c>
      <c r="AP559" s="49"/>
      <c r="AR559" s="127"/>
      <c r="BA559" s="127"/>
    </row>
    <row r="560">
      <c r="F560" s="77"/>
      <c r="G560" s="77"/>
      <c r="R560" s="223"/>
      <c r="AL560" s="49"/>
      <c r="AM560" s="49"/>
      <c r="AN560" s="49">
        <v>-0.5</v>
      </c>
      <c r="AO560" s="49">
        <v>-0.5</v>
      </c>
      <c r="AP560" s="49"/>
      <c r="AR560" s="127"/>
      <c r="BA560" s="127"/>
    </row>
    <row r="561">
      <c r="F561" s="77"/>
      <c r="G561" s="77"/>
      <c r="R561" s="223"/>
      <c r="AL561" s="49"/>
      <c r="AM561" s="49"/>
      <c r="AN561" s="49">
        <v>-0.5</v>
      </c>
      <c r="AO561" s="49">
        <v>-0.5</v>
      </c>
      <c r="AP561" s="49"/>
      <c r="AR561" s="127"/>
      <c r="BA561" s="127"/>
    </row>
    <row r="562">
      <c r="F562" s="77"/>
      <c r="G562" s="77"/>
      <c r="R562" s="223"/>
      <c r="AL562" s="49"/>
      <c r="AM562" s="49"/>
      <c r="AN562" s="49">
        <v>-0.5</v>
      </c>
      <c r="AO562" s="49">
        <v>-0.5</v>
      </c>
      <c r="AP562" s="49"/>
      <c r="AR562" s="127"/>
      <c r="BA562" s="127"/>
    </row>
    <row r="563">
      <c r="F563" s="77"/>
      <c r="G563" s="77"/>
      <c r="R563" s="223"/>
      <c r="AL563" s="49"/>
      <c r="AM563" s="49"/>
      <c r="AN563" s="49">
        <v>-0.5</v>
      </c>
      <c r="AO563" s="49">
        <v>-0.5</v>
      </c>
      <c r="AP563" s="49"/>
      <c r="AR563" s="127"/>
      <c r="BA563" s="127"/>
    </row>
    <row r="564">
      <c r="F564" s="77"/>
      <c r="G564" s="77"/>
      <c r="R564" s="223"/>
      <c r="AL564" s="49"/>
      <c r="AM564" s="49"/>
      <c r="AN564" s="49">
        <v>-0.5</v>
      </c>
      <c r="AO564" s="49">
        <v>-0.5</v>
      </c>
      <c r="AP564" s="49"/>
      <c r="AR564" s="127"/>
      <c r="BA564" s="127"/>
    </row>
    <row r="565">
      <c r="F565" s="77"/>
      <c r="G565" s="77"/>
      <c r="R565" s="223"/>
      <c r="AL565" s="49"/>
      <c r="AM565" s="49"/>
      <c r="AN565" s="49">
        <v>-0.5</v>
      </c>
      <c r="AO565" s="49">
        <v>-0.5</v>
      </c>
      <c r="AP565" s="49"/>
      <c r="AR565" s="127"/>
      <c r="BA565" s="127"/>
    </row>
    <row r="566">
      <c r="F566" s="77"/>
      <c r="G566" s="77"/>
      <c r="R566" s="223"/>
      <c r="AL566" s="49"/>
      <c r="AM566" s="49"/>
      <c r="AN566" s="49">
        <v>-0.5</v>
      </c>
      <c r="AO566" s="49">
        <v>-0.5</v>
      </c>
      <c r="AP566" s="49"/>
      <c r="AR566" s="127"/>
      <c r="BA566" s="127"/>
    </row>
    <row r="567">
      <c r="F567" s="77"/>
      <c r="G567" s="77"/>
      <c r="R567" s="223"/>
      <c r="AL567" s="49"/>
      <c r="AM567" s="49"/>
      <c r="AN567" s="49">
        <v>-0.5</v>
      </c>
      <c r="AO567" s="49">
        <v>-0.5</v>
      </c>
      <c r="AP567" s="49"/>
      <c r="AR567" s="127"/>
      <c r="BA567" s="127"/>
    </row>
    <row r="568">
      <c r="F568" s="77"/>
      <c r="G568" s="77"/>
      <c r="R568" s="223"/>
      <c r="AL568" s="49"/>
      <c r="AM568" s="49"/>
      <c r="AN568" s="49">
        <v>-0.5</v>
      </c>
      <c r="AO568" s="49">
        <v>-0.5</v>
      </c>
      <c r="AP568" s="49"/>
      <c r="AR568" s="127"/>
      <c r="BA568" s="127"/>
    </row>
    <row r="569">
      <c r="F569" s="77"/>
      <c r="G569" s="77"/>
      <c r="R569" s="223"/>
      <c r="AL569" s="49"/>
      <c r="AM569" s="49"/>
      <c r="AN569" s="49">
        <v>-0.5</v>
      </c>
      <c r="AO569" s="49">
        <v>-0.5</v>
      </c>
      <c r="AP569" s="49"/>
      <c r="AR569" s="127"/>
      <c r="BA569" s="127"/>
    </row>
    <row r="570">
      <c r="F570" s="77"/>
      <c r="G570" s="77"/>
      <c r="R570" s="223"/>
      <c r="AL570" s="49"/>
      <c r="AM570" s="49"/>
      <c r="AN570" s="49">
        <v>-0.5</v>
      </c>
      <c r="AO570" s="49">
        <v>-0.5</v>
      </c>
      <c r="AP570" s="49"/>
      <c r="AR570" s="127"/>
      <c r="BA570" s="127"/>
    </row>
    <row r="571">
      <c r="F571" s="77"/>
      <c r="G571" s="77"/>
      <c r="R571" s="223"/>
      <c r="AL571" s="49"/>
      <c r="AM571" s="49"/>
      <c r="AN571" s="49">
        <v>-0.5</v>
      </c>
      <c r="AO571" s="49">
        <v>-0.5</v>
      </c>
      <c r="AP571" s="49"/>
      <c r="AR571" s="127"/>
      <c r="BA571" s="127"/>
    </row>
    <row r="572">
      <c r="F572" s="77"/>
      <c r="G572" s="77"/>
      <c r="R572" s="223"/>
      <c r="AL572" s="49"/>
      <c r="AM572" s="49"/>
      <c r="AN572" s="49">
        <v>-0.5</v>
      </c>
      <c r="AO572" s="49">
        <v>-0.5</v>
      </c>
      <c r="AP572" s="49"/>
      <c r="AR572" s="127"/>
      <c r="BA572" s="127"/>
    </row>
    <row r="573">
      <c r="F573" s="77"/>
      <c r="G573" s="77"/>
      <c r="R573" s="223"/>
      <c r="AL573" s="49"/>
      <c r="AM573" s="49"/>
      <c r="AN573" s="49">
        <v>-0.5</v>
      </c>
      <c r="AO573" s="49">
        <v>-0.5</v>
      </c>
      <c r="AP573" s="49"/>
      <c r="AR573" s="127"/>
      <c r="BA573" s="127"/>
    </row>
    <row r="574">
      <c r="F574" s="77"/>
      <c r="G574" s="77"/>
      <c r="R574" s="223"/>
      <c r="AL574" s="49"/>
      <c r="AM574" s="49"/>
      <c r="AN574" s="49">
        <v>-0.5</v>
      </c>
      <c r="AO574" s="49">
        <v>-0.5</v>
      </c>
      <c r="AP574" s="49"/>
      <c r="AR574" s="127"/>
      <c r="BA574" s="127"/>
    </row>
    <row r="575">
      <c r="F575" s="77"/>
      <c r="G575" s="77"/>
      <c r="R575" s="223"/>
      <c r="AL575" s="49"/>
      <c r="AM575" s="49"/>
      <c r="AN575" s="49">
        <v>-0.5</v>
      </c>
      <c r="AO575" s="49">
        <v>-0.5</v>
      </c>
      <c r="AP575" s="49"/>
      <c r="AR575" s="127"/>
      <c r="BA575" s="127"/>
    </row>
    <row r="576">
      <c r="F576" s="77"/>
      <c r="G576" s="77"/>
      <c r="R576" s="223"/>
      <c r="AL576" s="49"/>
      <c r="AM576" s="49"/>
      <c r="AN576" s="49">
        <v>-0.5</v>
      </c>
      <c r="AO576" s="49">
        <v>-0.5</v>
      </c>
      <c r="AP576" s="49"/>
      <c r="AR576" s="127"/>
      <c r="BA576" s="127"/>
    </row>
    <row r="577">
      <c r="F577" s="77"/>
      <c r="G577" s="77"/>
      <c r="R577" s="223"/>
      <c r="AL577" s="49"/>
      <c r="AM577" s="49"/>
      <c r="AN577" s="49">
        <v>-0.5</v>
      </c>
      <c r="AO577" s="49">
        <v>-0.5</v>
      </c>
      <c r="AP577" s="49"/>
      <c r="AR577" s="127"/>
      <c r="BA577" s="127"/>
    </row>
    <row r="578">
      <c r="F578" s="77"/>
      <c r="G578" s="77"/>
      <c r="R578" s="223"/>
      <c r="AL578" s="49"/>
      <c r="AM578" s="49"/>
      <c r="AN578" s="49">
        <v>-0.5</v>
      </c>
      <c r="AO578" s="49">
        <v>-0.5</v>
      </c>
      <c r="AP578" s="49"/>
      <c r="AR578" s="127"/>
      <c r="BA578" s="127"/>
    </row>
    <row r="579">
      <c r="F579" s="77"/>
      <c r="G579" s="77"/>
      <c r="R579" s="223"/>
      <c r="AL579" s="49"/>
      <c r="AM579" s="49"/>
      <c r="AN579" s="49">
        <v>-0.5</v>
      </c>
      <c r="AO579" s="49">
        <v>-0.5</v>
      </c>
      <c r="AP579" s="49"/>
      <c r="AR579" s="127"/>
      <c r="BA579" s="127"/>
    </row>
    <row r="580">
      <c r="F580" s="77"/>
      <c r="G580" s="77"/>
      <c r="R580" s="223"/>
      <c r="AL580" s="49"/>
      <c r="AM580" s="49"/>
      <c r="AN580" s="49">
        <v>-0.5</v>
      </c>
      <c r="AO580" s="49">
        <v>-0.5</v>
      </c>
      <c r="AP580" s="49"/>
      <c r="AR580" s="127"/>
      <c r="BA580" s="127"/>
    </row>
    <row r="581">
      <c r="F581" s="77"/>
      <c r="G581" s="77"/>
      <c r="R581" s="223"/>
      <c r="AL581" s="49"/>
      <c r="AM581" s="49"/>
      <c r="AN581" s="49">
        <v>-0.5</v>
      </c>
      <c r="AO581" s="49">
        <v>-0.5</v>
      </c>
      <c r="AP581" s="49"/>
      <c r="AR581" s="127"/>
      <c r="BA581" s="127"/>
    </row>
    <row r="582">
      <c r="F582" s="77"/>
      <c r="G582" s="77"/>
      <c r="R582" s="223"/>
      <c r="AL582" s="49"/>
      <c r="AM582" s="49"/>
      <c r="AN582" s="49">
        <v>-0.5</v>
      </c>
      <c r="AO582" s="49">
        <v>-0.5</v>
      </c>
      <c r="AP582" s="49"/>
      <c r="AR582" s="127"/>
      <c r="BA582" s="127"/>
    </row>
    <row r="583">
      <c r="F583" s="77"/>
      <c r="G583" s="77"/>
      <c r="R583" s="223"/>
      <c r="AL583" s="49"/>
      <c r="AM583" s="49"/>
      <c r="AN583" s="49">
        <v>-0.5</v>
      </c>
      <c r="AO583" s="49">
        <v>-0.5</v>
      </c>
      <c r="AP583" s="49"/>
      <c r="AR583" s="127"/>
      <c r="BA583" s="127"/>
    </row>
    <row r="584">
      <c r="F584" s="77"/>
      <c r="G584" s="77"/>
      <c r="R584" s="223"/>
      <c r="AL584" s="49"/>
      <c r="AM584" s="49"/>
      <c r="AN584" s="49">
        <v>-0.5</v>
      </c>
      <c r="AO584" s="49">
        <v>-0.5</v>
      </c>
      <c r="AP584" s="49"/>
      <c r="AR584" s="127"/>
      <c r="BA584" s="127"/>
    </row>
    <row r="585">
      <c r="F585" s="77"/>
      <c r="G585" s="77"/>
      <c r="R585" s="223"/>
      <c r="AL585" s="49"/>
      <c r="AM585" s="49"/>
      <c r="AN585" s="49">
        <v>-0.5</v>
      </c>
      <c r="AO585" s="49">
        <v>-0.5</v>
      </c>
      <c r="AP585" s="49"/>
      <c r="AR585" s="127"/>
      <c r="BA585" s="127"/>
    </row>
    <row r="586">
      <c r="F586" s="77"/>
      <c r="G586" s="77"/>
      <c r="R586" s="223"/>
      <c r="AL586" s="49"/>
      <c r="AM586" s="49"/>
      <c r="AN586" s="49">
        <v>-0.5</v>
      </c>
      <c r="AO586" s="49">
        <v>-0.5</v>
      </c>
      <c r="AP586" s="49"/>
      <c r="AR586" s="127"/>
      <c r="BA586" s="127"/>
    </row>
    <row r="587">
      <c r="F587" s="77"/>
      <c r="G587" s="77"/>
      <c r="R587" s="223"/>
      <c r="AL587" s="49"/>
      <c r="AM587" s="49"/>
      <c r="AN587" s="49">
        <v>-0.5</v>
      </c>
      <c r="AO587" s="49">
        <v>-0.5</v>
      </c>
      <c r="AP587" s="49"/>
      <c r="AR587" s="127"/>
      <c r="BA587" s="127"/>
    </row>
    <row r="588">
      <c r="F588" s="77"/>
      <c r="G588" s="77"/>
      <c r="R588" s="223"/>
      <c r="AL588" s="49"/>
      <c r="AM588" s="49"/>
      <c r="AN588" s="49">
        <v>-0.5</v>
      </c>
      <c r="AO588" s="49">
        <v>-0.5</v>
      </c>
      <c r="AP588" s="49"/>
      <c r="AR588" s="127"/>
      <c r="BA588" s="127"/>
    </row>
    <row r="589">
      <c r="F589" s="77"/>
      <c r="G589" s="77"/>
      <c r="R589" s="223"/>
      <c r="AL589" s="49"/>
      <c r="AM589" s="49"/>
      <c r="AN589" s="49">
        <v>-0.5</v>
      </c>
      <c r="AO589" s="49">
        <v>-0.5</v>
      </c>
      <c r="AP589" s="49"/>
      <c r="AR589" s="127"/>
      <c r="BA589" s="127"/>
    </row>
    <row r="590">
      <c r="F590" s="77"/>
      <c r="G590" s="77"/>
      <c r="R590" s="223"/>
      <c r="AL590" s="49"/>
      <c r="AM590" s="49"/>
      <c r="AN590" s="49">
        <v>-0.5</v>
      </c>
      <c r="AO590" s="49">
        <v>-0.5</v>
      </c>
      <c r="AP590" s="49"/>
      <c r="AR590" s="127"/>
      <c r="BA590" s="127"/>
    </row>
    <row r="591">
      <c r="F591" s="77"/>
      <c r="G591" s="77"/>
      <c r="R591" s="223"/>
      <c r="AL591" s="49"/>
      <c r="AM591" s="49"/>
      <c r="AN591" s="49">
        <v>-0.5</v>
      </c>
      <c r="AO591" s="49">
        <v>-0.5</v>
      </c>
      <c r="AP591" s="49"/>
      <c r="AR591" s="127"/>
      <c r="BA591" s="127"/>
    </row>
    <row r="592">
      <c r="F592" s="77"/>
      <c r="G592" s="77"/>
      <c r="R592" s="223"/>
      <c r="AL592" s="49"/>
      <c r="AM592" s="49"/>
      <c r="AN592" s="49">
        <v>-0.5</v>
      </c>
      <c r="AO592" s="49">
        <v>-0.5</v>
      </c>
      <c r="AP592" s="49"/>
      <c r="AR592" s="127"/>
      <c r="BA592" s="127"/>
    </row>
    <row r="593">
      <c r="F593" s="77"/>
      <c r="G593" s="77"/>
      <c r="R593" s="223"/>
      <c r="AL593" s="49"/>
      <c r="AM593" s="49"/>
      <c r="AN593" s="49">
        <v>-0.5</v>
      </c>
      <c r="AO593" s="49">
        <v>-0.5</v>
      </c>
      <c r="AP593" s="49"/>
      <c r="AR593" s="127"/>
      <c r="BA593" s="127"/>
    </row>
    <row r="594">
      <c r="F594" s="77"/>
      <c r="G594" s="77"/>
      <c r="R594" s="223"/>
      <c r="AL594" s="49"/>
      <c r="AM594" s="49"/>
      <c r="AN594" s="49">
        <v>-0.5</v>
      </c>
      <c r="AO594" s="49">
        <v>-0.5</v>
      </c>
      <c r="AP594" s="49"/>
      <c r="AR594" s="127"/>
      <c r="BA594" s="127"/>
    </row>
    <row r="595">
      <c r="F595" s="77"/>
      <c r="G595" s="77"/>
      <c r="R595" s="223"/>
      <c r="AL595" s="49"/>
      <c r="AM595" s="49"/>
      <c r="AN595" s="49">
        <v>-0.5</v>
      </c>
      <c r="AO595" s="49">
        <v>-0.5</v>
      </c>
      <c r="AP595" s="49"/>
      <c r="AR595" s="127"/>
      <c r="BA595" s="127"/>
    </row>
    <row r="596">
      <c r="F596" s="77"/>
      <c r="G596" s="77"/>
      <c r="R596" s="223"/>
      <c r="AL596" s="49"/>
      <c r="AM596" s="49"/>
      <c r="AN596" s="49">
        <v>-0.5</v>
      </c>
      <c r="AO596" s="49">
        <v>-0.5</v>
      </c>
      <c r="AP596" s="49"/>
      <c r="AR596" s="127"/>
      <c r="BA596" s="127"/>
    </row>
    <row r="597">
      <c r="F597" s="77"/>
      <c r="G597" s="77"/>
      <c r="R597" s="223"/>
      <c r="AL597" s="49"/>
      <c r="AM597" s="49"/>
      <c r="AN597" s="49">
        <v>-0.5</v>
      </c>
      <c r="AO597" s="49">
        <v>-0.5</v>
      </c>
      <c r="AP597" s="49"/>
      <c r="AR597" s="127"/>
      <c r="BA597" s="127"/>
    </row>
    <row r="598">
      <c r="F598" s="77"/>
      <c r="G598" s="77"/>
      <c r="R598" s="223"/>
      <c r="AL598" s="49"/>
      <c r="AM598" s="49"/>
      <c r="AN598" s="49">
        <v>-0.5</v>
      </c>
      <c r="AO598" s="49">
        <v>-0.5</v>
      </c>
      <c r="AP598" s="49"/>
      <c r="AR598" s="127"/>
      <c r="BA598" s="127"/>
    </row>
    <row r="599">
      <c r="F599" s="77"/>
      <c r="G599" s="77"/>
      <c r="R599" s="223"/>
      <c r="AL599" s="49"/>
      <c r="AM599" s="49"/>
      <c r="AN599" s="49">
        <v>-0.5</v>
      </c>
      <c r="AO599" s="49">
        <v>-0.5</v>
      </c>
      <c r="AP599" s="49"/>
      <c r="AR599" s="127"/>
      <c r="BA599" s="127"/>
    </row>
    <row r="600">
      <c r="F600" s="77"/>
      <c r="G600" s="77"/>
      <c r="R600" s="223"/>
      <c r="AL600" s="49"/>
      <c r="AM600" s="49"/>
      <c r="AN600" s="49">
        <v>-0.5</v>
      </c>
      <c r="AO600" s="49">
        <v>-0.5</v>
      </c>
      <c r="AP600" s="49"/>
      <c r="AR600" s="127"/>
      <c r="BA600" s="127"/>
    </row>
    <row r="601">
      <c r="F601" s="77"/>
      <c r="G601" s="77"/>
      <c r="R601" s="223"/>
      <c r="AL601" s="49"/>
      <c r="AM601" s="49"/>
      <c r="AN601" s="49">
        <v>-0.5</v>
      </c>
      <c r="AO601" s="49">
        <v>-0.5</v>
      </c>
      <c r="AP601" s="49"/>
      <c r="AR601" s="127"/>
      <c r="BA601" s="127"/>
    </row>
    <row r="602">
      <c r="F602" s="77"/>
      <c r="G602" s="77"/>
      <c r="R602" s="223"/>
      <c r="AL602" s="49"/>
      <c r="AM602" s="49"/>
      <c r="AN602" s="49">
        <v>-0.5</v>
      </c>
      <c r="AO602" s="49">
        <v>-0.5</v>
      </c>
      <c r="AP602" s="49"/>
      <c r="AR602" s="127"/>
      <c r="BA602" s="127"/>
    </row>
    <row r="603">
      <c r="F603" s="77"/>
      <c r="G603" s="77"/>
      <c r="R603" s="223"/>
      <c r="AL603" s="49"/>
      <c r="AM603" s="49"/>
      <c r="AN603" s="49">
        <v>-0.5</v>
      </c>
      <c r="AO603" s="49">
        <v>-0.5</v>
      </c>
      <c r="AP603" s="49"/>
      <c r="AR603" s="127"/>
      <c r="BA603" s="127"/>
    </row>
    <row r="604">
      <c r="F604" s="77"/>
      <c r="G604" s="77"/>
      <c r="R604" s="223"/>
      <c r="AL604" s="49"/>
      <c r="AM604" s="49"/>
      <c r="AN604" s="49">
        <v>-0.5</v>
      </c>
      <c r="AO604" s="49">
        <v>-0.5</v>
      </c>
      <c r="AP604" s="49"/>
      <c r="AR604" s="127"/>
      <c r="BA604" s="127"/>
    </row>
    <row r="605">
      <c r="F605" s="77"/>
      <c r="G605" s="77"/>
      <c r="R605" s="223"/>
      <c r="AL605" s="49"/>
      <c r="AM605" s="49"/>
      <c r="AN605" s="49">
        <v>-0.5</v>
      </c>
      <c r="AO605" s="49">
        <v>-0.5</v>
      </c>
      <c r="AP605" s="49"/>
      <c r="AR605" s="127"/>
      <c r="BA605" s="127"/>
    </row>
    <row r="606">
      <c r="F606" s="77"/>
      <c r="G606" s="77"/>
      <c r="R606" s="223"/>
      <c r="AL606" s="49"/>
      <c r="AM606" s="49"/>
      <c r="AN606" s="49">
        <v>-0.5</v>
      </c>
      <c r="AO606" s="49">
        <v>-0.5</v>
      </c>
      <c r="AP606" s="49"/>
      <c r="AR606" s="127"/>
      <c r="BA606" s="127"/>
    </row>
    <row r="607">
      <c r="F607" s="77"/>
      <c r="G607" s="77"/>
      <c r="R607" s="223"/>
      <c r="AL607" s="49"/>
      <c r="AM607" s="49"/>
      <c r="AN607" s="49">
        <v>-0.5</v>
      </c>
      <c r="AO607" s="49">
        <v>-0.5</v>
      </c>
      <c r="AP607" s="49"/>
      <c r="AR607" s="127"/>
      <c r="BA607" s="127"/>
    </row>
    <row r="608">
      <c r="F608" s="77"/>
      <c r="G608" s="77"/>
      <c r="R608" s="223"/>
      <c r="AL608" s="49"/>
      <c r="AM608" s="49"/>
      <c r="AN608" s="49">
        <v>-0.5</v>
      </c>
      <c r="AO608" s="49">
        <v>-0.5</v>
      </c>
      <c r="AP608" s="49"/>
      <c r="AR608" s="127"/>
      <c r="BA608" s="127"/>
    </row>
    <row r="609">
      <c r="F609" s="77"/>
      <c r="G609" s="77"/>
      <c r="R609" s="223"/>
      <c r="AL609" s="49"/>
      <c r="AM609" s="49"/>
      <c r="AN609" s="49">
        <v>-0.5</v>
      </c>
      <c r="AO609" s="49">
        <v>-0.5</v>
      </c>
      <c r="AP609" s="49"/>
      <c r="AR609" s="127"/>
      <c r="BA609" s="127"/>
    </row>
    <row r="610">
      <c r="F610" s="77"/>
      <c r="G610" s="77"/>
      <c r="R610" s="223"/>
      <c r="AL610" s="49"/>
      <c r="AM610" s="49"/>
      <c r="AN610" s="49">
        <v>-0.5</v>
      </c>
      <c r="AO610" s="49">
        <v>-0.5</v>
      </c>
      <c r="AP610" s="49"/>
      <c r="AR610" s="127"/>
      <c r="BA610" s="127"/>
    </row>
    <row r="611">
      <c r="F611" s="77"/>
      <c r="G611" s="77"/>
      <c r="R611" s="223"/>
      <c r="AL611" s="49"/>
      <c r="AM611" s="49"/>
      <c r="AN611" s="49">
        <v>-0.5</v>
      </c>
      <c r="AO611" s="49">
        <v>-0.5</v>
      </c>
      <c r="AP611" s="49"/>
      <c r="AR611" s="127"/>
      <c r="BA611" s="127"/>
    </row>
    <row r="612">
      <c r="F612" s="77"/>
      <c r="G612" s="77"/>
      <c r="R612" s="223"/>
      <c r="AL612" s="49"/>
      <c r="AM612" s="49"/>
      <c r="AN612" s="49">
        <v>-0.5</v>
      </c>
      <c r="AO612" s="49">
        <v>-0.5</v>
      </c>
      <c r="AP612" s="49"/>
      <c r="AR612" s="127"/>
      <c r="BA612" s="127"/>
    </row>
    <row r="613">
      <c r="F613" s="77"/>
      <c r="G613" s="77"/>
      <c r="R613" s="223"/>
      <c r="AL613" s="49"/>
      <c r="AM613" s="49"/>
      <c r="AN613" s="49">
        <v>-0.5</v>
      </c>
      <c r="AO613" s="49">
        <v>-0.5</v>
      </c>
      <c r="AP613" s="49"/>
      <c r="AR613" s="127"/>
      <c r="BA613" s="127"/>
    </row>
    <row r="614">
      <c r="F614" s="77"/>
      <c r="G614" s="77"/>
      <c r="R614" s="223"/>
      <c r="AL614" s="49"/>
      <c r="AM614" s="49"/>
      <c r="AN614" s="49">
        <v>-0.5</v>
      </c>
      <c r="AO614" s="49">
        <v>-0.5</v>
      </c>
      <c r="AP614" s="49"/>
      <c r="AR614" s="127"/>
      <c r="BA614" s="127"/>
    </row>
    <row r="615">
      <c r="F615" s="77"/>
      <c r="G615" s="77"/>
      <c r="R615" s="223"/>
      <c r="AL615" s="49"/>
      <c r="AM615" s="49"/>
      <c r="AN615" s="49">
        <v>-0.5</v>
      </c>
      <c r="AO615" s="49">
        <v>-0.5</v>
      </c>
      <c r="AP615" s="49"/>
      <c r="AR615" s="127"/>
      <c r="BA615" s="127"/>
    </row>
    <row r="616">
      <c r="F616" s="77"/>
      <c r="G616" s="77"/>
      <c r="R616" s="223"/>
      <c r="AL616" s="49"/>
      <c r="AM616" s="49"/>
      <c r="AN616" s="49">
        <v>-0.5</v>
      </c>
      <c r="AO616" s="49">
        <v>-0.5</v>
      </c>
      <c r="AP616" s="49"/>
      <c r="AR616" s="127"/>
      <c r="BA616" s="127"/>
    </row>
    <row r="617">
      <c r="F617" s="77"/>
      <c r="G617" s="77"/>
      <c r="R617" s="223"/>
      <c r="AL617" s="49"/>
      <c r="AM617" s="49"/>
      <c r="AN617" s="49">
        <v>-0.5</v>
      </c>
      <c r="AO617" s="49">
        <v>-0.5</v>
      </c>
      <c r="AP617" s="49"/>
      <c r="AR617" s="127"/>
      <c r="BA617" s="127"/>
    </row>
    <row r="618">
      <c r="F618" s="77"/>
      <c r="G618" s="77"/>
      <c r="R618" s="223"/>
      <c r="AL618" s="49"/>
      <c r="AM618" s="49"/>
      <c r="AN618" s="49">
        <v>-0.5</v>
      </c>
      <c r="AO618" s="49">
        <v>-0.5</v>
      </c>
      <c r="AP618" s="49"/>
      <c r="AR618" s="127"/>
      <c r="BA618" s="127"/>
    </row>
    <row r="619">
      <c r="F619" s="77"/>
      <c r="G619" s="77"/>
      <c r="R619" s="223"/>
      <c r="AL619" s="49"/>
      <c r="AM619" s="49"/>
      <c r="AN619" s="49">
        <v>-0.5</v>
      </c>
      <c r="AO619" s="49">
        <v>-0.5</v>
      </c>
      <c r="AP619" s="49"/>
      <c r="AR619" s="127"/>
      <c r="BA619" s="127"/>
    </row>
    <row r="620">
      <c r="F620" s="77"/>
      <c r="G620" s="77"/>
      <c r="R620" s="223"/>
      <c r="AL620" s="49"/>
      <c r="AM620" s="49"/>
      <c r="AN620" s="49">
        <v>-0.5</v>
      </c>
      <c r="AO620" s="49">
        <v>-0.5</v>
      </c>
      <c r="AP620" s="49"/>
      <c r="AR620" s="127"/>
      <c r="BA620" s="127"/>
    </row>
    <row r="621">
      <c r="F621" s="77"/>
      <c r="G621" s="77"/>
      <c r="R621" s="223"/>
      <c r="AL621" s="49"/>
      <c r="AM621" s="49"/>
      <c r="AN621" s="49">
        <v>-0.5</v>
      </c>
      <c r="AO621" s="49">
        <v>-0.5</v>
      </c>
      <c r="AP621" s="49"/>
      <c r="AR621" s="127"/>
      <c r="BA621" s="127"/>
    </row>
    <row r="622">
      <c r="F622" s="77"/>
      <c r="G622" s="77"/>
      <c r="R622" s="223"/>
      <c r="AL622" s="49"/>
      <c r="AM622" s="49"/>
      <c r="AN622" s="49">
        <v>-0.5</v>
      </c>
      <c r="AO622" s="49">
        <v>-0.5</v>
      </c>
      <c r="AP622" s="49"/>
      <c r="AR622" s="127"/>
      <c r="BA622" s="127"/>
    </row>
    <row r="623">
      <c r="F623" s="77"/>
      <c r="G623" s="77"/>
      <c r="R623" s="223"/>
      <c r="AL623" s="49"/>
      <c r="AM623" s="49"/>
      <c r="AN623" s="49">
        <v>-0.5</v>
      </c>
      <c r="AO623" s="49">
        <v>-0.5</v>
      </c>
      <c r="AP623" s="49"/>
      <c r="AR623" s="127"/>
      <c r="BA623" s="127"/>
    </row>
    <row r="624">
      <c r="F624" s="77"/>
      <c r="G624" s="77"/>
      <c r="R624" s="223"/>
      <c r="AL624" s="49"/>
      <c r="AM624" s="49"/>
      <c r="AN624" s="49">
        <v>-0.5</v>
      </c>
      <c r="AO624" s="49">
        <v>-0.5</v>
      </c>
      <c r="AP624" s="49"/>
      <c r="AR624" s="127"/>
      <c r="BA624" s="127"/>
    </row>
    <row r="625">
      <c r="F625" s="77"/>
      <c r="G625" s="77"/>
      <c r="R625" s="223"/>
      <c r="AL625" s="49"/>
      <c r="AM625" s="49"/>
      <c r="AN625" s="49">
        <v>-0.5</v>
      </c>
      <c r="AO625" s="49">
        <v>-0.5</v>
      </c>
      <c r="AP625" s="49"/>
      <c r="AR625" s="127"/>
      <c r="BA625" s="127"/>
    </row>
    <row r="626">
      <c r="F626" s="77"/>
      <c r="G626" s="77"/>
      <c r="R626" s="223"/>
      <c r="AL626" s="49"/>
      <c r="AM626" s="49"/>
      <c r="AN626" s="49">
        <v>-0.5</v>
      </c>
      <c r="AO626" s="49">
        <v>-0.5</v>
      </c>
      <c r="AP626" s="49"/>
      <c r="AR626" s="127"/>
      <c r="BA626" s="127"/>
    </row>
    <row r="627">
      <c r="F627" s="77"/>
      <c r="G627" s="77"/>
      <c r="R627" s="223"/>
      <c r="AL627" s="49"/>
      <c r="AM627" s="49"/>
      <c r="AN627" s="49">
        <v>-0.5</v>
      </c>
      <c r="AO627" s="49">
        <v>-0.5</v>
      </c>
      <c r="AP627" s="49"/>
      <c r="AR627" s="127"/>
      <c r="BA627" s="127"/>
    </row>
    <row r="628">
      <c r="F628" s="77"/>
      <c r="G628" s="77"/>
      <c r="R628" s="223"/>
      <c r="AL628" s="49"/>
      <c r="AM628" s="49"/>
      <c r="AN628" s="49">
        <v>-0.5</v>
      </c>
      <c r="AO628" s="49">
        <v>-0.5</v>
      </c>
      <c r="AP628" s="49"/>
      <c r="AR628" s="127"/>
      <c r="BA628" s="127"/>
    </row>
    <row r="629">
      <c r="F629" s="77"/>
      <c r="G629" s="77"/>
      <c r="R629" s="223"/>
      <c r="AL629" s="49"/>
      <c r="AM629" s="49"/>
      <c r="AN629" s="49">
        <v>-0.5</v>
      </c>
      <c r="AO629" s="49">
        <v>-0.5</v>
      </c>
      <c r="AP629" s="49"/>
      <c r="AR629" s="127"/>
      <c r="BA629" s="127"/>
    </row>
    <row r="630">
      <c r="F630" s="77"/>
      <c r="G630" s="77"/>
      <c r="R630" s="223"/>
      <c r="AL630" s="49"/>
      <c r="AM630" s="49"/>
      <c r="AN630" s="49">
        <v>-0.5</v>
      </c>
      <c r="AO630" s="49">
        <v>-0.5</v>
      </c>
      <c r="AP630" s="49"/>
      <c r="AR630" s="127"/>
      <c r="BA630" s="127"/>
    </row>
    <row r="631">
      <c r="F631" s="77"/>
      <c r="G631" s="77"/>
      <c r="R631" s="223"/>
      <c r="AL631" s="49"/>
      <c r="AM631" s="49"/>
      <c r="AN631" s="49">
        <v>-0.5</v>
      </c>
      <c r="AO631" s="49">
        <v>-0.5</v>
      </c>
      <c r="AP631" s="49"/>
      <c r="AR631" s="127"/>
      <c r="BA631" s="127"/>
    </row>
    <row r="632">
      <c r="F632" s="77"/>
      <c r="G632" s="77"/>
      <c r="R632" s="223"/>
      <c r="AL632" s="49"/>
      <c r="AM632" s="49"/>
      <c r="AN632" s="49">
        <v>-0.5</v>
      </c>
      <c r="AO632" s="49">
        <v>-0.5</v>
      </c>
      <c r="AP632" s="49"/>
      <c r="AR632" s="127"/>
      <c r="BA632" s="127"/>
    </row>
    <row r="633">
      <c r="F633" s="77"/>
      <c r="G633" s="77"/>
      <c r="R633" s="223"/>
      <c r="AL633" s="49"/>
      <c r="AM633" s="49"/>
      <c r="AN633" s="49">
        <v>-0.5</v>
      </c>
      <c r="AO633" s="49">
        <v>-0.5</v>
      </c>
      <c r="AP633" s="49"/>
      <c r="AR633" s="127"/>
      <c r="BA633" s="127"/>
    </row>
    <row r="634">
      <c r="F634" s="77"/>
      <c r="G634" s="77"/>
      <c r="R634" s="223"/>
      <c r="AL634" s="49"/>
      <c r="AM634" s="49"/>
      <c r="AN634" s="49">
        <v>-0.5</v>
      </c>
      <c r="AO634" s="49">
        <v>-0.5</v>
      </c>
      <c r="AP634" s="49"/>
      <c r="AR634" s="127"/>
      <c r="BA634" s="127"/>
    </row>
    <row r="635">
      <c r="F635" s="77"/>
      <c r="G635" s="77"/>
      <c r="R635" s="223"/>
      <c r="AL635" s="49"/>
      <c r="AM635" s="49"/>
      <c r="AN635" s="49">
        <v>-0.5</v>
      </c>
      <c r="AO635" s="49">
        <v>-0.5</v>
      </c>
      <c r="AP635" s="49"/>
      <c r="AR635" s="127"/>
      <c r="BA635" s="127"/>
    </row>
    <row r="636">
      <c r="F636" s="77"/>
      <c r="G636" s="77"/>
      <c r="R636" s="223"/>
      <c r="AL636" s="49"/>
      <c r="AM636" s="49"/>
      <c r="AN636" s="49">
        <v>-0.5</v>
      </c>
      <c r="AO636" s="49">
        <v>-0.5</v>
      </c>
      <c r="AP636" s="49"/>
      <c r="AR636" s="127"/>
      <c r="BA636" s="127"/>
    </row>
    <row r="637">
      <c r="F637" s="77"/>
      <c r="G637" s="77"/>
      <c r="R637" s="223"/>
      <c r="AL637" s="49"/>
      <c r="AM637" s="49"/>
      <c r="AN637" s="49">
        <v>-0.5</v>
      </c>
      <c r="AO637" s="49">
        <v>-0.5</v>
      </c>
      <c r="AP637" s="49"/>
      <c r="AR637" s="127"/>
      <c r="BA637" s="127"/>
    </row>
    <row r="638">
      <c r="F638" s="77"/>
      <c r="G638" s="77"/>
      <c r="R638" s="223"/>
      <c r="AL638" s="49"/>
      <c r="AM638" s="49"/>
      <c r="AN638" s="49">
        <v>-0.5</v>
      </c>
      <c r="AO638" s="49">
        <v>-0.5</v>
      </c>
      <c r="AP638" s="49"/>
      <c r="AR638" s="127"/>
      <c r="BA638" s="127"/>
    </row>
    <row r="639">
      <c r="F639" s="77"/>
      <c r="G639" s="77"/>
      <c r="R639" s="223"/>
      <c r="AL639" s="49"/>
      <c r="AM639" s="49"/>
      <c r="AN639" s="49">
        <v>-0.5</v>
      </c>
      <c r="AO639" s="49">
        <v>-0.5</v>
      </c>
      <c r="AP639" s="49"/>
      <c r="AR639" s="127"/>
      <c r="BA639" s="127"/>
    </row>
    <row r="640">
      <c r="F640" s="77"/>
      <c r="G640" s="77"/>
      <c r="R640" s="223"/>
      <c r="AL640" s="49"/>
      <c r="AM640" s="49"/>
      <c r="AN640" s="49">
        <v>-0.5</v>
      </c>
      <c r="AO640" s="49">
        <v>-0.5</v>
      </c>
      <c r="AP640" s="49"/>
      <c r="AR640" s="127"/>
      <c r="BA640" s="127"/>
    </row>
    <row r="641">
      <c r="F641" s="77"/>
      <c r="G641" s="77"/>
      <c r="R641" s="223"/>
      <c r="AL641" s="49"/>
      <c r="AM641" s="49"/>
      <c r="AN641" s="49">
        <v>-0.5</v>
      </c>
      <c r="AO641" s="49">
        <v>-0.5</v>
      </c>
      <c r="AP641" s="49"/>
      <c r="AR641" s="127"/>
      <c r="BA641" s="127"/>
    </row>
    <row r="642">
      <c r="F642" s="77"/>
      <c r="G642" s="77"/>
      <c r="R642" s="223"/>
      <c r="AL642" s="49"/>
      <c r="AM642" s="49"/>
      <c r="AN642" s="49">
        <v>-0.5</v>
      </c>
      <c r="AO642" s="49">
        <v>-0.5</v>
      </c>
      <c r="AP642" s="49"/>
      <c r="AR642" s="127"/>
      <c r="BA642" s="127"/>
    </row>
    <row r="643">
      <c r="F643" s="77"/>
      <c r="G643" s="77"/>
      <c r="R643" s="223"/>
      <c r="AL643" s="49"/>
      <c r="AM643" s="49"/>
      <c r="AN643" s="49">
        <v>-0.5</v>
      </c>
      <c r="AO643" s="49">
        <v>-0.5</v>
      </c>
      <c r="AP643" s="49"/>
      <c r="AR643" s="127"/>
      <c r="BA643" s="127"/>
    </row>
    <row r="644">
      <c r="F644" s="77"/>
      <c r="G644" s="77"/>
      <c r="R644" s="223"/>
      <c r="AL644" s="49"/>
      <c r="AM644" s="49"/>
      <c r="AN644" s="49">
        <v>-0.5</v>
      </c>
      <c r="AO644" s="49">
        <v>-0.5</v>
      </c>
      <c r="AP644" s="49"/>
      <c r="AR644" s="127"/>
      <c r="BA644" s="127"/>
    </row>
    <row r="645">
      <c r="F645" s="77"/>
      <c r="G645" s="77"/>
      <c r="R645" s="223"/>
      <c r="AL645" s="49"/>
      <c r="AM645" s="49"/>
      <c r="AN645" s="49">
        <v>-0.5</v>
      </c>
      <c r="AO645" s="49">
        <v>-0.5</v>
      </c>
      <c r="AP645" s="49"/>
      <c r="AR645" s="127"/>
      <c r="BA645" s="127"/>
    </row>
    <row r="646">
      <c r="F646" s="77"/>
      <c r="G646" s="77"/>
      <c r="R646" s="223"/>
      <c r="AL646" s="49"/>
      <c r="AM646" s="49"/>
      <c r="AN646" s="49">
        <v>-0.5</v>
      </c>
      <c r="AO646" s="49">
        <v>-0.5</v>
      </c>
      <c r="AP646" s="49"/>
      <c r="AR646" s="127"/>
      <c r="BA646" s="127"/>
    </row>
    <row r="647">
      <c r="F647" s="77"/>
      <c r="G647" s="77"/>
      <c r="R647" s="223"/>
      <c r="AL647" s="49"/>
      <c r="AM647" s="49"/>
      <c r="AN647" s="49">
        <v>-0.5</v>
      </c>
      <c r="AO647" s="49">
        <v>-0.5</v>
      </c>
      <c r="AP647" s="49"/>
      <c r="AR647" s="127"/>
      <c r="BA647" s="127"/>
    </row>
    <row r="648">
      <c r="F648" s="77"/>
      <c r="G648" s="77"/>
      <c r="R648" s="223"/>
      <c r="AL648" s="49"/>
      <c r="AM648" s="49"/>
      <c r="AN648" s="49">
        <v>-0.5</v>
      </c>
      <c r="AO648" s="49">
        <v>-0.5</v>
      </c>
      <c r="AP648" s="49"/>
      <c r="AR648" s="127"/>
      <c r="BA648" s="127"/>
    </row>
    <row r="649">
      <c r="F649" s="77"/>
      <c r="G649" s="77"/>
      <c r="R649" s="223"/>
      <c r="AL649" s="49"/>
      <c r="AM649" s="49"/>
      <c r="AN649" s="49">
        <v>-0.5</v>
      </c>
      <c r="AO649" s="49">
        <v>-0.5</v>
      </c>
      <c r="AP649" s="49"/>
      <c r="AR649" s="127"/>
      <c r="BA649" s="127"/>
    </row>
    <row r="650">
      <c r="F650" s="77"/>
      <c r="G650" s="77"/>
      <c r="R650" s="223"/>
      <c r="AL650" s="49"/>
      <c r="AM650" s="49"/>
      <c r="AN650" s="49">
        <v>-0.5</v>
      </c>
      <c r="AO650" s="49">
        <v>-0.5</v>
      </c>
      <c r="AP650" s="49"/>
      <c r="AR650" s="127"/>
      <c r="BA650" s="127"/>
    </row>
    <row r="651">
      <c r="F651" s="77"/>
      <c r="G651" s="77"/>
      <c r="R651" s="223"/>
      <c r="AL651" s="49"/>
      <c r="AM651" s="49"/>
      <c r="AN651" s="49">
        <v>-0.5</v>
      </c>
      <c r="AO651" s="49">
        <v>-0.5</v>
      </c>
      <c r="AP651" s="49"/>
      <c r="AR651" s="127"/>
      <c r="BA651" s="127"/>
    </row>
    <row r="652">
      <c r="F652" s="77"/>
      <c r="G652" s="77"/>
      <c r="R652" s="223"/>
      <c r="AL652" s="49"/>
      <c r="AM652" s="49"/>
      <c r="AN652" s="49">
        <v>-0.5</v>
      </c>
      <c r="AO652" s="49">
        <v>-0.5</v>
      </c>
      <c r="AP652" s="49"/>
      <c r="AR652" s="127"/>
      <c r="BA652" s="127"/>
    </row>
    <row r="653">
      <c r="F653" s="77"/>
      <c r="G653" s="77"/>
      <c r="R653" s="223"/>
      <c r="AL653" s="49"/>
      <c r="AM653" s="49"/>
      <c r="AN653" s="49">
        <v>-0.5</v>
      </c>
      <c r="AO653" s="49">
        <v>-0.5</v>
      </c>
      <c r="AP653" s="49"/>
      <c r="AR653" s="127"/>
      <c r="BA653" s="127"/>
    </row>
    <row r="654">
      <c r="F654" s="77"/>
      <c r="G654" s="77"/>
      <c r="R654" s="223"/>
      <c r="AL654" s="49"/>
      <c r="AM654" s="49"/>
      <c r="AN654" s="49">
        <v>-0.5</v>
      </c>
      <c r="AO654" s="49">
        <v>-0.5</v>
      </c>
      <c r="AP654" s="49"/>
      <c r="AR654" s="127"/>
      <c r="BA654" s="127"/>
    </row>
    <row r="655">
      <c r="F655" s="77"/>
      <c r="G655" s="77"/>
      <c r="R655" s="223"/>
      <c r="AL655" s="49"/>
      <c r="AM655" s="49"/>
      <c r="AN655" s="49">
        <v>-0.5</v>
      </c>
      <c r="AO655" s="49">
        <v>-0.5</v>
      </c>
      <c r="AP655" s="49"/>
      <c r="AR655" s="127"/>
      <c r="BA655" s="127"/>
    </row>
    <row r="656">
      <c r="F656" s="77"/>
      <c r="G656" s="77"/>
      <c r="R656" s="223"/>
      <c r="AL656" s="49"/>
      <c r="AM656" s="49"/>
      <c r="AN656" s="49">
        <v>-0.5</v>
      </c>
      <c r="AO656" s="49">
        <v>-0.5</v>
      </c>
      <c r="AP656" s="49"/>
      <c r="AR656" s="127"/>
      <c r="BA656" s="127"/>
    </row>
    <row r="657">
      <c r="F657" s="77"/>
      <c r="G657" s="77"/>
      <c r="R657" s="223"/>
      <c r="AL657" s="49"/>
      <c r="AM657" s="49"/>
      <c r="AN657" s="49">
        <v>-0.5</v>
      </c>
      <c r="AO657" s="49">
        <v>-0.5</v>
      </c>
      <c r="AP657" s="49"/>
      <c r="AR657" s="127"/>
      <c r="BA657" s="127"/>
    </row>
    <row r="658">
      <c r="F658" s="77"/>
      <c r="G658" s="77"/>
      <c r="R658" s="223"/>
      <c r="AL658" s="49"/>
      <c r="AM658" s="49"/>
      <c r="AN658" s="49">
        <v>-0.5</v>
      </c>
      <c r="AO658" s="49">
        <v>-0.5</v>
      </c>
      <c r="AP658" s="49"/>
      <c r="AR658" s="127"/>
      <c r="BA658" s="127"/>
    </row>
    <row r="659">
      <c r="F659" s="77"/>
      <c r="G659" s="77"/>
      <c r="R659" s="223"/>
      <c r="AL659" s="49"/>
      <c r="AM659" s="49"/>
      <c r="AN659" s="49">
        <v>-0.5</v>
      </c>
      <c r="AO659" s="49">
        <v>-0.5</v>
      </c>
      <c r="AP659" s="49"/>
      <c r="AR659" s="127"/>
      <c r="BA659" s="127"/>
    </row>
    <row r="660">
      <c r="F660" s="77"/>
      <c r="G660" s="77"/>
      <c r="R660" s="223"/>
      <c r="AL660" s="49"/>
      <c r="AM660" s="49"/>
      <c r="AN660" s="49">
        <v>-0.5</v>
      </c>
      <c r="AO660" s="49">
        <v>-0.5</v>
      </c>
      <c r="AP660" s="49"/>
      <c r="AR660" s="127"/>
      <c r="BA660" s="127"/>
    </row>
    <row r="661">
      <c r="F661" s="77"/>
      <c r="G661" s="77"/>
      <c r="R661" s="223"/>
      <c r="AL661" s="49"/>
      <c r="AM661" s="49"/>
      <c r="AN661" s="49">
        <v>-0.5</v>
      </c>
      <c r="AO661" s="49">
        <v>-0.5</v>
      </c>
      <c r="AP661" s="49"/>
      <c r="AR661" s="127"/>
      <c r="BA661" s="127"/>
    </row>
    <row r="662">
      <c r="F662" s="77"/>
      <c r="G662" s="77"/>
      <c r="R662" s="223"/>
      <c r="AL662" s="49"/>
      <c r="AM662" s="49"/>
      <c r="AN662" s="49">
        <v>-0.5</v>
      </c>
      <c r="AO662" s="49">
        <v>-0.5</v>
      </c>
      <c r="AP662" s="49"/>
      <c r="AR662" s="127"/>
      <c r="BA662" s="127"/>
    </row>
    <row r="663">
      <c r="F663" s="77"/>
      <c r="G663" s="77"/>
      <c r="R663" s="223"/>
      <c r="AL663" s="49"/>
      <c r="AM663" s="49"/>
      <c r="AN663" s="49">
        <v>-0.5</v>
      </c>
      <c r="AO663" s="49">
        <v>-0.5</v>
      </c>
      <c r="AP663" s="49"/>
      <c r="AR663" s="127"/>
      <c r="BA663" s="127"/>
    </row>
    <row r="664">
      <c r="F664" s="77"/>
      <c r="G664" s="77"/>
      <c r="R664" s="223"/>
      <c r="AL664" s="49"/>
      <c r="AM664" s="49"/>
      <c r="AN664" s="49">
        <v>-0.5</v>
      </c>
      <c r="AO664" s="49">
        <v>-0.5</v>
      </c>
      <c r="AP664" s="49"/>
      <c r="AR664" s="127"/>
      <c r="BA664" s="127"/>
    </row>
    <row r="665">
      <c r="F665" s="77"/>
      <c r="G665" s="77"/>
      <c r="R665" s="223"/>
      <c r="AL665" s="49"/>
      <c r="AM665" s="49"/>
      <c r="AN665" s="49">
        <v>-0.5</v>
      </c>
      <c r="AO665" s="49">
        <v>-0.5</v>
      </c>
      <c r="AP665" s="49"/>
      <c r="AR665" s="127"/>
      <c r="BA665" s="127"/>
    </row>
    <row r="666">
      <c r="F666" s="77"/>
      <c r="G666" s="77"/>
      <c r="R666" s="223"/>
      <c r="AL666" s="49"/>
      <c r="AM666" s="49"/>
      <c r="AN666" s="49">
        <v>-0.5</v>
      </c>
      <c r="AO666" s="49">
        <v>-0.5</v>
      </c>
      <c r="AP666" s="49"/>
      <c r="AR666" s="127"/>
      <c r="BA666" s="127"/>
    </row>
    <row r="667">
      <c r="F667" s="77"/>
      <c r="G667" s="77"/>
      <c r="R667" s="223"/>
      <c r="AL667" s="49"/>
      <c r="AM667" s="49"/>
      <c r="AN667" s="49">
        <v>-0.5</v>
      </c>
      <c r="AO667" s="49">
        <v>-0.5</v>
      </c>
      <c r="AP667" s="49"/>
      <c r="AR667" s="127"/>
      <c r="BA667" s="127"/>
    </row>
    <row r="668">
      <c r="F668" s="77"/>
      <c r="G668" s="77"/>
      <c r="R668" s="223"/>
      <c r="AL668" s="49"/>
      <c r="AM668" s="49"/>
      <c r="AN668" s="49">
        <v>-0.5</v>
      </c>
      <c r="AO668" s="49">
        <v>-0.5</v>
      </c>
      <c r="AP668" s="49"/>
      <c r="AR668" s="127"/>
      <c r="BA668" s="127"/>
    </row>
    <row r="669">
      <c r="F669" s="77"/>
      <c r="G669" s="77"/>
      <c r="R669" s="223"/>
      <c r="AL669" s="49"/>
      <c r="AM669" s="49"/>
      <c r="AN669" s="49">
        <v>-0.5</v>
      </c>
      <c r="AO669" s="49">
        <v>-0.5</v>
      </c>
      <c r="AP669" s="49"/>
      <c r="AR669" s="127"/>
      <c r="BA669" s="127"/>
    </row>
    <row r="670">
      <c r="F670" s="77"/>
      <c r="G670" s="77"/>
      <c r="R670" s="223"/>
      <c r="AL670" s="49"/>
      <c r="AM670" s="49"/>
      <c r="AN670" s="49">
        <v>-0.5</v>
      </c>
      <c r="AO670" s="49">
        <v>-0.5</v>
      </c>
      <c r="AP670" s="49"/>
      <c r="AR670" s="127"/>
      <c r="BA670" s="127"/>
    </row>
    <row r="671">
      <c r="F671" s="77"/>
      <c r="G671" s="77"/>
      <c r="R671" s="223"/>
      <c r="AL671" s="49"/>
      <c r="AM671" s="49"/>
      <c r="AN671" s="49">
        <v>-0.5</v>
      </c>
      <c r="AO671" s="49">
        <v>-0.5</v>
      </c>
      <c r="AP671" s="49"/>
      <c r="AR671" s="127"/>
      <c r="BA671" s="127"/>
    </row>
    <row r="672">
      <c r="F672" s="77"/>
      <c r="G672" s="77"/>
      <c r="R672" s="223"/>
      <c r="AL672" s="49"/>
      <c r="AM672" s="49"/>
      <c r="AN672" s="49">
        <v>-0.5</v>
      </c>
      <c r="AO672" s="49">
        <v>-0.5</v>
      </c>
      <c r="AP672" s="49"/>
      <c r="AR672" s="127"/>
      <c r="BA672" s="127"/>
    </row>
    <row r="673">
      <c r="F673" s="77"/>
      <c r="G673" s="77"/>
      <c r="R673" s="223"/>
      <c r="AL673" s="49"/>
      <c r="AM673" s="49"/>
      <c r="AN673" s="49">
        <v>-0.5</v>
      </c>
      <c r="AO673" s="49">
        <v>-0.5</v>
      </c>
      <c r="AP673" s="49"/>
      <c r="AR673" s="127"/>
      <c r="BA673" s="127"/>
    </row>
    <row r="674">
      <c r="F674" s="77"/>
      <c r="G674" s="77"/>
      <c r="R674" s="223"/>
      <c r="AL674" s="49"/>
      <c r="AM674" s="49"/>
      <c r="AN674" s="49">
        <v>-0.5</v>
      </c>
      <c r="AO674" s="49">
        <v>-0.5</v>
      </c>
      <c r="AP674" s="49"/>
      <c r="AR674" s="127"/>
      <c r="BA674" s="127"/>
    </row>
    <row r="675">
      <c r="F675" s="77"/>
      <c r="G675" s="77"/>
      <c r="R675" s="223"/>
      <c r="AL675" s="49"/>
      <c r="AM675" s="49"/>
      <c r="AN675" s="49">
        <v>-0.5</v>
      </c>
      <c r="AO675" s="49">
        <v>-0.5</v>
      </c>
      <c r="AP675" s="49"/>
      <c r="AR675" s="127"/>
      <c r="BA675" s="127"/>
    </row>
    <row r="676">
      <c r="F676" s="77"/>
      <c r="G676" s="77"/>
      <c r="R676" s="223"/>
      <c r="AL676" s="49"/>
      <c r="AM676" s="49"/>
      <c r="AN676" s="49">
        <v>-0.5</v>
      </c>
      <c r="AO676" s="49">
        <v>-0.5</v>
      </c>
      <c r="AP676" s="49"/>
      <c r="AR676" s="127"/>
      <c r="BA676" s="127"/>
    </row>
    <row r="677">
      <c r="F677" s="77"/>
      <c r="G677" s="77"/>
      <c r="R677" s="223"/>
      <c r="AL677" s="49"/>
      <c r="AM677" s="49"/>
      <c r="AN677" s="49">
        <v>-0.5</v>
      </c>
      <c r="AO677" s="49">
        <v>-0.5</v>
      </c>
      <c r="AP677" s="49"/>
      <c r="AR677" s="127"/>
      <c r="BA677" s="127"/>
    </row>
    <row r="678">
      <c r="F678" s="77"/>
      <c r="G678" s="77"/>
      <c r="R678" s="223"/>
      <c r="AL678" s="49"/>
      <c r="AM678" s="49"/>
      <c r="AN678" s="49">
        <v>-0.5</v>
      </c>
      <c r="AO678" s="49">
        <v>-0.5</v>
      </c>
      <c r="AP678" s="49"/>
      <c r="AR678" s="127"/>
      <c r="BA678" s="127"/>
    </row>
    <row r="679">
      <c r="F679" s="77"/>
      <c r="G679" s="77"/>
      <c r="R679" s="223"/>
      <c r="AL679" s="49"/>
      <c r="AM679" s="49"/>
      <c r="AN679" s="49">
        <v>-0.5</v>
      </c>
      <c r="AO679" s="49">
        <v>-0.5</v>
      </c>
      <c r="AP679" s="49"/>
      <c r="AR679" s="127"/>
      <c r="BA679" s="127"/>
    </row>
    <row r="680">
      <c r="F680" s="77"/>
      <c r="G680" s="77"/>
      <c r="R680" s="223"/>
      <c r="AL680" s="49"/>
      <c r="AM680" s="49"/>
      <c r="AN680" s="49">
        <v>-0.5</v>
      </c>
      <c r="AO680" s="49">
        <v>-0.5</v>
      </c>
      <c r="AP680" s="49"/>
      <c r="AR680" s="127"/>
      <c r="BA680" s="127"/>
    </row>
    <row r="681">
      <c r="F681" s="77"/>
      <c r="G681" s="77"/>
      <c r="R681" s="223"/>
      <c r="AL681" s="49"/>
      <c r="AM681" s="49"/>
      <c r="AN681" s="49">
        <v>-0.5</v>
      </c>
      <c r="AO681" s="49">
        <v>-0.5</v>
      </c>
      <c r="AP681" s="49"/>
      <c r="AR681" s="127"/>
      <c r="BA681" s="127"/>
    </row>
    <row r="682">
      <c r="F682" s="77"/>
      <c r="G682" s="77"/>
      <c r="R682" s="223"/>
      <c r="AL682" s="49"/>
      <c r="AM682" s="49"/>
      <c r="AN682" s="49">
        <v>-0.5</v>
      </c>
      <c r="AO682" s="49">
        <v>-0.5</v>
      </c>
      <c r="AP682" s="49"/>
      <c r="AR682" s="127"/>
      <c r="BA682" s="127"/>
    </row>
    <row r="683">
      <c r="F683" s="77"/>
      <c r="G683" s="77"/>
      <c r="R683" s="223"/>
      <c r="AL683" s="49"/>
      <c r="AM683" s="49"/>
      <c r="AN683" s="49">
        <v>-0.5</v>
      </c>
      <c r="AO683" s="49">
        <v>-0.5</v>
      </c>
      <c r="AP683" s="49"/>
      <c r="AR683" s="127"/>
      <c r="BA683" s="127"/>
    </row>
    <row r="684">
      <c r="F684" s="77"/>
      <c r="G684" s="77"/>
      <c r="R684" s="223"/>
      <c r="AL684" s="49"/>
      <c r="AM684" s="49"/>
      <c r="AN684" s="49">
        <v>-0.5</v>
      </c>
      <c r="AO684" s="49">
        <v>-0.5</v>
      </c>
      <c r="AP684" s="49"/>
      <c r="AR684" s="127"/>
      <c r="BA684" s="127"/>
    </row>
    <row r="685">
      <c r="F685" s="77"/>
      <c r="G685" s="77"/>
      <c r="R685" s="223"/>
      <c r="AL685" s="49"/>
      <c r="AM685" s="49"/>
      <c r="AN685" s="49">
        <v>-0.5</v>
      </c>
      <c r="AO685" s="49">
        <v>-0.5</v>
      </c>
      <c r="AP685" s="49"/>
      <c r="AR685" s="127"/>
      <c r="BA685" s="127"/>
    </row>
    <row r="686">
      <c r="F686" s="77"/>
      <c r="G686" s="77"/>
      <c r="R686" s="223"/>
      <c r="AL686" s="49"/>
      <c r="AM686" s="49"/>
      <c r="AN686" s="49">
        <v>-0.5</v>
      </c>
      <c r="AO686" s="49">
        <v>-0.5</v>
      </c>
      <c r="AP686" s="49"/>
      <c r="AR686" s="127"/>
      <c r="BA686" s="127"/>
    </row>
    <row r="687">
      <c r="F687" s="77"/>
      <c r="G687" s="77"/>
      <c r="R687" s="223"/>
      <c r="AL687" s="49"/>
      <c r="AM687" s="49"/>
      <c r="AN687" s="49">
        <v>-0.5</v>
      </c>
      <c r="AO687" s="49">
        <v>-0.5</v>
      </c>
      <c r="AP687" s="49"/>
      <c r="AR687" s="127"/>
      <c r="BA687" s="127"/>
    </row>
    <row r="688">
      <c r="F688" s="77"/>
      <c r="G688" s="77"/>
      <c r="R688" s="223"/>
      <c r="AL688" s="49"/>
      <c r="AM688" s="49"/>
      <c r="AN688" s="49">
        <v>-0.5</v>
      </c>
      <c r="AO688" s="49">
        <v>-0.5</v>
      </c>
      <c r="AP688" s="49"/>
      <c r="AR688" s="127"/>
      <c r="BA688" s="127"/>
    </row>
    <row r="689">
      <c r="F689" s="77"/>
      <c r="G689" s="77"/>
      <c r="R689" s="223"/>
      <c r="AL689" s="49"/>
      <c r="AM689" s="49"/>
      <c r="AN689" s="49">
        <v>-0.5</v>
      </c>
      <c r="AO689" s="49">
        <v>-0.5</v>
      </c>
      <c r="AP689" s="49"/>
      <c r="AR689" s="127"/>
      <c r="BA689" s="127"/>
    </row>
    <row r="690">
      <c r="F690" s="77"/>
      <c r="G690" s="77"/>
      <c r="R690" s="223"/>
      <c r="AL690" s="49"/>
      <c r="AM690" s="49"/>
      <c r="AN690" s="49">
        <v>-0.5</v>
      </c>
      <c r="AO690" s="49">
        <v>-0.5</v>
      </c>
      <c r="AP690" s="49"/>
      <c r="AR690" s="127"/>
      <c r="BA690" s="127"/>
    </row>
    <row r="691">
      <c r="F691" s="77"/>
      <c r="G691" s="77"/>
      <c r="R691" s="223"/>
      <c r="AL691" s="49"/>
      <c r="AM691" s="49"/>
      <c r="AN691" s="49">
        <v>-0.5</v>
      </c>
      <c r="AO691" s="49">
        <v>-0.5</v>
      </c>
      <c r="AP691" s="49"/>
      <c r="AR691" s="127"/>
      <c r="BA691" s="127"/>
    </row>
    <row r="692">
      <c r="F692" s="77"/>
      <c r="G692" s="77"/>
      <c r="R692" s="223"/>
      <c r="AL692" s="49"/>
      <c r="AM692" s="49"/>
      <c r="AN692" s="49">
        <v>-0.5</v>
      </c>
      <c r="AO692" s="49">
        <v>-0.5</v>
      </c>
      <c r="AP692" s="49"/>
      <c r="AR692" s="127"/>
      <c r="BA692" s="127"/>
    </row>
    <row r="693">
      <c r="F693" s="77"/>
      <c r="G693" s="77"/>
      <c r="R693" s="223"/>
      <c r="AL693" s="49"/>
      <c r="AM693" s="49"/>
      <c r="AN693" s="49">
        <v>-0.5</v>
      </c>
      <c r="AO693" s="49">
        <v>-0.5</v>
      </c>
      <c r="AP693" s="49"/>
      <c r="AR693" s="127"/>
      <c r="BA693" s="127"/>
    </row>
    <row r="694">
      <c r="F694" s="77"/>
      <c r="G694" s="77"/>
      <c r="R694" s="223"/>
      <c r="AL694" s="49"/>
      <c r="AM694" s="49"/>
      <c r="AN694" s="49">
        <v>-0.5</v>
      </c>
      <c r="AO694" s="49">
        <v>-0.5</v>
      </c>
      <c r="AP694" s="49"/>
      <c r="AR694" s="127"/>
      <c r="BA694" s="127"/>
    </row>
    <row r="695">
      <c r="F695" s="77"/>
      <c r="G695" s="77"/>
      <c r="R695" s="223"/>
      <c r="AL695" s="49"/>
      <c r="AM695" s="49"/>
      <c r="AN695" s="49">
        <v>-0.5</v>
      </c>
      <c r="AO695" s="49">
        <v>-0.5</v>
      </c>
      <c r="AP695" s="49"/>
      <c r="AR695" s="127"/>
      <c r="BA695" s="127"/>
    </row>
    <row r="696">
      <c r="F696" s="77"/>
      <c r="G696" s="77"/>
      <c r="R696" s="223"/>
      <c r="AL696" s="49"/>
      <c r="AM696" s="49"/>
      <c r="AN696" s="49">
        <v>-0.5</v>
      </c>
      <c r="AO696" s="49">
        <v>-0.5</v>
      </c>
      <c r="AP696" s="49"/>
      <c r="AR696" s="127"/>
      <c r="BA696" s="127"/>
    </row>
    <row r="697">
      <c r="F697" s="77"/>
      <c r="G697" s="77"/>
      <c r="R697" s="223"/>
      <c r="AL697" s="49"/>
      <c r="AM697" s="49"/>
      <c r="AN697" s="49">
        <v>-0.5</v>
      </c>
      <c r="AO697" s="49">
        <v>-0.5</v>
      </c>
      <c r="AP697" s="49"/>
      <c r="AR697" s="127"/>
      <c r="BA697" s="127"/>
    </row>
    <row r="698">
      <c r="F698" s="77"/>
      <c r="G698" s="77"/>
      <c r="R698" s="223"/>
      <c r="AL698" s="49"/>
      <c r="AM698" s="49"/>
      <c r="AN698" s="49">
        <v>-0.5</v>
      </c>
      <c r="AO698" s="49">
        <v>-0.5</v>
      </c>
      <c r="AP698" s="49"/>
      <c r="AR698" s="127"/>
      <c r="BA698" s="127"/>
    </row>
    <row r="699">
      <c r="F699" s="77"/>
      <c r="G699" s="77"/>
      <c r="R699" s="223"/>
      <c r="AL699" s="49"/>
      <c r="AM699" s="49"/>
      <c r="AN699" s="49">
        <v>-0.5</v>
      </c>
      <c r="AO699" s="49">
        <v>-0.5</v>
      </c>
      <c r="AP699" s="49"/>
      <c r="AR699" s="127"/>
      <c r="BA699" s="127"/>
    </row>
    <row r="700">
      <c r="F700" s="77"/>
      <c r="G700" s="77"/>
      <c r="R700" s="223"/>
      <c r="AL700" s="49"/>
      <c r="AM700" s="49"/>
      <c r="AN700" s="49">
        <v>-0.5</v>
      </c>
      <c r="AO700" s="49">
        <v>-0.5</v>
      </c>
      <c r="AP700" s="49"/>
      <c r="AR700" s="127"/>
      <c r="BA700" s="127"/>
    </row>
    <row r="701">
      <c r="F701" s="77"/>
      <c r="G701" s="77"/>
      <c r="R701" s="223"/>
      <c r="AL701" s="49"/>
      <c r="AM701" s="49"/>
      <c r="AN701" s="49">
        <v>-0.5</v>
      </c>
      <c r="AO701" s="49">
        <v>-0.5</v>
      </c>
      <c r="AP701" s="49"/>
      <c r="AR701" s="127"/>
      <c r="BA701" s="127"/>
    </row>
    <row r="702">
      <c r="F702" s="77"/>
      <c r="G702" s="77"/>
      <c r="R702" s="223"/>
      <c r="AL702" s="49"/>
      <c r="AM702" s="49"/>
      <c r="AN702" s="49">
        <v>-0.5</v>
      </c>
      <c r="AO702" s="49">
        <v>-0.5</v>
      </c>
      <c r="AP702" s="49"/>
      <c r="AR702" s="127"/>
      <c r="BA702" s="127"/>
    </row>
    <row r="703">
      <c r="F703" s="77"/>
      <c r="G703" s="77"/>
      <c r="R703" s="223"/>
      <c r="AL703" s="49"/>
      <c r="AM703" s="49"/>
      <c r="AN703" s="49">
        <v>-0.5</v>
      </c>
      <c r="AO703" s="49">
        <v>-0.5</v>
      </c>
      <c r="AP703" s="49"/>
      <c r="AR703" s="127"/>
      <c r="BA703" s="127"/>
    </row>
    <row r="704">
      <c r="F704" s="77"/>
      <c r="G704" s="77"/>
      <c r="R704" s="223"/>
      <c r="AL704" s="49"/>
      <c r="AM704" s="49"/>
      <c r="AN704" s="49">
        <v>-0.5</v>
      </c>
      <c r="AO704" s="49">
        <v>-0.5</v>
      </c>
      <c r="AP704" s="49"/>
      <c r="AR704" s="127"/>
      <c r="BA704" s="127"/>
    </row>
    <row r="705">
      <c r="F705" s="77"/>
      <c r="G705" s="77"/>
      <c r="R705" s="223"/>
      <c r="AL705" s="49"/>
      <c r="AM705" s="49"/>
      <c r="AN705" s="49">
        <v>-0.5</v>
      </c>
      <c r="AO705" s="49">
        <v>-0.5</v>
      </c>
      <c r="AP705" s="49"/>
      <c r="AR705" s="127"/>
      <c r="BA705" s="127"/>
    </row>
    <row r="706">
      <c r="F706" s="77"/>
      <c r="G706" s="77"/>
      <c r="R706" s="223"/>
      <c r="AL706" s="49"/>
      <c r="AM706" s="49"/>
      <c r="AN706" s="49">
        <v>-0.5</v>
      </c>
      <c r="AO706" s="49">
        <v>-0.5</v>
      </c>
      <c r="AP706" s="49"/>
      <c r="AR706" s="127"/>
      <c r="BA706" s="127"/>
    </row>
    <row r="707">
      <c r="F707" s="77"/>
      <c r="G707" s="77"/>
      <c r="R707" s="223"/>
      <c r="AL707" s="49"/>
      <c r="AM707" s="49"/>
      <c r="AN707" s="49">
        <v>-0.5</v>
      </c>
      <c r="AO707" s="49">
        <v>-0.5</v>
      </c>
      <c r="AP707" s="49"/>
      <c r="AR707" s="127"/>
      <c r="BA707" s="127"/>
    </row>
    <row r="708">
      <c r="F708" s="77"/>
      <c r="G708" s="77"/>
      <c r="R708" s="223"/>
      <c r="AL708" s="49"/>
      <c r="AM708" s="49"/>
      <c r="AN708" s="49">
        <v>-0.5</v>
      </c>
      <c r="AO708" s="49">
        <v>-0.5</v>
      </c>
      <c r="AP708" s="49"/>
      <c r="AR708" s="127"/>
      <c r="BA708" s="127"/>
    </row>
    <row r="709">
      <c r="F709" s="77"/>
      <c r="G709" s="77"/>
      <c r="R709" s="223"/>
      <c r="AL709" s="49"/>
      <c r="AM709" s="49"/>
      <c r="AN709" s="49">
        <v>-0.5</v>
      </c>
      <c r="AO709" s="49">
        <v>-0.5</v>
      </c>
      <c r="AP709" s="49"/>
      <c r="AR709" s="127"/>
      <c r="BA709" s="127"/>
    </row>
    <row r="710">
      <c r="F710" s="77"/>
      <c r="G710" s="77"/>
      <c r="R710" s="223"/>
      <c r="AL710" s="49"/>
      <c r="AM710" s="49"/>
      <c r="AN710" s="49">
        <v>-0.5</v>
      </c>
      <c r="AO710" s="49">
        <v>-0.5</v>
      </c>
      <c r="AP710" s="49"/>
      <c r="AR710" s="127"/>
      <c r="BA710" s="127"/>
    </row>
    <row r="711">
      <c r="F711" s="77"/>
      <c r="G711" s="77"/>
      <c r="R711" s="223"/>
      <c r="AL711" s="49"/>
      <c r="AM711" s="49"/>
      <c r="AN711" s="49">
        <v>-0.5</v>
      </c>
      <c r="AO711" s="49">
        <v>-0.5</v>
      </c>
      <c r="AP711" s="49"/>
      <c r="AR711" s="127"/>
      <c r="BA711" s="127"/>
    </row>
    <row r="712">
      <c r="F712" s="77"/>
      <c r="G712" s="77"/>
      <c r="R712" s="223"/>
      <c r="AL712" s="49"/>
      <c r="AM712" s="49"/>
      <c r="AN712" s="49">
        <v>-0.5</v>
      </c>
      <c r="AO712" s="49">
        <v>-0.5</v>
      </c>
      <c r="AP712" s="49"/>
      <c r="AR712" s="127"/>
      <c r="BA712" s="127"/>
    </row>
    <row r="713">
      <c r="F713" s="77"/>
      <c r="G713" s="77"/>
      <c r="R713" s="223"/>
      <c r="AL713" s="49"/>
      <c r="AM713" s="49"/>
      <c r="AN713" s="49">
        <v>-0.5</v>
      </c>
      <c r="AO713" s="49">
        <v>-0.5</v>
      </c>
      <c r="AP713" s="49"/>
      <c r="AR713" s="127"/>
      <c r="BA713" s="127"/>
    </row>
    <row r="714">
      <c r="F714" s="77"/>
      <c r="G714" s="77"/>
      <c r="R714" s="223"/>
      <c r="AL714" s="49"/>
      <c r="AM714" s="49"/>
      <c r="AN714" s="49">
        <v>-0.5</v>
      </c>
      <c r="AO714" s="49">
        <v>-0.5</v>
      </c>
      <c r="AP714" s="49"/>
      <c r="AR714" s="127"/>
      <c r="BA714" s="127"/>
    </row>
    <row r="715">
      <c r="F715" s="77"/>
      <c r="G715" s="77"/>
      <c r="R715" s="223"/>
      <c r="AL715" s="49"/>
      <c r="AM715" s="49"/>
      <c r="AN715" s="49">
        <v>-0.5</v>
      </c>
      <c r="AO715" s="49">
        <v>-0.5</v>
      </c>
      <c r="AP715" s="49"/>
      <c r="AR715" s="127"/>
      <c r="BA715" s="127"/>
    </row>
    <row r="716">
      <c r="F716" s="77"/>
      <c r="G716" s="77"/>
      <c r="R716" s="223"/>
      <c r="AL716" s="49"/>
      <c r="AM716" s="49"/>
      <c r="AN716" s="49">
        <v>-0.5</v>
      </c>
      <c r="AO716" s="49">
        <v>-0.5</v>
      </c>
      <c r="AP716" s="49"/>
      <c r="AR716" s="127"/>
      <c r="BA716" s="127"/>
    </row>
    <row r="717">
      <c r="F717" s="77"/>
      <c r="G717" s="77"/>
      <c r="R717" s="223"/>
      <c r="AL717" s="49"/>
      <c r="AM717" s="49"/>
      <c r="AN717" s="49">
        <v>-0.5</v>
      </c>
      <c r="AO717" s="49">
        <v>-0.5</v>
      </c>
      <c r="AP717" s="49"/>
      <c r="AR717" s="127"/>
      <c r="BA717" s="127"/>
    </row>
    <row r="718">
      <c r="F718" s="77"/>
      <c r="G718" s="77"/>
      <c r="R718" s="223"/>
      <c r="AL718" s="49"/>
      <c r="AM718" s="49"/>
      <c r="AN718" s="49">
        <v>-0.5</v>
      </c>
      <c r="AO718" s="49">
        <v>-0.5</v>
      </c>
      <c r="AP718" s="49"/>
      <c r="AR718" s="127"/>
      <c r="BA718" s="127"/>
    </row>
    <row r="719">
      <c r="F719" s="77"/>
      <c r="G719" s="77"/>
      <c r="R719" s="223"/>
      <c r="AL719" s="49"/>
      <c r="AM719" s="49"/>
      <c r="AN719" s="49">
        <v>-0.5</v>
      </c>
      <c r="AO719" s="49">
        <v>-0.5</v>
      </c>
      <c r="AP719" s="49"/>
      <c r="AR719" s="127"/>
      <c r="BA719" s="127"/>
    </row>
    <row r="720">
      <c r="F720" s="77"/>
      <c r="G720" s="77"/>
      <c r="R720" s="223"/>
      <c r="AL720" s="49"/>
      <c r="AM720" s="49"/>
      <c r="AN720" s="49">
        <v>-0.5</v>
      </c>
      <c r="AO720" s="49">
        <v>-0.5</v>
      </c>
      <c r="AP720" s="49"/>
      <c r="AR720" s="127"/>
      <c r="BA720" s="127"/>
    </row>
    <row r="721">
      <c r="F721" s="77"/>
      <c r="G721" s="77"/>
      <c r="R721" s="223"/>
      <c r="AL721" s="49"/>
      <c r="AM721" s="49"/>
      <c r="AN721" s="49">
        <v>-0.5</v>
      </c>
      <c r="AO721" s="49">
        <v>-0.5</v>
      </c>
      <c r="AP721" s="49"/>
      <c r="AR721" s="127"/>
      <c r="BA721" s="127"/>
    </row>
    <row r="722">
      <c r="F722" s="77"/>
      <c r="G722" s="77"/>
      <c r="R722" s="223"/>
      <c r="AL722" s="49"/>
      <c r="AM722" s="49"/>
      <c r="AN722" s="49">
        <v>-0.5</v>
      </c>
      <c r="AO722" s="49">
        <v>-0.5</v>
      </c>
      <c r="AP722" s="49"/>
      <c r="AR722" s="127"/>
      <c r="BA722" s="127"/>
    </row>
    <row r="723">
      <c r="F723" s="77"/>
      <c r="G723" s="77"/>
      <c r="R723" s="223"/>
      <c r="AL723" s="49"/>
      <c r="AM723" s="49"/>
      <c r="AN723" s="49">
        <v>-0.5</v>
      </c>
      <c r="AO723" s="49">
        <v>-0.5</v>
      </c>
      <c r="AP723" s="49"/>
      <c r="AR723" s="127"/>
      <c r="BA723" s="127"/>
    </row>
    <row r="724">
      <c r="F724" s="77"/>
      <c r="G724" s="77"/>
      <c r="R724" s="223"/>
      <c r="AL724" s="49"/>
      <c r="AM724" s="49"/>
      <c r="AN724" s="49">
        <v>-0.5</v>
      </c>
      <c r="AO724" s="49">
        <v>-0.5</v>
      </c>
      <c r="AP724" s="49"/>
      <c r="AR724" s="127"/>
      <c r="BA724" s="127"/>
    </row>
    <row r="725">
      <c r="F725" s="77"/>
      <c r="G725" s="77"/>
      <c r="R725" s="223"/>
      <c r="AL725" s="49"/>
      <c r="AM725" s="49"/>
      <c r="AN725" s="49">
        <v>-0.5</v>
      </c>
      <c r="AO725" s="49">
        <v>-0.5</v>
      </c>
      <c r="AP725" s="49"/>
      <c r="AR725" s="127"/>
      <c r="BA725" s="127"/>
    </row>
    <row r="726">
      <c r="F726" s="77"/>
      <c r="G726" s="77"/>
      <c r="R726" s="223"/>
      <c r="AL726" s="49"/>
      <c r="AM726" s="49"/>
      <c r="AN726" s="49">
        <v>-0.5</v>
      </c>
      <c r="AO726" s="49">
        <v>-0.5</v>
      </c>
      <c r="AP726" s="49"/>
      <c r="AR726" s="127"/>
      <c r="BA726" s="127"/>
    </row>
    <row r="727">
      <c r="F727" s="77"/>
      <c r="G727" s="77"/>
      <c r="R727" s="223"/>
      <c r="AL727" s="49"/>
      <c r="AM727" s="49"/>
      <c r="AN727" s="49">
        <v>-0.5</v>
      </c>
      <c r="AO727" s="49">
        <v>-0.5</v>
      </c>
      <c r="AP727" s="49"/>
      <c r="AR727" s="127"/>
      <c r="BA727" s="127"/>
    </row>
    <row r="728">
      <c r="F728" s="77"/>
      <c r="G728" s="77"/>
      <c r="R728" s="223"/>
      <c r="AL728" s="49"/>
      <c r="AM728" s="49"/>
      <c r="AN728" s="49">
        <v>-0.5</v>
      </c>
      <c r="AO728" s="49">
        <v>-0.5</v>
      </c>
      <c r="AP728" s="49"/>
      <c r="AR728" s="127"/>
      <c r="BA728" s="127"/>
    </row>
    <row r="729">
      <c r="F729" s="77"/>
      <c r="G729" s="77"/>
      <c r="R729" s="223"/>
      <c r="AL729" s="49"/>
      <c r="AM729" s="49"/>
      <c r="AN729" s="49">
        <v>-0.5</v>
      </c>
      <c r="AO729" s="49">
        <v>-0.5</v>
      </c>
      <c r="AP729" s="49"/>
      <c r="AR729" s="127"/>
      <c r="BA729" s="127"/>
    </row>
    <row r="730">
      <c r="F730" s="77"/>
      <c r="G730" s="77"/>
      <c r="R730" s="223"/>
      <c r="AL730" s="49"/>
      <c r="AM730" s="49"/>
      <c r="AN730" s="49">
        <v>-0.5</v>
      </c>
      <c r="AO730" s="49">
        <v>-0.5</v>
      </c>
      <c r="AP730" s="49"/>
      <c r="AR730" s="127"/>
      <c r="BA730" s="127"/>
    </row>
    <row r="731">
      <c r="F731" s="77"/>
      <c r="G731" s="77"/>
      <c r="R731" s="223"/>
      <c r="AL731" s="49"/>
      <c r="AM731" s="49"/>
      <c r="AN731" s="49">
        <v>-0.5</v>
      </c>
      <c r="AO731" s="49">
        <v>-0.5</v>
      </c>
      <c r="AP731" s="49"/>
      <c r="AR731" s="127"/>
      <c r="BA731" s="127"/>
    </row>
    <row r="732">
      <c r="F732" s="77"/>
      <c r="G732" s="77"/>
      <c r="R732" s="223"/>
      <c r="AL732" s="49"/>
      <c r="AM732" s="49"/>
      <c r="AN732" s="49">
        <v>-0.5</v>
      </c>
      <c r="AO732" s="49">
        <v>-0.5</v>
      </c>
      <c r="AP732" s="49"/>
      <c r="AR732" s="127"/>
      <c r="BA732" s="127"/>
    </row>
    <row r="733">
      <c r="F733" s="77"/>
      <c r="G733" s="77"/>
      <c r="R733" s="223"/>
      <c r="AL733" s="49"/>
      <c r="AM733" s="49"/>
      <c r="AN733" s="49">
        <v>-0.5</v>
      </c>
      <c r="AO733" s="49">
        <v>-0.5</v>
      </c>
      <c r="AP733" s="49"/>
      <c r="AR733" s="127"/>
      <c r="BA733" s="127"/>
    </row>
    <row r="734">
      <c r="F734" s="77"/>
      <c r="G734" s="77"/>
      <c r="R734" s="223"/>
      <c r="AL734" s="49"/>
      <c r="AM734" s="49"/>
      <c r="AN734" s="49">
        <v>-0.5</v>
      </c>
      <c r="AO734" s="49">
        <v>-0.5</v>
      </c>
      <c r="AP734" s="49"/>
      <c r="AR734" s="127"/>
      <c r="BA734" s="127"/>
    </row>
    <row r="735">
      <c r="F735" s="77"/>
      <c r="G735" s="77"/>
      <c r="R735" s="223"/>
      <c r="AL735" s="49"/>
      <c r="AM735" s="49"/>
      <c r="AN735" s="49">
        <v>-0.5</v>
      </c>
      <c r="AO735" s="49">
        <v>-0.5</v>
      </c>
      <c r="AP735" s="49"/>
      <c r="AR735" s="127"/>
      <c r="BA735" s="127"/>
    </row>
    <row r="736">
      <c r="F736" s="77"/>
      <c r="G736" s="77"/>
      <c r="R736" s="223"/>
      <c r="AL736" s="49"/>
      <c r="AM736" s="49"/>
      <c r="AN736" s="49">
        <v>-0.5</v>
      </c>
      <c r="AO736" s="49">
        <v>-0.5</v>
      </c>
      <c r="AP736" s="49"/>
      <c r="AR736" s="127"/>
      <c r="BA736" s="127"/>
    </row>
    <row r="737">
      <c r="F737" s="77"/>
      <c r="G737" s="77"/>
      <c r="R737" s="223"/>
      <c r="AL737" s="49"/>
      <c r="AM737" s="49"/>
      <c r="AN737" s="49">
        <v>-0.5</v>
      </c>
      <c r="AO737" s="49">
        <v>-0.5</v>
      </c>
      <c r="AP737" s="49"/>
      <c r="AR737" s="127"/>
      <c r="BA737" s="127"/>
    </row>
    <row r="738">
      <c r="F738" s="77"/>
      <c r="G738" s="77"/>
      <c r="R738" s="223"/>
      <c r="AL738" s="49"/>
      <c r="AM738" s="49"/>
      <c r="AN738" s="49">
        <v>-0.5</v>
      </c>
      <c r="AO738" s="49">
        <v>-0.5</v>
      </c>
      <c r="AP738" s="49"/>
      <c r="AR738" s="127"/>
      <c r="BA738" s="127"/>
    </row>
    <row r="739">
      <c r="F739" s="77"/>
      <c r="G739" s="77"/>
      <c r="R739" s="223"/>
      <c r="AL739" s="49"/>
      <c r="AM739" s="49"/>
      <c r="AN739" s="49">
        <v>-0.5</v>
      </c>
      <c r="AO739" s="49">
        <v>-0.5</v>
      </c>
      <c r="AP739" s="49"/>
      <c r="AR739" s="127"/>
      <c r="BA739" s="127"/>
    </row>
    <row r="740">
      <c r="F740" s="77"/>
      <c r="G740" s="77"/>
      <c r="R740" s="223"/>
      <c r="AL740" s="49"/>
      <c r="AM740" s="49"/>
      <c r="AN740" s="49">
        <v>-0.5</v>
      </c>
      <c r="AO740" s="49">
        <v>-0.5</v>
      </c>
      <c r="AP740" s="49"/>
      <c r="AR740" s="127"/>
      <c r="BA740" s="127"/>
    </row>
    <row r="741">
      <c r="F741" s="77"/>
      <c r="G741" s="77"/>
      <c r="R741" s="223"/>
      <c r="AL741" s="49"/>
      <c r="AM741" s="49"/>
      <c r="AN741" s="49">
        <v>-0.5</v>
      </c>
      <c r="AO741" s="49">
        <v>-0.5</v>
      </c>
      <c r="AP741" s="49"/>
      <c r="AR741" s="127"/>
      <c r="BA741" s="127"/>
    </row>
    <row r="742">
      <c r="F742" s="77"/>
      <c r="G742" s="77"/>
      <c r="R742" s="223"/>
      <c r="AL742" s="49"/>
      <c r="AM742" s="49"/>
      <c r="AN742" s="49">
        <v>-0.5</v>
      </c>
      <c r="AO742" s="49">
        <v>-0.5</v>
      </c>
      <c r="AP742" s="49"/>
      <c r="AR742" s="127"/>
      <c r="BA742" s="127"/>
    </row>
    <row r="743">
      <c r="F743" s="77"/>
      <c r="G743" s="77"/>
      <c r="R743" s="223"/>
      <c r="AL743" s="49"/>
      <c r="AM743" s="49"/>
      <c r="AN743" s="49">
        <v>-0.5</v>
      </c>
      <c r="AO743" s="49">
        <v>-0.5</v>
      </c>
      <c r="AP743" s="49"/>
      <c r="AR743" s="127"/>
      <c r="BA743" s="127"/>
    </row>
    <row r="744">
      <c r="F744" s="77"/>
      <c r="G744" s="77"/>
      <c r="R744" s="223"/>
      <c r="AL744" s="49"/>
      <c r="AM744" s="49"/>
      <c r="AN744" s="49">
        <v>-0.5</v>
      </c>
      <c r="AO744" s="49">
        <v>-0.5</v>
      </c>
      <c r="AP744" s="49"/>
      <c r="AR744" s="127"/>
      <c r="BA744" s="127"/>
    </row>
    <row r="745">
      <c r="F745" s="77"/>
      <c r="G745" s="77"/>
      <c r="R745" s="223"/>
      <c r="AL745" s="49"/>
      <c r="AM745" s="49"/>
      <c r="AN745" s="49">
        <v>-0.5</v>
      </c>
      <c r="AO745" s="49">
        <v>-0.5</v>
      </c>
      <c r="AP745" s="49"/>
      <c r="AR745" s="127"/>
      <c r="BA745" s="127"/>
    </row>
    <row r="746">
      <c r="F746" s="77"/>
      <c r="G746" s="77"/>
      <c r="R746" s="223"/>
      <c r="AL746" s="49"/>
      <c r="AM746" s="49"/>
      <c r="AN746" s="49">
        <v>-0.5</v>
      </c>
      <c r="AO746" s="49">
        <v>-0.5</v>
      </c>
      <c r="AP746" s="49"/>
      <c r="AR746" s="127"/>
      <c r="BA746" s="127"/>
    </row>
    <row r="747">
      <c r="F747" s="77"/>
      <c r="G747" s="77"/>
      <c r="R747" s="223"/>
      <c r="AL747" s="49"/>
      <c r="AM747" s="49"/>
      <c r="AN747" s="49">
        <v>-0.5</v>
      </c>
      <c r="AO747" s="49">
        <v>-0.5</v>
      </c>
      <c r="AP747" s="49"/>
      <c r="AR747" s="127"/>
      <c r="BA747" s="127"/>
    </row>
    <row r="748">
      <c r="F748" s="77"/>
      <c r="G748" s="77"/>
      <c r="R748" s="223"/>
      <c r="AL748" s="49"/>
      <c r="AM748" s="49"/>
      <c r="AN748" s="49">
        <v>-0.5</v>
      </c>
      <c r="AO748" s="49">
        <v>-0.5</v>
      </c>
      <c r="AP748" s="49"/>
      <c r="AR748" s="127"/>
      <c r="BA748" s="127"/>
    </row>
    <row r="749">
      <c r="F749" s="77"/>
      <c r="G749" s="77"/>
      <c r="R749" s="223"/>
      <c r="AL749" s="49"/>
      <c r="AM749" s="49"/>
      <c r="AN749" s="49">
        <v>-0.5</v>
      </c>
      <c r="AO749" s="49">
        <v>-0.5</v>
      </c>
      <c r="AP749" s="49"/>
      <c r="AR749" s="127"/>
      <c r="BA749" s="127"/>
    </row>
    <row r="750">
      <c r="F750" s="77"/>
      <c r="G750" s="77"/>
      <c r="R750" s="223"/>
      <c r="AL750" s="49"/>
      <c r="AM750" s="49"/>
      <c r="AN750" s="49">
        <v>-0.5</v>
      </c>
      <c r="AO750" s="49">
        <v>-0.5</v>
      </c>
      <c r="AP750" s="49"/>
      <c r="AR750" s="127"/>
      <c r="BA750" s="127"/>
    </row>
    <row r="751">
      <c r="F751" s="77"/>
      <c r="G751" s="77"/>
      <c r="R751" s="223"/>
      <c r="AL751" s="49"/>
      <c r="AM751" s="49"/>
      <c r="AN751" s="49">
        <v>-0.5</v>
      </c>
      <c r="AO751" s="49">
        <v>-0.5</v>
      </c>
      <c r="AP751" s="49"/>
      <c r="AR751" s="127"/>
      <c r="BA751" s="127"/>
    </row>
    <row r="752">
      <c r="F752" s="77"/>
      <c r="G752" s="77"/>
      <c r="R752" s="223"/>
      <c r="AL752" s="49"/>
      <c r="AM752" s="49"/>
      <c r="AN752" s="49">
        <v>-0.5</v>
      </c>
      <c r="AO752" s="49">
        <v>-0.5</v>
      </c>
      <c r="AP752" s="49"/>
      <c r="AR752" s="127"/>
      <c r="BA752" s="127"/>
    </row>
    <row r="753">
      <c r="F753" s="77"/>
      <c r="G753" s="77"/>
      <c r="R753" s="223"/>
      <c r="AL753" s="49"/>
      <c r="AM753" s="49"/>
      <c r="AN753" s="49">
        <v>-0.5</v>
      </c>
      <c r="AO753" s="49">
        <v>-0.5</v>
      </c>
      <c r="AP753" s="49"/>
      <c r="AR753" s="127"/>
      <c r="BA753" s="127"/>
    </row>
    <row r="754">
      <c r="F754" s="77"/>
      <c r="G754" s="77"/>
      <c r="R754" s="223"/>
      <c r="AL754" s="49"/>
      <c r="AM754" s="49"/>
      <c r="AN754" s="49">
        <v>-0.5</v>
      </c>
      <c r="AO754" s="49">
        <v>-0.5</v>
      </c>
      <c r="AP754" s="49"/>
      <c r="AR754" s="127"/>
      <c r="BA754" s="127"/>
    </row>
    <row r="755">
      <c r="F755" s="77"/>
      <c r="G755" s="77"/>
      <c r="R755" s="223"/>
      <c r="AL755" s="49"/>
      <c r="AM755" s="49"/>
      <c r="AN755" s="49">
        <v>-0.5</v>
      </c>
      <c r="AO755" s="49">
        <v>-0.5</v>
      </c>
      <c r="AP755" s="49"/>
      <c r="AR755" s="127"/>
      <c r="BA755" s="127"/>
    </row>
    <row r="756">
      <c r="F756" s="77"/>
      <c r="G756" s="77"/>
      <c r="R756" s="223"/>
      <c r="AL756" s="49"/>
      <c r="AM756" s="49"/>
      <c r="AN756" s="49">
        <v>-0.5</v>
      </c>
      <c r="AO756" s="49">
        <v>-0.5</v>
      </c>
      <c r="AP756" s="49"/>
      <c r="AR756" s="127"/>
      <c r="BA756" s="127"/>
    </row>
    <row r="757">
      <c r="F757" s="77"/>
      <c r="G757" s="77"/>
      <c r="R757" s="223"/>
      <c r="AL757" s="49"/>
      <c r="AM757" s="49"/>
      <c r="AN757" s="49">
        <v>-0.5</v>
      </c>
      <c r="AO757" s="49">
        <v>-0.5</v>
      </c>
      <c r="AP757" s="49"/>
      <c r="AR757" s="127"/>
      <c r="BA757" s="127"/>
    </row>
    <row r="758">
      <c r="F758" s="77"/>
      <c r="G758" s="77"/>
      <c r="R758" s="223"/>
      <c r="AL758" s="49"/>
      <c r="AM758" s="49"/>
      <c r="AN758" s="49">
        <v>-0.5</v>
      </c>
      <c r="AO758" s="49">
        <v>-0.5</v>
      </c>
      <c r="AP758" s="49"/>
      <c r="AR758" s="127"/>
      <c r="BA758" s="127"/>
    </row>
    <row r="759">
      <c r="F759" s="77"/>
      <c r="G759" s="77"/>
      <c r="R759" s="223"/>
      <c r="AL759" s="49"/>
      <c r="AM759" s="49"/>
      <c r="AN759" s="49">
        <v>-0.5</v>
      </c>
      <c r="AO759" s="49">
        <v>-0.5</v>
      </c>
      <c r="AP759" s="49"/>
      <c r="AR759" s="127"/>
      <c r="BA759" s="127"/>
    </row>
    <row r="760">
      <c r="F760" s="77"/>
      <c r="G760" s="77"/>
      <c r="R760" s="223"/>
      <c r="AL760" s="49"/>
      <c r="AM760" s="49"/>
      <c r="AN760" s="49">
        <v>-0.5</v>
      </c>
      <c r="AO760" s="49">
        <v>-0.5</v>
      </c>
      <c r="AP760" s="49"/>
      <c r="AR760" s="127"/>
      <c r="BA760" s="127"/>
    </row>
    <row r="761">
      <c r="F761" s="77"/>
      <c r="G761" s="77"/>
      <c r="R761" s="223"/>
      <c r="AL761" s="49"/>
      <c r="AM761" s="49"/>
      <c r="AN761" s="49">
        <v>-0.5</v>
      </c>
      <c r="AO761" s="49">
        <v>-0.5</v>
      </c>
      <c r="AP761" s="49"/>
      <c r="AR761" s="127"/>
      <c r="BA761" s="127"/>
    </row>
    <row r="762">
      <c r="F762" s="77"/>
      <c r="G762" s="77"/>
      <c r="R762" s="223"/>
      <c r="AL762" s="49"/>
      <c r="AM762" s="49"/>
      <c r="AN762" s="49">
        <v>-0.5</v>
      </c>
      <c r="AO762" s="49">
        <v>-0.5</v>
      </c>
      <c r="AP762" s="49"/>
      <c r="AR762" s="127"/>
      <c r="BA762" s="127"/>
    </row>
    <row r="763">
      <c r="F763" s="77"/>
      <c r="G763" s="77"/>
      <c r="R763" s="223"/>
      <c r="AL763" s="49"/>
      <c r="AM763" s="49"/>
      <c r="AN763" s="49">
        <v>-0.5</v>
      </c>
      <c r="AO763" s="49">
        <v>-0.5</v>
      </c>
      <c r="AP763" s="49"/>
      <c r="AR763" s="127"/>
      <c r="BA763" s="127"/>
    </row>
    <row r="764">
      <c r="F764" s="77"/>
      <c r="G764" s="77"/>
      <c r="R764" s="223"/>
      <c r="AL764" s="49"/>
      <c r="AM764" s="49"/>
      <c r="AN764" s="49">
        <v>-0.5</v>
      </c>
      <c r="AO764" s="49">
        <v>-0.5</v>
      </c>
      <c r="AP764" s="49"/>
      <c r="AR764" s="127"/>
      <c r="BA764" s="127"/>
    </row>
    <row r="765">
      <c r="F765" s="77"/>
      <c r="G765" s="77"/>
      <c r="R765" s="223"/>
      <c r="AL765" s="49"/>
      <c r="AM765" s="49"/>
      <c r="AN765" s="49">
        <v>-0.5</v>
      </c>
      <c r="AO765" s="49">
        <v>-0.5</v>
      </c>
      <c r="AP765" s="49"/>
      <c r="AR765" s="127"/>
      <c r="BA765" s="127"/>
    </row>
    <row r="766">
      <c r="F766" s="77"/>
      <c r="G766" s="77"/>
      <c r="R766" s="223"/>
      <c r="AL766" s="49"/>
      <c r="AM766" s="49"/>
      <c r="AN766" s="49">
        <v>-0.5</v>
      </c>
      <c r="AO766" s="49">
        <v>-0.5</v>
      </c>
      <c r="AP766" s="49"/>
      <c r="AR766" s="127"/>
      <c r="BA766" s="127"/>
    </row>
    <row r="767">
      <c r="F767" s="77"/>
      <c r="G767" s="77"/>
      <c r="R767" s="223"/>
      <c r="AL767" s="49"/>
      <c r="AM767" s="49"/>
      <c r="AN767" s="49">
        <v>-0.5</v>
      </c>
      <c r="AO767" s="49">
        <v>-0.5</v>
      </c>
      <c r="AP767" s="49"/>
      <c r="AR767" s="127"/>
      <c r="BA767" s="127"/>
    </row>
    <row r="768">
      <c r="F768" s="77"/>
      <c r="G768" s="77"/>
      <c r="R768" s="223"/>
      <c r="AL768" s="49"/>
      <c r="AM768" s="49"/>
      <c r="AN768" s="49">
        <v>-0.5</v>
      </c>
      <c r="AO768" s="49">
        <v>-0.5</v>
      </c>
      <c r="AP768" s="49"/>
      <c r="AR768" s="127"/>
      <c r="BA768" s="127"/>
    </row>
    <row r="769">
      <c r="F769" s="77"/>
      <c r="G769" s="77"/>
      <c r="R769" s="223"/>
      <c r="AL769" s="49"/>
      <c r="AM769" s="49"/>
      <c r="AN769" s="49">
        <v>-0.5</v>
      </c>
      <c r="AO769" s="49">
        <v>-0.5</v>
      </c>
      <c r="AP769" s="49"/>
      <c r="AR769" s="127"/>
      <c r="BA769" s="127"/>
    </row>
    <row r="770">
      <c r="F770" s="77"/>
      <c r="G770" s="77"/>
      <c r="R770" s="223"/>
      <c r="AL770" s="49"/>
      <c r="AM770" s="49"/>
      <c r="AN770" s="49">
        <v>-0.5</v>
      </c>
      <c r="AO770" s="49">
        <v>-0.5</v>
      </c>
      <c r="AP770" s="49"/>
      <c r="AR770" s="127"/>
      <c r="BA770" s="127"/>
    </row>
    <row r="771">
      <c r="F771" s="77"/>
      <c r="G771" s="77"/>
      <c r="R771" s="223"/>
      <c r="AL771" s="49"/>
      <c r="AM771" s="49"/>
      <c r="AN771" s="49">
        <v>-0.5</v>
      </c>
      <c r="AO771" s="49">
        <v>-0.5</v>
      </c>
      <c r="AP771" s="49"/>
      <c r="AR771" s="127"/>
      <c r="BA771" s="127"/>
    </row>
    <row r="772">
      <c r="F772" s="77"/>
      <c r="G772" s="77"/>
      <c r="R772" s="223"/>
      <c r="AL772" s="49"/>
      <c r="AM772" s="49"/>
      <c r="AN772" s="49">
        <v>-0.5</v>
      </c>
      <c r="AO772" s="49">
        <v>-0.5</v>
      </c>
      <c r="AP772" s="49"/>
      <c r="AR772" s="127"/>
      <c r="BA772" s="127"/>
    </row>
    <row r="773">
      <c r="F773" s="77"/>
      <c r="G773" s="77"/>
      <c r="R773" s="223"/>
      <c r="AL773" s="49"/>
      <c r="AM773" s="49"/>
      <c r="AN773" s="49">
        <v>-0.5</v>
      </c>
      <c r="AO773" s="49">
        <v>-0.5</v>
      </c>
      <c r="AP773" s="49"/>
      <c r="AR773" s="127"/>
      <c r="BA773" s="127"/>
    </row>
    <row r="774">
      <c r="F774" s="77"/>
      <c r="G774" s="77"/>
      <c r="R774" s="223"/>
      <c r="AL774" s="49"/>
      <c r="AM774" s="49"/>
      <c r="AN774" s="49">
        <v>-0.5</v>
      </c>
      <c r="AO774" s="49">
        <v>-0.5</v>
      </c>
      <c r="AP774" s="49"/>
      <c r="AR774" s="127"/>
      <c r="BA774" s="127"/>
    </row>
    <row r="775">
      <c r="F775" s="77"/>
      <c r="G775" s="77"/>
      <c r="R775" s="223"/>
      <c r="AL775" s="49"/>
      <c r="AM775" s="49"/>
      <c r="AN775" s="49">
        <v>-0.5</v>
      </c>
      <c r="AO775" s="49">
        <v>-0.5</v>
      </c>
      <c r="AP775" s="49"/>
      <c r="AR775" s="127"/>
      <c r="BA775" s="127"/>
    </row>
    <row r="776">
      <c r="F776" s="77"/>
      <c r="G776" s="77"/>
      <c r="R776" s="223"/>
      <c r="AL776" s="49"/>
      <c r="AM776" s="49"/>
      <c r="AN776" s="49">
        <v>-0.5</v>
      </c>
      <c r="AO776" s="49">
        <v>-0.5</v>
      </c>
      <c r="AP776" s="49"/>
      <c r="AR776" s="127"/>
      <c r="BA776" s="127"/>
    </row>
    <row r="777">
      <c r="F777" s="77"/>
      <c r="G777" s="77"/>
      <c r="R777" s="223"/>
      <c r="AL777" s="49"/>
      <c r="AM777" s="49"/>
      <c r="AN777" s="49">
        <v>-0.5</v>
      </c>
      <c r="AO777" s="49">
        <v>-0.5</v>
      </c>
      <c r="AP777" s="49"/>
      <c r="AR777" s="127"/>
      <c r="BA777" s="127"/>
    </row>
    <row r="778">
      <c r="F778" s="77"/>
      <c r="G778" s="77"/>
      <c r="R778" s="223"/>
      <c r="AL778" s="49"/>
      <c r="AM778" s="49"/>
      <c r="AN778" s="49">
        <v>-0.5</v>
      </c>
      <c r="AO778" s="49">
        <v>-0.5</v>
      </c>
      <c r="AP778" s="49"/>
      <c r="AR778" s="127"/>
      <c r="BA778" s="127"/>
    </row>
    <row r="779">
      <c r="F779" s="77"/>
      <c r="G779" s="77"/>
      <c r="R779" s="223"/>
      <c r="AL779" s="49"/>
      <c r="AM779" s="49"/>
      <c r="AN779" s="49">
        <v>-0.5</v>
      </c>
      <c r="AO779" s="49">
        <v>-0.5</v>
      </c>
      <c r="AP779" s="49"/>
      <c r="AR779" s="127"/>
      <c r="BA779" s="127"/>
    </row>
    <row r="780">
      <c r="F780" s="77"/>
      <c r="G780" s="77"/>
      <c r="R780" s="223"/>
      <c r="AL780" s="49"/>
      <c r="AM780" s="49"/>
      <c r="AN780" s="49">
        <v>-0.5</v>
      </c>
      <c r="AO780" s="49">
        <v>-0.5</v>
      </c>
      <c r="AP780" s="49"/>
      <c r="AR780" s="127"/>
      <c r="BA780" s="127"/>
    </row>
    <row r="781">
      <c r="F781" s="77"/>
      <c r="G781" s="77"/>
      <c r="R781" s="223"/>
      <c r="AL781" s="49"/>
      <c r="AM781" s="49"/>
      <c r="AN781" s="49">
        <v>-0.5</v>
      </c>
      <c r="AO781" s="49">
        <v>-0.5</v>
      </c>
      <c r="AP781" s="49"/>
      <c r="AR781" s="127"/>
      <c r="BA781" s="127"/>
    </row>
    <row r="782">
      <c r="F782" s="77"/>
      <c r="G782" s="77"/>
      <c r="R782" s="223"/>
      <c r="AL782" s="49"/>
      <c r="AM782" s="49"/>
      <c r="AN782" s="49">
        <v>-0.5</v>
      </c>
      <c r="AO782" s="49">
        <v>-0.5</v>
      </c>
      <c r="AP782" s="49"/>
      <c r="AR782" s="127"/>
      <c r="BA782" s="127"/>
    </row>
    <row r="783">
      <c r="F783" s="77"/>
      <c r="G783" s="77"/>
      <c r="R783" s="223"/>
      <c r="AL783" s="49"/>
      <c r="AM783" s="49"/>
      <c r="AN783" s="49">
        <v>-0.5</v>
      </c>
      <c r="AO783" s="49">
        <v>-0.5</v>
      </c>
      <c r="AP783" s="49"/>
      <c r="AR783" s="127"/>
      <c r="BA783" s="127"/>
    </row>
    <row r="784">
      <c r="F784" s="77"/>
      <c r="G784" s="77"/>
      <c r="R784" s="223"/>
      <c r="AL784" s="49"/>
      <c r="AM784" s="49"/>
      <c r="AN784" s="49">
        <v>-0.5</v>
      </c>
      <c r="AO784" s="49">
        <v>-0.5</v>
      </c>
      <c r="AP784" s="49"/>
      <c r="AR784" s="127"/>
      <c r="BA784" s="127"/>
    </row>
    <row r="785">
      <c r="F785" s="77"/>
      <c r="G785" s="77"/>
      <c r="R785" s="223"/>
      <c r="AL785" s="49"/>
      <c r="AM785" s="49"/>
      <c r="AN785" s="49">
        <v>-0.5</v>
      </c>
      <c r="AO785" s="49">
        <v>-0.5</v>
      </c>
      <c r="AP785" s="49"/>
      <c r="AR785" s="127"/>
      <c r="BA785" s="127"/>
    </row>
    <row r="786">
      <c r="F786" s="77"/>
      <c r="G786" s="77"/>
      <c r="R786" s="223"/>
      <c r="AL786" s="49"/>
      <c r="AM786" s="49"/>
      <c r="AN786" s="49">
        <v>-0.5</v>
      </c>
      <c r="AO786" s="49">
        <v>-0.5</v>
      </c>
      <c r="AP786" s="49"/>
      <c r="AR786" s="127"/>
      <c r="BA786" s="127"/>
    </row>
    <row r="787">
      <c r="F787" s="77"/>
      <c r="G787" s="77"/>
      <c r="R787" s="223"/>
      <c r="AL787" s="49"/>
      <c r="AM787" s="49"/>
      <c r="AN787" s="49">
        <v>-0.5</v>
      </c>
      <c r="AO787" s="49">
        <v>-0.5</v>
      </c>
      <c r="AP787" s="49"/>
      <c r="AR787" s="127"/>
      <c r="BA787" s="127"/>
    </row>
    <row r="788">
      <c r="F788" s="77"/>
      <c r="G788" s="77"/>
      <c r="R788" s="223"/>
      <c r="AL788" s="49"/>
      <c r="AM788" s="49"/>
      <c r="AN788" s="49">
        <v>-0.5</v>
      </c>
      <c r="AO788" s="49">
        <v>-0.5</v>
      </c>
      <c r="AP788" s="49"/>
      <c r="AR788" s="127"/>
      <c r="BA788" s="127"/>
    </row>
    <row r="789">
      <c r="F789" s="77"/>
      <c r="G789" s="77"/>
      <c r="R789" s="223"/>
      <c r="AL789" s="49"/>
      <c r="AM789" s="49"/>
      <c r="AN789" s="49">
        <v>-0.5</v>
      </c>
      <c r="AO789" s="49">
        <v>-0.5</v>
      </c>
      <c r="AP789" s="49"/>
      <c r="AR789" s="127"/>
      <c r="BA789" s="127"/>
    </row>
    <row r="790">
      <c r="F790" s="77"/>
      <c r="G790" s="77"/>
      <c r="R790" s="223"/>
      <c r="AL790" s="49"/>
      <c r="AM790" s="49"/>
      <c r="AN790" s="49">
        <v>-0.5</v>
      </c>
      <c r="AO790" s="49">
        <v>-0.5</v>
      </c>
      <c r="AP790" s="49"/>
      <c r="AR790" s="127"/>
      <c r="BA790" s="127"/>
    </row>
    <row r="791">
      <c r="F791" s="77"/>
      <c r="G791" s="77"/>
      <c r="R791" s="223"/>
      <c r="AL791" s="49"/>
      <c r="AM791" s="49"/>
      <c r="AN791" s="49">
        <v>-0.5</v>
      </c>
      <c r="AO791" s="49">
        <v>-0.5</v>
      </c>
      <c r="AP791" s="49"/>
      <c r="AR791" s="127"/>
      <c r="BA791" s="127"/>
    </row>
    <row r="792">
      <c r="F792" s="77"/>
      <c r="G792" s="77"/>
      <c r="R792" s="223"/>
      <c r="AL792" s="49"/>
      <c r="AM792" s="49"/>
      <c r="AN792" s="49">
        <v>-0.5</v>
      </c>
      <c r="AO792" s="49">
        <v>-0.5</v>
      </c>
      <c r="AP792" s="49"/>
      <c r="AR792" s="127"/>
      <c r="BA792" s="127"/>
    </row>
    <row r="793">
      <c r="F793" s="77"/>
      <c r="G793" s="77"/>
      <c r="R793" s="223"/>
      <c r="AL793" s="49"/>
      <c r="AM793" s="49"/>
      <c r="AN793" s="49">
        <v>-0.5</v>
      </c>
      <c r="AO793" s="49">
        <v>-0.5</v>
      </c>
      <c r="AP793" s="49"/>
      <c r="AR793" s="127"/>
      <c r="BA793" s="127"/>
    </row>
    <row r="794">
      <c r="F794" s="77"/>
      <c r="G794" s="77"/>
      <c r="R794" s="223"/>
      <c r="AL794" s="49"/>
      <c r="AM794" s="49"/>
      <c r="AN794" s="49">
        <v>-0.5</v>
      </c>
      <c r="AO794" s="49">
        <v>-0.5</v>
      </c>
      <c r="AP794" s="49"/>
      <c r="AR794" s="127"/>
      <c r="BA794" s="127"/>
    </row>
    <row r="795">
      <c r="F795" s="77"/>
      <c r="G795" s="77"/>
      <c r="R795" s="223"/>
      <c r="AL795" s="49"/>
      <c r="AM795" s="49"/>
      <c r="AN795" s="49">
        <v>-0.5</v>
      </c>
      <c r="AO795" s="49">
        <v>-0.5</v>
      </c>
      <c r="AP795" s="49"/>
      <c r="AR795" s="127"/>
      <c r="BA795" s="127"/>
    </row>
    <row r="796">
      <c r="F796" s="77"/>
      <c r="G796" s="77"/>
      <c r="R796" s="223"/>
      <c r="AL796" s="49"/>
      <c r="AM796" s="49"/>
      <c r="AN796" s="49">
        <v>-0.5</v>
      </c>
      <c r="AO796" s="49">
        <v>-0.5</v>
      </c>
      <c r="AP796" s="49"/>
      <c r="AR796" s="127"/>
      <c r="BA796" s="127"/>
    </row>
    <row r="797">
      <c r="F797" s="77"/>
      <c r="G797" s="77"/>
      <c r="R797" s="223"/>
      <c r="AL797" s="49"/>
      <c r="AM797" s="49"/>
      <c r="AN797" s="49">
        <v>-0.5</v>
      </c>
      <c r="AO797" s="49">
        <v>-0.5</v>
      </c>
      <c r="AP797" s="49"/>
      <c r="AR797" s="127"/>
      <c r="BA797" s="127"/>
    </row>
    <row r="798">
      <c r="F798" s="77"/>
      <c r="G798" s="77"/>
      <c r="R798" s="223"/>
      <c r="AL798" s="49"/>
      <c r="AM798" s="49"/>
      <c r="AN798" s="49">
        <v>-0.5</v>
      </c>
      <c r="AO798" s="49">
        <v>-0.5</v>
      </c>
      <c r="AP798" s="49"/>
      <c r="AR798" s="127"/>
      <c r="BA798" s="127"/>
    </row>
    <row r="799">
      <c r="F799" s="77"/>
      <c r="G799" s="77"/>
      <c r="R799" s="223"/>
      <c r="AL799" s="49"/>
      <c r="AM799" s="49"/>
      <c r="AN799" s="49">
        <v>-0.5</v>
      </c>
      <c r="AO799" s="49">
        <v>-0.5</v>
      </c>
      <c r="AP799" s="49"/>
      <c r="AR799" s="127"/>
      <c r="BA799" s="127"/>
    </row>
    <row r="800">
      <c r="F800" s="77"/>
      <c r="G800" s="77"/>
      <c r="R800" s="223"/>
      <c r="AL800" s="49"/>
      <c r="AM800" s="49"/>
      <c r="AN800" s="49">
        <v>-0.5</v>
      </c>
      <c r="AO800" s="49">
        <v>-0.5</v>
      </c>
      <c r="AP800" s="49"/>
      <c r="AR800" s="127"/>
      <c r="BA800" s="127"/>
    </row>
    <row r="801">
      <c r="F801" s="77"/>
      <c r="G801" s="77"/>
      <c r="R801" s="223"/>
      <c r="AL801" s="49"/>
      <c r="AM801" s="49"/>
      <c r="AN801" s="49">
        <v>-0.5</v>
      </c>
      <c r="AO801" s="49">
        <v>-0.5</v>
      </c>
      <c r="AP801" s="49"/>
      <c r="AR801" s="127"/>
      <c r="BA801" s="127"/>
    </row>
    <row r="802">
      <c r="F802" s="77"/>
      <c r="G802" s="77"/>
      <c r="R802" s="223"/>
      <c r="AL802" s="49"/>
      <c r="AM802" s="49"/>
      <c r="AN802" s="49">
        <v>-0.5</v>
      </c>
      <c r="AO802" s="49">
        <v>-0.5</v>
      </c>
      <c r="AP802" s="49"/>
      <c r="AR802" s="127"/>
      <c r="BA802" s="127"/>
    </row>
    <row r="803">
      <c r="F803" s="77"/>
      <c r="G803" s="77"/>
      <c r="R803" s="223"/>
      <c r="AL803" s="49"/>
      <c r="AM803" s="49"/>
      <c r="AN803" s="49">
        <v>-0.5</v>
      </c>
      <c r="AO803" s="49">
        <v>-0.5</v>
      </c>
      <c r="AP803" s="49"/>
      <c r="AR803" s="127"/>
      <c r="BA803" s="127"/>
    </row>
    <row r="804">
      <c r="F804" s="77"/>
      <c r="G804" s="77"/>
      <c r="R804" s="223"/>
      <c r="AL804" s="49"/>
      <c r="AM804" s="49"/>
      <c r="AN804" s="49">
        <v>-0.5</v>
      </c>
      <c r="AO804" s="49">
        <v>-0.5</v>
      </c>
      <c r="AP804" s="49"/>
      <c r="AR804" s="127"/>
      <c r="BA804" s="127"/>
    </row>
    <row r="805">
      <c r="F805" s="77"/>
      <c r="G805" s="77"/>
      <c r="R805" s="223"/>
      <c r="AL805" s="49"/>
      <c r="AM805" s="49"/>
      <c r="AN805" s="49">
        <v>-0.5</v>
      </c>
      <c r="AO805" s="49">
        <v>-0.5</v>
      </c>
      <c r="AP805" s="49"/>
      <c r="AR805" s="127"/>
      <c r="BA805" s="127"/>
    </row>
    <row r="806">
      <c r="F806" s="77"/>
      <c r="G806" s="77"/>
      <c r="R806" s="223"/>
      <c r="AL806" s="49"/>
      <c r="AM806" s="49"/>
      <c r="AN806" s="49">
        <v>-0.5</v>
      </c>
      <c r="AO806" s="49">
        <v>-0.5</v>
      </c>
      <c r="AP806" s="49"/>
      <c r="AR806" s="127"/>
      <c r="BA806" s="127"/>
    </row>
    <row r="807">
      <c r="F807" s="77"/>
      <c r="G807" s="77"/>
      <c r="R807" s="223"/>
      <c r="AL807" s="49"/>
      <c r="AM807" s="49"/>
      <c r="AN807" s="49">
        <v>-0.5</v>
      </c>
      <c r="AO807" s="49">
        <v>-0.5</v>
      </c>
      <c r="AP807" s="49"/>
      <c r="AR807" s="127"/>
      <c r="BA807" s="127"/>
    </row>
    <row r="808">
      <c r="F808" s="77"/>
      <c r="G808" s="77"/>
      <c r="R808" s="223"/>
      <c r="AL808" s="49"/>
      <c r="AM808" s="49"/>
      <c r="AN808" s="49">
        <v>-0.5</v>
      </c>
      <c r="AO808" s="49">
        <v>-0.5</v>
      </c>
      <c r="AP808" s="49"/>
      <c r="AR808" s="127"/>
      <c r="BA808" s="127"/>
    </row>
    <row r="809">
      <c r="F809" s="77"/>
      <c r="G809" s="77"/>
      <c r="R809" s="223"/>
      <c r="AL809" s="49"/>
      <c r="AM809" s="49"/>
      <c r="AN809" s="49">
        <v>-0.5</v>
      </c>
      <c r="AO809" s="49">
        <v>-0.5</v>
      </c>
      <c r="AP809" s="49"/>
      <c r="AR809" s="127"/>
      <c r="BA809" s="127"/>
    </row>
    <row r="810">
      <c r="F810" s="77"/>
      <c r="G810" s="77"/>
      <c r="R810" s="223"/>
      <c r="AL810" s="49"/>
      <c r="AM810" s="49"/>
      <c r="AN810" s="49">
        <v>-0.5</v>
      </c>
      <c r="AO810" s="49">
        <v>-0.5</v>
      </c>
      <c r="AP810" s="49"/>
      <c r="AR810" s="127"/>
      <c r="BA810" s="127"/>
    </row>
    <row r="811">
      <c r="F811" s="77"/>
      <c r="G811" s="77"/>
      <c r="R811" s="223"/>
      <c r="AL811" s="49"/>
      <c r="AM811" s="49"/>
      <c r="AN811" s="49">
        <v>-0.5</v>
      </c>
      <c r="AO811" s="49">
        <v>-0.5</v>
      </c>
      <c r="AP811" s="49"/>
      <c r="AR811" s="127"/>
      <c r="BA811" s="127"/>
    </row>
    <row r="812">
      <c r="F812" s="77"/>
      <c r="G812" s="77"/>
      <c r="R812" s="223"/>
      <c r="AL812" s="49"/>
      <c r="AM812" s="49"/>
      <c r="AN812" s="49">
        <v>-0.5</v>
      </c>
      <c r="AO812" s="49">
        <v>-0.5</v>
      </c>
      <c r="AP812" s="49"/>
      <c r="AR812" s="127"/>
      <c r="BA812" s="127"/>
    </row>
    <row r="813">
      <c r="F813" s="77"/>
      <c r="G813" s="77"/>
      <c r="R813" s="223"/>
      <c r="AL813" s="49"/>
      <c r="AM813" s="49"/>
      <c r="AN813" s="49">
        <v>-0.5</v>
      </c>
      <c r="AO813" s="49">
        <v>-0.5</v>
      </c>
      <c r="AP813" s="49"/>
      <c r="AR813" s="127"/>
      <c r="BA813" s="127"/>
    </row>
    <row r="814">
      <c r="F814" s="77"/>
      <c r="G814" s="77"/>
      <c r="R814" s="223"/>
      <c r="AL814" s="49"/>
      <c r="AM814" s="49"/>
      <c r="AN814" s="49">
        <v>-0.5</v>
      </c>
      <c r="AO814" s="49">
        <v>-0.5</v>
      </c>
      <c r="AP814" s="49"/>
      <c r="AR814" s="127"/>
      <c r="BA814" s="127"/>
    </row>
    <row r="815">
      <c r="F815" s="77"/>
      <c r="G815" s="77"/>
      <c r="R815" s="223"/>
      <c r="AL815" s="49"/>
      <c r="AM815" s="49"/>
      <c r="AN815" s="49">
        <v>-0.5</v>
      </c>
      <c r="AO815" s="49">
        <v>-0.5</v>
      </c>
      <c r="AP815" s="49"/>
      <c r="AR815" s="127"/>
      <c r="BA815" s="127"/>
    </row>
    <row r="816">
      <c r="F816" s="77"/>
      <c r="G816" s="77"/>
      <c r="R816" s="223"/>
      <c r="AL816" s="49"/>
      <c r="AM816" s="49"/>
      <c r="AN816" s="49">
        <v>-0.5</v>
      </c>
      <c r="AO816" s="49">
        <v>-0.5</v>
      </c>
      <c r="AP816" s="49"/>
      <c r="AR816" s="127"/>
      <c r="BA816" s="127"/>
    </row>
    <row r="817">
      <c r="F817" s="77"/>
      <c r="G817" s="77"/>
      <c r="R817" s="223"/>
      <c r="AL817" s="49"/>
      <c r="AM817" s="49"/>
      <c r="AN817" s="49">
        <v>-0.5</v>
      </c>
      <c r="AO817" s="49">
        <v>-0.5</v>
      </c>
      <c r="AP817" s="49"/>
      <c r="AR817" s="127"/>
      <c r="BA817" s="127"/>
    </row>
    <row r="818">
      <c r="F818" s="77"/>
      <c r="G818" s="77"/>
      <c r="R818" s="223"/>
      <c r="AL818" s="49"/>
      <c r="AM818" s="49"/>
      <c r="AN818" s="49">
        <v>-0.5</v>
      </c>
      <c r="AO818" s="49">
        <v>-0.5</v>
      </c>
      <c r="AP818" s="49"/>
      <c r="AR818" s="127"/>
      <c r="BA818" s="127"/>
    </row>
    <row r="819">
      <c r="F819" s="77"/>
      <c r="G819" s="77"/>
      <c r="R819" s="223"/>
      <c r="AL819" s="49"/>
      <c r="AM819" s="49"/>
      <c r="AN819" s="49">
        <v>-0.5</v>
      </c>
      <c r="AO819" s="49">
        <v>-0.5</v>
      </c>
      <c r="AP819" s="49"/>
      <c r="AR819" s="127"/>
      <c r="BA819" s="127"/>
    </row>
    <row r="820">
      <c r="F820" s="77"/>
      <c r="G820" s="77"/>
      <c r="R820" s="223"/>
      <c r="AL820" s="49"/>
      <c r="AM820" s="49"/>
      <c r="AN820" s="49">
        <v>-0.5</v>
      </c>
      <c r="AO820" s="49">
        <v>-0.5</v>
      </c>
      <c r="AP820" s="49"/>
      <c r="AR820" s="127"/>
      <c r="BA820" s="127"/>
    </row>
    <row r="821">
      <c r="F821" s="77"/>
      <c r="G821" s="77"/>
      <c r="R821" s="223"/>
      <c r="AL821" s="49"/>
      <c r="AM821" s="49"/>
      <c r="AN821" s="49">
        <v>-0.5</v>
      </c>
      <c r="AO821" s="49">
        <v>-0.5</v>
      </c>
      <c r="AP821" s="49"/>
      <c r="AR821" s="127"/>
      <c r="BA821" s="127"/>
    </row>
    <row r="822">
      <c r="F822" s="77"/>
      <c r="G822" s="77"/>
      <c r="R822" s="223"/>
      <c r="AL822" s="49"/>
      <c r="AM822" s="49"/>
      <c r="AN822" s="49">
        <v>-0.5</v>
      </c>
      <c r="AO822" s="49">
        <v>-0.5</v>
      </c>
      <c r="AP822" s="49"/>
      <c r="AR822" s="127"/>
      <c r="BA822" s="127"/>
    </row>
    <row r="823">
      <c r="F823" s="77"/>
      <c r="G823" s="77"/>
      <c r="R823" s="223"/>
      <c r="AL823" s="49"/>
      <c r="AM823" s="49"/>
      <c r="AN823" s="49">
        <v>-0.5</v>
      </c>
      <c r="AO823" s="49">
        <v>-0.5</v>
      </c>
      <c r="AP823" s="49"/>
      <c r="AR823" s="127"/>
      <c r="BA823" s="127"/>
    </row>
    <row r="824">
      <c r="F824" s="77"/>
      <c r="G824" s="77"/>
      <c r="R824" s="223"/>
      <c r="AL824" s="49"/>
      <c r="AM824" s="49"/>
      <c r="AN824" s="49">
        <v>-0.5</v>
      </c>
      <c r="AO824" s="49">
        <v>-0.5</v>
      </c>
      <c r="AP824" s="49"/>
      <c r="AR824" s="127"/>
      <c r="BA824" s="127"/>
    </row>
    <row r="825">
      <c r="F825" s="77"/>
      <c r="G825" s="77"/>
      <c r="R825" s="223"/>
      <c r="AL825" s="49"/>
      <c r="AM825" s="49"/>
      <c r="AN825" s="49">
        <v>-0.5</v>
      </c>
      <c r="AO825" s="49">
        <v>-0.5</v>
      </c>
      <c r="AP825" s="49"/>
      <c r="AR825" s="127"/>
      <c r="BA825" s="127"/>
    </row>
    <row r="826">
      <c r="F826" s="77"/>
      <c r="G826" s="77"/>
      <c r="R826" s="223"/>
      <c r="AL826" s="49"/>
      <c r="AM826" s="49"/>
      <c r="AN826" s="49">
        <v>-0.5</v>
      </c>
      <c r="AO826" s="49">
        <v>-0.5</v>
      </c>
      <c r="AP826" s="49"/>
      <c r="AR826" s="127"/>
      <c r="BA826" s="127"/>
    </row>
    <row r="827">
      <c r="F827" s="77"/>
      <c r="G827" s="77"/>
      <c r="R827" s="223"/>
      <c r="AL827" s="49"/>
      <c r="AM827" s="49"/>
      <c r="AN827" s="49">
        <v>-0.5</v>
      </c>
      <c r="AO827" s="49">
        <v>-0.5</v>
      </c>
      <c r="AP827" s="49"/>
      <c r="AR827" s="127"/>
      <c r="BA827" s="127"/>
    </row>
    <row r="828">
      <c r="F828" s="77"/>
      <c r="G828" s="77"/>
      <c r="R828" s="223"/>
      <c r="AL828" s="49"/>
      <c r="AM828" s="49"/>
      <c r="AN828" s="49">
        <v>-0.5</v>
      </c>
      <c r="AO828" s="49">
        <v>-0.5</v>
      </c>
      <c r="AP828" s="49"/>
      <c r="AR828" s="127"/>
      <c r="BA828" s="127"/>
    </row>
    <row r="829">
      <c r="F829" s="77"/>
      <c r="G829" s="77"/>
      <c r="R829" s="223"/>
      <c r="AL829" s="49"/>
      <c r="AM829" s="49"/>
      <c r="AN829" s="49">
        <v>-0.5</v>
      </c>
      <c r="AO829" s="49">
        <v>-0.5</v>
      </c>
      <c r="AP829" s="49"/>
      <c r="AR829" s="127"/>
      <c r="BA829" s="127"/>
    </row>
    <row r="830">
      <c r="F830" s="77"/>
      <c r="G830" s="77"/>
      <c r="R830" s="223"/>
      <c r="AL830" s="49"/>
      <c r="AM830" s="49"/>
      <c r="AN830" s="49">
        <v>-0.5</v>
      </c>
      <c r="AO830" s="49">
        <v>-0.5</v>
      </c>
      <c r="AP830" s="49"/>
      <c r="AR830" s="127"/>
      <c r="BA830" s="127"/>
    </row>
    <row r="831">
      <c r="F831" s="77"/>
      <c r="G831" s="77"/>
      <c r="R831" s="223"/>
      <c r="AL831" s="49"/>
      <c r="AM831" s="49"/>
      <c r="AN831" s="49">
        <v>-0.5</v>
      </c>
      <c r="AO831" s="49">
        <v>-0.5</v>
      </c>
      <c r="AP831" s="49"/>
      <c r="AR831" s="127"/>
      <c r="BA831" s="127"/>
    </row>
    <row r="832">
      <c r="F832" s="77"/>
      <c r="G832" s="77"/>
      <c r="R832" s="223"/>
      <c r="AL832" s="49"/>
      <c r="AM832" s="49"/>
      <c r="AN832" s="49">
        <v>-0.5</v>
      </c>
      <c r="AO832" s="49">
        <v>-0.5</v>
      </c>
      <c r="AP832" s="49"/>
      <c r="AR832" s="127"/>
      <c r="BA832" s="127"/>
    </row>
    <row r="833">
      <c r="F833" s="77"/>
      <c r="G833" s="77"/>
      <c r="R833" s="223"/>
      <c r="AL833" s="49"/>
      <c r="AM833" s="49"/>
      <c r="AN833" s="49">
        <v>-0.5</v>
      </c>
      <c r="AO833" s="49">
        <v>-0.5</v>
      </c>
      <c r="AP833" s="49"/>
      <c r="AR833" s="127"/>
      <c r="BA833" s="127"/>
    </row>
    <row r="834">
      <c r="F834" s="77"/>
      <c r="G834" s="77"/>
      <c r="R834" s="223"/>
      <c r="AL834" s="49"/>
      <c r="AM834" s="49"/>
      <c r="AN834" s="49">
        <v>-0.5</v>
      </c>
      <c r="AO834" s="49">
        <v>-0.5</v>
      </c>
      <c r="AP834" s="49"/>
      <c r="AR834" s="127"/>
      <c r="BA834" s="127"/>
    </row>
    <row r="835">
      <c r="F835" s="77"/>
      <c r="G835" s="77"/>
      <c r="R835" s="223"/>
      <c r="AL835" s="49"/>
      <c r="AM835" s="49"/>
      <c r="AN835" s="49">
        <v>-0.5</v>
      </c>
      <c r="AO835" s="49">
        <v>-0.5</v>
      </c>
      <c r="AP835" s="49"/>
      <c r="AR835" s="127"/>
      <c r="BA835" s="127"/>
    </row>
    <row r="836">
      <c r="F836" s="77"/>
      <c r="G836" s="77"/>
      <c r="R836" s="223"/>
      <c r="AL836" s="49"/>
      <c r="AM836" s="49"/>
      <c r="AN836" s="49">
        <v>-0.5</v>
      </c>
      <c r="AO836" s="49">
        <v>-0.5</v>
      </c>
      <c r="AP836" s="49"/>
      <c r="AR836" s="127"/>
      <c r="BA836" s="127"/>
    </row>
    <row r="837">
      <c r="F837" s="77"/>
      <c r="G837" s="77"/>
      <c r="R837" s="223"/>
      <c r="AL837" s="49"/>
      <c r="AM837" s="49"/>
      <c r="AN837" s="49">
        <v>-0.5</v>
      </c>
      <c r="AO837" s="49">
        <v>-0.5</v>
      </c>
      <c r="AP837" s="49"/>
      <c r="AR837" s="127"/>
      <c r="BA837" s="127"/>
    </row>
    <row r="838">
      <c r="F838" s="77"/>
      <c r="G838" s="77"/>
      <c r="R838" s="223"/>
      <c r="AL838" s="49"/>
      <c r="AM838" s="49"/>
      <c r="AN838" s="49">
        <v>-0.5</v>
      </c>
      <c r="AO838" s="49">
        <v>-0.5</v>
      </c>
      <c r="AP838" s="49"/>
      <c r="AR838" s="127"/>
      <c r="BA838" s="127"/>
    </row>
    <row r="839">
      <c r="F839" s="77"/>
      <c r="G839" s="77"/>
      <c r="R839" s="223"/>
      <c r="AL839" s="49"/>
      <c r="AM839" s="49"/>
      <c r="AN839" s="49">
        <v>-0.5</v>
      </c>
      <c r="AO839" s="49">
        <v>-0.5</v>
      </c>
      <c r="AP839" s="49"/>
      <c r="AR839" s="127"/>
      <c r="BA839" s="127"/>
    </row>
    <row r="840">
      <c r="F840" s="77"/>
      <c r="G840" s="77"/>
      <c r="R840" s="223"/>
      <c r="AL840" s="49"/>
      <c r="AM840" s="49"/>
      <c r="AN840" s="49">
        <v>-0.5</v>
      </c>
      <c r="AO840" s="49">
        <v>-0.5</v>
      </c>
      <c r="AP840" s="49"/>
      <c r="AR840" s="127"/>
      <c r="BA840" s="127"/>
    </row>
    <row r="841">
      <c r="F841" s="77"/>
      <c r="G841" s="77"/>
      <c r="R841" s="223"/>
      <c r="AL841" s="49"/>
      <c r="AM841" s="49"/>
      <c r="AN841" s="49">
        <v>-0.5</v>
      </c>
      <c r="AO841" s="49">
        <v>-0.5</v>
      </c>
      <c r="AP841" s="49"/>
      <c r="AR841" s="127"/>
      <c r="BA841" s="127"/>
    </row>
    <row r="842">
      <c r="F842" s="77"/>
      <c r="G842" s="77"/>
      <c r="R842" s="223"/>
      <c r="AL842" s="49"/>
      <c r="AM842" s="49"/>
      <c r="AN842" s="49">
        <v>-0.5</v>
      </c>
      <c r="AO842" s="49">
        <v>-0.5</v>
      </c>
      <c r="AP842" s="49"/>
      <c r="AR842" s="127"/>
      <c r="BA842" s="127"/>
    </row>
    <row r="843">
      <c r="F843" s="77"/>
      <c r="G843" s="77"/>
      <c r="R843" s="223"/>
      <c r="AL843" s="49"/>
      <c r="AM843" s="49"/>
      <c r="AN843" s="49">
        <v>-0.5</v>
      </c>
      <c r="AO843" s="49">
        <v>-0.5</v>
      </c>
      <c r="AP843" s="49"/>
      <c r="AR843" s="127"/>
      <c r="BA843" s="127"/>
    </row>
    <row r="844">
      <c r="F844" s="77"/>
      <c r="G844" s="77"/>
      <c r="R844" s="223"/>
      <c r="AL844" s="49"/>
      <c r="AM844" s="49"/>
      <c r="AN844" s="49">
        <v>-0.5</v>
      </c>
      <c r="AO844" s="49">
        <v>-0.5</v>
      </c>
      <c r="AP844" s="49"/>
      <c r="AR844" s="127"/>
      <c r="BA844" s="127"/>
    </row>
    <row r="845">
      <c r="F845" s="77"/>
      <c r="G845" s="77"/>
      <c r="R845" s="223"/>
      <c r="AL845" s="49"/>
      <c r="AM845" s="49"/>
      <c r="AN845" s="49">
        <v>-0.5</v>
      </c>
      <c r="AO845" s="49">
        <v>-0.5</v>
      </c>
      <c r="AP845" s="49"/>
      <c r="AR845" s="127"/>
      <c r="BA845" s="127"/>
    </row>
    <row r="846">
      <c r="F846" s="77"/>
      <c r="G846" s="77"/>
      <c r="R846" s="223"/>
      <c r="AL846" s="49"/>
      <c r="AM846" s="49"/>
      <c r="AN846" s="49">
        <v>-0.5</v>
      </c>
      <c r="AO846" s="49">
        <v>-0.5</v>
      </c>
      <c r="AP846" s="49"/>
      <c r="AR846" s="127"/>
      <c r="BA846" s="127"/>
    </row>
    <row r="847">
      <c r="F847" s="77"/>
      <c r="G847" s="77"/>
      <c r="R847" s="223"/>
      <c r="AL847" s="49"/>
      <c r="AM847" s="49"/>
      <c r="AN847" s="49">
        <v>-0.5</v>
      </c>
      <c r="AO847" s="49">
        <v>-0.5</v>
      </c>
      <c r="AP847" s="49"/>
      <c r="AR847" s="127"/>
      <c r="BA847" s="127"/>
    </row>
    <row r="848">
      <c r="F848" s="77"/>
      <c r="G848" s="77"/>
      <c r="R848" s="223"/>
      <c r="AL848" s="49"/>
      <c r="AM848" s="49"/>
      <c r="AN848" s="49">
        <v>-0.5</v>
      </c>
      <c r="AO848" s="49">
        <v>-0.5</v>
      </c>
      <c r="AP848" s="49"/>
      <c r="AR848" s="127"/>
      <c r="BA848" s="127"/>
    </row>
    <row r="849">
      <c r="F849" s="77"/>
      <c r="G849" s="77"/>
      <c r="R849" s="223"/>
      <c r="AL849" s="49"/>
      <c r="AM849" s="49"/>
      <c r="AN849" s="49">
        <v>-0.5</v>
      </c>
      <c r="AO849" s="49">
        <v>-0.5</v>
      </c>
      <c r="AP849" s="49"/>
      <c r="AR849" s="127"/>
      <c r="BA849" s="127"/>
    </row>
    <row r="850">
      <c r="F850" s="77"/>
      <c r="G850" s="77"/>
      <c r="R850" s="223"/>
      <c r="AL850" s="49"/>
      <c r="AM850" s="49"/>
      <c r="AN850" s="49">
        <v>-0.5</v>
      </c>
      <c r="AO850" s="49">
        <v>-0.5</v>
      </c>
      <c r="AP850" s="49"/>
      <c r="AR850" s="127"/>
      <c r="BA850" s="127"/>
    </row>
    <row r="851">
      <c r="F851" s="77"/>
      <c r="G851" s="77"/>
      <c r="R851" s="223"/>
      <c r="AL851" s="49"/>
      <c r="AM851" s="49"/>
      <c r="AN851" s="49">
        <v>-0.5</v>
      </c>
      <c r="AO851" s="49">
        <v>-0.5</v>
      </c>
      <c r="AP851" s="49"/>
      <c r="AR851" s="127"/>
      <c r="BA851" s="127"/>
    </row>
    <row r="852">
      <c r="F852" s="77"/>
      <c r="G852" s="77"/>
      <c r="R852" s="223"/>
      <c r="AL852" s="49"/>
      <c r="AM852" s="49"/>
      <c r="AN852" s="49">
        <v>-0.5</v>
      </c>
      <c r="AO852" s="49">
        <v>-0.5</v>
      </c>
      <c r="AP852" s="49"/>
      <c r="AR852" s="127"/>
      <c r="BA852" s="127"/>
    </row>
    <row r="853">
      <c r="F853" s="77"/>
      <c r="G853" s="77"/>
      <c r="R853" s="223"/>
      <c r="AL853" s="49"/>
      <c r="AM853" s="49"/>
      <c r="AN853" s="49">
        <v>-0.5</v>
      </c>
      <c r="AO853" s="49">
        <v>-0.5</v>
      </c>
      <c r="AP853" s="49"/>
      <c r="AR853" s="127"/>
      <c r="BA853" s="127"/>
    </row>
    <row r="854">
      <c r="F854" s="77"/>
      <c r="G854" s="77"/>
      <c r="R854" s="223"/>
      <c r="AL854" s="49"/>
      <c r="AM854" s="49"/>
      <c r="AN854" s="49">
        <v>-0.5</v>
      </c>
      <c r="AO854" s="49">
        <v>-0.5</v>
      </c>
      <c r="AP854" s="49"/>
      <c r="AR854" s="127"/>
      <c r="BA854" s="127"/>
    </row>
    <row r="855">
      <c r="F855" s="77"/>
      <c r="G855" s="77"/>
      <c r="R855" s="223"/>
      <c r="AL855" s="49"/>
      <c r="AM855" s="49"/>
      <c r="AN855" s="49">
        <v>-0.5</v>
      </c>
      <c r="AO855" s="49">
        <v>-0.5</v>
      </c>
      <c r="AP855" s="49"/>
      <c r="AR855" s="127"/>
      <c r="BA855" s="127"/>
    </row>
    <row r="856">
      <c r="F856" s="77"/>
      <c r="G856" s="77"/>
      <c r="R856" s="223"/>
      <c r="AL856" s="49"/>
      <c r="AM856" s="49"/>
      <c r="AN856" s="49">
        <v>-0.5</v>
      </c>
      <c r="AO856" s="49">
        <v>-0.5</v>
      </c>
      <c r="AP856" s="49"/>
      <c r="AR856" s="127"/>
      <c r="BA856" s="127"/>
    </row>
    <row r="857">
      <c r="F857" s="77"/>
      <c r="G857" s="77"/>
      <c r="R857" s="223"/>
      <c r="AL857" s="49"/>
      <c r="AM857" s="49"/>
      <c r="AN857" s="49">
        <v>-0.5</v>
      </c>
      <c r="AO857" s="49">
        <v>-0.5</v>
      </c>
      <c r="AP857" s="49"/>
      <c r="AR857" s="127"/>
      <c r="BA857" s="127"/>
    </row>
    <row r="858">
      <c r="F858" s="77"/>
      <c r="G858" s="77"/>
      <c r="R858" s="223"/>
      <c r="AL858" s="49"/>
      <c r="AM858" s="49"/>
      <c r="AN858" s="49">
        <v>-0.5</v>
      </c>
      <c r="AO858" s="49">
        <v>-0.5</v>
      </c>
      <c r="AP858" s="49"/>
      <c r="AR858" s="127"/>
      <c r="BA858" s="127"/>
    </row>
    <row r="859">
      <c r="F859" s="77"/>
      <c r="G859" s="77"/>
      <c r="R859" s="223"/>
      <c r="AL859" s="49"/>
      <c r="AM859" s="49"/>
      <c r="AN859" s="49">
        <v>-0.5</v>
      </c>
      <c r="AO859" s="49">
        <v>-0.5</v>
      </c>
      <c r="AP859" s="49"/>
      <c r="AR859" s="127"/>
      <c r="BA859" s="127"/>
    </row>
    <row r="860">
      <c r="F860" s="77"/>
      <c r="G860" s="77"/>
      <c r="R860" s="223"/>
      <c r="AL860" s="49"/>
      <c r="AM860" s="49"/>
      <c r="AN860" s="49">
        <v>-0.5</v>
      </c>
      <c r="AO860" s="49">
        <v>-0.5</v>
      </c>
      <c r="AP860" s="49"/>
      <c r="AR860" s="127"/>
      <c r="BA860" s="127"/>
    </row>
    <row r="861">
      <c r="F861" s="77"/>
      <c r="G861" s="77"/>
      <c r="R861" s="223"/>
      <c r="AL861" s="49"/>
      <c r="AM861" s="49"/>
      <c r="AN861" s="49">
        <v>-0.5</v>
      </c>
      <c r="AO861" s="49">
        <v>-0.5</v>
      </c>
      <c r="AP861" s="49"/>
      <c r="AR861" s="127"/>
      <c r="BA861" s="127"/>
    </row>
    <row r="862">
      <c r="F862" s="77"/>
      <c r="G862" s="77"/>
      <c r="R862" s="223"/>
      <c r="AL862" s="49"/>
      <c r="AM862" s="49"/>
      <c r="AN862" s="49">
        <v>-0.5</v>
      </c>
      <c r="AO862" s="49">
        <v>-0.5</v>
      </c>
      <c r="AP862" s="49"/>
      <c r="AR862" s="127"/>
      <c r="BA862" s="127"/>
    </row>
    <row r="863">
      <c r="F863" s="77"/>
      <c r="G863" s="77"/>
      <c r="R863" s="223"/>
      <c r="AL863" s="49"/>
      <c r="AM863" s="49"/>
      <c r="AN863" s="49">
        <v>-0.5</v>
      </c>
      <c r="AO863" s="49">
        <v>-0.5</v>
      </c>
      <c r="AP863" s="49"/>
      <c r="AR863" s="127"/>
      <c r="BA863" s="127"/>
    </row>
    <row r="864">
      <c r="F864" s="77"/>
      <c r="G864" s="77"/>
      <c r="R864" s="223"/>
      <c r="AL864" s="49"/>
      <c r="AM864" s="49"/>
      <c r="AN864" s="49">
        <v>-0.5</v>
      </c>
      <c r="AO864" s="49">
        <v>-0.5</v>
      </c>
      <c r="AP864" s="49"/>
      <c r="AR864" s="127"/>
      <c r="BA864" s="127"/>
    </row>
    <row r="865">
      <c r="F865" s="77"/>
      <c r="G865" s="77"/>
      <c r="R865" s="223"/>
      <c r="AL865" s="49"/>
      <c r="AM865" s="49"/>
      <c r="AN865" s="49">
        <v>-0.5</v>
      </c>
      <c r="AO865" s="49">
        <v>-0.5</v>
      </c>
      <c r="AP865" s="49"/>
      <c r="AR865" s="127"/>
      <c r="BA865" s="127"/>
    </row>
    <row r="866">
      <c r="F866" s="77"/>
      <c r="G866" s="77"/>
      <c r="R866" s="223"/>
      <c r="AL866" s="49"/>
      <c r="AM866" s="49"/>
      <c r="AN866" s="49">
        <v>-0.5</v>
      </c>
      <c r="AO866" s="49">
        <v>-0.5</v>
      </c>
      <c r="AP866" s="49"/>
      <c r="AR866" s="127"/>
      <c r="BA866" s="127"/>
    </row>
    <row r="867">
      <c r="F867" s="77"/>
      <c r="G867" s="77"/>
      <c r="R867" s="223"/>
      <c r="AL867" s="49"/>
      <c r="AM867" s="49"/>
      <c r="AN867" s="49">
        <v>-0.5</v>
      </c>
      <c r="AO867" s="49">
        <v>-0.5</v>
      </c>
      <c r="AP867" s="49"/>
      <c r="AR867" s="127"/>
      <c r="BA867" s="127"/>
    </row>
    <row r="868">
      <c r="F868" s="77"/>
      <c r="G868" s="77"/>
      <c r="R868" s="223"/>
      <c r="AL868" s="49"/>
      <c r="AM868" s="49"/>
      <c r="AN868" s="49">
        <v>-0.5</v>
      </c>
      <c r="AO868" s="49">
        <v>-0.5</v>
      </c>
      <c r="AP868" s="49"/>
      <c r="AR868" s="127"/>
      <c r="BA868" s="127"/>
    </row>
    <row r="869">
      <c r="F869" s="77"/>
      <c r="G869" s="77"/>
      <c r="R869" s="223"/>
      <c r="AL869" s="49"/>
      <c r="AM869" s="49"/>
      <c r="AN869" s="49">
        <v>-0.5</v>
      </c>
      <c r="AO869" s="49">
        <v>-0.5</v>
      </c>
      <c r="AP869" s="49"/>
      <c r="AR869" s="127"/>
      <c r="BA869" s="127"/>
    </row>
    <row r="870">
      <c r="F870" s="77"/>
      <c r="G870" s="77"/>
      <c r="R870" s="223"/>
      <c r="AL870" s="49"/>
      <c r="AM870" s="49"/>
      <c r="AN870" s="49">
        <v>-0.5</v>
      </c>
      <c r="AO870" s="49">
        <v>-0.5</v>
      </c>
      <c r="AP870" s="49"/>
      <c r="AR870" s="127"/>
      <c r="BA870" s="127"/>
    </row>
    <row r="871">
      <c r="F871" s="77"/>
      <c r="G871" s="77"/>
      <c r="R871" s="223"/>
      <c r="AL871" s="49"/>
      <c r="AM871" s="49"/>
      <c r="AN871" s="49">
        <v>-0.5</v>
      </c>
      <c r="AO871" s="49">
        <v>-0.5</v>
      </c>
      <c r="AP871" s="49"/>
      <c r="AR871" s="127"/>
      <c r="BA871" s="127"/>
    </row>
    <row r="872">
      <c r="F872" s="77"/>
      <c r="G872" s="77"/>
      <c r="R872" s="223"/>
      <c r="AL872" s="49"/>
      <c r="AM872" s="49"/>
      <c r="AN872" s="49">
        <v>-0.5</v>
      </c>
      <c r="AO872" s="49">
        <v>-0.5</v>
      </c>
      <c r="AP872" s="49"/>
      <c r="AR872" s="127"/>
      <c r="BA872" s="127"/>
    </row>
    <row r="873">
      <c r="F873" s="77"/>
      <c r="G873" s="77"/>
      <c r="R873" s="223"/>
      <c r="AL873" s="49"/>
      <c r="AM873" s="49"/>
      <c r="AN873" s="49">
        <v>-0.5</v>
      </c>
      <c r="AO873" s="49">
        <v>-0.5</v>
      </c>
      <c r="AP873" s="49"/>
      <c r="AR873" s="127"/>
      <c r="BA873" s="127"/>
    </row>
    <row r="874">
      <c r="F874" s="77"/>
      <c r="G874" s="77"/>
      <c r="R874" s="223"/>
      <c r="AL874" s="49"/>
      <c r="AM874" s="49"/>
      <c r="AN874" s="49">
        <v>-0.5</v>
      </c>
      <c r="AO874" s="49">
        <v>-0.5</v>
      </c>
      <c r="AP874" s="49"/>
      <c r="AR874" s="127"/>
      <c r="BA874" s="127"/>
    </row>
    <row r="875">
      <c r="F875" s="77"/>
      <c r="G875" s="77"/>
      <c r="R875" s="223"/>
      <c r="AL875" s="49"/>
      <c r="AM875" s="49"/>
      <c r="AN875" s="49">
        <v>-0.5</v>
      </c>
      <c r="AO875" s="49">
        <v>-0.5</v>
      </c>
      <c r="AP875" s="49"/>
      <c r="AR875" s="127"/>
      <c r="BA875" s="127"/>
    </row>
    <row r="876">
      <c r="F876" s="77"/>
      <c r="G876" s="77"/>
      <c r="R876" s="223"/>
      <c r="AL876" s="49"/>
      <c r="AM876" s="49"/>
      <c r="AN876" s="49">
        <v>-0.5</v>
      </c>
      <c r="AO876" s="49">
        <v>-0.5</v>
      </c>
      <c r="AP876" s="49"/>
      <c r="AR876" s="127"/>
      <c r="BA876" s="127"/>
    </row>
    <row r="877">
      <c r="F877" s="77"/>
      <c r="G877" s="77"/>
      <c r="R877" s="223"/>
      <c r="AL877" s="49"/>
      <c r="AM877" s="49"/>
      <c r="AN877" s="49">
        <v>-0.5</v>
      </c>
      <c r="AO877" s="49">
        <v>-0.5</v>
      </c>
      <c r="AP877" s="49"/>
      <c r="AR877" s="127"/>
      <c r="BA877" s="127"/>
    </row>
    <row r="878">
      <c r="F878" s="77"/>
      <c r="G878" s="77"/>
      <c r="R878" s="223"/>
      <c r="AL878" s="49"/>
      <c r="AM878" s="49"/>
      <c r="AN878" s="49">
        <v>-0.5</v>
      </c>
      <c r="AO878" s="49">
        <v>-0.5</v>
      </c>
      <c r="AP878" s="49"/>
      <c r="AR878" s="127"/>
      <c r="BA878" s="127"/>
    </row>
    <row r="879">
      <c r="F879" s="77"/>
      <c r="G879" s="77"/>
      <c r="R879" s="223"/>
      <c r="AL879" s="49"/>
      <c r="AM879" s="49"/>
      <c r="AN879" s="49">
        <v>-0.5</v>
      </c>
      <c r="AO879" s="49">
        <v>-0.5</v>
      </c>
      <c r="AP879" s="49"/>
      <c r="AR879" s="127"/>
      <c r="BA879" s="127"/>
    </row>
    <row r="880">
      <c r="F880" s="77"/>
      <c r="G880" s="77"/>
      <c r="R880" s="223"/>
      <c r="AL880" s="49"/>
      <c r="AM880" s="49"/>
      <c r="AN880" s="49">
        <v>-0.5</v>
      </c>
      <c r="AO880" s="49">
        <v>-0.5</v>
      </c>
      <c r="AP880" s="49"/>
      <c r="AR880" s="127"/>
      <c r="BA880" s="127"/>
    </row>
    <row r="881">
      <c r="F881" s="77"/>
      <c r="G881" s="77"/>
      <c r="R881" s="223"/>
      <c r="AL881" s="49"/>
      <c r="AM881" s="49"/>
      <c r="AN881" s="49">
        <v>-0.5</v>
      </c>
      <c r="AO881" s="49">
        <v>-0.5</v>
      </c>
      <c r="AP881" s="49"/>
      <c r="AR881" s="127"/>
      <c r="BA881" s="127"/>
    </row>
    <row r="882">
      <c r="F882" s="77"/>
      <c r="G882" s="77"/>
      <c r="R882" s="223"/>
      <c r="AL882" s="49"/>
      <c r="AM882" s="49"/>
      <c r="AN882" s="49">
        <v>-0.5</v>
      </c>
      <c r="AO882" s="49">
        <v>-0.5</v>
      </c>
      <c r="AP882" s="49"/>
      <c r="AR882" s="127"/>
      <c r="BA882" s="127"/>
    </row>
    <row r="883">
      <c r="F883" s="77"/>
      <c r="G883" s="77"/>
      <c r="R883" s="223"/>
      <c r="AL883" s="49"/>
      <c r="AM883" s="49"/>
      <c r="AN883" s="49">
        <v>-0.5</v>
      </c>
      <c r="AO883" s="49">
        <v>-0.5</v>
      </c>
      <c r="AP883" s="49"/>
      <c r="AR883" s="127"/>
      <c r="BA883" s="127"/>
    </row>
    <row r="884">
      <c r="F884" s="77"/>
      <c r="G884" s="77"/>
      <c r="R884" s="223"/>
      <c r="AL884" s="49"/>
      <c r="AM884" s="49"/>
      <c r="AN884" s="49">
        <v>-0.5</v>
      </c>
      <c r="AO884" s="49">
        <v>-0.5</v>
      </c>
      <c r="AP884" s="49"/>
      <c r="AR884" s="127"/>
      <c r="BA884" s="127"/>
    </row>
    <row r="885">
      <c r="F885" s="77"/>
      <c r="G885" s="77"/>
      <c r="R885" s="223"/>
      <c r="AL885" s="49"/>
      <c r="AM885" s="49"/>
      <c r="AN885" s="49">
        <v>-0.5</v>
      </c>
      <c r="AO885" s="49">
        <v>-0.5</v>
      </c>
      <c r="AP885" s="49"/>
      <c r="AR885" s="127"/>
      <c r="BA885" s="127"/>
    </row>
    <row r="886">
      <c r="F886" s="77"/>
      <c r="G886" s="77"/>
      <c r="R886" s="223"/>
      <c r="AL886" s="49"/>
      <c r="AM886" s="49"/>
      <c r="AN886" s="49">
        <v>-0.5</v>
      </c>
      <c r="AO886" s="49">
        <v>-0.5</v>
      </c>
      <c r="AP886" s="49"/>
      <c r="AR886" s="127"/>
      <c r="BA886" s="127"/>
    </row>
    <row r="887">
      <c r="F887" s="77"/>
      <c r="G887" s="77"/>
      <c r="R887" s="223"/>
      <c r="AL887" s="49"/>
      <c r="AM887" s="49"/>
      <c r="AN887" s="49">
        <v>-0.5</v>
      </c>
      <c r="AO887" s="49">
        <v>-0.5</v>
      </c>
      <c r="AP887" s="49"/>
      <c r="AR887" s="127"/>
      <c r="BA887" s="127"/>
    </row>
    <row r="888">
      <c r="F888" s="77"/>
      <c r="G888" s="77"/>
      <c r="R888" s="223"/>
      <c r="AL888" s="49"/>
      <c r="AM888" s="49"/>
      <c r="AN888" s="49">
        <v>-0.5</v>
      </c>
      <c r="AO888" s="49">
        <v>-0.5</v>
      </c>
      <c r="AP888" s="49"/>
      <c r="AR888" s="127"/>
      <c r="BA888" s="127"/>
    </row>
    <row r="889">
      <c r="F889" s="77"/>
      <c r="G889" s="77"/>
      <c r="R889" s="223"/>
      <c r="AL889" s="49"/>
      <c r="AM889" s="49"/>
      <c r="AN889" s="49">
        <v>-0.5</v>
      </c>
      <c r="AO889" s="49">
        <v>-0.5</v>
      </c>
      <c r="AP889" s="49"/>
      <c r="AR889" s="127"/>
      <c r="BA889" s="127"/>
    </row>
    <row r="890">
      <c r="F890" s="77"/>
      <c r="G890" s="77"/>
      <c r="R890" s="223"/>
      <c r="AL890" s="49"/>
      <c r="AM890" s="49"/>
      <c r="AN890" s="49">
        <v>-0.5</v>
      </c>
      <c r="AO890" s="49">
        <v>-0.5</v>
      </c>
      <c r="AP890" s="49"/>
      <c r="AR890" s="127"/>
      <c r="BA890" s="127"/>
    </row>
    <row r="891">
      <c r="F891" s="77"/>
      <c r="G891" s="77"/>
      <c r="R891" s="223"/>
      <c r="AL891" s="49"/>
      <c r="AM891" s="49"/>
      <c r="AN891" s="49">
        <v>-0.5</v>
      </c>
      <c r="AO891" s="49">
        <v>-0.5</v>
      </c>
      <c r="AP891" s="49"/>
      <c r="AR891" s="127"/>
      <c r="BA891" s="127"/>
    </row>
    <row r="892">
      <c r="F892" s="77"/>
      <c r="G892" s="77"/>
      <c r="R892" s="223"/>
      <c r="AL892" s="49"/>
      <c r="AM892" s="49"/>
      <c r="AN892" s="49">
        <v>-0.5</v>
      </c>
      <c r="AO892" s="49">
        <v>-0.5</v>
      </c>
      <c r="AP892" s="49"/>
      <c r="AR892" s="127"/>
      <c r="BA892" s="127"/>
    </row>
    <row r="893">
      <c r="F893" s="77"/>
      <c r="G893" s="77"/>
      <c r="R893" s="223"/>
      <c r="AL893" s="49"/>
      <c r="AM893" s="49"/>
      <c r="AN893" s="49">
        <v>-0.5</v>
      </c>
      <c r="AO893" s="49">
        <v>-0.5</v>
      </c>
      <c r="AP893" s="49"/>
      <c r="AR893" s="127"/>
      <c r="BA893" s="127"/>
    </row>
    <row r="894">
      <c r="F894" s="77"/>
      <c r="G894" s="77"/>
      <c r="R894" s="223"/>
      <c r="AL894" s="49"/>
      <c r="AM894" s="49"/>
      <c r="AN894" s="49">
        <v>-0.5</v>
      </c>
      <c r="AO894" s="49">
        <v>-0.5</v>
      </c>
      <c r="AP894" s="49"/>
      <c r="AR894" s="127"/>
      <c r="BA894" s="127"/>
    </row>
    <row r="895">
      <c r="F895" s="77"/>
      <c r="G895" s="77"/>
      <c r="R895" s="223"/>
      <c r="AL895" s="49"/>
      <c r="AM895" s="49"/>
      <c r="AN895" s="49">
        <v>-0.5</v>
      </c>
      <c r="AO895" s="49">
        <v>-0.5</v>
      </c>
      <c r="AP895" s="49"/>
      <c r="AR895" s="127"/>
      <c r="BA895" s="127"/>
    </row>
    <row r="896">
      <c r="F896" s="77"/>
      <c r="G896" s="77"/>
      <c r="R896" s="223"/>
      <c r="AL896" s="49"/>
      <c r="AM896" s="49"/>
      <c r="AN896" s="49">
        <v>-0.5</v>
      </c>
      <c r="AO896" s="49">
        <v>-0.5</v>
      </c>
      <c r="AP896" s="49"/>
      <c r="AR896" s="127"/>
      <c r="BA896" s="127"/>
    </row>
    <row r="897">
      <c r="F897" s="77"/>
      <c r="G897" s="77"/>
      <c r="R897" s="223"/>
      <c r="AL897" s="49"/>
      <c r="AM897" s="49"/>
      <c r="AN897" s="49">
        <v>-0.5</v>
      </c>
      <c r="AO897" s="49">
        <v>-0.5</v>
      </c>
      <c r="AP897" s="49"/>
      <c r="AR897" s="127"/>
      <c r="BA897" s="127"/>
    </row>
    <row r="898">
      <c r="F898" s="77"/>
      <c r="G898" s="77"/>
      <c r="R898" s="223"/>
      <c r="AL898" s="49"/>
      <c r="AM898" s="49"/>
      <c r="AN898" s="49">
        <v>-0.5</v>
      </c>
      <c r="AO898" s="49">
        <v>-0.5</v>
      </c>
      <c r="AP898" s="49"/>
      <c r="AR898" s="127"/>
      <c r="BA898" s="127"/>
    </row>
    <row r="899">
      <c r="F899" s="77"/>
      <c r="G899" s="77"/>
      <c r="R899" s="223"/>
      <c r="AL899" s="49"/>
      <c r="AM899" s="49"/>
      <c r="AN899" s="49">
        <v>-0.5</v>
      </c>
      <c r="AO899" s="49">
        <v>-0.5</v>
      </c>
      <c r="AP899" s="49"/>
      <c r="AR899" s="127"/>
      <c r="BA899" s="127"/>
    </row>
    <row r="900">
      <c r="F900" s="77"/>
      <c r="G900" s="77"/>
      <c r="R900" s="223"/>
      <c r="AL900" s="49"/>
      <c r="AM900" s="49"/>
      <c r="AN900" s="49">
        <v>-0.5</v>
      </c>
      <c r="AO900" s="49">
        <v>-0.5</v>
      </c>
      <c r="AP900" s="49"/>
      <c r="AR900" s="127"/>
      <c r="BA900" s="127"/>
    </row>
    <row r="901">
      <c r="F901" s="77"/>
      <c r="G901" s="77"/>
      <c r="R901" s="223"/>
      <c r="AL901" s="49"/>
      <c r="AM901" s="49"/>
      <c r="AN901" s="49">
        <v>-0.5</v>
      </c>
      <c r="AO901" s="49">
        <v>-0.5</v>
      </c>
      <c r="AP901" s="49"/>
      <c r="AR901" s="127"/>
      <c r="BA901" s="127"/>
    </row>
    <row r="902">
      <c r="F902" s="77"/>
      <c r="G902" s="77"/>
      <c r="R902" s="223"/>
      <c r="AL902" s="49"/>
      <c r="AM902" s="49"/>
      <c r="AN902" s="49">
        <v>-0.5</v>
      </c>
      <c r="AO902" s="49">
        <v>-0.5</v>
      </c>
      <c r="AP902" s="49"/>
      <c r="AR902" s="127"/>
      <c r="BA902" s="127"/>
    </row>
    <row r="903">
      <c r="F903" s="77"/>
      <c r="G903" s="77"/>
      <c r="R903" s="223"/>
      <c r="AL903" s="49"/>
      <c r="AM903" s="49"/>
      <c r="AN903" s="49">
        <v>-0.5</v>
      </c>
      <c r="AO903" s="49">
        <v>-0.5</v>
      </c>
      <c r="AP903" s="49"/>
      <c r="AR903" s="127"/>
      <c r="BA903" s="127"/>
    </row>
    <row r="904">
      <c r="F904" s="77"/>
      <c r="G904" s="77"/>
      <c r="R904" s="223"/>
      <c r="AL904" s="49"/>
      <c r="AM904" s="49"/>
      <c r="AN904" s="49">
        <v>-0.5</v>
      </c>
      <c r="AO904" s="49">
        <v>-0.5</v>
      </c>
      <c r="AP904" s="49"/>
      <c r="AR904" s="127"/>
      <c r="BA904" s="127"/>
    </row>
    <row r="905">
      <c r="F905" s="77"/>
      <c r="G905" s="77"/>
      <c r="R905" s="223"/>
      <c r="AL905" s="49"/>
      <c r="AM905" s="49"/>
      <c r="AN905" s="49">
        <v>-0.5</v>
      </c>
      <c r="AO905" s="49">
        <v>-0.5</v>
      </c>
      <c r="AP905" s="49"/>
      <c r="AR905" s="127"/>
      <c r="BA905" s="127"/>
    </row>
    <row r="906">
      <c r="F906" s="77"/>
      <c r="G906" s="77"/>
      <c r="R906" s="223"/>
      <c r="AL906" s="49"/>
      <c r="AM906" s="49"/>
      <c r="AN906" s="49">
        <v>-0.5</v>
      </c>
      <c r="AO906" s="49">
        <v>-0.5</v>
      </c>
      <c r="AP906" s="49"/>
      <c r="AR906" s="127"/>
      <c r="BA906" s="127"/>
    </row>
    <row r="907">
      <c r="F907" s="77"/>
      <c r="G907" s="77"/>
      <c r="R907" s="223"/>
      <c r="AL907" s="49"/>
      <c r="AM907" s="49"/>
      <c r="AN907" s="49">
        <v>-0.5</v>
      </c>
      <c r="AO907" s="49">
        <v>-0.5</v>
      </c>
      <c r="AP907" s="49"/>
      <c r="AR907" s="127"/>
      <c r="BA907" s="127"/>
    </row>
    <row r="908">
      <c r="F908" s="77"/>
      <c r="G908" s="77"/>
      <c r="R908" s="223"/>
      <c r="AL908" s="49"/>
      <c r="AM908" s="49"/>
      <c r="AN908" s="49">
        <v>-0.5</v>
      </c>
      <c r="AO908" s="49">
        <v>-0.5</v>
      </c>
      <c r="AP908" s="49"/>
      <c r="AR908" s="127"/>
      <c r="BA908" s="127"/>
    </row>
    <row r="909">
      <c r="F909" s="77"/>
      <c r="G909" s="77"/>
      <c r="R909" s="223"/>
      <c r="AL909" s="49"/>
      <c r="AM909" s="49"/>
      <c r="AN909" s="49">
        <v>-0.5</v>
      </c>
      <c r="AO909" s="49">
        <v>-0.5</v>
      </c>
      <c r="AP909" s="49"/>
      <c r="AR909" s="127"/>
      <c r="BA909" s="127"/>
    </row>
    <row r="910">
      <c r="F910" s="77"/>
      <c r="G910" s="77"/>
      <c r="R910" s="223"/>
      <c r="AL910" s="49"/>
      <c r="AM910" s="49"/>
      <c r="AN910" s="49">
        <v>-0.5</v>
      </c>
      <c r="AO910" s="49">
        <v>-0.5</v>
      </c>
      <c r="AP910" s="49"/>
      <c r="AR910" s="127"/>
      <c r="BA910" s="127"/>
    </row>
    <row r="911">
      <c r="F911" s="77"/>
      <c r="G911" s="77"/>
      <c r="R911" s="223"/>
      <c r="AL911" s="49"/>
      <c r="AM911" s="49"/>
      <c r="AN911" s="49">
        <v>-0.5</v>
      </c>
      <c r="AO911" s="49">
        <v>-0.5</v>
      </c>
      <c r="AP911" s="49"/>
      <c r="AR911" s="127"/>
      <c r="BA911" s="127"/>
    </row>
    <row r="912">
      <c r="F912" s="77"/>
      <c r="G912" s="77"/>
      <c r="R912" s="223"/>
      <c r="AL912" s="49"/>
      <c r="AM912" s="49"/>
      <c r="AN912" s="49">
        <v>-0.5</v>
      </c>
      <c r="AO912" s="49">
        <v>-0.5</v>
      </c>
      <c r="AP912" s="49"/>
      <c r="AR912" s="127"/>
      <c r="BA912" s="127"/>
    </row>
    <row r="913">
      <c r="F913" s="77"/>
      <c r="G913" s="77"/>
      <c r="R913" s="223"/>
      <c r="AL913" s="49"/>
      <c r="AM913" s="49"/>
      <c r="AN913" s="49">
        <v>-0.5</v>
      </c>
      <c r="AO913" s="49">
        <v>-0.5</v>
      </c>
      <c r="AP913" s="49"/>
      <c r="AR913" s="127"/>
      <c r="BA913" s="127"/>
    </row>
    <row r="914">
      <c r="F914" s="77"/>
      <c r="G914" s="77"/>
      <c r="R914" s="223"/>
      <c r="AL914" s="49"/>
      <c r="AM914" s="49"/>
      <c r="AN914" s="49">
        <v>-0.5</v>
      </c>
      <c r="AO914" s="49">
        <v>-0.5</v>
      </c>
      <c r="AP914" s="49"/>
      <c r="AR914" s="127"/>
      <c r="BA914" s="127"/>
    </row>
    <row r="915">
      <c r="F915" s="77"/>
      <c r="G915" s="77"/>
      <c r="R915" s="223"/>
      <c r="AL915" s="49"/>
      <c r="AM915" s="49"/>
      <c r="AN915" s="49">
        <v>-0.5</v>
      </c>
      <c r="AO915" s="49">
        <v>-0.5</v>
      </c>
      <c r="AP915" s="49"/>
      <c r="AR915" s="127"/>
      <c r="BA915" s="127"/>
    </row>
    <row r="916">
      <c r="F916" s="77"/>
      <c r="G916" s="77"/>
      <c r="R916" s="223"/>
      <c r="AL916" s="49"/>
      <c r="AM916" s="49"/>
      <c r="AN916" s="49">
        <v>-0.5</v>
      </c>
      <c r="AO916" s="49">
        <v>-0.5</v>
      </c>
      <c r="AP916" s="49"/>
      <c r="AR916" s="127"/>
      <c r="BA916" s="127"/>
    </row>
    <row r="917">
      <c r="F917" s="77"/>
      <c r="G917" s="77"/>
      <c r="R917" s="223"/>
      <c r="AL917" s="49"/>
      <c r="AM917" s="49"/>
      <c r="AN917" s="49">
        <v>-0.5</v>
      </c>
      <c r="AO917" s="49">
        <v>-0.5</v>
      </c>
      <c r="AP917" s="49"/>
      <c r="AR917" s="127"/>
      <c r="BA917" s="127"/>
    </row>
    <row r="918">
      <c r="F918" s="77"/>
      <c r="G918" s="77"/>
      <c r="R918" s="223"/>
      <c r="AL918" s="49"/>
      <c r="AM918" s="49"/>
      <c r="AN918" s="49">
        <v>-0.5</v>
      </c>
      <c r="AO918" s="49">
        <v>-0.5</v>
      </c>
      <c r="AP918" s="49"/>
      <c r="AR918" s="127"/>
      <c r="BA918" s="127"/>
    </row>
    <row r="919">
      <c r="F919" s="77"/>
      <c r="G919" s="77"/>
      <c r="R919" s="223"/>
      <c r="AL919" s="49"/>
      <c r="AM919" s="49"/>
      <c r="AN919" s="49">
        <v>-0.5</v>
      </c>
      <c r="AO919" s="49">
        <v>-0.5</v>
      </c>
      <c r="AP919" s="49"/>
      <c r="AR919" s="127"/>
      <c r="BA919" s="127"/>
    </row>
    <row r="920">
      <c r="F920" s="77"/>
      <c r="G920" s="77"/>
      <c r="R920" s="223"/>
      <c r="AL920" s="49"/>
      <c r="AM920" s="49"/>
      <c r="AN920" s="49">
        <v>-0.5</v>
      </c>
      <c r="AO920" s="49">
        <v>-0.5</v>
      </c>
      <c r="AP920" s="49"/>
      <c r="AR920" s="127"/>
      <c r="BA920" s="127"/>
    </row>
    <row r="921">
      <c r="F921" s="77"/>
      <c r="G921" s="77"/>
      <c r="R921" s="223"/>
      <c r="AL921" s="49"/>
      <c r="AM921" s="49"/>
      <c r="AN921" s="49">
        <v>-0.5</v>
      </c>
      <c r="AO921" s="49">
        <v>-0.5</v>
      </c>
      <c r="AP921" s="49"/>
      <c r="AR921" s="127"/>
      <c r="BA921" s="127"/>
    </row>
    <row r="922">
      <c r="F922" s="77"/>
      <c r="G922" s="77"/>
      <c r="R922" s="223"/>
      <c r="AL922" s="49"/>
      <c r="AM922" s="49"/>
      <c r="AN922" s="49">
        <v>-0.5</v>
      </c>
      <c r="AO922" s="49">
        <v>-0.5</v>
      </c>
      <c r="AP922" s="49"/>
      <c r="AR922" s="127"/>
      <c r="BA922" s="127"/>
    </row>
    <row r="923">
      <c r="F923" s="77"/>
      <c r="G923" s="77"/>
      <c r="R923" s="223"/>
      <c r="AL923" s="49"/>
      <c r="AM923" s="49"/>
      <c r="AN923" s="49">
        <v>-0.5</v>
      </c>
      <c r="AO923" s="49">
        <v>-0.5</v>
      </c>
      <c r="AP923" s="49"/>
      <c r="AR923" s="127"/>
      <c r="BA923" s="127"/>
    </row>
    <row r="924">
      <c r="F924" s="77"/>
      <c r="G924" s="77"/>
      <c r="R924" s="223"/>
      <c r="AL924" s="49"/>
      <c r="AM924" s="49"/>
      <c r="AN924" s="49">
        <v>-0.5</v>
      </c>
      <c r="AO924" s="49">
        <v>-0.5</v>
      </c>
      <c r="AP924" s="49"/>
      <c r="AR924" s="127"/>
      <c r="BA924" s="127"/>
    </row>
    <row r="925">
      <c r="F925" s="77"/>
      <c r="G925" s="77"/>
      <c r="R925" s="223"/>
      <c r="AL925" s="49"/>
      <c r="AM925" s="49"/>
      <c r="AN925" s="49">
        <v>-0.5</v>
      </c>
      <c r="AO925" s="49">
        <v>-0.5</v>
      </c>
      <c r="AP925" s="49"/>
      <c r="AR925" s="127"/>
      <c r="BA925" s="127"/>
    </row>
    <row r="926">
      <c r="F926" s="77"/>
      <c r="G926" s="77"/>
      <c r="R926" s="223"/>
      <c r="AL926" s="49"/>
      <c r="AM926" s="49"/>
      <c r="AN926" s="49">
        <v>-0.5</v>
      </c>
      <c r="AO926" s="49">
        <v>-0.5</v>
      </c>
      <c r="AP926" s="49"/>
      <c r="AR926" s="127"/>
      <c r="BA926" s="127"/>
    </row>
    <row r="927">
      <c r="F927" s="77"/>
      <c r="G927" s="77"/>
      <c r="R927" s="223"/>
      <c r="AL927" s="49"/>
      <c r="AM927" s="49"/>
      <c r="AN927" s="49">
        <v>-0.5</v>
      </c>
      <c r="AO927" s="49">
        <v>-0.5</v>
      </c>
      <c r="AP927" s="49"/>
      <c r="AR927" s="127"/>
      <c r="BA927" s="127"/>
    </row>
    <row r="928">
      <c r="F928" s="77"/>
      <c r="G928" s="77"/>
      <c r="R928" s="223"/>
      <c r="AL928" s="49"/>
      <c r="AM928" s="49"/>
      <c r="AN928" s="49">
        <v>-0.5</v>
      </c>
      <c r="AO928" s="49">
        <v>-0.5</v>
      </c>
      <c r="AP928" s="49"/>
      <c r="AR928" s="127"/>
      <c r="BA928" s="127"/>
    </row>
    <row r="929">
      <c r="F929" s="77"/>
      <c r="G929" s="77"/>
      <c r="R929" s="223"/>
      <c r="AL929" s="49"/>
      <c r="AM929" s="49"/>
      <c r="AN929" s="49">
        <v>-0.5</v>
      </c>
      <c r="AO929" s="49">
        <v>-0.5</v>
      </c>
      <c r="AP929" s="49"/>
      <c r="AR929" s="127"/>
      <c r="BA929" s="127"/>
    </row>
    <row r="930">
      <c r="F930" s="77"/>
      <c r="G930" s="77"/>
      <c r="R930" s="223"/>
      <c r="AL930" s="49"/>
      <c r="AM930" s="49"/>
      <c r="AN930" s="49">
        <v>-0.5</v>
      </c>
      <c r="AO930" s="49">
        <v>-0.5</v>
      </c>
      <c r="AP930" s="49"/>
      <c r="AR930" s="127"/>
      <c r="BA930" s="127"/>
    </row>
    <row r="931">
      <c r="F931" s="77"/>
      <c r="G931" s="77"/>
      <c r="R931" s="223"/>
      <c r="AL931" s="49"/>
      <c r="AM931" s="49"/>
      <c r="AN931" s="49">
        <v>-0.5</v>
      </c>
      <c r="AO931" s="49">
        <v>-0.5</v>
      </c>
      <c r="AP931" s="49"/>
      <c r="AR931" s="127"/>
      <c r="BA931" s="127"/>
    </row>
    <row r="932">
      <c r="F932" s="77"/>
      <c r="G932" s="77"/>
      <c r="R932" s="223"/>
      <c r="AL932" s="49"/>
      <c r="AM932" s="49"/>
      <c r="AN932" s="49">
        <v>-0.5</v>
      </c>
      <c r="AO932" s="49">
        <v>-0.5</v>
      </c>
      <c r="AP932" s="49"/>
      <c r="AR932" s="127"/>
      <c r="BA932" s="127"/>
    </row>
    <row r="933">
      <c r="F933" s="77"/>
      <c r="G933" s="77"/>
      <c r="R933" s="223"/>
      <c r="AL933" s="49"/>
      <c r="AM933" s="49"/>
      <c r="AN933" s="49">
        <v>-0.5</v>
      </c>
      <c r="AO933" s="49">
        <v>-0.5</v>
      </c>
      <c r="AP933" s="49"/>
      <c r="AR933" s="127"/>
      <c r="BA933" s="127"/>
    </row>
    <row r="934">
      <c r="F934" s="77"/>
      <c r="G934" s="77"/>
      <c r="R934" s="223"/>
      <c r="AL934" s="49"/>
      <c r="AM934" s="49"/>
      <c r="AN934" s="49">
        <v>-0.5</v>
      </c>
      <c r="AO934" s="49">
        <v>-0.5</v>
      </c>
      <c r="AP934" s="49"/>
      <c r="AR934" s="127"/>
      <c r="BA934" s="127"/>
    </row>
    <row r="935">
      <c r="F935" s="77"/>
      <c r="G935" s="77"/>
      <c r="R935" s="223"/>
      <c r="AL935" s="49"/>
      <c r="AM935" s="49"/>
      <c r="AN935" s="49">
        <v>-0.5</v>
      </c>
      <c r="AO935" s="49">
        <v>-0.5</v>
      </c>
      <c r="AP935" s="49"/>
      <c r="AR935" s="127"/>
      <c r="BA935" s="127"/>
    </row>
    <row r="936">
      <c r="F936" s="77"/>
      <c r="G936" s="77"/>
      <c r="R936" s="223"/>
      <c r="AL936" s="49"/>
      <c r="AM936" s="49"/>
      <c r="AN936" s="49">
        <v>-0.5</v>
      </c>
      <c r="AO936" s="49">
        <v>-0.5</v>
      </c>
      <c r="AP936" s="49"/>
      <c r="AR936" s="127"/>
      <c r="BA936" s="127"/>
    </row>
    <row r="937">
      <c r="F937" s="77"/>
      <c r="G937" s="77"/>
      <c r="R937" s="223"/>
      <c r="AL937" s="49"/>
      <c r="AM937" s="49"/>
      <c r="AN937" s="49">
        <v>-0.5</v>
      </c>
      <c r="AO937" s="49">
        <v>-0.5</v>
      </c>
      <c r="AP937" s="49"/>
      <c r="AR937" s="127"/>
      <c r="BA937" s="127"/>
    </row>
    <row r="938">
      <c r="F938" s="77"/>
      <c r="G938" s="77"/>
      <c r="R938" s="223"/>
      <c r="AL938" s="49"/>
      <c r="AM938" s="49"/>
      <c r="AN938" s="49">
        <v>-0.5</v>
      </c>
      <c r="AO938" s="49">
        <v>-0.5</v>
      </c>
      <c r="AP938" s="49"/>
      <c r="AR938" s="127"/>
      <c r="BA938" s="127"/>
    </row>
    <row r="939">
      <c r="F939" s="77"/>
      <c r="G939" s="77"/>
      <c r="R939" s="223"/>
      <c r="AL939" s="49"/>
      <c r="AM939" s="49"/>
      <c r="AN939" s="49">
        <v>-0.5</v>
      </c>
      <c r="AO939" s="49">
        <v>-0.5</v>
      </c>
      <c r="AP939" s="49"/>
      <c r="AR939" s="127"/>
      <c r="BA939" s="127"/>
    </row>
    <row r="940">
      <c r="F940" s="77"/>
      <c r="G940" s="77"/>
      <c r="R940" s="223"/>
      <c r="AL940" s="49"/>
      <c r="AM940" s="49"/>
      <c r="AN940" s="49">
        <v>-0.5</v>
      </c>
      <c r="AO940" s="49">
        <v>-0.5</v>
      </c>
      <c r="AP940" s="49"/>
      <c r="AR940" s="127"/>
      <c r="BA940" s="127"/>
    </row>
    <row r="941">
      <c r="F941" s="77"/>
      <c r="G941" s="77"/>
      <c r="R941" s="223"/>
      <c r="AL941" s="49"/>
      <c r="AM941" s="49"/>
      <c r="AN941" s="49">
        <v>-0.5</v>
      </c>
      <c r="AO941" s="49">
        <v>-0.5</v>
      </c>
      <c r="AP941" s="49"/>
      <c r="AR941" s="127"/>
      <c r="BA941" s="127"/>
    </row>
    <row r="942">
      <c r="F942" s="77"/>
      <c r="G942" s="77"/>
      <c r="R942" s="223"/>
      <c r="AL942" s="49"/>
      <c r="AM942" s="49"/>
      <c r="AN942" s="49">
        <v>-0.5</v>
      </c>
      <c r="AO942" s="49">
        <v>-0.5</v>
      </c>
      <c r="AP942" s="49"/>
      <c r="AR942" s="127"/>
      <c r="BA942" s="127"/>
    </row>
    <row r="943">
      <c r="F943" s="77"/>
      <c r="G943" s="77"/>
      <c r="R943" s="223"/>
      <c r="AL943" s="49"/>
      <c r="AM943" s="49"/>
      <c r="AN943" s="49">
        <v>-0.5</v>
      </c>
      <c r="AO943" s="49">
        <v>-0.5</v>
      </c>
      <c r="AP943" s="49"/>
      <c r="AR943" s="127"/>
      <c r="BA943" s="127"/>
    </row>
    <row r="944">
      <c r="F944" s="77"/>
      <c r="G944" s="77"/>
      <c r="R944" s="223"/>
      <c r="AL944" s="49"/>
      <c r="AM944" s="49"/>
      <c r="AN944" s="49">
        <v>-0.5</v>
      </c>
      <c r="AO944" s="49">
        <v>-0.5</v>
      </c>
      <c r="AP944" s="49"/>
      <c r="AR944" s="127"/>
      <c r="BA944" s="127"/>
    </row>
    <row r="945">
      <c r="F945" s="77"/>
      <c r="G945" s="77"/>
      <c r="R945" s="223"/>
      <c r="AL945" s="49"/>
      <c r="AM945" s="49"/>
      <c r="AN945" s="49">
        <v>-0.5</v>
      </c>
      <c r="AO945" s="49">
        <v>-0.5</v>
      </c>
      <c r="AP945" s="49"/>
      <c r="AR945" s="127"/>
      <c r="BA945" s="127"/>
    </row>
    <row r="946">
      <c r="F946" s="77"/>
      <c r="G946" s="77"/>
      <c r="R946" s="223"/>
      <c r="AL946" s="49"/>
      <c r="AM946" s="49"/>
      <c r="AN946" s="49">
        <v>-0.5</v>
      </c>
      <c r="AO946" s="49">
        <v>-0.5</v>
      </c>
      <c r="AP946" s="49"/>
      <c r="AR946" s="127"/>
      <c r="BA946" s="127"/>
    </row>
    <row r="947">
      <c r="F947" s="77"/>
      <c r="G947" s="77"/>
      <c r="R947" s="223"/>
      <c r="AL947" s="49"/>
      <c r="AM947" s="49"/>
      <c r="AN947" s="49">
        <v>-0.5</v>
      </c>
      <c r="AO947" s="49">
        <v>-0.5</v>
      </c>
      <c r="AP947" s="49"/>
      <c r="AR947" s="127"/>
      <c r="BA947" s="127"/>
    </row>
    <row r="948">
      <c r="F948" s="77"/>
      <c r="G948" s="77"/>
      <c r="R948" s="223"/>
      <c r="AL948" s="49"/>
      <c r="AM948" s="49"/>
      <c r="AN948" s="49">
        <v>-0.5</v>
      </c>
      <c r="AO948" s="49">
        <v>-0.5</v>
      </c>
      <c r="AP948" s="49"/>
      <c r="AR948" s="127"/>
      <c r="BA948" s="127"/>
    </row>
    <row r="949">
      <c r="F949" s="77"/>
      <c r="G949" s="77"/>
      <c r="R949" s="223"/>
      <c r="AL949" s="49"/>
      <c r="AM949" s="49"/>
      <c r="AN949" s="49">
        <v>-0.5</v>
      </c>
      <c r="AO949" s="49">
        <v>-0.5</v>
      </c>
      <c r="AP949" s="49"/>
      <c r="AR949" s="127"/>
      <c r="BA949" s="127"/>
    </row>
    <row r="950">
      <c r="F950" s="77"/>
      <c r="G950" s="77"/>
      <c r="R950" s="223"/>
      <c r="AL950" s="49"/>
      <c r="AM950" s="49"/>
      <c r="AN950" s="49">
        <v>-0.5</v>
      </c>
      <c r="AO950" s="49">
        <v>-0.5</v>
      </c>
      <c r="AP950" s="49"/>
      <c r="AR950" s="127"/>
      <c r="BA950" s="127"/>
    </row>
    <row r="951">
      <c r="F951" s="77"/>
      <c r="G951" s="77"/>
      <c r="R951" s="223"/>
      <c r="AL951" s="49"/>
      <c r="AM951" s="49"/>
      <c r="AN951" s="49">
        <v>-0.5</v>
      </c>
      <c r="AO951" s="49">
        <v>-0.5</v>
      </c>
      <c r="AP951" s="49"/>
      <c r="AR951" s="127"/>
      <c r="BA951" s="127"/>
    </row>
    <row r="952">
      <c r="F952" s="77"/>
      <c r="G952" s="77"/>
      <c r="R952" s="223"/>
      <c r="AL952" s="49"/>
      <c r="AM952" s="49"/>
      <c r="AN952" s="49">
        <v>-0.5</v>
      </c>
      <c r="AO952" s="49">
        <v>-0.5</v>
      </c>
      <c r="AP952" s="49"/>
      <c r="AR952" s="127"/>
      <c r="BA952" s="127"/>
    </row>
    <row r="953">
      <c r="F953" s="77"/>
      <c r="G953" s="77"/>
      <c r="R953" s="223"/>
      <c r="AL953" s="49"/>
      <c r="AM953" s="49"/>
      <c r="AN953" s="49">
        <v>-0.5</v>
      </c>
      <c r="AO953" s="49">
        <v>-0.5</v>
      </c>
      <c r="AP953" s="49"/>
      <c r="AR953" s="127"/>
      <c r="BA953" s="127"/>
    </row>
    <row r="954">
      <c r="F954" s="77"/>
      <c r="G954" s="77"/>
      <c r="R954" s="223"/>
      <c r="AL954" s="49"/>
      <c r="AM954" s="49"/>
      <c r="AN954" s="49">
        <v>-0.5</v>
      </c>
      <c r="AO954" s="49">
        <v>-0.5</v>
      </c>
      <c r="AP954" s="49"/>
      <c r="AR954" s="127"/>
      <c r="BA954" s="127"/>
    </row>
    <row r="955">
      <c r="F955" s="77"/>
      <c r="G955" s="77"/>
      <c r="R955" s="223"/>
      <c r="AL955" s="49"/>
      <c r="AM955" s="49"/>
      <c r="AN955" s="49">
        <v>-0.5</v>
      </c>
      <c r="AO955" s="49">
        <v>-0.5</v>
      </c>
      <c r="AP955" s="49"/>
      <c r="AR955" s="127"/>
      <c r="BA955" s="127"/>
    </row>
    <row r="956">
      <c r="F956" s="77"/>
      <c r="G956" s="77"/>
      <c r="R956" s="223"/>
      <c r="AL956" s="49"/>
      <c r="AM956" s="49"/>
      <c r="AN956" s="49">
        <v>-0.5</v>
      </c>
      <c r="AO956" s="49">
        <v>-0.5</v>
      </c>
      <c r="AP956" s="49"/>
      <c r="AR956" s="127"/>
      <c r="BA956" s="127"/>
    </row>
    <row r="957">
      <c r="F957" s="77"/>
      <c r="G957" s="77"/>
      <c r="R957" s="223"/>
      <c r="AL957" s="49"/>
      <c r="AM957" s="49"/>
      <c r="AN957" s="49">
        <v>-0.5</v>
      </c>
      <c r="AO957" s="49">
        <v>-0.5</v>
      </c>
      <c r="AP957" s="49"/>
      <c r="AR957" s="127"/>
      <c r="BA957" s="127"/>
    </row>
    <row r="958">
      <c r="F958" s="77"/>
      <c r="G958" s="77"/>
      <c r="R958" s="223"/>
      <c r="AL958" s="49"/>
      <c r="AM958" s="49"/>
      <c r="AN958" s="49">
        <v>-0.5</v>
      </c>
      <c r="AO958" s="49">
        <v>-0.5</v>
      </c>
      <c r="AP958" s="49"/>
      <c r="AR958" s="127"/>
      <c r="BA958" s="127"/>
    </row>
    <row r="959">
      <c r="F959" s="77"/>
      <c r="G959" s="77"/>
      <c r="R959" s="223"/>
      <c r="AL959" s="49"/>
      <c r="AM959" s="49"/>
      <c r="AN959" s="49">
        <v>-0.5</v>
      </c>
      <c r="AO959" s="49">
        <v>-0.5</v>
      </c>
      <c r="AP959" s="49"/>
      <c r="AR959" s="127"/>
      <c r="BA959" s="127"/>
    </row>
    <row r="960">
      <c r="F960" s="77"/>
      <c r="G960" s="77"/>
      <c r="R960" s="223"/>
      <c r="AL960" s="49"/>
      <c r="AM960" s="49"/>
      <c r="AN960" s="49">
        <v>-0.5</v>
      </c>
      <c r="AO960" s="49">
        <v>-0.5</v>
      </c>
      <c r="AP960" s="49"/>
      <c r="AR960" s="127"/>
      <c r="BA960" s="127"/>
    </row>
    <row r="961">
      <c r="F961" s="77"/>
      <c r="G961" s="77"/>
      <c r="R961" s="223"/>
      <c r="AL961" s="49"/>
      <c r="AM961" s="49"/>
      <c r="AN961" s="49">
        <v>-0.5</v>
      </c>
      <c r="AO961" s="49">
        <v>-0.5</v>
      </c>
      <c r="AP961" s="49"/>
      <c r="AR961" s="127"/>
      <c r="BA961" s="127"/>
    </row>
    <row r="962">
      <c r="F962" s="77"/>
      <c r="G962" s="77"/>
      <c r="R962" s="223"/>
      <c r="AL962" s="49"/>
      <c r="AM962" s="49"/>
      <c r="AN962" s="49">
        <v>-0.5</v>
      </c>
      <c r="AO962" s="49">
        <v>-0.5</v>
      </c>
      <c r="AP962" s="49"/>
      <c r="AR962" s="127"/>
      <c r="BA962" s="127"/>
    </row>
    <row r="963">
      <c r="F963" s="77"/>
      <c r="G963" s="77"/>
      <c r="R963" s="223"/>
      <c r="AL963" s="49"/>
      <c r="AM963" s="49"/>
      <c r="AN963" s="49">
        <v>-0.5</v>
      </c>
      <c r="AO963" s="49">
        <v>-0.5</v>
      </c>
      <c r="AP963" s="49"/>
      <c r="AR963" s="127"/>
      <c r="BA963" s="127"/>
    </row>
    <row r="964">
      <c r="F964" s="77"/>
      <c r="G964" s="77"/>
      <c r="R964" s="223"/>
      <c r="AL964" s="49"/>
      <c r="AM964" s="49"/>
      <c r="AN964" s="49">
        <v>-0.5</v>
      </c>
      <c r="AO964" s="49">
        <v>-0.5</v>
      </c>
      <c r="AP964" s="49"/>
      <c r="AR964" s="127"/>
      <c r="BA964" s="127"/>
    </row>
    <row r="965">
      <c r="F965" s="77"/>
      <c r="G965" s="77"/>
      <c r="R965" s="223"/>
      <c r="AL965" s="49"/>
      <c r="AM965" s="49"/>
      <c r="AN965" s="49">
        <v>-0.5</v>
      </c>
      <c r="AO965" s="49">
        <v>-0.5</v>
      </c>
      <c r="AP965" s="49"/>
      <c r="AR965" s="127"/>
      <c r="BA965" s="127"/>
    </row>
    <row r="966">
      <c r="F966" s="77"/>
      <c r="G966" s="77"/>
      <c r="R966" s="223"/>
      <c r="AL966" s="49"/>
      <c r="AM966" s="49"/>
      <c r="AN966" s="49">
        <v>-0.5</v>
      </c>
      <c r="AO966" s="49">
        <v>-0.5</v>
      </c>
      <c r="AP966" s="49"/>
      <c r="AR966" s="127"/>
      <c r="BA966" s="127"/>
    </row>
    <row r="967">
      <c r="F967" s="77"/>
      <c r="G967" s="77"/>
      <c r="R967" s="223"/>
      <c r="AL967" s="49"/>
      <c r="AM967" s="49"/>
      <c r="AN967" s="49">
        <v>-0.5</v>
      </c>
      <c r="AO967" s="49">
        <v>-0.5</v>
      </c>
      <c r="AP967" s="49"/>
      <c r="AR967" s="127"/>
      <c r="BA967" s="127"/>
    </row>
    <row r="968">
      <c r="F968" s="77"/>
      <c r="G968" s="77"/>
      <c r="R968" s="223"/>
      <c r="AL968" s="49"/>
      <c r="AM968" s="49"/>
      <c r="AN968" s="49">
        <v>-0.5</v>
      </c>
      <c r="AO968" s="49">
        <v>-0.5</v>
      </c>
      <c r="AP968" s="49"/>
      <c r="AR968" s="127"/>
      <c r="BA968" s="127"/>
    </row>
    <row r="969">
      <c r="F969" s="77"/>
      <c r="G969" s="77"/>
      <c r="R969" s="223"/>
      <c r="AL969" s="49"/>
      <c r="AM969" s="49"/>
      <c r="AN969" s="49">
        <v>-0.5</v>
      </c>
      <c r="AO969" s="49">
        <v>-0.5</v>
      </c>
      <c r="AP969" s="49"/>
      <c r="AR969" s="127"/>
      <c r="BA969" s="127"/>
    </row>
    <row r="970">
      <c r="F970" s="77"/>
      <c r="G970" s="77"/>
      <c r="R970" s="223"/>
      <c r="AL970" s="49"/>
      <c r="AM970" s="49"/>
      <c r="AN970" s="49">
        <v>-0.5</v>
      </c>
      <c r="AO970" s="49">
        <v>-0.5</v>
      </c>
      <c r="AP970" s="49"/>
      <c r="AR970" s="127"/>
      <c r="BA970" s="127"/>
    </row>
    <row r="971">
      <c r="F971" s="77"/>
      <c r="G971" s="77"/>
      <c r="R971" s="223"/>
      <c r="AL971" s="49"/>
      <c r="AM971" s="49"/>
      <c r="AN971" s="49">
        <v>-0.5</v>
      </c>
      <c r="AO971" s="49">
        <v>-0.5</v>
      </c>
      <c r="AP971" s="49"/>
      <c r="AR971" s="127"/>
      <c r="BA971" s="127"/>
    </row>
    <row r="972">
      <c r="F972" s="77"/>
      <c r="G972" s="77"/>
      <c r="R972" s="223"/>
      <c r="AL972" s="49"/>
      <c r="AM972" s="49"/>
      <c r="AN972" s="49">
        <v>-0.5</v>
      </c>
      <c r="AO972" s="49">
        <v>-0.5</v>
      </c>
      <c r="AP972" s="49"/>
      <c r="AR972" s="127"/>
      <c r="BA972" s="127"/>
    </row>
    <row r="973">
      <c r="F973" s="77"/>
      <c r="G973" s="77"/>
      <c r="R973" s="223"/>
      <c r="AL973" s="49"/>
      <c r="AM973" s="49"/>
      <c r="AN973" s="49">
        <v>-0.5</v>
      </c>
      <c r="AO973" s="49">
        <v>-0.5</v>
      </c>
      <c r="AP973" s="49"/>
      <c r="AR973" s="127"/>
      <c r="BA973" s="127"/>
    </row>
    <row r="974">
      <c r="F974" s="77"/>
      <c r="G974" s="77"/>
      <c r="R974" s="223"/>
      <c r="AL974" s="49"/>
      <c r="AM974" s="49"/>
      <c r="AN974" s="49">
        <v>-0.5</v>
      </c>
      <c r="AO974" s="49">
        <v>-0.5</v>
      </c>
      <c r="AP974" s="49"/>
      <c r="AR974" s="127"/>
      <c r="BA974" s="127"/>
    </row>
    <row r="975">
      <c r="F975" s="77"/>
      <c r="G975" s="77"/>
      <c r="R975" s="223"/>
      <c r="AL975" s="49"/>
      <c r="AM975" s="49"/>
      <c r="AN975" s="49">
        <v>-0.5</v>
      </c>
      <c r="AO975" s="49">
        <v>-0.5</v>
      </c>
      <c r="AP975" s="49"/>
      <c r="AR975" s="127"/>
      <c r="BA975" s="127"/>
    </row>
    <row r="976">
      <c r="F976" s="77"/>
      <c r="G976" s="77"/>
      <c r="R976" s="223"/>
      <c r="AL976" s="49"/>
      <c r="AM976" s="49"/>
      <c r="AN976" s="49">
        <v>-0.5</v>
      </c>
      <c r="AO976" s="49">
        <v>-0.5</v>
      </c>
      <c r="AP976" s="49"/>
      <c r="AR976" s="127"/>
      <c r="BA976" s="127"/>
    </row>
    <row r="977">
      <c r="F977" s="77"/>
      <c r="G977" s="77"/>
      <c r="R977" s="223"/>
      <c r="AL977" s="49"/>
      <c r="AM977" s="49"/>
      <c r="AN977" s="49">
        <v>-0.5</v>
      </c>
      <c r="AO977" s="49">
        <v>-0.5</v>
      </c>
      <c r="AP977" s="49"/>
      <c r="AR977" s="127"/>
      <c r="BA977" s="127"/>
    </row>
    <row r="978">
      <c r="F978" s="77"/>
      <c r="G978" s="77"/>
      <c r="R978" s="223"/>
      <c r="AL978" s="49"/>
      <c r="AM978" s="49"/>
      <c r="AN978" s="49">
        <v>-0.5</v>
      </c>
      <c r="AO978" s="49">
        <v>-0.5</v>
      </c>
      <c r="AP978" s="49"/>
      <c r="AR978" s="127"/>
      <c r="BA978" s="127"/>
    </row>
    <row r="979">
      <c r="F979" s="77"/>
      <c r="G979" s="77"/>
      <c r="R979" s="223"/>
      <c r="AL979" s="49"/>
      <c r="AM979" s="49"/>
      <c r="AN979" s="49">
        <v>-0.5</v>
      </c>
      <c r="AO979" s="49">
        <v>-0.5</v>
      </c>
      <c r="AP979" s="49"/>
      <c r="AR979" s="127"/>
      <c r="BA979" s="127"/>
    </row>
    <row r="980">
      <c r="F980" s="77"/>
      <c r="G980" s="77"/>
      <c r="R980" s="223"/>
      <c r="AL980" s="49"/>
      <c r="AM980" s="49"/>
      <c r="AN980" s="49">
        <v>-0.5</v>
      </c>
      <c r="AO980" s="49">
        <v>-0.5</v>
      </c>
      <c r="AP980" s="49"/>
      <c r="AR980" s="127"/>
      <c r="BA980" s="127"/>
    </row>
    <row r="981">
      <c r="F981" s="77"/>
      <c r="G981" s="77"/>
      <c r="R981" s="223"/>
      <c r="AL981" s="49"/>
      <c r="AM981" s="49"/>
      <c r="AN981" s="49">
        <v>-0.5</v>
      </c>
      <c r="AO981" s="49">
        <v>-0.5</v>
      </c>
      <c r="AP981" s="49"/>
      <c r="AR981" s="127"/>
      <c r="BA981" s="127"/>
    </row>
    <row r="982">
      <c r="F982" s="77"/>
      <c r="G982" s="77"/>
      <c r="R982" s="223"/>
      <c r="AL982" s="49"/>
      <c r="AM982" s="49"/>
      <c r="AN982" s="49">
        <v>-0.5</v>
      </c>
      <c r="AO982" s="49">
        <v>-0.5</v>
      </c>
      <c r="AP982" s="49"/>
      <c r="AR982" s="127"/>
      <c r="BA982" s="127"/>
    </row>
    <row r="983">
      <c r="F983" s="77"/>
      <c r="G983" s="77"/>
      <c r="R983" s="223"/>
      <c r="AL983" s="49"/>
      <c r="AM983" s="49"/>
      <c r="AN983" s="49">
        <v>-0.5</v>
      </c>
      <c r="AO983" s="49">
        <v>-0.5</v>
      </c>
      <c r="AP983" s="49"/>
      <c r="AR983" s="127"/>
      <c r="BA983" s="127"/>
    </row>
    <row r="984">
      <c r="F984" s="77"/>
      <c r="G984" s="77"/>
      <c r="R984" s="223"/>
      <c r="AL984" s="49"/>
      <c r="AM984" s="49"/>
      <c r="AN984" s="49">
        <v>-0.5</v>
      </c>
      <c r="AO984" s="49">
        <v>-0.5</v>
      </c>
      <c r="AP984" s="49"/>
      <c r="AR984" s="127"/>
      <c r="BA984" s="127"/>
    </row>
    <row r="985">
      <c r="F985" s="77"/>
      <c r="G985" s="77"/>
      <c r="R985" s="223"/>
      <c r="AL985" s="49"/>
      <c r="AM985" s="49"/>
      <c r="AN985" s="49">
        <v>-0.5</v>
      </c>
      <c r="AO985" s="49">
        <v>-0.5</v>
      </c>
      <c r="AP985" s="49"/>
      <c r="AR985" s="127"/>
      <c r="BA985" s="127"/>
    </row>
    <row r="986">
      <c r="F986" s="77"/>
      <c r="G986" s="77"/>
      <c r="R986" s="223"/>
      <c r="AL986" s="49"/>
      <c r="AM986" s="49"/>
      <c r="AN986" s="49">
        <v>-0.5</v>
      </c>
      <c r="AO986" s="49">
        <v>-0.5</v>
      </c>
      <c r="AP986" s="49"/>
      <c r="AR986" s="127"/>
      <c r="BA986" s="127"/>
    </row>
    <row r="987">
      <c r="F987" s="77"/>
      <c r="G987" s="77"/>
      <c r="R987" s="223"/>
      <c r="AL987" s="49"/>
      <c r="AM987" s="49"/>
      <c r="AN987" s="49">
        <v>-0.5</v>
      </c>
      <c r="AO987" s="49">
        <v>-0.5</v>
      </c>
      <c r="AP987" s="49"/>
      <c r="AR987" s="127"/>
      <c r="BA987" s="127"/>
    </row>
    <row r="988">
      <c r="F988" s="77"/>
      <c r="G988" s="77"/>
      <c r="R988" s="223"/>
      <c r="AL988" s="49"/>
      <c r="AM988" s="49"/>
      <c r="AN988" s="49">
        <v>-0.5</v>
      </c>
      <c r="AO988" s="49">
        <v>-0.5</v>
      </c>
      <c r="AP988" s="49"/>
      <c r="AR988" s="127"/>
      <c r="BA988" s="127"/>
    </row>
    <row r="989">
      <c r="F989" s="77"/>
      <c r="G989" s="77"/>
      <c r="R989" s="223"/>
      <c r="AL989" s="49"/>
      <c r="AM989" s="49"/>
      <c r="AN989" s="49">
        <v>-0.5</v>
      </c>
      <c r="AO989" s="49">
        <v>-0.5</v>
      </c>
      <c r="AP989" s="49"/>
      <c r="AR989" s="127"/>
      <c r="BA989" s="127"/>
    </row>
    <row r="990">
      <c r="F990" s="77"/>
      <c r="G990" s="77"/>
      <c r="R990" s="223"/>
      <c r="AL990" s="49"/>
      <c r="AM990" s="49"/>
      <c r="AN990" s="49">
        <v>-0.5</v>
      </c>
      <c r="AO990" s="49">
        <v>-0.5</v>
      </c>
      <c r="AP990" s="49"/>
      <c r="AR990" s="127"/>
      <c r="BA990" s="127"/>
    </row>
    <row r="991">
      <c r="F991" s="77"/>
      <c r="G991" s="77"/>
      <c r="R991" s="223"/>
      <c r="AL991" s="49"/>
      <c r="AM991" s="49"/>
      <c r="AN991" s="49">
        <v>-0.5</v>
      </c>
      <c r="AO991" s="49">
        <v>-0.5</v>
      </c>
      <c r="AP991" s="49"/>
      <c r="AR991" s="127"/>
      <c r="BA991" s="127"/>
    </row>
    <row r="992">
      <c r="F992" s="77"/>
      <c r="G992" s="77"/>
      <c r="R992" s="223"/>
      <c r="AL992" s="49"/>
      <c r="AM992" s="49"/>
      <c r="AN992" s="49">
        <v>-0.5</v>
      </c>
      <c r="AO992" s="49">
        <v>-0.5</v>
      </c>
      <c r="AP992" s="49"/>
      <c r="AR992" s="127"/>
      <c r="BA992" s="127"/>
    </row>
    <row r="993">
      <c r="F993" s="77"/>
      <c r="G993" s="77"/>
      <c r="R993" s="223"/>
      <c r="AL993" s="49"/>
      <c r="AM993" s="49"/>
      <c r="AN993" s="49">
        <v>-0.5</v>
      </c>
      <c r="AO993" s="49">
        <v>-0.5</v>
      </c>
      <c r="AP993" s="49"/>
      <c r="AR993" s="127"/>
      <c r="BA993" s="127"/>
    </row>
    <row r="994">
      <c r="F994" s="77"/>
      <c r="G994" s="77"/>
      <c r="R994" s="223"/>
      <c r="AL994" s="49"/>
      <c r="AM994" s="49"/>
      <c r="AN994" s="49">
        <v>-0.5</v>
      </c>
      <c r="AO994" s="49">
        <v>-0.5</v>
      </c>
      <c r="AP994" s="49"/>
      <c r="AR994" s="127"/>
      <c r="BA994" s="127"/>
    </row>
    <row r="995">
      <c r="F995" s="77"/>
      <c r="G995" s="77"/>
      <c r="R995" s="223"/>
      <c r="AL995" s="49"/>
      <c r="AM995" s="49"/>
      <c r="AN995" s="49">
        <v>-0.5</v>
      </c>
      <c r="AO995" s="49">
        <v>-0.5</v>
      </c>
      <c r="AP995" s="49"/>
      <c r="AR995" s="127"/>
      <c r="BA995" s="127"/>
    </row>
    <row r="996">
      <c r="F996" s="77"/>
      <c r="G996" s="77"/>
      <c r="R996" s="223"/>
      <c r="AL996" s="49"/>
      <c r="AM996" s="49"/>
      <c r="AN996" s="49">
        <v>-0.5</v>
      </c>
      <c r="AO996" s="49">
        <v>-0.5</v>
      </c>
      <c r="AP996" s="49"/>
      <c r="AR996" s="127"/>
      <c r="BA996" s="127"/>
    </row>
    <row r="997">
      <c r="F997" s="77"/>
      <c r="G997" s="77"/>
      <c r="R997" s="223"/>
      <c r="AL997" s="49"/>
      <c r="AM997" s="49"/>
      <c r="AN997" s="49">
        <v>-0.5</v>
      </c>
      <c r="AO997" s="49">
        <v>-0.5</v>
      </c>
      <c r="AP997" s="49"/>
      <c r="AR997" s="127"/>
      <c r="BA997" s="127"/>
    </row>
    <row r="998">
      <c r="F998" s="77"/>
      <c r="G998" s="77"/>
      <c r="R998" s="223"/>
      <c r="AL998" s="49"/>
      <c r="AM998" s="49"/>
      <c r="AN998" s="49">
        <v>-0.5</v>
      </c>
      <c r="AO998" s="49">
        <v>-0.5</v>
      </c>
      <c r="AP998" s="49"/>
      <c r="AR998" s="127"/>
      <c r="BA998" s="127"/>
    </row>
    <row r="999">
      <c r="F999" s="77"/>
      <c r="G999" s="77"/>
      <c r="R999" s="223"/>
      <c r="AL999" s="49"/>
      <c r="AM999" s="49"/>
      <c r="AN999" s="49">
        <v>-0.5</v>
      </c>
      <c r="AO999" s="49">
        <v>-0.5</v>
      </c>
      <c r="AP999" s="49"/>
      <c r="AR999" s="127"/>
      <c r="BA999" s="127"/>
    </row>
    <row r="1000">
      <c r="F1000" s="77"/>
      <c r="G1000" s="77"/>
      <c r="R1000" s="223"/>
      <c r="AL1000" s="49"/>
      <c r="AM1000" s="49"/>
      <c r="AN1000" s="49">
        <v>-0.5</v>
      </c>
      <c r="AO1000" s="49">
        <v>-0.5</v>
      </c>
      <c r="AP1000" s="49"/>
      <c r="AR1000" s="127"/>
      <c r="BA1000" s="127"/>
    </row>
    <row r="1001">
      <c r="F1001" s="77"/>
      <c r="G1001" s="77"/>
      <c r="R1001" s="223"/>
      <c r="AL1001" s="49"/>
      <c r="AM1001" s="49"/>
      <c r="AN1001" s="49">
        <v>-0.5</v>
      </c>
      <c r="AO1001" s="49">
        <v>-0.5</v>
      </c>
      <c r="AP1001" s="49"/>
      <c r="AR1001" s="127"/>
      <c r="BA1001" s="127"/>
    </row>
    <row r="1002">
      <c r="F1002" s="77"/>
      <c r="G1002" s="77"/>
      <c r="R1002" s="223"/>
      <c r="AL1002" s="49"/>
      <c r="AM1002" s="49"/>
      <c r="AN1002" s="49">
        <v>-0.5</v>
      </c>
      <c r="AO1002" s="49">
        <v>-0.5</v>
      </c>
      <c r="AP1002" s="49"/>
      <c r="AR1002" s="127"/>
      <c r="BA1002" s="127"/>
    </row>
    <row r="1003">
      <c r="F1003" s="77"/>
      <c r="G1003" s="77"/>
      <c r="R1003" s="223"/>
      <c r="AL1003" s="49"/>
      <c r="AM1003" s="49"/>
      <c r="AN1003" s="49">
        <v>-0.5</v>
      </c>
      <c r="AO1003" s="49">
        <v>-0.5</v>
      </c>
      <c r="AP1003" s="49"/>
      <c r="AR1003" s="127"/>
      <c r="BA1003" s="127"/>
    </row>
    <row r="1004">
      <c r="F1004" s="77"/>
      <c r="G1004" s="77"/>
      <c r="R1004" s="223"/>
      <c r="AL1004" s="49"/>
      <c r="AM1004" s="49"/>
      <c r="AN1004" s="49">
        <v>-0.5</v>
      </c>
      <c r="AO1004" s="49">
        <v>-0.5</v>
      </c>
      <c r="AP1004" s="49"/>
      <c r="AR1004" s="127"/>
      <c r="BA1004" s="127"/>
    </row>
    <row r="1005">
      <c r="F1005" s="77"/>
      <c r="G1005" s="77"/>
      <c r="R1005" s="223"/>
      <c r="AL1005" s="49"/>
      <c r="AM1005" s="49"/>
      <c r="AN1005" s="49">
        <v>-0.5</v>
      </c>
      <c r="AO1005" s="49">
        <v>-0.5</v>
      </c>
      <c r="AP1005" s="49"/>
      <c r="AR1005" s="127"/>
      <c r="BA1005" s="127"/>
    </row>
    <row r="1006">
      <c r="F1006" s="77"/>
      <c r="G1006" s="77"/>
      <c r="R1006" s="223"/>
      <c r="AL1006" s="49"/>
      <c r="AM1006" s="49"/>
      <c r="AN1006" s="49">
        <v>-0.5</v>
      </c>
      <c r="AO1006" s="49">
        <v>-0.5</v>
      </c>
      <c r="AP1006" s="49"/>
      <c r="AR1006" s="127"/>
      <c r="BA1006" s="127"/>
    </row>
    <row r="1007">
      <c r="F1007" s="77"/>
      <c r="G1007" s="77"/>
      <c r="R1007" s="223"/>
      <c r="AL1007" s="49"/>
      <c r="AM1007" s="49"/>
      <c r="AN1007" s="49">
        <v>-0.5</v>
      </c>
      <c r="AO1007" s="49">
        <v>-0.5</v>
      </c>
      <c r="AP1007" s="49"/>
      <c r="AR1007" s="127"/>
      <c r="BA1007" s="127"/>
    </row>
    <row r="1008">
      <c r="F1008" s="77"/>
      <c r="G1008" s="77"/>
      <c r="R1008" s="223"/>
      <c r="AL1008" s="49"/>
      <c r="AM1008" s="49"/>
      <c r="AN1008" s="49">
        <v>-0.5</v>
      </c>
      <c r="AO1008" s="49">
        <v>-0.5</v>
      </c>
      <c r="AP1008" s="49"/>
      <c r="AR1008" s="127"/>
      <c r="BA1008" s="127"/>
    </row>
    <row r="1009">
      <c r="F1009" s="77"/>
      <c r="G1009" s="77"/>
      <c r="R1009" s="223"/>
      <c r="AL1009" s="49"/>
      <c r="AM1009" s="49"/>
      <c r="AN1009" s="49">
        <v>-0.5</v>
      </c>
      <c r="AO1009" s="49">
        <v>-0.5</v>
      </c>
      <c r="AP1009" s="49"/>
      <c r="AR1009" s="127"/>
      <c r="BA1009" s="127"/>
    </row>
    <row r="1010">
      <c r="F1010" s="77"/>
      <c r="G1010" s="77"/>
      <c r="R1010" s="223"/>
      <c r="AL1010" s="49"/>
      <c r="AM1010" s="49"/>
      <c r="AN1010" s="49">
        <v>-0.5</v>
      </c>
      <c r="AO1010" s="49">
        <v>-0.5</v>
      </c>
      <c r="AP1010" s="49"/>
      <c r="AR1010" s="127"/>
      <c r="BA1010" s="127"/>
    </row>
    <row r="1011">
      <c r="F1011" s="77"/>
      <c r="G1011" s="77"/>
      <c r="R1011" s="223"/>
      <c r="AL1011" s="49"/>
      <c r="AM1011" s="49"/>
      <c r="AN1011" s="49">
        <v>-0.5</v>
      </c>
      <c r="AO1011" s="49">
        <v>-0.5</v>
      </c>
      <c r="AP1011" s="49"/>
      <c r="AR1011" s="127"/>
      <c r="BA1011" s="127"/>
    </row>
    <row r="1012">
      <c r="F1012" s="77"/>
      <c r="G1012" s="77"/>
      <c r="R1012" s="223"/>
      <c r="AL1012" s="49"/>
      <c r="AM1012" s="49"/>
      <c r="AN1012" s="49">
        <v>-0.5</v>
      </c>
      <c r="AO1012" s="49">
        <v>-0.5</v>
      </c>
      <c r="AP1012" s="49"/>
      <c r="AR1012" s="127"/>
      <c r="BA1012" s="127"/>
    </row>
    <row r="1013">
      <c r="F1013" s="77"/>
      <c r="G1013" s="77"/>
      <c r="R1013" s="223"/>
      <c r="AL1013" s="49"/>
      <c r="AM1013" s="49"/>
      <c r="AN1013" s="49">
        <v>-0.5</v>
      </c>
      <c r="AO1013" s="49">
        <v>-0.5</v>
      </c>
      <c r="AP1013" s="49"/>
      <c r="AR1013" s="127"/>
      <c r="BA1013" s="127"/>
    </row>
    <row r="1014">
      <c r="F1014" s="77"/>
      <c r="G1014" s="77"/>
      <c r="R1014" s="223"/>
      <c r="AL1014" s="49"/>
      <c r="AM1014" s="49"/>
      <c r="AN1014" s="49">
        <v>-0.5</v>
      </c>
      <c r="AO1014" s="49">
        <v>-0.5</v>
      </c>
      <c r="AP1014" s="49"/>
      <c r="AR1014" s="127"/>
      <c r="BA1014" s="127"/>
    </row>
    <row r="1015">
      <c r="F1015" s="77"/>
      <c r="G1015" s="77"/>
      <c r="R1015" s="223"/>
      <c r="AL1015" s="49"/>
      <c r="AM1015" s="49"/>
      <c r="AN1015" s="49">
        <v>-0.5</v>
      </c>
      <c r="AO1015" s="49">
        <v>-0.5</v>
      </c>
      <c r="AP1015" s="49"/>
      <c r="AR1015" s="127"/>
      <c r="BA1015" s="127"/>
    </row>
    <row r="1016">
      <c r="F1016" s="77"/>
      <c r="G1016" s="77"/>
      <c r="R1016" s="223"/>
      <c r="AL1016" s="49"/>
      <c r="AM1016" s="49"/>
      <c r="AN1016" s="49">
        <v>-0.5</v>
      </c>
      <c r="AO1016" s="49">
        <v>-0.5</v>
      </c>
      <c r="AP1016" s="49"/>
      <c r="AR1016" s="127"/>
      <c r="BA1016" s="127"/>
    </row>
    <row r="1017">
      <c r="F1017" s="77"/>
      <c r="G1017" s="77"/>
      <c r="R1017" s="223"/>
      <c r="AL1017" s="49"/>
      <c r="AM1017" s="49"/>
      <c r="AN1017" s="49">
        <v>-0.5</v>
      </c>
      <c r="AO1017" s="49">
        <v>-0.5</v>
      </c>
      <c r="AP1017" s="49"/>
      <c r="AR1017" s="127"/>
      <c r="BA1017" s="127"/>
    </row>
    <row r="1018">
      <c r="F1018" s="77"/>
      <c r="G1018" s="77"/>
      <c r="R1018" s="223"/>
      <c r="AL1018" s="49"/>
      <c r="AM1018" s="49"/>
      <c r="AN1018" s="49">
        <v>-0.5</v>
      </c>
      <c r="AO1018" s="49">
        <v>-0.5</v>
      </c>
      <c r="AP1018" s="49"/>
      <c r="AR1018" s="127"/>
      <c r="BA1018" s="127"/>
    </row>
    <row r="1019">
      <c r="F1019" s="77"/>
      <c r="G1019" s="77"/>
      <c r="R1019" s="223"/>
      <c r="AL1019" s="49"/>
      <c r="AM1019" s="49"/>
      <c r="AN1019" s="49">
        <v>-0.5</v>
      </c>
      <c r="AO1019" s="49">
        <v>-0.5</v>
      </c>
      <c r="AP1019" s="49"/>
      <c r="AR1019" s="127"/>
      <c r="BA1019" s="127"/>
    </row>
    <row r="1020">
      <c r="F1020" s="77"/>
      <c r="G1020" s="77"/>
      <c r="R1020" s="223"/>
      <c r="AL1020" s="49"/>
      <c r="AM1020" s="49"/>
      <c r="AN1020" s="49">
        <v>-0.5</v>
      </c>
      <c r="AO1020" s="49">
        <v>-0.5</v>
      </c>
      <c r="AP1020" s="49"/>
      <c r="AR1020" s="127"/>
      <c r="BA1020" s="127"/>
    </row>
    <row r="1021">
      <c r="F1021" s="77"/>
      <c r="G1021" s="77"/>
      <c r="R1021" s="223"/>
      <c r="AL1021" s="49"/>
      <c r="AM1021" s="49"/>
      <c r="AN1021" s="49">
        <v>-0.5</v>
      </c>
      <c r="AO1021" s="49">
        <v>-0.5</v>
      </c>
      <c r="AP1021" s="49"/>
      <c r="AR1021" s="127"/>
      <c r="BA1021" s="127"/>
    </row>
    <row r="1022">
      <c r="F1022" s="77"/>
      <c r="G1022" s="77"/>
      <c r="R1022" s="223"/>
      <c r="AL1022" s="49"/>
      <c r="AM1022" s="49"/>
      <c r="AN1022" s="49">
        <v>-0.5</v>
      </c>
      <c r="AO1022" s="49">
        <v>-0.5</v>
      </c>
      <c r="AP1022" s="49"/>
      <c r="AR1022" s="127"/>
      <c r="BA1022" s="127"/>
    </row>
    <row r="1023">
      <c r="F1023" s="77"/>
      <c r="G1023" s="77"/>
      <c r="R1023" s="223"/>
      <c r="AL1023" s="49"/>
      <c r="AM1023" s="49"/>
      <c r="AN1023" s="49">
        <v>-0.5</v>
      </c>
      <c r="AO1023" s="49">
        <v>-0.5</v>
      </c>
      <c r="AP1023" s="49"/>
      <c r="AR1023" s="127"/>
      <c r="BA1023" s="127"/>
    </row>
    <row r="1024">
      <c r="F1024" s="77"/>
      <c r="G1024" s="77"/>
      <c r="R1024" s="223"/>
      <c r="AL1024" s="49"/>
      <c r="AM1024" s="49"/>
      <c r="AN1024" s="49">
        <v>-0.5</v>
      </c>
      <c r="AO1024" s="49">
        <v>-0.5</v>
      </c>
      <c r="AP1024" s="49"/>
      <c r="AR1024" s="127"/>
      <c r="BA1024" s="127"/>
    </row>
    <row r="1025">
      <c r="F1025" s="77"/>
      <c r="G1025" s="77"/>
      <c r="R1025" s="223"/>
      <c r="AL1025" s="49"/>
      <c r="AM1025" s="49"/>
      <c r="AN1025" s="49">
        <v>-0.5</v>
      </c>
      <c r="AO1025" s="49">
        <v>-0.5</v>
      </c>
      <c r="AP1025" s="49"/>
      <c r="AR1025" s="127"/>
      <c r="BA1025" s="127"/>
    </row>
    <row r="1026">
      <c r="F1026" s="77"/>
      <c r="G1026" s="77"/>
      <c r="R1026" s="223"/>
      <c r="AL1026" s="49"/>
      <c r="AM1026" s="49"/>
      <c r="AN1026" s="49">
        <v>-0.5</v>
      </c>
      <c r="AO1026" s="49">
        <v>-0.5</v>
      </c>
      <c r="AP1026" s="49"/>
      <c r="AR1026" s="127"/>
      <c r="BA1026" s="127"/>
    </row>
    <row r="1027">
      <c r="F1027" s="77"/>
      <c r="G1027" s="77"/>
      <c r="R1027" s="223"/>
      <c r="AL1027" s="49"/>
      <c r="AM1027" s="49"/>
      <c r="AN1027" s="49">
        <v>-0.5</v>
      </c>
      <c r="AO1027" s="49">
        <v>-0.5</v>
      </c>
      <c r="AP1027" s="49"/>
      <c r="AR1027" s="127"/>
      <c r="BA1027" s="127"/>
    </row>
    <row r="1028">
      <c r="F1028" s="77"/>
      <c r="G1028" s="77"/>
      <c r="R1028" s="223"/>
      <c r="AL1028" s="49"/>
      <c r="AM1028" s="49"/>
      <c r="AN1028" s="49">
        <v>-0.5</v>
      </c>
      <c r="AO1028" s="49">
        <v>-0.5</v>
      </c>
      <c r="AP1028" s="49"/>
      <c r="AR1028" s="127"/>
      <c r="BA1028" s="127"/>
    </row>
    <row r="1029">
      <c r="F1029" s="77"/>
      <c r="G1029" s="77"/>
      <c r="R1029" s="223"/>
      <c r="AL1029" s="49"/>
      <c r="AM1029" s="49"/>
      <c r="AN1029" s="49">
        <v>-0.5</v>
      </c>
      <c r="AO1029" s="49">
        <v>-0.5</v>
      </c>
      <c r="AP1029" s="49"/>
      <c r="AR1029" s="127"/>
      <c r="BA1029" s="127"/>
    </row>
    <row r="1030">
      <c r="F1030" s="77"/>
      <c r="G1030" s="77"/>
      <c r="R1030" s="223"/>
      <c r="AL1030" s="49"/>
      <c r="AM1030" s="49"/>
      <c r="AN1030" s="49">
        <v>-0.5</v>
      </c>
      <c r="AO1030" s="49">
        <v>-0.5</v>
      </c>
      <c r="AP1030" s="49"/>
      <c r="AR1030" s="127"/>
      <c r="BA1030" s="1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</cols>
  <sheetData>
    <row r="1">
      <c r="A1" s="224" t="s">
        <v>259</v>
      </c>
      <c r="F1" s="225"/>
      <c r="G1" s="224" t="s">
        <v>41</v>
      </c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</row>
    <row r="2">
      <c r="F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</row>
    <row r="3">
      <c r="A3" s="226" t="s">
        <v>260</v>
      </c>
      <c r="B3" s="226" t="s">
        <v>261</v>
      </c>
      <c r="C3" s="226" t="s">
        <v>262</v>
      </c>
      <c r="D3" s="226" t="s">
        <v>263</v>
      </c>
      <c r="E3" s="226" t="s">
        <v>264</v>
      </c>
      <c r="F3" s="226"/>
      <c r="G3" s="226" t="s">
        <v>265</v>
      </c>
      <c r="H3" s="226" t="s">
        <v>266</v>
      </c>
      <c r="I3" s="226" t="s">
        <v>267</v>
      </c>
      <c r="J3" s="226" t="s">
        <v>268</v>
      </c>
      <c r="K3" s="226" t="s">
        <v>269</v>
      </c>
      <c r="L3" s="226" t="s">
        <v>270</v>
      </c>
      <c r="M3" s="226" t="s">
        <v>271</v>
      </c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</row>
    <row r="4">
      <c r="A4" s="227">
        <v>1.0</v>
      </c>
      <c r="B4" s="227">
        <f>A4*(0.001/1)</f>
        <v>0.001</v>
      </c>
      <c r="C4" s="227">
        <f>A4*(0.000035274/1)</f>
        <v>0.000035274</v>
      </c>
      <c r="D4" s="227">
        <f>A4*(0.0000022046/1)</f>
        <v>0.0000022046</v>
      </c>
      <c r="E4" s="227">
        <f>A4*(0.000001/1)</f>
        <v>0.000001</v>
      </c>
      <c r="F4" s="226"/>
      <c r="G4" s="228">
        <v>1.0</v>
      </c>
      <c r="H4" s="227">
        <f>G4*(0.1/1)</f>
        <v>0.1</v>
      </c>
      <c r="I4" s="227">
        <f>G4*(0.0393701/1)</f>
        <v>0.0393701</v>
      </c>
      <c r="J4" s="227">
        <f>G4*(0.00328084/1)</f>
        <v>0.00328084</v>
      </c>
      <c r="K4" s="227">
        <f>G4*(0.00109361/1)</f>
        <v>0.00109361</v>
      </c>
      <c r="L4" s="227">
        <f>G4*(0.001/1)</f>
        <v>0.001</v>
      </c>
      <c r="M4" s="227">
        <f>G4*(0.00000062137/1)</f>
        <v>0.00000062137</v>
      </c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</row>
    <row r="5">
      <c r="A5" s="226"/>
      <c r="B5" s="226"/>
      <c r="C5" s="226"/>
      <c r="D5" s="226"/>
      <c r="E5" s="226"/>
      <c r="F5" s="225"/>
      <c r="G5" s="226"/>
      <c r="H5" s="226"/>
      <c r="I5" s="226"/>
      <c r="J5" s="226"/>
      <c r="K5" s="226"/>
      <c r="L5" s="226"/>
      <c r="M5" s="226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</row>
    <row r="6">
      <c r="A6" s="226" t="s">
        <v>261</v>
      </c>
      <c r="B6" s="226" t="s">
        <v>272</v>
      </c>
      <c r="C6" s="226" t="s">
        <v>262</v>
      </c>
      <c r="D6" s="226" t="s">
        <v>263</v>
      </c>
      <c r="E6" s="226" t="s">
        <v>264</v>
      </c>
      <c r="F6" s="226"/>
      <c r="G6" s="226" t="s">
        <v>266</v>
      </c>
      <c r="H6" s="226" t="s">
        <v>265</v>
      </c>
      <c r="I6" s="226" t="s">
        <v>267</v>
      </c>
      <c r="J6" s="226" t="s">
        <v>268</v>
      </c>
      <c r="K6" s="226" t="s">
        <v>269</v>
      </c>
      <c r="L6" s="226" t="s">
        <v>270</v>
      </c>
      <c r="M6" s="226" t="s">
        <v>271</v>
      </c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</row>
    <row r="7">
      <c r="A7" s="227">
        <v>1.0</v>
      </c>
      <c r="B7" s="227">
        <f>A7*(1000/1)</f>
        <v>1000</v>
      </c>
      <c r="C7" s="227">
        <f>A7*(0.035274/1)</f>
        <v>0.035274</v>
      </c>
      <c r="D7" s="227">
        <f>A7*(0.00220462/1)</f>
        <v>0.00220462</v>
      </c>
      <c r="E7" s="227">
        <f>A7*(0.001/1)</f>
        <v>0.001</v>
      </c>
      <c r="F7" s="226"/>
      <c r="G7" s="227">
        <v>1.0</v>
      </c>
      <c r="H7" s="227">
        <f>G7*(10/1)</f>
        <v>10</v>
      </c>
      <c r="I7" s="227">
        <f>G7*(0.393701/1)</f>
        <v>0.393701</v>
      </c>
      <c r="J7" s="227">
        <f>G7*(0.0328084/1)</f>
        <v>0.0328084</v>
      </c>
      <c r="K7" s="227">
        <f>G7*(0.0109361/1)</f>
        <v>0.0109361</v>
      </c>
      <c r="L7" s="227">
        <f>G7*(0.01/1)</f>
        <v>0.01</v>
      </c>
      <c r="M7" s="227">
        <f>G7*(0.0000062137/1)</f>
        <v>0.0000062137</v>
      </c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</row>
    <row r="8">
      <c r="A8" s="226"/>
      <c r="B8" s="226"/>
      <c r="C8" s="226"/>
      <c r="D8" s="226"/>
      <c r="E8" s="226"/>
      <c r="F8" s="225"/>
      <c r="G8" s="226"/>
      <c r="H8" s="226"/>
      <c r="I8" s="226"/>
      <c r="J8" s="226"/>
      <c r="K8" s="226"/>
      <c r="L8" s="226"/>
      <c r="M8" s="226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</row>
    <row r="9">
      <c r="A9" s="226" t="s">
        <v>273</v>
      </c>
      <c r="B9" s="226" t="s">
        <v>260</v>
      </c>
      <c r="C9" s="226" t="s">
        <v>261</v>
      </c>
      <c r="D9" s="226" t="s">
        <v>263</v>
      </c>
      <c r="E9" s="226" t="s">
        <v>274</v>
      </c>
      <c r="F9" s="226"/>
      <c r="G9" s="226" t="s">
        <v>267</v>
      </c>
      <c r="H9" s="226" t="s">
        <v>265</v>
      </c>
      <c r="I9" s="226" t="s">
        <v>266</v>
      </c>
      <c r="J9" s="226" t="s">
        <v>268</v>
      </c>
      <c r="K9" s="226" t="s">
        <v>269</v>
      </c>
      <c r="L9" s="226" t="s">
        <v>270</v>
      </c>
      <c r="M9" s="226" t="s">
        <v>271</v>
      </c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</row>
    <row r="10">
      <c r="A10" s="227">
        <v>1.0</v>
      </c>
      <c r="B10" s="227">
        <f>A10*(28349.5/1)</f>
        <v>28349.5</v>
      </c>
      <c r="C10" s="227">
        <f>A10*(1000/1)</f>
        <v>1000</v>
      </c>
      <c r="D10" s="227">
        <f>A10*(0.0625/1)</f>
        <v>0.0625</v>
      </c>
      <c r="E10" s="227">
        <f>A10*(0.0283495/1)</f>
        <v>0.0283495</v>
      </c>
      <c r="F10" s="226"/>
      <c r="G10" s="227">
        <v>1.0</v>
      </c>
      <c r="H10" s="227">
        <f>G10*(25.4/1)</f>
        <v>25.4</v>
      </c>
      <c r="I10" s="227">
        <f>G10*(2.54/1)</f>
        <v>2.54</v>
      </c>
      <c r="J10" s="227">
        <f>G10*(0.0833333/1)</f>
        <v>0.0833333</v>
      </c>
      <c r="K10" s="227">
        <f>G10*(0.0833333/1)</f>
        <v>0.0833333</v>
      </c>
      <c r="L10" s="227">
        <f>G10*(0.0254/1)</f>
        <v>0.0254</v>
      </c>
      <c r="M10" s="227">
        <f>G10*(0.000015783/1)</f>
        <v>0.000015783</v>
      </c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</row>
    <row r="11">
      <c r="A11" s="226"/>
      <c r="B11" s="226"/>
      <c r="C11" s="226"/>
      <c r="D11" s="226"/>
      <c r="E11" s="226"/>
      <c r="F11" s="225"/>
      <c r="G11" s="226"/>
      <c r="H11" s="226"/>
      <c r="I11" s="226"/>
      <c r="J11" s="226"/>
      <c r="K11" s="226"/>
      <c r="L11" s="226"/>
      <c r="M11" s="226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</row>
    <row r="12">
      <c r="A12" s="226" t="s">
        <v>263</v>
      </c>
      <c r="B12" s="226" t="s">
        <v>260</v>
      </c>
      <c r="C12" s="226" t="s">
        <v>261</v>
      </c>
      <c r="D12" s="226" t="s">
        <v>262</v>
      </c>
      <c r="E12" s="226" t="s">
        <v>264</v>
      </c>
      <c r="F12" s="226"/>
      <c r="G12" s="226" t="s">
        <v>268</v>
      </c>
      <c r="H12" s="226" t="s">
        <v>265</v>
      </c>
      <c r="I12" s="226" t="s">
        <v>266</v>
      </c>
      <c r="J12" s="226" t="s">
        <v>267</v>
      </c>
      <c r="K12" s="226" t="s">
        <v>269</v>
      </c>
      <c r="L12" s="226" t="s">
        <v>270</v>
      </c>
      <c r="M12" s="226" t="s">
        <v>271</v>
      </c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</row>
    <row r="13">
      <c r="A13" s="227">
        <v>1.0</v>
      </c>
      <c r="B13" s="227">
        <f>A13*(453592/1)</f>
        <v>453592</v>
      </c>
      <c r="C13" s="227">
        <f>A13*(453.592/1)</f>
        <v>453.592</v>
      </c>
      <c r="D13" s="227">
        <f>A13*(16/1)</f>
        <v>16</v>
      </c>
      <c r="E13" s="227">
        <f>A13*(0.453592/1)</f>
        <v>0.453592</v>
      </c>
      <c r="F13" s="226"/>
      <c r="G13" s="227">
        <v>1.0</v>
      </c>
      <c r="H13" s="227">
        <f>G13*(304.8/1)</f>
        <v>304.8</v>
      </c>
      <c r="I13" s="227">
        <f>G13*(30.48/1)</f>
        <v>30.48</v>
      </c>
      <c r="J13" s="227">
        <f>G13*(12/1)</f>
        <v>12</v>
      </c>
      <c r="K13" s="227">
        <f>G13*(0.333333/1)</f>
        <v>0.333333</v>
      </c>
      <c r="L13" s="227">
        <f>G13*(0.3048/1)</f>
        <v>0.3048</v>
      </c>
      <c r="M13" s="227">
        <f>G13*(0.000189394/1)</f>
        <v>0.000189394</v>
      </c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</row>
    <row r="14">
      <c r="A14" s="226"/>
      <c r="B14" s="226"/>
      <c r="C14" s="226"/>
      <c r="D14" s="226"/>
      <c r="E14" s="226"/>
      <c r="F14" s="225"/>
      <c r="G14" s="226"/>
      <c r="H14" s="226"/>
      <c r="I14" s="226"/>
      <c r="J14" s="226"/>
      <c r="K14" s="226"/>
      <c r="L14" s="226"/>
      <c r="M14" s="226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</row>
    <row r="15">
      <c r="A15" s="226" t="s">
        <v>264</v>
      </c>
      <c r="B15" s="226" t="s">
        <v>260</v>
      </c>
      <c r="C15" s="226" t="s">
        <v>261</v>
      </c>
      <c r="D15" s="226" t="s">
        <v>262</v>
      </c>
      <c r="E15" s="226" t="s">
        <v>263</v>
      </c>
      <c r="F15" s="226"/>
      <c r="G15" s="226" t="s">
        <v>269</v>
      </c>
      <c r="H15" s="226" t="s">
        <v>265</v>
      </c>
      <c r="I15" s="226" t="s">
        <v>266</v>
      </c>
      <c r="J15" s="226" t="s">
        <v>267</v>
      </c>
      <c r="K15" s="226" t="s">
        <v>268</v>
      </c>
      <c r="L15" s="226" t="s">
        <v>270</v>
      </c>
      <c r="M15" s="226" t="s">
        <v>271</v>
      </c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</row>
    <row r="16">
      <c r="A16" s="227">
        <v>1.0</v>
      </c>
      <c r="B16" s="227">
        <f>A16*(1000000/1)</f>
        <v>1000000</v>
      </c>
      <c r="C16" s="227">
        <f>A16*(1000/1)</f>
        <v>1000</v>
      </c>
      <c r="D16" s="227">
        <f>A16*(35.274/1)</f>
        <v>35.274</v>
      </c>
      <c r="E16" s="227">
        <f>A16*(2.20462/1)</f>
        <v>2.20462</v>
      </c>
      <c r="F16" s="226"/>
      <c r="G16" s="227">
        <v>1.0</v>
      </c>
      <c r="H16" s="227">
        <f>G16*(914.4/1)</f>
        <v>914.4</v>
      </c>
      <c r="I16" s="227">
        <f>G16*(91.44/1)</f>
        <v>91.44</v>
      </c>
      <c r="J16" s="227">
        <f>G16*(36/1)</f>
        <v>36</v>
      </c>
      <c r="K16" s="227">
        <f>G16*(3/1)</f>
        <v>3</v>
      </c>
      <c r="L16" s="227">
        <f>G16*(0.9144/1)</f>
        <v>0.9144</v>
      </c>
      <c r="M16" s="227">
        <f>G16*(0.000568182/1)</f>
        <v>0.000568182</v>
      </c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</row>
    <row r="17">
      <c r="A17" s="225"/>
      <c r="B17" s="225"/>
      <c r="C17" s="225"/>
      <c r="D17" s="225"/>
      <c r="E17" s="225"/>
      <c r="F17" s="225"/>
      <c r="G17" s="226"/>
      <c r="H17" s="226"/>
      <c r="I17" s="226"/>
      <c r="J17" s="225"/>
      <c r="K17" s="226"/>
      <c r="L17" s="226"/>
      <c r="M17" s="226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</row>
    <row r="18">
      <c r="A18" s="225"/>
      <c r="B18" s="225"/>
      <c r="C18" s="225"/>
      <c r="D18" s="225"/>
      <c r="E18" s="225"/>
      <c r="F18" s="226"/>
      <c r="G18" s="226" t="s">
        <v>270</v>
      </c>
      <c r="H18" s="226" t="s">
        <v>265</v>
      </c>
      <c r="I18" s="226" t="s">
        <v>266</v>
      </c>
      <c r="J18" s="229" t="s">
        <v>267</v>
      </c>
      <c r="K18" s="226" t="s">
        <v>268</v>
      </c>
      <c r="L18" s="226" t="s">
        <v>269</v>
      </c>
      <c r="M18" s="226" t="s">
        <v>271</v>
      </c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</row>
    <row r="19">
      <c r="A19" s="225"/>
      <c r="B19" s="225"/>
      <c r="C19" s="225"/>
      <c r="D19" s="225"/>
      <c r="E19" s="225"/>
      <c r="F19" s="226"/>
      <c r="G19" s="227">
        <v>1.0</v>
      </c>
      <c r="H19" s="227">
        <f>G19*(1000/1)</f>
        <v>1000</v>
      </c>
      <c r="I19" s="227">
        <f>G19*(100/1)</f>
        <v>100</v>
      </c>
      <c r="J19" s="227">
        <f>G19*(39.3701/1)</f>
        <v>39.3701</v>
      </c>
      <c r="K19" s="227">
        <f>G19*(3.28084/1)</f>
        <v>3.28084</v>
      </c>
      <c r="L19" s="227">
        <f>G19*(1.09361/1)</f>
        <v>1.09361</v>
      </c>
      <c r="M19" s="227">
        <f>G19*(0.000621371/1)</f>
        <v>0.000621371</v>
      </c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</row>
    <row r="20">
      <c r="A20" s="225"/>
      <c r="B20" s="225"/>
      <c r="C20" s="225"/>
      <c r="D20" s="225"/>
      <c r="E20" s="225"/>
      <c r="F20" s="225"/>
      <c r="G20" s="226"/>
      <c r="H20" s="226"/>
      <c r="I20" s="225"/>
      <c r="J20" s="226"/>
      <c r="K20" s="226"/>
      <c r="L20" s="226"/>
      <c r="M20" s="226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</row>
    <row r="21">
      <c r="A21" s="225"/>
      <c r="B21" s="225"/>
      <c r="C21" s="225"/>
      <c r="D21" s="225"/>
      <c r="E21" s="225"/>
      <c r="F21" s="226"/>
      <c r="G21" s="226" t="s">
        <v>271</v>
      </c>
      <c r="H21" s="226" t="s">
        <v>265</v>
      </c>
      <c r="I21" s="229" t="s">
        <v>266</v>
      </c>
      <c r="J21" s="226" t="s">
        <v>267</v>
      </c>
      <c r="K21" s="226" t="s">
        <v>268</v>
      </c>
      <c r="L21" s="226" t="s">
        <v>269</v>
      </c>
      <c r="M21" s="226" t="s">
        <v>270</v>
      </c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</row>
    <row r="22">
      <c r="A22" s="225"/>
      <c r="B22" s="225"/>
      <c r="C22" s="225"/>
      <c r="D22" s="225"/>
      <c r="E22" s="225"/>
      <c r="F22" s="226"/>
      <c r="G22" s="227">
        <v>1.0</v>
      </c>
      <c r="H22" s="227">
        <f>G22*(1609000/1)</f>
        <v>1609000</v>
      </c>
      <c r="I22" s="227">
        <f>G22*(160934/1)</f>
        <v>160934</v>
      </c>
      <c r="J22" s="227">
        <f>G22*(63360/1)</f>
        <v>63360</v>
      </c>
      <c r="K22" s="227">
        <f>G22*(5280/1)</f>
        <v>5280</v>
      </c>
      <c r="L22" s="227">
        <f>G22*(1760/1)</f>
        <v>1760</v>
      </c>
      <c r="M22" s="227">
        <f>G22*(1609.34/1)</f>
        <v>1609.34</v>
      </c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</row>
    <row r="23">
      <c r="A23" s="22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</row>
    <row r="24">
      <c r="A24" s="225"/>
      <c r="B24" s="225"/>
      <c r="C24" s="225"/>
      <c r="D24" s="225"/>
      <c r="E24" s="225"/>
      <c r="F24" s="225" t="str">
        <f>I36</f>
        <v>Millimeters</v>
      </c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</row>
    <row r="25">
      <c r="A25" s="225"/>
      <c r="B25" s="225"/>
      <c r="C25" s="225"/>
      <c r="D25" s="225"/>
      <c r="E25" s="225"/>
      <c r="F25" s="35" t="str">
        <f>Box!H8</f>
        <v>#REF!</v>
      </c>
      <c r="G25" s="33" t="str">
        <f>IF(F25="","","and N = '"&amp;F25&amp;"'")</f>
        <v>#REF!</v>
      </c>
      <c r="H25" s="33" t="str">
        <f>IF(F24="","","and M = '"&amp;F24&amp;"'")</f>
        <v>and M = 'Millimeters'</v>
      </c>
      <c r="I25" s="225"/>
      <c r="J25" s="225"/>
      <c r="K25" s="35" t="s">
        <v>266</v>
      </c>
      <c r="L25" s="230">
        <f>G7</f>
        <v>1</v>
      </c>
      <c r="M25" s="225" t="s">
        <v>266</v>
      </c>
      <c r="N25" s="225" t="s">
        <v>265</v>
      </c>
      <c r="O25" s="225">
        <f t="shared" ref="O25:O31" si="1">L32</f>
        <v>1</v>
      </c>
      <c r="P25" s="225" t="s">
        <v>265</v>
      </c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</row>
    <row r="26">
      <c r="A26" s="225"/>
      <c r="B26" s="225"/>
      <c r="C26" s="225"/>
      <c r="D26" s="225"/>
      <c r="E26" s="225"/>
      <c r="F26" s="225"/>
      <c r="G26" s="33" t="str">
        <f>CONCATENATE("select * where 1=1",G25,H25)</f>
        <v>#REF!</v>
      </c>
      <c r="H26" s="225"/>
      <c r="I26" s="225"/>
      <c r="J26" s="225"/>
      <c r="K26" s="35" t="s">
        <v>266</v>
      </c>
      <c r="L26" s="230">
        <f>H7</f>
        <v>10</v>
      </c>
      <c r="M26" s="225" t="s">
        <v>265</v>
      </c>
      <c r="N26" s="225" t="s">
        <v>265</v>
      </c>
      <c r="O26" s="225">
        <f t="shared" si="1"/>
        <v>0.1</v>
      </c>
      <c r="P26" s="225" t="s">
        <v>266</v>
      </c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</row>
    <row r="27">
      <c r="A27" s="225"/>
      <c r="B27" s="225"/>
      <c r="C27" s="225"/>
      <c r="D27" s="225"/>
      <c r="E27" s="225"/>
      <c r="F27" s="225"/>
      <c r="G27" s="225"/>
      <c r="H27" s="225"/>
      <c r="I27" s="225"/>
      <c r="J27" s="225"/>
      <c r="K27" s="35" t="s">
        <v>266</v>
      </c>
      <c r="L27" s="230">
        <f>I7</f>
        <v>0.393701</v>
      </c>
      <c r="M27" s="225" t="s">
        <v>267</v>
      </c>
      <c r="N27" s="225" t="s">
        <v>265</v>
      </c>
      <c r="O27" s="225">
        <f t="shared" si="1"/>
        <v>0.0393701</v>
      </c>
      <c r="P27" s="225" t="s">
        <v>267</v>
      </c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</row>
    <row r="28">
      <c r="A28" s="225"/>
      <c r="B28" s="225"/>
      <c r="C28" s="225"/>
      <c r="D28" s="225"/>
      <c r="E28" s="225"/>
      <c r="F28" s="225"/>
      <c r="G28" s="33" t="str">
        <f>IFERROR(__xludf.DUMMYFUNCTION("QUERY(N25:P73,G26)"),"#REF!")</f>
        <v>#REF!</v>
      </c>
      <c r="H28" s="225"/>
      <c r="I28" s="225"/>
      <c r="J28" s="225"/>
      <c r="K28" s="35" t="s">
        <v>266</v>
      </c>
      <c r="L28" s="225">
        <f>J7</f>
        <v>0.0328084</v>
      </c>
      <c r="M28" s="225" t="s">
        <v>268</v>
      </c>
      <c r="N28" s="225" t="s">
        <v>265</v>
      </c>
      <c r="O28" s="225">
        <f t="shared" si="1"/>
        <v>0.0328084</v>
      </c>
      <c r="P28" s="225" t="s">
        <v>268</v>
      </c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</row>
    <row r="29">
      <c r="A29" s="225"/>
      <c r="B29" s="225"/>
      <c r="C29" s="225"/>
      <c r="D29" s="225"/>
      <c r="E29" s="225"/>
      <c r="F29" s="225"/>
      <c r="G29" s="225"/>
      <c r="H29" s="225"/>
      <c r="I29" s="225"/>
      <c r="J29" s="225"/>
      <c r="K29" s="35" t="s">
        <v>266</v>
      </c>
      <c r="L29" s="230">
        <f>K7</f>
        <v>0.0109361</v>
      </c>
      <c r="M29" s="225" t="s">
        <v>269</v>
      </c>
      <c r="N29" s="225" t="s">
        <v>265</v>
      </c>
      <c r="O29" s="225">
        <f t="shared" si="1"/>
        <v>0.00109361</v>
      </c>
      <c r="P29" s="225" t="s">
        <v>269</v>
      </c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</row>
    <row r="30">
      <c r="A30" s="225"/>
      <c r="B30" s="225"/>
      <c r="C30" s="225"/>
      <c r="D30" s="225"/>
      <c r="E30" s="225"/>
      <c r="F30" s="225"/>
      <c r="G30" s="225"/>
      <c r="H30" s="225"/>
      <c r="I30" s="225"/>
      <c r="J30" s="225"/>
      <c r="K30" s="35" t="s">
        <v>266</v>
      </c>
      <c r="L30" s="225">
        <f>L7</f>
        <v>0.01</v>
      </c>
      <c r="M30" s="225" t="s">
        <v>270</v>
      </c>
      <c r="N30" s="225" t="s">
        <v>265</v>
      </c>
      <c r="O30" s="225">
        <f t="shared" si="1"/>
        <v>0.001</v>
      </c>
      <c r="P30" s="225" t="s">
        <v>270</v>
      </c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</row>
    <row r="31">
      <c r="A31" s="225"/>
      <c r="B31" s="225"/>
      <c r="C31" s="225"/>
      <c r="D31" s="225"/>
      <c r="E31" s="225"/>
      <c r="F31" s="225"/>
      <c r="G31" s="225"/>
      <c r="H31" s="225"/>
      <c r="I31" s="225"/>
      <c r="J31" s="225"/>
      <c r="K31" s="35" t="s">
        <v>266</v>
      </c>
      <c r="L31" s="225">
        <f>M7</f>
        <v>0.0000062137</v>
      </c>
      <c r="M31" s="225" t="s">
        <v>271</v>
      </c>
      <c r="N31" s="225" t="s">
        <v>265</v>
      </c>
      <c r="O31" s="225">
        <f t="shared" si="1"/>
        <v>0.00000062137</v>
      </c>
      <c r="P31" s="225" t="s">
        <v>271</v>
      </c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</row>
    <row r="32">
      <c r="A32" s="225"/>
      <c r="B32" s="225"/>
      <c r="C32" s="225"/>
      <c r="D32" s="225"/>
      <c r="E32" s="225"/>
      <c r="F32" s="225"/>
      <c r="G32" s="225"/>
      <c r="H32" s="225"/>
      <c r="I32" s="225"/>
      <c r="J32" s="225"/>
      <c r="K32" s="225" t="s">
        <v>265</v>
      </c>
      <c r="L32" s="225">
        <f>G4</f>
        <v>1</v>
      </c>
      <c r="M32" s="225" t="s">
        <v>265</v>
      </c>
      <c r="N32" s="35" t="s">
        <v>266</v>
      </c>
      <c r="O32" s="225">
        <f>L26</f>
        <v>10</v>
      </c>
      <c r="P32" s="225" t="s">
        <v>265</v>
      </c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</row>
    <row r="33">
      <c r="A33" s="225"/>
      <c r="B33" s="225"/>
      <c r="C33" s="225"/>
      <c r="D33" s="225"/>
      <c r="E33" s="225"/>
      <c r="F33" s="225"/>
      <c r="G33" s="225"/>
      <c r="H33" s="225"/>
      <c r="I33" s="225"/>
      <c r="J33" s="225"/>
      <c r="K33" s="225" t="s">
        <v>265</v>
      </c>
      <c r="L33" s="225">
        <f>H4</f>
        <v>0.1</v>
      </c>
      <c r="M33" s="225" t="s">
        <v>266</v>
      </c>
      <c r="N33" s="35" t="s">
        <v>266</v>
      </c>
      <c r="O33" s="225">
        <f>L25</f>
        <v>1</v>
      </c>
      <c r="P33" s="225" t="s">
        <v>266</v>
      </c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</row>
    <row r="34">
      <c r="A34" s="225"/>
      <c r="B34" s="225"/>
      <c r="C34" s="225"/>
      <c r="D34" s="225"/>
      <c r="E34" s="225"/>
      <c r="F34" s="225"/>
      <c r="G34" s="225"/>
      <c r="H34" s="225"/>
      <c r="I34" s="225"/>
      <c r="J34" s="225"/>
      <c r="K34" s="225" t="s">
        <v>265</v>
      </c>
      <c r="L34" s="225">
        <f>I4</f>
        <v>0.0393701</v>
      </c>
      <c r="M34" s="225" t="s">
        <v>267</v>
      </c>
      <c r="N34" s="35" t="s">
        <v>266</v>
      </c>
      <c r="O34" s="225">
        <f t="shared" ref="O34:O38" si="2">L27</f>
        <v>0.393701</v>
      </c>
      <c r="P34" s="225" t="s">
        <v>267</v>
      </c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</row>
    <row r="35">
      <c r="A35" s="225"/>
      <c r="B35" s="225"/>
      <c r="C35" s="225"/>
      <c r="D35" s="225"/>
      <c r="E35" s="33"/>
      <c r="F35" s="33" t="str">
        <f>IFERROR(__xludf.DUMMYFUNCTION("SPLIT(Quotation!C17,""*"")"),"#VALUE!")</f>
        <v>#VALUE!</v>
      </c>
      <c r="G35" s="225"/>
      <c r="H35" s="225"/>
      <c r="I35" s="225"/>
      <c r="J35" s="225"/>
      <c r="K35" s="225" t="s">
        <v>265</v>
      </c>
      <c r="L35" s="225">
        <f>J7</f>
        <v>0.0328084</v>
      </c>
      <c r="M35" s="225" t="s">
        <v>268</v>
      </c>
      <c r="N35" s="35" t="s">
        <v>266</v>
      </c>
      <c r="O35" s="225">
        <f t="shared" si="2"/>
        <v>0.0328084</v>
      </c>
      <c r="P35" s="225" t="s">
        <v>268</v>
      </c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</row>
    <row r="36">
      <c r="A36" s="225"/>
      <c r="B36" s="225"/>
      <c r="C36" s="225"/>
      <c r="D36" s="225"/>
      <c r="E36" s="225"/>
      <c r="F36" s="225" t="str">
        <f>ifna(F35*H28,"")</f>
        <v>#VALUE!</v>
      </c>
      <c r="G36" s="225">
        <f t="shared" ref="G36:G42" si="3">$G$35*H28</f>
        <v>0</v>
      </c>
      <c r="H36" s="225">
        <f t="shared" ref="H36:H42" si="4">$H$35*H28</f>
        <v>0</v>
      </c>
      <c r="I36" s="225" t="s">
        <v>265</v>
      </c>
      <c r="J36" s="225"/>
      <c r="K36" s="225" t="s">
        <v>265</v>
      </c>
      <c r="L36" s="225">
        <f>K4</f>
        <v>0.00109361</v>
      </c>
      <c r="M36" s="225" t="s">
        <v>269</v>
      </c>
      <c r="N36" s="35" t="s">
        <v>266</v>
      </c>
      <c r="O36" s="225">
        <f t="shared" si="2"/>
        <v>0.0109361</v>
      </c>
      <c r="P36" s="225" t="s">
        <v>269</v>
      </c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</row>
    <row r="37">
      <c r="A37" s="225"/>
      <c r="B37" s="225"/>
      <c r="C37" s="225"/>
      <c r="D37" s="225"/>
      <c r="E37" s="225"/>
      <c r="F37" s="225" t="str">
        <f t="shared" ref="F37:F42" si="5">$F$35*H29</f>
        <v>#VALUE!</v>
      </c>
      <c r="G37" s="225">
        <f t="shared" si="3"/>
        <v>0</v>
      </c>
      <c r="H37" s="225">
        <f t="shared" si="4"/>
        <v>0</v>
      </c>
      <c r="I37" s="225" t="s">
        <v>266</v>
      </c>
      <c r="J37" s="225"/>
      <c r="K37" s="225" t="s">
        <v>265</v>
      </c>
      <c r="L37" s="225">
        <f>L4</f>
        <v>0.001</v>
      </c>
      <c r="M37" s="225" t="s">
        <v>270</v>
      </c>
      <c r="N37" s="35" t="s">
        <v>266</v>
      </c>
      <c r="O37" s="225">
        <f t="shared" si="2"/>
        <v>0.01</v>
      </c>
      <c r="P37" s="225" t="s">
        <v>270</v>
      </c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</row>
    <row r="38">
      <c r="A38" s="225"/>
      <c r="B38" s="225"/>
      <c r="C38" s="225"/>
      <c r="D38" s="225"/>
      <c r="E38" s="225"/>
      <c r="F38" s="225" t="str">
        <f t="shared" si="5"/>
        <v>#VALUE!</v>
      </c>
      <c r="G38" s="225">
        <f t="shared" si="3"/>
        <v>0</v>
      </c>
      <c r="H38" s="225">
        <f t="shared" si="4"/>
        <v>0</v>
      </c>
      <c r="I38" s="225" t="s">
        <v>267</v>
      </c>
      <c r="J38" s="225"/>
      <c r="K38" s="225" t="s">
        <v>265</v>
      </c>
      <c r="L38" s="225">
        <f>M4</f>
        <v>0.00000062137</v>
      </c>
      <c r="M38" s="225" t="s">
        <v>271</v>
      </c>
      <c r="N38" s="35" t="s">
        <v>266</v>
      </c>
      <c r="O38" s="225">
        <f t="shared" si="2"/>
        <v>0.0000062137</v>
      </c>
      <c r="P38" s="225" t="s">
        <v>271</v>
      </c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</row>
    <row r="39">
      <c r="A39" s="225"/>
      <c r="B39" s="225"/>
      <c r="C39" s="225"/>
      <c r="D39" s="225"/>
      <c r="E39" s="225"/>
      <c r="F39" s="225" t="str">
        <f t="shared" si="5"/>
        <v>#VALUE!</v>
      </c>
      <c r="G39" s="225">
        <f t="shared" si="3"/>
        <v>0</v>
      </c>
      <c r="H39" s="225">
        <f t="shared" si="4"/>
        <v>0</v>
      </c>
      <c r="I39" s="225" t="s">
        <v>268</v>
      </c>
      <c r="J39" s="225"/>
      <c r="K39" s="225" t="s">
        <v>267</v>
      </c>
      <c r="L39" s="225">
        <f>G10</f>
        <v>1</v>
      </c>
      <c r="M39" s="225" t="s">
        <v>267</v>
      </c>
      <c r="N39" s="225" t="s">
        <v>267</v>
      </c>
      <c r="O39" s="225">
        <f t="shared" ref="O39:O40" si="6">L40</f>
        <v>25.4</v>
      </c>
      <c r="P39" s="225" t="s">
        <v>265</v>
      </c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</row>
    <row r="40">
      <c r="A40" s="225"/>
      <c r="B40" s="225"/>
      <c r="C40" s="225"/>
      <c r="D40" s="225"/>
      <c r="E40" s="225"/>
      <c r="F40" s="225" t="str">
        <f t="shared" si="5"/>
        <v>#VALUE!</v>
      </c>
      <c r="G40" s="225">
        <f t="shared" si="3"/>
        <v>0</v>
      </c>
      <c r="H40" s="225">
        <f t="shared" si="4"/>
        <v>0</v>
      </c>
      <c r="I40" s="225" t="s">
        <v>269</v>
      </c>
      <c r="J40" s="225"/>
      <c r="K40" s="225" t="s">
        <v>267</v>
      </c>
      <c r="L40" s="225">
        <f>H10</f>
        <v>25.4</v>
      </c>
      <c r="M40" s="225" t="s">
        <v>265</v>
      </c>
      <c r="N40" s="225" t="s">
        <v>267</v>
      </c>
      <c r="O40" s="225">
        <f t="shared" si="6"/>
        <v>2.54</v>
      </c>
      <c r="P40" s="225" t="s">
        <v>266</v>
      </c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</row>
    <row r="41">
      <c r="A41" s="225"/>
      <c r="B41" s="225"/>
      <c r="C41" s="225"/>
      <c r="D41" s="225"/>
      <c r="E41" s="225"/>
      <c r="F41" s="225" t="str">
        <f t="shared" si="5"/>
        <v>#VALUE!</v>
      </c>
      <c r="G41" s="225">
        <f t="shared" si="3"/>
        <v>0</v>
      </c>
      <c r="H41" s="225">
        <f t="shared" si="4"/>
        <v>0</v>
      </c>
      <c r="I41" s="225" t="s">
        <v>270</v>
      </c>
      <c r="J41" s="225"/>
      <c r="K41" s="225" t="s">
        <v>267</v>
      </c>
      <c r="L41" s="225">
        <f>I10</f>
        <v>2.54</v>
      </c>
      <c r="M41" s="225" t="s">
        <v>266</v>
      </c>
      <c r="N41" s="225" t="s">
        <v>267</v>
      </c>
      <c r="O41" s="225">
        <f>L39</f>
        <v>1</v>
      </c>
      <c r="P41" s="225" t="s">
        <v>267</v>
      </c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</row>
    <row r="42">
      <c r="A42" s="225"/>
      <c r="B42" s="225"/>
      <c r="C42" s="225"/>
      <c r="D42" s="225"/>
      <c r="E42" s="225"/>
      <c r="F42" s="225" t="str">
        <f t="shared" si="5"/>
        <v>#VALUE!</v>
      </c>
      <c r="G42" s="225">
        <f t="shared" si="3"/>
        <v>0</v>
      </c>
      <c r="H42" s="225">
        <f t="shared" si="4"/>
        <v>0</v>
      </c>
      <c r="I42" s="225" t="s">
        <v>271</v>
      </c>
      <c r="J42" s="225"/>
      <c r="K42" s="225" t="s">
        <v>267</v>
      </c>
      <c r="L42" s="225">
        <f>J10</f>
        <v>0.0833333</v>
      </c>
      <c r="M42" s="225" t="s">
        <v>268</v>
      </c>
      <c r="N42" s="225" t="s">
        <v>267</v>
      </c>
      <c r="O42" s="225">
        <f t="shared" ref="O42:O45" si="7">L42</f>
        <v>0.0833333</v>
      </c>
      <c r="P42" s="225" t="s">
        <v>268</v>
      </c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</row>
    <row r="43">
      <c r="A43" s="225"/>
      <c r="B43" s="225"/>
      <c r="C43" s="225"/>
      <c r="D43" s="225"/>
      <c r="E43" s="225"/>
      <c r="F43" s="225"/>
      <c r="G43" s="225"/>
      <c r="H43" s="225"/>
      <c r="I43" s="225"/>
      <c r="J43" s="225"/>
      <c r="K43" s="225" t="s">
        <v>267</v>
      </c>
      <c r="L43" s="225">
        <f>K10</f>
        <v>0.0833333</v>
      </c>
      <c r="M43" s="225" t="s">
        <v>269</v>
      </c>
      <c r="N43" s="225" t="s">
        <v>267</v>
      </c>
      <c r="O43" s="225">
        <f t="shared" si="7"/>
        <v>0.0833333</v>
      </c>
      <c r="P43" s="225" t="s">
        <v>269</v>
      </c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</row>
    <row r="44">
      <c r="A44" s="225"/>
      <c r="B44" s="225"/>
      <c r="C44" s="225"/>
      <c r="D44" s="225"/>
      <c r="E44" s="225"/>
      <c r="F44" s="225" t="str">
        <f>Quotation!F17</f>
        <v/>
      </c>
      <c r="G44" s="33" t="str">
        <f>IF(F44="","","and I = '"&amp;F44&amp;"'")</f>
        <v/>
      </c>
      <c r="H44" s="225"/>
      <c r="I44" s="225"/>
      <c r="J44" s="225"/>
      <c r="K44" s="225" t="s">
        <v>267</v>
      </c>
      <c r="L44" s="225">
        <f>L10</f>
        <v>0.0254</v>
      </c>
      <c r="M44" s="225" t="s">
        <v>270</v>
      </c>
      <c r="N44" s="225" t="s">
        <v>267</v>
      </c>
      <c r="O44" s="225">
        <f t="shared" si="7"/>
        <v>0.0254</v>
      </c>
      <c r="P44" s="225" t="s">
        <v>270</v>
      </c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</row>
    <row r="45">
      <c r="A45" s="225"/>
      <c r="B45" s="225"/>
      <c r="C45" s="225"/>
      <c r="D45" s="225"/>
      <c r="E45" s="225"/>
      <c r="F45" s="225"/>
      <c r="G45" s="33" t="str">
        <f>CONCATENATE("select * where 1=1",G44)</f>
        <v>select * where 1=1</v>
      </c>
      <c r="H45" s="225"/>
      <c r="I45" s="225"/>
      <c r="J45" s="225"/>
      <c r="K45" s="225" t="s">
        <v>267</v>
      </c>
      <c r="L45" s="225">
        <f>M10</f>
        <v>0.000015783</v>
      </c>
      <c r="M45" s="225" t="s">
        <v>271</v>
      </c>
      <c r="N45" s="225" t="s">
        <v>267</v>
      </c>
      <c r="O45" s="225">
        <f t="shared" si="7"/>
        <v>0.000015783</v>
      </c>
      <c r="P45" s="225" t="s">
        <v>271</v>
      </c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</row>
    <row r="46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 t="s">
        <v>268</v>
      </c>
      <c r="L46" s="225">
        <f>G13</f>
        <v>1</v>
      </c>
      <c r="M46" s="225" t="s">
        <v>268</v>
      </c>
      <c r="N46" s="225" t="s">
        <v>268</v>
      </c>
      <c r="O46" s="225">
        <f t="shared" ref="O46:O48" si="8">L47</f>
        <v>304.8</v>
      </c>
      <c r="P46" s="225" t="s">
        <v>265</v>
      </c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</row>
    <row r="47">
      <c r="A47" s="225"/>
      <c r="B47" s="225"/>
      <c r="C47" s="225"/>
      <c r="D47" s="225"/>
      <c r="E47" s="225"/>
      <c r="F47" s="33" t="str">
        <f>ifna(CONCATENATE(G47," * ",H47," * ",I47),"")</f>
        <v>#VALUE! * 0 * 0</v>
      </c>
      <c r="G47" s="33" t="str">
        <f>IFERROR(__xludf.DUMMYFUNCTION("QUERY(F36:I42,G45)"),"#VALUE!")</f>
        <v>#VALUE!</v>
      </c>
      <c r="H47" s="225">
        <f>IFERROR(__xludf.DUMMYFUNCTION("""COMPUTED_VALUE"""),0.0)</f>
        <v>0</v>
      </c>
      <c r="I47" s="225">
        <f>IFERROR(__xludf.DUMMYFUNCTION("""COMPUTED_VALUE"""),0.0)</f>
        <v>0</v>
      </c>
      <c r="J47" s="225" t="str">
        <f>IFERROR(__xludf.DUMMYFUNCTION("""COMPUTED_VALUE"""),"Millimeters")</f>
        <v>Millimeters</v>
      </c>
      <c r="K47" s="225" t="s">
        <v>268</v>
      </c>
      <c r="L47" s="225">
        <f>H13</f>
        <v>304.8</v>
      </c>
      <c r="M47" s="225" t="s">
        <v>265</v>
      </c>
      <c r="N47" s="225" t="s">
        <v>268</v>
      </c>
      <c r="O47" s="225">
        <f t="shared" si="8"/>
        <v>30.48</v>
      </c>
      <c r="P47" s="225" t="s">
        <v>266</v>
      </c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</row>
    <row r="48">
      <c r="A48" s="225"/>
      <c r="B48" s="225"/>
      <c r="C48" s="225"/>
      <c r="D48" s="225"/>
      <c r="E48" s="225"/>
      <c r="F48" s="225"/>
      <c r="G48" s="225" t="str">
        <f>IFERROR(__xludf.DUMMYFUNCTION("""COMPUTED_VALUE"""),"#VALUE!")</f>
        <v>#VALUE!</v>
      </c>
      <c r="H48" s="225">
        <f>IFERROR(__xludf.DUMMYFUNCTION("""COMPUTED_VALUE"""),0.0)</f>
        <v>0</v>
      </c>
      <c r="I48" s="225">
        <f>IFERROR(__xludf.DUMMYFUNCTION("""COMPUTED_VALUE"""),0.0)</f>
        <v>0</v>
      </c>
      <c r="J48" s="225" t="str">
        <f>IFERROR(__xludf.DUMMYFUNCTION("""COMPUTED_VALUE"""),"Centimeters")</f>
        <v>Centimeters</v>
      </c>
      <c r="K48" s="225" t="s">
        <v>268</v>
      </c>
      <c r="L48" s="225">
        <f>I13</f>
        <v>30.48</v>
      </c>
      <c r="M48" s="225" t="s">
        <v>266</v>
      </c>
      <c r="N48" s="225" t="s">
        <v>268</v>
      </c>
      <c r="O48" s="225">
        <f t="shared" si="8"/>
        <v>12</v>
      </c>
      <c r="P48" s="225" t="s">
        <v>267</v>
      </c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</row>
    <row r="49">
      <c r="A49" s="225"/>
      <c r="B49" s="225"/>
      <c r="C49" s="225"/>
      <c r="D49" s="225"/>
      <c r="E49" s="225"/>
      <c r="F49" s="225"/>
      <c r="G49" s="225" t="str">
        <f>IFERROR(__xludf.DUMMYFUNCTION("""COMPUTED_VALUE"""),"#VALUE!")</f>
        <v>#VALUE!</v>
      </c>
      <c r="H49" s="225">
        <f>IFERROR(__xludf.DUMMYFUNCTION("""COMPUTED_VALUE"""),0.0)</f>
        <v>0</v>
      </c>
      <c r="I49" s="225">
        <f>IFERROR(__xludf.DUMMYFUNCTION("""COMPUTED_VALUE"""),0.0)</f>
        <v>0</v>
      </c>
      <c r="J49" s="225" t="str">
        <f>IFERROR(__xludf.DUMMYFUNCTION("""COMPUTED_VALUE"""),"Inches")</f>
        <v>Inches</v>
      </c>
      <c r="K49" s="225" t="s">
        <v>268</v>
      </c>
      <c r="L49" s="225">
        <f>J13</f>
        <v>12</v>
      </c>
      <c r="M49" s="225" t="s">
        <v>267</v>
      </c>
      <c r="N49" s="225" t="s">
        <v>268</v>
      </c>
      <c r="O49" s="225">
        <f>L46</f>
        <v>1</v>
      </c>
      <c r="P49" s="225" t="s">
        <v>268</v>
      </c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</row>
    <row r="50">
      <c r="A50" s="225"/>
      <c r="B50" s="225"/>
      <c r="C50" s="225"/>
      <c r="D50" s="225"/>
      <c r="E50" s="225"/>
      <c r="F50" s="225"/>
      <c r="G50" s="225" t="str">
        <f>IFERROR(__xludf.DUMMYFUNCTION("""COMPUTED_VALUE"""),"#VALUE!")</f>
        <v>#VALUE!</v>
      </c>
      <c r="H50" s="225">
        <f>IFERROR(__xludf.DUMMYFUNCTION("""COMPUTED_VALUE"""),0.0)</f>
        <v>0</v>
      </c>
      <c r="I50" s="225">
        <f>IFERROR(__xludf.DUMMYFUNCTION("""COMPUTED_VALUE"""),0.0)</f>
        <v>0</v>
      </c>
      <c r="J50" s="225" t="str">
        <f>IFERROR(__xludf.DUMMYFUNCTION("""COMPUTED_VALUE"""),"Feet")</f>
        <v>Feet</v>
      </c>
      <c r="K50" s="225" t="s">
        <v>268</v>
      </c>
      <c r="L50" s="225">
        <f>K13</f>
        <v>0.333333</v>
      </c>
      <c r="M50" s="225" t="s">
        <v>269</v>
      </c>
      <c r="N50" s="225" t="s">
        <v>268</v>
      </c>
      <c r="O50" s="225">
        <f t="shared" ref="O50:O52" si="9">L50</f>
        <v>0.333333</v>
      </c>
      <c r="P50" s="225" t="s">
        <v>269</v>
      </c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</row>
    <row r="51">
      <c r="A51" s="225"/>
      <c r="B51" s="225"/>
      <c r="C51" s="225"/>
      <c r="D51" s="225"/>
      <c r="E51" s="225"/>
      <c r="F51" s="225"/>
      <c r="G51" s="225" t="str">
        <f>IFERROR(__xludf.DUMMYFUNCTION("""COMPUTED_VALUE"""),"#VALUE!")</f>
        <v>#VALUE!</v>
      </c>
      <c r="H51" s="225">
        <f>IFERROR(__xludf.DUMMYFUNCTION("""COMPUTED_VALUE"""),0.0)</f>
        <v>0</v>
      </c>
      <c r="I51" s="225">
        <f>IFERROR(__xludf.DUMMYFUNCTION("""COMPUTED_VALUE"""),0.0)</f>
        <v>0</v>
      </c>
      <c r="J51" s="225" t="str">
        <f>IFERROR(__xludf.DUMMYFUNCTION("""COMPUTED_VALUE"""),"Yards")</f>
        <v>Yards</v>
      </c>
      <c r="K51" s="225" t="s">
        <v>268</v>
      </c>
      <c r="L51" s="225">
        <f>L13</f>
        <v>0.3048</v>
      </c>
      <c r="M51" s="225" t="s">
        <v>270</v>
      </c>
      <c r="N51" s="225" t="s">
        <v>268</v>
      </c>
      <c r="O51" s="225">
        <f t="shared" si="9"/>
        <v>0.3048</v>
      </c>
      <c r="P51" s="225" t="s">
        <v>270</v>
      </c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</row>
    <row r="52">
      <c r="A52" s="225"/>
      <c r="B52" s="225"/>
      <c r="C52" s="225"/>
      <c r="D52" s="225"/>
      <c r="E52" s="225"/>
      <c r="F52" s="225"/>
      <c r="G52" s="225" t="str">
        <f>IFERROR(__xludf.DUMMYFUNCTION("""COMPUTED_VALUE"""),"#VALUE!")</f>
        <v>#VALUE!</v>
      </c>
      <c r="H52" s="225">
        <f>IFERROR(__xludf.DUMMYFUNCTION("""COMPUTED_VALUE"""),0.0)</f>
        <v>0</v>
      </c>
      <c r="I52" s="225">
        <f>IFERROR(__xludf.DUMMYFUNCTION("""COMPUTED_VALUE"""),0.0)</f>
        <v>0</v>
      </c>
      <c r="J52" s="225" t="str">
        <f>IFERROR(__xludf.DUMMYFUNCTION("""COMPUTED_VALUE"""),"Meters")</f>
        <v>Meters</v>
      </c>
      <c r="K52" s="225" t="s">
        <v>268</v>
      </c>
      <c r="L52" s="225">
        <f>M13</f>
        <v>0.000189394</v>
      </c>
      <c r="M52" s="225" t="s">
        <v>271</v>
      </c>
      <c r="N52" s="225" t="s">
        <v>268</v>
      </c>
      <c r="O52" s="225">
        <f t="shared" si="9"/>
        <v>0.000189394</v>
      </c>
      <c r="P52" s="225" t="s">
        <v>271</v>
      </c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</row>
    <row r="53">
      <c r="A53" s="225"/>
      <c r="B53" s="225"/>
      <c r="C53" s="225"/>
      <c r="D53" s="225"/>
      <c r="E53" s="225"/>
      <c r="F53" s="225"/>
      <c r="G53" s="225" t="str">
        <f>IFERROR(__xludf.DUMMYFUNCTION("""COMPUTED_VALUE"""),"#VALUE!")</f>
        <v>#VALUE!</v>
      </c>
      <c r="H53" s="225">
        <f>IFERROR(__xludf.DUMMYFUNCTION("""COMPUTED_VALUE"""),0.0)</f>
        <v>0</v>
      </c>
      <c r="I53" s="225">
        <f>IFERROR(__xludf.DUMMYFUNCTION("""COMPUTED_VALUE"""),0.0)</f>
        <v>0</v>
      </c>
      <c r="J53" s="225" t="str">
        <f>IFERROR(__xludf.DUMMYFUNCTION("""COMPUTED_VALUE"""),"Miles")</f>
        <v>Miles</v>
      </c>
      <c r="K53" s="225" t="s">
        <v>269</v>
      </c>
      <c r="L53" s="225">
        <f>G16</f>
        <v>1</v>
      </c>
      <c r="M53" s="225" t="s">
        <v>269</v>
      </c>
      <c r="N53" s="225" t="s">
        <v>269</v>
      </c>
      <c r="O53" s="225">
        <f t="shared" ref="O53:O56" si="10">L54</f>
        <v>914.4</v>
      </c>
      <c r="P53" s="225" t="s">
        <v>265</v>
      </c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</row>
    <row r="54">
      <c r="A54" s="225"/>
      <c r="B54" s="225"/>
      <c r="C54" s="225"/>
      <c r="D54" s="225"/>
      <c r="E54" s="225"/>
      <c r="F54" s="225"/>
      <c r="G54" s="225"/>
      <c r="H54" s="225"/>
      <c r="I54" s="225"/>
      <c r="J54" s="225"/>
      <c r="K54" s="225" t="s">
        <v>269</v>
      </c>
      <c r="L54" s="225">
        <f>H16</f>
        <v>914.4</v>
      </c>
      <c r="M54" s="225" t="s">
        <v>265</v>
      </c>
      <c r="N54" s="225" t="s">
        <v>269</v>
      </c>
      <c r="O54" s="225">
        <f t="shared" si="10"/>
        <v>91.44</v>
      </c>
      <c r="P54" s="225" t="s">
        <v>266</v>
      </c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</row>
    <row r="55">
      <c r="A55" s="225"/>
      <c r="B55" s="225"/>
      <c r="C55" s="225"/>
      <c r="D55" s="225"/>
      <c r="E55" s="225"/>
      <c r="F55" s="225"/>
      <c r="G55" s="225"/>
      <c r="H55" s="225"/>
      <c r="I55" s="225"/>
      <c r="J55" s="225"/>
      <c r="K55" s="225" t="s">
        <v>269</v>
      </c>
      <c r="L55" s="225">
        <f>I16</f>
        <v>91.44</v>
      </c>
      <c r="M55" s="225" t="s">
        <v>266</v>
      </c>
      <c r="N55" s="225" t="s">
        <v>269</v>
      </c>
      <c r="O55" s="225">
        <f t="shared" si="10"/>
        <v>36</v>
      </c>
      <c r="P55" s="225" t="s">
        <v>267</v>
      </c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</row>
    <row r="56">
      <c r="A56" s="225"/>
      <c r="B56" s="225"/>
      <c r="C56" s="225"/>
      <c r="D56" s="225"/>
      <c r="E56" s="225"/>
      <c r="F56" s="225"/>
      <c r="G56" s="225"/>
      <c r="H56" s="225"/>
      <c r="I56" s="225"/>
      <c r="J56" s="225"/>
      <c r="K56" s="225" t="s">
        <v>269</v>
      </c>
      <c r="L56" s="225">
        <f>J16</f>
        <v>36</v>
      </c>
      <c r="M56" s="225" t="s">
        <v>267</v>
      </c>
      <c r="N56" s="225" t="s">
        <v>269</v>
      </c>
      <c r="O56" s="225">
        <f t="shared" si="10"/>
        <v>3</v>
      </c>
      <c r="P56" s="225" t="s">
        <v>268</v>
      </c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</row>
    <row r="57">
      <c r="A57" s="225"/>
      <c r="B57" s="225"/>
      <c r="C57" s="225"/>
      <c r="D57" s="225"/>
      <c r="E57" s="225"/>
      <c r="F57" s="225"/>
      <c r="G57" s="225"/>
      <c r="H57" s="225"/>
      <c r="I57" s="225"/>
      <c r="J57" s="225"/>
      <c r="K57" s="225" t="s">
        <v>269</v>
      </c>
      <c r="L57" s="225">
        <f>K16</f>
        <v>3</v>
      </c>
      <c r="M57" s="225" t="s">
        <v>268</v>
      </c>
      <c r="N57" s="225" t="s">
        <v>269</v>
      </c>
      <c r="O57" s="225">
        <f>L53</f>
        <v>1</v>
      </c>
      <c r="P57" s="225" t="s">
        <v>269</v>
      </c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</row>
    <row r="58">
      <c r="A58" s="225"/>
      <c r="B58" s="225"/>
      <c r="C58" s="225"/>
      <c r="D58" s="225"/>
      <c r="E58" s="225"/>
      <c r="F58" s="225"/>
      <c r="G58" s="225"/>
      <c r="H58" s="225"/>
      <c r="I58" s="225"/>
      <c r="J58" s="225"/>
      <c r="K58" s="225" t="s">
        <v>269</v>
      </c>
      <c r="L58" s="225">
        <f>L16</f>
        <v>0.9144</v>
      </c>
      <c r="M58" s="225" t="s">
        <v>270</v>
      </c>
      <c r="N58" s="225" t="s">
        <v>269</v>
      </c>
      <c r="O58" s="225">
        <f t="shared" ref="O58:O59" si="11">L58</f>
        <v>0.9144</v>
      </c>
      <c r="P58" s="225" t="s">
        <v>270</v>
      </c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5"/>
    </row>
    <row r="59">
      <c r="A59" s="225"/>
      <c r="B59" s="225"/>
      <c r="C59" s="225"/>
      <c r="D59" s="225"/>
      <c r="E59" s="225"/>
      <c r="F59" s="225"/>
      <c r="G59" s="225"/>
      <c r="H59" s="225"/>
      <c r="I59" s="225"/>
      <c r="J59" s="225"/>
      <c r="K59" s="225" t="s">
        <v>269</v>
      </c>
      <c r="L59" s="225">
        <f>M16</f>
        <v>0.000568182</v>
      </c>
      <c r="M59" s="225" t="s">
        <v>271</v>
      </c>
      <c r="N59" s="225" t="s">
        <v>269</v>
      </c>
      <c r="O59" s="225">
        <f t="shared" si="11"/>
        <v>0.000568182</v>
      </c>
      <c r="P59" s="225" t="s">
        <v>271</v>
      </c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</row>
    <row r="60">
      <c r="A60" s="225"/>
      <c r="B60" s="225"/>
      <c r="C60" s="225"/>
      <c r="D60" s="225"/>
      <c r="E60" s="225"/>
      <c r="F60" s="225"/>
      <c r="G60" s="225"/>
      <c r="H60" s="225"/>
      <c r="I60" s="225"/>
      <c r="J60" s="225"/>
      <c r="K60" s="225" t="s">
        <v>270</v>
      </c>
      <c r="L60" s="225">
        <f>G19</f>
        <v>1</v>
      </c>
      <c r="M60" s="225" t="s">
        <v>270</v>
      </c>
      <c r="N60" s="225" t="s">
        <v>270</v>
      </c>
      <c r="O60" s="225">
        <f t="shared" ref="O60:O64" si="12">L61</f>
        <v>1000</v>
      </c>
      <c r="P60" s="225" t="s">
        <v>265</v>
      </c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5"/>
    </row>
    <row r="61">
      <c r="A61" s="225"/>
      <c r="B61" s="225"/>
      <c r="C61" s="225"/>
      <c r="D61" s="225"/>
      <c r="E61" s="225"/>
      <c r="F61" s="225"/>
      <c r="G61" s="225"/>
      <c r="H61" s="225"/>
      <c r="I61" s="225"/>
      <c r="J61" s="225"/>
      <c r="K61" s="225" t="s">
        <v>270</v>
      </c>
      <c r="L61" s="225">
        <f>H19</f>
        <v>1000</v>
      </c>
      <c r="M61" s="225" t="s">
        <v>265</v>
      </c>
      <c r="N61" s="225" t="s">
        <v>270</v>
      </c>
      <c r="O61" s="225">
        <f t="shared" si="12"/>
        <v>100</v>
      </c>
      <c r="P61" s="225" t="s">
        <v>266</v>
      </c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</row>
    <row r="62">
      <c r="A62" s="225"/>
      <c r="B62" s="225"/>
      <c r="C62" s="225"/>
      <c r="D62" s="225"/>
      <c r="E62" s="225"/>
      <c r="F62" s="225"/>
      <c r="G62" s="225"/>
      <c r="H62" s="225"/>
      <c r="I62" s="225"/>
      <c r="J62" s="225"/>
      <c r="K62" s="225" t="s">
        <v>270</v>
      </c>
      <c r="L62" s="225">
        <f>I19</f>
        <v>100</v>
      </c>
      <c r="M62" s="225" t="s">
        <v>266</v>
      </c>
      <c r="N62" s="225" t="s">
        <v>270</v>
      </c>
      <c r="O62" s="225">
        <f t="shared" si="12"/>
        <v>39.3701</v>
      </c>
      <c r="P62" s="225" t="s">
        <v>267</v>
      </c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</row>
    <row r="63">
      <c r="A63" s="225"/>
      <c r="B63" s="225"/>
      <c r="C63" s="225"/>
      <c r="D63" s="225"/>
      <c r="E63" s="225"/>
      <c r="F63" s="225"/>
      <c r="G63" s="225"/>
      <c r="H63" s="225"/>
      <c r="I63" s="225"/>
      <c r="J63" s="225"/>
      <c r="K63" s="225" t="s">
        <v>270</v>
      </c>
      <c r="L63" s="225">
        <f>J19</f>
        <v>39.3701</v>
      </c>
      <c r="M63" s="225" t="s">
        <v>267</v>
      </c>
      <c r="N63" s="225" t="s">
        <v>270</v>
      </c>
      <c r="O63" s="225">
        <f t="shared" si="12"/>
        <v>3.28084</v>
      </c>
      <c r="P63" s="225" t="s">
        <v>268</v>
      </c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</row>
    <row r="64">
      <c r="A64" s="225"/>
      <c r="B64" s="225"/>
      <c r="C64" s="225"/>
      <c r="D64" s="225"/>
      <c r="E64" s="225"/>
      <c r="F64" s="225"/>
      <c r="G64" s="225"/>
      <c r="H64" s="225"/>
      <c r="I64" s="225"/>
      <c r="J64" s="225"/>
      <c r="K64" s="225" t="s">
        <v>270</v>
      </c>
      <c r="L64" s="225">
        <f>K19</f>
        <v>3.28084</v>
      </c>
      <c r="M64" s="225" t="s">
        <v>268</v>
      </c>
      <c r="N64" s="225" t="s">
        <v>270</v>
      </c>
      <c r="O64" s="225">
        <f t="shared" si="12"/>
        <v>1.09361</v>
      </c>
      <c r="P64" s="225" t="s">
        <v>269</v>
      </c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5"/>
    </row>
    <row r="65">
      <c r="A65" s="225"/>
      <c r="B65" s="225"/>
      <c r="C65" s="225"/>
      <c r="D65" s="225"/>
      <c r="E65" s="225"/>
      <c r="F65" s="225"/>
      <c r="G65" s="225"/>
      <c r="H65" s="225"/>
      <c r="I65" s="225"/>
      <c r="J65" s="225"/>
      <c r="K65" s="225" t="s">
        <v>270</v>
      </c>
      <c r="L65" s="225">
        <f>L19</f>
        <v>1.09361</v>
      </c>
      <c r="M65" s="225" t="s">
        <v>269</v>
      </c>
      <c r="N65" s="225" t="s">
        <v>270</v>
      </c>
      <c r="O65" s="225">
        <f>L60</f>
        <v>1</v>
      </c>
      <c r="P65" s="225" t="s">
        <v>270</v>
      </c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</row>
    <row r="66">
      <c r="A66" s="225"/>
      <c r="B66" s="225"/>
      <c r="C66" s="225"/>
      <c r="D66" s="225"/>
      <c r="E66" s="225"/>
      <c r="F66" s="225"/>
      <c r="G66" s="225"/>
      <c r="H66" s="225"/>
      <c r="I66" s="225"/>
      <c r="J66" s="225"/>
      <c r="K66" s="225" t="s">
        <v>270</v>
      </c>
      <c r="L66" s="225">
        <f>M19</f>
        <v>0.000621371</v>
      </c>
      <c r="M66" s="225" t="s">
        <v>270</v>
      </c>
      <c r="N66" s="225" t="s">
        <v>270</v>
      </c>
      <c r="O66" s="225">
        <f>L66</f>
        <v>0.000621371</v>
      </c>
      <c r="P66" s="225" t="s">
        <v>271</v>
      </c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</row>
    <row r="67">
      <c r="A67" s="225"/>
      <c r="B67" s="225"/>
      <c r="C67" s="225"/>
      <c r="D67" s="225"/>
      <c r="E67" s="225"/>
      <c r="F67" s="225"/>
      <c r="G67" s="225"/>
      <c r="H67" s="225"/>
      <c r="I67" s="225"/>
      <c r="J67" s="225"/>
      <c r="K67" s="225" t="s">
        <v>271</v>
      </c>
      <c r="L67" s="225">
        <f>G22</f>
        <v>1</v>
      </c>
      <c r="M67" s="225" t="s">
        <v>271</v>
      </c>
      <c r="N67" s="225" t="s">
        <v>271</v>
      </c>
      <c r="O67" s="225">
        <f t="shared" ref="O67:O72" si="13">L68</f>
        <v>1609000</v>
      </c>
      <c r="P67" s="225" t="s">
        <v>265</v>
      </c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</row>
    <row r="68">
      <c r="A68" s="225"/>
      <c r="B68" s="225"/>
      <c r="C68" s="225"/>
      <c r="D68" s="225"/>
      <c r="E68" s="225"/>
      <c r="F68" s="225"/>
      <c r="G68" s="225"/>
      <c r="H68" s="225"/>
      <c r="I68" s="225"/>
      <c r="J68" s="225"/>
      <c r="K68" s="225" t="s">
        <v>271</v>
      </c>
      <c r="L68" s="225">
        <f>H22</f>
        <v>1609000</v>
      </c>
      <c r="M68" s="225" t="s">
        <v>265</v>
      </c>
      <c r="N68" s="225" t="s">
        <v>271</v>
      </c>
      <c r="O68" s="225">
        <f t="shared" si="13"/>
        <v>160934</v>
      </c>
      <c r="P68" s="225" t="s">
        <v>266</v>
      </c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</row>
    <row r="69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 t="s">
        <v>271</v>
      </c>
      <c r="L69" s="225">
        <f>I22</f>
        <v>160934</v>
      </c>
      <c r="M69" s="225" t="s">
        <v>266</v>
      </c>
      <c r="N69" s="225" t="s">
        <v>271</v>
      </c>
      <c r="O69" s="225">
        <f t="shared" si="13"/>
        <v>63360</v>
      </c>
      <c r="P69" s="225" t="s">
        <v>267</v>
      </c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</row>
    <row r="70">
      <c r="A70" s="225"/>
      <c r="B70" s="225"/>
      <c r="C70" s="225"/>
      <c r="D70" s="225"/>
      <c r="E70" s="225"/>
      <c r="F70" s="225"/>
      <c r="G70" s="225"/>
      <c r="H70" s="225"/>
      <c r="I70" s="225"/>
      <c r="J70" s="225"/>
      <c r="K70" s="225" t="s">
        <v>271</v>
      </c>
      <c r="L70" s="225">
        <f>J22</f>
        <v>63360</v>
      </c>
      <c r="M70" s="225" t="s">
        <v>267</v>
      </c>
      <c r="N70" s="225" t="s">
        <v>271</v>
      </c>
      <c r="O70" s="225">
        <f t="shared" si="13"/>
        <v>5280</v>
      </c>
      <c r="P70" s="225" t="s">
        <v>268</v>
      </c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</row>
    <row r="71">
      <c r="A71" s="225"/>
      <c r="B71" s="225"/>
      <c r="C71" s="225"/>
      <c r="D71" s="225"/>
      <c r="E71" s="225"/>
      <c r="F71" s="225"/>
      <c r="G71" s="225"/>
      <c r="H71" s="225"/>
      <c r="I71" s="225"/>
      <c r="J71" s="225"/>
      <c r="K71" s="225" t="s">
        <v>271</v>
      </c>
      <c r="L71" s="225">
        <f>K22</f>
        <v>5280</v>
      </c>
      <c r="M71" s="225" t="s">
        <v>268</v>
      </c>
      <c r="N71" s="225" t="s">
        <v>271</v>
      </c>
      <c r="O71" s="225">
        <f t="shared" si="13"/>
        <v>1760</v>
      </c>
      <c r="P71" s="225" t="s">
        <v>269</v>
      </c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</row>
    <row r="72">
      <c r="A72" s="225"/>
      <c r="B72" s="225"/>
      <c r="C72" s="225"/>
      <c r="D72" s="225"/>
      <c r="E72" s="225"/>
      <c r="F72" s="225"/>
      <c r="G72" s="225"/>
      <c r="H72" s="225"/>
      <c r="I72" s="225"/>
      <c r="J72" s="225"/>
      <c r="K72" s="225" t="s">
        <v>271</v>
      </c>
      <c r="L72" s="225">
        <f>L22</f>
        <v>1760</v>
      </c>
      <c r="M72" s="225" t="s">
        <v>269</v>
      </c>
      <c r="N72" s="225" t="s">
        <v>271</v>
      </c>
      <c r="O72" s="225">
        <f t="shared" si="13"/>
        <v>1609.34</v>
      </c>
      <c r="P72" s="225" t="s">
        <v>270</v>
      </c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</row>
    <row r="73">
      <c r="A73" s="225"/>
      <c r="B73" s="225"/>
      <c r="C73" s="225"/>
      <c r="D73" s="225"/>
      <c r="E73" s="225"/>
      <c r="F73" s="225"/>
      <c r="G73" s="225"/>
      <c r="H73" s="225"/>
      <c r="I73" s="225"/>
      <c r="J73" s="225"/>
      <c r="K73" s="225" t="s">
        <v>271</v>
      </c>
      <c r="L73" s="225">
        <f>M22</f>
        <v>1609.34</v>
      </c>
      <c r="M73" s="225" t="s">
        <v>270</v>
      </c>
      <c r="N73" s="225" t="s">
        <v>271</v>
      </c>
      <c r="O73" s="225">
        <f>L67</f>
        <v>1</v>
      </c>
      <c r="P73" s="225" t="s">
        <v>271</v>
      </c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</row>
    <row r="74">
      <c r="A74" s="225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  <c r="AA74" s="225"/>
    </row>
    <row r="75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</row>
    <row r="76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</row>
    <row r="77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</row>
    <row r="78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</row>
    <row r="79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</row>
    <row r="80">
      <c r="A80" s="225"/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</row>
    <row r="81">
      <c r="A81" s="225"/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</row>
    <row r="82">
      <c r="A82" s="225"/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</row>
    <row r="83">
      <c r="A83" s="225"/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</row>
    <row r="84">
      <c r="A84" s="225"/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</row>
    <row r="85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</row>
    <row r="86">
      <c r="A86" s="225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</row>
    <row r="87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</row>
    <row r="88">
      <c r="A88" s="225"/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</row>
    <row r="89">
      <c r="A89" s="225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</row>
    <row r="90">
      <c r="A90" s="225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  <c r="AA90" s="225"/>
    </row>
    <row r="91">
      <c r="A91" s="225"/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</row>
    <row r="92">
      <c r="A92" s="225"/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</row>
    <row r="93">
      <c r="A93" s="225"/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</row>
    <row r="94">
      <c r="A94" s="225"/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</row>
    <row r="95">
      <c r="A95" s="225"/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</row>
    <row r="96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</row>
    <row r="97">
      <c r="A97" s="225"/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</row>
    <row r="98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</row>
    <row r="99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  <c r="AA99" s="225"/>
    </row>
  </sheetData>
  <mergeCells count="2">
    <mergeCell ref="A1:E2"/>
    <mergeCell ref="G1:M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1" t="str">
        <f>IFERROR(__xludf.DUMMYFUNCTION("IMPORTRANGE(""1W4UDj-z0ixCGR5fG96qfjKkAqnB3H6_wZjKMVkN9BIE"",""Main!A1:q2000"")"),"Product Code")</f>
        <v>Product Code</v>
      </c>
      <c r="B1" s="231" t="str">
        <f>IFERROR(__xludf.DUMMYFUNCTION("""COMPUTED_VALUE"""),"Category")</f>
        <v>Category</v>
      </c>
      <c r="C1" s="231" t="str">
        <f>IFERROR(__xludf.DUMMYFUNCTION("""COMPUTED_VALUE"""),"Sub Category")</f>
        <v>Sub Category</v>
      </c>
      <c r="D1" s="231" t="str">
        <f>IFERROR(__xludf.DUMMYFUNCTION("""COMPUTED_VALUE"""),"Specifications")</f>
        <v>Specifications</v>
      </c>
      <c r="E1" s="231" t="str">
        <f>IFERROR(__xludf.DUMMYFUNCTION("""COMPUTED_VALUE"""),"No.  of Ups")</f>
        <v>No.  of Ups</v>
      </c>
      <c r="F1" s="231" t="str">
        <f>IFERROR(__xludf.DUMMYFUNCTION("""COMPUTED_VALUE"""),"Machine")</f>
        <v>Machine</v>
      </c>
      <c r="G1" s="231" t="str">
        <f>IFERROR(__xludf.DUMMYFUNCTION("""COMPUTED_VALUE"""),"Sheet W")</f>
        <v>Sheet W</v>
      </c>
      <c r="H1" s="231" t="str">
        <f>IFERROR(__xludf.DUMMYFUNCTION("""COMPUTED_VALUE"""),"Sheet H")</f>
        <v>Sheet H</v>
      </c>
      <c r="I1" s="231" t="str">
        <f>IFERROR(__xludf.DUMMYFUNCTION("""COMPUTED_VALUE"""),"Designing")</f>
        <v>Designing</v>
      </c>
      <c r="J1" s="231" t="str">
        <f>IFERROR(__xludf.DUMMYFUNCTION("""COMPUTED_VALUE"""),"Link")</f>
        <v>Link</v>
      </c>
      <c r="K1" s="231" t="str">
        <f>IFERROR(__xludf.DUMMYFUNCTION("""COMPUTED_VALUE"""),"Leafing / Embossing")</f>
        <v>Leafing / Embossing</v>
      </c>
      <c r="L1" s="231" t="str">
        <f>IFERROR(__xludf.DUMMYFUNCTION("""COMPUTED_VALUE"""),"Window")</f>
        <v>Window</v>
      </c>
      <c r="M1" s="231" t="str">
        <f>IFERROR(__xludf.DUMMYFUNCTION("""COMPUTED_VALUE"""),"Pasting")</f>
        <v>Pasting</v>
      </c>
      <c r="N1" s="232" t="str">
        <f>IFERROR(__xludf.DUMMYFUNCTION("""COMPUTED_VALUE"""),"Double Charges")</f>
        <v>Double Charges</v>
      </c>
      <c r="O1" s="49" t="str">
        <f>IFERROR(__xludf.DUMMYFUNCTION("""COMPUTED_VALUE"""),"Price Per Sheet")</f>
        <v>Price Per Sheet</v>
      </c>
      <c r="P1" s="49" t="str">
        <f>IFERROR(__xludf.DUMMYFUNCTION("""COMPUTED_VALUE"""),"Type")</f>
        <v>Type</v>
      </c>
      <c r="Q1" s="49" t="str">
        <f>IFERROR(__xludf.DUMMYFUNCTION("""COMPUTED_VALUE"""),"Sub Type")</f>
        <v>Sub Type</v>
      </c>
    </row>
    <row r="2">
      <c r="A2" s="156" t="str">
        <f>IFERROR(__xludf.DUMMYFUNCTION("""COMPUTED_VALUE"""),"https://drive.google.com/open?id=1ATYA3kFXo6YEbBaD6sdqj58a-xCEO8E8&amp;authuser=jay.agg%40gmail.com&amp;usp=drive_fs")</f>
        <v>https://drive.google.com/open?id=1ATYA3kFXo6YEbBaD6sdqj58a-xCEO8E8&amp;authuser=jay.agg%40gmail.com&amp;usp=drive_fs</v>
      </c>
      <c r="B2" s="73" t="str">
        <f>IFERROR(__xludf.DUMMYFUNCTION("""COMPUTED_VALUE"""),"Agarbatti")</f>
        <v>Agarbatti</v>
      </c>
      <c r="C2" s="73" t="str">
        <f>IFERROR(__xludf.DUMMYFUNCTION("""COMPUTED_VALUE"""),"Single Box")</f>
        <v>Single Box</v>
      </c>
      <c r="D2" s="73" t="str">
        <f>IFERROR(__xludf.DUMMYFUNCTION("""COMPUTED_VALUE"""),"65*20*298 | 2.5*0.78*11.73 inch")</f>
        <v>65*20*298 | 2.5*0.78*11.73 inch</v>
      </c>
      <c r="E2" s="77">
        <f>IFERROR(__xludf.DUMMYFUNCTION("""COMPUTED_VALUE"""),4.0)</f>
        <v>4</v>
      </c>
      <c r="F2" s="77">
        <f>IFERROR(__xludf.DUMMYFUNCTION("""COMPUTED_VALUE"""),2029.0)</f>
        <v>2029</v>
      </c>
      <c r="G2" s="77">
        <f>IFERROR(__xludf.DUMMYFUNCTION("""COMPUTED_VALUE"""),17.5)</f>
        <v>17.5</v>
      </c>
      <c r="H2" s="77">
        <f>IFERROR(__xludf.DUMMYFUNCTION("""COMPUTED_VALUE"""),28.0)</f>
        <v>28</v>
      </c>
      <c r="I2" s="77">
        <f>IFERROR(__xludf.DUMMYFUNCTION("""COMPUTED_VALUE"""),100.0)</f>
        <v>100</v>
      </c>
      <c r="J2" s="73"/>
      <c r="K2" s="73"/>
      <c r="L2" s="73"/>
      <c r="M2" s="77">
        <f>IFERROR(__xludf.DUMMYFUNCTION("""COMPUTED_VALUE"""),0.1)</f>
        <v>0.1</v>
      </c>
      <c r="N2" s="77">
        <f>IFERROR(__xludf.DUMMYFUNCTION("""COMPUTED_VALUE"""),1.0)</f>
        <v>1</v>
      </c>
      <c r="O2" s="49"/>
      <c r="P2" s="49" t="str">
        <f>IFERROR(__xludf.DUMMYFUNCTION("""COMPUTED_VALUE"""),"Offset")</f>
        <v>Offset</v>
      </c>
      <c r="Q2" s="49" t="str">
        <f>IFERROR(__xludf.DUMMYFUNCTION("""COMPUTED_VALUE"""),"Packaging")</f>
        <v>Packaging</v>
      </c>
      <c r="R2" s="33" t="str">
        <f>IFERROR(__xludf.DUMMYFUNCTION("QUERY({ALLDATA!$B$2:$B2001})"),"Agarbatti")</f>
        <v>Agarbatti</v>
      </c>
    </row>
    <row r="3">
      <c r="A3" s="156" t="str">
        <f>IFERROR(__xludf.DUMMYFUNCTION("""COMPUTED_VALUE"""),"https://drive.google.com/open?id=1DzFJPWaRbqwCgL5KQEj1SLeEo3TuRztu&amp;authuser=jay.agg%40gmail.com&amp;usp=drive_fs")</f>
        <v>https://drive.google.com/open?id=1DzFJPWaRbqwCgL5KQEj1SLeEo3TuRztu&amp;authuser=jay.agg%40gmail.com&amp;usp=drive_fs</v>
      </c>
      <c r="B3" s="73" t="str">
        <f>IFERROR(__xludf.DUMMYFUNCTION("""COMPUTED_VALUE"""),"Agarbatti")</f>
        <v>Agarbatti</v>
      </c>
      <c r="C3" s="73" t="str">
        <f>IFERROR(__xludf.DUMMYFUNCTION("""COMPUTED_VALUE"""),"Single Box")</f>
        <v>Single Box</v>
      </c>
      <c r="D3" s="73" t="str">
        <f>IFERROR(__xludf.DUMMYFUNCTION("""COMPUTED_VALUE"""),"55*26*255 | 2.16*1*10 inch")</f>
        <v>55*26*255 | 2.16*1*10 inch</v>
      </c>
      <c r="E3" s="77">
        <f>IFERROR(__xludf.DUMMYFUNCTION("""COMPUTED_VALUE"""),4.0)</f>
        <v>4</v>
      </c>
      <c r="F3" s="77">
        <f>IFERROR(__xludf.DUMMYFUNCTION("""COMPUTED_VALUE"""),1926.0)</f>
        <v>1926</v>
      </c>
      <c r="G3" s="77">
        <f>IFERROR(__xludf.DUMMYFUNCTION("""COMPUTED_VALUE"""),18.0)</f>
        <v>18</v>
      </c>
      <c r="H3" s="77">
        <f>IFERROR(__xludf.DUMMYFUNCTION("""COMPUTED_VALUE"""),25.0)</f>
        <v>25</v>
      </c>
      <c r="I3" s="77">
        <f>IFERROR(__xludf.DUMMYFUNCTION("""COMPUTED_VALUE"""),100.0)</f>
        <v>100</v>
      </c>
      <c r="J3" s="73"/>
      <c r="K3" s="73"/>
      <c r="L3" s="73"/>
      <c r="M3" s="77">
        <f>IFERROR(__xludf.DUMMYFUNCTION("""COMPUTED_VALUE"""),0.1)</f>
        <v>0.1</v>
      </c>
      <c r="N3" s="77">
        <f>IFERROR(__xludf.DUMMYFUNCTION("""COMPUTED_VALUE"""),1.0)</f>
        <v>1</v>
      </c>
      <c r="O3" s="49"/>
      <c r="P3" s="49" t="str">
        <f>IFERROR(__xludf.DUMMYFUNCTION("""COMPUTED_VALUE"""),"Offset")</f>
        <v>Offset</v>
      </c>
      <c r="Q3" s="49" t="str">
        <f>IFERROR(__xludf.DUMMYFUNCTION("""COMPUTED_VALUE"""),"Packaging")</f>
        <v>Packaging</v>
      </c>
      <c r="R3" s="49" t="str">
        <f>IFERROR(__xludf.DUMMYFUNCTION("""COMPUTED_VALUE"""),"Agarbatti")</f>
        <v>Agarbatti</v>
      </c>
    </row>
    <row r="4">
      <c r="A4" s="156" t="str">
        <f>IFERROR(__xludf.DUMMYFUNCTION("""COMPUTED_VALUE"""),"https://drive.google.com/open?id=1E7Ml9vayA1rFQBLylVTCoxluU2Vj5B3p&amp;authuser=jay.agg%40gmail.com&amp;usp=drive_fs")</f>
        <v>https://drive.google.com/open?id=1E7Ml9vayA1rFQBLylVTCoxluU2Vj5B3p&amp;authuser=jay.agg%40gmail.com&amp;usp=drive_fs</v>
      </c>
      <c r="B4" s="73" t="str">
        <f>IFERROR(__xludf.DUMMYFUNCTION("""COMPUTED_VALUE"""),"Agarbatti")</f>
        <v>Agarbatti</v>
      </c>
      <c r="C4" s="73" t="str">
        <f>IFERROR(__xludf.DUMMYFUNCTION("""COMPUTED_VALUE"""),"Single Box")</f>
        <v>Single Box</v>
      </c>
      <c r="D4" s="73" t="str">
        <f>IFERROR(__xludf.DUMMYFUNCTION("""COMPUTED_VALUE"""),"97*21*225 | 3.8*0.8*8.9 inch")</f>
        <v>97*21*225 | 3.8*0.8*8.9 inch</v>
      </c>
      <c r="E4" s="77">
        <f>IFERROR(__xludf.DUMMYFUNCTION("""COMPUTED_VALUE"""),4.0)</f>
        <v>4</v>
      </c>
      <c r="F4" s="77">
        <f>IFERROR(__xludf.DUMMYFUNCTION("""COMPUTED_VALUE"""),1926.0)</f>
        <v>1926</v>
      </c>
      <c r="G4" s="77">
        <f>IFERROR(__xludf.DUMMYFUNCTION("""COMPUTED_VALUE"""),20.0)</f>
        <v>20</v>
      </c>
      <c r="H4" s="77">
        <f>IFERROR(__xludf.DUMMYFUNCTION("""COMPUTED_VALUE"""),24.0)</f>
        <v>24</v>
      </c>
      <c r="I4" s="77">
        <f>IFERROR(__xludf.DUMMYFUNCTION("""COMPUTED_VALUE"""),100.0)</f>
        <v>100</v>
      </c>
      <c r="J4" s="73"/>
      <c r="K4" s="73"/>
      <c r="L4" s="73"/>
      <c r="M4" s="77">
        <f>IFERROR(__xludf.DUMMYFUNCTION("""COMPUTED_VALUE"""),0.1)</f>
        <v>0.1</v>
      </c>
      <c r="N4" s="77">
        <f>IFERROR(__xludf.DUMMYFUNCTION("""COMPUTED_VALUE"""),1.0)</f>
        <v>1</v>
      </c>
      <c r="O4" s="49"/>
      <c r="P4" s="49" t="str">
        <f>IFERROR(__xludf.DUMMYFUNCTION("""COMPUTED_VALUE"""),"Offset")</f>
        <v>Offset</v>
      </c>
      <c r="Q4" s="49" t="str">
        <f>IFERROR(__xludf.DUMMYFUNCTION("""COMPUTED_VALUE"""),"Packaging")</f>
        <v>Packaging</v>
      </c>
      <c r="R4" s="49" t="str">
        <f>IFERROR(__xludf.DUMMYFUNCTION("""COMPUTED_VALUE"""),"Agarbatti")</f>
        <v>Agarbatti</v>
      </c>
    </row>
    <row r="5">
      <c r="A5" s="156" t="str">
        <f>IFERROR(__xludf.DUMMYFUNCTION("""COMPUTED_VALUE"""),"https://drive.google.com/open?id=1EER_CDHQB0lyrK6pB2qKoZ7jjhuW67pR&amp;authuser=jay.agg%40gmail.com&amp;usp=drive_fs")</f>
        <v>https://drive.google.com/open?id=1EER_CDHQB0lyrK6pB2qKoZ7jjhuW67pR&amp;authuser=jay.agg%40gmail.com&amp;usp=drive_fs</v>
      </c>
      <c r="B5" s="73" t="str">
        <f>IFERROR(__xludf.DUMMYFUNCTION("""COMPUTED_VALUE"""),"Agarbatti")</f>
        <v>Agarbatti</v>
      </c>
      <c r="C5" s="73" t="str">
        <f>IFERROR(__xludf.DUMMYFUNCTION("""COMPUTED_VALUE"""),"Single Box")</f>
        <v>Single Box</v>
      </c>
      <c r="D5" s="73" t="str">
        <f>IFERROR(__xludf.DUMMYFUNCTION("""COMPUTED_VALUE"""),"64*18*267 | 2.5*0.7*10.5 inch")</f>
        <v>64*18*267 | 2.5*0.7*10.5 inch</v>
      </c>
      <c r="E5" s="77">
        <f>IFERROR(__xludf.DUMMYFUNCTION("""COMPUTED_VALUE"""),4.0)</f>
        <v>4</v>
      </c>
      <c r="F5" s="77">
        <f>IFERROR(__xludf.DUMMYFUNCTION("""COMPUTED_VALUE"""),1926.0)</f>
        <v>1926</v>
      </c>
      <c r="G5" s="77">
        <f>IFERROR(__xludf.DUMMYFUNCTION("""COMPUTED_VALUE"""),15.0)</f>
        <v>15</v>
      </c>
      <c r="H5" s="77">
        <f>IFERROR(__xludf.DUMMYFUNCTION("""COMPUTED_VALUE"""),25.0)</f>
        <v>25</v>
      </c>
      <c r="I5" s="77">
        <f>IFERROR(__xludf.DUMMYFUNCTION("""COMPUTED_VALUE"""),100.0)</f>
        <v>100</v>
      </c>
      <c r="J5" s="73"/>
      <c r="K5" s="73"/>
      <c r="L5" s="73"/>
      <c r="M5" s="77">
        <f>IFERROR(__xludf.DUMMYFUNCTION("""COMPUTED_VALUE"""),0.1)</f>
        <v>0.1</v>
      </c>
      <c r="N5" s="77">
        <f>IFERROR(__xludf.DUMMYFUNCTION("""COMPUTED_VALUE"""),1.0)</f>
        <v>1</v>
      </c>
      <c r="O5" s="49"/>
      <c r="P5" s="49" t="str">
        <f>IFERROR(__xludf.DUMMYFUNCTION("""COMPUTED_VALUE"""),"Offset")</f>
        <v>Offset</v>
      </c>
      <c r="Q5" s="49" t="str">
        <f>IFERROR(__xludf.DUMMYFUNCTION("""COMPUTED_VALUE"""),"Packaging")</f>
        <v>Packaging</v>
      </c>
      <c r="R5" s="49" t="str">
        <f>IFERROR(__xludf.DUMMYFUNCTION("""COMPUTED_VALUE"""),"Agarbatti")</f>
        <v>Agarbatti</v>
      </c>
    </row>
    <row r="6">
      <c r="A6" s="156" t="str">
        <f>IFERROR(__xludf.DUMMYFUNCTION("""COMPUTED_VALUE"""),"https://drive.google.com/open?id=1EETkMYY4Do9iO5qyrlbrc0rkcfDGp3dY&amp;authuser=jay.agg%40gmail.com&amp;usp=drive_fs")</f>
        <v>https://drive.google.com/open?id=1EETkMYY4Do9iO5qyrlbrc0rkcfDGp3dY&amp;authuser=jay.agg%40gmail.com&amp;usp=drive_fs</v>
      </c>
      <c r="B6" s="73" t="str">
        <f>IFERROR(__xludf.DUMMYFUNCTION("""COMPUTED_VALUE"""),"Agarbatti")</f>
        <v>Agarbatti</v>
      </c>
      <c r="C6" s="73" t="str">
        <f>IFERROR(__xludf.DUMMYFUNCTION("""COMPUTED_VALUE"""),"Outer")</f>
        <v>Outer</v>
      </c>
      <c r="D6" s="73" t="str">
        <f>IFERROR(__xludf.DUMMYFUNCTION("""COMPUTED_VALUE""")," 12 Box 64*18*267 | 2.5*0.7*10.5 inch")</f>
        <v> 12 Box 64*18*267 | 2.5*0.7*10.5 inch</v>
      </c>
      <c r="E6" s="77">
        <f>IFERROR(__xludf.DUMMYFUNCTION("""COMPUTED_VALUE"""),1.0)</f>
        <v>1</v>
      </c>
      <c r="F6" s="77">
        <f>IFERROR(__xludf.DUMMYFUNCTION("""COMPUTED_VALUE"""),1926.0)</f>
        <v>1926</v>
      </c>
      <c r="G6" s="77">
        <f>IFERROR(__xludf.DUMMYFUNCTION("""COMPUTED_VALUE"""),20.0)</f>
        <v>20</v>
      </c>
      <c r="H6" s="77">
        <f>IFERROR(__xludf.DUMMYFUNCTION("""COMPUTED_VALUE"""),21.0)</f>
        <v>21</v>
      </c>
      <c r="I6" s="77">
        <f>IFERROR(__xludf.DUMMYFUNCTION("""COMPUTED_VALUE"""),100.0)</f>
        <v>100</v>
      </c>
      <c r="J6" s="73"/>
      <c r="K6" s="73"/>
      <c r="L6" s="73"/>
      <c r="M6" s="77">
        <f>IFERROR(__xludf.DUMMYFUNCTION("""COMPUTED_VALUE"""),0.1)</f>
        <v>0.1</v>
      </c>
      <c r="N6" s="77">
        <f>IFERROR(__xludf.DUMMYFUNCTION("""COMPUTED_VALUE"""),1.0)</f>
        <v>1</v>
      </c>
      <c r="O6" s="49"/>
      <c r="P6" s="49" t="str">
        <f>IFERROR(__xludf.DUMMYFUNCTION("""COMPUTED_VALUE"""),"Offset")</f>
        <v>Offset</v>
      </c>
      <c r="Q6" s="49" t="str">
        <f>IFERROR(__xludf.DUMMYFUNCTION("""COMPUTED_VALUE"""),"Packaging")</f>
        <v>Packaging</v>
      </c>
      <c r="R6" s="49" t="str">
        <f>IFERROR(__xludf.DUMMYFUNCTION("""COMPUTED_VALUE"""),"Agarbatti")</f>
        <v>Agarbatti</v>
      </c>
    </row>
    <row r="7">
      <c r="A7" s="156" t="str">
        <f>IFERROR(__xludf.DUMMYFUNCTION("""COMPUTED_VALUE"""),"https://drive.google.com/open?id=1EJKf84DrwnF7FsYV6yxO7hK7jfZzVsjx&amp;authuser=jay.agg%40gmail.com&amp;usp=drive_fs")</f>
        <v>https://drive.google.com/open?id=1EJKf84DrwnF7FsYV6yxO7hK7jfZzVsjx&amp;authuser=jay.agg%40gmail.com&amp;usp=drive_fs</v>
      </c>
      <c r="B7" s="73" t="str">
        <f>IFERROR(__xludf.DUMMYFUNCTION("""COMPUTED_VALUE"""),"Agarbatti")</f>
        <v>Agarbatti</v>
      </c>
      <c r="C7" s="73" t="str">
        <f>IFERROR(__xludf.DUMMYFUNCTION("""COMPUTED_VALUE"""),"Single Box")</f>
        <v>Single Box</v>
      </c>
      <c r="D7" s="73" t="str">
        <f>IFERROR(__xludf.DUMMYFUNCTION("""COMPUTED_VALUE"""),"51*12.7*244 | 2*0.5*9.6 inch")</f>
        <v>51*12.7*244 | 2*0.5*9.6 inch</v>
      </c>
      <c r="E7" s="77">
        <f>IFERROR(__xludf.DUMMYFUNCTION("""COMPUTED_VALUE"""),6.0)</f>
        <v>6</v>
      </c>
      <c r="F7" s="77">
        <f>IFERROR(__xludf.DUMMYFUNCTION("""COMPUTED_VALUE"""),1926.0)</f>
        <v>1926</v>
      </c>
      <c r="G7" s="77">
        <f>IFERROR(__xludf.DUMMYFUNCTION("""COMPUTED_VALUE"""),18.0)</f>
        <v>18</v>
      </c>
      <c r="H7" s="77">
        <f>IFERROR(__xludf.DUMMYFUNCTION("""COMPUTED_VALUE"""),23.0)</f>
        <v>23</v>
      </c>
      <c r="I7" s="77">
        <f>IFERROR(__xludf.DUMMYFUNCTION("""COMPUTED_VALUE"""),100.0)</f>
        <v>100</v>
      </c>
      <c r="J7" s="73"/>
      <c r="K7" s="73"/>
      <c r="L7" s="73"/>
      <c r="M7" s="77">
        <f>IFERROR(__xludf.DUMMYFUNCTION("""COMPUTED_VALUE"""),0.1)</f>
        <v>0.1</v>
      </c>
      <c r="N7" s="77">
        <f>IFERROR(__xludf.DUMMYFUNCTION("""COMPUTED_VALUE"""),1.0)</f>
        <v>1</v>
      </c>
      <c r="O7" s="49"/>
      <c r="P7" s="49" t="str">
        <f>IFERROR(__xludf.DUMMYFUNCTION("""COMPUTED_VALUE"""),"Offset")</f>
        <v>Offset</v>
      </c>
      <c r="Q7" s="49" t="str">
        <f>IFERROR(__xludf.DUMMYFUNCTION("""COMPUTED_VALUE"""),"Packaging")</f>
        <v>Packaging</v>
      </c>
      <c r="R7" s="49" t="str">
        <f>IFERROR(__xludf.DUMMYFUNCTION("""COMPUTED_VALUE"""),"Agarbatti")</f>
        <v>Agarbatti</v>
      </c>
    </row>
    <row r="8">
      <c r="A8" s="156" t="str">
        <f>IFERROR(__xludf.DUMMYFUNCTION("""COMPUTED_VALUE"""),"https://drive.google.com/open?id=1EhakNqXZjl9qnHSDztciTWX-RhiyVO4h&amp;authuser=jay.agg%40gmail.com&amp;usp=drive_fs")</f>
        <v>https://drive.google.com/open?id=1EhakNqXZjl9qnHSDztciTWX-RhiyVO4h&amp;authuser=jay.agg%40gmail.com&amp;usp=drive_fs</v>
      </c>
      <c r="B8" s="73" t="str">
        <f>IFERROR(__xludf.DUMMYFUNCTION("""COMPUTED_VALUE"""),"Agarbatti")</f>
        <v>Agarbatti</v>
      </c>
      <c r="C8" s="73" t="str">
        <f>IFERROR(__xludf.DUMMYFUNCTION("""COMPUTED_VALUE"""),"Single Box")</f>
        <v>Single Box</v>
      </c>
      <c r="D8" s="73" t="str">
        <f>IFERROR(__xludf.DUMMYFUNCTION("""COMPUTED_VALUE"""),"42*12*252 | 1.6*0.47*9.9 inch")</f>
        <v>42*12*252 | 1.6*0.47*9.9 inch</v>
      </c>
      <c r="E8" s="77">
        <f>IFERROR(__xludf.DUMMYFUNCTION("""COMPUTED_VALUE"""),8.0)</f>
        <v>8</v>
      </c>
      <c r="F8" s="77">
        <f>IFERROR(__xludf.DUMMYFUNCTION("""COMPUTED_VALUE"""),1926.0)</f>
        <v>1926</v>
      </c>
      <c r="G8" s="77">
        <f>IFERROR(__xludf.DUMMYFUNCTION("""COMPUTED_VALUE"""),19.5)</f>
        <v>19.5</v>
      </c>
      <c r="H8" s="77">
        <f>IFERROR(__xludf.DUMMYFUNCTION("""COMPUTED_VALUE"""),23.0)</f>
        <v>23</v>
      </c>
      <c r="I8" s="77">
        <f>IFERROR(__xludf.DUMMYFUNCTION("""COMPUTED_VALUE"""),100.0)</f>
        <v>100</v>
      </c>
      <c r="J8" s="73"/>
      <c r="K8" s="73"/>
      <c r="L8" s="73"/>
      <c r="M8" s="77">
        <f>IFERROR(__xludf.DUMMYFUNCTION("""COMPUTED_VALUE"""),0.1)</f>
        <v>0.1</v>
      </c>
      <c r="N8" s="77">
        <f>IFERROR(__xludf.DUMMYFUNCTION("""COMPUTED_VALUE"""),1.0)</f>
        <v>1</v>
      </c>
      <c r="O8" s="49"/>
      <c r="P8" s="49" t="str">
        <f>IFERROR(__xludf.DUMMYFUNCTION("""COMPUTED_VALUE"""),"Offset")</f>
        <v>Offset</v>
      </c>
      <c r="Q8" s="49" t="str">
        <f>IFERROR(__xludf.DUMMYFUNCTION("""COMPUTED_VALUE"""),"Packaging")</f>
        <v>Packaging</v>
      </c>
      <c r="R8" s="49" t="str">
        <f>IFERROR(__xludf.DUMMYFUNCTION("""COMPUTED_VALUE"""),"Agarbatti")</f>
        <v>Agarbatti</v>
      </c>
    </row>
    <row r="9">
      <c r="A9" s="156" t="str">
        <f>IFERROR(__xludf.DUMMYFUNCTION("""COMPUTED_VALUE"""),"https://drive.google.com/open?id=1ElE6h6gi2jn8hhdITUak7DLByPtY2ocO&amp;authuser=jay.agg%40gmail.com&amp;usp=drive_fs")</f>
        <v>https://drive.google.com/open?id=1ElE6h6gi2jn8hhdITUak7DLByPtY2ocO&amp;authuser=jay.agg%40gmail.com&amp;usp=drive_fs</v>
      </c>
      <c r="B9" s="73" t="str">
        <f>IFERROR(__xludf.DUMMYFUNCTION("""COMPUTED_VALUE"""),"Agarbatti")</f>
        <v>Agarbatti</v>
      </c>
      <c r="C9" s="73" t="str">
        <f>IFERROR(__xludf.DUMMYFUNCTION("""COMPUTED_VALUE"""),"Single Box")</f>
        <v>Single Box</v>
      </c>
      <c r="D9" s="73" t="str">
        <f>IFERROR(__xludf.DUMMYFUNCTION("""COMPUTED_VALUE"""),"51*12.7*152 | 2*0.5*5.9 inch")</f>
        <v>51*12.7*152 | 2*0.5*5.9 inch</v>
      </c>
      <c r="E9" s="77">
        <f>IFERROR(__xludf.DUMMYFUNCTION("""COMPUTED_VALUE"""),9.0)</f>
        <v>9</v>
      </c>
      <c r="F9" s="77">
        <f>IFERROR(__xludf.DUMMYFUNCTION("""COMPUTED_VALUE"""),1926.0)</f>
        <v>1926</v>
      </c>
      <c r="G9" s="77">
        <f>IFERROR(__xludf.DUMMYFUNCTION("""COMPUTED_VALUE"""),18.0)</f>
        <v>18</v>
      </c>
      <c r="H9" s="77">
        <f>IFERROR(__xludf.DUMMYFUNCTION("""COMPUTED_VALUE"""),23.0)</f>
        <v>23</v>
      </c>
      <c r="I9" s="77">
        <f>IFERROR(__xludf.DUMMYFUNCTION("""COMPUTED_VALUE"""),100.0)</f>
        <v>100</v>
      </c>
      <c r="J9" s="73"/>
      <c r="K9" s="73"/>
      <c r="L9" s="73"/>
      <c r="M9" s="77">
        <f>IFERROR(__xludf.DUMMYFUNCTION("""COMPUTED_VALUE"""),0.1)</f>
        <v>0.1</v>
      </c>
      <c r="N9" s="77">
        <f>IFERROR(__xludf.DUMMYFUNCTION("""COMPUTED_VALUE"""),1.0)</f>
        <v>1</v>
      </c>
      <c r="O9" s="49"/>
      <c r="P9" s="49" t="str">
        <f>IFERROR(__xludf.DUMMYFUNCTION("""COMPUTED_VALUE"""),"Offset")</f>
        <v>Offset</v>
      </c>
      <c r="Q9" s="49" t="str">
        <f>IFERROR(__xludf.DUMMYFUNCTION("""COMPUTED_VALUE"""),"Packaging")</f>
        <v>Packaging</v>
      </c>
      <c r="R9" s="49" t="str">
        <f>IFERROR(__xludf.DUMMYFUNCTION("""COMPUTED_VALUE"""),"Agarbatti")</f>
        <v>Agarbatti</v>
      </c>
    </row>
    <row r="10">
      <c r="A10" s="156" t="str">
        <f>IFERROR(__xludf.DUMMYFUNCTION("""COMPUTED_VALUE"""),"https://drive.google.com/open?id=1ElUp4_LfnDwJ0X3k9hFnqvB1pfkVGjot&amp;authuser=jay.agg%40gmail.com&amp;usp=drive_fs")</f>
        <v>https://drive.google.com/open?id=1ElUp4_LfnDwJ0X3k9hFnqvB1pfkVGjot&amp;authuser=jay.agg%40gmail.com&amp;usp=drive_fs</v>
      </c>
      <c r="B10" s="73" t="str">
        <f>IFERROR(__xludf.DUMMYFUNCTION("""COMPUTED_VALUE"""),"Agarbatti")</f>
        <v>Agarbatti</v>
      </c>
      <c r="C10" s="73" t="str">
        <f>IFERROR(__xludf.DUMMYFUNCTION("""COMPUTED_VALUE"""),"Single Box")</f>
        <v>Single Box</v>
      </c>
      <c r="D10" s="73" t="str">
        <f>IFERROR(__xludf.DUMMYFUNCTION("""COMPUTED_VALUE"""),"55*16*255 | 2.16*0.6*10 inch")</f>
        <v>55*16*255 | 2.16*0.6*10 inch</v>
      </c>
      <c r="E10" s="77">
        <f>IFERROR(__xludf.DUMMYFUNCTION("""COMPUTED_VALUE"""),6.0)</f>
        <v>6</v>
      </c>
      <c r="F10" s="77">
        <f>IFERROR(__xludf.DUMMYFUNCTION("""COMPUTED_VALUE"""),1926.0)</f>
        <v>1926</v>
      </c>
      <c r="G10" s="77">
        <f>IFERROR(__xludf.DUMMYFUNCTION("""COMPUTED_VALUE"""),18.0)</f>
        <v>18</v>
      </c>
      <c r="H10" s="77">
        <f>IFERROR(__xludf.DUMMYFUNCTION("""COMPUTED_VALUE"""),24.0)</f>
        <v>24</v>
      </c>
      <c r="I10" s="77">
        <f>IFERROR(__xludf.DUMMYFUNCTION("""COMPUTED_VALUE"""),100.0)</f>
        <v>100</v>
      </c>
      <c r="J10" s="73"/>
      <c r="K10" s="73"/>
      <c r="L10" s="73"/>
      <c r="M10" s="77">
        <f>IFERROR(__xludf.DUMMYFUNCTION("""COMPUTED_VALUE"""),0.1)</f>
        <v>0.1</v>
      </c>
      <c r="N10" s="77">
        <f>IFERROR(__xludf.DUMMYFUNCTION("""COMPUTED_VALUE"""),1.0)</f>
        <v>1</v>
      </c>
      <c r="O10" s="49"/>
      <c r="P10" s="49" t="str">
        <f>IFERROR(__xludf.DUMMYFUNCTION("""COMPUTED_VALUE"""),"Offset")</f>
        <v>Offset</v>
      </c>
      <c r="Q10" s="49" t="str">
        <f>IFERROR(__xludf.DUMMYFUNCTION("""COMPUTED_VALUE"""),"Packaging")</f>
        <v>Packaging</v>
      </c>
      <c r="R10" s="49" t="str">
        <f>IFERROR(__xludf.DUMMYFUNCTION("""COMPUTED_VALUE"""),"Agarbatti")</f>
        <v>Agarbatti</v>
      </c>
    </row>
    <row r="11">
      <c r="A11" s="156" t="str">
        <f>IFERROR(__xludf.DUMMYFUNCTION("""COMPUTED_VALUE"""),"https://drive.google.com/open?id=1Er58bDe-0Rblqvh8v_rsdbsQeBnpSjL6&amp;authuser=jay.agg%40gmail.com&amp;usp=drive_fs")</f>
        <v>https://drive.google.com/open?id=1Er58bDe-0Rblqvh8v_rsdbsQeBnpSjL6&amp;authuser=jay.agg%40gmail.com&amp;usp=drive_fs</v>
      </c>
      <c r="B11" s="73" t="str">
        <f>IFERROR(__xludf.DUMMYFUNCTION("""COMPUTED_VALUE"""),"Agarbatti")</f>
        <v>Agarbatti</v>
      </c>
      <c r="C11" s="73" t="str">
        <f>IFERROR(__xludf.DUMMYFUNCTION("""COMPUTED_VALUE"""),"Single Box")</f>
        <v>Single Box</v>
      </c>
      <c r="D11" s="73" t="str">
        <f>IFERROR(__xludf.DUMMYFUNCTION("""COMPUTED_VALUE"""),"76*25*241 | 3*1*9.5 inch")</f>
        <v>76*25*241 | 3*1*9.5 inch</v>
      </c>
      <c r="E11" s="77">
        <f>IFERROR(__xludf.DUMMYFUNCTION("""COMPUTED_VALUE"""),4.0)</f>
        <v>4</v>
      </c>
      <c r="F11" s="77">
        <f>IFERROR(__xludf.DUMMYFUNCTION("""COMPUTED_VALUE"""),1926.0)</f>
        <v>1926</v>
      </c>
      <c r="G11" s="77">
        <f>IFERROR(__xludf.DUMMYFUNCTION("""COMPUTED_VALUE"""),18.0)</f>
        <v>18</v>
      </c>
      <c r="H11" s="77">
        <f>IFERROR(__xludf.DUMMYFUNCTION("""COMPUTED_VALUE"""),24.0)</f>
        <v>24</v>
      </c>
      <c r="I11" s="77">
        <f>IFERROR(__xludf.DUMMYFUNCTION("""COMPUTED_VALUE"""),100.0)</f>
        <v>100</v>
      </c>
      <c r="J11" s="73"/>
      <c r="K11" s="73"/>
      <c r="L11" s="73"/>
      <c r="M11" s="77">
        <f>IFERROR(__xludf.DUMMYFUNCTION("""COMPUTED_VALUE"""),0.1)</f>
        <v>0.1</v>
      </c>
      <c r="N11" s="77">
        <f>IFERROR(__xludf.DUMMYFUNCTION("""COMPUTED_VALUE"""),1.0)</f>
        <v>1</v>
      </c>
      <c r="O11" s="49"/>
      <c r="P11" s="49" t="str">
        <f>IFERROR(__xludf.DUMMYFUNCTION("""COMPUTED_VALUE"""),"Offset")</f>
        <v>Offset</v>
      </c>
      <c r="Q11" s="49" t="str">
        <f>IFERROR(__xludf.DUMMYFUNCTION("""COMPUTED_VALUE"""),"Packaging")</f>
        <v>Packaging</v>
      </c>
      <c r="R11" s="49" t="str">
        <f>IFERROR(__xludf.DUMMYFUNCTION("""COMPUTED_VALUE"""),"Agarbatti")</f>
        <v>Agarbatti</v>
      </c>
    </row>
    <row r="12">
      <c r="A12" s="156" t="str">
        <f>IFERROR(__xludf.DUMMYFUNCTION("""COMPUTED_VALUE"""),"https://drive.google.com/open?id=1F0LXYjb4cZxJNeToEuRmxSCgifFM3gDN&amp;authuser=jay.agg%40gmail.com&amp;usp=drive_fs")</f>
        <v>https://drive.google.com/open?id=1F0LXYjb4cZxJNeToEuRmxSCgifFM3gDN&amp;authuser=jay.agg%40gmail.com&amp;usp=drive_fs</v>
      </c>
      <c r="B12" s="73" t="str">
        <f>IFERROR(__xludf.DUMMYFUNCTION("""COMPUTED_VALUE"""),"Agarbatti")</f>
        <v>Agarbatti</v>
      </c>
      <c r="C12" s="73" t="str">
        <f>IFERROR(__xludf.DUMMYFUNCTION("""COMPUTED_VALUE"""),"Single Box")</f>
        <v>Single Box</v>
      </c>
      <c r="D12" s="73" t="str">
        <f>IFERROR(__xludf.DUMMYFUNCTION("""COMPUTED_VALUE"""),"38*12.7*229 | 1.5*0.5*9 inch")</f>
        <v>38*12.7*229 | 1.5*0.5*9 inch</v>
      </c>
      <c r="E12" s="77">
        <f>IFERROR(__xludf.DUMMYFUNCTION("""COMPUTED_VALUE"""),8.0)</f>
        <v>8</v>
      </c>
      <c r="F12" s="77">
        <f>IFERROR(__xludf.DUMMYFUNCTION("""COMPUTED_VALUE"""),1926.0)</f>
        <v>1926</v>
      </c>
      <c r="G12" s="77">
        <f>IFERROR(__xludf.DUMMYFUNCTION("""COMPUTED_VALUE"""),18.0)</f>
        <v>18</v>
      </c>
      <c r="H12" s="77">
        <f>IFERROR(__xludf.DUMMYFUNCTION("""COMPUTED_VALUE"""),21.0)</f>
        <v>21</v>
      </c>
      <c r="I12" s="77">
        <f>IFERROR(__xludf.DUMMYFUNCTION("""COMPUTED_VALUE"""),100.0)</f>
        <v>100</v>
      </c>
      <c r="J12" s="73"/>
      <c r="K12" s="73"/>
      <c r="L12" s="73"/>
      <c r="M12" s="77">
        <f>IFERROR(__xludf.DUMMYFUNCTION("""COMPUTED_VALUE"""),0.1)</f>
        <v>0.1</v>
      </c>
      <c r="N12" s="77">
        <f>IFERROR(__xludf.DUMMYFUNCTION("""COMPUTED_VALUE"""),1.0)</f>
        <v>1</v>
      </c>
      <c r="O12" s="49"/>
      <c r="P12" s="49" t="str">
        <f>IFERROR(__xludf.DUMMYFUNCTION("""COMPUTED_VALUE"""),"Offset")</f>
        <v>Offset</v>
      </c>
      <c r="Q12" s="49" t="str">
        <f>IFERROR(__xludf.DUMMYFUNCTION("""COMPUTED_VALUE"""),"Packaging")</f>
        <v>Packaging</v>
      </c>
      <c r="R12" s="49" t="str">
        <f>IFERROR(__xludf.DUMMYFUNCTION("""COMPUTED_VALUE"""),"Agarbatti")</f>
        <v>Agarbatti</v>
      </c>
    </row>
    <row r="13">
      <c r="A13" s="156" t="str">
        <f>IFERROR(__xludf.DUMMYFUNCTION("""COMPUTED_VALUE"""),"https://drive.google.com/open?id=1F3Dp3nio1Ao85TzMOMUTX0e-WDiDcHHQ&amp;authuser=jay.agg%40gmail.com&amp;usp=drive_fs")</f>
        <v>https://drive.google.com/open?id=1F3Dp3nio1Ao85TzMOMUTX0e-WDiDcHHQ&amp;authuser=jay.agg%40gmail.com&amp;usp=drive_fs</v>
      </c>
      <c r="B13" s="73" t="str">
        <f>IFERROR(__xludf.DUMMYFUNCTION("""COMPUTED_VALUE"""),"Agarbatti")</f>
        <v>Agarbatti</v>
      </c>
      <c r="C13" s="73" t="str">
        <f>IFERROR(__xludf.DUMMYFUNCTION("""COMPUTED_VALUE"""),"Outer")</f>
        <v>Outer</v>
      </c>
      <c r="D13" s="73" t="str">
        <f>IFERROR(__xludf.DUMMYFUNCTION("""COMPUTED_VALUE""")," 6 Box 38*12.7*229 | 1.5*0.5*9 inch")</f>
        <v> 6 Box 38*12.7*229 | 1.5*0.5*9 inch</v>
      </c>
      <c r="E13" s="77">
        <f>IFERROR(__xludf.DUMMYFUNCTION("""COMPUTED_VALUE"""),2.0)</f>
        <v>2</v>
      </c>
      <c r="F13" s="77">
        <f>IFERROR(__xludf.DUMMYFUNCTION("""COMPUTED_VALUE"""),1926.0)</f>
        <v>1926</v>
      </c>
      <c r="G13" s="77">
        <f>IFERROR(__xludf.DUMMYFUNCTION("""COMPUTED_VALUE"""),15.5)</f>
        <v>15.5</v>
      </c>
      <c r="H13" s="77">
        <f>IFERROR(__xludf.DUMMYFUNCTION("""COMPUTED_VALUE"""),20.5)</f>
        <v>20.5</v>
      </c>
      <c r="I13" s="77">
        <f>IFERROR(__xludf.DUMMYFUNCTION("""COMPUTED_VALUE"""),100.0)</f>
        <v>100</v>
      </c>
      <c r="J13" s="73"/>
      <c r="K13" s="73"/>
      <c r="L13" s="73"/>
      <c r="M13" s="77">
        <f>IFERROR(__xludf.DUMMYFUNCTION("""COMPUTED_VALUE"""),0.1)</f>
        <v>0.1</v>
      </c>
      <c r="N13" s="77">
        <f>IFERROR(__xludf.DUMMYFUNCTION("""COMPUTED_VALUE"""),1.0)</f>
        <v>1</v>
      </c>
      <c r="O13" s="49"/>
      <c r="P13" s="49" t="str">
        <f>IFERROR(__xludf.DUMMYFUNCTION("""COMPUTED_VALUE"""),"Offset")</f>
        <v>Offset</v>
      </c>
      <c r="Q13" s="49" t="str">
        <f>IFERROR(__xludf.DUMMYFUNCTION("""COMPUTED_VALUE"""),"Packaging")</f>
        <v>Packaging</v>
      </c>
      <c r="R13" s="49" t="str">
        <f>IFERROR(__xludf.DUMMYFUNCTION("""COMPUTED_VALUE"""),"Agarbatti")</f>
        <v>Agarbatti</v>
      </c>
    </row>
    <row r="14">
      <c r="A14" s="156" t="str">
        <f>IFERROR(__xludf.DUMMYFUNCTION("""COMPUTED_VALUE"""),"https://drive.google.com/open?id=1q4ymkRhRaB0HXGWKHD8s9ZQeDTliRzlN&amp;authuser=jay.agg%40gmail.com&amp;usp=drive_fs")</f>
        <v>https://drive.google.com/open?id=1q4ymkRhRaB0HXGWKHD8s9ZQeDTliRzlN&amp;authuser=jay.agg%40gmail.com&amp;usp=drive_fs</v>
      </c>
      <c r="B14" s="73" t="str">
        <f>IFERROR(__xludf.DUMMYFUNCTION("""COMPUTED_VALUE"""),"Dhoop")</f>
        <v>Dhoop</v>
      </c>
      <c r="C14" s="73" t="str">
        <f>IFERROR(__xludf.DUMMYFUNCTION("""COMPUTED_VALUE"""),"Single Box")</f>
        <v>Single Box</v>
      </c>
      <c r="D14" s="73" t="str">
        <f>IFERROR(__xludf.DUMMYFUNCTION("""COMPUTED_VALUE"""),"150*90*70 mm LB | 5.9*3.5*2.75 inch")</f>
        <v>150*90*70 mm LB | 5.9*3.5*2.75 inch</v>
      </c>
      <c r="E14" s="77">
        <f>IFERROR(__xludf.DUMMYFUNCTION("""COMPUTED_VALUE"""),2.0)</f>
        <v>2</v>
      </c>
      <c r="F14" s="77">
        <f>IFERROR(__xludf.DUMMYFUNCTION("""COMPUTED_VALUE"""),1926.0)</f>
        <v>1926</v>
      </c>
      <c r="G14" s="77">
        <f>IFERROR(__xludf.DUMMYFUNCTION("""COMPUTED_VALUE"""),15.5)</f>
        <v>15.5</v>
      </c>
      <c r="H14" s="77">
        <f>IFERROR(__xludf.DUMMYFUNCTION("""COMPUTED_VALUE"""),20.5)</f>
        <v>20.5</v>
      </c>
      <c r="I14" s="77">
        <f>IFERROR(__xludf.DUMMYFUNCTION("""COMPUTED_VALUE"""),100.0)</f>
        <v>100</v>
      </c>
      <c r="J14" s="73"/>
      <c r="K14" s="73"/>
      <c r="L14" s="73"/>
      <c r="M14" s="77">
        <f>IFERROR(__xludf.DUMMYFUNCTION("""COMPUTED_VALUE"""),0.16)</f>
        <v>0.16</v>
      </c>
      <c r="N14" s="77">
        <f>IFERROR(__xludf.DUMMYFUNCTION("""COMPUTED_VALUE"""),1.0)</f>
        <v>1</v>
      </c>
      <c r="O14" s="49"/>
      <c r="P14" s="49" t="str">
        <f>IFERROR(__xludf.DUMMYFUNCTION("""COMPUTED_VALUE"""),"Offset")</f>
        <v>Offset</v>
      </c>
      <c r="Q14" s="49" t="str">
        <f>IFERROR(__xludf.DUMMYFUNCTION("""COMPUTED_VALUE"""),"Packaging")</f>
        <v>Packaging</v>
      </c>
      <c r="R14" s="49" t="str">
        <f>IFERROR(__xludf.DUMMYFUNCTION("""COMPUTED_VALUE"""),"Dhoop")</f>
        <v>Dhoop</v>
      </c>
    </row>
    <row r="15">
      <c r="A15" s="156" t="str">
        <f>IFERROR(__xludf.DUMMYFUNCTION("""COMPUTED_VALUE"""),"https://drive.google.com/open?id=1F3tAPZOs5fAw2EISBdIaH1bw0k_GzykP&amp;authuser=jay.agg%40gmail.com&amp;usp=drive_fs")</f>
        <v>https://drive.google.com/open?id=1F3tAPZOs5fAw2EISBdIaH1bw0k_GzykP&amp;authuser=jay.agg%40gmail.com&amp;usp=drive_fs</v>
      </c>
      <c r="B15" s="73" t="str">
        <f>IFERROR(__xludf.DUMMYFUNCTION("""COMPUTED_VALUE"""),"Agarbatti")</f>
        <v>Agarbatti</v>
      </c>
      <c r="C15" s="73" t="str">
        <f>IFERROR(__xludf.DUMMYFUNCTION("""COMPUTED_VALUE"""),"Single Box")</f>
        <v>Single Box</v>
      </c>
      <c r="D15" s="73" t="str">
        <f>IFERROR(__xludf.DUMMYFUNCTION("""COMPUTED_VALUE"""),"19*12.7*229 | 0.75*0.5*9 inch")</f>
        <v>19*12.7*229 | 0.75*0.5*9 inch</v>
      </c>
      <c r="E15" s="77">
        <f>IFERROR(__xludf.DUMMYFUNCTION("""COMPUTED_VALUE"""),12.0)</f>
        <v>12</v>
      </c>
      <c r="F15" s="77">
        <f>IFERROR(__xludf.DUMMYFUNCTION("""COMPUTED_VALUE"""),1926.0)</f>
        <v>1926</v>
      </c>
      <c r="G15" s="77">
        <f>IFERROR(__xludf.DUMMYFUNCTION("""COMPUTED_VALUE"""),18.0)</f>
        <v>18</v>
      </c>
      <c r="H15" s="77">
        <f>IFERROR(__xludf.DUMMYFUNCTION("""COMPUTED_VALUE"""),21.0)</f>
        <v>21</v>
      </c>
      <c r="I15" s="77">
        <f>IFERROR(__xludf.DUMMYFUNCTION("""COMPUTED_VALUE"""),100.0)</f>
        <v>100</v>
      </c>
      <c r="J15" s="73"/>
      <c r="K15" s="73"/>
      <c r="L15" s="73"/>
      <c r="M15" s="77">
        <f>IFERROR(__xludf.DUMMYFUNCTION("""COMPUTED_VALUE"""),0.1)</f>
        <v>0.1</v>
      </c>
      <c r="N15" s="77">
        <f>IFERROR(__xludf.DUMMYFUNCTION("""COMPUTED_VALUE"""),1.0)</f>
        <v>1</v>
      </c>
      <c r="O15" s="49"/>
      <c r="P15" s="49" t="str">
        <f>IFERROR(__xludf.DUMMYFUNCTION("""COMPUTED_VALUE"""),"Offset")</f>
        <v>Offset</v>
      </c>
      <c r="Q15" s="49" t="str">
        <f>IFERROR(__xludf.DUMMYFUNCTION("""COMPUTED_VALUE"""),"Packaging")</f>
        <v>Packaging</v>
      </c>
      <c r="R15" s="49" t="str">
        <f>IFERROR(__xludf.DUMMYFUNCTION("""COMPUTED_VALUE"""),"Agarbatti")</f>
        <v>Agarbatti</v>
      </c>
    </row>
    <row r="16">
      <c r="A16" s="156" t="str">
        <f>IFERROR(__xludf.DUMMYFUNCTION("""COMPUTED_VALUE"""),"https://drive.google.com/open?id=1F7ZAYK4y5fyemS2gmt1zJFd0-J5CyzrV&amp;authuser=jay.agg%40gmail.com&amp;usp=drive_fs")</f>
        <v>https://drive.google.com/open?id=1F7ZAYK4y5fyemS2gmt1zJFd0-J5CyzrV&amp;authuser=jay.agg%40gmail.com&amp;usp=drive_fs</v>
      </c>
      <c r="B16" s="73" t="str">
        <f>IFERROR(__xludf.DUMMYFUNCTION("""COMPUTED_VALUE"""),"Agarbatti")</f>
        <v>Agarbatti</v>
      </c>
      <c r="C16" s="73" t="str">
        <f>IFERROR(__xludf.DUMMYFUNCTION("""COMPUTED_VALUE"""),"Outer")</f>
        <v>Outer</v>
      </c>
      <c r="D16" s="73" t="str">
        <f>IFERROR(__xludf.DUMMYFUNCTION("""COMPUTED_VALUE""")," 24 Box 19*12.7*229 | 0.75*0.5*9 inch")</f>
        <v> 24 Box 19*12.7*229 | 0.75*0.5*9 inch</v>
      </c>
      <c r="E16" s="77">
        <f>IFERROR(__xludf.DUMMYFUNCTION("""COMPUTED_VALUE"""),2.0)</f>
        <v>2</v>
      </c>
      <c r="F16" s="77">
        <f>IFERROR(__xludf.DUMMYFUNCTION("""COMPUTED_VALUE"""),2029.0)</f>
        <v>2029</v>
      </c>
      <c r="G16" s="77">
        <f>IFERROR(__xludf.DUMMYFUNCTION("""COMPUTED_VALUE"""),20.0)</f>
        <v>20</v>
      </c>
      <c r="H16" s="77">
        <f>IFERROR(__xludf.DUMMYFUNCTION("""COMPUTED_VALUE"""),28.0)</f>
        <v>28</v>
      </c>
      <c r="I16" s="77">
        <f>IFERROR(__xludf.DUMMYFUNCTION("""COMPUTED_VALUE"""),100.0)</f>
        <v>100</v>
      </c>
      <c r="J16" s="73"/>
      <c r="K16" s="73"/>
      <c r="L16" s="73"/>
      <c r="M16" s="77">
        <f>IFERROR(__xludf.DUMMYFUNCTION("""COMPUTED_VALUE"""),0.1)</f>
        <v>0.1</v>
      </c>
      <c r="N16" s="77">
        <f>IFERROR(__xludf.DUMMYFUNCTION("""COMPUTED_VALUE"""),1.0)</f>
        <v>1</v>
      </c>
      <c r="O16" s="49"/>
      <c r="P16" s="49" t="str">
        <f>IFERROR(__xludf.DUMMYFUNCTION("""COMPUTED_VALUE"""),"Offset")</f>
        <v>Offset</v>
      </c>
      <c r="Q16" s="49" t="str">
        <f>IFERROR(__xludf.DUMMYFUNCTION("""COMPUTED_VALUE"""),"Packaging")</f>
        <v>Packaging</v>
      </c>
      <c r="R16" s="49" t="str">
        <f>IFERROR(__xludf.DUMMYFUNCTION("""COMPUTED_VALUE"""),"Agarbatti")</f>
        <v>Agarbatti</v>
      </c>
    </row>
    <row r="17">
      <c r="A17" s="156" t="str">
        <f>IFERROR(__xludf.DUMMYFUNCTION("""COMPUTED_VALUE"""),"https://drive.google.com/open?id=1v4oZ8_VLaei61yUx-6iNxDbmhzB_A9tg&amp;authuser=jay.agg%40gmail.com&amp;usp=drive_fs")</f>
        <v>https://drive.google.com/open?id=1v4oZ8_VLaei61yUx-6iNxDbmhzB_A9tg&amp;authuser=jay.agg%40gmail.com&amp;usp=drive_fs</v>
      </c>
      <c r="B17" s="73" t="str">
        <f>IFERROR(__xludf.DUMMYFUNCTION("""COMPUTED_VALUE"""),"Dhoop")</f>
        <v>Dhoop</v>
      </c>
      <c r="C17" s="73" t="str">
        <f>IFERROR(__xludf.DUMMYFUNCTION("""COMPUTED_VALUE"""),"Single Box")</f>
        <v>Single Box</v>
      </c>
      <c r="D17" s="73" t="str">
        <f>IFERROR(__xludf.DUMMYFUNCTION("""COMPUTED_VALUE"""),"76*38*102 mm | 3*1.5*4 inch")</f>
        <v>76*38*102 mm | 3*1.5*4 inch</v>
      </c>
      <c r="E17" s="77">
        <f>IFERROR(__xludf.DUMMYFUNCTION("""COMPUTED_VALUE"""),4.0)</f>
        <v>4</v>
      </c>
      <c r="F17" s="77">
        <f>IFERROR(__xludf.DUMMYFUNCTION("""COMPUTED_VALUE"""),1926.0)</f>
        <v>1926</v>
      </c>
      <c r="G17" s="77">
        <f>IFERROR(__xludf.DUMMYFUNCTION("""COMPUTED_VALUE"""),15.0)</f>
        <v>15</v>
      </c>
      <c r="H17" s="77">
        <f>IFERROR(__xludf.DUMMYFUNCTION("""COMPUTED_VALUE"""),20.0)</f>
        <v>20</v>
      </c>
      <c r="I17" s="77">
        <f>IFERROR(__xludf.DUMMYFUNCTION("""COMPUTED_VALUE"""),100.0)</f>
        <v>100</v>
      </c>
      <c r="J17" s="73"/>
      <c r="K17" s="73"/>
      <c r="L17" s="73"/>
      <c r="M17" s="77">
        <f>IFERROR(__xludf.DUMMYFUNCTION("""COMPUTED_VALUE"""),0.1)</f>
        <v>0.1</v>
      </c>
      <c r="N17" s="77">
        <f>IFERROR(__xludf.DUMMYFUNCTION("""COMPUTED_VALUE"""),1.0)</f>
        <v>1</v>
      </c>
      <c r="O17" s="49"/>
      <c r="P17" s="49" t="str">
        <f>IFERROR(__xludf.DUMMYFUNCTION("""COMPUTED_VALUE"""),"Offset")</f>
        <v>Offset</v>
      </c>
      <c r="Q17" s="49" t="str">
        <f>IFERROR(__xludf.DUMMYFUNCTION("""COMPUTED_VALUE"""),"Packaging")</f>
        <v>Packaging</v>
      </c>
      <c r="R17" s="49" t="str">
        <f>IFERROR(__xludf.DUMMYFUNCTION("""COMPUTED_VALUE"""),"Dhoop")</f>
        <v>Dhoop</v>
      </c>
    </row>
    <row r="18">
      <c r="A18" s="156" t="str">
        <f>IFERROR(__xludf.DUMMYFUNCTION("""COMPUTED_VALUE"""),"https://drive.google.com/open?id=1FIKczLxlYPvK_lYrCl-nh7UMUHP1MRm5&amp;authuser=jay.agg%40gmail.com&amp;usp=drive_fs")</f>
        <v>https://drive.google.com/open?id=1FIKczLxlYPvK_lYrCl-nh7UMUHP1MRm5&amp;authuser=jay.agg%40gmail.com&amp;usp=drive_fs</v>
      </c>
      <c r="B18" s="73" t="str">
        <f>IFERROR(__xludf.DUMMYFUNCTION("""COMPUTED_VALUE"""),"Agarbatti")</f>
        <v>Agarbatti</v>
      </c>
      <c r="C18" s="73" t="str">
        <f>IFERROR(__xludf.DUMMYFUNCTION("""COMPUTED_VALUE"""),"Single Box")</f>
        <v>Single Box</v>
      </c>
      <c r="D18" s="73" t="str">
        <f>IFERROR(__xludf.DUMMYFUNCTION("""COMPUTED_VALUE"""),"78*78*231 | 3*3*9 inch")</f>
        <v>78*78*231 | 3*3*9 inch</v>
      </c>
      <c r="E18" s="77">
        <f>IFERROR(__xludf.DUMMYFUNCTION("""COMPUTED_VALUE"""),2.0)</f>
        <v>2</v>
      </c>
      <c r="F18" s="77">
        <f>IFERROR(__xludf.DUMMYFUNCTION("""COMPUTED_VALUE"""),1926.0)</f>
        <v>1926</v>
      </c>
      <c r="G18" s="77">
        <f>IFERROR(__xludf.DUMMYFUNCTION("""COMPUTED_VALUE"""),19.0)</f>
        <v>19</v>
      </c>
      <c r="H18" s="77">
        <f>IFERROR(__xludf.DUMMYFUNCTION("""COMPUTED_VALUE"""),26.0)</f>
        <v>26</v>
      </c>
      <c r="I18" s="77">
        <f>IFERROR(__xludf.DUMMYFUNCTION("""COMPUTED_VALUE"""),100.0)</f>
        <v>100</v>
      </c>
      <c r="J18" s="73"/>
      <c r="K18" s="73"/>
      <c r="L18" s="73"/>
      <c r="M18" s="77">
        <f>IFERROR(__xludf.DUMMYFUNCTION("""COMPUTED_VALUE"""),0.1)</f>
        <v>0.1</v>
      </c>
      <c r="N18" s="77">
        <f>IFERROR(__xludf.DUMMYFUNCTION("""COMPUTED_VALUE"""),1.0)</f>
        <v>1</v>
      </c>
      <c r="O18" s="49"/>
      <c r="P18" s="49" t="str">
        <f>IFERROR(__xludf.DUMMYFUNCTION("""COMPUTED_VALUE"""),"Offset")</f>
        <v>Offset</v>
      </c>
      <c r="Q18" s="49" t="str">
        <f>IFERROR(__xludf.DUMMYFUNCTION("""COMPUTED_VALUE"""),"Packaging")</f>
        <v>Packaging</v>
      </c>
      <c r="R18" s="49" t="str">
        <f>IFERROR(__xludf.DUMMYFUNCTION("""COMPUTED_VALUE"""),"Agarbatti")</f>
        <v>Agarbatti</v>
      </c>
    </row>
    <row r="19">
      <c r="A19" s="156" t="str">
        <f>IFERROR(__xludf.DUMMYFUNCTION("""COMPUTED_VALUE"""),"https://drive.google.com/open?id=1FHZQjwRI86ttxdJUVDnXdZm6AqnzyB65&amp;authuser=jay.agg%40gmail.com&amp;usp=drive_fs")</f>
        <v>https://drive.google.com/open?id=1FHZQjwRI86ttxdJUVDnXdZm6AqnzyB65&amp;authuser=jay.agg%40gmail.com&amp;usp=drive_fs</v>
      </c>
      <c r="B19" s="73" t="str">
        <f>IFERROR(__xludf.DUMMYFUNCTION("""COMPUTED_VALUE"""),"Agarbatti")</f>
        <v>Agarbatti</v>
      </c>
      <c r="C19" s="73" t="str">
        <f>IFERROR(__xludf.DUMMYFUNCTION("""COMPUTED_VALUE"""),"Single Box")</f>
        <v>Single Box</v>
      </c>
      <c r="D19" s="73" t="str">
        <f>IFERROR(__xludf.DUMMYFUNCTION("""COMPUTED_VALUE"""),"63.5*25*229 | 2.5*1*9 inch")</f>
        <v>63.5*25*229 | 2.5*1*9 inch</v>
      </c>
      <c r="E19" s="77">
        <f>IFERROR(__xludf.DUMMYFUNCTION("""COMPUTED_VALUE"""),4.0)</f>
        <v>4</v>
      </c>
      <c r="F19" s="77">
        <f>IFERROR(__xludf.DUMMYFUNCTION("""COMPUTED_VALUE"""),1926.0)</f>
        <v>1926</v>
      </c>
      <c r="G19" s="77">
        <f>IFERROR(__xludf.DUMMYFUNCTION("""COMPUTED_VALUE"""),18.0)</f>
        <v>18</v>
      </c>
      <c r="H19" s="77">
        <f>IFERROR(__xludf.DUMMYFUNCTION("""COMPUTED_VALUE"""),23.0)</f>
        <v>23</v>
      </c>
      <c r="I19" s="77">
        <f>IFERROR(__xludf.DUMMYFUNCTION("""COMPUTED_VALUE"""),100.0)</f>
        <v>100</v>
      </c>
      <c r="J19" s="73"/>
      <c r="K19" s="73"/>
      <c r="L19" s="73"/>
      <c r="M19" s="77">
        <f>IFERROR(__xludf.DUMMYFUNCTION("""COMPUTED_VALUE"""),0.1)</f>
        <v>0.1</v>
      </c>
      <c r="N19" s="77">
        <f>IFERROR(__xludf.DUMMYFUNCTION("""COMPUTED_VALUE"""),1.0)</f>
        <v>1</v>
      </c>
      <c r="O19" s="49"/>
      <c r="P19" s="49" t="str">
        <f>IFERROR(__xludf.DUMMYFUNCTION("""COMPUTED_VALUE"""),"Offset")</f>
        <v>Offset</v>
      </c>
      <c r="Q19" s="49" t="str">
        <f>IFERROR(__xludf.DUMMYFUNCTION("""COMPUTED_VALUE"""),"Packaging")</f>
        <v>Packaging</v>
      </c>
      <c r="R19" s="49" t="str">
        <f>IFERROR(__xludf.DUMMYFUNCTION("""COMPUTED_VALUE"""),"Agarbatti")</f>
        <v>Agarbatti</v>
      </c>
    </row>
    <row r="20">
      <c r="A20" s="156" t="str">
        <f>IFERROR(__xludf.DUMMYFUNCTION("""COMPUTED_VALUE"""),"https://drive.google.com/open?id=1FHsQ_8m8Fo4LWHo7T2PHwBQj_dx5DbZp&amp;authuser=jay.agg%40gmail.com&amp;usp=drive_fs")</f>
        <v>https://drive.google.com/open?id=1FHsQ_8m8Fo4LWHo7T2PHwBQj_dx5DbZp&amp;authuser=jay.agg%40gmail.com&amp;usp=drive_fs</v>
      </c>
      <c r="B20" s="73" t="str">
        <f>IFERROR(__xludf.DUMMYFUNCTION("""COMPUTED_VALUE"""),"Agarbatti")</f>
        <v>Agarbatti</v>
      </c>
      <c r="C20" s="73" t="str">
        <f>IFERROR(__xludf.DUMMYFUNCTION("""COMPUTED_VALUE"""),"Outer")</f>
        <v>Outer</v>
      </c>
      <c r="D20" s="73" t="str">
        <f>IFERROR(__xludf.DUMMYFUNCTION("""COMPUTED_VALUE""")," 12 Box 63.5*25*229 | 2.5*1*9 inch")</f>
        <v> 12 Box 63.5*25*229 | 2.5*1*9 inch</v>
      </c>
      <c r="E20" s="77">
        <f>IFERROR(__xludf.DUMMYFUNCTION("""COMPUTED_VALUE"""),1.0)</f>
        <v>1</v>
      </c>
      <c r="F20" s="77">
        <f>IFERROR(__xludf.DUMMYFUNCTION("""COMPUTED_VALUE"""),1926.0)</f>
        <v>1926</v>
      </c>
      <c r="G20" s="77">
        <f>IFERROR(__xludf.DUMMYFUNCTION("""COMPUTED_VALUE"""),19.5)</f>
        <v>19.5</v>
      </c>
      <c r="H20" s="77">
        <f>IFERROR(__xludf.DUMMYFUNCTION("""COMPUTED_VALUE"""),23.0)</f>
        <v>23</v>
      </c>
      <c r="I20" s="77">
        <f>IFERROR(__xludf.DUMMYFUNCTION("""COMPUTED_VALUE"""),100.0)</f>
        <v>100</v>
      </c>
      <c r="J20" s="73"/>
      <c r="K20" s="73"/>
      <c r="L20" s="73"/>
      <c r="M20" s="77">
        <f>IFERROR(__xludf.DUMMYFUNCTION("""COMPUTED_VALUE"""),0.1)</f>
        <v>0.1</v>
      </c>
      <c r="N20" s="77">
        <f>IFERROR(__xludf.DUMMYFUNCTION("""COMPUTED_VALUE"""),1.0)</f>
        <v>1</v>
      </c>
      <c r="O20" s="49"/>
      <c r="P20" s="49" t="str">
        <f>IFERROR(__xludf.DUMMYFUNCTION("""COMPUTED_VALUE"""),"Offset")</f>
        <v>Offset</v>
      </c>
      <c r="Q20" s="49" t="str">
        <f>IFERROR(__xludf.DUMMYFUNCTION("""COMPUTED_VALUE"""),"Packaging")</f>
        <v>Packaging</v>
      </c>
      <c r="R20" s="49" t="str">
        <f>IFERROR(__xludf.DUMMYFUNCTION("""COMPUTED_VALUE"""),"Agarbatti")</f>
        <v>Agarbatti</v>
      </c>
    </row>
    <row r="21">
      <c r="A21" s="156" t="str">
        <f>IFERROR(__xludf.DUMMYFUNCTION("""COMPUTED_VALUE"""),"https://drive.google.com/open?id=1DtT6pRJCOHXG4diWFD3YNOJMuvZM1bT7&amp;authuser=jay.agg%40gmail.com&amp;usp=drive_fs")</f>
        <v>https://drive.google.com/open?id=1DtT6pRJCOHXG4diWFD3YNOJMuvZM1bT7&amp;authuser=jay.agg%40gmail.com&amp;usp=drive_fs</v>
      </c>
      <c r="B21" s="73" t="str">
        <f>IFERROR(__xludf.DUMMYFUNCTION("""COMPUTED_VALUE"""),"Agarbatti")</f>
        <v>Agarbatti</v>
      </c>
      <c r="C21" s="73" t="str">
        <f>IFERROR(__xludf.DUMMYFUNCTION("""COMPUTED_VALUE"""),"Single Box")</f>
        <v>Single Box</v>
      </c>
      <c r="D21" s="73" t="str">
        <f>IFERROR(__xludf.DUMMYFUNCTION("""COMPUTED_VALUE"""),"60*15*243 | 2.4*0.6*9.6 inch")</f>
        <v>60*15*243 | 2.4*0.6*9.6 inch</v>
      </c>
      <c r="E21" s="77">
        <f>IFERROR(__xludf.DUMMYFUNCTION("""COMPUTED_VALUE"""),6.0)</f>
        <v>6</v>
      </c>
      <c r="F21" s="77">
        <f>IFERROR(__xludf.DUMMYFUNCTION("""COMPUTED_VALUE"""),1926.0)</f>
        <v>1926</v>
      </c>
      <c r="G21" s="77">
        <f>IFERROR(__xludf.DUMMYFUNCTION("""COMPUTED_VALUE"""),19.5)</f>
        <v>19.5</v>
      </c>
      <c r="H21" s="77">
        <f>IFERROR(__xludf.DUMMYFUNCTION("""COMPUTED_VALUE"""),23.0)</f>
        <v>23</v>
      </c>
      <c r="I21" s="77">
        <f>IFERROR(__xludf.DUMMYFUNCTION("""COMPUTED_VALUE"""),100.0)</f>
        <v>100</v>
      </c>
      <c r="J21" s="73"/>
      <c r="K21" s="73"/>
      <c r="L21" s="73"/>
      <c r="M21" s="77">
        <f>IFERROR(__xludf.DUMMYFUNCTION("""COMPUTED_VALUE"""),0.1)</f>
        <v>0.1</v>
      </c>
      <c r="N21" s="77">
        <f>IFERROR(__xludf.DUMMYFUNCTION("""COMPUTED_VALUE"""),1.0)</f>
        <v>1</v>
      </c>
      <c r="O21" s="49"/>
      <c r="P21" s="49" t="str">
        <f>IFERROR(__xludf.DUMMYFUNCTION("""COMPUTED_VALUE"""),"Offset")</f>
        <v>Offset</v>
      </c>
      <c r="Q21" s="49" t="str">
        <f>IFERROR(__xludf.DUMMYFUNCTION("""COMPUTED_VALUE"""),"Packaging")</f>
        <v>Packaging</v>
      </c>
      <c r="R21" s="49" t="str">
        <f>IFERROR(__xludf.DUMMYFUNCTION("""COMPUTED_VALUE"""),"Agarbatti")</f>
        <v>Agarbatti</v>
      </c>
    </row>
    <row r="22">
      <c r="A22" s="156" t="str">
        <f>IFERROR(__xludf.DUMMYFUNCTION("""COMPUTED_VALUE"""),"https://drive.google.com/open?id=1FTPBDvZ52KuUdA-ZXXnEwVhcYZ6yjd9a&amp;authuser=jay.agg%40gmail.com&amp;usp=drive_fs")</f>
        <v>https://drive.google.com/open?id=1FTPBDvZ52KuUdA-ZXXnEwVhcYZ6yjd9a&amp;authuser=jay.agg%40gmail.com&amp;usp=drive_fs</v>
      </c>
      <c r="B22" s="73" t="str">
        <f>IFERROR(__xludf.DUMMYFUNCTION("""COMPUTED_VALUE"""),"Dhoop")</f>
        <v>Dhoop</v>
      </c>
      <c r="C22" s="73" t="str">
        <f>IFERROR(__xludf.DUMMYFUNCTION("""COMPUTED_VALUE"""),"Single Box")</f>
        <v>Single Box</v>
      </c>
      <c r="D22" s="73" t="str">
        <f>IFERROR(__xludf.DUMMYFUNCTION("""COMPUTED_VALUE"""),"76*12.7*127 | 3*0.5*5 inch")</f>
        <v>76*12.7*127 | 3*0.5*5 inch</v>
      </c>
      <c r="E22" s="77">
        <f>IFERROR(__xludf.DUMMYFUNCTION("""COMPUTED_VALUE"""),9.0)</f>
        <v>9</v>
      </c>
      <c r="F22" s="77">
        <f>IFERROR(__xludf.DUMMYFUNCTION("""COMPUTED_VALUE"""),1926.0)</f>
        <v>1926</v>
      </c>
      <c r="G22" s="77">
        <f>IFERROR(__xludf.DUMMYFUNCTION("""COMPUTED_VALUE"""),19.5)</f>
        <v>19.5</v>
      </c>
      <c r="H22" s="77">
        <f>IFERROR(__xludf.DUMMYFUNCTION("""COMPUTED_VALUE"""),23.0)</f>
        <v>23</v>
      </c>
      <c r="I22" s="77">
        <f>IFERROR(__xludf.DUMMYFUNCTION("""COMPUTED_VALUE"""),100.0)</f>
        <v>100</v>
      </c>
      <c r="J22" s="73"/>
      <c r="K22" s="73"/>
      <c r="L22" s="73"/>
      <c r="M22" s="77">
        <f>IFERROR(__xludf.DUMMYFUNCTION("""COMPUTED_VALUE"""),0.1)</f>
        <v>0.1</v>
      </c>
      <c r="N22" s="77">
        <f>IFERROR(__xludf.DUMMYFUNCTION("""COMPUTED_VALUE"""),1.0)</f>
        <v>1</v>
      </c>
      <c r="O22" s="49"/>
      <c r="P22" s="49" t="str">
        <f>IFERROR(__xludf.DUMMYFUNCTION("""COMPUTED_VALUE"""),"Offset")</f>
        <v>Offset</v>
      </c>
      <c r="Q22" s="49" t="str">
        <f>IFERROR(__xludf.DUMMYFUNCTION("""COMPUTED_VALUE"""),"Packaging")</f>
        <v>Packaging</v>
      </c>
      <c r="R22" s="49" t="str">
        <f>IFERROR(__xludf.DUMMYFUNCTION("""COMPUTED_VALUE"""),"Dhoop")</f>
        <v>Dhoop</v>
      </c>
    </row>
    <row r="23">
      <c r="A23" s="156" t="str">
        <f>IFERROR(__xludf.DUMMYFUNCTION("""COMPUTED_VALUE"""),"https://drive.google.com/open?id=1FTohCIVSQmBvPCdwvkWkfP2IDpNXt-TH&amp;authuser=jay.agg%40gmail.com&amp;usp=drive_fs")</f>
        <v>https://drive.google.com/open?id=1FTohCIVSQmBvPCdwvkWkfP2IDpNXt-TH&amp;authuser=jay.agg%40gmail.com&amp;usp=drive_fs</v>
      </c>
      <c r="B23" s="73" t="str">
        <f>IFERROR(__xludf.DUMMYFUNCTION("""COMPUTED_VALUE"""),"Dhoop")</f>
        <v>Dhoop</v>
      </c>
      <c r="C23" s="73" t="str">
        <f>IFERROR(__xludf.DUMMYFUNCTION("""COMPUTED_VALUE"""),"Outer")</f>
        <v>Outer</v>
      </c>
      <c r="D23" s="73" t="str">
        <f>IFERROR(__xludf.DUMMYFUNCTION("""COMPUTED_VALUE""")," 12 Box 76*12.7*127 | 3*0.5*5 inch")</f>
        <v> 12 Box 76*12.7*127 | 3*0.5*5 inch</v>
      </c>
      <c r="E23" s="77">
        <f>IFERROR(__xludf.DUMMYFUNCTION("""COMPUTED_VALUE"""),2.0)</f>
        <v>2</v>
      </c>
      <c r="F23" s="77">
        <f>IFERROR(__xludf.DUMMYFUNCTION("""COMPUTED_VALUE"""),1926.0)</f>
        <v>1926</v>
      </c>
      <c r="G23" s="77">
        <f>IFERROR(__xludf.DUMMYFUNCTION("""COMPUTED_VALUE"""),20.0)</f>
        <v>20</v>
      </c>
      <c r="H23" s="77">
        <f>IFERROR(__xludf.DUMMYFUNCTION("""COMPUTED_VALUE"""),21.0)</f>
        <v>21</v>
      </c>
      <c r="I23" s="77">
        <f>IFERROR(__xludf.DUMMYFUNCTION("""COMPUTED_VALUE"""),100.0)</f>
        <v>100</v>
      </c>
      <c r="J23" s="73"/>
      <c r="K23" s="73"/>
      <c r="L23" s="73"/>
      <c r="M23" s="77">
        <f>IFERROR(__xludf.DUMMYFUNCTION("""COMPUTED_VALUE"""),0.1)</f>
        <v>0.1</v>
      </c>
      <c r="N23" s="77">
        <f>IFERROR(__xludf.DUMMYFUNCTION("""COMPUTED_VALUE"""),1.0)</f>
        <v>1</v>
      </c>
      <c r="O23" s="49"/>
      <c r="P23" s="49" t="str">
        <f>IFERROR(__xludf.DUMMYFUNCTION("""COMPUTED_VALUE"""),"Offset")</f>
        <v>Offset</v>
      </c>
      <c r="Q23" s="49" t="str">
        <f>IFERROR(__xludf.DUMMYFUNCTION("""COMPUTED_VALUE"""),"Packaging")</f>
        <v>Packaging</v>
      </c>
      <c r="R23" s="49" t="str">
        <f>IFERROR(__xludf.DUMMYFUNCTION("""COMPUTED_VALUE"""),"Dhoop")</f>
        <v>Dhoop</v>
      </c>
    </row>
    <row r="24">
      <c r="A24" s="156" t="str">
        <f>IFERROR(__xludf.DUMMYFUNCTION("""COMPUTED_VALUE"""),"https://drive.google.com/open?id=1FeJ_pxIjX0r2pxnqmA4EyrL4pHjvFuyX&amp;authuser=jay.agg%40gmail.com&amp;usp=drive_fs")</f>
        <v>https://drive.google.com/open?id=1FeJ_pxIjX0r2pxnqmA4EyrL4pHjvFuyX&amp;authuser=jay.agg%40gmail.com&amp;usp=drive_fs</v>
      </c>
      <c r="B24" s="73" t="str">
        <f>IFERROR(__xludf.DUMMYFUNCTION("""COMPUTED_VALUE"""),"Dhoop")</f>
        <v>Dhoop</v>
      </c>
      <c r="C24" s="73" t="str">
        <f>IFERROR(__xludf.DUMMYFUNCTION("""COMPUTED_VALUE"""),"Single Box")</f>
        <v>Single Box</v>
      </c>
      <c r="D24" s="73" t="str">
        <f>IFERROR(__xludf.DUMMYFUNCTION("""COMPUTED_VALUE"""),"63.5*63.5*127 | 2.5x2.5x5 inch")</f>
        <v>63.5*63.5*127 | 2.5x2.5x5 inch</v>
      </c>
      <c r="E24" s="77">
        <f>IFERROR(__xludf.DUMMYFUNCTION("""COMPUTED_VALUE"""),4.0)</f>
        <v>4</v>
      </c>
      <c r="F24" s="77">
        <f>IFERROR(__xludf.DUMMYFUNCTION("""COMPUTED_VALUE"""),1926.0)</f>
        <v>1926</v>
      </c>
      <c r="G24" s="77">
        <f>IFERROR(__xludf.DUMMYFUNCTION("""COMPUTED_VALUE"""),18.0)</f>
        <v>18</v>
      </c>
      <c r="H24" s="77">
        <f>IFERROR(__xludf.DUMMYFUNCTION("""COMPUTED_VALUE"""),21.0)</f>
        <v>21</v>
      </c>
      <c r="I24" s="77">
        <f>IFERROR(__xludf.DUMMYFUNCTION("""COMPUTED_VALUE"""),100.0)</f>
        <v>100</v>
      </c>
      <c r="J24" s="73"/>
      <c r="K24" s="73"/>
      <c r="L24" s="73"/>
      <c r="M24" s="77">
        <f>IFERROR(__xludf.DUMMYFUNCTION("""COMPUTED_VALUE"""),0.1)</f>
        <v>0.1</v>
      </c>
      <c r="N24" s="77">
        <f>IFERROR(__xludf.DUMMYFUNCTION("""COMPUTED_VALUE"""),1.0)</f>
        <v>1</v>
      </c>
      <c r="O24" s="49"/>
      <c r="P24" s="49" t="str">
        <f>IFERROR(__xludf.DUMMYFUNCTION("""COMPUTED_VALUE"""),"Offset")</f>
        <v>Offset</v>
      </c>
      <c r="Q24" s="49" t="str">
        <f>IFERROR(__xludf.DUMMYFUNCTION("""COMPUTED_VALUE"""),"Packaging")</f>
        <v>Packaging</v>
      </c>
      <c r="R24" s="49" t="str">
        <f>IFERROR(__xludf.DUMMYFUNCTION("""COMPUTED_VALUE"""),"Dhoop")</f>
        <v>Dhoop</v>
      </c>
    </row>
    <row r="25">
      <c r="A25" s="156" t="str">
        <f>IFERROR(__xludf.DUMMYFUNCTION("""COMPUTED_VALUE"""),"https://drive.google.com/open?id=1FjwqI7BcV-vG6pef10q_v_nP-lE3JqQK&amp;authuser=jay.agg%40gmail.com&amp;usp=drive_fs")</f>
        <v>https://drive.google.com/open?id=1FjwqI7BcV-vG6pef10q_v_nP-lE3JqQK&amp;authuser=jay.agg%40gmail.com&amp;usp=drive_fs</v>
      </c>
      <c r="B25" s="73" t="str">
        <f>IFERROR(__xludf.DUMMYFUNCTION("""COMPUTED_VALUE"""),"Dhoop")</f>
        <v>Dhoop</v>
      </c>
      <c r="C25" s="73" t="str">
        <f>IFERROR(__xludf.DUMMYFUNCTION("""COMPUTED_VALUE"""),"Single Box")</f>
        <v>Single Box</v>
      </c>
      <c r="D25" s="73" t="str">
        <f>IFERROR(__xludf.DUMMYFUNCTION("""COMPUTED_VALUE"""),"64*18*94 | 2.5*0.7*3.7 inch")</f>
        <v>64*18*94 | 2.5*0.7*3.7 inch</v>
      </c>
      <c r="E25" s="77">
        <f>IFERROR(__xludf.DUMMYFUNCTION("""COMPUTED_VALUE"""),9.0)</f>
        <v>9</v>
      </c>
      <c r="F25" s="77">
        <f>IFERROR(__xludf.DUMMYFUNCTION("""COMPUTED_VALUE"""),1926.0)</f>
        <v>1926</v>
      </c>
      <c r="G25" s="77">
        <f>IFERROR(__xludf.DUMMYFUNCTION("""COMPUTED_VALUE"""),18.0)</f>
        <v>18</v>
      </c>
      <c r="H25" s="77">
        <f>IFERROR(__xludf.DUMMYFUNCTION("""COMPUTED_VALUE"""),21.0)</f>
        <v>21</v>
      </c>
      <c r="I25" s="77">
        <f>IFERROR(__xludf.DUMMYFUNCTION("""COMPUTED_VALUE"""),100.0)</f>
        <v>100</v>
      </c>
      <c r="J25" s="73"/>
      <c r="K25" s="73"/>
      <c r="L25" s="73"/>
      <c r="M25" s="77">
        <f>IFERROR(__xludf.DUMMYFUNCTION("""COMPUTED_VALUE"""),0.1)</f>
        <v>0.1</v>
      </c>
      <c r="N25" s="77">
        <f>IFERROR(__xludf.DUMMYFUNCTION("""COMPUTED_VALUE"""),1.0)</f>
        <v>1</v>
      </c>
      <c r="O25" s="49"/>
      <c r="P25" s="49" t="str">
        <f>IFERROR(__xludf.DUMMYFUNCTION("""COMPUTED_VALUE"""),"Offset")</f>
        <v>Offset</v>
      </c>
      <c r="Q25" s="49" t="str">
        <f>IFERROR(__xludf.DUMMYFUNCTION("""COMPUTED_VALUE"""),"Packaging")</f>
        <v>Packaging</v>
      </c>
      <c r="R25" s="49" t="str">
        <f>IFERROR(__xludf.DUMMYFUNCTION("""COMPUTED_VALUE"""),"Dhoop")</f>
        <v>Dhoop</v>
      </c>
    </row>
    <row r="26">
      <c r="A26" s="156" t="str">
        <f>IFERROR(__xludf.DUMMYFUNCTION("""COMPUTED_VALUE"""),"https://drive.google.com/open?id=1FmNzkvjzQUm18JV_t2D6MaJo9Jwq39Fo&amp;authuser=jay.agg%40gmail.com&amp;usp=drive_fs")</f>
        <v>https://drive.google.com/open?id=1FmNzkvjzQUm18JV_t2D6MaJo9Jwq39Fo&amp;authuser=jay.agg%40gmail.com&amp;usp=drive_fs</v>
      </c>
      <c r="B26" s="73" t="str">
        <f>IFERROR(__xludf.DUMMYFUNCTION("""COMPUTED_VALUE"""),"Dhoop")</f>
        <v>Dhoop</v>
      </c>
      <c r="C26" s="73" t="str">
        <f>IFERROR(__xludf.DUMMYFUNCTION("""COMPUTED_VALUE"""),"Single Box")</f>
        <v>Single Box</v>
      </c>
      <c r="D26" s="73" t="str">
        <f>IFERROR(__xludf.DUMMYFUNCTION("""COMPUTED_VALUE"""),"63.5*63.5*63.5 | 2.5*2.5*2.5 inch")</f>
        <v>63.5*63.5*63.5 | 2.5*2.5*2.5 inch</v>
      </c>
      <c r="E26" s="77">
        <f>IFERROR(__xludf.DUMMYFUNCTION("""COMPUTED_VALUE"""),6.0)</f>
        <v>6</v>
      </c>
      <c r="F26" s="77">
        <f>IFERROR(__xludf.DUMMYFUNCTION("""COMPUTED_VALUE"""),1926.0)</f>
        <v>1926</v>
      </c>
      <c r="G26" s="77">
        <f>IFERROR(__xludf.DUMMYFUNCTION("""COMPUTED_VALUE"""),20.0)</f>
        <v>20</v>
      </c>
      <c r="H26" s="77">
        <f>IFERROR(__xludf.DUMMYFUNCTION("""COMPUTED_VALUE"""),21.0)</f>
        <v>21</v>
      </c>
      <c r="I26" s="77">
        <f>IFERROR(__xludf.DUMMYFUNCTION("""COMPUTED_VALUE"""),100.0)</f>
        <v>100</v>
      </c>
      <c r="J26" s="73"/>
      <c r="K26" s="73"/>
      <c r="L26" s="73"/>
      <c r="M26" s="77">
        <f>IFERROR(__xludf.DUMMYFUNCTION("""COMPUTED_VALUE"""),0.1)</f>
        <v>0.1</v>
      </c>
      <c r="N26" s="77">
        <f>IFERROR(__xludf.DUMMYFUNCTION("""COMPUTED_VALUE"""),1.0)</f>
        <v>1</v>
      </c>
      <c r="O26" s="49"/>
      <c r="P26" s="49" t="str">
        <f>IFERROR(__xludf.DUMMYFUNCTION("""COMPUTED_VALUE"""),"Offset")</f>
        <v>Offset</v>
      </c>
      <c r="Q26" s="49" t="str">
        <f>IFERROR(__xludf.DUMMYFUNCTION("""COMPUTED_VALUE"""),"Packaging")</f>
        <v>Packaging</v>
      </c>
      <c r="R26" s="49" t="str">
        <f>IFERROR(__xludf.DUMMYFUNCTION("""COMPUTED_VALUE"""),"Dhoop")</f>
        <v>Dhoop</v>
      </c>
    </row>
    <row r="27">
      <c r="A27" s="156" t="str">
        <f>IFERROR(__xludf.DUMMYFUNCTION("""COMPUTED_VALUE"""),"https://drive.google.com/open?id=1FyNuWorYz2G4s2nu5UH3ykIhv5VZq7eh&amp;authuser=jay.agg%40gmail.com&amp;usp=drive_fs")</f>
        <v>https://drive.google.com/open?id=1FyNuWorYz2G4s2nu5UH3ykIhv5VZq7eh&amp;authuser=jay.agg%40gmail.com&amp;usp=drive_fs</v>
      </c>
      <c r="B27" s="73" t="str">
        <f>IFERROR(__xludf.DUMMYFUNCTION("""COMPUTED_VALUE"""),"Dhoop")</f>
        <v>Dhoop</v>
      </c>
      <c r="C27" s="73" t="str">
        <f>IFERROR(__xludf.DUMMYFUNCTION("""COMPUTED_VALUE"""),"Single Box")</f>
        <v>Single Box</v>
      </c>
      <c r="D27" s="73" t="str">
        <f>IFERROR(__xludf.DUMMYFUNCTION("""COMPUTED_VALUE"""),"65*30*100 | 2.5*1.18*3.93 inch")</f>
        <v>65*30*100 | 2.5*1.18*3.93 inch</v>
      </c>
      <c r="E27" s="77">
        <f>IFERROR(__xludf.DUMMYFUNCTION("""COMPUTED_VALUE"""),8.0)</f>
        <v>8</v>
      </c>
      <c r="F27" s="77">
        <f>IFERROR(__xludf.DUMMYFUNCTION("""COMPUTED_VALUE"""),1926.0)</f>
        <v>1926</v>
      </c>
      <c r="G27" s="77">
        <f>IFERROR(__xludf.DUMMYFUNCTION("""COMPUTED_VALUE"""),18.0)</f>
        <v>18</v>
      </c>
      <c r="H27" s="77">
        <f>IFERROR(__xludf.DUMMYFUNCTION("""COMPUTED_VALUE"""),25.0)</f>
        <v>25</v>
      </c>
      <c r="I27" s="77">
        <f>IFERROR(__xludf.DUMMYFUNCTION("""COMPUTED_VALUE"""),100.0)</f>
        <v>100</v>
      </c>
      <c r="J27" s="73"/>
      <c r="K27" s="73"/>
      <c r="L27" s="73"/>
      <c r="M27" s="77">
        <f>IFERROR(__xludf.DUMMYFUNCTION("""COMPUTED_VALUE"""),0.1)</f>
        <v>0.1</v>
      </c>
      <c r="N27" s="77">
        <f>IFERROR(__xludf.DUMMYFUNCTION("""COMPUTED_VALUE"""),1.0)</f>
        <v>1</v>
      </c>
      <c r="O27" s="49"/>
      <c r="P27" s="49" t="str">
        <f>IFERROR(__xludf.DUMMYFUNCTION("""COMPUTED_VALUE"""),"Offset")</f>
        <v>Offset</v>
      </c>
      <c r="Q27" s="49" t="str">
        <f>IFERROR(__xludf.DUMMYFUNCTION("""COMPUTED_VALUE"""),"Packaging")</f>
        <v>Packaging</v>
      </c>
      <c r="R27" s="49" t="str">
        <f>IFERROR(__xludf.DUMMYFUNCTION("""COMPUTED_VALUE"""),"Dhoop")</f>
        <v>Dhoop</v>
      </c>
    </row>
    <row r="28">
      <c r="A28" s="156" t="str">
        <f>IFERROR(__xludf.DUMMYFUNCTION("""COMPUTED_VALUE"""),"https://drive.google.com/open?id=1Fzhn223Kx7u_vHnUUVhAFO4t-G4xRBOU&amp;authuser=jay.agg%40gmail.com&amp;usp=drive_fs")</f>
        <v>https://drive.google.com/open?id=1Fzhn223Kx7u_vHnUUVhAFO4t-G4xRBOU&amp;authuser=jay.agg%40gmail.com&amp;usp=drive_fs</v>
      </c>
      <c r="B28" s="73" t="str">
        <f>IFERROR(__xludf.DUMMYFUNCTION("""COMPUTED_VALUE"""),"Dhoop")</f>
        <v>Dhoop</v>
      </c>
      <c r="C28" s="73" t="str">
        <f>IFERROR(__xludf.DUMMYFUNCTION("""COMPUTED_VALUE"""),"Single Box")</f>
        <v>Single Box</v>
      </c>
      <c r="D28" s="73" t="str">
        <f>IFERROR(__xludf.DUMMYFUNCTION("""COMPUTED_VALUE"""),"63.5*24.4*102 | 2.5*1*4 inch")</f>
        <v>63.5*24.4*102 | 2.5*1*4 inch</v>
      </c>
      <c r="E28" s="77">
        <f>IFERROR(__xludf.DUMMYFUNCTION("""COMPUTED_VALUE"""),9.0)</f>
        <v>9</v>
      </c>
      <c r="F28" s="77">
        <f>IFERROR(__xludf.DUMMYFUNCTION("""COMPUTED_VALUE"""),1926.0)</f>
        <v>1926</v>
      </c>
      <c r="G28" s="77">
        <f>IFERROR(__xludf.DUMMYFUNCTION("""COMPUTED_VALUE"""),18.0)</f>
        <v>18</v>
      </c>
      <c r="H28" s="77">
        <f>IFERROR(__xludf.DUMMYFUNCTION("""COMPUTED_VALUE"""),23.0)</f>
        <v>23</v>
      </c>
      <c r="I28" s="77">
        <f>IFERROR(__xludf.DUMMYFUNCTION("""COMPUTED_VALUE"""),100.0)</f>
        <v>100</v>
      </c>
      <c r="J28" s="73"/>
      <c r="K28" s="73"/>
      <c r="L28" s="73"/>
      <c r="M28" s="77">
        <f>IFERROR(__xludf.DUMMYFUNCTION("""COMPUTED_VALUE"""),0.1)</f>
        <v>0.1</v>
      </c>
      <c r="N28" s="77">
        <f>IFERROR(__xludf.DUMMYFUNCTION("""COMPUTED_VALUE"""),1.0)</f>
        <v>1</v>
      </c>
      <c r="O28" s="49"/>
      <c r="P28" s="49" t="str">
        <f>IFERROR(__xludf.DUMMYFUNCTION("""COMPUTED_VALUE"""),"Offset")</f>
        <v>Offset</v>
      </c>
      <c r="Q28" s="49" t="str">
        <f>IFERROR(__xludf.DUMMYFUNCTION("""COMPUTED_VALUE"""),"Packaging")</f>
        <v>Packaging</v>
      </c>
      <c r="R28" s="49" t="str">
        <f>IFERROR(__xludf.DUMMYFUNCTION("""COMPUTED_VALUE"""),"Dhoop")</f>
        <v>Dhoop</v>
      </c>
    </row>
    <row r="29">
      <c r="A29" s="156" t="str">
        <f>IFERROR(__xludf.DUMMYFUNCTION("""COMPUTED_VALUE"""),"https://drive.google.com/open?id=1DcdYPhzRUguv1Mfe9crONpD7zb7QTS7n&amp;authuser=jay.agg%40gmail.com&amp;usp=drive_fs")</f>
        <v>https://drive.google.com/open?id=1DcdYPhzRUguv1Mfe9crONpD7zb7QTS7n&amp;authuser=jay.agg%40gmail.com&amp;usp=drive_fs</v>
      </c>
      <c r="B29" s="73" t="str">
        <f>IFERROR(__xludf.DUMMYFUNCTION("""COMPUTED_VALUE"""),"Dhoop")</f>
        <v>Dhoop</v>
      </c>
      <c r="C29" s="73" t="str">
        <f>IFERROR(__xludf.DUMMYFUNCTION("""COMPUTED_VALUE"""),"Single Box")</f>
        <v>Single Box</v>
      </c>
      <c r="D29" s="73" t="str">
        <f>IFERROR(__xludf.DUMMYFUNCTION("""COMPUTED_VALUE"""),"28*51*76 | 1.1*2*3 inch ")</f>
        <v>28*51*76 | 1.1*2*3 inch </v>
      </c>
      <c r="E29" s="77">
        <f>IFERROR(__xludf.DUMMYFUNCTION("""COMPUTED_VALUE"""),9.0)</f>
        <v>9</v>
      </c>
      <c r="F29" s="77">
        <f>IFERROR(__xludf.DUMMYFUNCTION("""COMPUTED_VALUE"""),1926.0)</f>
        <v>1926</v>
      </c>
      <c r="G29" s="77">
        <f>IFERROR(__xludf.DUMMYFUNCTION("""COMPUTED_VALUE"""),18.0)</f>
        <v>18</v>
      </c>
      <c r="H29" s="77">
        <f>IFERROR(__xludf.DUMMYFUNCTION("""COMPUTED_VALUE"""),21.0)</f>
        <v>21</v>
      </c>
      <c r="I29" s="77">
        <f>IFERROR(__xludf.DUMMYFUNCTION("""COMPUTED_VALUE"""),100.0)</f>
        <v>100</v>
      </c>
      <c r="J29" s="73"/>
      <c r="K29" s="73"/>
      <c r="L29" s="73"/>
      <c r="M29" s="77">
        <f>IFERROR(__xludf.DUMMYFUNCTION("""COMPUTED_VALUE"""),0.1)</f>
        <v>0.1</v>
      </c>
      <c r="N29" s="77">
        <f>IFERROR(__xludf.DUMMYFUNCTION("""COMPUTED_VALUE"""),1.0)</f>
        <v>1</v>
      </c>
      <c r="O29" s="49"/>
      <c r="P29" s="49" t="str">
        <f>IFERROR(__xludf.DUMMYFUNCTION("""COMPUTED_VALUE"""),"Offset")</f>
        <v>Offset</v>
      </c>
      <c r="Q29" s="49" t="str">
        <f>IFERROR(__xludf.DUMMYFUNCTION("""COMPUTED_VALUE"""),"Packaging")</f>
        <v>Packaging</v>
      </c>
      <c r="R29" s="49" t="str">
        <f>IFERROR(__xludf.DUMMYFUNCTION("""COMPUTED_VALUE"""),"Dhoop")</f>
        <v>Dhoop</v>
      </c>
    </row>
    <row r="30">
      <c r="A30" s="156" t="str">
        <f>IFERROR(__xludf.DUMMYFUNCTION("""COMPUTED_VALUE"""),"https://drive.google.com/open?id=1FllAE87dn-ImST-8B8DJRajx42taZv_V&amp;authuser=jay.agg%40gmail.com&amp;usp=drive_fs")</f>
        <v>https://drive.google.com/open?id=1FllAE87dn-ImST-8B8DJRajx42taZv_V&amp;authuser=jay.agg%40gmail.com&amp;usp=drive_fs</v>
      </c>
      <c r="B30" s="73" t="str">
        <f>IFERROR(__xludf.DUMMYFUNCTION("""COMPUTED_VALUE"""),"Dhoop")</f>
        <v>Dhoop</v>
      </c>
      <c r="C30" s="73" t="str">
        <f>IFERROR(__xludf.DUMMYFUNCTION("""COMPUTED_VALUE"""),"Single Box")</f>
        <v>Single Box</v>
      </c>
      <c r="D30" s="73" t="str">
        <f>IFERROR(__xludf.DUMMYFUNCTION("""COMPUTED_VALUE"""),"76*12.7*114  | 3*0.5*4.5 inch")</f>
        <v>76*12.7*114  | 3*0.5*4.5 inch</v>
      </c>
      <c r="E30" s="77">
        <f>IFERROR(__xludf.DUMMYFUNCTION("""COMPUTED_VALUE"""),9.0)</f>
        <v>9</v>
      </c>
      <c r="F30" s="77">
        <f>IFERROR(__xludf.DUMMYFUNCTION("""COMPUTED_VALUE"""),1926.0)</f>
        <v>1926</v>
      </c>
      <c r="G30" s="77">
        <f>IFERROR(__xludf.DUMMYFUNCTION("""COMPUTED_VALUE"""),18.0)</f>
        <v>18</v>
      </c>
      <c r="H30" s="77">
        <f>IFERROR(__xludf.DUMMYFUNCTION("""COMPUTED_VALUE"""),23.0)</f>
        <v>23</v>
      </c>
      <c r="I30" s="77">
        <f>IFERROR(__xludf.DUMMYFUNCTION("""COMPUTED_VALUE"""),100.0)</f>
        <v>100</v>
      </c>
      <c r="J30" s="73"/>
      <c r="K30" s="73"/>
      <c r="L30" s="73"/>
      <c r="M30" s="77">
        <f>IFERROR(__xludf.DUMMYFUNCTION("""COMPUTED_VALUE"""),0.1)</f>
        <v>0.1</v>
      </c>
      <c r="N30" s="77">
        <f>IFERROR(__xludf.DUMMYFUNCTION("""COMPUTED_VALUE"""),1.0)</f>
        <v>1</v>
      </c>
      <c r="O30" s="49"/>
      <c r="P30" s="49" t="str">
        <f>IFERROR(__xludf.DUMMYFUNCTION("""COMPUTED_VALUE"""),"Offset")</f>
        <v>Offset</v>
      </c>
      <c r="Q30" s="49" t="str">
        <f>IFERROR(__xludf.DUMMYFUNCTION("""COMPUTED_VALUE"""),"Packaging")</f>
        <v>Packaging</v>
      </c>
      <c r="R30" s="49" t="str">
        <f>IFERROR(__xludf.DUMMYFUNCTION("""COMPUTED_VALUE"""),"Dhoop")</f>
        <v>Dhoop</v>
      </c>
    </row>
    <row r="31">
      <c r="A31" s="156" t="str">
        <f>IFERROR(__xludf.DUMMYFUNCTION("""COMPUTED_VALUE"""),"https://drive.google.com/open?id=1G7oQKofdD-X-2cG5P_BBrZXHa8pu0AOJ&amp;authuser=jay.agg%40gmail.com&amp;usp=drive_fs")</f>
        <v>https://drive.google.com/open?id=1G7oQKofdD-X-2cG5P_BBrZXHa8pu0AOJ&amp;authuser=jay.agg%40gmail.com&amp;usp=drive_fs</v>
      </c>
      <c r="B31" s="73" t="str">
        <f>IFERROR(__xludf.DUMMYFUNCTION("""COMPUTED_VALUE"""),"Pooja Kit")</f>
        <v>Pooja Kit</v>
      </c>
      <c r="C31" s="73" t="str">
        <f>IFERROR(__xludf.DUMMYFUNCTION("""COMPUTED_VALUE"""),"Pooja Kit")</f>
        <v>Pooja Kit</v>
      </c>
      <c r="D31" s="73" t="str">
        <f>IFERROR(__xludf.DUMMYFUNCTION("""COMPUTED_VALUE"""),"102*70*152 | 4*2.75*6 inch")</f>
        <v>102*70*152 | 4*2.75*6 inch</v>
      </c>
      <c r="E31" s="77">
        <f>IFERROR(__xludf.DUMMYFUNCTION("""COMPUTED_VALUE"""),3.0)</f>
        <v>3</v>
      </c>
      <c r="F31" s="77">
        <f>IFERROR(__xludf.DUMMYFUNCTION("""COMPUTED_VALUE"""),1926.0)</f>
        <v>1926</v>
      </c>
      <c r="G31" s="77">
        <f>IFERROR(__xludf.DUMMYFUNCTION("""COMPUTED_VALUE"""),18.0)</f>
        <v>18</v>
      </c>
      <c r="H31" s="77">
        <f>IFERROR(__xludf.DUMMYFUNCTION("""COMPUTED_VALUE"""),25.0)</f>
        <v>25</v>
      </c>
      <c r="I31" s="77">
        <f>IFERROR(__xludf.DUMMYFUNCTION("""COMPUTED_VALUE"""),100.0)</f>
        <v>100</v>
      </c>
      <c r="J31" s="73"/>
      <c r="K31" s="73"/>
      <c r="L31" s="73"/>
      <c r="M31" s="77">
        <f>IFERROR(__xludf.DUMMYFUNCTION("""COMPUTED_VALUE"""),0.1)</f>
        <v>0.1</v>
      </c>
      <c r="N31" s="77">
        <f>IFERROR(__xludf.DUMMYFUNCTION("""COMPUTED_VALUE"""),1.0)</f>
        <v>1</v>
      </c>
      <c r="O31" s="49"/>
      <c r="P31" s="49" t="str">
        <f>IFERROR(__xludf.DUMMYFUNCTION("""COMPUTED_VALUE"""),"Offset")</f>
        <v>Offset</v>
      </c>
      <c r="Q31" s="49" t="str">
        <f>IFERROR(__xludf.DUMMYFUNCTION("""COMPUTED_VALUE"""),"Packaging")</f>
        <v>Packaging</v>
      </c>
      <c r="R31" s="49" t="str">
        <f>IFERROR(__xludf.DUMMYFUNCTION("""COMPUTED_VALUE"""),"Pooja Kit")</f>
        <v>Pooja Kit</v>
      </c>
    </row>
    <row r="32">
      <c r="A32" s="156" t="str">
        <f>IFERROR(__xludf.DUMMYFUNCTION("""COMPUTED_VALUE"""),"https://drive.google.com/open?id=1GBt_B_k1h_vfKZ5OlXJWbeseiJ0k1ebH&amp;authuser=jay.agg%40gmail.com&amp;usp=drive_fs")</f>
        <v>https://drive.google.com/open?id=1GBt_B_k1h_vfKZ5OlXJWbeseiJ0k1ebH&amp;authuser=jay.agg%40gmail.com&amp;usp=drive_fs</v>
      </c>
      <c r="B32" s="73" t="str">
        <f>IFERROR(__xludf.DUMMYFUNCTION("""COMPUTED_VALUE"""),"Hawan Box")</f>
        <v>Hawan Box</v>
      </c>
      <c r="C32" s="73" t="str">
        <f>IFERROR(__xludf.DUMMYFUNCTION("""COMPUTED_VALUE"""),"Hawan")</f>
        <v>Hawan</v>
      </c>
      <c r="D32" s="73" t="str">
        <f>IFERROR(__xludf.DUMMYFUNCTION("""COMPUTED_VALUE"""),"102*76*152 | 4*3*6 inch")</f>
        <v>102*76*152 | 4*3*6 inch</v>
      </c>
      <c r="E32" s="77">
        <f>IFERROR(__xludf.DUMMYFUNCTION("""COMPUTED_VALUE"""),2.0)</f>
        <v>2</v>
      </c>
      <c r="F32" s="77">
        <f>IFERROR(__xludf.DUMMYFUNCTION("""COMPUTED_VALUE"""),1926.0)</f>
        <v>1926</v>
      </c>
      <c r="G32" s="77">
        <f>IFERROR(__xludf.DUMMYFUNCTION("""COMPUTED_VALUE"""),15.5)</f>
        <v>15.5</v>
      </c>
      <c r="H32" s="77">
        <f>IFERROR(__xludf.DUMMYFUNCTION("""COMPUTED_VALUE"""),20.5)</f>
        <v>20.5</v>
      </c>
      <c r="I32" s="77">
        <f>IFERROR(__xludf.DUMMYFUNCTION("""COMPUTED_VALUE"""),100.0)</f>
        <v>100</v>
      </c>
      <c r="J32" s="73"/>
      <c r="K32" s="73"/>
      <c r="L32" s="73"/>
      <c r="M32" s="77">
        <f>IFERROR(__xludf.DUMMYFUNCTION("""COMPUTED_VALUE"""),0.1)</f>
        <v>0.1</v>
      </c>
      <c r="N32" s="77">
        <f>IFERROR(__xludf.DUMMYFUNCTION("""COMPUTED_VALUE"""),1.0)</f>
        <v>1</v>
      </c>
      <c r="O32" s="49"/>
      <c r="P32" s="49" t="str">
        <f>IFERROR(__xludf.DUMMYFUNCTION("""COMPUTED_VALUE"""),"Offset")</f>
        <v>Offset</v>
      </c>
      <c r="Q32" s="49" t="str">
        <f>IFERROR(__xludf.DUMMYFUNCTION("""COMPUTED_VALUE"""),"Packaging")</f>
        <v>Packaging</v>
      </c>
      <c r="R32" s="49" t="str">
        <f>IFERROR(__xludf.DUMMYFUNCTION("""COMPUTED_VALUE"""),"Hawan Box")</f>
        <v>Hawan Box</v>
      </c>
    </row>
    <row r="33">
      <c r="A33" s="156" t="str">
        <f>IFERROR(__xludf.DUMMYFUNCTION("""COMPUTED_VALUE"""),"https://drive.google.com/open?id=1GCxB2yKXfZmwVqVBKRIkC5j46Kq9mwIr&amp;authuser=jay.agg%40gmail.com&amp;usp=drive_fs")</f>
        <v>https://drive.google.com/open?id=1GCxB2yKXfZmwVqVBKRIkC5j46Kq9mwIr&amp;authuser=jay.agg%40gmail.com&amp;usp=drive_fs</v>
      </c>
      <c r="B33" s="73" t="str">
        <f>IFERROR(__xludf.DUMMYFUNCTION("""COMPUTED_VALUE"""),"HIT Chowk")</f>
        <v>HIT Chowk</v>
      </c>
      <c r="C33" s="73" t="str">
        <f>IFERROR(__xludf.DUMMYFUNCTION("""COMPUTED_VALUE"""),"Hit Chowk")</f>
        <v>Hit Chowk</v>
      </c>
      <c r="D33" s="73" t="str">
        <f>IFERROR(__xludf.DUMMYFUNCTION("""COMPUTED_VALUE"""),"25*25*76 | 1*1*3 inch")</f>
        <v>25*25*76 | 1*1*3 inch</v>
      </c>
      <c r="E33" s="77">
        <f>IFERROR(__xludf.DUMMYFUNCTION("""COMPUTED_VALUE"""),12.0)</f>
        <v>12</v>
      </c>
      <c r="F33" s="77">
        <f>IFERROR(__xludf.DUMMYFUNCTION("""COMPUTED_VALUE"""),1926.0)</f>
        <v>1926</v>
      </c>
      <c r="G33" s="77">
        <f>IFERROR(__xludf.DUMMYFUNCTION("""COMPUTED_VALUE"""),15.5)</f>
        <v>15.5</v>
      </c>
      <c r="H33" s="77">
        <f>IFERROR(__xludf.DUMMYFUNCTION("""COMPUTED_VALUE"""),20.5)</f>
        <v>20.5</v>
      </c>
      <c r="I33" s="77">
        <f>IFERROR(__xludf.DUMMYFUNCTION("""COMPUTED_VALUE"""),100.0)</f>
        <v>100</v>
      </c>
      <c r="J33" s="73"/>
      <c r="K33" s="73"/>
      <c r="L33" s="73"/>
      <c r="M33" s="77">
        <f>IFERROR(__xludf.DUMMYFUNCTION("""COMPUTED_VALUE"""),0.1)</f>
        <v>0.1</v>
      </c>
      <c r="N33" s="77">
        <f>IFERROR(__xludf.DUMMYFUNCTION("""COMPUTED_VALUE"""),1.0)</f>
        <v>1</v>
      </c>
      <c r="O33" s="49"/>
      <c r="P33" s="49" t="str">
        <f>IFERROR(__xludf.DUMMYFUNCTION("""COMPUTED_VALUE"""),"Offset")</f>
        <v>Offset</v>
      </c>
      <c r="Q33" s="49" t="str">
        <f>IFERROR(__xludf.DUMMYFUNCTION("""COMPUTED_VALUE"""),"Packaging")</f>
        <v>Packaging</v>
      </c>
      <c r="R33" s="49" t="str">
        <f>IFERROR(__xludf.DUMMYFUNCTION("""COMPUTED_VALUE"""),"HIT Chowk")</f>
        <v>HIT Chowk</v>
      </c>
    </row>
    <row r="34">
      <c r="A34" s="156" t="str">
        <f>IFERROR(__xludf.DUMMYFUNCTION("""COMPUTED_VALUE"""),"https://drive.google.com/open?id=1DnZDoBsaB9CT2JTn7xwvR1_LuYtu-Klt&amp;authuser=jay.agg%40gmail.com&amp;usp=drive_fs")</f>
        <v>https://drive.google.com/open?id=1DnZDoBsaB9CT2JTn7xwvR1_LuYtu-Klt&amp;authuser=jay.agg%40gmail.com&amp;usp=drive_fs</v>
      </c>
      <c r="B34" s="73" t="str">
        <f>IFERROR(__xludf.DUMMYFUNCTION("""COMPUTED_VALUE"""),"Agarbatti")</f>
        <v>Agarbatti</v>
      </c>
      <c r="C34" s="73" t="str">
        <f>IFERROR(__xludf.DUMMYFUNCTION("""COMPUTED_VALUE"""),"Single Box")</f>
        <v>Single Box</v>
      </c>
      <c r="D34" s="73" t="str">
        <f>IFERROR(__xludf.DUMMYFUNCTION("""COMPUTED_VALUE"""),"38*13*254 | 1.5*0.5*10 inch")</f>
        <v>38*13*254 | 1.5*0.5*10 inch</v>
      </c>
      <c r="E34" s="77">
        <f>IFERROR(__xludf.DUMMYFUNCTION("""COMPUTED_VALUE"""),8.0)</f>
        <v>8</v>
      </c>
      <c r="F34" s="77">
        <f>IFERROR(__xludf.DUMMYFUNCTION("""COMPUTED_VALUE"""),1926.0)</f>
        <v>1926</v>
      </c>
      <c r="G34" s="77">
        <f>IFERROR(__xludf.DUMMYFUNCTION("""COMPUTED_VALUE"""),18.0)</f>
        <v>18</v>
      </c>
      <c r="H34" s="77">
        <f>IFERROR(__xludf.DUMMYFUNCTION("""COMPUTED_VALUE"""),23.0)</f>
        <v>23</v>
      </c>
      <c r="I34" s="77">
        <f>IFERROR(__xludf.DUMMYFUNCTION("""COMPUTED_VALUE"""),100.0)</f>
        <v>100</v>
      </c>
      <c r="J34" s="73"/>
      <c r="K34" s="73"/>
      <c r="L34" s="73"/>
      <c r="M34" s="77">
        <f>IFERROR(__xludf.DUMMYFUNCTION("""COMPUTED_VALUE"""),0.1)</f>
        <v>0.1</v>
      </c>
      <c r="N34" s="77">
        <f>IFERROR(__xludf.DUMMYFUNCTION("""COMPUTED_VALUE"""),1.0)</f>
        <v>1</v>
      </c>
      <c r="O34" s="49"/>
      <c r="P34" s="49" t="str">
        <f>IFERROR(__xludf.DUMMYFUNCTION("""COMPUTED_VALUE"""),"Offset")</f>
        <v>Offset</v>
      </c>
      <c r="Q34" s="49" t="str">
        <f>IFERROR(__xludf.DUMMYFUNCTION("""COMPUTED_VALUE"""),"Packaging")</f>
        <v>Packaging</v>
      </c>
      <c r="R34" s="49" t="str">
        <f>IFERROR(__xludf.DUMMYFUNCTION("""COMPUTED_VALUE"""),"Agarbatti")</f>
        <v>Agarbatti</v>
      </c>
    </row>
    <row r="35">
      <c r="A35" s="73"/>
      <c r="B35" s="73" t="str">
        <f>IFERROR(__xludf.DUMMYFUNCTION("""COMPUTED_VALUE"""),"Agarbatti")</f>
        <v>Agarbatti</v>
      </c>
      <c r="C35" s="73" t="str">
        <f>IFERROR(__xludf.DUMMYFUNCTION("""COMPUTED_VALUE"""),"Rajguru")</f>
        <v>Rajguru</v>
      </c>
      <c r="D35" s="73" t="str">
        <f>IFERROR(__xludf.DUMMYFUNCTION("""COMPUTED_VALUE"""),"5*12 inch ")</f>
        <v>5*12 inch </v>
      </c>
      <c r="E35" s="77">
        <f>IFERROR(__xludf.DUMMYFUNCTION("""COMPUTED_VALUE"""),15.0)</f>
        <v>15</v>
      </c>
      <c r="F35" s="77">
        <f>IFERROR(__xludf.DUMMYFUNCTION("""COMPUTED_VALUE"""),2840.0)</f>
        <v>2840</v>
      </c>
      <c r="G35" s="77">
        <f>IFERROR(__xludf.DUMMYFUNCTION("""COMPUTED_VALUE"""),25.0)</f>
        <v>25</v>
      </c>
      <c r="H35" s="77">
        <f>IFERROR(__xludf.DUMMYFUNCTION("""COMPUTED_VALUE"""),36.0)</f>
        <v>36</v>
      </c>
      <c r="I35" s="77">
        <f>IFERROR(__xludf.DUMMYFUNCTION("""COMPUTED_VALUE"""),100.0)</f>
        <v>100</v>
      </c>
      <c r="J35" s="73"/>
      <c r="K35" s="73"/>
      <c r="L35" s="73"/>
      <c r="M35" s="77">
        <f>IFERROR(__xludf.DUMMYFUNCTION("""COMPUTED_VALUE"""),0.1)</f>
        <v>0.1</v>
      </c>
      <c r="N35" s="77">
        <f>IFERROR(__xludf.DUMMYFUNCTION("""COMPUTED_VALUE"""),1.0)</f>
        <v>1</v>
      </c>
      <c r="O35" s="49"/>
      <c r="P35" s="49" t="str">
        <f>IFERROR(__xludf.DUMMYFUNCTION("""COMPUTED_VALUE"""),"Offset")</f>
        <v>Offset</v>
      </c>
      <c r="Q35" s="49" t="str">
        <f>IFERROR(__xludf.DUMMYFUNCTION("""COMPUTED_VALUE"""),"Packaging")</f>
        <v>Packaging</v>
      </c>
      <c r="R35" s="49" t="str">
        <f>IFERROR(__xludf.DUMMYFUNCTION("""COMPUTED_VALUE"""),"Agarbatti")</f>
        <v>Agarbatti</v>
      </c>
    </row>
    <row r="36">
      <c r="A36" s="156" t="str">
        <f>IFERROR(__xludf.DUMMYFUNCTION("""COMPUTED_VALUE"""),"https://drive.google.com/open?id=1Dm5e43DgqVO8IjDtOOejR54gn1vbwO98&amp;authuser=jay.agg%40gmail.com&amp;usp=drive_fs")</f>
        <v>https://drive.google.com/open?id=1Dm5e43DgqVO8IjDtOOejR54gn1vbwO98&amp;authuser=jay.agg%40gmail.com&amp;usp=drive_fs</v>
      </c>
      <c r="B36" s="73" t="str">
        <f>IFERROR(__xludf.DUMMYFUNCTION("""COMPUTED_VALUE"""),"Agarbatti")</f>
        <v>Agarbatti</v>
      </c>
      <c r="C36" s="73" t="str">
        <f>IFERROR(__xludf.DUMMYFUNCTION("""COMPUTED_VALUE"""),"Single Box")</f>
        <v>Single Box</v>
      </c>
      <c r="D36" s="73" t="str">
        <f>IFERROR(__xludf.DUMMYFUNCTION("""COMPUTED_VALUE"""),"51*51*254 | 2*2*10 inch")</f>
        <v>51*51*254 | 2*2*10 inch</v>
      </c>
      <c r="E36" s="77">
        <f>IFERROR(__xludf.DUMMYFUNCTION("""COMPUTED_VALUE"""),4.0)</f>
        <v>4</v>
      </c>
      <c r="F36" s="77">
        <f>IFERROR(__xludf.DUMMYFUNCTION("""COMPUTED_VALUE"""),2029.0)</f>
        <v>2029</v>
      </c>
      <c r="G36" s="77">
        <f>IFERROR(__xludf.DUMMYFUNCTION("""COMPUTED_VALUE"""),17.5)</f>
        <v>17.5</v>
      </c>
      <c r="H36" s="77">
        <f>IFERROR(__xludf.DUMMYFUNCTION("""COMPUTED_VALUE"""),28.0)</f>
        <v>28</v>
      </c>
      <c r="I36" s="77">
        <f>IFERROR(__xludf.DUMMYFUNCTION("""COMPUTED_VALUE"""),100.0)</f>
        <v>100</v>
      </c>
      <c r="J36" s="73"/>
      <c r="K36" s="73"/>
      <c r="L36" s="73"/>
      <c r="M36" s="77">
        <f>IFERROR(__xludf.DUMMYFUNCTION("""COMPUTED_VALUE"""),0.1)</f>
        <v>0.1</v>
      </c>
      <c r="N36" s="77">
        <f>IFERROR(__xludf.DUMMYFUNCTION("""COMPUTED_VALUE"""),1.0)</f>
        <v>1</v>
      </c>
      <c r="O36" s="49"/>
      <c r="P36" s="49" t="str">
        <f>IFERROR(__xludf.DUMMYFUNCTION("""COMPUTED_VALUE"""),"Offset")</f>
        <v>Offset</v>
      </c>
      <c r="Q36" s="49" t="str">
        <f>IFERROR(__xludf.DUMMYFUNCTION("""COMPUTED_VALUE"""),"Packaging")</f>
        <v>Packaging</v>
      </c>
      <c r="R36" s="49" t="str">
        <f>IFERROR(__xludf.DUMMYFUNCTION("""COMPUTED_VALUE"""),"Agarbatti")</f>
        <v>Agarbatti</v>
      </c>
    </row>
    <row r="37">
      <c r="A37" s="156" t="str">
        <f>IFERROR(__xludf.DUMMYFUNCTION("""COMPUTED_VALUE"""),"https://drive.google.com/open?id=1Dg9ZjGTfkUzBXAHd-zCc9KzE5K7B-swK&amp;authuser=jay.agg%40gmail.com&amp;usp=drive_fs")</f>
        <v>https://drive.google.com/open?id=1Dg9ZjGTfkUzBXAHd-zCc9KzE5K7B-swK&amp;authuser=jay.agg%40gmail.com&amp;usp=drive_fs</v>
      </c>
      <c r="B37" s="73" t="str">
        <f>IFERROR(__xludf.DUMMYFUNCTION("""COMPUTED_VALUE"""),"Agarbatti")</f>
        <v>Agarbatti</v>
      </c>
      <c r="C37" s="73" t="str">
        <f>IFERROR(__xludf.DUMMYFUNCTION("""COMPUTED_VALUE"""),"Single Box")</f>
        <v>Single Box</v>
      </c>
      <c r="D37" s="73" t="str">
        <f>IFERROR(__xludf.DUMMYFUNCTION("""COMPUTED_VALUE"""),"25*80*280 | 1*3.15*11 inch")</f>
        <v>25*80*280 | 1*3.15*11 inch</v>
      </c>
      <c r="E37" s="77">
        <f>IFERROR(__xludf.DUMMYFUNCTION("""COMPUTED_VALUE"""),2.0)</f>
        <v>2</v>
      </c>
      <c r="F37" s="77">
        <f>IFERROR(__xludf.DUMMYFUNCTION("""COMPUTED_VALUE"""),1926.0)</f>
        <v>1926</v>
      </c>
      <c r="G37" s="77">
        <f>IFERROR(__xludf.DUMMYFUNCTION("""COMPUTED_VALUE"""),17.0)</f>
        <v>17</v>
      </c>
      <c r="H37" s="77">
        <f>IFERROR(__xludf.DUMMYFUNCTION("""COMPUTED_VALUE"""),18.0)</f>
        <v>18</v>
      </c>
      <c r="I37" s="77">
        <f>IFERROR(__xludf.DUMMYFUNCTION("""COMPUTED_VALUE"""),100.0)</f>
        <v>100</v>
      </c>
      <c r="J37" s="73"/>
      <c r="K37" s="73"/>
      <c r="L37" s="73"/>
      <c r="M37" s="77">
        <f>IFERROR(__xludf.DUMMYFUNCTION("""COMPUTED_VALUE"""),0.1)</f>
        <v>0.1</v>
      </c>
      <c r="N37" s="77">
        <f>IFERROR(__xludf.DUMMYFUNCTION("""COMPUTED_VALUE"""),1.0)</f>
        <v>1</v>
      </c>
      <c r="O37" s="49"/>
      <c r="P37" s="49" t="str">
        <f>IFERROR(__xludf.DUMMYFUNCTION("""COMPUTED_VALUE"""),"Offset")</f>
        <v>Offset</v>
      </c>
      <c r="Q37" s="49" t="str">
        <f>IFERROR(__xludf.DUMMYFUNCTION("""COMPUTED_VALUE"""),"Packaging")</f>
        <v>Packaging</v>
      </c>
      <c r="R37" s="49" t="str">
        <f>IFERROR(__xludf.DUMMYFUNCTION("""COMPUTED_VALUE"""),"Agarbatti")</f>
        <v>Agarbatti</v>
      </c>
    </row>
    <row r="38">
      <c r="A38" s="156" t="str">
        <f>IFERROR(__xludf.DUMMYFUNCTION("""COMPUTED_VALUE"""),"https://drive.google.com/open?id=1D7cSUBwpXbFSmlQoalN5f-EsWrfqJ_jX&amp;authuser=jay.agg%40gmail.com&amp;usp=drive_fs")</f>
        <v>https://drive.google.com/open?id=1D7cSUBwpXbFSmlQoalN5f-EsWrfqJ_jX&amp;authuser=jay.agg%40gmail.com&amp;usp=drive_fs</v>
      </c>
      <c r="B38" s="73" t="str">
        <f>IFERROR(__xludf.DUMMYFUNCTION("""COMPUTED_VALUE"""),"Dhoop")</f>
        <v>Dhoop</v>
      </c>
      <c r="C38" s="73" t="str">
        <f>IFERROR(__xludf.DUMMYFUNCTION("""COMPUTED_VALUE"""),"Single Box")</f>
        <v>Single Box</v>
      </c>
      <c r="D38" s="73" t="str">
        <f>IFERROR(__xludf.DUMMYFUNCTION("""COMPUTED_VALUE"""),"90*25*120 mm | 3.5*1*4.7 inch")</f>
        <v>90*25*120 mm | 3.5*1*4.7 inch</v>
      </c>
      <c r="E38" s="77">
        <f>IFERROR(__xludf.DUMMYFUNCTION("""COMPUTED_VALUE"""),6.0)</f>
        <v>6</v>
      </c>
      <c r="F38" s="77">
        <f>IFERROR(__xludf.DUMMYFUNCTION("""COMPUTED_VALUE"""),1926.0)</f>
        <v>1926</v>
      </c>
      <c r="G38" s="77">
        <f>IFERROR(__xludf.DUMMYFUNCTION("""COMPUTED_VALUE"""),20.0)</f>
        <v>20</v>
      </c>
      <c r="H38" s="77">
        <f>IFERROR(__xludf.DUMMYFUNCTION("""COMPUTED_VALUE"""),21.0)</f>
        <v>21</v>
      </c>
      <c r="I38" s="77">
        <f>IFERROR(__xludf.DUMMYFUNCTION("""COMPUTED_VALUE"""),100.0)</f>
        <v>100</v>
      </c>
      <c r="J38" s="73"/>
      <c r="K38" s="73"/>
      <c r="L38" s="73"/>
      <c r="M38" s="77">
        <f>IFERROR(__xludf.DUMMYFUNCTION("""COMPUTED_VALUE"""),0.1)</f>
        <v>0.1</v>
      </c>
      <c r="N38" s="77">
        <f>IFERROR(__xludf.DUMMYFUNCTION("""COMPUTED_VALUE"""),1.0)</f>
        <v>1</v>
      </c>
      <c r="O38" s="49"/>
      <c r="P38" s="49" t="str">
        <f>IFERROR(__xludf.DUMMYFUNCTION("""COMPUTED_VALUE"""),"Offset")</f>
        <v>Offset</v>
      </c>
      <c r="Q38" s="49" t="str">
        <f>IFERROR(__xludf.DUMMYFUNCTION("""COMPUTED_VALUE"""),"Packaging")</f>
        <v>Packaging</v>
      </c>
      <c r="R38" s="49" t="str">
        <f>IFERROR(__xludf.DUMMYFUNCTION("""COMPUTED_VALUE"""),"Dhoop")</f>
        <v>Dhoop</v>
      </c>
    </row>
    <row r="39">
      <c r="A39" s="156" t="str">
        <f>IFERROR(__xludf.DUMMYFUNCTION("""COMPUTED_VALUE"""),"https://drive.google.com/open?id=1GDNdPxYfqdi_G-3tzW0LB2oWA-Rdli4i&amp;authuser=jay.agg%40gmail.com&amp;usp=drive_fs")</f>
        <v>https://drive.google.com/open?id=1GDNdPxYfqdi_G-3tzW0LB2oWA-Rdli4i&amp;authuser=jay.agg%40gmail.com&amp;usp=drive_fs</v>
      </c>
      <c r="B39" s="73" t="str">
        <f>IFERROR(__xludf.DUMMYFUNCTION("""COMPUTED_VALUE"""),"Agarbatti")</f>
        <v>Agarbatti</v>
      </c>
      <c r="C39" s="73" t="str">
        <f>IFERROR(__xludf.DUMMYFUNCTION("""COMPUTED_VALUE"""),"Single Box")</f>
        <v>Single Box</v>
      </c>
      <c r="D39" s="73" t="str">
        <f>IFERROR(__xludf.DUMMYFUNCTION("""COMPUTED_VALUE"""),"44*16*252 mm | 1.7*0.6*10 inch")</f>
        <v>44*16*252 mm | 1.7*0.6*10 inch</v>
      </c>
      <c r="E39" s="77">
        <f>IFERROR(__xludf.DUMMYFUNCTION("""COMPUTED_VALUE"""),4.0)</f>
        <v>4</v>
      </c>
      <c r="F39" s="77">
        <f>IFERROR(__xludf.DUMMYFUNCTION("""COMPUTED_VALUE"""),1926.0)</f>
        <v>1926</v>
      </c>
      <c r="G39" s="77">
        <f>IFERROR(__xludf.DUMMYFUNCTION("""COMPUTED_VALUE"""),12.0)</f>
        <v>12</v>
      </c>
      <c r="H39" s="77">
        <f>IFERROR(__xludf.DUMMYFUNCTION("""COMPUTED_VALUE"""),24.0)</f>
        <v>24</v>
      </c>
      <c r="I39" s="77">
        <f>IFERROR(__xludf.DUMMYFUNCTION("""COMPUTED_VALUE"""),100.0)</f>
        <v>100</v>
      </c>
      <c r="J39" s="73"/>
      <c r="K39" s="73"/>
      <c r="L39" s="73"/>
      <c r="M39" s="77">
        <f>IFERROR(__xludf.DUMMYFUNCTION("""COMPUTED_VALUE"""),0.1)</f>
        <v>0.1</v>
      </c>
      <c r="N39" s="77">
        <f>IFERROR(__xludf.DUMMYFUNCTION("""COMPUTED_VALUE"""),1.0)</f>
        <v>1</v>
      </c>
      <c r="O39" s="49"/>
      <c r="P39" s="49" t="str">
        <f>IFERROR(__xludf.DUMMYFUNCTION("""COMPUTED_VALUE"""),"Offset")</f>
        <v>Offset</v>
      </c>
      <c r="Q39" s="49" t="str">
        <f>IFERROR(__xludf.DUMMYFUNCTION("""COMPUTED_VALUE"""),"Packaging")</f>
        <v>Packaging</v>
      </c>
      <c r="R39" s="49" t="str">
        <f>IFERROR(__xludf.DUMMYFUNCTION("""COMPUTED_VALUE"""),"Agarbatti")</f>
        <v>Agarbatti</v>
      </c>
    </row>
    <row r="40">
      <c r="A40" s="156" t="str">
        <f>IFERROR(__xludf.DUMMYFUNCTION("""COMPUTED_VALUE"""),"https://drive.google.com/open?id=1GEGzaNjUo_BxfNM3k9s55ATGaSAy-rs7&amp;authuser=jay.agg%40gmail.com&amp;usp=drive_fs")</f>
        <v>https://drive.google.com/open?id=1GEGzaNjUo_BxfNM3k9s55ATGaSAy-rs7&amp;authuser=jay.agg%40gmail.com&amp;usp=drive_fs</v>
      </c>
      <c r="B40" s="73" t="str">
        <f>IFERROR(__xludf.DUMMYFUNCTION("""COMPUTED_VALUE"""),"Agarbatti")</f>
        <v>Agarbatti</v>
      </c>
      <c r="C40" s="73" t="str">
        <f>IFERROR(__xludf.DUMMYFUNCTION("""COMPUTED_VALUE"""),"Outer")</f>
        <v>Outer</v>
      </c>
      <c r="D40" s="73" t="str">
        <f>IFERROR(__xludf.DUMMYFUNCTION("""COMPUTED_VALUE""")," 12 Box 44*16*252 mm | 1.7*0.6*10 inch")</f>
        <v> 12 Box 44*16*252 mm | 1.7*0.6*10 inch</v>
      </c>
      <c r="E40" s="77">
        <f>IFERROR(__xludf.DUMMYFUNCTION("""COMPUTED_VALUE"""),1.0)</f>
        <v>1</v>
      </c>
      <c r="F40" s="77">
        <f>IFERROR(__xludf.DUMMYFUNCTION("""COMPUTED_VALUE"""),1926.0)</f>
        <v>1926</v>
      </c>
      <c r="G40" s="77">
        <f>IFERROR(__xludf.DUMMYFUNCTION("""COMPUTED_VALUE"""),15.5)</f>
        <v>15.5</v>
      </c>
      <c r="H40" s="77">
        <f>IFERROR(__xludf.DUMMYFUNCTION("""COMPUTED_VALUE"""),20.5)</f>
        <v>20.5</v>
      </c>
      <c r="I40" s="77">
        <f>IFERROR(__xludf.DUMMYFUNCTION("""COMPUTED_VALUE"""),100.0)</f>
        <v>100</v>
      </c>
      <c r="J40" s="73"/>
      <c r="K40" s="73"/>
      <c r="L40" s="73"/>
      <c r="M40" s="77">
        <f>IFERROR(__xludf.DUMMYFUNCTION("""COMPUTED_VALUE"""),0.1)</f>
        <v>0.1</v>
      </c>
      <c r="N40" s="77">
        <f>IFERROR(__xludf.DUMMYFUNCTION("""COMPUTED_VALUE"""),1.0)</f>
        <v>1</v>
      </c>
      <c r="O40" s="49"/>
      <c r="P40" s="49" t="str">
        <f>IFERROR(__xludf.DUMMYFUNCTION("""COMPUTED_VALUE"""),"Offset")</f>
        <v>Offset</v>
      </c>
      <c r="Q40" s="49" t="str">
        <f>IFERROR(__xludf.DUMMYFUNCTION("""COMPUTED_VALUE"""),"Packaging")</f>
        <v>Packaging</v>
      </c>
      <c r="R40" s="49" t="str">
        <f>IFERROR(__xludf.DUMMYFUNCTION("""COMPUTED_VALUE"""),"Agarbatti")</f>
        <v>Agarbatti</v>
      </c>
    </row>
    <row r="41">
      <c r="A41" s="156" t="str">
        <f>IFERROR(__xludf.DUMMYFUNCTION("""COMPUTED_VALUE"""),"https://drive.google.com/open?id=1DjqKyDOS3dJVyvbtqu4AoCT1phEgsZnM&amp;authuser=jay.agg%40gmail.com&amp;usp=drive_fs")</f>
        <v>https://drive.google.com/open?id=1DjqKyDOS3dJVyvbtqu4AoCT1phEgsZnM&amp;authuser=jay.agg%40gmail.com&amp;usp=drive_fs</v>
      </c>
      <c r="B41" s="73" t="str">
        <f>IFERROR(__xludf.DUMMYFUNCTION("""COMPUTED_VALUE"""),"Agarbatti")</f>
        <v>Agarbatti</v>
      </c>
      <c r="C41" s="73" t="str">
        <f>IFERROR(__xludf.DUMMYFUNCTION("""COMPUTED_VALUE"""),"Single Box")</f>
        <v>Single Box</v>
      </c>
      <c r="D41" s="73" t="str">
        <f>IFERROR(__xludf.DUMMYFUNCTION("""COMPUTED_VALUE"""),"44.45*12.7*208 | 1.75*0.5*8.2 inches")</f>
        <v>44.45*12.7*208 | 1.75*0.5*8.2 inches</v>
      </c>
      <c r="E41" s="77">
        <f>IFERROR(__xludf.DUMMYFUNCTION("""COMPUTED_VALUE"""),6.0)</f>
        <v>6</v>
      </c>
      <c r="F41" s="77">
        <f>IFERROR(__xludf.DUMMYFUNCTION("""COMPUTED_VALUE"""),1926.0)</f>
        <v>1926</v>
      </c>
      <c r="G41" s="77">
        <f>IFERROR(__xludf.DUMMYFUNCTION("""COMPUTED_VALUE"""),15.0)</f>
        <v>15</v>
      </c>
      <c r="H41" s="77">
        <f>IFERROR(__xludf.DUMMYFUNCTION("""COMPUTED_VALUE"""),20.0)</f>
        <v>20</v>
      </c>
      <c r="I41" s="77">
        <f>IFERROR(__xludf.DUMMYFUNCTION("""COMPUTED_VALUE"""),100.0)</f>
        <v>100</v>
      </c>
      <c r="J41" s="73"/>
      <c r="K41" s="73"/>
      <c r="L41" s="73"/>
      <c r="M41" s="77">
        <f>IFERROR(__xludf.DUMMYFUNCTION("""COMPUTED_VALUE"""),0.1)</f>
        <v>0.1</v>
      </c>
      <c r="N41" s="77">
        <f>IFERROR(__xludf.DUMMYFUNCTION("""COMPUTED_VALUE"""),1.0)</f>
        <v>1</v>
      </c>
      <c r="O41" s="49"/>
      <c r="P41" s="49" t="str">
        <f>IFERROR(__xludf.DUMMYFUNCTION("""COMPUTED_VALUE"""),"Offset")</f>
        <v>Offset</v>
      </c>
      <c r="Q41" s="49" t="str">
        <f>IFERROR(__xludf.DUMMYFUNCTION("""COMPUTED_VALUE"""),"Packaging")</f>
        <v>Packaging</v>
      </c>
      <c r="R41" s="49" t="str">
        <f>IFERROR(__xludf.DUMMYFUNCTION("""COMPUTED_VALUE"""),"Agarbatti")</f>
        <v>Agarbatti</v>
      </c>
    </row>
    <row r="42">
      <c r="A42" s="73"/>
      <c r="B42" s="73" t="str">
        <f>IFERROR(__xludf.DUMMYFUNCTION("""COMPUTED_VALUE"""),"Agarbatti")</f>
        <v>Agarbatti</v>
      </c>
      <c r="C42" s="73" t="str">
        <f>IFERROR(__xludf.DUMMYFUNCTION("""COMPUTED_VALUE"""),"Single Box")</f>
        <v>Single Box</v>
      </c>
      <c r="D42" s="73" t="str">
        <f>IFERROR(__xludf.DUMMYFUNCTION("""COMPUTED_VALUE"""),"65*28*280 mm | 2.5*1*11 inch")</f>
        <v>65*28*280 mm | 2.5*1*11 inch</v>
      </c>
      <c r="E42" s="77">
        <f>IFERROR(__xludf.DUMMYFUNCTION("""COMPUTED_VALUE"""),3.0)</f>
        <v>3</v>
      </c>
      <c r="F42" s="77">
        <f>IFERROR(__xludf.DUMMYFUNCTION("""COMPUTED_VALUE"""),1926.0)</f>
        <v>1926</v>
      </c>
      <c r="G42" s="77">
        <f>IFERROR(__xludf.DUMMYFUNCTION("""COMPUTED_VALUE"""),15.0)</f>
        <v>15</v>
      </c>
      <c r="H42" s="77">
        <f>IFERROR(__xludf.DUMMYFUNCTION("""COMPUTED_VALUE"""),25.0)</f>
        <v>25</v>
      </c>
      <c r="I42" s="77">
        <f>IFERROR(__xludf.DUMMYFUNCTION("""COMPUTED_VALUE"""),100.0)</f>
        <v>100</v>
      </c>
      <c r="J42" s="73"/>
      <c r="K42" s="73"/>
      <c r="L42" s="73"/>
      <c r="M42" s="77">
        <f>IFERROR(__xludf.DUMMYFUNCTION("""COMPUTED_VALUE"""),0.1)</f>
        <v>0.1</v>
      </c>
      <c r="N42" s="77">
        <f>IFERROR(__xludf.DUMMYFUNCTION("""COMPUTED_VALUE"""),1.0)</f>
        <v>1</v>
      </c>
      <c r="O42" s="49"/>
      <c r="P42" s="49" t="str">
        <f>IFERROR(__xludf.DUMMYFUNCTION("""COMPUTED_VALUE"""),"Offset")</f>
        <v>Offset</v>
      </c>
      <c r="Q42" s="49" t="str">
        <f>IFERROR(__xludf.DUMMYFUNCTION("""COMPUTED_VALUE"""),"Packaging")</f>
        <v>Packaging</v>
      </c>
      <c r="R42" s="49" t="str">
        <f>IFERROR(__xludf.DUMMYFUNCTION("""COMPUTED_VALUE"""),"Agarbatti")</f>
        <v>Agarbatti</v>
      </c>
    </row>
    <row r="43">
      <c r="A43" s="73"/>
      <c r="B43" s="73" t="str">
        <f>IFERROR(__xludf.DUMMYFUNCTION("""COMPUTED_VALUE"""),"Agarbatti")</f>
        <v>Agarbatti</v>
      </c>
      <c r="C43" s="73" t="str">
        <f>IFERROR(__xludf.DUMMYFUNCTION("""COMPUTED_VALUE"""),"Single Box")</f>
        <v>Single Box</v>
      </c>
      <c r="D43" s="73" t="str">
        <f>IFERROR(__xludf.DUMMYFUNCTION("""COMPUTED_VALUE"""),"3 in 1 | 65*21*280 mm | 2.5*0.8*11 inch")</f>
        <v>3 in 1 | 65*21*280 mm | 2.5*0.8*11 inch</v>
      </c>
      <c r="E43" s="77">
        <f>IFERROR(__xludf.DUMMYFUNCTION("""COMPUTED_VALUE"""),3.0)</f>
        <v>3</v>
      </c>
      <c r="F43" s="77">
        <f>IFERROR(__xludf.DUMMYFUNCTION("""COMPUTED_VALUE"""),1926.0)</f>
        <v>1926</v>
      </c>
      <c r="G43" s="77">
        <f>IFERROR(__xludf.DUMMYFUNCTION("""COMPUTED_VALUE"""),14.0)</f>
        <v>14</v>
      </c>
      <c r="H43" s="77">
        <f>IFERROR(__xludf.DUMMYFUNCTION("""COMPUTED_VALUE"""),22.0)</f>
        <v>22</v>
      </c>
      <c r="I43" s="77">
        <f>IFERROR(__xludf.DUMMYFUNCTION("""COMPUTED_VALUE"""),100.0)</f>
        <v>100</v>
      </c>
      <c r="J43" s="73"/>
      <c r="K43" s="73"/>
      <c r="L43" s="73"/>
      <c r="M43" s="77">
        <f>IFERROR(__xludf.DUMMYFUNCTION("""COMPUTED_VALUE"""),0.1)</f>
        <v>0.1</v>
      </c>
      <c r="N43" s="77">
        <f>IFERROR(__xludf.DUMMYFUNCTION("""COMPUTED_VALUE"""),1.0)</f>
        <v>1</v>
      </c>
      <c r="O43" s="49"/>
      <c r="P43" s="49" t="str">
        <f>IFERROR(__xludf.DUMMYFUNCTION("""COMPUTED_VALUE"""),"Offset")</f>
        <v>Offset</v>
      </c>
      <c r="Q43" s="49" t="str">
        <f>IFERROR(__xludf.DUMMYFUNCTION("""COMPUTED_VALUE"""),"Packaging")</f>
        <v>Packaging</v>
      </c>
      <c r="R43" s="49" t="str">
        <f>IFERROR(__xludf.DUMMYFUNCTION("""COMPUTED_VALUE"""),"Agarbatti")</f>
        <v>Agarbatti</v>
      </c>
    </row>
    <row r="44">
      <c r="A44" s="156" t="str">
        <f>IFERROR(__xludf.DUMMYFUNCTION("""COMPUTED_VALUE"""),"https://drive.google.com/open?id=1EqycQfHYTkPbvYYglMH_ol7H2aDRus3z&amp;authuser=jay.agg%40gmail.com&amp;usp=drive_fs")</f>
        <v>https://drive.google.com/open?id=1EqycQfHYTkPbvYYglMH_ol7H2aDRus3z&amp;authuser=jay.agg%40gmail.com&amp;usp=drive_fs</v>
      </c>
      <c r="B44" s="73" t="str">
        <f>IFERROR(__xludf.DUMMYFUNCTION("""COMPUTED_VALUE"""),"Agarbatti")</f>
        <v>Agarbatti</v>
      </c>
      <c r="C44" s="73" t="str">
        <f>IFERROR(__xludf.DUMMYFUNCTION("""COMPUTED_VALUE"""),"Outer")</f>
        <v>Outer</v>
      </c>
      <c r="D44" s="73" t="str">
        <f>IFERROR(__xludf.DUMMYFUNCTION("""COMPUTED_VALUE""")," 12 Box  42*12*252 mm")</f>
        <v> 12 Box  42*12*252 mm</v>
      </c>
      <c r="E44" s="77">
        <f>IFERROR(__xludf.DUMMYFUNCTION("""COMPUTED_VALUE"""),2.0)</f>
        <v>2</v>
      </c>
      <c r="F44" s="77">
        <f>IFERROR(__xludf.DUMMYFUNCTION("""COMPUTED_VALUE"""),1926.0)</f>
        <v>1926</v>
      </c>
      <c r="G44" s="77">
        <f>IFERROR(__xludf.DUMMYFUNCTION("""COMPUTED_VALUE"""),14.0)</f>
        <v>14</v>
      </c>
      <c r="H44" s="77">
        <f>IFERROR(__xludf.DUMMYFUNCTION("""COMPUTED_VALUE"""),31.0)</f>
        <v>31</v>
      </c>
      <c r="I44" s="77">
        <f>IFERROR(__xludf.DUMMYFUNCTION("""COMPUTED_VALUE"""),100.0)</f>
        <v>100</v>
      </c>
      <c r="J44" s="73"/>
      <c r="K44" s="73"/>
      <c r="L44" s="73"/>
      <c r="M44" s="77">
        <f>IFERROR(__xludf.DUMMYFUNCTION("""COMPUTED_VALUE"""),0.1)</f>
        <v>0.1</v>
      </c>
      <c r="N44" s="77">
        <f>IFERROR(__xludf.DUMMYFUNCTION("""COMPUTED_VALUE"""),1.0)</f>
        <v>1</v>
      </c>
      <c r="O44" s="49"/>
      <c r="P44" s="49" t="str">
        <f>IFERROR(__xludf.DUMMYFUNCTION("""COMPUTED_VALUE"""),"Offset")</f>
        <v>Offset</v>
      </c>
      <c r="Q44" s="49" t="str">
        <f>IFERROR(__xludf.DUMMYFUNCTION("""COMPUTED_VALUE"""),"Packaging")</f>
        <v>Packaging</v>
      </c>
      <c r="R44" s="49" t="str">
        <f>IFERROR(__xludf.DUMMYFUNCTION("""COMPUTED_VALUE"""),"Agarbatti")</f>
        <v>Agarbatti</v>
      </c>
    </row>
    <row r="45">
      <c r="A45" s="156" t="str">
        <f>IFERROR(__xludf.DUMMYFUNCTION("""COMPUTED_VALUE"""),"https://drive.google.com/open?id=1CyHwrtsSG4fy30WLKEPUuAAvRgiQfPH3&amp;authuser=jay.agg%40gmail.com&amp;usp=drive_fs")</f>
        <v>https://drive.google.com/open?id=1CyHwrtsSG4fy30WLKEPUuAAvRgiQfPH3&amp;authuser=jay.agg%40gmail.com&amp;usp=drive_fs</v>
      </c>
      <c r="B45" s="73" t="str">
        <f>IFERROR(__xludf.DUMMYFUNCTION("""COMPUTED_VALUE"""),"Gugal Loban Cup")</f>
        <v>Gugal Loban Cup</v>
      </c>
      <c r="C45" s="73" t="str">
        <f>IFERROR(__xludf.DUMMYFUNCTION("""COMPUTED_VALUE"""),"Single Box")</f>
        <v>Single Box</v>
      </c>
      <c r="D45" s="73" t="str">
        <f>IFERROR(__xludf.DUMMYFUNCTION("""COMPUTED_VALUE"""),"130*30*176 mm | 5.1*1.2*7 inch")</f>
        <v>130*30*176 mm | 5.1*1.2*7 inch</v>
      </c>
      <c r="E45" s="77">
        <f>IFERROR(__xludf.DUMMYFUNCTION("""COMPUTED_VALUE"""),2.0)</f>
        <v>2</v>
      </c>
      <c r="F45" s="77">
        <f>IFERROR(__xludf.DUMMYFUNCTION("""COMPUTED_VALUE"""),1926.0)</f>
        <v>1926</v>
      </c>
      <c r="G45" s="77">
        <f>IFERROR(__xludf.DUMMYFUNCTION("""COMPUTED_VALUE"""),14.0)</f>
        <v>14</v>
      </c>
      <c r="H45" s="77">
        <f>IFERROR(__xludf.DUMMYFUNCTION("""COMPUTED_VALUE"""),20.0)</f>
        <v>20</v>
      </c>
      <c r="I45" s="77">
        <f>IFERROR(__xludf.DUMMYFUNCTION("""COMPUTED_VALUE"""),100.0)</f>
        <v>100</v>
      </c>
      <c r="J45" s="73"/>
      <c r="K45" s="73"/>
      <c r="L45" s="73"/>
      <c r="M45" s="77">
        <f>IFERROR(__xludf.DUMMYFUNCTION("""COMPUTED_VALUE"""),0.1)</f>
        <v>0.1</v>
      </c>
      <c r="N45" s="77">
        <f>IFERROR(__xludf.DUMMYFUNCTION("""COMPUTED_VALUE"""),1.0)</f>
        <v>1</v>
      </c>
      <c r="O45" s="49"/>
      <c r="P45" s="49" t="str">
        <f>IFERROR(__xludf.DUMMYFUNCTION("""COMPUTED_VALUE"""),"Offset")</f>
        <v>Offset</v>
      </c>
      <c r="Q45" s="49" t="str">
        <f>IFERROR(__xludf.DUMMYFUNCTION("""COMPUTED_VALUE"""),"Packaging")</f>
        <v>Packaging</v>
      </c>
      <c r="R45" s="49" t="str">
        <f>IFERROR(__xludf.DUMMYFUNCTION("""COMPUTED_VALUE"""),"Gugal Loban Cup")</f>
        <v>Gugal Loban Cup</v>
      </c>
    </row>
    <row r="46">
      <c r="A46" s="156" t="str">
        <f>IFERROR(__xludf.DUMMYFUNCTION("""COMPUTED_VALUE"""),"https://drive.google.com/open?id=1CyfW9rEWvFadJ9Lady9kv07czIvLcPfA&amp;authuser=jay.agg%40gmail.com&amp;usp=drive_fs")</f>
        <v>https://drive.google.com/open?id=1CyfW9rEWvFadJ9Lady9kv07czIvLcPfA&amp;authuser=jay.agg%40gmail.com&amp;usp=drive_fs</v>
      </c>
      <c r="B46" s="73" t="str">
        <f>IFERROR(__xludf.DUMMYFUNCTION("""COMPUTED_VALUE"""),"Gugal Loban Cup")</f>
        <v>Gugal Loban Cup</v>
      </c>
      <c r="C46" s="73" t="str">
        <f>IFERROR(__xludf.DUMMYFUNCTION("""COMPUTED_VALUE"""),"Tray Gugal Loban")</f>
        <v>Tray Gugal Loban</v>
      </c>
      <c r="D46" s="73" t="str">
        <f>IFERROR(__xludf.DUMMYFUNCTION("""COMPUTED_VALUE"""),"Tray Gugal 12Cups")</f>
        <v>Tray Gugal 12Cups</v>
      </c>
      <c r="E46" s="77">
        <f>IFERROR(__xludf.DUMMYFUNCTION("""COMPUTED_VALUE"""),6.0)</f>
        <v>6</v>
      </c>
      <c r="F46" s="77">
        <f>IFERROR(__xludf.DUMMYFUNCTION("""COMPUTED_VALUE"""),1926.0)</f>
        <v>1926</v>
      </c>
      <c r="G46" s="77">
        <f>IFERROR(__xludf.DUMMYFUNCTION("""COMPUTED_VALUE"""),15.0)</f>
        <v>15</v>
      </c>
      <c r="H46" s="77">
        <f>IFERROR(__xludf.DUMMYFUNCTION("""COMPUTED_VALUE"""),20.0)</f>
        <v>20</v>
      </c>
      <c r="I46" s="77">
        <f>IFERROR(__xludf.DUMMYFUNCTION("""COMPUTED_VALUE"""),100.0)</f>
        <v>100</v>
      </c>
      <c r="J46" s="73"/>
      <c r="K46" s="73"/>
      <c r="L46" s="73"/>
      <c r="M46" s="77"/>
      <c r="N46" s="77">
        <f>IFERROR(__xludf.DUMMYFUNCTION("""COMPUTED_VALUE"""),1.0)</f>
        <v>1</v>
      </c>
      <c r="O46" s="49"/>
      <c r="P46" s="49" t="str">
        <f>IFERROR(__xludf.DUMMYFUNCTION("""COMPUTED_VALUE"""),"Offset")</f>
        <v>Offset</v>
      </c>
      <c r="Q46" s="49" t="str">
        <f>IFERROR(__xludf.DUMMYFUNCTION("""COMPUTED_VALUE"""),"Packaging")</f>
        <v>Packaging</v>
      </c>
      <c r="R46" s="49" t="str">
        <f>IFERROR(__xludf.DUMMYFUNCTION("""COMPUTED_VALUE"""),"Gugal Loban Cup")</f>
        <v>Gugal Loban Cup</v>
      </c>
    </row>
    <row r="47">
      <c r="A47" s="73"/>
      <c r="B47" s="73" t="str">
        <f>IFERROR(__xludf.DUMMYFUNCTION("""COMPUTED_VALUE"""),"Dhoop")</f>
        <v>Dhoop</v>
      </c>
      <c r="C47" s="73" t="str">
        <f>IFERROR(__xludf.DUMMYFUNCTION("""COMPUTED_VALUE"""),"Single Box")</f>
        <v>Single Box</v>
      </c>
      <c r="D47" s="73" t="str">
        <f>IFERROR(__xludf.DUMMYFUNCTION("""COMPUTED_VALUE"""),"82*38*127 mm | 3.2*1.5*5 inch")</f>
        <v>82*38*127 mm | 3.2*1.5*5 inch</v>
      </c>
      <c r="E47" s="77">
        <f>IFERROR(__xludf.DUMMYFUNCTION("""COMPUTED_VALUE"""),4.0)</f>
        <v>4</v>
      </c>
      <c r="F47" s="77">
        <f>IFERROR(__xludf.DUMMYFUNCTION("""COMPUTED_VALUE"""),1926.0)</f>
        <v>1926</v>
      </c>
      <c r="G47" s="77">
        <f>IFERROR(__xludf.DUMMYFUNCTION("""COMPUTED_VALUE"""),18.0)</f>
        <v>18</v>
      </c>
      <c r="H47" s="77">
        <f>IFERROR(__xludf.DUMMYFUNCTION("""COMPUTED_VALUE"""),21.0)</f>
        <v>21</v>
      </c>
      <c r="I47" s="77">
        <f>IFERROR(__xludf.DUMMYFUNCTION("""COMPUTED_VALUE"""),100.0)</f>
        <v>100</v>
      </c>
      <c r="J47" s="73"/>
      <c r="K47" s="73"/>
      <c r="L47" s="73"/>
      <c r="M47" s="77">
        <f>IFERROR(__xludf.DUMMYFUNCTION("""COMPUTED_VALUE"""),0.1)</f>
        <v>0.1</v>
      </c>
      <c r="N47" s="77">
        <f>IFERROR(__xludf.DUMMYFUNCTION("""COMPUTED_VALUE"""),1.0)</f>
        <v>1</v>
      </c>
      <c r="O47" s="49"/>
      <c r="P47" s="49" t="str">
        <f>IFERROR(__xludf.DUMMYFUNCTION("""COMPUTED_VALUE"""),"Offset")</f>
        <v>Offset</v>
      </c>
      <c r="Q47" s="49" t="str">
        <f>IFERROR(__xludf.DUMMYFUNCTION("""COMPUTED_VALUE"""),"Packaging")</f>
        <v>Packaging</v>
      </c>
      <c r="R47" s="49" t="str">
        <f>IFERROR(__xludf.DUMMYFUNCTION("""COMPUTED_VALUE"""),"Dhoop")</f>
        <v>Dhoop</v>
      </c>
    </row>
    <row r="48">
      <c r="A48" s="73"/>
      <c r="B48" s="73" t="str">
        <f>IFERROR(__xludf.DUMMYFUNCTION("""COMPUTED_VALUE"""),"Dhoop")</f>
        <v>Dhoop</v>
      </c>
      <c r="C48" s="73" t="str">
        <f>IFERROR(__xludf.DUMMYFUNCTION("""COMPUTED_VALUE"""),"Single Box")</f>
        <v>Single Box</v>
      </c>
      <c r="D48" s="73" t="str">
        <f>IFERROR(__xludf.DUMMYFUNCTION("""COMPUTED_VALUE"""),"70*30*115 mm | 2.75*1.2*4.5 inch")</f>
        <v>70*30*115 mm | 2.75*1.2*4.5 inch</v>
      </c>
      <c r="E48" s="77">
        <f>IFERROR(__xludf.DUMMYFUNCTION("""COMPUTED_VALUE"""),6.0)</f>
        <v>6</v>
      </c>
      <c r="F48" s="77">
        <f>IFERROR(__xludf.DUMMYFUNCTION("""COMPUTED_VALUE"""),1926.0)</f>
        <v>1926</v>
      </c>
      <c r="G48" s="77">
        <f>IFERROR(__xludf.DUMMYFUNCTION("""COMPUTED_VALUE"""),18.0)</f>
        <v>18</v>
      </c>
      <c r="H48" s="77">
        <f>IFERROR(__xludf.DUMMYFUNCTION("""COMPUTED_VALUE"""),21.0)</f>
        <v>21</v>
      </c>
      <c r="I48" s="77">
        <f>IFERROR(__xludf.DUMMYFUNCTION("""COMPUTED_VALUE"""),100.0)</f>
        <v>100</v>
      </c>
      <c r="J48" s="73"/>
      <c r="K48" s="73"/>
      <c r="L48" s="73"/>
      <c r="M48" s="77">
        <f>IFERROR(__xludf.DUMMYFUNCTION("""COMPUTED_VALUE"""),0.1)</f>
        <v>0.1</v>
      </c>
      <c r="N48" s="77">
        <f>IFERROR(__xludf.DUMMYFUNCTION("""COMPUTED_VALUE"""),1.0)</f>
        <v>1</v>
      </c>
      <c r="O48" s="49"/>
      <c r="P48" s="49" t="str">
        <f>IFERROR(__xludf.DUMMYFUNCTION("""COMPUTED_VALUE"""),"Offset")</f>
        <v>Offset</v>
      </c>
      <c r="Q48" s="49" t="str">
        <f>IFERROR(__xludf.DUMMYFUNCTION("""COMPUTED_VALUE"""),"Packaging")</f>
        <v>Packaging</v>
      </c>
      <c r="R48" s="49" t="str">
        <f>IFERROR(__xludf.DUMMYFUNCTION("""COMPUTED_VALUE"""),"Dhoop")</f>
        <v>Dhoop</v>
      </c>
    </row>
    <row r="49">
      <c r="A49" s="73"/>
      <c r="B49" s="73" t="str">
        <f>IFERROR(__xludf.DUMMYFUNCTION("""COMPUTED_VALUE"""),"Dhoop")</f>
        <v>Dhoop</v>
      </c>
      <c r="C49" s="73" t="str">
        <f>IFERROR(__xludf.DUMMYFUNCTION("""COMPUTED_VALUE"""),"Single Box")</f>
        <v>Single Box</v>
      </c>
      <c r="D49" s="73" t="str">
        <f>IFERROR(__xludf.DUMMYFUNCTION("""COMPUTED_VALUE"""),"64*20*97 mm | 2.5*0.8*3.8 inch")</f>
        <v>64*20*97 mm | 2.5*0.8*3.8 inch</v>
      </c>
      <c r="E49" s="77">
        <f>IFERROR(__xludf.DUMMYFUNCTION("""COMPUTED_VALUE"""),9.0)</f>
        <v>9</v>
      </c>
      <c r="F49" s="77">
        <f>IFERROR(__xludf.DUMMYFUNCTION("""COMPUTED_VALUE"""),1926.0)</f>
        <v>1926</v>
      </c>
      <c r="G49" s="77">
        <f>IFERROR(__xludf.DUMMYFUNCTION("""COMPUTED_VALUE"""),18.0)</f>
        <v>18</v>
      </c>
      <c r="H49" s="77">
        <f>IFERROR(__xludf.DUMMYFUNCTION("""COMPUTED_VALUE"""),23.0)</f>
        <v>23</v>
      </c>
      <c r="I49" s="77">
        <f>IFERROR(__xludf.DUMMYFUNCTION("""COMPUTED_VALUE"""),100.0)</f>
        <v>100</v>
      </c>
      <c r="J49" s="73"/>
      <c r="K49" s="73"/>
      <c r="L49" s="73"/>
      <c r="M49" s="77">
        <f>IFERROR(__xludf.DUMMYFUNCTION("""COMPUTED_VALUE"""),0.1)</f>
        <v>0.1</v>
      </c>
      <c r="N49" s="77">
        <f>IFERROR(__xludf.DUMMYFUNCTION("""COMPUTED_VALUE"""),1.0)</f>
        <v>1</v>
      </c>
      <c r="O49" s="49"/>
      <c r="P49" s="49" t="str">
        <f>IFERROR(__xludf.DUMMYFUNCTION("""COMPUTED_VALUE"""),"Offset")</f>
        <v>Offset</v>
      </c>
      <c r="Q49" s="49" t="str">
        <f>IFERROR(__xludf.DUMMYFUNCTION("""COMPUTED_VALUE"""),"Packaging")</f>
        <v>Packaging</v>
      </c>
      <c r="R49" s="49" t="str">
        <f>IFERROR(__xludf.DUMMYFUNCTION("""COMPUTED_VALUE"""),"Dhoop")</f>
        <v>Dhoop</v>
      </c>
    </row>
    <row r="50">
      <c r="A50" s="156" t="str">
        <f>IFERROR(__xludf.DUMMYFUNCTION("""COMPUTED_VALUE"""),"https://drive.google.com/open?id=1Dk5dvXJIPwhXsvQJ9xpk6CmOfbJD_QWL&amp;authuser=jay.agg%40gmail.com&amp;usp=drive_fs")</f>
        <v>https://drive.google.com/open?id=1Dk5dvXJIPwhXsvQJ9xpk6CmOfbJD_QWL&amp;authuser=jay.agg%40gmail.com&amp;usp=drive_fs</v>
      </c>
      <c r="B50" s="73" t="str">
        <f>IFERROR(__xludf.DUMMYFUNCTION("""COMPUTED_VALUE"""),"Agarbatti")</f>
        <v>Agarbatti</v>
      </c>
      <c r="C50" s="73" t="str">
        <f>IFERROR(__xludf.DUMMYFUNCTION("""COMPUTED_VALUE"""),"Single Box")</f>
        <v>Single Box</v>
      </c>
      <c r="D50" s="73" t="str">
        <f>IFERROR(__xludf.DUMMYFUNCTION("""COMPUTED_VALUE"""),"51*19*254 | 2*0.75*10 inch")</f>
        <v>51*19*254 | 2*0.75*10 inch</v>
      </c>
      <c r="E50" s="77">
        <f>IFERROR(__xludf.DUMMYFUNCTION("""COMPUTED_VALUE"""),6.0)</f>
        <v>6</v>
      </c>
      <c r="F50" s="77">
        <f>IFERROR(__xludf.DUMMYFUNCTION("""COMPUTED_VALUE"""),1926.0)</f>
        <v>1926</v>
      </c>
      <c r="G50" s="77">
        <f>IFERROR(__xludf.DUMMYFUNCTION("""COMPUTED_VALUE"""),18.0)</f>
        <v>18</v>
      </c>
      <c r="H50" s="77">
        <f>IFERROR(__xludf.DUMMYFUNCTION("""COMPUTED_VALUE"""),24.0)</f>
        <v>24</v>
      </c>
      <c r="I50" s="77">
        <f>IFERROR(__xludf.DUMMYFUNCTION("""COMPUTED_VALUE"""),100.0)</f>
        <v>100</v>
      </c>
      <c r="J50" s="73"/>
      <c r="K50" s="73"/>
      <c r="L50" s="73"/>
      <c r="M50" s="77">
        <f>IFERROR(__xludf.DUMMYFUNCTION("""COMPUTED_VALUE"""),0.1)</f>
        <v>0.1</v>
      </c>
      <c r="N50" s="77">
        <f>IFERROR(__xludf.DUMMYFUNCTION("""COMPUTED_VALUE"""),1.0)</f>
        <v>1</v>
      </c>
      <c r="O50" s="49"/>
      <c r="P50" s="49" t="str">
        <f>IFERROR(__xludf.DUMMYFUNCTION("""COMPUTED_VALUE"""),"Offset")</f>
        <v>Offset</v>
      </c>
      <c r="Q50" s="49" t="str">
        <f>IFERROR(__xludf.DUMMYFUNCTION("""COMPUTED_VALUE"""),"Packaging")</f>
        <v>Packaging</v>
      </c>
      <c r="R50" s="49" t="str">
        <f>IFERROR(__xludf.DUMMYFUNCTION("""COMPUTED_VALUE"""),"Agarbatti")</f>
        <v>Agarbatti</v>
      </c>
    </row>
    <row r="51">
      <c r="A51" s="156" t="str">
        <f>IFERROR(__xludf.DUMMYFUNCTION("""COMPUTED_VALUE"""),"https://drive.google.com/open?id=1D_wZismbD5BbfVCsvFsaAKAJTcQeG0Il&amp;authuser=jay.agg%40gmail.com&amp;usp=drive_fs")</f>
        <v>https://drive.google.com/open?id=1D_wZismbD5BbfVCsvFsaAKAJTcQeG0Il&amp;authuser=jay.agg%40gmail.com&amp;usp=drive_fs</v>
      </c>
      <c r="B51" s="73" t="str">
        <f>IFERROR(__xludf.DUMMYFUNCTION("""COMPUTED_VALUE"""),"Agarbatti")</f>
        <v>Agarbatti</v>
      </c>
      <c r="C51" s="73" t="str">
        <f>IFERROR(__xludf.DUMMYFUNCTION("""COMPUTED_VALUE"""),"Single Box")</f>
        <v>Single Box</v>
      </c>
      <c r="D51" s="73" t="str">
        <f>IFERROR(__xludf.DUMMYFUNCTION("""COMPUTED_VALUE"""),"10 Sticks 35*15*256 mm | 1.4*0.5*10 inch")</f>
        <v>10 Sticks 35*15*256 mm | 1.4*0.5*10 inch</v>
      </c>
      <c r="E51" s="77">
        <f>IFERROR(__xludf.DUMMYFUNCTION("""COMPUTED_VALUE"""),8.0)</f>
        <v>8</v>
      </c>
      <c r="F51" s="77">
        <f>IFERROR(__xludf.DUMMYFUNCTION("""COMPUTED_VALUE"""),1926.0)</f>
        <v>1926</v>
      </c>
      <c r="G51" s="77">
        <f>IFERROR(__xludf.DUMMYFUNCTION("""COMPUTED_VALUE"""),18.0)</f>
        <v>18</v>
      </c>
      <c r="H51" s="77">
        <f>IFERROR(__xludf.DUMMYFUNCTION("""COMPUTED_VALUE"""),24.0)</f>
        <v>24</v>
      </c>
      <c r="I51" s="77">
        <f>IFERROR(__xludf.DUMMYFUNCTION("""COMPUTED_VALUE"""),100.0)</f>
        <v>100</v>
      </c>
      <c r="J51" s="73"/>
      <c r="K51" s="73"/>
      <c r="L51" s="73"/>
      <c r="M51" s="77">
        <f>IFERROR(__xludf.DUMMYFUNCTION("""COMPUTED_VALUE"""),0.1)</f>
        <v>0.1</v>
      </c>
      <c r="N51" s="77">
        <f>IFERROR(__xludf.DUMMYFUNCTION("""COMPUTED_VALUE"""),1.0)</f>
        <v>1</v>
      </c>
      <c r="O51" s="49"/>
      <c r="P51" s="49" t="str">
        <f>IFERROR(__xludf.DUMMYFUNCTION("""COMPUTED_VALUE"""),"Offset")</f>
        <v>Offset</v>
      </c>
      <c r="Q51" s="49" t="str">
        <f>IFERROR(__xludf.DUMMYFUNCTION("""COMPUTED_VALUE"""),"Packaging")</f>
        <v>Packaging</v>
      </c>
      <c r="R51" s="49" t="str">
        <f>IFERROR(__xludf.DUMMYFUNCTION("""COMPUTED_VALUE"""),"Agarbatti")</f>
        <v>Agarbatti</v>
      </c>
    </row>
    <row r="52">
      <c r="A52" s="156" t="str">
        <f>IFERROR(__xludf.DUMMYFUNCTION("""COMPUTED_VALUE"""),"https://drive.google.com/open?id=1Dbc7LKS1CNkqJ8JISYwN1mmU6WI1mGGm&amp;authuser=jay.agg%40gmail.com&amp;usp=drive_fs")</f>
        <v>https://drive.google.com/open?id=1Dbc7LKS1CNkqJ8JISYwN1mmU6WI1mGGm&amp;authuser=jay.agg%40gmail.com&amp;usp=drive_fs</v>
      </c>
      <c r="B52" s="73" t="str">
        <f>IFERROR(__xludf.DUMMYFUNCTION("""COMPUTED_VALUE"""),"Agarbatti")</f>
        <v>Agarbatti</v>
      </c>
      <c r="C52" s="73" t="str">
        <f>IFERROR(__xludf.DUMMYFUNCTION("""COMPUTED_VALUE"""),"Single Box")</f>
        <v>Single Box</v>
      </c>
      <c r="D52" s="73" t="str">
        <f>IFERROR(__xludf.DUMMYFUNCTION("""COMPUTED_VALUE"""),"20 Sticks 51*15*256 mm | 2*0.5*10 inch")</f>
        <v>20 Sticks 51*15*256 mm | 2*0.5*10 inch</v>
      </c>
      <c r="E52" s="77">
        <f>IFERROR(__xludf.DUMMYFUNCTION("""COMPUTED_VALUE"""),6.0)</f>
        <v>6</v>
      </c>
      <c r="F52" s="77">
        <f>IFERROR(__xludf.DUMMYFUNCTION("""COMPUTED_VALUE"""),1926.0)</f>
        <v>1926</v>
      </c>
      <c r="G52" s="77">
        <f>IFERROR(__xludf.DUMMYFUNCTION("""COMPUTED_VALUE"""),18.0)</f>
        <v>18</v>
      </c>
      <c r="H52" s="77">
        <f>IFERROR(__xludf.DUMMYFUNCTION("""COMPUTED_VALUE"""),24.0)</f>
        <v>24</v>
      </c>
      <c r="I52" s="77">
        <f>IFERROR(__xludf.DUMMYFUNCTION("""COMPUTED_VALUE"""),100.0)</f>
        <v>100</v>
      </c>
      <c r="J52" s="73"/>
      <c r="K52" s="73"/>
      <c r="L52" s="73"/>
      <c r="M52" s="77">
        <f>IFERROR(__xludf.DUMMYFUNCTION("""COMPUTED_VALUE"""),0.1)</f>
        <v>0.1</v>
      </c>
      <c r="N52" s="77">
        <f>IFERROR(__xludf.DUMMYFUNCTION("""COMPUTED_VALUE"""),1.0)</f>
        <v>1</v>
      </c>
      <c r="O52" s="49"/>
      <c r="P52" s="49" t="str">
        <f>IFERROR(__xludf.DUMMYFUNCTION("""COMPUTED_VALUE"""),"Offset")</f>
        <v>Offset</v>
      </c>
      <c r="Q52" s="49" t="str">
        <f>IFERROR(__xludf.DUMMYFUNCTION("""COMPUTED_VALUE"""),"Packaging")</f>
        <v>Packaging</v>
      </c>
      <c r="R52" s="49" t="str">
        <f>IFERROR(__xludf.DUMMYFUNCTION("""COMPUTED_VALUE"""),"Agarbatti")</f>
        <v>Agarbatti</v>
      </c>
    </row>
    <row r="53">
      <c r="A53" s="156" t="str">
        <f>IFERROR(__xludf.DUMMYFUNCTION("""COMPUTED_VALUE"""),"https://drive.google.com/open?id=1DXI6Y-Ogg5aHkrHMGShASqIbdqXptbN-&amp;authuser=jay.agg%40gmail.com&amp;usp=drive_fs")</f>
        <v>https://drive.google.com/open?id=1DXI6Y-Ogg5aHkrHMGShASqIbdqXptbN-&amp;authuser=jay.agg%40gmail.com&amp;usp=drive_fs</v>
      </c>
      <c r="B53" s="73" t="str">
        <f>IFERROR(__xludf.DUMMYFUNCTION("""COMPUTED_VALUE"""),"Dhoop")</f>
        <v>Dhoop</v>
      </c>
      <c r="C53" s="73" t="str">
        <f>IFERROR(__xludf.DUMMYFUNCTION("""COMPUTED_VALUE"""),"Single Box")</f>
        <v>Single Box</v>
      </c>
      <c r="D53" s="73" t="str">
        <f>IFERROR(__xludf.DUMMYFUNCTION("""COMPUTED_VALUE"""),"60*20*130 mm | 2.3*0.8*5.1 inch")</f>
        <v>60*20*130 mm | 2.3*0.8*5.1 inch</v>
      </c>
      <c r="E53" s="77">
        <f>IFERROR(__xludf.DUMMYFUNCTION("""COMPUTED_VALUE"""),6.0)</f>
        <v>6</v>
      </c>
      <c r="F53" s="77">
        <f>IFERROR(__xludf.DUMMYFUNCTION("""COMPUTED_VALUE"""),1926.0)</f>
        <v>1926</v>
      </c>
      <c r="G53" s="77">
        <f>IFERROR(__xludf.DUMMYFUNCTION("""COMPUTED_VALUE"""),14.0)</f>
        <v>14</v>
      </c>
      <c r="H53" s="77">
        <f>IFERROR(__xludf.DUMMYFUNCTION("""COMPUTED_VALUE"""),22.0)</f>
        <v>22</v>
      </c>
      <c r="I53" s="77">
        <f>IFERROR(__xludf.DUMMYFUNCTION("""COMPUTED_VALUE"""),100.0)</f>
        <v>100</v>
      </c>
      <c r="J53" s="73"/>
      <c r="K53" s="73"/>
      <c r="L53" s="73"/>
      <c r="M53" s="77">
        <f>IFERROR(__xludf.DUMMYFUNCTION("""COMPUTED_VALUE"""),0.1)</f>
        <v>0.1</v>
      </c>
      <c r="N53" s="77">
        <f>IFERROR(__xludf.DUMMYFUNCTION("""COMPUTED_VALUE"""),1.0)</f>
        <v>1</v>
      </c>
      <c r="O53" s="49"/>
      <c r="P53" s="49" t="str">
        <f>IFERROR(__xludf.DUMMYFUNCTION("""COMPUTED_VALUE"""),"Offset")</f>
        <v>Offset</v>
      </c>
      <c r="Q53" s="49" t="str">
        <f>IFERROR(__xludf.DUMMYFUNCTION("""COMPUTED_VALUE"""),"Packaging")</f>
        <v>Packaging</v>
      </c>
      <c r="R53" s="49" t="str">
        <f>IFERROR(__xludf.DUMMYFUNCTION("""COMPUTED_VALUE"""),"Dhoop")</f>
        <v>Dhoop</v>
      </c>
    </row>
    <row r="54">
      <c r="A54" s="156" t="str">
        <f>IFERROR(__xludf.DUMMYFUNCTION("""COMPUTED_VALUE"""),"https://drive.google.com/open?id=1EqQtXvnW6yykIm3MGD5iuP4QUffw5jWD&amp;authuser=jay.agg%40gmail.com&amp;usp=drive_fs")</f>
        <v>https://drive.google.com/open?id=1EqQtXvnW6yykIm3MGD5iuP4QUffw5jWD&amp;authuser=jay.agg%40gmail.com&amp;usp=drive_fs</v>
      </c>
      <c r="B54" s="73" t="str">
        <f>IFERROR(__xludf.DUMMYFUNCTION("""COMPUTED_VALUE"""),"Agarbatti")</f>
        <v>Agarbatti</v>
      </c>
      <c r="C54" s="73" t="str">
        <f>IFERROR(__xludf.DUMMYFUNCTION("""COMPUTED_VALUE"""),"Outer")</f>
        <v>Outer</v>
      </c>
      <c r="D54" s="73" t="str">
        <f>IFERROR(__xludf.DUMMYFUNCTION("""COMPUTED_VALUE""")," 12 Box  55*16*255 | 2.16*0.6*10 inch")</f>
        <v> 12 Box  55*16*255 | 2.16*0.6*10 inch</v>
      </c>
      <c r="E54" s="77">
        <f>IFERROR(__xludf.DUMMYFUNCTION("""COMPUTED_VALUE"""),1.0)</f>
        <v>1</v>
      </c>
      <c r="F54" s="77">
        <f>IFERROR(__xludf.DUMMYFUNCTION("""COMPUTED_VALUE"""),1926.0)</f>
        <v>1926</v>
      </c>
      <c r="G54" s="77">
        <f>IFERROR(__xludf.DUMMYFUNCTION("""COMPUTED_VALUE"""),18.0)</f>
        <v>18</v>
      </c>
      <c r="H54" s="77">
        <f>IFERROR(__xludf.DUMMYFUNCTION("""COMPUTED_VALUE"""),19.0)</f>
        <v>19</v>
      </c>
      <c r="I54" s="77">
        <f>IFERROR(__xludf.DUMMYFUNCTION("""COMPUTED_VALUE"""),100.0)</f>
        <v>100</v>
      </c>
      <c r="J54" s="73"/>
      <c r="K54" s="73"/>
      <c r="L54" s="73"/>
      <c r="M54" s="77">
        <f>IFERROR(__xludf.DUMMYFUNCTION("""COMPUTED_VALUE"""),0.1)</f>
        <v>0.1</v>
      </c>
      <c r="N54" s="77">
        <f>IFERROR(__xludf.DUMMYFUNCTION("""COMPUTED_VALUE"""),1.0)</f>
        <v>1</v>
      </c>
      <c r="O54" s="49"/>
      <c r="P54" s="49" t="str">
        <f>IFERROR(__xludf.DUMMYFUNCTION("""COMPUTED_VALUE"""),"Offset")</f>
        <v>Offset</v>
      </c>
      <c r="Q54" s="49" t="str">
        <f>IFERROR(__xludf.DUMMYFUNCTION("""COMPUTED_VALUE"""),"Packaging")</f>
        <v>Packaging</v>
      </c>
      <c r="R54" s="49" t="str">
        <f>IFERROR(__xludf.DUMMYFUNCTION("""COMPUTED_VALUE"""),"Agarbatti")</f>
        <v>Agarbatti</v>
      </c>
    </row>
    <row r="55">
      <c r="A55" s="156" t="str">
        <f>IFERROR(__xludf.DUMMYFUNCTION("""COMPUTED_VALUE"""),"https://drive.google.com/open?id=1DURSbB5c3o55nu4wlYc-tnnRHyfP24eT&amp;authuser=jay.agg%40gmail.com&amp;usp=drive_fs")</f>
        <v>https://drive.google.com/open?id=1DURSbB5c3o55nu4wlYc-tnnRHyfP24eT&amp;authuser=jay.agg%40gmail.com&amp;usp=drive_fs</v>
      </c>
      <c r="B55" s="73" t="str">
        <f>IFERROR(__xludf.DUMMYFUNCTION("""COMPUTED_VALUE"""),"Agarbatti")</f>
        <v>Agarbatti</v>
      </c>
      <c r="C55" s="73" t="str">
        <f>IFERROR(__xludf.DUMMYFUNCTION("""COMPUTED_VALUE"""),"Single Box")</f>
        <v>Single Box</v>
      </c>
      <c r="D55" s="73" t="str">
        <f>IFERROR(__xludf.DUMMYFUNCTION("""COMPUTED_VALUE"""),"3*0.5*9 inch | 76*14*230 mm")</f>
        <v>3*0.5*9 inch | 76*14*230 mm</v>
      </c>
      <c r="E55" s="77">
        <f>IFERROR(__xludf.DUMMYFUNCTION("""COMPUTED_VALUE"""),4.0)</f>
        <v>4</v>
      </c>
      <c r="F55" s="77">
        <f>IFERROR(__xludf.DUMMYFUNCTION("""COMPUTED_VALUE"""),1926.0)</f>
        <v>1926</v>
      </c>
      <c r="G55" s="77">
        <f>IFERROR(__xludf.DUMMYFUNCTION("""COMPUTED_VALUE"""),18.0)</f>
        <v>18</v>
      </c>
      <c r="H55" s="77">
        <f>IFERROR(__xludf.DUMMYFUNCTION("""COMPUTED_VALUE"""),23.0)</f>
        <v>23</v>
      </c>
      <c r="I55" s="77">
        <f>IFERROR(__xludf.DUMMYFUNCTION("""COMPUTED_VALUE"""),100.0)</f>
        <v>100</v>
      </c>
      <c r="J55" s="73"/>
      <c r="K55" s="73"/>
      <c r="L55" s="73"/>
      <c r="M55" s="77">
        <f>IFERROR(__xludf.DUMMYFUNCTION("""COMPUTED_VALUE"""),0.1)</f>
        <v>0.1</v>
      </c>
      <c r="N55" s="77">
        <f>IFERROR(__xludf.DUMMYFUNCTION("""COMPUTED_VALUE"""),1.0)</f>
        <v>1</v>
      </c>
      <c r="O55" s="49"/>
      <c r="P55" s="49" t="str">
        <f>IFERROR(__xludf.DUMMYFUNCTION("""COMPUTED_VALUE"""),"Offset")</f>
        <v>Offset</v>
      </c>
      <c r="Q55" s="49" t="str">
        <f>IFERROR(__xludf.DUMMYFUNCTION("""COMPUTED_VALUE"""),"Packaging")</f>
        <v>Packaging</v>
      </c>
      <c r="R55" s="49" t="str">
        <f>IFERROR(__xludf.DUMMYFUNCTION("""COMPUTED_VALUE"""),"Agarbatti")</f>
        <v>Agarbatti</v>
      </c>
    </row>
    <row r="56">
      <c r="A56" s="156" t="str">
        <f>IFERROR(__xludf.DUMMYFUNCTION("""COMPUTED_VALUE"""),"https://drive.google.com/open?id=1DS-Cso2HrgN--cw0e_HwGbPiznUiUlD5&amp;authuser=jay.agg%40gmail.com&amp;usp=drive_fs")</f>
        <v>https://drive.google.com/open?id=1DS-Cso2HrgN--cw0e_HwGbPiznUiUlD5&amp;authuser=jay.agg%40gmail.com&amp;usp=drive_fs</v>
      </c>
      <c r="B56" s="73" t="str">
        <f>IFERROR(__xludf.DUMMYFUNCTION("""COMPUTED_VALUE"""),"Dhoop")</f>
        <v>Dhoop</v>
      </c>
      <c r="C56" s="73" t="str">
        <f>IFERROR(__xludf.DUMMYFUNCTION("""COMPUTED_VALUE"""),"Single Box")</f>
        <v>Single Box</v>
      </c>
      <c r="D56" s="73" t="str">
        <f>IFERROR(__xludf.DUMMYFUNCTION("""COMPUTED_VALUE"""),"4*2*0.75 inch | 51*20*102 mm")</f>
        <v>4*2*0.75 inch | 51*20*102 mm</v>
      </c>
      <c r="E56" s="77">
        <f>IFERROR(__xludf.DUMMYFUNCTION("""COMPUTED_VALUE"""),12.0)</f>
        <v>12</v>
      </c>
      <c r="F56" s="77">
        <f>IFERROR(__xludf.DUMMYFUNCTION("""COMPUTED_VALUE"""),1926.0)</f>
        <v>1926</v>
      </c>
      <c r="G56" s="77">
        <f>IFERROR(__xludf.DUMMYFUNCTION("""COMPUTED_VALUE"""),19.5)</f>
        <v>19.5</v>
      </c>
      <c r="H56" s="77">
        <f>IFERROR(__xludf.DUMMYFUNCTION("""COMPUTED_VALUE"""),23.0)</f>
        <v>23</v>
      </c>
      <c r="I56" s="77">
        <f>IFERROR(__xludf.DUMMYFUNCTION("""COMPUTED_VALUE"""),100.0)</f>
        <v>100</v>
      </c>
      <c r="J56" s="73"/>
      <c r="K56" s="73"/>
      <c r="L56" s="73"/>
      <c r="M56" s="77">
        <f>IFERROR(__xludf.DUMMYFUNCTION("""COMPUTED_VALUE"""),0.1)</f>
        <v>0.1</v>
      </c>
      <c r="N56" s="77">
        <f>IFERROR(__xludf.DUMMYFUNCTION("""COMPUTED_VALUE"""),1.0)</f>
        <v>1</v>
      </c>
      <c r="O56" s="49"/>
      <c r="P56" s="49" t="str">
        <f>IFERROR(__xludf.DUMMYFUNCTION("""COMPUTED_VALUE"""),"Offset")</f>
        <v>Offset</v>
      </c>
      <c r="Q56" s="49" t="str">
        <f>IFERROR(__xludf.DUMMYFUNCTION("""COMPUTED_VALUE"""),"Packaging")</f>
        <v>Packaging</v>
      </c>
      <c r="R56" s="49" t="str">
        <f>IFERROR(__xludf.DUMMYFUNCTION("""COMPUTED_VALUE"""),"Dhoop")</f>
        <v>Dhoop</v>
      </c>
    </row>
    <row r="57">
      <c r="A57" s="156" t="str">
        <f>IFERROR(__xludf.DUMMYFUNCTION("""COMPUTED_VALUE"""),"https://drive.google.com/open?id=1DDss4qO8DBAGFNPejcBwCZDUZDOgXZDG&amp;authuser=jay.agg%40gmail.com&amp;usp=drive_fs")</f>
        <v>https://drive.google.com/open?id=1DDss4qO8DBAGFNPejcBwCZDUZDOgXZDG&amp;authuser=jay.agg%40gmail.com&amp;usp=drive_fs</v>
      </c>
      <c r="B57" s="73" t="str">
        <f>IFERROR(__xludf.DUMMYFUNCTION("""COMPUTED_VALUE"""),"Dhoop")</f>
        <v>Dhoop</v>
      </c>
      <c r="C57" s="73" t="str">
        <f>IFERROR(__xludf.DUMMYFUNCTION("""COMPUTED_VALUE"""),"Baala")</f>
        <v>Baala</v>
      </c>
      <c r="D57" s="73" t="str">
        <f>IFERROR(__xludf.DUMMYFUNCTION("""COMPUTED_VALUE"""),"110*60*12 mm | 4.3*2.3*0.5 inch")</f>
        <v>110*60*12 mm | 4.3*2.3*0.5 inch</v>
      </c>
      <c r="E57" s="77">
        <f>IFERROR(__xludf.DUMMYFUNCTION("""COMPUTED_VALUE"""),12.0)</f>
        <v>12</v>
      </c>
      <c r="F57" s="77">
        <f>IFERROR(__xludf.DUMMYFUNCTION("""COMPUTED_VALUE"""),1926.0)</f>
        <v>1926</v>
      </c>
      <c r="G57" s="77">
        <f>IFERROR(__xludf.DUMMYFUNCTION("""COMPUTED_VALUE"""),19.5)</f>
        <v>19.5</v>
      </c>
      <c r="H57" s="77">
        <f>IFERROR(__xludf.DUMMYFUNCTION("""COMPUTED_VALUE"""),23.0)</f>
        <v>23</v>
      </c>
      <c r="I57" s="77">
        <f>IFERROR(__xludf.DUMMYFUNCTION("""COMPUTED_VALUE"""),100.0)</f>
        <v>100</v>
      </c>
      <c r="J57" s="73"/>
      <c r="K57" s="73"/>
      <c r="L57" s="73"/>
      <c r="M57" s="77">
        <f>IFERROR(__xludf.DUMMYFUNCTION("""COMPUTED_VALUE"""),0.1)</f>
        <v>0.1</v>
      </c>
      <c r="N57" s="77">
        <f>IFERROR(__xludf.DUMMYFUNCTION("""COMPUTED_VALUE"""),1.0)</f>
        <v>1</v>
      </c>
      <c r="O57" s="49"/>
      <c r="P57" s="49" t="str">
        <f>IFERROR(__xludf.DUMMYFUNCTION("""COMPUTED_VALUE"""),"Offset")</f>
        <v>Offset</v>
      </c>
      <c r="Q57" s="49" t="str">
        <f>IFERROR(__xludf.DUMMYFUNCTION("""COMPUTED_VALUE"""),"Packaging")</f>
        <v>Packaging</v>
      </c>
      <c r="R57" s="49" t="str">
        <f>IFERROR(__xludf.DUMMYFUNCTION("""COMPUTED_VALUE"""),"Dhoop")</f>
        <v>Dhoop</v>
      </c>
    </row>
    <row r="58">
      <c r="A58" s="156" t="str">
        <f>IFERROR(__xludf.DUMMYFUNCTION("""COMPUTED_VALUE"""),"https://drive.google.com/open?id=1DHaMZ1QnErcaSj_LcdiDEVQYe2tObkDZ&amp;authuser=jay.agg%40gmail.com&amp;usp=drive_fs")</f>
        <v>https://drive.google.com/open?id=1DHaMZ1QnErcaSj_LcdiDEVQYe2tObkDZ&amp;authuser=jay.agg%40gmail.com&amp;usp=drive_fs</v>
      </c>
      <c r="B58" s="73" t="str">
        <f>IFERROR(__xludf.DUMMYFUNCTION("""COMPUTED_VALUE"""),"Cones")</f>
        <v>Cones</v>
      </c>
      <c r="C58" s="73" t="str">
        <f>IFERROR(__xludf.DUMMYFUNCTION("""COMPUTED_VALUE"""),"Baala")</f>
        <v>Baala</v>
      </c>
      <c r="D58" s="73" t="str">
        <f>IFERROR(__xludf.DUMMYFUNCTION("""COMPUTED_VALUE"""),"170*92*35 mm | 6.7*3.6*1.8 inch")</f>
        <v>170*92*35 mm | 6.7*3.6*1.8 inch</v>
      </c>
      <c r="E58" s="77">
        <f>IFERROR(__xludf.DUMMYFUNCTION("""COMPUTED_VALUE"""),4.0)</f>
        <v>4</v>
      </c>
      <c r="F58" s="77">
        <f>IFERROR(__xludf.DUMMYFUNCTION("""COMPUTED_VALUE"""),1926.0)</f>
        <v>1926</v>
      </c>
      <c r="G58" s="77">
        <f>IFERROR(__xludf.DUMMYFUNCTION("""COMPUTED_VALUE"""),19.5)</f>
        <v>19.5</v>
      </c>
      <c r="H58" s="77">
        <f>IFERROR(__xludf.DUMMYFUNCTION("""COMPUTED_VALUE"""),23.0)</f>
        <v>23</v>
      </c>
      <c r="I58" s="77">
        <f>IFERROR(__xludf.DUMMYFUNCTION("""COMPUTED_VALUE"""),100.0)</f>
        <v>100</v>
      </c>
      <c r="J58" s="73"/>
      <c r="K58" s="73"/>
      <c r="L58" s="73"/>
      <c r="M58" s="77">
        <f>IFERROR(__xludf.DUMMYFUNCTION("""COMPUTED_VALUE"""),0.1)</f>
        <v>0.1</v>
      </c>
      <c r="N58" s="77">
        <f>IFERROR(__xludf.DUMMYFUNCTION("""COMPUTED_VALUE"""),1.0)</f>
        <v>1</v>
      </c>
      <c r="O58" s="49"/>
      <c r="P58" s="49" t="str">
        <f>IFERROR(__xludf.DUMMYFUNCTION("""COMPUTED_VALUE"""),"Offset")</f>
        <v>Offset</v>
      </c>
      <c r="Q58" s="49" t="str">
        <f>IFERROR(__xludf.DUMMYFUNCTION("""COMPUTED_VALUE"""),"Packaging")</f>
        <v>Packaging</v>
      </c>
      <c r="R58" s="49" t="str">
        <f>IFERROR(__xludf.DUMMYFUNCTION("""COMPUTED_VALUE"""),"Cones")</f>
        <v>Cones</v>
      </c>
    </row>
    <row r="59">
      <c r="A59" s="156" t="str">
        <f>IFERROR(__xludf.DUMMYFUNCTION("""COMPUTED_VALUE"""),"https://drive.google.com/open?id=1DIez7AFMxwjkcyyyqHNRoK6BEnN7cojd&amp;authuser=jay.agg%40gmail.com&amp;usp=drive_fs")</f>
        <v>https://drive.google.com/open?id=1DIez7AFMxwjkcyyyqHNRoK6BEnN7cojd&amp;authuser=jay.agg%40gmail.com&amp;usp=drive_fs</v>
      </c>
      <c r="B59" s="73" t="str">
        <f>IFERROR(__xludf.DUMMYFUNCTION("""COMPUTED_VALUE"""),"Agarbatti")</f>
        <v>Agarbatti</v>
      </c>
      <c r="C59" s="73" t="str">
        <f>IFERROR(__xludf.DUMMYFUNCTION("""COMPUTED_VALUE"""),"Baala")</f>
        <v>Baala</v>
      </c>
      <c r="D59" s="73" t="str">
        <f>IFERROR(__xludf.DUMMYFUNCTION("""COMPUTED_VALUE"""),"258*50*15 mm | 2*0.5*10.15 inch")</f>
        <v>258*50*15 mm | 2*0.5*10.15 inch</v>
      </c>
      <c r="E59" s="77">
        <f>IFERROR(__xludf.DUMMYFUNCTION("""COMPUTED_VALUE"""),6.0)</f>
        <v>6</v>
      </c>
      <c r="F59" s="77">
        <f>IFERROR(__xludf.DUMMYFUNCTION("""COMPUTED_VALUE"""),1926.0)</f>
        <v>1926</v>
      </c>
      <c r="G59" s="77">
        <f>IFERROR(__xludf.DUMMYFUNCTION("""COMPUTED_VALUE"""),18.0)</f>
        <v>18</v>
      </c>
      <c r="H59" s="77">
        <f>IFERROR(__xludf.DUMMYFUNCTION("""COMPUTED_VALUE"""),23.0)</f>
        <v>23</v>
      </c>
      <c r="I59" s="77">
        <f>IFERROR(__xludf.DUMMYFUNCTION("""COMPUTED_VALUE"""),100.0)</f>
        <v>100</v>
      </c>
      <c r="J59" s="73"/>
      <c r="K59" s="73"/>
      <c r="L59" s="73"/>
      <c r="M59" s="77">
        <f>IFERROR(__xludf.DUMMYFUNCTION("""COMPUTED_VALUE"""),0.1)</f>
        <v>0.1</v>
      </c>
      <c r="N59" s="77">
        <f>IFERROR(__xludf.DUMMYFUNCTION("""COMPUTED_VALUE"""),1.0)</f>
        <v>1</v>
      </c>
      <c r="O59" s="49"/>
      <c r="P59" s="49" t="str">
        <f>IFERROR(__xludf.DUMMYFUNCTION("""COMPUTED_VALUE"""),"Offset")</f>
        <v>Offset</v>
      </c>
      <c r="Q59" s="49" t="str">
        <f>IFERROR(__xludf.DUMMYFUNCTION("""COMPUTED_VALUE"""),"Packaging")</f>
        <v>Packaging</v>
      </c>
      <c r="R59" s="49" t="str">
        <f>IFERROR(__xludf.DUMMYFUNCTION("""COMPUTED_VALUE"""),"Agarbatti")</f>
        <v>Agarbatti</v>
      </c>
    </row>
    <row r="60">
      <c r="A60" s="156" t="str">
        <f>IFERROR(__xludf.DUMMYFUNCTION("""COMPUTED_VALUE"""),"https://drive.google.com/open?id=1DMfON-zOqgFm0bnjgTjTOL8tJeXVzm3Q&amp;authuser=jay.agg%40gmail.com&amp;usp=drive_fs")</f>
        <v>https://drive.google.com/open?id=1DMfON-zOqgFm0bnjgTjTOL8tJeXVzm3Q&amp;authuser=jay.agg%40gmail.com&amp;usp=drive_fs</v>
      </c>
      <c r="B60" s="73" t="str">
        <f>IFERROR(__xludf.DUMMYFUNCTION("""COMPUTED_VALUE"""),"Hawa Dhoop")</f>
        <v>Hawa Dhoop</v>
      </c>
      <c r="C60" s="73" t="str">
        <f>IFERROR(__xludf.DUMMYFUNCTION("""COMPUTED_VALUE"""),"Baala")</f>
        <v>Baala</v>
      </c>
      <c r="D60" s="73" t="str">
        <f>IFERROR(__xludf.DUMMYFUNCTION("""COMPUTED_VALUE"""),"170*70*38 mm | 6.7*2.75*1.5 inch")</f>
        <v>170*70*38 mm | 6.7*2.75*1.5 inch</v>
      </c>
      <c r="E60" s="77">
        <f>IFERROR(__xludf.DUMMYFUNCTION("""COMPUTED_VALUE"""),4.0)</f>
        <v>4</v>
      </c>
      <c r="F60" s="77">
        <f>IFERROR(__xludf.DUMMYFUNCTION("""COMPUTED_VALUE"""),1926.0)</f>
        <v>1926</v>
      </c>
      <c r="G60" s="77">
        <f>IFERROR(__xludf.DUMMYFUNCTION("""COMPUTED_VALUE"""),18.0)</f>
        <v>18</v>
      </c>
      <c r="H60" s="77">
        <f>IFERROR(__xludf.DUMMYFUNCTION("""COMPUTED_VALUE"""),21.0)</f>
        <v>21</v>
      </c>
      <c r="I60" s="77">
        <f>IFERROR(__xludf.DUMMYFUNCTION("""COMPUTED_VALUE"""),100.0)</f>
        <v>100</v>
      </c>
      <c r="J60" s="73"/>
      <c r="K60" s="73"/>
      <c r="L60" s="73"/>
      <c r="M60" s="77">
        <f>IFERROR(__xludf.DUMMYFUNCTION("""COMPUTED_VALUE"""),0.1)</f>
        <v>0.1</v>
      </c>
      <c r="N60" s="77">
        <f>IFERROR(__xludf.DUMMYFUNCTION("""COMPUTED_VALUE"""),1.0)</f>
        <v>1</v>
      </c>
      <c r="O60" s="49"/>
      <c r="P60" s="49" t="str">
        <f>IFERROR(__xludf.DUMMYFUNCTION("""COMPUTED_VALUE"""),"Offset")</f>
        <v>Offset</v>
      </c>
      <c r="Q60" s="49" t="str">
        <f>IFERROR(__xludf.DUMMYFUNCTION("""COMPUTED_VALUE"""),"Packaging")</f>
        <v>Packaging</v>
      </c>
      <c r="R60" s="49" t="str">
        <f>IFERROR(__xludf.DUMMYFUNCTION("""COMPUTED_VALUE"""),"Hawa Dhoop")</f>
        <v>Hawa Dhoop</v>
      </c>
    </row>
    <row r="61">
      <c r="A61" s="156" t="str">
        <f>IFERROR(__xludf.DUMMYFUNCTION("""COMPUTED_VALUE"""),"https://drive.google.com/open?id=1CrqdROzMFKpI9wIAXmHU6jKtSLo6JUvj&amp;authuser=jay.agg%40gmail.com&amp;usp=drive_fs")</f>
        <v>https://drive.google.com/open?id=1CrqdROzMFKpI9wIAXmHU6jKtSLo6JUvj&amp;authuser=jay.agg%40gmail.com&amp;usp=drive_fs</v>
      </c>
      <c r="B61" s="73" t="str">
        <f>IFERROR(__xludf.DUMMYFUNCTION("""COMPUTED_VALUE"""),"Agarbatti")</f>
        <v>Agarbatti</v>
      </c>
      <c r="C61" s="73" t="str">
        <f>IFERROR(__xludf.DUMMYFUNCTION("""COMPUTED_VALUE"""),"Single Box")</f>
        <v>Single Box</v>
      </c>
      <c r="D61" s="73" t="str">
        <f>IFERROR(__xludf.DUMMYFUNCTION("""COMPUTED_VALUE"""),"57*20*260 mm | 2.24*0.8*10.2 inch")</f>
        <v>57*20*260 mm | 2.24*0.8*10.2 inch</v>
      </c>
      <c r="E61" s="77">
        <f>IFERROR(__xludf.DUMMYFUNCTION("""COMPUTED_VALUE"""),4.0)</f>
        <v>4</v>
      </c>
      <c r="F61" s="77">
        <f>IFERROR(__xludf.DUMMYFUNCTION("""COMPUTED_VALUE"""),1926.0)</f>
        <v>1926</v>
      </c>
      <c r="G61" s="77">
        <f>IFERROR(__xludf.DUMMYFUNCTION("""COMPUTED_VALUE"""),13.5)</f>
        <v>13.5</v>
      </c>
      <c r="H61" s="77">
        <f>IFERROR(__xludf.DUMMYFUNCTION("""COMPUTED_VALUE"""),25.0)</f>
        <v>25</v>
      </c>
      <c r="I61" s="77">
        <f>IFERROR(__xludf.DUMMYFUNCTION("""COMPUTED_VALUE"""),100.0)</f>
        <v>100</v>
      </c>
      <c r="J61" s="73"/>
      <c r="K61" s="73"/>
      <c r="L61" s="73"/>
      <c r="M61" s="77">
        <f>IFERROR(__xludf.DUMMYFUNCTION("""COMPUTED_VALUE"""),0.1)</f>
        <v>0.1</v>
      </c>
      <c r="N61" s="77">
        <f>IFERROR(__xludf.DUMMYFUNCTION("""COMPUTED_VALUE"""),1.0)</f>
        <v>1</v>
      </c>
      <c r="O61" s="49"/>
      <c r="P61" s="49" t="str">
        <f>IFERROR(__xludf.DUMMYFUNCTION("""COMPUTED_VALUE"""),"Offset")</f>
        <v>Offset</v>
      </c>
      <c r="Q61" s="49" t="str">
        <f>IFERROR(__xludf.DUMMYFUNCTION("""COMPUTED_VALUE"""),"Packaging")</f>
        <v>Packaging</v>
      </c>
      <c r="R61" s="49" t="str">
        <f>IFERROR(__xludf.DUMMYFUNCTION("""COMPUTED_VALUE"""),"Agarbatti")</f>
        <v>Agarbatti</v>
      </c>
    </row>
    <row r="62">
      <c r="A62" s="156" t="str">
        <f>IFERROR(__xludf.DUMMYFUNCTION("""COMPUTED_VALUE"""),"https://drive.google.com/open?id=1Cwo3CFtWdcaB3IU1IR0tfmOjw_m65rvC&amp;authuser=jay.agg%40gmail.com&amp;usp=drive_fs")</f>
        <v>https://drive.google.com/open?id=1Cwo3CFtWdcaB3IU1IR0tfmOjw_m65rvC&amp;authuser=jay.agg%40gmail.com&amp;usp=drive_fs</v>
      </c>
      <c r="B62" s="73" t="str">
        <f>IFERROR(__xludf.DUMMYFUNCTION("""COMPUTED_VALUE"""),"Agarbatti")</f>
        <v>Agarbatti</v>
      </c>
      <c r="C62" s="73" t="str">
        <f>IFERROR(__xludf.DUMMYFUNCTION("""COMPUTED_VALUE"""),"Single Box")</f>
        <v>Single Box</v>
      </c>
      <c r="D62" s="73" t="str">
        <f>IFERROR(__xludf.DUMMYFUNCTION("""COMPUTED_VALUE"""),"54*15*247 mm | 2.12*0.5*9.7 inch")</f>
        <v>54*15*247 mm | 2.12*0.5*9.7 inch</v>
      </c>
      <c r="E62" s="77">
        <f>IFERROR(__xludf.DUMMYFUNCTION("""COMPUTED_VALUE"""),6.0)</f>
        <v>6</v>
      </c>
      <c r="F62" s="77">
        <f>IFERROR(__xludf.DUMMYFUNCTION("""COMPUTED_VALUE"""),1926.0)</f>
        <v>1926</v>
      </c>
      <c r="G62" s="77">
        <f>IFERROR(__xludf.DUMMYFUNCTION("""COMPUTED_VALUE"""),18.0)</f>
        <v>18</v>
      </c>
      <c r="H62" s="77">
        <f>IFERROR(__xludf.DUMMYFUNCTION("""COMPUTED_VALUE"""),23.0)</f>
        <v>23</v>
      </c>
      <c r="I62" s="77">
        <f>IFERROR(__xludf.DUMMYFUNCTION("""COMPUTED_VALUE"""),100.0)</f>
        <v>100</v>
      </c>
      <c r="J62" s="73"/>
      <c r="K62" s="73"/>
      <c r="L62" s="73"/>
      <c r="M62" s="77">
        <f>IFERROR(__xludf.DUMMYFUNCTION("""COMPUTED_VALUE"""),0.1)</f>
        <v>0.1</v>
      </c>
      <c r="N62" s="77">
        <f>IFERROR(__xludf.DUMMYFUNCTION("""COMPUTED_VALUE"""),1.0)</f>
        <v>1</v>
      </c>
      <c r="O62" s="49"/>
      <c r="P62" s="49" t="str">
        <f>IFERROR(__xludf.DUMMYFUNCTION("""COMPUTED_VALUE"""),"Offset")</f>
        <v>Offset</v>
      </c>
      <c r="Q62" s="49" t="str">
        <f>IFERROR(__xludf.DUMMYFUNCTION("""COMPUTED_VALUE"""),"Packaging")</f>
        <v>Packaging</v>
      </c>
      <c r="R62" s="49" t="str">
        <f>IFERROR(__xludf.DUMMYFUNCTION("""COMPUTED_VALUE"""),"Agarbatti")</f>
        <v>Agarbatti</v>
      </c>
    </row>
    <row r="63">
      <c r="A63" s="156" t="str">
        <f>IFERROR(__xludf.DUMMYFUNCTION("""COMPUTED_VALUE"""),"https://drive.google.com/open?id=1Cy2TXtmdMfcKUQblfF3m1eaueEzrB_cg&amp;authuser=jay.agg%40gmail.com&amp;usp=drive_fs")</f>
        <v>https://drive.google.com/open?id=1Cy2TXtmdMfcKUQblfF3m1eaueEzrB_cg&amp;authuser=jay.agg%40gmail.com&amp;usp=drive_fs</v>
      </c>
      <c r="B63" s="73" t="str">
        <f>IFERROR(__xludf.DUMMYFUNCTION("""COMPUTED_VALUE"""),"Agarbatti")</f>
        <v>Agarbatti</v>
      </c>
      <c r="C63" s="73" t="str">
        <f>IFERROR(__xludf.DUMMYFUNCTION("""COMPUTED_VALUE"""),"Outer")</f>
        <v>Outer</v>
      </c>
      <c r="D63" s="73" t="str">
        <f>IFERROR(__xludf.DUMMYFUNCTION("""COMPUTED_VALUE"""),"12 Box 54*15*247 mm | 2.12*0.5*9.7 inch")</f>
        <v>12 Box 54*15*247 mm | 2.12*0.5*9.7 inch</v>
      </c>
      <c r="E63" s="77">
        <f>IFERROR(__xludf.DUMMYFUNCTION("""COMPUTED_VALUE"""),1.0)</f>
        <v>1</v>
      </c>
      <c r="F63" s="77">
        <f>IFERROR(__xludf.DUMMYFUNCTION("""COMPUTED_VALUE"""),1926.0)</f>
        <v>1926</v>
      </c>
      <c r="G63" s="77">
        <f>IFERROR(__xludf.DUMMYFUNCTION("""COMPUTED_VALUE"""),18.0)</f>
        <v>18</v>
      </c>
      <c r="H63" s="77">
        <f>IFERROR(__xludf.DUMMYFUNCTION("""COMPUTED_VALUE"""),19.0)</f>
        <v>19</v>
      </c>
      <c r="I63" s="77">
        <f>IFERROR(__xludf.DUMMYFUNCTION("""COMPUTED_VALUE"""),100.0)</f>
        <v>100</v>
      </c>
      <c r="J63" s="73"/>
      <c r="K63" s="73"/>
      <c r="L63" s="73"/>
      <c r="M63" s="77">
        <f>IFERROR(__xludf.DUMMYFUNCTION("""COMPUTED_VALUE"""),0.1)</f>
        <v>0.1</v>
      </c>
      <c r="N63" s="77">
        <f>IFERROR(__xludf.DUMMYFUNCTION("""COMPUTED_VALUE"""),1.0)</f>
        <v>1</v>
      </c>
      <c r="O63" s="49"/>
      <c r="P63" s="49" t="str">
        <f>IFERROR(__xludf.DUMMYFUNCTION("""COMPUTED_VALUE"""),"Offset")</f>
        <v>Offset</v>
      </c>
      <c r="Q63" s="49" t="str">
        <f>IFERROR(__xludf.DUMMYFUNCTION("""COMPUTED_VALUE"""),"Packaging")</f>
        <v>Packaging</v>
      </c>
      <c r="R63" s="49" t="str">
        <f>IFERROR(__xludf.DUMMYFUNCTION("""COMPUTED_VALUE"""),"Agarbatti")</f>
        <v>Agarbatti</v>
      </c>
    </row>
    <row r="64">
      <c r="A64" s="156" t="str">
        <f>IFERROR(__xludf.DUMMYFUNCTION("""COMPUTED_VALUE"""),"https://drive.google.com/open?id=1CvVBubfcaGdQvmnZaNUvLsM4OQ1FQ7lQ&amp;authuser=jay.agg%40gmail.com&amp;usp=drive_fs")</f>
        <v>https://drive.google.com/open?id=1CvVBubfcaGdQvmnZaNUvLsM4OQ1FQ7lQ&amp;authuser=jay.agg%40gmail.com&amp;usp=drive_fs</v>
      </c>
      <c r="B64" s="73" t="str">
        <f>IFERROR(__xludf.DUMMYFUNCTION("""COMPUTED_VALUE"""),"Agarbatti")</f>
        <v>Agarbatti</v>
      </c>
      <c r="C64" s="73" t="str">
        <f>IFERROR(__xludf.DUMMYFUNCTION("""COMPUTED_VALUE"""),"Single Box")</f>
        <v>Single Box</v>
      </c>
      <c r="D64" s="73" t="str">
        <f>IFERROR(__xludf.DUMMYFUNCTION("""COMPUTED_VALUE"""),"50*17*250 mm | 2*0.6*9.8 inch")</f>
        <v>50*17*250 mm | 2*0.6*9.8 inch</v>
      </c>
      <c r="E64" s="77">
        <f>IFERROR(__xludf.DUMMYFUNCTION("""COMPUTED_VALUE"""),6.0)</f>
        <v>6</v>
      </c>
      <c r="F64" s="77">
        <f>IFERROR(__xludf.DUMMYFUNCTION("""COMPUTED_VALUE"""),1926.0)</f>
        <v>1926</v>
      </c>
      <c r="G64" s="77">
        <f>IFERROR(__xludf.DUMMYFUNCTION("""COMPUTED_VALUE"""),18.0)</f>
        <v>18</v>
      </c>
      <c r="H64" s="77">
        <f>IFERROR(__xludf.DUMMYFUNCTION("""COMPUTED_VALUE"""),25.0)</f>
        <v>25</v>
      </c>
      <c r="I64" s="77">
        <f>IFERROR(__xludf.DUMMYFUNCTION("""COMPUTED_VALUE"""),100.0)</f>
        <v>100</v>
      </c>
      <c r="J64" s="73"/>
      <c r="K64" s="73"/>
      <c r="L64" s="73"/>
      <c r="M64" s="77">
        <f>IFERROR(__xludf.DUMMYFUNCTION("""COMPUTED_VALUE"""),0.1)</f>
        <v>0.1</v>
      </c>
      <c r="N64" s="77">
        <f>IFERROR(__xludf.DUMMYFUNCTION("""COMPUTED_VALUE"""),1.0)</f>
        <v>1</v>
      </c>
      <c r="O64" s="49"/>
      <c r="P64" s="49" t="str">
        <f>IFERROR(__xludf.DUMMYFUNCTION("""COMPUTED_VALUE"""),"Offset")</f>
        <v>Offset</v>
      </c>
      <c r="Q64" s="49" t="str">
        <f>IFERROR(__xludf.DUMMYFUNCTION("""COMPUTED_VALUE"""),"Packaging")</f>
        <v>Packaging</v>
      </c>
      <c r="R64" s="49" t="str">
        <f>IFERROR(__xludf.DUMMYFUNCTION("""COMPUTED_VALUE"""),"Agarbatti")</f>
        <v>Agarbatti</v>
      </c>
    </row>
    <row r="65">
      <c r="A65" s="156" t="str">
        <f>IFERROR(__xludf.DUMMYFUNCTION("""COMPUTED_VALUE"""),"https://drive.google.com/open?id=1AGEiilBXkTvQHi-8IsvbeHWjdEKNVLP9&amp;authuser=jay.agg%40gmail.com&amp;usp=drive_fs")</f>
        <v>https://drive.google.com/open?id=1AGEiilBXkTvQHi-8IsvbeHWjdEKNVLP9&amp;authuser=jay.agg%40gmail.com&amp;usp=drive_fs</v>
      </c>
      <c r="B65" s="73" t="str">
        <f>IFERROR(__xludf.DUMMYFUNCTION("""COMPUTED_VALUE"""),"Agarbatti")</f>
        <v>Agarbatti</v>
      </c>
      <c r="C65" s="73" t="str">
        <f>IFERROR(__xludf.DUMMYFUNCTION("""COMPUTED_VALUE"""),"Single Box")</f>
        <v>Single Box</v>
      </c>
      <c r="D65" s="73" t="str">
        <f>IFERROR(__xludf.DUMMYFUNCTION("""COMPUTED_VALUE"""),"80*20*255 mm | 3.1*0.8*10 inch")</f>
        <v>80*20*255 mm | 3.1*0.8*10 inch</v>
      </c>
      <c r="E65" s="77">
        <f>IFERROR(__xludf.DUMMYFUNCTION("""COMPUTED_VALUE"""),4.0)</f>
        <v>4</v>
      </c>
      <c r="F65" s="77">
        <f>IFERROR(__xludf.DUMMYFUNCTION("""COMPUTED_VALUE"""),1926.0)</f>
        <v>1926</v>
      </c>
      <c r="G65" s="77">
        <f>IFERROR(__xludf.DUMMYFUNCTION("""COMPUTED_VALUE"""),18.0)</f>
        <v>18</v>
      </c>
      <c r="H65" s="77">
        <f>IFERROR(__xludf.DUMMYFUNCTION("""COMPUTED_VALUE"""),25.0)</f>
        <v>25</v>
      </c>
      <c r="I65" s="77">
        <f>IFERROR(__xludf.DUMMYFUNCTION("""COMPUTED_VALUE"""),100.0)</f>
        <v>100</v>
      </c>
      <c r="J65" s="73"/>
      <c r="K65" s="73"/>
      <c r="L65" s="73"/>
      <c r="M65" s="77">
        <f>IFERROR(__xludf.DUMMYFUNCTION("""COMPUTED_VALUE"""),0.1)</f>
        <v>0.1</v>
      </c>
      <c r="N65" s="77">
        <f>IFERROR(__xludf.DUMMYFUNCTION("""COMPUTED_VALUE"""),1.0)</f>
        <v>1</v>
      </c>
      <c r="O65" s="49"/>
      <c r="P65" s="49" t="str">
        <f>IFERROR(__xludf.DUMMYFUNCTION("""COMPUTED_VALUE"""),"Offset")</f>
        <v>Offset</v>
      </c>
      <c r="Q65" s="49" t="str">
        <f>IFERROR(__xludf.DUMMYFUNCTION("""COMPUTED_VALUE"""),"Packaging")</f>
        <v>Packaging</v>
      </c>
      <c r="R65" s="49" t="str">
        <f>IFERROR(__xludf.DUMMYFUNCTION("""COMPUTED_VALUE"""),"Agarbatti")</f>
        <v>Agarbatti</v>
      </c>
    </row>
    <row r="66">
      <c r="A66" s="156" t="str">
        <f>IFERROR(__xludf.DUMMYFUNCTION("""COMPUTED_VALUE"""),"https://drive.google.com/open?id=1jupEAX1hy9u7oyg0xa7LURlnlIVx6WoI&amp;authuser=jay.agg%40gmail.com&amp;usp=drive_fs")</f>
        <v>https://drive.google.com/open?id=1jupEAX1hy9u7oyg0xa7LURlnlIVx6WoI&amp;authuser=jay.agg%40gmail.com&amp;usp=drive_fs</v>
      </c>
      <c r="B66" s="73" t="str">
        <f>IFERROR(__xludf.DUMMYFUNCTION("""COMPUTED_VALUE"""),"Agarbatti")</f>
        <v>Agarbatti</v>
      </c>
      <c r="C66" s="73" t="str">
        <f>IFERROR(__xludf.DUMMYFUNCTION("""COMPUTED_VALUE"""),"Single Box")</f>
        <v>Single Box</v>
      </c>
      <c r="D66" s="73" t="str">
        <f>IFERROR(__xludf.DUMMYFUNCTION("""COMPUTED_VALUE"""),"74*26*266 mm | 3*1*10.5 inch")</f>
        <v>74*26*266 mm | 3*1*10.5 inch</v>
      </c>
      <c r="E66" s="77">
        <f>IFERROR(__xludf.DUMMYFUNCTION("""COMPUTED_VALUE"""),4.0)</f>
        <v>4</v>
      </c>
      <c r="F66" s="77">
        <f>IFERROR(__xludf.DUMMYFUNCTION("""COMPUTED_VALUE"""),1926.0)</f>
        <v>1926</v>
      </c>
      <c r="G66" s="77">
        <f>IFERROR(__xludf.DUMMYFUNCTION("""COMPUTED_VALUE"""),19.0)</f>
        <v>19</v>
      </c>
      <c r="H66" s="77">
        <f>IFERROR(__xludf.DUMMYFUNCTION("""COMPUTED_VALUE"""),26.0)</f>
        <v>26</v>
      </c>
      <c r="I66" s="77">
        <f>IFERROR(__xludf.DUMMYFUNCTION("""COMPUTED_VALUE"""),100.0)</f>
        <v>100</v>
      </c>
      <c r="J66" s="73"/>
      <c r="K66" s="73"/>
      <c r="L66" s="73"/>
      <c r="M66" s="77">
        <f>IFERROR(__xludf.DUMMYFUNCTION("""COMPUTED_VALUE"""),0.1)</f>
        <v>0.1</v>
      </c>
      <c r="N66" s="77">
        <f>IFERROR(__xludf.DUMMYFUNCTION("""COMPUTED_VALUE"""),1.0)</f>
        <v>1</v>
      </c>
      <c r="O66" s="49"/>
      <c r="P66" s="49" t="str">
        <f>IFERROR(__xludf.DUMMYFUNCTION("""COMPUTED_VALUE"""),"Offset")</f>
        <v>Offset</v>
      </c>
      <c r="Q66" s="49" t="str">
        <f>IFERROR(__xludf.DUMMYFUNCTION("""COMPUTED_VALUE"""),"Packaging")</f>
        <v>Packaging</v>
      </c>
      <c r="R66" s="49" t="str">
        <f>IFERROR(__xludf.DUMMYFUNCTION("""COMPUTED_VALUE"""),"Agarbatti")</f>
        <v>Agarbatti</v>
      </c>
    </row>
    <row r="67">
      <c r="A67" s="156" t="str">
        <f>IFERROR(__xludf.DUMMYFUNCTION("""COMPUTED_VALUE"""),"https://drive.google.com/open?id=1kXgxyUCzMWuDZla2UQzX7nAQkwyLTrjJ&amp;authuser=jay.agg%40gmail.com&amp;usp=drive_fs")</f>
        <v>https://drive.google.com/open?id=1kXgxyUCzMWuDZla2UQzX7nAQkwyLTrjJ&amp;authuser=jay.agg%40gmail.com&amp;usp=drive_fs</v>
      </c>
      <c r="B67" s="73" t="str">
        <f>IFERROR(__xludf.DUMMYFUNCTION("""COMPUTED_VALUE"""),"Agarbatti")</f>
        <v>Agarbatti</v>
      </c>
      <c r="C67" s="73" t="str">
        <f>IFERROR(__xludf.DUMMYFUNCTION("""COMPUTED_VALUE"""),"Single Box")</f>
        <v>Single Box</v>
      </c>
      <c r="D67" s="73" t="str">
        <f>IFERROR(__xludf.DUMMYFUNCTION("""COMPUTED_VALUE"""),"255*75*25 mm | 10*3*1 inch")</f>
        <v>255*75*25 mm | 10*3*1 inch</v>
      </c>
      <c r="E67" s="77">
        <f>IFERROR(__xludf.DUMMYFUNCTION("""COMPUTED_VALUE"""),4.0)</f>
        <v>4</v>
      </c>
      <c r="F67" s="77">
        <f>IFERROR(__xludf.DUMMYFUNCTION("""COMPUTED_VALUE"""),1926.0)</f>
        <v>1926</v>
      </c>
      <c r="G67" s="77">
        <f>IFERROR(__xludf.DUMMYFUNCTION("""COMPUTED_VALUE"""),18.0)</f>
        <v>18</v>
      </c>
      <c r="H67" s="77">
        <f>IFERROR(__xludf.DUMMYFUNCTION("""COMPUTED_VALUE"""),25.0)</f>
        <v>25</v>
      </c>
      <c r="I67" s="77">
        <f>IFERROR(__xludf.DUMMYFUNCTION("""COMPUTED_VALUE"""),100.0)</f>
        <v>100</v>
      </c>
      <c r="J67" s="73"/>
      <c r="K67" s="73"/>
      <c r="L67" s="73"/>
      <c r="M67" s="77">
        <f>IFERROR(__xludf.DUMMYFUNCTION("""COMPUTED_VALUE"""),0.1)</f>
        <v>0.1</v>
      </c>
      <c r="N67" s="77">
        <f>IFERROR(__xludf.DUMMYFUNCTION("""COMPUTED_VALUE"""),1.0)</f>
        <v>1</v>
      </c>
      <c r="O67" s="49"/>
      <c r="P67" s="49" t="str">
        <f>IFERROR(__xludf.DUMMYFUNCTION("""COMPUTED_VALUE"""),"Offset")</f>
        <v>Offset</v>
      </c>
      <c r="Q67" s="49" t="str">
        <f>IFERROR(__xludf.DUMMYFUNCTION("""COMPUTED_VALUE"""),"Packaging")</f>
        <v>Packaging</v>
      </c>
      <c r="R67" s="49" t="str">
        <f>IFERROR(__xludf.DUMMYFUNCTION("""COMPUTED_VALUE"""),"Agarbatti")</f>
        <v>Agarbatti</v>
      </c>
    </row>
    <row r="68">
      <c r="A68" s="156" t="str">
        <f>IFERROR(__xludf.DUMMYFUNCTION("""COMPUTED_VALUE"""),"https://drive.google.com/open?id=1kZiuNEVtrTRzEaSxwZqWTirEC5_Pnxm2&amp;authuser=jay.agg%40gmail.com&amp;usp=drive_fs")</f>
        <v>https://drive.google.com/open?id=1kZiuNEVtrTRzEaSxwZqWTirEC5_Pnxm2&amp;authuser=jay.agg%40gmail.com&amp;usp=drive_fs</v>
      </c>
      <c r="B68" s="73" t="str">
        <f>IFERROR(__xludf.DUMMYFUNCTION("""COMPUTED_VALUE"""),"Agarbatti")</f>
        <v>Agarbatti</v>
      </c>
      <c r="C68" s="73" t="str">
        <f>IFERROR(__xludf.DUMMYFUNCTION("""COMPUTED_VALUE"""),"Single Box")</f>
        <v>Single Box</v>
      </c>
      <c r="D68" s="73" t="str">
        <f>IFERROR(__xludf.DUMMYFUNCTION("""COMPUTED_VALUE"""),"280*67.5*25 mm | 11*2.6*1 inch")</f>
        <v>280*67.5*25 mm | 11*2.6*1 inch</v>
      </c>
      <c r="E68" s="77">
        <f>IFERROR(__xludf.DUMMYFUNCTION("""COMPUTED_VALUE"""),3.0)</f>
        <v>3</v>
      </c>
      <c r="F68" s="77">
        <f>IFERROR(__xludf.DUMMYFUNCTION("""COMPUTED_VALUE"""),1926.0)</f>
        <v>1926</v>
      </c>
      <c r="G68" s="77">
        <f>IFERROR(__xludf.DUMMYFUNCTION("""COMPUTED_VALUE"""),15.0)</f>
        <v>15</v>
      </c>
      <c r="H68" s="77">
        <f>IFERROR(__xludf.DUMMYFUNCTION("""COMPUTED_VALUE"""),25.0)</f>
        <v>25</v>
      </c>
      <c r="I68" s="77">
        <f>IFERROR(__xludf.DUMMYFUNCTION("""COMPUTED_VALUE"""),100.0)</f>
        <v>100</v>
      </c>
      <c r="J68" s="73"/>
      <c r="K68" s="73"/>
      <c r="L68" s="73"/>
      <c r="M68" s="77">
        <f>IFERROR(__xludf.DUMMYFUNCTION("""COMPUTED_VALUE"""),0.1)</f>
        <v>0.1</v>
      </c>
      <c r="N68" s="77">
        <f>IFERROR(__xludf.DUMMYFUNCTION("""COMPUTED_VALUE"""),1.0)</f>
        <v>1</v>
      </c>
      <c r="O68" s="49"/>
      <c r="P68" s="49" t="str">
        <f>IFERROR(__xludf.DUMMYFUNCTION("""COMPUTED_VALUE"""),"Offset")</f>
        <v>Offset</v>
      </c>
      <c r="Q68" s="49" t="str">
        <f>IFERROR(__xludf.DUMMYFUNCTION("""COMPUTED_VALUE"""),"Packaging")</f>
        <v>Packaging</v>
      </c>
      <c r="R68" s="49" t="str">
        <f>IFERROR(__xludf.DUMMYFUNCTION("""COMPUTED_VALUE"""),"Agarbatti")</f>
        <v>Agarbatti</v>
      </c>
    </row>
    <row r="69">
      <c r="A69" s="156" t="str">
        <f>IFERROR(__xludf.DUMMYFUNCTION("""COMPUTED_VALUE"""),"https://drive.google.com/open?id=1kaK1uXykWSxKTnoZ-gP4zNliyNVRARgV&amp;authuser=jay.agg%40gmail.com&amp;usp=drive_fs")</f>
        <v>https://drive.google.com/open?id=1kaK1uXykWSxKTnoZ-gP4zNliyNVRARgV&amp;authuser=jay.agg%40gmail.com&amp;usp=drive_fs</v>
      </c>
      <c r="B69" s="73" t="str">
        <f>IFERROR(__xludf.DUMMYFUNCTION("""COMPUTED_VALUE"""),"Agarbatti")</f>
        <v>Agarbatti</v>
      </c>
      <c r="C69" s="73" t="str">
        <f>IFERROR(__xludf.DUMMYFUNCTION("""COMPUTED_VALUE"""),"Single Box")</f>
        <v>Single Box</v>
      </c>
      <c r="D69" s="73" t="str">
        <f>IFERROR(__xludf.DUMMYFUNCTION("""COMPUTED_VALUE"""),"250*60*15 mm | 9.8*2.3*0.5 inch")</f>
        <v>250*60*15 mm | 9.8*2.3*0.5 inch</v>
      </c>
      <c r="E69" s="77">
        <f>IFERROR(__xludf.DUMMYFUNCTION("""COMPUTED_VALUE"""),6.0)</f>
        <v>6</v>
      </c>
      <c r="F69" s="77">
        <f>IFERROR(__xludf.DUMMYFUNCTION("""COMPUTED_VALUE"""),1926.0)</f>
        <v>1926</v>
      </c>
      <c r="G69" s="77">
        <f>IFERROR(__xludf.DUMMYFUNCTION("""COMPUTED_VALUE"""),19.5)</f>
        <v>19.5</v>
      </c>
      <c r="H69" s="77">
        <f>IFERROR(__xludf.DUMMYFUNCTION("""COMPUTED_VALUE"""),23.0)</f>
        <v>23</v>
      </c>
      <c r="I69" s="77">
        <f>IFERROR(__xludf.DUMMYFUNCTION("""COMPUTED_VALUE"""),100.0)</f>
        <v>100</v>
      </c>
      <c r="J69" s="73"/>
      <c r="K69" s="73"/>
      <c r="L69" s="73"/>
      <c r="M69" s="77">
        <f>IFERROR(__xludf.DUMMYFUNCTION("""COMPUTED_VALUE"""),0.1)</f>
        <v>0.1</v>
      </c>
      <c r="N69" s="77">
        <f>IFERROR(__xludf.DUMMYFUNCTION("""COMPUTED_VALUE"""),1.0)</f>
        <v>1</v>
      </c>
      <c r="O69" s="49"/>
      <c r="P69" s="49" t="str">
        <f>IFERROR(__xludf.DUMMYFUNCTION("""COMPUTED_VALUE"""),"Offset")</f>
        <v>Offset</v>
      </c>
      <c r="Q69" s="49" t="str">
        <f>IFERROR(__xludf.DUMMYFUNCTION("""COMPUTED_VALUE"""),"Packaging")</f>
        <v>Packaging</v>
      </c>
      <c r="R69" s="49" t="str">
        <f>IFERROR(__xludf.DUMMYFUNCTION("""COMPUTED_VALUE"""),"Agarbatti")</f>
        <v>Agarbatti</v>
      </c>
    </row>
    <row r="70">
      <c r="A70" s="156" t="str">
        <f>IFERROR(__xludf.DUMMYFUNCTION("""COMPUTED_VALUE"""),"https://drive.google.com/open?id=1kbzVI_uBssvCinpL3dZ9wH1Jui_TpKYg&amp;authuser=jay.agg%40gmail.com&amp;usp=drive_fs")</f>
        <v>https://drive.google.com/open?id=1kbzVI_uBssvCinpL3dZ9wH1Jui_TpKYg&amp;authuser=jay.agg%40gmail.com&amp;usp=drive_fs</v>
      </c>
      <c r="B70" s="73" t="str">
        <f>IFERROR(__xludf.DUMMYFUNCTION("""COMPUTED_VALUE"""),"Agarbatti")</f>
        <v>Agarbatti</v>
      </c>
      <c r="C70" s="73" t="str">
        <f>IFERROR(__xludf.DUMMYFUNCTION("""COMPUTED_VALUE"""),"Single Box")</f>
        <v>Single Box</v>
      </c>
      <c r="D70" s="73" t="str">
        <f>IFERROR(__xludf.DUMMYFUNCTION("""COMPUTED_VALUE"""),"300*50*20 mm | 11.8*2*0.8 inch")</f>
        <v>300*50*20 mm | 11.8*2*0.8 inch</v>
      </c>
      <c r="E70" s="77">
        <f>IFERROR(__xludf.DUMMYFUNCTION("""COMPUTED_VALUE"""),3.0)</f>
        <v>3</v>
      </c>
      <c r="F70" s="77">
        <f>IFERROR(__xludf.DUMMYFUNCTION("""COMPUTED_VALUE"""),1926.0)</f>
        <v>1926</v>
      </c>
      <c r="G70" s="77">
        <f>IFERROR(__xludf.DUMMYFUNCTION("""COMPUTED_VALUE"""),15.0)</f>
        <v>15</v>
      </c>
      <c r="H70" s="77">
        <f>IFERROR(__xludf.DUMMYFUNCTION("""COMPUTED_VALUE"""),20.0)</f>
        <v>20</v>
      </c>
      <c r="I70" s="77">
        <f>IFERROR(__xludf.DUMMYFUNCTION("""COMPUTED_VALUE"""),100.0)</f>
        <v>100</v>
      </c>
      <c r="J70" s="73"/>
      <c r="K70" s="73"/>
      <c r="L70" s="73"/>
      <c r="M70" s="77">
        <f>IFERROR(__xludf.DUMMYFUNCTION("""COMPUTED_VALUE"""),0.1)</f>
        <v>0.1</v>
      </c>
      <c r="N70" s="77">
        <f>IFERROR(__xludf.DUMMYFUNCTION("""COMPUTED_VALUE"""),1.0)</f>
        <v>1</v>
      </c>
      <c r="O70" s="49"/>
      <c r="P70" s="49" t="str">
        <f>IFERROR(__xludf.DUMMYFUNCTION("""COMPUTED_VALUE"""),"Offset")</f>
        <v>Offset</v>
      </c>
      <c r="Q70" s="49" t="str">
        <f>IFERROR(__xludf.DUMMYFUNCTION("""COMPUTED_VALUE"""),"Packaging")</f>
        <v>Packaging</v>
      </c>
      <c r="R70" s="49" t="str">
        <f>IFERROR(__xludf.DUMMYFUNCTION("""COMPUTED_VALUE"""),"Agarbatti")</f>
        <v>Agarbatti</v>
      </c>
    </row>
    <row r="71">
      <c r="A71" s="156" t="str">
        <f>IFERROR(__xludf.DUMMYFUNCTION("""COMPUTED_VALUE"""),"https://drive.google.com/open?id=1sc2Ci1Mc5np9ppxTUlg2DDmdnzI27zL9&amp;authuser=jay.agg%40gmail.com&amp;usp=drive_fs")</f>
        <v>https://drive.google.com/open?id=1sc2Ci1Mc5np9ppxTUlg2DDmdnzI27zL9&amp;authuser=jay.agg%40gmail.com&amp;usp=drive_fs</v>
      </c>
      <c r="B71" s="73" t="str">
        <f>IFERROR(__xludf.DUMMYFUNCTION("""COMPUTED_VALUE"""),"Agarbatti")</f>
        <v>Agarbatti</v>
      </c>
      <c r="C71" s="73" t="str">
        <f>IFERROR(__xludf.DUMMYFUNCTION("""COMPUTED_VALUE"""),"Single Box")</f>
        <v>Single Box</v>
      </c>
      <c r="D71" s="73" t="str">
        <f>IFERROR(__xludf.DUMMYFUNCTION("""COMPUTED_VALUE"""),"40*15*235 mm | 1.5*.6*9.25 inch")</f>
        <v>40*15*235 mm | 1.5*.6*9.25 inch</v>
      </c>
      <c r="E71" s="77">
        <f>IFERROR(__xludf.DUMMYFUNCTION("""COMPUTED_VALUE"""),6.0)</f>
        <v>6</v>
      </c>
      <c r="F71" s="77">
        <f>IFERROR(__xludf.DUMMYFUNCTION("""COMPUTED_VALUE"""),1926.0)</f>
        <v>1926</v>
      </c>
      <c r="G71" s="77">
        <f>IFERROR(__xludf.DUMMYFUNCTION("""COMPUTED_VALUE"""),18.0)</f>
        <v>18</v>
      </c>
      <c r="H71" s="77">
        <f>IFERROR(__xludf.DUMMYFUNCTION("""COMPUTED_VALUE"""),23.0)</f>
        <v>23</v>
      </c>
      <c r="I71" s="77">
        <f>IFERROR(__xludf.DUMMYFUNCTION("""COMPUTED_VALUE"""),100.0)</f>
        <v>100</v>
      </c>
      <c r="J71" s="73"/>
      <c r="K71" s="73"/>
      <c r="L71" s="73"/>
      <c r="M71" s="77">
        <f>IFERROR(__xludf.DUMMYFUNCTION("""COMPUTED_VALUE"""),0.1)</f>
        <v>0.1</v>
      </c>
      <c r="N71" s="77">
        <f>IFERROR(__xludf.DUMMYFUNCTION("""COMPUTED_VALUE"""),1.0)</f>
        <v>1</v>
      </c>
      <c r="O71" s="49"/>
      <c r="P71" s="49" t="str">
        <f>IFERROR(__xludf.DUMMYFUNCTION("""COMPUTED_VALUE"""),"Offset")</f>
        <v>Offset</v>
      </c>
      <c r="Q71" s="49" t="str">
        <f>IFERROR(__xludf.DUMMYFUNCTION("""COMPUTED_VALUE"""),"Packaging")</f>
        <v>Packaging</v>
      </c>
      <c r="R71" s="49" t="str">
        <f>IFERROR(__xludf.DUMMYFUNCTION("""COMPUTED_VALUE"""),"Agarbatti")</f>
        <v>Agarbatti</v>
      </c>
    </row>
    <row r="72">
      <c r="A72" s="156" t="str">
        <f>IFERROR(__xludf.DUMMYFUNCTION("""COMPUTED_VALUE"""),"https://drive.google.com/open?id=1vi_oh5u057Uf1mW38jKLDCDhaCesIRJ6&amp;authuser=jay.agg%40gmail.com&amp;usp=drive_fs")</f>
        <v>https://drive.google.com/open?id=1vi_oh5u057Uf1mW38jKLDCDhaCesIRJ6&amp;authuser=jay.agg%40gmail.com&amp;usp=drive_fs</v>
      </c>
      <c r="B72" s="73" t="str">
        <f>IFERROR(__xludf.DUMMYFUNCTION("""COMPUTED_VALUE"""),"Agarbatti")</f>
        <v>Agarbatti</v>
      </c>
      <c r="C72" s="73" t="str">
        <f>IFERROR(__xludf.DUMMYFUNCTION("""COMPUTED_VALUE"""),"Single Box")</f>
        <v>Single Box</v>
      </c>
      <c r="D72" s="73" t="str">
        <f>IFERROR(__xludf.DUMMYFUNCTION("""COMPUTED_VALUE"""),"80*25*252 mm | 10*3.15*1 inch")</f>
        <v>80*25*252 mm | 10*3.15*1 inch</v>
      </c>
      <c r="E72" s="77">
        <f>IFERROR(__xludf.DUMMYFUNCTION("""COMPUTED_VALUE"""),4.0)</f>
        <v>4</v>
      </c>
      <c r="F72" s="77">
        <f>IFERROR(__xludf.DUMMYFUNCTION("""COMPUTED_VALUE"""),1926.0)</f>
        <v>1926</v>
      </c>
      <c r="G72" s="77">
        <f>IFERROR(__xludf.DUMMYFUNCTION("""COMPUTED_VALUE"""),18.0)</f>
        <v>18</v>
      </c>
      <c r="H72" s="77">
        <f>IFERROR(__xludf.DUMMYFUNCTION("""COMPUTED_VALUE"""),25.0)</f>
        <v>25</v>
      </c>
      <c r="I72" s="77">
        <f>IFERROR(__xludf.DUMMYFUNCTION("""COMPUTED_VALUE"""),100.0)</f>
        <v>100</v>
      </c>
      <c r="J72" s="73"/>
      <c r="K72" s="73"/>
      <c r="L72" s="73"/>
      <c r="M72" s="77">
        <f>IFERROR(__xludf.DUMMYFUNCTION("""COMPUTED_VALUE"""),0.1)</f>
        <v>0.1</v>
      </c>
      <c r="N72" s="77">
        <f>IFERROR(__xludf.DUMMYFUNCTION("""COMPUTED_VALUE"""),1.0)</f>
        <v>1</v>
      </c>
      <c r="O72" s="49"/>
      <c r="P72" s="49" t="str">
        <f>IFERROR(__xludf.DUMMYFUNCTION("""COMPUTED_VALUE"""),"Offset")</f>
        <v>Offset</v>
      </c>
      <c r="Q72" s="49" t="str">
        <f>IFERROR(__xludf.DUMMYFUNCTION("""COMPUTED_VALUE"""),"Packaging")</f>
        <v>Packaging</v>
      </c>
      <c r="R72" s="49" t="str">
        <f>IFERROR(__xludf.DUMMYFUNCTION("""COMPUTED_VALUE"""),"Agarbatti")</f>
        <v>Agarbatti</v>
      </c>
    </row>
    <row r="73">
      <c r="A73" s="156" t="str">
        <f>IFERROR(__xludf.DUMMYFUNCTION("""COMPUTED_VALUE"""),"https://drive.google.com/open?id=1vtI3gFYe4EfOAW5EDBmKlMVhDnt-LVRp&amp;authuser=jay.agg%40gmail.com&amp;usp=drive_fs")</f>
        <v>https://drive.google.com/open?id=1vtI3gFYe4EfOAW5EDBmKlMVhDnt-LVRp&amp;authuser=jay.agg%40gmail.com&amp;usp=drive_fs</v>
      </c>
      <c r="B73" s="73" t="str">
        <f>IFERROR(__xludf.DUMMYFUNCTION("""COMPUTED_VALUE"""),"Agarbatti")</f>
        <v>Agarbatti</v>
      </c>
      <c r="C73" s="73" t="str">
        <f>IFERROR(__xludf.DUMMYFUNCTION("""COMPUTED_VALUE"""),"Single Box")</f>
        <v>Single Box</v>
      </c>
      <c r="D73" s="73" t="str">
        <f>IFERROR(__xludf.DUMMYFUNCTION("""COMPUTED_VALUE"""),"73*15*264 mm | 2.8*.6*10.4 inch")</f>
        <v>73*15*264 mm | 2.8*.6*10.4 inch</v>
      </c>
      <c r="E73" s="77">
        <f>IFERROR(__xludf.DUMMYFUNCTION("""COMPUTED_VALUE"""),4.0)</f>
        <v>4</v>
      </c>
      <c r="F73" s="77">
        <f>IFERROR(__xludf.DUMMYFUNCTION("""COMPUTED_VALUE"""),1926.0)</f>
        <v>1926</v>
      </c>
      <c r="G73" s="77">
        <f>IFERROR(__xludf.DUMMYFUNCTION("""COMPUTED_VALUE"""),15.0)</f>
        <v>15</v>
      </c>
      <c r="H73" s="77">
        <f>IFERROR(__xludf.DUMMYFUNCTION("""COMPUTED_VALUE"""),25.0)</f>
        <v>25</v>
      </c>
      <c r="I73" s="77">
        <f>IFERROR(__xludf.DUMMYFUNCTION("""COMPUTED_VALUE"""),100.0)</f>
        <v>100</v>
      </c>
      <c r="J73" s="73"/>
      <c r="K73" s="73"/>
      <c r="L73" s="73"/>
      <c r="M73" s="77">
        <f>IFERROR(__xludf.DUMMYFUNCTION("""COMPUTED_VALUE"""),0.1)</f>
        <v>0.1</v>
      </c>
      <c r="N73" s="77">
        <f>IFERROR(__xludf.DUMMYFUNCTION("""COMPUTED_VALUE"""),1.0)</f>
        <v>1</v>
      </c>
      <c r="O73" s="49"/>
      <c r="P73" s="49" t="str">
        <f>IFERROR(__xludf.DUMMYFUNCTION("""COMPUTED_VALUE"""),"Offset")</f>
        <v>Offset</v>
      </c>
      <c r="Q73" s="49" t="str">
        <f>IFERROR(__xludf.DUMMYFUNCTION("""COMPUTED_VALUE"""),"Packaging")</f>
        <v>Packaging</v>
      </c>
      <c r="R73" s="49" t="str">
        <f>IFERROR(__xludf.DUMMYFUNCTION("""COMPUTED_VALUE"""),"Agarbatti")</f>
        <v>Agarbatti</v>
      </c>
    </row>
    <row r="74">
      <c r="A74" s="156" t="str">
        <f>IFERROR(__xludf.DUMMYFUNCTION("""COMPUTED_VALUE"""),"https://drive.google.com/open?id=1vvHzI10sjF-t1QJqgL6gPrwdKM_5HWlI&amp;authuser=jay.agg%40gmail.com&amp;usp=drive_fs")</f>
        <v>https://drive.google.com/open?id=1vvHzI10sjF-t1QJqgL6gPrwdKM_5HWlI&amp;authuser=jay.agg%40gmail.com&amp;usp=drive_fs</v>
      </c>
      <c r="B74" s="73" t="str">
        <f>IFERROR(__xludf.DUMMYFUNCTION("""COMPUTED_VALUE"""),"Agarbatti")</f>
        <v>Agarbatti</v>
      </c>
      <c r="C74" s="73" t="str">
        <f>IFERROR(__xludf.DUMMYFUNCTION("""COMPUTED_VALUE"""),"Single Box")</f>
        <v>Single Box</v>
      </c>
      <c r="D74" s="73" t="str">
        <f>IFERROR(__xludf.DUMMYFUNCTION("""COMPUTED_VALUE"""),"63*22*245 mm | 2.5*.9*9.6 inch")</f>
        <v>63*22*245 mm | 2.5*.9*9.6 inch</v>
      </c>
      <c r="E74" s="77">
        <f>IFERROR(__xludf.DUMMYFUNCTION("""COMPUTED_VALUE"""),4.0)</f>
        <v>4</v>
      </c>
      <c r="F74" s="77">
        <f>IFERROR(__xludf.DUMMYFUNCTION("""COMPUTED_VALUE"""),1926.0)</f>
        <v>1926</v>
      </c>
      <c r="G74" s="77">
        <f>IFERROR(__xludf.DUMMYFUNCTION("""COMPUTED_VALUE"""),15.0)</f>
        <v>15</v>
      </c>
      <c r="H74" s="77">
        <f>IFERROR(__xludf.DUMMYFUNCTION("""COMPUTED_VALUE"""),25.0)</f>
        <v>25</v>
      </c>
      <c r="I74" s="77">
        <f>IFERROR(__xludf.DUMMYFUNCTION("""COMPUTED_VALUE"""),100.0)</f>
        <v>100</v>
      </c>
      <c r="J74" s="73"/>
      <c r="K74" s="73"/>
      <c r="L74" s="73"/>
      <c r="M74" s="77">
        <f>IFERROR(__xludf.DUMMYFUNCTION("""COMPUTED_VALUE"""),0.1)</f>
        <v>0.1</v>
      </c>
      <c r="N74" s="77">
        <f>IFERROR(__xludf.DUMMYFUNCTION("""COMPUTED_VALUE"""),1.0)</f>
        <v>1</v>
      </c>
      <c r="O74" s="49"/>
      <c r="P74" s="49" t="str">
        <f>IFERROR(__xludf.DUMMYFUNCTION("""COMPUTED_VALUE"""),"Offset")</f>
        <v>Offset</v>
      </c>
      <c r="Q74" s="49" t="str">
        <f>IFERROR(__xludf.DUMMYFUNCTION("""COMPUTED_VALUE"""),"Packaging")</f>
        <v>Packaging</v>
      </c>
      <c r="R74" s="49" t="str">
        <f>IFERROR(__xludf.DUMMYFUNCTION("""COMPUTED_VALUE"""),"Agarbatti")</f>
        <v>Agarbatti</v>
      </c>
    </row>
    <row r="75">
      <c r="A75" s="156" t="str">
        <f>IFERROR(__xludf.DUMMYFUNCTION("""COMPUTED_VALUE"""),"https://drive.google.com/open?id=1vwNQFKjxq95t5HUdEQrv67O2PD5Xbz0C&amp;authuser=jay.agg%40gmail.com&amp;usp=drive_fs")</f>
        <v>https://drive.google.com/open?id=1vwNQFKjxq95t5HUdEQrv67O2PD5Xbz0C&amp;authuser=jay.agg%40gmail.com&amp;usp=drive_fs</v>
      </c>
      <c r="B75" s="73" t="str">
        <f>IFERROR(__xludf.DUMMYFUNCTION("""COMPUTED_VALUE"""),"Agarbatti")</f>
        <v>Agarbatti</v>
      </c>
      <c r="C75" s="73" t="str">
        <f>IFERROR(__xludf.DUMMYFUNCTION("""COMPUTED_VALUE"""),"Single Box")</f>
        <v>Single Box</v>
      </c>
      <c r="D75" s="73" t="str">
        <f>IFERROR(__xludf.DUMMYFUNCTION("""COMPUTED_VALUE"""),"38*38*212 mm | 1.5*1.5*8.3 inch")</f>
        <v>38*38*212 mm | 1.5*1.5*8.3 inch</v>
      </c>
      <c r="E75" s="77">
        <f>IFERROR(__xludf.DUMMYFUNCTION("""COMPUTED_VALUE"""),4.0)</f>
        <v>4</v>
      </c>
      <c r="F75" s="77">
        <f>IFERROR(__xludf.DUMMYFUNCTION("""COMPUTED_VALUE"""),1926.0)</f>
        <v>1926</v>
      </c>
      <c r="G75" s="77">
        <f>IFERROR(__xludf.DUMMYFUNCTION("""COMPUTED_VALUE"""),13.0)</f>
        <v>13</v>
      </c>
      <c r="H75" s="77">
        <f>IFERROR(__xludf.DUMMYFUNCTION("""COMPUTED_VALUE"""),23.0)</f>
        <v>23</v>
      </c>
      <c r="I75" s="77">
        <f>IFERROR(__xludf.DUMMYFUNCTION("""COMPUTED_VALUE"""),100.0)</f>
        <v>100</v>
      </c>
      <c r="J75" s="73"/>
      <c r="K75" s="73"/>
      <c r="L75" s="73"/>
      <c r="M75" s="77">
        <f>IFERROR(__xludf.DUMMYFUNCTION("""COMPUTED_VALUE"""),0.1)</f>
        <v>0.1</v>
      </c>
      <c r="N75" s="77">
        <f>IFERROR(__xludf.DUMMYFUNCTION("""COMPUTED_VALUE"""),1.0)</f>
        <v>1</v>
      </c>
      <c r="O75" s="49"/>
      <c r="P75" s="49" t="str">
        <f>IFERROR(__xludf.DUMMYFUNCTION("""COMPUTED_VALUE"""),"Offset")</f>
        <v>Offset</v>
      </c>
      <c r="Q75" s="49" t="str">
        <f>IFERROR(__xludf.DUMMYFUNCTION("""COMPUTED_VALUE"""),"Packaging")</f>
        <v>Packaging</v>
      </c>
      <c r="R75" s="49" t="str">
        <f>IFERROR(__xludf.DUMMYFUNCTION("""COMPUTED_VALUE"""),"Agarbatti")</f>
        <v>Agarbatti</v>
      </c>
    </row>
    <row r="76">
      <c r="A76" s="156" t="str">
        <f>IFERROR(__xludf.DUMMYFUNCTION("""COMPUTED_VALUE"""),"https://drive.google.com/open?id=1yNJdPJ5wM9hDZwlvLwgDC8I9hKNokFGS&amp;authuser=jay.agg%40gmail.com&amp;usp=drive_fs")</f>
        <v>https://drive.google.com/open?id=1yNJdPJ5wM9hDZwlvLwgDC8I9hKNokFGS&amp;authuser=jay.agg%40gmail.com&amp;usp=drive_fs</v>
      </c>
      <c r="B76" s="73" t="str">
        <f>IFERROR(__xludf.DUMMYFUNCTION("""COMPUTED_VALUE"""),"Agarbatti")</f>
        <v>Agarbatti</v>
      </c>
      <c r="C76" s="73" t="str">
        <f>IFERROR(__xludf.DUMMYFUNCTION("""COMPUTED_VALUE"""),"Single Box")</f>
        <v>Single Box</v>
      </c>
      <c r="D76" s="73" t="str">
        <f>IFERROR(__xludf.DUMMYFUNCTION("""COMPUTED_VALUE"""),"26*13*216 mm | 1*0.5*8.5 inch")</f>
        <v>26*13*216 mm | 1*0.5*8.5 inch</v>
      </c>
      <c r="E76" s="77">
        <f>IFERROR(__xludf.DUMMYFUNCTION("""COMPUTED_VALUE"""),10.0)</f>
        <v>10</v>
      </c>
      <c r="F76" s="77">
        <f>IFERROR(__xludf.DUMMYFUNCTION("""COMPUTED_VALUE"""),1926.0)</f>
        <v>1926</v>
      </c>
      <c r="G76" s="77">
        <f>IFERROR(__xludf.DUMMYFUNCTION("""COMPUTED_VALUE"""),18.0)</f>
        <v>18</v>
      </c>
      <c r="H76" s="77">
        <f>IFERROR(__xludf.DUMMYFUNCTION("""COMPUTED_VALUE"""),21.0)</f>
        <v>21</v>
      </c>
      <c r="I76" s="77">
        <f>IFERROR(__xludf.DUMMYFUNCTION("""COMPUTED_VALUE"""),100.0)</f>
        <v>100</v>
      </c>
      <c r="J76" s="73"/>
      <c r="K76" s="73"/>
      <c r="L76" s="73"/>
      <c r="M76" s="77">
        <f>IFERROR(__xludf.DUMMYFUNCTION("""COMPUTED_VALUE"""),0.1)</f>
        <v>0.1</v>
      </c>
      <c r="N76" s="77">
        <f>IFERROR(__xludf.DUMMYFUNCTION("""COMPUTED_VALUE"""),1.0)</f>
        <v>1</v>
      </c>
      <c r="O76" s="49"/>
      <c r="P76" s="49" t="str">
        <f>IFERROR(__xludf.DUMMYFUNCTION("""COMPUTED_VALUE"""),"Offset")</f>
        <v>Offset</v>
      </c>
      <c r="Q76" s="49" t="str">
        <f>IFERROR(__xludf.DUMMYFUNCTION("""COMPUTED_VALUE"""),"Packaging")</f>
        <v>Packaging</v>
      </c>
      <c r="R76" s="49" t="str">
        <f>IFERROR(__xludf.DUMMYFUNCTION("""COMPUTED_VALUE"""),"Agarbatti")</f>
        <v>Agarbatti</v>
      </c>
    </row>
    <row r="77">
      <c r="A77" s="156" t="str">
        <f>IFERROR(__xludf.DUMMYFUNCTION("""COMPUTED_VALUE"""),"https://drive.google.com/open?id=1zDsOyevKRxqYrk3u3TxTJOnxZZAgBi6n&amp;authuser=jay.agg%40gmail.com&amp;usp=drive_fs")</f>
        <v>https://drive.google.com/open?id=1zDsOyevKRxqYrk3u3TxTJOnxZZAgBi6n&amp;authuser=jay.agg%40gmail.com&amp;usp=drive_fs</v>
      </c>
      <c r="B77" s="73" t="str">
        <f>IFERROR(__xludf.DUMMYFUNCTION("""COMPUTED_VALUE"""),"Agarbatti")</f>
        <v>Agarbatti</v>
      </c>
      <c r="C77" s="73" t="str">
        <f>IFERROR(__xludf.DUMMYFUNCTION("""COMPUTED_VALUE"""),"Single Box")</f>
        <v>Single Box</v>
      </c>
      <c r="D77" s="73" t="str">
        <f>IFERROR(__xludf.DUMMYFUNCTION("""COMPUTED_VALUE"""),"50*40*250 mm | 2*1.5*10 inch")</f>
        <v>50*40*250 mm | 2*1.5*10 inch</v>
      </c>
      <c r="E77" s="77">
        <f>IFERROR(__xludf.DUMMYFUNCTION("""COMPUTED_VALUE"""),4.0)</f>
        <v>4</v>
      </c>
      <c r="F77" s="77">
        <f>IFERROR(__xludf.DUMMYFUNCTION("""COMPUTED_VALUE"""),1926.0)</f>
        <v>1926</v>
      </c>
      <c r="G77" s="77">
        <f>IFERROR(__xludf.DUMMYFUNCTION("""COMPUTED_VALUE"""),15.5)</f>
        <v>15.5</v>
      </c>
      <c r="H77" s="77">
        <f>IFERROR(__xludf.DUMMYFUNCTION("""COMPUTED_VALUE"""),20.5)</f>
        <v>20.5</v>
      </c>
      <c r="I77" s="77">
        <f>IFERROR(__xludf.DUMMYFUNCTION("""COMPUTED_VALUE"""),100.0)</f>
        <v>100</v>
      </c>
      <c r="J77" s="73"/>
      <c r="K77" s="73"/>
      <c r="L77" s="73"/>
      <c r="M77" s="77">
        <f>IFERROR(__xludf.DUMMYFUNCTION("""COMPUTED_VALUE"""),0.1)</f>
        <v>0.1</v>
      </c>
      <c r="N77" s="77">
        <f>IFERROR(__xludf.DUMMYFUNCTION("""COMPUTED_VALUE"""),1.0)</f>
        <v>1</v>
      </c>
      <c r="O77" s="49"/>
      <c r="P77" s="49" t="str">
        <f>IFERROR(__xludf.DUMMYFUNCTION("""COMPUTED_VALUE"""),"Offset")</f>
        <v>Offset</v>
      </c>
      <c r="Q77" s="49" t="str">
        <f>IFERROR(__xludf.DUMMYFUNCTION("""COMPUTED_VALUE"""),"Packaging")</f>
        <v>Packaging</v>
      </c>
      <c r="R77" s="49" t="str">
        <f>IFERROR(__xludf.DUMMYFUNCTION("""COMPUTED_VALUE"""),"Agarbatti")</f>
        <v>Agarbatti</v>
      </c>
    </row>
    <row r="78">
      <c r="A78" s="156" t="str">
        <f>IFERROR(__xludf.DUMMYFUNCTION("""COMPUTED_VALUE"""),"https://drive.google.com/open?id=1zUHeMzxSn2fwCwO-iWMUtFsER8859Pnv&amp;authuser=jay.agg%40gmail.com&amp;usp=drive_fs")</f>
        <v>https://drive.google.com/open?id=1zUHeMzxSn2fwCwO-iWMUtFsER8859Pnv&amp;authuser=jay.agg%40gmail.com&amp;usp=drive_fs</v>
      </c>
      <c r="B78" s="73" t="str">
        <f>IFERROR(__xludf.DUMMYFUNCTION("""COMPUTED_VALUE"""),"Agarbatti")</f>
        <v>Agarbatti</v>
      </c>
      <c r="C78" s="73" t="str">
        <f>IFERROR(__xludf.DUMMYFUNCTION("""COMPUTED_VALUE"""),"Single Box")</f>
        <v>Single Box</v>
      </c>
      <c r="D78" s="73" t="str">
        <f>IFERROR(__xludf.DUMMYFUNCTION("""COMPUTED_VALUE"""),"50*40*250 mm | 2*1.5*10 inch Tray")</f>
        <v>50*40*250 mm | 2*1.5*10 inch Tray</v>
      </c>
      <c r="E78" s="77">
        <f>IFERROR(__xludf.DUMMYFUNCTION("""COMPUTED_VALUE"""),2.0)</f>
        <v>2</v>
      </c>
      <c r="F78" s="77">
        <f>IFERROR(__xludf.DUMMYFUNCTION("""COMPUTED_VALUE"""),1926.0)</f>
        <v>1926</v>
      </c>
      <c r="G78" s="77">
        <f>IFERROR(__xludf.DUMMYFUNCTION("""COMPUTED_VALUE"""),18.0)</f>
        <v>18</v>
      </c>
      <c r="H78" s="77">
        <f>IFERROR(__xludf.DUMMYFUNCTION("""COMPUTED_VALUE"""),19.0)</f>
        <v>19</v>
      </c>
      <c r="I78" s="77">
        <f>IFERROR(__xludf.DUMMYFUNCTION("""COMPUTED_VALUE"""),100.0)</f>
        <v>100</v>
      </c>
      <c r="J78" s="73"/>
      <c r="K78" s="73"/>
      <c r="L78" s="73"/>
      <c r="M78" s="77"/>
      <c r="N78" s="77">
        <f>IFERROR(__xludf.DUMMYFUNCTION("""COMPUTED_VALUE"""),1.0)</f>
        <v>1</v>
      </c>
      <c r="O78" s="49"/>
      <c r="P78" s="49" t="str">
        <f>IFERROR(__xludf.DUMMYFUNCTION("""COMPUTED_VALUE"""),"Offset")</f>
        <v>Offset</v>
      </c>
      <c r="Q78" s="49" t="str">
        <f>IFERROR(__xludf.DUMMYFUNCTION("""COMPUTED_VALUE"""),"Packaging")</f>
        <v>Packaging</v>
      </c>
      <c r="R78" s="49" t="str">
        <f>IFERROR(__xludf.DUMMYFUNCTION("""COMPUTED_VALUE"""),"Agarbatti")</f>
        <v>Agarbatti</v>
      </c>
    </row>
    <row r="79">
      <c r="A79" s="156" t="str">
        <f>IFERROR(__xludf.DUMMYFUNCTION("""COMPUTED_VALUE"""),"https://drive.google.com/open?id=1-vCYJpOG8qUpkz4UpBiFTByf-OokDYsI&amp;authuser=jay.agg%40gmail.com&amp;usp=drive_fs")</f>
        <v>https://drive.google.com/open?id=1-vCYJpOG8qUpkz4UpBiFTByf-OokDYsI&amp;authuser=jay.agg%40gmail.com&amp;usp=drive_fs</v>
      </c>
      <c r="B79" s="73" t="str">
        <f>IFERROR(__xludf.DUMMYFUNCTION("""COMPUTED_VALUE"""),"Dhoop")</f>
        <v>Dhoop</v>
      </c>
      <c r="C79" s="73" t="str">
        <f>IFERROR(__xludf.DUMMYFUNCTION("""COMPUTED_VALUE"""),"Single Box")</f>
        <v>Single Box</v>
      </c>
      <c r="D79" s="73" t="str">
        <f>IFERROR(__xludf.DUMMYFUNCTION("""COMPUTED_VALUE"""),"90*60*30 mm | 3.5*2.3*1.1 inch")</f>
        <v>90*60*30 mm | 3.5*2.3*1.1 inch</v>
      </c>
      <c r="E79" s="77">
        <f>IFERROR(__xludf.DUMMYFUNCTION("""COMPUTED_VALUE"""),9.0)</f>
        <v>9</v>
      </c>
      <c r="F79" s="77">
        <f>IFERROR(__xludf.DUMMYFUNCTION("""COMPUTED_VALUE"""),1926.0)</f>
        <v>1926</v>
      </c>
      <c r="G79" s="77">
        <f>IFERROR(__xludf.DUMMYFUNCTION("""COMPUTED_VALUE"""),18.0)</f>
        <v>18</v>
      </c>
      <c r="H79" s="77">
        <f>IFERROR(__xludf.DUMMYFUNCTION("""COMPUTED_VALUE"""),23.0)</f>
        <v>23</v>
      </c>
      <c r="I79" s="77">
        <f>IFERROR(__xludf.DUMMYFUNCTION("""COMPUTED_VALUE"""),100.0)</f>
        <v>100</v>
      </c>
      <c r="J79" s="73"/>
      <c r="K79" s="73"/>
      <c r="L79" s="73"/>
      <c r="M79" s="77">
        <f>IFERROR(__xludf.DUMMYFUNCTION("""COMPUTED_VALUE"""),0.1)</f>
        <v>0.1</v>
      </c>
      <c r="N79" s="77">
        <f>IFERROR(__xludf.DUMMYFUNCTION("""COMPUTED_VALUE"""),1.0)</f>
        <v>1</v>
      </c>
      <c r="O79" s="49"/>
      <c r="P79" s="49" t="str">
        <f>IFERROR(__xludf.DUMMYFUNCTION("""COMPUTED_VALUE"""),"Offset")</f>
        <v>Offset</v>
      </c>
      <c r="Q79" s="49" t="str">
        <f>IFERROR(__xludf.DUMMYFUNCTION("""COMPUTED_VALUE"""),"Packaging")</f>
        <v>Packaging</v>
      </c>
      <c r="R79" s="49" t="str">
        <f>IFERROR(__xludf.DUMMYFUNCTION("""COMPUTED_VALUE"""),"Dhoop")</f>
        <v>Dhoop</v>
      </c>
    </row>
    <row r="80">
      <c r="A80" s="156" t="str">
        <f>IFERROR(__xludf.DUMMYFUNCTION("""COMPUTED_VALUE"""),"https://drive.google.com/open?id=1KHbOAj_Xhl7xwFGhy0RCkstOhu18ZH1j&amp;authuser=jay.agg%40gmail.com&amp;usp=drive_fs")</f>
        <v>https://drive.google.com/open?id=1KHbOAj_Xhl7xwFGhy0RCkstOhu18ZH1j&amp;authuser=jay.agg%40gmail.com&amp;usp=drive_fs</v>
      </c>
      <c r="B80" s="73" t="str">
        <f>IFERROR(__xludf.DUMMYFUNCTION("""COMPUTED_VALUE"""),"Agarbatti")</f>
        <v>Agarbatti</v>
      </c>
      <c r="C80" s="73" t="str">
        <f>IFERROR(__xludf.DUMMYFUNCTION("""COMPUTED_VALUE"""),"Single Box")</f>
        <v>Single Box</v>
      </c>
      <c r="D80" s="73" t="str">
        <f>IFERROR(__xludf.DUMMYFUNCTION("""COMPUTED_VALUE"""),"45*45*230 mm | 1.7*1.7*9 inch")</f>
        <v>45*45*230 mm | 1.7*1.7*9 inch</v>
      </c>
      <c r="E80" s="77">
        <f>IFERROR(__xludf.DUMMYFUNCTION("""COMPUTED_VALUE"""),4.0)</f>
        <v>4</v>
      </c>
      <c r="F80" s="77">
        <f>IFERROR(__xludf.DUMMYFUNCTION("""COMPUTED_VALUE"""),1926.0)</f>
        <v>1926</v>
      </c>
      <c r="G80" s="77">
        <f>IFERROR(__xludf.DUMMYFUNCTION("""COMPUTED_VALUE"""),19.0)</f>
        <v>19</v>
      </c>
      <c r="H80" s="77">
        <f>IFERROR(__xludf.DUMMYFUNCTION("""COMPUTED_VALUE"""),26.0)</f>
        <v>26</v>
      </c>
      <c r="I80" s="77">
        <f>IFERROR(__xludf.DUMMYFUNCTION("""COMPUTED_VALUE"""),100.0)</f>
        <v>100</v>
      </c>
      <c r="J80" s="73"/>
      <c r="K80" s="73"/>
      <c r="L80" s="73"/>
      <c r="M80" s="77">
        <f>IFERROR(__xludf.DUMMYFUNCTION("""COMPUTED_VALUE"""),0.1)</f>
        <v>0.1</v>
      </c>
      <c r="N80" s="77">
        <f>IFERROR(__xludf.DUMMYFUNCTION("""COMPUTED_VALUE"""),1.0)</f>
        <v>1</v>
      </c>
      <c r="O80" s="49"/>
      <c r="P80" s="49" t="str">
        <f>IFERROR(__xludf.DUMMYFUNCTION("""COMPUTED_VALUE"""),"Offset")</f>
        <v>Offset</v>
      </c>
      <c r="Q80" s="49" t="str">
        <f>IFERROR(__xludf.DUMMYFUNCTION("""COMPUTED_VALUE"""),"Packaging")</f>
        <v>Packaging</v>
      </c>
      <c r="R80" s="49" t="str">
        <f>IFERROR(__xludf.DUMMYFUNCTION("""COMPUTED_VALUE"""),"Agarbatti")</f>
        <v>Agarbatti</v>
      </c>
    </row>
    <row r="81">
      <c r="A81" s="156" t="str">
        <f>IFERROR(__xludf.DUMMYFUNCTION("""COMPUTED_VALUE"""),"https://drive.google.com/open?id=157kiX-K2V7ovKGdWN0-n7BGMz9L8fUnt&amp;authuser=jay.agg%40gmail.com&amp;usp=drive_fs")</f>
        <v>https://drive.google.com/open?id=157kiX-K2V7ovKGdWN0-n7BGMz9L8fUnt&amp;authuser=jay.agg%40gmail.com&amp;usp=drive_fs</v>
      </c>
      <c r="B81" s="73" t="str">
        <f>IFERROR(__xludf.DUMMYFUNCTION("""COMPUTED_VALUE"""),"Agarbatti")</f>
        <v>Agarbatti</v>
      </c>
      <c r="C81" s="73" t="str">
        <f>IFERROR(__xludf.DUMMYFUNCTION("""COMPUTED_VALUE"""),"Single Box")</f>
        <v>Single Box</v>
      </c>
      <c r="D81" s="73" t="str">
        <f>IFERROR(__xludf.DUMMYFUNCTION("""COMPUTED_VALUE"""),"91*21*205 mm | 3.5*0.9*8 inch")</f>
        <v>91*21*205 mm | 3.5*0.9*8 inch</v>
      </c>
      <c r="E81" s="77">
        <f>IFERROR(__xludf.DUMMYFUNCTION("""COMPUTED_VALUE"""),4.0)</f>
        <v>4</v>
      </c>
      <c r="F81" s="77">
        <f>IFERROR(__xludf.DUMMYFUNCTION("""COMPUTED_VALUE"""),1926.0)</f>
        <v>1926</v>
      </c>
      <c r="G81" s="77">
        <f>IFERROR(__xludf.DUMMYFUNCTION("""COMPUTED_VALUE"""),20.0)</f>
        <v>20</v>
      </c>
      <c r="H81" s="77">
        <f>IFERROR(__xludf.DUMMYFUNCTION("""COMPUTED_VALUE"""),21.0)</f>
        <v>21</v>
      </c>
      <c r="I81" s="77">
        <f>IFERROR(__xludf.DUMMYFUNCTION("""COMPUTED_VALUE"""),100.0)</f>
        <v>100</v>
      </c>
      <c r="J81" s="73"/>
      <c r="K81" s="73"/>
      <c r="L81" s="73"/>
      <c r="M81" s="77">
        <f>IFERROR(__xludf.DUMMYFUNCTION("""COMPUTED_VALUE"""),0.1)</f>
        <v>0.1</v>
      </c>
      <c r="N81" s="77">
        <f>IFERROR(__xludf.DUMMYFUNCTION("""COMPUTED_VALUE"""),1.0)</f>
        <v>1</v>
      </c>
      <c r="O81" s="49"/>
      <c r="P81" s="49" t="str">
        <f>IFERROR(__xludf.DUMMYFUNCTION("""COMPUTED_VALUE"""),"Offset")</f>
        <v>Offset</v>
      </c>
      <c r="Q81" s="49" t="str">
        <f>IFERROR(__xludf.DUMMYFUNCTION("""COMPUTED_VALUE"""),"Packaging")</f>
        <v>Packaging</v>
      </c>
      <c r="R81" s="49" t="str">
        <f>IFERROR(__xludf.DUMMYFUNCTION("""COMPUTED_VALUE"""),"Agarbatti")</f>
        <v>Agarbatti</v>
      </c>
    </row>
    <row r="82">
      <c r="A82" s="156" t="str">
        <f>IFERROR(__xludf.DUMMYFUNCTION("""COMPUTED_VALUE"""),"https://drive.google.com/open?id=19XoXcmm-tHPGf6DwQgeCPkNzORQW8n_4&amp;authuser=jay.agg%40gmail.com&amp;usp=drive_fs")</f>
        <v>https://drive.google.com/open?id=19XoXcmm-tHPGf6DwQgeCPkNzORQW8n_4&amp;authuser=jay.agg%40gmail.com&amp;usp=drive_fs</v>
      </c>
      <c r="B82" s="73" t="str">
        <f>IFERROR(__xludf.DUMMYFUNCTION("""COMPUTED_VALUE"""),"Agarbatti")</f>
        <v>Agarbatti</v>
      </c>
      <c r="C82" s="73" t="str">
        <f>IFERROR(__xludf.DUMMYFUNCTION("""COMPUTED_VALUE"""),"Dhoop Hawan")</f>
        <v>Dhoop Hawan</v>
      </c>
      <c r="D82" s="73" t="str">
        <f>IFERROR(__xludf.DUMMYFUNCTION("""COMPUTED_VALUE"""),"4*3*6 inch 1up | 2.5*1*4 inch 4up")</f>
        <v>4*3*6 inch 1up | 2.5*1*4 inch 4up</v>
      </c>
      <c r="E82" s="77">
        <f>IFERROR(__xludf.DUMMYFUNCTION("""COMPUTED_VALUE"""),1.0)</f>
        <v>1</v>
      </c>
      <c r="F82" s="77">
        <f>IFERROR(__xludf.DUMMYFUNCTION("""COMPUTED_VALUE"""),1926.0)</f>
        <v>1926</v>
      </c>
      <c r="G82" s="77">
        <f>IFERROR(__xludf.DUMMYFUNCTION("""COMPUTED_VALUE"""),18.0)</f>
        <v>18</v>
      </c>
      <c r="H82" s="77">
        <f>IFERROR(__xludf.DUMMYFUNCTION("""COMPUTED_VALUE"""),25.0)</f>
        <v>25</v>
      </c>
      <c r="I82" s="77">
        <f>IFERROR(__xludf.DUMMYFUNCTION("""COMPUTED_VALUE"""),100.0)</f>
        <v>100</v>
      </c>
      <c r="J82" s="73"/>
      <c r="K82" s="73"/>
      <c r="L82" s="73"/>
      <c r="M82" s="77">
        <f>IFERROR(__xludf.DUMMYFUNCTION("""COMPUTED_VALUE"""),0.1)</f>
        <v>0.1</v>
      </c>
      <c r="N82" s="77">
        <f>IFERROR(__xludf.DUMMYFUNCTION("""COMPUTED_VALUE"""),1.0)</f>
        <v>1</v>
      </c>
      <c r="O82" s="49"/>
      <c r="P82" s="49" t="str">
        <f>IFERROR(__xludf.DUMMYFUNCTION("""COMPUTED_VALUE"""),"Offset")</f>
        <v>Offset</v>
      </c>
      <c r="Q82" s="49" t="str">
        <f>IFERROR(__xludf.DUMMYFUNCTION("""COMPUTED_VALUE"""),"Packaging")</f>
        <v>Packaging</v>
      </c>
      <c r="R82" s="49" t="str">
        <f>IFERROR(__xludf.DUMMYFUNCTION("""COMPUTED_VALUE"""),"Agarbatti")</f>
        <v>Agarbatti</v>
      </c>
    </row>
    <row r="83">
      <c r="A83" s="156" t="str">
        <f>IFERROR(__xludf.DUMMYFUNCTION("""COMPUTED_VALUE"""),"https://drive.google.com/open?id=1O1c-UKKTDD-WVC1AJWG719kLfrpo6vtJ&amp;authuser=jay.agg%40gmail.com&amp;usp=drive_fs")</f>
        <v>https://drive.google.com/open?id=1O1c-UKKTDD-WVC1AJWG719kLfrpo6vtJ&amp;authuser=jay.agg%40gmail.com&amp;usp=drive_fs</v>
      </c>
      <c r="B83" s="73" t="str">
        <f>IFERROR(__xludf.DUMMYFUNCTION("""COMPUTED_VALUE"""),"Agarbatti")</f>
        <v>Agarbatti</v>
      </c>
      <c r="C83" s="73" t="str">
        <f>IFERROR(__xludf.DUMMYFUNCTION("""COMPUTED_VALUE"""),"Single Box")</f>
        <v>Single Box</v>
      </c>
      <c r="D83" s="73" t="str">
        <f>IFERROR(__xludf.DUMMYFUNCTION("""COMPUTED_VALUE"""),"43*64*365 mm | 2.5*1.7*14.4 inch")</f>
        <v>43*64*365 mm | 2.5*1.7*14.4 inch</v>
      </c>
      <c r="E83" s="77">
        <f>IFERROR(__xludf.DUMMYFUNCTION("""COMPUTED_VALUE"""),2.0)</f>
        <v>2</v>
      </c>
      <c r="F83" s="77">
        <f>IFERROR(__xludf.DUMMYFUNCTION("""COMPUTED_VALUE"""),1926.0)</f>
        <v>1926</v>
      </c>
      <c r="G83" s="77">
        <f>IFERROR(__xludf.DUMMYFUNCTION("""COMPUTED_VALUE"""),18.0)</f>
        <v>18</v>
      </c>
      <c r="H83" s="77">
        <f>IFERROR(__xludf.DUMMYFUNCTION("""COMPUTED_VALUE"""),21.0)</f>
        <v>21</v>
      </c>
      <c r="I83" s="77">
        <f>IFERROR(__xludf.DUMMYFUNCTION("""COMPUTED_VALUE"""),100.0)</f>
        <v>100</v>
      </c>
      <c r="J83" s="73"/>
      <c r="K83" s="73"/>
      <c r="L83" s="73"/>
      <c r="M83" s="77">
        <f>IFERROR(__xludf.DUMMYFUNCTION("""COMPUTED_VALUE"""),0.1)</f>
        <v>0.1</v>
      </c>
      <c r="N83" s="77">
        <f>IFERROR(__xludf.DUMMYFUNCTION("""COMPUTED_VALUE"""),1.0)</f>
        <v>1</v>
      </c>
      <c r="O83" s="49"/>
      <c r="P83" s="49" t="str">
        <f>IFERROR(__xludf.DUMMYFUNCTION("""COMPUTED_VALUE"""),"Offset")</f>
        <v>Offset</v>
      </c>
      <c r="Q83" s="49" t="str">
        <f>IFERROR(__xludf.DUMMYFUNCTION("""COMPUTED_VALUE"""),"Packaging")</f>
        <v>Packaging</v>
      </c>
      <c r="R83" s="49" t="str">
        <f>IFERROR(__xludf.DUMMYFUNCTION("""COMPUTED_VALUE"""),"Agarbatti")</f>
        <v>Agarbatti</v>
      </c>
    </row>
    <row r="84">
      <c r="A84" s="156" t="str">
        <f>IFERROR(__xludf.DUMMYFUNCTION("""COMPUTED_VALUE"""),"https://drive.google.com/open?id=1CN2UfB7jggeO_gR63NxLthKGK_BKXQjL&amp;authuser=jay.agg%40gmail.com&amp;usp=drive_fs")</f>
        <v>https://drive.google.com/open?id=1CN2UfB7jggeO_gR63NxLthKGK_BKXQjL&amp;authuser=jay.agg%40gmail.com&amp;usp=drive_fs</v>
      </c>
      <c r="B84" s="73" t="str">
        <f>IFERROR(__xludf.DUMMYFUNCTION("""COMPUTED_VALUE"""),"Agarbatti")</f>
        <v>Agarbatti</v>
      </c>
      <c r="C84" s="73" t="str">
        <f>IFERROR(__xludf.DUMMYFUNCTION("""COMPUTED_VALUE"""),"Outer")</f>
        <v>Outer</v>
      </c>
      <c r="D84" s="73" t="str">
        <f>IFERROR(__xludf.DUMMYFUNCTION("""COMPUTED_VALUE""")," 12 Box 178*52*243 mm | 7*2*9.5 inch")</f>
        <v> 12 Box 178*52*243 mm | 7*2*9.5 inch</v>
      </c>
      <c r="E84" s="77">
        <f>IFERROR(__xludf.DUMMYFUNCTION("""COMPUTED_VALUE"""),1.0)</f>
        <v>1</v>
      </c>
      <c r="F84" s="77">
        <f>IFERROR(__xludf.DUMMYFUNCTION("""COMPUTED_VALUE"""),1926.0)</f>
        <v>1926</v>
      </c>
      <c r="G84" s="77">
        <f>IFERROR(__xludf.DUMMYFUNCTION("""COMPUTED_VALUE"""),15.5)</f>
        <v>15.5</v>
      </c>
      <c r="H84" s="77">
        <f>IFERROR(__xludf.DUMMYFUNCTION("""COMPUTED_VALUE"""),20.5)</f>
        <v>20.5</v>
      </c>
      <c r="I84" s="77">
        <f>IFERROR(__xludf.DUMMYFUNCTION("""COMPUTED_VALUE"""),100.0)</f>
        <v>100</v>
      </c>
      <c r="J84" s="73"/>
      <c r="K84" s="73"/>
      <c r="L84" s="73"/>
      <c r="M84" s="77">
        <f>IFERROR(__xludf.DUMMYFUNCTION("""COMPUTED_VALUE"""),0.1)</f>
        <v>0.1</v>
      </c>
      <c r="N84" s="77">
        <f>IFERROR(__xludf.DUMMYFUNCTION("""COMPUTED_VALUE"""),1.0)</f>
        <v>1</v>
      </c>
      <c r="O84" s="49"/>
      <c r="P84" s="49" t="str">
        <f>IFERROR(__xludf.DUMMYFUNCTION("""COMPUTED_VALUE"""),"Offset")</f>
        <v>Offset</v>
      </c>
      <c r="Q84" s="49" t="str">
        <f>IFERROR(__xludf.DUMMYFUNCTION("""COMPUTED_VALUE"""),"Packaging")</f>
        <v>Packaging</v>
      </c>
      <c r="R84" s="49" t="str">
        <f>IFERROR(__xludf.DUMMYFUNCTION("""COMPUTED_VALUE"""),"Agarbatti")</f>
        <v>Agarbatti</v>
      </c>
    </row>
    <row r="85">
      <c r="A85" s="156" t="str">
        <f>IFERROR(__xludf.DUMMYFUNCTION("""COMPUTED_VALUE"""),"https://drive.google.com/open?id=1CNNwvFpTDzYBZWRQNofkjyS77n4zyRKb&amp;authuser=jay.agg%40gmail.com&amp;usp=drive_fs")</f>
        <v>https://drive.google.com/open?id=1CNNwvFpTDzYBZWRQNofkjyS77n4zyRKb&amp;authuser=jay.agg%40gmail.com&amp;usp=drive_fs</v>
      </c>
      <c r="B85" s="73" t="str">
        <f>IFERROR(__xludf.DUMMYFUNCTION("""COMPUTED_VALUE"""),"Agarbatti")</f>
        <v>Agarbatti</v>
      </c>
      <c r="C85" s="73" t="str">
        <f>IFERROR(__xludf.DUMMYFUNCTION("""COMPUTED_VALUE"""),"Single Box")</f>
        <v>Single Box</v>
      </c>
      <c r="D85" s="73" t="str">
        <f>IFERROR(__xludf.DUMMYFUNCTION("""COMPUTED_VALUE"""),"56*12.7*241 mm | 2.2*0.5*9.5 inch")</f>
        <v>56*12.7*241 mm | 2.2*0.5*9.5 inch</v>
      </c>
      <c r="E85" s="77">
        <f>IFERROR(__xludf.DUMMYFUNCTION("""COMPUTED_VALUE"""),6.0)</f>
        <v>6</v>
      </c>
      <c r="F85" s="77">
        <f>IFERROR(__xludf.DUMMYFUNCTION("""COMPUTED_VALUE"""),1926.0)</f>
        <v>1926</v>
      </c>
      <c r="G85" s="77">
        <f>IFERROR(__xludf.DUMMYFUNCTION("""COMPUTED_VALUE"""),18.0)</f>
        <v>18</v>
      </c>
      <c r="H85" s="77">
        <f>IFERROR(__xludf.DUMMYFUNCTION("""COMPUTED_VALUE"""),23.0)</f>
        <v>23</v>
      </c>
      <c r="I85" s="77">
        <f>IFERROR(__xludf.DUMMYFUNCTION("""COMPUTED_VALUE"""),100.0)</f>
        <v>100</v>
      </c>
      <c r="J85" s="73"/>
      <c r="K85" s="73"/>
      <c r="L85" s="73"/>
      <c r="M85" s="77">
        <f>IFERROR(__xludf.DUMMYFUNCTION("""COMPUTED_VALUE"""),0.1)</f>
        <v>0.1</v>
      </c>
      <c r="N85" s="77">
        <f>IFERROR(__xludf.DUMMYFUNCTION("""COMPUTED_VALUE"""),1.0)</f>
        <v>1</v>
      </c>
      <c r="O85" s="49"/>
      <c r="P85" s="49" t="str">
        <f>IFERROR(__xludf.DUMMYFUNCTION("""COMPUTED_VALUE"""),"Offset")</f>
        <v>Offset</v>
      </c>
      <c r="Q85" s="49" t="str">
        <f>IFERROR(__xludf.DUMMYFUNCTION("""COMPUTED_VALUE"""),"Packaging")</f>
        <v>Packaging</v>
      </c>
      <c r="R85" s="49" t="str">
        <f>IFERROR(__xludf.DUMMYFUNCTION("""COMPUTED_VALUE"""),"Agarbatti")</f>
        <v>Agarbatti</v>
      </c>
    </row>
    <row r="86">
      <c r="A86" s="156" t="str">
        <f>IFERROR(__xludf.DUMMYFUNCTION("""COMPUTED_VALUE"""),"https://drive.google.com/open?id=1ETEnCfGeqouYXX_Q6YAwbw6Pb0uihOOw&amp;authuser=jay.agg%40gmail.com&amp;usp=drive_fs")</f>
        <v>https://drive.google.com/open?id=1ETEnCfGeqouYXX_Q6YAwbw6Pb0uihOOw&amp;authuser=jay.agg%40gmail.com&amp;usp=drive_fs</v>
      </c>
      <c r="B86" s="73" t="str">
        <f>IFERROR(__xludf.DUMMYFUNCTION("""COMPUTED_VALUE"""),"Agarbatti")</f>
        <v>Agarbatti</v>
      </c>
      <c r="C86" s="73" t="str">
        <f>IFERROR(__xludf.DUMMYFUNCTION("""COMPUTED_VALUE"""),"Single Box")</f>
        <v>Single Box</v>
      </c>
      <c r="D86" s="73" t="str">
        <f>IFERROR(__xludf.DUMMYFUNCTION("""COMPUTED_VALUE"""),"75*15*250 mm | 3*0.6*9.8 inch")</f>
        <v>75*15*250 mm | 3*0.6*9.8 inch</v>
      </c>
      <c r="E86" s="77">
        <f>IFERROR(__xludf.DUMMYFUNCTION("""COMPUTED_VALUE"""),4.0)</f>
        <v>4</v>
      </c>
      <c r="F86" s="77">
        <f>IFERROR(__xludf.DUMMYFUNCTION("""COMPUTED_VALUE"""),1926.0)</f>
        <v>1926</v>
      </c>
      <c r="G86" s="77">
        <f>IFERROR(__xludf.DUMMYFUNCTION("""COMPUTED_VALUE"""),18.0)</f>
        <v>18</v>
      </c>
      <c r="H86" s="77">
        <f>IFERROR(__xludf.DUMMYFUNCTION("""COMPUTED_VALUE"""),25.0)</f>
        <v>25</v>
      </c>
      <c r="I86" s="77">
        <f>IFERROR(__xludf.DUMMYFUNCTION("""COMPUTED_VALUE"""),100.0)</f>
        <v>100</v>
      </c>
      <c r="J86" s="73"/>
      <c r="K86" s="73"/>
      <c r="L86" s="73"/>
      <c r="M86" s="77">
        <f>IFERROR(__xludf.DUMMYFUNCTION("""COMPUTED_VALUE"""),0.1)</f>
        <v>0.1</v>
      </c>
      <c r="N86" s="77">
        <f>IFERROR(__xludf.DUMMYFUNCTION("""COMPUTED_VALUE"""),1.0)</f>
        <v>1</v>
      </c>
      <c r="O86" s="49"/>
      <c r="P86" s="49" t="str">
        <f>IFERROR(__xludf.DUMMYFUNCTION("""COMPUTED_VALUE"""),"Offset")</f>
        <v>Offset</v>
      </c>
      <c r="Q86" s="49" t="str">
        <f>IFERROR(__xludf.DUMMYFUNCTION("""COMPUTED_VALUE"""),"Packaging")</f>
        <v>Packaging</v>
      </c>
      <c r="R86" s="49" t="str">
        <f>IFERROR(__xludf.DUMMYFUNCTION("""COMPUTED_VALUE"""),"Agarbatti")</f>
        <v>Agarbatti</v>
      </c>
    </row>
    <row r="87">
      <c r="A87" s="156" t="str">
        <f>IFERROR(__xludf.DUMMYFUNCTION("""COMPUTED_VALUE"""),"https://drive.google.com/open?id=1E_uNM6ltA0D02SsOc0NR9Mhro0LSh69P&amp;authuser=jay.agg%40gmail.com&amp;usp=drive_fs")</f>
        <v>https://drive.google.com/open?id=1E_uNM6ltA0D02SsOc0NR9Mhro0LSh69P&amp;authuser=jay.agg%40gmail.com&amp;usp=drive_fs</v>
      </c>
      <c r="B87" s="73" t="str">
        <f>IFERROR(__xludf.DUMMYFUNCTION("""COMPUTED_VALUE"""),"Agarbatti")</f>
        <v>Agarbatti</v>
      </c>
      <c r="C87" s="73" t="str">
        <f>IFERROR(__xludf.DUMMYFUNCTION("""COMPUTED_VALUE"""),"Outer")</f>
        <v>Outer</v>
      </c>
      <c r="D87" s="73" t="str">
        <f>IFERROR(__xludf.DUMMYFUNCTION("""COMPUTED_VALUE""")," 12 Box 75*15*250 mm | 3*0.6*9.8 inch")</f>
        <v> 12 Box 75*15*250 mm | 3*0.6*9.8 inch</v>
      </c>
      <c r="E87" s="77">
        <f>IFERROR(__xludf.DUMMYFUNCTION("""COMPUTED_VALUE"""),1.0)</f>
        <v>1</v>
      </c>
      <c r="F87" s="77">
        <f>IFERROR(__xludf.DUMMYFUNCTION("""COMPUTED_VALUE"""),2029.0)</f>
        <v>2029</v>
      </c>
      <c r="G87" s="77">
        <f>IFERROR(__xludf.DUMMYFUNCTION("""COMPUTED_VALUE"""),20.0)</f>
        <v>20</v>
      </c>
      <c r="H87" s="77">
        <f>IFERROR(__xludf.DUMMYFUNCTION("""COMPUTED_VALUE"""),21.0)</f>
        <v>21</v>
      </c>
      <c r="I87" s="77">
        <f>IFERROR(__xludf.DUMMYFUNCTION("""COMPUTED_VALUE"""),100.0)</f>
        <v>100</v>
      </c>
      <c r="J87" s="73"/>
      <c r="K87" s="73"/>
      <c r="L87" s="73"/>
      <c r="M87" s="77">
        <f>IFERROR(__xludf.DUMMYFUNCTION("""COMPUTED_VALUE"""),0.1)</f>
        <v>0.1</v>
      </c>
      <c r="N87" s="77">
        <f>IFERROR(__xludf.DUMMYFUNCTION("""COMPUTED_VALUE"""),1.0)</f>
        <v>1</v>
      </c>
      <c r="O87" s="49"/>
      <c r="P87" s="49" t="str">
        <f>IFERROR(__xludf.DUMMYFUNCTION("""COMPUTED_VALUE"""),"Offset")</f>
        <v>Offset</v>
      </c>
      <c r="Q87" s="49" t="str">
        <f>IFERROR(__xludf.DUMMYFUNCTION("""COMPUTED_VALUE"""),"Packaging")</f>
        <v>Packaging</v>
      </c>
      <c r="R87" s="49" t="str">
        <f>IFERROR(__xludf.DUMMYFUNCTION("""COMPUTED_VALUE"""),"Agarbatti")</f>
        <v>Agarbatti</v>
      </c>
    </row>
    <row r="88">
      <c r="A88" s="156" t="str">
        <f>IFERROR(__xludf.DUMMYFUNCTION("""COMPUTED_VALUE"""),"https://drive.google.com/open?id=1F2namNu7cmNPsakjPjG-o0gVE_ai8AMq&amp;authuser=jay.agg%40gmail.com&amp;usp=drive_fs")</f>
        <v>https://drive.google.com/open?id=1F2namNu7cmNPsakjPjG-o0gVE_ai8AMq&amp;authuser=jay.agg%40gmail.com&amp;usp=drive_fs</v>
      </c>
      <c r="B88" s="73" t="str">
        <f>IFERROR(__xludf.DUMMYFUNCTION("""COMPUTED_VALUE"""),"Dhoop")</f>
        <v>Dhoop</v>
      </c>
      <c r="C88" s="73" t="str">
        <f>IFERROR(__xludf.DUMMYFUNCTION("""COMPUTED_VALUE"""),"Outer")</f>
        <v>Outer</v>
      </c>
      <c r="D88" s="73" t="str">
        <f>IFERROR(__xludf.DUMMYFUNCTION("""COMPUTED_VALUE""")," 12 Box 63.5*24.4*102 | 2.5*1*4 inch")</f>
        <v> 12 Box 63.5*24.4*102 | 2.5*1*4 inch</v>
      </c>
      <c r="E88" s="77">
        <f>IFERROR(__xludf.DUMMYFUNCTION("""COMPUTED_VALUE"""),1.0)</f>
        <v>1</v>
      </c>
      <c r="F88" s="77">
        <f>IFERROR(__xludf.DUMMYFUNCTION("""COMPUTED_VALUE"""),1926.0)</f>
        <v>1926</v>
      </c>
      <c r="G88" s="77">
        <f>IFERROR(__xludf.DUMMYFUNCTION("""COMPUTED_VALUE"""),15.0)</f>
        <v>15</v>
      </c>
      <c r="H88" s="77">
        <f>IFERROR(__xludf.DUMMYFUNCTION("""COMPUTED_VALUE"""),25.0)</f>
        <v>25</v>
      </c>
      <c r="I88" s="77">
        <f>IFERROR(__xludf.DUMMYFUNCTION("""COMPUTED_VALUE"""),100.0)</f>
        <v>100</v>
      </c>
      <c r="J88" s="73"/>
      <c r="K88" s="73"/>
      <c r="L88" s="73"/>
      <c r="M88" s="77">
        <f>IFERROR(__xludf.DUMMYFUNCTION("""COMPUTED_VALUE"""),0.1)</f>
        <v>0.1</v>
      </c>
      <c r="N88" s="77">
        <f>IFERROR(__xludf.DUMMYFUNCTION("""COMPUTED_VALUE"""),1.0)</f>
        <v>1</v>
      </c>
      <c r="O88" s="49"/>
      <c r="P88" s="49" t="str">
        <f>IFERROR(__xludf.DUMMYFUNCTION("""COMPUTED_VALUE"""),"Offset")</f>
        <v>Offset</v>
      </c>
      <c r="Q88" s="49" t="str">
        <f>IFERROR(__xludf.DUMMYFUNCTION("""COMPUTED_VALUE"""),"Packaging")</f>
        <v>Packaging</v>
      </c>
      <c r="R88" s="49" t="str">
        <f>IFERROR(__xludf.DUMMYFUNCTION("""COMPUTED_VALUE"""),"Dhoop")</f>
        <v>Dhoop</v>
      </c>
    </row>
    <row r="89">
      <c r="A89" s="156" t="str">
        <f>IFERROR(__xludf.DUMMYFUNCTION("""COMPUTED_VALUE"""),"https://drive.google.com/open?id=1FBgN2Gwn2DXMwcc-PVXTsz6X6B9tKtFs&amp;authuser=jay.agg%40gmail.com&amp;usp=drive_fs")</f>
        <v>https://drive.google.com/open?id=1FBgN2Gwn2DXMwcc-PVXTsz6X6B9tKtFs&amp;authuser=jay.agg%40gmail.com&amp;usp=drive_fs</v>
      </c>
      <c r="B89" s="73" t="str">
        <f>IFERROR(__xludf.DUMMYFUNCTION("""COMPUTED_VALUE"""),"Dhoop")</f>
        <v>Dhoop</v>
      </c>
      <c r="C89" s="73" t="str">
        <f>IFERROR(__xludf.DUMMYFUNCTION("""COMPUTED_VALUE"""),"Single Box")</f>
        <v>Single Box</v>
      </c>
      <c r="D89" s="73" t="str">
        <f>IFERROR(__xludf.DUMMYFUNCTION("""COMPUTED_VALUE"""),"80*30*130 mm | 3.15*1.1*5.1 inch")</f>
        <v>80*30*130 mm | 3.15*1.1*5.1 inch</v>
      </c>
      <c r="E89" s="77">
        <f>IFERROR(__xludf.DUMMYFUNCTION("""COMPUTED_VALUE"""),6.0)</f>
        <v>6</v>
      </c>
      <c r="F89" s="77">
        <f>IFERROR(__xludf.DUMMYFUNCTION("""COMPUTED_VALUE"""),2029.0)</f>
        <v>2029</v>
      </c>
      <c r="G89" s="77">
        <f>IFERROR(__xludf.DUMMYFUNCTION("""COMPUTED_VALUE"""),19.5)</f>
        <v>19.5</v>
      </c>
      <c r="H89" s="77">
        <f>IFERROR(__xludf.DUMMYFUNCTION("""COMPUTED_VALUE"""),23.0)</f>
        <v>23</v>
      </c>
      <c r="I89" s="77">
        <f>IFERROR(__xludf.DUMMYFUNCTION("""COMPUTED_VALUE"""),100.0)</f>
        <v>100</v>
      </c>
      <c r="J89" s="73"/>
      <c r="K89" s="73"/>
      <c r="L89" s="73"/>
      <c r="M89" s="77">
        <f>IFERROR(__xludf.DUMMYFUNCTION("""COMPUTED_VALUE"""),0.1)</f>
        <v>0.1</v>
      </c>
      <c r="N89" s="77">
        <f>IFERROR(__xludf.DUMMYFUNCTION("""COMPUTED_VALUE"""),1.0)</f>
        <v>1</v>
      </c>
      <c r="O89" s="49"/>
      <c r="P89" s="49" t="str">
        <f>IFERROR(__xludf.DUMMYFUNCTION("""COMPUTED_VALUE"""),"Offset")</f>
        <v>Offset</v>
      </c>
      <c r="Q89" s="49" t="str">
        <f>IFERROR(__xludf.DUMMYFUNCTION("""COMPUTED_VALUE"""),"Packaging")</f>
        <v>Packaging</v>
      </c>
      <c r="R89" s="49" t="str">
        <f>IFERROR(__xludf.DUMMYFUNCTION("""COMPUTED_VALUE"""),"Dhoop")</f>
        <v>Dhoop</v>
      </c>
    </row>
    <row r="90">
      <c r="A90" s="156" t="str">
        <f>IFERROR(__xludf.DUMMYFUNCTION("""COMPUTED_VALUE"""),"https://drive.google.com/open?id=1FEV8NCol2OYNvNc5ZbZ50YuLr5qOUKpX&amp;authuser=jay.agg%40gmail.com&amp;usp=drive_fs")</f>
        <v>https://drive.google.com/open?id=1FEV8NCol2OYNvNc5ZbZ50YuLr5qOUKpX&amp;authuser=jay.agg%40gmail.com&amp;usp=drive_fs</v>
      </c>
      <c r="B90" s="73" t="str">
        <f>IFERROR(__xludf.DUMMYFUNCTION("""COMPUTED_VALUE"""),"Agarbatti")</f>
        <v>Agarbatti</v>
      </c>
      <c r="C90" s="73" t="str">
        <f>IFERROR(__xludf.DUMMYFUNCTION("""COMPUTED_VALUE"""),"Outer")</f>
        <v>Outer</v>
      </c>
      <c r="D90" s="73" t="str">
        <f>IFERROR(__xludf.DUMMYFUNCTION("""COMPUTED_VALUE""")," 12 Box 51*19*254 | 2*0.75*10 inch")</f>
        <v> 12 Box 51*19*254 | 2*0.75*10 inch</v>
      </c>
      <c r="E90" s="77">
        <f>IFERROR(__xludf.DUMMYFUNCTION("""COMPUTED_VALUE"""),1.0)</f>
        <v>1</v>
      </c>
      <c r="F90" s="77">
        <f>IFERROR(__xludf.DUMMYFUNCTION("""COMPUTED_VALUE"""),2029.0)</f>
        <v>2029</v>
      </c>
      <c r="G90" s="77">
        <f>IFERROR(__xludf.DUMMYFUNCTION("""COMPUTED_VALUE"""),19.5)</f>
        <v>19.5</v>
      </c>
      <c r="H90" s="77">
        <f>IFERROR(__xludf.DUMMYFUNCTION("""COMPUTED_VALUE"""),23.0)</f>
        <v>23</v>
      </c>
      <c r="I90" s="77">
        <f>IFERROR(__xludf.DUMMYFUNCTION("""COMPUTED_VALUE"""),100.0)</f>
        <v>100</v>
      </c>
      <c r="J90" s="73"/>
      <c r="K90" s="73"/>
      <c r="L90" s="73"/>
      <c r="M90" s="77">
        <f>IFERROR(__xludf.DUMMYFUNCTION("""COMPUTED_VALUE"""),0.1)</f>
        <v>0.1</v>
      </c>
      <c r="N90" s="77">
        <f>IFERROR(__xludf.DUMMYFUNCTION("""COMPUTED_VALUE"""),1.0)</f>
        <v>1</v>
      </c>
      <c r="O90" s="49"/>
      <c r="P90" s="49" t="str">
        <f>IFERROR(__xludf.DUMMYFUNCTION("""COMPUTED_VALUE"""),"Offset")</f>
        <v>Offset</v>
      </c>
      <c r="Q90" s="49" t="str">
        <f>IFERROR(__xludf.DUMMYFUNCTION("""COMPUTED_VALUE"""),"Packaging")</f>
        <v>Packaging</v>
      </c>
      <c r="R90" s="49" t="str">
        <f>IFERROR(__xludf.DUMMYFUNCTION("""COMPUTED_VALUE"""),"Agarbatti")</f>
        <v>Agarbatti</v>
      </c>
    </row>
    <row r="91">
      <c r="A91" s="156" t="str">
        <f>IFERROR(__xludf.DUMMYFUNCTION("""COMPUTED_VALUE"""),"https://drive.google.com/open?id=1SnWGMAAJ-7gJlOHU7kZes8GlH1dflZb0&amp;authuser=jay.agg%40gmail.com&amp;usp=drive_fs")</f>
        <v>https://drive.google.com/open?id=1SnWGMAAJ-7gJlOHU7kZes8GlH1dflZb0&amp;authuser=jay.agg%40gmail.com&amp;usp=drive_fs</v>
      </c>
      <c r="B91" s="73" t="str">
        <f>IFERROR(__xludf.DUMMYFUNCTION("""COMPUTED_VALUE"""),"Agarbatti")</f>
        <v>Agarbatti</v>
      </c>
      <c r="C91" s="73" t="str">
        <f>IFERROR(__xludf.DUMMYFUNCTION("""COMPUTED_VALUE"""),"Single Box")</f>
        <v>Single Box</v>
      </c>
      <c r="D91" s="73" t="str">
        <f>IFERROR(__xludf.DUMMYFUNCTION("""COMPUTED_VALUE"""),"63*44*350 mm | 2.48*1.7*13.78 inch")</f>
        <v>63*44*350 mm | 2.48*1.7*13.78 inch</v>
      </c>
      <c r="E91" s="77">
        <f>IFERROR(__xludf.DUMMYFUNCTION("""COMPUTED_VALUE"""),3.0)</f>
        <v>3</v>
      </c>
      <c r="F91" s="77">
        <f>IFERROR(__xludf.DUMMYFUNCTION("""COMPUTED_VALUE"""),2029.0)</f>
        <v>2029</v>
      </c>
      <c r="G91" s="77">
        <f>IFERROR(__xludf.DUMMYFUNCTION("""COMPUTED_VALUE"""),19.0)</f>
        <v>19</v>
      </c>
      <c r="H91" s="77">
        <f>IFERROR(__xludf.DUMMYFUNCTION("""COMPUTED_VALUE"""),28.0)</f>
        <v>28</v>
      </c>
      <c r="I91" s="77">
        <f>IFERROR(__xludf.DUMMYFUNCTION("""COMPUTED_VALUE"""),100.0)</f>
        <v>100</v>
      </c>
      <c r="J91" s="73"/>
      <c r="K91" s="73"/>
      <c r="L91" s="73"/>
      <c r="M91" s="77">
        <f>IFERROR(__xludf.DUMMYFUNCTION("""COMPUTED_VALUE"""),0.1)</f>
        <v>0.1</v>
      </c>
      <c r="N91" s="77">
        <f>IFERROR(__xludf.DUMMYFUNCTION("""COMPUTED_VALUE"""),1.0)</f>
        <v>1</v>
      </c>
      <c r="O91" s="49"/>
      <c r="P91" s="49" t="str">
        <f>IFERROR(__xludf.DUMMYFUNCTION("""COMPUTED_VALUE"""),"Offset")</f>
        <v>Offset</v>
      </c>
      <c r="Q91" s="49" t="str">
        <f>IFERROR(__xludf.DUMMYFUNCTION("""COMPUTED_VALUE"""),"Packaging")</f>
        <v>Packaging</v>
      </c>
      <c r="R91" s="49" t="str">
        <f>IFERROR(__xludf.DUMMYFUNCTION("""COMPUTED_VALUE"""),"Agarbatti")</f>
        <v>Agarbatti</v>
      </c>
    </row>
    <row r="92">
      <c r="A92" s="156" t="str">
        <f>IFERROR(__xludf.DUMMYFUNCTION("""COMPUTED_VALUE"""),"https://drive.google.com/open?id=1TyyFjEaFjlaXHrxne1x8KzB77pOJXmcl&amp;authuser=jay.agg%40gmail.com&amp;usp=drive_fs")</f>
        <v>https://drive.google.com/open?id=1TyyFjEaFjlaXHrxne1x8KzB77pOJXmcl&amp;authuser=jay.agg%40gmail.com&amp;usp=drive_fs</v>
      </c>
      <c r="B92" s="73" t="str">
        <f>IFERROR(__xludf.DUMMYFUNCTION("""COMPUTED_VALUE"""),"Agarbatti")</f>
        <v>Agarbatti</v>
      </c>
      <c r="C92" s="73" t="str">
        <f>IFERROR(__xludf.DUMMYFUNCTION("""COMPUTED_VALUE"""),"Single Box")</f>
        <v>Single Box</v>
      </c>
      <c r="D92" s="73" t="str">
        <f>IFERROR(__xludf.DUMMYFUNCTION("""COMPUTED_VALUE"""),"70*25*229 mm | 2.75*1*9 inch")</f>
        <v>70*25*229 mm | 2.75*1*9 inch</v>
      </c>
      <c r="E92" s="77">
        <f>IFERROR(__xludf.DUMMYFUNCTION("""COMPUTED_VALUE"""),4.0)</f>
        <v>4</v>
      </c>
      <c r="F92" s="77">
        <f>IFERROR(__xludf.DUMMYFUNCTION("""COMPUTED_VALUE"""),1926.0)</f>
        <v>1926</v>
      </c>
      <c r="G92" s="77">
        <f>IFERROR(__xludf.DUMMYFUNCTION("""COMPUTED_VALUE"""),18.0)</f>
        <v>18</v>
      </c>
      <c r="H92" s="77">
        <f>IFERROR(__xludf.DUMMYFUNCTION("""COMPUTED_VALUE"""),23.0)</f>
        <v>23</v>
      </c>
      <c r="I92" s="77">
        <f>IFERROR(__xludf.DUMMYFUNCTION("""COMPUTED_VALUE"""),100.0)</f>
        <v>100</v>
      </c>
      <c r="J92" s="73"/>
      <c r="K92" s="73"/>
      <c r="L92" s="73"/>
      <c r="M92" s="77">
        <f>IFERROR(__xludf.DUMMYFUNCTION("""COMPUTED_VALUE"""),0.1)</f>
        <v>0.1</v>
      </c>
      <c r="N92" s="77">
        <f>IFERROR(__xludf.DUMMYFUNCTION("""COMPUTED_VALUE"""),1.0)</f>
        <v>1</v>
      </c>
      <c r="O92" s="49"/>
      <c r="P92" s="49" t="str">
        <f>IFERROR(__xludf.DUMMYFUNCTION("""COMPUTED_VALUE"""),"Offset")</f>
        <v>Offset</v>
      </c>
      <c r="Q92" s="49" t="str">
        <f>IFERROR(__xludf.DUMMYFUNCTION("""COMPUTED_VALUE"""),"Packaging")</f>
        <v>Packaging</v>
      </c>
      <c r="R92" s="49" t="str">
        <f>IFERROR(__xludf.DUMMYFUNCTION("""COMPUTED_VALUE"""),"Agarbatti")</f>
        <v>Agarbatti</v>
      </c>
    </row>
    <row r="93">
      <c r="A93" s="156" t="str">
        <f>IFERROR(__xludf.DUMMYFUNCTION("""COMPUTED_VALUE"""),"https://drive.google.com/open?id=1U-ylyw2maS8vyPLQNXZzLwP4FjfiJv0B&amp;authuser=jay.agg%40gmail.com&amp;usp=drive_fs")</f>
        <v>https://drive.google.com/open?id=1U-ylyw2maS8vyPLQNXZzLwP4FjfiJv0B&amp;authuser=jay.agg%40gmail.com&amp;usp=drive_fs</v>
      </c>
      <c r="B93" s="73" t="str">
        <f>IFERROR(__xludf.DUMMYFUNCTION("""COMPUTED_VALUE"""),"Agarbatti")</f>
        <v>Agarbatti</v>
      </c>
      <c r="C93" s="73" t="str">
        <f>IFERROR(__xludf.DUMMYFUNCTION("""COMPUTED_VALUE"""),"Single Box")</f>
        <v>Single Box</v>
      </c>
      <c r="D93" s="73" t="str">
        <f>IFERROR(__xludf.DUMMYFUNCTION("""COMPUTED_VALUE"""),"40*15*230 mm | 1.6*0.6*9 inch")</f>
        <v>40*15*230 mm | 1.6*0.6*9 inch</v>
      </c>
      <c r="E93" s="77">
        <f>IFERROR(__xludf.DUMMYFUNCTION("""COMPUTED_VALUE"""),8.0)</f>
        <v>8</v>
      </c>
      <c r="F93" s="77">
        <f>IFERROR(__xludf.DUMMYFUNCTION("""COMPUTED_VALUE"""),2029.0)</f>
        <v>2029</v>
      </c>
      <c r="G93" s="77">
        <f>IFERROR(__xludf.DUMMYFUNCTION("""COMPUTED_VALUE"""),19.5)</f>
        <v>19.5</v>
      </c>
      <c r="H93" s="77">
        <f>IFERROR(__xludf.DUMMYFUNCTION("""COMPUTED_VALUE"""),23.0)</f>
        <v>23</v>
      </c>
      <c r="I93" s="77">
        <f>IFERROR(__xludf.DUMMYFUNCTION("""COMPUTED_VALUE"""),100.0)</f>
        <v>100</v>
      </c>
      <c r="J93" s="73"/>
      <c r="K93" s="73"/>
      <c r="L93" s="73"/>
      <c r="M93" s="77">
        <f>IFERROR(__xludf.DUMMYFUNCTION("""COMPUTED_VALUE"""),0.1)</f>
        <v>0.1</v>
      </c>
      <c r="N93" s="77">
        <f>IFERROR(__xludf.DUMMYFUNCTION("""COMPUTED_VALUE"""),1.0)</f>
        <v>1</v>
      </c>
      <c r="O93" s="49"/>
      <c r="P93" s="49" t="str">
        <f>IFERROR(__xludf.DUMMYFUNCTION("""COMPUTED_VALUE"""),"Offset")</f>
        <v>Offset</v>
      </c>
      <c r="Q93" s="49" t="str">
        <f>IFERROR(__xludf.DUMMYFUNCTION("""COMPUTED_VALUE"""),"Packaging")</f>
        <v>Packaging</v>
      </c>
      <c r="R93" s="49" t="str">
        <f>IFERROR(__xludf.DUMMYFUNCTION("""COMPUTED_VALUE"""),"Agarbatti")</f>
        <v>Agarbatti</v>
      </c>
    </row>
    <row r="94">
      <c r="A94" s="156" t="str">
        <f>IFERROR(__xludf.DUMMYFUNCTION("""COMPUTED_VALUE"""),"https://drive.google.com/open?id=1U8XKd0Yg7Bm_BzrY1nf6JbRlT8tLVeIl&amp;authuser=jay.agg%40gmail.com&amp;usp=drive_fs")</f>
        <v>https://drive.google.com/open?id=1U8XKd0Yg7Bm_BzrY1nf6JbRlT8tLVeIl&amp;authuser=jay.agg%40gmail.com&amp;usp=drive_fs</v>
      </c>
      <c r="B94" s="73" t="str">
        <f>IFERROR(__xludf.DUMMYFUNCTION("""COMPUTED_VALUE"""),"Agarbatti")</f>
        <v>Agarbatti</v>
      </c>
      <c r="C94" s="73" t="str">
        <f>IFERROR(__xludf.DUMMYFUNCTION("""COMPUTED_VALUE"""),"Single Box")</f>
        <v>Single Box</v>
      </c>
      <c r="D94" s="73" t="str">
        <f>IFERROR(__xludf.DUMMYFUNCTION("""COMPUTED_VALUE"""),"45*54*254 mm | 1.75*0.75*10 inch")</f>
        <v>45*54*254 mm | 1.75*0.75*10 inch</v>
      </c>
      <c r="E94" s="77">
        <f>IFERROR(__xludf.DUMMYFUNCTION("""COMPUTED_VALUE"""),6.0)</f>
        <v>6</v>
      </c>
      <c r="F94" s="77">
        <f>IFERROR(__xludf.DUMMYFUNCTION("""COMPUTED_VALUE"""),1926.0)</f>
        <v>1926</v>
      </c>
      <c r="G94" s="77">
        <f>IFERROR(__xludf.DUMMYFUNCTION("""COMPUTED_VALUE"""),18.0)</f>
        <v>18</v>
      </c>
      <c r="H94" s="77">
        <f>IFERROR(__xludf.DUMMYFUNCTION("""COMPUTED_VALUE"""),24.0)</f>
        <v>24</v>
      </c>
      <c r="I94" s="77">
        <f>IFERROR(__xludf.DUMMYFUNCTION("""COMPUTED_VALUE"""),100.0)</f>
        <v>100</v>
      </c>
      <c r="J94" s="73"/>
      <c r="K94" s="73"/>
      <c r="L94" s="73"/>
      <c r="M94" s="77">
        <f>IFERROR(__xludf.DUMMYFUNCTION("""COMPUTED_VALUE"""),0.1)</f>
        <v>0.1</v>
      </c>
      <c r="N94" s="77">
        <f>IFERROR(__xludf.DUMMYFUNCTION("""COMPUTED_VALUE"""),1.0)</f>
        <v>1</v>
      </c>
      <c r="O94" s="49"/>
      <c r="P94" s="49" t="str">
        <f>IFERROR(__xludf.DUMMYFUNCTION("""COMPUTED_VALUE"""),"Offset")</f>
        <v>Offset</v>
      </c>
      <c r="Q94" s="49" t="str">
        <f>IFERROR(__xludf.DUMMYFUNCTION("""COMPUTED_VALUE"""),"Packaging")</f>
        <v>Packaging</v>
      </c>
      <c r="R94" s="49" t="str">
        <f>IFERROR(__xludf.DUMMYFUNCTION("""COMPUTED_VALUE"""),"Agarbatti")</f>
        <v>Agarbatti</v>
      </c>
    </row>
    <row r="95">
      <c r="A95" s="156" t="str">
        <f>IFERROR(__xludf.DUMMYFUNCTION("""COMPUTED_VALUE"""),"https://drive.google.com/open?id=1YkiZ89SoSMOzJBIdrdE9er0vKKpAxLyg&amp;authuser=jay.agg%40gmail.com&amp;usp=drive_fs")</f>
        <v>https://drive.google.com/open?id=1YkiZ89SoSMOzJBIdrdE9er0vKKpAxLyg&amp;authuser=jay.agg%40gmail.com&amp;usp=drive_fs</v>
      </c>
      <c r="B95" s="73" t="str">
        <f>IFERROR(__xludf.DUMMYFUNCTION("""COMPUTED_VALUE"""),"Agarbatti")</f>
        <v>Agarbatti</v>
      </c>
      <c r="C95" s="73" t="str">
        <f>IFERROR(__xludf.DUMMYFUNCTION("""COMPUTED_VALUE"""),"Single Box")</f>
        <v>Single Box</v>
      </c>
      <c r="D95" s="73" t="str">
        <f>IFERROR(__xludf.DUMMYFUNCTION("""COMPUTED_VALUE"""),"42*16*236 mm | 1.6*0.6*9.2 inch")</f>
        <v>42*16*236 mm | 1.6*0.6*9.2 inch</v>
      </c>
      <c r="E95" s="77">
        <f>IFERROR(__xludf.DUMMYFUNCTION("""COMPUTED_VALUE"""),6.0)</f>
        <v>6</v>
      </c>
      <c r="F95" s="77">
        <f>IFERROR(__xludf.DUMMYFUNCTION("""COMPUTED_VALUE"""),1926.0)</f>
        <v>1926</v>
      </c>
      <c r="G95" s="77">
        <f>IFERROR(__xludf.DUMMYFUNCTION("""COMPUTED_VALUE"""),18.0)</f>
        <v>18</v>
      </c>
      <c r="H95" s="77">
        <f>IFERROR(__xludf.DUMMYFUNCTION("""COMPUTED_VALUE"""),23.0)</f>
        <v>23</v>
      </c>
      <c r="I95" s="77">
        <f>IFERROR(__xludf.DUMMYFUNCTION("""COMPUTED_VALUE"""),100.0)</f>
        <v>100</v>
      </c>
      <c r="J95" s="73"/>
      <c r="K95" s="73"/>
      <c r="L95" s="73"/>
      <c r="M95" s="77">
        <f>IFERROR(__xludf.DUMMYFUNCTION("""COMPUTED_VALUE"""),0.1)</f>
        <v>0.1</v>
      </c>
      <c r="N95" s="77">
        <f>IFERROR(__xludf.DUMMYFUNCTION("""COMPUTED_VALUE"""),1.0)</f>
        <v>1</v>
      </c>
      <c r="O95" s="49"/>
      <c r="P95" s="49" t="str">
        <f>IFERROR(__xludf.DUMMYFUNCTION("""COMPUTED_VALUE"""),"Offset")</f>
        <v>Offset</v>
      </c>
      <c r="Q95" s="49" t="str">
        <f>IFERROR(__xludf.DUMMYFUNCTION("""COMPUTED_VALUE"""),"Packaging")</f>
        <v>Packaging</v>
      </c>
      <c r="R95" s="49" t="str">
        <f>IFERROR(__xludf.DUMMYFUNCTION("""COMPUTED_VALUE"""),"Agarbatti")</f>
        <v>Agarbatti</v>
      </c>
    </row>
    <row r="96">
      <c r="A96" s="156" t="str">
        <f>IFERROR(__xludf.DUMMYFUNCTION("""COMPUTED_VALUE"""),"https://drive.google.com/open?id=1Yvh_FCUq2N1KvBZby4wCOPFGM3WYMahA&amp;authuser=jay.agg%40gmail.com&amp;usp=drive_fs")</f>
        <v>https://drive.google.com/open?id=1Yvh_FCUq2N1KvBZby4wCOPFGM3WYMahA&amp;authuser=jay.agg%40gmail.com&amp;usp=drive_fs</v>
      </c>
      <c r="B96" s="73" t="str">
        <f>IFERROR(__xludf.DUMMYFUNCTION("""COMPUTED_VALUE"""),"Agarbatti")</f>
        <v>Agarbatti</v>
      </c>
      <c r="C96" s="73" t="str">
        <f>IFERROR(__xludf.DUMMYFUNCTION("""COMPUTED_VALUE"""),"Outer")</f>
        <v>Outer</v>
      </c>
      <c r="D96" s="73" t="str">
        <f>IFERROR(__xludf.DUMMYFUNCTION("""COMPUTED_VALUE""")," 12 Box  42*16*236 mm | 1.6*0.6*9.2 inch")</f>
        <v> 12 Box  42*16*236 mm | 1.6*0.6*9.2 inch</v>
      </c>
      <c r="E96" s="77">
        <f>IFERROR(__xludf.DUMMYFUNCTION("""COMPUTED_VALUE"""),1.0)</f>
        <v>1</v>
      </c>
      <c r="F96" s="77">
        <f>IFERROR(__xludf.DUMMYFUNCTION("""COMPUTED_VALUE"""),1926.0)</f>
        <v>1926</v>
      </c>
      <c r="G96" s="77">
        <f>IFERROR(__xludf.DUMMYFUNCTION("""COMPUTED_VALUE"""),15.75)</f>
        <v>15.75</v>
      </c>
      <c r="H96" s="77">
        <f>IFERROR(__xludf.DUMMYFUNCTION("""COMPUTED_VALUE"""),20.75)</f>
        <v>20.75</v>
      </c>
      <c r="I96" s="77">
        <f>IFERROR(__xludf.DUMMYFUNCTION("""COMPUTED_VALUE"""),100.0)</f>
        <v>100</v>
      </c>
      <c r="J96" s="73"/>
      <c r="K96" s="73"/>
      <c r="L96" s="73"/>
      <c r="M96" s="77">
        <f>IFERROR(__xludf.DUMMYFUNCTION("""COMPUTED_VALUE"""),0.1)</f>
        <v>0.1</v>
      </c>
      <c r="N96" s="77">
        <f>IFERROR(__xludf.DUMMYFUNCTION("""COMPUTED_VALUE"""),1.0)</f>
        <v>1</v>
      </c>
      <c r="O96" s="49"/>
      <c r="P96" s="49" t="str">
        <f>IFERROR(__xludf.DUMMYFUNCTION("""COMPUTED_VALUE"""),"Offset")</f>
        <v>Offset</v>
      </c>
      <c r="Q96" s="49" t="str">
        <f>IFERROR(__xludf.DUMMYFUNCTION("""COMPUTED_VALUE"""),"Packaging")</f>
        <v>Packaging</v>
      </c>
      <c r="R96" s="49" t="str">
        <f>IFERROR(__xludf.DUMMYFUNCTION("""COMPUTED_VALUE"""),"Agarbatti")</f>
        <v>Agarbatti</v>
      </c>
    </row>
    <row r="97">
      <c r="A97" s="156" t="str">
        <f>IFERROR(__xludf.DUMMYFUNCTION("""COMPUTED_VALUE"""),"https://drive.google.com/open?id=1aH1GxDgvrhBlXBZv-t57uYO_hZeMnMiR&amp;authuser=jay.agg%40gmail.com&amp;usp=drive_fs")</f>
        <v>https://drive.google.com/open?id=1aH1GxDgvrhBlXBZv-t57uYO_hZeMnMiR&amp;authuser=jay.agg%40gmail.com&amp;usp=drive_fs</v>
      </c>
      <c r="B97" s="73" t="str">
        <f>IFERROR(__xludf.DUMMYFUNCTION("""COMPUTED_VALUE"""),"Agarbatti")</f>
        <v>Agarbatti</v>
      </c>
      <c r="C97" s="73" t="str">
        <f>IFERROR(__xludf.DUMMYFUNCTION("""COMPUTED_VALUE"""),"Single Box")</f>
        <v>Single Box</v>
      </c>
      <c r="D97" s="73" t="str">
        <f>IFERROR(__xludf.DUMMYFUNCTION("""COMPUTED_VALUE"""),"45*12*250 mm | 1.7*0.5*9.9 inch")</f>
        <v>45*12*250 mm | 1.7*0.5*9.9 inch</v>
      </c>
      <c r="E97" s="77">
        <f>IFERROR(__xludf.DUMMYFUNCTION("""COMPUTED_VALUE"""),8.0)</f>
        <v>8</v>
      </c>
      <c r="F97" s="77">
        <f>IFERROR(__xludf.DUMMYFUNCTION("""COMPUTED_VALUE"""),2029.0)</f>
        <v>2029</v>
      </c>
      <c r="G97" s="77">
        <f>IFERROR(__xludf.DUMMYFUNCTION("""COMPUTED_VALUE"""),20.0)</f>
        <v>20</v>
      </c>
      <c r="H97" s="77">
        <f>IFERROR(__xludf.DUMMYFUNCTION("""COMPUTED_VALUE"""),23.0)</f>
        <v>23</v>
      </c>
      <c r="I97" s="77">
        <f>IFERROR(__xludf.DUMMYFUNCTION("""COMPUTED_VALUE"""),100.0)</f>
        <v>100</v>
      </c>
      <c r="J97" s="73"/>
      <c r="K97" s="73"/>
      <c r="L97" s="73"/>
      <c r="M97" s="77">
        <f>IFERROR(__xludf.DUMMYFUNCTION("""COMPUTED_VALUE"""),0.1)</f>
        <v>0.1</v>
      </c>
      <c r="N97" s="77">
        <f>IFERROR(__xludf.DUMMYFUNCTION("""COMPUTED_VALUE"""),1.0)</f>
        <v>1</v>
      </c>
      <c r="O97" s="49"/>
      <c r="P97" s="49" t="str">
        <f>IFERROR(__xludf.DUMMYFUNCTION("""COMPUTED_VALUE"""),"Offset")</f>
        <v>Offset</v>
      </c>
      <c r="Q97" s="49" t="str">
        <f>IFERROR(__xludf.DUMMYFUNCTION("""COMPUTED_VALUE"""),"Packaging")</f>
        <v>Packaging</v>
      </c>
      <c r="R97" s="49" t="str">
        <f>IFERROR(__xludf.DUMMYFUNCTION("""COMPUTED_VALUE"""),"Agarbatti")</f>
        <v>Agarbatti</v>
      </c>
    </row>
    <row r="98">
      <c r="A98" s="156" t="str">
        <f>IFERROR(__xludf.DUMMYFUNCTION("""COMPUTED_VALUE"""),"https://drive.google.com/open?id=1aJPOSy5xB-ZTIOMV7k_Ri9jlJ6Lf5YkH&amp;authuser=jay.agg%40gmail.com&amp;usp=drive_fs")</f>
        <v>https://drive.google.com/open?id=1aJPOSy5xB-ZTIOMV7k_Ri9jlJ6Lf5YkH&amp;authuser=jay.agg%40gmail.com&amp;usp=drive_fs</v>
      </c>
      <c r="B98" s="73" t="str">
        <f>IFERROR(__xludf.DUMMYFUNCTION("""COMPUTED_VALUE"""),"Agarbatti")</f>
        <v>Agarbatti</v>
      </c>
      <c r="C98" s="73" t="str">
        <f>IFERROR(__xludf.DUMMYFUNCTION("""COMPUTED_VALUE"""),"Single Box")</f>
        <v>Single Box</v>
      </c>
      <c r="D98" s="73" t="str">
        <f>IFERROR(__xludf.DUMMYFUNCTION("""COMPUTED_VALUE"""),"80*15*240 mm | 3.15*0.6*9.5 inch")</f>
        <v>80*15*240 mm | 3.15*0.6*9.5 inch</v>
      </c>
      <c r="E98" s="77">
        <f>IFERROR(__xludf.DUMMYFUNCTION("""COMPUTED_VALUE"""),4.0)</f>
        <v>4</v>
      </c>
      <c r="F98" s="77">
        <f>IFERROR(__xludf.DUMMYFUNCTION("""COMPUTED_VALUE"""),1926.0)</f>
        <v>1926</v>
      </c>
      <c r="G98" s="77">
        <f>IFERROR(__xludf.DUMMYFUNCTION("""COMPUTED_VALUE"""),18.0)</f>
        <v>18</v>
      </c>
      <c r="H98" s="77">
        <f>IFERROR(__xludf.DUMMYFUNCTION("""COMPUTED_VALUE"""),23.0)</f>
        <v>23</v>
      </c>
      <c r="I98" s="77">
        <f>IFERROR(__xludf.DUMMYFUNCTION("""COMPUTED_VALUE"""),100.0)</f>
        <v>100</v>
      </c>
      <c r="J98" s="73"/>
      <c r="K98" s="73"/>
      <c r="L98" s="73"/>
      <c r="M98" s="77">
        <f>IFERROR(__xludf.DUMMYFUNCTION("""COMPUTED_VALUE"""),0.1)</f>
        <v>0.1</v>
      </c>
      <c r="N98" s="77">
        <f>IFERROR(__xludf.DUMMYFUNCTION("""COMPUTED_VALUE"""),1.0)</f>
        <v>1</v>
      </c>
      <c r="O98" s="49"/>
      <c r="P98" s="49" t="str">
        <f>IFERROR(__xludf.DUMMYFUNCTION("""COMPUTED_VALUE"""),"Offset")</f>
        <v>Offset</v>
      </c>
      <c r="Q98" s="49" t="str">
        <f>IFERROR(__xludf.DUMMYFUNCTION("""COMPUTED_VALUE"""),"Packaging")</f>
        <v>Packaging</v>
      </c>
      <c r="R98" s="49" t="str">
        <f>IFERROR(__xludf.DUMMYFUNCTION("""COMPUTED_VALUE"""),"Agarbatti")</f>
        <v>Agarbatti</v>
      </c>
    </row>
    <row r="99">
      <c r="A99" s="156" t="str">
        <f>IFERROR(__xludf.DUMMYFUNCTION("""COMPUTED_VALUE"""),"https://drive.google.com/open?id=1aNz0x49xav24v8xJrbvkeEsdr2pEyMhz&amp;authuser=jay.agg%40gmail.com&amp;usp=drive_fs")</f>
        <v>https://drive.google.com/open?id=1aNz0x49xav24v8xJrbvkeEsdr2pEyMhz&amp;authuser=jay.agg%40gmail.com&amp;usp=drive_fs</v>
      </c>
      <c r="B99" s="73" t="str">
        <f>IFERROR(__xludf.DUMMYFUNCTION("""COMPUTED_VALUE"""),"Agarbatti")</f>
        <v>Agarbatti</v>
      </c>
      <c r="C99" s="73" t="str">
        <f>IFERROR(__xludf.DUMMYFUNCTION("""COMPUTED_VALUE"""),"Single Box")</f>
        <v>Single Box</v>
      </c>
      <c r="D99" s="73" t="str">
        <f>IFERROR(__xludf.DUMMYFUNCTION("""COMPUTED_VALUE"""),"65*20*235 mm | 2.6*0.8*9.3 inch")</f>
        <v>65*20*235 mm | 2.6*0.8*9.3 inch</v>
      </c>
      <c r="E99" s="77">
        <f>IFERROR(__xludf.DUMMYFUNCTION("""COMPUTED_VALUE"""),3.0)</f>
        <v>3</v>
      </c>
      <c r="F99" s="77">
        <f>IFERROR(__xludf.DUMMYFUNCTION("""COMPUTED_VALUE"""),1926.0)</f>
        <v>1926</v>
      </c>
      <c r="G99" s="77">
        <f>IFERROR(__xludf.DUMMYFUNCTION("""COMPUTED_VALUE"""),13.0)</f>
        <v>13</v>
      </c>
      <c r="H99" s="77">
        <f>IFERROR(__xludf.DUMMYFUNCTION("""COMPUTED_VALUE"""),23.0)</f>
        <v>23</v>
      </c>
      <c r="I99" s="77">
        <f>IFERROR(__xludf.DUMMYFUNCTION("""COMPUTED_VALUE"""),100.0)</f>
        <v>100</v>
      </c>
      <c r="J99" s="73"/>
      <c r="K99" s="73"/>
      <c r="L99" s="73"/>
      <c r="M99" s="77">
        <f>IFERROR(__xludf.DUMMYFUNCTION("""COMPUTED_VALUE"""),0.1)</f>
        <v>0.1</v>
      </c>
      <c r="N99" s="77">
        <f>IFERROR(__xludf.DUMMYFUNCTION("""COMPUTED_VALUE"""),1.0)</f>
        <v>1</v>
      </c>
      <c r="O99" s="49"/>
      <c r="P99" s="49" t="str">
        <f>IFERROR(__xludf.DUMMYFUNCTION("""COMPUTED_VALUE"""),"Offset")</f>
        <v>Offset</v>
      </c>
      <c r="Q99" s="49" t="str">
        <f>IFERROR(__xludf.DUMMYFUNCTION("""COMPUTED_VALUE"""),"Packaging")</f>
        <v>Packaging</v>
      </c>
      <c r="R99" s="49" t="str">
        <f>IFERROR(__xludf.DUMMYFUNCTION("""COMPUTED_VALUE"""),"Agarbatti")</f>
        <v>Agarbatti</v>
      </c>
    </row>
    <row r="100">
      <c r="A100" s="156" t="str">
        <f>IFERROR(__xludf.DUMMYFUNCTION("""COMPUTED_VALUE"""),"https://drive.google.com/open?id=11uWGmOMUpyJzroR7t7Fo8xtwxbAGIfss&amp;authuser=jay.agg%40gmail.com&amp;usp=drive_fs")</f>
        <v>https://drive.google.com/open?id=11uWGmOMUpyJzroR7t7Fo8xtwxbAGIfss&amp;authuser=jay.agg%40gmail.com&amp;usp=drive_fs</v>
      </c>
      <c r="B100" s="73" t="str">
        <f>IFERROR(__xludf.DUMMYFUNCTION("""COMPUTED_VALUE"""),"Agarbatti")</f>
        <v>Agarbatti</v>
      </c>
      <c r="C100" s="73" t="str">
        <f>IFERROR(__xludf.DUMMYFUNCTION("""COMPUTED_VALUE"""),"Dhoop Cone")</f>
        <v>Dhoop Cone</v>
      </c>
      <c r="D100" s="73" t="str">
        <f>IFERROR(__xludf.DUMMYFUNCTION("""COMPUTED_VALUE"""),"70*25*80 mm | 2.75*1*3.15 inch")</f>
        <v>70*25*80 mm | 2.75*1*3.15 inch</v>
      </c>
      <c r="E100" s="77">
        <f>IFERROR(__xludf.DUMMYFUNCTION("""COMPUTED_VALUE"""),9.0)</f>
        <v>9</v>
      </c>
      <c r="F100" s="77">
        <f>IFERROR(__xludf.DUMMYFUNCTION("""COMPUTED_VALUE"""),1926.0)</f>
        <v>1926</v>
      </c>
      <c r="G100" s="77">
        <f>IFERROR(__xludf.DUMMYFUNCTION("""COMPUTED_VALUE"""),18.0)</f>
        <v>18</v>
      </c>
      <c r="H100" s="77">
        <f>IFERROR(__xludf.DUMMYFUNCTION("""COMPUTED_VALUE"""),24.0)</f>
        <v>24</v>
      </c>
      <c r="I100" s="77">
        <f>IFERROR(__xludf.DUMMYFUNCTION("""COMPUTED_VALUE"""),100.0)</f>
        <v>100</v>
      </c>
      <c r="J100" s="73"/>
      <c r="K100" s="73"/>
      <c r="L100" s="73"/>
      <c r="M100" s="77">
        <f>IFERROR(__xludf.DUMMYFUNCTION("""COMPUTED_VALUE"""),0.1)</f>
        <v>0.1</v>
      </c>
      <c r="N100" s="77">
        <f>IFERROR(__xludf.DUMMYFUNCTION("""COMPUTED_VALUE"""),1.0)</f>
        <v>1</v>
      </c>
      <c r="O100" s="49"/>
      <c r="P100" s="49" t="str">
        <f>IFERROR(__xludf.DUMMYFUNCTION("""COMPUTED_VALUE"""),"Offset")</f>
        <v>Offset</v>
      </c>
      <c r="Q100" s="49" t="str">
        <f>IFERROR(__xludf.DUMMYFUNCTION("""COMPUTED_VALUE"""),"Packaging")</f>
        <v>Packaging</v>
      </c>
      <c r="R100" s="49" t="str">
        <f>IFERROR(__xludf.DUMMYFUNCTION("""COMPUTED_VALUE"""),"Agarbatti")</f>
        <v>Agarbatti</v>
      </c>
    </row>
    <row r="101">
      <c r="A101" s="156" t="str">
        <f>IFERROR(__xludf.DUMMYFUNCTION("""COMPUTED_VALUE"""),"https://drive.google.com/open?id=120Q2-JnJ8hqkLL05FcUEh-rM27uuzlq8&amp;authuser=jay.agg%40gmail.com&amp;usp=drive_fs")</f>
        <v>https://drive.google.com/open?id=120Q2-JnJ8hqkLL05FcUEh-rM27uuzlq8&amp;authuser=jay.agg%40gmail.com&amp;usp=drive_fs</v>
      </c>
      <c r="B101" s="73" t="str">
        <f>IFERROR(__xludf.DUMMYFUNCTION("""COMPUTED_VALUE"""),"Agarbatti")</f>
        <v>Agarbatti</v>
      </c>
      <c r="C101" s="73" t="str">
        <f>IFERROR(__xludf.DUMMYFUNCTION("""COMPUTED_VALUE"""),"Dhoop Cone")</f>
        <v>Dhoop Cone</v>
      </c>
      <c r="D101" s="73" t="str">
        <f>IFERROR(__xludf.DUMMYFUNCTION("""COMPUTED_VALUE""")," 12Box 158*143*82 mm | 6.2*5.6*3.2 inch")</f>
        <v> 12Box 158*143*82 mm | 6.2*5.6*3.2 inch</v>
      </c>
      <c r="E101" s="77">
        <f>IFERROR(__xludf.DUMMYFUNCTION("""COMPUTED_VALUE"""),1.0)</f>
        <v>1</v>
      </c>
      <c r="F101" s="77">
        <f>IFERROR(__xludf.DUMMYFUNCTION("""COMPUTED_VALUE"""),1926.0)</f>
        <v>1926</v>
      </c>
      <c r="G101" s="77">
        <f>IFERROR(__xludf.DUMMYFUNCTION("""COMPUTED_VALUE"""),18.0)</f>
        <v>18</v>
      </c>
      <c r="H101" s="77">
        <f>IFERROR(__xludf.DUMMYFUNCTION("""COMPUTED_VALUE"""),25.0)</f>
        <v>25</v>
      </c>
      <c r="I101" s="77">
        <f>IFERROR(__xludf.DUMMYFUNCTION("""COMPUTED_VALUE"""),100.0)</f>
        <v>100</v>
      </c>
      <c r="J101" s="73"/>
      <c r="K101" s="73"/>
      <c r="L101" s="73"/>
      <c r="M101" s="77">
        <f>IFERROR(__xludf.DUMMYFUNCTION("""COMPUTED_VALUE"""),0.12)</f>
        <v>0.12</v>
      </c>
      <c r="N101" s="77">
        <f>IFERROR(__xludf.DUMMYFUNCTION("""COMPUTED_VALUE"""),1.0)</f>
        <v>1</v>
      </c>
      <c r="O101" s="49"/>
      <c r="P101" s="49" t="str">
        <f>IFERROR(__xludf.DUMMYFUNCTION("""COMPUTED_VALUE"""),"Offset")</f>
        <v>Offset</v>
      </c>
      <c r="Q101" s="49" t="str">
        <f>IFERROR(__xludf.DUMMYFUNCTION("""COMPUTED_VALUE"""),"Packaging")</f>
        <v>Packaging</v>
      </c>
      <c r="R101" s="49" t="str">
        <f>IFERROR(__xludf.DUMMYFUNCTION("""COMPUTED_VALUE"""),"Agarbatti")</f>
        <v>Agarbatti</v>
      </c>
    </row>
    <row r="102">
      <c r="A102" s="156" t="str">
        <f>IFERROR(__xludf.DUMMYFUNCTION("""COMPUTED_VALUE"""),"https://drive.google.com/open?id=1HLGtCwmzKf0h-JhpxJsxtv3DOO25mLmE&amp;authuser=jay.agg%40gmail.com&amp;usp=drive_fs")</f>
        <v>https://drive.google.com/open?id=1HLGtCwmzKf0h-JhpxJsxtv3DOO25mLmE&amp;authuser=jay.agg%40gmail.com&amp;usp=drive_fs</v>
      </c>
      <c r="B102" s="73" t="str">
        <f>IFERROR(__xludf.DUMMYFUNCTION("""COMPUTED_VALUE"""),"Agarbatti")</f>
        <v>Agarbatti</v>
      </c>
      <c r="C102" s="73" t="str">
        <f>IFERROR(__xludf.DUMMYFUNCTION("""COMPUTED_VALUE"""),"Single Box")</f>
        <v>Single Box</v>
      </c>
      <c r="D102" s="73" t="str">
        <f>IFERROR(__xludf.DUMMYFUNCTION("""COMPUTED_VALUE"""),"45*15*275 mm | 1.8*0.6*10.8 inch")</f>
        <v>45*15*275 mm | 1.8*0.6*10.8 inch</v>
      </c>
      <c r="E102" s="77">
        <f>IFERROR(__xludf.DUMMYFUNCTION("""COMPUTED_VALUE"""),6.0)</f>
        <v>6</v>
      </c>
      <c r="F102" s="77">
        <f>IFERROR(__xludf.DUMMYFUNCTION("""COMPUTED_VALUE"""),1926.0)</f>
        <v>1926</v>
      </c>
      <c r="G102" s="77">
        <f>IFERROR(__xludf.DUMMYFUNCTION("""COMPUTED_VALUE"""),18.0)</f>
        <v>18</v>
      </c>
      <c r="H102" s="77">
        <f>IFERROR(__xludf.DUMMYFUNCTION("""COMPUTED_VALUE"""),25.0)</f>
        <v>25</v>
      </c>
      <c r="I102" s="77">
        <f>IFERROR(__xludf.DUMMYFUNCTION("""COMPUTED_VALUE"""),100.0)</f>
        <v>100</v>
      </c>
      <c r="J102" s="73"/>
      <c r="K102" s="73"/>
      <c r="L102" s="73"/>
      <c r="M102" s="77">
        <f>IFERROR(__xludf.DUMMYFUNCTION("""COMPUTED_VALUE"""),0.1)</f>
        <v>0.1</v>
      </c>
      <c r="N102" s="77">
        <f>IFERROR(__xludf.DUMMYFUNCTION("""COMPUTED_VALUE"""),1.0)</f>
        <v>1</v>
      </c>
      <c r="O102" s="49"/>
      <c r="P102" s="49" t="str">
        <f>IFERROR(__xludf.DUMMYFUNCTION("""COMPUTED_VALUE"""),"Offset")</f>
        <v>Offset</v>
      </c>
      <c r="Q102" s="49" t="str">
        <f>IFERROR(__xludf.DUMMYFUNCTION("""COMPUTED_VALUE"""),"Packaging")</f>
        <v>Packaging</v>
      </c>
      <c r="R102" s="49" t="str">
        <f>IFERROR(__xludf.DUMMYFUNCTION("""COMPUTED_VALUE"""),"Agarbatti")</f>
        <v>Agarbatti</v>
      </c>
    </row>
    <row r="103">
      <c r="A103" s="156" t="str">
        <f>IFERROR(__xludf.DUMMYFUNCTION("""COMPUTED_VALUE"""),"https://drive.google.com/open?id=1NG1UKHL6emjl_tTuVmChdvhFh6fZffsf&amp;authuser=jay.agg%40gmail.com&amp;usp=drive_fs")</f>
        <v>https://drive.google.com/open?id=1NG1UKHL6emjl_tTuVmChdvhFh6fZffsf&amp;authuser=jay.agg%40gmail.com&amp;usp=drive_fs</v>
      </c>
      <c r="B103" s="73" t="str">
        <f>IFERROR(__xludf.DUMMYFUNCTION("""COMPUTED_VALUE"""),"Agarbatti")</f>
        <v>Agarbatti</v>
      </c>
      <c r="C103" s="73" t="str">
        <f>IFERROR(__xludf.DUMMYFUNCTION("""COMPUTED_VALUE"""),"Single Box")</f>
        <v>Single Box</v>
      </c>
      <c r="D103" s="73" t="str">
        <f>IFERROR(__xludf.DUMMYFUNCTION("""COMPUTED_VALUE"""),"80*24*242 mm | 3.15*1*9.5 inch")</f>
        <v>80*24*242 mm | 3.15*1*9.5 inch</v>
      </c>
      <c r="E103" s="77">
        <f>IFERROR(__xludf.DUMMYFUNCTION("""COMPUTED_VALUE"""),4.0)</f>
        <v>4</v>
      </c>
      <c r="F103" s="77">
        <f>IFERROR(__xludf.DUMMYFUNCTION("""COMPUTED_VALUE"""),2029.0)</f>
        <v>2029</v>
      </c>
      <c r="G103" s="77">
        <f>IFERROR(__xludf.DUMMYFUNCTION("""COMPUTED_VALUE"""),18.0)</f>
        <v>18</v>
      </c>
      <c r="H103" s="77">
        <f>IFERROR(__xludf.DUMMYFUNCTION("""COMPUTED_VALUE"""),25.0)</f>
        <v>25</v>
      </c>
      <c r="I103" s="77">
        <f>IFERROR(__xludf.DUMMYFUNCTION("""COMPUTED_VALUE"""),100.0)</f>
        <v>100</v>
      </c>
      <c r="J103" s="73"/>
      <c r="K103" s="73"/>
      <c r="L103" s="73"/>
      <c r="M103" s="77">
        <f>IFERROR(__xludf.DUMMYFUNCTION("""COMPUTED_VALUE"""),0.1)</f>
        <v>0.1</v>
      </c>
      <c r="N103" s="77">
        <f>IFERROR(__xludf.DUMMYFUNCTION("""COMPUTED_VALUE"""),1.0)</f>
        <v>1</v>
      </c>
      <c r="O103" s="49"/>
      <c r="P103" s="49" t="str">
        <f>IFERROR(__xludf.DUMMYFUNCTION("""COMPUTED_VALUE"""),"Offset")</f>
        <v>Offset</v>
      </c>
      <c r="Q103" s="49" t="str">
        <f>IFERROR(__xludf.DUMMYFUNCTION("""COMPUTED_VALUE"""),"Packaging")</f>
        <v>Packaging</v>
      </c>
      <c r="R103" s="49" t="str">
        <f>IFERROR(__xludf.DUMMYFUNCTION("""COMPUTED_VALUE"""),"Agarbatti")</f>
        <v>Agarbatti</v>
      </c>
    </row>
    <row r="104">
      <c r="A104" s="156" t="str">
        <f>IFERROR(__xludf.DUMMYFUNCTION("""COMPUTED_VALUE"""),"https://drive.google.com/open?id=1NKGv-Ks-yz56_gZTpyYi5f7yYwJc-6Yt&amp;authuser=jay.agg%40gmail.com&amp;usp=drive_fs")</f>
        <v>https://drive.google.com/open?id=1NKGv-Ks-yz56_gZTpyYi5f7yYwJc-6Yt&amp;authuser=jay.agg%40gmail.com&amp;usp=drive_fs</v>
      </c>
      <c r="B104" s="73" t="str">
        <f>IFERROR(__xludf.DUMMYFUNCTION("""COMPUTED_VALUE"""),"Agarbatti")</f>
        <v>Agarbatti</v>
      </c>
      <c r="C104" s="73" t="str">
        <f>IFERROR(__xludf.DUMMYFUNCTION("""COMPUTED_VALUE"""),"Single Box")</f>
        <v>Single Box</v>
      </c>
      <c r="D104" s="73" t="str">
        <f>IFERROR(__xludf.DUMMYFUNCTION("""COMPUTED_VALUE"""),"92*42*246 mm | 3.6*1.6*9.6 inch")</f>
        <v>92*42*246 mm | 3.6*1.6*9.6 inch</v>
      </c>
      <c r="E104" s="77">
        <f>IFERROR(__xludf.DUMMYFUNCTION("""COMPUTED_VALUE"""),2.0)</f>
        <v>2</v>
      </c>
      <c r="F104" s="77">
        <f>IFERROR(__xludf.DUMMYFUNCTION("""COMPUTED_VALUE"""),1926.0)</f>
        <v>1926</v>
      </c>
      <c r="G104" s="77">
        <f>IFERROR(__xludf.DUMMYFUNCTION("""COMPUTED_VALUE"""),11.0)</f>
        <v>11</v>
      </c>
      <c r="H104" s="77">
        <f>IFERROR(__xludf.DUMMYFUNCTION("""COMPUTED_VALUE"""),28.0)</f>
        <v>28</v>
      </c>
      <c r="I104" s="77">
        <f>IFERROR(__xludf.DUMMYFUNCTION("""COMPUTED_VALUE"""),100.0)</f>
        <v>100</v>
      </c>
      <c r="J104" s="73"/>
      <c r="K104" s="73"/>
      <c r="L104" s="73"/>
      <c r="M104" s="77">
        <f>IFERROR(__xludf.DUMMYFUNCTION("""COMPUTED_VALUE"""),0.1)</f>
        <v>0.1</v>
      </c>
      <c r="N104" s="77">
        <f>IFERROR(__xludf.DUMMYFUNCTION("""COMPUTED_VALUE"""),1.0)</f>
        <v>1</v>
      </c>
      <c r="O104" s="49"/>
      <c r="P104" s="49" t="str">
        <f>IFERROR(__xludf.DUMMYFUNCTION("""COMPUTED_VALUE"""),"Offset")</f>
        <v>Offset</v>
      </c>
      <c r="Q104" s="49" t="str">
        <f>IFERROR(__xludf.DUMMYFUNCTION("""COMPUTED_VALUE"""),"Packaging")</f>
        <v>Packaging</v>
      </c>
      <c r="R104" s="49" t="str">
        <f>IFERROR(__xludf.DUMMYFUNCTION("""COMPUTED_VALUE"""),"Agarbatti")</f>
        <v>Agarbatti</v>
      </c>
    </row>
    <row r="105">
      <c r="A105" s="156" t="str">
        <f>IFERROR(__xludf.DUMMYFUNCTION("""COMPUTED_VALUE"""),"https://drive.google.com/open?id=1Na8bBXppINJaLAil_2cToG4rkR3GPVhK&amp;authuser=jay.agg%40gmail.com&amp;usp=drive_fs")</f>
        <v>https://drive.google.com/open?id=1Na8bBXppINJaLAil_2cToG4rkR3GPVhK&amp;authuser=jay.agg%40gmail.com&amp;usp=drive_fs</v>
      </c>
      <c r="B105" s="73" t="str">
        <f>IFERROR(__xludf.DUMMYFUNCTION("""COMPUTED_VALUE"""),"Agarbatti")</f>
        <v>Agarbatti</v>
      </c>
      <c r="C105" s="73" t="str">
        <f>IFERROR(__xludf.DUMMYFUNCTION("""COMPUTED_VALUE"""),"Single Box")</f>
        <v>Single Box</v>
      </c>
      <c r="D105" s="73" t="str">
        <f>IFERROR(__xludf.DUMMYFUNCTION("""COMPUTED_VALUE"""),"56*16*242 mm | 2.2*0.6*9.5 inch")</f>
        <v>56*16*242 mm | 2.2*0.6*9.5 inch</v>
      </c>
      <c r="E105" s="77">
        <f>IFERROR(__xludf.DUMMYFUNCTION("""COMPUTED_VALUE"""),6.0)</f>
        <v>6</v>
      </c>
      <c r="F105" s="77">
        <f>IFERROR(__xludf.DUMMYFUNCTION("""COMPUTED_VALUE"""),2029.0)</f>
        <v>2029</v>
      </c>
      <c r="G105" s="77">
        <f>IFERROR(__xludf.DUMMYFUNCTION("""COMPUTED_VALUE"""),19.5)</f>
        <v>19.5</v>
      </c>
      <c r="H105" s="77">
        <f>IFERROR(__xludf.DUMMYFUNCTION("""COMPUTED_VALUE"""),23.0)</f>
        <v>23</v>
      </c>
      <c r="I105" s="77">
        <f>IFERROR(__xludf.DUMMYFUNCTION("""COMPUTED_VALUE"""),100.0)</f>
        <v>100</v>
      </c>
      <c r="J105" s="73"/>
      <c r="K105" s="73"/>
      <c r="L105" s="73"/>
      <c r="M105" s="77">
        <f>IFERROR(__xludf.DUMMYFUNCTION("""COMPUTED_VALUE"""),0.1)</f>
        <v>0.1</v>
      </c>
      <c r="N105" s="77">
        <f>IFERROR(__xludf.DUMMYFUNCTION("""COMPUTED_VALUE"""),1.0)</f>
        <v>1</v>
      </c>
      <c r="O105" s="49"/>
      <c r="P105" s="49" t="str">
        <f>IFERROR(__xludf.DUMMYFUNCTION("""COMPUTED_VALUE"""),"Offset")</f>
        <v>Offset</v>
      </c>
      <c r="Q105" s="49" t="str">
        <f>IFERROR(__xludf.DUMMYFUNCTION("""COMPUTED_VALUE"""),"Packaging")</f>
        <v>Packaging</v>
      </c>
      <c r="R105" s="49" t="str">
        <f>IFERROR(__xludf.DUMMYFUNCTION("""COMPUTED_VALUE"""),"Agarbatti")</f>
        <v>Agarbatti</v>
      </c>
    </row>
    <row r="106">
      <c r="A106" s="156" t="str">
        <f>IFERROR(__xludf.DUMMYFUNCTION("""COMPUTED_VALUE"""),"https://drive.google.com/open?id=1NrhiH1LpJu2kDm9XeedMDXA1Q89EEiRh&amp;authuser=jay.agg%40gmail.com&amp;usp=drive_fs")</f>
        <v>https://drive.google.com/open?id=1NrhiH1LpJu2kDm9XeedMDXA1Q89EEiRh&amp;authuser=jay.agg%40gmail.com&amp;usp=drive_fs</v>
      </c>
      <c r="B106" s="73" t="str">
        <f>IFERROR(__xludf.DUMMYFUNCTION("""COMPUTED_VALUE"""),"Agarbatti")</f>
        <v>Agarbatti</v>
      </c>
      <c r="C106" s="73" t="str">
        <f>IFERROR(__xludf.DUMMYFUNCTION("""COMPUTED_VALUE"""),"Single Box")</f>
        <v>Single Box</v>
      </c>
      <c r="D106" s="73" t="str">
        <f>IFERROR(__xludf.DUMMYFUNCTION("""COMPUTED_VALUE"""),"32*32*229 mm | 1.3*1.3*9 inch")</f>
        <v>32*32*229 mm | 1.3*1.3*9 inch</v>
      </c>
      <c r="E106" s="77">
        <f>IFERROR(__xludf.DUMMYFUNCTION("""COMPUTED_VALUE"""),6.0)</f>
        <v>6</v>
      </c>
      <c r="F106" s="77">
        <f>IFERROR(__xludf.DUMMYFUNCTION("""COMPUTED_VALUE"""),2029.0)</f>
        <v>2029</v>
      </c>
      <c r="G106" s="77">
        <f>IFERROR(__xludf.DUMMYFUNCTION("""COMPUTED_VALUE"""),18.0)</f>
        <v>18</v>
      </c>
      <c r="H106" s="77">
        <f>IFERROR(__xludf.DUMMYFUNCTION("""COMPUTED_VALUE"""),25.0)</f>
        <v>25</v>
      </c>
      <c r="I106" s="77">
        <f>IFERROR(__xludf.DUMMYFUNCTION("""COMPUTED_VALUE"""),100.0)</f>
        <v>100</v>
      </c>
      <c r="J106" s="73"/>
      <c r="K106" s="73"/>
      <c r="L106" s="73"/>
      <c r="M106" s="77">
        <f>IFERROR(__xludf.DUMMYFUNCTION("""COMPUTED_VALUE"""),0.1)</f>
        <v>0.1</v>
      </c>
      <c r="N106" s="77">
        <f>IFERROR(__xludf.DUMMYFUNCTION("""COMPUTED_VALUE"""),1.0)</f>
        <v>1</v>
      </c>
      <c r="O106" s="49"/>
      <c r="P106" s="49" t="str">
        <f>IFERROR(__xludf.DUMMYFUNCTION("""COMPUTED_VALUE"""),"Offset")</f>
        <v>Offset</v>
      </c>
      <c r="Q106" s="49" t="str">
        <f>IFERROR(__xludf.DUMMYFUNCTION("""COMPUTED_VALUE"""),"Packaging")</f>
        <v>Packaging</v>
      </c>
      <c r="R106" s="49" t="str">
        <f>IFERROR(__xludf.DUMMYFUNCTION("""COMPUTED_VALUE"""),"Agarbatti")</f>
        <v>Agarbatti</v>
      </c>
    </row>
    <row r="107">
      <c r="A107" s="156" t="str">
        <f>IFERROR(__xludf.DUMMYFUNCTION("""COMPUTED_VALUE"""),"https://drive.google.com/open?id=1Wotz1_nNCs2NVrPrJusoJsRSpeLedTLB&amp;authuser=jay.agg%40gmail.com&amp;usp=drive_fs")</f>
        <v>https://drive.google.com/open?id=1Wotz1_nNCs2NVrPrJusoJsRSpeLedTLB&amp;authuser=jay.agg%40gmail.com&amp;usp=drive_fs</v>
      </c>
      <c r="B107" s="73" t="str">
        <f>IFERROR(__xludf.DUMMYFUNCTION("""COMPUTED_VALUE"""),"Hawan Box")</f>
        <v>Hawan Box</v>
      </c>
      <c r="C107" s="73" t="str">
        <f>IFERROR(__xludf.DUMMYFUNCTION("""COMPUTED_VALUE"""),"Hawan")</f>
        <v>Hawan</v>
      </c>
      <c r="D107" s="73" t="str">
        <f>IFERROR(__xludf.DUMMYFUNCTION("""COMPUTED_VALUE"""),"85*30*130 mm | 3.3*1.2*5.1 inch")</f>
        <v>85*30*130 mm | 3.3*1.2*5.1 inch</v>
      </c>
      <c r="E107" s="77">
        <f>IFERROR(__xludf.DUMMYFUNCTION("""COMPUTED_VALUE"""),8.0)</f>
        <v>8</v>
      </c>
      <c r="F107" s="77">
        <f>IFERROR(__xludf.DUMMYFUNCTION("""COMPUTED_VALUE"""),2029.0)</f>
        <v>2029</v>
      </c>
      <c r="G107" s="77">
        <f>IFERROR(__xludf.DUMMYFUNCTION("""COMPUTED_VALUE"""),20.0)</f>
        <v>20</v>
      </c>
      <c r="H107" s="77">
        <f>IFERROR(__xludf.DUMMYFUNCTION("""COMPUTED_VALUE"""),28.0)</f>
        <v>28</v>
      </c>
      <c r="I107" s="77">
        <f>IFERROR(__xludf.DUMMYFUNCTION("""COMPUTED_VALUE"""),100.0)</f>
        <v>100</v>
      </c>
      <c r="J107" s="73"/>
      <c r="K107" s="73"/>
      <c r="L107" s="73"/>
      <c r="M107" s="77">
        <f>IFERROR(__xludf.DUMMYFUNCTION("""COMPUTED_VALUE"""),0.1)</f>
        <v>0.1</v>
      </c>
      <c r="N107" s="77">
        <f>IFERROR(__xludf.DUMMYFUNCTION("""COMPUTED_VALUE"""),1.0)</f>
        <v>1</v>
      </c>
      <c r="O107" s="49"/>
      <c r="P107" s="49" t="str">
        <f>IFERROR(__xludf.DUMMYFUNCTION("""COMPUTED_VALUE"""),"Offset")</f>
        <v>Offset</v>
      </c>
      <c r="Q107" s="49" t="str">
        <f>IFERROR(__xludf.DUMMYFUNCTION("""COMPUTED_VALUE"""),"Packaging")</f>
        <v>Packaging</v>
      </c>
      <c r="R107" s="49" t="str">
        <f>IFERROR(__xludf.DUMMYFUNCTION("""COMPUTED_VALUE"""),"Hawan Box")</f>
        <v>Hawan Box</v>
      </c>
    </row>
    <row r="108">
      <c r="A108" s="156" t="str">
        <f>IFERROR(__xludf.DUMMYFUNCTION("""COMPUTED_VALUE"""),"https://drive.google.com/open?id=1WyO9ygAuueHvi7lhxQa2NxWtb5s3vArU&amp;authuser=jay.agg%40gmail.com&amp;usp=drive_fs")</f>
        <v>https://drive.google.com/open?id=1WyO9ygAuueHvi7lhxQa2NxWtb5s3vArU&amp;authuser=jay.agg%40gmail.com&amp;usp=drive_fs</v>
      </c>
      <c r="B108" s="73" t="str">
        <f>IFERROR(__xludf.DUMMYFUNCTION("""COMPUTED_VALUE"""),"Hawan Box")</f>
        <v>Hawan Box</v>
      </c>
      <c r="C108" s="73" t="str">
        <f>IFERROR(__xludf.DUMMYFUNCTION("""COMPUTED_VALUE"""),"Hawan")</f>
        <v>Hawan</v>
      </c>
      <c r="D108" s="73" t="str">
        <f>IFERROR(__xludf.DUMMYFUNCTION("""COMPUTED_VALUE"""),"100*40*135 mm | 3.9*1.5*5.3 inch")</f>
        <v>100*40*135 mm | 3.9*1.5*5.3 inch</v>
      </c>
      <c r="E108" s="77">
        <f>IFERROR(__xludf.DUMMYFUNCTION("""COMPUTED_VALUE"""),4.0)</f>
        <v>4</v>
      </c>
      <c r="F108" s="77">
        <f>IFERROR(__xludf.DUMMYFUNCTION("""COMPUTED_VALUE"""),2029.0)</f>
        <v>2029</v>
      </c>
      <c r="G108" s="77">
        <f>IFERROR(__xludf.DUMMYFUNCTION("""COMPUTED_VALUE"""),18.0)</f>
        <v>18</v>
      </c>
      <c r="H108" s="77">
        <f>IFERROR(__xludf.DUMMYFUNCTION("""COMPUTED_VALUE"""),23.0)</f>
        <v>23</v>
      </c>
      <c r="I108" s="77">
        <f>IFERROR(__xludf.DUMMYFUNCTION("""COMPUTED_VALUE"""),100.0)</f>
        <v>100</v>
      </c>
      <c r="J108" s="73"/>
      <c r="K108" s="73"/>
      <c r="L108" s="73"/>
      <c r="M108" s="77">
        <f>IFERROR(__xludf.DUMMYFUNCTION("""COMPUTED_VALUE"""),0.1)</f>
        <v>0.1</v>
      </c>
      <c r="N108" s="77">
        <f>IFERROR(__xludf.DUMMYFUNCTION("""COMPUTED_VALUE"""),1.0)</f>
        <v>1</v>
      </c>
      <c r="O108" s="49"/>
      <c r="P108" s="49" t="str">
        <f>IFERROR(__xludf.DUMMYFUNCTION("""COMPUTED_VALUE"""),"Offset")</f>
        <v>Offset</v>
      </c>
      <c r="Q108" s="49" t="str">
        <f>IFERROR(__xludf.DUMMYFUNCTION("""COMPUTED_VALUE"""),"Packaging")</f>
        <v>Packaging</v>
      </c>
      <c r="R108" s="49" t="str">
        <f>IFERROR(__xludf.DUMMYFUNCTION("""COMPUTED_VALUE"""),"Hawan Box")</f>
        <v>Hawan Box</v>
      </c>
    </row>
    <row r="109">
      <c r="A109" s="156" t="str">
        <f>IFERROR(__xludf.DUMMYFUNCTION("""COMPUTED_VALUE"""),"https://drive.google.com/open?id=1X6CvK05925P3I059K-7edqlT-ZxbVW6K&amp;authuser=jay.agg%40gmail.com&amp;usp=drive_fs")</f>
        <v>https://drive.google.com/open?id=1X6CvK05925P3I059K-7edqlT-ZxbVW6K&amp;authuser=jay.agg%40gmail.com&amp;usp=drive_fs</v>
      </c>
      <c r="B109" s="73" t="str">
        <f>IFERROR(__xludf.DUMMYFUNCTION("""COMPUTED_VALUE"""),"Agarbatti")</f>
        <v>Agarbatti</v>
      </c>
      <c r="C109" s="73" t="str">
        <f>IFERROR(__xludf.DUMMYFUNCTION("""COMPUTED_VALUE"""),"Single Box")</f>
        <v>Single Box</v>
      </c>
      <c r="D109" s="73" t="str">
        <f>IFERROR(__xludf.DUMMYFUNCTION("""COMPUTED_VALUE"""),"82*16*230 mm | 3.2*0.6*9 inch")</f>
        <v>82*16*230 mm | 3.2*0.6*9 inch</v>
      </c>
      <c r="E109" s="77">
        <f>IFERROR(__xludf.DUMMYFUNCTION("""COMPUTED_VALUE"""),8.0)</f>
        <v>8</v>
      </c>
      <c r="F109" s="77">
        <f>IFERROR(__xludf.DUMMYFUNCTION("""COMPUTED_VALUE"""),2840.0)</f>
        <v>2840</v>
      </c>
      <c r="G109" s="77">
        <f>IFERROR(__xludf.DUMMYFUNCTION("""COMPUTED_VALUE"""),23.0)</f>
        <v>23</v>
      </c>
      <c r="H109" s="77">
        <f>IFERROR(__xludf.DUMMYFUNCTION("""COMPUTED_VALUE"""),36.0)</f>
        <v>36</v>
      </c>
      <c r="I109" s="77">
        <f>IFERROR(__xludf.DUMMYFUNCTION("""COMPUTED_VALUE"""),100.0)</f>
        <v>100</v>
      </c>
      <c r="J109" s="73"/>
      <c r="K109" s="73"/>
      <c r="L109" s="73"/>
      <c r="M109" s="77">
        <f>IFERROR(__xludf.DUMMYFUNCTION("""COMPUTED_VALUE"""),0.1)</f>
        <v>0.1</v>
      </c>
      <c r="N109" s="77">
        <f>IFERROR(__xludf.DUMMYFUNCTION("""COMPUTED_VALUE"""),1.0)</f>
        <v>1</v>
      </c>
      <c r="O109" s="49"/>
      <c r="P109" s="49" t="str">
        <f>IFERROR(__xludf.DUMMYFUNCTION("""COMPUTED_VALUE"""),"Offset")</f>
        <v>Offset</v>
      </c>
      <c r="Q109" s="49" t="str">
        <f>IFERROR(__xludf.DUMMYFUNCTION("""COMPUTED_VALUE"""),"Packaging")</f>
        <v>Packaging</v>
      </c>
      <c r="R109" s="49" t="str">
        <f>IFERROR(__xludf.DUMMYFUNCTION("""COMPUTED_VALUE"""),"Agarbatti")</f>
        <v>Agarbatti</v>
      </c>
    </row>
    <row r="110">
      <c r="A110" s="156" t="str">
        <f>IFERROR(__xludf.DUMMYFUNCTION("""COMPUTED_VALUE"""),"https://drive.google.com/open?id=1XAADA-h3Mpav5Ua_w9VOFvaGqADLdgE3&amp;authuser=jay.agg%40gmail.com&amp;usp=drive_fs")</f>
        <v>https://drive.google.com/open?id=1XAADA-h3Mpav5Ua_w9VOFvaGqADLdgE3&amp;authuser=jay.agg%40gmail.com&amp;usp=drive_fs</v>
      </c>
      <c r="B110" s="73" t="str">
        <f>IFERROR(__xludf.DUMMYFUNCTION("""COMPUTED_VALUE"""),"Agarbatti")</f>
        <v>Agarbatti</v>
      </c>
      <c r="C110" s="73" t="str">
        <f>IFERROR(__xludf.DUMMYFUNCTION("""COMPUTED_VALUE"""),"Single Box")</f>
        <v>Single Box</v>
      </c>
      <c r="D110" s="73" t="str">
        <f>IFERROR(__xludf.DUMMYFUNCTION("""COMPUTED_VALUE"""),"45*12*255 mm | 1.7*0.5*10 inch")</f>
        <v>45*12*255 mm | 1.7*0.5*10 inch</v>
      </c>
      <c r="E110" s="77">
        <f>IFERROR(__xludf.DUMMYFUNCTION("""COMPUTED_VALUE"""),16.0)</f>
        <v>16</v>
      </c>
      <c r="F110" s="77">
        <f>IFERROR(__xludf.DUMMYFUNCTION("""COMPUTED_VALUE"""),2840.0)</f>
        <v>2840</v>
      </c>
      <c r="G110" s="77">
        <f>IFERROR(__xludf.DUMMYFUNCTION("""COMPUTED_VALUE"""),25.0)</f>
        <v>25</v>
      </c>
      <c r="H110" s="77">
        <f>IFERROR(__xludf.DUMMYFUNCTION("""COMPUTED_VALUE"""),40.0)</f>
        <v>40</v>
      </c>
      <c r="I110" s="77">
        <f>IFERROR(__xludf.DUMMYFUNCTION("""COMPUTED_VALUE"""),100.0)</f>
        <v>100</v>
      </c>
      <c r="J110" s="73"/>
      <c r="K110" s="73"/>
      <c r="L110" s="73"/>
      <c r="M110" s="77">
        <f>IFERROR(__xludf.DUMMYFUNCTION("""COMPUTED_VALUE"""),0.1)</f>
        <v>0.1</v>
      </c>
      <c r="N110" s="77">
        <f>IFERROR(__xludf.DUMMYFUNCTION("""COMPUTED_VALUE"""),1.0)</f>
        <v>1</v>
      </c>
      <c r="O110" s="49"/>
      <c r="P110" s="49" t="str">
        <f>IFERROR(__xludf.DUMMYFUNCTION("""COMPUTED_VALUE"""),"Offset")</f>
        <v>Offset</v>
      </c>
      <c r="Q110" s="49" t="str">
        <f>IFERROR(__xludf.DUMMYFUNCTION("""COMPUTED_VALUE"""),"Packaging")</f>
        <v>Packaging</v>
      </c>
      <c r="R110" s="49" t="str">
        <f>IFERROR(__xludf.DUMMYFUNCTION("""COMPUTED_VALUE"""),"Agarbatti")</f>
        <v>Agarbatti</v>
      </c>
    </row>
    <row r="111">
      <c r="A111" s="156" t="str">
        <f>IFERROR(__xludf.DUMMYFUNCTION("""COMPUTED_VALUE"""),"https://drive.google.com/open?id=1XJij-6Q3hC_KUcvzWgC4yUpfVD5MkEjJ&amp;authuser=jay.agg%40gmail.com&amp;usp=drive_fs")</f>
        <v>https://drive.google.com/open?id=1XJij-6Q3hC_KUcvzWgC4yUpfVD5MkEjJ&amp;authuser=jay.agg%40gmail.com&amp;usp=drive_fs</v>
      </c>
      <c r="B111" s="73" t="str">
        <f>IFERROR(__xludf.DUMMYFUNCTION("""COMPUTED_VALUE"""),"Agarbatti")</f>
        <v>Agarbatti</v>
      </c>
      <c r="C111" s="73" t="str">
        <f>IFERROR(__xludf.DUMMYFUNCTION("""COMPUTED_VALUE"""),"Single Box")</f>
        <v>Single Box</v>
      </c>
      <c r="D111" s="73" t="str">
        <f>IFERROR(__xludf.DUMMYFUNCTION("""COMPUTED_VALUE"""),"70*28*255 mm | 2.7*1.1*10 inch")</f>
        <v>70*28*255 mm | 2.7*1.1*10 inch</v>
      </c>
      <c r="E111" s="77">
        <f>IFERROR(__xludf.DUMMYFUNCTION("""COMPUTED_VALUE"""),8.0)</f>
        <v>8</v>
      </c>
      <c r="F111" s="77">
        <f>IFERROR(__xludf.DUMMYFUNCTION("""COMPUTED_VALUE"""),2840.0)</f>
        <v>2840</v>
      </c>
      <c r="G111" s="77">
        <f>IFERROR(__xludf.DUMMYFUNCTION("""COMPUTED_VALUE"""),26.0)</f>
        <v>26</v>
      </c>
      <c r="H111" s="77">
        <f>IFERROR(__xludf.DUMMYFUNCTION("""COMPUTED_VALUE"""),38.0)</f>
        <v>38</v>
      </c>
      <c r="I111" s="77">
        <f>IFERROR(__xludf.DUMMYFUNCTION("""COMPUTED_VALUE"""),100.0)</f>
        <v>100</v>
      </c>
      <c r="J111" s="73"/>
      <c r="K111" s="73"/>
      <c r="L111" s="73"/>
      <c r="M111" s="77">
        <f>IFERROR(__xludf.DUMMYFUNCTION("""COMPUTED_VALUE"""),0.1)</f>
        <v>0.1</v>
      </c>
      <c r="N111" s="77">
        <f>IFERROR(__xludf.DUMMYFUNCTION("""COMPUTED_VALUE"""),1.0)</f>
        <v>1</v>
      </c>
      <c r="O111" s="49"/>
      <c r="P111" s="49" t="str">
        <f>IFERROR(__xludf.DUMMYFUNCTION("""COMPUTED_VALUE"""),"Offset")</f>
        <v>Offset</v>
      </c>
      <c r="Q111" s="49" t="str">
        <f>IFERROR(__xludf.DUMMYFUNCTION("""COMPUTED_VALUE"""),"Packaging")</f>
        <v>Packaging</v>
      </c>
      <c r="R111" s="49" t="str">
        <f>IFERROR(__xludf.DUMMYFUNCTION("""COMPUTED_VALUE"""),"Agarbatti")</f>
        <v>Agarbatti</v>
      </c>
    </row>
    <row r="112">
      <c r="A112" s="156" t="str">
        <f>IFERROR(__xludf.DUMMYFUNCTION("""COMPUTED_VALUE"""),"https://drive.google.com/open?id=1XKS54q27cyK3ZFAxyAwuDlDzL9uay8tM&amp;authuser=jay.agg%40gmail.com&amp;usp=drive_fs")</f>
        <v>https://drive.google.com/open?id=1XKS54q27cyK3ZFAxyAwuDlDzL9uay8tM&amp;authuser=jay.agg%40gmail.com&amp;usp=drive_fs</v>
      </c>
      <c r="B112" s="73" t="str">
        <f>IFERROR(__xludf.DUMMYFUNCTION("""COMPUTED_VALUE"""),"Agarbatti")</f>
        <v>Agarbatti</v>
      </c>
      <c r="C112" s="73" t="str">
        <f>IFERROR(__xludf.DUMMYFUNCTION("""COMPUTED_VALUE"""),"Single Box")</f>
        <v>Single Box</v>
      </c>
      <c r="D112" s="73" t="str">
        <f>IFERROR(__xludf.DUMMYFUNCTION("""COMPUTED_VALUE"""),"60*15*255 mm | 2.3*0.6*10 inch")</f>
        <v>60*15*255 mm | 2.3*0.6*10 inch</v>
      </c>
      <c r="E112" s="77">
        <f>IFERROR(__xludf.DUMMYFUNCTION("""COMPUTED_VALUE"""),12.0)</f>
        <v>12</v>
      </c>
      <c r="F112" s="77">
        <f>IFERROR(__xludf.DUMMYFUNCTION("""COMPUTED_VALUE"""),2840.0)</f>
        <v>2840</v>
      </c>
      <c r="G112" s="77">
        <f>IFERROR(__xludf.DUMMYFUNCTION("""COMPUTED_VALUE"""),25.0)</f>
        <v>25</v>
      </c>
      <c r="H112" s="77">
        <f>IFERROR(__xludf.DUMMYFUNCTION("""COMPUTED_VALUE"""),40.0)</f>
        <v>40</v>
      </c>
      <c r="I112" s="77">
        <f>IFERROR(__xludf.DUMMYFUNCTION("""COMPUTED_VALUE"""),100.0)</f>
        <v>100</v>
      </c>
      <c r="J112" s="73"/>
      <c r="K112" s="73"/>
      <c r="L112" s="73"/>
      <c r="M112" s="77">
        <f>IFERROR(__xludf.DUMMYFUNCTION("""COMPUTED_VALUE"""),0.1)</f>
        <v>0.1</v>
      </c>
      <c r="N112" s="77">
        <f>IFERROR(__xludf.DUMMYFUNCTION("""COMPUTED_VALUE"""),1.0)</f>
        <v>1</v>
      </c>
      <c r="O112" s="49"/>
      <c r="P112" s="49" t="str">
        <f>IFERROR(__xludf.DUMMYFUNCTION("""COMPUTED_VALUE"""),"Offset")</f>
        <v>Offset</v>
      </c>
      <c r="Q112" s="49" t="str">
        <f>IFERROR(__xludf.DUMMYFUNCTION("""COMPUTED_VALUE"""),"Packaging")</f>
        <v>Packaging</v>
      </c>
      <c r="R112" s="49" t="str">
        <f>IFERROR(__xludf.DUMMYFUNCTION("""COMPUTED_VALUE"""),"Agarbatti")</f>
        <v>Agarbatti</v>
      </c>
    </row>
    <row r="113">
      <c r="A113" s="156" t="str">
        <f>IFERROR(__xludf.DUMMYFUNCTION("""COMPUTED_VALUE"""),"https://drive.google.com/open?id=1XOl_6Mx1H56YgfnMdCHEhZ56dn7qN8J-&amp;authuser=jay.agg%40gmail.com&amp;usp=drive_fs")</f>
        <v>https://drive.google.com/open?id=1XOl_6Mx1H56YgfnMdCHEhZ56dn7qN8J-&amp;authuser=jay.agg%40gmail.com&amp;usp=drive_fs</v>
      </c>
      <c r="B113" s="73" t="str">
        <f>IFERROR(__xludf.DUMMYFUNCTION("""COMPUTED_VALUE"""),"Agarbatti")</f>
        <v>Agarbatti</v>
      </c>
      <c r="C113" s="73" t="str">
        <f>IFERROR(__xludf.DUMMYFUNCTION("""COMPUTED_VALUE"""),"Outer")</f>
        <v>Outer</v>
      </c>
      <c r="D113" s="73" t="str">
        <f>IFERROR(__xludf.DUMMYFUNCTION("""COMPUTED_VALUE""")," 12 Box 60*15*255 mm | 122*94*257 mm")</f>
        <v> 12 Box 60*15*255 mm | 122*94*257 mm</v>
      </c>
      <c r="E113" s="77">
        <f>IFERROR(__xludf.DUMMYFUNCTION("""COMPUTED_VALUE"""),2.0)</f>
        <v>2</v>
      </c>
      <c r="F113" s="77">
        <f>IFERROR(__xludf.DUMMYFUNCTION("""COMPUTED_VALUE"""),2840.0)</f>
        <v>2840</v>
      </c>
      <c r="G113" s="77">
        <f>IFERROR(__xludf.DUMMYFUNCTION("""COMPUTED_VALUE"""),34.0)</f>
        <v>34</v>
      </c>
      <c r="H113" s="77">
        <f>IFERROR(__xludf.DUMMYFUNCTION("""COMPUTED_VALUE"""),36.0)</f>
        <v>36</v>
      </c>
      <c r="I113" s="77">
        <f>IFERROR(__xludf.DUMMYFUNCTION("""COMPUTED_VALUE"""),100.0)</f>
        <v>100</v>
      </c>
      <c r="J113" s="73"/>
      <c r="K113" s="73"/>
      <c r="L113" s="73"/>
      <c r="M113" s="77">
        <f>IFERROR(__xludf.DUMMYFUNCTION("""COMPUTED_VALUE"""),0.1)</f>
        <v>0.1</v>
      </c>
      <c r="N113" s="77">
        <f>IFERROR(__xludf.DUMMYFUNCTION("""COMPUTED_VALUE"""),1.0)</f>
        <v>1</v>
      </c>
      <c r="O113" s="49"/>
      <c r="P113" s="49" t="str">
        <f>IFERROR(__xludf.DUMMYFUNCTION("""COMPUTED_VALUE"""),"Offset")</f>
        <v>Offset</v>
      </c>
      <c r="Q113" s="49" t="str">
        <f>IFERROR(__xludf.DUMMYFUNCTION("""COMPUTED_VALUE"""),"Packaging")</f>
        <v>Packaging</v>
      </c>
      <c r="R113" s="49" t="str">
        <f>IFERROR(__xludf.DUMMYFUNCTION("""COMPUTED_VALUE"""),"Agarbatti")</f>
        <v>Agarbatti</v>
      </c>
    </row>
    <row r="114">
      <c r="A114" s="156" t="str">
        <f>IFERROR(__xludf.DUMMYFUNCTION("""COMPUTED_VALUE"""),"https://drive.google.com/open?id=1XLJ010eFFtn3EzdeChDJs_LMcOt8ZmsX&amp;authuser=jay.agg%40gmail.com&amp;usp=drive_fs")</f>
        <v>https://drive.google.com/open?id=1XLJ010eFFtn3EzdeChDJs_LMcOt8ZmsX&amp;authuser=jay.agg%40gmail.com&amp;usp=drive_fs</v>
      </c>
      <c r="B114" s="73" t="str">
        <f>IFERROR(__xludf.DUMMYFUNCTION("""COMPUTED_VALUE"""),"Agarbatti")</f>
        <v>Agarbatti</v>
      </c>
      <c r="C114" s="73" t="str">
        <f>IFERROR(__xludf.DUMMYFUNCTION("""COMPUTED_VALUE"""),"Outer")</f>
        <v>Outer</v>
      </c>
      <c r="D114" s="73" t="str">
        <f>IFERROR(__xludf.DUMMYFUNCTION("""COMPUTED_VALUE""")," 12 Box 45*12*255 mm | 93*75*257 mm")</f>
        <v> 12 Box 45*12*255 mm | 93*75*257 mm</v>
      </c>
      <c r="E114" s="77">
        <f>IFERROR(__xludf.DUMMYFUNCTION("""COMPUTED_VALUE"""),4.0)</f>
        <v>4</v>
      </c>
      <c r="F114" s="77">
        <f>IFERROR(__xludf.DUMMYFUNCTION("""COMPUTED_VALUE"""),2840.0)</f>
        <v>2840</v>
      </c>
      <c r="G114" s="77">
        <f>IFERROR(__xludf.DUMMYFUNCTION("""COMPUTED_VALUE"""),28.0)</f>
        <v>28</v>
      </c>
      <c r="H114" s="77">
        <f>IFERROR(__xludf.DUMMYFUNCTION("""COMPUTED_VALUE"""),36.0)</f>
        <v>36</v>
      </c>
      <c r="I114" s="77">
        <f>IFERROR(__xludf.DUMMYFUNCTION("""COMPUTED_VALUE"""),100.0)</f>
        <v>100</v>
      </c>
      <c r="J114" s="73"/>
      <c r="K114" s="73"/>
      <c r="L114" s="73"/>
      <c r="M114" s="77">
        <f>IFERROR(__xludf.DUMMYFUNCTION("""COMPUTED_VALUE"""),0.1)</f>
        <v>0.1</v>
      </c>
      <c r="N114" s="77">
        <f>IFERROR(__xludf.DUMMYFUNCTION("""COMPUTED_VALUE"""),1.0)</f>
        <v>1</v>
      </c>
      <c r="O114" s="49"/>
      <c r="P114" s="49" t="str">
        <f>IFERROR(__xludf.DUMMYFUNCTION("""COMPUTED_VALUE"""),"Offset")</f>
        <v>Offset</v>
      </c>
      <c r="Q114" s="49" t="str">
        <f>IFERROR(__xludf.DUMMYFUNCTION("""COMPUTED_VALUE"""),"Packaging")</f>
        <v>Packaging</v>
      </c>
      <c r="R114" s="49" t="str">
        <f>IFERROR(__xludf.DUMMYFUNCTION("""COMPUTED_VALUE"""),"Agarbatti")</f>
        <v>Agarbatti</v>
      </c>
    </row>
    <row r="115">
      <c r="A115" s="156" t="str">
        <f>IFERROR(__xludf.DUMMYFUNCTION("""COMPUTED_VALUE"""),"https://drive.google.com/open?id=1RLK3iHCpKWknzjPkHTyHlq6o67WeGlzs&amp;authuser=jay.agg%40gmail.com&amp;usp=drive_fs")</f>
        <v>https://drive.google.com/open?id=1RLK3iHCpKWknzjPkHTyHlq6o67WeGlzs&amp;authuser=jay.agg%40gmail.com&amp;usp=drive_fs</v>
      </c>
      <c r="B115" s="73" t="str">
        <f>IFERROR(__xludf.DUMMYFUNCTION("""COMPUTED_VALUE"""),"Agarbatti")</f>
        <v>Agarbatti</v>
      </c>
      <c r="C115" s="73" t="str">
        <f>IFERROR(__xludf.DUMMYFUNCTION("""COMPUTED_VALUE"""),"Single Box")</f>
        <v>Single Box</v>
      </c>
      <c r="D115" s="73" t="str">
        <f>IFERROR(__xludf.DUMMYFUNCTION("""COMPUTED_VALUE"""),"44*33*253 mm | 1.7*1.3*10 inch")</f>
        <v>44*33*253 mm | 1.7*1.3*10 inch</v>
      </c>
      <c r="E115" s="77">
        <f>IFERROR(__xludf.DUMMYFUNCTION("""COMPUTED_VALUE"""),6.0)</f>
        <v>6</v>
      </c>
      <c r="F115" s="77">
        <f>IFERROR(__xludf.DUMMYFUNCTION("""COMPUTED_VALUE"""),2029.0)</f>
        <v>2029</v>
      </c>
      <c r="G115" s="77">
        <f>IFERROR(__xludf.DUMMYFUNCTION("""COMPUTED_VALUE"""),20.0)</f>
        <v>20</v>
      </c>
      <c r="H115" s="77">
        <f>IFERROR(__xludf.DUMMYFUNCTION("""COMPUTED_VALUE"""),28.0)</f>
        <v>28</v>
      </c>
      <c r="I115" s="77">
        <f>IFERROR(__xludf.DUMMYFUNCTION("""COMPUTED_VALUE"""),100.0)</f>
        <v>100</v>
      </c>
      <c r="J115" s="73"/>
      <c r="K115" s="73"/>
      <c r="L115" s="73"/>
      <c r="M115" s="77">
        <f>IFERROR(__xludf.DUMMYFUNCTION("""COMPUTED_VALUE"""),0.1)</f>
        <v>0.1</v>
      </c>
      <c r="N115" s="77">
        <f>IFERROR(__xludf.DUMMYFUNCTION("""COMPUTED_VALUE"""),1.0)</f>
        <v>1</v>
      </c>
      <c r="O115" s="49"/>
      <c r="P115" s="49" t="str">
        <f>IFERROR(__xludf.DUMMYFUNCTION("""COMPUTED_VALUE"""),"Offset")</f>
        <v>Offset</v>
      </c>
      <c r="Q115" s="49" t="str">
        <f>IFERROR(__xludf.DUMMYFUNCTION("""COMPUTED_VALUE"""),"Packaging")</f>
        <v>Packaging</v>
      </c>
      <c r="R115" s="49" t="str">
        <f>IFERROR(__xludf.DUMMYFUNCTION("""COMPUTED_VALUE"""),"Agarbatti")</f>
        <v>Agarbatti</v>
      </c>
    </row>
    <row r="116">
      <c r="A116" s="156" t="str">
        <f>IFERROR(__xludf.DUMMYFUNCTION("""COMPUTED_VALUE"""),"https://drive.google.com/open?id=1bQv2C87uEmZL8TFVHls7MtybCweRqpiq&amp;authuser=jay.agg%40gmail.com&amp;usp=drive_fs")</f>
        <v>https://drive.google.com/open?id=1bQv2C87uEmZL8TFVHls7MtybCweRqpiq&amp;authuser=jay.agg%40gmail.com&amp;usp=drive_fs</v>
      </c>
      <c r="B116" s="73" t="str">
        <f>IFERROR(__xludf.DUMMYFUNCTION("""COMPUTED_VALUE"""),"Dhoop")</f>
        <v>Dhoop</v>
      </c>
      <c r="C116" s="73" t="str">
        <f>IFERROR(__xludf.DUMMYFUNCTION("""COMPUTED_VALUE"""),"Single Box")</f>
        <v>Single Box</v>
      </c>
      <c r="D116" s="73" t="str">
        <f>IFERROR(__xludf.DUMMYFUNCTION("""COMPUTED_VALUE"""),"90*22*114 mm | 3.5*0.8*4.5 inch")</f>
        <v>90*22*114 mm | 3.5*0.8*4.5 inch</v>
      </c>
      <c r="E116" s="77">
        <f>IFERROR(__xludf.DUMMYFUNCTION("""COMPUTED_VALUE"""),8.0)</f>
        <v>8</v>
      </c>
      <c r="F116" s="77">
        <f>IFERROR(__xludf.DUMMYFUNCTION("""COMPUTED_VALUE"""),2029.0)</f>
        <v>2029</v>
      </c>
      <c r="G116" s="77">
        <f>IFERROR(__xludf.DUMMYFUNCTION("""COMPUTED_VALUE"""),19.0)</f>
        <v>19</v>
      </c>
      <c r="H116" s="77">
        <f>IFERROR(__xludf.DUMMYFUNCTION("""COMPUTED_VALUE"""),26.0)</f>
        <v>26</v>
      </c>
      <c r="I116" s="77">
        <f>IFERROR(__xludf.DUMMYFUNCTION("""COMPUTED_VALUE"""),100.0)</f>
        <v>100</v>
      </c>
      <c r="J116" s="73"/>
      <c r="K116" s="73"/>
      <c r="L116" s="73"/>
      <c r="M116" s="77">
        <f>IFERROR(__xludf.DUMMYFUNCTION("""COMPUTED_VALUE"""),0.1)</f>
        <v>0.1</v>
      </c>
      <c r="N116" s="77">
        <f>IFERROR(__xludf.DUMMYFUNCTION("""COMPUTED_VALUE"""),1.0)</f>
        <v>1</v>
      </c>
      <c r="O116" s="49"/>
      <c r="P116" s="49" t="str">
        <f>IFERROR(__xludf.DUMMYFUNCTION("""COMPUTED_VALUE"""),"Offset")</f>
        <v>Offset</v>
      </c>
      <c r="Q116" s="49" t="str">
        <f>IFERROR(__xludf.DUMMYFUNCTION("""COMPUTED_VALUE"""),"Packaging")</f>
        <v>Packaging</v>
      </c>
      <c r="R116" s="49" t="str">
        <f>IFERROR(__xludf.DUMMYFUNCTION("""COMPUTED_VALUE"""),"Dhoop")</f>
        <v>Dhoop</v>
      </c>
    </row>
    <row r="117">
      <c r="A117" s="156" t="str">
        <f>IFERROR(__xludf.DUMMYFUNCTION("""COMPUTED_VALUE"""),"https://drive.google.com/open?id=1SMaW-SDPc-uH9b6W33r_sov9TOVWHQOr&amp;authuser=jay.agg%40gmail.com&amp;usp=drive_fs")</f>
        <v>https://drive.google.com/open?id=1SMaW-SDPc-uH9b6W33r_sov9TOVWHQOr&amp;authuser=jay.agg%40gmail.com&amp;usp=drive_fs</v>
      </c>
      <c r="B117" s="73" t="str">
        <f>IFERROR(__xludf.DUMMYFUNCTION("""COMPUTED_VALUE"""),"Agarbatti")</f>
        <v>Agarbatti</v>
      </c>
      <c r="C117" s="73" t="str">
        <f>IFERROR(__xludf.DUMMYFUNCTION("""COMPUTED_VALUE"""),"Single Box")</f>
        <v>Single Box</v>
      </c>
      <c r="D117" s="73" t="str">
        <f>IFERROR(__xludf.DUMMYFUNCTION("""COMPUTED_VALUE"""),"40*15*240 mm | 1.5*0.6*9.5 inch")</f>
        <v>40*15*240 mm | 1.5*0.6*9.5 inch</v>
      </c>
      <c r="E117" s="77">
        <f>IFERROR(__xludf.DUMMYFUNCTION("""COMPUTED_VALUE"""),8.0)</f>
        <v>8</v>
      </c>
      <c r="F117" s="77">
        <f>IFERROR(__xludf.DUMMYFUNCTION("""COMPUTED_VALUE"""),2029.0)</f>
        <v>2029</v>
      </c>
      <c r="G117" s="77">
        <f>IFERROR(__xludf.DUMMYFUNCTION("""COMPUTED_VALUE"""),19.5)</f>
        <v>19.5</v>
      </c>
      <c r="H117" s="77">
        <f>IFERROR(__xludf.DUMMYFUNCTION("""COMPUTED_VALUE"""),23.0)</f>
        <v>23</v>
      </c>
      <c r="I117" s="77">
        <f>IFERROR(__xludf.DUMMYFUNCTION("""COMPUTED_VALUE"""),100.0)</f>
        <v>100</v>
      </c>
      <c r="J117" s="73"/>
      <c r="K117" s="73"/>
      <c r="L117" s="73"/>
      <c r="M117" s="77">
        <f>IFERROR(__xludf.DUMMYFUNCTION("""COMPUTED_VALUE"""),0.1)</f>
        <v>0.1</v>
      </c>
      <c r="N117" s="77">
        <f>IFERROR(__xludf.DUMMYFUNCTION("""COMPUTED_VALUE"""),1.0)</f>
        <v>1</v>
      </c>
      <c r="O117" s="49"/>
      <c r="P117" s="49" t="str">
        <f>IFERROR(__xludf.DUMMYFUNCTION("""COMPUTED_VALUE"""),"Offset")</f>
        <v>Offset</v>
      </c>
      <c r="Q117" s="49" t="str">
        <f>IFERROR(__xludf.DUMMYFUNCTION("""COMPUTED_VALUE"""),"Packaging")</f>
        <v>Packaging</v>
      </c>
      <c r="R117" s="49" t="str">
        <f>IFERROR(__xludf.DUMMYFUNCTION("""COMPUTED_VALUE"""),"Agarbatti")</f>
        <v>Agarbatti</v>
      </c>
    </row>
    <row r="118">
      <c r="A118" s="156" t="str">
        <f>IFERROR(__xludf.DUMMYFUNCTION("""COMPUTED_VALUE"""),"https://drive.google.com/open?id=1SMcTAGbtRAzCc3Who4ruCrdkpKO5g719&amp;authuser=jay.agg%40gmail.com&amp;usp=drive_fs")</f>
        <v>https://drive.google.com/open?id=1SMcTAGbtRAzCc3Who4ruCrdkpKO5g719&amp;authuser=jay.agg%40gmail.com&amp;usp=drive_fs</v>
      </c>
      <c r="B118" s="73" t="str">
        <f>IFERROR(__xludf.DUMMYFUNCTION("""COMPUTED_VALUE"""),"Agarbatti")</f>
        <v>Agarbatti</v>
      </c>
      <c r="C118" s="73" t="str">
        <f>IFERROR(__xludf.DUMMYFUNCTION("""COMPUTED_VALUE"""),"Single Box")</f>
        <v>Single Box</v>
      </c>
      <c r="D118" s="73" t="str">
        <f>IFERROR(__xludf.DUMMYFUNCTION("""COMPUTED_VALUE"""),"70*30*260 mm | 2.75*1.2*10.2 inch")</f>
        <v>70*30*260 mm | 2.75*1.2*10.2 inch</v>
      </c>
      <c r="E118" s="77">
        <f>IFERROR(__xludf.DUMMYFUNCTION("""COMPUTED_VALUE"""),4.0)</f>
        <v>4</v>
      </c>
      <c r="F118" s="77">
        <f>IFERROR(__xludf.DUMMYFUNCTION("""COMPUTED_VALUE"""),2029.0)</f>
        <v>2029</v>
      </c>
      <c r="G118" s="77">
        <f>IFERROR(__xludf.DUMMYFUNCTION("""COMPUTED_VALUE"""),19.0)</f>
        <v>19</v>
      </c>
      <c r="H118" s="77">
        <f>IFERROR(__xludf.DUMMYFUNCTION("""COMPUTED_VALUE"""),26.0)</f>
        <v>26</v>
      </c>
      <c r="I118" s="77">
        <f>IFERROR(__xludf.DUMMYFUNCTION("""COMPUTED_VALUE"""),100.0)</f>
        <v>100</v>
      </c>
      <c r="J118" s="73"/>
      <c r="K118" s="73"/>
      <c r="L118" s="73"/>
      <c r="M118" s="77">
        <f>IFERROR(__xludf.DUMMYFUNCTION("""COMPUTED_VALUE"""),0.1)</f>
        <v>0.1</v>
      </c>
      <c r="N118" s="77">
        <f>IFERROR(__xludf.DUMMYFUNCTION("""COMPUTED_VALUE"""),1.0)</f>
        <v>1</v>
      </c>
      <c r="O118" s="49"/>
      <c r="P118" s="49" t="str">
        <f>IFERROR(__xludf.DUMMYFUNCTION("""COMPUTED_VALUE"""),"Offset")</f>
        <v>Offset</v>
      </c>
      <c r="Q118" s="49" t="str">
        <f>IFERROR(__xludf.DUMMYFUNCTION("""COMPUTED_VALUE"""),"Packaging")</f>
        <v>Packaging</v>
      </c>
      <c r="R118" s="49" t="str">
        <f>IFERROR(__xludf.DUMMYFUNCTION("""COMPUTED_VALUE"""),"Agarbatti")</f>
        <v>Agarbatti</v>
      </c>
    </row>
    <row r="119">
      <c r="A119" s="156" t="str">
        <f>IFERROR(__xludf.DUMMYFUNCTION("""COMPUTED_VALUE"""),"https://drive.google.com/open?id=1eKVzyCDvBnoZBqvIN6bCkPCXBLjMkFKE&amp;authuser=jay.agg%40gmail.com&amp;usp=drive_fs")</f>
        <v>https://drive.google.com/open?id=1eKVzyCDvBnoZBqvIN6bCkPCXBLjMkFKE&amp;authuser=jay.agg%40gmail.com&amp;usp=drive_fs</v>
      </c>
      <c r="B119" s="73" t="str">
        <f>IFERROR(__xludf.DUMMYFUNCTION("""COMPUTED_VALUE"""),"Agarbatti")</f>
        <v>Agarbatti</v>
      </c>
      <c r="C119" s="73" t="str">
        <f>IFERROR(__xludf.DUMMYFUNCTION("""COMPUTED_VALUE"""),"Single Box")</f>
        <v>Single Box</v>
      </c>
      <c r="D119" s="73" t="str">
        <f>IFERROR(__xludf.DUMMYFUNCTION("""COMPUTED_VALUE"""),"65*40*350 mm | 2.5*1.5*13.8 inch")</f>
        <v>65*40*350 mm | 2.5*1.5*13.8 inch</v>
      </c>
      <c r="E119" s="77">
        <f>IFERROR(__xludf.DUMMYFUNCTION("""COMPUTED_VALUE"""),2.0)</f>
        <v>2</v>
      </c>
      <c r="F119" s="77">
        <f>IFERROR(__xludf.DUMMYFUNCTION("""COMPUTED_VALUE"""),1926.0)</f>
        <v>1926</v>
      </c>
      <c r="G119" s="77">
        <f>IFERROR(__xludf.DUMMYFUNCTION("""COMPUTED_VALUE"""),20.0)</f>
        <v>20</v>
      </c>
      <c r="H119" s="77">
        <f>IFERROR(__xludf.DUMMYFUNCTION("""COMPUTED_VALUE"""),21.0)</f>
        <v>21</v>
      </c>
      <c r="I119" s="77">
        <f>IFERROR(__xludf.DUMMYFUNCTION("""COMPUTED_VALUE"""),100.0)</f>
        <v>100</v>
      </c>
      <c r="J119" s="73"/>
      <c r="K119" s="73"/>
      <c r="L119" s="73"/>
      <c r="M119" s="77">
        <f>IFERROR(__xludf.DUMMYFUNCTION("""COMPUTED_VALUE"""),0.1)</f>
        <v>0.1</v>
      </c>
      <c r="N119" s="77">
        <f>IFERROR(__xludf.DUMMYFUNCTION("""COMPUTED_VALUE"""),1.0)</f>
        <v>1</v>
      </c>
      <c r="O119" s="49"/>
      <c r="P119" s="49" t="str">
        <f>IFERROR(__xludf.DUMMYFUNCTION("""COMPUTED_VALUE"""),"Offset")</f>
        <v>Offset</v>
      </c>
      <c r="Q119" s="49" t="str">
        <f>IFERROR(__xludf.DUMMYFUNCTION("""COMPUTED_VALUE"""),"Packaging")</f>
        <v>Packaging</v>
      </c>
      <c r="R119" s="49" t="str">
        <f>IFERROR(__xludf.DUMMYFUNCTION("""COMPUTED_VALUE"""),"Agarbatti")</f>
        <v>Agarbatti</v>
      </c>
    </row>
    <row r="120">
      <c r="A120" s="156" t="str">
        <f>IFERROR(__xludf.DUMMYFUNCTION("""COMPUTED_VALUE"""),"https://drive.google.com/open?id=1f76ufCIKWq2jDPAuOc6GZSowe1tuE3R9&amp;authuser=jay.agg%40gmail.com&amp;usp=drive_fs")</f>
        <v>https://drive.google.com/open?id=1f76ufCIKWq2jDPAuOc6GZSowe1tuE3R9&amp;authuser=jay.agg%40gmail.com&amp;usp=drive_fs</v>
      </c>
      <c r="B120" s="73" t="str">
        <f>IFERROR(__xludf.DUMMYFUNCTION("""COMPUTED_VALUE"""),"Dhoop")</f>
        <v>Dhoop</v>
      </c>
      <c r="C120" s="73" t="str">
        <f>IFERROR(__xludf.DUMMYFUNCTION("""COMPUTED_VALUE"""),"Single Box")</f>
        <v>Single Box</v>
      </c>
      <c r="D120" s="73" t="str">
        <f>IFERROR(__xludf.DUMMYFUNCTION("""COMPUTED_VALUE"""),"83*25*70 mm | 3.2*1*2.7 inch")</f>
        <v>83*25*70 mm | 3.2*1*2.7 inch</v>
      </c>
      <c r="E120" s="77">
        <f>IFERROR(__xludf.DUMMYFUNCTION("""COMPUTED_VALUE"""),10.0)</f>
        <v>10</v>
      </c>
      <c r="F120" s="77">
        <f>IFERROR(__xludf.DUMMYFUNCTION("""COMPUTED_VALUE"""),1926.0)</f>
        <v>1926</v>
      </c>
      <c r="G120" s="77">
        <f>IFERROR(__xludf.DUMMYFUNCTION("""COMPUTED_VALUE"""),18.0)</f>
        <v>18</v>
      </c>
      <c r="H120" s="77">
        <f>IFERROR(__xludf.DUMMYFUNCTION("""COMPUTED_VALUE"""),23.0)</f>
        <v>23</v>
      </c>
      <c r="I120" s="77">
        <f>IFERROR(__xludf.DUMMYFUNCTION("""COMPUTED_VALUE"""),100.0)</f>
        <v>100</v>
      </c>
      <c r="J120" s="73"/>
      <c r="K120" s="73"/>
      <c r="L120" s="73"/>
      <c r="M120" s="77">
        <f>IFERROR(__xludf.DUMMYFUNCTION("""COMPUTED_VALUE"""),0.1)</f>
        <v>0.1</v>
      </c>
      <c r="N120" s="77">
        <f>IFERROR(__xludf.DUMMYFUNCTION("""COMPUTED_VALUE"""),1.0)</f>
        <v>1</v>
      </c>
      <c r="O120" s="49"/>
      <c r="P120" s="49" t="str">
        <f>IFERROR(__xludf.DUMMYFUNCTION("""COMPUTED_VALUE"""),"Offset")</f>
        <v>Offset</v>
      </c>
      <c r="Q120" s="49" t="str">
        <f>IFERROR(__xludf.DUMMYFUNCTION("""COMPUTED_VALUE"""),"Packaging")</f>
        <v>Packaging</v>
      </c>
      <c r="R120" s="49" t="str">
        <f>IFERROR(__xludf.DUMMYFUNCTION("""COMPUTED_VALUE"""),"Dhoop")</f>
        <v>Dhoop</v>
      </c>
    </row>
    <row r="121">
      <c r="A121" s="156" t="str">
        <f>IFERROR(__xludf.DUMMYFUNCTION("""COMPUTED_VALUE"""),"https://drive.google.com/open?id=1fPDHSEEgxm6cu__iL1BiCDwBTJMULsl5&amp;authuser=jay.agg%40gmail.com&amp;usp=drive_fs")</f>
        <v>https://drive.google.com/open?id=1fPDHSEEgxm6cu__iL1BiCDwBTJMULsl5&amp;authuser=jay.agg%40gmail.com&amp;usp=drive_fs</v>
      </c>
      <c r="B121" s="73" t="str">
        <f>IFERROR(__xludf.DUMMYFUNCTION("""COMPUTED_VALUE"""),"Agarbatti")</f>
        <v>Agarbatti</v>
      </c>
      <c r="C121" s="73" t="str">
        <f>IFERROR(__xludf.DUMMYFUNCTION("""COMPUTED_VALUE"""),"Outer")</f>
        <v>Outer</v>
      </c>
      <c r="D121" s="73" t="str">
        <f>IFERROR(__xludf.DUMMYFUNCTION("""COMPUTED_VALUE""")," 6 Box 76*25*241 | 3*1*9.5 inch")</f>
        <v> 6 Box 76*25*241 | 3*1*9.5 inch</v>
      </c>
      <c r="E121" s="77">
        <f>IFERROR(__xludf.DUMMYFUNCTION("""COMPUTED_VALUE"""),1.0)</f>
        <v>1</v>
      </c>
      <c r="F121" s="77">
        <f>IFERROR(__xludf.DUMMYFUNCTION("""COMPUTED_VALUE"""),1926.0)</f>
        <v>1926</v>
      </c>
      <c r="G121" s="77">
        <f>IFERROR(__xludf.DUMMYFUNCTION("""COMPUTED_VALUE"""),15.75)</f>
        <v>15.75</v>
      </c>
      <c r="H121" s="77">
        <f>IFERROR(__xludf.DUMMYFUNCTION("""COMPUTED_VALUE"""),20.75)</f>
        <v>20.75</v>
      </c>
      <c r="I121" s="77">
        <f>IFERROR(__xludf.DUMMYFUNCTION("""COMPUTED_VALUE"""),100.0)</f>
        <v>100</v>
      </c>
      <c r="J121" s="73"/>
      <c r="K121" s="73"/>
      <c r="L121" s="73"/>
      <c r="M121" s="77">
        <f>IFERROR(__xludf.DUMMYFUNCTION("""COMPUTED_VALUE"""),0.1)</f>
        <v>0.1</v>
      </c>
      <c r="N121" s="77">
        <f>IFERROR(__xludf.DUMMYFUNCTION("""COMPUTED_VALUE"""),1.0)</f>
        <v>1</v>
      </c>
      <c r="O121" s="49"/>
      <c r="P121" s="49" t="str">
        <f>IFERROR(__xludf.DUMMYFUNCTION("""COMPUTED_VALUE"""),"Offset")</f>
        <v>Offset</v>
      </c>
      <c r="Q121" s="49" t="str">
        <f>IFERROR(__xludf.DUMMYFUNCTION("""COMPUTED_VALUE"""),"Packaging")</f>
        <v>Packaging</v>
      </c>
      <c r="R121" s="49" t="str">
        <f>IFERROR(__xludf.DUMMYFUNCTION("""COMPUTED_VALUE"""),"Agarbatti")</f>
        <v>Agarbatti</v>
      </c>
    </row>
    <row r="122">
      <c r="A122" s="156" t="str">
        <f>IFERROR(__xludf.DUMMYFUNCTION("""COMPUTED_VALUE"""),"https://drive.google.com/open?id=1fR6qIMQtWiERHUaNJL37KgKJW7ZR7dqd&amp;authuser=jay.agg%40gmail.com&amp;usp=drive_fs")</f>
        <v>https://drive.google.com/open?id=1fR6qIMQtWiERHUaNJL37KgKJW7ZR7dqd&amp;authuser=jay.agg%40gmail.com&amp;usp=drive_fs</v>
      </c>
      <c r="B122" s="73" t="str">
        <f>IFERROR(__xludf.DUMMYFUNCTION("""COMPUTED_VALUE"""),"Agarbatti")</f>
        <v>Agarbatti</v>
      </c>
      <c r="C122" s="73" t="str">
        <f>IFERROR(__xludf.DUMMYFUNCTION("""COMPUTED_VALUE"""),"Outer")</f>
        <v>Outer</v>
      </c>
      <c r="D122" s="73" t="str">
        <f>IFERROR(__xludf.DUMMYFUNCTION("""COMPUTED_VALUE"""),"12 Box 56*12.7*241 mm | 2.2*0.5*9.5 inch")</f>
        <v>12 Box 56*12.7*241 mm | 2.2*0.5*9.5 inch</v>
      </c>
      <c r="E122" s="77">
        <f>IFERROR(__xludf.DUMMYFUNCTION("""COMPUTED_VALUE"""),1.0)</f>
        <v>1</v>
      </c>
      <c r="F122" s="77">
        <f>IFERROR(__xludf.DUMMYFUNCTION("""COMPUTED_VALUE"""),1926.0)</f>
        <v>1926</v>
      </c>
      <c r="G122" s="77">
        <f>IFERROR(__xludf.DUMMYFUNCTION("""COMPUTED_VALUE"""),18.0)</f>
        <v>18</v>
      </c>
      <c r="H122" s="77">
        <f>IFERROR(__xludf.DUMMYFUNCTION("""COMPUTED_VALUE"""),19.0)</f>
        <v>19</v>
      </c>
      <c r="I122" s="77">
        <f>IFERROR(__xludf.DUMMYFUNCTION("""COMPUTED_VALUE"""),100.0)</f>
        <v>100</v>
      </c>
      <c r="J122" s="73"/>
      <c r="K122" s="73"/>
      <c r="L122" s="73"/>
      <c r="M122" s="77">
        <f>IFERROR(__xludf.DUMMYFUNCTION("""COMPUTED_VALUE"""),0.1)</f>
        <v>0.1</v>
      </c>
      <c r="N122" s="77">
        <f>IFERROR(__xludf.DUMMYFUNCTION("""COMPUTED_VALUE"""),1.0)</f>
        <v>1</v>
      </c>
      <c r="O122" s="49"/>
      <c r="P122" s="49" t="str">
        <f>IFERROR(__xludf.DUMMYFUNCTION("""COMPUTED_VALUE"""),"Offset")</f>
        <v>Offset</v>
      </c>
      <c r="Q122" s="49" t="str">
        <f>IFERROR(__xludf.DUMMYFUNCTION("""COMPUTED_VALUE"""),"Packaging")</f>
        <v>Packaging</v>
      </c>
      <c r="R122" s="49" t="str">
        <f>IFERROR(__xludf.DUMMYFUNCTION("""COMPUTED_VALUE"""),"Agarbatti")</f>
        <v>Agarbatti</v>
      </c>
    </row>
    <row r="123">
      <c r="A123" s="156" t="str">
        <f>IFERROR(__xludf.DUMMYFUNCTION("""COMPUTED_VALUE"""),"https://drive.google.com/open?id=1imODLTlxrS6O93vaoqMeHcu84F3vIJ63&amp;authuser=jay.agg%40gmail.com&amp;usp=drive_fs")</f>
        <v>https://drive.google.com/open?id=1imODLTlxrS6O93vaoqMeHcu84F3vIJ63&amp;authuser=jay.agg%40gmail.com&amp;usp=drive_fs</v>
      </c>
      <c r="B123" s="73" t="str">
        <f>IFERROR(__xludf.DUMMYFUNCTION("""COMPUTED_VALUE"""),"Dhoop")</f>
        <v>Dhoop</v>
      </c>
      <c r="C123" s="73" t="str">
        <f>IFERROR(__xludf.DUMMYFUNCTION("""COMPUTED_VALUE"""),"Outer")</f>
        <v>Outer</v>
      </c>
      <c r="D123" s="73" t="str">
        <f>IFERROR(__xludf.DUMMYFUNCTION("""COMPUTED_VALUE"""),"12 Box 83*25*70 mm | 3.2*1*2.7 inch")</f>
        <v>12 Box 83*25*70 mm | 3.2*1*2.7 inch</v>
      </c>
      <c r="E123" s="77">
        <f>IFERROR(__xludf.DUMMYFUNCTION("""COMPUTED_VALUE"""),1.0)</f>
        <v>1</v>
      </c>
      <c r="F123" s="77">
        <f>IFERROR(__xludf.DUMMYFUNCTION("""COMPUTED_VALUE"""),1926.0)</f>
        <v>1926</v>
      </c>
      <c r="G123" s="77">
        <f>IFERROR(__xludf.DUMMYFUNCTION("""COMPUTED_VALUE"""),14.0)</f>
        <v>14</v>
      </c>
      <c r="H123" s="77">
        <f>IFERROR(__xludf.DUMMYFUNCTION("""COMPUTED_VALUE"""),22.0)</f>
        <v>22</v>
      </c>
      <c r="I123" s="77">
        <f>IFERROR(__xludf.DUMMYFUNCTION("""COMPUTED_VALUE"""),100.0)</f>
        <v>100</v>
      </c>
      <c r="J123" s="73"/>
      <c r="K123" s="73"/>
      <c r="L123" s="73"/>
      <c r="M123" s="77">
        <f>IFERROR(__xludf.DUMMYFUNCTION("""COMPUTED_VALUE"""),0.1)</f>
        <v>0.1</v>
      </c>
      <c r="N123" s="77">
        <f>IFERROR(__xludf.DUMMYFUNCTION("""COMPUTED_VALUE"""),1.0)</f>
        <v>1</v>
      </c>
      <c r="O123" s="49"/>
      <c r="P123" s="49" t="str">
        <f>IFERROR(__xludf.DUMMYFUNCTION("""COMPUTED_VALUE"""),"Offset")</f>
        <v>Offset</v>
      </c>
      <c r="Q123" s="49" t="str">
        <f>IFERROR(__xludf.DUMMYFUNCTION("""COMPUTED_VALUE"""),"Packaging")</f>
        <v>Packaging</v>
      </c>
      <c r="R123" s="49" t="str">
        <f>IFERROR(__xludf.DUMMYFUNCTION("""COMPUTED_VALUE"""),"Dhoop")</f>
        <v>Dhoop</v>
      </c>
    </row>
    <row r="124">
      <c r="A124" s="156" t="str">
        <f>IFERROR(__xludf.DUMMYFUNCTION("""COMPUTED_VALUE"""),"https://drive.google.com/open?id=1A6tNz8-oPdOBSOzxVrN4BfyTwlB7jFyr&amp;authuser=jay.agg%40gmail.com&amp;usp=drive_fs")</f>
        <v>https://drive.google.com/open?id=1A6tNz8-oPdOBSOzxVrN4BfyTwlB7jFyr&amp;authuser=jay.agg%40gmail.com&amp;usp=drive_fs</v>
      </c>
      <c r="B124" s="73" t="str">
        <f>IFERROR(__xludf.DUMMYFUNCTION("""COMPUTED_VALUE"""),"Dhoop")</f>
        <v>Dhoop</v>
      </c>
      <c r="C124" s="73" t="str">
        <f>IFERROR(__xludf.DUMMYFUNCTION("""COMPUTED_VALUE"""),"Single Box")</f>
        <v>Single Box</v>
      </c>
      <c r="D124" s="73" t="str">
        <f>IFERROR(__xludf.DUMMYFUNCTION("""COMPUTED_VALUE"""),"64*24*110 mm | 2.5*1*4.3 inch")</f>
        <v>64*24*110 mm | 2.5*1*4.3 inch</v>
      </c>
      <c r="E124" s="77">
        <f>IFERROR(__xludf.DUMMYFUNCTION("""COMPUTED_VALUE"""),12.0)</f>
        <v>12</v>
      </c>
      <c r="F124" s="77">
        <f>IFERROR(__xludf.DUMMYFUNCTION("""COMPUTED_VALUE"""),1926.0)</f>
        <v>1926</v>
      </c>
      <c r="G124" s="77">
        <f>IFERROR(__xludf.DUMMYFUNCTION("""COMPUTED_VALUE"""),15.0)</f>
        <v>15</v>
      </c>
      <c r="H124" s="77">
        <f>IFERROR(__xludf.DUMMYFUNCTION("""COMPUTED_VALUE"""),25.0)</f>
        <v>25</v>
      </c>
      <c r="I124" s="77">
        <f>IFERROR(__xludf.DUMMYFUNCTION("""COMPUTED_VALUE"""),100.0)</f>
        <v>100</v>
      </c>
      <c r="J124" s="73"/>
      <c r="K124" s="73"/>
      <c r="L124" s="73"/>
      <c r="M124" s="77">
        <f>IFERROR(__xludf.DUMMYFUNCTION("""COMPUTED_VALUE"""),0.1)</f>
        <v>0.1</v>
      </c>
      <c r="N124" s="77">
        <f>IFERROR(__xludf.DUMMYFUNCTION("""COMPUTED_VALUE"""),1.0)</f>
        <v>1</v>
      </c>
      <c r="O124" s="49"/>
      <c r="P124" s="49" t="str">
        <f>IFERROR(__xludf.DUMMYFUNCTION("""COMPUTED_VALUE"""),"Offset")</f>
        <v>Offset</v>
      </c>
      <c r="Q124" s="49" t="str">
        <f>IFERROR(__xludf.DUMMYFUNCTION("""COMPUTED_VALUE"""),"Packaging")</f>
        <v>Packaging</v>
      </c>
      <c r="R124" s="49" t="str">
        <f>IFERROR(__xludf.DUMMYFUNCTION("""COMPUTED_VALUE"""),"Dhoop")</f>
        <v>Dhoop</v>
      </c>
    </row>
    <row r="125">
      <c r="A125" s="156" t="str">
        <f>IFERROR(__xludf.DUMMYFUNCTION("""COMPUTED_VALUE"""),"https://drive.google.com/open?id=1A8lyyuemJZsn0FYQHlZFBYVy2dynzMEr&amp;authuser=jay.agg%40gmail.com&amp;usp=drive_fs")</f>
        <v>https://drive.google.com/open?id=1A8lyyuemJZsn0FYQHlZFBYVy2dynzMEr&amp;authuser=jay.agg%40gmail.com&amp;usp=drive_fs</v>
      </c>
      <c r="B125" s="73" t="str">
        <f>IFERROR(__xludf.DUMMYFUNCTION("""COMPUTED_VALUE"""),"Dhoop")</f>
        <v>Dhoop</v>
      </c>
      <c r="C125" s="73" t="str">
        <f>IFERROR(__xludf.DUMMYFUNCTION("""COMPUTED_VALUE"""),"Single Box")</f>
        <v>Single Box</v>
      </c>
      <c r="D125" s="73" t="str">
        <f>IFERROR(__xludf.DUMMYFUNCTION("""COMPUTED_VALUE"""),"60*15*100 mm | 2.3*0.6*4 inch")</f>
        <v>60*15*100 mm | 2.3*0.6*4 inch</v>
      </c>
      <c r="E125" s="77">
        <f>IFERROR(__xludf.DUMMYFUNCTION("""COMPUTED_VALUE"""),12.0)</f>
        <v>12</v>
      </c>
      <c r="F125" s="77">
        <f>IFERROR(__xludf.DUMMYFUNCTION("""COMPUTED_VALUE"""),1926.0)</f>
        <v>1926</v>
      </c>
      <c r="G125" s="77">
        <f>IFERROR(__xludf.DUMMYFUNCTION("""COMPUTED_VALUE"""),19.0)</f>
        <v>19</v>
      </c>
      <c r="H125" s="77">
        <f>IFERROR(__xludf.DUMMYFUNCTION("""COMPUTED_VALUE"""),26.0)</f>
        <v>26</v>
      </c>
      <c r="I125" s="77">
        <f>IFERROR(__xludf.DUMMYFUNCTION("""COMPUTED_VALUE"""),100.0)</f>
        <v>100</v>
      </c>
      <c r="J125" s="73"/>
      <c r="K125" s="73"/>
      <c r="L125" s="73"/>
      <c r="M125" s="77">
        <f>IFERROR(__xludf.DUMMYFUNCTION("""COMPUTED_VALUE"""),0.1)</f>
        <v>0.1</v>
      </c>
      <c r="N125" s="77">
        <f>IFERROR(__xludf.DUMMYFUNCTION("""COMPUTED_VALUE"""),1.0)</f>
        <v>1</v>
      </c>
      <c r="O125" s="49"/>
      <c r="P125" s="49" t="str">
        <f>IFERROR(__xludf.DUMMYFUNCTION("""COMPUTED_VALUE"""),"Offset")</f>
        <v>Offset</v>
      </c>
      <c r="Q125" s="49" t="str">
        <f>IFERROR(__xludf.DUMMYFUNCTION("""COMPUTED_VALUE"""),"Packaging")</f>
        <v>Packaging</v>
      </c>
      <c r="R125" s="49" t="str">
        <f>IFERROR(__xludf.DUMMYFUNCTION("""COMPUTED_VALUE"""),"Dhoop")</f>
        <v>Dhoop</v>
      </c>
    </row>
    <row r="126">
      <c r="A126" s="156" t="str">
        <f>IFERROR(__xludf.DUMMYFUNCTION("""COMPUTED_VALUE"""),"https://drive.google.com/open?id=1AAyR2gvLloT_O4mbMGIKW4_90oGPj-fn&amp;authuser=jay.agg%40gmail.com&amp;usp=drive_fs")</f>
        <v>https://drive.google.com/open?id=1AAyR2gvLloT_O4mbMGIKW4_90oGPj-fn&amp;authuser=jay.agg%40gmail.com&amp;usp=drive_fs</v>
      </c>
      <c r="B126" s="73" t="str">
        <f>IFERROR(__xludf.DUMMYFUNCTION("""COMPUTED_VALUE"""),"Agarbatti")</f>
        <v>Agarbatti</v>
      </c>
      <c r="C126" s="73" t="str">
        <f>IFERROR(__xludf.DUMMYFUNCTION("""COMPUTED_VALUE"""),"Single Box")</f>
        <v>Single Box</v>
      </c>
      <c r="D126" s="73" t="str">
        <f>IFERROR(__xludf.DUMMYFUNCTION("""COMPUTED_VALUE"""),"33*33*217 mm | 1.3*1.3*8.5 inch")</f>
        <v>33*33*217 mm | 1.3*1.3*8.5 inch</v>
      </c>
      <c r="E126" s="77">
        <f>IFERROR(__xludf.DUMMYFUNCTION("""COMPUTED_VALUE"""),6.0)</f>
        <v>6</v>
      </c>
      <c r="F126" s="77">
        <f>IFERROR(__xludf.DUMMYFUNCTION("""COMPUTED_VALUE"""),1926.0)</f>
        <v>1926</v>
      </c>
      <c r="G126" s="77">
        <f>IFERROR(__xludf.DUMMYFUNCTION("""COMPUTED_VALUE"""),18.0)</f>
        <v>18</v>
      </c>
      <c r="H126" s="77">
        <f>IFERROR(__xludf.DUMMYFUNCTION("""COMPUTED_VALUE"""),23.0)</f>
        <v>23</v>
      </c>
      <c r="I126" s="77">
        <f>IFERROR(__xludf.DUMMYFUNCTION("""COMPUTED_VALUE"""),100.0)</f>
        <v>100</v>
      </c>
      <c r="J126" s="73"/>
      <c r="K126" s="73"/>
      <c r="L126" s="73"/>
      <c r="M126" s="77">
        <f>IFERROR(__xludf.DUMMYFUNCTION("""COMPUTED_VALUE"""),0.1)</f>
        <v>0.1</v>
      </c>
      <c r="N126" s="77">
        <f>IFERROR(__xludf.DUMMYFUNCTION("""COMPUTED_VALUE"""),1.0)</f>
        <v>1</v>
      </c>
      <c r="O126" s="49"/>
      <c r="P126" s="49" t="str">
        <f>IFERROR(__xludf.DUMMYFUNCTION("""COMPUTED_VALUE"""),"Offset")</f>
        <v>Offset</v>
      </c>
      <c r="Q126" s="49" t="str">
        <f>IFERROR(__xludf.DUMMYFUNCTION("""COMPUTED_VALUE"""),"Packaging")</f>
        <v>Packaging</v>
      </c>
      <c r="R126" s="49" t="str">
        <f>IFERROR(__xludf.DUMMYFUNCTION("""COMPUTED_VALUE"""),"Agarbatti")</f>
        <v>Agarbatti</v>
      </c>
    </row>
    <row r="127">
      <c r="A127" s="156" t="str">
        <f>IFERROR(__xludf.DUMMYFUNCTION("""COMPUTED_VALUE"""),"https://drive.google.com/open?id=1Bh5ohrNIS0PCZEcxiPwUNrE5QjLBXnpq&amp;authuser=jay.agg%40gmail.com&amp;usp=drive_fs")</f>
        <v>https://drive.google.com/open?id=1Bh5ohrNIS0PCZEcxiPwUNrE5QjLBXnpq&amp;authuser=jay.agg%40gmail.com&amp;usp=drive_fs</v>
      </c>
      <c r="B127" s="73" t="str">
        <f>IFERROR(__xludf.DUMMYFUNCTION("""COMPUTED_VALUE"""),"Dhoop")</f>
        <v>Dhoop</v>
      </c>
      <c r="C127" s="73" t="str">
        <f>IFERROR(__xludf.DUMMYFUNCTION("""COMPUTED_VALUE"""),"Single Box")</f>
        <v>Single Box</v>
      </c>
      <c r="D127" s="73" t="str">
        <f>IFERROR(__xludf.DUMMYFUNCTION("""COMPUTED_VALUE"""),"68*25*102 mm | 2.7*1*4 inch")</f>
        <v>68*25*102 mm | 2.7*1*4 inch</v>
      </c>
      <c r="E127" s="77">
        <f>IFERROR(__xludf.DUMMYFUNCTION("""COMPUTED_VALUE"""),9.0)</f>
        <v>9</v>
      </c>
      <c r="F127" s="77">
        <f>IFERROR(__xludf.DUMMYFUNCTION("""COMPUTED_VALUE"""),1926.0)</f>
        <v>1926</v>
      </c>
      <c r="G127" s="77">
        <f>IFERROR(__xludf.DUMMYFUNCTION("""COMPUTED_VALUE"""),19.0)</f>
        <v>19</v>
      </c>
      <c r="H127" s="77">
        <f>IFERROR(__xludf.DUMMYFUNCTION("""COMPUTED_VALUE"""),26.0)</f>
        <v>26</v>
      </c>
      <c r="I127" s="77">
        <f>IFERROR(__xludf.DUMMYFUNCTION("""COMPUTED_VALUE"""),100.0)</f>
        <v>100</v>
      </c>
      <c r="J127" s="73"/>
      <c r="K127" s="73"/>
      <c r="L127" s="73"/>
      <c r="M127" s="77">
        <f>IFERROR(__xludf.DUMMYFUNCTION("""COMPUTED_VALUE"""),0.1)</f>
        <v>0.1</v>
      </c>
      <c r="N127" s="77">
        <f>IFERROR(__xludf.DUMMYFUNCTION("""COMPUTED_VALUE"""),1.0)</f>
        <v>1</v>
      </c>
      <c r="O127" s="49"/>
      <c r="P127" s="49" t="str">
        <f>IFERROR(__xludf.DUMMYFUNCTION("""COMPUTED_VALUE"""),"Offset")</f>
        <v>Offset</v>
      </c>
      <c r="Q127" s="49" t="str">
        <f>IFERROR(__xludf.DUMMYFUNCTION("""COMPUTED_VALUE"""),"Packaging")</f>
        <v>Packaging</v>
      </c>
      <c r="R127" s="49" t="str">
        <f>IFERROR(__xludf.DUMMYFUNCTION("""COMPUTED_VALUE"""),"Dhoop")</f>
        <v>Dhoop</v>
      </c>
    </row>
    <row r="128">
      <c r="A128" s="156" t="str">
        <f>IFERROR(__xludf.DUMMYFUNCTION("""COMPUTED_VALUE"""),"https://drive.google.com/open?id=1BjCNakaAKYzXSOcZRrei5FMc1ytwRK12&amp;authuser=jay.agg%40gmail.com&amp;usp=drive_fs")</f>
        <v>https://drive.google.com/open?id=1BjCNakaAKYzXSOcZRrei5FMc1ytwRK12&amp;authuser=jay.agg%40gmail.com&amp;usp=drive_fs</v>
      </c>
      <c r="B128" s="73" t="str">
        <f>IFERROR(__xludf.DUMMYFUNCTION("""COMPUTED_VALUE"""),"Dhoop")</f>
        <v>Dhoop</v>
      </c>
      <c r="C128" s="73" t="str">
        <f>IFERROR(__xludf.DUMMYFUNCTION("""COMPUTED_VALUE"""),"Single Box")</f>
        <v>Single Box</v>
      </c>
      <c r="D128" s="73" t="str">
        <f>IFERROR(__xludf.DUMMYFUNCTION("""COMPUTED_VALUE"""),"51*19*76 mm | 2*0.7*3 inch")</f>
        <v>51*19*76 mm | 2*0.7*3 inch</v>
      </c>
      <c r="E128" s="77">
        <f>IFERROR(__xludf.DUMMYFUNCTION("""COMPUTED_VALUE"""),16.0)</f>
        <v>16</v>
      </c>
      <c r="F128" s="77">
        <f>IFERROR(__xludf.DUMMYFUNCTION("""COMPUTED_VALUE"""),1926.0)</f>
        <v>1926</v>
      </c>
      <c r="G128" s="77">
        <f>IFERROR(__xludf.DUMMYFUNCTION("""COMPUTED_VALUE"""),19.0)</f>
        <v>19</v>
      </c>
      <c r="H128" s="77">
        <f>IFERROR(__xludf.DUMMYFUNCTION("""COMPUTED_VALUE"""),26.0)</f>
        <v>26</v>
      </c>
      <c r="I128" s="77">
        <f>IFERROR(__xludf.DUMMYFUNCTION("""COMPUTED_VALUE"""),100.0)</f>
        <v>100</v>
      </c>
      <c r="J128" s="73"/>
      <c r="K128" s="73"/>
      <c r="L128" s="73"/>
      <c r="M128" s="77">
        <f>IFERROR(__xludf.DUMMYFUNCTION("""COMPUTED_VALUE"""),0.1)</f>
        <v>0.1</v>
      </c>
      <c r="N128" s="77">
        <f>IFERROR(__xludf.DUMMYFUNCTION("""COMPUTED_VALUE"""),1.0)</f>
        <v>1</v>
      </c>
      <c r="O128" s="49"/>
      <c r="P128" s="49" t="str">
        <f>IFERROR(__xludf.DUMMYFUNCTION("""COMPUTED_VALUE"""),"Offset")</f>
        <v>Offset</v>
      </c>
      <c r="Q128" s="49" t="str">
        <f>IFERROR(__xludf.DUMMYFUNCTION("""COMPUTED_VALUE"""),"Packaging")</f>
        <v>Packaging</v>
      </c>
      <c r="R128" s="49" t="str">
        <f>IFERROR(__xludf.DUMMYFUNCTION("""COMPUTED_VALUE"""),"Dhoop")</f>
        <v>Dhoop</v>
      </c>
    </row>
    <row r="129">
      <c r="A129" s="156" t="str">
        <f>IFERROR(__xludf.DUMMYFUNCTION("""COMPUTED_VALUE"""),"https://drive.google.com/open?id=103HtRAhuWwotV7x4Ki1hOiKuQkbVHviP&amp;authuser=jay.agg%40gmail.com&amp;usp=drive_fs")</f>
        <v>https://drive.google.com/open?id=103HtRAhuWwotV7x4Ki1hOiKuQkbVHviP&amp;authuser=jay.agg%40gmail.com&amp;usp=drive_fs</v>
      </c>
      <c r="B129" s="73" t="str">
        <f>IFERROR(__xludf.DUMMYFUNCTION("""COMPUTED_VALUE"""),"Agarbatti")</f>
        <v>Agarbatti</v>
      </c>
      <c r="C129" s="73" t="str">
        <f>IFERROR(__xludf.DUMMYFUNCTION("""COMPUTED_VALUE"""),"Single Box")</f>
        <v>Single Box</v>
      </c>
      <c r="D129" s="73" t="str">
        <f>IFERROR(__xludf.DUMMYFUNCTION("""COMPUTED_VALUE"""),"80*15*265 mm | 3.15*0.6*10.4 inch")</f>
        <v>80*15*265 mm | 3.15*0.6*10.4 inch</v>
      </c>
      <c r="E129" s="77">
        <f>IFERROR(__xludf.DUMMYFUNCTION("""COMPUTED_VALUE"""),4.0)</f>
        <v>4</v>
      </c>
      <c r="F129" s="77">
        <f>IFERROR(__xludf.DUMMYFUNCTION("""COMPUTED_VALUE"""),1926.0)</f>
        <v>1926</v>
      </c>
      <c r="G129" s="77">
        <f>IFERROR(__xludf.DUMMYFUNCTION("""COMPUTED_VALUE"""),18.0)</f>
        <v>18</v>
      </c>
      <c r="H129" s="77">
        <f>IFERROR(__xludf.DUMMYFUNCTION("""COMPUTED_VALUE"""),25.0)</f>
        <v>25</v>
      </c>
      <c r="I129" s="77">
        <f>IFERROR(__xludf.DUMMYFUNCTION("""COMPUTED_VALUE"""),100.0)</f>
        <v>100</v>
      </c>
      <c r="J129" s="73"/>
      <c r="K129" s="73"/>
      <c r="L129" s="73"/>
      <c r="M129" s="77">
        <f>IFERROR(__xludf.DUMMYFUNCTION("""COMPUTED_VALUE"""),0.1)</f>
        <v>0.1</v>
      </c>
      <c r="N129" s="77">
        <f>IFERROR(__xludf.DUMMYFUNCTION("""COMPUTED_VALUE"""),1.0)</f>
        <v>1</v>
      </c>
      <c r="O129" s="49"/>
      <c r="P129" s="49" t="str">
        <f>IFERROR(__xludf.DUMMYFUNCTION("""COMPUTED_VALUE"""),"Offset")</f>
        <v>Offset</v>
      </c>
      <c r="Q129" s="49" t="str">
        <f>IFERROR(__xludf.DUMMYFUNCTION("""COMPUTED_VALUE"""),"Packaging")</f>
        <v>Packaging</v>
      </c>
      <c r="R129" s="49" t="str">
        <f>IFERROR(__xludf.DUMMYFUNCTION("""COMPUTED_VALUE"""),"Agarbatti")</f>
        <v>Agarbatti</v>
      </c>
    </row>
    <row r="130">
      <c r="A130" s="156" t="str">
        <f>IFERROR(__xludf.DUMMYFUNCTION("""COMPUTED_VALUE"""),"https://drive.google.com/open?id=1Jan-7hFCPxYeasjzWT2p1BdeUFpFRdEC&amp;authuser=jay.agg%40gmail.com&amp;usp=drive_fs")</f>
        <v>https://drive.google.com/open?id=1Jan-7hFCPxYeasjzWT2p1BdeUFpFRdEC&amp;authuser=jay.agg%40gmail.com&amp;usp=drive_fs</v>
      </c>
      <c r="B130" s="73" t="str">
        <f>IFERROR(__xludf.DUMMYFUNCTION("""COMPUTED_VALUE"""),"Hawan Box")</f>
        <v>Hawan Box</v>
      </c>
      <c r="C130" s="73" t="str">
        <f>IFERROR(__xludf.DUMMYFUNCTION("""COMPUTED_VALUE"""),"Single Box")</f>
        <v>Single Box</v>
      </c>
      <c r="D130" s="73" t="str">
        <f>IFERROR(__xludf.DUMMYFUNCTION("""COMPUTED_VALUE"""),"203*76*305 mm | 8*3*12 inch")</f>
        <v>203*76*305 mm | 8*3*12 inch</v>
      </c>
      <c r="E130" s="77">
        <f>IFERROR(__xludf.DUMMYFUNCTION("""COMPUTED_VALUE"""),1.0)</f>
        <v>1</v>
      </c>
      <c r="F130" s="77">
        <f>IFERROR(__xludf.DUMMYFUNCTION("""COMPUTED_VALUE"""),1926.0)</f>
        <v>1926</v>
      </c>
      <c r="G130" s="77">
        <f>IFERROR(__xludf.DUMMYFUNCTION("""COMPUTED_VALUE"""),18.0)</f>
        <v>18</v>
      </c>
      <c r="H130" s="77">
        <f>IFERROR(__xludf.DUMMYFUNCTION("""COMPUTED_VALUE"""),23.0)</f>
        <v>23</v>
      </c>
      <c r="I130" s="77">
        <f>IFERROR(__xludf.DUMMYFUNCTION("""COMPUTED_VALUE"""),100.0)</f>
        <v>100</v>
      </c>
      <c r="J130" s="73"/>
      <c r="K130" s="73"/>
      <c r="L130" s="73"/>
      <c r="M130" s="77">
        <f>IFERROR(__xludf.DUMMYFUNCTION("""COMPUTED_VALUE"""),0.14)</f>
        <v>0.14</v>
      </c>
      <c r="N130" s="77">
        <f>IFERROR(__xludf.DUMMYFUNCTION("""COMPUTED_VALUE"""),1.0)</f>
        <v>1</v>
      </c>
      <c r="O130" s="49"/>
      <c r="P130" s="49" t="str">
        <f>IFERROR(__xludf.DUMMYFUNCTION("""COMPUTED_VALUE"""),"Offset")</f>
        <v>Offset</v>
      </c>
      <c r="Q130" s="49" t="str">
        <f>IFERROR(__xludf.DUMMYFUNCTION("""COMPUTED_VALUE"""),"Packaging")</f>
        <v>Packaging</v>
      </c>
      <c r="R130" s="49" t="str">
        <f>IFERROR(__xludf.DUMMYFUNCTION("""COMPUTED_VALUE"""),"Hawan Box")</f>
        <v>Hawan Box</v>
      </c>
    </row>
    <row r="131">
      <c r="A131" s="156" t="str">
        <f>IFERROR(__xludf.DUMMYFUNCTION("""COMPUTED_VALUE"""),"https://drive.google.com/open?id=10ivGXp1vhK34ZEZ3rbO5jypTddyeQrL5&amp;authuser=jay.agg%40gmail.com&amp;usp=drive_fs")</f>
        <v>https://drive.google.com/open?id=10ivGXp1vhK34ZEZ3rbO5jypTddyeQrL5&amp;authuser=jay.agg%40gmail.com&amp;usp=drive_fs</v>
      </c>
      <c r="B131" s="73" t="str">
        <f>IFERROR(__xludf.DUMMYFUNCTION("""COMPUTED_VALUE"""),"Hawan Box")</f>
        <v>Hawan Box</v>
      </c>
      <c r="C131" s="73" t="str">
        <f>IFERROR(__xludf.DUMMYFUNCTION("""COMPUTED_VALUE"""),"Single Box")</f>
        <v>Single Box</v>
      </c>
      <c r="D131" s="73" t="str">
        <f>IFERROR(__xludf.DUMMYFUNCTION("""COMPUTED_VALUE"""),"75*35*130 mm | 2.9*1.4*5.2 inch")</f>
        <v>75*35*130 mm | 2.9*1.4*5.2 inch</v>
      </c>
      <c r="E131" s="77">
        <f>IFERROR(__xludf.DUMMYFUNCTION("""COMPUTED_VALUE"""),6.0)</f>
        <v>6</v>
      </c>
      <c r="F131" s="77">
        <f>IFERROR(__xludf.DUMMYFUNCTION("""COMPUTED_VALUE"""),1926.0)</f>
        <v>1926</v>
      </c>
      <c r="G131" s="77">
        <f>IFERROR(__xludf.DUMMYFUNCTION("""COMPUTED_VALUE"""),19.0)</f>
        <v>19</v>
      </c>
      <c r="H131" s="77">
        <f>IFERROR(__xludf.DUMMYFUNCTION("""COMPUTED_VALUE"""),26.0)</f>
        <v>26</v>
      </c>
      <c r="I131" s="77">
        <f>IFERROR(__xludf.DUMMYFUNCTION("""COMPUTED_VALUE"""),100.0)</f>
        <v>100</v>
      </c>
      <c r="J131" s="73"/>
      <c r="K131" s="73"/>
      <c r="L131" s="73"/>
      <c r="M131" s="77">
        <f>IFERROR(__xludf.DUMMYFUNCTION("""COMPUTED_VALUE"""),0.1)</f>
        <v>0.1</v>
      </c>
      <c r="N131" s="77">
        <f>IFERROR(__xludf.DUMMYFUNCTION("""COMPUTED_VALUE"""),1.0)</f>
        <v>1</v>
      </c>
      <c r="O131" s="49"/>
      <c r="P131" s="49" t="str">
        <f>IFERROR(__xludf.DUMMYFUNCTION("""COMPUTED_VALUE"""),"Offset")</f>
        <v>Offset</v>
      </c>
      <c r="Q131" s="49" t="str">
        <f>IFERROR(__xludf.DUMMYFUNCTION("""COMPUTED_VALUE"""),"Packaging")</f>
        <v>Packaging</v>
      </c>
      <c r="R131" s="49" t="str">
        <f>IFERROR(__xludf.DUMMYFUNCTION("""COMPUTED_VALUE"""),"Hawan Box")</f>
        <v>Hawan Box</v>
      </c>
    </row>
    <row r="132">
      <c r="A132" s="156" t="str">
        <f>IFERROR(__xludf.DUMMYFUNCTION("""COMPUTED_VALUE"""),"https://drive.google.com/open?id=10qX7ocYHxhgBAigGdOB6O7dHj_9YUWHR&amp;authuser=jay.agg%40gmail.com&amp;usp=drive_fs")</f>
        <v>https://drive.google.com/open?id=10qX7ocYHxhgBAigGdOB6O7dHj_9YUWHR&amp;authuser=jay.agg%40gmail.com&amp;usp=drive_fs</v>
      </c>
      <c r="B132" s="73" t="str">
        <f>IFERROR(__xludf.DUMMYFUNCTION("""COMPUTED_VALUE"""),"Sanskriti")</f>
        <v>Sanskriti</v>
      </c>
      <c r="C132" s="73" t="str">
        <f>IFERROR(__xludf.DUMMYFUNCTION("""COMPUTED_VALUE"""),"Misc")</f>
        <v>Misc</v>
      </c>
      <c r="D132" s="73" t="str">
        <f>IFERROR(__xludf.DUMMYFUNCTION("""COMPUTED_VALUE"""),"145*30*190 mm | 5.7*1.2*7.5 inch")</f>
        <v>145*30*190 mm | 5.7*1.2*7.5 inch</v>
      </c>
      <c r="E132" s="77">
        <f>IFERROR(__xludf.DUMMYFUNCTION("""COMPUTED_VALUE"""),2.0)</f>
        <v>2</v>
      </c>
      <c r="F132" s="77">
        <f>IFERROR(__xludf.DUMMYFUNCTION("""COMPUTED_VALUE"""),1926.0)</f>
        <v>1926</v>
      </c>
      <c r="G132" s="77">
        <f>IFERROR(__xludf.DUMMYFUNCTION("""COMPUTED_VALUE"""),15.75)</f>
        <v>15.75</v>
      </c>
      <c r="H132" s="77">
        <f>IFERROR(__xludf.DUMMYFUNCTION("""COMPUTED_VALUE"""),20.75)</f>
        <v>20.75</v>
      </c>
      <c r="I132" s="77">
        <f>IFERROR(__xludf.DUMMYFUNCTION("""COMPUTED_VALUE"""),100.0)</f>
        <v>100</v>
      </c>
      <c r="J132" s="73"/>
      <c r="K132" s="73"/>
      <c r="L132" s="73"/>
      <c r="M132" s="77">
        <f>IFERROR(__xludf.DUMMYFUNCTION("""COMPUTED_VALUE"""),0.1)</f>
        <v>0.1</v>
      </c>
      <c r="N132" s="77">
        <f>IFERROR(__xludf.DUMMYFUNCTION("""COMPUTED_VALUE"""),1.0)</f>
        <v>1</v>
      </c>
      <c r="O132" s="49"/>
      <c r="P132" s="49" t="str">
        <f>IFERROR(__xludf.DUMMYFUNCTION("""COMPUTED_VALUE"""),"Offset")</f>
        <v>Offset</v>
      </c>
      <c r="Q132" s="49" t="str">
        <f>IFERROR(__xludf.DUMMYFUNCTION("""COMPUTED_VALUE"""),"Packaging")</f>
        <v>Packaging</v>
      </c>
      <c r="R132" s="49" t="str">
        <f>IFERROR(__xludf.DUMMYFUNCTION("""COMPUTED_VALUE"""),"Sanskriti")</f>
        <v>Sanskriti</v>
      </c>
    </row>
    <row r="133">
      <c r="A133" s="156" t="str">
        <f>IFERROR(__xludf.DUMMYFUNCTION("""COMPUTED_VALUE"""),"https://drive.google.com/open?id=10qnNFqngacoP1Zrl-C5aIoYJCgebnpp5&amp;authuser=jay.agg%40gmail.com&amp;usp=drive_fs")</f>
        <v>https://drive.google.com/open?id=10qnNFqngacoP1Zrl-C5aIoYJCgebnpp5&amp;authuser=jay.agg%40gmail.com&amp;usp=drive_fs</v>
      </c>
      <c r="B133" s="73" t="str">
        <f>IFERROR(__xludf.DUMMYFUNCTION("""COMPUTED_VALUE"""),"Sanskriti")</f>
        <v>Sanskriti</v>
      </c>
      <c r="C133" s="73" t="str">
        <f>IFERROR(__xludf.DUMMYFUNCTION("""COMPUTED_VALUE"""),"Misc")</f>
        <v>Misc</v>
      </c>
      <c r="D133" s="73" t="str">
        <f>IFERROR(__xludf.DUMMYFUNCTION("""COMPUTED_VALUE"""),"100*62*25 mm | 3.9*2.4*1 inch")</f>
        <v>100*62*25 mm | 3.9*2.4*1 inch</v>
      </c>
      <c r="E133" s="77">
        <f>IFERROR(__xludf.DUMMYFUNCTION("""COMPUTED_VALUE"""),6.0)</f>
        <v>6</v>
      </c>
      <c r="F133" s="77">
        <f>IFERROR(__xludf.DUMMYFUNCTION("""COMPUTED_VALUE"""),1926.0)</f>
        <v>1926</v>
      </c>
      <c r="G133" s="77">
        <f>IFERROR(__xludf.DUMMYFUNCTION("""COMPUTED_VALUE"""),18.0)</f>
        <v>18</v>
      </c>
      <c r="H133" s="77">
        <f>IFERROR(__xludf.DUMMYFUNCTION("""COMPUTED_VALUE"""),23.0)</f>
        <v>23</v>
      </c>
      <c r="I133" s="77">
        <f>IFERROR(__xludf.DUMMYFUNCTION("""COMPUTED_VALUE"""),100.0)</f>
        <v>100</v>
      </c>
      <c r="J133" s="73"/>
      <c r="K133" s="73"/>
      <c r="L133" s="73"/>
      <c r="M133" s="77"/>
      <c r="N133" s="77">
        <f>IFERROR(__xludf.DUMMYFUNCTION("""COMPUTED_VALUE"""),1.0)</f>
        <v>1</v>
      </c>
      <c r="O133" s="49"/>
      <c r="P133" s="49" t="str">
        <f>IFERROR(__xludf.DUMMYFUNCTION("""COMPUTED_VALUE"""),"Offset")</f>
        <v>Offset</v>
      </c>
      <c r="Q133" s="49" t="str">
        <f>IFERROR(__xludf.DUMMYFUNCTION("""COMPUTED_VALUE"""),"Packaging")</f>
        <v>Packaging</v>
      </c>
      <c r="R133" s="49" t="str">
        <f>IFERROR(__xludf.DUMMYFUNCTION("""COMPUTED_VALUE"""),"Sanskriti")</f>
        <v>Sanskriti</v>
      </c>
    </row>
    <row r="134">
      <c r="A134" s="156" t="str">
        <f>IFERROR(__xludf.DUMMYFUNCTION("""COMPUTED_VALUE"""),"https://drive.google.com/open?id=11wBJFt1nA3tR6evtdoax0XfE3EKxF2BT&amp;authuser=jay.agg%40gmail.com&amp;usp=drive_fs")</f>
        <v>https://drive.google.com/open?id=11wBJFt1nA3tR6evtdoax0XfE3EKxF2BT&amp;authuser=jay.agg%40gmail.com&amp;usp=drive_fs</v>
      </c>
      <c r="B134" s="73" t="str">
        <f>IFERROR(__xludf.DUMMYFUNCTION("""COMPUTED_VALUE"""),"Agarbatti")</f>
        <v>Agarbatti</v>
      </c>
      <c r="C134" s="73" t="str">
        <f>IFERROR(__xludf.DUMMYFUNCTION("""COMPUTED_VALUE"""),"Misc")</f>
        <v>Misc</v>
      </c>
      <c r="D134" s="73" t="str">
        <f>IFERROR(__xludf.DUMMYFUNCTION("""COMPUTED_VALUE"""),"85*20*240 mm | 3.3*0.8*9.5 inch")</f>
        <v>85*20*240 mm | 3.3*0.8*9.5 inch</v>
      </c>
      <c r="E134" s="77">
        <f>IFERROR(__xludf.DUMMYFUNCTION("""COMPUTED_VALUE"""),4.0)</f>
        <v>4</v>
      </c>
      <c r="F134" s="77">
        <f>IFERROR(__xludf.DUMMYFUNCTION("""COMPUTED_VALUE"""),1926.0)</f>
        <v>1926</v>
      </c>
      <c r="G134" s="77">
        <f>IFERROR(__xludf.DUMMYFUNCTION("""COMPUTED_VALUE"""),18.0)</f>
        <v>18</v>
      </c>
      <c r="H134" s="77">
        <f>IFERROR(__xludf.DUMMYFUNCTION("""COMPUTED_VALUE"""),25.0)</f>
        <v>25</v>
      </c>
      <c r="I134" s="77">
        <f>IFERROR(__xludf.DUMMYFUNCTION("""COMPUTED_VALUE"""),100.0)</f>
        <v>100</v>
      </c>
      <c r="J134" s="73"/>
      <c r="K134" s="73"/>
      <c r="L134" s="73"/>
      <c r="M134" s="77">
        <f>IFERROR(__xludf.DUMMYFUNCTION("""COMPUTED_VALUE"""),0.1)</f>
        <v>0.1</v>
      </c>
      <c r="N134" s="77">
        <f>IFERROR(__xludf.DUMMYFUNCTION("""COMPUTED_VALUE"""),1.0)</f>
        <v>1</v>
      </c>
      <c r="O134" s="49"/>
      <c r="P134" s="49" t="str">
        <f>IFERROR(__xludf.DUMMYFUNCTION("""COMPUTED_VALUE"""),"Offset")</f>
        <v>Offset</v>
      </c>
      <c r="Q134" s="49" t="str">
        <f>IFERROR(__xludf.DUMMYFUNCTION("""COMPUTED_VALUE"""),"Packaging")</f>
        <v>Packaging</v>
      </c>
      <c r="R134" s="49" t="str">
        <f>IFERROR(__xludf.DUMMYFUNCTION("""COMPUTED_VALUE"""),"Agarbatti")</f>
        <v>Agarbatti</v>
      </c>
    </row>
    <row r="135">
      <c r="A135" s="156" t="str">
        <f>IFERROR(__xludf.DUMMYFUNCTION("""COMPUTED_VALUE"""),"https://drive.google.com/open?id=11wNXysck6ewecK9kz5pqnql9mCz_xXqa&amp;authuser=jay.agg%40gmail.com&amp;usp=drive_fs")</f>
        <v>https://drive.google.com/open?id=11wNXysck6ewecK9kz5pqnql9mCz_xXqa&amp;authuser=jay.agg%40gmail.com&amp;usp=drive_fs</v>
      </c>
      <c r="B135" s="73" t="str">
        <f>IFERROR(__xludf.DUMMYFUNCTION("""COMPUTED_VALUE"""),"Agarbatti")</f>
        <v>Agarbatti</v>
      </c>
      <c r="C135" s="73" t="str">
        <f>IFERROR(__xludf.DUMMYFUNCTION("""COMPUTED_VALUE"""),"Misc")</f>
        <v>Misc</v>
      </c>
      <c r="D135" s="73" t="str">
        <f>IFERROR(__xludf.DUMMYFUNCTION("""COMPUTED_VALUE"""),"100*30*220 mm | 3.9*1.2*8.7 inch")</f>
        <v>100*30*220 mm | 3.9*1.2*8.7 inch</v>
      </c>
      <c r="E135" s="77">
        <f>IFERROR(__xludf.DUMMYFUNCTION("""COMPUTED_VALUE"""),2.0)</f>
        <v>2</v>
      </c>
      <c r="F135" s="77">
        <f>IFERROR(__xludf.DUMMYFUNCTION("""COMPUTED_VALUE"""),1926.0)</f>
        <v>1926</v>
      </c>
      <c r="G135" s="77">
        <f>IFERROR(__xludf.DUMMYFUNCTION("""COMPUTED_VALUE"""),12.0)</f>
        <v>12</v>
      </c>
      <c r="H135" s="77">
        <f>IFERROR(__xludf.DUMMYFUNCTION("""COMPUTED_VALUE"""),23.0)</f>
        <v>23</v>
      </c>
      <c r="I135" s="77">
        <f>IFERROR(__xludf.DUMMYFUNCTION("""COMPUTED_VALUE"""),100.0)</f>
        <v>100</v>
      </c>
      <c r="J135" s="73"/>
      <c r="K135" s="73"/>
      <c r="L135" s="73"/>
      <c r="M135" s="77">
        <f>IFERROR(__xludf.DUMMYFUNCTION("""COMPUTED_VALUE"""),0.1)</f>
        <v>0.1</v>
      </c>
      <c r="N135" s="77">
        <f>IFERROR(__xludf.DUMMYFUNCTION("""COMPUTED_VALUE"""),1.0)</f>
        <v>1</v>
      </c>
      <c r="O135" s="49"/>
      <c r="P135" s="49" t="str">
        <f>IFERROR(__xludf.DUMMYFUNCTION("""COMPUTED_VALUE"""),"Offset")</f>
        <v>Offset</v>
      </c>
      <c r="Q135" s="49" t="str">
        <f>IFERROR(__xludf.DUMMYFUNCTION("""COMPUTED_VALUE"""),"Packaging")</f>
        <v>Packaging</v>
      </c>
      <c r="R135" s="49" t="str">
        <f>IFERROR(__xludf.DUMMYFUNCTION("""COMPUTED_VALUE"""),"Agarbatti")</f>
        <v>Agarbatti</v>
      </c>
    </row>
    <row r="136">
      <c r="A136" s="156" t="str">
        <f>IFERROR(__xludf.DUMMYFUNCTION("""COMPUTED_VALUE"""),"https://drive.google.com/open?id=11xvD61LR3RW9oPm7qvf5z5dN8oBlu5y_&amp;authuser=jay.agg%40gmail.com&amp;usp=drive_fs")</f>
        <v>https://drive.google.com/open?id=11xvD61LR3RW9oPm7qvf5z5dN8oBlu5y_&amp;authuser=jay.agg%40gmail.com&amp;usp=drive_fs</v>
      </c>
      <c r="B136" s="73" t="str">
        <f>IFERROR(__xludf.DUMMYFUNCTION("""COMPUTED_VALUE"""),"Agarbatti")</f>
        <v>Agarbatti</v>
      </c>
      <c r="C136" s="73" t="str">
        <f>IFERROR(__xludf.DUMMYFUNCTION("""COMPUTED_VALUE"""),"Single Box")</f>
        <v>Single Box</v>
      </c>
      <c r="D136" s="73" t="str">
        <f>IFERROR(__xludf.DUMMYFUNCTION("""COMPUTED_VALUE"""),"38*12.5*245 mm | 1.5*0.5*9.7 inch")</f>
        <v>38*12.5*245 mm | 1.5*0.5*9.7 inch</v>
      </c>
      <c r="E136" s="77">
        <f>IFERROR(__xludf.DUMMYFUNCTION("""COMPUTED_VALUE"""),8.0)</f>
        <v>8</v>
      </c>
      <c r="F136" s="77">
        <f>IFERROR(__xludf.DUMMYFUNCTION("""COMPUTED_VALUE"""),1926.0)</f>
        <v>1926</v>
      </c>
      <c r="G136" s="77">
        <f>IFERROR(__xludf.DUMMYFUNCTION("""COMPUTED_VALUE"""),18.0)</f>
        <v>18</v>
      </c>
      <c r="H136" s="77">
        <f>IFERROR(__xludf.DUMMYFUNCTION("""COMPUTED_VALUE"""),23.0)</f>
        <v>23</v>
      </c>
      <c r="I136" s="77">
        <f>IFERROR(__xludf.DUMMYFUNCTION("""COMPUTED_VALUE"""),100.0)</f>
        <v>100</v>
      </c>
      <c r="J136" s="73"/>
      <c r="K136" s="73"/>
      <c r="L136" s="73"/>
      <c r="M136" s="77">
        <f>IFERROR(__xludf.DUMMYFUNCTION("""COMPUTED_VALUE"""),0.1)</f>
        <v>0.1</v>
      </c>
      <c r="N136" s="77">
        <f>IFERROR(__xludf.DUMMYFUNCTION("""COMPUTED_VALUE"""),1.0)</f>
        <v>1</v>
      </c>
      <c r="O136" s="49"/>
      <c r="P136" s="49" t="str">
        <f>IFERROR(__xludf.DUMMYFUNCTION("""COMPUTED_VALUE"""),"Offset")</f>
        <v>Offset</v>
      </c>
      <c r="Q136" s="49" t="str">
        <f>IFERROR(__xludf.DUMMYFUNCTION("""COMPUTED_VALUE"""),"Packaging")</f>
        <v>Packaging</v>
      </c>
      <c r="R136" s="49" t="str">
        <f>IFERROR(__xludf.DUMMYFUNCTION("""COMPUTED_VALUE"""),"Agarbatti")</f>
        <v>Agarbatti</v>
      </c>
    </row>
    <row r="137">
      <c r="A137" s="156" t="str">
        <f>IFERROR(__xludf.DUMMYFUNCTION("""COMPUTED_VALUE"""),"https://drive.google.com/open?id=11ze_iIPPBtZJvSs0-tEMR6O2aykbUy-P&amp;authuser=jay.agg%40gmail.com&amp;usp=drive_fs")</f>
        <v>https://drive.google.com/open?id=11ze_iIPPBtZJvSs0-tEMR6O2aykbUy-P&amp;authuser=jay.agg%40gmail.com&amp;usp=drive_fs</v>
      </c>
      <c r="B137" s="73" t="str">
        <f>IFERROR(__xludf.DUMMYFUNCTION("""COMPUTED_VALUE"""),"Dhoop")</f>
        <v>Dhoop</v>
      </c>
      <c r="C137" s="73" t="str">
        <f>IFERROR(__xludf.DUMMYFUNCTION("""COMPUTED_VALUE"""),"Single Box")</f>
        <v>Single Box</v>
      </c>
      <c r="D137" s="73" t="str">
        <f>IFERROR(__xludf.DUMMYFUNCTION("""COMPUTED_VALUE"""),"66*10*120 mm | 2.6*0.4*4.7 inch")</f>
        <v>66*10*120 mm | 2.6*0.4*4.7 inch</v>
      </c>
      <c r="E137" s="77">
        <f>IFERROR(__xludf.DUMMYFUNCTION("""COMPUTED_VALUE"""),9.0)</f>
        <v>9</v>
      </c>
      <c r="F137" s="77">
        <f>IFERROR(__xludf.DUMMYFUNCTION("""COMPUTED_VALUE"""),1926.0)</f>
        <v>1926</v>
      </c>
      <c r="G137" s="77">
        <f>IFERROR(__xludf.DUMMYFUNCTION("""COMPUTED_VALUE"""),18.0)</f>
        <v>18</v>
      </c>
      <c r="H137" s="77">
        <f>IFERROR(__xludf.DUMMYFUNCTION("""COMPUTED_VALUE"""),19.0)</f>
        <v>19</v>
      </c>
      <c r="I137" s="77">
        <f>IFERROR(__xludf.DUMMYFUNCTION("""COMPUTED_VALUE"""),100.0)</f>
        <v>100</v>
      </c>
      <c r="J137" s="73"/>
      <c r="K137" s="73"/>
      <c r="L137" s="73"/>
      <c r="M137" s="77">
        <f>IFERROR(__xludf.DUMMYFUNCTION("""COMPUTED_VALUE"""),0.1)</f>
        <v>0.1</v>
      </c>
      <c r="N137" s="77">
        <f>IFERROR(__xludf.DUMMYFUNCTION("""COMPUTED_VALUE"""),1.0)</f>
        <v>1</v>
      </c>
      <c r="O137" s="49"/>
      <c r="P137" s="49" t="str">
        <f>IFERROR(__xludf.DUMMYFUNCTION("""COMPUTED_VALUE"""),"Offset")</f>
        <v>Offset</v>
      </c>
      <c r="Q137" s="49" t="str">
        <f>IFERROR(__xludf.DUMMYFUNCTION("""COMPUTED_VALUE"""),"Packaging")</f>
        <v>Packaging</v>
      </c>
      <c r="R137" s="49" t="str">
        <f>IFERROR(__xludf.DUMMYFUNCTION("""COMPUTED_VALUE"""),"Dhoop")</f>
        <v>Dhoop</v>
      </c>
    </row>
    <row r="138">
      <c r="A138" s="156" t="str">
        <f>IFERROR(__xludf.DUMMYFUNCTION("""COMPUTED_VALUE"""),"https://drive.google.com/open?id=1VBgZiZbo2hc65GwBZSThVB0JsowwGI2u&amp;authuser=jay.agg%40gmail.com&amp;usp=drive_fs")</f>
        <v>https://drive.google.com/open?id=1VBgZiZbo2hc65GwBZSThVB0JsowwGI2u&amp;authuser=jay.agg%40gmail.com&amp;usp=drive_fs</v>
      </c>
      <c r="B138" s="73" t="str">
        <f>IFERROR(__xludf.DUMMYFUNCTION("""COMPUTED_VALUE"""),"Agarbatti")</f>
        <v>Agarbatti</v>
      </c>
      <c r="C138" s="73" t="str">
        <f>IFERROR(__xludf.DUMMYFUNCTION("""COMPUTED_VALUE"""),"Single Box")</f>
        <v>Single Box</v>
      </c>
      <c r="D138" s="73" t="str">
        <f>IFERROR(__xludf.DUMMYFUNCTION("""COMPUTED_VALUE"""),"30*25*200 mm | 1.2*1*7.9 inch")</f>
        <v>30*25*200 mm | 1.2*1*7.9 inch</v>
      </c>
      <c r="E138" s="77">
        <f>IFERROR(__xludf.DUMMYFUNCTION("""COMPUTED_VALUE"""),6.0)</f>
        <v>6</v>
      </c>
      <c r="F138" s="77">
        <f>IFERROR(__xludf.DUMMYFUNCTION("""COMPUTED_VALUE"""),1926.0)</f>
        <v>1926</v>
      </c>
      <c r="G138" s="77">
        <f>IFERROR(__xludf.DUMMYFUNCTION("""COMPUTED_VALUE"""),15.75)</f>
        <v>15.75</v>
      </c>
      <c r="H138" s="77">
        <f>IFERROR(__xludf.DUMMYFUNCTION("""COMPUTED_VALUE"""),20.75)</f>
        <v>20.75</v>
      </c>
      <c r="I138" s="77">
        <f>IFERROR(__xludf.DUMMYFUNCTION("""COMPUTED_VALUE"""),100.0)</f>
        <v>100</v>
      </c>
      <c r="J138" s="73"/>
      <c r="K138" s="73"/>
      <c r="L138" s="73"/>
      <c r="M138" s="77">
        <f>IFERROR(__xludf.DUMMYFUNCTION("""COMPUTED_VALUE"""),0.1)</f>
        <v>0.1</v>
      </c>
      <c r="N138" s="77">
        <f>IFERROR(__xludf.DUMMYFUNCTION("""COMPUTED_VALUE"""),1.0)</f>
        <v>1</v>
      </c>
      <c r="O138" s="49"/>
      <c r="P138" s="49" t="str">
        <f>IFERROR(__xludf.DUMMYFUNCTION("""COMPUTED_VALUE"""),"Offset")</f>
        <v>Offset</v>
      </c>
      <c r="Q138" s="49" t="str">
        <f>IFERROR(__xludf.DUMMYFUNCTION("""COMPUTED_VALUE"""),"Packaging")</f>
        <v>Packaging</v>
      </c>
      <c r="R138" s="49" t="str">
        <f>IFERROR(__xludf.DUMMYFUNCTION("""COMPUTED_VALUE"""),"Agarbatti")</f>
        <v>Agarbatti</v>
      </c>
    </row>
    <row r="139">
      <c r="A139" s="156" t="str">
        <f>IFERROR(__xludf.DUMMYFUNCTION("""COMPUTED_VALUE"""),"https://drive.google.com/open?id=1YbrFB4TacdSJ2fp7Um9Aj76Cw1Ms1kvz&amp;authuser=jay.agg%40gmail.com&amp;usp=drive_fs")</f>
        <v>https://drive.google.com/open?id=1YbrFB4TacdSJ2fp7Um9Aj76Cw1Ms1kvz&amp;authuser=jay.agg%40gmail.com&amp;usp=drive_fs</v>
      </c>
      <c r="B139" s="73" t="str">
        <f>IFERROR(__xludf.DUMMYFUNCTION("""COMPUTED_VALUE"""),"Dhoop")</f>
        <v>Dhoop</v>
      </c>
      <c r="C139" s="73" t="str">
        <f>IFERROR(__xludf.DUMMYFUNCTION("""COMPUTED_VALUE"""),"Single Box")</f>
        <v>Single Box</v>
      </c>
      <c r="D139" s="73" t="str">
        <f>IFERROR(__xludf.DUMMYFUNCTION("""COMPUTED_VALUE"""),"82*64*12 mm | 2.5*0.5*3.25 inch")</f>
        <v>82*64*12 mm | 2.5*0.5*3.25 inch</v>
      </c>
      <c r="E139" s="77">
        <f>IFERROR(__xludf.DUMMYFUNCTION("""COMPUTED_VALUE"""),9.0)</f>
        <v>9</v>
      </c>
      <c r="F139" s="77">
        <f>IFERROR(__xludf.DUMMYFUNCTION("""COMPUTED_VALUE"""),1926.0)</f>
        <v>1926</v>
      </c>
      <c r="G139" s="77">
        <f>IFERROR(__xludf.DUMMYFUNCTION("""COMPUTED_VALUE"""),15.75)</f>
        <v>15.75</v>
      </c>
      <c r="H139" s="77">
        <f>IFERROR(__xludf.DUMMYFUNCTION("""COMPUTED_VALUE"""),20.75)</f>
        <v>20.75</v>
      </c>
      <c r="I139" s="77">
        <f>IFERROR(__xludf.DUMMYFUNCTION("""COMPUTED_VALUE"""),100.0)</f>
        <v>100</v>
      </c>
      <c r="J139" s="73"/>
      <c r="K139" s="73"/>
      <c r="L139" s="73"/>
      <c r="M139" s="77">
        <f>IFERROR(__xludf.DUMMYFUNCTION("""COMPUTED_VALUE"""),0.1)</f>
        <v>0.1</v>
      </c>
      <c r="N139" s="77">
        <f>IFERROR(__xludf.DUMMYFUNCTION("""COMPUTED_VALUE"""),1.0)</f>
        <v>1</v>
      </c>
      <c r="O139" s="49"/>
      <c r="P139" s="49" t="str">
        <f>IFERROR(__xludf.DUMMYFUNCTION("""COMPUTED_VALUE"""),"Offset")</f>
        <v>Offset</v>
      </c>
      <c r="Q139" s="49" t="str">
        <f>IFERROR(__xludf.DUMMYFUNCTION("""COMPUTED_VALUE"""),"Packaging")</f>
        <v>Packaging</v>
      </c>
      <c r="R139" s="49" t="str">
        <f>IFERROR(__xludf.DUMMYFUNCTION("""COMPUTED_VALUE"""),"Dhoop")</f>
        <v>Dhoop</v>
      </c>
    </row>
    <row r="140">
      <c r="A140" s="156" t="str">
        <f>IFERROR(__xludf.DUMMYFUNCTION("""COMPUTED_VALUE"""),"https://drive.google.com/open?id=1YcMBTEytSkQKZJzq5F-4RAT-cLcTblcb&amp;authuser=jay.agg%40gmail.com&amp;usp=drive_fs")</f>
        <v>https://drive.google.com/open?id=1YcMBTEytSkQKZJzq5F-4RAT-cLcTblcb&amp;authuser=jay.agg%40gmail.com&amp;usp=drive_fs</v>
      </c>
      <c r="B140" s="73" t="str">
        <f>IFERROR(__xludf.DUMMYFUNCTION("""COMPUTED_VALUE"""),"Dhoop")</f>
        <v>Dhoop</v>
      </c>
      <c r="C140" s="73" t="str">
        <f>IFERROR(__xludf.DUMMYFUNCTION("""COMPUTED_VALUE"""),"Single Box")</f>
        <v>Single Box</v>
      </c>
      <c r="D140" s="73" t="str">
        <f>IFERROR(__xludf.DUMMYFUNCTION("""COMPUTED_VALUE"""),"120*25*127 mm | 4.5*1*5 inch")</f>
        <v>120*25*127 mm | 4.5*1*5 inch</v>
      </c>
      <c r="E140" s="77">
        <f>IFERROR(__xludf.DUMMYFUNCTION("""COMPUTED_VALUE"""),4.0)</f>
        <v>4</v>
      </c>
      <c r="F140" s="77">
        <f>IFERROR(__xludf.DUMMYFUNCTION("""COMPUTED_VALUE"""),1926.0)</f>
        <v>1926</v>
      </c>
      <c r="G140" s="77">
        <f>IFERROR(__xludf.DUMMYFUNCTION("""COMPUTED_VALUE"""),15.0)</f>
        <v>15</v>
      </c>
      <c r="H140" s="77">
        <f>IFERROR(__xludf.DUMMYFUNCTION("""COMPUTED_VALUE"""),25.0)</f>
        <v>25</v>
      </c>
      <c r="I140" s="77">
        <f>IFERROR(__xludf.DUMMYFUNCTION("""COMPUTED_VALUE"""),100.0)</f>
        <v>100</v>
      </c>
      <c r="J140" s="73"/>
      <c r="K140" s="73"/>
      <c r="L140" s="73"/>
      <c r="M140" s="77">
        <f>IFERROR(__xludf.DUMMYFUNCTION("""COMPUTED_VALUE"""),0.1)</f>
        <v>0.1</v>
      </c>
      <c r="N140" s="77">
        <f>IFERROR(__xludf.DUMMYFUNCTION("""COMPUTED_VALUE"""),1.0)</f>
        <v>1</v>
      </c>
      <c r="O140" s="49"/>
      <c r="P140" s="49" t="str">
        <f>IFERROR(__xludf.DUMMYFUNCTION("""COMPUTED_VALUE"""),"Offset")</f>
        <v>Offset</v>
      </c>
      <c r="Q140" s="49" t="str">
        <f>IFERROR(__xludf.DUMMYFUNCTION("""COMPUTED_VALUE"""),"Packaging")</f>
        <v>Packaging</v>
      </c>
      <c r="R140" s="49" t="str">
        <f>IFERROR(__xludf.DUMMYFUNCTION("""COMPUTED_VALUE"""),"Dhoop")</f>
        <v>Dhoop</v>
      </c>
    </row>
    <row r="141">
      <c r="A141" s="156" t="str">
        <f>IFERROR(__xludf.DUMMYFUNCTION("""COMPUTED_VALUE"""),"https://drive.google.com/open?id=1YcMBTEytSkQKZJzq5F-4RAT-cLcTblcb&amp;authuser=jay.agg%40gmail.com&amp;usp=drive_fs")</f>
        <v>https://drive.google.com/open?id=1YcMBTEytSkQKZJzq5F-4RAT-cLcTblcb&amp;authuser=jay.agg%40gmail.com&amp;usp=drive_fs</v>
      </c>
      <c r="B141" s="73" t="str">
        <f>IFERROR(__xludf.DUMMYFUNCTION("""COMPUTED_VALUE"""),"Agarbatti")</f>
        <v>Agarbatti</v>
      </c>
      <c r="C141" s="73" t="str">
        <f>IFERROR(__xludf.DUMMYFUNCTION("""COMPUTED_VALUE"""),"Single Box")</f>
        <v>Single Box</v>
      </c>
      <c r="D141" s="73" t="str">
        <f>IFERROR(__xludf.DUMMYFUNCTION("""COMPUTED_VALUE"""),"51*25*216 mm | 2*1*8.5 inch")</f>
        <v>51*25*216 mm | 2*1*8.5 inch</v>
      </c>
      <c r="E141" s="77">
        <f>IFERROR(__xludf.DUMMYFUNCTION("""COMPUTED_VALUE"""),4.0)</f>
        <v>4</v>
      </c>
      <c r="F141" s="77">
        <f>IFERROR(__xludf.DUMMYFUNCTION("""COMPUTED_VALUE"""),1926.0)</f>
        <v>1926</v>
      </c>
      <c r="G141" s="77">
        <f>IFERROR(__xludf.DUMMYFUNCTION("""COMPUTED_VALUE"""),14.0)</f>
        <v>14</v>
      </c>
      <c r="H141" s="77">
        <f>IFERROR(__xludf.DUMMYFUNCTION("""COMPUTED_VALUE"""),22.0)</f>
        <v>22</v>
      </c>
      <c r="I141" s="77">
        <f>IFERROR(__xludf.DUMMYFUNCTION("""COMPUTED_VALUE"""),100.0)</f>
        <v>100</v>
      </c>
      <c r="J141" s="73"/>
      <c r="K141" s="73"/>
      <c r="L141" s="73"/>
      <c r="M141" s="77">
        <f>IFERROR(__xludf.DUMMYFUNCTION("""COMPUTED_VALUE"""),0.1)</f>
        <v>0.1</v>
      </c>
      <c r="N141" s="77">
        <f>IFERROR(__xludf.DUMMYFUNCTION("""COMPUTED_VALUE"""),1.0)</f>
        <v>1</v>
      </c>
      <c r="O141" s="49"/>
      <c r="P141" s="49" t="str">
        <f>IFERROR(__xludf.DUMMYFUNCTION("""COMPUTED_VALUE"""),"Offset")</f>
        <v>Offset</v>
      </c>
      <c r="Q141" s="49" t="str">
        <f>IFERROR(__xludf.DUMMYFUNCTION("""COMPUTED_VALUE"""),"Packaging")</f>
        <v>Packaging</v>
      </c>
      <c r="R141" s="49" t="str">
        <f>IFERROR(__xludf.DUMMYFUNCTION("""COMPUTED_VALUE"""),"Agarbatti")</f>
        <v>Agarbatti</v>
      </c>
    </row>
    <row r="142">
      <c r="A142" s="156" t="str">
        <f>IFERROR(__xludf.DUMMYFUNCTION("""COMPUTED_VALUE"""),"https://drive.google.com/open?id=1YeZUQVnVSD6RSLrn1n068W1yeVusH60s&amp;authuser=jay.agg%40gmail.com&amp;usp=drive_fs")</f>
        <v>https://drive.google.com/open?id=1YeZUQVnVSD6RSLrn1n068W1yeVusH60s&amp;authuser=jay.agg%40gmail.com&amp;usp=drive_fs</v>
      </c>
      <c r="B142" s="73" t="str">
        <f>IFERROR(__xludf.DUMMYFUNCTION("""COMPUTED_VALUE"""),"Agarbatti")</f>
        <v>Agarbatti</v>
      </c>
      <c r="C142" s="73" t="str">
        <f>IFERROR(__xludf.DUMMYFUNCTION("""COMPUTED_VALUE"""),"Outer")</f>
        <v>Outer</v>
      </c>
      <c r="D142" s="73" t="str">
        <f>IFERROR(__xludf.DUMMYFUNCTION("""COMPUTED_VALUE"""),"12Box  51*25*216 mm | 2*1*8.5 inch")</f>
        <v>12Box  51*25*216 mm | 2*1*8.5 inch</v>
      </c>
      <c r="E142" s="77">
        <f>IFERROR(__xludf.DUMMYFUNCTION("""COMPUTED_VALUE"""),1.0)</f>
        <v>1</v>
      </c>
      <c r="F142" s="77">
        <f>IFERROR(__xludf.DUMMYFUNCTION("""COMPUTED_VALUE"""),1926.0)</f>
        <v>1926</v>
      </c>
      <c r="G142" s="77">
        <f>IFERROR(__xludf.DUMMYFUNCTION("""COMPUTED_VALUE"""),18.0)</f>
        <v>18</v>
      </c>
      <c r="H142" s="77">
        <f>IFERROR(__xludf.DUMMYFUNCTION("""COMPUTED_VALUE"""),23.0)</f>
        <v>23</v>
      </c>
      <c r="I142" s="77">
        <f>IFERROR(__xludf.DUMMYFUNCTION("""COMPUTED_VALUE"""),100.0)</f>
        <v>100</v>
      </c>
      <c r="J142" s="73"/>
      <c r="K142" s="73"/>
      <c r="L142" s="73"/>
      <c r="M142" s="77">
        <f>IFERROR(__xludf.DUMMYFUNCTION("""COMPUTED_VALUE"""),0.12)</f>
        <v>0.12</v>
      </c>
      <c r="N142" s="77">
        <f>IFERROR(__xludf.DUMMYFUNCTION("""COMPUTED_VALUE"""),1.0)</f>
        <v>1</v>
      </c>
      <c r="O142" s="49"/>
      <c r="P142" s="49" t="str">
        <f>IFERROR(__xludf.DUMMYFUNCTION("""COMPUTED_VALUE"""),"Offset")</f>
        <v>Offset</v>
      </c>
      <c r="Q142" s="49" t="str">
        <f>IFERROR(__xludf.DUMMYFUNCTION("""COMPUTED_VALUE"""),"Packaging")</f>
        <v>Packaging</v>
      </c>
      <c r="R142" s="49" t="str">
        <f>IFERROR(__xludf.DUMMYFUNCTION("""COMPUTED_VALUE"""),"Agarbatti")</f>
        <v>Agarbatti</v>
      </c>
    </row>
    <row r="143">
      <c r="A143" s="156" t="str">
        <f>IFERROR(__xludf.DUMMYFUNCTION("""COMPUTED_VALUE"""),"https://drive.google.com/open?id=1ZJGfoYul0qSsNHnY8upzAGyZG1P37RF2&amp;authuser=jay.agg%40gmail.com&amp;usp=drive_fs")</f>
        <v>https://drive.google.com/open?id=1ZJGfoYul0qSsNHnY8upzAGyZG1P37RF2&amp;authuser=jay.agg%40gmail.com&amp;usp=drive_fs</v>
      </c>
      <c r="B143" s="73" t="str">
        <f>IFERROR(__xludf.DUMMYFUNCTION("""COMPUTED_VALUE"""),"Agarbatti")</f>
        <v>Agarbatti</v>
      </c>
      <c r="C143" s="73" t="str">
        <f>IFERROR(__xludf.DUMMYFUNCTION("""COMPUTED_VALUE"""),"Single Box")</f>
        <v>Single Box</v>
      </c>
      <c r="D143" s="73" t="str">
        <f>IFERROR(__xludf.DUMMYFUNCTION("""COMPUTED_VALUE"""),"Sleeve 78*53*255 mm | 3*2*10 inch")</f>
        <v>Sleeve 78*53*255 mm | 3*2*10 inch</v>
      </c>
      <c r="E143" s="77">
        <f>IFERROR(__xludf.DUMMYFUNCTION("""COMPUTED_VALUE"""),2.0)</f>
        <v>2</v>
      </c>
      <c r="F143" s="77">
        <f>IFERROR(__xludf.DUMMYFUNCTION("""COMPUTED_VALUE"""),1926.0)</f>
        <v>1926</v>
      </c>
      <c r="G143" s="77">
        <f>IFERROR(__xludf.DUMMYFUNCTION("""COMPUTED_VALUE"""),13.0)</f>
        <v>13</v>
      </c>
      <c r="H143" s="77">
        <f>IFERROR(__xludf.DUMMYFUNCTION("""COMPUTED_VALUE"""),23.0)</f>
        <v>23</v>
      </c>
      <c r="I143" s="77">
        <f>IFERROR(__xludf.DUMMYFUNCTION("""COMPUTED_VALUE"""),100.0)</f>
        <v>100</v>
      </c>
      <c r="J143" s="73"/>
      <c r="K143" s="73"/>
      <c r="L143" s="73"/>
      <c r="M143" s="77">
        <f>IFERROR(__xludf.DUMMYFUNCTION("""COMPUTED_VALUE"""),0.1)</f>
        <v>0.1</v>
      </c>
      <c r="N143" s="77">
        <f>IFERROR(__xludf.DUMMYFUNCTION("""COMPUTED_VALUE"""),1.0)</f>
        <v>1</v>
      </c>
      <c r="O143" s="49"/>
      <c r="P143" s="49" t="str">
        <f>IFERROR(__xludf.DUMMYFUNCTION("""COMPUTED_VALUE"""),"Offset")</f>
        <v>Offset</v>
      </c>
      <c r="Q143" s="49" t="str">
        <f>IFERROR(__xludf.DUMMYFUNCTION("""COMPUTED_VALUE"""),"Packaging")</f>
        <v>Packaging</v>
      </c>
      <c r="R143" s="49" t="str">
        <f>IFERROR(__xludf.DUMMYFUNCTION("""COMPUTED_VALUE"""),"Agarbatti")</f>
        <v>Agarbatti</v>
      </c>
    </row>
    <row r="144">
      <c r="A144" s="156" t="str">
        <f>IFERROR(__xludf.DUMMYFUNCTION("""COMPUTED_VALUE"""),"https://drive.google.com/open?id=1ZKQY3dFfUJFI_omJ4R2MhpzzZUg-IJ5U&amp;authuser=jay.agg%40gmail.com&amp;usp=drive_fs")</f>
        <v>https://drive.google.com/open?id=1ZKQY3dFfUJFI_omJ4R2MhpzzZUg-IJ5U&amp;authuser=jay.agg%40gmail.com&amp;usp=drive_fs</v>
      </c>
      <c r="B144" s="73" t="str">
        <f>IFERROR(__xludf.DUMMYFUNCTION("""COMPUTED_VALUE"""),"Agarbatti")</f>
        <v>Agarbatti</v>
      </c>
      <c r="C144" s="73" t="str">
        <f>IFERROR(__xludf.DUMMYFUNCTION("""COMPUTED_VALUE"""),"Single Box")</f>
        <v>Single Box</v>
      </c>
      <c r="D144" s="73" t="str">
        <f>IFERROR(__xludf.DUMMYFUNCTION("""COMPUTED_VALUE"""),"Tray 78*53*255 mm | 3*2*10 inch")</f>
        <v>Tray 78*53*255 mm | 3*2*10 inch</v>
      </c>
      <c r="E144" s="77">
        <f>IFERROR(__xludf.DUMMYFUNCTION("""COMPUTED_VALUE"""),2.0)</f>
        <v>2</v>
      </c>
      <c r="F144" s="77">
        <f>IFERROR(__xludf.DUMMYFUNCTION("""COMPUTED_VALUE"""),2029.0)</f>
        <v>2029</v>
      </c>
      <c r="G144" s="77">
        <f>IFERROR(__xludf.DUMMYFUNCTION("""COMPUTED_VALUE"""),20.0)</f>
        <v>20</v>
      </c>
      <c r="H144" s="77">
        <f>IFERROR(__xludf.DUMMYFUNCTION("""COMPUTED_VALUE"""),25.0)</f>
        <v>25</v>
      </c>
      <c r="I144" s="77">
        <f>IFERROR(__xludf.DUMMYFUNCTION("""COMPUTED_VALUE"""),100.0)</f>
        <v>100</v>
      </c>
      <c r="J144" s="73"/>
      <c r="K144" s="73"/>
      <c r="L144" s="73"/>
      <c r="M144" s="77"/>
      <c r="N144" s="77">
        <f>IFERROR(__xludf.DUMMYFUNCTION("""COMPUTED_VALUE"""),1.0)</f>
        <v>1</v>
      </c>
      <c r="O144" s="49"/>
      <c r="P144" s="49" t="str">
        <f>IFERROR(__xludf.DUMMYFUNCTION("""COMPUTED_VALUE"""),"Offset")</f>
        <v>Offset</v>
      </c>
      <c r="Q144" s="49" t="str">
        <f>IFERROR(__xludf.DUMMYFUNCTION("""COMPUTED_VALUE"""),"Packaging")</f>
        <v>Packaging</v>
      </c>
      <c r="R144" s="49" t="str">
        <f>IFERROR(__xludf.DUMMYFUNCTION("""COMPUTED_VALUE"""),"Agarbatti")</f>
        <v>Agarbatti</v>
      </c>
    </row>
    <row r="145">
      <c r="A145" s="156" t="str">
        <f>IFERROR(__xludf.DUMMYFUNCTION("""COMPUTED_VALUE"""),"https://drive.google.com/open?id=1d4KRSKiu4YVoCAj6ylgAzOrZRowTCY-w&amp;authuser=jay.agg%40gmail.com&amp;usp=drive_fs")</f>
        <v>https://drive.google.com/open?id=1d4KRSKiu4YVoCAj6ylgAzOrZRowTCY-w&amp;authuser=jay.agg%40gmail.com&amp;usp=drive_fs</v>
      </c>
      <c r="B145" s="73" t="str">
        <f>IFERROR(__xludf.DUMMYFUNCTION("""COMPUTED_VALUE"""),"Agarbatti")</f>
        <v>Agarbatti</v>
      </c>
      <c r="C145" s="73" t="str">
        <f>IFERROR(__xludf.DUMMYFUNCTION("""COMPUTED_VALUE"""),"Single Box")</f>
        <v>Single Box</v>
      </c>
      <c r="D145" s="73" t="str">
        <f>IFERROR(__xludf.DUMMYFUNCTION("""COMPUTED_VALUE"""),"240*60*20 mm | 2.3*0.8*9.5 inch")</f>
        <v>240*60*20 mm | 2.3*0.8*9.5 inch</v>
      </c>
      <c r="E145" s="77">
        <f>IFERROR(__xludf.DUMMYFUNCTION("""COMPUTED_VALUE"""),4.0)</f>
        <v>4</v>
      </c>
      <c r="F145" s="77">
        <f>IFERROR(__xludf.DUMMYFUNCTION("""COMPUTED_VALUE"""),1926.0)</f>
        <v>1926</v>
      </c>
      <c r="G145" s="77">
        <f>IFERROR(__xludf.DUMMYFUNCTION("""COMPUTED_VALUE"""),15.0)</f>
        <v>15</v>
      </c>
      <c r="H145" s="77">
        <f>IFERROR(__xludf.DUMMYFUNCTION("""COMPUTED_VALUE"""),25.0)</f>
        <v>25</v>
      </c>
      <c r="I145" s="77">
        <f>IFERROR(__xludf.DUMMYFUNCTION("""COMPUTED_VALUE"""),100.0)</f>
        <v>100</v>
      </c>
      <c r="J145" s="73"/>
      <c r="K145" s="73"/>
      <c r="L145" s="73"/>
      <c r="M145" s="77">
        <f>IFERROR(__xludf.DUMMYFUNCTION("""COMPUTED_VALUE"""),0.1)</f>
        <v>0.1</v>
      </c>
      <c r="N145" s="77">
        <f>IFERROR(__xludf.DUMMYFUNCTION("""COMPUTED_VALUE"""),1.0)</f>
        <v>1</v>
      </c>
      <c r="O145" s="49"/>
      <c r="P145" s="49" t="str">
        <f>IFERROR(__xludf.DUMMYFUNCTION("""COMPUTED_VALUE"""),"Offset")</f>
        <v>Offset</v>
      </c>
      <c r="Q145" s="49" t="str">
        <f>IFERROR(__xludf.DUMMYFUNCTION("""COMPUTED_VALUE"""),"Packaging")</f>
        <v>Packaging</v>
      </c>
      <c r="R145" s="49" t="str">
        <f>IFERROR(__xludf.DUMMYFUNCTION("""COMPUTED_VALUE"""),"Agarbatti")</f>
        <v>Agarbatti</v>
      </c>
    </row>
    <row r="146">
      <c r="A146" s="156" t="str">
        <f>IFERROR(__xludf.DUMMYFUNCTION("""COMPUTED_VALUE"""),"https://drive.google.com/open?id=1dEqwl37CF2910O8lCmqJ1CTRgaExyXax&amp;authuser=jay.agg%40gmail.com&amp;usp=drive_fs")</f>
        <v>https://drive.google.com/open?id=1dEqwl37CF2910O8lCmqJ1CTRgaExyXax&amp;authuser=jay.agg%40gmail.com&amp;usp=drive_fs</v>
      </c>
      <c r="B146" s="73" t="str">
        <f>IFERROR(__xludf.DUMMYFUNCTION("""COMPUTED_VALUE"""),"Dhoop")</f>
        <v>Dhoop</v>
      </c>
      <c r="C146" s="73" t="str">
        <f>IFERROR(__xludf.DUMMYFUNCTION("""COMPUTED_VALUE"""),"Single Box")</f>
        <v>Single Box</v>
      </c>
      <c r="D146" s="73" t="str">
        <f>IFERROR(__xludf.DUMMYFUNCTION("""COMPUTED_VALUE"""),"41*12*127 mm | 1.6*0.47*5 inch")</f>
        <v>41*12*127 mm | 1.6*0.47*5 inch</v>
      </c>
      <c r="E146" s="77">
        <f>IFERROR(__xludf.DUMMYFUNCTION("""COMPUTED_VALUE"""),16.0)</f>
        <v>16</v>
      </c>
      <c r="F146" s="77">
        <f>IFERROR(__xludf.DUMMYFUNCTION("""COMPUTED_VALUE"""),1926.0)</f>
        <v>1926</v>
      </c>
      <c r="G146" s="77">
        <f>IFERROR(__xludf.DUMMYFUNCTION("""COMPUTED_VALUE"""),19.0)</f>
        <v>19</v>
      </c>
      <c r="H146" s="77">
        <f>IFERROR(__xludf.DUMMYFUNCTION("""COMPUTED_VALUE"""),26.0)</f>
        <v>26</v>
      </c>
      <c r="I146" s="77">
        <f>IFERROR(__xludf.DUMMYFUNCTION("""COMPUTED_VALUE"""),100.0)</f>
        <v>100</v>
      </c>
      <c r="J146" s="73"/>
      <c r="K146" s="73"/>
      <c r="L146" s="73"/>
      <c r="M146" s="77">
        <f>IFERROR(__xludf.DUMMYFUNCTION("""COMPUTED_VALUE"""),0.1)</f>
        <v>0.1</v>
      </c>
      <c r="N146" s="77">
        <f>IFERROR(__xludf.DUMMYFUNCTION("""COMPUTED_VALUE"""),1.0)</f>
        <v>1</v>
      </c>
      <c r="O146" s="49"/>
      <c r="P146" s="49" t="str">
        <f>IFERROR(__xludf.DUMMYFUNCTION("""COMPUTED_VALUE"""),"Offset")</f>
        <v>Offset</v>
      </c>
      <c r="Q146" s="49" t="str">
        <f>IFERROR(__xludf.DUMMYFUNCTION("""COMPUTED_VALUE"""),"Packaging")</f>
        <v>Packaging</v>
      </c>
      <c r="R146" s="49" t="str">
        <f>IFERROR(__xludf.DUMMYFUNCTION("""COMPUTED_VALUE"""),"Dhoop")</f>
        <v>Dhoop</v>
      </c>
    </row>
    <row r="147">
      <c r="A147" s="156" t="str">
        <f>IFERROR(__xludf.DUMMYFUNCTION("""COMPUTED_VALUE"""),"https://drive.google.com/open?id=1dFUmPtxjA0tss4Kfo_9SLk7qvw604kcq&amp;authuser=jay.agg%40gmail.com&amp;usp=drive_fs")</f>
        <v>https://drive.google.com/open?id=1dFUmPtxjA0tss4Kfo_9SLk7qvw604kcq&amp;authuser=jay.agg%40gmail.com&amp;usp=drive_fs</v>
      </c>
      <c r="B147" s="73" t="str">
        <f>IFERROR(__xludf.DUMMYFUNCTION("""COMPUTED_VALUE"""),"Dhoop")</f>
        <v>Dhoop</v>
      </c>
      <c r="C147" s="73" t="str">
        <f>IFERROR(__xludf.DUMMYFUNCTION("""COMPUTED_VALUE"""),"Single Box")</f>
        <v>Single Box</v>
      </c>
      <c r="D147" s="73" t="str">
        <f>IFERROR(__xludf.DUMMYFUNCTION("""COMPUTED_VALUE"""),"64*12*95 mm | 2.5*0.47*3.75 inch")</f>
        <v>64*12*95 mm | 2.5*0.47*3.75 inch</v>
      </c>
      <c r="E147" s="77">
        <f>IFERROR(__xludf.DUMMYFUNCTION("""COMPUTED_VALUE"""),16.0)</f>
        <v>16</v>
      </c>
      <c r="F147" s="77">
        <f>IFERROR(__xludf.DUMMYFUNCTION("""COMPUTED_VALUE"""),2029.0)</f>
        <v>2029</v>
      </c>
      <c r="G147" s="77">
        <f>IFERROR(__xludf.DUMMYFUNCTION("""COMPUTED_VALUE"""),20.0)</f>
        <v>20</v>
      </c>
      <c r="H147" s="77">
        <f>IFERROR(__xludf.DUMMYFUNCTION("""COMPUTED_VALUE"""),28.0)</f>
        <v>28</v>
      </c>
      <c r="I147" s="77">
        <f>IFERROR(__xludf.DUMMYFUNCTION("""COMPUTED_VALUE"""),100.0)</f>
        <v>100</v>
      </c>
      <c r="J147" s="73"/>
      <c r="K147" s="73"/>
      <c r="L147" s="73"/>
      <c r="M147" s="77">
        <f>IFERROR(__xludf.DUMMYFUNCTION("""COMPUTED_VALUE"""),0.1)</f>
        <v>0.1</v>
      </c>
      <c r="N147" s="77">
        <f>IFERROR(__xludf.DUMMYFUNCTION("""COMPUTED_VALUE"""),1.0)</f>
        <v>1</v>
      </c>
      <c r="O147" s="49"/>
      <c r="P147" s="49" t="str">
        <f>IFERROR(__xludf.DUMMYFUNCTION("""COMPUTED_VALUE"""),"Offset")</f>
        <v>Offset</v>
      </c>
      <c r="Q147" s="49" t="str">
        <f>IFERROR(__xludf.DUMMYFUNCTION("""COMPUTED_VALUE"""),"Packaging")</f>
        <v>Packaging</v>
      </c>
      <c r="R147" s="49" t="str">
        <f>IFERROR(__xludf.DUMMYFUNCTION("""COMPUTED_VALUE"""),"Dhoop")</f>
        <v>Dhoop</v>
      </c>
    </row>
    <row r="148">
      <c r="A148" s="156" t="str">
        <f>IFERROR(__xludf.DUMMYFUNCTION("""COMPUTED_VALUE"""),"https://drive.google.com/open?id=1dHWKswVjYgfIqxwnPYP534zHori1EUah&amp;authuser=jay.agg%40gmail.com&amp;usp=drive_fs")</f>
        <v>https://drive.google.com/open?id=1dHWKswVjYgfIqxwnPYP534zHori1EUah&amp;authuser=jay.agg%40gmail.com&amp;usp=drive_fs</v>
      </c>
      <c r="B148" s="73" t="str">
        <f>IFERROR(__xludf.DUMMYFUNCTION("""COMPUTED_VALUE"""),"Dhoop")</f>
        <v>Dhoop</v>
      </c>
      <c r="C148" s="73" t="str">
        <f>IFERROR(__xludf.DUMMYFUNCTION("""COMPUTED_VALUE"""),"Single Box")</f>
        <v>Single Box</v>
      </c>
      <c r="D148" s="73" t="str">
        <f>IFERROR(__xludf.DUMMYFUNCTION("""COMPUTED_VALUE"""),"95*20*102 mm | 3.75*0.78*4 inch")</f>
        <v>95*20*102 mm | 3.75*0.78*4 inch</v>
      </c>
      <c r="E148" s="77">
        <f>IFERROR(__xludf.DUMMYFUNCTION("""COMPUTED_VALUE"""),8.0)</f>
        <v>8</v>
      </c>
      <c r="F148" s="77">
        <f>IFERROR(__xludf.DUMMYFUNCTION("""COMPUTED_VALUE"""),1926.0)</f>
        <v>1926</v>
      </c>
      <c r="G148" s="77">
        <f>IFERROR(__xludf.DUMMYFUNCTION("""COMPUTED_VALUE"""),19.5)</f>
        <v>19.5</v>
      </c>
      <c r="H148" s="77">
        <f>IFERROR(__xludf.DUMMYFUNCTION("""COMPUTED_VALUE"""),23.0)</f>
        <v>23</v>
      </c>
      <c r="I148" s="77">
        <f>IFERROR(__xludf.DUMMYFUNCTION("""COMPUTED_VALUE"""),100.0)</f>
        <v>100</v>
      </c>
      <c r="J148" s="73"/>
      <c r="K148" s="73"/>
      <c r="L148" s="73"/>
      <c r="M148" s="77">
        <f>IFERROR(__xludf.DUMMYFUNCTION("""COMPUTED_VALUE"""),0.1)</f>
        <v>0.1</v>
      </c>
      <c r="N148" s="77">
        <f>IFERROR(__xludf.DUMMYFUNCTION("""COMPUTED_VALUE"""),1.0)</f>
        <v>1</v>
      </c>
      <c r="O148" s="49"/>
      <c r="P148" s="49" t="str">
        <f>IFERROR(__xludf.DUMMYFUNCTION("""COMPUTED_VALUE"""),"Offset")</f>
        <v>Offset</v>
      </c>
      <c r="Q148" s="49" t="str">
        <f>IFERROR(__xludf.DUMMYFUNCTION("""COMPUTED_VALUE"""),"Packaging")</f>
        <v>Packaging</v>
      </c>
      <c r="R148" s="49" t="str">
        <f>IFERROR(__xludf.DUMMYFUNCTION("""COMPUTED_VALUE"""),"Dhoop")</f>
        <v>Dhoop</v>
      </c>
    </row>
    <row r="149">
      <c r="A149" s="156" t="str">
        <f>IFERROR(__xludf.DUMMYFUNCTION("""COMPUTED_VALUE"""),"https://drive.google.com/open?id=1Gk8EFo89PvhNIZh-LmzSxoUKa6LjX_tn&amp;authuser=jay.agg%40gmail.com&amp;usp=drive_fs")</f>
        <v>https://drive.google.com/open?id=1Gk8EFo89PvhNIZh-LmzSxoUKa6LjX_tn&amp;authuser=jay.agg%40gmail.com&amp;usp=drive_fs</v>
      </c>
      <c r="B149" s="73" t="str">
        <f>IFERROR(__xludf.DUMMYFUNCTION("""COMPUTED_VALUE"""),"Agarbatti")</f>
        <v>Agarbatti</v>
      </c>
      <c r="C149" s="73" t="str">
        <f>IFERROR(__xludf.DUMMYFUNCTION("""COMPUTED_VALUE"""),"Single Box")</f>
        <v>Single Box</v>
      </c>
      <c r="D149" s="73" t="str">
        <f>IFERROR(__xludf.DUMMYFUNCTION("""COMPUTED_VALUE"""),"120*25*270 mm | 4.7*1*10.6 inch")</f>
        <v>120*25*270 mm | 4.7*1*10.6 inch</v>
      </c>
      <c r="E149" s="77">
        <f>IFERROR(__xludf.DUMMYFUNCTION("""COMPUTED_VALUE"""),2.0)</f>
        <v>2</v>
      </c>
      <c r="F149" s="77">
        <f>IFERROR(__xludf.DUMMYFUNCTION("""COMPUTED_VALUE"""),1926.0)</f>
        <v>1926</v>
      </c>
      <c r="G149" s="77">
        <f>IFERROR(__xludf.DUMMYFUNCTION("""COMPUTED_VALUE"""),15.0)</f>
        <v>15</v>
      </c>
      <c r="H149" s="77">
        <f>IFERROR(__xludf.DUMMYFUNCTION("""COMPUTED_VALUE"""),25.0)</f>
        <v>25</v>
      </c>
      <c r="I149" s="77">
        <f>IFERROR(__xludf.DUMMYFUNCTION("""COMPUTED_VALUE"""),100.0)</f>
        <v>100</v>
      </c>
      <c r="J149" s="73"/>
      <c r="K149" s="73"/>
      <c r="L149" s="73"/>
      <c r="M149" s="77">
        <f>IFERROR(__xludf.DUMMYFUNCTION("""COMPUTED_VALUE"""),0.1)</f>
        <v>0.1</v>
      </c>
      <c r="N149" s="77">
        <f>IFERROR(__xludf.DUMMYFUNCTION("""COMPUTED_VALUE"""),1.0)</f>
        <v>1</v>
      </c>
      <c r="O149" s="49"/>
      <c r="P149" s="49" t="str">
        <f>IFERROR(__xludf.DUMMYFUNCTION("""COMPUTED_VALUE"""),"Offset")</f>
        <v>Offset</v>
      </c>
      <c r="Q149" s="49" t="str">
        <f>IFERROR(__xludf.DUMMYFUNCTION("""COMPUTED_VALUE"""),"Packaging")</f>
        <v>Packaging</v>
      </c>
      <c r="R149" s="49" t="str">
        <f>IFERROR(__xludf.DUMMYFUNCTION("""COMPUTED_VALUE"""),"Agarbatti")</f>
        <v>Agarbatti</v>
      </c>
    </row>
    <row r="150">
      <c r="A150" s="156" t="str">
        <f>IFERROR(__xludf.DUMMYFUNCTION("""COMPUTED_VALUE"""),"https://drive.google.com/open?id=14M048j_F1XCvO9A45rRq3NCL-Y4Vf4Hd&amp;authuser=jay.agg%40gmail.com&amp;usp=drive_fs")</f>
        <v>https://drive.google.com/open?id=14M048j_F1XCvO9A45rRq3NCL-Y4Vf4Hd&amp;authuser=jay.agg%40gmail.com&amp;usp=drive_fs</v>
      </c>
      <c r="B150" s="73" t="str">
        <f>IFERROR(__xludf.DUMMYFUNCTION("""COMPUTED_VALUE"""),"Agarbatti")</f>
        <v>Agarbatti</v>
      </c>
      <c r="C150" s="73" t="str">
        <f>IFERROR(__xludf.DUMMYFUNCTION("""COMPUTED_VALUE"""),"Outer")</f>
        <v>Outer</v>
      </c>
      <c r="D150" s="73" t="str">
        <f>IFERROR(__xludf.DUMMYFUNCTION("""COMPUTED_VALUE"""),"135*60*255 mm | 5.3*2.4*10 inch")</f>
        <v>135*60*255 mm | 5.3*2.4*10 inch</v>
      </c>
      <c r="E150" s="77">
        <f>IFERROR(__xludf.DUMMYFUNCTION("""COMPUTED_VALUE"""),1.0)</f>
        <v>1</v>
      </c>
      <c r="F150" s="77">
        <f>IFERROR(__xludf.DUMMYFUNCTION("""COMPUTED_VALUE"""),1926.0)</f>
        <v>1926</v>
      </c>
      <c r="G150" s="77">
        <f>IFERROR(__xludf.DUMMYFUNCTION("""COMPUTED_VALUE"""),18.0)</f>
        <v>18</v>
      </c>
      <c r="H150" s="77">
        <f>IFERROR(__xludf.DUMMYFUNCTION("""COMPUTED_VALUE"""),19.0)</f>
        <v>19</v>
      </c>
      <c r="I150" s="77">
        <f>IFERROR(__xludf.DUMMYFUNCTION("""COMPUTED_VALUE"""),100.0)</f>
        <v>100</v>
      </c>
      <c r="J150" s="73"/>
      <c r="K150" s="73"/>
      <c r="L150" s="73"/>
      <c r="M150" s="77">
        <f>IFERROR(__xludf.DUMMYFUNCTION("""COMPUTED_VALUE"""),0.1)</f>
        <v>0.1</v>
      </c>
      <c r="N150" s="77">
        <f>IFERROR(__xludf.DUMMYFUNCTION("""COMPUTED_VALUE"""),1.0)</f>
        <v>1</v>
      </c>
      <c r="O150" s="49"/>
      <c r="P150" s="49" t="str">
        <f>IFERROR(__xludf.DUMMYFUNCTION("""COMPUTED_VALUE"""),"Offset")</f>
        <v>Offset</v>
      </c>
      <c r="Q150" s="49" t="str">
        <f>IFERROR(__xludf.DUMMYFUNCTION("""COMPUTED_VALUE"""),"Packaging")</f>
        <v>Packaging</v>
      </c>
      <c r="R150" s="49" t="str">
        <f>IFERROR(__xludf.DUMMYFUNCTION("""COMPUTED_VALUE"""),"Agarbatti")</f>
        <v>Agarbatti</v>
      </c>
    </row>
    <row r="151">
      <c r="A151" s="156" t="str">
        <f>IFERROR(__xludf.DUMMYFUNCTION("""COMPUTED_VALUE"""),"https://drive.google.com/open?id=15R2RhqoR7dpT0CwL0kQWNeVQ04rqeDCM&amp;usp=drive_fs")</f>
        <v>https://drive.google.com/open?id=15R2RhqoR7dpT0CwL0kQWNeVQ04rqeDCM&amp;usp=drive_fs</v>
      </c>
      <c r="B151" s="73" t="str">
        <f>IFERROR(__xludf.DUMMYFUNCTION("""COMPUTED_VALUE"""),"Agarbatti")</f>
        <v>Agarbatti</v>
      </c>
      <c r="C151" s="73" t="str">
        <f>IFERROR(__xludf.DUMMYFUNCTION("""COMPUTED_VALUE"""),"Single Box")</f>
        <v>Single Box</v>
      </c>
      <c r="D151" s="73" t="str">
        <f>IFERROR(__xludf.DUMMYFUNCTION("""COMPUTED_VALUE"""),"55*20*240 mm | 2.1*0.8*0.5 inch")</f>
        <v>55*20*240 mm | 2.1*0.8*0.5 inch</v>
      </c>
      <c r="E151" s="77">
        <f>IFERROR(__xludf.DUMMYFUNCTION("""COMPUTED_VALUE"""),6.0)</f>
        <v>6</v>
      </c>
      <c r="F151" s="77">
        <f>IFERROR(__xludf.DUMMYFUNCTION("""COMPUTED_VALUE"""),2029.0)</f>
        <v>2029</v>
      </c>
      <c r="G151" s="77">
        <f>IFERROR(__xludf.DUMMYFUNCTION("""COMPUTED_VALUE"""),19.5)</f>
        <v>19.5</v>
      </c>
      <c r="H151" s="77">
        <f>IFERROR(__xludf.DUMMYFUNCTION("""COMPUTED_VALUE"""),23.0)</f>
        <v>23</v>
      </c>
      <c r="I151" s="77">
        <f>IFERROR(__xludf.DUMMYFUNCTION("""COMPUTED_VALUE"""),100.0)</f>
        <v>100</v>
      </c>
      <c r="J151" s="73"/>
      <c r="K151" s="73"/>
      <c r="L151" s="73"/>
      <c r="M151" s="77">
        <f>IFERROR(__xludf.DUMMYFUNCTION("""COMPUTED_VALUE"""),0.1)</f>
        <v>0.1</v>
      </c>
      <c r="N151" s="77">
        <f>IFERROR(__xludf.DUMMYFUNCTION("""COMPUTED_VALUE"""),1.0)</f>
        <v>1</v>
      </c>
      <c r="O151" s="49"/>
      <c r="P151" s="49" t="str">
        <f>IFERROR(__xludf.DUMMYFUNCTION("""COMPUTED_VALUE"""),"Offset")</f>
        <v>Offset</v>
      </c>
      <c r="Q151" s="49" t="str">
        <f>IFERROR(__xludf.DUMMYFUNCTION("""COMPUTED_VALUE"""),"Packaging")</f>
        <v>Packaging</v>
      </c>
      <c r="R151" s="49" t="str">
        <f>IFERROR(__xludf.DUMMYFUNCTION("""COMPUTED_VALUE"""),"Agarbatti")</f>
        <v>Agarbatti</v>
      </c>
    </row>
    <row r="152">
      <c r="A152" s="156" t="str">
        <f>IFERROR(__xludf.DUMMYFUNCTION("""COMPUTED_VALUE"""),"https://drive.google.com/open?id=15f9flqdcn8nw7F_EFmkZh4ioQfoja5aG&amp;usp=drive_fs")</f>
        <v>https://drive.google.com/open?id=15f9flqdcn8nw7F_EFmkZh4ioQfoja5aG&amp;usp=drive_fs</v>
      </c>
      <c r="B152" s="73" t="str">
        <f>IFERROR(__xludf.DUMMYFUNCTION("""COMPUTED_VALUE"""),"Agarbatti")</f>
        <v>Agarbatti</v>
      </c>
      <c r="C152" s="73" t="str">
        <f>IFERROR(__xludf.DUMMYFUNCTION("""COMPUTED_VALUE"""),"Single Box")</f>
        <v>Single Box</v>
      </c>
      <c r="D152" s="73" t="str">
        <f>IFERROR(__xludf.DUMMYFUNCTION("""COMPUTED_VALUE"""),"35*10*240 mm | 1.4*0.4*9.5 inch")</f>
        <v>35*10*240 mm | 1.4*0.4*9.5 inch</v>
      </c>
      <c r="E152" s="77">
        <f>IFERROR(__xludf.DUMMYFUNCTION("""COMPUTED_VALUE"""),8.0)</f>
        <v>8</v>
      </c>
      <c r="F152" s="77">
        <f>IFERROR(__xludf.DUMMYFUNCTION("""COMPUTED_VALUE"""),1926.0)</f>
        <v>1926</v>
      </c>
      <c r="G152" s="77">
        <f>IFERROR(__xludf.DUMMYFUNCTION("""COMPUTED_VALUE"""),18.0)</f>
        <v>18</v>
      </c>
      <c r="H152" s="77">
        <f>IFERROR(__xludf.DUMMYFUNCTION("""COMPUTED_VALUE"""),23.0)</f>
        <v>23</v>
      </c>
      <c r="I152" s="77">
        <f>IFERROR(__xludf.DUMMYFUNCTION("""COMPUTED_VALUE"""),100.0)</f>
        <v>100</v>
      </c>
      <c r="J152" s="73"/>
      <c r="K152" s="73"/>
      <c r="L152" s="73"/>
      <c r="M152" s="77">
        <f>IFERROR(__xludf.DUMMYFUNCTION("""COMPUTED_VALUE"""),0.1)</f>
        <v>0.1</v>
      </c>
      <c r="N152" s="77">
        <f>IFERROR(__xludf.DUMMYFUNCTION("""COMPUTED_VALUE"""),1.0)</f>
        <v>1</v>
      </c>
      <c r="O152" s="49"/>
      <c r="P152" s="49" t="str">
        <f>IFERROR(__xludf.DUMMYFUNCTION("""COMPUTED_VALUE"""),"Offset")</f>
        <v>Offset</v>
      </c>
      <c r="Q152" s="49" t="str">
        <f>IFERROR(__xludf.DUMMYFUNCTION("""COMPUTED_VALUE"""),"Packaging")</f>
        <v>Packaging</v>
      </c>
      <c r="R152" s="49" t="str">
        <f>IFERROR(__xludf.DUMMYFUNCTION("""COMPUTED_VALUE"""),"Agarbatti")</f>
        <v>Agarbatti</v>
      </c>
    </row>
    <row r="153">
      <c r="A153" s="156" t="str">
        <f>IFERROR(__xludf.DUMMYFUNCTION("""COMPUTED_VALUE"""),"https://drive.google.com/open?id=15g17QO6svB9P3eswaobMWLtGAA18hWuZ&amp;usp=drive_fs")</f>
        <v>https://drive.google.com/open?id=15g17QO6svB9P3eswaobMWLtGAA18hWuZ&amp;usp=drive_fs</v>
      </c>
      <c r="B153" s="73" t="str">
        <f>IFERROR(__xludf.DUMMYFUNCTION("""COMPUTED_VALUE"""),"Agarbatti")</f>
        <v>Agarbatti</v>
      </c>
      <c r="C153" s="73" t="str">
        <f>IFERROR(__xludf.DUMMYFUNCTION("""COMPUTED_VALUE"""),"Single Box")</f>
        <v>Single Box</v>
      </c>
      <c r="D153" s="73" t="str">
        <f>IFERROR(__xludf.DUMMYFUNCTION("""COMPUTED_VALUE"""),"40*12*220 mm | 1.6*0.5*8.6 inch")</f>
        <v>40*12*220 mm | 1.6*0.5*8.6 inch</v>
      </c>
      <c r="E153" s="77">
        <f>IFERROR(__xludf.DUMMYFUNCTION("""COMPUTED_VALUE"""),6.0)</f>
        <v>6</v>
      </c>
      <c r="F153" s="77">
        <f>IFERROR(__xludf.DUMMYFUNCTION("""COMPUTED_VALUE"""),1926.0)</f>
        <v>1926</v>
      </c>
      <c r="G153" s="77">
        <f>IFERROR(__xludf.DUMMYFUNCTION("""COMPUTED_VALUE"""),15.75)</f>
        <v>15.75</v>
      </c>
      <c r="H153" s="77">
        <f>IFERROR(__xludf.DUMMYFUNCTION("""COMPUTED_VALUE"""),20.75)</f>
        <v>20.75</v>
      </c>
      <c r="I153" s="77">
        <f>IFERROR(__xludf.DUMMYFUNCTION("""COMPUTED_VALUE"""),100.0)</f>
        <v>100</v>
      </c>
      <c r="J153" s="73"/>
      <c r="K153" s="73"/>
      <c r="L153" s="73"/>
      <c r="M153" s="77">
        <f>IFERROR(__xludf.DUMMYFUNCTION("""COMPUTED_VALUE"""),0.1)</f>
        <v>0.1</v>
      </c>
      <c r="N153" s="77">
        <f>IFERROR(__xludf.DUMMYFUNCTION("""COMPUTED_VALUE"""),1.0)</f>
        <v>1</v>
      </c>
      <c r="O153" s="49"/>
      <c r="P153" s="49" t="str">
        <f>IFERROR(__xludf.DUMMYFUNCTION("""COMPUTED_VALUE"""),"Offset")</f>
        <v>Offset</v>
      </c>
      <c r="Q153" s="49" t="str">
        <f>IFERROR(__xludf.DUMMYFUNCTION("""COMPUTED_VALUE"""),"Packaging")</f>
        <v>Packaging</v>
      </c>
      <c r="R153" s="49" t="str">
        <f>IFERROR(__xludf.DUMMYFUNCTION("""COMPUTED_VALUE"""),"Agarbatti")</f>
        <v>Agarbatti</v>
      </c>
    </row>
    <row r="154">
      <c r="A154" s="156" t="str">
        <f>IFERROR(__xludf.DUMMYFUNCTION("""COMPUTED_VALUE"""),"https://drive.google.com/open?id=11zKE_1hD0nf8OC--HSsIIJ3AChtYTFaO&amp;usp=drive_fs")</f>
        <v>https://drive.google.com/open?id=11zKE_1hD0nf8OC--HSsIIJ3AChtYTFaO&amp;usp=drive_fs</v>
      </c>
      <c r="B154" s="73" t="str">
        <f>IFERROR(__xludf.DUMMYFUNCTION("""COMPUTED_VALUE"""),"Dhoop")</f>
        <v>Dhoop</v>
      </c>
      <c r="C154" s="73" t="str">
        <f>IFERROR(__xludf.DUMMYFUNCTION("""COMPUTED_VALUE"""),"Single Box")</f>
        <v>Single Box</v>
      </c>
      <c r="D154" s="73" t="str">
        <f>IFERROR(__xludf.DUMMYFUNCTION("""COMPUTED_VALUE"""),"55*28*95 mm | 2.16*1.1*3.7 inch")</f>
        <v>55*28*95 mm | 2.16*1.1*3.7 inch</v>
      </c>
      <c r="E154" s="77">
        <f>IFERROR(__xludf.DUMMYFUNCTION("""COMPUTED_VALUE"""),9.0)</f>
        <v>9</v>
      </c>
      <c r="F154" s="77">
        <f>IFERROR(__xludf.DUMMYFUNCTION("""COMPUTED_VALUE"""),2029.0)</f>
        <v>2029</v>
      </c>
      <c r="G154" s="77">
        <f>IFERROR(__xludf.DUMMYFUNCTION("""COMPUTED_VALUE"""),19.5)</f>
        <v>19.5</v>
      </c>
      <c r="H154" s="77">
        <f>IFERROR(__xludf.DUMMYFUNCTION("""COMPUTED_VALUE"""),23.0)</f>
        <v>23</v>
      </c>
      <c r="I154" s="77">
        <f>IFERROR(__xludf.DUMMYFUNCTION("""COMPUTED_VALUE"""),100.0)</f>
        <v>100</v>
      </c>
      <c r="J154" s="73"/>
      <c r="K154" s="73"/>
      <c r="L154" s="73"/>
      <c r="M154" s="77">
        <f>IFERROR(__xludf.DUMMYFUNCTION("""COMPUTED_VALUE"""),0.1)</f>
        <v>0.1</v>
      </c>
      <c r="N154" s="77">
        <f>IFERROR(__xludf.DUMMYFUNCTION("""COMPUTED_VALUE"""),1.0)</f>
        <v>1</v>
      </c>
      <c r="O154" s="49"/>
      <c r="P154" s="49" t="str">
        <f>IFERROR(__xludf.DUMMYFUNCTION("""COMPUTED_VALUE"""),"Offset")</f>
        <v>Offset</v>
      </c>
      <c r="Q154" s="49" t="str">
        <f>IFERROR(__xludf.DUMMYFUNCTION("""COMPUTED_VALUE"""),"Packaging")</f>
        <v>Packaging</v>
      </c>
      <c r="R154" s="49" t="str">
        <f>IFERROR(__xludf.DUMMYFUNCTION("""COMPUTED_VALUE"""),"Dhoop")</f>
        <v>Dhoop</v>
      </c>
    </row>
    <row r="155">
      <c r="A155" s="156" t="str">
        <f>IFERROR(__xludf.DUMMYFUNCTION("""COMPUTED_VALUE"""),"https://drive.google.com/open?id=120l4XLhCzkF2qQfMJP6T1kM_4bvnjoV-&amp;usp=drive_fs")</f>
        <v>https://drive.google.com/open?id=120l4XLhCzkF2qQfMJP6T1kM_4bvnjoV-&amp;usp=drive_fs</v>
      </c>
      <c r="B155" s="73" t="str">
        <f>IFERROR(__xludf.DUMMYFUNCTION("""COMPUTED_VALUE"""),"Agarbatti")</f>
        <v>Agarbatti</v>
      </c>
      <c r="C155" s="73" t="str">
        <f>IFERROR(__xludf.DUMMYFUNCTION("""COMPUTED_VALUE"""),"Single Box")</f>
        <v>Single Box</v>
      </c>
      <c r="D155" s="73" t="str">
        <f>IFERROR(__xludf.DUMMYFUNCTION("""COMPUTED_VALUE"""),"58*18*270 mm | 2.3*0.8*9.5 inch")</f>
        <v>58*18*270 mm | 2.3*0.8*9.5 inch</v>
      </c>
      <c r="E155" s="77">
        <f>IFERROR(__xludf.DUMMYFUNCTION("""COMPUTED_VALUE"""),6.0)</f>
        <v>6</v>
      </c>
      <c r="F155" s="77">
        <f>IFERROR(__xludf.DUMMYFUNCTION("""COMPUTED_VALUE"""),2029.0)</f>
        <v>2029</v>
      </c>
      <c r="G155" s="77">
        <f>IFERROR(__xludf.DUMMYFUNCTION("""COMPUTED_VALUE"""),19.5)</f>
        <v>19.5</v>
      </c>
      <c r="H155" s="77">
        <f>IFERROR(__xludf.DUMMYFUNCTION("""COMPUTED_VALUE"""),23.0)</f>
        <v>23</v>
      </c>
      <c r="I155" s="77">
        <f>IFERROR(__xludf.DUMMYFUNCTION("""COMPUTED_VALUE"""),100.0)</f>
        <v>100</v>
      </c>
      <c r="J155" s="73"/>
      <c r="K155" s="73"/>
      <c r="L155" s="73"/>
      <c r="M155" s="77">
        <f>IFERROR(__xludf.DUMMYFUNCTION("""COMPUTED_VALUE"""),0.1)</f>
        <v>0.1</v>
      </c>
      <c r="N155" s="77">
        <f>IFERROR(__xludf.DUMMYFUNCTION("""COMPUTED_VALUE"""),1.0)</f>
        <v>1</v>
      </c>
      <c r="O155" s="49"/>
      <c r="P155" s="49" t="str">
        <f>IFERROR(__xludf.DUMMYFUNCTION("""COMPUTED_VALUE"""),"Offset")</f>
        <v>Offset</v>
      </c>
      <c r="Q155" s="49" t="str">
        <f>IFERROR(__xludf.DUMMYFUNCTION("""COMPUTED_VALUE"""),"Packaging")</f>
        <v>Packaging</v>
      </c>
      <c r="R155" s="49" t="str">
        <f>IFERROR(__xludf.DUMMYFUNCTION("""COMPUTED_VALUE"""),"Agarbatti")</f>
        <v>Agarbatti</v>
      </c>
    </row>
    <row r="156">
      <c r="A156" s="156" t="str">
        <f>IFERROR(__xludf.DUMMYFUNCTION("""COMPUTED_VALUE"""),"https://drive.google.com/open?id=123v16qlnJcvIgd6LZNXziJ_y0lW5xG6U&amp;usp=drive_fs")</f>
        <v>https://drive.google.com/open?id=123v16qlnJcvIgd6LZNXziJ_y0lW5xG6U&amp;usp=drive_fs</v>
      </c>
      <c r="B156" s="73" t="str">
        <f>IFERROR(__xludf.DUMMYFUNCTION("""COMPUTED_VALUE"""),"Agarbatti")</f>
        <v>Agarbatti</v>
      </c>
      <c r="C156" s="73" t="str">
        <f>IFERROR(__xludf.DUMMYFUNCTION("""COMPUTED_VALUE"""),"Single Box")</f>
        <v>Single Box</v>
      </c>
      <c r="D156" s="73" t="str">
        <f>IFERROR(__xludf.DUMMYFUNCTION("""COMPUTED_VALUE"""),"50*18*240 mm | 2*0.7*9.5 inch")</f>
        <v>50*18*240 mm | 2*0.7*9.5 inch</v>
      </c>
      <c r="E156" s="77">
        <f>IFERROR(__xludf.DUMMYFUNCTION("""COMPUTED_VALUE"""),6.0)</f>
        <v>6</v>
      </c>
      <c r="F156" s="77">
        <f>IFERROR(__xludf.DUMMYFUNCTION("""COMPUTED_VALUE"""),1926.0)</f>
        <v>1926</v>
      </c>
      <c r="G156" s="77">
        <f>IFERROR(__xludf.DUMMYFUNCTION("""COMPUTED_VALUE"""),18.0)</f>
        <v>18</v>
      </c>
      <c r="H156" s="77">
        <f>IFERROR(__xludf.DUMMYFUNCTION("""COMPUTED_VALUE"""),23.0)</f>
        <v>23</v>
      </c>
      <c r="I156" s="77">
        <f>IFERROR(__xludf.DUMMYFUNCTION("""COMPUTED_VALUE"""),100.0)</f>
        <v>100</v>
      </c>
      <c r="J156" s="73"/>
      <c r="K156" s="73"/>
      <c r="L156" s="73"/>
      <c r="M156" s="77">
        <f>IFERROR(__xludf.DUMMYFUNCTION("""COMPUTED_VALUE"""),0.1)</f>
        <v>0.1</v>
      </c>
      <c r="N156" s="77">
        <f>IFERROR(__xludf.DUMMYFUNCTION("""COMPUTED_VALUE"""),1.0)</f>
        <v>1</v>
      </c>
      <c r="O156" s="49"/>
      <c r="P156" s="49" t="str">
        <f>IFERROR(__xludf.DUMMYFUNCTION("""COMPUTED_VALUE"""),"Offset")</f>
        <v>Offset</v>
      </c>
      <c r="Q156" s="49" t="str">
        <f>IFERROR(__xludf.DUMMYFUNCTION("""COMPUTED_VALUE"""),"Packaging")</f>
        <v>Packaging</v>
      </c>
      <c r="R156" s="49" t="str">
        <f>IFERROR(__xludf.DUMMYFUNCTION("""COMPUTED_VALUE"""),"Agarbatti")</f>
        <v>Agarbatti</v>
      </c>
    </row>
    <row r="157">
      <c r="A157" s="156" t="str">
        <f>IFERROR(__xludf.DUMMYFUNCTION("""COMPUTED_VALUE"""),"https://drive.google.com/open?id=128zHpI7XkiKCR_R8rKQGokf6kCUkSdBO&amp;usp=drive_fs")</f>
        <v>https://drive.google.com/open?id=128zHpI7XkiKCR_R8rKQGokf6kCUkSdBO&amp;usp=drive_fs</v>
      </c>
      <c r="B157" s="73" t="str">
        <f>IFERROR(__xludf.DUMMYFUNCTION("""COMPUTED_VALUE"""),"Cup")</f>
        <v>Cup</v>
      </c>
      <c r="C157" s="73" t="str">
        <f>IFERROR(__xludf.DUMMYFUNCTION("""COMPUTED_VALUE"""),"Single Box")</f>
        <v>Single Box</v>
      </c>
      <c r="D157" s="73" t="str">
        <f>IFERROR(__xludf.DUMMYFUNCTION("""COMPUTED_VALUE"""),"167*123*30 mm | 6.5*4.8*1.2 inch")</f>
        <v>167*123*30 mm | 6.5*4.8*1.2 inch</v>
      </c>
      <c r="E157" s="77">
        <f>IFERROR(__xludf.DUMMYFUNCTION("""COMPUTED_VALUE"""),2.0)</f>
        <v>2</v>
      </c>
      <c r="F157" s="77">
        <f>IFERROR(__xludf.DUMMYFUNCTION("""COMPUTED_VALUE"""),2029.0)</f>
        <v>2029</v>
      </c>
      <c r="G157" s="77">
        <f>IFERROR(__xludf.DUMMYFUNCTION("""COMPUTED_VALUE"""),20.0)</f>
        <v>20</v>
      </c>
      <c r="H157" s="77">
        <f>IFERROR(__xludf.DUMMYFUNCTION("""COMPUTED_VALUE"""),25.0)</f>
        <v>25</v>
      </c>
      <c r="I157" s="77">
        <f>IFERROR(__xludf.DUMMYFUNCTION("""COMPUTED_VALUE"""),100.0)</f>
        <v>100</v>
      </c>
      <c r="J157" s="73"/>
      <c r="K157" s="73"/>
      <c r="L157" s="73"/>
      <c r="M157" s="77">
        <f>IFERROR(__xludf.DUMMYFUNCTION("""COMPUTED_VALUE"""),0.1)</f>
        <v>0.1</v>
      </c>
      <c r="N157" s="77">
        <f>IFERROR(__xludf.DUMMYFUNCTION("""COMPUTED_VALUE"""),1.0)</f>
        <v>1</v>
      </c>
      <c r="O157" s="49"/>
      <c r="P157" s="49" t="str">
        <f>IFERROR(__xludf.DUMMYFUNCTION("""COMPUTED_VALUE"""),"Offset")</f>
        <v>Offset</v>
      </c>
      <c r="Q157" s="49" t="str">
        <f>IFERROR(__xludf.DUMMYFUNCTION("""COMPUTED_VALUE"""),"Packaging")</f>
        <v>Packaging</v>
      </c>
      <c r="R157" s="49" t="str">
        <f>IFERROR(__xludf.DUMMYFUNCTION("""COMPUTED_VALUE"""),"Cup")</f>
        <v>Cup</v>
      </c>
    </row>
    <row r="158">
      <c r="A158" s="156" t="str">
        <f>IFERROR(__xludf.DUMMYFUNCTION("""COMPUTED_VALUE"""),"https://drive.google.com/open?id=1HnsvMW2pID3fLv9btruUDxQ3p3pIrIOy&amp;usp=drive_fs")</f>
        <v>https://drive.google.com/open?id=1HnsvMW2pID3fLv9btruUDxQ3p3pIrIOy&amp;usp=drive_fs</v>
      </c>
      <c r="B158" s="73" t="str">
        <f>IFERROR(__xludf.DUMMYFUNCTION("""COMPUTED_VALUE"""),"Agarbatti")</f>
        <v>Agarbatti</v>
      </c>
      <c r="C158" s="73" t="str">
        <f>IFERROR(__xludf.DUMMYFUNCTION("""COMPUTED_VALUE"""),"Single Box")</f>
        <v>Single Box</v>
      </c>
      <c r="D158" s="73" t="str">
        <f>IFERROR(__xludf.DUMMYFUNCTION("""COMPUTED_VALUE"""),"45*14*254 mm | 1.7*0.5*10 inch")</f>
        <v>45*14*254 mm | 1.7*0.5*10 inch</v>
      </c>
      <c r="E158" s="77">
        <f>IFERROR(__xludf.DUMMYFUNCTION("""COMPUTED_VALUE"""),6.0)</f>
        <v>6</v>
      </c>
      <c r="F158" s="77">
        <f>IFERROR(__xludf.DUMMYFUNCTION("""COMPUTED_VALUE"""),1926.0)</f>
        <v>1926</v>
      </c>
      <c r="G158" s="77">
        <f>IFERROR(__xludf.DUMMYFUNCTION("""COMPUTED_VALUE"""),18.0)</f>
        <v>18</v>
      </c>
      <c r="H158" s="77">
        <f>IFERROR(__xludf.DUMMYFUNCTION("""COMPUTED_VALUE"""),23.0)</f>
        <v>23</v>
      </c>
      <c r="I158" s="77">
        <f>IFERROR(__xludf.DUMMYFUNCTION("""COMPUTED_VALUE"""),100.0)</f>
        <v>100</v>
      </c>
      <c r="J158" s="73"/>
      <c r="K158" s="73"/>
      <c r="L158" s="73"/>
      <c r="M158" s="77">
        <f>IFERROR(__xludf.DUMMYFUNCTION("""COMPUTED_VALUE"""),0.1)</f>
        <v>0.1</v>
      </c>
      <c r="N158" s="77">
        <f>IFERROR(__xludf.DUMMYFUNCTION("""COMPUTED_VALUE"""),1.0)</f>
        <v>1</v>
      </c>
      <c r="O158" s="49"/>
      <c r="P158" s="49" t="str">
        <f>IFERROR(__xludf.DUMMYFUNCTION("""COMPUTED_VALUE"""),"Offset")</f>
        <v>Offset</v>
      </c>
      <c r="Q158" s="49" t="str">
        <f>IFERROR(__xludf.DUMMYFUNCTION("""COMPUTED_VALUE"""),"Packaging")</f>
        <v>Packaging</v>
      </c>
      <c r="R158" s="49" t="str">
        <f>IFERROR(__xludf.DUMMYFUNCTION("""COMPUTED_VALUE"""),"Agarbatti")</f>
        <v>Agarbatti</v>
      </c>
    </row>
    <row r="159">
      <c r="A159" s="156" t="str">
        <f>IFERROR(__xludf.DUMMYFUNCTION("""COMPUTED_VALUE"""),"https://drive.google.com/open?id=1HqJcw6t9EGx0LoHEzGBLMiT0lZBbkEN7&amp;usp=drive_fs")</f>
        <v>https://drive.google.com/open?id=1HqJcw6t9EGx0LoHEzGBLMiT0lZBbkEN7&amp;usp=drive_fs</v>
      </c>
      <c r="B159" s="73" t="str">
        <f>IFERROR(__xludf.DUMMYFUNCTION("""COMPUTED_VALUE"""),"Agarbatti")</f>
        <v>Agarbatti</v>
      </c>
      <c r="C159" s="73" t="str">
        <f>IFERROR(__xludf.DUMMYFUNCTION("""COMPUTED_VALUE"""),"Single Box")</f>
        <v>Single Box</v>
      </c>
      <c r="D159" s="73" t="str">
        <f>IFERROR(__xludf.DUMMYFUNCTION("""COMPUTED_VALUE"""),"60*17.5*254 mm | 2.3*0.7*10 inch")</f>
        <v>60*17.5*254 mm | 2.3*0.7*10 inch</v>
      </c>
      <c r="E159" s="77">
        <f>IFERROR(__xludf.DUMMYFUNCTION("""COMPUTED_VALUE"""),4.0)</f>
        <v>4</v>
      </c>
      <c r="F159" s="77">
        <f>IFERROR(__xludf.DUMMYFUNCTION("""COMPUTED_VALUE"""),1926.0)</f>
        <v>1926</v>
      </c>
      <c r="G159" s="77">
        <f>IFERROR(__xludf.DUMMYFUNCTION("""COMPUTED_VALUE"""),15.0)</f>
        <v>15</v>
      </c>
      <c r="H159" s="77">
        <f>IFERROR(__xludf.DUMMYFUNCTION("""COMPUTED_VALUE"""),25.0)</f>
        <v>25</v>
      </c>
      <c r="I159" s="77">
        <f>IFERROR(__xludf.DUMMYFUNCTION("""COMPUTED_VALUE"""),100.0)</f>
        <v>100</v>
      </c>
      <c r="J159" s="73"/>
      <c r="K159" s="73"/>
      <c r="L159" s="73"/>
      <c r="M159" s="77">
        <f>IFERROR(__xludf.DUMMYFUNCTION("""COMPUTED_VALUE"""),0.1)</f>
        <v>0.1</v>
      </c>
      <c r="N159" s="77">
        <f>IFERROR(__xludf.DUMMYFUNCTION("""COMPUTED_VALUE"""),1.0)</f>
        <v>1</v>
      </c>
      <c r="O159" s="49"/>
      <c r="P159" s="49" t="str">
        <f>IFERROR(__xludf.DUMMYFUNCTION("""COMPUTED_VALUE"""),"Offset")</f>
        <v>Offset</v>
      </c>
      <c r="Q159" s="49" t="str">
        <f>IFERROR(__xludf.DUMMYFUNCTION("""COMPUTED_VALUE"""),"Packaging")</f>
        <v>Packaging</v>
      </c>
      <c r="R159" s="49" t="str">
        <f>IFERROR(__xludf.DUMMYFUNCTION("""COMPUTED_VALUE"""),"Agarbatti")</f>
        <v>Agarbatti</v>
      </c>
    </row>
    <row r="160">
      <c r="A160" s="156" t="str">
        <f>IFERROR(__xludf.DUMMYFUNCTION("""COMPUTED_VALUE"""),"https://drive.google.com/open?id=1HsrQ0Om1SMb_2nRQvW9idwKif0nKCN--&amp;usp=drive_fs")</f>
        <v>https://drive.google.com/open?id=1HsrQ0Om1SMb_2nRQvW9idwKif0nKCN--&amp;usp=drive_fs</v>
      </c>
      <c r="B160" s="73" t="str">
        <f>IFERROR(__xludf.DUMMYFUNCTION("""COMPUTED_VALUE"""),"Agarbatti")</f>
        <v>Agarbatti</v>
      </c>
      <c r="C160" s="73" t="str">
        <f>IFERROR(__xludf.DUMMYFUNCTION("""COMPUTED_VALUE"""),"Single Box")</f>
        <v>Single Box</v>
      </c>
      <c r="D160" s="73" t="str">
        <f>IFERROR(__xludf.DUMMYFUNCTION("""COMPUTED_VALUE"""),"65*21*280 mm | 2.6*0.8*11 inch")</f>
        <v>65*21*280 mm | 2.6*0.8*11 inch</v>
      </c>
      <c r="E160" s="77">
        <f>IFERROR(__xludf.DUMMYFUNCTION("""COMPUTED_VALUE"""),3.0)</f>
        <v>3</v>
      </c>
      <c r="F160" s="77">
        <f>IFERROR(__xludf.DUMMYFUNCTION("""COMPUTED_VALUE"""),1926.0)</f>
        <v>1926</v>
      </c>
      <c r="G160" s="77">
        <f>IFERROR(__xludf.DUMMYFUNCTION("""COMPUTED_VALUE"""),14.0)</f>
        <v>14</v>
      </c>
      <c r="H160" s="77">
        <f>IFERROR(__xludf.DUMMYFUNCTION("""COMPUTED_VALUE"""),22.0)</f>
        <v>22</v>
      </c>
      <c r="I160" s="77">
        <f>IFERROR(__xludf.DUMMYFUNCTION("""COMPUTED_VALUE"""),100.0)</f>
        <v>100</v>
      </c>
      <c r="J160" s="73"/>
      <c r="K160" s="73"/>
      <c r="L160" s="73"/>
      <c r="M160" s="77">
        <f>IFERROR(__xludf.DUMMYFUNCTION("""COMPUTED_VALUE"""),0.1)</f>
        <v>0.1</v>
      </c>
      <c r="N160" s="77">
        <f>IFERROR(__xludf.DUMMYFUNCTION("""COMPUTED_VALUE"""),1.0)</f>
        <v>1</v>
      </c>
      <c r="O160" s="49"/>
      <c r="P160" s="49" t="str">
        <f>IFERROR(__xludf.DUMMYFUNCTION("""COMPUTED_VALUE"""),"Offset")</f>
        <v>Offset</v>
      </c>
      <c r="Q160" s="49" t="str">
        <f>IFERROR(__xludf.DUMMYFUNCTION("""COMPUTED_VALUE"""),"Packaging")</f>
        <v>Packaging</v>
      </c>
      <c r="R160" s="49" t="str">
        <f>IFERROR(__xludf.DUMMYFUNCTION("""COMPUTED_VALUE"""),"Agarbatti")</f>
        <v>Agarbatti</v>
      </c>
    </row>
    <row r="161">
      <c r="A161" s="156" t="str">
        <f>IFERROR(__xludf.DUMMYFUNCTION("""COMPUTED_VALUE"""),"https://drive.google.com/open?id=14n9zC_JEDq5wPamvA7xIUh3DdQTB6Cmq&amp;usp=drive_fs")</f>
        <v>https://drive.google.com/open?id=14n9zC_JEDq5wPamvA7xIUh3DdQTB6Cmq&amp;usp=drive_fs</v>
      </c>
      <c r="B161" s="73" t="str">
        <f>IFERROR(__xludf.DUMMYFUNCTION("""COMPUTED_VALUE"""),"Agarbatti")</f>
        <v>Agarbatti</v>
      </c>
      <c r="C161" s="73" t="str">
        <f>IFERROR(__xludf.DUMMYFUNCTION("""COMPUTED_VALUE"""),"Single Box")</f>
        <v>Single Box</v>
      </c>
      <c r="D161" s="73" t="str">
        <f>IFERROR(__xludf.DUMMYFUNCTION("""COMPUTED_VALUE"""),"49*19*133 mm | 1.9*0.7*5.2 inch")</f>
        <v>49*19*133 mm | 1.9*0.7*5.2 inch</v>
      </c>
      <c r="E161" s="77">
        <f>IFERROR(__xludf.DUMMYFUNCTION("""COMPUTED_VALUE"""),9.0)</f>
        <v>9</v>
      </c>
      <c r="F161" s="77">
        <f>IFERROR(__xludf.DUMMYFUNCTION("""COMPUTED_VALUE"""),1926.0)</f>
        <v>1926</v>
      </c>
      <c r="G161" s="77">
        <f>IFERROR(__xludf.DUMMYFUNCTION("""COMPUTED_VALUE"""),18.0)</f>
        <v>18</v>
      </c>
      <c r="H161" s="77">
        <f>IFERROR(__xludf.DUMMYFUNCTION("""COMPUTED_VALUE"""),23.0)</f>
        <v>23</v>
      </c>
      <c r="I161" s="77">
        <f>IFERROR(__xludf.DUMMYFUNCTION("""COMPUTED_VALUE"""),100.0)</f>
        <v>100</v>
      </c>
      <c r="J161" s="73"/>
      <c r="K161" s="73"/>
      <c r="L161" s="73"/>
      <c r="M161" s="77">
        <f>IFERROR(__xludf.DUMMYFUNCTION("""COMPUTED_VALUE"""),0.1)</f>
        <v>0.1</v>
      </c>
      <c r="N161" s="77">
        <f>IFERROR(__xludf.DUMMYFUNCTION("""COMPUTED_VALUE"""),1.0)</f>
        <v>1</v>
      </c>
      <c r="O161" s="49"/>
      <c r="P161" s="49" t="str">
        <f>IFERROR(__xludf.DUMMYFUNCTION("""COMPUTED_VALUE"""),"Offset")</f>
        <v>Offset</v>
      </c>
      <c r="Q161" s="49" t="str">
        <f>IFERROR(__xludf.DUMMYFUNCTION("""COMPUTED_VALUE"""),"Packaging")</f>
        <v>Packaging</v>
      </c>
      <c r="R161" s="49" t="str">
        <f>IFERROR(__xludf.DUMMYFUNCTION("""COMPUTED_VALUE"""),"Agarbatti")</f>
        <v>Agarbatti</v>
      </c>
    </row>
    <row r="162">
      <c r="A162" s="156" t="str">
        <f>IFERROR(__xludf.DUMMYFUNCTION("""COMPUTED_VALUE"""),"https://drive.google.com/open?id=14oaHNF771MDxVAHQaZZpWY-ZzDhpRKzl&amp;usp=drive_fs")</f>
        <v>https://drive.google.com/open?id=14oaHNF771MDxVAHQaZZpWY-ZzDhpRKzl&amp;usp=drive_fs</v>
      </c>
      <c r="B162" s="73" t="str">
        <f>IFERROR(__xludf.DUMMYFUNCTION("""COMPUTED_VALUE"""),"Agarbatti")</f>
        <v>Agarbatti</v>
      </c>
      <c r="C162" s="73" t="str">
        <f>IFERROR(__xludf.DUMMYFUNCTION("""COMPUTED_VALUE"""),"Outer")</f>
        <v>Outer</v>
      </c>
      <c r="D162" s="73" t="str">
        <f>IFERROR(__xludf.DUMMYFUNCTION("""COMPUTED_VALUE"""),"150*76*136 mm | 5.9*2.9*5.3 inch")</f>
        <v>150*76*136 mm | 5.9*2.9*5.3 inch</v>
      </c>
      <c r="E162" s="77">
        <f>IFERROR(__xludf.DUMMYFUNCTION("""COMPUTED_VALUE"""),2.0)</f>
        <v>2</v>
      </c>
      <c r="F162" s="77">
        <f>IFERROR(__xludf.DUMMYFUNCTION("""COMPUTED_VALUE"""),1926.0)</f>
        <v>1926</v>
      </c>
      <c r="G162" s="77">
        <f>IFERROR(__xludf.DUMMYFUNCTION("""COMPUTED_VALUE"""),19.5)</f>
        <v>19.5</v>
      </c>
      <c r="H162" s="77">
        <f>IFERROR(__xludf.DUMMYFUNCTION("""COMPUTED_VALUE"""),23.0)</f>
        <v>23</v>
      </c>
      <c r="I162" s="77">
        <f>IFERROR(__xludf.DUMMYFUNCTION("""COMPUTED_VALUE"""),100.0)</f>
        <v>100</v>
      </c>
      <c r="J162" s="73"/>
      <c r="K162" s="73"/>
      <c r="L162" s="73"/>
      <c r="M162" s="77">
        <f>IFERROR(__xludf.DUMMYFUNCTION("""COMPUTED_VALUE"""),0.1)</f>
        <v>0.1</v>
      </c>
      <c r="N162" s="77">
        <f>IFERROR(__xludf.DUMMYFUNCTION("""COMPUTED_VALUE"""),1.0)</f>
        <v>1</v>
      </c>
      <c r="O162" s="49"/>
      <c r="P162" s="49" t="str">
        <f>IFERROR(__xludf.DUMMYFUNCTION("""COMPUTED_VALUE"""),"Offset")</f>
        <v>Offset</v>
      </c>
      <c r="Q162" s="49" t="str">
        <f>IFERROR(__xludf.DUMMYFUNCTION("""COMPUTED_VALUE"""),"Packaging")</f>
        <v>Packaging</v>
      </c>
      <c r="R162" s="49" t="str">
        <f>IFERROR(__xludf.DUMMYFUNCTION("""COMPUTED_VALUE"""),"Agarbatti")</f>
        <v>Agarbatti</v>
      </c>
    </row>
    <row r="163">
      <c r="A163" s="156" t="str">
        <f>IFERROR(__xludf.DUMMYFUNCTION("""COMPUTED_VALUE"""),"https://drive.google.com/open?id=14w9PuoHsOkwL-AQzzLHk6CjCMdeqC0I2&amp;usp=drive_fs")</f>
        <v>https://drive.google.com/open?id=14w9PuoHsOkwL-AQzzLHk6CjCMdeqC0I2&amp;usp=drive_fs</v>
      </c>
      <c r="B163" s="73" t="str">
        <f>IFERROR(__xludf.DUMMYFUNCTION("""COMPUTED_VALUE"""),"Agarbatti")</f>
        <v>Agarbatti</v>
      </c>
      <c r="C163" s="73" t="str">
        <f>IFERROR(__xludf.DUMMYFUNCTION("""COMPUTED_VALUE"""),"Outer")</f>
        <v>Outer</v>
      </c>
      <c r="D163" s="73" t="str">
        <f>IFERROR(__xludf.DUMMYFUNCTION("""COMPUTED_VALUE"""),"156*77*224 mm | 6.1*3*8.8 inch")</f>
        <v>156*77*224 mm | 6.1*3*8.8 inch</v>
      </c>
      <c r="E163" s="77">
        <f>IFERROR(__xludf.DUMMYFUNCTION("""COMPUTED_VALUE"""),1.0)</f>
        <v>1</v>
      </c>
      <c r="F163" s="77">
        <f>IFERROR(__xludf.DUMMYFUNCTION("""COMPUTED_VALUE"""),1926.0)</f>
        <v>1926</v>
      </c>
      <c r="G163" s="77">
        <f>IFERROR(__xludf.DUMMYFUNCTION("""COMPUTED_VALUE"""),18.0)</f>
        <v>18</v>
      </c>
      <c r="H163" s="77">
        <f>IFERROR(__xludf.DUMMYFUNCTION("""COMPUTED_VALUE"""),23.0)</f>
        <v>23</v>
      </c>
      <c r="I163" s="77">
        <f>IFERROR(__xludf.DUMMYFUNCTION("""COMPUTED_VALUE"""),100.0)</f>
        <v>100</v>
      </c>
      <c r="J163" s="73"/>
      <c r="K163" s="73"/>
      <c r="L163" s="73"/>
      <c r="M163" s="77">
        <f>IFERROR(__xludf.DUMMYFUNCTION("""COMPUTED_VALUE"""),0.1)</f>
        <v>0.1</v>
      </c>
      <c r="N163" s="77">
        <f>IFERROR(__xludf.DUMMYFUNCTION("""COMPUTED_VALUE"""),1.0)</f>
        <v>1</v>
      </c>
      <c r="O163" s="49"/>
      <c r="P163" s="49" t="str">
        <f>IFERROR(__xludf.DUMMYFUNCTION("""COMPUTED_VALUE"""),"Offset")</f>
        <v>Offset</v>
      </c>
      <c r="Q163" s="49" t="str">
        <f>IFERROR(__xludf.DUMMYFUNCTION("""COMPUTED_VALUE"""),"Packaging")</f>
        <v>Packaging</v>
      </c>
      <c r="R163" s="49" t="str">
        <f>IFERROR(__xludf.DUMMYFUNCTION("""COMPUTED_VALUE"""),"Agarbatti")</f>
        <v>Agarbatti</v>
      </c>
    </row>
    <row r="164">
      <c r="A164" s="156" t="str">
        <f>IFERROR(__xludf.DUMMYFUNCTION("""COMPUTED_VALUE"""),"https://drive.google.com/open?id=1et7gQyiZA5Hcov4wsmv9t8eKePy2mEnX&amp;usp=drive_fs")</f>
        <v>https://drive.google.com/open?id=1et7gQyiZA5Hcov4wsmv9t8eKePy2mEnX&amp;usp=drive_fs</v>
      </c>
      <c r="B164" s="73" t="str">
        <f>IFERROR(__xludf.DUMMYFUNCTION("""COMPUTED_VALUE"""),"Agarbatti")</f>
        <v>Agarbatti</v>
      </c>
      <c r="C164" s="73" t="str">
        <f>IFERROR(__xludf.DUMMYFUNCTION("""COMPUTED_VALUE"""),"Single Box")</f>
        <v>Single Box</v>
      </c>
      <c r="D164" s="73" t="str">
        <f>IFERROR(__xludf.DUMMYFUNCTION("""COMPUTED_VALUE"""),"75*25*110 mm | 3*1*4.3 inch")</f>
        <v>75*25*110 mm | 3*1*4.3 inch</v>
      </c>
      <c r="E164" s="77">
        <f>IFERROR(__xludf.DUMMYFUNCTION("""COMPUTED_VALUE"""),8.0)</f>
        <v>8</v>
      </c>
      <c r="F164" s="77">
        <f>IFERROR(__xludf.DUMMYFUNCTION("""COMPUTED_VALUE"""),1926.0)</f>
        <v>1926</v>
      </c>
      <c r="G164" s="77">
        <f>IFERROR(__xludf.DUMMYFUNCTION("""COMPUTED_VALUE"""),18.0)</f>
        <v>18</v>
      </c>
      <c r="H164" s="77">
        <f>IFERROR(__xludf.DUMMYFUNCTION("""COMPUTED_VALUE"""),25.0)</f>
        <v>25</v>
      </c>
      <c r="I164" s="77">
        <f>IFERROR(__xludf.DUMMYFUNCTION("""COMPUTED_VALUE"""),100.0)</f>
        <v>100</v>
      </c>
      <c r="J164" s="73"/>
      <c r="K164" s="73"/>
      <c r="L164" s="73"/>
      <c r="M164" s="77">
        <f>IFERROR(__xludf.DUMMYFUNCTION("""COMPUTED_VALUE"""),0.1)</f>
        <v>0.1</v>
      </c>
      <c r="N164" s="77">
        <f>IFERROR(__xludf.DUMMYFUNCTION("""COMPUTED_VALUE"""),1.0)</f>
        <v>1</v>
      </c>
      <c r="O164" s="49"/>
      <c r="P164" s="49" t="str">
        <f>IFERROR(__xludf.DUMMYFUNCTION("""COMPUTED_VALUE"""),"Offset")</f>
        <v>Offset</v>
      </c>
      <c r="Q164" s="49" t="str">
        <f>IFERROR(__xludf.DUMMYFUNCTION("""COMPUTED_VALUE"""),"Packaging")</f>
        <v>Packaging</v>
      </c>
      <c r="R164" s="49" t="str">
        <f>IFERROR(__xludf.DUMMYFUNCTION("""COMPUTED_VALUE"""),"Agarbatti")</f>
        <v>Agarbatti</v>
      </c>
    </row>
    <row r="165">
      <c r="A165" s="156" t="str">
        <f>IFERROR(__xludf.DUMMYFUNCTION("""COMPUTED_VALUE"""),"https://drive.google.com/open?id=1GyZtRsGRk2q_6D1pn-eKgZvlye_YmANA&amp;authuser=jay.agg%40gmail.com&amp;usp=drive_fs")</f>
        <v>https://drive.google.com/open?id=1GyZtRsGRk2q_6D1pn-eKgZvlye_YmANA&amp;authuser=jay.agg%40gmail.com&amp;usp=drive_fs</v>
      </c>
      <c r="B165" s="73" t="str">
        <f>IFERROR(__xludf.DUMMYFUNCTION("""COMPUTED_VALUE"""),"Atta")</f>
        <v>Atta</v>
      </c>
      <c r="C165" s="73" t="str">
        <f>IFERROR(__xludf.DUMMYFUNCTION("""COMPUTED_VALUE"""),"Puttupodi 500g")</f>
        <v>Puttupodi 500g</v>
      </c>
      <c r="D165" s="73" t="str">
        <f>IFERROR(__xludf.DUMMYFUNCTION("""COMPUTED_VALUE"""),"5.5*7.5*2 inch")</f>
        <v>5.5*7.5*2 inch</v>
      </c>
      <c r="E165" s="77">
        <f>IFERROR(__xludf.DUMMYFUNCTION("""COMPUTED_VALUE"""),2.0)</f>
        <v>2</v>
      </c>
      <c r="F165" s="77">
        <f>IFERROR(__xludf.DUMMYFUNCTION("""COMPUTED_VALUE"""),1926.0)</f>
        <v>1926</v>
      </c>
      <c r="G165" s="77">
        <f>IFERROR(__xludf.DUMMYFUNCTION("""COMPUTED_VALUE"""),18.0)</f>
        <v>18</v>
      </c>
      <c r="H165" s="77">
        <f>IFERROR(__xludf.DUMMYFUNCTION("""COMPUTED_VALUE"""),23.0)</f>
        <v>23</v>
      </c>
      <c r="I165" s="77">
        <f>IFERROR(__xludf.DUMMYFUNCTION("""COMPUTED_VALUE"""),100.0)</f>
        <v>100</v>
      </c>
      <c r="J165" s="73"/>
      <c r="K165" s="73"/>
      <c r="L165" s="73"/>
      <c r="M165" s="77">
        <f>IFERROR(__xludf.DUMMYFUNCTION("""COMPUTED_VALUE"""),0.1)</f>
        <v>0.1</v>
      </c>
      <c r="N165" s="77">
        <f>IFERROR(__xludf.DUMMYFUNCTION("""COMPUTED_VALUE"""),1.0)</f>
        <v>1</v>
      </c>
      <c r="O165" s="49"/>
      <c r="P165" s="49" t="str">
        <f>IFERROR(__xludf.DUMMYFUNCTION("""COMPUTED_VALUE"""),"Offset")</f>
        <v>Offset</v>
      </c>
      <c r="Q165" s="49" t="str">
        <f>IFERROR(__xludf.DUMMYFUNCTION("""COMPUTED_VALUE"""),"Packaging")</f>
        <v>Packaging</v>
      </c>
      <c r="R165" s="49" t="str">
        <f>IFERROR(__xludf.DUMMYFUNCTION("""COMPUTED_VALUE"""),"Atta")</f>
        <v>Atta</v>
      </c>
    </row>
    <row r="166">
      <c r="A166" s="156" t="str">
        <f>IFERROR(__xludf.DUMMYFUNCTION("""COMPUTED_VALUE"""),"https://drive.google.com/open?id=1H1UoBpJejSEa9SGm4SXJqQYa_NdV9oNA&amp;authuser=jay.agg%40gmail.com&amp;usp=drive_fs")</f>
        <v>https://drive.google.com/open?id=1H1UoBpJejSEa9SGm4SXJqQYa_NdV9oNA&amp;authuser=jay.agg%40gmail.com&amp;usp=drive_fs</v>
      </c>
      <c r="B166" s="73" t="str">
        <f>IFERROR(__xludf.DUMMYFUNCTION("""COMPUTED_VALUE"""),"Atta")</f>
        <v>Atta</v>
      </c>
      <c r="C166" s="73" t="str">
        <f>IFERROR(__xludf.DUMMYFUNCTION("""COMPUTED_VALUE"""),"Puttupodi 500g")</f>
        <v>Puttupodi 500g</v>
      </c>
      <c r="D166" s="73" t="str">
        <f>IFERROR(__xludf.DUMMYFUNCTION("""COMPUTED_VALUE"""),"4.5x6x1.5 inch")</f>
        <v>4.5x6x1.5 inch</v>
      </c>
      <c r="E166" s="77">
        <f>IFERROR(__xludf.DUMMYFUNCTION("""COMPUTED_VALUE"""),4.0)</f>
        <v>4</v>
      </c>
      <c r="F166" s="77">
        <f>IFERROR(__xludf.DUMMYFUNCTION("""COMPUTED_VALUE"""),1926.0)</f>
        <v>1926</v>
      </c>
      <c r="G166" s="77">
        <f>IFERROR(__xludf.DUMMYFUNCTION("""COMPUTED_VALUE"""),18.0)</f>
        <v>18</v>
      </c>
      <c r="H166" s="77">
        <f>IFERROR(__xludf.DUMMYFUNCTION("""COMPUTED_VALUE"""),25.0)</f>
        <v>25</v>
      </c>
      <c r="I166" s="77">
        <f>IFERROR(__xludf.DUMMYFUNCTION("""COMPUTED_VALUE"""),100.0)</f>
        <v>100</v>
      </c>
      <c r="J166" s="73"/>
      <c r="K166" s="73"/>
      <c r="L166" s="73"/>
      <c r="M166" s="77">
        <f>IFERROR(__xludf.DUMMYFUNCTION("""COMPUTED_VALUE"""),0.1)</f>
        <v>0.1</v>
      </c>
      <c r="N166" s="77">
        <f>IFERROR(__xludf.DUMMYFUNCTION("""COMPUTED_VALUE"""),1.0)</f>
        <v>1</v>
      </c>
      <c r="O166" s="49"/>
      <c r="P166" s="49" t="str">
        <f>IFERROR(__xludf.DUMMYFUNCTION("""COMPUTED_VALUE"""),"Offset")</f>
        <v>Offset</v>
      </c>
      <c r="Q166" s="49" t="str">
        <f>IFERROR(__xludf.DUMMYFUNCTION("""COMPUTED_VALUE"""),"Packaging")</f>
        <v>Packaging</v>
      </c>
      <c r="R166" s="49" t="str">
        <f>IFERROR(__xludf.DUMMYFUNCTION("""COMPUTED_VALUE"""),"Atta")</f>
        <v>Atta</v>
      </c>
    </row>
    <row r="167">
      <c r="A167" s="156" t="str">
        <f>IFERROR(__xludf.DUMMYFUNCTION("""COMPUTED_VALUE"""),"https://drive.google.com/open?id=1mpN2mYLUT9FRYBGbHusC6KuSdGv0KX5K&amp;authuser=jay.agg%40gmail.com&amp;usp=drive_fs")</f>
        <v>https://drive.google.com/open?id=1mpN2mYLUT9FRYBGbHusC6KuSdGv0KX5K&amp;authuser=jay.agg%40gmail.com&amp;usp=drive_fs</v>
      </c>
      <c r="B167" s="73" t="str">
        <f>IFERROR(__xludf.DUMMYFUNCTION("""COMPUTED_VALUE"""),"Beverages")</f>
        <v>Beverages</v>
      </c>
      <c r="C167" s="73" t="str">
        <f>IFERROR(__xludf.DUMMYFUNCTION("""COMPUTED_VALUE"""),"Alcohol")</f>
        <v>Alcohol</v>
      </c>
      <c r="D167" s="73" t="str">
        <f>IFERROR(__xludf.DUMMYFUNCTION("""COMPUTED_VALUE"""),"96*96*102 mm | 3.8*3.8*4 inch")</f>
        <v>96*96*102 mm | 3.8*3.8*4 inch</v>
      </c>
      <c r="E167" s="77">
        <f>IFERROR(__xludf.DUMMYFUNCTION("""COMPUTED_VALUE"""),2.0)</f>
        <v>2</v>
      </c>
      <c r="F167" s="77">
        <f>IFERROR(__xludf.DUMMYFUNCTION("""COMPUTED_VALUE"""),1926.0)</f>
        <v>1926</v>
      </c>
      <c r="G167" s="77">
        <f>IFERROR(__xludf.DUMMYFUNCTION("""COMPUTED_VALUE"""),15.75)</f>
        <v>15.75</v>
      </c>
      <c r="H167" s="77">
        <f>IFERROR(__xludf.DUMMYFUNCTION("""COMPUTED_VALUE"""),20.75)</f>
        <v>20.75</v>
      </c>
      <c r="I167" s="77">
        <f>IFERROR(__xludf.DUMMYFUNCTION("""COMPUTED_VALUE"""),100.0)</f>
        <v>100</v>
      </c>
      <c r="J167" s="73"/>
      <c r="K167" s="73"/>
      <c r="L167" s="73"/>
      <c r="M167" s="77">
        <f>IFERROR(__xludf.DUMMYFUNCTION("""COMPUTED_VALUE"""),0.1)</f>
        <v>0.1</v>
      </c>
      <c r="N167" s="77">
        <f>IFERROR(__xludf.DUMMYFUNCTION("""COMPUTED_VALUE"""),1.0)</f>
        <v>1</v>
      </c>
      <c r="O167" s="49"/>
      <c r="P167" s="49" t="str">
        <f>IFERROR(__xludf.DUMMYFUNCTION("""COMPUTED_VALUE"""),"Offset")</f>
        <v>Offset</v>
      </c>
      <c r="Q167" s="49" t="str">
        <f>IFERROR(__xludf.DUMMYFUNCTION("""COMPUTED_VALUE"""),"Packaging")</f>
        <v>Packaging</v>
      </c>
      <c r="R167" s="49" t="str">
        <f>IFERROR(__xludf.DUMMYFUNCTION("""COMPUTED_VALUE"""),"Beverages")</f>
        <v>Beverages</v>
      </c>
    </row>
    <row r="168">
      <c r="A168" s="156" t="str">
        <f>IFERROR(__xludf.DUMMYFUNCTION("""COMPUTED_VALUE"""),"https://drive.google.com/open?id=19FBKKWcwG27DeR28FbMfcVXAlStYZk8w&amp;authuser=jay.agg%40gmail.com&amp;usp=drive_fs")</f>
        <v>https://drive.google.com/open?id=19FBKKWcwG27DeR28FbMfcVXAlStYZk8w&amp;authuser=jay.agg%40gmail.com&amp;usp=drive_fs</v>
      </c>
      <c r="B168" s="73" t="str">
        <f>IFERROR(__xludf.DUMMYFUNCTION("""COMPUTED_VALUE"""),"Beverages")</f>
        <v>Beverages</v>
      </c>
      <c r="C168" s="73" t="str">
        <f>IFERROR(__xludf.DUMMYFUNCTION("""COMPUTED_VALUE"""),"Drink")</f>
        <v>Drink</v>
      </c>
      <c r="D168" s="73" t="str">
        <f>IFERROR(__xludf.DUMMYFUNCTION("""COMPUTED_VALUE"""),"120*60*120 mm | 4.7*2.4*4.7 inch")</f>
        <v>120*60*120 mm | 4.7*2.4*4.7 inch</v>
      </c>
      <c r="E168" s="77">
        <f>IFERROR(__xludf.DUMMYFUNCTION("""COMPUTED_VALUE"""),2.0)</f>
        <v>2</v>
      </c>
      <c r="F168" s="77">
        <f>IFERROR(__xludf.DUMMYFUNCTION("""COMPUTED_VALUE"""),1926.0)</f>
        <v>1926</v>
      </c>
      <c r="G168" s="77">
        <f>IFERROR(__xludf.DUMMYFUNCTION("""COMPUTED_VALUE"""),15.75)</f>
        <v>15.75</v>
      </c>
      <c r="H168" s="77">
        <f>IFERROR(__xludf.DUMMYFUNCTION("""COMPUTED_VALUE"""),20.75)</f>
        <v>20.75</v>
      </c>
      <c r="I168" s="77">
        <f>IFERROR(__xludf.DUMMYFUNCTION("""COMPUTED_VALUE"""),100.0)</f>
        <v>100</v>
      </c>
      <c r="J168" s="73"/>
      <c r="K168" s="73"/>
      <c r="L168" s="73"/>
      <c r="M168" s="77">
        <f>IFERROR(__xludf.DUMMYFUNCTION("""COMPUTED_VALUE"""),0.1)</f>
        <v>0.1</v>
      </c>
      <c r="N168" s="77">
        <f>IFERROR(__xludf.DUMMYFUNCTION("""COMPUTED_VALUE"""),1.0)</f>
        <v>1</v>
      </c>
      <c r="O168" s="49"/>
      <c r="P168" s="49" t="str">
        <f>IFERROR(__xludf.DUMMYFUNCTION("""COMPUTED_VALUE"""),"Offset")</f>
        <v>Offset</v>
      </c>
      <c r="Q168" s="49" t="str">
        <f>IFERROR(__xludf.DUMMYFUNCTION("""COMPUTED_VALUE"""),"Packaging")</f>
        <v>Packaging</v>
      </c>
      <c r="R168" s="49" t="str">
        <f>IFERROR(__xludf.DUMMYFUNCTION("""COMPUTED_VALUE"""),"Beverages")</f>
        <v>Beverages</v>
      </c>
    </row>
    <row r="169">
      <c r="A169" s="156" t="str">
        <f>IFERROR(__xludf.DUMMYFUNCTION("""COMPUTED_VALUE"""),"https://drive.google.com/open?id=1c3FAlhx3xAfFNcd6o7C9-FMlCjhNCOqi&amp;authuser=jay.agg%40gmail.com&amp;usp=drive_fs")</f>
        <v>https://drive.google.com/open?id=1c3FAlhx3xAfFNcd6o7C9-FMlCjhNCOqi&amp;authuser=jay.agg%40gmail.com&amp;usp=drive_fs</v>
      </c>
      <c r="B169" s="73" t="str">
        <f>IFERROR(__xludf.DUMMYFUNCTION("""COMPUTED_VALUE"""),"Beverages")</f>
        <v>Beverages</v>
      </c>
      <c r="C169" s="73" t="str">
        <f>IFERROR(__xludf.DUMMYFUNCTION("""COMPUTED_VALUE"""),"Drink")</f>
        <v>Drink</v>
      </c>
      <c r="D169" s="73" t="str">
        <f>IFERROR(__xludf.DUMMYFUNCTION("""COMPUTED_VALUE"""),"80*80*295 mm | 3.15*3.15*11.63 inch LB")</f>
        <v>80*80*295 mm | 3.15*3.15*11.63 inch LB</v>
      </c>
      <c r="E169" s="77">
        <f>IFERROR(__xludf.DUMMYFUNCTION("""COMPUTED_VALUE"""),2.0)</f>
        <v>2</v>
      </c>
      <c r="F169" s="77">
        <f>IFERROR(__xludf.DUMMYFUNCTION("""COMPUTED_VALUE"""),2029.0)</f>
        <v>2029</v>
      </c>
      <c r="G169" s="77">
        <f>IFERROR(__xludf.DUMMYFUNCTION("""COMPUTED_VALUE"""),20.0)</f>
        <v>20</v>
      </c>
      <c r="H169" s="77">
        <f>IFERROR(__xludf.DUMMYFUNCTION("""COMPUTED_VALUE"""),28.0)</f>
        <v>28</v>
      </c>
      <c r="I169" s="77">
        <f>IFERROR(__xludf.DUMMYFUNCTION("""COMPUTED_VALUE"""),100.0)</f>
        <v>100</v>
      </c>
      <c r="J169" s="73"/>
      <c r="K169" s="73"/>
      <c r="L169" s="73"/>
      <c r="M169" s="77">
        <f>IFERROR(__xludf.DUMMYFUNCTION("""COMPUTED_VALUE"""),0.24)</f>
        <v>0.24</v>
      </c>
      <c r="N169" s="77">
        <f>IFERROR(__xludf.DUMMYFUNCTION("""COMPUTED_VALUE"""),1.0)</f>
        <v>1</v>
      </c>
      <c r="O169" s="49"/>
      <c r="P169" s="49" t="str">
        <f>IFERROR(__xludf.DUMMYFUNCTION("""COMPUTED_VALUE"""),"Offset")</f>
        <v>Offset</v>
      </c>
      <c r="Q169" s="49" t="str">
        <f>IFERROR(__xludf.DUMMYFUNCTION("""COMPUTED_VALUE"""),"Packaging")</f>
        <v>Packaging</v>
      </c>
      <c r="R169" s="49" t="str">
        <f>IFERROR(__xludf.DUMMYFUNCTION("""COMPUTED_VALUE"""),"Beverages")</f>
        <v>Beverages</v>
      </c>
    </row>
    <row r="170">
      <c r="A170" s="156" t="str">
        <f>IFERROR(__xludf.DUMMYFUNCTION("""COMPUTED_VALUE"""),"https://drive.google.com/open?id=1EI_IdyX1D1Be9epWz1yAhwiP78LsJ2JN&amp;authuser=jay.agg%40gmail.com&amp;usp=drive_fs")</f>
        <v>https://drive.google.com/open?id=1EI_IdyX1D1Be9epWz1yAhwiP78LsJ2JN&amp;authuser=jay.agg%40gmail.com&amp;usp=drive_fs</v>
      </c>
      <c r="B170" s="73" t="str">
        <f>IFERROR(__xludf.DUMMYFUNCTION("""COMPUTED_VALUE"""),"Fratelli")</f>
        <v>Fratelli</v>
      </c>
      <c r="C170" s="73" t="str">
        <f>IFERROR(__xludf.DUMMYFUNCTION("""COMPUTED_VALUE"""),"Drink")</f>
        <v>Drink</v>
      </c>
      <c r="D170" s="73" t="str">
        <f>IFERROR(__xludf.DUMMYFUNCTION("""COMPUTED_VALUE"""),"185*85*305 mm | 6.3*3.3*12 inch | 22*27")</f>
        <v>185*85*305 mm | 6.3*3.3*12 inch | 22*27</v>
      </c>
      <c r="E170" s="77">
        <f>IFERROR(__xludf.DUMMYFUNCTION("""COMPUTED_VALUE"""),1.0)</f>
        <v>1</v>
      </c>
      <c r="F170" s="77">
        <f>IFERROR(__xludf.DUMMYFUNCTION("""COMPUTED_VALUE"""),2029.0)</f>
        <v>2029</v>
      </c>
      <c r="G170" s="77">
        <f>IFERROR(__xludf.DUMMYFUNCTION("""COMPUTED_VALUE"""),20.0)</f>
        <v>20</v>
      </c>
      <c r="H170" s="77">
        <f>IFERROR(__xludf.DUMMYFUNCTION("""COMPUTED_VALUE"""),28.0)</f>
        <v>28</v>
      </c>
      <c r="I170" s="77">
        <f>IFERROR(__xludf.DUMMYFUNCTION("""COMPUTED_VALUE"""),100.0)</f>
        <v>100</v>
      </c>
      <c r="J170" s="73"/>
      <c r="K170" s="73"/>
      <c r="L170" s="73">
        <f>IFERROR(__xludf.DUMMYFUNCTION("""COMPUTED_VALUE"""),8.0)</f>
        <v>8</v>
      </c>
      <c r="M170" s="77">
        <f>IFERROR(__xludf.DUMMYFUNCTION("""COMPUTED_VALUE"""),0.4)</f>
        <v>0.4</v>
      </c>
      <c r="N170" s="77">
        <f>IFERROR(__xludf.DUMMYFUNCTION("""COMPUTED_VALUE"""),1.0)</f>
        <v>1</v>
      </c>
      <c r="O170" s="49"/>
      <c r="P170" s="49" t="str">
        <f>IFERROR(__xludf.DUMMYFUNCTION("""COMPUTED_VALUE"""),"Offset")</f>
        <v>Offset</v>
      </c>
      <c r="Q170" s="49" t="str">
        <f>IFERROR(__xludf.DUMMYFUNCTION("""COMPUTED_VALUE"""),"Packaging")</f>
        <v>Packaging</v>
      </c>
      <c r="R170" s="49" t="str">
        <f>IFERROR(__xludf.DUMMYFUNCTION("""COMPUTED_VALUE"""),"Fratelli")</f>
        <v>Fratelli</v>
      </c>
    </row>
    <row r="171">
      <c r="A171" s="156" t="str">
        <f>IFERROR(__xludf.DUMMYFUNCTION("""COMPUTED_VALUE"""),"https://drive.google.com/open?id=1QSfJCl_a_8hzxm0mxTMHXZKB9ENiyBlE&amp;authuser=jay.agg%40gmail.com&amp;usp=drive_fs")</f>
        <v>https://drive.google.com/open?id=1QSfJCl_a_8hzxm0mxTMHXZKB9ENiyBlE&amp;authuser=jay.agg%40gmail.com&amp;usp=drive_fs</v>
      </c>
      <c r="B171" s="73" t="str">
        <f>IFERROR(__xludf.DUMMYFUNCTION("""COMPUTED_VALUE"""),"Fratelli")</f>
        <v>Fratelli</v>
      </c>
      <c r="C171" s="73" t="str">
        <f>IFERROR(__xludf.DUMMYFUNCTION("""COMPUTED_VALUE"""),"Drink")</f>
        <v>Drink</v>
      </c>
      <c r="D171" s="73" t="str">
        <f>IFERROR(__xludf.DUMMYFUNCTION("""COMPUTED_VALUE"""),"95*95*320 mm | 3.7*3.7*12.6 inch LB")</f>
        <v>95*95*320 mm | 3.7*3.7*12.6 inch LB</v>
      </c>
      <c r="E171" s="77">
        <f>IFERROR(__xludf.DUMMYFUNCTION("""COMPUTED_VALUE"""),1.0)</f>
        <v>1</v>
      </c>
      <c r="F171" s="77">
        <f>IFERROR(__xludf.DUMMYFUNCTION("""COMPUTED_VALUE"""),1926.0)</f>
        <v>1926</v>
      </c>
      <c r="G171" s="77">
        <f>IFERROR(__xludf.DUMMYFUNCTION("""COMPUTED_VALUE"""),18.0)</f>
        <v>18</v>
      </c>
      <c r="H171" s="77">
        <f>IFERROR(__xludf.DUMMYFUNCTION("""COMPUTED_VALUE"""),23.0)</f>
        <v>23</v>
      </c>
      <c r="I171" s="77">
        <f>IFERROR(__xludf.DUMMYFUNCTION("""COMPUTED_VALUE"""),100.0)</f>
        <v>100</v>
      </c>
      <c r="J171" s="73"/>
      <c r="K171" s="73"/>
      <c r="L171" s="73">
        <f>IFERROR(__xludf.DUMMYFUNCTION("""COMPUTED_VALUE"""),12.0)</f>
        <v>12</v>
      </c>
      <c r="M171" s="77">
        <f>IFERROR(__xludf.DUMMYFUNCTION("""COMPUTED_VALUE"""),0.4)</f>
        <v>0.4</v>
      </c>
      <c r="N171" s="77">
        <f>IFERROR(__xludf.DUMMYFUNCTION("""COMPUTED_VALUE"""),1.0)</f>
        <v>1</v>
      </c>
      <c r="O171" s="49"/>
      <c r="P171" s="49" t="str">
        <f>IFERROR(__xludf.DUMMYFUNCTION("""COMPUTED_VALUE"""),"Offset")</f>
        <v>Offset</v>
      </c>
      <c r="Q171" s="49" t="str">
        <f>IFERROR(__xludf.DUMMYFUNCTION("""COMPUTED_VALUE"""),"Packaging")</f>
        <v>Packaging</v>
      </c>
      <c r="R171" s="49" t="str">
        <f>IFERROR(__xludf.DUMMYFUNCTION("""COMPUTED_VALUE"""),"Fratelli")</f>
        <v>Fratelli</v>
      </c>
    </row>
    <row r="172">
      <c r="A172" s="156" t="str">
        <f>IFERROR(__xludf.DUMMYFUNCTION("""COMPUTED_VALUE"""),"https://drive.google.com/open?id=11ZS3zjPn4ckiDhD9Ncbyb39PV5lfp8Zi&amp;authuser=jay.agg%40gmail.com&amp;usp=drive_fs")</f>
        <v>https://drive.google.com/open?id=11ZS3zjPn4ckiDhD9Ncbyb39PV5lfp8Zi&amp;authuser=jay.agg%40gmail.com&amp;usp=drive_fs</v>
      </c>
      <c r="B172" s="73" t="str">
        <f>IFERROR(__xludf.DUMMYFUNCTION("""COMPUTED_VALUE"""),"Fratelli")</f>
        <v>Fratelli</v>
      </c>
      <c r="C172" s="73" t="str">
        <f>IFERROR(__xludf.DUMMYFUNCTION("""COMPUTED_VALUE"""),"Drink")</f>
        <v>Drink</v>
      </c>
      <c r="D172" s="73" t="str">
        <f>IFERROR(__xludf.DUMMYFUNCTION("""COMPUTED_VALUE"""),"145*85*320 mm | 5.7*3.4*12.6 inch LB")</f>
        <v>145*85*320 mm | 5.7*3.4*12.6 inch LB</v>
      </c>
      <c r="E172" s="77">
        <f>IFERROR(__xludf.DUMMYFUNCTION("""COMPUTED_VALUE"""),1.0)</f>
        <v>1</v>
      </c>
      <c r="F172" s="77">
        <f>IFERROR(__xludf.DUMMYFUNCTION("""COMPUTED_VALUE"""),1926.0)</f>
        <v>1926</v>
      </c>
      <c r="G172" s="77">
        <f>IFERROR(__xludf.DUMMYFUNCTION("""COMPUTED_VALUE"""),19.5)</f>
        <v>19.5</v>
      </c>
      <c r="H172" s="77">
        <f>IFERROR(__xludf.DUMMYFUNCTION("""COMPUTED_VALUE"""),23.0)</f>
        <v>23</v>
      </c>
      <c r="I172" s="77">
        <f>IFERROR(__xludf.DUMMYFUNCTION("""COMPUTED_VALUE"""),100.0)</f>
        <v>100</v>
      </c>
      <c r="J172" s="73"/>
      <c r="K172" s="73"/>
      <c r="L172" s="73">
        <f>IFERROR(__xludf.DUMMYFUNCTION("""COMPUTED_VALUE"""),20.0)</f>
        <v>20</v>
      </c>
      <c r="M172" s="77">
        <f>IFERROR(__xludf.DUMMYFUNCTION("""COMPUTED_VALUE"""),0.3)</f>
        <v>0.3</v>
      </c>
      <c r="N172" s="77">
        <f>IFERROR(__xludf.DUMMYFUNCTION("""COMPUTED_VALUE"""),1.0)</f>
        <v>1</v>
      </c>
      <c r="O172" s="49"/>
      <c r="P172" s="49" t="str">
        <f>IFERROR(__xludf.DUMMYFUNCTION("""COMPUTED_VALUE"""),"Offset")</f>
        <v>Offset</v>
      </c>
      <c r="Q172" s="49" t="str">
        <f>IFERROR(__xludf.DUMMYFUNCTION("""COMPUTED_VALUE"""),"Packaging")</f>
        <v>Packaging</v>
      </c>
      <c r="R172" s="49" t="str">
        <f>IFERROR(__xludf.DUMMYFUNCTION("""COMPUTED_VALUE"""),"Fratelli")</f>
        <v>Fratelli</v>
      </c>
    </row>
    <row r="173">
      <c r="A173" s="156" t="str">
        <f>IFERROR(__xludf.DUMMYFUNCTION("""COMPUTED_VALUE"""),"https://drive.google.com/open?id=1-O0grWXDJeWNPGbU8945Pt0Z_4uXo-AN&amp;authuser=jay.agg%40gmail.com&amp;usp=drive_fs")</f>
        <v>https://drive.google.com/open?id=1-O0grWXDJeWNPGbU8945Pt0Z_4uXo-AN&amp;authuser=jay.agg%40gmail.com&amp;usp=drive_fs</v>
      </c>
      <c r="B173" s="73" t="str">
        <f>IFERROR(__xludf.DUMMYFUNCTION("""COMPUTED_VALUE"""),"Beverages")</f>
        <v>Beverages</v>
      </c>
      <c r="C173" s="73" t="str">
        <f>IFERROR(__xludf.DUMMYFUNCTION("""COMPUTED_VALUE"""),"Drink")</f>
        <v>Drink</v>
      </c>
      <c r="D173" s="73" t="str">
        <f>IFERROR(__xludf.DUMMYFUNCTION("""COMPUTED_VALUE"""),"132*180*148 mm | 5.25*7.125*6 inch")</f>
        <v>132*180*148 mm | 5.25*7.125*6 inch</v>
      </c>
      <c r="E173" s="77">
        <f>IFERROR(__xludf.DUMMYFUNCTION("""COMPUTED_VALUE"""),1.0)</f>
        <v>1</v>
      </c>
      <c r="F173" s="77">
        <f>IFERROR(__xludf.DUMMYFUNCTION("""COMPUTED_VALUE"""),1926.0)</f>
        <v>1926</v>
      </c>
      <c r="G173" s="77">
        <f>IFERROR(__xludf.DUMMYFUNCTION("""COMPUTED_VALUE"""),19.0)</f>
        <v>19</v>
      </c>
      <c r="H173" s="77">
        <f>IFERROR(__xludf.DUMMYFUNCTION("""COMPUTED_VALUE"""),26.0)</f>
        <v>26</v>
      </c>
      <c r="I173" s="77">
        <f>IFERROR(__xludf.DUMMYFUNCTION("""COMPUTED_VALUE"""),100.0)</f>
        <v>100</v>
      </c>
      <c r="J173" s="73"/>
      <c r="K173" s="73"/>
      <c r="L173" s="73"/>
      <c r="M173" s="77">
        <f>IFERROR(__xludf.DUMMYFUNCTION("""COMPUTED_VALUE"""),0.2)</f>
        <v>0.2</v>
      </c>
      <c r="N173" s="77">
        <f>IFERROR(__xludf.DUMMYFUNCTION("""COMPUTED_VALUE"""),1.0)</f>
        <v>1</v>
      </c>
      <c r="O173" s="49"/>
      <c r="P173" s="49" t="str">
        <f>IFERROR(__xludf.DUMMYFUNCTION("""COMPUTED_VALUE"""),"Offset")</f>
        <v>Offset</v>
      </c>
      <c r="Q173" s="49" t="str">
        <f>IFERROR(__xludf.DUMMYFUNCTION("""COMPUTED_VALUE"""),"Packaging")</f>
        <v>Packaging</v>
      </c>
      <c r="R173" s="49" t="str">
        <f>IFERROR(__xludf.DUMMYFUNCTION("""COMPUTED_VALUE"""),"Beverages")</f>
        <v>Beverages</v>
      </c>
    </row>
    <row r="174">
      <c r="A174" s="156" t="str">
        <f>IFERROR(__xludf.DUMMYFUNCTION("""COMPUTED_VALUE"""),"https://drive.google.com/open?id=1-YEEFoeeuLDK0urOsPVIDZvP50O3tyXd&amp;authuser=jay.agg%40gmail.com&amp;usp=drive_fs")</f>
        <v>https://drive.google.com/open?id=1-YEEFoeeuLDK0urOsPVIDZvP50O3tyXd&amp;authuser=jay.agg%40gmail.com&amp;usp=drive_fs</v>
      </c>
      <c r="B174" s="73" t="str">
        <f>IFERROR(__xludf.DUMMYFUNCTION("""COMPUTED_VALUE"""),"Beverages")</f>
        <v>Beverages</v>
      </c>
      <c r="C174" s="73" t="str">
        <f>IFERROR(__xludf.DUMMYFUNCTION("""COMPUTED_VALUE"""),"Drink")</f>
        <v>Drink</v>
      </c>
      <c r="D174" s="73" t="str">
        <f>IFERROR(__xludf.DUMMYFUNCTION("""COMPUTED_VALUE"""),"345*240*210 mm | 13.5*9.5*8.26 inch  | 36*24.5")</f>
        <v>345*240*210 mm | 13.5*9.5*8.26 inch  | 36*24.5</v>
      </c>
      <c r="E174" s="77">
        <f>IFERROR(__xludf.DUMMYFUNCTION("""COMPUTED_VALUE"""),1.0)</f>
        <v>1</v>
      </c>
      <c r="F174" s="77">
        <f>IFERROR(__xludf.DUMMYFUNCTION("""COMPUTED_VALUE"""),2840.0)</f>
        <v>2840</v>
      </c>
      <c r="G174" s="77">
        <f>IFERROR(__xludf.DUMMYFUNCTION("""COMPUTED_VALUE"""),25.0)</f>
        <v>25</v>
      </c>
      <c r="H174" s="77">
        <f>IFERROR(__xludf.DUMMYFUNCTION("""COMPUTED_VALUE"""),36.0)</f>
        <v>36</v>
      </c>
      <c r="I174" s="77">
        <f>IFERROR(__xludf.DUMMYFUNCTION("""COMPUTED_VALUE"""),100.0)</f>
        <v>100</v>
      </c>
      <c r="J174" s="73"/>
      <c r="K174" s="73"/>
      <c r="L174" s="73"/>
      <c r="M174" s="77">
        <f>IFERROR(__xludf.DUMMYFUNCTION("""COMPUTED_VALUE"""),0.1)</f>
        <v>0.1</v>
      </c>
      <c r="N174" s="77">
        <f>IFERROR(__xludf.DUMMYFUNCTION("""COMPUTED_VALUE"""),1.0)</f>
        <v>1</v>
      </c>
      <c r="O174" s="49"/>
      <c r="P174" s="49" t="str">
        <f>IFERROR(__xludf.DUMMYFUNCTION("""COMPUTED_VALUE"""),"Offset")</f>
        <v>Offset</v>
      </c>
      <c r="Q174" s="49" t="str">
        <f>IFERROR(__xludf.DUMMYFUNCTION("""COMPUTED_VALUE"""),"Packaging")</f>
        <v>Packaging</v>
      </c>
      <c r="R174" s="49" t="str">
        <f>IFERROR(__xludf.DUMMYFUNCTION("""COMPUTED_VALUE"""),"Beverages")</f>
        <v>Beverages</v>
      </c>
    </row>
    <row r="175">
      <c r="A175" s="156" t="str">
        <f>IFERROR(__xludf.DUMMYFUNCTION("""COMPUTED_VALUE"""),"https://drive.google.com/open?id=1OOzpjMlbgO_BIBR35dYEeoPst2YAxA58&amp;usp=drive_fs")</f>
        <v>https://drive.google.com/open?id=1OOzpjMlbgO_BIBR35dYEeoPst2YAxA58&amp;usp=drive_fs</v>
      </c>
      <c r="B175" s="73" t="str">
        <f>IFERROR(__xludf.DUMMYFUNCTION("""COMPUTED_VALUE"""),"Beverages")</f>
        <v>Beverages</v>
      </c>
      <c r="C175" s="73" t="str">
        <f>IFERROR(__xludf.DUMMYFUNCTION("""COMPUTED_VALUE"""),"Alcohol")</f>
        <v>Alcohol</v>
      </c>
      <c r="D175" s="73" t="str">
        <f>IFERROR(__xludf.DUMMYFUNCTION("""COMPUTED_VALUE"""),"121*79*270 mm | 4.7*3.1*10.6 inch LB")</f>
        <v>121*79*270 mm | 4.7*3.1*10.6 inch LB</v>
      </c>
      <c r="E175" s="77">
        <f>IFERROR(__xludf.DUMMYFUNCTION("""COMPUTED_VALUE"""),1.0)</f>
        <v>1</v>
      </c>
      <c r="F175" s="77">
        <f>IFERROR(__xludf.DUMMYFUNCTION("""COMPUTED_VALUE"""),1926.0)</f>
        <v>1926</v>
      </c>
      <c r="G175" s="77">
        <f>IFERROR(__xludf.DUMMYFUNCTION("""COMPUTED_VALUE"""),18.0)</f>
        <v>18</v>
      </c>
      <c r="H175" s="77">
        <f>IFERROR(__xludf.DUMMYFUNCTION("""COMPUTED_VALUE"""),23.0)</f>
        <v>23</v>
      </c>
      <c r="I175" s="77">
        <f>IFERROR(__xludf.DUMMYFUNCTION("""COMPUTED_VALUE"""),100.0)</f>
        <v>100</v>
      </c>
      <c r="J175" s="73"/>
      <c r="K175" s="73"/>
      <c r="L175" s="73"/>
      <c r="M175" s="77">
        <f>IFERROR(__xludf.DUMMYFUNCTION("""COMPUTED_VALUE"""),0.2)</f>
        <v>0.2</v>
      </c>
      <c r="N175" s="77">
        <f>IFERROR(__xludf.DUMMYFUNCTION("""COMPUTED_VALUE"""),1.0)</f>
        <v>1</v>
      </c>
      <c r="O175" s="49"/>
      <c r="P175" s="49" t="str">
        <f>IFERROR(__xludf.DUMMYFUNCTION("""COMPUTED_VALUE"""),"Offset")</f>
        <v>Offset</v>
      </c>
      <c r="Q175" s="49" t="str">
        <f>IFERROR(__xludf.DUMMYFUNCTION("""COMPUTED_VALUE"""),"Packaging")</f>
        <v>Packaging</v>
      </c>
      <c r="R175" s="49" t="str">
        <f>IFERROR(__xludf.DUMMYFUNCTION("""COMPUTED_VALUE"""),"Beverages")</f>
        <v>Beverages</v>
      </c>
    </row>
    <row r="176">
      <c r="A176" s="156" t="str">
        <f>IFERROR(__xludf.DUMMYFUNCTION("""COMPUTED_VALUE"""),"https://drive.google.com/open?id=1SKrBVoEF3dcL6O1nir2epYeqg2h9PMxu&amp;authuser=jay.agg%40gmail.com&amp;usp=drive_fs")</f>
        <v>https://drive.google.com/open?id=1SKrBVoEF3dcL6O1nir2epYeqg2h9PMxu&amp;authuser=jay.agg%40gmail.com&amp;usp=drive_fs</v>
      </c>
      <c r="B176" s="73" t="str">
        <f>IFERROR(__xludf.DUMMYFUNCTION("""COMPUTED_VALUE"""),"Bakery")</f>
        <v>Bakery</v>
      </c>
      <c r="C176" s="73" t="str">
        <f>IFERROR(__xludf.DUMMYFUNCTION("""COMPUTED_VALUE"""),"Brownie 1")</f>
        <v>Brownie 1</v>
      </c>
      <c r="D176" s="73" t="str">
        <f>IFERROR(__xludf.DUMMYFUNCTION("""COMPUTED_VALUE"""),"89*89*38 mm | 3.5*3.5*1.5 inch")</f>
        <v>89*89*38 mm | 3.5*3.5*1.5 inch</v>
      </c>
      <c r="E176" s="77">
        <f>IFERROR(__xludf.DUMMYFUNCTION("""COMPUTED_VALUE"""),6.0)</f>
        <v>6</v>
      </c>
      <c r="F176" s="77">
        <f>IFERROR(__xludf.DUMMYFUNCTION("""COMPUTED_VALUE"""),2029.0)</f>
        <v>2029</v>
      </c>
      <c r="G176" s="77">
        <f>IFERROR(__xludf.DUMMYFUNCTION("""COMPUTED_VALUE"""),19.5)</f>
        <v>19.5</v>
      </c>
      <c r="H176" s="77">
        <f>IFERROR(__xludf.DUMMYFUNCTION("""COMPUTED_VALUE"""),23.0)</f>
        <v>23</v>
      </c>
      <c r="I176" s="77">
        <f>IFERROR(__xludf.DUMMYFUNCTION("""COMPUTED_VALUE"""),100.0)</f>
        <v>100</v>
      </c>
      <c r="J176" s="73"/>
      <c r="K176" s="73"/>
      <c r="L176" s="73"/>
      <c r="M176" s="77"/>
      <c r="N176" s="77">
        <f>IFERROR(__xludf.DUMMYFUNCTION("""COMPUTED_VALUE"""),1.0)</f>
        <v>1</v>
      </c>
      <c r="O176" s="49"/>
      <c r="P176" s="49" t="str">
        <f>IFERROR(__xludf.DUMMYFUNCTION("""COMPUTED_VALUE"""),"Offset")</f>
        <v>Offset</v>
      </c>
      <c r="Q176" s="49" t="str">
        <f>IFERROR(__xludf.DUMMYFUNCTION("""COMPUTED_VALUE"""),"Packaging")</f>
        <v>Packaging</v>
      </c>
      <c r="R176" s="49" t="str">
        <f>IFERROR(__xludf.DUMMYFUNCTION("""COMPUTED_VALUE"""),"Bakery")</f>
        <v>Bakery</v>
      </c>
    </row>
    <row r="177">
      <c r="A177" s="156" t="str">
        <f>IFERROR(__xludf.DUMMYFUNCTION("""COMPUTED_VALUE"""),"https://drive.google.com/open?id=1NLrZ9Hf7XX7ORpYJXuBzVfkGVvuPoBZu&amp;authuser=jay.agg%40gmail.com&amp;usp=drive_fs")</f>
        <v>https://drive.google.com/open?id=1NLrZ9Hf7XX7ORpYJXuBzVfkGVvuPoBZu&amp;authuser=jay.agg%40gmail.com&amp;usp=drive_fs</v>
      </c>
      <c r="B177" s="73" t="str">
        <f>IFERROR(__xludf.DUMMYFUNCTION("""COMPUTED_VALUE"""),"Bakery")</f>
        <v>Bakery</v>
      </c>
      <c r="C177" s="73" t="str">
        <f>IFERROR(__xludf.DUMMYFUNCTION("""COMPUTED_VALUE"""),"Brownie 2")</f>
        <v>Brownie 2</v>
      </c>
      <c r="D177" s="73" t="str">
        <f>IFERROR(__xludf.DUMMYFUNCTION("""COMPUTED_VALUE"""),"180*70*35 mm | 7*2.75*1.4 inch")</f>
        <v>180*70*35 mm | 7*2.75*1.4 inch</v>
      </c>
      <c r="E177" s="77">
        <f>IFERROR(__xludf.DUMMYFUNCTION("""COMPUTED_VALUE"""),4.0)</f>
        <v>4</v>
      </c>
      <c r="F177" s="77">
        <f>IFERROR(__xludf.DUMMYFUNCTION("""COMPUTED_VALUE"""),2029.0)</f>
        <v>2029</v>
      </c>
      <c r="G177" s="77">
        <f>IFERROR(__xludf.DUMMYFUNCTION("""COMPUTED_VALUE"""),19.0)</f>
        <v>19</v>
      </c>
      <c r="H177" s="77">
        <f>IFERROR(__xludf.DUMMYFUNCTION("""COMPUTED_VALUE"""),20.0)</f>
        <v>20</v>
      </c>
      <c r="I177" s="77">
        <f>IFERROR(__xludf.DUMMYFUNCTION("""COMPUTED_VALUE"""),100.0)</f>
        <v>100</v>
      </c>
      <c r="J177" s="73"/>
      <c r="K177" s="73"/>
      <c r="L177" s="73">
        <f>IFERROR(__xludf.DUMMYFUNCTION("""COMPUTED_VALUE"""),1.0)</f>
        <v>1</v>
      </c>
      <c r="M177" s="77"/>
      <c r="N177" s="77">
        <f>IFERROR(__xludf.DUMMYFUNCTION("""COMPUTED_VALUE"""),1.0)</f>
        <v>1</v>
      </c>
      <c r="O177" s="49"/>
      <c r="P177" s="49" t="str">
        <f>IFERROR(__xludf.DUMMYFUNCTION("""COMPUTED_VALUE"""),"Offset")</f>
        <v>Offset</v>
      </c>
      <c r="Q177" s="49" t="str">
        <f>IFERROR(__xludf.DUMMYFUNCTION("""COMPUTED_VALUE"""),"Packaging")</f>
        <v>Packaging</v>
      </c>
      <c r="R177" s="49" t="str">
        <f>IFERROR(__xludf.DUMMYFUNCTION("""COMPUTED_VALUE"""),"Bakery")</f>
        <v>Bakery</v>
      </c>
    </row>
    <row r="178">
      <c r="A178" s="156" t="str">
        <f>IFERROR(__xludf.DUMMYFUNCTION("""COMPUTED_VALUE"""),"https://drive.google.com/open?id=1P1qVjLlcYO2PpKu_xhl6aPeCZBCymvJ_&amp;authuser=jay.agg%40gmail.com&amp;usp=drive_fs")</f>
        <v>https://drive.google.com/open?id=1P1qVjLlcYO2PpKu_xhl6aPeCZBCymvJ_&amp;authuser=jay.agg%40gmail.com&amp;usp=drive_fs</v>
      </c>
      <c r="B178" s="73" t="str">
        <f>IFERROR(__xludf.DUMMYFUNCTION("""COMPUTED_VALUE"""),"Bakery")</f>
        <v>Bakery</v>
      </c>
      <c r="C178" s="73" t="str">
        <f>IFERROR(__xludf.DUMMYFUNCTION("""COMPUTED_VALUE"""),"Brownie 4")</f>
        <v>Brownie 4</v>
      </c>
      <c r="D178" s="73" t="str">
        <f>IFERROR(__xludf.DUMMYFUNCTION("""COMPUTED_VALUE"""),"165*125*40 mm | 5*1.5*6.5 inch")</f>
        <v>165*125*40 mm | 5*1.5*6.5 inch</v>
      </c>
      <c r="E178" s="77">
        <f>IFERROR(__xludf.DUMMYFUNCTION("""COMPUTED_VALUE"""),1.0)</f>
        <v>1</v>
      </c>
      <c r="F178" s="77">
        <f>IFERROR(__xludf.DUMMYFUNCTION("""COMPUTED_VALUE"""),1926.0)</f>
        <v>1926</v>
      </c>
      <c r="G178" s="77">
        <f>IFERROR(__xludf.DUMMYFUNCTION("""COMPUTED_VALUE"""),18.0)</f>
        <v>18</v>
      </c>
      <c r="H178" s="77">
        <f>IFERROR(__xludf.DUMMYFUNCTION("""COMPUTED_VALUE"""),23.0)</f>
        <v>23</v>
      </c>
      <c r="I178" s="77">
        <f>IFERROR(__xludf.DUMMYFUNCTION("""COMPUTED_VALUE"""),100.0)</f>
        <v>100</v>
      </c>
      <c r="J178" s="73"/>
      <c r="K178" s="73"/>
      <c r="L178" s="73"/>
      <c r="M178" s="77">
        <f>IFERROR(__xludf.DUMMYFUNCTION("""COMPUTED_VALUE"""),0.1)</f>
        <v>0.1</v>
      </c>
      <c r="N178" s="77">
        <f>IFERROR(__xludf.DUMMYFUNCTION("""COMPUTED_VALUE"""),1.0)</f>
        <v>1</v>
      </c>
      <c r="O178" s="49"/>
      <c r="P178" s="49" t="str">
        <f>IFERROR(__xludf.DUMMYFUNCTION("""COMPUTED_VALUE"""),"Offset")</f>
        <v>Offset</v>
      </c>
      <c r="Q178" s="49" t="str">
        <f>IFERROR(__xludf.DUMMYFUNCTION("""COMPUTED_VALUE"""),"Packaging")</f>
        <v>Packaging</v>
      </c>
      <c r="R178" s="49" t="str">
        <f>IFERROR(__xludf.DUMMYFUNCTION("""COMPUTED_VALUE"""),"Bakery")</f>
        <v>Bakery</v>
      </c>
    </row>
    <row r="179">
      <c r="A179" s="156" t="str">
        <f>IFERROR(__xludf.DUMMYFUNCTION("""COMPUTED_VALUE"""),"https://drive.google.com/open?id=1P3tbAVUb9rgsCLuz3mWDqM8bXi6sUp6K&amp;authuser=jay.agg%40gmail.com&amp;usp=drive_fs")</f>
        <v>https://drive.google.com/open?id=1P3tbAVUb9rgsCLuz3mWDqM8bXi6sUp6K&amp;authuser=jay.agg%40gmail.com&amp;usp=drive_fs</v>
      </c>
      <c r="B179" s="73" t="str">
        <f>IFERROR(__xludf.DUMMYFUNCTION("""COMPUTED_VALUE"""),"Bakery")</f>
        <v>Bakery</v>
      </c>
      <c r="C179" s="73" t="str">
        <f>IFERROR(__xludf.DUMMYFUNCTION("""COMPUTED_VALUE"""),"Brownie 6")</f>
        <v>Brownie 6</v>
      </c>
      <c r="D179" s="73" t="str">
        <f>IFERROR(__xludf.DUMMYFUNCTION("""COMPUTED_VALUE"""),"230*125*50 mm | 5*2*9 inch")</f>
        <v>230*125*50 mm | 5*2*9 inch</v>
      </c>
      <c r="E179" s="77">
        <f>IFERROR(__xludf.DUMMYFUNCTION("""COMPUTED_VALUE"""),2.0)</f>
        <v>2</v>
      </c>
      <c r="F179" s="77">
        <f>IFERROR(__xludf.DUMMYFUNCTION("""COMPUTED_VALUE"""),2029.0)</f>
        <v>2029</v>
      </c>
      <c r="G179" s="77">
        <f>IFERROR(__xludf.DUMMYFUNCTION("""COMPUTED_VALUE"""),18.0)</f>
        <v>18</v>
      </c>
      <c r="H179" s="77">
        <f>IFERROR(__xludf.DUMMYFUNCTION("""COMPUTED_VALUE"""),28.0)</f>
        <v>28</v>
      </c>
      <c r="I179" s="77">
        <f>IFERROR(__xludf.DUMMYFUNCTION("""COMPUTED_VALUE"""),100.0)</f>
        <v>100</v>
      </c>
      <c r="J179" s="73"/>
      <c r="K179" s="73"/>
      <c r="L179" s="73"/>
      <c r="M179" s="77"/>
      <c r="N179" s="77">
        <f>IFERROR(__xludf.DUMMYFUNCTION("""COMPUTED_VALUE"""),1.0)</f>
        <v>1</v>
      </c>
      <c r="O179" s="49"/>
      <c r="P179" s="49" t="str">
        <f>IFERROR(__xludf.DUMMYFUNCTION("""COMPUTED_VALUE"""),"Offset")</f>
        <v>Offset</v>
      </c>
      <c r="Q179" s="49" t="str">
        <f>IFERROR(__xludf.DUMMYFUNCTION("""COMPUTED_VALUE"""),"Packaging")</f>
        <v>Packaging</v>
      </c>
      <c r="R179" s="49" t="str">
        <f>IFERROR(__xludf.DUMMYFUNCTION("""COMPUTED_VALUE"""),"Bakery")</f>
        <v>Bakery</v>
      </c>
    </row>
    <row r="180">
      <c r="A180" s="156" t="str">
        <f>IFERROR(__xludf.DUMMYFUNCTION("""COMPUTED_VALUE"""),"https://drive.google.com/open?id=1NKo9EGEy_OTROxqHiyGwdFTKamnXBFl-&amp;authuser=jay.agg%40gmail.com&amp;usp=drive_fs")</f>
        <v>https://drive.google.com/open?id=1NKo9EGEy_OTROxqHiyGwdFTKamnXBFl-&amp;authuser=jay.agg%40gmail.com&amp;usp=drive_fs</v>
      </c>
      <c r="B180" s="73" t="str">
        <f>IFERROR(__xludf.DUMMYFUNCTION("""COMPUTED_VALUE"""),"Bakery")</f>
        <v>Bakery</v>
      </c>
      <c r="C180" s="73" t="str">
        <f>IFERROR(__xludf.DUMMYFUNCTION("""COMPUTED_VALUE"""),"Brownie 9")</f>
        <v>Brownie 9</v>
      </c>
      <c r="D180" s="73" t="str">
        <f>IFERROR(__xludf.DUMMYFUNCTION("""COMPUTED_VALUE"""),"200*200*50 mm | 7.8*7.8*2 inch TB")</f>
        <v>200*200*50 mm | 7.8*7.8*2 inch TB</v>
      </c>
      <c r="E180" s="77">
        <f>IFERROR(__xludf.DUMMYFUNCTION("""COMPUTED_VALUE"""),1.0)</f>
        <v>1</v>
      </c>
      <c r="F180" s="77">
        <f>IFERROR(__xludf.DUMMYFUNCTION("""COMPUTED_VALUE"""),2029.0)</f>
        <v>2029</v>
      </c>
      <c r="G180" s="77">
        <f>IFERROR(__xludf.DUMMYFUNCTION("""COMPUTED_VALUE"""),21.0)</f>
        <v>21</v>
      </c>
      <c r="H180" s="77">
        <f>IFERROR(__xludf.DUMMYFUNCTION("""COMPUTED_VALUE"""),36.0)</f>
        <v>36</v>
      </c>
      <c r="I180" s="77">
        <f>IFERROR(__xludf.DUMMYFUNCTION("""COMPUTED_VALUE"""),100.0)</f>
        <v>100</v>
      </c>
      <c r="J180" s="73"/>
      <c r="K180" s="73"/>
      <c r="L180" s="73"/>
      <c r="M180" s="77"/>
      <c r="N180" s="77">
        <f>IFERROR(__xludf.DUMMYFUNCTION("""COMPUTED_VALUE"""),1.0)</f>
        <v>1</v>
      </c>
      <c r="O180" s="49"/>
      <c r="P180" s="49" t="str">
        <f>IFERROR(__xludf.DUMMYFUNCTION("""COMPUTED_VALUE"""),"Offset")</f>
        <v>Offset</v>
      </c>
      <c r="Q180" s="49" t="str">
        <f>IFERROR(__xludf.DUMMYFUNCTION("""COMPUTED_VALUE"""),"Packaging")</f>
        <v>Packaging</v>
      </c>
      <c r="R180" s="49" t="str">
        <f>IFERROR(__xludf.DUMMYFUNCTION("""COMPUTED_VALUE"""),"Bakery")</f>
        <v>Bakery</v>
      </c>
    </row>
    <row r="181">
      <c r="A181" s="156" t="str">
        <f>IFERROR(__xludf.DUMMYFUNCTION("""COMPUTED_VALUE"""),"https://drive.google.com/open?id=1_JKl-tnZg0v5n2NxfPWcjmDL9ReCUQx2&amp;authuser=jay.agg%40gmail.com&amp;usp=drive_fs")</f>
        <v>https://drive.google.com/open?id=1_JKl-tnZg0v5n2NxfPWcjmDL9ReCUQx2&amp;authuser=jay.agg%40gmail.com&amp;usp=drive_fs</v>
      </c>
      <c r="B181" s="73" t="str">
        <f>IFERROR(__xludf.DUMMYFUNCTION("""COMPUTED_VALUE"""),"Bakery")</f>
        <v>Bakery</v>
      </c>
      <c r="C181" s="73" t="str">
        <f>IFERROR(__xludf.DUMMYFUNCTION("""COMPUTED_VALUE"""),"Burger")</f>
        <v>Burger</v>
      </c>
      <c r="D181" s="73" t="str">
        <f>IFERROR(__xludf.DUMMYFUNCTION("""COMPUTED_VALUE"""),"120*120*50 mm | 4.7*4.7*2 inch")</f>
        <v>120*120*50 mm | 4.7*4.7*2 inch</v>
      </c>
      <c r="E181" s="77">
        <f>IFERROR(__xludf.DUMMYFUNCTION("""COMPUTED_VALUE"""),1.0)</f>
        <v>1</v>
      </c>
      <c r="F181" s="77">
        <f>IFERROR(__xludf.DUMMYFUNCTION("""COMPUTED_VALUE"""),1926.0)</f>
        <v>1926</v>
      </c>
      <c r="G181" s="77">
        <f>IFERROR(__xludf.DUMMYFUNCTION("""COMPUTED_VALUE"""),11.5)</f>
        <v>11.5</v>
      </c>
      <c r="H181" s="77">
        <f>IFERROR(__xludf.DUMMYFUNCTION("""COMPUTED_VALUE"""),19.5)</f>
        <v>19.5</v>
      </c>
      <c r="I181" s="77">
        <f>IFERROR(__xludf.DUMMYFUNCTION("""COMPUTED_VALUE"""),100.0)</f>
        <v>100</v>
      </c>
      <c r="J181" s="73"/>
      <c r="K181" s="73"/>
      <c r="L181" s="73"/>
      <c r="M181" s="77">
        <f>IFERROR(__xludf.DUMMYFUNCTION("""COMPUTED_VALUE"""),0.24)</f>
        <v>0.24</v>
      </c>
      <c r="N181" s="77">
        <f>IFERROR(__xludf.DUMMYFUNCTION("""COMPUTED_VALUE"""),1.0)</f>
        <v>1</v>
      </c>
      <c r="O181" s="49"/>
      <c r="P181" s="49" t="str">
        <f>IFERROR(__xludf.DUMMYFUNCTION("""COMPUTED_VALUE"""),"Offset")</f>
        <v>Offset</v>
      </c>
      <c r="Q181" s="49" t="str">
        <f>IFERROR(__xludf.DUMMYFUNCTION("""COMPUTED_VALUE"""),"Packaging")</f>
        <v>Packaging</v>
      </c>
      <c r="R181" s="49" t="str">
        <f>IFERROR(__xludf.DUMMYFUNCTION("""COMPUTED_VALUE"""),"Bakery")</f>
        <v>Bakery</v>
      </c>
    </row>
    <row r="182">
      <c r="A182" s="156" t="str">
        <f>IFERROR(__xludf.DUMMYFUNCTION("""COMPUTED_VALUE"""),"https://drive.google.com/open?id=1PGaH2FJqFiaNcamQsnlEdWRhmJohB2nf&amp;authuser=jay.agg%40gmail.com&amp;usp=drive_fs")</f>
        <v>https://drive.google.com/open?id=1PGaH2FJqFiaNcamQsnlEdWRhmJohB2nf&amp;authuser=jay.agg%40gmail.com&amp;usp=drive_fs</v>
      </c>
      <c r="B182" s="73" t="str">
        <f>IFERROR(__xludf.DUMMYFUNCTION("""COMPUTED_VALUE"""),"Bakery")</f>
        <v>Bakery</v>
      </c>
      <c r="C182" s="73" t="str">
        <f>IFERROR(__xludf.DUMMYFUNCTION("""COMPUTED_VALUE"""),"Cake Box")</f>
        <v>Cake Box</v>
      </c>
      <c r="D182" s="73" t="str">
        <f>IFERROR(__xludf.DUMMYFUNCTION("""COMPUTED_VALUE"""),"0.5 Kg 178*178*102 mm | 7*7*4 inch")</f>
        <v>0.5 Kg 178*178*102 mm | 7*7*4 inch</v>
      </c>
      <c r="E182" s="77">
        <f>IFERROR(__xludf.DUMMYFUNCTION("""COMPUTED_VALUE"""),1.0)</f>
        <v>1</v>
      </c>
      <c r="F182" s="77">
        <f>IFERROR(__xludf.DUMMYFUNCTION("""COMPUTED_VALUE"""),1926.0)</f>
        <v>1926</v>
      </c>
      <c r="G182" s="77">
        <f>IFERROR(__xludf.DUMMYFUNCTION("""COMPUTED_VALUE"""),13.0)</f>
        <v>13</v>
      </c>
      <c r="H182" s="77">
        <f>IFERROR(__xludf.DUMMYFUNCTION("""COMPUTED_VALUE"""),23.0)</f>
        <v>23</v>
      </c>
      <c r="I182" s="77">
        <f>IFERROR(__xludf.DUMMYFUNCTION("""COMPUTED_VALUE"""),100.0)</f>
        <v>100</v>
      </c>
      <c r="J182" s="73"/>
      <c r="K182" s="73"/>
      <c r="L182" s="73">
        <f>IFERROR(__xludf.DUMMYFUNCTION("""COMPUTED_VALUE"""),1.5)</f>
        <v>1.5</v>
      </c>
      <c r="M182" s="77"/>
      <c r="N182" s="77">
        <f>IFERROR(__xludf.DUMMYFUNCTION("""COMPUTED_VALUE"""),1.0)</f>
        <v>1</v>
      </c>
      <c r="O182" s="49"/>
      <c r="P182" s="49" t="str">
        <f>IFERROR(__xludf.DUMMYFUNCTION("""COMPUTED_VALUE"""),"Offset")</f>
        <v>Offset</v>
      </c>
      <c r="Q182" s="49" t="str">
        <f>IFERROR(__xludf.DUMMYFUNCTION("""COMPUTED_VALUE"""),"Packaging")</f>
        <v>Packaging</v>
      </c>
      <c r="R182" s="49" t="str">
        <f>IFERROR(__xludf.DUMMYFUNCTION("""COMPUTED_VALUE"""),"Bakery")</f>
        <v>Bakery</v>
      </c>
    </row>
    <row r="183">
      <c r="A183" s="156" t="str">
        <f>IFERROR(__xludf.DUMMYFUNCTION("""COMPUTED_VALUE"""),"https://drive.google.com/open?id=1PO6TlEGisYQjmf11rTDA_SVjC9lIieBe&amp;authuser=jay.agg%40gmail.com&amp;usp=drive_fs")</f>
        <v>https://drive.google.com/open?id=1PO6TlEGisYQjmf11rTDA_SVjC9lIieBe&amp;authuser=jay.agg%40gmail.com&amp;usp=drive_fs</v>
      </c>
      <c r="B183" s="73" t="str">
        <f>IFERROR(__xludf.DUMMYFUNCTION("""COMPUTED_VALUE"""),"Bakery")</f>
        <v>Bakery</v>
      </c>
      <c r="C183" s="73" t="str">
        <f>IFERROR(__xludf.DUMMYFUNCTION("""COMPUTED_VALUE"""),"Cake Box")</f>
        <v>Cake Box</v>
      </c>
      <c r="D183" s="73" t="str">
        <f>IFERROR(__xludf.DUMMYFUNCTION("""COMPUTED_VALUE"""),"1Kg 9*9*6 inch")</f>
        <v>1Kg 9*9*6 inch</v>
      </c>
      <c r="E183" s="77">
        <f>IFERROR(__xludf.DUMMYFUNCTION("""COMPUTED_VALUE"""),1.0)</f>
        <v>1</v>
      </c>
      <c r="F183" s="77">
        <f>IFERROR(__xludf.DUMMYFUNCTION("""COMPUTED_VALUE"""),2840.0)</f>
        <v>2840</v>
      </c>
      <c r="G183" s="77">
        <f>IFERROR(__xludf.DUMMYFUNCTION("""COMPUTED_VALUE"""),20.75)</f>
        <v>20.75</v>
      </c>
      <c r="H183" s="77">
        <f>IFERROR(__xludf.DUMMYFUNCTION("""COMPUTED_VALUE"""),31.5)</f>
        <v>31.5</v>
      </c>
      <c r="I183" s="77">
        <f>IFERROR(__xludf.DUMMYFUNCTION("""COMPUTED_VALUE"""),100.0)</f>
        <v>100</v>
      </c>
      <c r="J183" s="73"/>
      <c r="K183" s="73"/>
      <c r="L183" s="73"/>
      <c r="M183" s="77"/>
      <c r="N183" s="77">
        <f>IFERROR(__xludf.DUMMYFUNCTION("""COMPUTED_VALUE"""),1.0)</f>
        <v>1</v>
      </c>
      <c r="O183" s="49"/>
      <c r="P183" s="49" t="str">
        <f>IFERROR(__xludf.DUMMYFUNCTION("""COMPUTED_VALUE"""),"Offset")</f>
        <v>Offset</v>
      </c>
      <c r="Q183" s="49" t="str">
        <f>IFERROR(__xludf.DUMMYFUNCTION("""COMPUTED_VALUE"""),"Packaging")</f>
        <v>Packaging</v>
      </c>
      <c r="R183" s="49" t="str">
        <f>IFERROR(__xludf.DUMMYFUNCTION("""COMPUTED_VALUE"""),"Bakery")</f>
        <v>Bakery</v>
      </c>
    </row>
    <row r="184">
      <c r="A184" s="156" t="str">
        <f>IFERROR(__xludf.DUMMYFUNCTION("""COMPUTED_VALUE"""),"https://drive.google.com/open?id=1PQJOexa-4GtuFZKuNhr0dfS6GSSoeVyQ&amp;authuser=jay.agg%40gmail.com&amp;usp=drive_fs")</f>
        <v>https://drive.google.com/open?id=1PQJOexa-4GtuFZKuNhr0dfS6GSSoeVyQ&amp;authuser=jay.agg%40gmail.com&amp;usp=drive_fs</v>
      </c>
      <c r="B184" s="73" t="str">
        <f>IFERROR(__xludf.DUMMYFUNCTION("""COMPUTED_VALUE"""),"Bakery")</f>
        <v>Bakery</v>
      </c>
      <c r="C184" s="73" t="str">
        <f>IFERROR(__xludf.DUMMYFUNCTION("""COMPUTED_VALUE"""),"Cake Box")</f>
        <v>Cake Box</v>
      </c>
      <c r="D184" s="73" t="str">
        <f>IFERROR(__xludf.DUMMYFUNCTION("""COMPUTED_VALUE"""),"0.5Kg 203*203*127 mm | 8*8*5 inch | 28*17")</f>
        <v>0.5Kg 203*203*127 mm | 8*8*5 inch | 28*17</v>
      </c>
      <c r="E184" s="77">
        <f>IFERROR(__xludf.DUMMYFUNCTION("""COMPUTED_VALUE"""),1.0)</f>
        <v>1</v>
      </c>
      <c r="F184" s="77">
        <f>IFERROR(__xludf.DUMMYFUNCTION("""COMPUTED_VALUE"""),2029.0)</f>
        <v>2029</v>
      </c>
      <c r="G184" s="77">
        <f>IFERROR(__xludf.DUMMYFUNCTION("""COMPUTED_VALUE"""),20.0)</f>
        <v>20</v>
      </c>
      <c r="H184" s="77">
        <f>IFERROR(__xludf.DUMMYFUNCTION("""COMPUTED_VALUE"""),28.0)</f>
        <v>28</v>
      </c>
      <c r="I184" s="77">
        <f>IFERROR(__xludf.DUMMYFUNCTION("""COMPUTED_VALUE"""),100.0)</f>
        <v>100</v>
      </c>
      <c r="J184" s="73"/>
      <c r="K184" s="73"/>
      <c r="L184" s="73"/>
      <c r="M184" s="77"/>
      <c r="N184" s="77">
        <f>IFERROR(__xludf.DUMMYFUNCTION("""COMPUTED_VALUE"""),1.0)</f>
        <v>1</v>
      </c>
      <c r="O184" s="49"/>
      <c r="P184" s="49" t="str">
        <f>IFERROR(__xludf.DUMMYFUNCTION("""COMPUTED_VALUE"""),"Offset")</f>
        <v>Offset</v>
      </c>
      <c r="Q184" s="49" t="str">
        <f>IFERROR(__xludf.DUMMYFUNCTION("""COMPUTED_VALUE"""),"Packaging")</f>
        <v>Packaging</v>
      </c>
      <c r="R184" s="49" t="str">
        <f>IFERROR(__xludf.DUMMYFUNCTION("""COMPUTED_VALUE"""),"Bakery")</f>
        <v>Bakery</v>
      </c>
    </row>
    <row r="185">
      <c r="A185" s="156" t="str">
        <f>IFERROR(__xludf.DUMMYFUNCTION("""COMPUTED_VALUE"""),"https://drive.google.com/open?id=1PR-nafINydU3fQWPFdZ7QXfirO1hPosI&amp;authuser=jay.agg%40gmail.com&amp;usp=drive_fs")</f>
        <v>https://drive.google.com/open?id=1PR-nafINydU3fQWPFdZ7QXfirO1hPosI&amp;authuser=jay.agg%40gmail.com&amp;usp=drive_fs</v>
      </c>
      <c r="B185" s="73" t="str">
        <f>IFERROR(__xludf.DUMMYFUNCTION("""COMPUTED_VALUE"""),"Bakery")</f>
        <v>Bakery</v>
      </c>
      <c r="C185" s="73" t="str">
        <f>IFERROR(__xludf.DUMMYFUNCTION("""COMPUTED_VALUE"""),"Cake Box")</f>
        <v>Cake Box</v>
      </c>
      <c r="D185" s="73" t="str">
        <f>IFERROR(__xludf.DUMMYFUNCTION("""COMPUTED_VALUE"""),"1Kg 254*254*127 mm | 10*10*5 inch | 32*19")</f>
        <v>1Kg 254*254*127 mm | 10*10*5 inch | 32*19</v>
      </c>
      <c r="E185" s="77">
        <f>IFERROR(__xludf.DUMMYFUNCTION("""COMPUTED_VALUE"""),1.0)</f>
        <v>1</v>
      </c>
      <c r="F185" s="77">
        <f>IFERROR(__xludf.DUMMYFUNCTION("""COMPUTED_VALUE"""),2840.0)</f>
        <v>2840</v>
      </c>
      <c r="G185" s="77">
        <f>IFERROR(__xludf.DUMMYFUNCTION("""COMPUTED_VALUE"""),20.75)</f>
        <v>20.75</v>
      </c>
      <c r="H185" s="77">
        <f>IFERROR(__xludf.DUMMYFUNCTION("""COMPUTED_VALUE"""),31.5)</f>
        <v>31.5</v>
      </c>
      <c r="I185" s="77">
        <f>IFERROR(__xludf.DUMMYFUNCTION("""COMPUTED_VALUE"""),100.0)</f>
        <v>100</v>
      </c>
      <c r="J185" s="73"/>
      <c r="K185" s="73"/>
      <c r="L185" s="73"/>
      <c r="M185" s="77"/>
      <c r="N185" s="77">
        <f>IFERROR(__xludf.DUMMYFUNCTION("""COMPUTED_VALUE"""),1.0)</f>
        <v>1</v>
      </c>
      <c r="O185" s="49"/>
      <c r="P185" s="49" t="str">
        <f>IFERROR(__xludf.DUMMYFUNCTION("""COMPUTED_VALUE"""),"Offset")</f>
        <v>Offset</v>
      </c>
      <c r="Q185" s="49" t="str">
        <f>IFERROR(__xludf.DUMMYFUNCTION("""COMPUTED_VALUE"""),"Packaging")</f>
        <v>Packaging</v>
      </c>
      <c r="R185" s="49" t="str">
        <f>IFERROR(__xludf.DUMMYFUNCTION("""COMPUTED_VALUE"""),"Bakery")</f>
        <v>Bakery</v>
      </c>
    </row>
    <row r="186">
      <c r="A186" s="156" t="str">
        <f>IFERROR(__xludf.DUMMYFUNCTION("""COMPUTED_VALUE"""),"https://drive.google.com/open?id=1PWnDnFzKi-u__xJcDPQikhHsJcC-t9Bj&amp;authuser=jay.agg%40gmail.com&amp;usp=drive_fs")</f>
        <v>https://drive.google.com/open?id=1PWnDnFzKi-u__xJcDPQikhHsJcC-t9Bj&amp;authuser=jay.agg%40gmail.com&amp;usp=drive_fs</v>
      </c>
      <c r="B186" s="73" t="str">
        <f>IFERROR(__xludf.DUMMYFUNCTION("""COMPUTED_VALUE"""),"Bakery")</f>
        <v>Bakery</v>
      </c>
      <c r="C186" s="73" t="str">
        <f>IFERROR(__xludf.DUMMYFUNCTION("""COMPUTED_VALUE"""),"Cake Box")</f>
        <v>Cake Box</v>
      </c>
      <c r="D186" s="73" t="str">
        <f>IFERROR(__xludf.DUMMYFUNCTION("""COMPUTED_VALUE"""),"2Kg 305*304*127 mm | 12*12*5 inch | 22*36")</f>
        <v>2Kg 305*304*127 mm | 12*12*5 inch | 22*36</v>
      </c>
      <c r="E186" s="77">
        <f>IFERROR(__xludf.DUMMYFUNCTION("""COMPUTED_VALUE"""),1.0)</f>
        <v>1</v>
      </c>
      <c r="F186" s="77">
        <f>IFERROR(__xludf.DUMMYFUNCTION("""COMPUTED_VALUE"""),2840.0)</f>
        <v>2840</v>
      </c>
      <c r="G186" s="77">
        <f>IFERROR(__xludf.DUMMYFUNCTION("""COMPUTED_VALUE"""),23.0)</f>
        <v>23</v>
      </c>
      <c r="H186" s="77">
        <f>IFERROR(__xludf.DUMMYFUNCTION("""COMPUTED_VALUE"""),36.0)</f>
        <v>36</v>
      </c>
      <c r="I186" s="77">
        <f>IFERROR(__xludf.DUMMYFUNCTION("""COMPUTED_VALUE"""),100.0)</f>
        <v>100</v>
      </c>
      <c r="J186" s="73"/>
      <c r="K186" s="73"/>
      <c r="L186" s="73"/>
      <c r="M186" s="77"/>
      <c r="N186" s="77">
        <f>IFERROR(__xludf.DUMMYFUNCTION("""COMPUTED_VALUE"""),1.0)</f>
        <v>1</v>
      </c>
      <c r="O186" s="49"/>
      <c r="P186" s="49" t="str">
        <f>IFERROR(__xludf.DUMMYFUNCTION("""COMPUTED_VALUE"""),"Offset")</f>
        <v>Offset</v>
      </c>
      <c r="Q186" s="49" t="str">
        <f>IFERROR(__xludf.DUMMYFUNCTION("""COMPUTED_VALUE"""),"Packaging")</f>
        <v>Packaging</v>
      </c>
      <c r="R186" s="49" t="str">
        <f>IFERROR(__xludf.DUMMYFUNCTION("""COMPUTED_VALUE"""),"Bakery")</f>
        <v>Bakery</v>
      </c>
    </row>
    <row r="187">
      <c r="A187" s="156" t="str">
        <f>IFERROR(__xludf.DUMMYFUNCTION("""COMPUTED_VALUE"""),"https://drive.google.com/open?id=1CxpmydiWdrTgZTCnku5c5rEHVSJSeEOZ&amp;authuser=jay.agg%40gmail.com&amp;usp=drive_fs")</f>
        <v>https://drive.google.com/open?id=1CxpmydiWdrTgZTCnku5c5rEHVSJSeEOZ&amp;authuser=jay.agg%40gmail.com&amp;usp=drive_fs</v>
      </c>
      <c r="B187" s="73" t="str">
        <f>IFERROR(__xludf.DUMMYFUNCTION("""COMPUTED_VALUE"""),"Bakery")</f>
        <v>Bakery</v>
      </c>
      <c r="C187" s="73" t="str">
        <f>IFERROR(__xludf.DUMMYFUNCTION("""COMPUTED_VALUE"""),"Cake Box")</f>
        <v>Cake Box</v>
      </c>
      <c r="D187" s="73" t="str">
        <f>IFERROR(__xludf.DUMMYFUNCTION("""COMPUTED_VALUE"""),"1Kg 8*8*6 inch Bottom")</f>
        <v>1Kg 8*8*6 inch Bottom</v>
      </c>
      <c r="E187" s="77">
        <f>IFERROR(__xludf.DUMMYFUNCTION("""COMPUTED_VALUE"""),1.0)</f>
        <v>1</v>
      </c>
      <c r="F187" s="77">
        <f>IFERROR(__xludf.DUMMYFUNCTION("""COMPUTED_VALUE"""),1926.0)</f>
        <v>1926</v>
      </c>
      <c r="G187" s="77">
        <f>IFERROR(__xludf.DUMMYFUNCTION("""COMPUTED_VALUE"""),18.0)</f>
        <v>18</v>
      </c>
      <c r="H187" s="77">
        <f>IFERROR(__xludf.DUMMYFUNCTION("""COMPUTED_VALUE"""),21.0)</f>
        <v>21</v>
      </c>
      <c r="I187" s="77">
        <f>IFERROR(__xludf.DUMMYFUNCTION("""COMPUTED_VALUE"""),100.0)</f>
        <v>100</v>
      </c>
      <c r="J187" s="73"/>
      <c r="K187" s="73"/>
      <c r="L187" s="73"/>
      <c r="M187" s="77"/>
      <c r="N187" s="77">
        <f>IFERROR(__xludf.DUMMYFUNCTION("""COMPUTED_VALUE"""),1.0)</f>
        <v>1</v>
      </c>
      <c r="O187" s="49"/>
      <c r="P187" s="49" t="str">
        <f>IFERROR(__xludf.DUMMYFUNCTION("""COMPUTED_VALUE"""),"Offset")</f>
        <v>Offset</v>
      </c>
      <c r="Q187" s="49" t="str">
        <f>IFERROR(__xludf.DUMMYFUNCTION("""COMPUTED_VALUE"""),"Packaging")</f>
        <v>Packaging</v>
      </c>
      <c r="R187" s="49" t="str">
        <f>IFERROR(__xludf.DUMMYFUNCTION("""COMPUTED_VALUE"""),"Bakery")</f>
        <v>Bakery</v>
      </c>
    </row>
    <row r="188">
      <c r="A188" s="156" t="str">
        <f>IFERROR(__xludf.DUMMYFUNCTION("""COMPUTED_VALUE"""),"https://drive.google.com/open?id=1D3hjwUP0P8lFx9WD_i9STXsfY7uqE-26&amp;authuser=jay.agg%40gmail.com&amp;usp=drive_fs")</f>
        <v>https://drive.google.com/open?id=1D3hjwUP0P8lFx9WD_i9STXsfY7uqE-26&amp;authuser=jay.agg%40gmail.com&amp;usp=drive_fs</v>
      </c>
      <c r="B188" s="73" t="str">
        <f>IFERROR(__xludf.DUMMYFUNCTION("""COMPUTED_VALUE"""),"Bakery")</f>
        <v>Bakery</v>
      </c>
      <c r="C188" s="73" t="str">
        <f>IFERROR(__xludf.DUMMYFUNCTION("""COMPUTED_VALUE"""),"Cake Box")</f>
        <v>Cake Box</v>
      </c>
      <c r="D188" s="73" t="str">
        <f>IFERROR(__xludf.DUMMYFUNCTION("""COMPUTED_VALUE"""),"1Kg 8*8*6 | 8*8*2.5 inch Top")</f>
        <v>1Kg 8*8*6 | 8*8*2.5 inch Top</v>
      </c>
      <c r="E188" s="77">
        <f>IFERROR(__xludf.DUMMYFUNCTION("""COMPUTED_VALUE"""),2.0)</f>
        <v>2</v>
      </c>
      <c r="F188" s="77">
        <f>IFERROR(__xludf.DUMMYFUNCTION("""COMPUTED_VALUE"""),2029.0)</f>
        <v>2029</v>
      </c>
      <c r="G188" s="77">
        <f>IFERROR(__xludf.DUMMYFUNCTION("""COMPUTED_VALUE"""),13.4)</f>
        <v>13.4</v>
      </c>
      <c r="H188" s="77">
        <f>IFERROR(__xludf.DUMMYFUNCTION("""COMPUTED_VALUE"""),28.0)</f>
        <v>28</v>
      </c>
      <c r="I188" s="77">
        <f>IFERROR(__xludf.DUMMYFUNCTION("""COMPUTED_VALUE"""),100.0)</f>
        <v>100</v>
      </c>
      <c r="J188" s="73"/>
      <c r="K188" s="73"/>
      <c r="L188" s="73"/>
      <c r="M188" s="77">
        <f>IFERROR(__xludf.DUMMYFUNCTION("""COMPUTED_VALUE"""),0.23)</f>
        <v>0.23</v>
      </c>
      <c r="N188" s="77">
        <f>IFERROR(__xludf.DUMMYFUNCTION("""COMPUTED_VALUE"""),1.0)</f>
        <v>1</v>
      </c>
      <c r="O188" s="49"/>
      <c r="P188" s="49" t="str">
        <f>IFERROR(__xludf.DUMMYFUNCTION("""COMPUTED_VALUE"""),"Offset")</f>
        <v>Offset</v>
      </c>
      <c r="Q188" s="49" t="str">
        <f>IFERROR(__xludf.DUMMYFUNCTION("""COMPUTED_VALUE"""),"Packaging")</f>
        <v>Packaging</v>
      </c>
      <c r="R188" s="49" t="str">
        <f>IFERROR(__xludf.DUMMYFUNCTION("""COMPUTED_VALUE"""),"Bakery")</f>
        <v>Bakery</v>
      </c>
    </row>
    <row r="189">
      <c r="A189" s="156" t="str">
        <f>IFERROR(__xludf.DUMMYFUNCTION("""COMPUTED_VALUE"""),"https://drive.google.com/open?id=1Fc9oTKR7b821HkTrG_zI5QSWnLPrSVLg&amp;authuser=jay.agg%40gmail.com&amp;usp=drive_fs")</f>
        <v>https://drive.google.com/open?id=1Fc9oTKR7b821HkTrG_zI5QSWnLPrSVLg&amp;authuser=jay.agg%40gmail.com&amp;usp=drive_fs</v>
      </c>
      <c r="B189" s="73" t="str">
        <f>IFERROR(__xludf.DUMMYFUNCTION("""COMPUTED_VALUE"""),"Bakery")</f>
        <v>Bakery</v>
      </c>
      <c r="C189" s="73" t="str">
        <f>IFERROR(__xludf.DUMMYFUNCTION("""COMPUTED_VALUE"""),"Cake Box")</f>
        <v>Cake Box</v>
      </c>
      <c r="D189" s="73" t="str">
        <f>IFERROR(__xludf.DUMMYFUNCTION("""COMPUTED_VALUE"""),"6*6*6 inch Bottom")</f>
        <v>6*6*6 inch Bottom</v>
      </c>
      <c r="E189" s="77">
        <f>IFERROR(__xludf.DUMMYFUNCTION("""COMPUTED_VALUE"""),1.0)</f>
        <v>1</v>
      </c>
      <c r="F189" s="77">
        <f>IFERROR(__xludf.DUMMYFUNCTION("""COMPUTED_VALUE"""),1926.0)</f>
        <v>1926</v>
      </c>
      <c r="G189" s="77">
        <f>IFERROR(__xludf.DUMMYFUNCTION("""COMPUTED_VALUE"""),18.0)</f>
        <v>18</v>
      </c>
      <c r="H189" s="77">
        <f>IFERROR(__xludf.DUMMYFUNCTION("""COMPUTED_VALUE"""),19.0)</f>
        <v>19</v>
      </c>
      <c r="I189" s="77">
        <f>IFERROR(__xludf.DUMMYFUNCTION("""COMPUTED_VALUE"""),100.0)</f>
        <v>100</v>
      </c>
      <c r="J189" s="73"/>
      <c r="K189" s="73"/>
      <c r="L189" s="73"/>
      <c r="M189" s="77"/>
      <c r="N189" s="77">
        <f>IFERROR(__xludf.DUMMYFUNCTION("""COMPUTED_VALUE"""),1.0)</f>
        <v>1</v>
      </c>
      <c r="O189" s="49"/>
      <c r="P189" s="49" t="str">
        <f>IFERROR(__xludf.DUMMYFUNCTION("""COMPUTED_VALUE"""),"Offset")</f>
        <v>Offset</v>
      </c>
      <c r="Q189" s="49" t="str">
        <f>IFERROR(__xludf.DUMMYFUNCTION("""COMPUTED_VALUE"""),"Packaging")</f>
        <v>Packaging</v>
      </c>
      <c r="R189" s="49" t="str">
        <f>IFERROR(__xludf.DUMMYFUNCTION("""COMPUTED_VALUE"""),"Bakery")</f>
        <v>Bakery</v>
      </c>
    </row>
    <row r="190">
      <c r="A190" s="156" t="str">
        <f>IFERROR(__xludf.DUMMYFUNCTION("""COMPUTED_VALUE"""),"https://drive.google.com/open?id=1FiqaCWv8mXhiNA9bdlWazF9ffvu_ueSN&amp;authuser=jay.agg%40gmail.com&amp;usp=drive_fs")</f>
        <v>https://drive.google.com/open?id=1FiqaCWv8mXhiNA9bdlWazF9ffvu_ueSN&amp;authuser=jay.agg%40gmail.com&amp;usp=drive_fs</v>
      </c>
      <c r="B190" s="73" t="str">
        <f>IFERROR(__xludf.DUMMYFUNCTION("""COMPUTED_VALUE"""),"Bakery")</f>
        <v>Bakery</v>
      </c>
      <c r="C190" s="73" t="str">
        <f>IFERROR(__xludf.DUMMYFUNCTION("""COMPUTED_VALUE"""),"Cake Box")</f>
        <v>Cake Box</v>
      </c>
      <c r="D190" s="73" t="str">
        <f>IFERROR(__xludf.DUMMYFUNCTION("""COMPUTED_VALUE"""),"6*6*6 | 6*6*2.5 inch Top")</f>
        <v>6*6*6 | 6*6*2.5 inch Top</v>
      </c>
      <c r="E190" s="77">
        <f>IFERROR(__xludf.DUMMYFUNCTION("""COMPUTED_VALUE"""),2.0)</f>
        <v>2</v>
      </c>
      <c r="F190" s="77">
        <f>IFERROR(__xludf.DUMMYFUNCTION("""COMPUTED_VALUE"""),1926.0)</f>
        <v>1926</v>
      </c>
      <c r="G190" s="77">
        <f>IFERROR(__xludf.DUMMYFUNCTION("""COMPUTED_VALUE"""),12.0)</f>
        <v>12</v>
      </c>
      <c r="H190" s="77">
        <f>IFERROR(__xludf.DUMMYFUNCTION("""COMPUTED_VALUE"""),23.0)</f>
        <v>23</v>
      </c>
      <c r="I190" s="77">
        <f>IFERROR(__xludf.DUMMYFUNCTION("""COMPUTED_VALUE"""),100.0)</f>
        <v>100</v>
      </c>
      <c r="J190" s="73"/>
      <c r="K190" s="73"/>
      <c r="L190" s="73"/>
      <c r="M190" s="77">
        <f>IFERROR(__xludf.DUMMYFUNCTION("""COMPUTED_VALUE"""),0.23)</f>
        <v>0.23</v>
      </c>
      <c r="N190" s="77">
        <f>IFERROR(__xludf.DUMMYFUNCTION("""COMPUTED_VALUE"""),1.0)</f>
        <v>1</v>
      </c>
      <c r="O190" s="49"/>
      <c r="P190" s="49" t="str">
        <f>IFERROR(__xludf.DUMMYFUNCTION("""COMPUTED_VALUE"""),"Offset")</f>
        <v>Offset</v>
      </c>
      <c r="Q190" s="49" t="str">
        <f>IFERROR(__xludf.DUMMYFUNCTION("""COMPUTED_VALUE"""),"Packaging")</f>
        <v>Packaging</v>
      </c>
      <c r="R190" s="49" t="str">
        <f>IFERROR(__xludf.DUMMYFUNCTION("""COMPUTED_VALUE"""),"Bakery")</f>
        <v>Bakery</v>
      </c>
    </row>
    <row r="191">
      <c r="A191" s="156" t="str">
        <f>IFERROR(__xludf.DUMMYFUNCTION("""COMPUTED_VALUE"""),"https://drive.google.com/open?id=1FY_BWfKhFUF1b3v5HB3Hc0DrhkEhW1dk&amp;authuser=jay.agg%40gmail.com&amp;usp=drive_fs")</f>
        <v>https://drive.google.com/open?id=1FY_BWfKhFUF1b3v5HB3Hc0DrhkEhW1dk&amp;authuser=jay.agg%40gmail.com&amp;usp=drive_fs</v>
      </c>
      <c r="B191" s="73" t="str">
        <f>IFERROR(__xludf.DUMMYFUNCTION("""COMPUTED_VALUE"""),"Bakery")</f>
        <v>Bakery</v>
      </c>
      <c r="C191" s="73" t="str">
        <f>IFERROR(__xludf.DUMMYFUNCTION("""COMPUTED_VALUE"""),"Cake Box")</f>
        <v>Cake Box</v>
      </c>
      <c r="D191" s="73" t="str">
        <f>IFERROR(__xludf.DUMMYFUNCTION("""COMPUTED_VALUE"""),"10*10*6 inch Bottom")</f>
        <v>10*10*6 inch Bottom</v>
      </c>
      <c r="E191" s="77">
        <f>IFERROR(__xludf.DUMMYFUNCTION("""COMPUTED_VALUE"""),1.0)</f>
        <v>1</v>
      </c>
      <c r="F191" s="77">
        <f>IFERROR(__xludf.DUMMYFUNCTION("""COMPUTED_VALUE"""),2029.0)</f>
        <v>2029</v>
      </c>
      <c r="G191" s="77">
        <f>IFERROR(__xludf.DUMMYFUNCTION("""COMPUTED_VALUE"""),19.5)</f>
        <v>19.5</v>
      </c>
      <c r="H191" s="77">
        <f>IFERROR(__xludf.DUMMYFUNCTION("""COMPUTED_VALUE"""),23.0)</f>
        <v>23</v>
      </c>
      <c r="I191" s="77">
        <f>IFERROR(__xludf.DUMMYFUNCTION("""COMPUTED_VALUE"""),100.0)</f>
        <v>100</v>
      </c>
      <c r="J191" s="73"/>
      <c r="K191" s="73"/>
      <c r="L191" s="73"/>
      <c r="M191" s="77"/>
      <c r="N191" s="77">
        <f>IFERROR(__xludf.DUMMYFUNCTION("""COMPUTED_VALUE"""),1.0)</f>
        <v>1</v>
      </c>
      <c r="O191" s="49"/>
      <c r="P191" s="49" t="str">
        <f>IFERROR(__xludf.DUMMYFUNCTION("""COMPUTED_VALUE"""),"Offset")</f>
        <v>Offset</v>
      </c>
      <c r="Q191" s="49" t="str">
        <f>IFERROR(__xludf.DUMMYFUNCTION("""COMPUTED_VALUE"""),"Packaging")</f>
        <v>Packaging</v>
      </c>
      <c r="R191" s="49" t="str">
        <f>IFERROR(__xludf.DUMMYFUNCTION("""COMPUTED_VALUE"""),"Bakery")</f>
        <v>Bakery</v>
      </c>
    </row>
    <row r="192">
      <c r="A192" s="156" t="str">
        <f>IFERROR(__xludf.DUMMYFUNCTION("""COMPUTED_VALUE"""),"https://drive.google.com/open?id=1Fjk4IQZJ34_nyzhqW73UOkG39mmThBYf&amp;authuser=jay.agg%40gmail.com&amp;usp=drive_fs")</f>
        <v>https://drive.google.com/open?id=1Fjk4IQZJ34_nyzhqW73UOkG39mmThBYf&amp;authuser=jay.agg%40gmail.com&amp;usp=drive_fs</v>
      </c>
      <c r="B192" s="73" t="str">
        <f>IFERROR(__xludf.DUMMYFUNCTION("""COMPUTED_VALUE"""),"Bakery")</f>
        <v>Bakery</v>
      </c>
      <c r="C192" s="73" t="str">
        <f>IFERROR(__xludf.DUMMYFUNCTION("""COMPUTED_VALUE"""),"Cake Box")</f>
        <v>Cake Box</v>
      </c>
      <c r="D192" s="73" t="str">
        <f>IFERROR(__xludf.DUMMYFUNCTION("""COMPUTED_VALUE"""),"10*10*6 | 10*10*2.5 inch Top")</f>
        <v>10*10*6 | 10*10*2.5 inch Top</v>
      </c>
      <c r="E192" s="77">
        <f>IFERROR(__xludf.DUMMYFUNCTION("""COMPUTED_VALUE"""),1.0)</f>
        <v>1</v>
      </c>
      <c r="F192" s="77">
        <f>IFERROR(__xludf.DUMMYFUNCTION("""COMPUTED_VALUE"""),1926.0)</f>
        <v>1926</v>
      </c>
      <c r="G192" s="77">
        <f>IFERROR(__xludf.DUMMYFUNCTION("""COMPUTED_VALUE"""),18.0)</f>
        <v>18</v>
      </c>
      <c r="H192" s="77">
        <f>IFERROR(__xludf.DUMMYFUNCTION("""COMPUTED_VALUE"""),19.0)</f>
        <v>19</v>
      </c>
      <c r="I192" s="77">
        <f>IFERROR(__xludf.DUMMYFUNCTION("""COMPUTED_VALUE"""),100.0)</f>
        <v>100</v>
      </c>
      <c r="J192" s="73"/>
      <c r="K192" s="73"/>
      <c r="L192" s="73"/>
      <c r="M192" s="77">
        <f>IFERROR(__xludf.DUMMYFUNCTION("""COMPUTED_VALUE"""),0.23)</f>
        <v>0.23</v>
      </c>
      <c r="N192" s="77">
        <f>IFERROR(__xludf.DUMMYFUNCTION("""COMPUTED_VALUE"""),1.0)</f>
        <v>1</v>
      </c>
      <c r="O192" s="49"/>
      <c r="P192" s="49" t="str">
        <f>IFERROR(__xludf.DUMMYFUNCTION("""COMPUTED_VALUE"""),"Offset")</f>
        <v>Offset</v>
      </c>
      <c r="Q192" s="49" t="str">
        <f>IFERROR(__xludf.DUMMYFUNCTION("""COMPUTED_VALUE"""),"Packaging")</f>
        <v>Packaging</v>
      </c>
      <c r="R192" s="49" t="str">
        <f>IFERROR(__xludf.DUMMYFUNCTION("""COMPUTED_VALUE"""),"Bakery")</f>
        <v>Bakery</v>
      </c>
    </row>
    <row r="193">
      <c r="A193" s="156" t="str">
        <f>IFERROR(__xludf.DUMMYFUNCTION("""COMPUTED_VALUE"""),"https://drive.google.com/open?id=1FWVuQA0GcqzoUWWLjQLAJFIX0SWSEdFr&amp;authuser=jay.agg%40gmail.com&amp;usp=drive_fs")</f>
        <v>https://drive.google.com/open?id=1FWVuQA0GcqzoUWWLjQLAJFIX0SWSEdFr&amp;authuser=jay.agg%40gmail.com&amp;usp=drive_fs</v>
      </c>
      <c r="B193" s="73" t="str">
        <f>IFERROR(__xludf.DUMMYFUNCTION("""COMPUTED_VALUE"""),"Bakery")</f>
        <v>Bakery</v>
      </c>
      <c r="C193" s="73" t="str">
        <f>IFERROR(__xludf.DUMMYFUNCTION("""COMPUTED_VALUE"""),"Cake Box")</f>
        <v>Cake Box</v>
      </c>
      <c r="D193" s="73" t="str">
        <f>IFERROR(__xludf.DUMMYFUNCTION("""COMPUTED_VALUE"""),"12*12*6 inch Bottom")</f>
        <v>12*12*6 inch Bottom</v>
      </c>
      <c r="E193" s="77">
        <f>IFERROR(__xludf.DUMMYFUNCTION("""COMPUTED_VALUE"""),1.0)</f>
        <v>1</v>
      </c>
      <c r="F193" s="77">
        <f>IFERROR(__xludf.DUMMYFUNCTION("""COMPUTED_VALUE"""),2029.0)</f>
        <v>2029</v>
      </c>
      <c r="G193" s="77">
        <f>IFERROR(__xludf.DUMMYFUNCTION("""COMPUTED_VALUE"""),20.0)</f>
        <v>20</v>
      </c>
      <c r="H193" s="77">
        <f>IFERROR(__xludf.DUMMYFUNCTION("""COMPUTED_VALUE"""),25.0)</f>
        <v>25</v>
      </c>
      <c r="I193" s="77">
        <f>IFERROR(__xludf.DUMMYFUNCTION("""COMPUTED_VALUE"""),100.0)</f>
        <v>100</v>
      </c>
      <c r="J193" s="73"/>
      <c r="K193" s="73"/>
      <c r="L193" s="73"/>
      <c r="M193" s="77"/>
      <c r="N193" s="77">
        <f>IFERROR(__xludf.DUMMYFUNCTION("""COMPUTED_VALUE"""),1.0)</f>
        <v>1</v>
      </c>
      <c r="O193" s="49"/>
      <c r="P193" s="49" t="str">
        <f>IFERROR(__xludf.DUMMYFUNCTION("""COMPUTED_VALUE"""),"Offset")</f>
        <v>Offset</v>
      </c>
      <c r="Q193" s="49" t="str">
        <f>IFERROR(__xludf.DUMMYFUNCTION("""COMPUTED_VALUE"""),"Packaging")</f>
        <v>Packaging</v>
      </c>
      <c r="R193" s="49" t="str">
        <f>IFERROR(__xludf.DUMMYFUNCTION("""COMPUTED_VALUE"""),"Bakery")</f>
        <v>Bakery</v>
      </c>
    </row>
    <row r="194">
      <c r="A194" s="156" t="str">
        <f>IFERROR(__xludf.DUMMYFUNCTION("""COMPUTED_VALUE"""),"https://drive.google.com/open?id=1FnsatBoPLTPp4pCKqLg30CDtg4dTkM3n&amp;authuser=jay.agg%40gmail.com&amp;usp=drive_fs")</f>
        <v>https://drive.google.com/open?id=1FnsatBoPLTPp4pCKqLg30CDtg4dTkM3n&amp;authuser=jay.agg%40gmail.com&amp;usp=drive_fs</v>
      </c>
      <c r="B194" s="73" t="str">
        <f>IFERROR(__xludf.DUMMYFUNCTION("""COMPUTED_VALUE"""),"Bakery")</f>
        <v>Bakery</v>
      </c>
      <c r="C194" s="73" t="str">
        <f>IFERROR(__xludf.DUMMYFUNCTION("""COMPUTED_VALUE"""),"Cake Box")</f>
        <v>Cake Box</v>
      </c>
      <c r="D194" s="73" t="str">
        <f>IFERROR(__xludf.DUMMYFUNCTION("""COMPUTED_VALUE"""),"12*12*6 | 12*12*2.5 inch Top")</f>
        <v>12*12*6 | 12*12*2.5 inch Top</v>
      </c>
      <c r="E194" s="77">
        <f>IFERROR(__xludf.DUMMYFUNCTION("""COMPUTED_VALUE"""),1.0)</f>
        <v>1</v>
      </c>
      <c r="F194" s="77">
        <f>IFERROR(__xludf.DUMMYFUNCTION("""COMPUTED_VALUE"""),1926.0)</f>
        <v>1926</v>
      </c>
      <c r="G194" s="77">
        <f>IFERROR(__xludf.DUMMYFUNCTION("""COMPUTED_VALUE"""),18.0)</f>
        <v>18</v>
      </c>
      <c r="H194" s="77">
        <f>IFERROR(__xludf.DUMMYFUNCTION("""COMPUTED_VALUE"""),19.0)</f>
        <v>19</v>
      </c>
      <c r="I194" s="77">
        <f>IFERROR(__xludf.DUMMYFUNCTION("""COMPUTED_VALUE"""),100.0)</f>
        <v>100</v>
      </c>
      <c r="J194" s="73"/>
      <c r="K194" s="73"/>
      <c r="L194" s="73"/>
      <c r="M194" s="77">
        <f>IFERROR(__xludf.DUMMYFUNCTION("""COMPUTED_VALUE"""),0.23)</f>
        <v>0.23</v>
      </c>
      <c r="N194" s="77">
        <f>IFERROR(__xludf.DUMMYFUNCTION("""COMPUTED_VALUE"""),1.0)</f>
        <v>1</v>
      </c>
      <c r="O194" s="49"/>
      <c r="P194" s="49" t="str">
        <f>IFERROR(__xludf.DUMMYFUNCTION("""COMPUTED_VALUE"""),"Offset")</f>
        <v>Offset</v>
      </c>
      <c r="Q194" s="49" t="str">
        <f>IFERROR(__xludf.DUMMYFUNCTION("""COMPUTED_VALUE"""),"Packaging")</f>
        <v>Packaging</v>
      </c>
      <c r="R194" s="49" t="str">
        <f>IFERROR(__xludf.DUMMYFUNCTION("""COMPUTED_VALUE"""),"Bakery")</f>
        <v>Bakery</v>
      </c>
    </row>
    <row r="195">
      <c r="A195" s="156" t="str">
        <f>IFERROR(__xludf.DUMMYFUNCTION("""COMPUTED_VALUE"""),"https://drive.google.com/open?id=1FMsvYWKgEmPGYiFaJx5tzMiNTtJ-Dj6o&amp;authuser=jay.agg%40gmail.com&amp;usp=drive_fs")</f>
        <v>https://drive.google.com/open?id=1FMsvYWKgEmPGYiFaJx5tzMiNTtJ-Dj6o&amp;authuser=jay.agg%40gmail.com&amp;usp=drive_fs</v>
      </c>
      <c r="B195" s="73" t="str">
        <f>IFERROR(__xludf.DUMMYFUNCTION("""COMPUTED_VALUE"""),"Bakery")</f>
        <v>Bakery</v>
      </c>
      <c r="C195" s="73" t="str">
        <f>IFERROR(__xludf.DUMMYFUNCTION("""COMPUTED_VALUE"""),"Cake Box")</f>
        <v>Cake Box</v>
      </c>
      <c r="D195" s="73" t="str">
        <f>IFERROR(__xludf.DUMMYFUNCTION("""COMPUTED_VALUE"""),"14*18*6 inch Bottom")</f>
        <v>14*18*6 inch Bottom</v>
      </c>
      <c r="E195" s="77">
        <f>IFERROR(__xludf.DUMMYFUNCTION("""COMPUTED_VALUE"""),1.0)</f>
        <v>1</v>
      </c>
      <c r="F195" s="77">
        <f>IFERROR(__xludf.DUMMYFUNCTION("""COMPUTED_VALUE"""),2840.0)</f>
        <v>2840</v>
      </c>
      <c r="G195" s="77">
        <f>IFERROR(__xludf.DUMMYFUNCTION("""COMPUTED_VALUE"""),25.0)</f>
        <v>25</v>
      </c>
      <c r="H195" s="77">
        <f>IFERROR(__xludf.DUMMYFUNCTION("""COMPUTED_VALUE"""),30.0)</f>
        <v>30</v>
      </c>
      <c r="I195" s="77">
        <f>IFERROR(__xludf.DUMMYFUNCTION("""COMPUTED_VALUE"""),100.0)</f>
        <v>100</v>
      </c>
      <c r="J195" s="73"/>
      <c r="K195" s="73"/>
      <c r="L195" s="73"/>
      <c r="M195" s="77"/>
      <c r="N195" s="77">
        <f>IFERROR(__xludf.DUMMYFUNCTION("""COMPUTED_VALUE"""),1.0)</f>
        <v>1</v>
      </c>
      <c r="O195" s="49"/>
      <c r="P195" s="49" t="str">
        <f>IFERROR(__xludf.DUMMYFUNCTION("""COMPUTED_VALUE"""),"Offset")</f>
        <v>Offset</v>
      </c>
      <c r="Q195" s="49" t="str">
        <f>IFERROR(__xludf.DUMMYFUNCTION("""COMPUTED_VALUE"""),"Packaging")</f>
        <v>Packaging</v>
      </c>
      <c r="R195" s="49" t="str">
        <f>IFERROR(__xludf.DUMMYFUNCTION("""COMPUTED_VALUE"""),"Bakery")</f>
        <v>Bakery</v>
      </c>
    </row>
    <row r="196">
      <c r="A196" s="156" t="str">
        <f>IFERROR(__xludf.DUMMYFUNCTION("""COMPUTED_VALUE"""),"https://drive.google.com/open?id=1FL99kMLlavpUPir5t5GYIF7llvaOg0-z&amp;authuser=jay.agg%40gmail.com&amp;usp=drive_fs")</f>
        <v>https://drive.google.com/open?id=1FL99kMLlavpUPir5t5GYIF7llvaOg0-z&amp;authuser=jay.agg%40gmail.com&amp;usp=drive_fs</v>
      </c>
      <c r="B196" s="73" t="str">
        <f>IFERROR(__xludf.DUMMYFUNCTION("""COMPUTED_VALUE"""),"Bakery")</f>
        <v>Bakery</v>
      </c>
      <c r="C196" s="73" t="str">
        <f>IFERROR(__xludf.DUMMYFUNCTION("""COMPUTED_VALUE"""),"Cake Box")</f>
        <v>Cake Box</v>
      </c>
      <c r="D196" s="73" t="str">
        <f>IFERROR(__xludf.DUMMYFUNCTION("""COMPUTED_VALUE"""),"14*18*6 | 14*18*2.5 inch Top")</f>
        <v>14*18*6 | 14*18*2.5 inch Top</v>
      </c>
      <c r="E196" s="77">
        <f>IFERROR(__xludf.DUMMYFUNCTION("""COMPUTED_VALUE"""),1.0)</f>
        <v>1</v>
      </c>
      <c r="F196" s="77">
        <f>IFERROR(__xludf.DUMMYFUNCTION("""COMPUTED_VALUE"""),2029.0)</f>
        <v>2029</v>
      </c>
      <c r="G196" s="77">
        <f>IFERROR(__xludf.DUMMYFUNCTION("""COMPUTED_VALUE"""),19.5)</f>
        <v>19.5</v>
      </c>
      <c r="H196" s="77">
        <f>IFERROR(__xludf.DUMMYFUNCTION("""COMPUTED_VALUE"""),23.0)</f>
        <v>23</v>
      </c>
      <c r="I196" s="77">
        <f>IFERROR(__xludf.DUMMYFUNCTION("""COMPUTED_VALUE"""),100.0)</f>
        <v>100</v>
      </c>
      <c r="J196" s="73"/>
      <c r="K196" s="73"/>
      <c r="L196" s="73"/>
      <c r="M196" s="77">
        <f>IFERROR(__xludf.DUMMYFUNCTION("""COMPUTED_VALUE"""),0.26)</f>
        <v>0.26</v>
      </c>
      <c r="N196" s="77">
        <f>IFERROR(__xludf.DUMMYFUNCTION("""COMPUTED_VALUE"""),1.0)</f>
        <v>1</v>
      </c>
      <c r="O196" s="49"/>
      <c r="P196" s="49" t="str">
        <f>IFERROR(__xludf.DUMMYFUNCTION("""COMPUTED_VALUE"""),"Offset")</f>
        <v>Offset</v>
      </c>
      <c r="Q196" s="49" t="str">
        <f>IFERROR(__xludf.DUMMYFUNCTION("""COMPUTED_VALUE"""),"Packaging")</f>
        <v>Packaging</v>
      </c>
      <c r="R196" s="49" t="str">
        <f>IFERROR(__xludf.DUMMYFUNCTION("""COMPUTED_VALUE"""),"Bakery")</f>
        <v>Bakery</v>
      </c>
    </row>
    <row r="197">
      <c r="A197" s="156" t="str">
        <f>IFERROR(__xludf.DUMMYFUNCTION("""COMPUTED_VALUE"""),"https://drive.google.com/open?id=1Emi--XIoiuXckSxqBeNw1IyXwinydrah&amp;authuser=jay.agg%40gmail.com&amp;usp=drive_fs")</f>
        <v>https://drive.google.com/open?id=1Emi--XIoiuXckSxqBeNw1IyXwinydrah&amp;authuser=jay.agg%40gmail.com&amp;usp=drive_fs</v>
      </c>
      <c r="B197" s="73" t="str">
        <f>IFERROR(__xludf.DUMMYFUNCTION("""COMPUTED_VALUE"""),"Bakery")</f>
        <v>Bakery</v>
      </c>
      <c r="C197" s="73" t="str">
        <f>IFERROR(__xludf.DUMMYFUNCTION("""COMPUTED_VALUE"""),"Cake Box")</f>
        <v>Cake Box</v>
      </c>
      <c r="D197" s="73" t="str">
        <f>IFERROR(__xludf.DUMMYFUNCTION("""COMPUTED_VALUE"""),"7*7*5 inch W 5*10 inch")</f>
        <v>7*7*5 inch W 5*10 inch</v>
      </c>
      <c r="E197" s="77">
        <f>IFERROR(__xludf.DUMMYFUNCTION("""COMPUTED_VALUE"""),1.0)</f>
        <v>1</v>
      </c>
      <c r="F197" s="77">
        <f>IFERROR(__xludf.DUMMYFUNCTION("""COMPUTED_VALUE"""),1926.0)</f>
        <v>1926</v>
      </c>
      <c r="G197" s="77">
        <f>IFERROR(__xludf.DUMMYFUNCTION("""COMPUTED_VALUE"""),15.0)</f>
        <v>15</v>
      </c>
      <c r="H197" s="77">
        <f>IFERROR(__xludf.DUMMYFUNCTION("""COMPUTED_VALUE"""),25.0)</f>
        <v>25</v>
      </c>
      <c r="I197" s="77">
        <f>IFERROR(__xludf.DUMMYFUNCTION("""COMPUTED_VALUE"""),100.0)</f>
        <v>100</v>
      </c>
      <c r="J197" s="73"/>
      <c r="K197" s="73"/>
      <c r="L197" s="73">
        <f>IFERROR(__xludf.DUMMYFUNCTION("""COMPUTED_VALUE"""),1.75)</f>
        <v>1.75</v>
      </c>
      <c r="M197" s="77"/>
      <c r="N197" s="77">
        <f>IFERROR(__xludf.DUMMYFUNCTION("""COMPUTED_VALUE"""),1.0)</f>
        <v>1</v>
      </c>
      <c r="O197" s="49"/>
      <c r="P197" s="49" t="str">
        <f>IFERROR(__xludf.DUMMYFUNCTION("""COMPUTED_VALUE"""),"Offset")</f>
        <v>Offset</v>
      </c>
      <c r="Q197" s="49" t="str">
        <f>IFERROR(__xludf.DUMMYFUNCTION("""COMPUTED_VALUE"""),"Packaging")</f>
        <v>Packaging</v>
      </c>
      <c r="R197" s="49" t="str">
        <f>IFERROR(__xludf.DUMMYFUNCTION("""COMPUTED_VALUE"""),"Bakery")</f>
        <v>Bakery</v>
      </c>
    </row>
    <row r="198">
      <c r="A198" s="156" t="str">
        <f>IFERROR(__xludf.DUMMYFUNCTION("""COMPUTED_VALUE"""),"https://drive.google.com/open?id=1UExgVL2URLNjfjV1HAWg4VIoUNyPdo8-&amp;authuser=jay.agg%40gmail.com&amp;usp=drive_fs")</f>
        <v>https://drive.google.com/open?id=1UExgVL2URLNjfjV1HAWg4VIoUNyPdo8-&amp;authuser=jay.agg%40gmail.com&amp;usp=drive_fs</v>
      </c>
      <c r="B198" s="73" t="str">
        <f>IFERROR(__xludf.DUMMYFUNCTION("""COMPUTED_VALUE"""),"Bakery")</f>
        <v>Bakery</v>
      </c>
      <c r="C198" s="73" t="str">
        <f>IFERROR(__xludf.DUMMYFUNCTION("""COMPUTED_VALUE"""),"Cake Box")</f>
        <v>Cake Box</v>
      </c>
      <c r="D198" s="73" t="str">
        <f>IFERROR(__xludf.DUMMYFUNCTION("""COMPUTED_VALUE"""),"70*130*110 mm | 2.75*5.1*4.3 inch set")</f>
        <v>70*130*110 mm | 2.75*5.1*4.3 inch set</v>
      </c>
      <c r="E198" s="77">
        <f>IFERROR(__xludf.DUMMYFUNCTION("""COMPUTED_VALUE"""),2.0)</f>
        <v>2</v>
      </c>
      <c r="F198" s="77">
        <f>IFERROR(__xludf.DUMMYFUNCTION("""COMPUTED_VALUE"""),2029.0)</f>
        <v>2029</v>
      </c>
      <c r="G198" s="77">
        <f>IFERROR(__xludf.DUMMYFUNCTION("""COMPUTED_VALUE"""),20.0)</f>
        <v>20</v>
      </c>
      <c r="H198" s="77">
        <f>IFERROR(__xludf.DUMMYFUNCTION("""COMPUTED_VALUE"""),28.0)</f>
        <v>28</v>
      </c>
      <c r="I198" s="77">
        <f>IFERROR(__xludf.DUMMYFUNCTION("""COMPUTED_VALUE"""),100.0)</f>
        <v>100</v>
      </c>
      <c r="J198" s="73"/>
      <c r="K198" s="73"/>
      <c r="L198" s="73"/>
      <c r="M198" s="77">
        <f>IFERROR(__xludf.DUMMYFUNCTION("""COMPUTED_VALUE"""),0.22)</f>
        <v>0.22</v>
      </c>
      <c r="N198" s="77">
        <f>IFERROR(__xludf.DUMMYFUNCTION("""COMPUTED_VALUE"""),1.0)</f>
        <v>1</v>
      </c>
      <c r="O198" s="49"/>
      <c r="P198" s="49" t="str">
        <f>IFERROR(__xludf.DUMMYFUNCTION("""COMPUTED_VALUE"""),"Offset")</f>
        <v>Offset</v>
      </c>
      <c r="Q198" s="49" t="str">
        <f>IFERROR(__xludf.DUMMYFUNCTION("""COMPUTED_VALUE"""),"Packaging")</f>
        <v>Packaging</v>
      </c>
      <c r="R198" s="49" t="str">
        <f>IFERROR(__xludf.DUMMYFUNCTION("""COMPUTED_VALUE"""),"Bakery")</f>
        <v>Bakery</v>
      </c>
    </row>
    <row r="199">
      <c r="A199" s="156" t="str">
        <f>IFERROR(__xludf.DUMMYFUNCTION("""COMPUTED_VALUE"""),"https://drive.google.com/open?id=1-ipabbVYYqsWTc752HmG2v6Wr2iaJEam&amp;authuser=jay.agg%40gmail.com&amp;usp=drive_fs")</f>
        <v>https://drive.google.com/open?id=1-ipabbVYYqsWTc752HmG2v6Wr2iaJEam&amp;authuser=jay.agg%40gmail.com&amp;usp=drive_fs</v>
      </c>
      <c r="B199" s="73" t="str">
        <f>IFERROR(__xludf.DUMMYFUNCTION("""COMPUTED_VALUE"""),"Bakery")</f>
        <v>Bakery</v>
      </c>
      <c r="C199" s="73" t="str">
        <f>IFERROR(__xludf.DUMMYFUNCTION("""COMPUTED_VALUE"""),"Cake Box")</f>
        <v>Cake Box</v>
      </c>
      <c r="D199" s="73" t="str">
        <f>IFERROR(__xludf.DUMMYFUNCTION("""COMPUTED_VALUE"""),"178*128*102 mm | 7*5*4 inch")</f>
        <v>178*128*102 mm | 7*5*4 inch</v>
      </c>
      <c r="E199" s="77">
        <f>IFERROR(__xludf.DUMMYFUNCTION("""COMPUTED_VALUE"""),2.0)</f>
        <v>2</v>
      </c>
      <c r="F199" s="77">
        <f>IFERROR(__xludf.DUMMYFUNCTION("""COMPUTED_VALUE"""),2029.0)</f>
        <v>2029</v>
      </c>
      <c r="G199" s="77">
        <f>IFERROR(__xludf.DUMMYFUNCTION("""COMPUTED_VALUE"""),20.0)</f>
        <v>20</v>
      </c>
      <c r="H199" s="77">
        <f>IFERROR(__xludf.DUMMYFUNCTION("""COMPUTED_VALUE"""),28.0)</f>
        <v>28</v>
      </c>
      <c r="I199" s="77">
        <f>IFERROR(__xludf.DUMMYFUNCTION("""COMPUTED_VALUE"""),100.0)</f>
        <v>100</v>
      </c>
      <c r="J199" s="73"/>
      <c r="K199" s="73"/>
      <c r="L199" s="73"/>
      <c r="M199" s="77"/>
      <c r="N199" s="77">
        <f>IFERROR(__xludf.DUMMYFUNCTION("""COMPUTED_VALUE"""),1.0)</f>
        <v>1</v>
      </c>
      <c r="O199" s="49"/>
      <c r="P199" s="49" t="str">
        <f>IFERROR(__xludf.DUMMYFUNCTION("""COMPUTED_VALUE"""),"Offset")</f>
        <v>Offset</v>
      </c>
      <c r="Q199" s="49" t="str">
        <f>IFERROR(__xludf.DUMMYFUNCTION("""COMPUTED_VALUE"""),"Packaging")</f>
        <v>Packaging</v>
      </c>
      <c r="R199" s="49" t="str">
        <f>IFERROR(__xludf.DUMMYFUNCTION("""COMPUTED_VALUE"""),"Bakery")</f>
        <v>Bakery</v>
      </c>
    </row>
    <row r="200">
      <c r="A200" s="156" t="str">
        <f>IFERROR(__xludf.DUMMYFUNCTION("""COMPUTED_VALUE"""),"https://drive.google.com/open?id=1UGXtEEpa2olcD_7mskNUz4fN8hxaqzux&amp;authuser=jay.agg%40gmail.com&amp;usp=drive_fs")</f>
        <v>https://drive.google.com/open?id=1UGXtEEpa2olcD_7mskNUz4fN8hxaqzux&amp;authuser=jay.agg%40gmail.com&amp;usp=drive_fs</v>
      </c>
      <c r="B200" s="73" t="str">
        <f>IFERROR(__xludf.DUMMYFUNCTION("""COMPUTED_VALUE"""),"Bakery")</f>
        <v>Bakery</v>
      </c>
      <c r="C200" s="73" t="str">
        <f>IFERROR(__xludf.DUMMYFUNCTION("""COMPUTED_VALUE"""),"Cake Box")</f>
        <v>Cake Box</v>
      </c>
      <c r="D200" s="73" t="str">
        <f>IFERROR(__xludf.DUMMYFUNCTION("""COMPUTED_VALUE"""),"207*207*127 mm | 8*8*5 inch | 22*18")</f>
        <v>207*207*127 mm | 8*8*5 inch | 22*18</v>
      </c>
      <c r="E200" s="77">
        <f>IFERROR(__xludf.DUMMYFUNCTION("""COMPUTED_VALUE"""),1.0)</f>
        <v>1</v>
      </c>
      <c r="F200" s="77">
        <f>IFERROR(__xludf.DUMMYFUNCTION("""COMPUTED_VALUE"""),1926.0)</f>
        <v>1926</v>
      </c>
      <c r="G200" s="77">
        <f>IFERROR(__xludf.DUMMYFUNCTION("""COMPUTED_VALUE"""),19.5)</f>
        <v>19.5</v>
      </c>
      <c r="H200" s="77">
        <f>IFERROR(__xludf.DUMMYFUNCTION("""COMPUTED_VALUE"""),23.0)</f>
        <v>23</v>
      </c>
      <c r="I200" s="77">
        <f>IFERROR(__xludf.DUMMYFUNCTION("""COMPUTED_VALUE"""),100.0)</f>
        <v>100</v>
      </c>
      <c r="J200" s="73"/>
      <c r="K200" s="73"/>
      <c r="L200" s="73">
        <f>IFERROR(__xludf.DUMMYFUNCTION("""COMPUTED_VALUE"""),2.0)</f>
        <v>2</v>
      </c>
      <c r="M200" s="77"/>
      <c r="N200" s="77">
        <f>IFERROR(__xludf.DUMMYFUNCTION("""COMPUTED_VALUE"""),1.0)</f>
        <v>1</v>
      </c>
      <c r="O200" s="49"/>
      <c r="P200" s="49" t="str">
        <f>IFERROR(__xludf.DUMMYFUNCTION("""COMPUTED_VALUE"""),"Offset")</f>
        <v>Offset</v>
      </c>
      <c r="Q200" s="49" t="str">
        <f>IFERROR(__xludf.DUMMYFUNCTION("""COMPUTED_VALUE"""),"Packaging")</f>
        <v>Packaging</v>
      </c>
      <c r="R200" s="49" t="str">
        <f>IFERROR(__xludf.DUMMYFUNCTION("""COMPUTED_VALUE"""),"Bakery")</f>
        <v>Bakery</v>
      </c>
    </row>
    <row r="201">
      <c r="A201" s="156" t="str">
        <f>IFERROR(__xludf.DUMMYFUNCTION("""COMPUTED_VALUE"""),"https://drive.google.com/open?id=1UJH96vToCz3tFBDTJUV37JMn8WUK64XB&amp;authuser=jay.agg%40gmail.com&amp;usp=drive_fs")</f>
        <v>https://drive.google.com/open?id=1UJH96vToCz3tFBDTJUV37JMn8WUK64XB&amp;authuser=jay.agg%40gmail.com&amp;usp=drive_fs</v>
      </c>
      <c r="B201" s="73" t="str">
        <f>IFERROR(__xludf.DUMMYFUNCTION("""COMPUTED_VALUE"""),"Bakery")</f>
        <v>Bakery</v>
      </c>
      <c r="C201" s="73" t="str">
        <f>IFERROR(__xludf.DUMMYFUNCTION("""COMPUTED_VALUE"""),"Cake Box")</f>
        <v>Cake Box</v>
      </c>
      <c r="D201" s="73" t="str">
        <f>IFERROR(__xludf.DUMMYFUNCTION("""COMPUTED_VALUE"""),"356*356*127 mm | 14*14*5 inch | 24*40")</f>
        <v>356*356*127 mm | 14*14*5 inch | 24*40</v>
      </c>
      <c r="E201" s="77">
        <f>IFERROR(__xludf.DUMMYFUNCTION("""COMPUTED_VALUE"""),1.0)</f>
        <v>1</v>
      </c>
      <c r="F201" s="77">
        <f>IFERROR(__xludf.DUMMYFUNCTION("""COMPUTED_VALUE"""),2840.0)</f>
        <v>2840</v>
      </c>
      <c r="G201" s="77">
        <f>IFERROR(__xludf.DUMMYFUNCTION("""COMPUTED_VALUE"""),23.0)</f>
        <v>23</v>
      </c>
      <c r="H201" s="77">
        <f>IFERROR(__xludf.DUMMYFUNCTION("""COMPUTED_VALUE"""),40.0)</f>
        <v>40</v>
      </c>
      <c r="I201" s="77">
        <f>IFERROR(__xludf.DUMMYFUNCTION("""COMPUTED_VALUE"""),100.0)</f>
        <v>100</v>
      </c>
      <c r="J201" s="73"/>
      <c r="K201" s="73"/>
      <c r="L201" s="73"/>
      <c r="M201" s="77"/>
      <c r="N201" s="77">
        <f>IFERROR(__xludf.DUMMYFUNCTION("""COMPUTED_VALUE"""),1.0)</f>
        <v>1</v>
      </c>
      <c r="O201" s="49"/>
      <c r="P201" s="49" t="str">
        <f>IFERROR(__xludf.DUMMYFUNCTION("""COMPUTED_VALUE"""),"Offset")</f>
        <v>Offset</v>
      </c>
      <c r="Q201" s="49" t="str">
        <f>IFERROR(__xludf.DUMMYFUNCTION("""COMPUTED_VALUE"""),"Packaging")</f>
        <v>Packaging</v>
      </c>
      <c r="R201" s="49" t="str">
        <f>IFERROR(__xludf.DUMMYFUNCTION("""COMPUTED_VALUE"""),"Bakery")</f>
        <v>Bakery</v>
      </c>
    </row>
    <row r="202">
      <c r="A202" s="156" t="str">
        <f>IFERROR(__xludf.DUMMYFUNCTION("""COMPUTED_VALUE"""),"https://drive.google.com/open?id=1UJKPj6iM9WGYg1F9TNcXQM00SgdnfjKK&amp;authuser=jay.agg%40gmail.com&amp;usp=drive_fs")</f>
        <v>https://drive.google.com/open?id=1UJKPj6iM9WGYg1F9TNcXQM00SgdnfjKK&amp;authuser=jay.agg%40gmail.com&amp;usp=drive_fs</v>
      </c>
      <c r="B202" s="73" t="str">
        <f>IFERROR(__xludf.DUMMYFUNCTION("""COMPUTED_VALUE"""),"Bakery")</f>
        <v>Bakery</v>
      </c>
      <c r="C202" s="73" t="str">
        <f>IFERROR(__xludf.DUMMYFUNCTION("""COMPUTED_VALUE"""),"Cake Box")</f>
        <v>Cake Box</v>
      </c>
      <c r="D202" s="73" t="str">
        <f>IFERROR(__xludf.DUMMYFUNCTION("""COMPUTED_VALUE"""),"406*406*127 mm | 16*16*5 inch | 26*45")</f>
        <v>406*406*127 mm | 16*16*5 inch | 26*45</v>
      </c>
      <c r="E202" s="77">
        <f>IFERROR(__xludf.DUMMYFUNCTION("""COMPUTED_VALUE"""),1.0)</f>
        <v>1</v>
      </c>
      <c r="F202" s="77">
        <f>IFERROR(__xludf.DUMMYFUNCTION("""COMPUTED_VALUE"""),2840.0)</f>
        <v>2840</v>
      </c>
      <c r="G202" s="77">
        <f>IFERROR(__xludf.DUMMYFUNCTION("""COMPUTED_VALUE"""),26.0)</f>
        <v>26</v>
      </c>
      <c r="H202" s="77">
        <f>IFERROR(__xludf.DUMMYFUNCTION("""COMPUTED_VALUE"""),45.0)</f>
        <v>45</v>
      </c>
      <c r="I202" s="77">
        <f>IFERROR(__xludf.DUMMYFUNCTION("""COMPUTED_VALUE"""),100.0)</f>
        <v>100</v>
      </c>
      <c r="J202" s="73"/>
      <c r="K202" s="73"/>
      <c r="L202" s="73"/>
      <c r="M202" s="77"/>
      <c r="N202" s="77">
        <f>IFERROR(__xludf.DUMMYFUNCTION("""COMPUTED_VALUE"""),1.0)</f>
        <v>1</v>
      </c>
      <c r="O202" s="49"/>
      <c r="P202" s="49" t="str">
        <f>IFERROR(__xludf.DUMMYFUNCTION("""COMPUTED_VALUE"""),"Offset")</f>
        <v>Offset</v>
      </c>
      <c r="Q202" s="49" t="str">
        <f>IFERROR(__xludf.DUMMYFUNCTION("""COMPUTED_VALUE"""),"Packaging")</f>
        <v>Packaging</v>
      </c>
      <c r="R202" s="49" t="str">
        <f>IFERROR(__xludf.DUMMYFUNCTION("""COMPUTED_VALUE"""),"Bakery")</f>
        <v>Bakery</v>
      </c>
    </row>
    <row r="203">
      <c r="A203" s="156" t="str">
        <f>IFERROR(__xludf.DUMMYFUNCTION("""COMPUTED_VALUE"""),"https://drive.google.com/open?id=1UKaFW_6Czxw3fTtHjztdAcLhYJr2xVrI&amp;authuser=jay.agg%40gmail.com&amp;usp=drive_fs")</f>
        <v>https://drive.google.com/open?id=1UKaFW_6Czxw3fTtHjztdAcLhYJr2xVrI&amp;authuser=jay.agg%40gmail.com&amp;usp=drive_fs</v>
      </c>
      <c r="B203" s="73" t="str">
        <f>IFERROR(__xludf.DUMMYFUNCTION("""COMPUTED_VALUE"""),"Bakery")</f>
        <v>Bakery</v>
      </c>
      <c r="C203" s="73" t="str">
        <f>IFERROR(__xludf.DUMMYFUNCTION("""COMPUTED_VALUE"""),"Cake Box")</f>
        <v>Cake Box</v>
      </c>
      <c r="D203" s="73" t="str">
        <f>IFERROR(__xludf.DUMMYFUNCTION("""COMPUTED_VALUE"""),"Tall Box 8*8*10 28*30 15*15")</f>
        <v>Tall Box 8*8*10 28*30 15*15</v>
      </c>
      <c r="E203" s="77">
        <f>IFERROR(__xludf.DUMMYFUNCTION("""COMPUTED_VALUE"""),1.0)</f>
        <v>1</v>
      </c>
      <c r="F203" s="77">
        <f>IFERROR(__xludf.DUMMYFUNCTION("""COMPUTED_VALUE"""),2840.0)</f>
        <v>2840</v>
      </c>
      <c r="G203" s="77">
        <f>IFERROR(__xludf.DUMMYFUNCTION("""COMPUTED_VALUE"""),30.0)</f>
        <v>30</v>
      </c>
      <c r="H203" s="77">
        <f>IFERROR(__xludf.DUMMYFUNCTION("""COMPUTED_VALUE"""),43.0)</f>
        <v>43</v>
      </c>
      <c r="I203" s="77">
        <f>IFERROR(__xludf.DUMMYFUNCTION("""COMPUTED_VALUE"""),100.0)</f>
        <v>100</v>
      </c>
      <c r="J203" s="73"/>
      <c r="K203" s="73"/>
      <c r="L203" s="73">
        <f>IFERROR(__xludf.DUMMYFUNCTION("""COMPUTED_VALUE"""),2.0)</f>
        <v>2</v>
      </c>
      <c r="M203" s="77">
        <f>IFERROR(__xludf.DUMMYFUNCTION("""COMPUTED_VALUE"""),1.0)</f>
        <v>1</v>
      </c>
      <c r="N203" s="77">
        <f>IFERROR(__xludf.DUMMYFUNCTION("""COMPUTED_VALUE"""),1.0)</f>
        <v>1</v>
      </c>
      <c r="O203" s="49"/>
      <c r="P203" s="49" t="str">
        <f>IFERROR(__xludf.DUMMYFUNCTION("""COMPUTED_VALUE"""),"Offset")</f>
        <v>Offset</v>
      </c>
      <c r="Q203" s="49" t="str">
        <f>IFERROR(__xludf.DUMMYFUNCTION("""COMPUTED_VALUE"""),"Packaging")</f>
        <v>Packaging</v>
      </c>
      <c r="R203" s="49" t="str">
        <f>IFERROR(__xludf.DUMMYFUNCTION("""COMPUTED_VALUE"""),"Bakery")</f>
        <v>Bakery</v>
      </c>
    </row>
    <row r="204">
      <c r="A204" s="156" t="str">
        <f>IFERROR(__xludf.DUMMYFUNCTION("""COMPUTED_VALUE"""),"https://drive.google.com/open?id=1ULAv4zyHUgIT5p3O-6qqMuw-LleJ-C23&amp;authuser=jay.agg%40gmail.com&amp;usp=drive_fs")</f>
        <v>https://drive.google.com/open?id=1ULAv4zyHUgIT5p3O-6qqMuw-LleJ-C23&amp;authuser=jay.agg%40gmail.com&amp;usp=drive_fs</v>
      </c>
      <c r="B204" s="73" t="str">
        <f>IFERROR(__xludf.DUMMYFUNCTION("""COMPUTED_VALUE"""),"Bakery")</f>
        <v>Bakery</v>
      </c>
      <c r="C204" s="73" t="str">
        <f>IFERROR(__xludf.DUMMYFUNCTION("""COMPUTED_VALUE"""),"Cake Box")</f>
        <v>Cake Box</v>
      </c>
      <c r="D204" s="73" t="str">
        <f>IFERROR(__xludf.DUMMYFUNCTION("""COMPUTED_VALUE"""),"Tall Box 10*10*10 32*32 18*18")</f>
        <v>Tall Box 10*10*10 32*32 18*18</v>
      </c>
      <c r="E204" s="77">
        <f>IFERROR(__xludf.DUMMYFUNCTION("""COMPUTED_VALUE"""),1.0)</f>
        <v>1</v>
      </c>
      <c r="F204" s="77">
        <f>IFERROR(__xludf.DUMMYFUNCTION("""COMPUTED_VALUE"""),2840.0)</f>
        <v>2840</v>
      </c>
      <c r="G204" s="77">
        <f>IFERROR(__xludf.DUMMYFUNCTION("""COMPUTED_VALUE"""),32.0)</f>
        <v>32</v>
      </c>
      <c r="H204" s="77">
        <f>IFERROR(__xludf.DUMMYFUNCTION("""COMPUTED_VALUE"""),47.0)</f>
        <v>47</v>
      </c>
      <c r="I204" s="77">
        <f>IFERROR(__xludf.DUMMYFUNCTION("""COMPUTED_VALUE"""),100.0)</f>
        <v>100</v>
      </c>
      <c r="J204" s="73"/>
      <c r="K204" s="73"/>
      <c r="L204" s="73">
        <f>IFERROR(__xludf.DUMMYFUNCTION("""COMPUTED_VALUE"""),2.0)</f>
        <v>2</v>
      </c>
      <c r="M204" s="77">
        <f>IFERROR(__xludf.DUMMYFUNCTION("""COMPUTED_VALUE"""),1.0)</f>
        <v>1</v>
      </c>
      <c r="N204" s="77">
        <f>IFERROR(__xludf.DUMMYFUNCTION("""COMPUTED_VALUE"""),1.0)</f>
        <v>1</v>
      </c>
      <c r="O204" s="49"/>
      <c r="P204" s="49" t="str">
        <f>IFERROR(__xludf.DUMMYFUNCTION("""COMPUTED_VALUE"""),"Offset")</f>
        <v>Offset</v>
      </c>
      <c r="Q204" s="49" t="str">
        <f>IFERROR(__xludf.DUMMYFUNCTION("""COMPUTED_VALUE"""),"Packaging")</f>
        <v>Packaging</v>
      </c>
      <c r="R204" s="49" t="str">
        <f>IFERROR(__xludf.DUMMYFUNCTION("""COMPUTED_VALUE"""),"Bakery")</f>
        <v>Bakery</v>
      </c>
    </row>
    <row r="205">
      <c r="A205" s="156" t="str">
        <f>IFERROR(__xludf.DUMMYFUNCTION("""COMPUTED_VALUE"""),"https://drive.google.com/open?id=1UMXrLqrUmqp7-d9mhQWMYtxxeVypNWrE&amp;authuser=jay.agg%40gmail.com&amp;usp=drive_fs")</f>
        <v>https://drive.google.com/open?id=1UMXrLqrUmqp7-d9mhQWMYtxxeVypNWrE&amp;authuser=jay.agg%40gmail.com&amp;usp=drive_fs</v>
      </c>
      <c r="B205" s="73" t="str">
        <f>IFERROR(__xludf.DUMMYFUNCTION("""COMPUTED_VALUE"""),"Bakery")</f>
        <v>Bakery</v>
      </c>
      <c r="C205" s="73" t="str">
        <f>IFERROR(__xludf.DUMMYFUNCTION("""COMPUTED_VALUE"""),"Cake Box")</f>
        <v>Cake Box</v>
      </c>
      <c r="D205" s="73" t="str">
        <f>IFERROR(__xludf.DUMMYFUNCTION("""COMPUTED_VALUE"""),"Tall Box 12*12*12 38*38 19*19")</f>
        <v>Tall Box 12*12*12 38*38 19*19</v>
      </c>
      <c r="E205" s="77">
        <f>IFERROR(__xludf.DUMMYFUNCTION("""COMPUTED_VALUE"""),1.0)</f>
        <v>1</v>
      </c>
      <c r="F205" s="77">
        <f>IFERROR(__xludf.DUMMYFUNCTION("""COMPUTED_VALUE"""),2840.0)</f>
        <v>2840</v>
      </c>
      <c r="G205" s="77">
        <f>IFERROR(__xludf.DUMMYFUNCTION("""COMPUTED_VALUE"""),38.0)</f>
        <v>38</v>
      </c>
      <c r="H205" s="77">
        <f>IFERROR(__xludf.DUMMYFUNCTION("""COMPUTED_VALUE"""),55.0)</f>
        <v>55</v>
      </c>
      <c r="I205" s="77">
        <f>IFERROR(__xludf.DUMMYFUNCTION("""COMPUTED_VALUE"""),100.0)</f>
        <v>100</v>
      </c>
      <c r="J205" s="73"/>
      <c r="K205" s="73"/>
      <c r="L205" s="73">
        <f>IFERROR(__xludf.DUMMYFUNCTION("""COMPUTED_VALUE"""),2.0)</f>
        <v>2</v>
      </c>
      <c r="M205" s="77">
        <f>IFERROR(__xludf.DUMMYFUNCTION("""COMPUTED_VALUE"""),1.0)</f>
        <v>1</v>
      </c>
      <c r="N205" s="77">
        <f>IFERROR(__xludf.DUMMYFUNCTION("""COMPUTED_VALUE"""),1.0)</f>
        <v>1</v>
      </c>
      <c r="O205" s="49"/>
      <c r="P205" s="49" t="str">
        <f>IFERROR(__xludf.DUMMYFUNCTION("""COMPUTED_VALUE"""),"Offset")</f>
        <v>Offset</v>
      </c>
      <c r="Q205" s="49" t="str">
        <f>IFERROR(__xludf.DUMMYFUNCTION("""COMPUTED_VALUE"""),"Packaging")</f>
        <v>Packaging</v>
      </c>
      <c r="R205" s="49" t="str">
        <f>IFERROR(__xludf.DUMMYFUNCTION("""COMPUTED_VALUE"""),"Bakery")</f>
        <v>Bakery</v>
      </c>
    </row>
    <row r="206">
      <c r="A206" s="156" t="str">
        <f>IFERROR(__xludf.DUMMYFUNCTION("""COMPUTED_VALUE"""),"https://drive.google.com/open?id=1UNsN6lw6eJp3EmppFBALQPeknHOYuu7F&amp;authuser=jay.agg%40gmail.com&amp;usp=drive_fs")</f>
        <v>https://drive.google.com/open?id=1UNsN6lw6eJp3EmppFBALQPeknHOYuu7F&amp;authuser=jay.agg%40gmail.com&amp;usp=drive_fs</v>
      </c>
      <c r="B206" s="73" t="str">
        <f>IFERROR(__xludf.DUMMYFUNCTION("""COMPUTED_VALUE"""),"Bakery")</f>
        <v>Bakery</v>
      </c>
      <c r="C206" s="73" t="str">
        <f>IFERROR(__xludf.DUMMYFUNCTION("""COMPUTED_VALUE"""),"Cake Box")</f>
        <v>Cake Box</v>
      </c>
      <c r="D206" s="73" t="str">
        <f>IFERROR(__xludf.DUMMYFUNCTION("""COMPUTED_VALUE"""),"Tall Box 14*14*14 43*43 21*21")</f>
        <v>Tall Box 14*14*14 43*43 21*21</v>
      </c>
      <c r="E206" s="77">
        <f>IFERROR(__xludf.DUMMYFUNCTION("""COMPUTED_VALUE"""),1.0)</f>
        <v>1</v>
      </c>
      <c r="F206" s="77">
        <f>IFERROR(__xludf.DUMMYFUNCTION("""COMPUTED_VALUE"""),2840.0)</f>
        <v>2840</v>
      </c>
      <c r="G206" s="77">
        <f>IFERROR(__xludf.DUMMYFUNCTION("""COMPUTED_VALUE"""),43.0)</f>
        <v>43</v>
      </c>
      <c r="H206" s="77">
        <f>IFERROR(__xludf.DUMMYFUNCTION("""COMPUTED_VALUE"""),63.0)</f>
        <v>63</v>
      </c>
      <c r="I206" s="77">
        <f>IFERROR(__xludf.DUMMYFUNCTION("""COMPUTED_VALUE"""),100.0)</f>
        <v>100</v>
      </c>
      <c r="J206" s="73"/>
      <c r="K206" s="73"/>
      <c r="L206" s="73">
        <f>IFERROR(__xludf.DUMMYFUNCTION("""COMPUTED_VALUE"""),2.0)</f>
        <v>2</v>
      </c>
      <c r="M206" s="77">
        <f>IFERROR(__xludf.DUMMYFUNCTION("""COMPUTED_VALUE"""),1.0)</f>
        <v>1</v>
      </c>
      <c r="N206" s="77">
        <f>IFERROR(__xludf.DUMMYFUNCTION("""COMPUTED_VALUE"""),1.0)</f>
        <v>1</v>
      </c>
      <c r="O206" s="49"/>
      <c r="P206" s="49" t="str">
        <f>IFERROR(__xludf.DUMMYFUNCTION("""COMPUTED_VALUE"""),"Offset")</f>
        <v>Offset</v>
      </c>
      <c r="Q206" s="49" t="str">
        <f>IFERROR(__xludf.DUMMYFUNCTION("""COMPUTED_VALUE"""),"Packaging")</f>
        <v>Packaging</v>
      </c>
      <c r="R206" s="49" t="str">
        <f>IFERROR(__xludf.DUMMYFUNCTION("""COMPUTED_VALUE"""),"Bakery")</f>
        <v>Bakery</v>
      </c>
    </row>
    <row r="207">
      <c r="A207" s="156" t="str">
        <f>IFERROR(__xludf.DUMMYFUNCTION("""COMPUTED_VALUE"""),"https://drive.google.com/open?id=129Tc2pA_aD6fw-eEZeX6LXlb4uoy1j5_&amp;authuser=jay.agg%40gmail.com&amp;usp=drive_fs")</f>
        <v>https://drive.google.com/open?id=129Tc2pA_aD6fw-eEZeX6LXlb4uoy1j5_&amp;authuser=jay.agg%40gmail.com&amp;usp=drive_fs</v>
      </c>
      <c r="B207" s="73" t="str">
        <f>IFERROR(__xludf.DUMMYFUNCTION("""COMPUTED_VALUE"""),"Bakery")</f>
        <v>Bakery</v>
      </c>
      <c r="C207" s="73" t="str">
        <f>IFERROR(__xludf.DUMMYFUNCTION("""COMPUTED_VALUE"""),"Cake Box")</f>
        <v>Cake Box</v>
      </c>
      <c r="D207" s="73" t="str">
        <f>IFERROR(__xludf.DUMMYFUNCTION("""COMPUTED_VALUE"""),"178*178*120 mm | 7*7*4.75 inch")</f>
        <v>178*178*120 mm | 7*7*4.75 inch</v>
      </c>
      <c r="E207" s="77">
        <f>IFERROR(__xludf.DUMMYFUNCTION("""COMPUTED_VALUE"""),1.0)</f>
        <v>1</v>
      </c>
      <c r="F207" s="77">
        <f>IFERROR(__xludf.DUMMYFUNCTION("""COMPUTED_VALUE"""),1926.0)</f>
        <v>1926</v>
      </c>
      <c r="G207" s="77">
        <f>IFERROR(__xludf.DUMMYFUNCTION("""COMPUTED_VALUE"""),15.0)</f>
        <v>15</v>
      </c>
      <c r="H207" s="77">
        <f>IFERROR(__xludf.DUMMYFUNCTION("""COMPUTED_VALUE"""),25.0)</f>
        <v>25</v>
      </c>
      <c r="I207" s="77">
        <f>IFERROR(__xludf.DUMMYFUNCTION("""COMPUTED_VALUE"""),100.0)</f>
        <v>100</v>
      </c>
      <c r="J207" s="73"/>
      <c r="K207" s="73"/>
      <c r="L207" s="73"/>
      <c r="M207" s="77"/>
      <c r="N207" s="77">
        <f>IFERROR(__xludf.DUMMYFUNCTION("""COMPUTED_VALUE"""),1.0)</f>
        <v>1</v>
      </c>
      <c r="O207" s="49"/>
      <c r="P207" s="49" t="str">
        <f>IFERROR(__xludf.DUMMYFUNCTION("""COMPUTED_VALUE"""),"Offset")</f>
        <v>Offset</v>
      </c>
      <c r="Q207" s="49" t="str">
        <f>IFERROR(__xludf.DUMMYFUNCTION("""COMPUTED_VALUE"""),"Packaging")</f>
        <v>Packaging</v>
      </c>
      <c r="R207" s="49" t="str">
        <f>IFERROR(__xludf.DUMMYFUNCTION("""COMPUTED_VALUE"""),"Bakery")</f>
        <v>Bakery</v>
      </c>
    </row>
    <row r="208">
      <c r="A208" s="156" t="str">
        <f>IFERROR(__xludf.DUMMYFUNCTION("""COMPUTED_VALUE"""),"https://drive.google.com/open?id=1N4B92ANkI-56ydIrP1GkifkdOXM1UzMm&amp;authuser=jay.agg%40gmail.com&amp;usp=drive_fs")</f>
        <v>https://drive.google.com/open?id=1N4B92ANkI-56ydIrP1GkifkdOXM1UzMm&amp;authuser=jay.agg%40gmail.com&amp;usp=drive_fs</v>
      </c>
      <c r="B208" s="73" t="str">
        <f>IFERROR(__xludf.DUMMYFUNCTION("""COMPUTED_VALUE"""),"Bakery")</f>
        <v>Bakery</v>
      </c>
      <c r="C208" s="73" t="str">
        <f>IFERROR(__xludf.DUMMYFUNCTION("""COMPUTED_VALUE"""),"Cakesicles")</f>
        <v>Cakesicles</v>
      </c>
      <c r="D208" s="73" t="str">
        <f>IFERROR(__xludf.DUMMYFUNCTION("""COMPUTED_VALUE"""),"50*30*90 mm | 2*1.2*3.5 inch")</f>
        <v>50*30*90 mm | 2*1.2*3.5 inch</v>
      </c>
      <c r="E208" s="77">
        <f>IFERROR(__xludf.DUMMYFUNCTION("""COMPUTED_VALUE"""),9.0)</f>
        <v>9</v>
      </c>
      <c r="F208" s="77">
        <f>IFERROR(__xludf.DUMMYFUNCTION("""COMPUTED_VALUE"""),1926.0)</f>
        <v>1926</v>
      </c>
      <c r="G208" s="77">
        <f>IFERROR(__xludf.DUMMYFUNCTION("""COMPUTED_VALUE"""),18.0)</f>
        <v>18</v>
      </c>
      <c r="H208" s="77">
        <f>IFERROR(__xludf.DUMMYFUNCTION("""COMPUTED_VALUE"""),21.0)</f>
        <v>21</v>
      </c>
      <c r="I208" s="77">
        <f>IFERROR(__xludf.DUMMYFUNCTION("""COMPUTED_VALUE"""),100.0)</f>
        <v>100</v>
      </c>
      <c r="J208" s="73"/>
      <c r="K208" s="73"/>
      <c r="L208" s="73">
        <f>IFERROR(__xludf.DUMMYFUNCTION("""COMPUTED_VALUE"""),1.0)</f>
        <v>1</v>
      </c>
      <c r="M208" s="77">
        <f>IFERROR(__xludf.DUMMYFUNCTION("""COMPUTED_VALUE"""),0.1)</f>
        <v>0.1</v>
      </c>
      <c r="N208" s="77">
        <f>IFERROR(__xludf.DUMMYFUNCTION("""COMPUTED_VALUE"""),1.0)</f>
        <v>1</v>
      </c>
      <c r="O208" s="49"/>
      <c r="P208" s="49" t="str">
        <f>IFERROR(__xludf.DUMMYFUNCTION("""COMPUTED_VALUE"""),"Offset")</f>
        <v>Offset</v>
      </c>
      <c r="Q208" s="49" t="str">
        <f>IFERROR(__xludf.DUMMYFUNCTION("""COMPUTED_VALUE"""),"Packaging")</f>
        <v>Packaging</v>
      </c>
      <c r="R208" s="49" t="str">
        <f>IFERROR(__xludf.DUMMYFUNCTION("""COMPUTED_VALUE"""),"Bakery")</f>
        <v>Bakery</v>
      </c>
    </row>
    <row r="209">
      <c r="A209" s="156" t="str">
        <f>IFERROR(__xludf.DUMMYFUNCTION("""COMPUTED_VALUE"""),"https://drive.google.com/open?id=1RsN-5kbxnytBeeqYRPBafhzEPINgMI6a&amp;authuser=jay.agg%40gmail.com&amp;usp=drive_fs")</f>
        <v>https://drive.google.com/open?id=1RsN-5kbxnytBeeqYRPBafhzEPINgMI6a&amp;authuser=jay.agg%40gmail.com&amp;usp=drive_fs</v>
      </c>
      <c r="B209" s="73" t="str">
        <f>IFERROR(__xludf.DUMMYFUNCTION("""COMPUTED_VALUE"""),"Bakery")</f>
        <v>Bakery</v>
      </c>
      <c r="C209" s="73" t="str">
        <f>IFERROR(__xludf.DUMMYFUNCTION("""COMPUTED_VALUE"""),"Carry Bag")</f>
        <v>Carry Bag</v>
      </c>
      <c r="D209" s="73" t="str">
        <f>IFERROR(__xludf.DUMMYFUNCTION("""COMPUTED_VALUE"""),"95*90*350 mm | 3.5*3.74*13.8 inch")</f>
        <v>95*90*350 mm | 3.5*3.74*13.8 inch</v>
      </c>
      <c r="E209" s="77">
        <f>IFERROR(__xludf.DUMMYFUNCTION("""COMPUTED_VALUE"""),1.0)</f>
        <v>1</v>
      </c>
      <c r="F209" s="77">
        <f>IFERROR(__xludf.DUMMYFUNCTION("""COMPUTED_VALUE"""),1926.0)</f>
        <v>1926</v>
      </c>
      <c r="G209" s="77">
        <f>IFERROR(__xludf.DUMMYFUNCTION("""COMPUTED_VALUE"""),18.0)</f>
        <v>18</v>
      </c>
      <c r="H209" s="77">
        <f>IFERROR(__xludf.DUMMYFUNCTION("""COMPUTED_VALUE"""),19.0)</f>
        <v>19</v>
      </c>
      <c r="I209" s="77">
        <f>IFERROR(__xludf.DUMMYFUNCTION("""COMPUTED_VALUE"""),100.0)</f>
        <v>100</v>
      </c>
      <c r="J209" s="73"/>
      <c r="K209" s="73"/>
      <c r="L209" s="73">
        <f>IFERROR(__xludf.DUMMYFUNCTION("""COMPUTED_VALUE"""),3.5)</f>
        <v>3.5</v>
      </c>
      <c r="M209" s="77"/>
      <c r="N209" s="77">
        <f>IFERROR(__xludf.DUMMYFUNCTION("""COMPUTED_VALUE"""),1.0)</f>
        <v>1</v>
      </c>
      <c r="O209" s="49"/>
      <c r="P209" s="49" t="str">
        <f>IFERROR(__xludf.DUMMYFUNCTION("""COMPUTED_VALUE"""),"Offset")</f>
        <v>Offset</v>
      </c>
      <c r="Q209" s="49" t="str">
        <f>IFERROR(__xludf.DUMMYFUNCTION("""COMPUTED_VALUE"""),"Packaging")</f>
        <v>Packaging</v>
      </c>
      <c r="R209" s="49" t="str">
        <f>IFERROR(__xludf.DUMMYFUNCTION("""COMPUTED_VALUE"""),"Bakery")</f>
        <v>Bakery</v>
      </c>
    </row>
    <row r="210">
      <c r="A210" s="156" t="str">
        <f>IFERROR(__xludf.DUMMYFUNCTION("""COMPUTED_VALUE"""),"https://drive.google.com/open?id=1S0Z7-qXziQR2o-50ZN_Wj4QZgEHujSeM&amp;authuser=jay.agg%40gmail.com&amp;usp=drive_fs")</f>
        <v>https://drive.google.com/open?id=1S0Z7-qXziQR2o-50ZN_Wj4QZgEHujSeM&amp;authuser=jay.agg%40gmail.com&amp;usp=drive_fs</v>
      </c>
      <c r="B210" s="73" t="str">
        <f>IFERROR(__xludf.DUMMYFUNCTION("""COMPUTED_VALUE"""),"Bakery")</f>
        <v>Bakery</v>
      </c>
      <c r="C210" s="73" t="str">
        <f>IFERROR(__xludf.DUMMYFUNCTION("""COMPUTED_VALUE"""),"Carry Bag")</f>
        <v>Carry Bag</v>
      </c>
      <c r="D210" s="73" t="str">
        <f>IFERROR(__xludf.DUMMYFUNCTION("""COMPUTED_VALUE"""),"203*203*203 mm | 8*8*8 inch")</f>
        <v>203*203*203 mm | 8*8*8 inch</v>
      </c>
      <c r="E210" s="77">
        <f>IFERROR(__xludf.DUMMYFUNCTION("""COMPUTED_VALUE"""),1.0)</f>
        <v>1</v>
      </c>
      <c r="F210" s="77">
        <f>IFERROR(__xludf.DUMMYFUNCTION("""COMPUTED_VALUE"""),1926.0)</f>
        <v>1926</v>
      </c>
      <c r="G210" s="77">
        <f>IFERROR(__xludf.DUMMYFUNCTION("""COMPUTED_VALUE"""),18.0)</f>
        <v>18</v>
      </c>
      <c r="H210" s="77">
        <f>IFERROR(__xludf.DUMMYFUNCTION("""COMPUTED_VALUE"""),25.0)</f>
        <v>25</v>
      </c>
      <c r="I210" s="77">
        <f>IFERROR(__xludf.DUMMYFUNCTION("""COMPUTED_VALUE"""),100.0)</f>
        <v>100</v>
      </c>
      <c r="J210" s="73"/>
      <c r="K210" s="73"/>
      <c r="L210" s="73">
        <f>IFERROR(__xludf.DUMMYFUNCTION("""COMPUTED_VALUE"""),4.0)</f>
        <v>4</v>
      </c>
      <c r="M210" s="77"/>
      <c r="N210" s="77">
        <f>IFERROR(__xludf.DUMMYFUNCTION("""COMPUTED_VALUE"""),1.0)</f>
        <v>1</v>
      </c>
      <c r="O210" s="49"/>
      <c r="P210" s="49" t="str">
        <f>IFERROR(__xludf.DUMMYFUNCTION("""COMPUTED_VALUE"""),"Offset")</f>
        <v>Offset</v>
      </c>
      <c r="Q210" s="49" t="str">
        <f>IFERROR(__xludf.DUMMYFUNCTION("""COMPUTED_VALUE"""),"Packaging")</f>
        <v>Packaging</v>
      </c>
      <c r="R210" s="49" t="str">
        <f>IFERROR(__xludf.DUMMYFUNCTION("""COMPUTED_VALUE"""),"Bakery")</f>
        <v>Bakery</v>
      </c>
    </row>
    <row r="211">
      <c r="A211" s="156" t="str">
        <f>IFERROR(__xludf.DUMMYFUNCTION("""COMPUTED_VALUE"""),"https://drive.google.com/open?id=1S1-oItrjrPuZogp4E743RrdwmIfIYIEF&amp;authuser=jay.agg%40gmail.com&amp;usp=drive_fs")</f>
        <v>https://drive.google.com/open?id=1S1-oItrjrPuZogp4E743RrdwmIfIYIEF&amp;authuser=jay.agg%40gmail.com&amp;usp=drive_fs</v>
      </c>
      <c r="B211" s="73" t="str">
        <f>IFERROR(__xludf.DUMMYFUNCTION("""COMPUTED_VALUE"""),"Bakery")</f>
        <v>Bakery</v>
      </c>
      <c r="C211" s="73" t="str">
        <f>IFERROR(__xludf.DUMMYFUNCTION("""COMPUTED_VALUE"""),"Carry Bag")</f>
        <v>Carry Bag</v>
      </c>
      <c r="D211" s="73" t="str">
        <f>IFERROR(__xludf.DUMMYFUNCTION("""COMPUTED_VALUE"""),"268*268*203 mm | 10.5*10.5*8 inch")</f>
        <v>268*268*203 mm | 10.5*10.5*8 inch</v>
      </c>
      <c r="E211" s="77">
        <f>IFERROR(__xludf.DUMMYFUNCTION("""COMPUTED_VALUE"""),1.0)</f>
        <v>1</v>
      </c>
      <c r="F211" s="77">
        <f>IFERROR(__xludf.DUMMYFUNCTION("""COMPUTED_VALUE"""),2840.0)</f>
        <v>2840</v>
      </c>
      <c r="G211" s="77">
        <f>IFERROR(__xludf.DUMMYFUNCTION("""COMPUTED_VALUE"""),22.0)</f>
        <v>22</v>
      </c>
      <c r="H211" s="77">
        <f>IFERROR(__xludf.DUMMYFUNCTION("""COMPUTED_VALUE"""),28.0)</f>
        <v>28</v>
      </c>
      <c r="I211" s="77">
        <f>IFERROR(__xludf.DUMMYFUNCTION("""COMPUTED_VALUE"""),100.0)</f>
        <v>100</v>
      </c>
      <c r="J211" s="73"/>
      <c r="K211" s="73"/>
      <c r="L211" s="73">
        <f>IFERROR(__xludf.DUMMYFUNCTION("""COMPUTED_VALUE"""),4.0)</f>
        <v>4</v>
      </c>
      <c r="M211" s="77"/>
      <c r="N211" s="77">
        <f>IFERROR(__xludf.DUMMYFUNCTION("""COMPUTED_VALUE"""),1.0)</f>
        <v>1</v>
      </c>
      <c r="O211" s="49"/>
      <c r="P211" s="49" t="str">
        <f>IFERROR(__xludf.DUMMYFUNCTION("""COMPUTED_VALUE"""),"Offset")</f>
        <v>Offset</v>
      </c>
      <c r="Q211" s="49" t="str">
        <f>IFERROR(__xludf.DUMMYFUNCTION("""COMPUTED_VALUE"""),"Packaging")</f>
        <v>Packaging</v>
      </c>
      <c r="R211" s="49" t="str">
        <f>IFERROR(__xludf.DUMMYFUNCTION("""COMPUTED_VALUE"""),"Bakery")</f>
        <v>Bakery</v>
      </c>
    </row>
    <row r="212">
      <c r="A212" s="156" t="str">
        <f>IFERROR(__xludf.DUMMYFUNCTION("""COMPUTED_VALUE"""),"https://drive.google.com/open?id=1S2Ulg3xJ-_8STATOpgFi2hN69eQZOJ0z&amp;authuser=jay.agg%40gmail.com&amp;usp=drive_fs")</f>
        <v>https://drive.google.com/open?id=1S2Ulg3xJ-_8STATOpgFi2hN69eQZOJ0z&amp;authuser=jay.agg%40gmail.com&amp;usp=drive_fs</v>
      </c>
      <c r="B212" s="73" t="str">
        <f>IFERROR(__xludf.DUMMYFUNCTION("""COMPUTED_VALUE"""),"Bakery")</f>
        <v>Bakery</v>
      </c>
      <c r="C212" s="73" t="str">
        <f>IFERROR(__xludf.DUMMYFUNCTION("""COMPUTED_VALUE"""),"Carry Bag")</f>
        <v>Carry Bag</v>
      </c>
      <c r="D212" s="73" t="str">
        <f>IFERROR(__xludf.DUMMYFUNCTION("""COMPUTED_VALUE"""),"228*102*280 mm | 9*4*11 inch")</f>
        <v>228*102*280 mm | 9*4*11 inch</v>
      </c>
      <c r="E212" s="77">
        <f>IFERROR(__xludf.DUMMYFUNCTION("""COMPUTED_VALUE"""),1.0)</f>
        <v>1</v>
      </c>
      <c r="F212" s="77">
        <f>IFERROR(__xludf.DUMMYFUNCTION("""COMPUTED_VALUE"""),2029.0)</f>
        <v>2029</v>
      </c>
      <c r="G212" s="77">
        <f>IFERROR(__xludf.DUMMYFUNCTION("""COMPUTED_VALUE"""),19.0)</f>
        <v>19</v>
      </c>
      <c r="H212" s="77">
        <f>IFERROR(__xludf.DUMMYFUNCTION("""COMPUTED_VALUE"""),28.0)</f>
        <v>28</v>
      </c>
      <c r="I212" s="77">
        <f>IFERROR(__xludf.DUMMYFUNCTION("""COMPUTED_VALUE"""),100.0)</f>
        <v>100</v>
      </c>
      <c r="J212" s="73"/>
      <c r="K212" s="73"/>
      <c r="L212" s="73">
        <f>IFERROR(__xludf.DUMMYFUNCTION("""COMPUTED_VALUE"""),4.0)</f>
        <v>4</v>
      </c>
      <c r="M212" s="77">
        <f>IFERROR(__xludf.DUMMYFUNCTION("""COMPUTED_VALUE"""),0.1)</f>
        <v>0.1</v>
      </c>
      <c r="N212" s="77">
        <f>IFERROR(__xludf.DUMMYFUNCTION("""COMPUTED_VALUE"""),1.0)</f>
        <v>1</v>
      </c>
      <c r="O212" s="49"/>
      <c r="P212" s="49" t="str">
        <f>IFERROR(__xludf.DUMMYFUNCTION("""COMPUTED_VALUE"""),"Offset")</f>
        <v>Offset</v>
      </c>
      <c r="Q212" s="49" t="str">
        <f>IFERROR(__xludf.DUMMYFUNCTION("""COMPUTED_VALUE"""),"Packaging")</f>
        <v>Packaging</v>
      </c>
      <c r="R212" s="49" t="str">
        <f>IFERROR(__xludf.DUMMYFUNCTION("""COMPUTED_VALUE"""),"Bakery")</f>
        <v>Bakery</v>
      </c>
    </row>
    <row r="213">
      <c r="A213" s="156" t="str">
        <f>IFERROR(__xludf.DUMMYFUNCTION("""COMPUTED_VALUE"""),"https://drive.google.com/open?id=1S98BnAjgzMnqK0gaSeAjfURAnE4p6GGL&amp;authuser=jay.agg%40gmail.com&amp;usp=drive_fs")</f>
        <v>https://drive.google.com/open?id=1S98BnAjgzMnqK0gaSeAjfURAnE4p6GGL&amp;authuser=jay.agg%40gmail.com&amp;usp=drive_fs</v>
      </c>
      <c r="B213" s="73" t="str">
        <f>IFERROR(__xludf.DUMMYFUNCTION("""COMPUTED_VALUE"""),"Bakery")</f>
        <v>Bakery</v>
      </c>
      <c r="C213" s="73" t="str">
        <f>IFERROR(__xludf.DUMMYFUNCTION("""COMPUTED_VALUE"""),"Carry Bag")</f>
        <v>Carry Bag</v>
      </c>
      <c r="D213" s="73" t="str">
        <f>IFERROR(__xludf.DUMMYFUNCTION("""COMPUTED_VALUE"""),"178*102*178 mm | 7*4*7 inch")</f>
        <v>178*102*178 mm | 7*4*7 inch</v>
      </c>
      <c r="E213" s="77">
        <f>IFERROR(__xludf.DUMMYFUNCTION("""COMPUTED_VALUE"""),1.0)</f>
        <v>1</v>
      </c>
      <c r="F213" s="77">
        <f>IFERROR(__xludf.DUMMYFUNCTION("""COMPUTED_VALUE"""),1926.0)</f>
        <v>1926</v>
      </c>
      <c r="G213" s="77">
        <f>IFERROR(__xludf.DUMMYFUNCTION("""COMPUTED_VALUE"""),13.0)</f>
        <v>13</v>
      </c>
      <c r="H213" s="77">
        <f>IFERROR(__xludf.DUMMYFUNCTION("""COMPUTED_VALUE"""),23.0)</f>
        <v>23</v>
      </c>
      <c r="I213" s="77">
        <f>IFERROR(__xludf.DUMMYFUNCTION("""COMPUTED_VALUE"""),100.0)</f>
        <v>100</v>
      </c>
      <c r="J213" s="73"/>
      <c r="K213" s="73"/>
      <c r="L213" s="73">
        <f>IFERROR(__xludf.DUMMYFUNCTION("""COMPUTED_VALUE"""),4.0)</f>
        <v>4</v>
      </c>
      <c r="M213" s="77">
        <f>IFERROR(__xludf.DUMMYFUNCTION("""COMPUTED_VALUE"""),0.1)</f>
        <v>0.1</v>
      </c>
      <c r="N213" s="77">
        <f>IFERROR(__xludf.DUMMYFUNCTION("""COMPUTED_VALUE"""),1.0)</f>
        <v>1</v>
      </c>
      <c r="O213" s="49"/>
      <c r="P213" s="49" t="str">
        <f>IFERROR(__xludf.DUMMYFUNCTION("""COMPUTED_VALUE"""),"Offset")</f>
        <v>Offset</v>
      </c>
      <c r="Q213" s="49" t="str">
        <f>IFERROR(__xludf.DUMMYFUNCTION("""COMPUTED_VALUE"""),"Packaging")</f>
        <v>Packaging</v>
      </c>
      <c r="R213" s="49" t="str">
        <f>IFERROR(__xludf.DUMMYFUNCTION("""COMPUTED_VALUE"""),"Bakery")</f>
        <v>Bakery</v>
      </c>
    </row>
    <row r="214">
      <c r="A214" s="156" t="str">
        <f>IFERROR(__xludf.DUMMYFUNCTION("""COMPUTED_VALUE"""),"https://drive.google.com/open?id=1PnzMu0Gj44pVCfBcfv9xMTpVe_jmAs4T&amp;authuser=jay.agg%40gmail.com&amp;usp=drive_fs")</f>
        <v>https://drive.google.com/open?id=1PnzMu0Gj44pVCfBcfv9xMTpVe_jmAs4T&amp;authuser=jay.agg%40gmail.com&amp;usp=drive_fs</v>
      </c>
      <c r="B214" s="73" t="str">
        <f>IFERROR(__xludf.DUMMYFUNCTION("""COMPUTED_VALUE"""),"Bakery")</f>
        <v>Bakery</v>
      </c>
      <c r="C214" s="73" t="str">
        <f>IFERROR(__xludf.DUMMYFUNCTION("""COMPUTED_VALUE"""),"Chocolate 12")</f>
        <v>Chocolate 12</v>
      </c>
      <c r="D214" s="73" t="str">
        <f>IFERROR(__xludf.DUMMYFUNCTION("""COMPUTED_VALUE"""),"Tray 250*80*40 mm | 9.9*3.15*1.6 inch")</f>
        <v>Tray 250*80*40 mm | 9.9*3.15*1.6 inch</v>
      </c>
      <c r="E214" s="77">
        <f>IFERROR(__xludf.DUMMYFUNCTION("""COMPUTED_VALUE"""),2.0)</f>
        <v>2</v>
      </c>
      <c r="F214" s="77">
        <f>IFERROR(__xludf.DUMMYFUNCTION("""COMPUTED_VALUE"""),1926.0)</f>
        <v>1926</v>
      </c>
      <c r="G214" s="77">
        <f>IFERROR(__xludf.DUMMYFUNCTION("""COMPUTED_VALUE"""),18.0)</f>
        <v>18</v>
      </c>
      <c r="H214" s="77">
        <f>IFERROR(__xludf.DUMMYFUNCTION("""COMPUTED_VALUE"""),23.0)</f>
        <v>23</v>
      </c>
      <c r="I214" s="77">
        <f>IFERROR(__xludf.DUMMYFUNCTION("""COMPUTED_VALUE"""),100.0)</f>
        <v>100</v>
      </c>
      <c r="J214" s="73"/>
      <c r="K214" s="73"/>
      <c r="L214" s="73"/>
      <c r="M214" s="77"/>
      <c r="N214" s="77">
        <f>IFERROR(__xludf.DUMMYFUNCTION("""COMPUTED_VALUE"""),1.0)</f>
        <v>1</v>
      </c>
      <c r="O214" s="49"/>
      <c r="P214" s="49" t="str">
        <f>IFERROR(__xludf.DUMMYFUNCTION("""COMPUTED_VALUE"""),"Offset")</f>
        <v>Offset</v>
      </c>
      <c r="Q214" s="49" t="str">
        <f>IFERROR(__xludf.DUMMYFUNCTION("""COMPUTED_VALUE"""),"Packaging")</f>
        <v>Packaging</v>
      </c>
      <c r="R214" s="49" t="str">
        <f>IFERROR(__xludf.DUMMYFUNCTION("""COMPUTED_VALUE"""),"Bakery")</f>
        <v>Bakery</v>
      </c>
    </row>
    <row r="215">
      <c r="A215" s="156" t="str">
        <f>IFERROR(__xludf.DUMMYFUNCTION("""COMPUTED_VALUE"""),"https://drive.google.com/open?id=1PpZmDlcNh_1V1ZpVdq__IRl0I1kPw1Qd&amp;authuser=jay.agg%40gmail.com&amp;usp=drive_fs")</f>
        <v>https://drive.google.com/open?id=1PpZmDlcNh_1V1ZpVdq__IRl0I1kPw1Qd&amp;authuser=jay.agg%40gmail.com&amp;usp=drive_fs</v>
      </c>
      <c r="B215" s="73" t="str">
        <f>IFERROR(__xludf.DUMMYFUNCTION("""COMPUTED_VALUE"""),"Bakery")</f>
        <v>Bakery</v>
      </c>
      <c r="C215" s="73" t="str">
        <f>IFERROR(__xludf.DUMMYFUNCTION("""COMPUTED_VALUE"""),"Chocolate 12")</f>
        <v>Chocolate 12</v>
      </c>
      <c r="D215" s="73" t="str">
        <f>IFERROR(__xludf.DUMMYFUNCTION("""COMPUTED_VALUE"""),"Sleeve 250*80*40 mm | 9.9*3.15*1.6 inch")</f>
        <v>Sleeve 250*80*40 mm | 9.9*3.15*1.6 inch</v>
      </c>
      <c r="E215" s="77">
        <f>IFERROR(__xludf.DUMMYFUNCTION("""COMPUTED_VALUE"""),2.0)</f>
        <v>2</v>
      </c>
      <c r="F215" s="77">
        <f>IFERROR(__xludf.DUMMYFUNCTION("""COMPUTED_VALUE"""),1926.0)</f>
        <v>1926</v>
      </c>
      <c r="G215" s="77">
        <f>IFERROR(__xludf.DUMMYFUNCTION("""COMPUTED_VALUE"""),12.0)</f>
        <v>12</v>
      </c>
      <c r="H215" s="77">
        <f>IFERROR(__xludf.DUMMYFUNCTION("""COMPUTED_VALUE"""),23.0)</f>
        <v>23</v>
      </c>
      <c r="I215" s="77">
        <f>IFERROR(__xludf.DUMMYFUNCTION("""COMPUTED_VALUE"""),100.0)</f>
        <v>100</v>
      </c>
      <c r="J215" s="73"/>
      <c r="K215" s="73"/>
      <c r="L215" s="73"/>
      <c r="M215" s="77">
        <f>IFERROR(__xludf.DUMMYFUNCTION("""COMPUTED_VALUE"""),0.1)</f>
        <v>0.1</v>
      </c>
      <c r="N215" s="77">
        <f>IFERROR(__xludf.DUMMYFUNCTION("""COMPUTED_VALUE"""),1.0)</f>
        <v>1</v>
      </c>
      <c r="O215" s="49"/>
      <c r="P215" s="49" t="str">
        <f>IFERROR(__xludf.DUMMYFUNCTION("""COMPUTED_VALUE"""),"Offset")</f>
        <v>Offset</v>
      </c>
      <c r="Q215" s="49" t="str">
        <f>IFERROR(__xludf.DUMMYFUNCTION("""COMPUTED_VALUE"""),"Packaging")</f>
        <v>Packaging</v>
      </c>
      <c r="R215" s="49" t="str">
        <f>IFERROR(__xludf.DUMMYFUNCTION("""COMPUTED_VALUE"""),"Bakery")</f>
        <v>Bakery</v>
      </c>
    </row>
    <row r="216">
      <c r="A216" s="156" t="str">
        <f>IFERROR(__xludf.DUMMYFUNCTION("""COMPUTED_VALUE"""),"https://drive.google.com/open?id=1QTPA9WUEV2j8fkEkgcASZTdsr3jy70lO&amp;authuser=jay.agg%40gmail.com&amp;usp=drive_fs")</f>
        <v>https://drive.google.com/open?id=1QTPA9WUEV2j8fkEkgcASZTdsr3jy70lO&amp;authuser=jay.agg%40gmail.com&amp;usp=drive_fs</v>
      </c>
      <c r="B216" s="73" t="str">
        <f>IFERROR(__xludf.DUMMYFUNCTION("""COMPUTED_VALUE"""),"Bakery")</f>
        <v>Bakery</v>
      </c>
      <c r="C216" s="73" t="str">
        <f>IFERROR(__xludf.DUMMYFUNCTION("""COMPUTED_VALUE"""),"Chocolate 15")</f>
        <v>Chocolate 15</v>
      </c>
      <c r="D216" s="73" t="str">
        <f>IFERROR(__xludf.DUMMYFUNCTION("""COMPUTED_VALUE"""),"Tray 200*125*40 mm | 7.8*4.9*1.6 inch")</f>
        <v>Tray 200*125*40 mm | 7.8*4.9*1.6 inch</v>
      </c>
      <c r="E216" s="77">
        <f>IFERROR(__xludf.DUMMYFUNCTION("""COMPUTED_VALUE"""),2.0)</f>
        <v>2</v>
      </c>
      <c r="F216" s="77">
        <f>IFERROR(__xludf.DUMMYFUNCTION("""COMPUTED_VALUE"""),2029.0)</f>
        <v>2029</v>
      </c>
      <c r="G216" s="77">
        <f>IFERROR(__xludf.DUMMYFUNCTION("""COMPUTED_VALUE"""),19.0)</f>
        <v>19</v>
      </c>
      <c r="H216" s="77">
        <f>IFERROR(__xludf.DUMMYFUNCTION("""COMPUTED_VALUE"""),26.0)</f>
        <v>26</v>
      </c>
      <c r="I216" s="77">
        <f>IFERROR(__xludf.DUMMYFUNCTION("""COMPUTED_VALUE"""),100.0)</f>
        <v>100</v>
      </c>
      <c r="J216" s="73"/>
      <c r="K216" s="73"/>
      <c r="L216" s="73"/>
      <c r="M216" s="77"/>
      <c r="N216" s="77">
        <f>IFERROR(__xludf.DUMMYFUNCTION("""COMPUTED_VALUE"""),1.0)</f>
        <v>1</v>
      </c>
      <c r="O216" s="49"/>
      <c r="P216" s="49" t="str">
        <f>IFERROR(__xludf.DUMMYFUNCTION("""COMPUTED_VALUE"""),"Offset")</f>
        <v>Offset</v>
      </c>
      <c r="Q216" s="49" t="str">
        <f>IFERROR(__xludf.DUMMYFUNCTION("""COMPUTED_VALUE"""),"Packaging")</f>
        <v>Packaging</v>
      </c>
      <c r="R216" s="49" t="str">
        <f>IFERROR(__xludf.DUMMYFUNCTION("""COMPUTED_VALUE"""),"Bakery")</f>
        <v>Bakery</v>
      </c>
    </row>
    <row r="217">
      <c r="A217" s="156" t="str">
        <f>IFERROR(__xludf.DUMMYFUNCTION("""COMPUTED_VALUE"""),"https://drive.google.com/open?id=1QTPA9WUEV2j8fkEkgcASZTdsr3jy70lO&amp;authuser=jay.agg%40gmail.com&amp;usp=drive_fs")</f>
        <v>https://drive.google.com/open?id=1QTPA9WUEV2j8fkEkgcASZTdsr3jy70lO&amp;authuser=jay.agg%40gmail.com&amp;usp=drive_fs</v>
      </c>
      <c r="B217" s="73" t="str">
        <f>IFERROR(__xludf.DUMMYFUNCTION("""COMPUTED_VALUE"""),"Bakery")</f>
        <v>Bakery</v>
      </c>
      <c r="C217" s="73" t="str">
        <f>IFERROR(__xludf.DUMMYFUNCTION("""COMPUTED_VALUE"""),"Chocolate 15")</f>
        <v>Chocolate 15</v>
      </c>
      <c r="D217" s="73" t="str">
        <f>IFERROR(__xludf.DUMMYFUNCTION("""COMPUTED_VALUE"""),"Sleeve 200*125*40 mm | 7.8*4.9*1.6 inch")</f>
        <v>Sleeve 200*125*40 mm | 7.8*4.9*1.6 inch</v>
      </c>
      <c r="E217" s="77">
        <f>IFERROR(__xludf.DUMMYFUNCTION("""COMPUTED_VALUE"""),3.0)</f>
        <v>3</v>
      </c>
      <c r="F217" s="77">
        <f>IFERROR(__xludf.DUMMYFUNCTION("""COMPUTED_VALUE"""),1926.0)</f>
        <v>1926</v>
      </c>
      <c r="G217" s="77">
        <f>IFERROR(__xludf.DUMMYFUNCTION("""COMPUTED_VALUE"""),15.0)</f>
        <v>15</v>
      </c>
      <c r="H217" s="77">
        <f>IFERROR(__xludf.DUMMYFUNCTION("""COMPUTED_VALUE"""),25.0)</f>
        <v>25</v>
      </c>
      <c r="I217" s="77">
        <f>IFERROR(__xludf.DUMMYFUNCTION("""COMPUTED_VALUE"""),100.0)</f>
        <v>100</v>
      </c>
      <c r="J217" s="73"/>
      <c r="K217" s="73"/>
      <c r="L217" s="73">
        <f>IFERROR(__xludf.DUMMYFUNCTION("""COMPUTED_VALUE"""),1.5)</f>
        <v>1.5</v>
      </c>
      <c r="M217" s="77">
        <f>IFERROR(__xludf.DUMMYFUNCTION("""COMPUTED_VALUE"""),0.1)</f>
        <v>0.1</v>
      </c>
      <c r="N217" s="77">
        <f>IFERROR(__xludf.DUMMYFUNCTION("""COMPUTED_VALUE"""),1.0)</f>
        <v>1</v>
      </c>
      <c r="O217" s="49"/>
      <c r="P217" s="49" t="str">
        <f>IFERROR(__xludf.DUMMYFUNCTION("""COMPUTED_VALUE"""),"Offset")</f>
        <v>Offset</v>
      </c>
      <c r="Q217" s="49" t="str">
        <f>IFERROR(__xludf.DUMMYFUNCTION("""COMPUTED_VALUE"""),"Packaging")</f>
        <v>Packaging</v>
      </c>
      <c r="R217" s="49" t="str">
        <f>IFERROR(__xludf.DUMMYFUNCTION("""COMPUTED_VALUE"""),"Bakery")</f>
        <v>Bakery</v>
      </c>
    </row>
    <row r="218">
      <c r="A218" s="156" t="str">
        <f>IFERROR(__xludf.DUMMYFUNCTION("""COMPUTED_VALUE"""),"https://drive.google.com/open?id=1Pgfe8ksCwJ1QLlLAEJ-ISr7kMBXa6jhu&amp;authuser=jay.agg%40gmail.com&amp;usp=drive_fs")</f>
        <v>https://drive.google.com/open?id=1Pgfe8ksCwJ1QLlLAEJ-ISr7kMBXa6jhu&amp;authuser=jay.agg%40gmail.com&amp;usp=drive_fs</v>
      </c>
      <c r="B218" s="73" t="str">
        <f>IFERROR(__xludf.DUMMYFUNCTION("""COMPUTED_VALUE"""),"Bakery")</f>
        <v>Bakery</v>
      </c>
      <c r="C218" s="73" t="str">
        <f>IFERROR(__xludf.DUMMYFUNCTION("""COMPUTED_VALUE"""),"Chocolate 24")</f>
        <v>Chocolate 24</v>
      </c>
      <c r="D218" s="73" t="str">
        <f>IFERROR(__xludf.DUMMYFUNCTION("""COMPUTED_VALUE"""),"250*165*40 mm | 9.9*6.5*1.6 inch")</f>
        <v>250*165*40 mm | 9.9*6.5*1.6 inch</v>
      </c>
      <c r="E218" s="77">
        <f>IFERROR(__xludf.DUMMYFUNCTION("""COMPUTED_VALUE"""),1.0)</f>
        <v>1</v>
      </c>
      <c r="F218" s="77">
        <f>IFERROR(__xludf.DUMMYFUNCTION("""COMPUTED_VALUE"""),1926.0)</f>
        <v>1926</v>
      </c>
      <c r="G218" s="77">
        <f>IFERROR(__xludf.DUMMYFUNCTION("""COMPUTED_VALUE"""),18.0)</f>
        <v>18</v>
      </c>
      <c r="H218" s="77">
        <f>IFERROR(__xludf.DUMMYFUNCTION("""COMPUTED_VALUE"""),25.0)</f>
        <v>25</v>
      </c>
      <c r="I218" s="77">
        <f>IFERROR(__xludf.DUMMYFUNCTION("""COMPUTED_VALUE"""),100.0)</f>
        <v>100</v>
      </c>
      <c r="J218" s="73"/>
      <c r="K218" s="73"/>
      <c r="L218" s="73">
        <f>IFERROR(__xludf.DUMMYFUNCTION("""COMPUTED_VALUE"""),1.0)</f>
        <v>1</v>
      </c>
      <c r="M218" s="77">
        <f>IFERROR(__xludf.DUMMYFUNCTION("""COMPUTED_VALUE"""),0.1)</f>
        <v>0.1</v>
      </c>
      <c r="N218" s="77">
        <f>IFERROR(__xludf.DUMMYFUNCTION("""COMPUTED_VALUE"""),1.0)</f>
        <v>1</v>
      </c>
      <c r="O218" s="49"/>
      <c r="P218" s="49" t="str">
        <f>IFERROR(__xludf.DUMMYFUNCTION("""COMPUTED_VALUE"""),"Offset")</f>
        <v>Offset</v>
      </c>
      <c r="Q218" s="49" t="str">
        <f>IFERROR(__xludf.DUMMYFUNCTION("""COMPUTED_VALUE"""),"Packaging")</f>
        <v>Packaging</v>
      </c>
      <c r="R218" s="49" t="str">
        <f>IFERROR(__xludf.DUMMYFUNCTION("""COMPUTED_VALUE"""),"Bakery")</f>
        <v>Bakery</v>
      </c>
    </row>
    <row r="219">
      <c r="A219" s="156" t="str">
        <f>IFERROR(__xludf.DUMMYFUNCTION("""COMPUTED_VALUE"""),"https://drive.google.com/open?id=1Pgfe8ksCwJ1QLlLAEJ-ISr7kMBXa6jhu&amp;authuser=jay.agg%40gmail.com&amp;usp=drive_fs")</f>
        <v>https://drive.google.com/open?id=1Pgfe8ksCwJ1QLlLAEJ-ISr7kMBXa6jhu&amp;authuser=jay.agg%40gmail.com&amp;usp=drive_fs</v>
      </c>
      <c r="B219" s="73" t="str">
        <f>IFERROR(__xludf.DUMMYFUNCTION("""COMPUTED_VALUE"""),"Bakery")</f>
        <v>Bakery</v>
      </c>
      <c r="C219" s="73" t="str">
        <f>IFERROR(__xludf.DUMMYFUNCTION("""COMPUTED_VALUE"""),"Chocolate 24")</f>
        <v>Chocolate 24</v>
      </c>
      <c r="D219" s="73" t="str">
        <f>IFERROR(__xludf.DUMMYFUNCTION("""COMPUTED_VALUE"""),"Tray 250*165*40 mm | 9.9*6.5*1.6 inch")</f>
        <v>Tray 250*165*40 mm | 9.9*6.5*1.6 inch</v>
      </c>
      <c r="E219" s="77">
        <f>IFERROR(__xludf.DUMMYFUNCTION("""COMPUTED_VALUE"""),1.0)</f>
        <v>1</v>
      </c>
      <c r="F219" s="77">
        <f>IFERROR(__xludf.DUMMYFUNCTION("""COMPUTED_VALUE"""),1926.0)</f>
        <v>1926</v>
      </c>
      <c r="G219" s="77">
        <f>IFERROR(__xludf.DUMMYFUNCTION("""COMPUTED_VALUE"""),15.75)</f>
        <v>15.75</v>
      </c>
      <c r="H219" s="77">
        <f>IFERROR(__xludf.DUMMYFUNCTION("""COMPUTED_VALUE"""),20.75)</f>
        <v>20.75</v>
      </c>
      <c r="I219" s="77">
        <f>IFERROR(__xludf.DUMMYFUNCTION("""COMPUTED_VALUE"""),100.0)</f>
        <v>100</v>
      </c>
      <c r="J219" s="73"/>
      <c r="K219" s="73"/>
      <c r="L219" s="73"/>
      <c r="M219" s="77"/>
      <c r="N219" s="77">
        <f>IFERROR(__xludf.DUMMYFUNCTION("""COMPUTED_VALUE"""),1.0)</f>
        <v>1</v>
      </c>
      <c r="O219" s="49"/>
      <c r="P219" s="49" t="str">
        <f>IFERROR(__xludf.DUMMYFUNCTION("""COMPUTED_VALUE"""),"Offset")</f>
        <v>Offset</v>
      </c>
      <c r="Q219" s="49" t="str">
        <f>IFERROR(__xludf.DUMMYFUNCTION("""COMPUTED_VALUE"""),"Packaging")</f>
        <v>Packaging</v>
      </c>
      <c r="R219" s="49" t="str">
        <f>IFERROR(__xludf.DUMMYFUNCTION("""COMPUTED_VALUE"""),"Bakery")</f>
        <v>Bakery</v>
      </c>
    </row>
    <row r="220">
      <c r="A220" s="156" t="str">
        <f>IFERROR(__xludf.DUMMYFUNCTION("""COMPUTED_VALUE"""),"https://drive.google.com/open?id=1Pny7h9jpvEMO3_pACrZHgBP6lPctJls3&amp;authuser=jay.agg%40gmail.com&amp;usp=drive_fs")</f>
        <v>https://drive.google.com/open?id=1Pny7h9jpvEMO3_pACrZHgBP6lPctJls3&amp;authuser=jay.agg%40gmail.com&amp;usp=drive_fs</v>
      </c>
      <c r="B220" s="73" t="str">
        <f>IFERROR(__xludf.DUMMYFUNCTION("""COMPUTED_VALUE"""),"Bakery")</f>
        <v>Bakery</v>
      </c>
      <c r="C220" s="73" t="str">
        <f>IFERROR(__xludf.DUMMYFUNCTION("""COMPUTED_VALUE"""),"Chocolate 24")</f>
        <v>Chocolate 24</v>
      </c>
      <c r="D220" s="73" t="str">
        <f>IFERROR(__xludf.DUMMYFUNCTION("""COMPUTED_VALUE"""),"Sleeve 250*165*40 mm | 9.9*6.5*1.6 inch")</f>
        <v>Sleeve 250*165*40 mm | 9.9*6.5*1.6 inch</v>
      </c>
      <c r="E220" s="77">
        <f>IFERROR(__xludf.DUMMYFUNCTION("""COMPUTED_VALUE"""),2.0)</f>
        <v>2</v>
      </c>
      <c r="F220" s="77">
        <f>IFERROR(__xludf.DUMMYFUNCTION("""COMPUTED_VALUE"""),1926.0)</f>
        <v>1926</v>
      </c>
      <c r="G220" s="77">
        <f>IFERROR(__xludf.DUMMYFUNCTION("""COMPUTED_VALUE"""),15.75)</f>
        <v>15.75</v>
      </c>
      <c r="H220" s="77">
        <f>IFERROR(__xludf.DUMMYFUNCTION("""COMPUTED_VALUE"""),20.75)</f>
        <v>20.75</v>
      </c>
      <c r="I220" s="77">
        <f>IFERROR(__xludf.DUMMYFUNCTION("""COMPUTED_VALUE"""),100.0)</f>
        <v>100</v>
      </c>
      <c r="J220" s="73"/>
      <c r="K220" s="73"/>
      <c r="L220" s="73"/>
      <c r="M220" s="77">
        <f>IFERROR(__xludf.DUMMYFUNCTION("""COMPUTED_VALUE"""),0.1)</f>
        <v>0.1</v>
      </c>
      <c r="N220" s="77">
        <f>IFERROR(__xludf.DUMMYFUNCTION("""COMPUTED_VALUE"""),1.0)</f>
        <v>1</v>
      </c>
      <c r="O220" s="49"/>
      <c r="P220" s="49" t="str">
        <f>IFERROR(__xludf.DUMMYFUNCTION("""COMPUTED_VALUE"""),"Offset")</f>
        <v>Offset</v>
      </c>
      <c r="Q220" s="49" t="str">
        <f>IFERROR(__xludf.DUMMYFUNCTION("""COMPUTED_VALUE"""),"Packaging")</f>
        <v>Packaging</v>
      </c>
      <c r="R220" s="49" t="str">
        <f>IFERROR(__xludf.DUMMYFUNCTION("""COMPUTED_VALUE"""),"Bakery")</f>
        <v>Bakery</v>
      </c>
    </row>
    <row r="221">
      <c r="A221" s="156" t="str">
        <f>IFERROR(__xludf.DUMMYFUNCTION("""COMPUTED_VALUE"""),"https://drive.google.com/open?id=1QdO0BP_hrM4d6SsfjW-aNz4iq6yGZmw1&amp;authuser=jay.agg%40gmail.com&amp;usp=drive_fs")</f>
        <v>https://drive.google.com/open?id=1QdO0BP_hrM4d6SsfjW-aNz4iq6yGZmw1&amp;authuser=jay.agg%40gmail.com&amp;usp=drive_fs</v>
      </c>
      <c r="B221" s="73" t="str">
        <f>IFERROR(__xludf.DUMMYFUNCTION("""COMPUTED_VALUE"""),"Bakery")</f>
        <v>Bakery</v>
      </c>
      <c r="C221" s="73" t="str">
        <f>IFERROR(__xludf.DUMMYFUNCTION("""COMPUTED_VALUE"""),"Chocolate 4")</f>
        <v>Chocolate 4</v>
      </c>
      <c r="D221" s="73" t="str">
        <f>IFERROR(__xludf.DUMMYFUNCTION("""COMPUTED_VALUE"""),"Tray 80*80*30 mm | 3.15*3.15*1.1 inch")</f>
        <v>Tray 80*80*30 mm | 3.15*3.15*1.1 inch</v>
      </c>
      <c r="E221" s="77">
        <f>IFERROR(__xludf.DUMMYFUNCTION("""COMPUTED_VALUE"""),2.0)</f>
        <v>2</v>
      </c>
      <c r="F221" s="77">
        <f>IFERROR(__xludf.DUMMYFUNCTION("""COMPUTED_VALUE"""),1926.0)</f>
        <v>1926</v>
      </c>
      <c r="G221" s="77">
        <f>IFERROR(__xludf.DUMMYFUNCTION("""COMPUTED_VALUE"""),11.5)</f>
        <v>11.5</v>
      </c>
      <c r="H221" s="77">
        <f>IFERROR(__xludf.DUMMYFUNCTION("""COMPUTED_VALUE"""),19.5)</f>
        <v>19.5</v>
      </c>
      <c r="I221" s="77">
        <f>IFERROR(__xludf.DUMMYFUNCTION("""COMPUTED_VALUE"""),100.0)</f>
        <v>100</v>
      </c>
      <c r="J221" s="73"/>
      <c r="K221" s="73"/>
      <c r="L221" s="73"/>
      <c r="M221" s="77">
        <f>IFERROR(__xludf.DUMMYFUNCTION("""COMPUTED_VALUE"""),0.1)</f>
        <v>0.1</v>
      </c>
      <c r="N221" s="77">
        <f>IFERROR(__xludf.DUMMYFUNCTION("""COMPUTED_VALUE"""),1.0)</f>
        <v>1</v>
      </c>
      <c r="O221" s="49"/>
      <c r="P221" s="49" t="str">
        <f>IFERROR(__xludf.DUMMYFUNCTION("""COMPUTED_VALUE"""),"Offset")</f>
        <v>Offset</v>
      </c>
      <c r="Q221" s="49" t="str">
        <f>IFERROR(__xludf.DUMMYFUNCTION("""COMPUTED_VALUE"""),"Packaging")</f>
        <v>Packaging</v>
      </c>
      <c r="R221" s="49" t="str">
        <f>IFERROR(__xludf.DUMMYFUNCTION("""COMPUTED_VALUE"""),"Bakery")</f>
        <v>Bakery</v>
      </c>
    </row>
    <row r="222">
      <c r="A222" s="156" t="str">
        <f>IFERROR(__xludf.DUMMYFUNCTION("""COMPUTED_VALUE"""),"https://drive.google.com/open?id=1QdO0BP_hrM4d6SsfjW-aNz4iq6yGZmw1&amp;authuser=jay.agg%40gmail.com&amp;usp=drive_fs")</f>
        <v>https://drive.google.com/open?id=1QdO0BP_hrM4d6SsfjW-aNz4iq6yGZmw1&amp;authuser=jay.agg%40gmail.com&amp;usp=drive_fs</v>
      </c>
      <c r="B222" s="73" t="str">
        <f>IFERROR(__xludf.DUMMYFUNCTION("""COMPUTED_VALUE"""),"Bakery")</f>
        <v>Bakery</v>
      </c>
      <c r="C222" s="73" t="str">
        <f>IFERROR(__xludf.DUMMYFUNCTION("""COMPUTED_VALUE"""),"Chocolate 4")</f>
        <v>Chocolate 4</v>
      </c>
      <c r="D222" s="73" t="str">
        <f>IFERROR(__xludf.DUMMYFUNCTION("""COMPUTED_VALUE"""),"Sleeve 80*80*30 mm | 3.15*3.15*1.1 inch")</f>
        <v>Sleeve 80*80*30 mm | 3.15*3.15*1.1 inch</v>
      </c>
      <c r="E222" s="77">
        <f>IFERROR(__xludf.DUMMYFUNCTION("""COMPUTED_VALUE"""),8.0)</f>
        <v>8</v>
      </c>
      <c r="F222" s="77">
        <f>IFERROR(__xludf.DUMMYFUNCTION("""COMPUTED_VALUE"""),1926.0)</f>
        <v>1926</v>
      </c>
      <c r="G222" s="77">
        <f>IFERROR(__xludf.DUMMYFUNCTION("""COMPUTED_VALUE"""),14.0)</f>
        <v>14</v>
      </c>
      <c r="H222" s="77">
        <f>IFERROR(__xludf.DUMMYFUNCTION("""COMPUTED_VALUE"""),20.0)</f>
        <v>20</v>
      </c>
      <c r="I222" s="77">
        <f>IFERROR(__xludf.DUMMYFUNCTION("""COMPUTED_VALUE"""),100.0)</f>
        <v>100</v>
      </c>
      <c r="J222" s="73"/>
      <c r="K222" s="73"/>
      <c r="L222" s="73"/>
      <c r="M222" s="77">
        <f>IFERROR(__xludf.DUMMYFUNCTION("""COMPUTED_VALUE"""),0.1)</f>
        <v>0.1</v>
      </c>
      <c r="N222" s="77">
        <f>IFERROR(__xludf.DUMMYFUNCTION("""COMPUTED_VALUE"""),1.0)</f>
        <v>1</v>
      </c>
      <c r="O222" s="49"/>
      <c r="P222" s="49" t="str">
        <f>IFERROR(__xludf.DUMMYFUNCTION("""COMPUTED_VALUE"""),"Offset")</f>
        <v>Offset</v>
      </c>
      <c r="Q222" s="49" t="str">
        <f>IFERROR(__xludf.DUMMYFUNCTION("""COMPUTED_VALUE"""),"Packaging")</f>
        <v>Packaging</v>
      </c>
      <c r="R222" s="49" t="str">
        <f>IFERROR(__xludf.DUMMYFUNCTION("""COMPUTED_VALUE"""),"Bakery")</f>
        <v>Bakery</v>
      </c>
    </row>
    <row r="223">
      <c r="A223" s="156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223" s="73" t="str">
        <f>IFERROR(__xludf.DUMMYFUNCTION("""COMPUTED_VALUE"""),"Bakery")</f>
        <v>Bakery</v>
      </c>
      <c r="C223" s="73" t="str">
        <f>IFERROR(__xludf.DUMMYFUNCTION("""COMPUTED_VALUE"""),"Chocolate 5")</f>
        <v>Chocolate 5</v>
      </c>
      <c r="D223" s="73" t="str">
        <f>IFERROR(__xludf.DUMMYFUNCTION("""COMPUTED_VALUE"""),"Tray 210*45*30 mm | 8.2*1.7*1.1 inch")</f>
        <v>Tray 210*45*30 mm | 8.2*1.7*1.1 inch</v>
      </c>
      <c r="E223" s="77">
        <f>IFERROR(__xludf.DUMMYFUNCTION("""COMPUTED_VALUE"""),3.0)</f>
        <v>3</v>
      </c>
      <c r="F223" s="77">
        <f>IFERROR(__xludf.DUMMYFUNCTION("""COMPUTED_VALUE"""),1926.0)</f>
        <v>1926</v>
      </c>
      <c r="G223" s="77">
        <f>IFERROR(__xludf.DUMMYFUNCTION("""COMPUTED_VALUE"""),14.0)</f>
        <v>14</v>
      </c>
      <c r="H223" s="77">
        <f>IFERROR(__xludf.DUMMYFUNCTION("""COMPUTED_VALUE"""),22.0)</f>
        <v>22</v>
      </c>
      <c r="I223" s="77">
        <f>IFERROR(__xludf.DUMMYFUNCTION("""COMPUTED_VALUE"""),100.0)</f>
        <v>100</v>
      </c>
      <c r="J223" s="73"/>
      <c r="K223" s="73"/>
      <c r="L223" s="73"/>
      <c r="M223" s="77"/>
      <c r="N223" s="77">
        <f>IFERROR(__xludf.DUMMYFUNCTION("""COMPUTED_VALUE"""),1.0)</f>
        <v>1</v>
      </c>
      <c r="O223" s="49"/>
      <c r="P223" s="49" t="str">
        <f>IFERROR(__xludf.DUMMYFUNCTION("""COMPUTED_VALUE"""),"Offset")</f>
        <v>Offset</v>
      </c>
      <c r="Q223" s="49" t="str">
        <f>IFERROR(__xludf.DUMMYFUNCTION("""COMPUTED_VALUE"""),"Packaging")</f>
        <v>Packaging</v>
      </c>
      <c r="R223" s="49" t="str">
        <f>IFERROR(__xludf.DUMMYFUNCTION("""COMPUTED_VALUE"""),"Bakery")</f>
        <v>Bakery</v>
      </c>
    </row>
    <row r="224">
      <c r="A224" s="156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224" s="73" t="str">
        <f>IFERROR(__xludf.DUMMYFUNCTION("""COMPUTED_VALUE"""),"Bakery")</f>
        <v>Bakery</v>
      </c>
      <c r="C224" s="73" t="str">
        <f>IFERROR(__xludf.DUMMYFUNCTION("""COMPUTED_VALUE"""),"Chocolate 5")</f>
        <v>Chocolate 5</v>
      </c>
      <c r="D224" s="73" t="str">
        <f>IFERROR(__xludf.DUMMYFUNCTION("""COMPUTED_VALUE"""),"Sleeve 210*45*30 mm | 8.2*1.7*1.1 inch")</f>
        <v>Sleeve 210*45*30 mm | 8.2*1.7*1.1 inch</v>
      </c>
      <c r="E224" s="77">
        <f>IFERROR(__xludf.DUMMYFUNCTION("""COMPUTED_VALUE"""),6.0)</f>
        <v>6</v>
      </c>
      <c r="F224" s="77">
        <f>IFERROR(__xludf.DUMMYFUNCTION("""COMPUTED_VALUE"""),1926.0)</f>
        <v>1926</v>
      </c>
      <c r="G224" s="77">
        <f>IFERROR(__xludf.DUMMYFUNCTION("""COMPUTED_VALUE"""),18.0)</f>
        <v>18</v>
      </c>
      <c r="H224" s="77">
        <f>IFERROR(__xludf.DUMMYFUNCTION("""COMPUTED_VALUE"""),21.0)</f>
        <v>21</v>
      </c>
      <c r="I224" s="77">
        <f>IFERROR(__xludf.DUMMYFUNCTION("""COMPUTED_VALUE"""),100.0)</f>
        <v>100</v>
      </c>
      <c r="J224" s="73"/>
      <c r="K224" s="73"/>
      <c r="L224" s="73"/>
      <c r="M224" s="77">
        <f>IFERROR(__xludf.DUMMYFUNCTION("""COMPUTED_VALUE"""),0.1)</f>
        <v>0.1</v>
      </c>
      <c r="N224" s="77">
        <f>IFERROR(__xludf.DUMMYFUNCTION("""COMPUTED_VALUE"""),1.0)</f>
        <v>1</v>
      </c>
      <c r="O224" s="49"/>
      <c r="P224" s="49" t="str">
        <f>IFERROR(__xludf.DUMMYFUNCTION("""COMPUTED_VALUE"""),"Offset")</f>
        <v>Offset</v>
      </c>
      <c r="Q224" s="49" t="str">
        <f>IFERROR(__xludf.DUMMYFUNCTION("""COMPUTED_VALUE"""),"Packaging")</f>
        <v>Packaging</v>
      </c>
      <c r="R224" s="49" t="str">
        <f>IFERROR(__xludf.DUMMYFUNCTION("""COMPUTED_VALUE"""),"Bakery")</f>
        <v>Bakery</v>
      </c>
    </row>
    <row r="225">
      <c r="A225" s="156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225" s="73" t="str">
        <f>IFERROR(__xludf.DUMMYFUNCTION("""COMPUTED_VALUE"""),"Bakery")</f>
        <v>Bakery</v>
      </c>
      <c r="C225" s="73" t="str">
        <f>IFERROR(__xludf.DUMMYFUNCTION("""COMPUTED_VALUE"""),"Chocolate 5")</f>
        <v>Chocolate 5</v>
      </c>
      <c r="D225" s="73" t="str">
        <f>IFERROR(__xludf.DUMMYFUNCTION("""COMPUTED_VALUE"""),"Partition 210*45*30 mm | 8.2*1.7*1.1 inch")</f>
        <v>Partition 210*45*30 mm | 8.2*1.7*1.1 inch</v>
      </c>
      <c r="E225" s="77">
        <f>IFERROR(__xludf.DUMMYFUNCTION("""COMPUTED_VALUE"""),6.0)</f>
        <v>6</v>
      </c>
      <c r="F225" s="77">
        <f>IFERROR(__xludf.DUMMYFUNCTION("""COMPUTED_VALUE"""),1926.0)</f>
        <v>1926</v>
      </c>
      <c r="G225" s="77">
        <f>IFERROR(__xludf.DUMMYFUNCTION("""COMPUTED_VALUE"""),12.0)</f>
        <v>12</v>
      </c>
      <c r="H225" s="77">
        <f>IFERROR(__xludf.DUMMYFUNCTION("""COMPUTED_VALUE"""),18.0)</f>
        <v>18</v>
      </c>
      <c r="I225" s="77">
        <f>IFERROR(__xludf.DUMMYFUNCTION("""COMPUTED_VALUE"""),100.0)</f>
        <v>100</v>
      </c>
      <c r="J225" s="73"/>
      <c r="K225" s="73"/>
      <c r="L225" s="73"/>
      <c r="M225" s="77"/>
      <c r="N225" s="77">
        <f>IFERROR(__xludf.DUMMYFUNCTION("""COMPUTED_VALUE"""),1.0)</f>
        <v>1</v>
      </c>
      <c r="O225" s="49"/>
      <c r="P225" s="49" t="str">
        <f>IFERROR(__xludf.DUMMYFUNCTION("""COMPUTED_VALUE"""),"Offset")</f>
        <v>Offset</v>
      </c>
      <c r="Q225" s="49" t="str">
        <f>IFERROR(__xludf.DUMMYFUNCTION("""COMPUTED_VALUE"""),"Packaging")</f>
        <v>Packaging</v>
      </c>
      <c r="R225" s="49" t="str">
        <f>IFERROR(__xludf.DUMMYFUNCTION("""COMPUTED_VALUE"""),"Bakery")</f>
        <v>Bakery</v>
      </c>
    </row>
    <row r="226">
      <c r="A226" s="156" t="str">
        <f>IFERROR(__xludf.DUMMYFUNCTION("""COMPUTED_VALUE"""),"https://drive.google.com/open?id=1QV_u9_OOlMj2VLLmrcCZ-ed3hGD8e1c5&amp;authuser=jay.agg%40gmail.com&amp;usp=drive_fs")</f>
        <v>https://drive.google.com/open?id=1QV_u9_OOlMj2VLLmrcCZ-ed3hGD8e1c5&amp;authuser=jay.agg%40gmail.com&amp;usp=drive_fs</v>
      </c>
      <c r="B226" s="73" t="str">
        <f>IFERROR(__xludf.DUMMYFUNCTION("""COMPUTED_VALUE"""),"Bakery")</f>
        <v>Bakery</v>
      </c>
      <c r="C226" s="73" t="str">
        <f>IFERROR(__xludf.DUMMYFUNCTION("""COMPUTED_VALUE"""),"Chocolate 9")</f>
        <v>Chocolate 9</v>
      </c>
      <c r="D226" s="73" t="str">
        <f>IFERROR(__xludf.DUMMYFUNCTION("""COMPUTED_VALUE"""),"Tray 125*125*40 mm | 4.9*4.9*1.6 inch")</f>
        <v>Tray 125*125*40 mm | 4.9*4.9*1.6 inch</v>
      </c>
      <c r="E226" s="77">
        <f>IFERROR(__xludf.DUMMYFUNCTION("""COMPUTED_VALUE"""),2.0)</f>
        <v>2</v>
      </c>
      <c r="F226" s="77">
        <f>IFERROR(__xludf.DUMMYFUNCTION("""COMPUTED_VALUE"""),2029.0)</f>
        <v>2029</v>
      </c>
      <c r="G226" s="77">
        <f>IFERROR(__xludf.DUMMYFUNCTION("""COMPUTED_VALUE"""),13.5)</f>
        <v>13.5</v>
      </c>
      <c r="H226" s="77">
        <f>IFERROR(__xludf.DUMMYFUNCTION("""COMPUTED_VALUE"""),28.0)</f>
        <v>28</v>
      </c>
      <c r="I226" s="77">
        <f>IFERROR(__xludf.DUMMYFUNCTION("""COMPUTED_VALUE"""),100.0)</f>
        <v>100</v>
      </c>
      <c r="J226" s="73"/>
      <c r="K226" s="73"/>
      <c r="L226" s="73"/>
      <c r="M226" s="77"/>
      <c r="N226" s="77">
        <f>IFERROR(__xludf.DUMMYFUNCTION("""COMPUTED_VALUE"""),1.0)</f>
        <v>1</v>
      </c>
      <c r="O226" s="49"/>
      <c r="P226" s="49" t="str">
        <f>IFERROR(__xludf.DUMMYFUNCTION("""COMPUTED_VALUE"""),"Offset")</f>
        <v>Offset</v>
      </c>
      <c r="Q226" s="49" t="str">
        <f>IFERROR(__xludf.DUMMYFUNCTION("""COMPUTED_VALUE"""),"Packaging")</f>
        <v>Packaging</v>
      </c>
      <c r="R226" s="49" t="str">
        <f>IFERROR(__xludf.DUMMYFUNCTION("""COMPUTED_VALUE"""),"Bakery")</f>
        <v>Bakery</v>
      </c>
    </row>
    <row r="227">
      <c r="A227" s="156" t="str">
        <f>IFERROR(__xludf.DUMMYFUNCTION("""COMPUTED_VALUE"""),"https://drive.google.com/open?id=1QV_u9_OOlMj2VLLmrcCZ-ed3hGD8e1c5&amp;authuser=jay.agg%40gmail.com&amp;usp=drive_fs")</f>
        <v>https://drive.google.com/open?id=1QV_u9_OOlMj2VLLmrcCZ-ed3hGD8e1c5&amp;authuser=jay.agg%40gmail.com&amp;usp=drive_fs</v>
      </c>
      <c r="B227" s="73" t="str">
        <f>IFERROR(__xludf.DUMMYFUNCTION("""COMPUTED_VALUE"""),"Bakery")</f>
        <v>Bakery</v>
      </c>
      <c r="C227" s="73" t="str">
        <f>IFERROR(__xludf.DUMMYFUNCTION("""COMPUTED_VALUE"""),"Chocolate 9")</f>
        <v>Chocolate 9</v>
      </c>
      <c r="D227" s="73" t="str">
        <f>IFERROR(__xludf.DUMMYFUNCTION("""COMPUTED_VALUE"""),"Sleeve 125*125*40 mm | 4.9*4.9*1.6 inch")</f>
        <v>Sleeve 125*125*40 mm | 4.9*4.9*1.6 inch</v>
      </c>
      <c r="E227" s="77">
        <f>IFERROR(__xludf.DUMMYFUNCTION("""COMPUTED_VALUE"""),4.0)</f>
        <v>4</v>
      </c>
      <c r="F227" s="77">
        <f>IFERROR(__xludf.DUMMYFUNCTION("""COMPUTED_VALUE"""),1926.0)</f>
        <v>1926</v>
      </c>
      <c r="G227" s="77">
        <f>IFERROR(__xludf.DUMMYFUNCTION("""COMPUTED_VALUE"""),15.75)</f>
        <v>15.75</v>
      </c>
      <c r="H227" s="77">
        <f>IFERROR(__xludf.DUMMYFUNCTION("""COMPUTED_VALUE"""),20.75)</f>
        <v>20.75</v>
      </c>
      <c r="I227" s="77">
        <f>IFERROR(__xludf.DUMMYFUNCTION("""COMPUTED_VALUE"""),100.0)</f>
        <v>100</v>
      </c>
      <c r="J227" s="73"/>
      <c r="K227" s="73"/>
      <c r="L227" s="73"/>
      <c r="M227" s="77">
        <f>IFERROR(__xludf.DUMMYFUNCTION("""COMPUTED_VALUE"""),0.1)</f>
        <v>0.1</v>
      </c>
      <c r="N227" s="77">
        <f>IFERROR(__xludf.DUMMYFUNCTION("""COMPUTED_VALUE"""),1.0)</f>
        <v>1</v>
      </c>
      <c r="O227" s="49"/>
      <c r="P227" s="49" t="str">
        <f>IFERROR(__xludf.DUMMYFUNCTION("""COMPUTED_VALUE"""),"Offset")</f>
        <v>Offset</v>
      </c>
      <c r="Q227" s="49" t="str">
        <f>IFERROR(__xludf.DUMMYFUNCTION("""COMPUTED_VALUE"""),"Packaging")</f>
        <v>Packaging</v>
      </c>
      <c r="R227" s="49" t="str">
        <f>IFERROR(__xludf.DUMMYFUNCTION("""COMPUTED_VALUE"""),"Bakery")</f>
        <v>Bakery</v>
      </c>
    </row>
    <row r="228">
      <c r="A228" s="156" t="str">
        <f>IFERROR(__xludf.DUMMYFUNCTION("""COMPUTED_VALUE"""),"https://drive.google.com/open?id=1Ppsvq19b5NnvSe7lTazS3CUXSGxHiDS-&amp;authuser=jay.agg%40gmail.com&amp;usp=drive_fs")</f>
        <v>https://drive.google.com/open?id=1Ppsvq19b5NnvSe7lTazS3CUXSGxHiDS-&amp;authuser=jay.agg%40gmail.com&amp;usp=drive_fs</v>
      </c>
      <c r="B228" s="73" t="str">
        <f>IFERROR(__xludf.DUMMYFUNCTION("""COMPUTED_VALUE"""),"Bakery")</f>
        <v>Bakery</v>
      </c>
      <c r="C228" s="73" t="str">
        <f>IFERROR(__xludf.DUMMYFUNCTION("""COMPUTED_VALUE"""),"Chocolate Tray")</f>
        <v>Chocolate Tray</v>
      </c>
      <c r="D228" s="73" t="str">
        <f>IFERROR(__xludf.DUMMYFUNCTION("""COMPUTED_VALUE"""),"40*40*25 mm | 1.5*1.5*1 inch")</f>
        <v>40*40*25 mm | 1.5*1.5*1 inch</v>
      </c>
      <c r="E228" s="77">
        <f>IFERROR(__xludf.DUMMYFUNCTION("""COMPUTED_VALUE"""),24.0)</f>
        <v>24</v>
      </c>
      <c r="F228" s="77">
        <f>IFERROR(__xludf.DUMMYFUNCTION("""COMPUTED_VALUE"""),1926.0)</f>
        <v>1926</v>
      </c>
      <c r="G228" s="77">
        <f>IFERROR(__xludf.DUMMYFUNCTION("""COMPUTED_VALUE"""),14.0)</f>
        <v>14</v>
      </c>
      <c r="H228" s="77">
        <f>IFERROR(__xludf.DUMMYFUNCTION("""COMPUTED_VALUE"""),22.0)</f>
        <v>22</v>
      </c>
      <c r="I228" s="77">
        <f>IFERROR(__xludf.DUMMYFUNCTION("""COMPUTED_VALUE"""),100.0)</f>
        <v>100</v>
      </c>
      <c r="J228" s="73"/>
      <c r="K228" s="73"/>
      <c r="L228" s="73"/>
      <c r="M228" s="77"/>
      <c r="N228" s="77">
        <f>IFERROR(__xludf.DUMMYFUNCTION("""COMPUTED_VALUE"""),1.0)</f>
        <v>1</v>
      </c>
      <c r="O228" s="49"/>
      <c r="P228" s="49" t="str">
        <f>IFERROR(__xludf.DUMMYFUNCTION("""COMPUTED_VALUE"""),"Offset")</f>
        <v>Offset</v>
      </c>
      <c r="Q228" s="49" t="str">
        <f>IFERROR(__xludf.DUMMYFUNCTION("""COMPUTED_VALUE"""),"Packaging")</f>
        <v>Packaging</v>
      </c>
      <c r="R228" s="49" t="str">
        <f>IFERROR(__xludf.DUMMYFUNCTION("""COMPUTED_VALUE"""),"Bakery")</f>
        <v>Bakery</v>
      </c>
    </row>
    <row r="229">
      <c r="A229" s="156" t="str">
        <f>IFERROR(__xludf.DUMMYFUNCTION("""COMPUTED_VALUE"""),"https://drive.google.com/open?id=1QmjFgXyrczv1CE0371upxXOhMSdcfbi6&amp;authuser=jay.agg%40gmail.com&amp;usp=drive_fs")</f>
        <v>https://drive.google.com/open?id=1QmjFgXyrczv1CE0371upxXOhMSdcfbi6&amp;authuser=jay.agg%40gmail.com&amp;usp=drive_fs</v>
      </c>
      <c r="B229" s="73" t="str">
        <f>IFERROR(__xludf.DUMMYFUNCTION("""COMPUTED_VALUE"""),"Bakery")</f>
        <v>Bakery</v>
      </c>
      <c r="C229" s="73" t="str">
        <f>IFERROR(__xludf.DUMMYFUNCTION("""COMPUTED_VALUE"""),"Cookies")</f>
        <v>Cookies</v>
      </c>
      <c r="D229" s="73" t="str">
        <f>IFERROR(__xludf.DUMMYFUNCTION("""COMPUTED_VALUE"""),"76*102 mm | 3*4 inch W 2*2.5 inch")</f>
        <v>76*102 mm | 3*4 inch W 2*2.5 inch</v>
      </c>
      <c r="E229" s="77">
        <f>IFERROR(__xludf.DUMMYFUNCTION("""COMPUTED_VALUE"""),2.0)</f>
        <v>2</v>
      </c>
      <c r="F229" s="77">
        <f>IFERROR(__xludf.DUMMYFUNCTION("""COMPUTED_VALUE"""),1926.0)</f>
        <v>1926</v>
      </c>
      <c r="G229" s="77">
        <f>IFERROR(__xludf.DUMMYFUNCTION("""COMPUTED_VALUE"""),15.75)</f>
        <v>15.75</v>
      </c>
      <c r="H229" s="77">
        <f>IFERROR(__xludf.DUMMYFUNCTION("""COMPUTED_VALUE"""),20.75)</f>
        <v>20.75</v>
      </c>
      <c r="I229" s="77">
        <f>IFERROR(__xludf.DUMMYFUNCTION("""COMPUTED_VALUE"""),100.0)</f>
        <v>100</v>
      </c>
      <c r="J229" s="73"/>
      <c r="K229" s="73"/>
      <c r="L229" s="73">
        <f>IFERROR(__xludf.DUMMYFUNCTION("""COMPUTED_VALUE"""),1.2)</f>
        <v>1.2</v>
      </c>
      <c r="M229" s="77">
        <f>IFERROR(__xludf.DUMMYFUNCTION("""COMPUTED_VALUE"""),0.15)</f>
        <v>0.15</v>
      </c>
      <c r="N229" s="77">
        <f>IFERROR(__xludf.DUMMYFUNCTION("""COMPUTED_VALUE"""),1.0)</f>
        <v>1</v>
      </c>
      <c r="O229" s="49"/>
      <c r="P229" s="49" t="str">
        <f>IFERROR(__xludf.DUMMYFUNCTION("""COMPUTED_VALUE"""),"Offset")</f>
        <v>Offset</v>
      </c>
      <c r="Q229" s="49" t="str">
        <f>IFERROR(__xludf.DUMMYFUNCTION("""COMPUTED_VALUE"""),"Packaging")</f>
        <v>Packaging</v>
      </c>
      <c r="R229" s="49" t="str">
        <f>IFERROR(__xludf.DUMMYFUNCTION("""COMPUTED_VALUE"""),"Bakery")</f>
        <v>Bakery</v>
      </c>
    </row>
    <row r="230">
      <c r="A230" s="156" t="str">
        <f>IFERROR(__xludf.DUMMYFUNCTION("""COMPUTED_VALUE"""),"https://drive.google.com/open?id=1QnGF7Kdhx3Dk7evbvqi_sjVcF9E40Hn3&amp;authuser=jay.agg%40gmail.com&amp;usp=drive_fs")</f>
        <v>https://drive.google.com/open?id=1QnGF7Kdhx3Dk7evbvqi_sjVcF9E40Hn3&amp;authuser=jay.agg%40gmail.com&amp;usp=drive_fs</v>
      </c>
      <c r="B230" s="73" t="str">
        <f>IFERROR(__xludf.DUMMYFUNCTION("""COMPUTED_VALUE"""),"Bakery")</f>
        <v>Bakery</v>
      </c>
      <c r="C230" s="73" t="str">
        <f>IFERROR(__xludf.DUMMYFUNCTION("""COMPUTED_VALUE"""),"Cookies")</f>
        <v>Cookies</v>
      </c>
      <c r="D230" s="73" t="str">
        <f>IFERROR(__xludf.DUMMYFUNCTION("""COMPUTED_VALUE"""),"76*152 mm | 3*6 inch W 2*4 inch")</f>
        <v>76*152 mm | 3*6 inch W 2*4 inch</v>
      </c>
      <c r="E230" s="77">
        <f>IFERROR(__xludf.DUMMYFUNCTION("""COMPUTED_VALUE"""),2.0)</f>
        <v>2</v>
      </c>
      <c r="F230" s="77">
        <f>IFERROR(__xludf.DUMMYFUNCTION("""COMPUTED_VALUE"""),1926.0)</f>
        <v>1926</v>
      </c>
      <c r="G230" s="77">
        <f>IFERROR(__xludf.DUMMYFUNCTION("""COMPUTED_VALUE"""),12.0)</f>
        <v>12</v>
      </c>
      <c r="H230" s="77">
        <f>IFERROR(__xludf.DUMMYFUNCTION("""COMPUTED_VALUE"""),25.0)</f>
        <v>25</v>
      </c>
      <c r="I230" s="77">
        <f>IFERROR(__xludf.DUMMYFUNCTION("""COMPUTED_VALUE"""),100.0)</f>
        <v>100</v>
      </c>
      <c r="J230" s="73"/>
      <c r="K230" s="73"/>
      <c r="L230" s="73">
        <f>IFERROR(__xludf.DUMMYFUNCTION("""COMPUTED_VALUE"""),1.5)</f>
        <v>1.5</v>
      </c>
      <c r="M230" s="77">
        <f>IFERROR(__xludf.DUMMYFUNCTION("""COMPUTED_VALUE"""),0.15)</f>
        <v>0.15</v>
      </c>
      <c r="N230" s="77">
        <f>IFERROR(__xludf.DUMMYFUNCTION("""COMPUTED_VALUE"""),1.0)</f>
        <v>1</v>
      </c>
      <c r="O230" s="49"/>
      <c r="P230" s="49" t="str">
        <f>IFERROR(__xludf.DUMMYFUNCTION("""COMPUTED_VALUE"""),"Offset")</f>
        <v>Offset</v>
      </c>
      <c r="Q230" s="49" t="str">
        <f>IFERROR(__xludf.DUMMYFUNCTION("""COMPUTED_VALUE"""),"Packaging")</f>
        <v>Packaging</v>
      </c>
      <c r="R230" s="49" t="str">
        <f>IFERROR(__xludf.DUMMYFUNCTION("""COMPUTED_VALUE"""),"Bakery")</f>
        <v>Bakery</v>
      </c>
    </row>
    <row r="231">
      <c r="A231" s="156" t="str">
        <f>IFERROR(__xludf.DUMMYFUNCTION("""COMPUTED_VALUE"""),"https://drive.google.com/open?id=1Fu9dFIxoiVysLL_I0_W1IPtXyAGvljDk&amp;authuser=jay.agg%40gmail.com&amp;usp=drive_fs")</f>
        <v>https://drive.google.com/open?id=1Fu9dFIxoiVysLL_I0_W1IPtXyAGvljDk&amp;authuser=jay.agg%40gmail.com&amp;usp=drive_fs</v>
      </c>
      <c r="B231" s="73" t="str">
        <f>IFERROR(__xludf.DUMMYFUNCTION("""COMPUTED_VALUE"""),"Bakery")</f>
        <v>Bakery</v>
      </c>
      <c r="C231" s="73" t="str">
        <f>IFERROR(__xludf.DUMMYFUNCTION("""COMPUTED_VALUE"""),"Cookies")</f>
        <v>Cookies</v>
      </c>
      <c r="D231" s="73" t="str">
        <f>IFERROR(__xludf.DUMMYFUNCTION("""COMPUTED_VALUE"""),"1kg 178*165*64 mm | 7*6.5*2.5 inch")</f>
        <v>1kg 178*165*64 mm | 7*6.5*2.5 inch</v>
      </c>
      <c r="E231" s="77">
        <f>IFERROR(__xludf.DUMMYFUNCTION("""COMPUTED_VALUE"""),2.0)</f>
        <v>2</v>
      </c>
      <c r="F231" s="77">
        <f>IFERROR(__xludf.DUMMYFUNCTION("""COMPUTED_VALUE"""),1926.0)</f>
        <v>1926</v>
      </c>
      <c r="G231" s="77">
        <f>IFERROR(__xludf.DUMMYFUNCTION("""COMPUTED_VALUE"""),19.0)</f>
        <v>19</v>
      </c>
      <c r="H231" s="77">
        <f>IFERROR(__xludf.DUMMYFUNCTION("""COMPUTED_VALUE"""),26.0)</f>
        <v>26</v>
      </c>
      <c r="I231" s="77">
        <f>IFERROR(__xludf.DUMMYFUNCTION("""COMPUTED_VALUE"""),100.0)</f>
        <v>100</v>
      </c>
      <c r="J231" s="73"/>
      <c r="K231" s="73"/>
      <c r="L231" s="73"/>
      <c r="M231" s="77"/>
      <c r="N231" s="77">
        <f>IFERROR(__xludf.DUMMYFUNCTION("""COMPUTED_VALUE"""),1.0)</f>
        <v>1</v>
      </c>
      <c r="O231" s="49"/>
      <c r="P231" s="49" t="str">
        <f>IFERROR(__xludf.DUMMYFUNCTION("""COMPUTED_VALUE"""),"Offset")</f>
        <v>Offset</v>
      </c>
      <c r="Q231" s="49" t="str">
        <f>IFERROR(__xludf.DUMMYFUNCTION("""COMPUTED_VALUE"""),"Packaging")</f>
        <v>Packaging</v>
      </c>
      <c r="R231" s="49" t="str">
        <f>IFERROR(__xludf.DUMMYFUNCTION("""COMPUTED_VALUE"""),"Bakery")</f>
        <v>Bakery</v>
      </c>
    </row>
    <row r="232">
      <c r="A232" s="156" t="str">
        <f>IFERROR(__xludf.DUMMYFUNCTION("""COMPUTED_VALUE"""),"https://drive.google.com/open?id=1FweUEAlBdSogFaLu9ry2rPwkaiA6Ui7v&amp;authuser=jay.agg%40gmail.com&amp;usp=drive_fs")</f>
        <v>https://drive.google.com/open?id=1FweUEAlBdSogFaLu9ry2rPwkaiA6Ui7v&amp;authuser=jay.agg%40gmail.com&amp;usp=drive_fs</v>
      </c>
      <c r="B232" s="73" t="str">
        <f>IFERROR(__xludf.DUMMYFUNCTION("""COMPUTED_VALUE"""),"Bakery")</f>
        <v>Bakery</v>
      </c>
      <c r="C232" s="73" t="str">
        <f>IFERROR(__xludf.DUMMYFUNCTION("""COMPUTED_VALUE"""),"Cookies")</f>
        <v>Cookies</v>
      </c>
      <c r="D232" s="73" t="str">
        <f>IFERROR(__xludf.DUMMYFUNCTION("""COMPUTED_VALUE"""),"500g 165*127*51 mm | 6.5*5*2 inch")</f>
        <v>500g 165*127*51 mm | 6.5*5*2 inch</v>
      </c>
      <c r="E232" s="77">
        <f>IFERROR(__xludf.DUMMYFUNCTION("""COMPUTED_VALUE"""),2.0)</f>
        <v>2</v>
      </c>
      <c r="F232" s="77">
        <f>IFERROR(__xludf.DUMMYFUNCTION("""COMPUTED_VALUE"""),1926.0)</f>
        <v>1926</v>
      </c>
      <c r="G232" s="77">
        <f>IFERROR(__xludf.DUMMYFUNCTION("""COMPUTED_VALUE"""),18.0)</f>
        <v>18</v>
      </c>
      <c r="H232" s="77">
        <f>IFERROR(__xludf.DUMMYFUNCTION("""COMPUTED_VALUE"""),23.0)</f>
        <v>23</v>
      </c>
      <c r="I232" s="77">
        <f>IFERROR(__xludf.DUMMYFUNCTION("""COMPUTED_VALUE"""),100.0)</f>
        <v>100</v>
      </c>
      <c r="J232" s="73"/>
      <c r="K232" s="73"/>
      <c r="L232" s="73"/>
      <c r="M232" s="77"/>
      <c r="N232" s="77">
        <f>IFERROR(__xludf.DUMMYFUNCTION("""COMPUTED_VALUE"""),1.0)</f>
        <v>1</v>
      </c>
      <c r="O232" s="49"/>
      <c r="P232" s="49"/>
      <c r="Q232" s="49"/>
      <c r="R232" s="49" t="str">
        <f>IFERROR(__xludf.DUMMYFUNCTION("""COMPUTED_VALUE"""),"Bakery")</f>
        <v>Bakery</v>
      </c>
    </row>
    <row r="233">
      <c r="A233" s="156" t="str">
        <f>IFERROR(__xludf.DUMMYFUNCTION("""COMPUTED_VALUE"""),"https://drive.google.com/open?id=1G6ze5Nviswjd8iKMydwQUA-7KdEa1O1q&amp;authuser=jay.agg%40gmail.com&amp;usp=drive_fs")</f>
        <v>https://drive.google.com/open?id=1G6ze5Nviswjd8iKMydwQUA-7KdEa1O1q&amp;authuser=jay.agg%40gmail.com&amp;usp=drive_fs</v>
      </c>
      <c r="B233" s="73" t="str">
        <f>IFERROR(__xludf.DUMMYFUNCTION("""COMPUTED_VALUE"""),"Bakery")</f>
        <v>Bakery</v>
      </c>
      <c r="C233" s="73" t="str">
        <f>IFERROR(__xludf.DUMMYFUNCTION("""COMPUTED_VALUE"""),"Cookies")</f>
        <v>Cookies</v>
      </c>
      <c r="D233" s="73" t="str">
        <f>IFERROR(__xludf.DUMMYFUNCTION("""COMPUTED_VALUE"""),"250g 102*102*45 mm | 4*4*1.75 inch")</f>
        <v>250g 102*102*45 mm | 4*4*1.75 inch</v>
      </c>
      <c r="E233" s="77">
        <f>IFERROR(__xludf.DUMMYFUNCTION("""COMPUTED_VALUE"""),4.0)</f>
        <v>4</v>
      </c>
      <c r="F233" s="77">
        <f>IFERROR(__xludf.DUMMYFUNCTION("""COMPUTED_VALUE"""),1926.0)</f>
        <v>1926</v>
      </c>
      <c r="G233" s="77">
        <f>IFERROR(__xludf.DUMMYFUNCTION("""COMPUTED_VALUE"""),18.0)</f>
        <v>18</v>
      </c>
      <c r="H233" s="77">
        <f>IFERROR(__xludf.DUMMYFUNCTION("""COMPUTED_VALUE"""),25.0)</f>
        <v>25</v>
      </c>
      <c r="I233" s="77">
        <f>IFERROR(__xludf.DUMMYFUNCTION("""COMPUTED_VALUE"""),100.0)</f>
        <v>100</v>
      </c>
      <c r="J233" s="73"/>
      <c r="K233" s="73"/>
      <c r="L233" s="73"/>
      <c r="M233" s="77"/>
      <c r="N233" s="77">
        <f>IFERROR(__xludf.DUMMYFUNCTION("""COMPUTED_VALUE"""),1.0)</f>
        <v>1</v>
      </c>
      <c r="O233" s="49"/>
      <c r="P233" s="49" t="str">
        <f>IFERROR(__xludf.DUMMYFUNCTION("""COMPUTED_VALUE"""),"Offset")</f>
        <v>Offset</v>
      </c>
      <c r="Q233" s="49" t="str">
        <f>IFERROR(__xludf.DUMMYFUNCTION("""COMPUTED_VALUE"""),"Packaging")</f>
        <v>Packaging</v>
      </c>
      <c r="R233" s="49" t="str">
        <f>IFERROR(__xludf.DUMMYFUNCTION("""COMPUTED_VALUE"""),"Bakery")</f>
        <v>Bakery</v>
      </c>
    </row>
    <row r="234">
      <c r="A234" s="156" t="str">
        <f>IFERROR(__xludf.DUMMYFUNCTION("""COMPUTED_VALUE"""),"https://drive.google.com/open?id=1_6gY_p2Ngkrp4dRREvOvsBmhqSfT6K6A&amp;authuser=jay.agg%40gmail.com&amp;usp=drive_fs")</f>
        <v>https://drive.google.com/open?id=1_6gY_p2Ngkrp4dRREvOvsBmhqSfT6K6A&amp;authuser=jay.agg%40gmail.com&amp;usp=drive_fs</v>
      </c>
      <c r="B234" s="73" t="str">
        <f>IFERROR(__xludf.DUMMYFUNCTION("""COMPUTED_VALUE"""),"Bakery")</f>
        <v>Bakery</v>
      </c>
      <c r="C234" s="73" t="str">
        <f>IFERROR(__xludf.DUMMYFUNCTION("""COMPUTED_VALUE"""),"Cookies")</f>
        <v>Cookies</v>
      </c>
      <c r="D234" s="73" t="str">
        <f>IFERROR(__xludf.DUMMYFUNCTION("""COMPUTED_VALUE"""),"76*76*102 mm | 3*3*4 inch")</f>
        <v>76*76*102 mm | 3*3*4 inch</v>
      </c>
      <c r="E234" s="77">
        <f>IFERROR(__xludf.DUMMYFUNCTION("""COMPUTED_VALUE"""),4.0)</f>
        <v>4</v>
      </c>
      <c r="F234" s="77">
        <f>IFERROR(__xludf.DUMMYFUNCTION("""COMPUTED_VALUE"""),1926.0)</f>
        <v>1926</v>
      </c>
      <c r="G234" s="77">
        <f>IFERROR(__xludf.DUMMYFUNCTION("""COMPUTED_VALUE"""),19.5)</f>
        <v>19.5</v>
      </c>
      <c r="H234" s="77">
        <f>IFERROR(__xludf.DUMMYFUNCTION("""COMPUTED_VALUE"""),23.0)</f>
        <v>23</v>
      </c>
      <c r="I234" s="77">
        <f>IFERROR(__xludf.DUMMYFUNCTION("""COMPUTED_VALUE"""),100.0)</f>
        <v>100</v>
      </c>
      <c r="J234" s="73"/>
      <c r="K234" s="73"/>
      <c r="L234" s="73"/>
      <c r="M234" s="77">
        <f>IFERROR(__xludf.DUMMYFUNCTION("""COMPUTED_VALUE"""),0.1)</f>
        <v>0.1</v>
      </c>
      <c r="N234" s="77">
        <f>IFERROR(__xludf.DUMMYFUNCTION("""COMPUTED_VALUE"""),1.0)</f>
        <v>1</v>
      </c>
      <c r="O234" s="49"/>
      <c r="P234" s="49" t="str">
        <f>IFERROR(__xludf.DUMMYFUNCTION("""COMPUTED_VALUE"""),"Offset")</f>
        <v>Offset</v>
      </c>
      <c r="Q234" s="49" t="str">
        <f>IFERROR(__xludf.DUMMYFUNCTION("""COMPUTED_VALUE"""),"Packaging")</f>
        <v>Packaging</v>
      </c>
      <c r="R234" s="49" t="str">
        <f>IFERROR(__xludf.DUMMYFUNCTION("""COMPUTED_VALUE"""),"Bakery")</f>
        <v>Bakery</v>
      </c>
    </row>
    <row r="235">
      <c r="A235" s="156" t="str">
        <f>IFERROR(__xludf.DUMMYFUNCTION("""COMPUTED_VALUE"""),"https://drive.google.com/open?id=1_6tHtVuDDp5jsI7rI8lA2Q9tuEKd25fK&amp;authuser=jay.agg%40gmail.com&amp;usp=drive_fs")</f>
        <v>https://drive.google.com/open?id=1_6tHtVuDDp5jsI7rI8lA2Q9tuEKd25fK&amp;authuser=jay.agg%40gmail.com&amp;usp=drive_fs</v>
      </c>
      <c r="B235" s="73" t="str">
        <f>IFERROR(__xludf.DUMMYFUNCTION("""COMPUTED_VALUE"""),"Bakery")</f>
        <v>Bakery</v>
      </c>
      <c r="C235" s="73" t="str">
        <f>IFERROR(__xludf.DUMMYFUNCTION("""COMPUTED_VALUE"""),"Cookies")</f>
        <v>Cookies</v>
      </c>
      <c r="D235" s="73" t="str">
        <f>IFERROR(__xludf.DUMMYFUNCTION("""COMPUTED_VALUE"""),"76*76*152 mm | 3*3*6 inch")</f>
        <v>76*76*152 mm | 3*3*6 inch</v>
      </c>
      <c r="E235" s="77">
        <f>IFERROR(__xludf.DUMMYFUNCTION("""COMPUTED_VALUE"""),2.0)</f>
        <v>2</v>
      </c>
      <c r="F235" s="77">
        <f>IFERROR(__xludf.DUMMYFUNCTION("""COMPUTED_VALUE"""),1926.0)</f>
        <v>1926</v>
      </c>
      <c r="G235" s="77">
        <f>IFERROR(__xludf.DUMMYFUNCTION("""COMPUTED_VALUE"""),14.0)</f>
        <v>14</v>
      </c>
      <c r="H235" s="77">
        <f>IFERROR(__xludf.DUMMYFUNCTION("""COMPUTED_VALUE"""),22.0)</f>
        <v>22</v>
      </c>
      <c r="I235" s="77">
        <f>IFERROR(__xludf.DUMMYFUNCTION("""COMPUTED_VALUE"""),100.0)</f>
        <v>100</v>
      </c>
      <c r="J235" s="73"/>
      <c r="K235" s="73"/>
      <c r="L235" s="73"/>
      <c r="M235" s="77">
        <f>IFERROR(__xludf.DUMMYFUNCTION("""COMPUTED_VALUE"""),0.1)</f>
        <v>0.1</v>
      </c>
      <c r="N235" s="77">
        <f>IFERROR(__xludf.DUMMYFUNCTION("""COMPUTED_VALUE"""),1.0)</f>
        <v>1</v>
      </c>
      <c r="O235" s="49"/>
      <c r="P235" s="49" t="str">
        <f>IFERROR(__xludf.DUMMYFUNCTION("""COMPUTED_VALUE"""),"Offset")</f>
        <v>Offset</v>
      </c>
      <c r="Q235" s="49" t="str">
        <f>IFERROR(__xludf.DUMMYFUNCTION("""COMPUTED_VALUE"""),"Packaging")</f>
        <v>Packaging</v>
      </c>
      <c r="R235" s="49" t="str">
        <f>IFERROR(__xludf.DUMMYFUNCTION("""COMPUTED_VALUE"""),"Bakery")</f>
        <v>Bakery</v>
      </c>
    </row>
    <row r="236">
      <c r="A236" s="156" t="str">
        <f>IFERROR(__xludf.DUMMYFUNCTION("""COMPUTED_VALUE"""),"https://drive.google.com/open?id=1XU8XcHb7x8nJMGoIr_mmxGyw9lJpOa9k&amp;authuser=jay.agg%40gmail.com&amp;usp=drive_fs")</f>
        <v>https://drive.google.com/open?id=1XU8XcHb7x8nJMGoIr_mmxGyw9lJpOa9k&amp;authuser=jay.agg%40gmail.com&amp;usp=drive_fs</v>
      </c>
      <c r="B236" s="73" t="str">
        <f>IFERROR(__xludf.DUMMYFUNCTION("""COMPUTED_VALUE"""),"Bakery")</f>
        <v>Bakery</v>
      </c>
      <c r="C236" s="73" t="str">
        <f>IFERROR(__xludf.DUMMYFUNCTION("""COMPUTED_VALUE"""),"Cupcake 1")</f>
        <v>Cupcake 1</v>
      </c>
      <c r="D236" s="73" t="str">
        <f>IFERROR(__xludf.DUMMYFUNCTION("""COMPUTED_VALUE"""),"90*90*90 mm | 3.5*3.5*3.5 inch")</f>
        <v>90*90*90 mm | 3.5*3.5*3.5 inch</v>
      </c>
      <c r="E236" s="77">
        <f>IFERROR(__xludf.DUMMYFUNCTION("""COMPUTED_VALUE"""),2.0)</f>
        <v>2</v>
      </c>
      <c r="F236" s="77">
        <f>IFERROR(__xludf.DUMMYFUNCTION("""COMPUTED_VALUE"""),1926.0)</f>
        <v>1926</v>
      </c>
      <c r="G236" s="77">
        <f>IFERROR(__xludf.DUMMYFUNCTION("""COMPUTED_VALUE"""),15.75)</f>
        <v>15.75</v>
      </c>
      <c r="H236" s="77">
        <f>IFERROR(__xludf.DUMMYFUNCTION("""COMPUTED_VALUE"""),20.75)</f>
        <v>20.75</v>
      </c>
      <c r="I236" s="77">
        <f>IFERROR(__xludf.DUMMYFUNCTION("""COMPUTED_VALUE"""),100.0)</f>
        <v>100</v>
      </c>
      <c r="J236" s="73"/>
      <c r="K236" s="73"/>
      <c r="L236" s="73"/>
      <c r="M236" s="77">
        <f>IFERROR(__xludf.DUMMYFUNCTION("""COMPUTED_VALUE"""),0.1)</f>
        <v>0.1</v>
      </c>
      <c r="N236" s="77">
        <f>IFERROR(__xludf.DUMMYFUNCTION("""COMPUTED_VALUE"""),1.0)</f>
        <v>1</v>
      </c>
      <c r="O236" s="49"/>
      <c r="P236" s="49" t="str">
        <f>IFERROR(__xludf.DUMMYFUNCTION("""COMPUTED_VALUE"""),"Offset")</f>
        <v>Offset</v>
      </c>
      <c r="Q236" s="49" t="str">
        <f>IFERROR(__xludf.DUMMYFUNCTION("""COMPUTED_VALUE"""),"Packaging")</f>
        <v>Packaging</v>
      </c>
      <c r="R236" s="49" t="str">
        <f>IFERROR(__xludf.DUMMYFUNCTION("""COMPUTED_VALUE"""),"Bakery")</f>
        <v>Bakery</v>
      </c>
    </row>
    <row r="237">
      <c r="A237" s="156" t="str">
        <f>IFERROR(__xludf.DUMMYFUNCTION("""COMPUTED_VALUE"""),"https://drive.google.com/open?id=1XU8XcHb7x8nJMGoIr_mmxGyw9lJpOa9k&amp;authuser=jay.agg%40gmail.com&amp;usp=drive_fs")</f>
        <v>https://drive.google.com/open?id=1XU8XcHb7x8nJMGoIr_mmxGyw9lJpOa9k&amp;authuser=jay.agg%40gmail.com&amp;usp=drive_fs</v>
      </c>
      <c r="B237" s="73" t="str">
        <f>IFERROR(__xludf.DUMMYFUNCTION("""COMPUTED_VALUE"""),"Bakery")</f>
        <v>Bakery</v>
      </c>
      <c r="C237" s="73" t="str">
        <f>IFERROR(__xludf.DUMMYFUNCTION("""COMPUTED_VALUE"""),"Cupcake 1")</f>
        <v>Cupcake 1</v>
      </c>
      <c r="D237" s="73" t="str">
        <f>IFERROR(__xludf.DUMMYFUNCTION("""COMPUTED_VALUE"""),"Holder 90*90*90 mm | 3.5*3.5*3.5 inch")</f>
        <v>Holder 90*90*90 mm | 3.5*3.5*3.5 inch</v>
      </c>
      <c r="E237" s="77">
        <f>IFERROR(__xludf.DUMMYFUNCTION("""COMPUTED_VALUE"""),12.0)</f>
        <v>12</v>
      </c>
      <c r="F237" s="77">
        <f>IFERROR(__xludf.DUMMYFUNCTION("""COMPUTED_VALUE"""),1926.0)</f>
        <v>1926</v>
      </c>
      <c r="G237" s="77">
        <f>IFERROR(__xludf.DUMMYFUNCTION("""COMPUTED_VALUE"""),15.75)</f>
        <v>15.75</v>
      </c>
      <c r="H237" s="77">
        <f>IFERROR(__xludf.DUMMYFUNCTION("""COMPUTED_VALUE"""),20.75)</f>
        <v>20.75</v>
      </c>
      <c r="I237" s="77">
        <f>IFERROR(__xludf.DUMMYFUNCTION("""COMPUTED_VALUE"""),100.0)</f>
        <v>100</v>
      </c>
      <c r="J237" s="73"/>
      <c r="K237" s="73"/>
      <c r="L237" s="73"/>
      <c r="M237" s="77"/>
      <c r="N237" s="77">
        <f>IFERROR(__xludf.DUMMYFUNCTION("""COMPUTED_VALUE"""),1.0)</f>
        <v>1</v>
      </c>
      <c r="O237" s="49"/>
      <c r="P237" s="49" t="str">
        <f>IFERROR(__xludf.DUMMYFUNCTION("""COMPUTED_VALUE"""),"Offset")</f>
        <v>Offset</v>
      </c>
      <c r="Q237" s="49" t="str">
        <f>IFERROR(__xludf.DUMMYFUNCTION("""COMPUTED_VALUE"""),"Packaging")</f>
        <v>Packaging</v>
      </c>
      <c r="R237" s="49" t="str">
        <f>IFERROR(__xludf.DUMMYFUNCTION("""COMPUTED_VALUE"""),"Bakery")</f>
        <v>Bakery</v>
      </c>
    </row>
    <row r="238">
      <c r="A238" s="156" t="str">
        <f>IFERROR(__xludf.DUMMYFUNCTION("""COMPUTED_VALUE"""),"https://drive.google.com/open?id=1Q3X4ohT7uRUA39Iu-Mcr4W8QiAw86PoH&amp;authuser=jay.agg%40gmail.com&amp;usp=drive_fs")</f>
        <v>https://drive.google.com/open?id=1Q3X4ohT7uRUA39Iu-Mcr4W8QiAw86PoH&amp;authuser=jay.agg%40gmail.com&amp;usp=drive_fs</v>
      </c>
      <c r="B238" s="73" t="str">
        <f>IFERROR(__xludf.DUMMYFUNCTION("""COMPUTED_VALUE"""),"Bakery")</f>
        <v>Bakery</v>
      </c>
      <c r="C238" s="73" t="str">
        <f>IFERROR(__xludf.DUMMYFUNCTION("""COMPUTED_VALUE"""),"Cupcake 12")</f>
        <v>Cupcake 12</v>
      </c>
      <c r="D238" s="73" t="str">
        <f>IFERROR(__xludf.DUMMYFUNCTION("""COMPUTED_VALUE"""),"320*235*75 mm | 12.5*9*3 inch ")</f>
        <v>320*235*75 mm | 12.5*9*3 inch </v>
      </c>
      <c r="E238" s="77">
        <f>IFERROR(__xludf.DUMMYFUNCTION("""COMPUTED_VALUE"""),1.0)</f>
        <v>1</v>
      </c>
      <c r="F238" s="77">
        <f>IFERROR(__xludf.DUMMYFUNCTION("""COMPUTED_VALUE"""),2840.0)</f>
        <v>2840</v>
      </c>
      <c r="G238" s="77">
        <f>IFERROR(__xludf.DUMMYFUNCTION("""COMPUTED_VALUE"""),23.0)</f>
        <v>23</v>
      </c>
      <c r="H238" s="77">
        <f>IFERROR(__xludf.DUMMYFUNCTION("""COMPUTED_VALUE"""),36.0)</f>
        <v>36</v>
      </c>
      <c r="I238" s="77">
        <f>IFERROR(__xludf.DUMMYFUNCTION("""COMPUTED_VALUE"""),100.0)</f>
        <v>100</v>
      </c>
      <c r="J238" s="73"/>
      <c r="K238" s="73"/>
      <c r="L238" s="73">
        <f>IFERROR(__xludf.DUMMYFUNCTION("""COMPUTED_VALUE"""),1.5)</f>
        <v>1.5</v>
      </c>
      <c r="M238" s="77"/>
      <c r="N238" s="77">
        <f>IFERROR(__xludf.DUMMYFUNCTION("""COMPUTED_VALUE"""),1.0)</f>
        <v>1</v>
      </c>
      <c r="O238" s="49"/>
      <c r="P238" s="49" t="str">
        <f>IFERROR(__xludf.DUMMYFUNCTION("""COMPUTED_VALUE"""),"Offset")</f>
        <v>Offset</v>
      </c>
      <c r="Q238" s="49" t="str">
        <f>IFERROR(__xludf.DUMMYFUNCTION("""COMPUTED_VALUE"""),"Packaging")</f>
        <v>Packaging</v>
      </c>
      <c r="R238" s="49" t="str">
        <f>IFERROR(__xludf.DUMMYFUNCTION("""COMPUTED_VALUE"""),"Bakery")</f>
        <v>Bakery</v>
      </c>
    </row>
    <row r="239">
      <c r="A239" s="156" t="str">
        <f>IFERROR(__xludf.DUMMYFUNCTION("""COMPUTED_VALUE"""),"https://drive.google.com/open?id=1Q3X4ohT7uRUA39Iu-Mcr4W8QiAw86PoH&amp;authuser=jay.agg%40gmail.com&amp;usp=drive_fs")</f>
        <v>https://drive.google.com/open?id=1Q3X4ohT7uRUA39Iu-Mcr4W8QiAw86PoH&amp;authuser=jay.agg%40gmail.com&amp;usp=drive_fs</v>
      </c>
      <c r="B239" s="73" t="str">
        <f>IFERROR(__xludf.DUMMYFUNCTION("""COMPUTED_VALUE"""),"Bakery")</f>
        <v>Bakery</v>
      </c>
      <c r="C239" s="73" t="str">
        <f>IFERROR(__xludf.DUMMYFUNCTION("""COMPUTED_VALUE"""),"Cupcake 12")</f>
        <v>Cupcake 12</v>
      </c>
      <c r="D239" s="73" t="str">
        <f>IFERROR(__xludf.DUMMYFUNCTION("""COMPUTED_VALUE"""),"Tray 320*235*75 mm | 12.5*9*3 inch")</f>
        <v>Tray 320*235*75 mm | 12.5*9*3 inch</v>
      </c>
      <c r="E239" s="77">
        <f>IFERROR(__xludf.DUMMYFUNCTION("""COMPUTED_VALUE"""),2.0)</f>
        <v>2</v>
      </c>
      <c r="F239" s="77">
        <f>IFERROR(__xludf.DUMMYFUNCTION("""COMPUTED_VALUE"""),1926.0)</f>
        <v>1926</v>
      </c>
      <c r="G239" s="77">
        <f>IFERROR(__xludf.DUMMYFUNCTION("""COMPUTED_VALUE"""),18.0)</f>
        <v>18</v>
      </c>
      <c r="H239" s="77">
        <f>IFERROR(__xludf.DUMMYFUNCTION("""COMPUTED_VALUE"""),23.0)</f>
        <v>23</v>
      </c>
      <c r="I239" s="77">
        <f>IFERROR(__xludf.DUMMYFUNCTION("""COMPUTED_VALUE"""),100.0)</f>
        <v>100</v>
      </c>
      <c r="J239" s="73"/>
      <c r="K239" s="73"/>
      <c r="L239" s="73"/>
      <c r="M239" s="77"/>
      <c r="N239" s="77">
        <f>IFERROR(__xludf.DUMMYFUNCTION("""COMPUTED_VALUE"""),1.0)</f>
        <v>1</v>
      </c>
      <c r="O239" s="49"/>
      <c r="P239" s="49" t="str">
        <f>IFERROR(__xludf.DUMMYFUNCTION("""COMPUTED_VALUE"""),"Offset")</f>
        <v>Offset</v>
      </c>
      <c r="Q239" s="49" t="str">
        <f>IFERROR(__xludf.DUMMYFUNCTION("""COMPUTED_VALUE"""),"Packaging")</f>
        <v>Packaging</v>
      </c>
      <c r="R239" s="49" t="str">
        <f>IFERROR(__xludf.DUMMYFUNCTION("""COMPUTED_VALUE"""),"Bakery")</f>
        <v>Bakery</v>
      </c>
    </row>
    <row r="240">
      <c r="A240" s="156" t="str">
        <f>IFERROR(__xludf.DUMMYFUNCTION("""COMPUTED_VALUE"""),"https://drive.google.com/open?id=1QKwy1Eq8szzn7NRzbprwaUTyA-pN07bb&amp;authuser=jay.agg%40gmail.com&amp;usp=drive_fs")</f>
        <v>https://drive.google.com/open?id=1QKwy1Eq8szzn7NRzbprwaUTyA-pN07bb&amp;authuser=jay.agg%40gmail.com&amp;usp=drive_fs</v>
      </c>
      <c r="B240" s="73" t="str">
        <f>IFERROR(__xludf.DUMMYFUNCTION("""COMPUTED_VALUE"""),"Bakery")</f>
        <v>Bakery</v>
      </c>
      <c r="C240" s="73" t="str">
        <f>IFERROR(__xludf.DUMMYFUNCTION("""COMPUTED_VALUE"""),"Cupcake 2")</f>
        <v>Cupcake 2</v>
      </c>
      <c r="D240" s="73" t="str">
        <f>IFERROR(__xludf.DUMMYFUNCTION("""COMPUTED_VALUE"""),"185*115*75 mm | 4.5*7.3*2.9 inch")</f>
        <v>185*115*75 mm | 4.5*7.3*2.9 inch</v>
      </c>
      <c r="E240" s="77">
        <f>IFERROR(__xludf.DUMMYFUNCTION("""COMPUTED_VALUE"""),2.0)</f>
        <v>2</v>
      </c>
      <c r="F240" s="77">
        <f>IFERROR(__xludf.DUMMYFUNCTION("""COMPUTED_VALUE"""),1926.0)</f>
        <v>1926</v>
      </c>
      <c r="G240" s="77">
        <f>IFERROR(__xludf.DUMMYFUNCTION("""COMPUTED_VALUE"""),18.0)</f>
        <v>18</v>
      </c>
      <c r="H240" s="77">
        <f>IFERROR(__xludf.DUMMYFUNCTION("""COMPUTED_VALUE"""),23.0)</f>
        <v>23</v>
      </c>
      <c r="I240" s="77">
        <f>IFERROR(__xludf.DUMMYFUNCTION("""COMPUTED_VALUE"""),100.0)</f>
        <v>100</v>
      </c>
      <c r="J240" s="73"/>
      <c r="K240" s="73"/>
      <c r="L240" s="73"/>
      <c r="M240" s="77"/>
      <c r="N240" s="77">
        <f>IFERROR(__xludf.DUMMYFUNCTION("""COMPUTED_VALUE"""),1.0)</f>
        <v>1</v>
      </c>
      <c r="O240" s="49"/>
      <c r="P240" s="49" t="str">
        <f>IFERROR(__xludf.DUMMYFUNCTION("""COMPUTED_VALUE"""),"Offset")</f>
        <v>Offset</v>
      </c>
      <c r="Q240" s="49" t="str">
        <f>IFERROR(__xludf.DUMMYFUNCTION("""COMPUTED_VALUE"""),"Packaging")</f>
        <v>Packaging</v>
      </c>
      <c r="R240" s="49" t="str">
        <f>IFERROR(__xludf.DUMMYFUNCTION("""COMPUTED_VALUE"""),"Bakery")</f>
        <v>Bakery</v>
      </c>
    </row>
    <row r="241">
      <c r="A241" s="156" t="str">
        <f>IFERROR(__xludf.DUMMYFUNCTION("""COMPUTED_VALUE"""),"https://drive.google.com/open?id=1QKwy1Eq8szzn7NRzbprwaUTyA-pN07bb&amp;authuser=jay.agg%40gmail.com&amp;usp=drive_fs")</f>
        <v>https://drive.google.com/open?id=1QKwy1Eq8szzn7NRzbprwaUTyA-pN07bb&amp;authuser=jay.agg%40gmail.com&amp;usp=drive_fs</v>
      </c>
      <c r="B241" s="73" t="str">
        <f>IFERROR(__xludf.DUMMYFUNCTION("""COMPUTED_VALUE"""),"Bakery")</f>
        <v>Bakery</v>
      </c>
      <c r="C241" s="73" t="str">
        <f>IFERROR(__xludf.DUMMYFUNCTION("""COMPUTED_VALUE"""),"Cupcake 2")</f>
        <v>Cupcake 2</v>
      </c>
      <c r="D241" s="73" t="str">
        <f>IFERROR(__xludf.DUMMYFUNCTION("""COMPUTED_VALUE"""),"Holder 185*115*75 mm | 4.5*7.3*2.9 inch")</f>
        <v>Holder 185*115*75 mm | 4.5*7.3*2.9 inch</v>
      </c>
      <c r="E241" s="77">
        <f>IFERROR(__xludf.DUMMYFUNCTION("""COMPUTED_VALUE"""),4.0)</f>
        <v>4</v>
      </c>
      <c r="F241" s="77">
        <f>IFERROR(__xludf.DUMMYFUNCTION("""COMPUTED_VALUE"""),1926.0)</f>
        <v>1926</v>
      </c>
      <c r="G241" s="77">
        <f>IFERROR(__xludf.DUMMYFUNCTION("""COMPUTED_VALUE"""),15.75)</f>
        <v>15.75</v>
      </c>
      <c r="H241" s="77">
        <f>IFERROR(__xludf.DUMMYFUNCTION("""COMPUTED_VALUE"""),20.75)</f>
        <v>20.75</v>
      </c>
      <c r="I241" s="77">
        <f>IFERROR(__xludf.DUMMYFUNCTION("""COMPUTED_VALUE"""),100.0)</f>
        <v>100</v>
      </c>
      <c r="J241" s="73"/>
      <c r="K241" s="73"/>
      <c r="L241" s="73"/>
      <c r="M241" s="77"/>
      <c r="N241" s="77">
        <f>IFERROR(__xludf.DUMMYFUNCTION("""COMPUTED_VALUE"""),1.0)</f>
        <v>1</v>
      </c>
      <c r="O241" s="49"/>
      <c r="P241" s="49" t="str">
        <f>IFERROR(__xludf.DUMMYFUNCTION("""COMPUTED_VALUE"""),"Offset")</f>
        <v>Offset</v>
      </c>
      <c r="Q241" s="49" t="str">
        <f>IFERROR(__xludf.DUMMYFUNCTION("""COMPUTED_VALUE"""),"Packaging")</f>
        <v>Packaging</v>
      </c>
      <c r="R241" s="49" t="str">
        <f>IFERROR(__xludf.DUMMYFUNCTION("""COMPUTED_VALUE"""),"Bakery")</f>
        <v>Bakery</v>
      </c>
    </row>
    <row r="242">
      <c r="A242" s="156" t="str">
        <f>IFERROR(__xludf.DUMMYFUNCTION("""COMPUTED_VALUE"""),"https://drive.google.com/open?id=1QKXJeqf1R_wijJQzM__ywSlBkAg_OqSi&amp;authuser=jay.agg%40gmail.com&amp;usp=drive_fs")</f>
        <v>https://drive.google.com/open?id=1QKXJeqf1R_wijJQzM__ywSlBkAg_OqSi&amp;authuser=jay.agg%40gmail.com&amp;usp=drive_fs</v>
      </c>
      <c r="B242" s="73" t="str">
        <f>IFERROR(__xludf.DUMMYFUNCTION("""COMPUTED_VALUE"""),"Bakery")</f>
        <v>Bakery</v>
      </c>
      <c r="C242" s="73" t="str">
        <f>IFERROR(__xludf.DUMMYFUNCTION("""COMPUTED_VALUE"""),"Cupcake 4")</f>
        <v>Cupcake 4</v>
      </c>
      <c r="D242" s="73" t="str">
        <f>IFERROR(__xludf.DUMMYFUNCTION("""COMPUTED_VALUE"""),"160*160*75 mm | 6.3*6.3*2.9 inch")</f>
        <v>160*160*75 mm | 6.3*6.3*2.9 inch</v>
      </c>
      <c r="E242" s="77">
        <f>IFERROR(__xludf.DUMMYFUNCTION("""COMPUTED_VALUE"""),2.0)</f>
        <v>2</v>
      </c>
      <c r="F242" s="77">
        <f>IFERROR(__xludf.DUMMYFUNCTION("""COMPUTED_VALUE"""),1926.0)</f>
        <v>1926</v>
      </c>
      <c r="G242" s="77">
        <f>IFERROR(__xludf.DUMMYFUNCTION("""COMPUTED_VALUE"""),20.0)</f>
        <v>20</v>
      </c>
      <c r="H242" s="77">
        <f>IFERROR(__xludf.DUMMYFUNCTION("""COMPUTED_VALUE"""),25.0)</f>
        <v>25</v>
      </c>
      <c r="I242" s="77">
        <f>IFERROR(__xludf.DUMMYFUNCTION("""COMPUTED_VALUE"""),100.0)</f>
        <v>100</v>
      </c>
      <c r="J242" s="73"/>
      <c r="K242" s="73"/>
      <c r="L242" s="73"/>
      <c r="M242" s="77"/>
      <c r="N242" s="77">
        <f>IFERROR(__xludf.DUMMYFUNCTION("""COMPUTED_VALUE"""),1.0)</f>
        <v>1</v>
      </c>
      <c r="O242" s="49"/>
      <c r="P242" s="49" t="str">
        <f>IFERROR(__xludf.DUMMYFUNCTION("""COMPUTED_VALUE"""),"Offset")</f>
        <v>Offset</v>
      </c>
      <c r="Q242" s="49" t="str">
        <f>IFERROR(__xludf.DUMMYFUNCTION("""COMPUTED_VALUE"""),"Packaging")</f>
        <v>Packaging</v>
      </c>
      <c r="R242" s="49" t="str">
        <f>IFERROR(__xludf.DUMMYFUNCTION("""COMPUTED_VALUE"""),"Bakery")</f>
        <v>Bakery</v>
      </c>
    </row>
    <row r="243">
      <c r="A243" s="156" t="str">
        <f>IFERROR(__xludf.DUMMYFUNCTION("""COMPUTED_VALUE"""),"https://drive.google.com/open?id=1QKXJeqf1R_wijJQzM__ywSlBkAg_OqSi&amp;authuser=jay.agg%40gmail.com&amp;usp=drive_fs")</f>
        <v>https://drive.google.com/open?id=1QKXJeqf1R_wijJQzM__ywSlBkAg_OqSi&amp;authuser=jay.agg%40gmail.com&amp;usp=drive_fs</v>
      </c>
      <c r="B243" s="73" t="str">
        <f>IFERROR(__xludf.DUMMYFUNCTION("""COMPUTED_VALUE"""),"Bakery")</f>
        <v>Bakery</v>
      </c>
      <c r="C243" s="73" t="str">
        <f>IFERROR(__xludf.DUMMYFUNCTION("""COMPUTED_VALUE"""),"Cupcake 4")</f>
        <v>Cupcake 4</v>
      </c>
      <c r="D243" s="73" t="str">
        <f>IFERROR(__xludf.DUMMYFUNCTION("""COMPUTED_VALUE"""),"Holder 160*160*75 mm | 6.3*6.3*2.9 inch")</f>
        <v>Holder 160*160*75 mm | 6.3*6.3*2.9 inch</v>
      </c>
      <c r="E243" s="77">
        <f>IFERROR(__xludf.DUMMYFUNCTION("""COMPUTED_VALUE"""),6.0)</f>
        <v>6</v>
      </c>
      <c r="F243" s="77">
        <f>IFERROR(__xludf.DUMMYFUNCTION("""COMPUTED_VALUE"""),2029.0)</f>
        <v>2029</v>
      </c>
      <c r="G243" s="77">
        <f>IFERROR(__xludf.DUMMYFUNCTION("""COMPUTED_VALUE"""),19.0)</f>
        <v>19</v>
      </c>
      <c r="H243" s="77">
        <f>IFERROR(__xludf.DUMMYFUNCTION("""COMPUTED_VALUE"""),26.0)</f>
        <v>26</v>
      </c>
      <c r="I243" s="77">
        <f>IFERROR(__xludf.DUMMYFUNCTION("""COMPUTED_VALUE"""),100.0)</f>
        <v>100</v>
      </c>
      <c r="J243" s="73"/>
      <c r="K243" s="73"/>
      <c r="L243" s="73"/>
      <c r="M243" s="77"/>
      <c r="N243" s="77">
        <f>IFERROR(__xludf.DUMMYFUNCTION("""COMPUTED_VALUE"""),1.0)</f>
        <v>1</v>
      </c>
      <c r="O243" s="49"/>
      <c r="P243" s="49" t="str">
        <f>IFERROR(__xludf.DUMMYFUNCTION("""COMPUTED_VALUE"""),"Offset")</f>
        <v>Offset</v>
      </c>
      <c r="Q243" s="49" t="str">
        <f>IFERROR(__xludf.DUMMYFUNCTION("""COMPUTED_VALUE"""),"Packaging")</f>
        <v>Packaging</v>
      </c>
      <c r="R243" s="49" t="str">
        <f>IFERROR(__xludf.DUMMYFUNCTION("""COMPUTED_VALUE"""),"Bakery")</f>
        <v>Bakery</v>
      </c>
    </row>
    <row r="244">
      <c r="A244" s="156" t="str">
        <f>IFERROR(__xludf.DUMMYFUNCTION("""COMPUTED_VALUE"""),"https://drive.google.com/open?id=1QBv4xRVMKAnQ8ZyPenbNmKkxplHtu39X&amp;authuser=jay.agg%40gmail.com&amp;usp=drive_fs")</f>
        <v>https://drive.google.com/open?id=1QBv4xRVMKAnQ8ZyPenbNmKkxplHtu39X&amp;authuser=jay.agg%40gmail.com&amp;usp=drive_fs</v>
      </c>
      <c r="B244" s="73" t="str">
        <f>IFERROR(__xludf.DUMMYFUNCTION("""COMPUTED_VALUE"""),"Bakery")</f>
        <v>Bakery</v>
      </c>
      <c r="C244" s="73" t="str">
        <f>IFERROR(__xludf.DUMMYFUNCTION("""COMPUTED_VALUE"""),"Cupcake 6")</f>
        <v>Cupcake 6</v>
      </c>
      <c r="D244" s="73" t="str">
        <f>IFERROR(__xludf.DUMMYFUNCTION("""COMPUTED_VALUE"""),"235*160*75 mm | 9.2*6.3*2.9 inch")</f>
        <v>235*160*75 mm | 9.2*6.3*2.9 inch</v>
      </c>
      <c r="E244" s="77">
        <f>IFERROR(__xludf.DUMMYFUNCTION("""COMPUTED_VALUE"""),1.0)</f>
        <v>1</v>
      </c>
      <c r="F244" s="77">
        <f>IFERROR(__xludf.DUMMYFUNCTION("""COMPUTED_VALUE"""),1926.0)</f>
        <v>1926</v>
      </c>
      <c r="G244" s="77">
        <f>IFERROR(__xludf.DUMMYFUNCTION("""COMPUTED_VALUE"""),15.75)</f>
        <v>15.75</v>
      </c>
      <c r="H244" s="77">
        <f>IFERROR(__xludf.DUMMYFUNCTION("""COMPUTED_VALUE"""),20.75)</f>
        <v>20.75</v>
      </c>
      <c r="I244" s="77">
        <f>IFERROR(__xludf.DUMMYFUNCTION("""COMPUTED_VALUE"""),100.0)</f>
        <v>100</v>
      </c>
      <c r="J244" s="73"/>
      <c r="K244" s="73"/>
      <c r="L244" s="73"/>
      <c r="M244" s="77"/>
      <c r="N244" s="77">
        <f>IFERROR(__xludf.DUMMYFUNCTION("""COMPUTED_VALUE"""),1.0)</f>
        <v>1</v>
      </c>
      <c r="O244" s="49"/>
      <c r="P244" s="49" t="str">
        <f>IFERROR(__xludf.DUMMYFUNCTION("""COMPUTED_VALUE"""),"Offset")</f>
        <v>Offset</v>
      </c>
      <c r="Q244" s="49" t="str">
        <f>IFERROR(__xludf.DUMMYFUNCTION("""COMPUTED_VALUE"""),"Packaging")</f>
        <v>Packaging</v>
      </c>
      <c r="R244" s="49" t="str">
        <f>IFERROR(__xludf.DUMMYFUNCTION("""COMPUTED_VALUE"""),"Bakery")</f>
        <v>Bakery</v>
      </c>
    </row>
    <row r="245">
      <c r="A245" s="156" t="str">
        <f>IFERROR(__xludf.DUMMYFUNCTION("""COMPUTED_VALUE"""),"https://drive.google.com/open?id=1QBv4xRVMKAnQ8ZyPenbNmKkxplHtu39X&amp;authuser=jay.agg%40gmail.com&amp;usp=drive_fs")</f>
        <v>https://drive.google.com/open?id=1QBv4xRVMKAnQ8ZyPenbNmKkxplHtu39X&amp;authuser=jay.agg%40gmail.com&amp;usp=drive_fs</v>
      </c>
      <c r="B245" s="73" t="str">
        <f>IFERROR(__xludf.DUMMYFUNCTION("""COMPUTED_VALUE"""),"Bakery")</f>
        <v>Bakery</v>
      </c>
      <c r="C245" s="73" t="str">
        <f>IFERROR(__xludf.DUMMYFUNCTION("""COMPUTED_VALUE"""),"Cupcake 6")</f>
        <v>Cupcake 6</v>
      </c>
      <c r="D245" s="73" t="str">
        <f>IFERROR(__xludf.DUMMYFUNCTION("""COMPUTED_VALUE"""),"Holder 235*160*75 mm | 9.2*6.3*2.9 inch")</f>
        <v>Holder 235*160*75 mm | 9.2*6.3*2.9 inch</v>
      </c>
      <c r="E245" s="77">
        <f>IFERROR(__xludf.DUMMYFUNCTION("""COMPUTED_VALUE"""),4.0)</f>
        <v>4</v>
      </c>
      <c r="F245" s="77">
        <f>IFERROR(__xludf.DUMMYFUNCTION("""COMPUTED_VALUE"""),1926.0)</f>
        <v>1926</v>
      </c>
      <c r="G245" s="77">
        <f>IFERROR(__xludf.DUMMYFUNCTION("""COMPUTED_VALUE"""),18.0)</f>
        <v>18</v>
      </c>
      <c r="H245" s="77">
        <f>IFERROR(__xludf.DUMMYFUNCTION("""COMPUTED_VALUE"""),23.0)</f>
        <v>23</v>
      </c>
      <c r="I245" s="77">
        <f>IFERROR(__xludf.DUMMYFUNCTION("""COMPUTED_VALUE"""),100.0)</f>
        <v>100</v>
      </c>
      <c r="J245" s="73"/>
      <c r="K245" s="73"/>
      <c r="L245" s="73"/>
      <c r="M245" s="77"/>
      <c r="N245" s="77">
        <f>IFERROR(__xludf.DUMMYFUNCTION("""COMPUTED_VALUE"""),1.0)</f>
        <v>1</v>
      </c>
      <c r="O245" s="49"/>
      <c r="P245" s="49" t="str">
        <f>IFERROR(__xludf.DUMMYFUNCTION("""COMPUTED_VALUE"""),"Offset")</f>
        <v>Offset</v>
      </c>
      <c r="Q245" s="49" t="str">
        <f>IFERROR(__xludf.DUMMYFUNCTION("""COMPUTED_VALUE"""),"Packaging")</f>
        <v>Packaging</v>
      </c>
      <c r="R245" s="49" t="str">
        <f>IFERROR(__xludf.DUMMYFUNCTION("""COMPUTED_VALUE"""),"Bakery")</f>
        <v>Bakery</v>
      </c>
    </row>
    <row r="246">
      <c r="A246" s="156" t="str">
        <f>IFERROR(__xludf.DUMMYFUNCTION("""COMPUTED_VALUE"""),"https://drive.google.com/open?id=1_Jx7Fn-zfETE12M0GM3xN4hhMBE6ZIuZ&amp;authuser=jay.agg%40gmail.com&amp;usp=drive_fs")</f>
        <v>https://drive.google.com/open?id=1_Jx7Fn-zfETE12M0GM3xN4hhMBE6ZIuZ&amp;authuser=jay.agg%40gmail.com&amp;usp=drive_fs</v>
      </c>
      <c r="B246" s="73" t="str">
        <f>IFERROR(__xludf.DUMMYFUNCTION("""COMPUTED_VALUE"""),"Bakery")</f>
        <v>Bakery</v>
      </c>
      <c r="C246" s="73" t="str">
        <f>IFERROR(__xludf.DUMMYFUNCTION("""COMPUTED_VALUE"""),"Food Box")</f>
        <v>Food Box</v>
      </c>
      <c r="D246" s="73" t="str">
        <f>IFERROR(__xludf.DUMMYFUNCTION("""COMPUTED_VALUE"""),"150*116*50 mm | 5.9*4.5*2 inch")</f>
        <v>150*116*50 mm | 5.9*4.5*2 inch</v>
      </c>
      <c r="E246" s="77">
        <f>IFERROR(__xludf.DUMMYFUNCTION("""COMPUTED_VALUE"""),2.0)</f>
        <v>2</v>
      </c>
      <c r="F246" s="77">
        <f>IFERROR(__xludf.DUMMYFUNCTION("""COMPUTED_VALUE"""),1926.0)</f>
        <v>1926</v>
      </c>
      <c r="G246" s="77">
        <f>IFERROR(__xludf.DUMMYFUNCTION("""COMPUTED_VALUE"""),18.0)</f>
        <v>18</v>
      </c>
      <c r="H246" s="77">
        <f>IFERROR(__xludf.DUMMYFUNCTION("""COMPUTED_VALUE"""),23.0)</f>
        <v>23</v>
      </c>
      <c r="I246" s="77">
        <f>IFERROR(__xludf.DUMMYFUNCTION("""COMPUTED_VALUE"""),100.0)</f>
        <v>100</v>
      </c>
      <c r="J246" s="73"/>
      <c r="K246" s="73"/>
      <c r="L246" s="73"/>
      <c r="M246" s="77">
        <f>IFERROR(__xludf.DUMMYFUNCTION("""COMPUTED_VALUE"""),0.12)</f>
        <v>0.12</v>
      </c>
      <c r="N246" s="77">
        <f>IFERROR(__xludf.DUMMYFUNCTION("""COMPUTED_VALUE"""),1.0)</f>
        <v>1</v>
      </c>
      <c r="O246" s="49"/>
      <c r="P246" s="49" t="str">
        <f>IFERROR(__xludf.DUMMYFUNCTION("""COMPUTED_VALUE"""),"Offset")</f>
        <v>Offset</v>
      </c>
      <c r="Q246" s="49" t="str">
        <f>IFERROR(__xludf.DUMMYFUNCTION("""COMPUTED_VALUE"""),"Packaging")</f>
        <v>Packaging</v>
      </c>
      <c r="R246" s="49" t="str">
        <f>IFERROR(__xludf.DUMMYFUNCTION("""COMPUTED_VALUE"""),"Bakery")</f>
        <v>Bakery</v>
      </c>
    </row>
    <row r="247">
      <c r="A247" s="156" t="str">
        <f>IFERROR(__xludf.DUMMYFUNCTION("""COMPUTED_VALUE"""),"https://drive.google.com/open?id=1_IojcNaVo_YCq9bPYDD_m8dGQAOP-fy_&amp;authuser=jay.agg%40gmail.com&amp;usp=drive_fs")</f>
        <v>https://drive.google.com/open?id=1_IojcNaVo_YCq9bPYDD_m8dGQAOP-fy_&amp;authuser=jay.agg%40gmail.com&amp;usp=drive_fs</v>
      </c>
      <c r="B247" s="73" t="str">
        <f>IFERROR(__xludf.DUMMYFUNCTION("""COMPUTED_VALUE"""),"Bakery")</f>
        <v>Bakery</v>
      </c>
      <c r="C247" s="73" t="str">
        <f>IFERROR(__xludf.DUMMYFUNCTION("""COMPUTED_VALUE"""),"Fries")</f>
        <v>Fries</v>
      </c>
      <c r="D247" s="73" t="str">
        <f>IFERROR(__xludf.DUMMYFUNCTION("""COMPUTED_VALUE"""),"89*102 mm | 3.5*4 inch")</f>
        <v>89*102 mm | 3.5*4 inch</v>
      </c>
      <c r="E247" s="77">
        <f>IFERROR(__xludf.DUMMYFUNCTION("""COMPUTED_VALUE"""),4.0)</f>
        <v>4</v>
      </c>
      <c r="F247" s="77">
        <f>IFERROR(__xludf.DUMMYFUNCTION("""COMPUTED_VALUE"""),1926.0)</f>
        <v>1926</v>
      </c>
      <c r="G247" s="77">
        <f>IFERROR(__xludf.DUMMYFUNCTION("""COMPUTED_VALUE"""),15.75)</f>
        <v>15.75</v>
      </c>
      <c r="H247" s="77">
        <f>IFERROR(__xludf.DUMMYFUNCTION("""COMPUTED_VALUE"""),20.75)</f>
        <v>20.75</v>
      </c>
      <c r="I247" s="77">
        <f>IFERROR(__xludf.DUMMYFUNCTION("""COMPUTED_VALUE"""),100.0)</f>
        <v>100</v>
      </c>
      <c r="J247" s="73"/>
      <c r="K247" s="73"/>
      <c r="L247" s="73"/>
      <c r="M247" s="77">
        <f>IFERROR(__xludf.DUMMYFUNCTION("""COMPUTED_VALUE"""),0.1)</f>
        <v>0.1</v>
      </c>
      <c r="N247" s="77">
        <f>IFERROR(__xludf.DUMMYFUNCTION("""COMPUTED_VALUE"""),1.0)</f>
        <v>1</v>
      </c>
      <c r="O247" s="49"/>
      <c r="P247" s="49" t="str">
        <f>IFERROR(__xludf.DUMMYFUNCTION("""COMPUTED_VALUE"""),"Offset")</f>
        <v>Offset</v>
      </c>
      <c r="Q247" s="49" t="str">
        <f>IFERROR(__xludf.DUMMYFUNCTION("""COMPUTED_VALUE"""),"Packaging")</f>
        <v>Packaging</v>
      </c>
      <c r="R247" s="49" t="str">
        <f>IFERROR(__xludf.DUMMYFUNCTION("""COMPUTED_VALUE"""),"Bakery")</f>
        <v>Bakery</v>
      </c>
    </row>
    <row r="248">
      <c r="A248" s="156" t="str">
        <f>IFERROR(__xludf.DUMMYFUNCTION("""COMPUTED_VALUE"""),"https://drive.google.com/open?id=1_IYAtpQ7QHBnyWnkn1bC12fS5uaC2iM5&amp;authuser=jay.agg%40gmail.com&amp;usp=drive_fs")</f>
        <v>https://drive.google.com/open?id=1_IYAtpQ7QHBnyWnkn1bC12fS5uaC2iM5&amp;authuser=jay.agg%40gmail.com&amp;usp=drive_fs</v>
      </c>
      <c r="B248" s="73" t="str">
        <f>IFERROR(__xludf.DUMMYFUNCTION("""COMPUTED_VALUE"""),"Bakery")</f>
        <v>Bakery</v>
      </c>
      <c r="C248" s="73" t="str">
        <f>IFERROR(__xludf.DUMMYFUNCTION("""COMPUTED_VALUE"""),"Fries")</f>
        <v>Fries</v>
      </c>
      <c r="D248" s="73" t="str">
        <f>IFERROR(__xludf.DUMMYFUNCTION("""COMPUTED_VALUE"""),"89*187 mm | 3.5*5 inch")</f>
        <v>89*187 mm | 3.5*5 inch</v>
      </c>
      <c r="E248" s="77">
        <f>IFERROR(__xludf.DUMMYFUNCTION("""COMPUTED_VALUE"""),4.0)</f>
        <v>4</v>
      </c>
      <c r="F248" s="77">
        <f>IFERROR(__xludf.DUMMYFUNCTION("""COMPUTED_VALUE"""),1926.0)</f>
        <v>1926</v>
      </c>
      <c r="G248" s="77">
        <f>IFERROR(__xludf.DUMMYFUNCTION("""COMPUTED_VALUE"""),18.0)</f>
        <v>18</v>
      </c>
      <c r="H248" s="77">
        <f>IFERROR(__xludf.DUMMYFUNCTION("""COMPUTED_VALUE"""),23.0)</f>
        <v>23</v>
      </c>
      <c r="I248" s="77">
        <f>IFERROR(__xludf.DUMMYFUNCTION("""COMPUTED_VALUE"""),100.0)</f>
        <v>100</v>
      </c>
      <c r="J248" s="73"/>
      <c r="K248" s="73"/>
      <c r="L248" s="73"/>
      <c r="M248" s="77">
        <f>IFERROR(__xludf.DUMMYFUNCTION("""COMPUTED_VALUE"""),0.1)</f>
        <v>0.1</v>
      </c>
      <c r="N248" s="77">
        <f>IFERROR(__xludf.DUMMYFUNCTION("""COMPUTED_VALUE"""),1.0)</f>
        <v>1</v>
      </c>
      <c r="O248" s="49"/>
      <c r="P248" s="49" t="str">
        <f>IFERROR(__xludf.DUMMYFUNCTION("""COMPUTED_VALUE"""),"Offset")</f>
        <v>Offset</v>
      </c>
      <c r="Q248" s="49" t="str">
        <f>IFERROR(__xludf.DUMMYFUNCTION("""COMPUTED_VALUE"""),"Packaging")</f>
        <v>Packaging</v>
      </c>
      <c r="R248" s="49" t="str">
        <f>IFERROR(__xludf.DUMMYFUNCTION("""COMPUTED_VALUE"""),"Bakery")</f>
        <v>Bakery</v>
      </c>
    </row>
    <row r="249">
      <c r="A249" s="156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249" s="73" t="str">
        <f>IFERROR(__xludf.DUMMYFUNCTION("""COMPUTED_VALUE"""),"Bakery")</f>
        <v>Bakery</v>
      </c>
      <c r="C249" s="73" t="str">
        <f>IFERROR(__xludf.DUMMYFUNCTION("""COMPUTED_VALUE"""),"Macaron 10")</f>
        <v>Macaron 10</v>
      </c>
      <c r="D249" s="73" t="str">
        <f>IFERROR(__xludf.DUMMYFUNCTION("""COMPUTED_VALUE"""),"185*115*50 mm | 4.6*2*7.3 inch")</f>
        <v>185*115*50 mm | 4.6*2*7.3 inch</v>
      </c>
      <c r="E249" s="77">
        <f>IFERROR(__xludf.DUMMYFUNCTION("""COMPUTED_VALUE"""),1.0)</f>
        <v>1</v>
      </c>
      <c r="F249" s="77">
        <f>IFERROR(__xludf.DUMMYFUNCTION("""COMPUTED_VALUE"""),2029.0)</f>
        <v>2029</v>
      </c>
      <c r="G249" s="77">
        <f>IFERROR(__xludf.DUMMYFUNCTION("""COMPUTED_VALUE"""),18.0)</f>
        <v>18</v>
      </c>
      <c r="H249" s="77">
        <f>IFERROR(__xludf.DUMMYFUNCTION("""COMPUTED_VALUE"""),28.0)</f>
        <v>28</v>
      </c>
      <c r="I249" s="77">
        <f>IFERROR(__xludf.DUMMYFUNCTION("""COMPUTED_VALUE"""),100.0)</f>
        <v>100</v>
      </c>
      <c r="J249" s="73"/>
      <c r="K249" s="73"/>
      <c r="L249" s="73"/>
      <c r="M249" s="77">
        <f>IFERROR(__xludf.DUMMYFUNCTION("""COMPUTED_VALUE"""),0.1)</f>
        <v>0.1</v>
      </c>
      <c r="N249" s="77">
        <f>IFERROR(__xludf.DUMMYFUNCTION("""COMPUTED_VALUE"""),1.0)</f>
        <v>1</v>
      </c>
      <c r="O249" s="49"/>
      <c r="P249" s="49" t="str">
        <f>IFERROR(__xludf.DUMMYFUNCTION("""COMPUTED_VALUE"""),"Offset")</f>
        <v>Offset</v>
      </c>
      <c r="Q249" s="49" t="str">
        <f>IFERROR(__xludf.DUMMYFUNCTION("""COMPUTED_VALUE"""),"Packaging")</f>
        <v>Packaging</v>
      </c>
      <c r="R249" s="49" t="str">
        <f>IFERROR(__xludf.DUMMYFUNCTION("""COMPUTED_VALUE"""),"Bakery")</f>
        <v>Bakery</v>
      </c>
    </row>
    <row r="250">
      <c r="A250" s="156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250" s="73" t="str">
        <f>IFERROR(__xludf.DUMMYFUNCTION("""COMPUTED_VALUE"""),"Bakery")</f>
        <v>Bakery</v>
      </c>
      <c r="C250" s="73" t="str">
        <f>IFERROR(__xludf.DUMMYFUNCTION("""COMPUTED_VALUE"""),"Macaron 10")</f>
        <v>Macaron 10</v>
      </c>
      <c r="D250" s="73" t="str">
        <f>IFERROR(__xludf.DUMMYFUNCTION("""COMPUTED_VALUE"""),"Inner 185*115*50 mm | 4.6*2*7.3 inch")</f>
        <v>Inner 185*115*50 mm | 4.6*2*7.3 inch</v>
      </c>
      <c r="E250" s="77">
        <f>IFERROR(__xludf.DUMMYFUNCTION("""COMPUTED_VALUE"""),2.0)</f>
        <v>2</v>
      </c>
      <c r="F250" s="77">
        <f>IFERROR(__xludf.DUMMYFUNCTION("""COMPUTED_VALUE"""),2029.0)</f>
        <v>2029</v>
      </c>
      <c r="G250" s="77">
        <f>IFERROR(__xludf.DUMMYFUNCTION("""COMPUTED_VALUE"""),20.0)</f>
        <v>20</v>
      </c>
      <c r="H250" s="77">
        <f>IFERROR(__xludf.DUMMYFUNCTION("""COMPUTED_VALUE"""),28.0)</f>
        <v>28</v>
      </c>
      <c r="I250" s="77">
        <f>IFERROR(__xludf.DUMMYFUNCTION("""COMPUTED_VALUE"""),100.0)</f>
        <v>100</v>
      </c>
      <c r="J250" s="73"/>
      <c r="K250" s="73"/>
      <c r="L250" s="73"/>
      <c r="M250" s="77"/>
      <c r="N250" s="77">
        <f>IFERROR(__xludf.DUMMYFUNCTION("""COMPUTED_VALUE"""),1.0)</f>
        <v>1</v>
      </c>
      <c r="O250" s="49"/>
      <c r="P250" s="49" t="str">
        <f>IFERROR(__xludf.DUMMYFUNCTION("""COMPUTED_VALUE"""),"Offset")</f>
        <v>Offset</v>
      </c>
      <c r="Q250" s="49" t="str">
        <f>IFERROR(__xludf.DUMMYFUNCTION("""COMPUTED_VALUE"""),"Packaging")</f>
        <v>Packaging</v>
      </c>
      <c r="R250" s="49" t="str">
        <f>IFERROR(__xludf.DUMMYFUNCTION("""COMPUTED_VALUE"""),"Bakery")</f>
        <v>Bakery</v>
      </c>
    </row>
    <row r="251">
      <c r="A251" s="156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251" s="73" t="str">
        <f>IFERROR(__xludf.DUMMYFUNCTION("""COMPUTED_VALUE"""),"Bakery")</f>
        <v>Bakery</v>
      </c>
      <c r="C251" s="73" t="str">
        <f>IFERROR(__xludf.DUMMYFUNCTION("""COMPUTED_VALUE"""),"Macaron 10")</f>
        <v>Macaron 10</v>
      </c>
      <c r="D251" s="73" t="str">
        <f>IFERROR(__xludf.DUMMYFUNCTION("""COMPUTED_VALUE"""),"Partition 185*115*50 mm | 4.6*2*7.3 inch")</f>
        <v>Partition 185*115*50 mm | 4.6*2*7.3 inch</v>
      </c>
      <c r="E251" s="77">
        <f>IFERROR(__xludf.DUMMYFUNCTION("""COMPUTED_VALUE"""),6.0)</f>
        <v>6</v>
      </c>
      <c r="F251" s="77">
        <f>IFERROR(__xludf.DUMMYFUNCTION("""COMPUTED_VALUE"""),1926.0)</f>
        <v>1926</v>
      </c>
      <c r="G251" s="77">
        <f>IFERROR(__xludf.DUMMYFUNCTION("""COMPUTED_VALUE"""),18.0)</f>
        <v>18</v>
      </c>
      <c r="H251" s="77">
        <f>IFERROR(__xludf.DUMMYFUNCTION("""COMPUTED_VALUE"""),23.0)</f>
        <v>23</v>
      </c>
      <c r="I251" s="77">
        <f>IFERROR(__xludf.DUMMYFUNCTION("""COMPUTED_VALUE"""),100.0)</f>
        <v>100</v>
      </c>
      <c r="J251" s="73"/>
      <c r="K251" s="73"/>
      <c r="L251" s="73"/>
      <c r="M251" s="77"/>
      <c r="N251" s="77">
        <f>IFERROR(__xludf.DUMMYFUNCTION("""COMPUTED_VALUE"""),1.0)</f>
        <v>1</v>
      </c>
      <c r="O251" s="49"/>
      <c r="P251" s="49" t="str">
        <f>IFERROR(__xludf.DUMMYFUNCTION("""COMPUTED_VALUE"""),"Offset")</f>
        <v>Offset</v>
      </c>
      <c r="Q251" s="49" t="str">
        <f>IFERROR(__xludf.DUMMYFUNCTION("""COMPUTED_VALUE"""),"Packaging")</f>
        <v>Packaging</v>
      </c>
      <c r="R251" s="49" t="str">
        <f>IFERROR(__xludf.DUMMYFUNCTION("""COMPUTED_VALUE"""),"Bakery")</f>
        <v>Bakery</v>
      </c>
    </row>
    <row r="252">
      <c r="A252" s="156" t="str">
        <f>IFERROR(__xludf.DUMMYFUNCTION("""COMPUTED_VALUE"""),"https://drive.google.com/open?id=1PYai3boge0F3B6OWTx4KX20HJUME5zZZ&amp;authuser=jay.agg%40gmail.com&amp;usp=drive_fs")</f>
        <v>https://drive.google.com/open?id=1PYai3boge0F3B6OWTx4KX20HJUME5zZZ&amp;authuser=jay.agg%40gmail.com&amp;usp=drive_fs</v>
      </c>
      <c r="B252" s="73" t="str">
        <f>IFERROR(__xludf.DUMMYFUNCTION("""COMPUTED_VALUE"""),"Bakery")</f>
        <v>Bakery</v>
      </c>
      <c r="C252" s="73" t="str">
        <f>IFERROR(__xludf.DUMMYFUNCTION("""COMPUTED_VALUE"""),"Macaron 5")</f>
        <v>Macaron 5</v>
      </c>
      <c r="D252" s="73" t="str">
        <f>IFERROR(__xludf.DUMMYFUNCTION("""COMPUTED_VALUE"""),"Sleeve 185*55*50 mm | 7.2*2.2*2 inch")</f>
        <v>Sleeve 185*55*50 mm | 7.2*2.2*2 inch</v>
      </c>
      <c r="E252" s="77">
        <f>IFERROR(__xludf.DUMMYFUNCTION("""COMPUTED_VALUE"""),4.0)</f>
        <v>4</v>
      </c>
      <c r="F252" s="77">
        <f>IFERROR(__xludf.DUMMYFUNCTION("""COMPUTED_VALUE"""),1926.0)</f>
        <v>1926</v>
      </c>
      <c r="G252" s="77">
        <f>IFERROR(__xludf.DUMMYFUNCTION("""COMPUTED_VALUE"""),15.75)</f>
        <v>15.75</v>
      </c>
      <c r="H252" s="77">
        <f>IFERROR(__xludf.DUMMYFUNCTION("""COMPUTED_VALUE"""),20.75)</f>
        <v>20.75</v>
      </c>
      <c r="I252" s="77">
        <f>IFERROR(__xludf.DUMMYFUNCTION("""COMPUTED_VALUE"""),100.0)</f>
        <v>100</v>
      </c>
      <c r="J252" s="73"/>
      <c r="K252" s="73"/>
      <c r="L252" s="73"/>
      <c r="M252" s="77">
        <f>IFERROR(__xludf.DUMMYFUNCTION("""COMPUTED_VALUE"""),0.1)</f>
        <v>0.1</v>
      </c>
      <c r="N252" s="77">
        <f>IFERROR(__xludf.DUMMYFUNCTION("""COMPUTED_VALUE"""),1.0)</f>
        <v>1</v>
      </c>
      <c r="O252" s="49"/>
      <c r="P252" s="49"/>
      <c r="Q252" s="49"/>
      <c r="R252" s="49" t="str">
        <f>IFERROR(__xludf.DUMMYFUNCTION("""COMPUTED_VALUE"""),"Bakery")</f>
        <v>Bakery</v>
      </c>
    </row>
    <row r="253">
      <c r="A253" s="156" t="str">
        <f>IFERROR(__xludf.DUMMYFUNCTION("""COMPUTED_VALUE"""),"https://drive.google.com/open?id=1PYai3boge0F3B6OWTx4KX20HJUME5zZZ&amp;authuser=jay.agg%40gmail.com&amp;usp=drive_fs")</f>
        <v>https://drive.google.com/open?id=1PYai3boge0F3B6OWTx4KX20HJUME5zZZ&amp;authuser=jay.agg%40gmail.com&amp;usp=drive_fs</v>
      </c>
      <c r="B253" s="73" t="str">
        <f>IFERROR(__xludf.DUMMYFUNCTION("""COMPUTED_VALUE"""),"Bakery")</f>
        <v>Bakery</v>
      </c>
      <c r="C253" s="73" t="str">
        <f>IFERROR(__xludf.DUMMYFUNCTION("""COMPUTED_VALUE"""),"Macaron 5")</f>
        <v>Macaron 5</v>
      </c>
      <c r="D253" s="73" t="str">
        <f>IFERROR(__xludf.DUMMYFUNCTION("""COMPUTED_VALUE"""),"Inner 185*55*50 mm | 7.2*2.2*2 inch")</f>
        <v>Inner 185*55*50 mm | 7.2*2.2*2 inch</v>
      </c>
      <c r="E253" s="77">
        <f>IFERROR(__xludf.DUMMYFUNCTION("""COMPUTED_VALUE"""),2.0)</f>
        <v>2</v>
      </c>
      <c r="F253" s="77">
        <f>IFERROR(__xludf.DUMMYFUNCTION("""COMPUTED_VALUE"""),1926.0)</f>
        <v>1926</v>
      </c>
      <c r="G253" s="77">
        <f>IFERROR(__xludf.DUMMYFUNCTION("""COMPUTED_VALUE"""),18.0)</f>
        <v>18</v>
      </c>
      <c r="H253" s="77">
        <f>IFERROR(__xludf.DUMMYFUNCTION("""COMPUTED_VALUE"""),23.0)</f>
        <v>23</v>
      </c>
      <c r="I253" s="77">
        <f>IFERROR(__xludf.DUMMYFUNCTION("""COMPUTED_VALUE"""),100.0)</f>
        <v>100</v>
      </c>
      <c r="J253" s="73"/>
      <c r="K253" s="73"/>
      <c r="L253" s="73"/>
      <c r="M253" s="77">
        <f>IFERROR(__xludf.DUMMYFUNCTION("""COMPUTED_VALUE"""),0.1)</f>
        <v>0.1</v>
      </c>
      <c r="N253" s="77">
        <f>IFERROR(__xludf.DUMMYFUNCTION("""COMPUTED_VALUE"""),1.0)</f>
        <v>1</v>
      </c>
      <c r="O253" s="49"/>
      <c r="P253" s="49"/>
      <c r="Q253" s="49"/>
      <c r="R253" s="49" t="str">
        <f>IFERROR(__xludf.DUMMYFUNCTION("""COMPUTED_VALUE"""),"Bakery")</f>
        <v>Bakery</v>
      </c>
    </row>
    <row r="254">
      <c r="A254" s="156" t="str">
        <f>IFERROR(__xludf.DUMMYFUNCTION("""COMPUTED_VALUE"""),"https://drive.google.com/open?id=1_G7b1mPmZjiwLTeBiXS7eTE-FTiZXWfc&amp;authuser=jay.agg%40gmail.com&amp;usp=drive_fs")</f>
        <v>https://drive.google.com/open?id=1_G7b1mPmZjiwLTeBiXS7eTE-FTiZXWfc&amp;authuser=jay.agg%40gmail.com&amp;usp=drive_fs</v>
      </c>
      <c r="B254" s="73" t="str">
        <f>IFERROR(__xludf.DUMMYFUNCTION("""COMPUTED_VALUE"""),"Bakery")</f>
        <v>Bakery</v>
      </c>
      <c r="C254" s="73" t="str">
        <f>IFERROR(__xludf.DUMMYFUNCTION("""COMPUTED_VALUE"""),"Misc")</f>
        <v>Misc</v>
      </c>
      <c r="D254" s="73" t="str">
        <f>IFERROR(__xludf.DUMMYFUNCTION("""COMPUTED_VALUE"""),"83*69*102 mm | 3.25*2.7*4 inch IL")</f>
        <v>83*69*102 mm | 3.25*2.7*4 inch IL</v>
      </c>
      <c r="E254" s="77">
        <f>IFERROR(__xludf.DUMMYFUNCTION("""COMPUTED_VALUE"""),3.0)</f>
        <v>3</v>
      </c>
      <c r="F254" s="77">
        <f>IFERROR(__xludf.DUMMYFUNCTION("""COMPUTED_VALUE"""),1926.0)</f>
        <v>1926</v>
      </c>
      <c r="G254" s="77">
        <f>IFERROR(__xludf.DUMMYFUNCTION("""COMPUTED_VALUE"""),13.0)</f>
        <v>13</v>
      </c>
      <c r="H254" s="77">
        <f>IFERROR(__xludf.DUMMYFUNCTION("""COMPUTED_VALUE"""),25.0)</f>
        <v>25</v>
      </c>
      <c r="I254" s="77">
        <f>IFERROR(__xludf.DUMMYFUNCTION("""COMPUTED_VALUE"""),100.0)</f>
        <v>100</v>
      </c>
      <c r="J254" s="73"/>
      <c r="K254" s="73"/>
      <c r="L254" s="73"/>
      <c r="M254" s="77">
        <f>IFERROR(__xludf.DUMMYFUNCTION("""COMPUTED_VALUE"""),0.2)</f>
        <v>0.2</v>
      </c>
      <c r="N254" s="77">
        <f>IFERROR(__xludf.DUMMYFUNCTION("""COMPUTED_VALUE"""),1.0)</f>
        <v>1</v>
      </c>
      <c r="O254" s="49"/>
      <c r="P254" s="49" t="str">
        <f>IFERROR(__xludf.DUMMYFUNCTION("""COMPUTED_VALUE"""),"Offset")</f>
        <v>Offset</v>
      </c>
      <c r="Q254" s="49" t="str">
        <f>IFERROR(__xludf.DUMMYFUNCTION("""COMPUTED_VALUE"""),"Packaging")</f>
        <v>Packaging</v>
      </c>
      <c r="R254" s="49" t="str">
        <f>IFERROR(__xludf.DUMMYFUNCTION("""COMPUTED_VALUE"""),"Bakery")</f>
        <v>Bakery</v>
      </c>
    </row>
    <row r="255">
      <c r="A255" s="156" t="str">
        <f>IFERROR(__xludf.DUMMYFUNCTION("""COMPUTED_VALUE"""),"https://drive.google.com/open?id=1NKo9EGEy_OTROxqHiyGwdFTKamnXBFl-&amp;authuser=jay.agg%40gmail.com&amp;usp=drive_fs")</f>
        <v>https://drive.google.com/open?id=1NKo9EGEy_OTROxqHiyGwdFTKamnXBFl-&amp;authuser=jay.agg%40gmail.com&amp;usp=drive_fs</v>
      </c>
      <c r="B255" s="73" t="str">
        <f>IFERROR(__xludf.DUMMYFUNCTION("""COMPUTED_VALUE"""),"Bakery")</f>
        <v>Bakery</v>
      </c>
      <c r="C255" s="73" t="str">
        <f>IFERROR(__xludf.DUMMYFUNCTION("""COMPUTED_VALUE"""),"Mithai Box")</f>
        <v>Mithai Box</v>
      </c>
      <c r="D255" s="73" t="str">
        <f>IFERROR(__xludf.DUMMYFUNCTION("""COMPUTED_VALUE"""),"500gm 200*200*50 mm | 7.8*7.8*2 inch TB")</f>
        <v>500gm 200*200*50 mm | 7.8*7.8*2 inch TB</v>
      </c>
      <c r="E255" s="77">
        <f>IFERROR(__xludf.DUMMYFUNCTION("""COMPUTED_VALUE"""),1.0)</f>
        <v>1</v>
      </c>
      <c r="F255" s="77">
        <f>IFERROR(__xludf.DUMMYFUNCTION("""COMPUTED_VALUE"""),2029.0)</f>
        <v>2029</v>
      </c>
      <c r="G255" s="77">
        <f>IFERROR(__xludf.DUMMYFUNCTION("""COMPUTED_VALUE"""),21.0)</f>
        <v>21</v>
      </c>
      <c r="H255" s="77">
        <f>IFERROR(__xludf.DUMMYFUNCTION("""COMPUTED_VALUE"""),36.0)</f>
        <v>36</v>
      </c>
      <c r="I255" s="77">
        <f>IFERROR(__xludf.DUMMYFUNCTION("""COMPUTED_VALUE"""),100.0)</f>
        <v>100</v>
      </c>
      <c r="J255" s="73"/>
      <c r="K255" s="73"/>
      <c r="L255" s="73"/>
      <c r="M255" s="77"/>
      <c r="N255" s="77">
        <f>IFERROR(__xludf.DUMMYFUNCTION("""COMPUTED_VALUE"""),1.0)</f>
        <v>1</v>
      </c>
      <c r="O255" s="49"/>
      <c r="P255" s="49" t="str">
        <f>IFERROR(__xludf.DUMMYFUNCTION("""COMPUTED_VALUE"""),"Offset")</f>
        <v>Offset</v>
      </c>
      <c r="Q255" s="49" t="str">
        <f>IFERROR(__xludf.DUMMYFUNCTION("""COMPUTED_VALUE"""),"Packaging")</f>
        <v>Packaging</v>
      </c>
      <c r="R255" s="49" t="str">
        <f>IFERROR(__xludf.DUMMYFUNCTION("""COMPUTED_VALUE"""),"Bakery")</f>
        <v>Bakery</v>
      </c>
    </row>
    <row r="256">
      <c r="A256" s="156" t="str">
        <f>IFERROR(__xludf.DUMMYFUNCTION("""COMPUTED_VALUE"""),"https://drive.google.com/open?id=1FsVcVg6DKbZfmqUjy8m7HohXJ-b6LSWa&amp;authuser=jay.agg%40gmail.com&amp;usp=drive_fs")</f>
        <v>https://drive.google.com/open?id=1FsVcVg6DKbZfmqUjy8m7HohXJ-b6LSWa&amp;authuser=jay.agg%40gmail.com&amp;usp=drive_fs</v>
      </c>
      <c r="B256" s="73" t="str">
        <f>IFERROR(__xludf.DUMMYFUNCTION("""COMPUTED_VALUE"""),"Bakery")</f>
        <v>Bakery</v>
      </c>
      <c r="C256" s="73" t="str">
        <f>IFERROR(__xludf.DUMMYFUNCTION("""COMPUTED_VALUE"""),"Pastry")</f>
        <v>Pastry</v>
      </c>
      <c r="D256" s="73" t="str">
        <f>IFERROR(__xludf.DUMMYFUNCTION("""COMPUTED_VALUE"""),"100*120*60 mm | 4*4.7*2.4 inch")</f>
        <v>100*120*60 mm | 4*4.7*2.4 inch</v>
      </c>
      <c r="E256" s="77">
        <f>IFERROR(__xludf.DUMMYFUNCTION("""COMPUTED_VALUE"""),2.0)</f>
        <v>2</v>
      </c>
      <c r="F256" s="77">
        <f>IFERROR(__xludf.DUMMYFUNCTION("""COMPUTED_VALUE"""),2029.0)</f>
        <v>2029</v>
      </c>
      <c r="G256" s="77">
        <f>IFERROR(__xludf.DUMMYFUNCTION("""COMPUTED_VALUE"""),19.5)</f>
        <v>19.5</v>
      </c>
      <c r="H256" s="77">
        <f>IFERROR(__xludf.DUMMYFUNCTION("""COMPUTED_VALUE"""),23.0)</f>
        <v>23</v>
      </c>
      <c r="I256" s="77">
        <f>IFERROR(__xludf.DUMMYFUNCTION("""COMPUTED_VALUE"""),100.0)</f>
        <v>100</v>
      </c>
      <c r="J256" s="73"/>
      <c r="K256" s="73"/>
      <c r="L256" s="73"/>
      <c r="M256" s="77"/>
      <c r="N256" s="77">
        <f>IFERROR(__xludf.DUMMYFUNCTION("""COMPUTED_VALUE"""),1.0)</f>
        <v>1</v>
      </c>
      <c r="O256" s="49"/>
      <c r="P256" s="49" t="str">
        <f>IFERROR(__xludf.DUMMYFUNCTION("""COMPUTED_VALUE"""),"Offset")</f>
        <v>Offset</v>
      </c>
      <c r="Q256" s="49" t="str">
        <f>IFERROR(__xludf.DUMMYFUNCTION("""COMPUTED_VALUE"""),"Packaging")</f>
        <v>Packaging</v>
      </c>
      <c r="R256" s="49" t="str">
        <f>IFERROR(__xludf.DUMMYFUNCTION("""COMPUTED_VALUE"""),"Bakery")</f>
        <v>Bakery</v>
      </c>
    </row>
    <row r="257">
      <c r="A257" s="156" t="str">
        <f>IFERROR(__xludf.DUMMYFUNCTION("""COMPUTED_VALUE"""),"https://drive.google.com/open?id=1O1p9NeaySuYpDHiU-aguDwNIvvQdIAbw&amp;authuser=jay.agg%40gmail.com&amp;usp=drive_fs")</f>
        <v>https://drive.google.com/open?id=1O1p9NeaySuYpDHiU-aguDwNIvvQdIAbw&amp;authuser=jay.agg%40gmail.com&amp;usp=drive_fs</v>
      </c>
      <c r="B257" s="73" t="str">
        <f>IFERROR(__xludf.DUMMYFUNCTION("""COMPUTED_VALUE"""),"Bakery")</f>
        <v>Bakery</v>
      </c>
      <c r="C257" s="73" t="str">
        <f>IFERROR(__xludf.DUMMYFUNCTION("""COMPUTED_VALUE"""),"Pastry")</f>
        <v>Pastry</v>
      </c>
      <c r="D257" s="73" t="str">
        <f>IFERROR(__xludf.DUMMYFUNCTION("""COMPUTED_VALUE"""),"Tray 100*120*60 mm | 4*4.7*2.4 inch")</f>
        <v>Tray 100*120*60 mm | 4*4.7*2.4 inch</v>
      </c>
      <c r="E257" s="77">
        <f>IFERROR(__xludf.DUMMYFUNCTION("""COMPUTED_VALUE"""),4.0)</f>
        <v>4</v>
      </c>
      <c r="F257" s="77">
        <f>IFERROR(__xludf.DUMMYFUNCTION("""COMPUTED_VALUE"""),2029.0)</f>
        <v>2029</v>
      </c>
      <c r="G257" s="77">
        <f>IFERROR(__xludf.DUMMYFUNCTION("""COMPUTED_VALUE"""),18.0)</f>
        <v>18</v>
      </c>
      <c r="H257" s="77">
        <f>IFERROR(__xludf.DUMMYFUNCTION("""COMPUTED_VALUE"""),23.0)</f>
        <v>23</v>
      </c>
      <c r="I257" s="77">
        <f>IFERROR(__xludf.DUMMYFUNCTION("""COMPUTED_VALUE"""),100.0)</f>
        <v>100</v>
      </c>
      <c r="J257" s="73"/>
      <c r="K257" s="73"/>
      <c r="L257" s="73"/>
      <c r="M257" s="77">
        <f>IFERROR(__xludf.DUMMYFUNCTION("""COMPUTED_VALUE"""),0.1)</f>
        <v>0.1</v>
      </c>
      <c r="N257" s="77">
        <f>IFERROR(__xludf.DUMMYFUNCTION("""COMPUTED_VALUE"""),1.0)</f>
        <v>1</v>
      </c>
      <c r="O257" s="49"/>
      <c r="P257" s="49" t="str">
        <f>IFERROR(__xludf.DUMMYFUNCTION("""COMPUTED_VALUE"""),"Offset")</f>
        <v>Offset</v>
      </c>
      <c r="Q257" s="49" t="str">
        <f>IFERROR(__xludf.DUMMYFUNCTION("""COMPUTED_VALUE"""),"Packaging")</f>
        <v>Packaging</v>
      </c>
      <c r="R257" s="49" t="str">
        <f>IFERROR(__xludf.DUMMYFUNCTION("""COMPUTED_VALUE"""),"Bakery")</f>
        <v>Bakery</v>
      </c>
    </row>
    <row r="258">
      <c r="A258" s="156" t="str">
        <f>IFERROR(__xludf.DUMMYFUNCTION("""COMPUTED_VALUE"""),"https://drive.google.com/open?id=1Otn6o383NE_PJKb8-zaSXVXITkNMUR5v&amp;authuser=jay.agg%40gmail.com&amp;usp=drive_fs")</f>
        <v>https://drive.google.com/open?id=1Otn6o383NE_PJKb8-zaSXVXITkNMUR5v&amp;authuser=jay.agg%40gmail.com&amp;usp=drive_fs</v>
      </c>
      <c r="B258" s="73" t="str">
        <f>IFERROR(__xludf.DUMMYFUNCTION("""COMPUTED_VALUE"""),"Bakery")</f>
        <v>Bakery</v>
      </c>
      <c r="C258" s="73" t="str">
        <f>IFERROR(__xludf.DUMMYFUNCTION("""COMPUTED_VALUE"""),"Pastry")</f>
        <v>Pastry</v>
      </c>
      <c r="D258" s="73" t="str">
        <f>IFERROR(__xludf.DUMMYFUNCTION("""COMPUTED_VALUE"""),"120*100*65 mm | 4.7*3.9*2.5 inch W 3.5*2.5 inch")</f>
        <v>120*100*65 mm | 4.7*3.9*2.5 inch W 3.5*2.5 inch</v>
      </c>
      <c r="E258" s="77">
        <f>IFERROR(__xludf.DUMMYFUNCTION("""COMPUTED_VALUE"""),4.0)</f>
        <v>4</v>
      </c>
      <c r="F258" s="77">
        <f>IFERROR(__xludf.DUMMYFUNCTION("""COMPUTED_VALUE"""),2029.0)</f>
        <v>2029</v>
      </c>
      <c r="G258" s="77">
        <f>IFERROR(__xludf.DUMMYFUNCTION("""COMPUTED_VALUE"""),20.0)</f>
        <v>20</v>
      </c>
      <c r="H258" s="77">
        <f>IFERROR(__xludf.DUMMYFUNCTION("""COMPUTED_VALUE"""),28.0)</f>
        <v>28</v>
      </c>
      <c r="I258" s="77">
        <f>IFERROR(__xludf.DUMMYFUNCTION("""COMPUTED_VALUE"""),100.0)</f>
        <v>100</v>
      </c>
      <c r="J258" s="73"/>
      <c r="K258" s="73"/>
      <c r="L258" s="73">
        <f>IFERROR(__xludf.DUMMYFUNCTION("""COMPUTED_VALUE"""),1.2)</f>
        <v>1.2</v>
      </c>
      <c r="M258" s="77"/>
      <c r="N258" s="77">
        <f>IFERROR(__xludf.DUMMYFUNCTION("""COMPUTED_VALUE"""),1.0)</f>
        <v>1</v>
      </c>
      <c r="O258" s="49"/>
      <c r="P258" s="49" t="str">
        <f>IFERROR(__xludf.DUMMYFUNCTION("""COMPUTED_VALUE"""),"Offset")</f>
        <v>Offset</v>
      </c>
      <c r="Q258" s="49" t="str">
        <f>IFERROR(__xludf.DUMMYFUNCTION("""COMPUTED_VALUE"""),"Packaging")</f>
        <v>Packaging</v>
      </c>
      <c r="R258" s="49" t="str">
        <f>IFERROR(__xludf.DUMMYFUNCTION("""COMPUTED_VALUE"""),"Bakery")</f>
        <v>Bakery</v>
      </c>
    </row>
    <row r="259">
      <c r="A259" s="156" t="str">
        <f>IFERROR(__xludf.DUMMYFUNCTION("""COMPUTED_VALUE"""),"https://drive.google.com/open?id=1JPDIVHOBa5yuE6I7I8j9AUCu-EuTlc0c&amp;authuser=jay.agg%40gmail.com&amp;usp=drive_fs")</f>
        <v>https://drive.google.com/open?id=1JPDIVHOBa5yuE6I7I8j9AUCu-EuTlc0c&amp;authuser=jay.agg%40gmail.com&amp;usp=drive_fs</v>
      </c>
      <c r="B259" s="73" t="str">
        <f>IFERROR(__xludf.DUMMYFUNCTION("""COMPUTED_VALUE"""),"Bakery")</f>
        <v>Bakery</v>
      </c>
      <c r="C259" s="73" t="str">
        <f>IFERROR(__xludf.DUMMYFUNCTION("""COMPUTED_VALUE"""),"Pastry")</f>
        <v>Pastry</v>
      </c>
      <c r="D259" s="73" t="str">
        <f>IFERROR(__xludf.DUMMYFUNCTION("""COMPUTED_VALUE"""),"127*127*89 mm | 5*5*3.5 inch")</f>
        <v>127*127*89 mm | 5*5*3.5 inch</v>
      </c>
      <c r="E259" s="77">
        <f>IFERROR(__xludf.DUMMYFUNCTION("""COMPUTED_VALUE"""),2.0)</f>
        <v>2</v>
      </c>
      <c r="F259" s="77">
        <f>IFERROR(__xludf.DUMMYFUNCTION("""COMPUTED_VALUE"""),1926.0)</f>
        <v>1926</v>
      </c>
      <c r="G259" s="77">
        <f>IFERROR(__xludf.DUMMYFUNCTION("""COMPUTED_VALUE"""),18.0)</f>
        <v>18</v>
      </c>
      <c r="H259" s="77">
        <f>IFERROR(__xludf.DUMMYFUNCTION("""COMPUTED_VALUE"""),23.0)</f>
        <v>23</v>
      </c>
      <c r="I259" s="77">
        <f>IFERROR(__xludf.DUMMYFUNCTION("""COMPUTED_VALUE"""),100.0)</f>
        <v>100</v>
      </c>
      <c r="J259" s="73"/>
      <c r="K259" s="73"/>
      <c r="L259" s="73"/>
      <c r="M259" s="77"/>
      <c r="N259" s="77">
        <f>IFERROR(__xludf.DUMMYFUNCTION("""COMPUTED_VALUE"""),1.0)</f>
        <v>1</v>
      </c>
      <c r="O259" s="49"/>
      <c r="P259" s="49" t="str">
        <f>IFERROR(__xludf.DUMMYFUNCTION("""COMPUTED_VALUE"""),"Offset")</f>
        <v>Offset</v>
      </c>
      <c r="Q259" s="49" t="str">
        <f>IFERROR(__xludf.DUMMYFUNCTION("""COMPUTED_VALUE"""),"Packaging")</f>
        <v>Packaging</v>
      </c>
      <c r="R259" s="49" t="str">
        <f>IFERROR(__xludf.DUMMYFUNCTION("""COMPUTED_VALUE"""),"Bakery")</f>
        <v>Bakery</v>
      </c>
    </row>
    <row r="260">
      <c r="A260" s="156" t="str">
        <f>IFERROR(__xludf.DUMMYFUNCTION("""COMPUTED_VALUE"""),"https://drive.google.com/open?id=12ZAWHnOPBOLdmRyppylacRf8Mqz-FK9w&amp;authuser=jay.agg%40gmail.com&amp;usp=drive_fs")</f>
        <v>https://drive.google.com/open?id=12ZAWHnOPBOLdmRyppylacRf8Mqz-FK9w&amp;authuser=jay.agg%40gmail.com&amp;usp=drive_fs</v>
      </c>
      <c r="B260" s="73" t="str">
        <f>IFERROR(__xludf.DUMMYFUNCTION("""COMPUTED_VALUE"""),"Bakery")</f>
        <v>Bakery</v>
      </c>
      <c r="C260" s="73" t="str">
        <f>IFERROR(__xludf.DUMMYFUNCTION("""COMPUTED_VALUE"""),"Pastry")</f>
        <v>Pastry</v>
      </c>
      <c r="D260" s="73" t="str">
        <f>IFERROR(__xludf.DUMMYFUNCTION("""COMPUTED_VALUE"""),"102*102*89 mm | 4*4*3.5 inch")</f>
        <v>102*102*89 mm | 4*4*3.5 inch</v>
      </c>
      <c r="E260" s="77">
        <f>IFERROR(__xludf.DUMMYFUNCTION("""COMPUTED_VALUE"""),2.0)</f>
        <v>2</v>
      </c>
      <c r="F260" s="77">
        <f>IFERROR(__xludf.DUMMYFUNCTION("""COMPUTED_VALUE"""),1926.0)</f>
        <v>1926</v>
      </c>
      <c r="G260" s="77">
        <f>IFERROR(__xludf.DUMMYFUNCTION("""COMPUTED_VALUE"""),15.75)</f>
        <v>15.75</v>
      </c>
      <c r="H260" s="77">
        <f>IFERROR(__xludf.DUMMYFUNCTION("""COMPUTED_VALUE"""),20.75)</f>
        <v>20.75</v>
      </c>
      <c r="I260" s="77">
        <f>IFERROR(__xludf.DUMMYFUNCTION("""COMPUTED_VALUE"""),100.0)</f>
        <v>100</v>
      </c>
      <c r="J260" s="73"/>
      <c r="K260" s="73"/>
      <c r="L260" s="73"/>
      <c r="M260" s="77"/>
      <c r="N260" s="77">
        <f>IFERROR(__xludf.DUMMYFUNCTION("""COMPUTED_VALUE"""),1.0)</f>
        <v>1</v>
      </c>
      <c r="O260" s="49"/>
      <c r="P260" s="49" t="str">
        <f>IFERROR(__xludf.DUMMYFUNCTION("""COMPUTED_VALUE"""),"Offset")</f>
        <v>Offset</v>
      </c>
      <c r="Q260" s="49" t="str">
        <f>IFERROR(__xludf.DUMMYFUNCTION("""COMPUTED_VALUE"""),"Packaging")</f>
        <v>Packaging</v>
      </c>
      <c r="R260" s="49" t="str">
        <f>IFERROR(__xludf.DUMMYFUNCTION("""COMPUTED_VALUE"""),"Bakery")</f>
        <v>Bakery</v>
      </c>
    </row>
    <row r="261">
      <c r="A261" s="156" t="str">
        <f>IFERROR(__xludf.DUMMYFUNCTION("""COMPUTED_VALUE"""),"https://drive.google.com/open?id=12biCOessiEK-ORG9FXj41gCyyAEqIVlJ&amp;authuser=jay.agg%40gmail.com&amp;usp=drive_fs")</f>
        <v>https://drive.google.com/open?id=12biCOessiEK-ORG9FXj41gCyyAEqIVlJ&amp;authuser=jay.agg%40gmail.com&amp;usp=drive_fs</v>
      </c>
      <c r="B261" s="73" t="str">
        <f>IFERROR(__xludf.DUMMYFUNCTION("""COMPUTED_VALUE"""),"Bakery")</f>
        <v>Bakery</v>
      </c>
      <c r="C261" s="73" t="str">
        <f>IFERROR(__xludf.DUMMYFUNCTION("""COMPUTED_VALUE"""),"Pastry")</f>
        <v>Pastry</v>
      </c>
      <c r="D261" s="73" t="str">
        <f>IFERROR(__xludf.DUMMYFUNCTION("""COMPUTED_VALUE"""),"171*127*89 mm | 6.75*5*3.5 inch")</f>
        <v>171*127*89 mm | 6.75*5*3.5 inch</v>
      </c>
      <c r="E261" s="77">
        <f>IFERROR(__xludf.DUMMYFUNCTION("""COMPUTED_VALUE"""),2.0)</f>
        <v>2</v>
      </c>
      <c r="F261" s="77">
        <f>IFERROR(__xludf.DUMMYFUNCTION("""COMPUTED_VALUE"""),1926.0)</f>
        <v>1926</v>
      </c>
      <c r="G261" s="77">
        <f>IFERROR(__xludf.DUMMYFUNCTION("""COMPUTED_VALUE"""),18.0)</f>
        <v>18</v>
      </c>
      <c r="H261" s="77">
        <f>IFERROR(__xludf.DUMMYFUNCTION("""COMPUTED_VALUE"""),25.0)</f>
        <v>25</v>
      </c>
      <c r="I261" s="77">
        <f>IFERROR(__xludf.DUMMYFUNCTION("""COMPUTED_VALUE"""),100.0)</f>
        <v>100</v>
      </c>
      <c r="J261" s="73"/>
      <c r="K261" s="73"/>
      <c r="L261" s="73"/>
      <c r="M261" s="77"/>
      <c r="N261" s="77">
        <f>IFERROR(__xludf.DUMMYFUNCTION("""COMPUTED_VALUE"""),1.0)</f>
        <v>1</v>
      </c>
      <c r="O261" s="49"/>
      <c r="P261" s="49" t="str">
        <f>IFERROR(__xludf.DUMMYFUNCTION("""COMPUTED_VALUE"""),"Offset")</f>
        <v>Offset</v>
      </c>
      <c r="Q261" s="49" t="str">
        <f>IFERROR(__xludf.DUMMYFUNCTION("""COMPUTED_VALUE"""),"Packaging")</f>
        <v>Packaging</v>
      </c>
      <c r="R261" s="49" t="str">
        <f>IFERROR(__xludf.DUMMYFUNCTION("""COMPUTED_VALUE"""),"Bakery")</f>
        <v>Bakery</v>
      </c>
    </row>
    <row r="262">
      <c r="A262" s="156" t="str">
        <f>IFERROR(__xludf.DUMMYFUNCTION("""COMPUTED_VALUE"""),"https://drive.google.com/open?id=1ScOaWAX91gw_9bROSvvCvzEmu34xN0oX&amp;usp=drive_fs")</f>
        <v>https://drive.google.com/open?id=1ScOaWAX91gw_9bROSvvCvzEmu34xN0oX&amp;usp=drive_fs</v>
      </c>
      <c r="B262" s="73" t="str">
        <f>IFERROR(__xludf.DUMMYFUNCTION("""COMPUTED_VALUE"""),"Bakery")</f>
        <v>Bakery</v>
      </c>
      <c r="C262" s="73" t="str">
        <f>IFERROR(__xludf.DUMMYFUNCTION("""COMPUTED_VALUE"""),"Pizaa")</f>
        <v>Pizaa</v>
      </c>
      <c r="D262" s="73" t="str">
        <f>IFERROR(__xludf.DUMMYFUNCTION("""COMPUTED_VALUE"""),"104*104*27 mm | 4.1*4.1*1.5 inch | 15*28")</f>
        <v>104*104*27 mm | 4.1*4.1*1.5 inch | 15*28</v>
      </c>
      <c r="E262" s="77">
        <f>IFERROR(__xludf.DUMMYFUNCTION("""COMPUTED_VALUE"""),4.0)</f>
        <v>4</v>
      </c>
      <c r="F262" s="77">
        <f>IFERROR(__xludf.DUMMYFUNCTION("""COMPUTED_VALUE"""),2029.0)</f>
        <v>2029</v>
      </c>
      <c r="G262" s="77">
        <f>IFERROR(__xludf.DUMMYFUNCTION("""COMPUTED_VALUE"""),15.0)</f>
        <v>15</v>
      </c>
      <c r="H262" s="77">
        <f>IFERROR(__xludf.DUMMYFUNCTION("""COMPUTED_VALUE"""),28.0)</f>
        <v>28</v>
      </c>
      <c r="I262" s="77">
        <f>IFERROR(__xludf.DUMMYFUNCTION("""COMPUTED_VALUE"""),100.0)</f>
        <v>100</v>
      </c>
      <c r="J262" s="73"/>
      <c r="K262" s="73"/>
      <c r="L262" s="73"/>
      <c r="M262" s="77"/>
      <c r="N262" s="77">
        <f>IFERROR(__xludf.DUMMYFUNCTION("""COMPUTED_VALUE"""),1.0)</f>
        <v>1</v>
      </c>
      <c r="O262" s="49"/>
      <c r="P262" s="49" t="str">
        <f>IFERROR(__xludf.DUMMYFUNCTION("""COMPUTED_VALUE"""),"Offset")</f>
        <v>Offset</v>
      </c>
      <c r="Q262" s="49" t="str">
        <f>IFERROR(__xludf.DUMMYFUNCTION("""COMPUTED_VALUE"""),"Packaging")</f>
        <v>Packaging</v>
      </c>
      <c r="R262" s="49" t="str">
        <f>IFERROR(__xludf.DUMMYFUNCTION("""COMPUTED_VALUE"""),"Bakery")</f>
        <v>Bakery</v>
      </c>
    </row>
    <row r="263">
      <c r="A263" s="156" t="str">
        <f>IFERROR(__xludf.DUMMYFUNCTION("""COMPUTED_VALUE"""),"https://drive.google.com/open?id=1SiFd4TsI4Hdpa_zhYmdasJRGWLQkUbxE&amp;usp=drive_fs")</f>
        <v>https://drive.google.com/open?id=1SiFd4TsI4Hdpa_zhYmdasJRGWLQkUbxE&amp;usp=drive_fs</v>
      </c>
      <c r="B263" s="73" t="str">
        <f>IFERROR(__xludf.DUMMYFUNCTION("""COMPUTED_VALUE"""),"Bakery")</f>
        <v>Bakery</v>
      </c>
      <c r="C263" s="73" t="str">
        <f>IFERROR(__xludf.DUMMYFUNCTION("""COMPUTED_VALUE"""),"Pizaa")</f>
        <v>Pizaa</v>
      </c>
      <c r="D263" s="73" t="str">
        <f>IFERROR(__xludf.DUMMYFUNCTION("""COMPUTED_VALUE"""),"155*155*38 mm | 6*6*1.5 inch | 22*28")</f>
        <v>155*155*38 mm | 6*6*1.5 inch | 22*28</v>
      </c>
      <c r="E263" s="77">
        <f>IFERROR(__xludf.DUMMYFUNCTION("""COMPUTED_VALUE"""),3.0)</f>
        <v>3</v>
      </c>
      <c r="F263" s="77">
        <f>IFERROR(__xludf.DUMMYFUNCTION("""COMPUTED_VALUE"""),2029.0)</f>
        <v>2029</v>
      </c>
      <c r="G263" s="77">
        <f>IFERROR(__xludf.DUMMYFUNCTION("""COMPUTED_VALUE"""),22.0)</f>
        <v>22</v>
      </c>
      <c r="H263" s="77">
        <f>IFERROR(__xludf.DUMMYFUNCTION("""COMPUTED_VALUE"""),28.0)</f>
        <v>28</v>
      </c>
      <c r="I263" s="77">
        <f>IFERROR(__xludf.DUMMYFUNCTION("""COMPUTED_VALUE"""),100.0)</f>
        <v>100</v>
      </c>
      <c r="J263" s="73"/>
      <c r="K263" s="73"/>
      <c r="L263" s="73"/>
      <c r="M263" s="77"/>
      <c r="N263" s="77">
        <f>IFERROR(__xludf.DUMMYFUNCTION("""COMPUTED_VALUE"""),1.0)</f>
        <v>1</v>
      </c>
      <c r="O263" s="49"/>
      <c r="P263" s="49" t="str">
        <f>IFERROR(__xludf.DUMMYFUNCTION("""COMPUTED_VALUE"""),"Offset")</f>
        <v>Offset</v>
      </c>
      <c r="Q263" s="49" t="str">
        <f>IFERROR(__xludf.DUMMYFUNCTION("""COMPUTED_VALUE"""),"Packaging")</f>
        <v>Packaging</v>
      </c>
      <c r="R263" s="49" t="str">
        <f>IFERROR(__xludf.DUMMYFUNCTION("""COMPUTED_VALUE"""),"Bakery")</f>
        <v>Bakery</v>
      </c>
    </row>
    <row r="264">
      <c r="A264" s="156" t="str">
        <f>IFERROR(__xludf.DUMMYFUNCTION("""COMPUTED_VALUE"""),"https://drive.google.com/open?id=1SrtmifLAjRPgA6hA5OrHSfnVGbch_iIg&amp;usp=drive_fs")</f>
        <v>https://drive.google.com/open?id=1SrtmifLAjRPgA6hA5OrHSfnVGbch_iIg&amp;usp=drive_fs</v>
      </c>
      <c r="B264" s="73" t="str">
        <f>IFERROR(__xludf.DUMMYFUNCTION("""COMPUTED_VALUE"""),"Bakery")</f>
        <v>Bakery</v>
      </c>
      <c r="C264" s="73" t="str">
        <f>IFERROR(__xludf.DUMMYFUNCTION("""COMPUTED_VALUE"""),"Pizaa")</f>
        <v>Pizaa</v>
      </c>
      <c r="D264" s="73" t="str">
        <f>IFERROR(__xludf.DUMMYFUNCTION("""COMPUTED_VALUE"""),"175*175*38 mm | 6.9*6.9*1.5 inch | 22*30")</f>
        <v>175*175*38 mm | 6.9*6.9*1.5 inch | 22*30</v>
      </c>
      <c r="E264" s="77">
        <f>IFERROR(__xludf.DUMMYFUNCTION("""COMPUTED_VALUE"""),3.0)</f>
        <v>3</v>
      </c>
      <c r="F264" s="77">
        <f>IFERROR(__xludf.DUMMYFUNCTION("""COMPUTED_VALUE"""),2840.0)</f>
        <v>2840</v>
      </c>
      <c r="G264" s="77">
        <f>IFERROR(__xludf.DUMMYFUNCTION("""COMPUTED_VALUE"""),22.0)</f>
        <v>22</v>
      </c>
      <c r="H264" s="77">
        <f>IFERROR(__xludf.DUMMYFUNCTION("""COMPUTED_VALUE"""),30.0)</f>
        <v>30</v>
      </c>
      <c r="I264" s="77">
        <f>IFERROR(__xludf.DUMMYFUNCTION("""COMPUTED_VALUE"""),100.0)</f>
        <v>100</v>
      </c>
      <c r="J264" s="73"/>
      <c r="K264" s="73"/>
      <c r="L264" s="73"/>
      <c r="M264" s="77"/>
      <c r="N264" s="77">
        <f>IFERROR(__xludf.DUMMYFUNCTION("""COMPUTED_VALUE"""),1.0)</f>
        <v>1</v>
      </c>
      <c r="O264" s="49"/>
      <c r="P264" s="49" t="str">
        <f>IFERROR(__xludf.DUMMYFUNCTION("""COMPUTED_VALUE"""),"Offset")</f>
        <v>Offset</v>
      </c>
      <c r="Q264" s="49" t="str">
        <f>IFERROR(__xludf.DUMMYFUNCTION("""COMPUTED_VALUE"""),"Packaging")</f>
        <v>Packaging</v>
      </c>
      <c r="R264" s="49" t="str">
        <f>IFERROR(__xludf.DUMMYFUNCTION("""COMPUTED_VALUE"""),"Bakery")</f>
        <v>Bakery</v>
      </c>
    </row>
    <row r="265">
      <c r="A265" s="156" t="str">
        <f>IFERROR(__xludf.DUMMYFUNCTION("""COMPUTED_VALUE"""),"https://drive.google.com/open?id=1SsFonBC8XuEwUzNwTRLS7FMnlypI7YI_&amp;usp=drive_fs")</f>
        <v>https://drive.google.com/open?id=1SsFonBC8XuEwUzNwTRLS7FMnlypI7YI_&amp;usp=drive_fs</v>
      </c>
      <c r="B265" s="73" t="str">
        <f>IFERROR(__xludf.DUMMYFUNCTION("""COMPUTED_VALUE"""),"Bakery")</f>
        <v>Bakery</v>
      </c>
      <c r="C265" s="73" t="str">
        <f>IFERROR(__xludf.DUMMYFUNCTION("""COMPUTED_VALUE"""),"Pizaa")</f>
        <v>Pizaa</v>
      </c>
      <c r="D265" s="73" t="str">
        <f>IFERROR(__xludf.DUMMYFUNCTION("""COMPUTED_VALUE"""),"230*230*38 mm | 8.9*8.9*1.5 inch | 24*36")</f>
        <v>230*230*38 mm | 8.9*8.9*1.5 inch | 24*36</v>
      </c>
      <c r="E265" s="77">
        <f>IFERROR(__xludf.DUMMYFUNCTION("""COMPUTED_VALUE"""),3.0)</f>
        <v>3</v>
      </c>
      <c r="F265" s="77">
        <f>IFERROR(__xludf.DUMMYFUNCTION("""COMPUTED_VALUE"""),2840.0)</f>
        <v>2840</v>
      </c>
      <c r="G265" s="77">
        <f>IFERROR(__xludf.DUMMYFUNCTION("""COMPUTED_VALUE"""),24.0)</f>
        <v>24</v>
      </c>
      <c r="H265" s="77">
        <f>IFERROR(__xludf.DUMMYFUNCTION("""COMPUTED_VALUE"""),36.0)</f>
        <v>36</v>
      </c>
      <c r="I265" s="77">
        <f>IFERROR(__xludf.DUMMYFUNCTION("""COMPUTED_VALUE"""),100.0)</f>
        <v>100</v>
      </c>
      <c r="J265" s="73"/>
      <c r="K265" s="73"/>
      <c r="L265" s="73"/>
      <c r="M265" s="77"/>
      <c r="N265" s="77">
        <f>IFERROR(__xludf.DUMMYFUNCTION("""COMPUTED_VALUE"""),1.0)</f>
        <v>1</v>
      </c>
      <c r="O265" s="49"/>
      <c r="P265" s="49" t="str">
        <f>IFERROR(__xludf.DUMMYFUNCTION("""COMPUTED_VALUE"""),"Offset")</f>
        <v>Offset</v>
      </c>
      <c r="Q265" s="49" t="str">
        <f>IFERROR(__xludf.DUMMYFUNCTION("""COMPUTED_VALUE"""),"Packaging")</f>
        <v>Packaging</v>
      </c>
      <c r="R265" s="49" t="str">
        <f>IFERROR(__xludf.DUMMYFUNCTION("""COMPUTED_VALUE"""),"Bakery")</f>
        <v>Bakery</v>
      </c>
    </row>
    <row r="266">
      <c r="A266" s="156" t="str">
        <f>IFERROR(__xludf.DUMMYFUNCTION("""COMPUTED_VALUE"""),"https://drive.google.com/open?id=1SvLtzmJs76wN-Lf7-5MGBykae88u-fhd&amp;usp=drive_fs")</f>
        <v>https://drive.google.com/open?id=1SvLtzmJs76wN-Lf7-5MGBykae88u-fhd&amp;usp=drive_fs</v>
      </c>
      <c r="B266" s="73" t="str">
        <f>IFERROR(__xludf.DUMMYFUNCTION("""COMPUTED_VALUE"""),"Bakery")</f>
        <v>Bakery</v>
      </c>
      <c r="C266" s="73" t="str">
        <f>IFERROR(__xludf.DUMMYFUNCTION("""COMPUTED_VALUE"""),"Pizaa")</f>
        <v>Pizaa</v>
      </c>
      <c r="D266" s="73" t="str">
        <f>IFERROR(__xludf.DUMMYFUNCTION("""COMPUTED_VALUE"""),"254*254*38mm | 10*10*1.5 inch | 28*40")</f>
        <v>254*254*38mm | 10*10*1.5 inch | 28*40</v>
      </c>
      <c r="E266" s="77">
        <f>IFERROR(__xludf.DUMMYFUNCTION("""COMPUTED_VALUE"""),3.0)</f>
        <v>3</v>
      </c>
      <c r="F266" s="77">
        <f>IFERROR(__xludf.DUMMYFUNCTION("""COMPUTED_VALUE"""),2840.0)</f>
        <v>2840</v>
      </c>
      <c r="G266" s="77">
        <f>IFERROR(__xludf.DUMMYFUNCTION("""COMPUTED_VALUE"""),28.0)</f>
        <v>28</v>
      </c>
      <c r="H266" s="77">
        <f>IFERROR(__xludf.DUMMYFUNCTION("""COMPUTED_VALUE"""),40.0)</f>
        <v>40</v>
      </c>
      <c r="I266" s="77">
        <f>IFERROR(__xludf.DUMMYFUNCTION("""COMPUTED_VALUE"""),100.0)</f>
        <v>100</v>
      </c>
      <c r="J266" s="73"/>
      <c r="K266" s="73"/>
      <c r="L266" s="73"/>
      <c r="M266" s="77"/>
      <c r="N266" s="77">
        <f>IFERROR(__xludf.DUMMYFUNCTION("""COMPUTED_VALUE"""),1.0)</f>
        <v>1</v>
      </c>
      <c r="O266" s="49"/>
      <c r="P266" s="49" t="str">
        <f>IFERROR(__xludf.DUMMYFUNCTION("""COMPUTED_VALUE"""),"Offset")</f>
        <v>Offset</v>
      </c>
      <c r="Q266" s="49" t="str">
        <f>IFERROR(__xludf.DUMMYFUNCTION("""COMPUTED_VALUE"""),"Packaging")</f>
        <v>Packaging</v>
      </c>
      <c r="R266" s="49" t="str">
        <f>IFERROR(__xludf.DUMMYFUNCTION("""COMPUTED_VALUE"""),"Bakery")</f>
        <v>Bakery</v>
      </c>
    </row>
    <row r="267">
      <c r="A267" s="156" t="str">
        <f>IFERROR(__xludf.DUMMYFUNCTION("""COMPUTED_VALUE"""),"https://drive.google.com/open?id=1SzBRhBz1r5yiIA3X7_GdVdHvr5G0Syv2&amp;usp=drive_fs")</f>
        <v>https://drive.google.com/open?id=1SzBRhBz1r5yiIA3X7_GdVdHvr5G0Syv2&amp;usp=drive_fs</v>
      </c>
      <c r="B267" s="73" t="str">
        <f>IFERROR(__xludf.DUMMYFUNCTION("""COMPUTED_VALUE"""),"Bakery")</f>
        <v>Bakery</v>
      </c>
      <c r="C267" s="73" t="str">
        <f>IFERROR(__xludf.DUMMYFUNCTION("""COMPUTED_VALUE"""),"Pizaa")</f>
        <v>Pizaa</v>
      </c>
      <c r="D267" s="73" t="str">
        <f>IFERROR(__xludf.DUMMYFUNCTION("""COMPUTED_VALUE"""),"307*307*38 mm | 12*12*1.5 inch | 16*32")</f>
        <v>307*307*38 mm | 12*12*1.5 inch | 16*32</v>
      </c>
      <c r="E267" s="77">
        <f>IFERROR(__xludf.DUMMYFUNCTION("""COMPUTED_VALUE"""),1.0)</f>
        <v>1</v>
      </c>
      <c r="F267" s="77">
        <f>IFERROR(__xludf.DUMMYFUNCTION("""COMPUTED_VALUE"""),2840.0)</f>
        <v>2840</v>
      </c>
      <c r="G267" s="77">
        <f>IFERROR(__xludf.DUMMYFUNCTION("""COMPUTED_VALUE"""),32.0)</f>
        <v>32</v>
      </c>
      <c r="H267" s="77">
        <f>IFERROR(__xludf.DUMMYFUNCTION("""COMPUTED_VALUE"""),16.0)</f>
        <v>16</v>
      </c>
      <c r="I267" s="77">
        <f>IFERROR(__xludf.DUMMYFUNCTION("""COMPUTED_VALUE"""),100.0)</f>
        <v>100</v>
      </c>
      <c r="J267" s="73"/>
      <c r="K267" s="73"/>
      <c r="L267" s="73"/>
      <c r="M267" s="77"/>
      <c r="N267" s="77">
        <f>IFERROR(__xludf.DUMMYFUNCTION("""COMPUTED_VALUE"""),1.0)</f>
        <v>1</v>
      </c>
      <c r="O267" s="49"/>
      <c r="P267" s="49" t="str">
        <f>IFERROR(__xludf.DUMMYFUNCTION("""COMPUTED_VALUE"""),"Offset")</f>
        <v>Offset</v>
      </c>
      <c r="Q267" s="49" t="str">
        <f>IFERROR(__xludf.DUMMYFUNCTION("""COMPUTED_VALUE"""),"Packaging")</f>
        <v>Packaging</v>
      </c>
      <c r="R267" s="49" t="str">
        <f>IFERROR(__xludf.DUMMYFUNCTION("""COMPUTED_VALUE"""),"Bakery")</f>
        <v>Bakery</v>
      </c>
    </row>
    <row r="268">
      <c r="A268" s="156" t="str">
        <f>IFERROR(__xludf.DUMMYFUNCTION("""COMPUTED_VALUE"""),"https://drive.google.com/open?id=1NraUWBTtBENg0PBMT1-DyR6G2b8qMEE5&amp;authuser=jay.agg%40gmail.com&amp;usp=drive_fs")</f>
        <v>https://drive.google.com/open?id=1NraUWBTtBENg0PBMT1-DyR6G2b8qMEE5&amp;authuser=jay.agg%40gmail.com&amp;usp=drive_fs</v>
      </c>
      <c r="B268" s="73" t="str">
        <f>IFERROR(__xludf.DUMMYFUNCTION("""COMPUTED_VALUE"""),"Bakery")</f>
        <v>Bakery</v>
      </c>
      <c r="C268" s="73" t="str">
        <f>IFERROR(__xludf.DUMMYFUNCTION("""COMPUTED_VALUE"""),"Pizza")</f>
        <v>Pizza</v>
      </c>
      <c r="D268" s="73" t="str">
        <f>IFERROR(__xludf.DUMMYFUNCTION("""COMPUTED_VALUE"""),"310*310*38 mm | 12*12*1.5 inch | 30*16")</f>
        <v>310*310*38 mm | 12*12*1.5 inch | 30*16</v>
      </c>
      <c r="E268" s="77">
        <f>IFERROR(__xludf.DUMMYFUNCTION("""COMPUTED_VALUE"""),1.0)</f>
        <v>1</v>
      </c>
      <c r="F268" s="77">
        <f>IFERROR(__xludf.DUMMYFUNCTION("""COMPUTED_VALUE"""),2029.0)</f>
        <v>2029</v>
      </c>
      <c r="G268" s="77">
        <f>IFERROR(__xludf.DUMMYFUNCTION("""COMPUTED_VALUE"""),20.0)</f>
        <v>20</v>
      </c>
      <c r="H268" s="77">
        <f>IFERROR(__xludf.DUMMYFUNCTION("""COMPUTED_VALUE"""),30.0)</f>
        <v>30</v>
      </c>
      <c r="I268" s="77">
        <f>IFERROR(__xludf.DUMMYFUNCTION("""COMPUTED_VALUE"""),100.0)</f>
        <v>100</v>
      </c>
      <c r="J268" s="73"/>
      <c r="K268" s="73"/>
      <c r="L268" s="73"/>
      <c r="M268" s="77"/>
      <c r="N268" s="77">
        <f>IFERROR(__xludf.DUMMYFUNCTION("""COMPUTED_VALUE"""),1.0)</f>
        <v>1</v>
      </c>
      <c r="O268" s="49"/>
      <c r="P268" s="49" t="str">
        <f>IFERROR(__xludf.DUMMYFUNCTION("""COMPUTED_VALUE"""),"Offset")</f>
        <v>Offset</v>
      </c>
      <c r="Q268" s="49" t="str">
        <f>IFERROR(__xludf.DUMMYFUNCTION("""COMPUTED_VALUE"""),"Packaging")</f>
        <v>Packaging</v>
      </c>
      <c r="R268" s="49" t="str">
        <f>IFERROR(__xludf.DUMMYFUNCTION("""COMPUTED_VALUE"""),"Bakery")</f>
        <v>Bakery</v>
      </c>
    </row>
    <row r="269">
      <c r="A269" s="156" t="str">
        <f>IFERROR(__xludf.DUMMYFUNCTION("""COMPUTED_VALUE"""),"https://drive.google.com/open?id=1NujrgZ7l36_tUSyxUUHE53H_lXCnUMIV&amp;authuser=jay.agg%40gmail.com&amp;usp=drive_fs")</f>
        <v>https://drive.google.com/open?id=1NujrgZ7l36_tUSyxUUHE53H_lXCnUMIV&amp;authuser=jay.agg%40gmail.com&amp;usp=drive_fs</v>
      </c>
      <c r="B269" s="73" t="str">
        <f>IFERROR(__xludf.DUMMYFUNCTION("""COMPUTED_VALUE"""),"Bakery")</f>
        <v>Bakery</v>
      </c>
      <c r="C269" s="73" t="str">
        <f>IFERROR(__xludf.DUMMYFUNCTION("""COMPUTED_VALUE"""),"Pizza")</f>
        <v>Pizza</v>
      </c>
      <c r="D269" s="73" t="str">
        <f>IFERROR(__xludf.DUMMYFUNCTION("""COMPUTED_VALUE"""),"260*260*38 mm | 10*10*1.5 inch | 26*14")</f>
        <v>260*260*38 mm | 10*10*1.5 inch | 26*14</v>
      </c>
      <c r="E269" s="77">
        <f>IFERROR(__xludf.DUMMYFUNCTION("""COMPUTED_VALUE"""),1.0)</f>
        <v>1</v>
      </c>
      <c r="F269" s="77">
        <f>IFERROR(__xludf.DUMMYFUNCTION("""COMPUTED_VALUE"""),1926.0)</f>
        <v>1926</v>
      </c>
      <c r="G269" s="77">
        <f>IFERROR(__xludf.DUMMYFUNCTION("""COMPUTED_VALUE"""),15.0)</f>
        <v>15</v>
      </c>
      <c r="H269" s="77">
        <f>IFERROR(__xludf.DUMMYFUNCTION("""COMPUTED_VALUE"""),25.0)</f>
        <v>25</v>
      </c>
      <c r="I269" s="77">
        <f>IFERROR(__xludf.DUMMYFUNCTION("""COMPUTED_VALUE"""),100.0)</f>
        <v>100</v>
      </c>
      <c r="J269" s="73"/>
      <c r="K269" s="73"/>
      <c r="L269" s="73"/>
      <c r="M269" s="77"/>
      <c r="N269" s="77">
        <f>IFERROR(__xludf.DUMMYFUNCTION("""COMPUTED_VALUE"""),1.0)</f>
        <v>1</v>
      </c>
      <c r="O269" s="49"/>
      <c r="P269" s="49" t="str">
        <f>IFERROR(__xludf.DUMMYFUNCTION("""COMPUTED_VALUE"""),"Offset")</f>
        <v>Offset</v>
      </c>
      <c r="Q269" s="49" t="str">
        <f>IFERROR(__xludf.DUMMYFUNCTION("""COMPUTED_VALUE"""),"Packaging")</f>
        <v>Packaging</v>
      </c>
      <c r="R269" s="49" t="str">
        <f>IFERROR(__xludf.DUMMYFUNCTION("""COMPUTED_VALUE"""),"Bakery")</f>
        <v>Bakery</v>
      </c>
    </row>
    <row r="270">
      <c r="A270" s="156" t="str">
        <f>IFERROR(__xludf.DUMMYFUNCTION("""COMPUTED_VALUE"""),"https://drive.google.com/open?id=1NvduVlo_CJsEgebAQz07GSvPs7uxSe-G&amp;authuser=jay.agg%40gmail.com&amp;usp=drive_fs")</f>
        <v>https://drive.google.com/open?id=1NvduVlo_CJsEgebAQz07GSvPs7uxSe-G&amp;authuser=jay.agg%40gmail.com&amp;usp=drive_fs</v>
      </c>
      <c r="B270" s="73" t="str">
        <f>IFERROR(__xludf.DUMMYFUNCTION("""COMPUTED_VALUE"""),"Bakery")</f>
        <v>Bakery</v>
      </c>
      <c r="C270" s="73" t="str">
        <f>IFERROR(__xludf.DUMMYFUNCTION("""COMPUTED_VALUE"""),"Pizza")</f>
        <v>Pizza</v>
      </c>
      <c r="D270" s="73" t="str">
        <f>IFERROR(__xludf.DUMMYFUNCTION("""COMPUTED_VALUE"""),"186*186*38 mm | 7*7*1.5 inch | 22*22")</f>
        <v>186*186*38 mm | 7*7*1.5 inch | 22*22</v>
      </c>
      <c r="E270" s="77">
        <f>IFERROR(__xludf.DUMMYFUNCTION("""COMPUTED_VALUE"""),2.0)</f>
        <v>2</v>
      </c>
      <c r="F270" s="77">
        <f>IFERROR(__xludf.DUMMYFUNCTION("""COMPUTED_VALUE"""),1926.0)</f>
        <v>1926</v>
      </c>
      <c r="G270" s="77">
        <f>IFERROR(__xludf.DUMMYFUNCTION("""COMPUTED_VALUE"""),19.5)</f>
        <v>19.5</v>
      </c>
      <c r="H270" s="77">
        <f>IFERROR(__xludf.DUMMYFUNCTION("""COMPUTED_VALUE"""),23.0)</f>
        <v>23</v>
      </c>
      <c r="I270" s="77">
        <f>IFERROR(__xludf.DUMMYFUNCTION("""COMPUTED_VALUE"""),100.0)</f>
        <v>100</v>
      </c>
      <c r="J270" s="73"/>
      <c r="K270" s="73"/>
      <c r="L270" s="73"/>
      <c r="M270" s="77"/>
      <c r="N270" s="77">
        <f>IFERROR(__xludf.DUMMYFUNCTION("""COMPUTED_VALUE"""),1.0)</f>
        <v>1</v>
      </c>
      <c r="O270" s="49"/>
      <c r="P270" s="49" t="str">
        <f>IFERROR(__xludf.DUMMYFUNCTION("""COMPUTED_VALUE"""),"Offset")</f>
        <v>Offset</v>
      </c>
      <c r="Q270" s="49" t="str">
        <f>IFERROR(__xludf.DUMMYFUNCTION("""COMPUTED_VALUE"""),"Packaging")</f>
        <v>Packaging</v>
      </c>
      <c r="R270" s="49" t="str">
        <f>IFERROR(__xludf.DUMMYFUNCTION("""COMPUTED_VALUE"""),"Bakery")</f>
        <v>Bakery</v>
      </c>
    </row>
    <row r="271">
      <c r="A271" s="156" t="str">
        <f>IFERROR(__xludf.DUMMYFUNCTION("""COMPUTED_VALUE"""),"https://drive.google.com/open?id=1SHQg_xgiDD-S_fSmTj4BBaPbb-HsVH-U&amp;authuser=jay.agg%40gmail.com&amp;usp=drive_fs")</f>
        <v>https://drive.google.com/open?id=1SHQg_xgiDD-S_fSmTj4BBaPbb-HsVH-U&amp;authuser=jay.agg%40gmail.com&amp;usp=drive_fs</v>
      </c>
      <c r="B271" s="73" t="str">
        <f>IFERROR(__xludf.DUMMYFUNCTION("""COMPUTED_VALUE"""),"Bakery")</f>
        <v>Bakery</v>
      </c>
      <c r="C271" s="73" t="str">
        <f>IFERROR(__xludf.DUMMYFUNCTION("""COMPUTED_VALUE"""),"Sandwich")</f>
        <v>Sandwich</v>
      </c>
      <c r="D271" s="73" t="str">
        <f>IFERROR(__xludf.DUMMYFUNCTION("""COMPUTED_VALUE"""),"122*122*53 mm | 4.8*4.8*2.1 inch W 4.5*1 inch")</f>
        <v>122*122*53 mm | 4.8*4.8*2.1 inch W 4.5*1 inch</v>
      </c>
      <c r="E271" s="77">
        <f>IFERROR(__xludf.DUMMYFUNCTION("""COMPUTED_VALUE"""),3.0)</f>
        <v>3</v>
      </c>
      <c r="F271" s="77">
        <f>IFERROR(__xludf.DUMMYFUNCTION("""COMPUTED_VALUE"""),1926.0)</f>
        <v>1926</v>
      </c>
      <c r="G271" s="77">
        <f>IFERROR(__xludf.DUMMYFUNCTION("""COMPUTED_VALUE"""),15.0)</f>
        <v>15</v>
      </c>
      <c r="H271" s="77">
        <f>IFERROR(__xludf.DUMMYFUNCTION("""COMPUTED_VALUE"""),25.0)</f>
        <v>25</v>
      </c>
      <c r="I271" s="77">
        <f>IFERROR(__xludf.DUMMYFUNCTION("""COMPUTED_VALUE"""),100.0)</f>
        <v>100</v>
      </c>
      <c r="J271" s="73"/>
      <c r="K271" s="73"/>
      <c r="L271" s="73">
        <f>IFERROR(__xludf.DUMMYFUNCTION("""COMPUTED_VALUE"""),1.5)</f>
        <v>1.5</v>
      </c>
      <c r="M271" s="77">
        <f>IFERROR(__xludf.DUMMYFUNCTION("""COMPUTED_VALUE"""),0.18)</f>
        <v>0.18</v>
      </c>
      <c r="N271" s="77">
        <f>IFERROR(__xludf.DUMMYFUNCTION("""COMPUTED_VALUE"""),1.0)</f>
        <v>1</v>
      </c>
      <c r="O271" s="49"/>
      <c r="P271" s="49" t="str">
        <f>IFERROR(__xludf.DUMMYFUNCTION("""COMPUTED_VALUE"""),"Offset")</f>
        <v>Offset</v>
      </c>
      <c r="Q271" s="49" t="str">
        <f>IFERROR(__xludf.DUMMYFUNCTION("""COMPUTED_VALUE"""),"Packaging")</f>
        <v>Packaging</v>
      </c>
      <c r="R271" s="49" t="str">
        <f>IFERROR(__xludf.DUMMYFUNCTION("""COMPUTED_VALUE"""),"Bakery")</f>
        <v>Bakery</v>
      </c>
    </row>
    <row r="272">
      <c r="A272" s="156" t="str">
        <f>IFERROR(__xludf.DUMMYFUNCTION("""COMPUTED_VALUE"""),"https://drive.google.com/open?id=1SIQbhZto4agrr3VUlE0ELACCgHiRr5YG&amp;authuser=jay.agg%40gmail.com&amp;usp=drive_fs")</f>
        <v>https://drive.google.com/open?id=1SIQbhZto4agrr3VUlE0ELACCgHiRr5YG&amp;authuser=jay.agg%40gmail.com&amp;usp=drive_fs</v>
      </c>
      <c r="B272" s="73" t="str">
        <f>IFERROR(__xludf.DUMMYFUNCTION("""COMPUTED_VALUE"""),"Bakery")</f>
        <v>Bakery</v>
      </c>
      <c r="C272" s="73" t="str">
        <f>IFERROR(__xludf.DUMMYFUNCTION("""COMPUTED_VALUE"""),"Sandwich")</f>
        <v>Sandwich</v>
      </c>
      <c r="D272" s="73" t="str">
        <f>IFERROR(__xludf.DUMMYFUNCTION("""COMPUTED_VALUE"""),"122*122*65 mm | 4.8*4.8*2.5 inch W 4.5*1.2 inch")</f>
        <v>122*122*65 mm | 4.8*4.8*2.5 inch W 4.5*1.2 inch</v>
      </c>
      <c r="E272" s="77">
        <f>IFERROR(__xludf.DUMMYFUNCTION("""COMPUTED_VALUE"""),3.0)</f>
        <v>3</v>
      </c>
      <c r="F272" s="77">
        <f>IFERROR(__xludf.DUMMYFUNCTION("""COMPUTED_VALUE"""),1926.0)</f>
        <v>1926</v>
      </c>
      <c r="G272" s="77">
        <f>IFERROR(__xludf.DUMMYFUNCTION("""COMPUTED_VALUE"""),18.0)</f>
        <v>18</v>
      </c>
      <c r="H272" s="77">
        <f>IFERROR(__xludf.DUMMYFUNCTION("""COMPUTED_VALUE"""),25.0)</f>
        <v>25</v>
      </c>
      <c r="I272" s="77">
        <f>IFERROR(__xludf.DUMMYFUNCTION("""COMPUTED_VALUE"""),100.0)</f>
        <v>100</v>
      </c>
      <c r="J272" s="73"/>
      <c r="K272" s="73"/>
      <c r="L272" s="73">
        <f>IFERROR(__xludf.DUMMYFUNCTION("""COMPUTED_VALUE"""),1.8)</f>
        <v>1.8</v>
      </c>
      <c r="M272" s="77">
        <f>IFERROR(__xludf.DUMMYFUNCTION("""COMPUTED_VALUE"""),0.18)</f>
        <v>0.18</v>
      </c>
      <c r="N272" s="77">
        <f>IFERROR(__xludf.DUMMYFUNCTION("""COMPUTED_VALUE"""),1.0)</f>
        <v>1</v>
      </c>
      <c r="O272" s="49"/>
      <c r="P272" s="49" t="str">
        <f>IFERROR(__xludf.DUMMYFUNCTION("""COMPUTED_VALUE"""),"Offset")</f>
        <v>Offset</v>
      </c>
      <c r="Q272" s="49" t="str">
        <f>IFERROR(__xludf.DUMMYFUNCTION("""COMPUTED_VALUE"""),"Packaging")</f>
        <v>Packaging</v>
      </c>
      <c r="R272" s="49" t="str">
        <f>IFERROR(__xludf.DUMMYFUNCTION("""COMPUTED_VALUE"""),"Bakery")</f>
        <v>Bakery</v>
      </c>
    </row>
    <row r="273">
      <c r="A273" s="156" t="str">
        <f>IFERROR(__xludf.DUMMYFUNCTION("""COMPUTED_VALUE"""),"https://drive.google.com/open?id=1SQEn-oWOvionQX_bmZiY40xVOPPEHQmG&amp;authuser=jay.agg%40gmail.com&amp;usp=drive_fs")</f>
        <v>https://drive.google.com/open?id=1SQEn-oWOvionQX_bmZiY40xVOPPEHQmG&amp;authuser=jay.agg%40gmail.com&amp;usp=drive_fs</v>
      </c>
      <c r="B273" s="73" t="str">
        <f>IFERROR(__xludf.DUMMYFUNCTION("""COMPUTED_VALUE"""),"Bakery")</f>
        <v>Bakery</v>
      </c>
      <c r="C273" s="73" t="str">
        <f>IFERROR(__xludf.DUMMYFUNCTION("""COMPUTED_VALUE"""),"Sandwich")</f>
        <v>Sandwich</v>
      </c>
      <c r="D273" s="73" t="str">
        <f>IFERROR(__xludf.DUMMYFUNCTION("""COMPUTED_VALUE"""),"120*120*65 mm | 4.7*4.7*2.5 inch")</f>
        <v>120*120*65 mm | 4.7*4.7*2.5 inch</v>
      </c>
      <c r="E273" s="77">
        <f>IFERROR(__xludf.DUMMYFUNCTION("""COMPUTED_VALUE"""),2.0)</f>
        <v>2</v>
      </c>
      <c r="F273" s="77">
        <f>IFERROR(__xludf.DUMMYFUNCTION("""COMPUTED_VALUE"""),2029.0)</f>
        <v>2029</v>
      </c>
      <c r="G273" s="77">
        <f>IFERROR(__xludf.DUMMYFUNCTION("""COMPUTED_VALUE"""),19.0)</f>
        <v>19</v>
      </c>
      <c r="H273" s="77">
        <f>IFERROR(__xludf.DUMMYFUNCTION("""COMPUTED_VALUE"""),20.0)</f>
        <v>20</v>
      </c>
      <c r="I273" s="77">
        <f>IFERROR(__xludf.DUMMYFUNCTION("""COMPUTED_VALUE"""),100.0)</f>
        <v>100</v>
      </c>
      <c r="J273" s="73"/>
      <c r="K273" s="73"/>
      <c r="L273" s="73">
        <f>IFERROR(__xludf.DUMMYFUNCTION("""COMPUTED_VALUE"""),1.8)</f>
        <v>1.8</v>
      </c>
      <c r="M273" s="77">
        <f>IFERROR(__xludf.DUMMYFUNCTION("""COMPUTED_VALUE"""),0.1)</f>
        <v>0.1</v>
      </c>
      <c r="N273" s="77">
        <f>IFERROR(__xludf.DUMMYFUNCTION("""COMPUTED_VALUE"""),1.0)</f>
        <v>1</v>
      </c>
      <c r="O273" s="49"/>
      <c r="P273" s="49" t="str">
        <f>IFERROR(__xludf.DUMMYFUNCTION("""COMPUTED_VALUE"""),"Offset")</f>
        <v>Offset</v>
      </c>
      <c r="Q273" s="49" t="str">
        <f>IFERROR(__xludf.DUMMYFUNCTION("""COMPUTED_VALUE"""),"Packaging")</f>
        <v>Packaging</v>
      </c>
      <c r="R273" s="49" t="str">
        <f>IFERROR(__xludf.DUMMYFUNCTION("""COMPUTED_VALUE"""),"Bakery")</f>
        <v>Bakery</v>
      </c>
    </row>
    <row r="274">
      <c r="A274" s="156" t="str">
        <f>IFERROR(__xludf.DUMMYFUNCTION("""COMPUTED_VALUE"""),"https://drive.google.com/open?id=1SVgAzLMy6bhn29VqobVJrlBP9zpBfdfI&amp;authuser=jay.agg%40gmail.com&amp;usp=drive_fs")</f>
        <v>https://drive.google.com/open?id=1SVgAzLMy6bhn29VqobVJrlBP9zpBfdfI&amp;authuser=jay.agg%40gmail.com&amp;usp=drive_fs</v>
      </c>
      <c r="B274" s="73" t="str">
        <f>IFERROR(__xludf.DUMMYFUNCTION("""COMPUTED_VALUE"""),"Bakery")</f>
        <v>Bakery</v>
      </c>
      <c r="C274" s="73" t="str">
        <f>IFERROR(__xludf.DUMMYFUNCTION("""COMPUTED_VALUE"""),"Sandwich")</f>
        <v>Sandwich</v>
      </c>
      <c r="D274" s="73" t="str">
        <f>IFERROR(__xludf.DUMMYFUNCTION("""COMPUTED_VALUE"""),"120*120*48 mm | 4.7*4.7*1.9 inch W 3.2*1.9 inch")</f>
        <v>120*120*48 mm | 4.7*4.7*1.9 inch W 3.2*1.9 inch</v>
      </c>
      <c r="E274" s="77">
        <f>IFERROR(__xludf.DUMMYFUNCTION("""COMPUTED_VALUE"""),4.0)</f>
        <v>4</v>
      </c>
      <c r="F274" s="77">
        <f>IFERROR(__xludf.DUMMYFUNCTION("""COMPUTED_VALUE"""),2029.0)</f>
        <v>2029</v>
      </c>
      <c r="G274" s="77">
        <f>IFERROR(__xludf.DUMMYFUNCTION("""COMPUTED_VALUE"""),19.0)</f>
        <v>19</v>
      </c>
      <c r="H274" s="77">
        <f>IFERROR(__xludf.DUMMYFUNCTION("""COMPUTED_VALUE"""),20.0)</f>
        <v>20</v>
      </c>
      <c r="I274" s="77">
        <f>IFERROR(__xludf.DUMMYFUNCTION("""COMPUTED_VALUE"""),100.0)</f>
        <v>100</v>
      </c>
      <c r="J274" s="73"/>
      <c r="K274" s="73"/>
      <c r="L274" s="73">
        <f>IFERROR(__xludf.DUMMYFUNCTION("""COMPUTED_VALUE"""),1.8)</f>
        <v>1.8</v>
      </c>
      <c r="M274" s="77">
        <f>IFERROR(__xludf.DUMMYFUNCTION("""COMPUTED_VALUE"""),0.1)</f>
        <v>0.1</v>
      </c>
      <c r="N274" s="77">
        <f>IFERROR(__xludf.DUMMYFUNCTION("""COMPUTED_VALUE"""),1.0)</f>
        <v>1</v>
      </c>
      <c r="O274" s="49"/>
      <c r="P274" s="49" t="str">
        <f>IFERROR(__xludf.DUMMYFUNCTION("""COMPUTED_VALUE"""),"Offset")</f>
        <v>Offset</v>
      </c>
      <c r="Q274" s="49" t="str">
        <f>IFERROR(__xludf.DUMMYFUNCTION("""COMPUTED_VALUE"""),"Packaging")</f>
        <v>Packaging</v>
      </c>
      <c r="R274" s="49" t="str">
        <f>IFERROR(__xludf.DUMMYFUNCTION("""COMPUTED_VALUE"""),"Bakery")</f>
        <v>Bakery</v>
      </c>
    </row>
    <row r="275">
      <c r="A275" s="156" t="str">
        <f>IFERROR(__xludf.DUMMYFUNCTION("""COMPUTED_VALUE"""),"https://drive.google.com/open?id=1_FGMX4rvRKmWcMmH06d2I5qOwXuJWE4c&amp;authuser=jay.agg%40gmail.com&amp;usp=drive_fs")</f>
        <v>https://drive.google.com/open?id=1_FGMX4rvRKmWcMmH06d2I5qOwXuJWE4c&amp;authuser=jay.agg%40gmail.com&amp;usp=drive_fs</v>
      </c>
      <c r="B275" s="73" t="str">
        <f>IFERROR(__xludf.DUMMYFUNCTION("""COMPUTED_VALUE"""),"Bakery")</f>
        <v>Bakery</v>
      </c>
      <c r="C275" s="73" t="str">
        <f>IFERROR(__xludf.DUMMYFUNCTION("""COMPUTED_VALUE"""),"Wrap")</f>
        <v>Wrap</v>
      </c>
      <c r="D275" s="73" t="str">
        <f>IFERROR(__xludf.DUMMYFUNCTION("""COMPUTED_VALUE"""),"64*210 mm | 2.5*8.25 inch")</f>
        <v>64*210 mm | 2.5*8.25 inch</v>
      </c>
      <c r="E275" s="77">
        <f>IFERROR(__xludf.DUMMYFUNCTION("""COMPUTED_VALUE"""),2.0)</f>
        <v>2</v>
      </c>
      <c r="F275" s="77">
        <f>IFERROR(__xludf.DUMMYFUNCTION("""COMPUTED_VALUE"""),1926.0)</f>
        <v>1926</v>
      </c>
      <c r="G275" s="77">
        <f>IFERROR(__xludf.DUMMYFUNCTION("""COMPUTED_VALUE"""),12.0)</f>
        <v>12</v>
      </c>
      <c r="H275" s="77">
        <f>IFERROR(__xludf.DUMMYFUNCTION("""COMPUTED_VALUE"""),23.0)</f>
        <v>23</v>
      </c>
      <c r="I275" s="77">
        <f>IFERROR(__xludf.DUMMYFUNCTION("""COMPUTED_VALUE"""),100.0)</f>
        <v>100</v>
      </c>
      <c r="J275" s="73"/>
      <c r="K275" s="73"/>
      <c r="L275" s="73"/>
      <c r="M275" s="77">
        <f>IFERROR(__xludf.DUMMYFUNCTION("""COMPUTED_VALUE"""),0.12)</f>
        <v>0.12</v>
      </c>
      <c r="N275" s="77">
        <f>IFERROR(__xludf.DUMMYFUNCTION("""COMPUTED_VALUE"""),1.0)</f>
        <v>1</v>
      </c>
      <c r="O275" s="49"/>
      <c r="P275" s="49" t="str">
        <f>IFERROR(__xludf.DUMMYFUNCTION("""COMPUTED_VALUE"""),"Offset")</f>
        <v>Offset</v>
      </c>
      <c r="Q275" s="49" t="str">
        <f>IFERROR(__xludf.DUMMYFUNCTION("""COMPUTED_VALUE"""),"Packaging")</f>
        <v>Packaging</v>
      </c>
      <c r="R275" s="49" t="str">
        <f>IFERROR(__xludf.DUMMYFUNCTION("""COMPUTED_VALUE"""),"Bakery")</f>
        <v>Bakery</v>
      </c>
    </row>
    <row r="276">
      <c r="A276" s="156" t="str">
        <f>IFERROR(__xludf.DUMMYFUNCTION("""COMPUTED_VALUE"""),"https://drive.google.com/open?id=1ydjOEP2AsU6zcRL7OI7td7ba8ikvCRtH&amp;usp=drive_fs")</f>
        <v>https://drive.google.com/open?id=1ydjOEP2AsU6zcRL7OI7td7ba8ikvCRtH&amp;usp=drive_fs</v>
      </c>
      <c r="B276" s="73" t="str">
        <f>IFERROR(__xludf.DUMMYFUNCTION("""COMPUTED_VALUE"""),"Bakery Online")</f>
        <v>Bakery Online</v>
      </c>
      <c r="C276" s="73" t="str">
        <f>IFERROR(__xludf.DUMMYFUNCTION("""COMPUTED_VALUE"""),"Carry Bag")</f>
        <v>Carry Bag</v>
      </c>
      <c r="D276" s="73" t="str">
        <f>IFERROR(__xludf.DUMMYFUNCTION("""COMPUTED_VALUE"""),"152*101*254 mm | 6*4*10 inches")</f>
        <v>152*101*254 mm | 6*4*10 inches</v>
      </c>
      <c r="E276" s="77">
        <f>IFERROR(__xludf.DUMMYFUNCTION("""COMPUTED_VALUE"""),1.0)</f>
        <v>1</v>
      </c>
      <c r="F276" s="77">
        <f>IFERROR(__xludf.DUMMYFUNCTION("""COMPUTED_VALUE"""),1926.0)</f>
        <v>1926</v>
      </c>
      <c r="G276" s="77">
        <f>IFERROR(__xludf.DUMMYFUNCTION("""COMPUTED_VALUE"""),22.0)</f>
        <v>22</v>
      </c>
      <c r="H276" s="77">
        <f>IFERROR(__xludf.DUMMYFUNCTION("""COMPUTED_VALUE"""),14.0)</f>
        <v>14</v>
      </c>
      <c r="I276" s="77">
        <f>IFERROR(__xludf.DUMMYFUNCTION("""COMPUTED_VALUE"""),100.0)</f>
        <v>100</v>
      </c>
      <c r="J276" s="73"/>
      <c r="K276" s="73"/>
      <c r="L276" s="73"/>
      <c r="M276" s="77">
        <f>IFERROR(__xludf.DUMMYFUNCTION("""COMPUTED_VALUE"""),3.0)</f>
        <v>3</v>
      </c>
      <c r="N276" s="77">
        <f>IFERROR(__xludf.DUMMYFUNCTION("""COMPUTED_VALUE"""),1.0)</f>
        <v>1</v>
      </c>
      <c r="O276" s="49"/>
      <c r="P276" s="49" t="str">
        <f>IFERROR(__xludf.DUMMYFUNCTION("""COMPUTED_VALUE"""),"Offset")</f>
        <v>Offset</v>
      </c>
      <c r="Q276" s="49" t="str">
        <f>IFERROR(__xludf.DUMMYFUNCTION("""COMPUTED_VALUE"""),"Packaging")</f>
        <v>Packaging</v>
      </c>
      <c r="R276" s="49" t="str">
        <f>IFERROR(__xludf.DUMMYFUNCTION("""COMPUTED_VALUE"""),"Bakery Online")</f>
        <v>Bakery Online</v>
      </c>
    </row>
    <row r="277">
      <c r="A277" s="156" t="str">
        <f>IFERROR(__xludf.DUMMYFUNCTION("""COMPUTED_VALUE"""),"https://drive.google.com/open?id=1j6srDsN8h0Eoih228t_1pP30sH9z7iaz&amp;usp=drive_fs")</f>
        <v>https://drive.google.com/open?id=1j6srDsN8h0Eoih228t_1pP30sH9z7iaz&amp;usp=drive_fs</v>
      </c>
      <c r="B277" s="73" t="str">
        <f>IFERROR(__xludf.DUMMYFUNCTION("""COMPUTED_VALUE"""),"Bakery Online")</f>
        <v>Bakery Online</v>
      </c>
      <c r="C277" s="73" t="str">
        <f>IFERROR(__xludf.DUMMYFUNCTION("""COMPUTED_VALUE"""),"Carry Bag")</f>
        <v>Carry Bag</v>
      </c>
      <c r="D277" s="73" t="str">
        <f>IFERROR(__xludf.DUMMYFUNCTION("""COMPUTED_VALUE"""),"228*215*210 mm | 9*8.5*8.25 inches")</f>
        <v>228*215*210 mm | 9*8.5*8.25 inches</v>
      </c>
      <c r="E277" s="77">
        <f>IFERROR(__xludf.DUMMYFUNCTION("""COMPUTED_VALUE"""),1.0)</f>
        <v>1</v>
      </c>
      <c r="F277" s="77">
        <f>IFERROR(__xludf.DUMMYFUNCTION("""COMPUTED_VALUE"""),2840.0)</f>
        <v>2840</v>
      </c>
      <c r="G277" s="77">
        <f>IFERROR(__xludf.DUMMYFUNCTION("""COMPUTED_VALUE"""),20.0)</f>
        <v>20</v>
      </c>
      <c r="H277" s="77">
        <f>IFERROR(__xludf.DUMMYFUNCTION("""COMPUTED_VALUE"""),30.0)</f>
        <v>30</v>
      </c>
      <c r="I277" s="77">
        <f>IFERROR(__xludf.DUMMYFUNCTION("""COMPUTED_VALUE"""),100.0)</f>
        <v>100</v>
      </c>
      <c r="J277" s="73"/>
      <c r="K277" s="73"/>
      <c r="L277" s="73"/>
      <c r="M277" s="77">
        <f>IFERROR(__xludf.DUMMYFUNCTION("""COMPUTED_VALUE"""),7.0)</f>
        <v>7</v>
      </c>
      <c r="N277" s="77">
        <f>IFERROR(__xludf.DUMMYFUNCTION("""COMPUTED_VALUE"""),1.0)</f>
        <v>1</v>
      </c>
      <c r="O277" s="49"/>
      <c r="P277" s="49" t="str">
        <f>IFERROR(__xludf.DUMMYFUNCTION("""COMPUTED_VALUE"""),"Offset")</f>
        <v>Offset</v>
      </c>
      <c r="Q277" s="49" t="str">
        <f>IFERROR(__xludf.DUMMYFUNCTION("""COMPUTED_VALUE"""),"Packaging")</f>
        <v>Packaging</v>
      </c>
      <c r="R277" s="49" t="str">
        <f>IFERROR(__xludf.DUMMYFUNCTION("""COMPUTED_VALUE"""),"Bakery Online")</f>
        <v>Bakery Online</v>
      </c>
    </row>
    <row r="278">
      <c r="A278" s="156" t="str">
        <f>IFERROR(__xludf.DUMMYFUNCTION("""COMPUTED_VALUE"""),"https://drive.google.com/open?id=1VmEJ0hMWEVDOnhhwbRNmklx7KgW6I6qS&amp;usp=drive_fs")</f>
        <v>https://drive.google.com/open?id=1VmEJ0hMWEVDOnhhwbRNmklx7KgW6I6qS&amp;usp=drive_fs</v>
      </c>
      <c r="B278" s="73" t="str">
        <f>IFERROR(__xludf.DUMMYFUNCTION("""COMPUTED_VALUE"""),"Bakery Online")</f>
        <v>Bakery Online</v>
      </c>
      <c r="C278" s="73" t="str">
        <f>IFERROR(__xludf.DUMMYFUNCTION("""COMPUTED_VALUE"""),"Carry Bag")</f>
        <v>Carry Bag</v>
      </c>
      <c r="D278" s="73" t="str">
        <f>IFERROR(__xludf.DUMMYFUNCTION("""COMPUTED_VALUE"""),"280*266*228 mm | 11*10.5*9 inches")</f>
        <v>280*266*228 mm | 11*10.5*9 inches</v>
      </c>
      <c r="E278" s="77">
        <f>IFERROR(__xludf.DUMMYFUNCTION("""COMPUTED_VALUE"""),0.5)</f>
        <v>0.5</v>
      </c>
      <c r="F278" s="77">
        <f>IFERROR(__xludf.DUMMYFUNCTION("""COMPUTED_VALUE"""),1926.0)</f>
        <v>1926</v>
      </c>
      <c r="G278" s="77">
        <f>IFERROR(__xludf.DUMMYFUNCTION("""COMPUTED_VALUE"""),18.0)</f>
        <v>18</v>
      </c>
      <c r="H278" s="77">
        <f>IFERROR(__xludf.DUMMYFUNCTION("""COMPUTED_VALUE"""),23.0)</f>
        <v>23</v>
      </c>
      <c r="I278" s="77">
        <f>IFERROR(__xludf.DUMMYFUNCTION("""COMPUTED_VALUE"""),100.0)</f>
        <v>100</v>
      </c>
      <c r="J278" s="73"/>
      <c r="K278" s="73"/>
      <c r="L278" s="73"/>
      <c r="M278" s="77">
        <f>IFERROR(__xludf.DUMMYFUNCTION("""COMPUTED_VALUE"""),7.0)</f>
        <v>7</v>
      </c>
      <c r="N278" s="77">
        <f>IFERROR(__xludf.DUMMYFUNCTION("""COMPUTED_VALUE"""),1.0)</f>
        <v>1</v>
      </c>
      <c r="O278" s="49"/>
      <c r="P278" s="49" t="str">
        <f>IFERROR(__xludf.DUMMYFUNCTION("""COMPUTED_VALUE"""),"Offset")</f>
        <v>Offset</v>
      </c>
      <c r="Q278" s="49" t="str">
        <f>IFERROR(__xludf.DUMMYFUNCTION("""COMPUTED_VALUE"""),"Packaging")</f>
        <v>Packaging</v>
      </c>
      <c r="R278" s="49" t="str">
        <f>IFERROR(__xludf.DUMMYFUNCTION("""COMPUTED_VALUE"""),"Bakery Online")</f>
        <v>Bakery Online</v>
      </c>
    </row>
    <row r="279">
      <c r="A279" s="156" t="str">
        <f>IFERROR(__xludf.DUMMYFUNCTION("""COMPUTED_VALUE"""),"https://drive.google.com/open?id=19GPz8u-TRBxP2gvirYMVYL9210bnRTmb&amp;usp=drive_fs")</f>
        <v>https://drive.google.com/open?id=19GPz8u-TRBxP2gvirYMVYL9210bnRTmb&amp;usp=drive_fs</v>
      </c>
      <c r="B279" s="73" t="str">
        <f>IFERROR(__xludf.DUMMYFUNCTION("""COMPUTED_VALUE"""),"Bakery Online")</f>
        <v>Bakery Online</v>
      </c>
      <c r="C279" s="73" t="str">
        <f>IFERROR(__xludf.DUMMYFUNCTION("""COMPUTED_VALUE"""),"Cake Box")</f>
        <v>Cake Box</v>
      </c>
      <c r="D279" s="73" t="str">
        <f>IFERROR(__xludf.DUMMYFUNCTION("""COMPUTED_VALUE"""),"200*200*100 mm | 8*8*4 inches")</f>
        <v>200*200*100 mm | 8*8*4 inches</v>
      </c>
      <c r="E279" s="77">
        <f>IFERROR(__xludf.DUMMYFUNCTION("""COMPUTED_VALUE"""),2.0)</f>
        <v>2</v>
      </c>
      <c r="F279" s="77">
        <f>IFERROR(__xludf.DUMMYFUNCTION("""COMPUTED_VALUE"""),2840.0)</f>
        <v>2840</v>
      </c>
      <c r="G279" s="77">
        <f>IFERROR(__xludf.DUMMYFUNCTION("""COMPUTED_VALUE"""),28.0)</f>
        <v>28</v>
      </c>
      <c r="H279" s="77">
        <f>IFERROR(__xludf.DUMMYFUNCTION("""COMPUTED_VALUE"""),35.0)</f>
        <v>35</v>
      </c>
      <c r="I279" s="77">
        <f>IFERROR(__xludf.DUMMYFUNCTION("""COMPUTED_VALUE"""),100.0)</f>
        <v>100</v>
      </c>
      <c r="J279" s="73"/>
      <c r="K279" s="73"/>
      <c r="L279" s="73"/>
      <c r="M279" s="77"/>
      <c r="N279" s="77">
        <f>IFERROR(__xludf.DUMMYFUNCTION("""COMPUTED_VALUE"""),1.0)</f>
        <v>1</v>
      </c>
      <c r="O279" s="49"/>
      <c r="P279" s="49" t="str">
        <f>IFERROR(__xludf.DUMMYFUNCTION("""COMPUTED_VALUE"""),"Offset")</f>
        <v>Offset</v>
      </c>
      <c r="Q279" s="49" t="str">
        <f>IFERROR(__xludf.DUMMYFUNCTION("""COMPUTED_VALUE"""),"Packaging")</f>
        <v>Packaging</v>
      </c>
      <c r="R279" s="49" t="str">
        <f>IFERROR(__xludf.DUMMYFUNCTION("""COMPUTED_VALUE"""),"Bakery Online")</f>
        <v>Bakery Online</v>
      </c>
    </row>
    <row r="280">
      <c r="A280" s="156" t="str">
        <f>IFERROR(__xludf.DUMMYFUNCTION("""COMPUTED_VALUE"""),"https://drive.google.com/open?id=1hAszShJMuZjq5N9JMu0a1hw87U8Vs5m1&amp;usp=drive_fs")</f>
        <v>https://drive.google.com/open?id=1hAszShJMuZjq5N9JMu0a1hw87U8Vs5m1&amp;usp=drive_fs</v>
      </c>
      <c r="B280" s="73" t="str">
        <f>IFERROR(__xludf.DUMMYFUNCTION("""COMPUTED_VALUE"""),"Bakery Online")</f>
        <v>Bakery Online</v>
      </c>
      <c r="C280" s="73" t="str">
        <f>IFERROR(__xludf.DUMMYFUNCTION("""COMPUTED_VALUE"""),"Cup Cake 1")</f>
        <v>Cup Cake 1</v>
      </c>
      <c r="D280" s="73" t="str">
        <f>IFERROR(__xludf.DUMMYFUNCTION("""COMPUTED_VALUE"""),"100*100*100 mm | 4*4*4 inches")</f>
        <v>100*100*100 mm | 4*4*4 inches</v>
      </c>
      <c r="E280" s="77">
        <f>IFERROR(__xludf.DUMMYFUNCTION("""COMPUTED_VALUE"""),1.0)</f>
        <v>1</v>
      </c>
      <c r="F280" s="77">
        <f>IFERROR(__xludf.DUMMYFUNCTION("""COMPUTED_VALUE"""),1926.0)</f>
        <v>1926</v>
      </c>
      <c r="G280" s="77">
        <f>IFERROR(__xludf.DUMMYFUNCTION("""COMPUTED_VALUE"""),15.75)</f>
        <v>15.75</v>
      </c>
      <c r="H280" s="77">
        <f>IFERROR(__xludf.DUMMYFUNCTION("""COMPUTED_VALUE"""),20.75)</f>
        <v>20.75</v>
      </c>
      <c r="I280" s="77">
        <f>IFERROR(__xludf.DUMMYFUNCTION("""COMPUTED_VALUE"""),100.0)</f>
        <v>100</v>
      </c>
      <c r="J280" s="73"/>
      <c r="K280" s="73"/>
      <c r="L280" s="73">
        <f>IFERROR(__xludf.DUMMYFUNCTION("""COMPUTED_VALUE"""),2.0)</f>
        <v>2</v>
      </c>
      <c r="M280" s="77"/>
      <c r="N280" s="77">
        <f>IFERROR(__xludf.DUMMYFUNCTION("""COMPUTED_VALUE"""),1.0)</f>
        <v>1</v>
      </c>
      <c r="O280" s="49"/>
      <c r="P280" s="49" t="str">
        <f>IFERROR(__xludf.DUMMYFUNCTION("""COMPUTED_VALUE"""),"Offset")</f>
        <v>Offset</v>
      </c>
      <c r="Q280" s="49" t="str">
        <f>IFERROR(__xludf.DUMMYFUNCTION("""COMPUTED_VALUE"""),"Packaging")</f>
        <v>Packaging</v>
      </c>
      <c r="R280" s="49" t="str">
        <f>IFERROR(__xludf.DUMMYFUNCTION("""COMPUTED_VALUE"""),"Bakery Online")</f>
        <v>Bakery Online</v>
      </c>
    </row>
    <row r="281">
      <c r="A281" s="156" t="str">
        <f>IFERROR(__xludf.DUMMYFUNCTION("""COMPUTED_VALUE"""),"https://drive.google.com/open?id=1FOs4LqDgyWqfDzsKarrF3_N8xMfV7bww&amp;usp=drive_fs")</f>
        <v>https://drive.google.com/open?id=1FOs4LqDgyWqfDzsKarrF3_N8xMfV7bww&amp;usp=drive_fs</v>
      </c>
      <c r="B281" s="73" t="str">
        <f>IFERROR(__xludf.DUMMYFUNCTION("""COMPUTED_VALUE"""),"Bakery Online")</f>
        <v>Bakery Online</v>
      </c>
      <c r="C281" s="73" t="str">
        <f>IFERROR(__xludf.DUMMYFUNCTION("""COMPUTED_VALUE"""),"Cup Cake 2")</f>
        <v>Cup Cake 2</v>
      </c>
      <c r="D281" s="73" t="str">
        <f>IFERROR(__xludf.DUMMYFUNCTION("""COMPUTED_VALUE"""),"178*114*76 mm | 7*4.5*3 inches with Tray")</f>
        <v>178*114*76 mm | 7*4.5*3 inches with Tray</v>
      </c>
      <c r="E281" s="77">
        <f>IFERROR(__xludf.DUMMYFUNCTION("""COMPUTED_VALUE"""),1.0)</f>
        <v>1</v>
      </c>
      <c r="F281" s="77">
        <f>IFERROR(__xludf.DUMMYFUNCTION("""COMPUTED_VALUE"""),1926.0)</f>
        <v>1926</v>
      </c>
      <c r="G281" s="77">
        <f>IFERROR(__xludf.DUMMYFUNCTION("""COMPUTED_VALUE"""),14.0)</f>
        <v>14</v>
      </c>
      <c r="H281" s="77">
        <f>IFERROR(__xludf.DUMMYFUNCTION("""COMPUTED_VALUE"""),22.0)</f>
        <v>22</v>
      </c>
      <c r="I281" s="77">
        <f>IFERROR(__xludf.DUMMYFUNCTION("""COMPUTED_VALUE"""),100.0)</f>
        <v>100</v>
      </c>
      <c r="J281" s="73"/>
      <c r="K281" s="73"/>
      <c r="L281" s="73">
        <f>IFERROR(__xludf.DUMMYFUNCTION("""COMPUTED_VALUE"""),2.0)</f>
        <v>2</v>
      </c>
      <c r="M281" s="77"/>
      <c r="N281" s="77">
        <f>IFERROR(__xludf.DUMMYFUNCTION("""COMPUTED_VALUE"""),1.0)</f>
        <v>1</v>
      </c>
      <c r="O281" s="49"/>
      <c r="P281" s="49" t="str">
        <f>IFERROR(__xludf.DUMMYFUNCTION("""COMPUTED_VALUE"""),"Offset")</f>
        <v>Offset</v>
      </c>
      <c r="Q281" s="49" t="str">
        <f>IFERROR(__xludf.DUMMYFUNCTION("""COMPUTED_VALUE"""),"Packaging")</f>
        <v>Packaging</v>
      </c>
      <c r="R281" s="49" t="str">
        <f>IFERROR(__xludf.DUMMYFUNCTION("""COMPUTED_VALUE"""),"Bakery Online")</f>
        <v>Bakery Online</v>
      </c>
    </row>
    <row r="282">
      <c r="A282" s="156" t="str">
        <f>IFERROR(__xludf.DUMMYFUNCTION("""COMPUTED_VALUE"""),"https://drive.google.com/open?id=1W0xoEC7RS-SF40vt1nUGmtRBMrBjO-xC&amp;usp=drive_fs")</f>
        <v>https://drive.google.com/open?id=1W0xoEC7RS-SF40vt1nUGmtRBMrBjO-xC&amp;usp=drive_fs</v>
      </c>
      <c r="B282" s="73" t="str">
        <f>IFERROR(__xludf.DUMMYFUNCTION("""COMPUTED_VALUE"""),"Bakery Online")</f>
        <v>Bakery Online</v>
      </c>
      <c r="C282" s="73" t="str">
        <f>IFERROR(__xludf.DUMMYFUNCTION("""COMPUTED_VALUE"""),"Cup Cake 3")</f>
        <v>Cup Cake 3</v>
      </c>
      <c r="D282" s="73" t="str">
        <f>IFERROR(__xludf.DUMMYFUNCTION("""COMPUTED_VALUE"""),"267*114*76 mm | 10.5*4.5*3 inches with Tray")</f>
        <v>267*114*76 mm | 10.5*4.5*3 inches with Tray</v>
      </c>
      <c r="E282" s="77">
        <f>IFERROR(__xludf.DUMMYFUNCTION("""COMPUTED_VALUE"""),1.0)</f>
        <v>1</v>
      </c>
      <c r="F282" s="77">
        <f>IFERROR(__xludf.DUMMYFUNCTION("""COMPUTED_VALUE"""),1926.0)</f>
        <v>1926</v>
      </c>
      <c r="G282" s="77">
        <f>IFERROR(__xludf.DUMMYFUNCTION("""COMPUTED_VALUE"""),18.0)</f>
        <v>18</v>
      </c>
      <c r="H282" s="77">
        <f>IFERROR(__xludf.DUMMYFUNCTION("""COMPUTED_VALUE"""),23.0)</f>
        <v>23</v>
      </c>
      <c r="I282" s="77">
        <f>IFERROR(__xludf.DUMMYFUNCTION("""COMPUTED_VALUE"""),100.0)</f>
        <v>100</v>
      </c>
      <c r="J282" s="73"/>
      <c r="K282" s="73"/>
      <c r="L282" s="73">
        <f>IFERROR(__xludf.DUMMYFUNCTION("""COMPUTED_VALUE"""),3.0)</f>
        <v>3</v>
      </c>
      <c r="M282" s="77"/>
      <c r="N282" s="77">
        <f>IFERROR(__xludf.DUMMYFUNCTION("""COMPUTED_VALUE"""),1.0)</f>
        <v>1</v>
      </c>
      <c r="O282" s="49"/>
      <c r="P282" s="49" t="str">
        <f>IFERROR(__xludf.DUMMYFUNCTION("""COMPUTED_VALUE"""),"Offset")</f>
        <v>Offset</v>
      </c>
      <c r="Q282" s="49" t="str">
        <f>IFERROR(__xludf.DUMMYFUNCTION("""COMPUTED_VALUE"""),"Packaging")</f>
        <v>Packaging</v>
      </c>
      <c r="R282" s="49" t="str">
        <f>IFERROR(__xludf.DUMMYFUNCTION("""COMPUTED_VALUE"""),"Bakery Online")</f>
        <v>Bakery Online</v>
      </c>
    </row>
    <row r="283">
      <c r="A283" s="156" t="str">
        <f>IFERROR(__xludf.DUMMYFUNCTION("""COMPUTED_VALUE"""),"https://drive.google.com/open?id=1DDTN8BnAKiF6Ft1h5EHsQ7whXVJcRtOu&amp;usp=drive_fs")</f>
        <v>https://drive.google.com/open?id=1DDTN8BnAKiF6Ft1h5EHsQ7whXVJcRtOu&amp;usp=drive_fs</v>
      </c>
      <c r="B283" s="73" t="str">
        <f>IFERROR(__xludf.DUMMYFUNCTION("""COMPUTED_VALUE"""),"Bakery Online")</f>
        <v>Bakery Online</v>
      </c>
      <c r="C283" s="73" t="str">
        <f>IFERROR(__xludf.DUMMYFUNCTION("""COMPUTED_VALUE"""),"Cup Cake 4")</f>
        <v>Cup Cake 4</v>
      </c>
      <c r="D283" s="73" t="str">
        <f>IFERROR(__xludf.DUMMYFUNCTION("""COMPUTED_VALUE"""),"178*178*89 mm | 7*7*3.5 inches w/o Tray")</f>
        <v>178*178*89 mm | 7*7*3.5 inches w/o Tray</v>
      </c>
      <c r="E283" s="77">
        <f>IFERROR(__xludf.DUMMYFUNCTION("""COMPUTED_VALUE"""),1.0)</f>
        <v>1</v>
      </c>
      <c r="F283" s="77">
        <f>IFERROR(__xludf.DUMMYFUNCTION("""COMPUTED_VALUE"""),1926.0)</f>
        <v>1926</v>
      </c>
      <c r="G283" s="77">
        <f>IFERROR(__xludf.DUMMYFUNCTION("""COMPUTED_VALUE"""),14.0)</f>
        <v>14</v>
      </c>
      <c r="H283" s="77">
        <f>IFERROR(__xludf.DUMMYFUNCTION("""COMPUTED_VALUE"""),22.0)</f>
        <v>22</v>
      </c>
      <c r="I283" s="77">
        <f>IFERROR(__xludf.DUMMYFUNCTION("""COMPUTED_VALUE"""),100.0)</f>
        <v>100</v>
      </c>
      <c r="J283" s="73"/>
      <c r="K283" s="73"/>
      <c r="L283" s="73">
        <f>IFERROR(__xludf.DUMMYFUNCTION("""COMPUTED_VALUE"""),4.0)</f>
        <v>4</v>
      </c>
      <c r="M283" s="77"/>
      <c r="N283" s="77">
        <f>IFERROR(__xludf.DUMMYFUNCTION("""COMPUTED_VALUE"""),1.0)</f>
        <v>1</v>
      </c>
      <c r="O283" s="49"/>
      <c r="P283" s="49" t="str">
        <f>IFERROR(__xludf.DUMMYFUNCTION("""COMPUTED_VALUE"""),"Offset")</f>
        <v>Offset</v>
      </c>
      <c r="Q283" s="49" t="str">
        <f>IFERROR(__xludf.DUMMYFUNCTION("""COMPUTED_VALUE"""),"Packaging")</f>
        <v>Packaging</v>
      </c>
      <c r="R283" s="49" t="str">
        <f>IFERROR(__xludf.DUMMYFUNCTION("""COMPUTED_VALUE"""),"Bakery Online")</f>
        <v>Bakery Online</v>
      </c>
    </row>
    <row r="284">
      <c r="A284" s="156" t="str">
        <f>IFERROR(__xludf.DUMMYFUNCTION("""COMPUTED_VALUE"""),"https://drive.google.com/open?id=1AW0Sk0TkUSfcUJJLcq9TWFtuehe_D6TO&amp;usp=drive_fs")</f>
        <v>https://drive.google.com/open?id=1AW0Sk0TkUSfcUJJLcq9TWFtuehe_D6TO&amp;usp=drive_fs</v>
      </c>
      <c r="B284" s="73" t="str">
        <f>IFERROR(__xludf.DUMMYFUNCTION("""COMPUTED_VALUE"""),"Bakery Online")</f>
        <v>Bakery Online</v>
      </c>
      <c r="C284" s="73" t="str">
        <f>IFERROR(__xludf.DUMMYFUNCTION("""COMPUTED_VALUE"""),"Cup Cake 4")</f>
        <v>Cup Cake 4</v>
      </c>
      <c r="D284" s="73" t="str">
        <f>IFERROR(__xludf.DUMMYFUNCTION("""COMPUTED_VALUE"""),"178*178*89 mm | 7*7*3.5 inches Tray")</f>
        <v>178*178*89 mm | 7*7*3.5 inches Tray</v>
      </c>
      <c r="E284" s="77">
        <f>IFERROR(__xludf.DUMMYFUNCTION("""COMPUTED_VALUE"""),6.0)</f>
        <v>6</v>
      </c>
      <c r="F284" s="77">
        <f>IFERROR(__xludf.DUMMYFUNCTION("""COMPUTED_VALUE"""),1926.0)</f>
        <v>1926</v>
      </c>
      <c r="G284" s="77">
        <f>IFERROR(__xludf.DUMMYFUNCTION("""COMPUTED_VALUE"""),19.0)</f>
        <v>19</v>
      </c>
      <c r="H284" s="77">
        <f>IFERROR(__xludf.DUMMYFUNCTION("""COMPUTED_VALUE"""),26.0)</f>
        <v>26</v>
      </c>
      <c r="I284" s="77">
        <f>IFERROR(__xludf.DUMMYFUNCTION("""COMPUTED_VALUE"""),100.0)</f>
        <v>100</v>
      </c>
      <c r="J284" s="73"/>
      <c r="K284" s="73"/>
      <c r="L284" s="73"/>
      <c r="M284" s="77"/>
      <c r="N284" s="77">
        <f>IFERROR(__xludf.DUMMYFUNCTION("""COMPUTED_VALUE"""),1.0)</f>
        <v>1</v>
      </c>
      <c r="O284" s="49"/>
      <c r="P284" s="49" t="str">
        <f>IFERROR(__xludf.DUMMYFUNCTION("""COMPUTED_VALUE"""),"Offset")</f>
        <v>Offset</v>
      </c>
      <c r="Q284" s="49" t="str">
        <f>IFERROR(__xludf.DUMMYFUNCTION("""COMPUTED_VALUE"""),"Packaging")</f>
        <v>Packaging</v>
      </c>
      <c r="R284" s="49" t="str">
        <f>IFERROR(__xludf.DUMMYFUNCTION("""COMPUTED_VALUE"""),"Bakery Online")</f>
        <v>Bakery Online</v>
      </c>
    </row>
    <row r="285">
      <c r="A285" s="156" t="str">
        <f>IFERROR(__xludf.DUMMYFUNCTION("""COMPUTED_VALUE"""),"https://drive.google.com/open?id=1AW0Sk0TkUSfcUJJLcq9TWFtuehe_D6TO&amp;usp=drive_fs")</f>
        <v>https://drive.google.com/open?id=1AW0Sk0TkUSfcUJJLcq9TWFtuehe_D6TO&amp;usp=drive_fs</v>
      </c>
      <c r="B285" s="73" t="str">
        <f>IFERROR(__xludf.DUMMYFUNCTION("""COMPUTED_VALUE"""),"Bakery Online")</f>
        <v>Bakery Online</v>
      </c>
      <c r="C285" s="73" t="str">
        <f>IFERROR(__xludf.DUMMYFUNCTION("""COMPUTED_VALUE"""),"Cup Cake 4+1")</f>
        <v>Cup Cake 4+1</v>
      </c>
      <c r="D285" s="73" t="str">
        <f>IFERROR(__xludf.DUMMYFUNCTION("""COMPUTED_VALUE"""),"279*178*102 mm | 11*7*4 inch w/o Tray")</f>
        <v>279*178*102 mm | 11*7*4 inch w/o Tray</v>
      </c>
      <c r="E285" s="77">
        <f>IFERROR(__xludf.DUMMYFUNCTION("""COMPUTED_VALUE"""),2.0)</f>
        <v>2</v>
      </c>
      <c r="F285" s="77">
        <f>IFERROR(__xludf.DUMMYFUNCTION("""COMPUTED_VALUE"""),2840.0)</f>
        <v>2840</v>
      </c>
      <c r="G285" s="77">
        <f>IFERROR(__xludf.DUMMYFUNCTION("""COMPUTED_VALUE"""),28.0)</f>
        <v>28</v>
      </c>
      <c r="H285" s="77">
        <f>IFERROR(__xludf.DUMMYFUNCTION("""COMPUTED_VALUE"""),40.0)</f>
        <v>40</v>
      </c>
      <c r="I285" s="77">
        <f>IFERROR(__xludf.DUMMYFUNCTION("""COMPUTED_VALUE"""),100.0)</f>
        <v>100</v>
      </c>
      <c r="J285" s="73"/>
      <c r="K285" s="73"/>
      <c r="L285" s="73">
        <f>IFERROR(__xludf.DUMMYFUNCTION("""COMPUTED_VALUE"""),3.0)</f>
        <v>3</v>
      </c>
      <c r="M285" s="77"/>
      <c r="N285" s="77">
        <f>IFERROR(__xludf.DUMMYFUNCTION("""COMPUTED_VALUE"""),1.0)</f>
        <v>1</v>
      </c>
      <c r="O285" s="49"/>
      <c r="P285" s="49" t="str">
        <f>IFERROR(__xludf.DUMMYFUNCTION("""COMPUTED_VALUE"""),"Offset")</f>
        <v>Offset</v>
      </c>
      <c r="Q285" s="49" t="str">
        <f>IFERROR(__xludf.DUMMYFUNCTION("""COMPUTED_VALUE"""),"Packaging")</f>
        <v>Packaging</v>
      </c>
      <c r="R285" s="49" t="str">
        <f>IFERROR(__xludf.DUMMYFUNCTION("""COMPUTED_VALUE"""),"Bakery Online")</f>
        <v>Bakery Online</v>
      </c>
    </row>
    <row r="286">
      <c r="A286" s="156" t="str">
        <f>IFERROR(__xludf.DUMMYFUNCTION("""COMPUTED_VALUE"""),"https://drive.google.com/open?id=1GV2jJfFbiomIh7OgxMUTs7fiGLYf6qBZ&amp;usp=drive_fs")</f>
        <v>https://drive.google.com/open?id=1GV2jJfFbiomIh7OgxMUTs7fiGLYf6qBZ&amp;usp=drive_fs</v>
      </c>
      <c r="B286" s="73" t="str">
        <f>IFERROR(__xludf.DUMMYFUNCTION("""COMPUTED_VALUE"""),"Bakery Online")</f>
        <v>Bakery Online</v>
      </c>
      <c r="C286" s="73" t="str">
        <f>IFERROR(__xludf.DUMMYFUNCTION("""COMPUTED_VALUE"""),"Cup Cake 4+1")</f>
        <v>Cup Cake 4+1</v>
      </c>
      <c r="D286" s="73" t="str">
        <f>IFERROR(__xludf.DUMMYFUNCTION("""COMPUTED_VALUE"""),"279*178*102 mm | 11*7*4 inch Tray")</f>
        <v>279*178*102 mm | 11*7*4 inch Tray</v>
      </c>
      <c r="E286" s="77">
        <f>IFERROR(__xludf.DUMMYFUNCTION("""COMPUTED_VALUE"""),2.0)</f>
        <v>2</v>
      </c>
      <c r="F286" s="77">
        <f>IFERROR(__xludf.DUMMYFUNCTION("""COMPUTED_VALUE"""),1926.0)</f>
        <v>1926</v>
      </c>
      <c r="G286" s="77">
        <f>IFERROR(__xludf.DUMMYFUNCTION("""COMPUTED_VALUE"""),15.75)</f>
        <v>15.75</v>
      </c>
      <c r="H286" s="77">
        <f>IFERROR(__xludf.DUMMYFUNCTION("""COMPUTED_VALUE"""),20.75)</f>
        <v>20.75</v>
      </c>
      <c r="I286" s="77">
        <f>IFERROR(__xludf.DUMMYFUNCTION("""COMPUTED_VALUE"""),100.0)</f>
        <v>100</v>
      </c>
      <c r="J286" s="73"/>
      <c r="K286" s="73"/>
      <c r="L286" s="73"/>
      <c r="M286" s="77"/>
      <c r="N286" s="77">
        <f>IFERROR(__xludf.DUMMYFUNCTION("""COMPUTED_VALUE"""),1.0)</f>
        <v>1</v>
      </c>
      <c r="O286" s="49"/>
      <c r="P286" s="49" t="str">
        <f>IFERROR(__xludf.DUMMYFUNCTION("""COMPUTED_VALUE"""),"Offset")</f>
        <v>Offset</v>
      </c>
      <c r="Q286" s="49" t="str">
        <f>IFERROR(__xludf.DUMMYFUNCTION("""COMPUTED_VALUE"""),"Packaging")</f>
        <v>Packaging</v>
      </c>
      <c r="R286" s="49" t="str">
        <f>IFERROR(__xludf.DUMMYFUNCTION("""COMPUTED_VALUE"""),"Bakery Online")</f>
        <v>Bakery Online</v>
      </c>
    </row>
    <row r="287">
      <c r="A287" s="156" t="str">
        <f>IFERROR(__xludf.DUMMYFUNCTION("""COMPUTED_VALUE"""),"https://drive.google.com/open?id=1GV2jJfFbiomIh7OgxMUTs7fiGLYf6qBZ&amp;usp=drive_fs")</f>
        <v>https://drive.google.com/open?id=1GV2jJfFbiomIh7OgxMUTs7fiGLYf6qBZ&amp;usp=drive_fs</v>
      </c>
      <c r="B287" s="73" t="str">
        <f>IFERROR(__xludf.DUMMYFUNCTION("""COMPUTED_VALUE"""),"Bakery Online")</f>
        <v>Bakery Online</v>
      </c>
      <c r="C287" s="73" t="str">
        <f>IFERROR(__xludf.DUMMYFUNCTION("""COMPUTED_VALUE"""),"Cup Cake 6")</f>
        <v>Cup Cake 6</v>
      </c>
      <c r="D287" s="73" t="str">
        <f>IFERROR(__xludf.DUMMYFUNCTION("""COMPUTED_VALUE"""),"254*178*102 mm | 10*7*4 inches w/o Tray")</f>
        <v>254*178*102 mm | 10*7*4 inches w/o Tray</v>
      </c>
      <c r="E287" s="77">
        <f>IFERROR(__xludf.DUMMYFUNCTION("""COMPUTED_VALUE"""),1.0)</f>
        <v>1</v>
      </c>
      <c r="F287" s="77">
        <f>IFERROR(__xludf.DUMMYFUNCTION("""COMPUTED_VALUE"""),1926.0)</f>
        <v>1926</v>
      </c>
      <c r="G287" s="77">
        <f>IFERROR(__xludf.DUMMYFUNCTION("""COMPUTED_VALUE"""),19.0)</f>
        <v>19</v>
      </c>
      <c r="H287" s="77">
        <f>IFERROR(__xludf.DUMMYFUNCTION("""COMPUTED_VALUE"""),26.0)</f>
        <v>26</v>
      </c>
      <c r="I287" s="77">
        <f>IFERROR(__xludf.DUMMYFUNCTION("""COMPUTED_VALUE"""),100.0)</f>
        <v>100</v>
      </c>
      <c r="J287" s="73"/>
      <c r="K287" s="73"/>
      <c r="L287" s="73">
        <f>IFERROR(__xludf.DUMMYFUNCTION("""COMPUTED_VALUE"""),4.0)</f>
        <v>4</v>
      </c>
      <c r="M287" s="77"/>
      <c r="N287" s="77">
        <f>IFERROR(__xludf.DUMMYFUNCTION("""COMPUTED_VALUE"""),1.0)</f>
        <v>1</v>
      </c>
      <c r="O287" s="49"/>
      <c r="P287" s="49" t="str">
        <f>IFERROR(__xludf.DUMMYFUNCTION("""COMPUTED_VALUE"""),"Offset")</f>
        <v>Offset</v>
      </c>
      <c r="Q287" s="49" t="str">
        <f>IFERROR(__xludf.DUMMYFUNCTION("""COMPUTED_VALUE"""),"Packaging")</f>
        <v>Packaging</v>
      </c>
      <c r="R287" s="49" t="str">
        <f>IFERROR(__xludf.DUMMYFUNCTION("""COMPUTED_VALUE"""),"Bakery Online")</f>
        <v>Bakery Online</v>
      </c>
    </row>
    <row r="288">
      <c r="A288" s="156" t="str">
        <f>IFERROR(__xludf.DUMMYFUNCTION("""COMPUTED_VALUE"""),"https://drive.google.com/open?id=1fIG1J1xMLrwBsXuROOkttFOnR23XAa3C&amp;usp=drive_fs")</f>
        <v>https://drive.google.com/open?id=1fIG1J1xMLrwBsXuROOkttFOnR23XAa3C&amp;usp=drive_fs</v>
      </c>
      <c r="B288" s="73" t="str">
        <f>IFERROR(__xludf.DUMMYFUNCTION("""COMPUTED_VALUE"""),"Bakery Online")</f>
        <v>Bakery Online</v>
      </c>
      <c r="C288" s="73" t="str">
        <f>IFERROR(__xludf.DUMMYFUNCTION("""COMPUTED_VALUE"""),"Cup Cake 6")</f>
        <v>Cup Cake 6</v>
      </c>
      <c r="D288" s="73" t="str">
        <f>IFERROR(__xludf.DUMMYFUNCTION("""COMPUTED_VALUE"""),"254*178*102 mm | 10*7*4 inches Tray")</f>
        <v>254*178*102 mm | 10*7*4 inches Tray</v>
      </c>
      <c r="E288" s="77">
        <f>IFERROR(__xludf.DUMMYFUNCTION("""COMPUTED_VALUE"""),4.0)</f>
        <v>4</v>
      </c>
      <c r="F288" s="77">
        <f>IFERROR(__xludf.DUMMYFUNCTION("""COMPUTED_VALUE"""),1926.0)</f>
        <v>1926</v>
      </c>
      <c r="G288" s="77">
        <f>IFERROR(__xludf.DUMMYFUNCTION("""COMPUTED_VALUE"""),18.0)</f>
        <v>18</v>
      </c>
      <c r="H288" s="77">
        <f>IFERROR(__xludf.DUMMYFUNCTION("""COMPUTED_VALUE"""),23.0)</f>
        <v>23</v>
      </c>
      <c r="I288" s="77">
        <f>IFERROR(__xludf.DUMMYFUNCTION("""COMPUTED_VALUE"""),100.0)</f>
        <v>100</v>
      </c>
      <c r="J288" s="73"/>
      <c r="K288" s="73"/>
      <c r="L288" s="73"/>
      <c r="M288" s="77"/>
      <c r="N288" s="77">
        <f>IFERROR(__xludf.DUMMYFUNCTION("""COMPUTED_VALUE"""),1.0)</f>
        <v>1</v>
      </c>
      <c r="O288" s="49"/>
      <c r="P288" s="49" t="str">
        <f>IFERROR(__xludf.DUMMYFUNCTION("""COMPUTED_VALUE"""),"Offset")</f>
        <v>Offset</v>
      </c>
      <c r="Q288" s="49" t="str">
        <f>IFERROR(__xludf.DUMMYFUNCTION("""COMPUTED_VALUE"""),"Packaging")</f>
        <v>Packaging</v>
      </c>
      <c r="R288" s="49" t="str">
        <f>IFERROR(__xludf.DUMMYFUNCTION("""COMPUTED_VALUE"""),"Bakery Online")</f>
        <v>Bakery Online</v>
      </c>
    </row>
    <row r="289">
      <c r="A289" s="156" t="str">
        <f>IFERROR(__xludf.DUMMYFUNCTION("""COMPUTED_VALUE"""),"https://drive.google.com/open?id=18AO4CIGwhrt_PCm1-MDukXE3xQgvIUsC&amp;usp=drive_fs")</f>
        <v>https://drive.google.com/open?id=18AO4CIGwhrt_PCm1-MDukXE3xQgvIUsC&amp;usp=drive_fs</v>
      </c>
      <c r="B289" s="73" t="str">
        <f>IFERROR(__xludf.DUMMYFUNCTION("""COMPUTED_VALUE"""),"Bakery Online")</f>
        <v>Bakery Online</v>
      </c>
      <c r="C289" s="73" t="str">
        <f>IFERROR(__xludf.DUMMYFUNCTION("""COMPUTED_VALUE"""),"Cup Cake 6")</f>
        <v>Cup Cake 6</v>
      </c>
      <c r="D289" s="73" t="str">
        <f>IFERROR(__xludf.DUMMYFUNCTION("""COMPUTED_VALUE"""),"254*178*102 mm | 10*7*4 inches with PVC Top")</f>
        <v>254*178*102 mm | 10*7*4 inches with PVC Top</v>
      </c>
      <c r="E289" s="77">
        <f>IFERROR(__xludf.DUMMYFUNCTION("""COMPUTED_VALUE"""),1.0)</f>
        <v>1</v>
      </c>
      <c r="F289" s="77">
        <f>IFERROR(__xludf.DUMMYFUNCTION("""COMPUTED_VALUE"""),1926.0)</f>
        <v>1926</v>
      </c>
      <c r="G289" s="77">
        <f>IFERROR(__xludf.DUMMYFUNCTION("""COMPUTED_VALUE"""),19.0)</f>
        <v>19</v>
      </c>
      <c r="H289" s="77">
        <f>IFERROR(__xludf.DUMMYFUNCTION("""COMPUTED_VALUE"""),26.0)</f>
        <v>26</v>
      </c>
      <c r="I289" s="77">
        <f>IFERROR(__xludf.DUMMYFUNCTION("""COMPUTED_VALUE"""),100.0)</f>
        <v>100</v>
      </c>
      <c r="J289" s="73"/>
      <c r="K289" s="73"/>
      <c r="L289" s="73">
        <f>IFERROR(__xludf.DUMMYFUNCTION("""COMPUTED_VALUE"""),15.0)</f>
        <v>15</v>
      </c>
      <c r="M289" s="77"/>
      <c r="N289" s="77">
        <f>IFERROR(__xludf.DUMMYFUNCTION("""COMPUTED_VALUE"""),1.0)</f>
        <v>1</v>
      </c>
      <c r="O289" s="49"/>
      <c r="P289" s="49" t="str">
        <f>IFERROR(__xludf.DUMMYFUNCTION("""COMPUTED_VALUE"""),"Offset")</f>
        <v>Offset</v>
      </c>
      <c r="Q289" s="49" t="str">
        <f>IFERROR(__xludf.DUMMYFUNCTION("""COMPUTED_VALUE"""),"Packaging")</f>
        <v>Packaging</v>
      </c>
      <c r="R289" s="49" t="str">
        <f>IFERROR(__xludf.DUMMYFUNCTION("""COMPUTED_VALUE"""),"Bakery Online")</f>
        <v>Bakery Online</v>
      </c>
    </row>
    <row r="290">
      <c r="A290" s="156" t="str">
        <f>IFERROR(__xludf.DUMMYFUNCTION("""COMPUTED_VALUE"""),"https://drive.google.com/open?id=10i1M2t9YnsdSqxfrMKGzdLbJgc2sQfgS&amp;usp=drive_fs")</f>
        <v>https://drive.google.com/open?id=10i1M2t9YnsdSqxfrMKGzdLbJgc2sQfgS&amp;usp=drive_fs</v>
      </c>
      <c r="B290" s="73" t="str">
        <f>IFERROR(__xludf.DUMMYFUNCTION("""COMPUTED_VALUE"""),"Bakery Online")</f>
        <v>Bakery Online</v>
      </c>
      <c r="C290" s="73" t="str">
        <f>IFERROR(__xludf.DUMMYFUNCTION("""COMPUTED_VALUE"""),"Cup Cake 8")</f>
        <v>Cup Cake 8</v>
      </c>
      <c r="D290" s="73" t="str">
        <f>IFERROR(__xludf.DUMMYFUNCTION("""COMPUTED_VALUE"""),"279*178*102 mm | 11*7*4 inch w/o Tray")</f>
        <v>279*178*102 mm | 11*7*4 inch w/o Tray</v>
      </c>
      <c r="E290" s="77">
        <f>IFERROR(__xludf.DUMMYFUNCTION("""COMPUTED_VALUE"""),2.0)</f>
        <v>2</v>
      </c>
      <c r="F290" s="77">
        <f>IFERROR(__xludf.DUMMYFUNCTION("""COMPUTED_VALUE"""),2840.0)</f>
        <v>2840</v>
      </c>
      <c r="G290" s="77">
        <f>IFERROR(__xludf.DUMMYFUNCTION("""COMPUTED_VALUE"""),28.0)</f>
        <v>28</v>
      </c>
      <c r="H290" s="77">
        <f>IFERROR(__xludf.DUMMYFUNCTION("""COMPUTED_VALUE"""),40.0)</f>
        <v>40</v>
      </c>
      <c r="I290" s="77">
        <f>IFERROR(__xludf.DUMMYFUNCTION("""COMPUTED_VALUE"""),100.0)</f>
        <v>100</v>
      </c>
      <c r="J290" s="73"/>
      <c r="K290" s="73"/>
      <c r="L290" s="73">
        <f>IFERROR(__xludf.DUMMYFUNCTION("""COMPUTED_VALUE"""),4.0)</f>
        <v>4</v>
      </c>
      <c r="M290" s="77"/>
      <c r="N290" s="77">
        <f>IFERROR(__xludf.DUMMYFUNCTION("""COMPUTED_VALUE"""),1.0)</f>
        <v>1</v>
      </c>
      <c r="O290" s="49"/>
      <c r="P290" s="49" t="str">
        <f>IFERROR(__xludf.DUMMYFUNCTION("""COMPUTED_VALUE"""),"Offset")</f>
        <v>Offset</v>
      </c>
      <c r="Q290" s="49" t="str">
        <f>IFERROR(__xludf.DUMMYFUNCTION("""COMPUTED_VALUE"""),"Packaging")</f>
        <v>Packaging</v>
      </c>
      <c r="R290" s="49" t="str">
        <f>IFERROR(__xludf.DUMMYFUNCTION("""COMPUTED_VALUE"""),"Bakery Online")</f>
        <v>Bakery Online</v>
      </c>
    </row>
    <row r="291">
      <c r="A291" s="156" t="str">
        <f>IFERROR(__xludf.DUMMYFUNCTION("""COMPUTED_VALUE"""),"https://drive.google.com/open?id=1NSydsj0hfR7pRCW6Wv-WoDmFhIfPVJMn&amp;usp=drive_fs")</f>
        <v>https://drive.google.com/open?id=1NSydsj0hfR7pRCW6Wv-WoDmFhIfPVJMn&amp;usp=drive_fs</v>
      </c>
      <c r="B291" s="73" t="str">
        <f>IFERROR(__xludf.DUMMYFUNCTION("""COMPUTED_VALUE"""),"Bakery Online")</f>
        <v>Bakery Online</v>
      </c>
      <c r="C291" s="73" t="str">
        <f>IFERROR(__xludf.DUMMYFUNCTION("""COMPUTED_VALUE"""),"Cup Cake 8")</f>
        <v>Cup Cake 8</v>
      </c>
      <c r="D291" s="73" t="str">
        <f>IFERROR(__xludf.DUMMYFUNCTION("""COMPUTED_VALUE"""),"279*178*102 mm | 11*7*4 inch Tray")</f>
        <v>279*178*102 mm | 11*7*4 inch Tray</v>
      </c>
      <c r="E291" s="77">
        <f>IFERROR(__xludf.DUMMYFUNCTION("""COMPUTED_VALUE"""),2.0)</f>
        <v>2</v>
      </c>
      <c r="F291" s="77">
        <f>IFERROR(__xludf.DUMMYFUNCTION("""COMPUTED_VALUE"""),1926.0)</f>
        <v>1926</v>
      </c>
      <c r="G291" s="77">
        <f>IFERROR(__xludf.DUMMYFUNCTION("""COMPUTED_VALUE"""),15.75)</f>
        <v>15.75</v>
      </c>
      <c r="H291" s="77">
        <f>IFERROR(__xludf.DUMMYFUNCTION("""COMPUTED_VALUE"""),20.75)</f>
        <v>20.75</v>
      </c>
      <c r="I291" s="77">
        <f>IFERROR(__xludf.DUMMYFUNCTION("""COMPUTED_VALUE"""),100.0)</f>
        <v>100</v>
      </c>
      <c r="J291" s="73"/>
      <c r="K291" s="73"/>
      <c r="L291" s="73"/>
      <c r="M291" s="77"/>
      <c r="N291" s="77">
        <f>IFERROR(__xludf.DUMMYFUNCTION("""COMPUTED_VALUE"""),1.0)</f>
        <v>1</v>
      </c>
      <c r="O291" s="49"/>
      <c r="P291" s="49" t="str">
        <f>IFERROR(__xludf.DUMMYFUNCTION("""COMPUTED_VALUE"""),"Offset")</f>
        <v>Offset</v>
      </c>
      <c r="Q291" s="49" t="str">
        <f>IFERROR(__xludf.DUMMYFUNCTION("""COMPUTED_VALUE"""),"Packaging")</f>
        <v>Packaging</v>
      </c>
      <c r="R291" s="49" t="str">
        <f>IFERROR(__xludf.DUMMYFUNCTION("""COMPUTED_VALUE"""),"Bakery Online")</f>
        <v>Bakery Online</v>
      </c>
    </row>
    <row r="292">
      <c r="A292" s="156" t="str">
        <f>IFERROR(__xludf.DUMMYFUNCTION("""COMPUTED_VALUE"""),"https://drive.google.com/open?id=1uoC7q6-EiQME2l-_8ueeEx4p71VHllzC&amp;usp=drive_fs")</f>
        <v>https://drive.google.com/open?id=1uoC7q6-EiQME2l-_8ueeEx4p71VHllzC&amp;usp=drive_fs</v>
      </c>
      <c r="B292" s="73" t="str">
        <f>IFERROR(__xludf.DUMMYFUNCTION("""COMPUTED_VALUE"""),"Bakery Online")</f>
        <v>Bakery Online</v>
      </c>
      <c r="C292" s="73" t="str">
        <f>IFERROR(__xludf.DUMMYFUNCTION("""COMPUTED_VALUE"""),"Cup Cake 9")</f>
        <v>Cup Cake 9</v>
      </c>
      <c r="D292" s="73" t="str">
        <f>IFERROR(__xludf.DUMMYFUNCTION("""COMPUTED_VALUE"""),"254*254*127 mm | 10*10*5 inches w/o Tray")</f>
        <v>254*254*127 mm | 10*10*5 inches w/o Tray</v>
      </c>
      <c r="E292" s="77">
        <f>IFERROR(__xludf.DUMMYFUNCTION("""COMPUTED_VALUE"""),1.0)</f>
        <v>1</v>
      </c>
      <c r="F292" s="77">
        <f>IFERROR(__xludf.DUMMYFUNCTION("""COMPUTED_VALUE"""),2840.0)</f>
        <v>2840</v>
      </c>
      <c r="G292" s="77">
        <f>IFERROR(__xludf.DUMMYFUNCTION("""COMPUTED_VALUE"""),31.5)</f>
        <v>31.5</v>
      </c>
      <c r="H292" s="77">
        <f>IFERROR(__xludf.DUMMYFUNCTION("""COMPUTED_VALUE"""),20.5)</f>
        <v>20.5</v>
      </c>
      <c r="I292" s="77">
        <f>IFERROR(__xludf.DUMMYFUNCTION("""COMPUTED_VALUE"""),100.0)</f>
        <v>100</v>
      </c>
      <c r="J292" s="73"/>
      <c r="K292" s="73"/>
      <c r="L292" s="73">
        <f>IFERROR(__xludf.DUMMYFUNCTION("""COMPUTED_VALUE"""),7.0)</f>
        <v>7</v>
      </c>
      <c r="M292" s="77"/>
      <c r="N292" s="77">
        <f>IFERROR(__xludf.DUMMYFUNCTION("""COMPUTED_VALUE"""),1.0)</f>
        <v>1</v>
      </c>
      <c r="O292" s="49"/>
      <c r="P292" s="49" t="str">
        <f>IFERROR(__xludf.DUMMYFUNCTION("""COMPUTED_VALUE"""),"Offset")</f>
        <v>Offset</v>
      </c>
      <c r="Q292" s="49" t="str">
        <f>IFERROR(__xludf.DUMMYFUNCTION("""COMPUTED_VALUE"""),"Packaging")</f>
        <v>Packaging</v>
      </c>
      <c r="R292" s="49" t="str">
        <f>IFERROR(__xludf.DUMMYFUNCTION("""COMPUTED_VALUE"""),"Bakery Online")</f>
        <v>Bakery Online</v>
      </c>
    </row>
    <row r="293">
      <c r="A293" s="156" t="str">
        <f>IFERROR(__xludf.DUMMYFUNCTION("""COMPUTED_VALUE"""),"https://drive.google.com/open?id=1GJtXDB0-u5Q3GwwDWogn48CGmbKDzDV5&amp;usp=drive_fs")</f>
        <v>https://drive.google.com/open?id=1GJtXDB0-u5Q3GwwDWogn48CGmbKDzDV5&amp;usp=drive_fs</v>
      </c>
      <c r="B293" s="73" t="str">
        <f>IFERROR(__xludf.DUMMYFUNCTION("""COMPUTED_VALUE"""),"Bakery Online")</f>
        <v>Bakery Online</v>
      </c>
      <c r="C293" s="73" t="str">
        <f>IFERROR(__xludf.DUMMYFUNCTION("""COMPUTED_VALUE"""),"Cup Cake 9")</f>
        <v>Cup Cake 9</v>
      </c>
      <c r="D293" s="73" t="str">
        <f>IFERROR(__xludf.DUMMYFUNCTION("""COMPUTED_VALUE"""),"254*254*127 mm | 10*10*5 inches Tray")</f>
        <v>254*254*127 mm | 10*10*5 inches Tray</v>
      </c>
      <c r="E293" s="77">
        <f>IFERROR(__xludf.DUMMYFUNCTION("""COMPUTED_VALUE"""),2.0)</f>
        <v>2</v>
      </c>
      <c r="F293" s="77">
        <f>IFERROR(__xludf.DUMMYFUNCTION("""COMPUTED_VALUE"""),1926.0)</f>
        <v>1926</v>
      </c>
      <c r="G293" s="77">
        <f>IFERROR(__xludf.DUMMYFUNCTION("""COMPUTED_VALUE"""),12.0)</f>
        <v>12</v>
      </c>
      <c r="H293" s="77">
        <f>IFERROR(__xludf.DUMMYFUNCTION("""COMPUTED_VALUE"""),23.0)</f>
        <v>23</v>
      </c>
      <c r="I293" s="77">
        <f>IFERROR(__xludf.DUMMYFUNCTION("""COMPUTED_VALUE"""),100.0)</f>
        <v>100</v>
      </c>
      <c r="J293" s="73"/>
      <c r="K293" s="73"/>
      <c r="L293" s="73"/>
      <c r="M293" s="77"/>
      <c r="N293" s="77">
        <f>IFERROR(__xludf.DUMMYFUNCTION("""COMPUTED_VALUE"""),1.0)</f>
        <v>1</v>
      </c>
      <c r="O293" s="49"/>
      <c r="P293" s="49" t="str">
        <f>IFERROR(__xludf.DUMMYFUNCTION("""COMPUTED_VALUE"""),"Offset")</f>
        <v>Offset</v>
      </c>
      <c r="Q293" s="49" t="str">
        <f>IFERROR(__xludf.DUMMYFUNCTION("""COMPUTED_VALUE"""),"Packaging")</f>
        <v>Packaging</v>
      </c>
      <c r="R293" s="49" t="str">
        <f>IFERROR(__xludf.DUMMYFUNCTION("""COMPUTED_VALUE"""),"Bakery Online")</f>
        <v>Bakery Online</v>
      </c>
    </row>
    <row r="294">
      <c r="A294" s="156" t="str">
        <f>IFERROR(__xludf.DUMMYFUNCTION("""COMPUTED_VALUE"""),"https://drive.google.com/open?id=1J7vu8xecLoV-XuTyPNy1rvzn-O_SLgZ_&amp;usp=drive_fs")</f>
        <v>https://drive.google.com/open?id=1J7vu8xecLoV-XuTyPNy1rvzn-O_SLgZ_&amp;usp=drive_fs</v>
      </c>
      <c r="B294" s="73" t="str">
        <f>IFERROR(__xludf.DUMMYFUNCTION("""COMPUTED_VALUE"""),"Bakery Online")</f>
        <v>Bakery Online</v>
      </c>
      <c r="C294" s="73" t="str">
        <f>IFERROR(__xludf.DUMMYFUNCTION("""COMPUTED_VALUE"""),"Cup Cake 12")</f>
        <v>Cup Cake 12</v>
      </c>
      <c r="D294" s="73" t="str">
        <f>IFERROR(__xludf.DUMMYFUNCTION("""COMPUTED_VALUE"""),"355*254*102 mm | 14*10*4 inches w/o Tray")</f>
        <v>355*254*102 mm | 14*10*4 inches w/o Tray</v>
      </c>
      <c r="E294" s="77">
        <f>IFERROR(__xludf.DUMMYFUNCTION("""COMPUTED_VALUE"""),1.0)</f>
        <v>1</v>
      </c>
      <c r="F294" s="77">
        <f>IFERROR(__xludf.DUMMYFUNCTION("""COMPUTED_VALUE"""),2840.0)</f>
        <v>2840</v>
      </c>
      <c r="G294" s="77">
        <f>IFERROR(__xludf.DUMMYFUNCTION("""COMPUTED_VALUE"""),25.0)</f>
        <v>25</v>
      </c>
      <c r="H294" s="77">
        <f>IFERROR(__xludf.DUMMYFUNCTION("""COMPUTED_VALUE"""),30.0)</f>
        <v>30</v>
      </c>
      <c r="I294" s="77">
        <f>IFERROR(__xludf.DUMMYFUNCTION("""COMPUTED_VALUE"""),100.0)</f>
        <v>100</v>
      </c>
      <c r="J294" s="73"/>
      <c r="K294" s="73"/>
      <c r="L294" s="73">
        <f>IFERROR(__xludf.DUMMYFUNCTION("""COMPUTED_VALUE"""),5.0)</f>
        <v>5</v>
      </c>
      <c r="M294" s="77"/>
      <c r="N294" s="77">
        <f>IFERROR(__xludf.DUMMYFUNCTION("""COMPUTED_VALUE"""),1.0)</f>
        <v>1</v>
      </c>
      <c r="O294" s="49"/>
      <c r="P294" s="49" t="str">
        <f>IFERROR(__xludf.DUMMYFUNCTION("""COMPUTED_VALUE"""),"Offset")</f>
        <v>Offset</v>
      </c>
      <c r="Q294" s="49" t="str">
        <f>IFERROR(__xludf.DUMMYFUNCTION("""COMPUTED_VALUE"""),"Packaging")</f>
        <v>Packaging</v>
      </c>
      <c r="R294" s="49" t="str">
        <f>IFERROR(__xludf.DUMMYFUNCTION("""COMPUTED_VALUE"""),"Bakery Online")</f>
        <v>Bakery Online</v>
      </c>
    </row>
    <row r="295">
      <c r="A295" s="156" t="str">
        <f>IFERROR(__xludf.DUMMYFUNCTION("""COMPUTED_VALUE"""),"https://drive.google.com/open?id=1e9W_X_VkzJuC256VCX-eebiRkq0S-DT5&amp;usp=drive_fs")</f>
        <v>https://drive.google.com/open?id=1e9W_X_VkzJuC256VCX-eebiRkq0S-DT5&amp;usp=drive_fs</v>
      </c>
      <c r="B295" s="73" t="str">
        <f>IFERROR(__xludf.DUMMYFUNCTION("""COMPUTED_VALUE"""),"Bakery Online")</f>
        <v>Bakery Online</v>
      </c>
      <c r="C295" s="73" t="str">
        <f>IFERROR(__xludf.DUMMYFUNCTION("""COMPUTED_VALUE"""),"Cup Cake 12")</f>
        <v>Cup Cake 12</v>
      </c>
      <c r="D295" s="73" t="str">
        <f>IFERROR(__xludf.DUMMYFUNCTION("""COMPUTED_VALUE"""),"355*254*102 mm | 14*10*4 inches Tray")</f>
        <v>355*254*102 mm | 14*10*4 inches Tray</v>
      </c>
      <c r="E295" s="77">
        <f>IFERROR(__xludf.DUMMYFUNCTION("""COMPUTED_VALUE"""),2.0)</f>
        <v>2</v>
      </c>
      <c r="F295" s="77">
        <f>IFERROR(__xludf.DUMMYFUNCTION("""COMPUTED_VALUE"""),1926.0)</f>
        <v>1926</v>
      </c>
      <c r="G295" s="77">
        <f>IFERROR(__xludf.DUMMYFUNCTION("""COMPUTED_VALUE"""),18.0)</f>
        <v>18</v>
      </c>
      <c r="H295" s="77">
        <f>IFERROR(__xludf.DUMMYFUNCTION("""COMPUTED_VALUE"""),23.0)</f>
        <v>23</v>
      </c>
      <c r="I295" s="77">
        <f>IFERROR(__xludf.DUMMYFUNCTION("""COMPUTED_VALUE"""),100.0)</f>
        <v>100</v>
      </c>
      <c r="J295" s="73"/>
      <c r="K295" s="73"/>
      <c r="L295" s="73"/>
      <c r="M295" s="77"/>
      <c r="N295" s="77">
        <f>IFERROR(__xludf.DUMMYFUNCTION("""COMPUTED_VALUE"""),1.0)</f>
        <v>1</v>
      </c>
      <c r="O295" s="49"/>
      <c r="P295" s="49" t="str">
        <f>IFERROR(__xludf.DUMMYFUNCTION("""COMPUTED_VALUE"""),"Offset")</f>
        <v>Offset</v>
      </c>
      <c r="Q295" s="49" t="str">
        <f>IFERROR(__xludf.DUMMYFUNCTION("""COMPUTED_VALUE"""),"Packaging")</f>
        <v>Packaging</v>
      </c>
      <c r="R295" s="49" t="str">
        <f>IFERROR(__xludf.DUMMYFUNCTION("""COMPUTED_VALUE"""),"Bakery Online")</f>
        <v>Bakery Online</v>
      </c>
    </row>
    <row r="296">
      <c r="A296" s="156" t="str">
        <f>IFERROR(__xludf.DUMMYFUNCTION("""COMPUTED_VALUE"""),"https://drive.google.com/open?id=1NtPWGCC3XPwCK2ZQROumcDT92lSUlPuU&amp;usp=drive_fs")</f>
        <v>https://drive.google.com/open?id=1NtPWGCC3XPwCK2ZQROumcDT92lSUlPuU&amp;usp=drive_fs</v>
      </c>
      <c r="B296" s="73" t="str">
        <f>IFERROR(__xludf.DUMMYFUNCTION("""COMPUTED_VALUE"""),"Bakery Online")</f>
        <v>Bakery Online</v>
      </c>
      <c r="C296" s="73" t="str">
        <f>IFERROR(__xludf.DUMMYFUNCTION("""COMPUTED_VALUE"""),"Brownie 1")</f>
        <v>Brownie 1</v>
      </c>
      <c r="D296" s="73" t="str">
        <f>IFERROR(__xludf.DUMMYFUNCTION("""COMPUTED_VALUE"""),"76*76*50 mm | 3*3*2 inches")</f>
        <v>76*76*50 mm | 3*3*2 inches</v>
      </c>
      <c r="E296" s="77">
        <f>IFERROR(__xludf.DUMMYFUNCTION("""COMPUTED_VALUE"""),4.0)</f>
        <v>4</v>
      </c>
      <c r="F296" s="77">
        <f>IFERROR(__xludf.DUMMYFUNCTION("""COMPUTED_VALUE"""),1926.0)</f>
        <v>1926</v>
      </c>
      <c r="G296" s="77">
        <f>IFERROR(__xludf.DUMMYFUNCTION("""COMPUTED_VALUE"""),14.0)</f>
        <v>14</v>
      </c>
      <c r="H296" s="77">
        <f>IFERROR(__xludf.DUMMYFUNCTION("""COMPUTED_VALUE"""),22.0)</f>
        <v>22</v>
      </c>
      <c r="I296" s="77">
        <f>IFERROR(__xludf.DUMMYFUNCTION("""COMPUTED_VALUE"""),100.0)</f>
        <v>100</v>
      </c>
      <c r="J296" s="73"/>
      <c r="K296" s="73"/>
      <c r="L296" s="73">
        <f>IFERROR(__xludf.DUMMYFUNCTION("""COMPUTED_VALUE"""),1.5)</f>
        <v>1.5</v>
      </c>
      <c r="M296" s="77"/>
      <c r="N296" s="77">
        <f>IFERROR(__xludf.DUMMYFUNCTION("""COMPUTED_VALUE"""),1.0)</f>
        <v>1</v>
      </c>
      <c r="O296" s="49"/>
      <c r="P296" s="49" t="str">
        <f>IFERROR(__xludf.DUMMYFUNCTION("""COMPUTED_VALUE"""),"Offset")</f>
        <v>Offset</v>
      </c>
      <c r="Q296" s="49" t="str">
        <f>IFERROR(__xludf.DUMMYFUNCTION("""COMPUTED_VALUE"""),"Packaging")</f>
        <v>Packaging</v>
      </c>
      <c r="R296" s="49" t="str">
        <f>IFERROR(__xludf.DUMMYFUNCTION("""COMPUTED_VALUE"""),"Bakery Online")</f>
        <v>Bakery Online</v>
      </c>
    </row>
    <row r="297">
      <c r="A297" s="156" t="str">
        <f>IFERROR(__xludf.DUMMYFUNCTION("""COMPUTED_VALUE"""),"https://drive.google.com/open?id=1-dMmhetr5vycnU3W0q2TEJNZo7uZ4FSq&amp;usp=drive_fs")</f>
        <v>https://drive.google.com/open?id=1-dMmhetr5vycnU3W0q2TEJNZo7uZ4FSq&amp;usp=drive_fs</v>
      </c>
      <c r="B297" s="73" t="str">
        <f>IFERROR(__xludf.DUMMYFUNCTION("""COMPUTED_VALUE"""),"Bakery Online")</f>
        <v>Bakery Online</v>
      </c>
      <c r="C297" s="73" t="str">
        <f>IFERROR(__xludf.DUMMYFUNCTION("""COMPUTED_VALUE"""),"Brownie 1")</f>
        <v>Brownie 1</v>
      </c>
      <c r="D297" s="73" t="str">
        <f>IFERROR(__xludf.DUMMYFUNCTION("""COMPUTED_VALUE"""),"102*102*38 mm | 4*4*1.5 inches")</f>
        <v>102*102*38 mm | 4*4*1.5 inches</v>
      </c>
      <c r="E297" s="77">
        <f>IFERROR(__xludf.DUMMYFUNCTION("""COMPUTED_VALUE"""),4.0)</f>
        <v>4</v>
      </c>
      <c r="F297" s="77">
        <f>IFERROR(__xludf.DUMMYFUNCTION("""COMPUTED_VALUE"""),1926.0)</f>
        <v>1926</v>
      </c>
      <c r="G297" s="77">
        <f>IFERROR(__xludf.DUMMYFUNCTION("""COMPUTED_VALUE"""),15.0)</f>
        <v>15</v>
      </c>
      <c r="H297" s="77">
        <f>IFERROR(__xludf.DUMMYFUNCTION("""COMPUTED_VALUE"""),25.0)</f>
        <v>25</v>
      </c>
      <c r="I297" s="77">
        <f>IFERROR(__xludf.DUMMYFUNCTION("""COMPUTED_VALUE"""),100.0)</f>
        <v>100</v>
      </c>
      <c r="J297" s="73"/>
      <c r="K297" s="73"/>
      <c r="L297" s="73">
        <f>IFERROR(__xludf.DUMMYFUNCTION("""COMPUTED_VALUE"""),1.5)</f>
        <v>1.5</v>
      </c>
      <c r="M297" s="77"/>
      <c r="N297" s="77">
        <f>IFERROR(__xludf.DUMMYFUNCTION("""COMPUTED_VALUE"""),1.0)</f>
        <v>1</v>
      </c>
      <c r="O297" s="49"/>
      <c r="P297" s="49" t="str">
        <f>IFERROR(__xludf.DUMMYFUNCTION("""COMPUTED_VALUE"""),"Offset")</f>
        <v>Offset</v>
      </c>
      <c r="Q297" s="49" t="str">
        <f>IFERROR(__xludf.DUMMYFUNCTION("""COMPUTED_VALUE"""),"Packaging")</f>
        <v>Packaging</v>
      </c>
      <c r="R297" s="49" t="str">
        <f>IFERROR(__xludf.DUMMYFUNCTION("""COMPUTED_VALUE"""),"Bakery Online")</f>
        <v>Bakery Online</v>
      </c>
    </row>
    <row r="298">
      <c r="A298" s="156" t="str">
        <f>IFERROR(__xludf.DUMMYFUNCTION("""COMPUTED_VALUE"""),"https://drive.google.com/open?id=1eyG-5Hxz4JoK3IR67YlxZMNTz0LaDVxt&amp;usp=drive_fs")</f>
        <v>https://drive.google.com/open?id=1eyG-5Hxz4JoK3IR67YlxZMNTz0LaDVxt&amp;usp=drive_fs</v>
      </c>
      <c r="B298" s="73" t="str">
        <f>IFERROR(__xludf.DUMMYFUNCTION("""COMPUTED_VALUE"""),"Bakery Online")</f>
        <v>Bakery Online</v>
      </c>
      <c r="C298" s="73" t="str">
        <f>IFERROR(__xludf.DUMMYFUNCTION("""COMPUTED_VALUE"""),"Brownie 2")</f>
        <v>Brownie 2</v>
      </c>
      <c r="D298" s="73" t="str">
        <f>IFERROR(__xludf.DUMMYFUNCTION("""COMPUTED_VALUE"""),"152*76*50 mm | 6*3*2 inches")</f>
        <v>152*76*50 mm | 6*3*2 inches</v>
      </c>
      <c r="E298" s="77">
        <f>IFERROR(__xludf.DUMMYFUNCTION("""COMPUTED_VALUE"""),4.0)</f>
        <v>4</v>
      </c>
      <c r="F298" s="77">
        <f>IFERROR(__xludf.DUMMYFUNCTION("""COMPUTED_VALUE"""),1926.0)</f>
        <v>1926</v>
      </c>
      <c r="G298" s="77">
        <f>IFERROR(__xludf.DUMMYFUNCTION("""COMPUTED_VALUE"""),12.0)</f>
        <v>12</v>
      </c>
      <c r="H298" s="77">
        <f>IFERROR(__xludf.DUMMYFUNCTION("""COMPUTED_VALUE"""),3.0)</f>
        <v>3</v>
      </c>
      <c r="I298" s="77">
        <f>IFERROR(__xludf.DUMMYFUNCTION("""COMPUTED_VALUE"""),100.0)</f>
        <v>100</v>
      </c>
      <c r="J298" s="73"/>
      <c r="K298" s="73"/>
      <c r="L298" s="73">
        <f>IFERROR(__xludf.DUMMYFUNCTION("""COMPUTED_VALUE"""),1.5)</f>
        <v>1.5</v>
      </c>
      <c r="M298" s="77"/>
      <c r="N298" s="77">
        <f>IFERROR(__xludf.DUMMYFUNCTION("""COMPUTED_VALUE"""),1.0)</f>
        <v>1</v>
      </c>
      <c r="O298" s="49"/>
      <c r="P298" s="49" t="str">
        <f>IFERROR(__xludf.DUMMYFUNCTION("""COMPUTED_VALUE"""),"Offset")</f>
        <v>Offset</v>
      </c>
      <c r="Q298" s="49" t="str">
        <f>IFERROR(__xludf.DUMMYFUNCTION("""COMPUTED_VALUE"""),"Packaging")</f>
        <v>Packaging</v>
      </c>
      <c r="R298" s="49" t="str">
        <f>IFERROR(__xludf.DUMMYFUNCTION("""COMPUTED_VALUE"""),"Bakery Online")</f>
        <v>Bakery Online</v>
      </c>
    </row>
    <row r="299">
      <c r="A299" s="156" t="str">
        <f>IFERROR(__xludf.DUMMYFUNCTION("""COMPUTED_VALUE"""),"https://drive.google.com/open?id=1NAAHAPREtF73jpo_TVOv22zTZuBz9aKA&amp;usp=drive_fs")</f>
        <v>https://drive.google.com/open?id=1NAAHAPREtF73jpo_TVOv22zTZuBz9aKA&amp;usp=drive_fs</v>
      </c>
      <c r="B299" s="73" t="str">
        <f>IFERROR(__xludf.DUMMYFUNCTION("""COMPUTED_VALUE"""),"Bakery Online")</f>
        <v>Bakery Online</v>
      </c>
      <c r="C299" s="73" t="str">
        <f>IFERROR(__xludf.DUMMYFUNCTION("""COMPUTED_VALUE"""),"Brownie 3")</f>
        <v>Brownie 3</v>
      </c>
      <c r="D299" s="73" t="str">
        <f>IFERROR(__xludf.DUMMYFUNCTION("""COMPUTED_VALUE"""),"228*76*50 mm | 9*3*2 inches")</f>
        <v>228*76*50 mm | 9*3*2 inches</v>
      </c>
      <c r="E299" s="77">
        <f>IFERROR(__xludf.DUMMYFUNCTION("""COMPUTED_VALUE"""),2.0)</f>
        <v>2</v>
      </c>
      <c r="F299" s="77">
        <f>IFERROR(__xludf.DUMMYFUNCTION("""COMPUTED_VALUE"""),1926.0)</f>
        <v>1926</v>
      </c>
      <c r="G299" s="77">
        <f>IFERROR(__xludf.DUMMYFUNCTION("""COMPUTED_VALUE"""),14.0)</f>
        <v>14</v>
      </c>
      <c r="H299" s="77">
        <f>IFERROR(__xludf.DUMMYFUNCTION("""COMPUTED_VALUE"""),22.0)</f>
        <v>22</v>
      </c>
      <c r="I299" s="77">
        <f>IFERROR(__xludf.DUMMYFUNCTION("""COMPUTED_VALUE"""),100.0)</f>
        <v>100</v>
      </c>
      <c r="J299" s="73"/>
      <c r="K299" s="73"/>
      <c r="L299" s="73">
        <f>IFERROR(__xludf.DUMMYFUNCTION("""COMPUTED_VALUE"""),2.5)</f>
        <v>2.5</v>
      </c>
      <c r="M299" s="77"/>
      <c r="N299" s="77">
        <f>IFERROR(__xludf.DUMMYFUNCTION("""COMPUTED_VALUE"""),1.0)</f>
        <v>1</v>
      </c>
      <c r="O299" s="49"/>
      <c r="P299" s="49" t="str">
        <f>IFERROR(__xludf.DUMMYFUNCTION("""COMPUTED_VALUE"""),"Offset")</f>
        <v>Offset</v>
      </c>
      <c r="Q299" s="49" t="str">
        <f>IFERROR(__xludf.DUMMYFUNCTION("""COMPUTED_VALUE"""),"Packaging")</f>
        <v>Packaging</v>
      </c>
      <c r="R299" s="49" t="str">
        <f>IFERROR(__xludf.DUMMYFUNCTION("""COMPUTED_VALUE"""),"Bakery Online")</f>
        <v>Bakery Online</v>
      </c>
    </row>
    <row r="300">
      <c r="A300" s="156" t="str">
        <f>IFERROR(__xludf.DUMMYFUNCTION("""COMPUTED_VALUE"""),"https://drive.google.com/open?id=1oggOvHJ_KGBeRWAWm-Cg0xrtVweIuyd5&amp;usp=drive_fs")</f>
        <v>https://drive.google.com/open?id=1oggOvHJ_KGBeRWAWm-Cg0xrtVweIuyd5&amp;usp=drive_fs</v>
      </c>
      <c r="B300" s="73" t="str">
        <f>IFERROR(__xludf.DUMMYFUNCTION("""COMPUTED_VALUE"""),"Bakery Online")</f>
        <v>Bakery Online</v>
      </c>
      <c r="C300" s="73" t="str">
        <f>IFERROR(__xludf.DUMMYFUNCTION("""COMPUTED_VALUE"""),"Brownie 4")</f>
        <v>Brownie 4</v>
      </c>
      <c r="D300" s="73" t="str">
        <f>IFERROR(__xludf.DUMMYFUNCTION("""COMPUTED_VALUE"""),"152*152*50 mm | 6*6*2 inches")</f>
        <v>152*152*50 mm | 6*6*2 inches</v>
      </c>
      <c r="E300" s="77">
        <f>IFERROR(__xludf.DUMMYFUNCTION("""COMPUTED_VALUE"""),2.0)</f>
        <v>2</v>
      </c>
      <c r="F300" s="77">
        <f>IFERROR(__xludf.DUMMYFUNCTION("""COMPUTED_VALUE"""),1926.0)</f>
        <v>1926</v>
      </c>
      <c r="G300" s="77">
        <f>IFERROR(__xludf.DUMMYFUNCTION("""COMPUTED_VALUE"""),18.0)</f>
        <v>18</v>
      </c>
      <c r="H300" s="77">
        <f>IFERROR(__xludf.DUMMYFUNCTION("""COMPUTED_VALUE"""),23.0)</f>
        <v>23</v>
      </c>
      <c r="I300" s="77">
        <f>IFERROR(__xludf.DUMMYFUNCTION("""COMPUTED_VALUE"""),100.0)</f>
        <v>100</v>
      </c>
      <c r="J300" s="73"/>
      <c r="K300" s="73"/>
      <c r="L300" s="73">
        <f>IFERROR(__xludf.DUMMYFUNCTION("""COMPUTED_VALUE"""),2.0)</f>
        <v>2</v>
      </c>
      <c r="M300" s="77"/>
      <c r="N300" s="77">
        <f>IFERROR(__xludf.DUMMYFUNCTION("""COMPUTED_VALUE"""),1.0)</f>
        <v>1</v>
      </c>
      <c r="O300" s="49"/>
      <c r="P300" s="49" t="str">
        <f>IFERROR(__xludf.DUMMYFUNCTION("""COMPUTED_VALUE"""),"Offset")</f>
        <v>Offset</v>
      </c>
      <c r="Q300" s="49" t="str">
        <f>IFERROR(__xludf.DUMMYFUNCTION("""COMPUTED_VALUE"""),"Packaging")</f>
        <v>Packaging</v>
      </c>
      <c r="R300" s="49" t="str">
        <f>IFERROR(__xludf.DUMMYFUNCTION("""COMPUTED_VALUE"""),"Bakery Online")</f>
        <v>Bakery Online</v>
      </c>
    </row>
    <row r="301">
      <c r="A301" s="156" t="str">
        <f>IFERROR(__xludf.DUMMYFUNCTION("""COMPUTED_VALUE"""),"https://drive.google.com/open?id=1VcltB0nOZZDQedVoJowHMsdeC5t0ZY0w&amp;usp=drive_fs")</f>
        <v>https://drive.google.com/open?id=1VcltB0nOZZDQedVoJowHMsdeC5t0ZY0w&amp;usp=drive_fs</v>
      </c>
      <c r="B301" s="73" t="str">
        <f>IFERROR(__xludf.DUMMYFUNCTION("""COMPUTED_VALUE"""),"Bakery Online")</f>
        <v>Bakery Online</v>
      </c>
      <c r="C301" s="73" t="str">
        <f>IFERROR(__xludf.DUMMYFUNCTION("""COMPUTED_VALUE"""),"Brownie 6")</f>
        <v>Brownie 6</v>
      </c>
      <c r="D301" s="73" t="str">
        <f>IFERROR(__xludf.DUMMYFUNCTION("""COMPUTED_VALUE"""),"228*152*50 mm | 9*6*2 inches")</f>
        <v>228*152*50 mm | 9*6*2 inches</v>
      </c>
      <c r="E301" s="77">
        <f>IFERROR(__xludf.DUMMYFUNCTION("""COMPUTED_VALUE"""),1.0)</f>
        <v>1</v>
      </c>
      <c r="F301" s="77">
        <f>IFERROR(__xludf.DUMMYFUNCTION("""COMPUTED_VALUE"""),1926.0)</f>
        <v>1926</v>
      </c>
      <c r="G301" s="77">
        <f>IFERROR(__xludf.DUMMYFUNCTION("""COMPUTED_VALUE"""),15.75)</f>
        <v>15.75</v>
      </c>
      <c r="H301" s="77">
        <f>IFERROR(__xludf.DUMMYFUNCTION("""COMPUTED_VALUE"""),20.75)</f>
        <v>20.75</v>
      </c>
      <c r="I301" s="77">
        <f>IFERROR(__xludf.DUMMYFUNCTION("""COMPUTED_VALUE"""),100.0)</f>
        <v>100</v>
      </c>
      <c r="J301" s="73"/>
      <c r="K301" s="73"/>
      <c r="L301" s="73">
        <f>IFERROR(__xludf.DUMMYFUNCTION("""COMPUTED_VALUE"""),2.0)</f>
        <v>2</v>
      </c>
      <c r="M301" s="77"/>
      <c r="N301" s="77">
        <f>IFERROR(__xludf.DUMMYFUNCTION("""COMPUTED_VALUE"""),1.0)</f>
        <v>1</v>
      </c>
      <c r="O301" s="49"/>
      <c r="P301" s="49" t="str">
        <f>IFERROR(__xludf.DUMMYFUNCTION("""COMPUTED_VALUE"""),"Offset")</f>
        <v>Offset</v>
      </c>
      <c r="Q301" s="49" t="str">
        <f>IFERROR(__xludf.DUMMYFUNCTION("""COMPUTED_VALUE"""),"Packaging")</f>
        <v>Packaging</v>
      </c>
      <c r="R301" s="49" t="str">
        <f>IFERROR(__xludf.DUMMYFUNCTION("""COMPUTED_VALUE"""),"Bakery Online")</f>
        <v>Bakery Online</v>
      </c>
    </row>
    <row r="302">
      <c r="A302" s="156" t="str">
        <f>IFERROR(__xludf.DUMMYFUNCTION("""COMPUTED_VALUE"""),"https://drive.google.com/open?id=1hox3SGKgkdgXzA36anhnE4VykIsWmBT8&amp;usp=drive_fs")</f>
        <v>https://drive.google.com/open?id=1hox3SGKgkdgXzA36anhnE4VykIsWmBT8&amp;usp=drive_fs</v>
      </c>
      <c r="B302" s="73" t="str">
        <f>IFERROR(__xludf.DUMMYFUNCTION("""COMPUTED_VALUE"""),"Bakery Online")</f>
        <v>Bakery Online</v>
      </c>
      <c r="C302" s="73" t="str">
        <f>IFERROR(__xludf.DUMMYFUNCTION("""COMPUTED_VALUE"""),"Brownie 9")</f>
        <v>Brownie 9</v>
      </c>
      <c r="D302" s="73" t="str">
        <f>IFERROR(__xludf.DUMMYFUNCTION("""COMPUTED_VALUE"""),"228*228*50 mm | 9*9*2 inches")</f>
        <v>228*228*50 mm | 9*9*2 inches</v>
      </c>
      <c r="E302" s="77">
        <f>IFERROR(__xludf.DUMMYFUNCTION("""COMPUTED_VALUE"""),1.0)</f>
        <v>1</v>
      </c>
      <c r="F302" s="77">
        <f>IFERROR(__xludf.DUMMYFUNCTION("""COMPUTED_VALUE"""),1926.0)</f>
        <v>1926</v>
      </c>
      <c r="G302" s="77">
        <f>IFERROR(__xludf.DUMMYFUNCTION("""COMPUTED_VALUE"""),15.0)</f>
        <v>15</v>
      </c>
      <c r="H302" s="77">
        <f>IFERROR(__xludf.DUMMYFUNCTION("""COMPUTED_VALUE"""),25.0)</f>
        <v>25</v>
      </c>
      <c r="I302" s="77">
        <f>IFERROR(__xludf.DUMMYFUNCTION("""COMPUTED_VALUE"""),100.0)</f>
        <v>100</v>
      </c>
      <c r="J302" s="73"/>
      <c r="K302" s="73"/>
      <c r="L302" s="73">
        <f>IFERROR(__xludf.DUMMYFUNCTION("""COMPUTED_VALUE"""),2.5)</f>
        <v>2.5</v>
      </c>
      <c r="M302" s="77"/>
      <c r="N302" s="77">
        <f>IFERROR(__xludf.DUMMYFUNCTION("""COMPUTED_VALUE"""),1.0)</f>
        <v>1</v>
      </c>
      <c r="O302" s="49"/>
      <c r="P302" s="49" t="str">
        <f>IFERROR(__xludf.DUMMYFUNCTION("""COMPUTED_VALUE"""),"Offset")</f>
        <v>Offset</v>
      </c>
      <c r="Q302" s="49" t="str">
        <f>IFERROR(__xludf.DUMMYFUNCTION("""COMPUTED_VALUE"""),"Packaging")</f>
        <v>Packaging</v>
      </c>
      <c r="R302" s="49" t="str">
        <f>IFERROR(__xludf.DUMMYFUNCTION("""COMPUTED_VALUE"""),"Bakery Online")</f>
        <v>Bakery Online</v>
      </c>
    </row>
    <row r="303">
      <c r="A303" s="156" t="str">
        <f>IFERROR(__xludf.DUMMYFUNCTION("""COMPUTED_VALUE"""),"https://drive.google.com/open?id=1-CNlGiro2bIkVWx_qu7zMlOjfUfZXrQf&amp;usp=drive_fs")</f>
        <v>https://drive.google.com/open?id=1-CNlGiro2bIkVWx_qu7zMlOjfUfZXrQf&amp;usp=drive_fs</v>
      </c>
      <c r="B303" s="73" t="str">
        <f>IFERROR(__xludf.DUMMYFUNCTION("""COMPUTED_VALUE"""),"Bakery Online")</f>
        <v>Bakery Online</v>
      </c>
      <c r="C303" s="73" t="str">
        <f>IFERROR(__xludf.DUMMYFUNCTION("""COMPUTED_VALUE"""),"Brownie 1")</f>
        <v>Brownie 1</v>
      </c>
      <c r="D303" s="73" t="str">
        <f>IFERROR(__xludf.DUMMYFUNCTION("""COMPUTED_VALUE"""),"76*76*44 mm | 3*3*1.75 inches with PVC Top")</f>
        <v>76*76*44 mm | 3*3*1.75 inches with PVC Top</v>
      </c>
      <c r="E303" s="77">
        <f>IFERROR(__xludf.DUMMYFUNCTION("""COMPUTED_VALUE"""),6.0)</f>
        <v>6</v>
      </c>
      <c r="F303" s="77">
        <f>IFERROR(__xludf.DUMMYFUNCTION("""COMPUTED_VALUE"""),1926.0)</f>
        <v>1926</v>
      </c>
      <c r="G303" s="77">
        <f>IFERROR(__xludf.DUMMYFUNCTION("""COMPUTED_VALUE"""),14.0)</f>
        <v>14</v>
      </c>
      <c r="H303" s="77">
        <f>IFERROR(__xludf.DUMMYFUNCTION("""COMPUTED_VALUE"""),22.0)</f>
        <v>22</v>
      </c>
      <c r="I303" s="77">
        <f>IFERROR(__xludf.DUMMYFUNCTION("""COMPUTED_VALUE"""),100.0)</f>
        <v>100</v>
      </c>
      <c r="J303" s="73"/>
      <c r="K303" s="73"/>
      <c r="L303" s="73">
        <f>IFERROR(__xludf.DUMMYFUNCTION("""COMPUTED_VALUE"""),5.0)</f>
        <v>5</v>
      </c>
      <c r="M303" s="77"/>
      <c r="N303" s="77">
        <f>IFERROR(__xludf.DUMMYFUNCTION("""COMPUTED_VALUE"""),1.0)</f>
        <v>1</v>
      </c>
      <c r="O303" s="49"/>
      <c r="P303" s="49" t="str">
        <f>IFERROR(__xludf.DUMMYFUNCTION("""COMPUTED_VALUE"""),"Offset")</f>
        <v>Offset</v>
      </c>
      <c r="Q303" s="49" t="str">
        <f>IFERROR(__xludf.DUMMYFUNCTION("""COMPUTED_VALUE"""),"Packaging")</f>
        <v>Packaging</v>
      </c>
      <c r="R303" s="49" t="str">
        <f>IFERROR(__xludf.DUMMYFUNCTION("""COMPUTED_VALUE"""),"Bakery Online")</f>
        <v>Bakery Online</v>
      </c>
    </row>
    <row r="304">
      <c r="A304" s="156" t="str">
        <f>IFERROR(__xludf.DUMMYFUNCTION("""COMPUTED_VALUE"""),"https://drive.google.com/open?id=1fjfB_89WPsFcmk8Y8lQJi6CuJmbbuWhp&amp;usp=drive_fs")</f>
        <v>https://drive.google.com/open?id=1fjfB_89WPsFcmk8Y8lQJi6CuJmbbuWhp&amp;usp=drive_fs</v>
      </c>
      <c r="B304" s="73" t="str">
        <f>IFERROR(__xludf.DUMMYFUNCTION("""COMPUTED_VALUE"""),"Bakery Online")</f>
        <v>Bakery Online</v>
      </c>
      <c r="C304" s="73" t="str">
        <f>IFERROR(__xludf.DUMMYFUNCTION("""COMPUTED_VALUE"""),"Brownie 2")</f>
        <v>Brownie 2</v>
      </c>
      <c r="D304" s="73" t="str">
        <f>IFERROR(__xludf.DUMMYFUNCTION("""COMPUTED_VALUE"""),"152*76*50 mm | 6*3*2 inches with PVC Top")</f>
        <v>152*76*50 mm | 6*3*2 inches with PVC Top</v>
      </c>
      <c r="E304" s="77">
        <f>IFERROR(__xludf.DUMMYFUNCTION("""COMPUTED_VALUE"""),4.0)</f>
        <v>4</v>
      </c>
      <c r="F304" s="77">
        <f>IFERROR(__xludf.DUMMYFUNCTION("""COMPUTED_VALUE"""),1926.0)</f>
        <v>1926</v>
      </c>
      <c r="G304" s="77">
        <f>IFERROR(__xludf.DUMMYFUNCTION("""COMPUTED_VALUE"""),15.75)</f>
        <v>15.75</v>
      </c>
      <c r="H304" s="77">
        <f>IFERROR(__xludf.DUMMYFUNCTION("""COMPUTED_VALUE"""),20.75)</f>
        <v>20.75</v>
      </c>
      <c r="I304" s="77">
        <f>IFERROR(__xludf.DUMMYFUNCTION("""COMPUTED_VALUE"""),100.0)</f>
        <v>100</v>
      </c>
      <c r="J304" s="73"/>
      <c r="K304" s="73"/>
      <c r="L304" s="73">
        <f>IFERROR(__xludf.DUMMYFUNCTION("""COMPUTED_VALUE"""),5.0)</f>
        <v>5</v>
      </c>
      <c r="M304" s="77"/>
      <c r="N304" s="77">
        <f>IFERROR(__xludf.DUMMYFUNCTION("""COMPUTED_VALUE"""),1.0)</f>
        <v>1</v>
      </c>
      <c r="O304" s="49"/>
      <c r="P304" s="49" t="str">
        <f>IFERROR(__xludf.DUMMYFUNCTION("""COMPUTED_VALUE"""),"Offset")</f>
        <v>Offset</v>
      </c>
      <c r="Q304" s="49" t="str">
        <f>IFERROR(__xludf.DUMMYFUNCTION("""COMPUTED_VALUE"""),"Packaging")</f>
        <v>Packaging</v>
      </c>
      <c r="R304" s="49" t="str">
        <f>IFERROR(__xludf.DUMMYFUNCTION("""COMPUTED_VALUE"""),"Bakery Online")</f>
        <v>Bakery Online</v>
      </c>
    </row>
    <row r="305">
      <c r="A305" s="156" t="str">
        <f>IFERROR(__xludf.DUMMYFUNCTION("""COMPUTED_VALUE"""),"https://drive.google.com/open?id=1sejzB66Uvhi836TzdmvU-DhEso8RxPeT&amp;usp=drive_fs")</f>
        <v>https://drive.google.com/open?id=1sejzB66Uvhi836TzdmvU-DhEso8RxPeT&amp;usp=drive_fs</v>
      </c>
      <c r="B305" s="73" t="str">
        <f>IFERROR(__xludf.DUMMYFUNCTION("""COMPUTED_VALUE"""),"Bakery Online")</f>
        <v>Bakery Online</v>
      </c>
      <c r="C305" s="73" t="str">
        <f>IFERROR(__xludf.DUMMYFUNCTION("""COMPUTED_VALUE"""),"Brownie 3")</f>
        <v>Brownie 3</v>
      </c>
      <c r="D305" s="73" t="str">
        <f>IFERROR(__xludf.DUMMYFUNCTION("""COMPUTED_VALUE"""),"228*76*50 mm | 9*3*2 inches with PVC Top")</f>
        <v>228*76*50 mm | 9*3*2 inches with PVC Top</v>
      </c>
      <c r="E305" s="77">
        <f>IFERROR(__xludf.DUMMYFUNCTION("""COMPUTED_VALUE"""),3.0)</f>
        <v>3</v>
      </c>
      <c r="F305" s="77">
        <f>IFERROR(__xludf.DUMMYFUNCTION("""COMPUTED_VALUE"""),1926.0)</f>
        <v>1926</v>
      </c>
      <c r="G305" s="77">
        <f>IFERROR(__xludf.DUMMYFUNCTION("""COMPUTED_VALUE"""),14.0)</f>
        <v>14</v>
      </c>
      <c r="H305" s="77">
        <f>IFERROR(__xludf.DUMMYFUNCTION("""COMPUTED_VALUE"""),22.0)</f>
        <v>22</v>
      </c>
      <c r="I305" s="77">
        <f>IFERROR(__xludf.DUMMYFUNCTION("""COMPUTED_VALUE"""),100.0)</f>
        <v>100</v>
      </c>
      <c r="J305" s="73"/>
      <c r="K305" s="73"/>
      <c r="L305" s="73">
        <f>IFERROR(__xludf.DUMMYFUNCTION("""COMPUTED_VALUE"""),5.0)</f>
        <v>5</v>
      </c>
      <c r="M305" s="77"/>
      <c r="N305" s="77">
        <f>IFERROR(__xludf.DUMMYFUNCTION("""COMPUTED_VALUE"""),1.0)</f>
        <v>1</v>
      </c>
      <c r="O305" s="49"/>
      <c r="P305" s="49" t="str">
        <f>IFERROR(__xludf.DUMMYFUNCTION("""COMPUTED_VALUE"""),"Offset")</f>
        <v>Offset</v>
      </c>
      <c r="Q305" s="49" t="str">
        <f>IFERROR(__xludf.DUMMYFUNCTION("""COMPUTED_VALUE"""),"Packaging")</f>
        <v>Packaging</v>
      </c>
      <c r="R305" s="49" t="str">
        <f>IFERROR(__xludf.DUMMYFUNCTION("""COMPUTED_VALUE"""),"Bakery Online")</f>
        <v>Bakery Online</v>
      </c>
    </row>
    <row r="306">
      <c r="A306" s="156" t="str">
        <f>IFERROR(__xludf.DUMMYFUNCTION("""COMPUTED_VALUE"""),"https://drive.google.com/open?id=1o7r67nIl_jEtuIDtM_-P8smnKLMuDiP7&amp;usp=drive_fs")</f>
        <v>https://drive.google.com/open?id=1o7r67nIl_jEtuIDtM_-P8smnKLMuDiP7&amp;usp=drive_fs</v>
      </c>
      <c r="B306" s="73" t="str">
        <f>IFERROR(__xludf.DUMMYFUNCTION("""COMPUTED_VALUE"""),"Bakery Online")</f>
        <v>Bakery Online</v>
      </c>
      <c r="C306" s="73" t="str">
        <f>IFERROR(__xludf.DUMMYFUNCTION("""COMPUTED_VALUE"""),"Brownie 4")</f>
        <v>Brownie 4</v>
      </c>
      <c r="D306" s="73" t="str">
        <f>IFERROR(__xludf.DUMMYFUNCTION("""COMPUTED_VALUE"""),"76*76*50 mm | 6*6*2 inches with PVC Top")</f>
        <v>76*76*50 mm | 6*6*2 inches with PVC Top</v>
      </c>
      <c r="E306" s="77">
        <f>IFERROR(__xludf.DUMMYFUNCTION("""COMPUTED_VALUE"""),2.0)</f>
        <v>2</v>
      </c>
      <c r="F306" s="77">
        <f>IFERROR(__xludf.DUMMYFUNCTION("""COMPUTED_VALUE"""),1926.0)</f>
        <v>1926</v>
      </c>
      <c r="G306" s="77">
        <f>IFERROR(__xludf.DUMMYFUNCTION("""COMPUTED_VALUE"""),12.0)</f>
        <v>12</v>
      </c>
      <c r="H306" s="77">
        <f>IFERROR(__xludf.DUMMYFUNCTION("""COMPUTED_VALUE"""),23.0)</f>
        <v>23</v>
      </c>
      <c r="I306" s="77">
        <f>IFERROR(__xludf.DUMMYFUNCTION("""COMPUTED_VALUE"""),100.0)</f>
        <v>100</v>
      </c>
      <c r="J306" s="73"/>
      <c r="K306" s="73"/>
      <c r="L306" s="73">
        <f>IFERROR(__xludf.DUMMYFUNCTION("""COMPUTED_VALUE"""),9.0)</f>
        <v>9</v>
      </c>
      <c r="M306" s="77"/>
      <c r="N306" s="77">
        <f>IFERROR(__xludf.DUMMYFUNCTION("""COMPUTED_VALUE"""),1.0)</f>
        <v>1</v>
      </c>
      <c r="O306" s="49"/>
      <c r="P306" s="49" t="str">
        <f>IFERROR(__xludf.DUMMYFUNCTION("""COMPUTED_VALUE"""),"Offset")</f>
        <v>Offset</v>
      </c>
      <c r="Q306" s="49" t="str">
        <f>IFERROR(__xludf.DUMMYFUNCTION("""COMPUTED_VALUE"""),"Packaging")</f>
        <v>Packaging</v>
      </c>
      <c r="R306" s="49" t="str">
        <f>IFERROR(__xludf.DUMMYFUNCTION("""COMPUTED_VALUE"""),"Bakery Online")</f>
        <v>Bakery Online</v>
      </c>
    </row>
    <row r="307">
      <c r="A307" s="156" t="str">
        <f>IFERROR(__xludf.DUMMYFUNCTION("""COMPUTED_VALUE"""),"https://drive.google.com/open?id=1gn5GR-7sB7qIO_8bavt-0FVobLqi-Guo&amp;usp=drive_fs")</f>
        <v>https://drive.google.com/open?id=1gn5GR-7sB7qIO_8bavt-0FVobLqi-Guo&amp;usp=drive_fs</v>
      </c>
      <c r="B307" s="73" t="str">
        <f>IFERROR(__xludf.DUMMYFUNCTION("""COMPUTED_VALUE"""),"Bakery Online")</f>
        <v>Bakery Online</v>
      </c>
      <c r="C307" s="73" t="str">
        <f>IFERROR(__xludf.DUMMYFUNCTION("""COMPUTED_VALUE"""),"Brownie 6")</f>
        <v>Brownie 6</v>
      </c>
      <c r="D307" s="73" t="str">
        <f>IFERROR(__xludf.DUMMYFUNCTION("""COMPUTED_VALUE"""),"228*152*50 mm | 9*6*2 inches with PVC Top")</f>
        <v>228*152*50 mm | 9*6*2 inches with PVC Top</v>
      </c>
      <c r="E307" s="77">
        <f>IFERROR(__xludf.DUMMYFUNCTION("""COMPUTED_VALUE"""),2.0)</f>
        <v>2</v>
      </c>
      <c r="F307" s="77">
        <f>IFERROR(__xludf.DUMMYFUNCTION("""COMPUTED_VALUE"""),1926.0)</f>
        <v>1926</v>
      </c>
      <c r="G307" s="77">
        <f>IFERROR(__xludf.DUMMYFUNCTION("""COMPUTED_VALUE"""),14.0)</f>
        <v>14</v>
      </c>
      <c r="H307" s="77">
        <f>IFERROR(__xludf.DUMMYFUNCTION("""COMPUTED_VALUE"""),22.0)</f>
        <v>22</v>
      </c>
      <c r="I307" s="77">
        <f>IFERROR(__xludf.DUMMYFUNCTION("""COMPUTED_VALUE"""),100.0)</f>
        <v>100</v>
      </c>
      <c r="J307" s="73"/>
      <c r="K307" s="73"/>
      <c r="L307" s="73">
        <f>IFERROR(__xludf.DUMMYFUNCTION("""COMPUTED_VALUE"""),9.0)</f>
        <v>9</v>
      </c>
      <c r="M307" s="77"/>
      <c r="N307" s="77">
        <f>IFERROR(__xludf.DUMMYFUNCTION("""COMPUTED_VALUE"""),1.0)</f>
        <v>1</v>
      </c>
      <c r="O307" s="49"/>
      <c r="P307" s="49" t="str">
        <f>IFERROR(__xludf.DUMMYFUNCTION("""COMPUTED_VALUE"""),"Offset")</f>
        <v>Offset</v>
      </c>
      <c r="Q307" s="49" t="str">
        <f>IFERROR(__xludf.DUMMYFUNCTION("""COMPUTED_VALUE"""),"Packaging")</f>
        <v>Packaging</v>
      </c>
      <c r="R307" s="49" t="str">
        <f>IFERROR(__xludf.DUMMYFUNCTION("""COMPUTED_VALUE"""),"Bakery Online")</f>
        <v>Bakery Online</v>
      </c>
    </row>
    <row r="308">
      <c r="A308" s="156" t="str">
        <f>IFERROR(__xludf.DUMMYFUNCTION("""COMPUTED_VALUE"""),"https://drive.google.com/open?id=1GvworE5g8zNCMBi0IwucU-y775YGZPBt&amp;authuser=jay.agg%40gmail.com&amp;usp=drive_fs")</f>
        <v>https://drive.google.com/open?id=1GvworE5g8zNCMBi0IwucU-y775YGZPBt&amp;authuser=jay.agg%40gmail.com&amp;usp=drive_fs</v>
      </c>
      <c r="B308" s="73" t="str">
        <f>IFERROR(__xludf.DUMMYFUNCTION("""COMPUTED_VALUE"""),"Apparel")</f>
        <v>Apparel</v>
      </c>
      <c r="C308" s="73" t="str">
        <f>IFERROR(__xludf.DUMMYFUNCTION("""COMPUTED_VALUE"""),"Lingeries")</f>
        <v>Lingeries</v>
      </c>
      <c r="D308" s="73" t="str">
        <f>IFERROR(__xludf.DUMMYFUNCTION("""COMPUTED_VALUE"""),"140*90*45 mm")</f>
        <v>140*90*45 mm</v>
      </c>
      <c r="E308" s="77">
        <f>IFERROR(__xludf.DUMMYFUNCTION("""COMPUTED_VALUE"""),4.0)</f>
        <v>4</v>
      </c>
      <c r="F308" s="77">
        <f>IFERROR(__xludf.DUMMYFUNCTION("""COMPUTED_VALUE"""),1926.0)</f>
        <v>1926</v>
      </c>
      <c r="G308" s="77">
        <f>IFERROR(__xludf.DUMMYFUNCTION("""COMPUTED_VALUE"""),18.0)</f>
        <v>18</v>
      </c>
      <c r="H308" s="77">
        <f>IFERROR(__xludf.DUMMYFUNCTION("""COMPUTED_VALUE"""),25.0)</f>
        <v>25</v>
      </c>
      <c r="I308" s="77">
        <f>IFERROR(__xludf.DUMMYFUNCTION("""COMPUTED_VALUE"""),100.0)</f>
        <v>100</v>
      </c>
      <c r="J308" s="73"/>
      <c r="K308" s="73"/>
      <c r="L308" s="73"/>
      <c r="M308" s="77">
        <f>IFERROR(__xludf.DUMMYFUNCTION("""COMPUTED_VALUE"""),0.1)</f>
        <v>0.1</v>
      </c>
      <c r="N308" s="77">
        <f>IFERROR(__xludf.DUMMYFUNCTION("""COMPUTED_VALUE"""),1.0)</f>
        <v>1</v>
      </c>
      <c r="O308" s="49"/>
      <c r="P308" s="49" t="str">
        <f>IFERROR(__xludf.DUMMYFUNCTION("""COMPUTED_VALUE"""),"Offset")</f>
        <v>Offset</v>
      </c>
      <c r="Q308" s="49" t="str">
        <f>IFERROR(__xludf.DUMMYFUNCTION("""COMPUTED_VALUE"""),"Packaging")</f>
        <v>Packaging</v>
      </c>
      <c r="R308" s="49" t="str">
        <f>IFERROR(__xludf.DUMMYFUNCTION("""COMPUTED_VALUE"""),"Apparel")</f>
        <v>Apparel</v>
      </c>
    </row>
    <row r="309">
      <c r="A309" s="156" t="str">
        <f>IFERROR(__xludf.DUMMYFUNCTION("""COMPUTED_VALUE"""),"https://drive.google.com/open?id=1GYWljFBLhgYwEzdhZBlUJh19KzAZtECG&amp;authuser=jay.agg%40gmail.com&amp;usp=drive_fs")</f>
        <v>https://drive.google.com/open?id=1GYWljFBLhgYwEzdhZBlUJh19KzAZtECG&amp;authuser=jay.agg%40gmail.com&amp;usp=drive_fs</v>
      </c>
      <c r="B309" s="73" t="str">
        <f>IFERROR(__xludf.DUMMYFUNCTION("""COMPUTED_VALUE"""),"Apparel")</f>
        <v>Apparel</v>
      </c>
      <c r="C309" s="73" t="str">
        <f>IFERROR(__xludf.DUMMYFUNCTION("""COMPUTED_VALUE"""),"Zip Box Top")</f>
        <v>Zip Box Top</v>
      </c>
      <c r="D309" s="73" t="str">
        <f>IFERROR(__xludf.DUMMYFUNCTION("""COMPUTED_VALUE"""),"155*32*260 mm Type 1")</f>
        <v>155*32*260 mm Type 1</v>
      </c>
      <c r="E309" s="77">
        <f>IFERROR(__xludf.DUMMYFUNCTION("""COMPUTED_VALUE"""),2.0)</f>
        <v>2</v>
      </c>
      <c r="F309" s="77">
        <f>IFERROR(__xludf.DUMMYFUNCTION("""COMPUTED_VALUE"""),1926.0)</f>
        <v>1926</v>
      </c>
      <c r="G309" s="77">
        <f>IFERROR(__xludf.DUMMYFUNCTION("""COMPUTED_VALUE"""),18.0)</f>
        <v>18</v>
      </c>
      <c r="H309" s="77">
        <f>IFERROR(__xludf.DUMMYFUNCTION("""COMPUTED_VALUE"""),24.0)</f>
        <v>24</v>
      </c>
      <c r="I309" s="77">
        <f>IFERROR(__xludf.DUMMYFUNCTION("""COMPUTED_VALUE"""),100.0)</f>
        <v>100</v>
      </c>
      <c r="J309" s="73"/>
      <c r="K309" s="73"/>
      <c r="L309" s="73"/>
      <c r="M309" s="77"/>
      <c r="N309" s="77">
        <f>IFERROR(__xludf.DUMMYFUNCTION("""COMPUTED_VALUE"""),1.0)</f>
        <v>1</v>
      </c>
      <c r="O309" s="49"/>
      <c r="P309" s="49" t="str">
        <f>IFERROR(__xludf.DUMMYFUNCTION("""COMPUTED_VALUE"""),"Offset")</f>
        <v>Offset</v>
      </c>
      <c r="Q309" s="49" t="str">
        <f>IFERROR(__xludf.DUMMYFUNCTION("""COMPUTED_VALUE"""),"Packaging")</f>
        <v>Packaging</v>
      </c>
      <c r="R309" s="49" t="str">
        <f>IFERROR(__xludf.DUMMYFUNCTION("""COMPUTED_VALUE"""),"Apparel")</f>
        <v>Apparel</v>
      </c>
    </row>
    <row r="310">
      <c r="A310" s="156" t="str">
        <f>IFERROR(__xludf.DUMMYFUNCTION("""COMPUTED_VALUE"""),"https://drive.google.com/open?id=1Gk0dO6SuVRr85HD3TWp0w6An2wS1YiNJ&amp;authuser=jay.agg%40gmail.com&amp;usp=drive_fs")</f>
        <v>https://drive.google.com/open?id=1Gk0dO6SuVRr85HD3TWp0w6An2wS1YiNJ&amp;authuser=jay.agg%40gmail.com&amp;usp=drive_fs</v>
      </c>
      <c r="B310" s="73" t="str">
        <f>IFERROR(__xludf.DUMMYFUNCTION("""COMPUTED_VALUE"""),"Apparel")</f>
        <v>Apparel</v>
      </c>
      <c r="C310" s="73" t="str">
        <f>IFERROR(__xludf.DUMMYFUNCTION("""COMPUTED_VALUE"""),"Zip Box Bottom")</f>
        <v>Zip Box Bottom</v>
      </c>
      <c r="D310" s="73" t="str">
        <f>IFERROR(__xludf.DUMMYFUNCTION("""COMPUTED_VALUE"""),"152*38*254 mm Type 1")</f>
        <v>152*38*254 mm Type 1</v>
      </c>
      <c r="E310" s="77">
        <f>IFERROR(__xludf.DUMMYFUNCTION("""COMPUTED_VALUE"""),2.0)</f>
        <v>2</v>
      </c>
      <c r="F310" s="77">
        <f>IFERROR(__xludf.DUMMYFUNCTION("""COMPUTED_VALUE"""),1926.0)</f>
        <v>1926</v>
      </c>
      <c r="G310" s="77">
        <f>IFERROR(__xludf.DUMMYFUNCTION("""COMPUTED_VALUE"""),18.0)</f>
        <v>18</v>
      </c>
      <c r="H310" s="77">
        <f>IFERROR(__xludf.DUMMYFUNCTION("""COMPUTED_VALUE"""),25.0)</f>
        <v>25</v>
      </c>
      <c r="I310" s="77">
        <f>IFERROR(__xludf.DUMMYFUNCTION("""COMPUTED_VALUE"""),100.0)</f>
        <v>100</v>
      </c>
      <c r="J310" s="73"/>
      <c r="K310" s="73"/>
      <c r="L310" s="73"/>
      <c r="M310" s="77"/>
      <c r="N310" s="77">
        <f>IFERROR(__xludf.DUMMYFUNCTION("""COMPUTED_VALUE"""),1.0)</f>
        <v>1</v>
      </c>
      <c r="O310" s="49"/>
      <c r="P310" s="49" t="str">
        <f>IFERROR(__xludf.DUMMYFUNCTION("""COMPUTED_VALUE"""),"Offset")</f>
        <v>Offset</v>
      </c>
      <c r="Q310" s="49" t="str">
        <f>IFERROR(__xludf.DUMMYFUNCTION("""COMPUTED_VALUE"""),"Packaging")</f>
        <v>Packaging</v>
      </c>
      <c r="R310" s="49" t="str">
        <f>IFERROR(__xludf.DUMMYFUNCTION("""COMPUTED_VALUE"""),"Apparel")</f>
        <v>Apparel</v>
      </c>
    </row>
    <row r="311">
      <c r="A311" s="156" t="str">
        <f>IFERROR(__xludf.DUMMYFUNCTION("""COMPUTED_VALUE"""),"https://drive.google.com/open?id=1Gp06Eve9abByXVJK68HfEECc0lUsahXz&amp;authuser=jay.agg%40gmail.com&amp;usp=drive_fs")</f>
        <v>https://drive.google.com/open?id=1Gp06Eve9abByXVJK68HfEECc0lUsahXz&amp;authuser=jay.agg%40gmail.com&amp;usp=drive_fs</v>
      </c>
      <c r="B311" s="73" t="str">
        <f>IFERROR(__xludf.DUMMYFUNCTION("""COMPUTED_VALUE"""),"Apparel")</f>
        <v>Apparel</v>
      </c>
      <c r="C311" s="73" t="str">
        <f>IFERROR(__xludf.DUMMYFUNCTION("""COMPUTED_VALUE"""),"Zip Box Top")</f>
        <v>Zip Box Top</v>
      </c>
      <c r="D311" s="73" t="str">
        <f>IFERROR(__xludf.DUMMYFUNCTION("""COMPUTED_VALUE"""),"152*30*272 mm Type 2")</f>
        <v>152*30*272 mm Type 2</v>
      </c>
      <c r="E311" s="77">
        <f>IFERROR(__xludf.DUMMYFUNCTION("""COMPUTED_VALUE"""),2.0)</f>
        <v>2</v>
      </c>
      <c r="F311" s="77">
        <f>IFERROR(__xludf.DUMMYFUNCTION("""COMPUTED_VALUE"""),1926.0)</f>
        <v>1926</v>
      </c>
      <c r="G311" s="77">
        <f>IFERROR(__xludf.DUMMYFUNCTION("""COMPUTED_VALUE"""),18.0)</f>
        <v>18</v>
      </c>
      <c r="H311" s="77">
        <f>IFERROR(__xludf.DUMMYFUNCTION("""COMPUTED_VALUE"""),23.0)</f>
        <v>23</v>
      </c>
      <c r="I311" s="77">
        <f>IFERROR(__xludf.DUMMYFUNCTION("""COMPUTED_VALUE"""),100.0)</f>
        <v>100</v>
      </c>
      <c r="J311" s="73"/>
      <c r="K311" s="73"/>
      <c r="L311" s="73"/>
      <c r="M311" s="77"/>
      <c r="N311" s="77">
        <f>IFERROR(__xludf.DUMMYFUNCTION("""COMPUTED_VALUE"""),1.0)</f>
        <v>1</v>
      </c>
      <c r="O311" s="49"/>
      <c r="P311" s="49" t="str">
        <f>IFERROR(__xludf.DUMMYFUNCTION("""COMPUTED_VALUE"""),"Offset")</f>
        <v>Offset</v>
      </c>
      <c r="Q311" s="49" t="str">
        <f>IFERROR(__xludf.DUMMYFUNCTION("""COMPUTED_VALUE"""),"Packaging")</f>
        <v>Packaging</v>
      </c>
      <c r="R311" s="49" t="str">
        <f>IFERROR(__xludf.DUMMYFUNCTION("""COMPUTED_VALUE"""),"Apparel")</f>
        <v>Apparel</v>
      </c>
    </row>
    <row r="312">
      <c r="A312" s="156" t="str">
        <f>IFERROR(__xludf.DUMMYFUNCTION("""COMPUTED_VALUE"""),"https://drive.google.com/open?id=1Gmertk7574YUx104gk9nmPD4V-DpAl91&amp;authuser=jay.agg%40gmail.com&amp;usp=drive_fs")</f>
        <v>https://drive.google.com/open?id=1Gmertk7574YUx104gk9nmPD4V-DpAl91&amp;authuser=jay.agg%40gmail.com&amp;usp=drive_fs</v>
      </c>
      <c r="B312" s="73" t="str">
        <f>IFERROR(__xludf.DUMMYFUNCTION("""COMPUTED_VALUE"""),"Apparel")</f>
        <v>Apparel</v>
      </c>
      <c r="C312" s="73" t="str">
        <f>IFERROR(__xludf.DUMMYFUNCTION("""COMPUTED_VALUE"""),"Zip Box Bottom")</f>
        <v>Zip Box Bottom</v>
      </c>
      <c r="D312" s="73" t="str">
        <f>IFERROR(__xludf.DUMMYFUNCTION("""COMPUTED_VALUE"""),"147*43*267 mm Type 2")</f>
        <v>147*43*267 mm Type 2</v>
      </c>
      <c r="E312" s="77">
        <f>IFERROR(__xludf.DUMMYFUNCTION("""COMPUTED_VALUE"""),1.0)</f>
        <v>1</v>
      </c>
      <c r="F312" s="77">
        <f>IFERROR(__xludf.DUMMYFUNCTION("""COMPUTED_VALUE"""),1926.0)</f>
        <v>1926</v>
      </c>
      <c r="G312" s="77">
        <f>IFERROR(__xludf.DUMMYFUNCTION("""COMPUTED_VALUE"""),15.0)</f>
        <v>15</v>
      </c>
      <c r="H312" s="77">
        <f>IFERROR(__xludf.DUMMYFUNCTION("""COMPUTED_VALUE"""),20.0)</f>
        <v>20</v>
      </c>
      <c r="I312" s="77">
        <f>IFERROR(__xludf.DUMMYFUNCTION("""COMPUTED_VALUE"""),100.0)</f>
        <v>100</v>
      </c>
      <c r="J312" s="73"/>
      <c r="K312" s="73"/>
      <c r="L312" s="73"/>
      <c r="M312" s="77"/>
      <c r="N312" s="77">
        <f>IFERROR(__xludf.DUMMYFUNCTION("""COMPUTED_VALUE"""),1.0)</f>
        <v>1</v>
      </c>
      <c r="O312" s="49"/>
      <c r="P312" s="49" t="str">
        <f>IFERROR(__xludf.DUMMYFUNCTION("""COMPUTED_VALUE"""),"Offset")</f>
        <v>Offset</v>
      </c>
      <c r="Q312" s="49" t="str">
        <f>IFERROR(__xludf.DUMMYFUNCTION("""COMPUTED_VALUE"""),"Packaging")</f>
        <v>Packaging</v>
      </c>
      <c r="R312" s="49" t="str">
        <f>IFERROR(__xludf.DUMMYFUNCTION("""COMPUTED_VALUE"""),"Apparel")</f>
        <v>Apparel</v>
      </c>
    </row>
    <row r="313">
      <c r="A313" s="156" t="str">
        <f>IFERROR(__xludf.DUMMYFUNCTION("""COMPUTED_VALUE"""),"https://drive.google.com/open?id=1GS46Z_ASOJy3kAckynAwO1PVX9_ED6ik&amp;authuser=jay.agg%40gmail.com&amp;usp=drive_fs")</f>
        <v>https://drive.google.com/open?id=1GS46Z_ASOJy3kAckynAwO1PVX9_ED6ik&amp;authuser=jay.agg%40gmail.com&amp;usp=drive_fs</v>
      </c>
      <c r="B313" s="73" t="str">
        <f>IFERROR(__xludf.DUMMYFUNCTION("""COMPUTED_VALUE"""),"Apparel")</f>
        <v>Apparel</v>
      </c>
      <c r="C313" s="73" t="str">
        <f>IFERROR(__xludf.DUMMYFUNCTION("""COMPUTED_VALUE"""),"Misc")</f>
        <v>Misc</v>
      </c>
      <c r="D313" s="73" t="str">
        <f>IFERROR(__xludf.DUMMYFUNCTION("""COMPUTED_VALUE"""),"228*25*178 mm | 9*7*1 inch Bottom")</f>
        <v>228*25*178 mm | 9*7*1 inch Bottom</v>
      </c>
      <c r="E313" s="77">
        <f>IFERROR(__xludf.DUMMYFUNCTION("""COMPUTED_VALUE"""),2.0)</f>
        <v>2</v>
      </c>
      <c r="F313" s="77">
        <f>IFERROR(__xludf.DUMMYFUNCTION("""COMPUTED_VALUE"""),1926.0)</f>
        <v>1926</v>
      </c>
      <c r="G313" s="77">
        <f>IFERROR(__xludf.DUMMYFUNCTION("""COMPUTED_VALUE"""),15.0)</f>
        <v>15</v>
      </c>
      <c r="H313" s="77">
        <f>IFERROR(__xludf.DUMMYFUNCTION("""COMPUTED_VALUE"""),25.0)</f>
        <v>25</v>
      </c>
      <c r="I313" s="77">
        <f>IFERROR(__xludf.DUMMYFUNCTION("""COMPUTED_VALUE"""),100.0)</f>
        <v>100</v>
      </c>
      <c r="J313" s="73"/>
      <c r="K313" s="73"/>
      <c r="L313" s="73"/>
      <c r="M313" s="77"/>
      <c r="N313" s="77">
        <f>IFERROR(__xludf.DUMMYFUNCTION("""COMPUTED_VALUE"""),1.0)</f>
        <v>1</v>
      </c>
      <c r="O313" s="49"/>
      <c r="P313" s="49" t="str">
        <f>IFERROR(__xludf.DUMMYFUNCTION("""COMPUTED_VALUE"""),"Offset")</f>
        <v>Offset</v>
      </c>
      <c r="Q313" s="49" t="str">
        <f>IFERROR(__xludf.DUMMYFUNCTION("""COMPUTED_VALUE"""),"Packaging")</f>
        <v>Packaging</v>
      </c>
      <c r="R313" s="49" t="str">
        <f>IFERROR(__xludf.DUMMYFUNCTION("""COMPUTED_VALUE"""),"Apparel")</f>
        <v>Apparel</v>
      </c>
    </row>
    <row r="314">
      <c r="A314" s="156" t="str">
        <f>IFERROR(__xludf.DUMMYFUNCTION("""COMPUTED_VALUE"""),"https://drive.google.com/open?id=1GTT2ju62Y6gjEPnCG7J_7FugspxzLFpQ&amp;authuser=jay.agg%40gmail.com&amp;usp=drive_fs")</f>
        <v>https://drive.google.com/open?id=1GTT2ju62Y6gjEPnCG7J_7FugspxzLFpQ&amp;authuser=jay.agg%40gmail.com&amp;usp=drive_fs</v>
      </c>
      <c r="B314" s="73" t="str">
        <f>IFERROR(__xludf.DUMMYFUNCTION("""COMPUTED_VALUE"""),"Apparel")</f>
        <v>Apparel</v>
      </c>
      <c r="C314" s="73" t="str">
        <f>IFERROR(__xludf.DUMMYFUNCTION("""COMPUTED_VALUE"""),"Misc")</f>
        <v>Misc</v>
      </c>
      <c r="D314" s="73" t="str">
        <f>IFERROR(__xludf.DUMMYFUNCTION("""COMPUTED_VALUE"""),"228*25*178 mm | 9*7*1 inch Top")</f>
        <v>228*25*178 mm | 9*7*1 inch Top</v>
      </c>
      <c r="E314" s="77">
        <f>IFERROR(__xludf.DUMMYFUNCTION("""COMPUTED_VALUE"""),2.0)</f>
        <v>2</v>
      </c>
      <c r="F314" s="77">
        <f>IFERROR(__xludf.DUMMYFUNCTION("""COMPUTED_VALUE"""),1926.0)</f>
        <v>1926</v>
      </c>
      <c r="G314" s="77">
        <f>IFERROR(__xludf.DUMMYFUNCTION("""COMPUTED_VALUE"""),15.0)</f>
        <v>15</v>
      </c>
      <c r="H314" s="77">
        <f>IFERROR(__xludf.DUMMYFUNCTION("""COMPUTED_VALUE"""),25.0)</f>
        <v>25</v>
      </c>
      <c r="I314" s="77">
        <f>IFERROR(__xludf.DUMMYFUNCTION("""COMPUTED_VALUE"""),100.0)</f>
        <v>100</v>
      </c>
      <c r="J314" s="73"/>
      <c r="K314" s="73"/>
      <c r="L314" s="73"/>
      <c r="M314" s="77"/>
      <c r="N314" s="77">
        <f>IFERROR(__xludf.DUMMYFUNCTION("""COMPUTED_VALUE"""),1.0)</f>
        <v>1</v>
      </c>
      <c r="O314" s="49"/>
      <c r="P314" s="49" t="str">
        <f>IFERROR(__xludf.DUMMYFUNCTION("""COMPUTED_VALUE"""),"Offset")</f>
        <v>Offset</v>
      </c>
      <c r="Q314" s="49" t="str">
        <f>IFERROR(__xludf.DUMMYFUNCTION("""COMPUTED_VALUE"""),"Packaging")</f>
        <v>Packaging</v>
      </c>
      <c r="R314" s="49" t="str">
        <f>IFERROR(__xludf.DUMMYFUNCTION("""COMPUTED_VALUE"""),"Apparel")</f>
        <v>Apparel</v>
      </c>
    </row>
    <row r="315">
      <c r="A315" s="156" t="str">
        <f>IFERROR(__xludf.DUMMYFUNCTION("""COMPUTED_VALUE"""),"https://drive.google.com/open?id=1GTn3VhMzeTo-v33tTg7IKNreZRtapTUQ&amp;authuser=jay.agg%40gmail.com&amp;usp=drive_fs")</f>
        <v>https://drive.google.com/open?id=1GTn3VhMzeTo-v33tTg7IKNreZRtapTUQ&amp;authuser=jay.agg%40gmail.com&amp;usp=drive_fs</v>
      </c>
      <c r="B315" s="73" t="str">
        <f>IFERROR(__xludf.DUMMYFUNCTION("""COMPUTED_VALUE"""),"Apparel")</f>
        <v>Apparel</v>
      </c>
      <c r="C315" s="73" t="str">
        <f>IFERROR(__xludf.DUMMYFUNCTION("""COMPUTED_VALUE"""),"Misc")</f>
        <v>Misc</v>
      </c>
      <c r="D315" s="73" t="str">
        <f>IFERROR(__xludf.DUMMYFUNCTION("""COMPUTED_VALUE"""),"203*25*140 mm | 8*5.5*1 inch TOP")</f>
        <v>203*25*140 mm | 8*5.5*1 inch TOP</v>
      </c>
      <c r="E315" s="77">
        <f>IFERROR(__xludf.DUMMYFUNCTION("""COMPUTED_VALUE"""),2.0)</f>
        <v>2</v>
      </c>
      <c r="F315" s="77">
        <f>IFERROR(__xludf.DUMMYFUNCTION("""COMPUTED_VALUE"""),1926.0)</f>
        <v>1926</v>
      </c>
      <c r="G315" s="77">
        <f>IFERROR(__xludf.DUMMYFUNCTION("""COMPUTED_VALUE"""),13.5)</f>
        <v>13.5</v>
      </c>
      <c r="H315" s="77">
        <f>IFERROR(__xludf.DUMMYFUNCTION("""COMPUTED_VALUE"""),21.0)</f>
        <v>21</v>
      </c>
      <c r="I315" s="77">
        <f>IFERROR(__xludf.DUMMYFUNCTION("""COMPUTED_VALUE"""),100.0)</f>
        <v>100</v>
      </c>
      <c r="J315" s="73"/>
      <c r="K315" s="73"/>
      <c r="L315" s="73"/>
      <c r="M315" s="77"/>
      <c r="N315" s="77">
        <f>IFERROR(__xludf.DUMMYFUNCTION("""COMPUTED_VALUE"""),1.0)</f>
        <v>1</v>
      </c>
      <c r="O315" s="49"/>
      <c r="P315" s="49" t="str">
        <f>IFERROR(__xludf.DUMMYFUNCTION("""COMPUTED_VALUE"""),"Offset")</f>
        <v>Offset</v>
      </c>
      <c r="Q315" s="49" t="str">
        <f>IFERROR(__xludf.DUMMYFUNCTION("""COMPUTED_VALUE"""),"Packaging")</f>
        <v>Packaging</v>
      </c>
      <c r="R315" s="49" t="str">
        <f>IFERROR(__xludf.DUMMYFUNCTION("""COMPUTED_VALUE"""),"Apparel")</f>
        <v>Apparel</v>
      </c>
    </row>
    <row r="316">
      <c r="A316" s="156" t="str">
        <f>IFERROR(__xludf.DUMMYFUNCTION("""COMPUTED_VALUE"""),"https://drive.google.com/open?id=1GUii82v79OsbtYorrcUDclazLu0MlnVV&amp;authuser=jay.agg%40gmail.com&amp;usp=drive_fs")</f>
        <v>https://drive.google.com/open?id=1GUii82v79OsbtYorrcUDclazLu0MlnVV&amp;authuser=jay.agg%40gmail.com&amp;usp=drive_fs</v>
      </c>
      <c r="B316" s="73" t="str">
        <f>IFERROR(__xludf.DUMMYFUNCTION("""COMPUTED_VALUE"""),"Apparel")</f>
        <v>Apparel</v>
      </c>
      <c r="C316" s="73" t="str">
        <f>IFERROR(__xludf.DUMMYFUNCTION("""COMPUTED_VALUE"""),"Misc")</f>
        <v>Misc</v>
      </c>
      <c r="D316" s="73" t="str">
        <f>IFERROR(__xludf.DUMMYFUNCTION("""COMPUTED_VALUE"""),"203*25*140 mm | 8*5.5*1 inch Bottom")</f>
        <v>203*25*140 mm | 8*5.5*1 inch Bottom</v>
      </c>
      <c r="E316" s="77">
        <f>IFERROR(__xludf.DUMMYFUNCTION("""COMPUTED_VALUE"""),2.0)</f>
        <v>2</v>
      </c>
      <c r="F316" s="77">
        <f>IFERROR(__xludf.DUMMYFUNCTION("""COMPUTED_VALUE"""),1926.0)</f>
        <v>1926</v>
      </c>
      <c r="G316" s="77">
        <f>IFERROR(__xludf.DUMMYFUNCTION("""COMPUTED_VALUE"""),13.5)</f>
        <v>13.5</v>
      </c>
      <c r="H316" s="77">
        <f>IFERROR(__xludf.DUMMYFUNCTION("""COMPUTED_VALUE"""),21.0)</f>
        <v>21</v>
      </c>
      <c r="I316" s="77">
        <f>IFERROR(__xludf.DUMMYFUNCTION("""COMPUTED_VALUE"""),100.0)</f>
        <v>100</v>
      </c>
      <c r="J316" s="73"/>
      <c r="K316" s="73"/>
      <c r="L316" s="73"/>
      <c r="M316" s="77"/>
      <c r="N316" s="77">
        <f>IFERROR(__xludf.DUMMYFUNCTION("""COMPUTED_VALUE"""),1.0)</f>
        <v>1</v>
      </c>
      <c r="O316" s="49"/>
      <c r="P316" s="49" t="str">
        <f>IFERROR(__xludf.DUMMYFUNCTION("""COMPUTED_VALUE"""),"Offset")</f>
        <v>Offset</v>
      </c>
      <c r="Q316" s="49" t="str">
        <f>IFERROR(__xludf.DUMMYFUNCTION("""COMPUTED_VALUE"""),"Packaging")</f>
        <v>Packaging</v>
      </c>
      <c r="R316" s="49" t="str">
        <f>IFERROR(__xludf.DUMMYFUNCTION("""COMPUTED_VALUE"""),"Apparel")</f>
        <v>Apparel</v>
      </c>
    </row>
    <row r="317">
      <c r="A317" s="156" t="str">
        <f>IFERROR(__xludf.DUMMYFUNCTION("""COMPUTED_VALUE"""),"https://drive.google.com/open?id=1GELVnm6_6zuRrqMJN3hvnpyMEOh4-WkR&amp;authuser=jay.agg%40gmail.com&amp;usp=drive_fs")</f>
        <v>https://drive.google.com/open?id=1GELVnm6_6zuRrqMJN3hvnpyMEOh4-WkR&amp;authuser=jay.agg%40gmail.com&amp;usp=drive_fs</v>
      </c>
      <c r="B317" s="73" t="str">
        <f>IFERROR(__xludf.DUMMYFUNCTION("""COMPUTED_VALUE"""),"Apparel")</f>
        <v>Apparel</v>
      </c>
      <c r="C317" s="73" t="str">
        <f>IFERROR(__xludf.DUMMYFUNCTION("""COMPUTED_VALUE"""),"Track Suit")</f>
        <v>Track Suit</v>
      </c>
      <c r="D317" s="73" t="str">
        <f>IFERROR(__xludf.DUMMYFUNCTION("""COMPUTED_VALUE"""),"Bottom 9*1.5*12 inch")</f>
        <v>Bottom 9*1.5*12 inch</v>
      </c>
      <c r="E317" s="77">
        <f>IFERROR(__xludf.DUMMYFUNCTION("""COMPUTED_VALUE"""),1.0)</f>
        <v>1</v>
      </c>
      <c r="F317" s="77">
        <f>IFERROR(__xludf.DUMMYFUNCTION("""COMPUTED_VALUE"""),1926.0)</f>
        <v>1926</v>
      </c>
      <c r="G317" s="77">
        <f>IFERROR(__xludf.DUMMYFUNCTION("""COMPUTED_VALUE"""),18.0)</f>
        <v>18</v>
      </c>
      <c r="H317" s="77">
        <f>IFERROR(__xludf.DUMMYFUNCTION("""COMPUTED_VALUE"""),19.0)</f>
        <v>19</v>
      </c>
      <c r="I317" s="77">
        <f>IFERROR(__xludf.DUMMYFUNCTION("""COMPUTED_VALUE"""),100.0)</f>
        <v>100</v>
      </c>
      <c r="J317" s="73"/>
      <c r="K317" s="73"/>
      <c r="L317" s="73"/>
      <c r="M317" s="77"/>
      <c r="N317" s="77">
        <f>IFERROR(__xludf.DUMMYFUNCTION("""COMPUTED_VALUE"""),1.0)</f>
        <v>1</v>
      </c>
      <c r="O317" s="49"/>
      <c r="P317" s="49" t="str">
        <f>IFERROR(__xludf.DUMMYFUNCTION("""COMPUTED_VALUE"""),"Offset")</f>
        <v>Offset</v>
      </c>
      <c r="Q317" s="49" t="str">
        <f>IFERROR(__xludf.DUMMYFUNCTION("""COMPUTED_VALUE"""),"Packaging")</f>
        <v>Packaging</v>
      </c>
      <c r="R317" s="49" t="str">
        <f>IFERROR(__xludf.DUMMYFUNCTION("""COMPUTED_VALUE"""),"Apparel")</f>
        <v>Apparel</v>
      </c>
    </row>
    <row r="318">
      <c r="A318" s="156" t="str">
        <f>IFERROR(__xludf.DUMMYFUNCTION("""COMPUTED_VALUE"""),"https://drive.google.com/open?id=1GJEPVP9ZMyc0Q30sbbA_EXyEnmSOTVdz&amp;authuser=jay.agg%40gmail.com&amp;usp=drive_fs")</f>
        <v>https://drive.google.com/open?id=1GJEPVP9ZMyc0Q30sbbA_EXyEnmSOTVdz&amp;authuser=jay.agg%40gmail.com&amp;usp=drive_fs</v>
      </c>
      <c r="B318" s="73" t="str">
        <f>IFERROR(__xludf.DUMMYFUNCTION("""COMPUTED_VALUE"""),"Apparel")</f>
        <v>Apparel</v>
      </c>
      <c r="C318" s="73" t="str">
        <f>IFERROR(__xludf.DUMMYFUNCTION("""COMPUTED_VALUE"""),"Track Suit")</f>
        <v>Track Suit</v>
      </c>
      <c r="D318" s="73" t="str">
        <f>IFERROR(__xludf.DUMMYFUNCTION("""COMPUTED_VALUE"""),"Top 9*1.5*12 inch")</f>
        <v>Top 9*1.5*12 inch</v>
      </c>
      <c r="E318" s="77">
        <f>IFERROR(__xludf.DUMMYFUNCTION("""COMPUTED_VALUE"""),1.0)</f>
        <v>1</v>
      </c>
      <c r="F318" s="77">
        <f>IFERROR(__xludf.DUMMYFUNCTION("""COMPUTED_VALUE"""),1926.0)</f>
        <v>1926</v>
      </c>
      <c r="G318" s="77">
        <f>IFERROR(__xludf.DUMMYFUNCTION("""COMPUTED_VALUE"""),18.0)</f>
        <v>18</v>
      </c>
      <c r="H318" s="77">
        <f>IFERROR(__xludf.DUMMYFUNCTION("""COMPUTED_VALUE"""),19.0)</f>
        <v>19</v>
      </c>
      <c r="I318" s="77">
        <f>IFERROR(__xludf.DUMMYFUNCTION("""COMPUTED_VALUE"""),100.0)</f>
        <v>100</v>
      </c>
      <c r="J318" s="73"/>
      <c r="K318" s="73"/>
      <c r="L318" s="73"/>
      <c r="M318" s="77"/>
      <c r="N318" s="77">
        <f>IFERROR(__xludf.DUMMYFUNCTION("""COMPUTED_VALUE"""),1.0)</f>
        <v>1</v>
      </c>
      <c r="O318" s="49"/>
      <c r="P318" s="49" t="str">
        <f>IFERROR(__xludf.DUMMYFUNCTION("""COMPUTED_VALUE"""),"Offset")</f>
        <v>Offset</v>
      </c>
      <c r="Q318" s="49" t="str">
        <f>IFERROR(__xludf.DUMMYFUNCTION("""COMPUTED_VALUE"""),"Packaging")</f>
        <v>Packaging</v>
      </c>
      <c r="R318" s="49" t="str">
        <f>IFERROR(__xludf.DUMMYFUNCTION("""COMPUTED_VALUE"""),"Apparel")</f>
        <v>Apparel</v>
      </c>
    </row>
    <row r="319">
      <c r="A319" s="156" t="str">
        <f>IFERROR(__xludf.DUMMYFUNCTION("""COMPUTED_VALUE"""),"https://drive.google.com/open?id=1lrmg2zTSIodI-7KyMGWjTJzMJRyMHr-c&amp;authuser=jay.agg%40gmail.com&amp;usp=drive_fs")</f>
        <v>https://drive.google.com/open?id=1lrmg2zTSIodI-7KyMGWjTJzMJRyMHr-c&amp;authuser=jay.agg%40gmail.com&amp;usp=drive_fs</v>
      </c>
      <c r="B319" s="73" t="str">
        <f>IFERROR(__xludf.DUMMYFUNCTION("""COMPUTED_VALUE"""),"Apparel")</f>
        <v>Apparel</v>
      </c>
      <c r="C319" s="73" t="str">
        <f>IFERROR(__xludf.DUMMYFUNCTION("""COMPUTED_VALUE"""),"Lingeries")</f>
        <v>Lingeries</v>
      </c>
      <c r="D319" s="73" t="str">
        <f>IFERROR(__xludf.DUMMYFUNCTION("""COMPUTED_VALUE"""),"Top 6.5*1.6*12 inch")</f>
        <v>Top 6.5*1.6*12 inch</v>
      </c>
      <c r="E319" s="77">
        <f>IFERROR(__xludf.DUMMYFUNCTION("""COMPUTED_VALUE"""),2.0)</f>
        <v>2</v>
      </c>
      <c r="F319" s="77">
        <f>IFERROR(__xludf.DUMMYFUNCTION("""COMPUTED_VALUE"""),2029.0)</f>
        <v>2029</v>
      </c>
      <c r="G319" s="77">
        <f>IFERROR(__xludf.DUMMYFUNCTION("""COMPUTED_VALUE"""),20.0)</f>
        <v>20</v>
      </c>
      <c r="H319" s="77">
        <f>IFERROR(__xludf.DUMMYFUNCTION("""COMPUTED_VALUE"""),30.0)</f>
        <v>30</v>
      </c>
      <c r="I319" s="77">
        <f>IFERROR(__xludf.DUMMYFUNCTION("""COMPUTED_VALUE"""),100.0)</f>
        <v>100</v>
      </c>
      <c r="J319" s="73"/>
      <c r="K319" s="73"/>
      <c r="L319" s="73"/>
      <c r="M319" s="77"/>
      <c r="N319" s="77">
        <f>IFERROR(__xludf.DUMMYFUNCTION("""COMPUTED_VALUE"""),1.0)</f>
        <v>1</v>
      </c>
      <c r="O319" s="49"/>
      <c r="P319" s="49" t="str">
        <f>IFERROR(__xludf.DUMMYFUNCTION("""COMPUTED_VALUE"""),"Offset")</f>
        <v>Offset</v>
      </c>
      <c r="Q319" s="49" t="str">
        <f>IFERROR(__xludf.DUMMYFUNCTION("""COMPUTED_VALUE"""),"Packaging")</f>
        <v>Packaging</v>
      </c>
      <c r="R319" s="49" t="str">
        <f>IFERROR(__xludf.DUMMYFUNCTION("""COMPUTED_VALUE"""),"Apparel")</f>
        <v>Apparel</v>
      </c>
    </row>
    <row r="320">
      <c r="A320" s="156" t="str">
        <f>IFERROR(__xludf.DUMMYFUNCTION("""COMPUTED_VALUE"""),"https://drive.google.com/open?id=1lsrNSGQf4w0sf6eDYWUIvxNdk7RPAu0c&amp;authuser=jay.agg%40gmail.com&amp;usp=drive_fs")</f>
        <v>https://drive.google.com/open?id=1lsrNSGQf4w0sf6eDYWUIvxNdk7RPAu0c&amp;authuser=jay.agg%40gmail.com&amp;usp=drive_fs</v>
      </c>
      <c r="B320" s="73" t="str">
        <f>IFERROR(__xludf.DUMMYFUNCTION("""COMPUTED_VALUE"""),"Apparel")</f>
        <v>Apparel</v>
      </c>
      <c r="C320" s="73" t="str">
        <f>IFERROR(__xludf.DUMMYFUNCTION("""COMPUTED_VALUE"""),"Lingeries")</f>
        <v>Lingeries</v>
      </c>
      <c r="D320" s="73" t="str">
        <f>IFERROR(__xludf.DUMMYFUNCTION("""COMPUTED_VALUE"""),"Bottom 6.5*1.6*12 inch")</f>
        <v>Bottom 6.5*1.6*12 inch</v>
      </c>
      <c r="E320" s="77">
        <f>IFERROR(__xludf.DUMMYFUNCTION("""COMPUTED_VALUE"""),2.0)</f>
        <v>2</v>
      </c>
      <c r="F320" s="77">
        <f>IFERROR(__xludf.DUMMYFUNCTION("""COMPUTED_VALUE"""),2029.0)</f>
        <v>2029</v>
      </c>
      <c r="G320" s="77">
        <f>IFERROR(__xludf.DUMMYFUNCTION("""COMPUTED_VALUE"""),20.0)</f>
        <v>20</v>
      </c>
      <c r="H320" s="77">
        <f>IFERROR(__xludf.DUMMYFUNCTION("""COMPUTED_VALUE"""),28.0)</f>
        <v>28</v>
      </c>
      <c r="I320" s="77">
        <f>IFERROR(__xludf.DUMMYFUNCTION("""COMPUTED_VALUE"""),100.0)</f>
        <v>100</v>
      </c>
      <c r="J320" s="73"/>
      <c r="K320" s="73"/>
      <c r="L320" s="73"/>
      <c r="M320" s="77">
        <f>IFERROR(__xludf.DUMMYFUNCTION("""COMPUTED_VALUE"""),0.1)</f>
        <v>0.1</v>
      </c>
      <c r="N320" s="77">
        <f>IFERROR(__xludf.DUMMYFUNCTION("""COMPUTED_VALUE"""),1.0)</f>
        <v>1</v>
      </c>
      <c r="O320" s="49"/>
      <c r="P320" s="49" t="str">
        <f>IFERROR(__xludf.DUMMYFUNCTION("""COMPUTED_VALUE"""),"Offset")</f>
        <v>Offset</v>
      </c>
      <c r="Q320" s="49" t="str">
        <f>IFERROR(__xludf.DUMMYFUNCTION("""COMPUTED_VALUE"""),"Packaging")</f>
        <v>Packaging</v>
      </c>
      <c r="R320" s="49" t="str">
        <f>IFERROR(__xludf.DUMMYFUNCTION("""COMPUTED_VALUE"""),"Apparel")</f>
        <v>Apparel</v>
      </c>
    </row>
    <row r="321">
      <c r="A321" s="156" t="str">
        <f>IFERROR(__xludf.DUMMYFUNCTION("""COMPUTED_VALUE"""),"https://drive.google.com/open?id=1mQYy7LyACsSyFr5-rZ5INzPHenaMG9JK&amp;authuser=jay.agg%40gmail.com&amp;usp=drive_fs")</f>
        <v>https://drive.google.com/open?id=1mQYy7LyACsSyFr5-rZ5INzPHenaMG9JK&amp;authuser=jay.agg%40gmail.com&amp;usp=drive_fs</v>
      </c>
      <c r="B321" s="73" t="str">
        <f>IFERROR(__xludf.DUMMYFUNCTION("""COMPUTED_VALUE"""),"Hosiery")</f>
        <v>Hosiery</v>
      </c>
      <c r="C321" s="73" t="str">
        <f>IFERROR(__xludf.DUMMYFUNCTION("""COMPUTED_VALUE"""),"Men")</f>
        <v>Men</v>
      </c>
      <c r="D321" s="73" t="str">
        <f>IFERROR(__xludf.DUMMYFUNCTION("""COMPUTED_VALUE"""),"13.5x4.5x19.5 inch")</f>
        <v>13.5x4.5x19.5 inch</v>
      </c>
      <c r="E321" s="77">
        <f>IFERROR(__xludf.DUMMYFUNCTION("""COMPUTED_VALUE"""),2.0)</f>
        <v>2</v>
      </c>
      <c r="F321" s="77">
        <f>IFERROR(__xludf.DUMMYFUNCTION("""COMPUTED_VALUE"""),1926.0)</f>
        <v>1926</v>
      </c>
      <c r="G321" s="77">
        <f>IFERROR(__xludf.DUMMYFUNCTION("""COMPUTED_VALUE"""),18.0)</f>
        <v>18</v>
      </c>
      <c r="H321" s="77">
        <f>IFERROR(__xludf.DUMMYFUNCTION("""COMPUTED_VALUE"""),23.0)</f>
        <v>23</v>
      </c>
      <c r="I321" s="77">
        <f>IFERROR(__xludf.DUMMYFUNCTION("""COMPUTED_VALUE"""),100.0)</f>
        <v>100</v>
      </c>
      <c r="J321" s="73"/>
      <c r="K321" s="73"/>
      <c r="L321" s="73"/>
      <c r="M321" s="77">
        <f>IFERROR(__xludf.DUMMYFUNCTION("""COMPUTED_VALUE"""),0.1)</f>
        <v>0.1</v>
      </c>
      <c r="N321" s="77">
        <f>IFERROR(__xludf.DUMMYFUNCTION("""COMPUTED_VALUE"""),1.0)</f>
        <v>1</v>
      </c>
      <c r="O321" s="49"/>
      <c r="P321" s="49" t="str">
        <f>IFERROR(__xludf.DUMMYFUNCTION("""COMPUTED_VALUE"""),"Offset")</f>
        <v>Offset</v>
      </c>
      <c r="Q321" s="49" t="str">
        <f>IFERROR(__xludf.DUMMYFUNCTION("""COMPUTED_VALUE"""),"Packaging")</f>
        <v>Packaging</v>
      </c>
      <c r="R321" s="49" t="str">
        <f>IFERROR(__xludf.DUMMYFUNCTION("""COMPUTED_VALUE"""),"Hosiery")</f>
        <v>Hosiery</v>
      </c>
    </row>
    <row r="322">
      <c r="A322" s="156" t="str">
        <f>IFERROR(__xludf.DUMMYFUNCTION("""COMPUTED_VALUE"""),"https://drive.google.com/open?id=1wKh4x0VxK3J607GypTLJ2D2nUOktyibD&amp;authuser=jay.agg%40gmail.com&amp;usp=drive_fs")</f>
        <v>https://drive.google.com/open?id=1wKh4x0VxK3J607GypTLJ2D2nUOktyibD&amp;authuser=jay.agg%40gmail.com&amp;usp=drive_fs</v>
      </c>
      <c r="B322" s="73" t="str">
        <f>IFERROR(__xludf.DUMMYFUNCTION("""COMPUTED_VALUE"""),"Hosiery")</f>
        <v>Hosiery</v>
      </c>
      <c r="C322" s="73" t="str">
        <f>IFERROR(__xludf.DUMMYFUNCTION("""COMPUTED_VALUE"""),"Lingeries")</f>
        <v>Lingeries</v>
      </c>
      <c r="D322" s="73" t="str">
        <f>IFERROR(__xludf.DUMMYFUNCTION("""COMPUTED_VALUE"""),"4*1*5 inch")</f>
        <v>4*1*5 inch</v>
      </c>
      <c r="E322" s="77">
        <f>IFERROR(__xludf.DUMMYFUNCTION("""COMPUTED_VALUE"""),4.0)</f>
        <v>4</v>
      </c>
      <c r="F322" s="77">
        <f>IFERROR(__xludf.DUMMYFUNCTION("""COMPUTED_VALUE"""),1926.0)</f>
        <v>1926</v>
      </c>
      <c r="G322" s="77">
        <f>IFERROR(__xludf.DUMMYFUNCTION("""COMPUTED_VALUE"""),18.0)</f>
        <v>18</v>
      </c>
      <c r="H322" s="77">
        <f>IFERROR(__xludf.DUMMYFUNCTION("""COMPUTED_VALUE"""),21.0)</f>
        <v>21</v>
      </c>
      <c r="I322" s="77">
        <f>IFERROR(__xludf.DUMMYFUNCTION("""COMPUTED_VALUE"""),100.0)</f>
        <v>100</v>
      </c>
      <c r="J322" s="73"/>
      <c r="K322" s="73"/>
      <c r="L322" s="73">
        <f>IFERROR(__xludf.DUMMYFUNCTION("""COMPUTED_VALUE"""),2.0)</f>
        <v>2</v>
      </c>
      <c r="M322" s="77">
        <f>IFERROR(__xludf.DUMMYFUNCTION("""COMPUTED_VALUE"""),0.1)</f>
        <v>0.1</v>
      </c>
      <c r="N322" s="77">
        <f>IFERROR(__xludf.DUMMYFUNCTION("""COMPUTED_VALUE"""),1.0)</f>
        <v>1</v>
      </c>
      <c r="O322" s="49"/>
      <c r="P322" s="49" t="str">
        <f>IFERROR(__xludf.DUMMYFUNCTION("""COMPUTED_VALUE"""),"Offset")</f>
        <v>Offset</v>
      </c>
      <c r="Q322" s="49" t="str">
        <f>IFERROR(__xludf.DUMMYFUNCTION("""COMPUTED_VALUE"""),"Packaging")</f>
        <v>Packaging</v>
      </c>
      <c r="R322" s="49" t="str">
        <f>IFERROR(__xludf.DUMMYFUNCTION("""COMPUTED_VALUE"""),"Hosiery")</f>
        <v>Hosiery</v>
      </c>
    </row>
    <row r="323">
      <c r="A323" s="156" t="str">
        <f>IFERROR(__xludf.DUMMYFUNCTION("""COMPUTED_VALUE"""),"https://drive.google.com/open?id=10Pqcp5t6jR9uvk_Ug6JrjYgY5ri0Sxbs&amp;authuser=jay.agg%40gmail.com&amp;usp=drive_fs")</f>
        <v>https://drive.google.com/open?id=10Pqcp5t6jR9uvk_Ug6JrjYgY5ri0Sxbs&amp;authuser=jay.agg%40gmail.com&amp;usp=drive_fs</v>
      </c>
      <c r="B323" s="73" t="str">
        <f>IFERROR(__xludf.DUMMYFUNCTION("""COMPUTED_VALUE"""),"Hosiery")</f>
        <v>Hosiery</v>
      </c>
      <c r="C323" s="73" t="str">
        <f>IFERROR(__xludf.DUMMYFUNCTION("""COMPUTED_VALUE"""),"Lingeries")</f>
        <v>Lingeries</v>
      </c>
      <c r="D323" s="73" t="str">
        <f>IFERROR(__xludf.DUMMYFUNCTION("""COMPUTED_VALUE"""),"100*22*155 mm | 4*0.9*6 inch")</f>
        <v>100*22*155 mm | 4*0.9*6 inch</v>
      </c>
      <c r="E323" s="77">
        <f>IFERROR(__xludf.DUMMYFUNCTION("""COMPUTED_VALUE"""),4.0)</f>
        <v>4</v>
      </c>
      <c r="F323" s="77">
        <f>IFERROR(__xludf.DUMMYFUNCTION("""COMPUTED_VALUE"""),1926.0)</f>
        <v>1926</v>
      </c>
      <c r="G323" s="77">
        <f>IFERROR(__xludf.DUMMYFUNCTION("""COMPUTED_VALUE"""),18.0)</f>
        <v>18</v>
      </c>
      <c r="H323" s="77">
        <f>IFERROR(__xludf.DUMMYFUNCTION("""COMPUTED_VALUE"""),21.0)</f>
        <v>21</v>
      </c>
      <c r="I323" s="77">
        <f>IFERROR(__xludf.DUMMYFUNCTION("""COMPUTED_VALUE"""),100.0)</f>
        <v>100</v>
      </c>
      <c r="J323" s="73"/>
      <c r="K323" s="73"/>
      <c r="L323" s="73"/>
      <c r="M323" s="77">
        <f>IFERROR(__xludf.DUMMYFUNCTION("""COMPUTED_VALUE"""),0.1)</f>
        <v>0.1</v>
      </c>
      <c r="N323" s="77">
        <f>IFERROR(__xludf.DUMMYFUNCTION("""COMPUTED_VALUE"""),1.0)</f>
        <v>1</v>
      </c>
      <c r="O323" s="49"/>
      <c r="P323" s="49" t="str">
        <f>IFERROR(__xludf.DUMMYFUNCTION("""COMPUTED_VALUE"""),"Offset")</f>
        <v>Offset</v>
      </c>
      <c r="Q323" s="49" t="str">
        <f>IFERROR(__xludf.DUMMYFUNCTION("""COMPUTED_VALUE"""),"Packaging")</f>
        <v>Packaging</v>
      </c>
      <c r="R323" s="49" t="str">
        <f>IFERROR(__xludf.DUMMYFUNCTION("""COMPUTED_VALUE"""),"Hosiery")</f>
        <v>Hosiery</v>
      </c>
    </row>
    <row r="324">
      <c r="A324" s="156" t="str">
        <f>IFERROR(__xludf.DUMMYFUNCTION("""COMPUTED_VALUE"""),"https://drive.google.com/open?id=1UAe6f5lkLn1w7VNv38K0bpUPOLQ47PEP&amp;authuser=jay.agg%40gmail.com&amp;usp=drive_fs")</f>
        <v>https://drive.google.com/open?id=1UAe6f5lkLn1w7VNv38K0bpUPOLQ47PEP&amp;authuser=jay.agg%40gmail.com&amp;usp=drive_fs</v>
      </c>
      <c r="B324" s="73" t="str">
        <f>IFERROR(__xludf.DUMMYFUNCTION("""COMPUTED_VALUE"""),"Apparel")</f>
        <v>Apparel</v>
      </c>
      <c r="C324" s="73" t="str">
        <f>IFERROR(__xludf.DUMMYFUNCTION("""COMPUTED_VALUE"""),"T Shirt")</f>
        <v>T Shirt</v>
      </c>
      <c r="D324" s="73" t="str">
        <f>IFERROR(__xludf.DUMMYFUNCTION("""COMPUTED_VALUE"""),"76*76*228 mm | 3*3*9 inch")</f>
        <v>76*76*228 mm | 3*3*9 inch</v>
      </c>
      <c r="E324" s="77">
        <f>IFERROR(__xludf.DUMMYFUNCTION("""COMPUTED_VALUE"""),2.0)</f>
        <v>2</v>
      </c>
      <c r="F324" s="77">
        <f>IFERROR(__xludf.DUMMYFUNCTION("""COMPUTED_VALUE"""),1926.0)</f>
        <v>1926</v>
      </c>
      <c r="G324" s="77">
        <f>IFERROR(__xludf.DUMMYFUNCTION("""COMPUTED_VALUE"""),18.0)</f>
        <v>18</v>
      </c>
      <c r="H324" s="77">
        <f>IFERROR(__xludf.DUMMYFUNCTION("""COMPUTED_VALUE"""),25.0)</f>
        <v>25</v>
      </c>
      <c r="I324" s="77">
        <f>IFERROR(__xludf.DUMMYFUNCTION("""COMPUTED_VALUE"""),100.0)</f>
        <v>100</v>
      </c>
      <c r="J324" s="73"/>
      <c r="K324" s="73"/>
      <c r="L324" s="73"/>
      <c r="M324" s="77">
        <f>IFERROR(__xludf.DUMMYFUNCTION("""COMPUTED_VALUE"""),0.1)</f>
        <v>0.1</v>
      </c>
      <c r="N324" s="77">
        <f>IFERROR(__xludf.DUMMYFUNCTION("""COMPUTED_VALUE"""),1.0)</f>
        <v>1</v>
      </c>
      <c r="O324" s="49"/>
      <c r="P324" s="49" t="str">
        <f>IFERROR(__xludf.DUMMYFUNCTION("""COMPUTED_VALUE"""),"Offset")</f>
        <v>Offset</v>
      </c>
      <c r="Q324" s="49" t="str">
        <f>IFERROR(__xludf.DUMMYFUNCTION("""COMPUTED_VALUE"""),"Packaging")</f>
        <v>Packaging</v>
      </c>
      <c r="R324" s="49" t="str">
        <f>IFERROR(__xludf.DUMMYFUNCTION("""COMPUTED_VALUE"""),"Apparel")</f>
        <v>Apparel</v>
      </c>
    </row>
    <row r="325">
      <c r="A325" s="156" t="str">
        <f>IFERROR(__xludf.DUMMYFUNCTION("""COMPUTED_VALUE"""),"https://drive.google.com/open?id=1Xn6fAZ87CCSpKfUUcilRDKCWDZRLKll8&amp;authuser=jay.agg%40gmail.com&amp;usp=drive_fs")</f>
        <v>https://drive.google.com/open?id=1Xn6fAZ87CCSpKfUUcilRDKCWDZRLKll8&amp;authuser=jay.agg%40gmail.com&amp;usp=drive_fs</v>
      </c>
      <c r="B325" s="73" t="str">
        <f>IFERROR(__xludf.DUMMYFUNCTION("""COMPUTED_VALUE"""),"Hosiery")</f>
        <v>Hosiery</v>
      </c>
      <c r="C325" s="73" t="str">
        <f>IFERROR(__xludf.DUMMYFUNCTION("""COMPUTED_VALUE"""),"Under Garments")</f>
        <v>Under Garments</v>
      </c>
      <c r="D325" s="73" t="str">
        <f>IFERROR(__xludf.DUMMYFUNCTION("""COMPUTED_VALUE"""),"127*51*178 mm | 5*2*7 inch")</f>
        <v>127*51*178 mm | 5*2*7 inch</v>
      </c>
      <c r="E325" s="77">
        <f>IFERROR(__xludf.DUMMYFUNCTION("""COMPUTED_VALUE"""),2.0)</f>
        <v>2</v>
      </c>
      <c r="F325" s="77">
        <f>IFERROR(__xludf.DUMMYFUNCTION("""COMPUTED_VALUE"""),1926.0)</f>
        <v>1926</v>
      </c>
      <c r="G325" s="77">
        <f>IFERROR(__xludf.DUMMYFUNCTION("""COMPUTED_VALUE"""),15.0)</f>
        <v>15</v>
      </c>
      <c r="H325" s="77">
        <f>IFERROR(__xludf.DUMMYFUNCTION("""COMPUTED_VALUE"""),25.0)</f>
        <v>25</v>
      </c>
      <c r="I325" s="77">
        <f>IFERROR(__xludf.DUMMYFUNCTION("""COMPUTED_VALUE"""),100.0)</f>
        <v>100</v>
      </c>
      <c r="J325" s="73"/>
      <c r="K325" s="73"/>
      <c r="L325" s="73"/>
      <c r="M325" s="77">
        <f>IFERROR(__xludf.DUMMYFUNCTION("""COMPUTED_VALUE"""),0.1)</f>
        <v>0.1</v>
      </c>
      <c r="N325" s="77">
        <f>IFERROR(__xludf.DUMMYFUNCTION("""COMPUTED_VALUE"""),1.0)</f>
        <v>1</v>
      </c>
      <c r="O325" s="49"/>
      <c r="P325" s="49" t="str">
        <f>IFERROR(__xludf.DUMMYFUNCTION("""COMPUTED_VALUE"""),"Offset")</f>
        <v>Offset</v>
      </c>
      <c r="Q325" s="49" t="str">
        <f>IFERROR(__xludf.DUMMYFUNCTION("""COMPUTED_VALUE"""),"Packaging")</f>
        <v>Packaging</v>
      </c>
      <c r="R325" s="49" t="str">
        <f>IFERROR(__xludf.DUMMYFUNCTION("""COMPUTED_VALUE"""),"Hosiery")</f>
        <v>Hosiery</v>
      </c>
    </row>
    <row r="326">
      <c r="A326" s="156" t="str">
        <f>IFERROR(__xludf.DUMMYFUNCTION("""COMPUTED_VALUE"""),"https://drive.google.com/open?id=1-acH7SRa_28vGhIUTt64MA9mutQzV6M8&amp;authuser=jay.agg%40gmail.com&amp;usp=drive_fs")</f>
        <v>https://drive.google.com/open?id=1-acH7SRa_28vGhIUTt64MA9mutQzV6M8&amp;authuser=jay.agg%40gmail.com&amp;usp=drive_fs</v>
      </c>
      <c r="B326" s="73" t="str">
        <f>IFERROR(__xludf.DUMMYFUNCTION("""COMPUTED_VALUE"""),"Apparel")</f>
        <v>Apparel</v>
      </c>
      <c r="C326" s="73" t="str">
        <f>IFERROR(__xludf.DUMMYFUNCTION("""COMPUTED_VALUE"""),"Tie Box")</f>
        <v>Tie Box</v>
      </c>
      <c r="D326" s="73" t="str">
        <f>IFERROR(__xludf.DUMMYFUNCTION("""COMPUTED_VALUE"""),"90*26*395 mm | 3.5*1*15.5 inch W 2.5*10 inch")</f>
        <v>90*26*395 mm | 3.5*1*15.5 inch W 2.5*10 inch</v>
      </c>
      <c r="E326" s="77">
        <f>IFERROR(__xludf.DUMMYFUNCTION("""COMPUTED_VALUE"""),2.0)</f>
        <v>2</v>
      </c>
      <c r="F326" s="77">
        <f>IFERROR(__xludf.DUMMYFUNCTION("""COMPUTED_VALUE"""),1926.0)</f>
        <v>1926</v>
      </c>
      <c r="G326" s="77">
        <f>IFERROR(__xludf.DUMMYFUNCTION("""COMPUTED_VALUE"""),19.0)</f>
        <v>19</v>
      </c>
      <c r="H326" s="77">
        <f>IFERROR(__xludf.DUMMYFUNCTION("""COMPUTED_VALUE"""),20.0)</f>
        <v>20</v>
      </c>
      <c r="I326" s="77">
        <f>IFERROR(__xludf.DUMMYFUNCTION("""COMPUTED_VALUE"""),100.0)</f>
        <v>100</v>
      </c>
      <c r="J326" s="73"/>
      <c r="K326" s="73"/>
      <c r="L326" s="73">
        <f>IFERROR(__xludf.DUMMYFUNCTION("""COMPUTED_VALUE"""),6.0)</f>
        <v>6</v>
      </c>
      <c r="M326" s="77">
        <f>IFERROR(__xludf.DUMMYFUNCTION("""COMPUTED_VALUE"""),0.1)</f>
        <v>0.1</v>
      </c>
      <c r="N326" s="77">
        <f>IFERROR(__xludf.DUMMYFUNCTION("""COMPUTED_VALUE"""),1.0)</f>
        <v>1</v>
      </c>
      <c r="O326" s="49"/>
      <c r="P326" s="49" t="str">
        <f>IFERROR(__xludf.DUMMYFUNCTION("""COMPUTED_VALUE"""),"Offset")</f>
        <v>Offset</v>
      </c>
      <c r="Q326" s="49" t="str">
        <f>IFERROR(__xludf.DUMMYFUNCTION("""COMPUTED_VALUE"""),"Packaging")</f>
        <v>Packaging</v>
      </c>
      <c r="R326" s="49" t="str">
        <f>IFERROR(__xludf.DUMMYFUNCTION("""COMPUTED_VALUE"""),"Apparel")</f>
        <v>Apparel</v>
      </c>
    </row>
    <row r="327">
      <c r="A327" s="156" t="str">
        <f>IFERROR(__xludf.DUMMYFUNCTION("""COMPUTED_VALUE"""),"https://drive.google.com/open?id=1PSHP6sFKxmNxlTDPB3t6cP4MrmJ1mgn6&amp;authuser=jay.agg%40gmail.com&amp;usp=drive_fs")</f>
        <v>https://drive.google.com/open?id=1PSHP6sFKxmNxlTDPB3t6cP4MrmJ1mgn6&amp;authuser=jay.agg%40gmail.com&amp;usp=drive_fs</v>
      </c>
      <c r="B327" s="73" t="str">
        <f>IFERROR(__xludf.DUMMYFUNCTION("""COMPUTED_VALUE"""),"Apparel")</f>
        <v>Apparel</v>
      </c>
      <c r="C327" s="73" t="str">
        <f>IFERROR(__xludf.DUMMYFUNCTION("""COMPUTED_VALUE"""),"Under Garments")</f>
        <v>Under Garments</v>
      </c>
      <c r="D327" s="73" t="str">
        <f>IFERROR(__xludf.DUMMYFUNCTION("""COMPUTED_VALUE"""),"125*25*180 mm | 5*1*7 inch")</f>
        <v>125*25*180 mm | 5*1*7 inch</v>
      </c>
      <c r="E327" s="77">
        <f>IFERROR(__xludf.DUMMYFUNCTION("""COMPUTED_VALUE"""),4.0)</f>
        <v>4</v>
      </c>
      <c r="F327" s="77">
        <f>IFERROR(__xludf.DUMMYFUNCTION("""COMPUTED_VALUE"""),2029.0)</f>
        <v>2029</v>
      </c>
      <c r="G327" s="77">
        <f>IFERROR(__xludf.DUMMYFUNCTION("""COMPUTED_VALUE"""),20.0)</f>
        <v>20</v>
      </c>
      <c r="H327" s="77">
        <f>IFERROR(__xludf.DUMMYFUNCTION("""COMPUTED_VALUE"""),25.0)</f>
        <v>25</v>
      </c>
      <c r="I327" s="77">
        <f>IFERROR(__xludf.DUMMYFUNCTION("""COMPUTED_VALUE"""),100.0)</f>
        <v>100</v>
      </c>
      <c r="J327" s="73"/>
      <c r="K327" s="73"/>
      <c r="L327" s="73"/>
      <c r="M327" s="77">
        <f>IFERROR(__xludf.DUMMYFUNCTION("""COMPUTED_VALUE"""),0.1)</f>
        <v>0.1</v>
      </c>
      <c r="N327" s="77">
        <f>IFERROR(__xludf.DUMMYFUNCTION("""COMPUTED_VALUE"""),1.0)</f>
        <v>1</v>
      </c>
      <c r="O327" s="49"/>
      <c r="P327" s="49" t="str">
        <f>IFERROR(__xludf.DUMMYFUNCTION("""COMPUTED_VALUE"""),"Offset")</f>
        <v>Offset</v>
      </c>
      <c r="Q327" s="49" t="str">
        <f>IFERROR(__xludf.DUMMYFUNCTION("""COMPUTED_VALUE"""),"Packaging")</f>
        <v>Packaging</v>
      </c>
      <c r="R327" s="49" t="str">
        <f>IFERROR(__xludf.DUMMYFUNCTION("""COMPUTED_VALUE"""),"Apparel")</f>
        <v>Apparel</v>
      </c>
    </row>
    <row r="328">
      <c r="A328" s="156" t="str">
        <f>IFERROR(__xludf.DUMMYFUNCTION("""COMPUTED_VALUE"""),"https://drive.google.com/open?id=1PU1_vuxRPViOALzO-OqdFb2MFblUEXkl&amp;authuser=jay.agg%40gmail.com&amp;usp=drive_fs")</f>
        <v>https://drive.google.com/open?id=1PU1_vuxRPViOALzO-OqdFb2MFblUEXkl&amp;authuser=jay.agg%40gmail.com&amp;usp=drive_fs</v>
      </c>
      <c r="B328" s="73" t="str">
        <f>IFERROR(__xludf.DUMMYFUNCTION("""COMPUTED_VALUE"""),"Apparel")</f>
        <v>Apparel</v>
      </c>
      <c r="C328" s="73" t="str">
        <f>IFERROR(__xludf.DUMMYFUNCTION("""COMPUTED_VALUE"""),"Under Garments")</f>
        <v>Under Garments</v>
      </c>
      <c r="D328" s="73" t="str">
        <f>IFERROR(__xludf.DUMMYFUNCTION("""COMPUTED_VALUE"""),"Outer 10pcs 125*25*180 mm | 130*260*185 mm IL")</f>
        <v>Outer 10pcs 125*25*180 mm | 130*260*185 mm IL</v>
      </c>
      <c r="E328" s="77">
        <f>IFERROR(__xludf.DUMMYFUNCTION("""COMPUTED_VALUE"""),2.0)</f>
        <v>2</v>
      </c>
      <c r="F328" s="77">
        <f>IFERROR(__xludf.DUMMYFUNCTION("""COMPUTED_VALUE"""),2840.0)</f>
        <v>2840</v>
      </c>
      <c r="G328" s="77">
        <f>IFERROR(__xludf.DUMMYFUNCTION("""COMPUTED_VALUE"""),28.0)</f>
        <v>28</v>
      </c>
      <c r="H328" s="77">
        <f>IFERROR(__xludf.DUMMYFUNCTION("""COMPUTED_VALUE"""),35.0)</f>
        <v>35</v>
      </c>
      <c r="I328" s="77">
        <f>IFERROR(__xludf.DUMMYFUNCTION("""COMPUTED_VALUE"""),100.0)</f>
        <v>100</v>
      </c>
      <c r="J328" s="73"/>
      <c r="K328" s="73"/>
      <c r="L328" s="73">
        <f>IFERROR(__xludf.DUMMYFUNCTION("""COMPUTED_VALUE"""),6.0)</f>
        <v>6</v>
      </c>
      <c r="M328" s="77">
        <f>IFERROR(__xludf.DUMMYFUNCTION("""COMPUTED_VALUE"""),0.1)</f>
        <v>0.1</v>
      </c>
      <c r="N328" s="77">
        <f>IFERROR(__xludf.DUMMYFUNCTION("""COMPUTED_VALUE"""),1.0)</f>
        <v>1</v>
      </c>
      <c r="O328" s="49"/>
      <c r="P328" s="49" t="str">
        <f>IFERROR(__xludf.DUMMYFUNCTION("""COMPUTED_VALUE"""),"Offset")</f>
        <v>Offset</v>
      </c>
      <c r="Q328" s="49" t="str">
        <f>IFERROR(__xludf.DUMMYFUNCTION("""COMPUTED_VALUE"""),"Packaging")</f>
        <v>Packaging</v>
      </c>
      <c r="R328" s="49" t="str">
        <f>IFERROR(__xludf.DUMMYFUNCTION("""COMPUTED_VALUE"""),"Apparel")</f>
        <v>Apparel</v>
      </c>
    </row>
    <row r="329">
      <c r="A329" s="156" t="str">
        <f>IFERROR(__xludf.DUMMYFUNCTION("""COMPUTED_VALUE"""),"https://drive.google.com/open?id=1QWWRTSLbqa95EGw1oYJnssK6HQ7LuAOl&amp;authuser=jay.agg%40gmail.com&amp;usp=drive_fs")</f>
        <v>https://drive.google.com/open?id=1QWWRTSLbqa95EGw1oYJnssK6HQ7LuAOl&amp;authuser=jay.agg%40gmail.com&amp;usp=drive_fs</v>
      </c>
      <c r="B329" s="73" t="str">
        <f>IFERROR(__xludf.DUMMYFUNCTION("""COMPUTED_VALUE"""),"Apparel")</f>
        <v>Apparel</v>
      </c>
      <c r="C329" s="73" t="str">
        <f>IFERROR(__xludf.DUMMYFUNCTION("""COMPUTED_VALUE"""),"Under Garments")</f>
        <v>Under Garments</v>
      </c>
      <c r="D329" s="73" t="str">
        <f>IFERROR(__xludf.DUMMYFUNCTION("""COMPUTED_VALUE"""),"Outer 10pcs 125*25*180 mm | 130*260*185 mm Flap")</f>
        <v>Outer 10pcs 125*25*180 mm | 130*260*185 mm Flap</v>
      </c>
      <c r="E329" s="77">
        <f>IFERROR(__xludf.DUMMYFUNCTION("""COMPUTED_VALUE"""),1.0)</f>
        <v>1</v>
      </c>
      <c r="F329" s="77">
        <f>IFERROR(__xludf.DUMMYFUNCTION("""COMPUTED_VALUE"""),2029.0)</f>
        <v>2029</v>
      </c>
      <c r="G329" s="77">
        <f>IFERROR(__xludf.DUMMYFUNCTION("""COMPUTED_VALUE"""),20.0)</f>
        <v>20</v>
      </c>
      <c r="H329" s="77">
        <f>IFERROR(__xludf.DUMMYFUNCTION("""COMPUTED_VALUE"""),25.0)</f>
        <v>25</v>
      </c>
      <c r="I329" s="77">
        <f>IFERROR(__xludf.DUMMYFUNCTION("""COMPUTED_VALUE"""),100.0)</f>
        <v>100</v>
      </c>
      <c r="J329" s="73"/>
      <c r="K329" s="73"/>
      <c r="L329" s="73">
        <f>IFERROR(__xludf.DUMMYFUNCTION("""COMPUTED_VALUE"""),4.0)</f>
        <v>4</v>
      </c>
      <c r="M329" s="77">
        <f>IFERROR(__xludf.DUMMYFUNCTION("""COMPUTED_VALUE"""),0.1)</f>
        <v>0.1</v>
      </c>
      <c r="N329" s="77">
        <f>IFERROR(__xludf.DUMMYFUNCTION("""COMPUTED_VALUE"""),1.0)</f>
        <v>1</v>
      </c>
      <c r="O329" s="49"/>
      <c r="P329" s="49" t="str">
        <f>IFERROR(__xludf.DUMMYFUNCTION("""COMPUTED_VALUE"""),"Offset")</f>
        <v>Offset</v>
      </c>
      <c r="Q329" s="49" t="str">
        <f>IFERROR(__xludf.DUMMYFUNCTION("""COMPUTED_VALUE"""),"Packaging")</f>
        <v>Packaging</v>
      </c>
      <c r="R329" s="49" t="str">
        <f>IFERROR(__xludf.DUMMYFUNCTION("""COMPUTED_VALUE"""),"Apparel")</f>
        <v>Apparel</v>
      </c>
    </row>
    <row r="330">
      <c r="A330" s="156" t="str">
        <f>IFERROR(__xludf.DUMMYFUNCTION("""COMPUTED_VALUE"""),"https://drive.google.com/open?id=1AhbUtF59Up0jnQxZ9L6FScjV4wMbiJH6&amp;authuser=jay.agg%40gmail.com&amp;usp=drive_fs")</f>
        <v>https://drive.google.com/open?id=1AhbUtF59Up0jnQxZ9L6FScjV4wMbiJH6&amp;authuser=jay.agg%40gmail.com&amp;usp=drive_fs</v>
      </c>
      <c r="B330" s="73" t="str">
        <f>IFERROR(__xludf.DUMMYFUNCTION("""COMPUTED_VALUE"""),"Apparel")</f>
        <v>Apparel</v>
      </c>
      <c r="C330" s="73" t="str">
        <f>IFERROR(__xludf.DUMMYFUNCTION("""COMPUTED_VALUE"""),"Under Garments")</f>
        <v>Under Garments</v>
      </c>
      <c r="D330" s="73" t="str">
        <f>IFERROR(__xludf.DUMMYFUNCTION("""COMPUTED_VALUE"""),"115*25*140 | 4.5*1*5.5 inch")</f>
        <v>115*25*140 | 4.5*1*5.5 inch</v>
      </c>
      <c r="E330" s="77">
        <f>IFERROR(__xludf.DUMMYFUNCTION("""COMPUTED_VALUE"""),4.0)</f>
        <v>4</v>
      </c>
      <c r="F330" s="77">
        <f>IFERROR(__xludf.DUMMYFUNCTION("""COMPUTED_VALUE"""),2029.0)</f>
        <v>2029</v>
      </c>
      <c r="G330" s="77">
        <f>IFERROR(__xludf.DUMMYFUNCTION("""COMPUTED_VALUE"""),18.0)</f>
        <v>18</v>
      </c>
      <c r="H330" s="77">
        <f>IFERROR(__xludf.DUMMYFUNCTION("""COMPUTED_VALUE"""),23.0)</f>
        <v>23</v>
      </c>
      <c r="I330" s="77">
        <f>IFERROR(__xludf.DUMMYFUNCTION("""COMPUTED_VALUE"""),100.0)</f>
        <v>100</v>
      </c>
      <c r="J330" s="73"/>
      <c r="K330" s="73"/>
      <c r="L330" s="73"/>
      <c r="M330" s="77">
        <f>IFERROR(__xludf.DUMMYFUNCTION("""COMPUTED_VALUE"""),0.1)</f>
        <v>0.1</v>
      </c>
      <c r="N330" s="77">
        <f>IFERROR(__xludf.DUMMYFUNCTION("""COMPUTED_VALUE"""),1.0)</f>
        <v>1</v>
      </c>
      <c r="O330" s="49"/>
      <c r="P330" s="49" t="str">
        <f>IFERROR(__xludf.DUMMYFUNCTION("""COMPUTED_VALUE"""),"Offset")</f>
        <v>Offset</v>
      </c>
      <c r="Q330" s="49" t="str">
        <f>IFERROR(__xludf.DUMMYFUNCTION("""COMPUTED_VALUE"""),"Packaging")</f>
        <v>Packaging</v>
      </c>
      <c r="R330" s="49" t="str">
        <f>IFERROR(__xludf.DUMMYFUNCTION("""COMPUTED_VALUE"""),"Apparel")</f>
        <v>Apparel</v>
      </c>
    </row>
    <row r="331">
      <c r="A331" s="156" t="str">
        <f>IFERROR(__xludf.DUMMYFUNCTION("""COMPUTED_VALUE"""),"https://drive.google.com/open?id=1SEUOeVHs3SpR2HcjVPTI0DLadVSc2SEa&amp;authuser=jay.agg%40gmail.com&amp;usp=drive_fs")</f>
        <v>https://drive.google.com/open?id=1SEUOeVHs3SpR2HcjVPTI0DLadVSc2SEa&amp;authuser=jay.agg%40gmail.com&amp;usp=drive_fs</v>
      </c>
      <c r="B331" s="73" t="str">
        <f>IFERROR(__xludf.DUMMYFUNCTION("""COMPUTED_VALUE"""),"Apparel")</f>
        <v>Apparel</v>
      </c>
      <c r="C331" s="73" t="str">
        <f>IFERROR(__xludf.DUMMYFUNCTION("""COMPUTED_VALUE"""),"Under Garments")</f>
        <v>Under Garments</v>
      </c>
      <c r="D331" s="73" t="str">
        <f>IFERROR(__xludf.DUMMYFUNCTION("""COMPUTED_VALUE"""),"140*38*165 mm | 5.5*1.5*6.5 inch W 1.5*5 inch")</f>
        <v>140*38*165 mm | 5.5*1.5*6.5 inch W 1.5*5 inch</v>
      </c>
      <c r="E331" s="77">
        <f>IFERROR(__xludf.DUMMYFUNCTION("""COMPUTED_VALUE"""),2.0)</f>
        <v>2</v>
      </c>
      <c r="F331" s="77">
        <f>IFERROR(__xludf.DUMMYFUNCTION("""COMPUTED_VALUE"""),2029.0)</f>
        <v>2029</v>
      </c>
      <c r="G331" s="77">
        <f>IFERROR(__xludf.DUMMYFUNCTION("""COMPUTED_VALUE"""),15.75)</f>
        <v>15.75</v>
      </c>
      <c r="H331" s="77">
        <f>IFERROR(__xludf.DUMMYFUNCTION("""COMPUTED_VALUE"""),20.75)</f>
        <v>20.75</v>
      </c>
      <c r="I331" s="77">
        <f>IFERROR(__xludf.DUMMYFUNCTION("""COMPUTED_VALUE"""),100.0)</f>
        <v>100</v>
      </c>
      <c r="J331" s="73"/>
      <c r="K331" s="73"/>
      <c r="L331" s="73">
        <f>IFERROR(__xludf.DUMMYFUNCTION("""COMPUTED_VALUE"""),1.5)</f>
        <v>1.5</v>
      </c>
      <c r="M331" s="77">
        <f>IFERROR(__xludf.DUMMYFUNCTION("""COMPUTED_VALUE"""),0.12)</f>
        <v>0.12</v>
      </c>
      <c r="N331" s="77">
        <f>IFERROR(__xludf.DUMMYFUNCTION("""COMPUTED_VALUE"""),1.0)</f>
        <v>1</v>
      </c>
      <c r="O331" s="49"/>
      <c r="P331" s="49" t="str">
        <f>IFERROR(__xludf.DUMMYFUNCTION("""COMPUTED_VALUE"""),"Offset")</f>
        <v>Offset</v>
      </c>
      <c r="Q331" s="49" t="str">
        <f>IFERROR(__xludf.DUMMYFUNCTION("""COMPUTED_VALUE"""),"Packaging")</f>
        <v>Packaging</v>
      </c>
      <c r="R331" s="49" t="str">
        <f>IFERROR(__xludf.DUMMYFUNCTION("""COMPUTED_VALUE"""),"Apparel")</f>
        <v>Apparel</v>
      </c>
    </row>
    <row r="332">
      <c r="A332" s="156" t="str">
        <f>IFERROR(__xludf.DUMMYFUNCTION("""COMPUTED_VALUE"""),"https://drive.google.com/open?id=1fj6imJBZM1upDYGUCwpXhRSvDL2sJeMR&amp;authuser=jay.agg%40gmail.com&amp;usp=drive_fs")</f>
        <v>https://drive.google.com/open?id=1fj6imJBZM1upDYGUCwpXhRSvDL2sJeMR&amp;authuser=jay.agg%40gmail.com&amp;usp=drive_fs</v>
      </c>
      <c r="B332" s="73" t="str">
        <f>IFERROR(__xludf.DUMMYFUNCTION("""COMPUTED_VALUE"""),"Apparel")</f>
        <v>Apparel</v>
      </c>
      <c r="C332" s="73" t="str">
        <f>IFERROR(__xludf.DUMMYFUNCTION("""COMPUTED_VALUE"""),"Under Garments")</f>
        <v>Under Garments</v>
      </c>
      <c r="D332" s="73" t="str">
        <f>IFERROR(__xludf.DUMMYFUNCTION("""COMPUTED_VALUE"""),"94*74*175 mm | 3.7*2.9*6.9 inch W 1.5*3 inch")</f>
        <v>94*74*175 mm | 3.7*2.9*6.9 inch W 1.5*3 inch</v>
      </c>
      <c r="E332" s="77">
        <f>IFERROR(__xludf.DUMMYFUNCTION("""COMPUTED_VALUE"""),2.0)</f>
        <v>2</v>
      </c>
      <c r="F332" s="77">
        <f>IFERROR(__xludf.DUMMYFUNCTION("""COMPUTED_VALUE"""),2029.0)</f>
        <v>2029</v>
      </c>
      <c r="G332" s="77">
        <f>IFERROR(__xludf.DUMMYFUNCTION("""COMPUTED_VALUE"""),19.0)</f>
        <v>19</v>
      </c>
      <c r="H332" s="77">
        <f>IFERROR(__xludf.DUMMYFUNCTION("""COMPUTED_VALUE"""),26.0)</f>
        <v>26</v>
      </c>
      <c r="I332" s="77">
        <f>IFERROR(__xludf.DUMMYFUNCTION("""COMPUTED_VALUE"""),100.0)</f>
        <v>100</v>
      </c>
      <c r="J332" s="73"/>
      <c r="K332" s="73"/>
      <c r="L332" s="73">
        <f>IFERROR(__xludf.DUMMYFUNCTION("""COMPUTED_VALUE"""),1.5)</f>
        <v>1.5</v>
      </c>
      <c r="M332" s="77">
        <f>IFERROR(__xludf.DUMMYFUNCTION("""COMPUTED_VALUE"""),0.1)</f>
        <v>0.1</v>
      </c>
      <c r="N332" s="77">
        <f>IFERROR(__xludf.DUMMYFUNCTION("""COMPUTED_VALUE"""),1.0)</f>
        <v>1</v>
      </c>
      <c r="O332" s="49"/>
      <c r="P332" s="49" t="str">
        <f>IFERROR(__xludf.DUMMYFUNCTION("""COMPUTED_VALUE"""),"Offset")</f>
        <v>Offset</v>
      </c>
      <c r="Q332" s="49" t="str">
        <f>IFERROR(__xludf.DUMMYFUNCTION("""COMPUTED_VALUE"""),"Packaging")</f>
        <v>Packaging</v>
      </c>
      <c r="R332" s="49" t="str">
        <f>IFERROR(__xludf.DUMMYFUNCTION("""COMPUTED_VALUE"""),"Apparel")</f>
        <v>Apparel</v>
      </c>
    </row>
    <row r="333">
      <c r="A333" s="156" t="str">
        <f>IFERROR(__xludf.DUMMYFUNCTION("""COMPUTED_VALUE"""),"https://drive.google.com/open?id=1fLQrprvZcmmCCNX1y-z1vIH0VmEmnc9_&amp;authuser=jay.agg%40gmail.com&amp;usp=drive_fs")</f>
        <v>https://drive.google.com/open?id=1fLQrprvZcmmCCNX1y-z1vIH0VmEmnc9_&amp;authuser=jay.agg%40gmail.com&amp;usp=drive_fs</v>
      </c>
      <c r="B333" s="73" t="str">
        <f>IFERROR(__xludf.DUMMYFUNCTION("""COMPUTED_VALUE"""),"Apparel")</f>
        <v>Apparel</v>
      </c>
      <c r="C333" s="73" t="str">
        <f>IFERROR(__xludf.DUMMYFUNCTION("""COMPUTED_VALUE"""),"Under Garments")</f>
        <v>Under Garments</v>
      </c>
      <c r="D333" s="73" t="str">
        <f>IFERROR(__xludf.DUMMYFUNCTION("""COMPUTED_VALUE"""),"107*28*152 mm | 4.2*1.1*6 inch")</f>
        <v>107*28*152 mm | 4.2*1.1*6 inch</v>
      </c>
      <c r="E333" s="77">
        <f>IFERROR(__xludf.DUMMYFUNCTION("""COMPUTED_VALUE"""),4.0)</f>
        <v>4</v>
      </c>
      <c r="F333" s="77">
        <f>IFERROR(__xludf.DUMMYFUNCTION("""COMPUTED_VALUE"""),1926.0)</f>
        <v>1926</v>
      </c>
      <c r="G333" s="77">
        <f>IFERROR(__xludf.DUMMYFUNCTION("""COMPUTED_VALUE"""),18.0)</f>
        <v>18</v>
      </c>
      <c r="H333" s="77">
        <f>IFERROR(__xludf.DUMMYFUNCTION("""COMPUTED_VALUE"""),23.0)</f>
        <v>23</v>
      </c>
      <c r="I333" s="77">
        <f>IFERROR(__xludf.DUMMYFUNCTION("""COMPUTED_VALUE"""),100.0)</f>
        <v>100</v>
      </c>
      <c r="J333" s="73"/>
      <c r="K333" s="73"/>
      <c r="L333" s="73"/>
      <c r="M333" s="77">
        <f>IFERROR(__xludf.DUMMYFUNCTION("""COMPUTED_VALUE"""),0.1)</f>
        <v>0.1</v>
      </c>
      <c r="N333" s="77">
        <f>IFERROR(__xludf.DUMMYFUNCTION("""COMPUTED_VALUE"""),1.0)</f>
        <v>1</v>
      </c>
      <c r="O333" s="49"/>
      <c r="P333" s="49" t="str">
        <f>IFERROR(__xludf.DUMMYFUNCTION("""COMPUTED_VALUE"""),"Offset")</f>
        <v>Offset</v>
      </c>
      <c r="Q333" s="49" t="str">
        <f>IFERROR(__xludf.DUMMYFUNCTION("""COMPUTED_VALUE"""),"Packaging")</f>
        <v>Packaging</v>
      </c>
      <c r="R333" s="49" t="str">
        <f>IFERROR(__xludf.DUMMYFUNCTION("""COMPUTED_VALUE"""),"Apparel")</f>
        <v>Apparel</v>
      </c>
    </row>
    <row r="334">
      <c r="A334" s="156" t="str">
        <f>IFERROR(__xludf.DUMMYFUNCTION("""COMPUTED_VALUE"""),"https://drive.google.com/open?id=1NG1152NAevWf2sXrH_1If7nwx8YWYXmI&amp;usp=drive_fs")</f>
        <v>https://drive.google.com/open?id=1NG1152NAevWf2sXrH_1If7nwx8YWYXmI&amp;usp=drive_fs</v>
      </c>
      <c r="B334" s="73" t="str">
        <f>IFERROR(__xludf.DUMMYFUNCTION("""COMPUTED_VALUE"""),"Apparel")</f>
        <v>Apparel</v>
      </c>
      <c r="C334" s="73" t="str">
        <f>IFERROR(__xludf.DUMMYFUNCTION("""COMPUTED_VALUE"""),"Misc")</f>
        <v>Misc</v>
      </c>
      <c r="D334" s="73" t="str">
        <f>IFERROR(__xludf.DUMMYFUNCTION("""COMPUTED_VALUE"""),"230*145*55 mm | 9*5.7*2.1 inch | 36*19")</f>
        <v>230*145*55 mm | 9*5.7*2.1 inch | 36*19</v>
      </c>
      <c r="E334" s="77">
        <f>IFERROR(__xludf.DUMMYFUNCTION("""COMPUTED_VALUE"""),2.0)</f>
        <v>2</v>
      </c>
      <c r="F334" s="77">
        <f>IFERROR(__xludf.DUMMYFUNCTION("""COMPUTED_VALUE"""),2840.0)</f>
        <v>2840</v>
      </c>
      <c r="G334" s="77">
        <f>IFERROR(__xludf.DUMMYFUNCTION("""COMPUTED_VALUE"""),19.0)</f>
        <v>19</v>
      </c>
      <c r="H334" s="77">
        <f>IFERROR(__xludf.DUMMYFUNCTION("""COMPUTED_VALUE"""),35.0)</f>
        <v>35</v>
      </c>
      <c r="I334" s="77">
        <f>IFERROR(__xludf.DUMMYFUNCTION("""COMPUTED_VALUE"""),100.0)</f>
        <v>100</v>
      </c>
      <c r="J334" s="73"/>
      <c r="K334" s="73"/>
      <c r="L334" s="73"/>
      <c r="M334" s="77"/>
      <c r="N334" s="77">
        <f>IFERROR(__xludf.DUMMYFUNCTION("""COMPUTED_VALUE"""),1.0)</f>
        <v>1</v>
      </c>
      <c r="O334" s="49"/>
      <c r="P334" s="49" t="str">
        <f>IFERROR(__xludf.DUMMYFUNCTION("""COMPUTED_VALUE"""),"Offset")</f>
        <v>Offset</v>
      </c>
      <c r="Q334" s="49" t="str">
        <f>IFERROR(__xludf.DUMMYFUNCTION("""COMPUTED_VALUE"""),"Packaging")</f>
        <v>Packaging</v>
      </c>
      <c r="R334" s="49" t="str">
        <f>IFERROR(__xludf.DUMMYFUNCTION("""COMPUTED_VALUE"""),"Apparel")</f>
        <v>Apparel</v>
      </c>
    </row>
    <row r="335">
      <c r="A335" s="156" t="str">
        <f>IFERROR(__xludf.DUMMYFUNCTION("""COMPUTED_VALUE"""),"https://drive.google.com/open?id=1NR96XkpTrW_w9ZrnyoRhV94wmFA02gGE&amp;usp=drive_fs")</f>
        <v>https://drive.google.com/open?id=1NR96XkpTrW_w9ZrnyoRhV94wmFA02gGE&amp;usp=drive_fs</v>
      </c>
      <c r="B335" s="73" t="str">
        <f>IFERROR(__xludf.DUMMYFUNCTION("""COMPUTED_VALUE"""),"Apparel")</f>
        <v>Apparel</v>
      </c>
      <c r="C335" s="73" t="str">
        <f>IFERROR(__xludf.DUMMYFUNCTION("""COMPUTED_VALUE"""),"Misc")</f>
        <v>Misc</v>
      </c>
      <c r="D335" s="73" t="str">
        <f>IFERROR(__xludf.DUMMYFUNCTION("""COMPUTED_VALUE"""),"255*180*80 mm | 10*7*3.15 inch | 24*25")</f>
        <v>255*180*80 mm | 10*7*3.15 inch | 24*25</v>
      </c>
      <c r="E335" s="77">
        <f>IFERROR(__xludf.DUMMYFUNCTION("""COMPUTED_VALUE"""),1.0)</f>
        <v>1</v>
      </c>
      <c r="F335" s="77">
        <f>IFERROR(__xludf.DUMMYFUNCTION("""COMPUTED_VALUE"""),2840.0)</f>
        <v>2840</v>
      </c>
      <c r="G335" s="77">
        <f>IFERROR(__xludf.DUMMYFUNCTION("""COMPUTED_VALUE"""),24.0)</f>
        <v>24</v>
      </c>
      <c r="H335" s="77">
        <f>IFERROR(__xludf.DUMMYFUNCTION("""COMPUTED_VALUE"""),25.0)</f>
        <v>25</v>
      </c>
      <c r="I335" s="77">
        <f>IFERROR(__xludf.DUMMYFUNCTION("""COMPUTED_VALUE"""),100.0)</f>
        <v>100</v>
      </c>
      <c r="J335" s="73"/>
      <c r="K335" s="73"/>
      <c r="L335" s="73"/>
      <c r="M335" s="77"/>
      <c r="N335" s="77">
        <f>IFERROR(__xludf.DUMMYFUNCTION("""COMPUTED_VALUE"""),1.0)</f>
        <v>1</v>
      </c>
      <c r="O335" s="49"/>
      <c r="P335" s="49" t="str">
        <f>IFERROR(__xludf.DUMMYFUNCTION("""COMPUTED_VALUE"""),"Offset")</f>
        <v>Offset</v>
      </c>
      <c r="Q335" s="49" t="str">
        <f>IFERROR(__xludf.DUMMYFUNCTION("""COMPUTED_VALUE"""),"Packaging")</f>
        <v>Packaging</v>
      </c>
      <c r="R335" s="49" t="str">
        <f>IFERROR(__xludf.DUMMYFUNCTION("""COMPUTED_VALUE"""),"Apparel")</f>
        <v>Apparel</v>
      </c>
    </row>
    <row r="336">
      <c r="A336" s="156" t="str">
        <f>IFERROR(__xludf.DUMMYFUNCTION("""COMPUTED_VALUE"""),"https://drive.google.com/open?id=16gwRQ4fPXldGMT8WRiIe7mq639QAha3I&amp;usp=drive_fs")</f>
        <v>https://drive.google.com/open?id=16gwRQ4fPXldGMT8WRiIe7mq639QAha3I&amp;usp=drive_fs</v>
      </c>
      <c r="B336" s="73" t="str">
        <f>IFERROR(__xludf.DUMMYFUNCTION("""COMPUTED_VALUE"""),"Apparel")</f>
        <v>Apparel</v>
      </c>
      <c r="C336" s="73" t="str">
        <f>IFERROR(__xludf.DUMMYFUNCTION("""COMPUTED_VALUE"""),"Sports")</f>
        <v>Sports</v>
      </c>
      <c r="D336" s="73" t="str">
        <f>IFERROR(__xludf.DUMMYFUNCTION("""COMPUTED_VALUE"""),"120*45*150 mm | 4.7*1.7*5.9 inch")</f>
        <v>120*45*150 mm | 4.7*1.7*5.9 inch</v>
      </c>
      <c r="E336" s="77">
        <f>IFERROR(__xludf.DUMMYFUNCTION("""COMPUTED_VALUE"""),2.0)</f>
        <v>2</v>
      </c>
      <c r="F336" s="77">
        <f>IFERROR(__xludf.DUMMYFUNCTION("""COMPUTED_VALUE"""),1926.0)</f>
        <v>1926</v>
      </c>
      <c r="G336" s="77">
        <f>IFERROR(__xludf.DUMMYFUNCTION("""COMPUTED_VALUE"""),14.0)</f>
        <v>14</v>
      </c>
      <c r="H336" s="77">
        <f>IFERROR(__xludf.DUMMYFUNCTION("""COMPUTED_VALUE"""),22.0)</f>
        <v>22</v>
      </c>
      <c r="I336" s="77">
        <f>IFERROR(__xludf.DUMMYFUNCTION("""COMPUTED_VALUE"""),100.0)</f>
        <v>100</v>
      </c>
      <c r="J336" s="73"/>
      <c r="K336" s="73"/>
      <c r="L336" s="73"/>
      <c r="M336" s="77">
        <f>IFERROR(__xludf.DUMMYFUNCTION("""COMPUTED_VALUE"""),0.1)</f>
        <v>0.1</v>
      </c>
      <c r="N336" s="77">
        <f>IFERROR(__xludf.DUMMYFUNCTION("""COMPUTED_VALUE"""),1.0)</f>
        <v>1</v>
      </c>
      <c r="O336" s="49"/>
      <c r="P336" s="49" t="str">
        <f>IFERROR(__xludf.DUMMYFUNCTION("""COMPUTED_VALUE"""),"Offset")</f>
        <v>Offset</v>
      </c>
      <c r="Q336" s="49" t="str">
        <f>IFERROR(__xludf.DUMMYFUNCTION("""COMPUTED_VALUE"""),"Packaging")</f>
        <v>Packaging</v>
      </c>
      <c r="R336" s="49" t="str">
        <f>IFERROR(__xludf.DUMMYFUNCTION("""COMPUTED_VALUE"""),"Apparel")</f>
        <v>Apparel</v>
      </c>
    </row>
    <row r="337">
      <c r="A337" s="156" t="str">
        <f>IFERROR(__xludf.DUMMYFUNCTION("""COMPUTED_VALUE"""),"https://drive.google.com/open?id=19G95-0lQAImBZ2JBP-5ToYoryfVbkYj2&amp;usp=drive_fs")</f>
        <v>https://drive.google.com/open?id=19G95-0lQAImBZ2JBP-5ToYoryfVbkYj2&amp;usp=drive_fs</v>
      </c>
      <c r="B337" s="73" t="str">
        <f>IFERROR(__xludf.DUMMYFUNCTION("""COMPUTED_VALUE"""),"Apparel")</f>
        <v>Apparel</v>
      </c>
      <c r="C337" s="73" t="str">
        <f>IFERROR(__xludf.DUMMYFUNCTION("""COMPUTED_VALUE"""),"Misc")</f>
        <v>Misc</v>
      </c>
      <c r="D337" s="73" t="str">
        <f>IFERROR(__xludf.DUMMYFUNCTION("""COMPUTED_VALUE"""),"295*255*90 mm | 11.7*10*3.7 inch | 24*37")</f>
        <v>295*255*90 mm | 11.7*10*3.7 inch | 24*37</v>
      </c>
      <c r="E337" s="77">
        <f>IFERROR(__xludf.DUMMYFUNCTION("""COMPUTED_VALUE"""),1.0)</f>
        <v>1</v>
      </c>
      <c r="F337" s="77">
        <f>IFERROR(__xludf.DUMMYFUNCTION("""COMPUTED_VALUE"""),2840.0)</f>
        <v>2840</v>
      </c>
      <c r="G337" s="77">
        <f>IFERROR(__xludf.DUMMYFUNCTION("""COMPUTED_VALUE"""),24.0)</f>
        <v>24</v>
      </c>
      <c r="H337" s="77">
        <f>IFERROR(__xludf.DUMMYFUNCTION("""COMPUTED_VALUE"""),37.0)</f>
        <v>37</v>
      </c>
      <c r="I337" s="77">
        <f>IFERROR(__xludf.DUMMYFUNCTION("""COMPUTED_VALUE"""),100.0)</f>
        <v>100</v>
      </c>
      <c r="J337" s="73"/>
      <c r="K337" s="73"/>
      <c r="L337" s="73"/>
      <c r="M337" s="77">
        <f>IFERROR(__xludf.DUMMYFUNCTION("""COMPUTED_VALUE"""),0.22)</f>
        <v>0.22</v>
      </c>
      <c r="N337" s="77">
        <f>IFERROR(__xludf.DUMMYFUNCTION("""COMPUTED_VALUE"""),1.0)</f>
        <v>1</v>
      </c>
      <c r="O337" s="49"/>
      <c r="P337" s="49" t="str">
        <f>IFERROR(__xludf.DUMMYFUNCTION("""COMPUTED_VALUE"""),"Offset")</f>
        <v>Offset</v>
      </c>
      <c r="Q337" s="49" t="str">
        <f>IFERROR(__xludf.DUMMYFUNCTION("""COMPUTED_VALUE"""),"Packaging")</f>
        <v>Packaging</v>
      </c>
      <c r="R337" s="49" t="str">
        <f>IFERROR(__xludf.DUMMYFUNCTION("""COMPUTED_VALUE"""),"Apparel")</f>
        <v>Apparel</v>
      </c>
    </row>
    <row r="338">
      <c r="A338" s="156" t="str">
        <f>IFERROR(__xludf.DUMMYFUNCTION("""COMPUTED_VALUE"""),"https://drive.google.com/open?id=19H7v5iltAnmlcgqHAlTh6TVtyNo6UqB1&amp;usp=drive_fs")</f>
        <v>https://drive.google.com/open?id=19H7v5iltAnmlcgqHAlTh6TVtyNo6UqB1&amp;usp=drive_fs</v>
      </c>
      <c r="B338" s="73" t="str">
        <f>IFERROR(__xludf.DUMMYFUNCTION("""COMPUTED_VALUE"""),"Apparel")</f>
        <v>Apparel</v>
      </c>
      <c r="C338" s="73" t="str">
        <f>IFERROR(__xludf.DUMMYFUNCTION("""COMPUTED_VALUE"""),"Misc")</f>
        <v>Misc</v>
      </c>
      <c r="D338" s="73" t="str">
        <f>IFERROR(__xludf.DUMMYFUNCTION("""COMPUTED_VALUE"""),"165*145*90 mm | 6.5*5.7*3.7 inch | 26*37")</f>
        <v>165*145*90 mm | 6.5*5.7*3.7 inch | 26*37</v>
      </c>
      <c r="E338" s="77">
        <f>IFERROR(__xludf.DUMMYFUNCTION("""COMPUTED_VALUE"""),3.0)</f>
        <v>3</v>
      </c>
      <c r="F338" s="77">
        <f>IFERROR(__xludf.DUMMYFUNCTION("""COMPUTED_VALUE"""),2840.0)</f>
        <v>2840</v>
      </c>
      <c r="G338" s="77">
        <f>IFERROR(__xludf.DUMMYFUNCTION("""COMPUTED_VALUE"""),28.0)</f>
        <v>28</v>
      </c>
      <c r="H338" s="77">
        <f>IFERROR(__xludf.DUMMYFUNCTION("""COMPUTED_VALUE"""),40.0)</f>
        <v>40</v>
      </c>
      <c r="I338" s="77">
        <f>IFERROR(__xludf.DUMMYFUNCTION("""COMPUTED_VALUE"""),100.0)</f>
        <v>100</v>
      </c>
      <c r="J338" s="73"/>
      <c r="K338" s="73"/>
      <c r="L338" s="73"/>
      <c r="M338" s="77">
        <f>IFERROR(__xludf.DUMMYFUNCTION("""COMPUTED_VALUE"""),0.12)</f>
        <v>0.12</v>
      </c>
      <c r="N338" s="77">
        <f>IFERROR(__xludf.DUMMYFUNCTION("""COMPUTED_VALUE"""),1.0)</f>
        <v>1</v>
      </c>
      <c r="O338" s="49"/>
      <c r="P338" s="49" t="str">
        <f>IFERROR(__xludf.DUMMYFUNCTION("""COMPUTED_VALUE"""),"Offset")</f>
        <v>Offset</v>
      </c>
      <c r="Q338" s="49" t="str">
        <f>IFERROR(__xludf.DUMMYFUNCTION("""COMPUTED_VALUE"""),"Packaging")</f>
        <v>Packaging</v>
      </c>
      <c r="R338" s="49" t="str">
        <f>IFERROR(__xludf.DUMMYFUNCTION("""COMPUTED_VALUE"""),"Apparel")</f>
        <v>Apparel</v>
      </c>
    </row>
    <row r="339">
      <c r="A339" s="156" t="str">
        <f>IFERROR(__xludf.DUMMYFUNCTION("""COMPUTED_VALUE"""),"https://drive.google.com/open?id=19KLbEA0kstz_OTwXJ4TBl84tr8xO5kEd&amp;usp=drive_fs")</f>
        <v>https://drive.google.com/open?id=19KLbEA0kstz_OTwXJ4TBl84tr8xO5kEd&amp;usp=drive_fs</v>
      </c>
      <c r="B339" s="73" t="str">
        <f>IFERROR(__xludf.DUMMYFUNCTION("""COMPUTED_VALUE"""),"Apparel")</f>
        <v>Apparel</v>
      </c>
      <c r="C339" s="73" t="str">
        <f>IFERROR(__xludf.DUMMYFUNCTION("""COMPUTED_VALUE"""),"Misc")</f>
        <v>Misc</v>
      </c>
      <c r="D339" s="73" t="str">
        <f>IFERROR(__xludf.DUMMYFUNCTION("""COMPUTED_VALUE"""),"223*230*90 mm | 8.9*9*3.6 inch | 22*39")</f>
        <v>223*230*90 mm | 8.9*9*3.6 inch | 22*39</v>
      </c>
      <c r="E339" s="77">
        <f>IFERROR(__xludf.DUMMYFUNCTION("""COMPUTED_VALUE"""),1.0)</f>
        <v>1</v>
      </c>
      <c r="F339" s="77">
        <f>IFERROR(__xludf.DUMMYFUNCTION("""COMPUTED_VALUE"""),2840.0)</f>
        <v>2840</v>
      </c>
      <c r="G339" s="77">
        <f>IFERROR(__xludf.DUMMYFUNCTION("""COMPUTED_VALUE"""),22.0)</f>
        <v>22</v>
      </c>
      <c r="H339" s="77">
        <f>IFERROR(__xludf.DUMMYFUNCTION("""COMPUTED_VALUE"""),39.0)</f>
        <v>39</v>
      </c>
      <c r="I339" s="77">
        <f>IFERROR(__xludf.DUMMYFUNCTION("""COMPUTED_VALUE"""),100.0)</f>
        <v>100</v>
      </c>
      <c r="J339" s="73"/>
      <c r="K339" s="73"/>
      <c r="L339" s="73"/>
      <c r="M339" s="77">
        <f>IFERROR(__xludf.DUMMYFUNCTION("""COMPUTED_VALUE"""),0.12)</f>
        <v>0.12</v>
      </c>
      <c r="N339" s="77">
        <f>IFERROR(__xludf.DUMMYFUNCTION("""COMPUTED_VALUE"""),1.0)</f>
        <v>1</v>
      </c>
      <c r="O339" s="49"/>
      <c r="P339" s="49" t="str">
        <f>IFERROR(__xludf.DUMMYFUNCTION("""COMPUTED_VALUE"""),"Offset")</f>
        <v>Offset</v>
      </c>
      <c r="Q339" s="49" t="str">
        <f>IFERROR(__xludf.DUMMYFUNCTION("""COMPUTED_VALUE"""),"Packaging")</f>
        <v>Packaging</v>
      </c>
      <c r="R339" s="49" t="str">
        <f>IFERROR(__xludf.DUMMYFUNCTION("""COMPUTED_VALUE"""),"Apparel")</f>
        <v>Apparel</v>
      </c>
    </row>
    <row r="340">
      <c r="A340" s="156" t="str">
        <f>IFERROR(__xludf.DUMMYFUNCTION("""COMPUTED_VALUE"""),"https://drive.google.com/open?id=19OZ9t9rIkVfeAyXRXLKMllbpXY0SgksT&amp;usp=drive_fs")</f>
        <v>https://drive.google.com/open?id=19OZ9t9rIkVfeAyXRXLKMllbpXY0SgksT&amp;usp=drive_fs</v>
      </c>
      <c r="B340" s="73" t="str">
        <f>IFERROR(__xludf.DUMMYFUNCTION("""COMPUTED_VALUE"""),"Apparel")</f>
        <v>Apparel</v>
      </c>
      <c r="C340" s="73" t="str">
        <f>IFERROR(__xludf.DUMMYFUNCTION("""COMPUTED_VALUE"""),"Misc")</f>
        <v>Misc</v>
      </c>
      <c r="D340" s="73" t="str">
        <f>IFERROR(__xludf.DUMMYFUNCTION("""COMPUTED_VALUE"""),"293*150*110 mm | 11.5*5.9*4.3 inch | 26*38")</f>
        <v>293*150*110 mm | 11.5*5.9*4.3 inch | 26*38</v>
      </c>
      <c r="E340" s="77">
        <f>IFERROR(__xludf.DUMMYFUNCTION("""COMPUTED_VALUE"""),2.0)</f>
        <v>2</v>
      </c>
      <c r="F340" s="77">
        <f>IFERROR(__xludf.DUMMYFUNCTION("""COMPUTED_VALUE"""),2840.0)</f>
        <v>2840</v>
      </c>
      <c r="G340" s="77">
        <f>IFERROR(__xludf.DUMMYFUNCTION("""COMPUTED_VALUE"""),26.0)</f>
        <v>26</v>
      </c>
      <c r="H340" s="77">
        <f>IFERROR(__xludf.DUMMYFUNCTION("""COMPUTED_VALUE"""),38.0)</f>
        <v>38</v>
      </c>
      <c r="I340" s="77">
        <f>IFERROR(__xludf.DUMMYFUNCTION("""COMPUTED_VALUE"""),100.0)</f>
        <v>100</v>
      </c>
      <c r="J340" s="73"/>
      <c r="K340" s="73"/>
      <c r="L340" s="73"/>
      <c r="M340" s="77">
        <f>IFERROR(__xludf.DUMMYFUNCTION("""COMPUTED_VALUE"""),0.12)</f>
        <v>0.12</v>
      </c>
      <c r="N340" s="77">
        <f>IFERROR(__xludf.DUMMYFUNCTION("""COMPUTED_VALUE"""),1.0)</f>
        <v>1</v>
      </c>
      <c r="O340" s="49"/>
      <c r="P340" s="49" t="str">
        <f>IFERROR(__xludf.DUMMYFUNCTION("""COMPUTED_VALUE"""),"Offset")</f>
        <v>Offset</v>
      </c>
      <c r="Q340" s="49" t="str">
        <f>IFERROR(__xludf.DUMMYFUNCTION("""COMPUTED_VALUE"""),"Packaging")</f>
        <v>Packaging</v>
      </c>
      <c r="R340" s="49" t="str">
        <f>IFERROR(__xludf.DUMMYFUNCTION("""COMPUTED_VALUE"""),"Apparel")</f>
        <v>Apparel</v>
      </c>
    </row>
    <row r="341">
      <c r="A341" s="156" t="str">
        <f>IFERROR(__xludf.DUMMYFUNCTION("""COMPUTED_VALUE"""),"https://drive.google.com/open?id=1QJntdcmePhKohHZtMAkxodX4TmGoLaGg&amp;usp=drive_fs")</f>
        <v>https://drive.google.com/open?id=1QJntdcmePhKohHZtMAkxodX4TmGoLaGg&amp;usp=drive_fs</v>
      </c>
      <c r="B341" s="73" t="str">
        <f>IFERROR(__xludf.DUMMYFUNCTION("""COMPUTED_VALUE"""),"Apparel")</f>
        <v>Apparel</v>
      </c>
      <c r="C341" s="73" t="str">
        <f>IFERROR(__xludf.DUMMYFUNCTION("""COMPUTED_VALUE"""),"Misc")</f>
        <v>Misc</v>
      </c>
      <c r="D341" s="73" t="str">
        <f>IFERROR(__xludf.DUMMYFUNCTION("""COMPUTED_VALUE"""),"318*102*102 | 12.5*4*4 inch")</f>
        <v>318*102*102 | 12.5*4*4 inch</v>
      </c>
      <c r="E341" s="77">
        <f>IFERROR(__xludf.DUMMYFUNCTION("""COMPUTED_VALUE"""),1.0)</f>
        <v>1</v>
      </c>
      <c r="F341" s="77">
        <f>IFERROR(__xludf.DUMMYFUNCTION("""COMPUTED_VALUE"""),2840.0)</f>
        <v>2840</v>
      </c>
      <c r="G341" s="77">
        <f>IFERROR(__xludf.DUMMYFUNCTION("""COMPUTED_VALUE"""),20.75)</f>
        <v>20.75</v>
      </c>
      <c r="H341" s="77">
        <f>IFERROR(__xludf.DUMMYFUNCTION("""COMPUTED_VALUE"""),31.5)</f>
        <v>31.5</v>
      </c>
      <c r="I341" s="77">
        <f>IFERROR(__xludf.DUMMYFUNCTION("""COMPUTED_VALUE"""),100.0)</f>
        <v>100</v>
      </c>
      <c r="J341" s="73"/>
      <c r="K341" s="73"/>
      <c r="L341" s="73"/>
      <c r="M341" s="77"/>
      <c r="N341" s="77">
        <f>IFERROR(__xludf.DUMMYFUNCTION("""COMPUTED_VALUE"""),1.0)</f>
        <v>1</v>
      </c>
      <c r="O341" s="49"/>
      <c r="P341" s="49" t="str">
        <f>IFERROR(__xludf.DUMMYFUNCTION("""COMPUTED_VALUE"""),"Offset")</f>
        <v>Offset</v>
      </c>
      <c r="Q341" s="49" t="str">
        <f>IFERROR(__xludf.DUMMYFUNCTION("""COMPUTED_VALUE"""),"Packaging")</f>
        <v>Packaging</v>
      </c>
      <c r="R341" s="49" t="str">
        <f>IFERROR(__xludf.DUMMYFUNCTION("""COMPUTED_VALUE"""),"Apparel")</f>
        <v>Apparel</v>
      </c>
    </row>
    <row r="342">
      <c r="A342" s="156" t="str">
        <f>IFERROR(__xludf.DUMMYFUNCTION("""COMPUTED_VALUE"""),"https://drive.google.com/open?id=1QOSLkPjVevZdt5GRIEEg3QHCaHGwxoPb&amp;usp=drive_fs")</f>
        <v>https://drive.google.com/open?id=1QOSLkPjVevZdt5GRIEEg3QHCaHGwxoPb&amp;usp=drive_fs</v>
      </c>
      <c r="B342" s="73" t="str">
        <f>IFERROR(__xludf.DUMMYFUNCTION("""COMPUTED_VALUE"""),"Apparel")</f>
        <v>Apparel</v>
      </c>
      <c r="C342" s="73" t="str">
        <f>IFERROR(__xludf.DUMMYFUNCTION("""COMPUTED_VALUE"""),"Misc")</f>
        <v>Misc</v>
      </c>
      <c r="D342" s="73" t="str">
        <f>IFERROR(__xludf.DUMMYFUNCTION("""COMPUTED_VALUE"""),"254*190*102 mm | 10*3.5*4 inch")</f>
        <v>254*190*102 mm | 10*3.5*4 inch</v>
      </c>
      <c r="E342" s="77">
        <f>IFERROR(__xludf.DUMMYFUNCTION("""COMPUTED_VALUE"""),1.0)</f>
        <v>1</v>
      </c>
      <c r="F342" s="77">
        <f>IFERROR(__xludf.DUMMYFUNCTION("""COMPUTED_VALUE"""),2029.0)</f>
        <v>2029</v>
      </c>
      <c r="G342" s="77">
        <f>IFERROR(__xludf.DUMMYFUNCTION("""COMPUTED_VALUE"""),20.0)</f>
        <v>20</v>
      </c>
      <c r="H342" s="77">
        <f>IFERROR(__xludf.DUMMYFUNCTION("""COMPUTED_VALUE"""),28.0)</f>
        <v>28</v>
      </c>
      <c r="I342" s="77">
        <f>IFERROR(__xludf.DUMMYFUNCTION("""COMPUTED_VALUE"""),100.0)</f>
        <v>100</v>
      </c>
      <c r="J342" s="73"/>
      <c r="K342" s="73"/>
      <c r="L342" s="73"/>
      <c r="M342" s="77"/>
      <c r="N342" s="77">
        <f>IFERROR(__xludf.DUMMYFUNCTION("""COMPUTED_VALUE"""),1.0)</f>
        <v>1</v>
      </c>
      <c r="O342" s="49"/>
      <c r="P342" s="49" t="str">
        <f>IFERROR(__xludf.DUMMYFUNCTION("""COMPUTED_VALUE"""),"Offset")</f>
        <v>Offset</v>
      </c>
      <c r="Q342" s="49" t="str">
        <f>IFERROR(__xludf.DUMMYFUNCTION("""COMPUTED_VALUE"""),"Packaging")</f>
        <v>Packaging</v>
      </c>
      <c r="R342" s="49" t="str">
        <f>IFERROR(__xludf.DUMMYFUNCTION("""COMPUTED_VALUE"""),"Apparel")</f>
        <v>Apparel</v>
      </c>
    </row>
    <row r="343">
      <c r="A343" s="156" t="str">
        <f>IFERROR(__xludf.DUMMYFUNCTION("""COMPUTED_VALUE"""),"https://drive.google.com/open?id=1UTkpXVoPFsaGI580XmDefn_FCcnJ0qwl&amp;authuser=jay.agg%40gmail.com&amp;usp=drive_fs")</f>
        <v>https://drive.google.com/open?id=1UTkpXVoPFsaGI580XmDefn_FCcnJ0qwl&amp;authuser=jay.agg%40gmail.com&amp;usp=drive_fs</v>
      </c>
      <c r="B343" s="73" t="str">
        <f>IFERROR(__xludf.DUMMYFUNCTION("""COMPUTED_VALUE"""),"Camera")</f>
        <v>Camera</v>
      </c>
      <c r="C343" s="73" t="str">
        <f>IFERROR(__xludf.DUMMYFUNCTION("""COMPUTED_VALUE"""),"Dome")</f>
        <v>Dome</v>
      </c>
      <c r="D343" s="73" t="str">
        <f>IFERROR(__xludf.DUMMYFUNCTION("""COMPUTED_VALUE"""),"110*110*92 mm | 4.3*4.3*3.6 inch")</f>
        <v>110*110*92 mm | 4.3*4.3*3.6 inch</v>
      </c>
      <c r="E343" s="77">
        <f>IFERROR(__xludf.DUMMYFUNCTION("""COMPUTED_VALUE"""),2.0)</f>
        <v>2</v>
      </c>
      <c r="F343" s="77">
        <f>IFERROR(__xludf.DUMMYFUNCTION("""COMPUTED_VALUE"""),2029.0)</f>
        <v>2029</v>
      </c>
      <c r="G343" s="77">
        <f>IFERROR(__xludf.DUMMYFUNCTION("""COMPUTED_VALUE"""),18.0)</f>
        <v>18</v>
      </c>
      <c r="H343" s="77">
        <f>IFERROR(__xludf.DUMMYFUNCTION("""COMPUTED_VALUE"""),25.0)</f>
        <v>25</v>
      </c>
      <c r="I343" s="77">
        <f>IFERROR(__xludf.DUMMYFUNCTION("""COMPUTED_VALUE"""),100.0)</f>
        <v>100</v>
      </c>
      <c r="J343" s="73"/>
      <c r="K343" s="73"/>
      <c r="L343" s="73"/>
      <c r="M343" s="77">
        <f>IFERROR(__xludf.DUMMYFUNCTION("""COMPUTED_VALUE"""),0.1)</f>
        <v>0.1</v>
      </c>
      <c r="N343" s="77">
        <f>IFERROR(__xludf.DUMMYFUNCTION("""COMPUTED_VALUE"""),1.0)</f>
        <v>1</v>
      </c>
      <c r="O343" s="49"/>
      <c r="P343" s="49" t="str">
        <f>IFERROR(__xludf.DUMMYFUNCTION("""COMPUTED_VALUE"""),"Offset")</f>
        <v>Offset</v>
      </c>
      <c r="Q343" s="49" t="str">
        <f>IFERROR(__xludf.DUMMYFUNCTION("""COMPUTED_VALUE"""),"Packaging")</f>
        <v>Packaging</v>
      </c>
      <c r="R343" s="49" t="str">
        <f>IFERROR(__xludf.DUMMYFUNCTION("""COMPUTED_VALUE"""),"Camera")</f>
        <v>Camera</v>
      </c>
    </row>
    <row r="344">
      <c r="A344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344" s="73" t="str">
        <f>IFERROR(__xludf.DUMMYFUNCTION("""COMPUTED_VALUE"""),"Camera")</f>
        <v>Camera</v>
      </c>
      <c r="C344" s="73" t="str">
        <f>IFERROR(__xludf.DUMMYFUNCTION("""COMPUTED_VALUE"""),"Bullet")</f>
        <v>Bullet</v>
      </c>
      <c r="D344" s="73" t="str">
        <f>IFERROR(__xludf.DUMMYFUNCTION("""COMPUTED_VALUE"""),"195*104*97 mm")</f>
        <v>195*104*97 mm</v>
      </c>
      <c r="E344" s="77">
        <f>IFERROR(__xludf.DUMMYFUNCTION("""COMPUTED_VALUE"""),1.0)</f>
        <v>1</v>
      </c>
      <c r="F344" s="77">
        <f>IFERROR(__xludf.DUMMYFUNCTION("""COMPUTED_VALUE"""),1926.0)</f>
        <v>1926</v>
      </c>
      <c r="G344" s="77">
        <f>IFERROR(__xludf.DUMMYFUNCTION("""COMPUTED_VALUE"""),12.0)</f>
        <v>12</v>
      </c>
      <c r="H344" s="77">
        <f>IFERROR(__xludf.DUMMYFUNCTION("""COMPUTED_VALUE"""),25.0)</f>
        <v>25</v>
      </c>
      <c r="I344" s="77">
        <f>IFERROR(__xludf.DUMMYFUNCTION("""COMPUTED_VALUE"""),100.0)</f>
        <v>100</v>
      </c>
      <c r="J344" s="73"/>
      <c r="K344" s="73"/>
      <c r="L344" s="73"/>
      <c r="M344" s="77">
        <f>IFERROR(__xludf.DUMMYFUNCTION("""COMPUTED_VALUE"""),0.1)</f>
        <v>0.1</v>
      </c>
      <c r="N344" s="77">
        <f>IFERROR(__xludf.DUMMYFUNCTION("""COMPUTED_VALUE"""),1.0)</f>
        <v>1</v>
      </c>
      <c r="O344" s="49"/>
      <c r="P344" s="49" t="str">
        <f>IFERROR(__xludf.DUMMYFUNCTION("""COMPUTED_VALUE"""),"Offset")</f>
        <v>Offset</v>
      </c>
      <c r="Q344" s="49" t="str">
        <f>IFERROR(__xludf.DUMMYFUNCTION("""COMPUTED_VALUE"""),"Packaging")</f>
        <v>Packaging</v>
      </c>
      <c r="R344" s="49" t="str">
        <f>IFERROR(__xludf.DUMMYFUNCTION("""COMPUTED_VALUE"""),"Camera")</f>
        <v>Camera</v>
      </c>
    </row>
    <row r="345">
      <c r="A345" s="156" t="str">
        <f>IFERROR(__xludf.DUMMYFUNCTION("""COMPUTED_VALUE"""),"https://drive.google.com/open?id=1H6VO9kcEnrFWgNmCySmxql7fFJmxAo2x&amp;authuser=jay.agg%40gmail.com&amp;usp=drive_fs")</f>
        <v>https://drive.google.com/open?id=1H6VO9kcEnrFWgNmCySmxql7fFJmxAo2x&amp;authuser=jay.agg%40gmail.com&amp;usp=drive_fs</v>
      </c>
      <c r="B345" s="73" t="str">
        <f>IFERROR(__xludf.DUMMYFUNCTION("""COMPUTED_VALUE"""),"Camera")</f>
        <v>Camera</v>
      </c>
      <c r="C345" s="73" t="str">
        <f>IFERROR(__xludf.DUMMYFUNCTION("""COMPUTED_VALUE"""),"Screen Glass")</f>
        <v>Screen Glass</v>
      </c>
      <c r="D345" s="73" t="str">
        <f>IFERROR(__xludf.DUMMYFUNCTION("""COMPUTED_VALUE"""),"70*70mm")</f>
        <v>70*70mm</v>
      </c>
      <c r="E345" s="77">
        <f>IFERROR(__xludf.DUMMYFUNCTION("""COMPUTED_VALUE"""),20.0)</f>
        <v>20</v>
      </c>
      <c r="F345" s="77">
        <f>IFERROR(__xludf.DUMMYFUNCTION("""COMPUTED_VALUE"""),1926.0)</f>
        <v>1926</v>
      </c>
      <c r="G345" s="77">
        <f>IFERROR(__xludf.DUMMYFUNCTION("""COMPUTED_VALUE"""),18.0)</f>
        <v>18</v>
      </c>
      <c r="H345" s="77">
        <f>IFERROR(__xludf.DUMMYFUNCTION("""COMPUTED_VALUE"""),25.0)</f>
        <v>25</v>
      </c>
      <c r="I345" s="77">
        <f>IFERROR(__xludf.DUMMYFUNCTION("""COMPUTED_VALUE"""),100.0)</f>
        <v>100</v>
      </c>
      <c r="J345" s="73"/>
      <c r="K345" s="73"/>
      <c r="L345" s="73"/>
      <c r="M345" s="77">
        <f>IFERROR(__xludf.DUMMYFUNCTION("""COMPUTED_VALUE"""),0.1)</f>
        <v>0.1</v>
      </c>
      <c r="N345" s="77">
        <f>IFERROR(__xludf.DUMMYFUNCTION("""COMPUTED_VALUE"""),1.0)</f>
        <v>1</v>
      </c>
      <c r="O345" s="49"/>
      <c r="P345" s="49" t="str">
        <f>IFERROR(__xludf.DUMMYFUNCTION("""COMPUTED_VALUE"""),"Offset")</f>
        <v>Offset</v>
      </c>
      <c r="Q345" s="49" t="str">
        <f>IFERROR(__xludf.DUMMYFUNCTION("""COMPUTED_VALUE"""),"Packaging")</f>
        <v>Packaging</v>
      </c>
      <c r="R345" s="49" t="str">
        <f>IFERROR(__xludf.DUMMYFUNCTION("""COMPUTED_VALUE"""),"Camera")</f>
        <v>Camera</v>
      </c>
    </row>
    <row r="346">
      <c r="A346" s="156" t="str">
        <f>IFERROR(__xludf.DUMMYFUNCTION("""COMPUTED_VALUE"""),"https://drive.google.com/open?id=1QRa2MXfguAnLkStyeMG5S-fFrzTjS4Sz&amp;authuser=jay.agg%40gmail.com&amp;usp=drive_fs")</f>
        <v>https://drive.google.com/open?id=1QRa2MXfguAnLkStyeMG5S-fFrzTjS4Sz&amp;authuser=jay.agg%40gmail.com&amp;usp=drive_fs</v>
      </c>
      <c r="B346" s="73" t="str">
        <f>IFERROR(__xludf.DUMMYFUNCTION("""COMPUTED_VALUE"""),"Camera")</f>
        <v>Camera</v>
      </c>
      <c r="C346" s="73" t="str">
        <f>IFERROR(__xludf.DUMMYFUNCTION("""COMPUTED_VALUE"""),"HVR")</f>
        <v>HVR</v>
      </c>
      <c r="D346" s="73" t="str">
        <f>IFERROR(__xludf.DUMMYFUNCTION("""COMPUTED_VALUE"""),"340*75*270 mm | 13.3*3*10.6 inch")</f>
        <v>340*75*270 mm | 13.3*3*10.6 inch</v>
      </c>
      <c r="E346" s="77">
        <f>IFERROR(__xludf.DUMMYFUNCTION("""COMPUTED_VALUE"""),1.0)</f>
        <v>1</v>
      </c>
      <c r="F346" s="77">
        <f>IFERROR(__xludf.DUMMYFUNCTION("""COMPUTED_VALUE"""),2840.0)</f>
        <v>2840</v>
      </c>
      <c r="G346" s="77">
        <f>IFERROR(__xludf.DUMMYFUNCTION("""COMPUTED_VALUE"""),36.0)</f>
        <v>36</v>
      </c>
      <c r="H346" s="77">
        <f>IFERROR(__xludf.DUMMYFUNCTION("""COMPUTED_VALUE"""),38.0)</f>
        <v>38</v>
      </c>
      <c r="I346" s="77">
        <f>IFERROR(__xludf.DUMMYFUNCTION("""COMPUTED_VALUE"""),100.0)</f>
        <v>100</v>
      </c>
      <c r="J346" s="73"/>
      <c r="K346" s="73"/>
      <c r="L346" s="73">
        <f>IFERROR(__xludf.DUMMYFUNCTION("""COMPUTED_VALUE"""),16.0)</f>
        <v>16</v>
      </c>
      <c r="M346" s="77">
        <f>IFERROR(__xludf.DUMMYFUNCTION("""COMPUTED_VALUE"""),0.1)</f>
        <v>0.1</v>
      </c>
      <c r="N346" s="77">
        <f>IFERROR(__xludf.DUMMYFUNCTION("""COMPUTED_VALUE"""),1.0)</f>
        <v>1</v>
      </c>
      <c r="O346" s="49"/>
      <c r="P346" s="49" t="str">
        <f>IFERROR(__xludf.DUMMYFUNCTION("""COMPUTED_VALUE"""),"Offset")</f>
        <v>Offset</v>
      </c>
      <c r="Q346" s="49" t="str">
        <f>IFERROR(__xludf.DUMMYFUNCTION("""COMPUTED_VALUE"""),"Packaging")</f>
        <v>Packaging</v>
      </c>
      <c r="R346" s="49" t="str">
        <f>IFERROR(__xludf.DUMMYFUNCTION("""COMPUTED_VALUE"""),"Camera")</f>
        <v>Camera</v>
      </c>
    </row>
    <row r="347">
      <c r="A347" s="156" t="str">
        <f>IFERROR(__xludf.DUMMYFUNCTION("""COMPUTED_VALUE"""),"https://drive.google.com/open?id=1QUqqkq2IMo63NzK9anCStez57QQmMIvD&amp;authuser=jay.agg%40gmail.com&amp;usp=drive_fs")</f>
        <v>https://drive.google.com/open?id=1QUqqkq2IMo63NzK9anCStez57QQmMIvD&amp;authuser=jay.agg%40gmail.com&amp;usp=drive_fs</v>
      </c>
      <c r="B347" s="73" t="str">
        <f>IFERROR(__xludf.DUMMYFUNCTION("""COMPUTED_VALUE"""),"Camera")</f>
        <v>Camera</v>
      </c>
      <c r="C347" s="73" t="str">
        <f>IFERROR(__xludf.DUMMYFUNCTION("""COMPUTED_VALUE"""),"Dome")</f>
        <v>Dome</v>
      </c>
      <c r="D347" s="73" t="str">
        <f>IFERROR(__xludf.DUMMYFUNCTION("""COMPUTED_VALUE"""),"110*110*97 mm | 4.3*4.3*3.8 inch | 20*19")</f>
        <v>110*110*97 mm | 4.3*4.3*3.8 inch | 20*19</v>
      </c>
      <c r="E347" s="77">
        <f>IFERROR(__xludf.DUMMYFUNCTION("""COMPUTED_VALUE"""),2.0)</f>
        <v>2</v>
      </c>
      <c r="F347" s="77">
        <f>IFERROR(__xludf.DUMMYFUNCTION("""COMPUTED_VALUE"""),1926.0)</f>
        <v>1926</v>
      </c>
      <c r="G347" s="77">
        <f>IFERROR(__xludf.DUMMYFUNCTION("""COMPUTED_VALUE"""),19.0)</f>
        <v>19</v>
      </c>
      <c r="H347" s="77">
        <f>IFERROR(__xludf.DUMMYFUNCTION("""COMPUTED_VALUE"""),20.0)</f>
        <v>20</v>
      </c>
      <c r="I347" s="77">
        <f>IFERROR(__xludf.DUMMYFUNCTION("""COMPUTED_VALUE"""),100.0)</f>
        <v>100</v>
      </c>
      <c r="J347" s="73"/>
      <c r="K347" s="73"/>
      <c r="L347" s="73">
        <f>IFERROR(__xludf.DUMMYFUNCTION("""COMPUTED_VALUE"""),2.5)</f>
        <v>2.5</v>
      </c>
      <c r="M347" s="77">
        <f>IFERROR(__xludf.DUMMYFUNCTION("""COMPUTED_VALUE"""),0.1)</f>
        <v>0.1</v>
      </c>
      <c r="N347" s="77">
        <f>IFERROR(__xludf.DUMMYFUNCTION("""COMPUTED_VALUE"""),1.0)</f>
        <v>1</v>
      </c>
      <c r="O347" s="49"/>
      <c r="P347" s="49" t="str">
        <f>IFERROR(__xludf.DUMMYFUNCTION("""COMPUTED_VALUE"""),"Offset")</f>
        <v>Offset</v>
      </c>
      <c r="Q347" s="49" t="str">
        <f>IFERROR(__xludf.DUMMYFUNCTION("""COMPUTED_VALUE"""),"Packaging")</f>
        <v>Packaging</v>
      </c>
      <c r="R347" s="49" t="str">
        <f>IFERROR(__xludf.DUMMYFUNCTION("""COMPUTED_VALUE"""),"Camera")</f>
        <v>Camera</v>
      </c>
    </row>
    <row r="348">
      <c r="A348" s="156" t="str">
        <f>IFERROR(__xludf.DUMMYFUNCTION("""COMPUTED_VALUE"""),"https://drive.google.com/open?id=1QPBNqsi1d597dhAtqohymDk7NWz4FuTt&amp;authuser=jay.agg%40gmail.com&amp;usp=drive_fs")</f>
        <v>https://drive.google.com/open?id=1QPBNqsi1d597dhAtqohymDk7NWz4FuTt&amp;authuser=jay.agg%40gmail.com&amp;usp=drive_fs</v>
      </c>
      <c r="B348" s="73" t="str">
        <f>IFERROR(__xludf.DUMMYFUNCTION("""COMPUTED_VALUE"""),"Camera")</f>
        <v>Camera</v>
      </c>
      <c r="C348" s="73" t="str">
        <f>IFERROR(__xludf.DUMMYFUNCTION("""COMPUTED_VALUE"""),"Bullet")</f>
        <v>Bullet</v>
      </c>
      <c r="D348" s="73" t="str">
        <f>IFERROR(__xludf.DUMMYFUNCTION("""COMPUTED_VALUE"""),"195*100*93 mm | 7.6*3.6*3.9 inch | 24*19")</f>
        <v>195*100*93 mm | 7.6*3.6*3.9 inch | 24*19</v>
      </c>
      <c r="E348" s="77">
        <f>IFERROR(__xludf.DUMMYFUNCTION("""COMPUTED_VALUE"""),2.0)</f>
        <v>2</v>
      </c>
      <c r="F348" s="77">
        <f>IFERROR(__xludf.DUMMYFUNCTION("""COMPUTED_VALUE"""),1926.0)</f>
        <v>1926</v>
      </c>
      <c r="G348" s="77">
        <f>IFERROR(__xludf.DUMMYFUNCTION("""COMPUTED_VALUE"""),19.0)</f>
        <v>19</v>
      </c>
      <c r="H348" s="77">
        <f>IFERROR(__xludf.DUMMYFUNCTION("""COMPUTED_VALUE"""),26.0)</f>
        <v>26</v>
      </c>
      <c r="I348" s="77">
        <f>IFERROR(__xludf.DUMMYFUNCTION("""COMPUTED_VALUE"""),100.0)</f>
        <v>100</v>
      </c>
      <c r="J348" s="73"/>
      <c r="K348" s="73"/>
      <c r="L348" s="73">
        <f>IFERROR(__xludf.DUMMYFUNCTION("""COMPUTED_VALUE"""),3.5)</f>
        <v>3.5</v>
      </c>
      <c r="M348" s="77">
        <f>IFERROR(__xludf.DUMMYFUNCTION("""COMPUTED_VALUE"""),0.1)</f>
        <v>0.1</v>
      </c>
      <c r="N348" s="77">
        <f>IFERROR(__xludf.DUMMYFUNCTION("""COMPUTED_VALUE"""),1.0)</f>
        <v>1</v>
      </c>
      <c r="O348" s="49"/>
      <c r="P348" s="49" t="str">
        <f>IFERROR(__xludf.DUMMYFUNCTION("""COMPUTED_VALUE"""),"Offset")</f>
        <v>Offset</v>
      </c>
      <c r="Q348" s="49" t="str">
        <f>IFERROR(__xludf.DUMMYFUNCTION("""COMPUTED_VALUE"""),"Packaging")</f>
        <v>Packaging</v>
      </c>
      <c r="R348" s="49" t="str">
        <f>IFERROR(__xludf.DUMMYFUNCTION("""COMPUTED_VALUE"""),"Camera")</f>
        <v>Camera</v>
      </c>
    </row>
    <row r="349">
      <c r="A349" s="156" t="str">
        <f>IFERROR(__xludf.DUMMYFUNCTION("""COMPUTED_VALUE"""),"https://drive.google.com/open?id=1UuF_xbWmnuGnrfycKBCgxt4gRVqmweOi&amp;authuser=jay.agg%40gmail.com&amp;usp=drive_fs")</f>
        <v>https://drive.google.com/open?id=1UuF_xbWmnuGnrfycKBCgxt4gRVqmweOi&amp;authuser=jay.agg%40gmail.com&amp;usp=drive_fs</v>
      </c>
      <c r="B349" s="73" t="str">
        <f>IFERROR(__xludf.DUMMYFUNCTION("""COMPUTED_VALUE"""),"Camera")</f>
        <v>Camera</v>
      </c>
      <c r="C349" s="73" t="str">
        <f>IFERROR(__xludf.DUMMYFUNCTION("""COMPUTED_VALUE"""),"DVR")</f>
        <v>DVR</v>
      </c>
      <c r="D349" s="73" t="str">
        <f>IFERROR(__xludf.DUMMYFUNCTION("""COMPUTED_VALUE"""),"370*75*270 mm | 14.5*3*10.6 inch IL | 22*36")</f>
        <v>370*75*270 mm | 14.5*3*10.6 inch IL | 22*36</v>
      </c>
      <c r="E349" s="77">
        <f>IFERROR(__xludf.DUMMYFUNCTION("""COMPUTED_VALUE"""),1.0)</f>
        <v>1</v>
      </c>
      <c r="F349" s="77">
        <f>IFERROR(__xludf.DUMMYFUNCTION("""COMPUTED_VALUE"""),2840.0)</f>
        <v>2840</v>
      </c>
      <c r="G349" s="77">
        <f>IFERROR(__xludf.DUMMYFUNCTION("""COMPUTED_VALUE"""),20.0)</f>
        <v>20</v>
      </c>
      <c r="H349" s="77">
        <f>IFERROR(__xludf.DUMMYFUNCTION("""COMPUTED_VALUE"""),36.0)</f>
        <v>36</v>
      </c>
      <c r="I349" s="77">
        <f>IFERROR(__xludf.DUMMYFUNCTION("""COMPUTED_VALUE"""),100.0)</f>
        <v>100</v>
      </c>
      <c r="J349" s="73"/>
      <c r="K349" s="73"/>
      <c r="L349" s="73">
        <f>IFERROR(__xludf.DUMMYFUNCTION("""COMPUTED_VALUE"""),1.0)</f>
        <v>1</v>
      </c>
      <c r="M349" s="77"/>
      <c r="N349" s="77">
        <f>IFERROR(__xludf.DUMMYFUNCTION("""COMPUTED_VALUE"""),1.0)</f>
        <v>1</v>
      </c>
      <c r="O349" s="49"/>
      <c r="P349" s="49" t="str">
        <f>IFERROR(__xludf.DUMMYFUNCTION("""COMPUTED_VALUE"""),"Offset")</f>
        <v>Offset</v>
      </c>
      <c r="Q349" s="49" t="str">
        <f>IFERROR(__xludf.DUMMYFUNCTION("""COMPUTED_VALUE"""),"Packaging")</f>
        <v>Packaging</v>
      </c>
      <c r="R349" s="49" t="str">
        <f>IFERROR(__xludf.DUMMYFUNCTION("""COMPUTED_VALUE"""),"Camera")</f>
        <v>Camera</v>
      </c>
    </row>
    <row r="350">
      <c r="A350" s="156" t="str">
        <f>IFERROR(__xludf.DUMMYFUNCTION("""COMPUTED_VALUE"""),"https://drive.google.com/open?id=1H8cayY3iwA2QnDZtRUmcOxlyQrhUvYjr&amp;authuser=jay.agg%40gmail.com&amp;usp=drive_fs")</f>
        <v>https://drive.google.com/open?id=1H8cayY3iwA2QnDZtRUmcOxlyQrhUvYjr&amp;authuser=jay.agg%40gmail.com&amp;usp=drive_fs</v>
      </c>
      <c r="B350" s="73" t="str">
        <f>IFERROR(__xludf.DUMMYFUNCTION("""COMPUTED_VALUE"""),"Candle")</f>
        <v>Candle</v>
      </c>
      <c r="C350" s="73" t="str">
        <f>IFERROR(__xludf.DUMMYFUNCTION("""COMPUTED_VALUE"""),"Candle")</f>
        <v>Candle</v>
      </c>
      <c r="D350" s="73" t="str">
        <f>IFERROR(__xludf.DUMMYFUNCTION("""COMPUTED_VALUE"""),"20*35*178 mm")</f>
        <v>20*35*178 mm</v>
      </c>
      <c r="E350" s="77">
        <f>IFERROR(__xludf.DUMMYFUNCTION("""COMPUTED_VALUE"""),8.0)</f>
        <v>8</v>
      </c>
      <c r="F350" s="77">
        <f>IFERROR(__xludf.DUMMYFUNCTION("""COMPUTED_VALUE"""),1926.0)</f>
        <v>1926</v>
      </c>
      <c r="G350" s="77">
        <f>IFERROR(__xludf.DUMMYFUNCTION("""COMPUTED_VALUE"""),18.0)</f>
        <v>18</v>
      </c>
      <c r="H350" s="77">
        <f>IFERROR(__xludf.DUMMYFUNCTION("""COMPUTED_VALUE"""),21.0)</f>
        <v>21</v>
      </c>
      <c r="I350" s="77">
        <f>IFERROR(__xludf.DUMMYFUNCTION("""COMPUTED_VALUE"""),100.0)</f>
        <v>100</v>
      </c>
      <c r="J350" s="73"/>
      <c r="K350" s="73"/>
      <c r="L350" s="73"/>
      <c r="M350" s="77">
        <f>IFERROR(__xludf.DUMMYFUNCTION("""COMPUTED_VALUE"""),0.1)</f>
        <v>0.1</v>
      </c>
      <c r="N350" s="77">
        <f>IFERROR(__xludf.DUMMYFUNCTION("""COMPUTED_VALUE"""),1.0)</f>
        <v>1</v>
      </c>
      <c r="O350" s="49"/>
      <c r="P350" s="49" t="str">
        <f>IFERROR(__xludf.DUMMYFUNCTION("""COMPUTED_VALUE"""),"Offset")</f>
        <v>Offset</v>
      </c>
      <c r="Q350" s="49" t="str">
        <f>IFERROR(__xludf.DUMMYFUNCTION("""COMPUTED_VALUE"""),"Packaging")</f>
        <v>Packaging</v>
      </c>
      <c r="R350" s="49" t="str">
        <f>IFERROR(__xludf.DUMMYFUNCTION("""COMPUTED_VALUE"""),"Candle")</f>
        <v>Candle</v>
      </c>
    </row>
    <row r="351">
      <c r="A351" s="156" t="str">
        <f>IFERROR(__xludf.DUMMYFUNCTION("""COMPUTED_VALUE"""),"https://drive.google.com/open?id=1H7zU8fITK0MDAdRF0Bewa4xuGDk6ji_o&amp;authuser=jay.agg%40gmail.com&amp;usp=drive_fs")</f>
        <v>https://drive.google.com/open?id=1H7zU8fITK0MDAdRF0Bewa4xuGDk6ji_o&amp;authuser=jay.agg%40gmail.com&amp;usp=drive_fs</v>
      </c>
      <c r="B351" s="73" t="str">
        <f>IFERROR(__xludf.DUMMYFUNCTION("""COMPUTED_VALUE"""),"Candle")</f>
        <v>Candle</v>
      </c>
      <c r="C351" s="73" t="str">
        <f>IFERROR(__xludf.DUMMYFUNCTION("""COMPUTED_VALUE"""),"Candle")</f>
        <v>Candle</v>
      </c>
      <c r="D351" s="73" t="str">
        <f>IFERROR(__xludf.DUMMYFUNCTION("""COMPUTED_VALUE"""),"26*20*145 mm")</f>
        <v>26*20*145 mm</v>
      </c>
      <c r="E351" s="77">
        <f>IFERROR(__xludf.DUMMYFUNCTION("""COMPUTED_VALUE"""),12.0)</f>
        <v>12</v>
      </c>
      <c r="F351" s="77">
        <f>IFERROR(__xludf.DUMMYFUNCTION("""COMPUTED_VALUE"""),1926.0)</f>
        <v>1926</v>
      </c>
      <c r="G351" s="77">
        <f>IFERROR(__xludf.DUMMYFUNCTION("""COMPUTED_VALUE"""),18.0)</f>
        <v>18</v>
      </c>
      <c r="H351" s="77">
        <f>IFERROR(__xludf.DUMMYFUNCTION("""COMPUTED_VALUE"""),23.0)</f>
        <v>23</v>
      </c>
      <c r="I351" s="77">
        <f>IFERROR(__xludf.DUMMYFUNCTION("""COMPUTED_VALUE"""),100.0)</f>
        <v>100</v>
      </c>
      <c r="J351" s="73"/>
      <c r="K351" s="73"/>
      <c r="L351" s="73"/>
      <c r="M351" s="77">
        <f>IFERROR(__xludf.DUMMYFUNCTION("""COMPUTED_VALUE"""),0.1)</f>
        <v>0.1</v>
      </c>
      <c r="N351" s="77">
        <f>IFERROR(__xludf.DUMMYFUNCTION("""COMPUTED_VALUE"""),1.0)</f>
        <v>1</v>
      </c>
      <c r="O351" s="49"/>
      <c r="P351" s="49" t="str">
        <f>IFERROR(__xludf.DUMMYFUNCTION("""COMPUTED_VALUE"""),"Offset")</f>
        <v>Offset</v>
      </c>
      <c r="Q351" s="49" t="str">
        <f>IFERROR(__xludf.DUMMYFUNCTION("""COMPUTED_VALUE"""),"Packaging")</f>
        <v>Packaging</v>
      </c>
      <c r="R351" s="49" t="str">
        <f>IFERROR(__xludf.DUMMYFUNCTION("""COMPUTED_VALUE"""),"Candle")</f>
        <v>Candle</v>
      </c>
    </row>
    <row r="352">
      <c r="A352" s="156" t="str">
        <f>IFERROR(__xludf.DUMMYFUNCTION("""COMPUTED_VALUE"""),"https://drive.google.com/open?id=1HUwMLuHs5_xniJ5dNcWlb4mr3Q4THc8O&amp;authuser=jay.agg%40gmail.com&amp;usp=drive_fs")</f>
        <v>https://drive.google.com/open?id=1HUwMLuHs5_xniJ5dNcWlb4mr3Q4THc8O&amp;authuser=jay.agg%40gmail.com&amp;usp=drive_fs</v>
      </c>
      <c r="B352" s="73" t="str">
        <f>IFERROR(__xludf.DUMMYFUNCTION("""COMPUTED_VALUE"""),"Candle")</f>
        <v>Candle</v>
      </c>
      <c r="C352" s="73" t="str">
        <f>IFERROR(__xludf.DUMMYFUNCTION("""COMPUTED_VALUE"""),"Candle")</f>
        <v>Candle</v>
      </c>
      <c r="D352" s="73" t="str">
        <f>IFERROR(__xludf.DUMMYFUNCTION("""COMPUTED_VALUE"""),"50*15*77 mm")</f>
        <v>50*15*77 mm</v>
      </c>
      <c r="E352" s="77">
        <f>IFERROR(__xludf.DUMMYFUNCTION("""COMPUTED_VALUE"""),16.0)</f>
        <v>16</v>
      </c>
      <c r="F352" s="77">
        <f>IFERROR(__xludf.DUMMYFUNCTION("""COMPUTED_VALUE"""),1926.0)</f>
        <v>1926</v>
      </c>
      <c r="G352" s="77">
        <f>IFERROR(__xludf.DUMMYFUNCTION("""COMPUTED_VALUE"""),18.0)</f>
        <v>18</v>
      </c>
      <c r="H352" s="77">
        <f>IFERROR(__xludf.DUMMYFUNCTION("""COMPUTED_VALUE"""),23.0)</f>
        <v>23</v>
      </c>
      <c r="I352" s="77">
        <f>IFERROR(__xludf.DUMMYFUNCTION("""COMPUTED_VALUE"""),100.0)</f>
        <v>100</v>
      </c>
      <c r="J352" s="73"/>
      <c r="K352" s="73"/>
      <c r="L352" s="73"/>
      <c r="M352" s="77">
        <f>IFERROR(__xludf.DUMMYFUNCTION("""COMPUTED_VALUE"""),0.1)</f>
        <v>0.1</v>
      </c>
      <c r="N352" s="77">
        <f>IFERROR(__xludf.DUMMYFUNCTION("""COMPUTED_VALUE"""),1.0)</f>
        <v>1</v>
      </c>
      <c r="O352" s="49"/>
      <c r="P352" s="49" t="str">
        <f>IFERROR(__xludf.DUMMYFUNCTION("""COMPUTED_VALUE"""),"Offset")</f>
        <v>Offset</v>
      </c>
      <c r="Q352" s="49" t="str">
        <f>IFERROR(__xludf.DUMMYFUNCTION("""COMPUTED_VALUE"""),"Packaging")</f>
        <v>Packaging</v>
      </c>
      <c r="R352" s="49" t="str">
        <f>IFERROR(__xludf.DUMMYFUNCTION("""COMPUTED_VALUE"""),"Candle")</f>
        <v>Candle</v>
      </c>
    </row>
    <row r="353">
      <c r="A353" s="156" t="str">
        <f>IFERROR(__xludf.DUMMYFUNCTION("""COMPUTED_VALUE"""),"https://drive.google.com/open?id=1HV0TvYCkw3iNWTf64Mdzxb60aZSRDMoT&amp;authuser=jay.agg%40gmail.com&amp;usp=drive_fs")</f>
        <v>https://drive.google.com/open?id=1HV0TvYCkw3iNWTf64Mdzxb60aZSRDMoT&amp;authuser=jay.agg%40gmail.com&amp;usp=drive_fs</v>
      </c>
      <c r="B353" s="73" t="str">
        <f>IFERROR(__xludf.DUMMYFUNCTION("""COMPUTED_VALUE"""),"Candle")</f>
        <v>Candle</v>
      </c>
      <c r="C353" s="73" t="str">
        <f>IFERROR(__xludf.DUMMYFUNCTION("""COMPUTED_VALUE"""),"Outer")</f>
        <v>Outer</v>
      </c>
      <c r="D353" s="73" t="str">
        <f>IFERROR(__xludf.DUMMYFUNCTION("""COMPUTED_VALUE"""),"20 Box 50*15*77 mm")</f>
        <v>20 Box 50*15*77 mm</v>
      </c>
      <c r="E353" s="77">
        <f>IFERROR(__xludf.DUMMYFUNCTION("""COMPUTED_VALUE"""),2.0)</f>
        <v>2</v>
      </c>
      <c r="F353" s="77">
        <f>IFERROR(__xludf.DUMMYFUNCTION("""COMPUTED_VALUE"""),1926.0)</f>
        <v>1926</v>
      </c>
      <c r="G353" s="77">
        <f>IFERROR(__xludf.DUMMYFUNCTION("""COMPUTED_VALUE"""),18.0)</f>
        <v>18</v>
      </c>
      <c r="H353" s="77">
        <f>IFERROR(__xludf.DUMMYFUNCTION("""COMPUTED_VALUE"""),24.0)</f>
        <v>24</v>
      </c>
      <c r="I353" s="77">
        <f>IFERROR(__xludf.DUMMYFUNCTION("""COMPUTED_VALUE"""),100.0)</f>
        <v>100</v>
      </c>
      <c r="J353" s="73"/>
      <c r="K353" s="73"/>
      <c r="L353" s="73"/>
      <c r="M353" s="77">
        <f>IFERROR(__xludf.DUMMYFUNCTION("""COMPUTED_VALUE"""),0.1)</f>
        <v>0.1</v>
      </c>
      <c r="N353" s="77">
        <f>IFERROR(__xludf.DUMMYFUNCTION("""COMPUTED_VALUE"""),1.0)</f>
        <v>1</v>
      </c>
      <c r="O353" s="49"/>
      <c r="P353" s="49" t="str">
        <f>IFERROR(__xludf.DUMMYFUNCTION("""COMPUTED_VALUE"""),"Offset")</f>
        <v>Offset</v>
      </c>
      <c r="Q353" s="49" t="str">
        <f>IFERROR(__xludf.DUMMYFUNCTION("""COMPUTED_VALUE"""),"Packaging")</f>
        <v>Packaging</v>
      </c>
      <c r="R353" s="49" t="str">
        <f>IFERROR(__xludf.DUMMYFUNCTION("""COMPUTED_VALUE"""),"Candle")</f>
        <v>Candle</v>
      </c>
    </row>
    <row r="354">
      <c r="A354" s="156" t="str">
        <f>IFERROR(__xludf.DUMMYFUNCTION("""COMPUTED_VALUE"""),"https://drive.google.com/open?id=1H7buoaN-v3yvCEymPpuahMKISxAvs_gJ&amp;authuser=jay.agg%40gmail.com&amp;usp=drive_fs")</f>
        <v>https://drive.google.com/open?id=1H7buoaN-v3yvCEymPpuahMKISxAvs_gJ&amp;authuser=jay.agg%40gmail.com&amp;usp=drive_fs</v>
      </c>
      <c r="B354" s="73" t="str">
        <f>IFERROR(__xludf.DUMMYFUNCTION("""COMPUTED_VALUE"""),"Candle")</f>
        <v>Candle</v>
      </c>
      <c r="C354" s="73" t="str">
        <f>IFERROR(__xludf.DUMMYFUNCTION("""COMPUTED_VALUE"""),"Candle")</f>
        <v>Candle</v>
      </c>
      <c r="D354" s="73" t="str">
        <f>IFERROR(__xludf.DUMMYFUNCTION("""COMPUTED_VALUE"""),"102*102*127 mm")</f>
        <v>102*102*127 mm</v>
      </c>
      <c r="E354" s="77">
        <f>IFERROR(__xludf.DUMMYFUNCTION("""COMPUTED_VALUE"""),2.0)</f>
        <v>2</v>
      </c>
      <c r="F354" s="77">
        <f>IFERROR(__xludf.DUMMYFUNCTION("""COMPUTED_VALUE"""),1926.0)</f>
        <v>1926</v>
      </c>
      <c r="G354" s="77">
        <f>IFERROR(__xludf.DUMMYFUNCTION("""COMPUTED_VALUE"""),18.0)</f>
        <v>18</v>
      </c>
      <c r="H354" s="77">
        <f>IFERROR(__xludf.DUMMYFUNCTION("""COMPUTED_VALUE"""),25.0)</f>
        <v>25</v>
      </c>
      <c r="I354" s="77">
        <f>IFERROR(__xludf.DUMMYFUNCTION("""COMPUTED_VALUE"""),100.0)</f>
        <v>100</v>
      </c>
      <c r="J354" s="73"/>
      <c r="K354" s="73"/>
      <c r="L354" s="73"/>
      <c r="M354" s="77">
        <f>IFERROR(__xludf.DUMMYFUNCTION("""COMPUTED_VALUE"""),0.1)</f>
        <v>0.1</v>
      </c>
      <c r="N354" s="77">
        <f>IFERROR(__xludf.DUMMYFUNCTION("""COMPUTED_VALUE"""),1.0)</f>
        <v>1</v>
      </c>
      <c r="O354" s="49"/>
      <c r="P354" s="49" t="str">
        <f>IFERROR(__xludf.DUMMYFUNCTION("""COMPUTED_VALUE"""),"Offset")</f>
        <v>Offset</v>
      </c>
      <c r="Q354" s="49" t="str">
        <f>IFERROR(__xludf.DUMMYFUNCTION("""COMPUTED_VALUE"""),"Packaging")</f>
        <v>Packaging</v>
      </c>
      <c r="R354" s="49" t="str">
        <f>IFERROR(__xludf.DUMMYFUNCTION("""COMPUTED_VALUE"""),"Candle")</f>
        <v>Candle</v>
      </c>
    </row>
    <row r="355">
      <c r="A355" s="156" t="str">
        <f>IFERROR(__xludf.DUMMYFUNCTION("""COMPUTED_VALUE"""),"https://drive.google.com/open?id=1HB4yp2gkgueWCSt9JH2n_9aJE6PZAT3y&amp;authuser=jay.agg%40gmail.com&amp;usp=drive_fs")</f>
        <v>https://drive.google.com/open?id=1HB4yp2gkgueWCSt9JH2n_9aJE6PZAT3y&amp;authuser=jay.agg%40gmail.com&amp;usp=drive_fs</v>
      </c>
      <c r="B355" s="73" t="str">
        <f>IFERROR(__xludf.DUMMYFUNCTION("""COMPUTED_VALUE"""),"Candle")</f>
        <v>Candle</v>
      </c>
      <c r="C355" s="73" t="str">
        <f>IFERROR(__xludf.DUMMYFUNCTION("""COMPUTED_VALUE"""),"Candle")</f>
        <v>Candle</v>
      </c>
      <c r="D355" s="73" t="str">
        <f>IFERROR(__xludf.DUMMYFUNCTION("""COMPUTED_VALUE"""),"51x216x35 mm")</f>
        <v>51x216x35 mm</v>
      </c>
      <c r="E355" s="77">
        <f>IFERROR(__xludf.DUMMYFUNCTION("""COMPUTED_VALUE"""),4.0)</f>
        <v>4</v>
      </c>
      <c r="F355" s="77">
        <f>IFERROR(__xludf.DUMMYFUNCTION("""COMPUTED_VALUE"""),1926.0)</f>
        <v>1926</v>
      </c>
      <c r="G355" s="77">
        <f>IFERROR(__xludf.DUMMYFUNCTION("""COMPUTED_VALUE"""),18.0)</f>
        <v>18</v>
      </c>
      <c r="H355" s="77">
        <f>IFERROR(__xludf.DUMMYFUNCTION("""COMPUTED_VALUE"""),23.0)</f>
        <v>23</v>
      </c>
      <c r="I355" s="77">
        <f>IFERROR(__xludf.DUMMYFUNCTION("""COMPUTED_VALUE"""),100.0)</f>
        <v>100</v>
      </c>
      <c r="J355" s="73"/>
      <c r="K355" s="73"/>
      <c r="L355" s="73"/>
      <c r="M355" s="77">
        <f>IFERROR(__xludf.DUMMYFUNCTION("""COMPUTED_VALUE"""),0.1)</f>
        <v>0.1</v>
      </c>
      <c r="N355" s="77">
        <f>IFERROR(__xludf.DUMMYFUNCTION("""COMPUTED_VALUE"""),1.0)</f>
        <v>1</v>
      </c>
      <c r="O355" s="49"/>
      <c r="P355" s="49" t="str">
        <f>IFERROR(__xludf.DUMMYFUNCTION("""COMPUTED_VALUE"""),"Offset")</f>
        <v>Offset</v>
      </c>
      <c r="Q355" s="49" t="str">
        <f>IFERROR(__xludf.DUMMYFUNCTION("""COMPUTED_VALUE"""),"Packaging")</f>
        <v>Packaging</v>
      </c>
      <c r="R355" s="49" t="str">
        <f>IFERROR(__xludf.DUMMYFUNCTION("""COMPUTED_VALUE"""),"Candle")</f>
        <v>Candle</v>
      </c>
    </row>
    <row r="356">
      <c r="A356" s="156" t="str">
        <f>IFERROR(__xludf.DUMMYFUNCTION("""COMPUTED_VALUE"""),"https://drive.google.com/open?id=1HIlj0O3SC7_4YU4zXygcbBJ0tPZTG12H&amp;authuser=jay.agg%40gmail.com&amp;usp=drive_fs")</f>
        <v>https://drive.google.com/open?id=1HIlj0O3SC7_4YU4zXygcbBJ0tPZTG12H&amp;authuser=jay.agg%40gmail.com&amp;usp=drive_fs</v>
      </c>
      <c r="B356" s="73" t="str">
        <f>IFERROR(__xludf.DUMMYFUNCTION("""COMPUTED_VALUE"""),"Candle")</f>
        <v>Candle</v>
      </c>
      <c r="C356" s="73" t="str">
        <f>IFERROR(__xludf.DUMMYFUNCTION("""COMPUTED_VALUE"""),"Candle")</f>
        <v>Candle</v>
      </c>
      <c r="D356" s="73" t="str">
        <f>IFERROR(__xludf.DUMMYFUNCTION("""COMPUTED_VALUE"""),"50x30x150 mm")</f>
        <v>50x30x150 mm</v>
      </c>
      <c r="E356" s="77">
        <f>IFERROR(__xludf.DUMMYFUNCTION("""COMPUTED_VALUE"""),6.0)</f>
        <v>6</v>
      </c>
      <c r="F356" s="77">
        <f>IFERROR(__xludf.DUMMYFUNCTION("""COMPUTED_VALUE"""),1926.0)</f>
        <v>1926</v>
      </c>
      <c r="G356" s="77">
        <f>IFERROR(__xludf.DUMMYFUNCTION("""COMPUTED_VALUE"""),18.0)</f>
        <v>18</v>
      </c>
      <c r="H356" s="77">
        <f>IFERROR(__xludf.DUMMYFUNCTION("""COMPUTED_VALUE"""),21.0)</f>
        <v>21</v>
      </c>
      <c r="I356" s="77">
        <f>IFERROR(__xludf.DUMMYFUNCTION("""COMPUTED_VALUE"""),100.0)</f>
        <v>100</v>
      </c>
      <c r="J356" s="73"/>
      <c r="K356" s="73"/>
      <c r="L356" s="73"/>
      <c r="M356" s="77">
        <f>IFERROR(__xludf.DUMMYFUNCTION("""COMPUTED_VALUE"""),0.1)</f>
        <v>0.1</v>
      </c>
      <c r="N356" s="77">
        <f>IFERROR(__xludf.DUMMYFUNCTION("""COMPUTED_VALUE"""),1.0)</f>
        <v>1</v>
      </c>
      <c r="O356" s="49"/>
      <c r="P356" s="49" t="str">
        <f>IFERROR(__xludf.DUMMYFUNCTION("""COMPUTED_VALUE"""),"Offset")</f>
        <v>Offset</v>
      </c>
      <c r="Q356" s="49" t="str">
        <f>IFERROR(__xludf.DUMMYFUNCTION("""COMPUTED_VALUE"""),"Packaging")</f>
        <v>Packaging</v>
      </c>
      <c r="R356" s="49" t="str">
        <f>IFERROR(__xludf.DUMMYFUNCTION("""COMPUTED_VALUE"""),"Candle")</f>
        <v>Candle</v>
      </c>
    </row>
    <row r="357">
      <c r="A357" s="156" t="str">
        <f>IFERROR(__xludf.DUMMYFUNCTION("""COMPUTED_VALUE"""),"https://drive.google.com/open?id=1HP_-Hg6sFyPIABq2-_DDHjf4iUqmxP_r&amp;authuser=jay.agg%40gmail.com&amp;usp=drive_fs")</f>
        <v>https://drive.google.com/open?id=1HP_-Hg6sFyPIABq2-_DDHjf4iUqmxP_r&amp;authuser=jay.agg%40gmail.com&amp;usp=drive_fs</v>
      </c>
      <c r="B357" s="73" t="str">
        <f>IFERROR(__xludf.DUMMYFUNCTION("""COMPUTED_VALUE"""),"Candle")</f>
        <v>Candle</v>
      </c>
      <c r="C357" s="73" t="str">
        <f>IFERROR(__xludf.DUMMYFUNCTION("""COMPUTED_VALUE"""),"Candle")</f>
        <v>Candle</v>
      </c>
      <c r="D357" s="73" t="str">
        <f>IFERROR(__xludf.DUMMYFUNCTION("""COMPUTED_VALUE"""),"100x105x10 mm")</f>
        <v>100x105x10 mm</v>
      </c>
      <c r="E357" s="77">
        <f>IFERROR(__xludf.DUMMYFUNCTION("""COMPUTED_VALUE"""),8.0)</f>
        <v>8</v>
      </c>
      <c r="F357" s="77">
        <f>IFERROR(__xludf.DUMMYFUNCTION("""COMPUTED_VALUE"""),1926.0)</f>
        <v>1926</v>
      </c>
      <c r="G357" s="77">
        <f>IFERROR(__xludf.DUMMYFUNCTION("""COMPUTED_VALUE"""),19.5)</f>
        <v>19.5</v>
      </c>
      <c r="H357" s="77">
        <f>IFERROR(__xludf.DUMMYFUNCTION("""COMPUTED_VALUE"""),23.0)</f>
        <v>23</v>
      </c>
      <c r="I357" s="77">
        <f>IFERROR(__xludf.DUMMYFUNCTION("""COMPUTED_VALUE"""),100.0)</f>
        <v>100</v>
      </c>
      <c r="J357" s="73"/>
      <c r="K357" s="73"/>
      <c r="L357" s="73"/>
      <c r="M357" s="77">
        <f>IFERROR(__xludf.DUMMYFUNCTION("""COMPUTED_VALUE"""),0.1)</f>
        <v>0.1</v>
      </c>
      <c r="N357" s="77">
        <f>IFERROR(__xludf.DUMMYFUNCTION("""COMPUTED_VALUE"""),1.0)</f>
        <v>1</v>
      </c>
      <c r="O357" s="49"/>
      <c r="P357" s="49" t="str">
        <f>IFERROR(__xludf.DUMMYFUNCTION("""COMPUTED_VALUE"""),"Offset")</f>
        <v>Offset</v>
      </c>
      <c r="Q357" s="49" t="str">
        <f>IFERROR(__xludf.DUMMYFUNCTION("""COMPUTED_VALUE"""),"Packaging")</f>
        <v>Packaging</v>
      </c>
      <c r="R357" s="49" t="str">
        <f>IFERROR(__xludf.DUMMYFUNCTION("""COMPUTED_VALUE"""),"Candle")</f>
        <v>Candle</v>
      </c>
    </row>
    <row r="358">
      <c r="A358" s="156" t="str">
        <f>IFERROR(__xludf.DUMMYFUNCTION("""COMPUTED_VALUE"""),"https://drive.google.com/open?id=1HRNWzt7faqfM6CvnC-FMO-I2kd6rYPks&amp;authuser=jay.agg%40gmail.com&amp;usp=drive_fs")</f>
        <v>https://drive.google.com/open?id=1HRNWzt7faqfM6CvnC-FMO-I2kd6rYPks&amp;authuser=jay.agg%40gmail.com&amp;usp=drive_fs</v>
      </c>
      <c r="B358" s="73" t="str">
        <f>IFERROR(__xludf.DUMMYFUNCTION("""COMPUTED_VALUE"""),"Candle")</f>
        <v>Candle</v>
      </c>
      <c r="C358" s="73" t="str">
        <f>IFERROR(__xludf.DUMMYFUNCTION("""COMPUTED_VALUE"""),"Candle")</f>
        <v>Candle</v>
      </c>
      <c r="D358" s="73" t="str">
        <f>IFERROR(__xludf.DUMMYFUNCTION("""COMPUTED_VALUE"""),"210x70x10 mm")</f>
        <v>210x70x10 mm</v>
      </c>
      <c r="E358" s="77">
        <f>IFERROR(__xludf.DUMMYFUNCTION("""COMPUTED_VALUE"""),4.0)</f>
        <v>4</v>
      </c>
      <c r="F358" s="77">
        <f>IFERROR(__xludf.DUMMYFUNCTION("""COMPUTED_VALUE"""),1926.0)</f>
        <v>1926</v>
      </c>
      <c r="G358" s="77">
        <f>IFERROR(__xludf.DUMMYFUNCTION("""COMPUTED_VALUE"""),15.5)</f>
        <v>15.5</v>
      </c>
      <c r="H358" s="77">
        <f>IFERROR(__xludf.DUMMYFUNCTION("""COMPUTED_VALUE"""),20.5)</f>
        <v>20.5</v>
      </c>
      <c r="I358" s="77">
        <f>IFERROR(__xludf.DUMMYFUNCTION("""COMPUTED_VALUE"""),100.0)</f>
        <v>100</v>
      </c>
      <c r="J358" s="73"/>
      <c r="K358" s="73"/>
      <c r="L358" s="73"/>
      <c r="M358" s="77">
        <f>IFERROR(__xludf.DUMMYFUNCTION("""COMPUTED_VALUE"""),0.1)</f>
        <v>0.1</v>
      </c>
      <c r="N358" s="77">
        <f>IFERROR(__xludf.DUMMYFUNCTION("""COMPUTED_VALUE"""),1.0)</f>
        <v>1</v>
      </c>
      <c r="O358" s="49"/>
      <c r="P358" s="49" t="str">
        <f>IFERROR(__xludf.DUMMYFUNCTION("""COMPUTED_VALUE"""),"Offset")</f>
        <v>Offset</v>
      </c>
      <c r="Q358" s="49" t="str">
        <f>IFERROR(__xludf.DUMMYFUNCTION("""COMPUTED_VALUE"""),"Packaging")</f>
        <v>Packaging</v>
      </c>
      <c r="R358" s="49" t="str">
        <f>IFERROR(__xludf.DUMMYFUNCTION("""COMPUTED_VALUE"""),"Candle")</f>
        <v>Candle</v>
      </c>
    </row>
    <row r="359">
      <c r="A359" s="156" t="str">
        <f>IFERROR(__xludf.DUMMYFUNCTION("""COMPUTED_VALUE"""),"https://drive.google.com/open?id=1M9rORJ_JB8MvWe3Pizjdey5Prv-zCsBT&amp;authuser=jay.agg%40gmail.com&amp;usp=drive_fs")</f>
        <v>https://drive.google.com/open?id=1M9rORJ_JB8MvWe3Pizjdey5Prv-zCsBT&amp;authuser=jay.agg%40gmail.com&amp;usp=drive_fs</v>
      </c>
      <c r="B359" s="73" t="str">
        <f>IFERROR(__xludf.DUMMYFUNCTION("""COMPUTED_VALUE"""),"Candle")</f>
        <v>Candle</v>
      </c>
      <c r="C359" s="73" t="str">
        <f>IFERROR(__xludf.DUMMYFUNCTION("""COMPUTED_VALUE"""),"Candle")</f>
        <v>Candle</v>
      </c>
      <c r="D359" s="73" t="str">
        <f>IFERROR(__xludf.DUMMYFUNCTION("""COMPUTED_VALUE"""),"55*43*190 mm")</f>
        <v>55*43*190 mm</v>
      </c>
      <c r="E359" s="77">
        <f>IFERROR(__xludf.DUMMYFUNCTION("""COMPUTED_VALUE"""),4.0)</f>
        <v>4</v>
      </c>
      <c r="F359" s="77">
        <f>IFERROR(__xludf.DUMMYFUNCTION("""COMPUTED_VALUE"""),1926.0)</f>
        <v>1926</v>
      </c>
      <c r="G359" s="77">
        <f>IFERROR(__xludf.DUMMYFUNCTION("""COMPUTED_VALUE"""),18.0)</f>
        <v>18</v>
      </c>
      <c r="H359" s="77">
        <f>IFERROR(__xludf.DUMMYFUNCTION("""COMPUTED_VALUE"""),23.0)</f>
        <v>23</v>
      </c>
      <c r="I359" s="77">
        <f>IFERROR(__xludf.DUMMYFUNCTION("""COMPUTED_VALUE"""),100.0)</f>
        <v>100</v>
      </c>
      <c r="J359" s="73"/>
      <c r="K359" s="73"/>
      <c r="L359" s="73"/>
      <c r="M359" s="77">
        <f>IFERROR(__xludf.DUMMYFUNCTION("""COMPUTED_VALUE"""),0.1)</f>
        <v>0.1</v>
      </c>
      <c r="N359" s="77">
        <f>IFERROR(__xludf.DUMMYFUNCTION("""COMPUTED_VALUE"""),1.0)</f>
        <v>1</v>
      </c>
      <c r="O359" s="49"/>
      <c r="P359" s="49" t="str">
        <f>IFERROR(__xludf.DUMMYFUNCTION("""COMPUTED_VALUE"""),"Offset")</f>
        <v>Offset</v>
      </c>
      <c r="Q359" s="49" t="str">
        <f>IFERROR(__xludf.DUMMYFUNCTION("""COMPUTED_VALUE"""),"Packaging")</f>
        <v>Packaging</v>
      </c>
      <c r="R359" s="49" t="str">
        <f>IFERROR(__xludf.DUMMYFUNCTION("""COMPUTED_VALUE"""),"Candle")</f>
        <v>Candle</v>
      </c>
    </row>
    <row r="360">
      <c r="A360" s="156" t="str">
        <f>IFERROR(__xludf.DUMMYFUNCTION("""COMPUTED_VALUE"""),"https://drive.google.com/open?id=1MAxh0SavcDCEEVGz7mz7s3pWE9TMhrU9&amp;authuser=jay.agg%40gmail.com&amp;usp=drive_fs")</f>
        <v>https://drive.google.com/open?id=1MAxh0SavcDCEEVGz7mz7s3pWE9TMhrU9&amp;authuser=jay.agg%40gmail.com&amp;usp=drive_fs</v>
      </c>
      <c r="B360" s="73" t="str">
        <f>IFERROR(__xludf.DUMMYFUNCTION("""COMPUTED_VALUE"""),"Candle")</f>
        <v>Candle</v>
      </c>
      <c r="C360" s="73" t="str">
        <f>IFERROR(__xludf.DUMMYFUNCTION("""COMPUTED_VALUE"""),"Candle")</f>
        <v>Candle</v>
      </c>
      <c r="D360" s="73" t="str">
        <f>IFERROR(__xludf.DUMMYFUNCTION("""COMPUTED_VALUE"""),"75*43*120 mm")</f>
        <v>75*43*120 mm</v>
      </c>
      <c r="E360" s="77">
        <f>IFERROR(__xludf.DUMMYFUNCTION("""COMPUTED_VALUE"""),4.0)</f>
        <v>4</v>
      </c>
      <c r="F360" s="77">
        <f>IFERROR(__xludf.DUMMYFUNCTION("""COMPUTED_VALUE"""),1926.0)</f>
        <v>1926</v>
      </c>
      <c r="G360" s="77">
        <f>IFERROR(__xludf.DUMMYFUNCTION("""COMPUTED_VALUE"""),18.0)</f>
        <v>18</v>
      </c>
      <c r="H360" s="77">
        <f>IFERROR(__xludf.DUMMYFUNCTION("""COMPUTED_VALUE"""),21.0)</f>
        <v>21</v>
      </c>
      <c r="I360" s="77">
        <f>IFERROR(__xludf.DUMMYFUNCTION("""COMPUTED_VALUE"""),100.0)</f>
        <v>100</v>
      </c>
      <c r="J360" s="73"/>
      <c r="K360" s="73"/>
      <c r="L360" s="73"/>
      <c r="M360" s="77">
        <f>IFERROR(__xludf.DUMMYFUNCTION("""COMPUTED_VALUE"""),0.1)</f>
        <v>0.1</v>
      </c>
      <c r="N360" s="77">
        <f>IFERROR(__xludf.DUMMYFUNCTION("""COMPUTED_VALUE"""),1.0)</f>
        <v>1</v>
      </c>
      <c r="O360" s="49"/>
      <c r="P360" s="49" t="str">
        <f>IFERROR(__xludf.DUMMYFUNCTION("""COMPUTED_VALUE"""),"Offset")</f>
        <v>Offset</v>
      </c>
      <c r="Q360" s="49" t="str">
        <f>IFERROR(__xludf.DUMMYFUNCTION("""COMPUTED_VALUE"""),"Packaging")</f>
        <v>Packaging</v>
      </c>
      <c r="R360" s="49" t="str">
        <f>IFERROR(__xludf.DUMMYFUNCTION("""COMPUTED_VALUE"""),"Candle")</f>
        <v>Candle</v>
      </c>
    </row>
    <row r="361">
      <c r="A361" s="156" t="str">
        <f>IFERROR(__xludf.DUMMYFUNCTION("""COMPUTED_VALUE"""),"https://drive.google.com/open?id=1C7x3dlmDOUUmHgVPQ2ADFyKbvImoz8KT&amp;authuser=jay.agg%40gmail.com&amp;usp=drive_fs")</f>
        <v>https://drive.google.com/open?id=1C7x3dlmDOUUmHgVPQ2ADFyKbvImoz8KT&amp;authuser=jay.agg%40gmail.com&amp;usp=drive_fs</v>
      </c>
      <c r="B361" s="73" t="str">
        <f>IFERROR(__xludf.DUMMYFUNCTION("""COMPUTED_VALUE"""),"Candle")</f>
        <v>Candle</v>
      </c>
      <c r="C361" s="73" t="str">
        <f>IFERROR(__xludf.DUMMYFUNCTION("""COMPUTED_VALUE"""),"Candle")</f>
        <v>Candle</v>
      </c>
      <c r="D361" s="73" t="str">
        <f>IFERROR(__xludf.DUMMYFUNCTION("""COMPUTED_VALUE"""),"178*20*178 mm | 7*0.75*7 inch W 2*2")</f>
        <v>178*20*178 mm | 7*0.75*7 inch W 2*2</v>
      </c>
      <c r="E361" s="77">
        <f>IFERROR(__xludf.DUMMYFUNCTION("""COMPUTED_VALUE"""),2.0)</f>
        <v>2</v>
      </c>
      <c r="F361" s="77">
        <f>IFERROR(__xludf.DUMMYFUNCTION("""COMPUTED_VALUE"""),1926.0)</f>
        <v>1926</v>
      </c>
      <c r="G361" s="77">
        <f>IFERROR(__xludf.DUMMYFUNCTION("""COMPUTED_VALUE"""),19.0)</f>
        <v>19</v>
      </c>
      <c r="H361" s="77">
        <f>IFERROR(__xludf.DUMMYFUNCTION("""COMPUTED_VALUE"""),20.0)</f>
        <v>20</v>
      </c>
      <c r="I361" s="77">
        <f>IFERROR(__xludf.DUMMYFUNCTION("""COMPUTED_VALUE"""),100.0)</f>
        <v>100</v>
      </c>
      <c r="J361" s="73"/>
      <c r="K361" s="73"/>
      <c r="L361" s="73">
        <f>IFERROR(__xludf.DUMMYFUNCTION("""COMPUTED_VALUE"""),1.0)</f>
        <v>1</v>
      </c>
      <c r="M361" s="77">
        <f>IFERROR(__xludf.DUMMYFUNCTION("""COMPUTED_VALUE"""),0.1)</f>
        <v>0.1</v>
      </c>
      <c r="N361" s="77">
        <f>IFERROR(__xludf.DUMMYFUNCTION("""COMPUTED_VALUE"""),1.0)</f>
        <v>1</v>
      </c>
      <c r="O361" s="49"/>
      <c r="P361" s="49" t="str">
        <f>IFERROR(__xludf.DUMMYFUNCTION("""COMPUTED_VALUE"""),"Offset")</f>
        <v>Offset</v>
      </c>
      <c r="Q361" s="49" t="str">
        <f>IFERROR(__xludf.DUMMYFUNCTION("""COMPUTED_VALUE"""),"Packaging")</f>
        <v>Packaging</v>
      </c>
      <c r="R361" s="49" t="str">
        <f>IFERROR(__xludf.DUMMYFUNCTION("""COMPUTED_VALUE"""),"Candle")</f>
        <v>Candle</v>
      </c>
    </row>
    <row r="362">
      <c r="A362" s="156" t="str">
        <f>IFERROR(__xludf.DUMMYFUNCTION("""COMPUTED_VALUE"""),"https://drive.google.com/open?id=1X9LiE8kXQ78vJv45fJ9gAxjlVBKH-iJN&amp;authuser=jay.agg%40gmail.com&amp;usp=drive_fs")</f>
        <v>https://drive.google.com/open?id=1X9LiE8kXQ78vJv45fJ9gAxjlVBKH-iJN&amp;authuser=jay.agg%40gmail.com&amp;usp=drive_fs</v>
      </c>
      <c r="B362" s="73" t="str">
        <f>IFERROR(__xludf.DUMMYFUNCTION("""COMPUTED_VALUE"""),"Candle")</f>
        <v>Candle</v>
      </c>
      <c r="C362" s="73" t="str">
        <f>IFERROR(__xludf.DUMMYFUNCTION("""COMPUTED_VALUE"""),"Candle")</f>
        <v>Candle</v>
      </c>
      <c r="D362" s="73" t="str">
        <f>IFERROR(__xludf.DUMMYFUNCTION("""COMPUTED_VALUE"""),"70*20*100 mm | 2.7*0.8*4 inch")</f>
        <v>70*20*100 mm | 2.7*0.8*4 inch</v>
      </c>
      <c r="E362" s="77">
        <f>IFERROR(__xludf.DUMMYFUNCTION("""COMPUTED_VALUE"""),9.0)</f>
        <v>9</v>
      </c>
      <c r="F362" s="77">
        <f>IFERROR(__xludf.DUMMYFUNCTION("""COMPUTED_VALUE"""),1926.0)</f>
        <v>1926</v>
      </c>
      <c r="G362" s="77">
        <f>IFERROR(__xludf.DUMMYFUNCTION("""COMPUTED_VALUE"""),18.0)</f>
        <v>18</v>
      </c>
      <c r="H362" s="77">
        <f>IFERROR(__xludf.DUMMYFUNCTION("""COMPUTED_VALUE"""),23.0)</f>
        <v>23</v>
      </c>
      <c r="I362" s="77">
        <f>IFERROR(__xludf.DUMMYFUNCTION("""COMPUTED_VALUE"""),100.0)</f>
        <v>100</v>
      </c>
      <c r="J362" s="73"/>
      <c r="K362" s="73"/>
      <c r="L362" s="73"/>
      <c r="M362" s="77">
        <f>IFERROR(__xludf.DUMMYFUNCTION("""COMPUTED_VALUE"""),0.1)</f>
        <v>0.1</v>
      </c>
      <c r="N362" s="77">
        <f>IFERROR(__xludf.DUMMYFUNCTION("""COMPUTED_VALUE"""),1.0)</f>
        <v>1</v>
      </c>
      <c r="O362" s="49"/>
      <c r="P362" s="49" t="str">
        <f>IFERROR(__xludf.DUMMYFUNCTION("""COMPUTED_VALUE"""),"Offset")</f>
        <v>Offset</v>
      </c>
      <c r="Q362" s="49" t="str">
        <f>IFERROR(__xludf.DUMMYFUNCTION("""COMPUTED_VALUE"""),"Packaging")</f>
        <v>Packaging</v>
      </c>
      <c r="R362" s="49" t="str">
        <f>IFERROR(__xludf.DUMMYFUNCTION("""COMPUTED_VALUE"""),"Candle")</f>
        <v>Candle</v>
      </c>
    </row>
    <row r="363">
      <c r="A363" s="156" t="str">
        <f>IFERROR(__xludf.DUMMYFUNCTION("""COMPUTED_VALUE"""),"https://drive.google.com/open?id=1XBj7CM-y4US92NdjQWl4RsFVKM8NfNcm&amp;authuser=jay.agg%40gmail.com&amp;usp=drive_fs")</f>
        <v>https://drive.google.com/open?id=1XBj7CM-y4US92NdjQWl4RsFVKM8NfNcm&amp;authuser=jay.agg%40gmail.com&amp;usp=drive_fs</v>
      </c>
      <c r="B363" s="73" t="str">
        <f>IFERROR(__xludf.DUMMYFUNCTION("""COMPUTED_VALUE"""),"Candle")</f>
        <v>Candle</v>
      </c>
      <c r="C363" s="73" t="str">
        <f>IFERROR(__xludf.DUMMYFUNCTION("""COMPUTED_VALUE"""),"Candle")</f>
        <v>Candle</v>
      </c>
      <c r="D363" s="73" t="str">
        <f>IFERROR(__xludf.DUMMYFUNCTION("""COMPUTED_VALUE"""),"70*25*130 mm | 2.7*1*5.1 inch")</f>
        <v>70*25*130 mm | 2.7*1*5.1 inch</v>
      </c>
      <c r="E363" s="77">
        <f>IFERROR(__xludf.DUMMYFUNCTION("""COMPUTED_VALUE"""),6.0)</f>
        <v>6</v>
      </c>
      <c r="F363" s="77">
        <f>IFERROR(__xludf.DUMMYFUNCTION("""COMPUTED_VALUE"""),1926.0)</f>
        <v>1926</v>
      </c>
      <c r="G363" s="77">
        <f>IFERROR(__xludf.DUMMYFUNCTION("""COMPUTED_VALUE"""),18.0)</f>
        <v>18</v>
      </c>
      <c r="H363" s="77">
        <f>IFERROR(__xludf.DUMMYFUNCTION("""COMPUTED_VALUE"""),23.0)</f>
        <v>23</v>
      </c>
      <c r="I363" s="77">
        <f>IFERROR(__xludf.DUMMYFUNCTION("""COMPUTED_VALUE"""),100.0)</f>
        <v>100</v>
      </c>
      <c r="J363" s="73"/>
      <c r="K363" s="73"/>
      <c r="L363" s="73"/>
      <c r="M363" s="77">
        <f>IFERROR(__xludf.DUMMYFUNCTION("""COMPUTED_VALUE"""),0.1)</f>
        <v>0.1</v>
      </c>
      <c r="N363" s="77">
        <f>IFERROR(__xludf.DUMMYFUNCTION("""COMPUTED_VALUE"""),1.0)</f>
        <v>1</v>
      </c>
      <c r="O363" s="49"/>
      <c r="P363" s="49" t="str">
        <f>IFERROR(__xludf.DUMMYFUNCTION("""COMPUTED_VALUE"""),"Offset")</f>
        <v>Offset</v>
      </c>
      <c r="Q363" s="49" t="str">
        <f>IFERROR(__xludf.DUMMYFUNCTION("""COMPUTED_VALUE"""),"Packaging")</f>
        <v>Packaging</v>
      </c>
      <c r="R363" s="49" t="str">
        <f>IFERROR(__xludf.DUMMYFUNCTION("""COMPUTED_VALUE"""),"Candle")</f>
        <v>Candle</v>
      </c>
    </row>
    <row r="364">
      <c r="A364" s="156" t="str">
        <f>IFERROR(__xludf.DUMMYFUNCTION("""COMPUTED_VALUE"""),"https://drive.google.com/open?id=1XDlDq76yGOrSvmfrDyMb3J7ZqNjgxz3m&amp;authuser=jay.agg%40gmail.com&amp;usp=drive_fs")</f>
        <v>https://drive.google.com/open?id=1XDlDq76yGOrSvmfrDyMb3J7ZqNjgxz3m&amp;authuser=jay.agg%40gmail.com&amp;usp=drive_fs</v>
      </c>
      <c r="B364" s="73" t="str">
        <f>IFERROR(__xludf.DUMMYFUNCTION("""COMPUTED_VALUE"""),"Candle")</f>
        <v>Candle</v>
      </c>
      <c r="C364" s="73" t="str">
        <f>IFERROR(__xludf.DUMMYFUNCTION("""COMPUTED_VALUE"""),"Candle")</f>
        <v>Candle</v>
      </c>
      <c r="D364" s="73" t="str">
        <f>IFERROR(__xludf.DUMMYFUNCTION("""COMPUTED_VALUE"""),"70*28*110 mm | 2.7*1.1*4.3 inch")</f>
        <v>70*28*110 mm | 2.7*1.1*4.3 inch</v>
      </c>
      <c r="E364" s="77">
        <f>IFERROR(__xludf.DUMMYFUNCTION("""COMPUTED_VALUE"""),8.0)</f>
        <v>8</v>
      </c>
      <c r="F364" s="77">
        <f>IFERROR(__xludf.DUMMYFUNCTION("""COMPUTED_VALUE"""),2029.0)</f>
        <v>2029</v>
      </c>
      <c r="G364" s="77">
        <f>IFERROR(__xludf.DUMMYFUNCTION("""COMPUTED_VALUE"""),19.0)</f>
        <v>19</v>
      </c>
      <c r="H364" s="77">
        <f>IFERROR(__xludf.DUMMYFUNCTION("""COMPUTED_VALUE"""),26.0)</f>
        <v>26</v>
      </c>
      <c r="I364" s="77">
        <f>IFERROR(__xludf.DUMMYFUNCTION("""COMPUTED_VALUE"""),100.0)</f>
        <v>100</v>
      </c>
      <c r="J364" s="73"/>
      <c r="K364" s="73"/>
      <c r="L364" s="73"/>
      <c r="M364" s="77">
        <f>IFERROR(__xludf.DUMMYFUNCTION("""COMPUTED_VALUE"""),0.1)</f>
        <v>0.1</v>
      </c>
      <c r="N364" s="77">
        <f>IFERROR(__xludf.DUMMYFUNCTION("""COMPUTED_VALUE"""),1.0)</f>
        <v>1</v>
      </c>
      <c r="O364" s="49"/>
      <c r="P364" s="49" t="str">
        <f>IFERROR(__xludf.DUMMYFUNCTION("""COMPUTED_VALUE"""),"Offset")</f>
        <v>Offset</v>
      </c>
      <c r="Q364" s="49" t="str">
        <f>IFERROR(__xludf.DUMMYFUNCTION("""COMPUTED_VALUE"""),"Packaging")</f>
        <v>Packaging</v>
      </c>
      <c r="R364" s="49" t="str">
        <f>IFERROR(__xludf.DUMMYFUNCTION("""COMPUTED_VALUE"""),"Candle")</f>
        <v>Candle</v>
      </c>
    </row>
    <row r="365">
      <c r="A365" s="156" t="str">
        <f>IFERROR(__xludf.DUMMYFUNCTION("""COMPUTED_VALUE"""),"https://drive.google.com/open?id=1XIOGr34O2pDqseh_tfZvgKrpkBEI-1Jc&amp;authuser=jay.agg%40gmail.com&amp;usp=drive_fs")</f>
        <v>https://drive.google.com/open?id=1XIOGr34O2pDqseh_tfZvgKrpkBEI-1Jc&amp;authuser=jay.agg%40gmail.com&amp;usp=drive_fs</v>
      </c>
      <c r="B365" s="73" t="str">
        <f>IFERROR(__xludf.DUMMYFUNCTION("""COMPUTED_VALUE"""),"Candle")</f>
        <v>Candle</v>
      </c>
      <c r="C365" s="73" t="str">
        <f>IFERROR(__xludf.DUMMYFUNCTION("""COMPUTED_VALUE"""),"Candle")</f>
        <v>Candle</v>
      </c>
      <c r="D365" s="73" t="str">
        <f>IFERROR(__xludf.DUMMYFUNCTION("""COMPUTED_VALUE"""),"60*42*230 mm | 2.3*1.6*9 inch")</f>
        <v>60*42*230 mm | 2.3*1.6*9 inch</v>
      </c>
      <c r="E365" s="77">
        <f>IFERROR(__xludf.DUMMYFUNCTION("""COMPUTED_VALUE"""),4.0)</f>
        <v>4</v>
      </c>
      <c r="F365" s="77">
        <f>IFERROR(__xludf.DUMMYFUNCTION("""COMPUTED_VALUE"""),1926.0)</f>
        <v>1926</v>
      </c>
      <c r="G365" s="77">
        <f>IFERROR(__xludf.DUMMYFUNCTION("""COMPUTED_VALUE"""),18.0)</f>
        <v>18</v>
      </c>
      <c r="H365" s="77">
        <f>IFERROR(__xludf.DUMMYFUNCTION("""COMPUTED_VALUE"""),25.0)</f>
        <v>25</v>
      </c>
      <c r="I365" s="77">
        <f>IFERROR(__xludf.DUMMYFUNCTION("""COMPUTED_VALUE"""),100.0)</f>
        <v>100</v>
      </c>
      <c r="J365" s="73"/>
      <c r="K365" s="73"/>
      <c r="L365" s="73"/>
      <c r="M365" s="77">
        <f>IFERROR(__xludf.DUMMYFUNCTION("""COMPUTED_VALUE"""),0.1)</f>
        <v>0.1</v>
      </c>
      <c r="N365" s="77">
        <f>IFERROR(__xludf.DUMMYFUNCTION("""COMPUTED_VALUE"""),1.0)</f>
        <v>1</v>
      </c>
      <c r="O365" s="49"/>
      <c r="P365" s="49" t="str">
        <f>IFERROR(__xludf.DUMMYFUNCTION("""COMPUTED_VALUE"""),"Offset")</f>
        <v>Offset</v>
      </c>
      <c r="Q365" s="49" t="str">
        <f>IFERROR(__xludf.DUMMYFUNCTION("""COMPUTED_VALUE"""),"Packaging")</f>
        <v>Packaging</v>
      </c>
      <c r="R365" s="49" t="str">
        <f>IFERROR(__xludf.DUMMYFUNCTION("""COMPUTED_VALUE"""),"Candle")</f>
        <v>Candle</v>
      </c>
    </row>
    <row r="366">
      <c r="A366" s="156" t="str">
        <f>IFERROR(__xludf.DUMMYFUNCTION("""COMPUTED_VALUE"""),"https://drive.google.com/open?id=17QUDqvVhibqdvnuI397J7H6P3NthuxYJ&amp;authuser=jay.agg%40gmail.com&amp;usp=drive_fs")</f>
        <v>https://drive.google.com/open?id=17QUDqvVhibqdvnuI397J7H6P3NthuxYJ&amp;authuser=jay.agg%40gmail.com&amp;usp=drive_fs</v>
      </c>
      <c r="B366" s="73" t="str">
        <f>IFERROR(__xludf.DUMMYFUNCTION("""COMPUTED_VALUE"""),"Candle")</f>
        <v>Candle</v>
      </c>
      <c r="C366" s="73" t="str">
        <f>IFERROR(__xludf.DUMMYFUNCTION("""COMPUTED_VALUE"""),"Candle")</f>
        <v>Candle</v>
      </c>
      <c r="D366" s="73" t="str">
        <f>IFERROR(__xludf.DUMMYFUNCTION("""COMPUTED_VALUE"""),"45*12*80 mm | 1.7*0.5*3.15 inch")</f>
        <v>45*12*80 mm | 1.7*0.5*3.15 inch</v>
      </c>
      <c r="E366" s="77">
        <f>IFERROR(__xludf.DUMMYFUNCTION("""COMPUTED_VALUE"""),16.0)</f>
        <v>16</v>
      </c>
      <c r="F366" s="77">
        <f>IFERROR(__xludf.DUMMYFUNCTION("""COMPUTED_VALUE"""),1926.0)</f>
        <v>1926</v>
      </c>
      <c r="G366" s="77">
        <f>IFERROR(__xludf.DUMMYFUNCTION("""COMPUTED_VALUE"""),18.0)</f>
        <v>18</v>
      </c>
      <c r="H366" s="77">
        <f>IFERROR(__xludf.DUMMYFUNCTION("""COMPUTED_VALUE"""),21.0)</f>
        <v>21</v>
      </c>
      <c r="I366" s="77">
        <f>IFERROR(__xludf.DUMMYFUNCTION("""COMPUTED_VALUE"""),100.0)</f>
        <v>100</v>
      </c>
      <c r="J366" s="73"/>
      <c r="K366" s="73"/>
      <c r="L366" s="73"/>
      <c r="M366" s="77">
        <f>IFERROR(__xludf.DUMMYFUNCTION("""COMPUTED_VALUE"""),0.1)</f>
        <v>0.1</v>
      </c>
      <c r="N366" s="77">
        <f>IFERROR(__xludf.DUMMYFUNCTION("""COMPUTED_VALUE"""),1.0)</f>
        <v>1</v>
      </c>
      <c r="O366" s="49"/>
      <c r="P366" s="49" t="str">
        <f>IFERROR(__xludf.DUMMYFUNCTION("""COMPUTED_VALUE"""),"Offset")</f>
        <v>Offset</v>
      </c>
      <c r="Q366" s="49" t="str">
        <f>IFERROR(__xludf.DUMMYFUNCTION("""COMPUTED_VALUE"""),"Packaging")</f>
        <v>Packaging</v>
      </c>
      <c r="R366" s="49" t="str">
        <f>IFERROR(__xludf.DUMMYFUNCTION("""COMPUTED_VALUE"""),"Candle")</f>
        <v>Candle</v>
      </c>
    </row>
    <row r="367">
      <c r="A367" s="156" t="str">
        <f>IFERROR(__xludf.DUMMYFUNCTION("""COMPUTED_VALUE"""),"https://drive.google.com/open?id=17lJl33SB588mFVxsjxF0KpjshyODe1i0&amp;authuser=jay.agg%40gmail.com&amp;usp=drive_fs")</f>
        <v>https://drive.google.com/open?id=17lJl33SB588mFVxsjxF0KpjshyODe1i0&amp;authuser=jay.agg%40gmail.com&amp;usp=drive_fs</v>
      </c>
      <c r="B367" s="73" t="str">
        <f>IFERROR(__xludf.DUMMYFUNCTION("""COMPUTED_VALUE"""),"Candle")</f>
        <v>Candle</v>
      </c>
      <c r="C367" s="73" t="str">
        <f>IFERROR(__xludf.DUMMYFUNCTION("""COMPUTED_VALUE"""),"Candle")</f>
        <v>Candle</v>
      </c>
      <c r="D367" s="73" t="str">
        <f>IFERROR(__xludf.DUMMYFUNCTION("""COMPUTED_VALUE"""),"80*25*225 mm | 3.15*1*8.9 inch")</f>
        <v>80*25*225 mm | 3.15*1*8.9 inch</v>
      </c>
      <c r="E367" s="77">
        <f>IFERROR(__xludf.DUMMYFUNCTION("""COMPUTED_VALUE"""),4.0)</f>
        <v>4</v>
      </c>
      <c r="F367" s="77">
        <f>IFERROR(__xludf.DUMMYFUNCTION("""COMPUTED_VALUE"""),1926.0)</f>
        <v>1926</v>
      </c>
      <c r="G367" s="77">
        <f>IFERROR(__xludf.DUMMYFUNCTION("""COMPUTED_VALUE"""),18.0)</f>
        <v>18</v>
      </c>
      <c r="H367" s="77">
        <f>IFERROR(__xludf.DUMMYFUNCTION("""COMPUTED_VALUE"""),23.0)</f>
        <v>23</v>
      </c>
      <c r="I367" s="77">
        <f>IFERROR(__xludf.DUMMYFUNCTION("""COMPUTED_VALUE"""),100.0)</f>
        <v>100</v>
      </c>
      <c r="J367" s="73"/>
      <c r="K367" s="73"/>
      <c r="L367" s="73"/>
      <c r="M367" s="77">
        <f>IFERROR(__xludf.DUMMYFUNCTION("""COMPUTED_VALUE"""),0.1)</f>
        <v>0.1</v>
      </c>
      <c r="N367" s="77">
        <f>IFERROR(__xludf.DUMMYFUNCTION("""COMPUTED_VALUE"""),1.0)</f>
        <v>1</v>
      </c>
      <c r="O367" s="49"/>
      <c r="P367" s="49" t="str">
        <f>IFERROR(__xludf.DUMMYFUNCTION("""COMPUTED_VALUE"""),"Offset")</f>
        <v>Offset</v>
      </c>
      <c r="Q367" s="49" t="str">
        <f>IFERROR(__xludf.DUMMYFUNCTION("""COMPUTED_VALUE"""),"Packaging")</f>
        <v>Packaging</v>
      </c>
      <c r="R367" s="49" t="str">
        <f>IFERROR(__xludf.DUMMYFUNCTION("""COMPUTED_VALUE"""),"Candle")</f>
        <v>Candle</v>
      </c>
    </row>
    <row r="368">
      <c r="A368" s="156" t="str">
        <f>IFERROR(__xludf.DUMMYFUNCTION("""COMPUTED_VALUE"""),"https://drive.google.com/open?id=1bi40bd0mPChtXh5RehwZH8t-MzELbn2C&amp;authuser=jay.agg%40gmail.com&amp;usp=drive_fs")</f>
        <v>https://drive.google.com/open?id=1bi40bd0mPChtXh5RehwZH8t-MzELbn2C&amp;authuser=jay.agg%40gmail.com&amp;usp=drive_fs</v>
      </c>
      <c r="B368" s="73" t="str">
        <f>IFERROR(__xludf.DUMMYFUNCTION("""COMPUTED_VALUE"""),"Candle")</f>
        <v>Candle</v>
      </c>
      <c r="C368" s="73" t="str">
        <f>IFERROR(__xludf.DUMMYFUNCTION("""COMPUTED_VALUE"""),"Candle")</f>
        <v>Candle</v>
      </c>
      <c r="D368" s="73" t="str">
        <f>IFERROR(__xludf.DUMMYFUNCTION("""COMPUTED_VALUE"""),"40*26*200 mm | 1.5*1*7.8 inch")</f>
        <v>40*26*200 mm | 1.5*1*7.8 inch</v>
      </c>
      <c r="E368" s="77">
        <f>IFERROR(__xludf.DUMMYFUNCTION("""COMPUTED_VALUE"""),6.0)</f>
        <v>6</v>
      </c>
      <c r="F368" s="77">
        <f>IFERROR(__xludf.DUMMYFUNCTION("""COMPUTED_VALUE"""),1926.0)</f>
        <v>1926</v>
      </c>
      <c r="G368" s="77">
        <f>IFERROR(__xludf.DUMMYFUNCTION("""COMPUTED_VALUE"""),18.0)</f>
        <v>18</v>
      </c>
      <c r="H368" s="77">
        <f>IFERROR(__xludf.DUMMYFUNCTION("""COMPUTED_VALUE"""),21.0)</f>
        <v>21</v>
      </c>
      <c r="I368" s="77">
        <f>IFERROR(__xludf.DUMMYFUNCTION("""COMPUTED_VALUE"""),100.0)</f>
        <v>100</v>
      </c>
      <c r="J368" s="73"/>
      <c r="K368" s="73"/>
      <c r="L368" s="73"/>
      <c r="M368" s="77">
        <f>IFERROR(__xludf.DUMMYFUNCTION("""COMPUTED_VALUE"""),0.1)</f>
        <v>0.1</v>
      </c>
      <c r="N368" s="77">
        <f>IFERROR(__xludf.DUMMYFUNCTION("""COMPUTED_VALUE"""),1.0)</f>
        <v>1</v>
      </c>
      <c r="O368" s="49"/>
      <c r="P368" s="49" t="str">
        <f>IFERROR(__xludf.DUMMYFUNCTION("""COMPUTED_VALUE"""),"Offset")</f>
        <v>Offset</v>
      </c>
      <c r="Q368" s="49" t="str">
        <f>IFERROR(__xludf.DUMMYFUNCTION("""COMPUTED_VALUE"""),"Packaging")</f>
        <v>Packaging</v>
      </c>
      <c r="R368" s="49" t="str">
        <f>IFERROR(__xludf.DUMMYFUNCTION("""COMPUTED_VALUE"""),"Candle")</f>
        <v>Candle</v>
      </c>
    </row>
    <row r="369">
      <c r="A369" s="156" t="str">
        <f>IFERROR(__xludf.DUMMYFUNCTION("""COMPUTED_VALUE"""),"https://drive.google.com/open?id=1brGTvqnm627FjShTzwRiusj7tYVdatik&amp;authuser=jay.agg%40gmail.com&amp;usp=drive_fs")</f>
        <v>https://drive.google.com/open?id=1brGTvqnm627FjShTzwRiusj7tYVdatik&amp;authuser=jay.agg%40gmail.com&amp;usp=drive_fs</v>
      </c>
      <c r="B369" s="73" t="str">
        <f>IFERROR(__xludf.DUMMYFUNCTION("""COMPUTED_VALUE"""),"Candle")</f>
        <v>Candle</v>
      </c>
      <c r="C369" s="73" t="str">
        <f>IFERROR(__xludf.DUMMYFUNCTION("""COMPUTED_VALUE"""),"Candle")</f>
        <v>Candle</v>
      </c>
      <c r="D369" s="73" t="str">
        <f>IFERROR(__xludf.DUMMYFUNCTION("""COMPUTED_VALUE"""),"31*17*164 mm | 1.2*0.7*6.5 inch")</f>
        <v>31*17*164 mm | 1.2*0.7*6.5 inch</v>
      </c>
      <c r="E369" s="77">
        <f>IFERROR(__xludf.DUMMYFUNCTION("""COMPUTED_VALUE"""),12.0)</f>
        <v>12</v>
      </c>
      <c r="F369" s="77">
        <f>IFERROR(__xludf.DUMMYFUNCTION("""COMPUTED_VALUE"""),2029.0)</f>
        <v>2029</v>
      </c>
      <c r="G369" s="77">
        <f>IFERROR(__xludf.DUMMYFUNCTION("""COMPUTED_VALUE"""),19.0)</f>
        <v>19</v>
      </c>
      <c r="H369" s="77">
        <f>IFERROR(__xludf.DUMMYFUNCTION("""COMPUTED_VALUE"""),26.0)</f>
        <v>26</v>
      </c>
      <c r="I369" s="77">
        <f>IFERROR(__xludf.DUMMYFUNCTION("""COMPUTED_VALUE"""),100.0)</f>
        <v>100</v>
      </c>
      <c r="J369" s="73"/>
      <c r="K369" s="73"/>
      <c r="L369" s="73"/>
      <c r="M369" s="77">
        <f>IFERROR(__xludf.DUMMYFUNCTION("""COMPUTED_VALUE"""),0.1)</f>
        <v>0.1</v>
      </c>
      <c r="N369" s="77">
        <f>IFERROR(__xludf.DUMMYFUNCTION("""COMPUTED_VALUE"""),1.0)</f>
        <v>1</v>
      </c>
      <c r="O369" s="49"/>
      <c r="P369" s="49" t="str">
        <f>IFERROR(__xludf.DUMMYFUNCTION("""COMPUTED_VALUE"""),"Offset")</f>
        <v>Offset</v>
      </c>
      <c r="Q369" s="49" t="str">
        <f>IFERROR(__xludf.DUMMYFUNCTION("""COMPUTED_VALUE"""),"Packaging")</f>
        <v>Packaging</v>
      </c>
      <c r="R369" s="49" t="str">
        <f>IFERROR(__xludf.DUMMYFUNCTION("""COMPUTED_VALUE"""),"Candle")</f>
        <v>Candle</v>
      </c>
    </row>
    <row r="370">
      <c r="A370" s="156" t="str">
        <f>IFERROR(__xludf.DUMMYFUNCTION("""COMPUTED_VALUE"""),"https://drive.google.com/open?id=1JScpmp15VNnE37xm83nuqKRfFENe61XV&amp;authuser=jay.agg%40gmail.com&amp;usp=drive_fs")</f>
        <v>https://drive.google.com/open?id=1JScpmp15VNnE37xm83nuqKRfFENe61XV&amp;authuser=jay.agg%40gmail.com&amp;usp=drive_fs</v>
      </c>
      <c r="B370" s="73" t="str">
        <f>IFERROR(__xludf.DUMMYFUNCTION("""COMPUTED_VALUE"""),"Candle")</f>
        <v>Candle</v>
      </c>
      <c r="C370" s="73" t="str">
        <f>IFERROR(__xludf.DUMMYFUNCTION("""COMPUTED_VALUE"""),"Candle")</f>
        <v>Candle</v>
      </c>
      <c r="D370" s="73" t="str">
        <f>IFERROR(__xludf.DUMMYFUNCTION("""COMPUTED_VALUE"""),"82*82*98 mm | 3.2*3.2*3.9 inch LB")</f>
        <v>82*82*98 mm | 3.2*3.2*3.9 inch LB</v>
      </c>
      <c r="E370" s="77">
        <f>IFERROR(__xludf.DUMMYFUNCTION("""COMPUTED_VALUE"""),3.0)</f>
        <v>3</v>
      </c>
      <c r="F370" s="77">
        <f>IFERROR(__xludf.DUMMYFUNCTION("""COMPUTED_VALUE"""),1926.0)</f>
        <v>1926</v>
      </c>
      <c r="G370" s="77">
        <f>IFERROR(__xludf.DUMMYFUNCTION("""COMPUTED_VALUE"""),15.0)</f>
        <v>15</v>
      </c>
      <c r="H370" s="77">
        <f>IFERROR(__xludf.DUMMYFUNCTION("""COMPUTED_VALUE"""),25.0)</f>
        <v>25</v>
      </c>
      <c r="I370" s="77">
        <f>IFERROR(__xludf.DUMMYFUNCTION("""COMPUTED_VALUE"""),100.0)</f>
        <v>100</v>
      </c>
      <c r="J370" s="73"/>
      <c r="K370" s="73"/>
      <c r="L370" s="73"/>
      <c r="M370" s="77">
        <f>IFERROR(__xludf.DUMMYFUNCTION("""COMPUTED_VALUE"""),0.2)</f>
        <v>0.2</v>
      </c>
      <c r="N370" s="77">
        <f>IFERROR(__xludf.DUMMYFUNCTION("""COMPUTED_VALUE"""),1.0)</f>
        <v>1</v>
      </c>
      <c r="O370" s="49"/>
      <c r="P370" s="49" t="str">
        <f>IFERROR(__xludf.DUMMYFUNCTION("""COMPUTED_VALUE"""),"Offset")</f>
        <v>Offset</v>
      </c>
      <c r="Q370" s="49" t="str">
        <f>IFERROR(__xludf.DUMMYFUNCTION("""COMPUTED_VALUE"""),"Packaging")</f>
        <v>Packaging</v>
      </c>
      <c r="R370" s="49" t="str">
        <f>IFERROR(__xludf.DUMMYFUNCTION("""COMPUTED_VALUE"""),"Candle")</f>
        <v>Candle</v>
      </c>
    </row>
    <row r="371">
      <c r="A371" s="156" t="str">
        <f>IFERROR(__xludf.DUMMYFUNCTION("""COMPUTED_VALUE"""),"https://drive.google.com/open?id=1YHq3U11hlZNt7NZ7lpoGKQLS87Lt8xk0&amp;authuser=jay.agg%40gmail.com&amp;usp=drive_fs")</f>
        <v>https://drive.google.com/open?id=1YHq3U11hlZNt7NZ7lpoGKQLS87Lt8xk0&amp;authuser=jay.agg%40gmail.com&amp;usp=drive_fs</v>
      </c>
      <c r="B371" s="73" t="str">
        <f>IFERROR(__xludf.DUMMYFUNCTION("""COMPUTED_VALUE"""),"Candle")</f>
        <v>Candle</v>
      </c>
      <c r="C371" s="73" t="str">
        <f>IFERROR(__xludf.DUMMYFUNCTION("""COMPUTED_VALUE"""),"Candle")</f>
        <v>Candle</v>
      </c>
      <c r="D371" s="73" t="str">
        <f>IFERROR(__xludf.DUMMYFUNCTION("""COMPUTED_VALUE"""),"190*190*25 mm | 7.5*7.5*1 inch")</f>
        <v>190*190*25 mm | 7.5*7.5*1 inch</v>
      </c>
      <c r="E371" s="77">
        <f>IFERROR(__xludf.DUMMYFUNCTION("""COMPUTED_VALUE"""),1.0)</f>
        <v>1</v>
      </c>
      <c r="F371" s="77">
        <f>IFERROR(__xludf.DUMMYFUNCTION("""COMPUTED_VALUE"""),2029.0)</f>
        <v>2029</v>
      </c>
      <c r="G371" s="77">
        <f>IFERROR(__xludf.DUMMYFUNCTION("""COMPUTED_VALUE"""),14.0)</f>
        <v>14</v>
      </c>
      <c r="H371" s="77">
        <f>IFERROR(__xludf.DUMMYFUNCTION("""COMPUTED_VALUE"""),26.0)</f>
        <v>26</v>
      </c>
      <c r="I371" s="77">
        <f>IFERROR(__xludf.DUMMYFUNCTION("""COMPUTED_VALUE"""),100.0)</f>
        <v>100</v>
      </c>
      <c r="J371" s="73"/>
      <c r="K371" s="73"/>
      <c r="L371" s="73"/>
      <c r="M371" s="77"/>
      <c r="N371" s="77">
        <f>IFERROR(__xludf.DUMMYFUNCTION("""COMPUTED_VALUE"""),1.0)</f>
        <v>1</v>
      </c>
      <c r="O371" s="49"/>
      <c r="P371" s="49" t="str">
        <f>IFERROR(__xludf.DUMMYFUNCTION("""COMPUTED_VALUE"""),"Offset")</f>
        <v>Offset</v>
      </c>
      <c r="Q371" s="49" t="str">
        <f>IFERROR(__xludf.DUMMYFUNCTION("""COMPUTED_VALUE"""),"Packaging")</f>
        <v>Packaging</v>
      </c>
      <c r="R371" s="49" t="str">
        <f>IFERROR(__xludf.DUMMYFUNCTION("""COMPUTED_VALUE"""),"Candle")</f>
        <v>Candle</v>
      </c>
    </row>
    <row r="372">
      <c r="A372" s="156" t="str">
        <f>IFERROR(__xludf.DUMMYFUNCTION("""COMPUTED_VALUE"""),"https://drive.google.com/open?id=1LLSXH5mjm902d4wsNTqmBu8ZtqjlNJDP&amp;authuser=jay.agg%40gmail.com&amp;usp=drive_fs")</f>
        <v>https://drive.google.com/open?id=1LLSXH5mjm902d4wsNTqmBu8ZtqjlNJDP&amp;authuser=jay.agg%40gmail.com&amp;usp=drive_fs</v>
      </c>
      <c r="B372" s="73" t="str">
        <f>IFERROR(__xludf.DUMMYFUNCTION("""COMPUTED_VALUE"""),"Carry Bag")</f>
        <v>Carry Bag</v>
      </c>
      <c r="C372" s="73" t="str">
        <f>IFERROR(__xludf.DUMMYFUNCTION("""COMPUTED_VALUE"""),"Mrs Kaurs")</f>
        <v>Mrs Kaurs</v>
      </c>
      <c r="D372" s="73" t="str">
        <f>IFERROR(__xludf.DUMMYFUNCTION("""COMPUTED_VALUE"""),"8.25*5*6 inch | 210*125*160 mm")</f>
        <v>8.25*5*6 inch | 210*125*160 mm</v>
      </c>
      <c r="E372" s="77">
        <f>IFERROR(__xludf.DUMMYFUNCTION("""COMPUTED_VALUE"""),2.0)</f>
        <v>2</v>
      </c>
      <c r="F372" s="77">
        <f>IFERROR(__xludf.DUMMYFUNCTION("""COMPUTED_VALUE"""),2029.0)</f>
        <v>2029</v>
      </c>
      <c r="G372" s="77">
        <f>IFERROR(__xludf.DUMMYFUNCTION("""COMPUTED_VALUE"""),21.0)</f>
        <v>21</v>
      </c>
      <c r="H372" s="77">
        <f>IFERROR(__xludf.DUMMYFUNCTION("""COMPUTED_VALUE"""),28.0)</f>
        <v>28</v>
      </c>
      <c r="I372" s="77">
        <f>IFERROR(__xludf.DUMMYFUNCTION("""COMPUTED_VALUE"""),100.0)</f>
        <v>100</v>
      </c>
      <c r="J372" s="73"/>
      <c r="K372" s="73"/>
      <c r="L372" s="73"/>
      <c r="M372" s="77"/>
      <c r="N372" s="77">
        <f>IFERROR(__xludf.DUMMYFUNCTION("""COMPUTED_VALUE"""),1.0)</f>
        <v>1</v>
      </c>
      <c r="O372" s="49"/>
      <c r="P372" s="49" t="str">
        <f>IFERROR(__xludf.DUMMYFUNCTION("""COMPUTED_VALUE"""),"Offset")</f>
        <v>Offset</v>
      </c>
      <c r="Q372" s="49" t="str">
        <f>IFERROR(__xludf.DUMMYFUNCTION("""COMPUTED_VALUE"""),"Packaging")</f>
        <v>Packaging</v>
      </c>
      <c r="R372" s="49" t="str">
        <f>IFERROR(__xludf.DUMMYFUNCTION("""COMPUTED_VALUE"""),"Carry Bag")</f>
        <v>Carry Bag</v>
      </c>
    </row>
    <row r="373">
      <c r="A373" s="156" t="str">
        <f>IFERROR(__xludf.DUMMYFUNCTION("""COMPUTED_VALUE"""),"https://drive.google.com/open?id=1LUg_q7ajwl_8zxYAG_2uNlhhQZeUuO9j&amp;authuser=jay.agg%40gmail.com&amp;usp=drive_fs")</f>
        <v>https://drive.google.com/open?id=1LUg_q7ajwl_8zxYAG_2uNlhhQZeUuO9j&amp;authuser=jay.agg%40gmail.com&amp;usp=drive_fs</v>
      </c>
      <c r="B373" s="73" t="str">
        <f>IFERROR(__xludf.DUMMYFUNCTION("""COMPUTED_VALUE"""),"Carry Bag")</f>
        <v>Carry Bag</v>
      </c>
      <c r="C373" s="73" t="str">
        <f>IFERROR(__xludf.DUMMYFUNCTION("""COMPUTED_VALUE"""),"Mrs Kaurs")</f>
        <v>Mrs Kaurs</v>
      </c>
      <c r="D373" s="73" t="str">
        <f>IFERROR(__xludf.DUMMYFUNCTION("""COMPUTED_VALUE"""),"13*8.75*8.75 inch | 325*230*230 mm")</f>
        <v>13*8.75*8.75 inch | 325*230*230 mm</v>
      </c>
      <c r="E373" s="77">
        <f>IFERROR(__xludf.DUMMYFUNCTION("""COMPUTED_VALUE"""),0.5)</f>
        <v>0.5</v>
      </c>
      <c r="F373" s="77">
        <f>IFERROR(__xludf.DUMMYFUNCTION("""COMPUTED_VALUE"""),1926.0)</f>
        <v>1926</v>
      </c>
      <c r="G373" s="77">
        <f>IFERROR(__xludf.DUMMYFUNCTION("""COMPUTED_VALUE"""),15.5)</f>
        <v>15.5</v>
      </c>
      <c r="H373" s="77">
        <f>IFERROR(__xludf.DUMMYFUNCTION("""COMPUTED_VALUE"""),23.0)</f>
        <v>23</v>
      </c>
      <c r="I373" s="77">
        <f>IFERROR(__xludf.DUMMYFUNCTION("""COMPUTED_VALUE"""),100.0)</f>
        <v>100</v>
      </c>
      <c r="J373" s="73"/>
      <c r="K373" s="73"/>
      <c r="L373" s="73"/>
      <c r="M373" s="77"/>
      <c r="N373" s="77">
        <f>IFERROR(__xludf.DUMMYFUNCTION("""COMPUTED_VALUE"""),2.0)</f>
        <v>2</v>
      </c>
      <c r="O373" s="49"/>
      <c r="P373" s="49" t="str">
        <f>IFERROR(__xludf.DUMMYFUNCTION("""COMPUTED_VALUE"""),"Offset")</f>
        <v>Offset</v>
      </c>
      <c r="Q373" s="49" t="str">
        <f>IFERROR(__xludf.DUMMYFUNCTION("""COMPUTED_VALUE"""),"Packaging")</f>
        <v>Packaging</v>
      </c>
      <c r="R373" s="49" t="str">
        <f>IFERROR(__xludf.DUMMYFUNCTION("""COMPUTED_VALUE"""),"Carry Bag")</f>
        <v>Carry Bag</v>
      </c>
    </row>
    <row r="374">
      <c r="A374" s="156" t="str">
        <f>IFERROR(__xludf.DUMMYFUNCTION("""COMPUTED_VALUE"""),"https://drive.google.com/open?id=1LZppN6NA9XeczIiQR7GEVIOAsiK1EtMU&amp;authuser=jay.agg%40gmail.com&amp;usp=drive_fs")</f>
        <v>https://drive.google.com/open?id=1LZppN6NA9XeczIiQR7GEVIOAsiK1EtMU&amp;authuser=jay.agg%40gmail.com&amp;usp=drive_fs</v>
      </c>
      <c r="B374" s="73" t="str">
        <f>IFERROR(__xludf.DUMMYFUNCTION("""COMPUTED_VALUE"""),"Carry Bag")</f>
        <v>Carry Bag</v>
      </c>
      <c r="C374" s="73" t="str">
        <f>IFERROR(__xludf.DUMMYFUNCTION("""COMPUTED_VALUE"""),"Bag")</f>
        <v>Bag</v>
      </c>
      <c r="D374" s="73" t="str">
        <f>IFERROR(__xludf.DUMMYFUNCTION("""COMPUTED_VALUE"""),"65*236*166 mm | 9.25*2.5*6.5 inch")</f>
        <v>65*236*166 mm | 9.25*2.5*6.5 inch</v>
      </c>
      <c r="E374" s="77">
        <f>IFERROR(__xludf.DUMMYFUNCTION("""COMPUTED_VALUE"""),2.0)</f>
        <v>2</v>
      </c>
      <c r="F374" s="77">
        <f>IFERROR(__xludf.DUMMYFUNCTION("""COMPUTED_VALUE"""),1926.0)</f>
        <v>1926</v>
      </c>
      <c r="G374" s="77">
        <f>IFERROR(__xludf.DUMMYFUNCTION("""COMPUTED_VALUE"""),19.0)</f>
        <v>19</v>
      </c>
      <c r="H374" s="77">
        <f>IFERROR(__xludf.DUMMYFUNCTION("""COMPUTED_VALUE"""),26.0)</f>
        <v>26</v>
      </c>
      <c r="I374" s="77">
        <f>IFERROR(__xludf.DUMMYFUNCTION("""COMPUTED_VALUE"""),100.0)</f>
        <v>100</v>
      </c>
      <c r="J374" s="73"/>
      <c r="K374" s="73"/>
      <c r="L374" s="73"/>
      <c r="M374" s="77">
        <f>IFERROR(__xludf.DUMMYFUNCTION("""COMPUTED_VALUE"""),0.1)</f>
        <v>0.1</v>
      </c>
      <c r="N374" s="77">
        <f>IFERROR(__xludf.DUMMYFUNCTION("""COMPUTED_VALUE"""),1.0)</f>
        <v>1</v>
      </c>
      <c r="O374" s="49"/>
      <c r="P374" s="49" t="str">
        <f>IFERROR(__xludf.DUMMYFUNCTION("""COMPUTED_VALUE"""),"Offset")</f>
        <v>Offset</v>
      </c>
      <c r="Q374" s="49" t="str">
        <f>IFERROR(__xludf.DUMMYFUNCTION("""COMPUTED_VALUE"""),"Packaging")</f>
        <v>Packaging</v>
      </c>
      <c r="R374" s="49" t="str">
        <f>IFERROR(__xludf.DUMMYFUNCTION("""COMPUTED_VALUE"""),"Carry Bag")</f>
        <v>Carry Bag</v>
      </c>
    </row>
    <row r="375">
      <c r="A375" s="156" t="str">
        <f>IFERROR(__xludf.DUMMYFUNCTION("""COMPUTED_VALUE"""),"https://drive.google.com/open?id=1lHnMtXhr9G3SJf8uKeSbYuegZiSXiBHu&amp;authuser=jay.agg%40gmail.com&amp;usp=drive_fs")</f>
        <v>https://drive.google.com/open?id=1lHnMtXhr9G3SJf8uKeSbYuegZiSXiBHu&amp;authuser=jay.agg%40gmail.com&amp;usp=drive_fs</v>
      </c>
      <c r="B375" s="73" t="str">
        <f>IFERROR(__xludf.DUMMYFUNCTION("""COMPUTED_VALUE"""),"Carry Bag")</f>
        <v>Carry Bag</v>
      </c>
      <c r="C375" s="73" t="str">
        <f>IFERROR(__xludf.DUMMYFUNCTION("""COMPUTED_VALUE"""),"Covid Kit")</f>
        <v>Covid Kit</v>
      </c>
      <c r="D375" s="73" t="str">
        <f>IFERROR(__xludf.DUMMYFUNCTION("""COMPUTED_VALUE"""),"205*65*330 mm")</f>
        <v>205*65*330 mm</v>
      </c>
      <c r="E375" s="77">
        <f>IFERROR(__xludf.DUMMYFUNCTION("""COMPUTED_VALUE"""),1.0)</f>
        <v>1</v>
      </c>
      <c r="F375" s="77">
        <f>IFERROR(__xludf.DUMMYFUNCTION("""COMPUTED_VALUE"""),1926.0)</f>
        <v>1926</v>
      </c>
      <c r="G375" s="77">
        <f>IFERROR(__xludf.DUMMYFUNCTION("""COMPUTED_VALUE"""),18.0)</f>
        <v>18</v>
      </c>
      <c r="H375" s="77">
        <f>IFERROR(__xludf.DUMMYFUNCTION("""COMPUTED_VALUE"""),23.0)</f>
        <v>23</v>
      </c>
      <c r="I375" s="77">
        <f>IFERROR(__xludf.DUMMYFUNCTION("""COMPUTED_VALUE"""),100.0)</f>
        <v>100</v>
      </c>
      <c r="J375" s="73"/>
      <c r="K375" s="73"/>
      <c r="L375" s="73"/>
      <c r="M375" s="77">
        <f>IFERROR(__xludf.DUMMYFUNCTION("""COMPUTED_VALUE"""),0.1)</f>
        <v>0.1</v>
      </c>
      <c r="N375" s="77">
        <f>IFERROR(__xludf.DUMMYFUNCTION("""COMPUTED_VALUE"""),1.0)</f>
        <v>1</v>
      </c>
      <c r="O375" s="49"/>
      <c r="P375" s="49" t="str">
        <f>IFERROR(__xludf.DUMMYFUNCTION("""COMPUTED_VALUE"""),"Offset")</f>
        <v>Offset</v>
      </c>
      <c r="Q375" s="49" t="str">
        <f>IFERROR(__xludf.DUMMYFUNCTION("""COMPUTED_VALUE"""),"Packaging")</f>
        <v>Packaging</v>
      </c>
      <c r="R375" s="49" t="str">
        <f>IFERROR(__xludf.DUMMYFUNCTION("""COMPUTED_VALUE"""),"Carry Bag")</f>
        <v>Carry Bag</v>
      </c>
    </row>
    <row r="376">
      <c r="A376" s="156" t="str">
        <f>IFERROR(__xludf.DUMMYFUNCTION("""COMPUTED_VALUE"""),"https://drive.google.com/open?id=1B9rYdky9_GlhoyFLssx_P2CsAHKwkclm&amp;authuser=jay.agg%40gmail.com&amp;usp=drive_fs")</f>
        <v>https://drive.google.com/open?id=1B9rYdky9_GlhoyFLssx_P2CsAHKwkclm&amp;authuser=jay.agg%40gmail.com&amp;usp=drive_fs</v>
      </c>
      <c r="B376" s="73" t="str">
        <f>IFERROR(__xludf.DUMMYFUNCTION("""COMPUTED_VALUE"""),"Carry Bag")</f>
        <v>Carry Bag</v>
      </c>
      <c r="C376" s="73" t="str">
        <f>IFERROR(__xludf.DUMMYFUNCTION("""COMPUTED_VALUE"""),"Cashify")</f>
        <v>Cashify</v>
      </c>
      <c r="D376" s="73" t="str">
        <f>IFERROR(__xludf.DUMMYFUNCTION("""COMPUTED_VALUE"""),"240*64*160 mm | 9.5*2.5*6.25 inch")</f>
        <v>240*64*160 mm | 9.5*2.5*6.25 inch</v>
      </c>
      <c r="E376" s="77">
        <f>IFERROR(__xludf.DUMMYFUNCTION("""COMPUTED_VALUE"""),2.0)</f>
        <v>2</v>
      </c>
      <c r="F376" s="77">
        <f>IFERROR(__xludf.DUMMYFUNCTION("""COMPUTED_VALUE"""),2029.0)</f>
        <v>2029</v>
      </c>
      <c r="G376" s="77">
        <f>IFERROR(__xludf.DUMMYFUNCTION("""COMPUTED_VALUE"""),20.0)</f>
        <v>20</v>
      </c>
      <c r="H376" s="77">
        <f>IFERROR(__xludf.DUMMYFUNCTION("""COMPUTED_VALUE"""),25.0)</f>
        <v>25</v>
      </c>
      <c r="I376" s="77">
        <f>IFERROR(__xludf.DUMMYFUNCTION("""COMPUTED_VALUE"""),100.0)</f>
        <v>100</v>
      </c>
      <c r="J376" s="73"/>
      <c r="K376" s="73"/>
      <c r="L376" s="73"/>
      <c r="M376" s="77">
        <f>IFERROR(__xludf.DUMMYFUNCTION("""COMPUTED_VALUE"""),0.1)</f>
        <v>0.1</v>
      </c>
      <c r="N376" s="77">
        <f>IFERROR(__xludf.DUMMYFUNCTION("""COMPUTED_VALUE"""),1.0)</f>
        <v>1</v>
      </c>
      <c r="O376" s="49"/>
      <c r="P376" s="49" t="str">
        <f>IFERROR(__xludf.DUMMYFUNCTION("""COMPUTED_VALUE"""),"Offset")</f>
        <v>Offset</v>
      </c>
      <c r="Q376" s="49" t="str">
        <f>IFERROR(__xludf.DUMMYFUNCTION("""COMPUTED_VALUE"""),"Packaging")</f>
        <v>Packaging</v>
      </c>
      <c r="R376" s="49" t="str">
        <f>IFERROR(__xludf.DUMMYFUNCTION("""COMPUTED_VALUE"""),"Carry Bag")</f>
        <v>Carry Bag</v>
      </c>
    </row>
    <row r="377">
      <c r="A377" s="156" t="str">
        <f>IFERROR(__xludf.DUMMYFUNCTION("""COMPUTED_VALUE"""),"https://drive.google.com/open?id=1B7kw4r1ubP78rXhqEyfWlE6NpdtvV4aL&amp;authuser=jay.agg%40gmail.com&amp;usp=drive_fs")</f>
        <v>https://drive.google.com/open?id=1B7kw4r1ubP78rXhqEyfWlE6NpdtvV4aL&amp;authuser=jay.agg%40gmail.com&amp;usp=drive_fs</v>
      </c>
      <c r="B377" s="73" t="str">
        <f>IFERROR(__xludf.DUMMYFUNCTION("""COMPUTED_VALUE"""),"Carry Bag")</f>
        <v>Carry Bag</v>
      </c>
      <c r="C377" s="73" t="str">
        <f>IFERROR(__xludf.DUMMYFUNCTION("""COMPUTED_VALUE"""),"Cashify")</f>
        <v>Cashify</v>
      </c>
      <c r="D377" s="73" t="str">
        <f>IFERROR(__xludf.DUMMYFUNCTION("""COMPUTED_VALUE"""),"290*106*222 mm | 11.5*4.2*8.75 inch")</f>
        <v>290*106*222 mm | 11.5*4.2*8.75 inch</v>
      </c>
      <c r="E377" s="77">
        <f>IFERROR(__xludf.DUMMYFUNCTION("""COMPUTED_VALUE"""),2.0)</f>
        <v>2</v>
      </c>
      <c r="F377" s="77">
        <f>IFERROR(__xludf.DUMMYFUNCTION("""COMPUTED_VALUE"""),2840.0)</f>
        <v>2840</v>
      </c>
      <c r="G377" s="77">
        <f>IFERROR(__xludf.DUMMYFUNCTION("""COMPUTED_VALUE"""),26.0)</f>
        <v>26</v>
      </c>
      <c r="H377" s="77">
        <f>IFERROR(__xludf.DUMMYFUNCTION("""COMPUTED_VALUE"""),38.0)</f>
        <v>38</v>
      </c>
      <c r="I377" s="77">
        <f>IFERROR(__xludf.DUMMYFUNCTION("""COMPUTED_VALUE"""),100.0)</f>
        <v>100</v>
      </c>
      <c r="J377" s="73"/>
      <c r="K377" s="73"/>
      <c r="L377" s="73"/>
      <c r="M377" s="77">
        <f>IFERROR(__xludf.DUMMYFUNCTION("""COMPUTED_VALUE"""),0.1)</f>
        <v>0.1</v>
      </c>
      <c r="N377" s="77">
        <f>IFERROR(__xludf.DUMMYFUNCTION("""COMPUTED_VALUE"""),1.0)</f>
        <v>1</v>
      </c>
      <c r="O377" s="49"/>
      <c r="P377" s="49" t="str">
        <f>IFERROR(__xludf.DUMMYFUNCTION("""COMPUTED_VALUE"""),"Offset")</f>
        <v>Offset</v>
      </c>
      <c r="Q377" s="49" t="str">
        <f>IFERROR(__xludf.DUMMYFUNCTION("""COMPUTED_VALUE"""),"Packaging")</f>
        <v>Packaging</v>
      </c>
      <c r="R377" s="49" t="str">
        <f>IFERROR(__xludf.DUMMYFUNCTION("""COMPUTED_VALUE"""),"Carry Bag")</f>
        <v>Carry Bag</v>
      </c>
    </row>
    <row r="378">
      <c r="A378" s="156" t="str">
        <f>IFERROR(__xludf.DUMMYFUNCTION("""COMPUTED_VALUE"""),"https://drive.google.com/open?id=1UjUJCgz92x793VrkiQcdxVoWh95tY_vy&amp;authuser=jay.agg%40gmail.com&amp;usp=drive_fs")</f>
        <v>https://drive.google.com/open?id=1UjUJCgz92x793VrkiQcdxVoWh95tY_vy&amp;authuser=jay.agg%40gmail.com&amp;usp=drive_fs</v>
      </c>
      <c r="B378" s="73" t="str">
        <f>IFERROR(__xludf.DUMMYFUNCTION("""COMPUTED_VALUE"""),"Carry Bag")</f>
        <v>Carry Bag</v>
      </c>
      <c r="C378" s="73" t="str">
        <f>IFERROR(__xludf.DUMMYFUNCTION("""COMPUTED_VALUE"""),"Misc")</f>
        <v>Misc</v>
      </c>
      <c r="D378" s="73" t="str">
        <f>IFERROR(__xludf.DUMMYFUNCTION("""COMPUTED_VALUE"""),"224*210*225 mm | 8.8*8.2*8.9 inch")</f>
        <v>224*210*225 mm | 8.8*8.2*8.9 inch</v>
      </c>
      <c r="E378" s="77">
        <f>IFERROR(__xludf.DUMMYFUNCTION("""COMPUTED_VALUE"""),0.5)</f>
        <v>0.5</v>
      </c>
      <c r="F378" s="77">
        <f>IFERROR(__xludf.DUMMYFUNCTION("""COMPUTED_VALUE"""),2029.0)</f>
        <v>2029</v>
      </c>
      <c r="G378" s="77">
        <f>IFERROR(__xludf.DUMMYFUNCTION("""COMPUTED_VALUE"""),15.75)</f>
        <v>15.75</v>
      </c>
      <c r="H378" s="77">
        <f>IFERROR(__xludf.DUMMYFUNCTION("""COMPUTED_VALUE"""),20.75)</f>
        <v>20.75</v>
      </c>
      <c r="I378" s="77">
        <f>IFERROR(__xludf.DUMMYFUNCTION("""COMPUTED_VALUE"""),100.0)</f>
        <v>100</v>
      </c>
      <c r="J378" s="73"/>
      <c r="K378" s="73"/>
      <c r="L378" s="73"/>
      <c r="M378" s="77"/>
      <c r="N378" s="77">
        <f>IFERROR(__xludf.DUMMYFUNCTION("""COMPUTED_VALUE"""),1.0)</f>
        <v>1</v>
      </c>
      <c r="O378" s="49"/>
      <c r="P378" s="49" t="str">
        <f>IFERROR(__xludf.DUMMYFUNCTION("""COMPUTED_VALUE"""),"Offset")</f>
        <v>Offset</v>
      </c>
      <c r="Q378" s="49" t="str">
        <f>IFERROR(__xludf.DUMMYFUNCTION("""COMPUTED_VALUE"""),"Packaging")</f>
        <v>Packaging</v>
      </c>
      <c r="R378" s="49" t="str">
        <f>IFERROR(__xludf.DUMMYFUNCTION("""COMPUTED_VALUE"""),"Carry Bag")</f>
        <v>Carry Bag</v>
      </c>
    </row>
    <row r="379">
      <c r="A379" s="156" t="str">
        <f>IFERROR(__xludf.DUMMYFUNCTION("""COMPUTED_VALUE"""),"https://drive.google.com/open?id=1Uj5SOd_yzSK3Dv3qjoOaS9tV0owM8eYg&amp;authuser=jay.agg%40gmail.com&amp;usp=drive_fs")</f>
        <v>https://drive.google.com/open?id=1Uj5SOd_yzSK3Dv3qjoOaS9tV0owM8eYg&amp;authuser=jay.agg%40gmail.com&amp;usp=drive_fs</v>
      </c>
      <c r="B379" s="73" t="str">
        <f>IFERROR(__xludf.DUMMYFUNCTION("""COMPUTED_VALUE"""),"Carry Bag")</f>
        <v>Carry Bag</v>
      </c>
      <c r="C379" s="73" t="str">
        <f>IFERROR(__xludf.DUMMYFUNCTION("""COMPUTED_VALUE"""),"Misc")</f>
        <v>Misc</v>
      </c>
      <c r="D379" s="73" t="str">
        <f>IFERROR(__xludf.DUMMYFUNCTION("""COMPUTED_VALUE"""),"254*254*200 mm | 10*10*7.8 inch")</f>
        <v>254*254*200 mm | 10*10*7.8 inch</v>
      </c>
      <c r="E379" s="77">
        <f>IFERROR(__xludf.DUMMYFUNCTION("""COMPUTED_VALUE"""),0.5)</f>
        <v>0.5</v>
      </c>
      <c r="F379" s="77">
        <f>IFERROR(__xludf.DUMMYFUNCTION("""COMPUTED_VALUE"""),2029.0)</f>
        <v>2029</v>
      </c>
      <c r="G379" s="77">
        <f>IFERROR(__xludf.DUMMYFUNCTION("""COMPUTED_VALUE"""),15.75)</f>
        <v>15.75</v>
      </c>
      <c r="H379" s="77">
        <f>IFERROR(__xludf.DUMMYFUNCTION("""COMPUTED_VALUE"""),20.75)</f>
        <v>20.75</v>
      </c>
      <c r="I379" s="77">
        <f>IFERROR(__xludf.DUMMYFUNCTION("""COMPUTED_VALUE"""),100.0)</f>
        <v>100</v>
      </c>
      <c r="J379" s="73"/>
      <c r="K379" s="73"/>
      <c r="L379" s="73"/>
      <c r="M379" s="77"/>
      <c r="N379" s="77">
        <f>IFERROR(__xludf.DUMMYFUNCTION("""COMPUTED_VALUE"""),1.0)</f>
        <v>1</v>
      </c>
      <c r="O379" s="49"/>
      <c r="P379" s="49" t="str">
        <f>IFERROR(__xludf.DUMMYFUNCTION("""COMPUTED_VALUE"""),"Offset")</f>
        <v>Offset</v>
      </c>
      <c r="Q379" s="49" t="str">
        <f>IFERROR(__xludf.DUMMYFUNCTION("""COMPUTED_VALUE"""),"Packaging")</f>
        <v>Packaging</v>
      </c>
      <c r="R379" s="49" t="str">
        <f>IFERROR(__xludf.DUMMYFUNCTION("""COMPUTED_VALUE"""),"Carry Bag")</f>
        <v>Carry Bag</v>
      </c>
    </row>
    <row r="380">
      <c r="A380" s="156" t="str">
        <f>IFERROR(__xludf.DUMMYFUNCTION("""COMPUTED_VALUE"""),"https://drive.google.com/open?id=1776chak7uaIih4AiETRmQb4kidXbpKey&amp;authuser=jay.agg%40gmail.com&amp;usp=drive_fs")</f>
        <v>https://drive.google.com/open?id=1776chak7uaIih4AiETRmQb4kidXbpKey&amp;authuser=jay.agg%40gmail.com&amp;usp=drive_fs</v>
      </c>
      <c r="B380" s="73" t="str">
        <f>IFERROR(__xludf.DUMMYFUNCTION("""COMPUTED_VALUE"""),"Carry Bag")</f>
        <v>Carry Bag</v>
      </c>
      <c r="C380" s="73" t="str">
        <f>IFERROR(__xludf.DUMMYFUNCTION("""COMPUTED_VALUE"""),"Misc")</f>
        <v>Misc</v>
      </c>
      <c r="D380" s="73" t="str">
        <f>IFERROR(__xludf.DUMMYFUNCTION("""COMPUTED_VALUE"""),"229*102*305 mm | 9*4*12 inch")</f>
        <v>229*102*305 mm | 9*4*12 inch</v>
      </c>
      <c r="E380" s="77">
        <f>IFERROR(__xludf.DUMMYFUNCTION("""COMPUTED_VALUE"""),1.0)</f>
        <v>1</v>
      </c>
      <c r="F380" s="77">
        <f>IFERROR(__xludf.DUMMYFUNCTION("""COMPUTED_VALUE"""),2029.0)</f>
        <v>2029</v>
      </c>
      <c r="G380" s="77">
        <f>IFERROR(__xludf.DUMMYFUNCTION("""COMPUTED_VALUE"""),17.5)</f>
        <v>17.5</v>
      </c>
      <c r="H380" s="77">
        <f>IFERROR(__xludf.DUMMYFUNCTION("""COMPUTED_VALUE"""),28.0)</f>
        <v>28</v>
      </c>
      <c r="I380" s="77">
        <f>IFERROR(__xludf.DUMMYFUNCTION("""COMPUTED_VALUE"""),100.0)</f>
        <v>100</v>
      </c>
      <c r="J380" s="73"/>
      <c r="K380" s="73"/>
      <c r="L380" s="73"/>
      <c r="M380" s="77">
        <f>IFERROR(__xludf.DUMMYFUNCTION("""COMPUTED_VALUE"""),0.1)</f>
        <v>0.1</v>
      </c>
      <c r="N380" s="77">
        <f>IFERROR(__xludf.DUMMYFUNCTION("""COMPUTED_VALUE"""),1.0)</f>
        <v>1</v>
      </c>
      <c r="O380" s="49"/>
      <c r="P380" s="49" t="str">
        <f>IFERROR(__xludf.DUMMYFUNCTION("""COMPUTED_VALUE"""),"Offset")</f>
        <v>Offset</v>
      </c>
      <c r="Q380" s="49" t="str">
        <f>IFERROR(__xludf.DUMMYFUNCTION("""COMPUTED_VALUE"""),"Packaging")</f>
        <v>Packaging</v>
      </c>
      <c r="R380" s="49" t="str">
        <f>IFERROR(__xludf.DUMMYFUNCTION("""COMPUTED_VALUE"""),"Carry Bag")</f>
        <v>Carry Bag</v>
      </c>
    </row>
    <row r="381">
      <c r="A381" s="156" t="str">
        <f>IFERROR(__xludf.DUMMYFUNCTION("""COMPUTED_VALUE"""),"https://drive.google.com/open?id=18GYx422KvAw5NGCNjJ65WZ-t5IXTMZLT&amp;authuser=jay.agg%40gmail.com&amp;usp=drive_fs")</f>
        <v>https://drive.google.com/open?id=18GYx422KvAw5NGCNjJ65WZ-t5IXTMZLT&amp;authuser=jay.agg%40gmail.com&amp;usp=drive_fs</v>
      </c>
      <c r="B381" s="73" t="str">
        <f>IFERROR(__xludf.DUMMYFUNCTION("""COMPUTED_VALUE"""),"Carry Bag")</f>
        <v>Carry Bag</v>
      </c>
      <c r="C381" s="73" t="str">
        <f>IFERROR(__xludf.DUMMYFUNCTION("""COMPUTED_VALUE"""),"FnP")</f>
        <v>FnP</v>
      </c>
      <c r="D381" s="73" t="str">
        <f>IFERROR(__xludf.DUMMYFUNCTION("""COMPUTED_VALUE"""),"305*280*248 mm | 12*11*9.75 inch")</f>
        <v>305*280*248 mm | 12*11*9.75 inch</v>
      </c>
      <c r="E381" s="77">
        <f>IFERROR(__xludf.DUMMYFUNCTION("""COMPUTED_VALUE"""),0.5)</f>
        <v>0.5</v>
      </c>
      <c r="F381" s="77">
        <f>IFERROR(__xludf.DUMMYFUNCTION("""COMPUTED_VALUE"""),1926.0)</f>
        <v>1926</v>
      </c>
      <c r="G381" s="77">
        <f>IFERROR(__xludf.DUMMYFUNCTION("""COMPUTED_VALUE"""),18.0)</f>
        <v>18</v>
      </c>
      <c r="H381" s="77">
        <f>IFERROR(__xludf.DUMMYFUNCTION("""COMPUTED_VALUE"""),25.0)</f>
        <v>25</v>
      </c>
      <c r="I381" s="77">
        <f>IFERROR(__xludf.DUMMYFUNCTION("""COMPUTED_VALUE"""),100.0)</f>
        <v>100</v>
      </c>
      <c r="J381" s="73"/>
      <c r="K381" s="73"/>
      <c r="L381" s="73"/>
      <c r="M381" s="77"/>
      <c r="N381" s="77">
        <f>IFERROR(__xludf.DUMMYFUNCTION("""COMPUTED_VALUE"""),1.0)</f>
        <v>1</v>
      </c>
      <c r="O381" s="49"/>
      <c r="P381" s="49" t="str">
        <f>IFERROR(__xludf.DUMMYFUNCTION("""COMPUTED_VALUE"""),"Offset")</f>
        <v>Offset</v>
      </c>
      <c r="Q381" s="49" t="str">
        <f>IFERROR(__xludf.DUMMYFUNCTION("""COMPUTED_VALUE"""),"Packaging")</f>
        <v>Packaging</v>
      </c>
      <c r="R381" s="49" t="str">
        <f>IFERROR(__xludf.DUMMYFUNCTION("""COMPUTED_VALUE"""),"Carry Bag")</f>
        <v>Carry Bag</v>
      </c>
    </row>
    <row r="382">
      <c r="A382" s="156" t="str">
        <f>IFERROR(__xludf.DUMMYFUNCTION("""COMPUTED_VALUE"""),"https://drive.google.com/open?id=18JW5RWEWbLqsK1MUKfCyTsOUrbkb5ckp&amp;authuser=jay.agg%40gmail.com&amp;usp=drive_fs")</f>
        <v>https://drive.google.com/open?id=18JW5RWEWbLqsK1MUKfCyTsOUrbkb5ckp&amp;authuser=jay.agg%40gmail.com&amp;usp=drive_fs</v>
      </c>
      <c r="B382" s="73" t="str">
        <f>IFERROR(__xludf.DUMMYFUNCTION("""COMPUTED_VALUE"""),"Carry Bag")</f>
        <v>Carry Bag</v>
      </c>
      <c r="C382" s="73" t="str">
        <f>IFERROR(__xludf.DUMMYFUNCTION("""COMPUTED_VALUE"""),"FnP")</f>
        <v>FnP</v>
      </c>
      <c r="D382" s="73" t="str">
        <f>IFERROR(__xludf.DUMMYFUNCTION("""COMPUTED_VALUE"""),"256*230*240 mm | 10*9*9.5 inch")</f>
        <v>256*230*240 mm | 10*9*9.5 inch</v>
      </c>
      <c r="E382" s="77">
        <f>IFERROR(__xludf.DUMMYFUNCTION("""COMPUTED_VALUE"""),0.5)</f>
        <v>0.5</v>
      </c>
      <c r="F382" s="77">
        <f>IFERROR(__xludf.DUMMYFUNCTION("""COMPUTED_VALUE"""),1926.0)</f>
        <v>1926</v>
      </c>
      <c r="G382" s="77">
        <f>IFERROR(__xludf.DUMMYFUNCTION("""COMPUTED_VALUE"""),18.0)</f>
        <v>18</v>
      </c>
      <c r="H382" s="77">
        <f>IFERROR(__xludf.DUMMYFUNCTION("""COMPUTED_VALUE"""),21.0)</f>
        <v>21</v>
      </c>
      <c r="I382" s="77">
        <f>IFERROR(__xludf.DUMMYFUNCTION("""COMPUTED_VALUE"""),100.0)</f>
        <v>100</v>
      </c>
      <c r="J382" s="73"/>
      <c r="K382" s="73"/>
      <c r="L382" s="73"/>
      <c r="M382" s="77"/>
      <c r="N382" s="77">
        <f>IFERROR(__xludf.DUMMYFUNCTION("""COMPUTED_VALUE"""),1.0)</f>
        <v>1</v>
      </c>
      <c r="O382" s="49"/>
      <c r="P382" s="49" t="str">
        <f>IFERROR(__xludf.DUMMYFUNCTION("""COMPUTED_VALUE"""),"Offset")</f>
        <v>Offset</v>
      </c>
      <c r="Q382" s="49" t="str">
        <f>IFERROR(__xludf.DUMMYFUNCTION("""COMPUTED_VALUE"""),"Packaging")</f>
        <v>Packaging</v>
      </c>
      <c r="R382" s="49" t="str">
        <f>IFERROR(__xludf.DUMMYFUNCTION("""COMPUTED_VALUE"""),"Carry Bag")</f>
        <v>Carry Bag</v>
      </c>
    </row>
    <row r="383">
      <c r="A383" s="156" t="str">
        <f>IFERROR(__xludf.DUMMYFUNCTION("""COMPUTED_VALUE"""),"https://drive.google.com/open?id=1D4uH39QrRZfXmBsB8G93VY9_0eAGmYEy&amp;authuser=jay.agg%40gmail.com&amp;usp=drive_fs")</f>
        <v>https://drive.google.com/open?id=1D4uH39QrRZfXmBsB8G93VY9_0eAGmYEy&amp;authuser=jay.agg%40gmail.com&amp;usp=drive_fs</v>
      </c>
      <c r="B383" s="73" t="str">
        <f>IFERROR(__xludf.DUMMYFUNCTION("""COMPUTED_VALUE"""),"Carry Bag")</f>
        <v>Carry Bag</v>
      </c>
      <c r="C383" s="73" t="str">
        <f>IFERROR(__xludf.DUMMYFUNCTION("""COMPUTED_VALUE"""),"Cashify")</f>
        <v>Cashify</v>
      </c>
      <c r="D383" s="73" t="str">
        <f>IFERROR(__xludf.DUMMYFUNCTION("""COMPUTED_VALUE"""),"250*110*205 mm | 9.8*4.3*8 inch")</f>
        <v>250*110*205 mm | 9.8*4.3*8 inch</v>
      </c>
      <c r="E383" s="77">
        <f>IFERROR(__xludf.DUMMYFUNCTION("""COMPUTED_VALUE"""),2.0)</f>
        <v>2</v>
      </c>
      <c r="F383" s="77">
        <f>IFERROR(__xludf.DUMMYFUNCTION("""COMPUTED_VALUE"""),2840.0)</f>
        <v>2840</v>
      </c>
      <c r="G383" s="77">
        <f>IFERROR(__xludf.DUMMYFUNCTION("""COMPUTED_VALUE"""),25.0)</f>
        <v>25</v>
      </c>
      <c r="H383" s="77">
        <f>IFERROR(__xludf.DUMMYFUNCTION("""COMPUTED_VALUE"""),30.0)</f>
        <v>30</v>
      </c>
      <c r="I383" s="77">
        <f>IFERROR(__xludf.DUMMYFUNCTION("""COMPUTED_VALUE"""),100.0)</f>
        <v>100</v>
      </c>
      <c r="J383" s="73"/>
      <c r="K383" s="73"/>
      <c r="L383" s="73"/>
      <c r="M383" s="77"/>
      <c r="N383" s="77">
        <f>IFERROR(__xludf.DUMMYFUNCTION("""COMPUTED_VALUE"""),1.0)</f>
        <v>1</v>
      </c>
      <c r="O383" s="49"/>
      <c r="P383" s="49" t="str">
        <f>IFERROR(__xludf.DUMMYFUNCTION("""COMPUTED_VALUE"""),"Offset")</f>
        <v>Offset</v>
      </c>
      <c r="Q383" s="49" t="str">
        <f>IFERROR(__xludf.DUMMYFUNCTION("""COMPUTED_VALUE"""),"Packaging")</f>
        <v>Packaging</v>
      </c>
      <c r="R383" s="49" t="str">
        <f>IFERROR(__xludf.DUMMYFUNCTION("""COMPUTED_VALUE"""),"Carry Bag")</f>
        <v>Carry Bag</v>
      </c>
    </row>
    <row r="384">
      <c r="A384" s="156" t="str">
        <f>IFERROR(__xludf.DUMMYFUNCTION("""COMPUTED_VALUE"""),"https://drive.google.com/open?id=1_DkMZf0HfHzr-cr3J2UhvqSylaqiYv4u&amp;authuser=jay.agg%40gmail.com&amp;usp=drive_fs")</f>
        <v>https://drive.google.com/open?id=1_DkMZf0HfHzr-cr3J2UhvqSylaqiYv4u&amp;authuser=jay.agg%40gmail.com&amp;usp=drive_fs</v>
      </c>
      <c r="B384" s="73" t="str">
        <f>IFERROR(__xludf.DUMMYFUNCTION("""COMPUTED_VALUE"""),"The Man Company")</f>
        <v>The Man Company</v>
      </c>
      <c r="C384" s="73" t="str">
        <f>IFERROR(__xludf.DUMMYFUNCTION("""COMPUTED_VALUE"""),"Beard Oil")</f>
        <v>Beard Oil</v>
      </c>
      <c r="D384" s="73" t="str">
        <f>IFERROR(__xludf.DUMMYFUNCTION("""COMPUTED_VALUE"""),"33*33*100 mm | 1.3*1.3*3.9 inch")</f>
        <v>33*33*100 mm | 1.3*1.3*3.9 inch</v>
      </c>
      <c r="E384" s="77">
        <f>IFERROR(__xludf.DUMMYFUNCTION("""COMPUTED_VALUE"""),12.0)</f>
        <v>12</v>
      </c>
      <c r="F384" s="77">
        <f>IFERROR(__xludf.DUMMYFUNCTION("""COMPUTED_VALUE"""),1926.0)</f>
        <v>1926</v>
      </c>
      <c r="G384" s="77">
        <f>IFERROR(__xludf.DUMMYFUNCTION("""COMPUTED_VALUE"""),18.0)</f>
        <v>18</v>
      </c>
      <c r="H384" s="77">
        <f>IFERROR(__xludf.DUMMYFUNCTION("""COMPUTED_VALUE"""),25.0)</f>
        <v>25</v>
      </c>
      <c r="I384" s="77">
        <f>IFERROR(__xludf.DUMMYFUNCTION("""COMPUTED_VALUE"""),100.0)</f>
        <v>100</v>
      </c>
      <c r="J384" s="73"/>
      <c r="K384" s="73"/>
      <c r="L384" s="73"/>
      <c r="M384" s="77">
        <f>IFERROR(__xludf.DUMMYFUNCTION("""COMPUTED_VALUE"""),0.1)</f>
        <v>0.1</v>
      </c>
      <c r="N384" s="77">
        <f>IFERROR(__xludf.DUMMYFUNCTION("""COMPUTED_VALUE"""),1.0)</f>
        <v>1</v>
      </c>
      <c r="O384" s="49"/>
      <c r="P384" s="49" t="str">
        <f>IFERROR(__xludf.DUMMYFUNCTION("""COMPUTED_VALUE"""),"Offset")</f>
        <v>Offset</v>
      </c>
      <c r="Q384" s="49" t="str">
        <f>IFERROR(__xludf.DUMMYFUNCTION("""COMPUTED_VALUE"""),"Packaging")</f>
        <v>Packaging</v>
      </c>
      <c r="R384" s="49" t="str">
        <f>IFERROR(__xludf.DUMMYFUNCTION("""COMPUTED_VALUE"""),"The Man Company")</f>
        <v>The Man Company</v>
      </c>
    </row>
    <row r="385">
      <c r="A385" s="156" t="str">
        <f>IFERROR(__xludf.DUMMYFUNCTION("""COMPUTED_VALUE"""),"https://drive.google.com/open?id=1_GBZdTPmiafSxkL5djdAtLb8GStSHlBf&amp;authuser=jay.agg%40gmail.com&amp;usp=drive_fs")</f>
        <v>https://drive.google.com/open?id=1_GBZdTPmiafSxkL5djdAtLb8GStSHlBf&amp;authuser=jay.agg%40gmail.com&amp;usp=drive_fs</v>
      </c>
      <c r="B385" s="73" t="str">
        <f>IFERROR(__xludf.DUMMYFUNCTION("""COMPUTED_VALUE"""),"The Man Company")</f>
        <v>The Man Company</v>
      </c>
      <c r="C385" s="73" t="str">
        <f>IFERROR(__xludf.DUMMYFUNCTION("""COMPUTED_VALUE"""),"Bravio")</f>
        <v>Bravio</v>
      </c>
      <c r="D385" s="73" t="str">
        <f>IFERROR(__xludf.DUMMYFUNCTION("""COMPUTED_VALUE"""),"55*32*75 mm | 2.2*1.2*2.9 inch")</f>
        <v>55*32*75 mm | 2.2*1.2*2.9 inch</v>
      </c>
      <c r="E385" s="77">
        <f>IFERROR(__xludf.DUMMYFUNCTION("""COMPUTED_VALUE"""),9.0)</f>
        <v>9</v>
      </c>
      <c r="F385" s="77">
        <f>IFERROR(__xludf.DUMMYFUNCTION("""COMPUTED_VALUE"""),1926.0)</f>
        <v>1926</v>
      </c>
      <c r="G385" s="77">
        <f>IFERROR(__xludf.DUMMYFUNCTION("""COMPUTED_VALUE"""),18.0)</f>
        <v>18</v>
      </c>
      <c r="H385" s="77">
        <f>IFERROR(__xludf.DUMMYFUNCTION("""COMPUTED_VALUE"""),23.0)</f>
        <v>23</v>
      </c>
      <c r="I385" s="77">
        <f>IFERROR(__xludf.DUMMYFUNCTION("""COMPUTED_VALUE"""),100.0)</f>
        <v>100</v>
      </c>
      <c r="J385" s="73"/>
      <c r="K385" s="73"/>
      <c r="L385" s="73"/>
      <c r="M385" s="77">
        <f>IFERROR(__xludf.DUMMYFUNCTION("""COMPUTED_VALUE"""),0.1)</f>
        <v>0.1</v>
      </c>
      <c r="N385" s="77">
        <f>IFERROR(__xludf.DUMMYFUNCTION("""COMPUTED_VALUE"""),1.0)</f>
        <v>1</v>
      </c>
      <c r="O385" s="49"/>
      <c r="P385" s="49" t="str">
        <f>IFERROR(__xludf.DUMMYFUNCTION("""COMPUTED_VALUE"""),"Offset")</f>
        <v>Offset</v>
      </c>
      <c r="Q385" s="49" t="str">
        <f>IFERROR(__xludf.DUMMYFUNCTION("""COMPUTED_VALUE"""),"Packaging")</f>
        <v>Packaging</v>
      </c>
      <c r="R385" s="49" t="str">
        <f>IFERROR(__xludf.DUMMYFUNCTION("""COMPUTED_VALUE"""),"The Man Company")</f>
        <v>The Man Company</v>
      </c>
    </row>
    <row r="386">
      <c r="A386" s="156" t="str">
        <f>IFERROR(__xludf.DUMMYFUNCTION("""COMPUTED_VALUE"""),"https://drive.google.com/open?id=1_HDYSjVW3uK0tSKyvQKjVWVMir8bsQhN&amp;authuser=jay.agg%40gmail.com&amp;usp=drive_fs")</f>
        <v>https://drive.google.com/open?id=1_HDYSjVW3uK0tSKyvQKjVWVMir8bsQhN&amp;authuser=jay.agg%40gmail.com&amp;usp=drive_fs</v>
      </c>
      <c r="B386" s="73" t="str">
        <f>IFERROR(__xludf.DUMMYFUNCTION("""COMPUTED_VALUE"""),"The Man Company")</f>
        <v>The Man Company</v>
      </c>
      <c r="C386" s="73" t="str">
        <f>IFERROR(__xludf.DUMMYFUNCTION("""COMPUTED_VALUE"""),"Lip Scrub")</f>
        <v>Lip Scrub</v>
      </c>
      <c r="D386" s="73" t="str">
        <f>IFERROR(__xludf.DUMMYFUNCTION("""COMPUTED_VALUE"""),"39*39*42 mm | 1.5*1.5*1.6 inch")</f>
        <v>39*39*42 mm | 1.5*1.5*1.6 inch</v>
      </c>
      <c r="E386" s="77">
        <f>IFERROR(__xludf.DUMMYFUNCTION("""COMPUTED_VALUE"""),9.0)</f>
        <v>9</v>
      </c>
      <c r="F386" s="77">
        <f>IFERROR(__xludf.DUMMYFUNCTION("""COMPUTED_VALUE"""),1926.0)</f>
        <v>1926</v>
      </c>
      <c r="G386" s="77">
        <f>IFERROR(__xludf.DUMMYFUNCTION("""COMPUTED_VALUE"""),18.0)</f>
        <v>18</v>
      </c>
      <c r="H386" s="77">
        <f>IFERROR(__xludf.DUMMYFUNCTION("""COMPUTED_VALUE"""),21.0)</f>
        <v>21</v>
      </c>
      <c r="I386" s="77">
        <f>IFERROR(__xludf.DUMMYFUNCTION("""COMPUTED_VALUE"""),100.0)</f>
        <v>100</v>
      </c>
      <c r="J386" s="73"/>
      <c r="K386" s="73"/>
      <c r="L386" s="73"/>
      <c r="M386" s="77">
        <f>IFERROR(__xludf.DUMMYFUNCTION("""COMPUTED_VALUE"""),0.1)</f>
        <v>0.1</v>
      </c>
      <c r="N386" s="77">
        <f>IFERROR(__xludf.DUMMYFUNCTION("""COMPUTED_VALUE"""),1.0)</f>
        <v>1</v>
      </c>
      <c r="O386" s="49"/>
      <c r="P386" s="49" t="str">
        <f>IFERROR(__xludf.DUMMYFUNCTION("""COMPUTED_VALUE"""),"Offset")</f>
        <v>Offset</v>
      </c>
      <c r="Q386" s="49" t="str">
        <f>IFERROR(__xludf.DUMMYFUNCTION("""COMPUTED_VALUE"""),"Packaging")</f>
        <v>Packaging</v>
      </c>
      <c r="R386" s="49" t="str">
        <f>IFERROR(__xludf.DUMMYFUNCTION("""COMPUTED_VALUE"""),"The Man Company")</f>
        <v>The Man Company</v>
      </c>
    </row>
    <row r="387">
      <c r="A387" s="156" t="str">
        <f>IFERROR(__xludf.DUMMYFUNCTION("""COMPUTED_VALUE"""),"https://drive.google.com/open?id=1_M8O_AYJtQlVYo2F7dFQWhW0E47M_Bu1&amp;authuser=jay.agg%40gmail.com&amp;usp=drive_fs")</f>
        <v>https://drive.google.com/open?id=1_M8O_AYJtQlVYo2F7dFQWhW0E47M_Bu1&amp;authuser=jay.agg%40gmail.com&amp;usp=drive_fs</v>
      </c>
      <c r="B387" s="73" t="str">
        <f>IFERROR(__xludf.DUMMYFUNCTION("""COMPUTED_VALUE"""),"The Man Company")</f>
        <v>The Man Company</v>
      </c>
      <c r="C387" s="73" t="str">
        <f>IFERROR(__xludf.DUMMYFUNCTION("""COMPUTED_VALUE"""),"Beard Wash")</f>
        <v>Beard Wash</v>
      </c>
      <c r="D387" s="73" t="str">
        <f>IFERROR(__xludf.DUMMYFUNCTION("""COMPUTED_VALUE"""),"42*42*115 mm | 1.6*1.6*4.5 inch")</f>
        <v>42*42*115 mm | 1.6*1.6*4.5 inch</v>
      </c>
      <c r="E387" s="77">
        <f>IFERROR(__xludf.DUMMYFUNCTION("""COMPUTED_VALUE"""),6.0)</f>
        <v>6</v>
      </c>
      <c r="F387" s="77">
        <f>IFERROR(__xludf.DUMMYFUNCTION("""COMPUTED_VALUE"""),1926.0)</f>
        <v>1926</v>
      </c>
      <c r="G387" s="77">
        <f>IFERROR(__xludf.DUMMYFUNCTION("""COMPUTED_VALUE"""),18.0)</f>
        <v>18</v>
      </c>
      <c r="H387" s="77">
        <f>IFERROR(__xludf.DUMMYFUNCTION("""COMPUTED_VALUE"""),23.0)</f>
        <v>23</v>
      </c>
      <c r="I387" s="77">
        <f>IFERROR(__xludf.DUMMYFUNCTION("""COMPUTED_VALUE"""),100.0)</f>
        <v>100</v>
      </c>
      <c r="J387" s="73"/>
      <c r="K387" s="73"/>
      <c r="L387" s="73"/>
      <c r="M387" s="77">
        <f>IFERROR(__xludf.DUMMYFUNCTION("""COMPUTED_VALUE"""),0.1)</f>
        <v>0.1</v>
      </c>
      <c r="N387" s="77">
        <f>IFERROR(__xludf.DUMMYFUNCTION("""COMPUTED_VALUE"""),1.0)</f>
        <v>1</v>
      </c>
      <c r="O387" s="49"/>
      <c r="P387" s="49" t="str">
        <f>IFERROR(__xludf.DUMMYFUNCTION("""COMPUTED_VALUE"""),"Offset")</f>
        <v>Offset</v>
      </c>
      <c r="Q387" s="49" t="str">
        <f>IFERROR(__xludf.DUMMYFUNCTION("""COMPUTED_VALUE"""),"Packaging")</f>
        <v>Packaging</v>
      </c>
      <c r="R387" s="49" t="str">
        <f>IFERROR(__xludf.DUMMYFUNCTION("""COMPUTED_VALUE"""),"The Man Company")</f>
        <v>The Man Company</v>
      </c>
    </row>
    <row r="388">
      <c r="A388" s="156" t="str">
        <f>IFERROR(__xludf.DUMMYFUNCTION("""COMPUTED_VALUE"""),"https://drive.google.com/open?id=1_Pu-_2pEvkYdKiSUXUxzRSvbBgXt4qpc&amp;authuser=jay.agg%40gmail.com&amp;usp=drive_fs")</f>
        <v>https://drive.google.com/open?id=1_Pu-_2pEvkYdKiSUXUxzRSvbBgXt4qpc&amp;authuser=jay.agg%40gmail.com&amp;usp=drive_fs</v>
      </c>
      <c r="B388" s="73" t="str">
        <f>IFERROR(__xludf.DUMMYFUNCTION("""COMPUTED_VALUE"""),"The Man Company")</f>
        <v>The Man Company</v>
      </c>
      <c r="C388" s="73" t="str">
        <f>IFERROR(__xludf.DUMMYFUNCTION("""COMPUTED_VALUE"""),"FireWood")</f>
        <v>FireWood</v>
      </c>
      <c r="D388" s="73" t="str">
        <f>IFERROR(__xludf.DUMMYFUNCTION("""COMPUTED_VALUE"""),"43*25*100 mm | 1.6*1*3.9 inch")</f>
        <v>43*25*100 mm | 1.6*1*3.9 inch</v>
      </c>
      <c r="E388" s="77">
        <f>IFERROR(__xludf.DUMMYFUNCTION("""COMPUTED_VALUE"""),12.0)</f>
        <v>12</v>
      </c>
      <c r="F388" s="77">
        <f>IFERROR(__xludf.DUMMYFUNCTION("""COMPUTED_VALUE"""),1926.0)</f>
        <v>1926</v>
      </c>
      <c r="G388" s="77">
        <f>IFERROR(__xludf.DUMMYFUNCTION("""COMPUTED_VALUE"""),18.0)</f>
        <v>18</v>
      </c>
      <c r="H388" s="77">
        <f>IFERROR(__xludf.DUMMYFUNCTION("""COMPUTED_VALUE"""),23.0)</f>
        <v>23</v>
      </c>
      <c r="I388" s="77">
        <f>IFERROR(__xludf.DUMMYFUNCTION("""COMPUTED_VALUE"""),100.0)</f>
        <v>100</v>
      </c>
      <c r="J388" s="73"/>
      <c r="K388" s="73"/>
      <c r="L388" s="73"/>
      <c r="M388" s="77">
        <f>IFERROR(__xludf.DUMMYFUNCTION("""COMPUTED_VALUE"""),0.1)</f>
        <v>0.1</v>
      </c>
      <c r="N388" s="77">
        <f>IFERROR(__xludf.DUMMYFUNCTION("""COMPUTED_VALUE"""),1.0)</f>
        <v>1</v>
      </c>
      <c r="O388" s="49"/>
      <c r="P388" s="49" t="str">
        <f>IFERROR(__xludf.DUMMYFUNCTION("""COMPUTED_VALUE"""),"Offset")</f>
        <v>Offset</v>
      </c>
      <c r="Q388" s="49" t="str">
        <f>IFERROR(__xludf.DUMMYFUNCTION("""COMPUTED_VALUE"""),"Packaging")</f>
        <v>Packaging</v>
      </c>
      <c r="R388" s="49" t="str">
        <f>IFERROR(__xludf.DUMMYFUNCTION("""COMPUTED_VALUE"""),"The Man Company")</f>
        <v>The Man Company</v>
      </c>
    </row>
    <row r="389">
      <c r="A389" s="156" t="str">
        <f>IFERROR(__xludf.DUMMYFUNCTION("""COMPUTED_VALUE"""),"https://drive.google.com/open?id=1_RhsMZrW9wSN_n14GWfpayyCXGjN5Car&amp;authuser=jay.agg%40gmail.com&amp;usp=drive_fs")</f>
        <v>https://drive.google.com/open?id=1_RhsMZrW9wSN_n14GWfpayyCXGjN5Car&amp;authuser=jay.agg%40gmail.com&amp;usp=drive_fs</v>
      </c>
      <c r="B389" s="73" t="str">
        <f>IFERROR(__xludf.DUMMYFUNCTION("""COMPUTED_VALUE"""),"The Man Company")</f>
        <v>The Man Company</v>
      </c>
      <c r="C389" s="73" t="str">
        <f>IFERROR(__xludf.DUMMYFUNCTION("""COMPUTED_VALUE"""),"Lip Balm")</f>
        <v>Lip Balm</v>
      </c>
      <c r="D389" s="73" t="str">
        <f>IFERROR(__xludf.DUMMYFUNCTION("""COMPUTED_VALUE"""),"32*32*70 mm | 1.2*1.2*2.7 inch")</f>
        <v>32*32*70 mm | 1.2*1.2*2.7 inch</v>
      </c>
      <c r="E389" s="77">
        <f>IFERROR(__xludf.DUMMYFUNCTION("""COMPUTED_VALUE"""),9.0)</f>
        <v>9</v>
      </c>
      <c r="F389" s="77">
        <f>IFERROR(__xludf.DUMMYFUNCTION("""COMPUTED_VALUE"""),1926.0)</f>
        <v>1926</v>
      </c>
      <c r="G389" s="77">
        <f>IFERROR(__xludf.DUMMYFUNCTION("""COMPUTED_VALUE"""),18.0)</f>
        <v>18</v>
      </c>
      <c r="H389" s="77">
        <f>IFERROR(__xludf.DUMMYFUNCTION("""COMPUTED_VALUE"""),21.0)</f>
        <v>21</v>
      </c>
      <c r="I389" s="77">
        <f>IFERROR(__xludf.DUMMYFUNCTION("""COMPUTED_VALUE"""),100.0)</f>
        <v>100</v>
      </c>
      <c r="J389" s="73"/>
      <c r="K389" s="73"/>
      <c r="L389" s="73"/>
      <c r="M389" s="77">
        <f>IFERROR(__xludf.DUMMYFUNCTION("""COMPUTED_VALUE"""),0.1)</f>
        <v>0.1</v>
      </c>
      <c r="N389" s="77">
        <f>IFERROR(__xludf.DUMMYFUNCTION("""COMPUTED_VALUE"""),1.0)</f>
        <v>1</v>
      </c>
      <c r="O389" s="49"/>
      <c r="P389" s="49" t="str">
        <f>IFERROR(__xludf.DUMMYFUNCTION("""COMPUTED_VALUE"""),"Offset")</f>
        <v>Offset</v>
      </c>
      <c r="Q389" s="49" t="str">
        <f>IFERROR(__xludf.DUMMYFUNCTION("""COMPUTED_VALUE"""),"Packaging")</f>
        <v>Packaging</v>
      </c>
      <c r="R389" s="49" t="str">
        <f>IFERROR(__xludf.DUMMYFUNCTION("""COMPUTED_VALUE"""),"The Man Company")</f>
        <v>The Man Company</v>
      </c>
    </row>
    <row r="390">
      <c r="A390" s="156" t="str">
        <f>IFERROR(__xludf.DUMMYFUNCTION("""COMPUTED_VALUE"""),"https://drive.google.com/open?id=1_Tj47LQTB9405tIhdScucGTVUNMgQ1Hx&amp;authuser=jay.agg%40gmail.com&amp;usp=drive_fs")</f>
        <v>https://drive.google.com/open?id=1_Tj47LQTB9405tIhdScucGTVUNMgQ1Hx&amp;authuser=jay.agg%40gmail.com&amp;usp=drive_fs</v>
      </c>
      <c r="B390" s="73" t="str">
        <f>IFERROR(__xludf.DUMMYFUNCTION("""COMPUTED_VALUE"""),"The Man Company")</f>
        <v>The Man Company</v>
      </c>
      <c r="C390" s="73" t="str">
        <f>IFERROR(__xludf.DUMMYFUNCTION("""COMPUTED_VALUE"""),"Face Wash")</f>
        <v>Face Wash</v>
      </c>
      <c r="D390" s="73" t="str">
        <f>IFERROR(__xludf.DUMMYFUNCTION("""COMPUTED_VALUE"""),"56*45*183 mm | 2.2*1.7*7.2 inch LB")</f>
        <v>56*45*183 mm | 2.2*1.7*7.2 inch LB</v>
      </c>
      <c r="E390" s="77">
        <f>IFERROR(__xludf.DUMMYFUNCTION("""COMPUTED_VALUE"""),4.0)</f>
        <v>4</v>
      </c>
      <c r="F390" s="77">
        <f>IFERROR(__xludf.DUMMYFUNCTION("""COMPUTED_VALUE"""),1926.0)</f>
        <v>1926</v>
      </c>
      <c r="G390" s="77">
        <f>IFERROR(__xludf.DUMMYFUNCTION("""COMPUTED_VALUE"""),18.0)</f>
        <v>18</v>
      </c>
      <c r="H390" s="77">
        <f>IFERROR(__xludf.DUMMYFUNCTION("""COMPUTED_VALUE"""),21.0)</f>
        <v>21</v>
      </c>
      <c r="I390" s="77">
        <f>IFERROR(__xludf.DUMMYFUNCTION("""COMPUTED_VALUE"""),100.0)</f>
        <v>100</v>
      </c>
      <c r="J390" s="73"/>
      <c r="K390" s="73"/>
      <c r="L390" s="73"/>
      <c r="M390" s="77">
        <f>IFERROR(__xludf.DUMMYFUNCTION("""COMPUTED_VALUE"""),0.18)</f>
        <v>0.18</v>
      </c>
      <c r="N390" s="77">
        <f>IFERROR(__xludf.DUMMYFUNCTION("""COMPUTED_VALUE"""),1.0)</f>
        <v>1</v>
      </c>
      <c r="O390" s="49"/>
      <c r="P390" s="49" t="str">
        <f>IFERROR(__xludf.DUMMYFUNCTION("""COMPUTED_VALUE"""),"Offset")</f>
        <v>Offset</v>
      </c>
      <c r="Q390" s="49" t="str">
        <f>IFERROR(__xludf.DUMMYFUNCTION("""COMPUTED_VALUE"""),"Packaging")</f>
        <v>Packaging</v>
      </c>
      <c r="R390" s="49" t="str">
        <f>IFERROR(__xludf.DUMMYFUNCTION("""COMPUTED_VALUE"""),"The Man Company")</f>
        <v>The Man Company</v>
      </c>
    </row>
    <row r="391">
      <c r="A391" s="156" t="str">
        <f>IFERROR(__xludf.DUMMYFUNCTION("""COMPUTED_VALUE"""),"https://drive.google.com/open?id=1_bG5dk-oVZjfmsVmJRyJ3edAI9NduHLg&amp;authuser=jay.agg%40gmail.com&amp;usp=drive_fs")</f>
        <v>https://drive.google.com/open?id=1_bG5dk-oVZjfmsVmJRyJ3edAI9NduHLg&amp;authuser=jay.agg%40gmail.com&amp;usp=drive_fs</v>
      </c>
      <c r="B391" s="73" t="str">
        <f>IFERROR(__xludf.DUMMYFUNCTION("""COMPUTED_VALUE"""),"The Man Company")</f>
        <v>The Man Company</v>
      </c>
      <c r="C391" s="73" t="str">
        <f>IFERROR(__xludf.DUMMYFUNCTION("""COMPUTED_VALUE"""),"Intimate Wash")</f>
        <v>Intimate Wash</v>
      </c>
      <c r="D391" s="73" t="str">
        <f>IFERROR(__xludf.DUMMYFUNCTION("""COMPUTED_VALUE"""),"47*47*146 mm | 1.85*1.85*5.75 inch LB")</f>
        <v>47*47*146 mm | 1.85*1.85*5.75 inch LB</v>
      </c>
      <c r="E391" s="77">
        <f>IFERROR(__xludf.DUMMYFUNCTION("""COMPUTED_VALUE"""),6.0)</f>
        <v>6</v>
      </c>
      <c r="F391" s="77">
        <f>IFERROR(__xludf.DUMMYFUNCTION("""COMPUTED_VALUE"""),1926.0)</f>
        <v>1926</v>
      </c>
      <c r="G391" s="77">
        <f>IFERROR(__xludf.DUMMYFUNCTION("""COMPUTED_VALUE"""),18.0)</f>
        <v>18</v>
      </c>
      <c r="H391" s="77">
        <f>IFERROR(__xludf.DUMMYFUNCTION("""COMPUTED_VALUE"""),25.0)</f>
        <v>25</v>
      </c>
      <c r="I391" s="77">
        <f>IFERROR(__xludf.DUMMYFUNCTION("""COMPUTED_VALUE"""),100.0)</f>
        <v>100</v>
      </c>
      <c r="J391" s="73"/>
      <c r="K391" s="73"/>
      <c r="L391" s="73"/>
      <c r="M391" s="77">
        <f>IFERROR(__xludf.DUMMYFUNCTION("""COMPUTED_VALUE"""),0.18)</f>
        <v>0.18</v>
      </c>
      <c r="N391" s="77">
        <f>IFERROR(__xludf.DUMMYFUNCTION("""COMPUTED_VALUE"""),1.0)</f>
        <v>1</v>
      </c>
      <c r="O391" s="49"/>
      <c r="P391" s="49" t="str">
        <f>IFERROR(__xludf.DUMMYFUNCTION("""COMPUTED_VALUE"""),"Offset")</f>
        <v>Offset</v>
      </c>
      <c r="Q391" s="49" t="str">
        <f>IFERROR(__xludf.DUMMYFUNCTION("""COMPUTED_VALUE"""),"Packaging")</f>
        <v>Packaging</v>
      </c>
      <c r="R391" s="49" t="str">
        <f>IFERROR(__xludf.DUMMYFUNCTION("""COMPUTED_VALUE"""),"The Man Company")</f>
        <v>The Man Company</v>
      </c>
    </row>
    <row r="392">
      <c r="A392" s="156" t="str">
        <f>IFERROR(__xludf.DUMMYFUNCTION("""COMPUTED_VALUE"""),"https://drive.google.com/open?id=1_bjipX7x2MhNSEBIXbia7JYSlH4hVmF5&amp;authuser=jay.agg%40gmail.com&amp;usp=drive_fs")</f>
        <v>https://drive.google.com/open?id=1_bjipX7x2MhNSEBIXbia7JYSlH4hVmF5&amp;authuser=jay.agg%40gmail.com&amp;usp=drive_fs</v>
      </c>
      <c r="B392" s="73" t="str">
        <f>IFERROR(__xludf.DUMMYFUNCTION("""COMPUTED_VALUE"""),"The Man Company")</f>
        <v>The Man Company</v>
      </c>
      <c r="C392" s="73" t="str">
        <f>IFERROR(__xludf.DUMMYFUNCTION("""COMPUTED_VALUE"""),"Anti-Dandruff Shampoo")</f>
        <v>Anti-Dandruff Shampoo</v>
      </c>
      <c r="D392" s="73" t="str">
        <f>IFERROR(__xludf.DUMMYFUNCTION("""COMPUTED_VALUE"""),"55*41*160 mm | 2.1*1.6*6.3 inch")</f>
        <v>55*41*160 mm | 2.1*1.6*6.3 inch</v>
      </c>
      <c r="E392" s="77">
        <f>IFERROR(__xludf.DUMMYFUNCTION("""COMPUTED_VALUE"""),4.0)</f>
        <v>4</v>
      </c>
      <c r="F392" s="77">
        <f>IFERROR(__xludf.DUMMYFUNCTION("""COMPUTED_VALUE"""),1926.0)</f>
        <v>1926</v>
      </c>
      <c r="G392" s="77">
        <f>IFERROR(__xludf.DUMMYFUNCTION("""COMPUTED_VALUE"""),18.0)</f>
        <v>18</v>
      </c>
      <c r="H392" s="77">
        <f>IFERROR(__xludf.DUMMYFUNCTION("""COMPUTED_VALUE"""),21.0)</f>
        <v>21</v>
      </c>
      <c r="I392" s="77">
        <f>IFERROR(__xludf.DUMMYFUNCTION("""COMPUTED_VALUE"""),100.0)</f>
        <v>100</v>
      </c>
      <c r="J392" s="73"/>
      <c r="K392" s="73"/>
      <c r="L392" s="73"/>
      <c r="M392" s="77">
        <f>IFERROR(__xludf.DUMMYFUNCTION("""COMPUTED_VALUE"""),0.1)</f>
        <v>0.1</v>
      </c>
      <c r="N392" s="77">
        <f>IFERROR(__xludf.DUMMYFUNCTION("""COMPUTED_VALUE"""),1.0)</f>
        <v>1</v>
      </c>
      <c r="O392" s="49"/>
      <c r="P392" s="49" t="str">
        <f>IFERROR(__xludf.DUMMYFUNCTION("""COMPUTED_VALUE"""),"Offset")</f>
        <v>Offset</v>
      </c>
      <c r="Q392" s="49" t="str">
        <f>IFERROR(__xludf.DUMMYFUNCTION("""COMPUTED_VALUE"""),"Packaging")</f>
        <v>Packaging</v>
      </c>
      <c r="R392" s="49" t="str">
        <f>IFERROR(__xludf.DUMMYFUNCTION("""COMPUTED_VALUE"""),"The Man Company")</f>
        <v>The Man Company</v>
      </c>
    </row>
    <row r="393">
      <c r="A393" s="156" t="str">
        <f>IFERROR(__xludf.DUMMYFUNCTION("""COMPUTED_VALUE"""),"https://drive.google.com/open?id=1_c2_sqs8mMnU28qY1YDHOp4L_mdkOnds&amp;authuser=jay.agg%40gmail.com&amp;usp=drive_fs")</f>
        <v>https://drive.google.com/open?id=1_c2_sqs8mMnU28qY1YDHOp4L_mdkOnds&amp;authuser=jay.agg%40gmail.com&amp;usp=drive_fs</v>
      </c>
      <c r="B393" s="73" t="str">
        <f>IFERROR(__xludf.DUMMYFUNCTION("""COMPUTED_VALUE"""),"The Man Company")</f>
        <v>The Man Company</v>
      </c>
      <c r="C393" s="73" t="str">
        <f>IFERROR(__xludf.DUMMYFUNCTION("""COMPUTED_VALUE"""),"Hair Styling")</f>
        <v>Hair Styling</v>
      </c>
      <c r="D393" s="73" t="str">
        <f>IFERROR(__xludf.DUMMYFUNCTION("""COMPUTED_VALUE"""),"80*80*48 mm | 3.15*3.15*1.9 inch")</f>
        <v>80*80*48 mm | 3.15*3.15*1.9 inch</v>
      </c>
      <c r="E393" s="77">
        <f>IFERROR(__xludf.DUMMYFUNCTION("""COMPUTED_VALUE"""),3.0)</f>
        <v>3</v>
      </c>
      <c r="F393" s="77">
        <f>IFERROR(__xludf.DUMMYFUNCTION("""COMPUTED_VALUE"""),1926.0)</f>
        <v>1926</v>
      </c>
      <c r="G393" s="77">
        <f>IFERROR(__xludf.DUMMYFUNCTION("""COMPUTED_VALUE"""),14.0)</f>
        <v>14</v>
      </c>
      <c r="H393" s="77">
        <f>IFERROR(__xludf.DUMMYFUNCTION("""COMPUTED_VALUE"""),22.0)</f>
        <v>22</v>
      </c>
      <c r="I393" s="77">
        <f>IFERROR(__xludf.DUMMYFUNCTION("""COMPUTED_VALUE"""),100.0)</f>
        <v>100</v>
      </c>
      <c r="J393" s="73"/>
      <c r="K393" s="73"/>
      <c r="L393" s="73"/>
      <c r="M393" s="77">
        <f>IFERROR(__xludf.DUMMYFUNCTION("""COMPUTED_VALUE"""),0.1)</f>
        <v>0.1</v>
      </c>
      <c r="N393" s="77">
        <f>IFERROR(__xludf.DUMMYFUNCTION("""COMPUTED_VALUE"""),1.0)</f>
        <v>1</v>
      </c>
      <c r="O393" s="49"/>
      <c r="P393" s="49" t="str">
        <f>IFERROR(__xludf.DUMMYFUNCTION("""COMPUTED_VALUE"""),"Offset")</f>
        <v>Offset</v>
      </c>
      <c r="Q393" s="49" t="str">
        <f>IFERROR(__xludf.DUMMYFUNCTION("""COMPUTED_VALUE"""),"Packaging")</f>
        <v>Packaging</v>
      </c>
      <c r="R393" s="49" t="str">
        <f>IFERROR(__xludf.DUMMYFUNCTION("""COMPUTED_VALUE"""),"The Man Company")</f>
        <v>The Man Company</v>
      </c>
    </row>
    <row r="394">
      <c r="A394" s="156" t="str">
        <f>IFERROR(__xludf.DUMMYFUNCTION("""COMPUTED_VALUE"""),"https://drive.google.com/open?id=1_cW_IN9ElvoyVE5Qlt9lOIDknazPtSha&amp;authuser=jay.agg%40gmail.com&amp;usp=drive_fs")</f>
        <v>https://drive.google.com/open?id=1_cW_IN9ElvoyVE5Qlt9lOIDknazPtSha&amp;authuser=jay.agg%40gmail.com&amp;usp=drive_fs</v>
      </c>
      <c r="B394" s="73" t="str">
        <f>IFERROR(__xludf.DUMMYFUNCTION("""COMPUTED_VALUE"""),"The Man Company")</f>
        <v>The Man Company</v>
      </c>
      <c r="C394" s="73" t="str">
        <f>IFERROR(__xludf.DUMMYFUNCTION("""COMPUTED_VALUE"""),"Hair Colour Shampoo")</f>
        <v>Hair Colour Shampoo</v>
      </c>
      <c r="D394" s="73" t="str">
        <f>IFERROR(__xludf.DUMMYFUNCTION("""COMPUTED_VALUE"""),"93*32*125 mm | 3.6*1.2*5 inch")</f>
        <v>93*32*125 mm | 3.6*1.2*5 inch</v>
      </c>
      <c r="E394" s="77">
        <f>IFERROR(__xludf.DUMMYFUNCTION("""COMPUTED_VALUE"""),4.0)</f>
        <v>4</v>
      </c>
      <c r="F394" s="77">
        <f>IFERROR(__xludf.DUMMYFUNCTION("""COMPUTED_VALUE"""),1926.0)</f>
        <v>1926</v>
      </c>
      <c r="G394" s="77">
        <f>IFERROR(__xludf.DUMMYFUNCTION("""COMPUTED_VALUE"""),18.0)</f>
        <v>18</v>
      </c>
      <c r="H394" s="77">
        <f>IFERROR(__xludf.DUMMYFUNCTION("""COMPUTED_VALUE"""),21.0)</f>
        <v>21</v>
      </c>
      <c r="I394" s="77">
        <f>IFERROR(__xludf.DUMMYFUNCTION("""COMPUTED_VALUE"""),100.0)</f>
        <v>100</v>
      </c>
      <c r="J394" s="73"/>
      <c r="K394" s="73"/>
      <c r="L394" s="73"/>
      <c r="M394" s="77">
        <f>IFERROR(__xludf.DUMMYFUNCTION("""COMPUTED_VALUE"""),0.1)</f>
        <v>0.1</v>
      </c>
      <c r="N394" s="77">
        <f>IFERROR(__xludf.DUMMYFUNCTION("""COMPUTED_VALUE"""),1.0)</f>
        <v>1</v>
      </c>
      <c r="O394" s="49"/>
      <c r="P394" s="49" t="str">
        <f>IFERROR(__xludf.DUMMYFUNCTION("""COMPUTED_VALUE"""),"Offset")</f>
        <v>Offset</v>
      </c>
      <c r="Q394" s="49" t="str">
        <f>IFERROR(__xludf.DUMMYFUNCTION("""COMPUTED_VALUE"""),"Packaging")</f>
        <v>Packaging</v>
      </c>
      <c r="R394" s="49" t="str">
        <f>IFERROR(__xludf.DUMMYFUNCTION("""COMPUTED_VALUE"""),"The Man Company")</f>
        <v>The Man Company</v>
      </c>
    </row>
    <row r="395">
      <c r="A395" s="156" t="str">
        <f>IFERROR(__xludf.DUMMYFUNCTION("""COMPUTED_VALUE"""),"https://drive.google.com/open?id=1_ghqw-008C0SAPguRfxYgjWbkqiOrFib&amp;authuser=jay.agg%40gmail.com&amp;usp=drive_fs")</f>
        <v>https://drive.google.com/open?id=1_ghqw-008C0SAPguRfxYgjWbkqiOrFib&amp;authuser=jay.agg%40gmail.com&amp;usp=drive_fs</v>
      </c>
      <c r="B395" s="73" t="str">
        <f>IFERROR(__xludf.DUMMYFUNCTION("""COMPUTED_VALUE"""),"The Man Company")</f>
        <v>The Man Company</v>
      </c>
      <c r="C395" s="73" t="str">
        <f>IFERROR(__xludf.DUMMYFUNCTION("""COMPUTED_VALUE"""),"Noir")</f>
        <v>Noir</v>
      </c>
      <c r="D395" s="73" t="str">
        <f>IFERROR(__xludf.DUMMYFUNCTION("""COMPUTED_VALUE"""),"109*42*134 mm | 4.2*1.6*5.3 inch")</f>
        <v>109*42*134 mm | 4.2*1.6*5.3 inch</v>
      </c>
      <c r="E395" s="77">
        <f>IFERROR(__xludf.DUMMYFUNCTION("""COMPUTED_VALUE"""),4.0)</f>
        <v>4</v>
      </c>
      <c r="F395" s="77">
        <f>IFERROR(__xludf.DUMMYFUNCTION("""COMPUTED_VALUE"""),1926.0)</f>
        <v>1926</v>
      </c>
      <c r="G395" s="77">
        <f>IFERROR(__xludf.DUMMYFUNCTION("""COMPUTED_VALUE"""),18.0)</f>
        <v>18</v>
      </c>
      <c r="H395" s="77">
        <f>IFERROR(__xludf.DUMMYFUNCTION("""COMPUTED_VALUE"""),25.0)</f>
        <v>25</v>
      </c>
      <c r="I395" s="77">
        <f>IFERROR(__xludf.DUMMYFUNCTION("""COMPUTED_VALUE"""),100.0)</f>
        <v>100</v>
      </c>
      <c r="J395" s="73"/>
      <c r="K395" s="73"/>
      <c r="L395" s="73"/>
      <c r="M395" s="77">
        <f>IFERROR(__xludf.DUMMYFUNCTION("""COMPUTED_VALUE"""),0.1)</f>
        <v>0.1</v>
      </c>
      <c r="N395" s="77">
        <f>IFERROR(__xludf.DUMMYFUNCTION("""COMPUTED_VALUE"""),1.0)</f>
        <v>1</v>
      </c>
      <c r="O395" s="49"/>
      <c r="P395" s="49" t="str">
        <f>IFERROR(__xludf.DUMMYFUNCTION("""COMPUTED_VALUE"""),"Offset")</f>
        <v>Offset</v>
      </c>
      <c r="Q395" s="49" t="str">
        <f>IFERROR(__xludf.DUMMYFUNCTION("""COMPUTED_VALUE"""),"Packaging")</f>
        <v>Packaging</v>
      </c>
      <c r="R395" s="49" t="str">
        <f>IFERROR(__xludf.DUMMYFUNCTION("""COMPUTED_VALUE"""),"The Man Company")</f>
        <v>The Man Company</v>
      </c>
    </row>
    <row r="396">
      <c r="A396" s="156" t="str">
        <f>IFERROR(__xludf.DUMMYFUNCTION("""COMPUTED_VALUE"""),"https://drive.google.com/open?id=1_nQbVl7vZnCTA2AZYxJvVHoZ_MuueY01&amp;authuser=jay.agg%40gmail.com&amp;usp=drive_fs")</f>
        <v>https://drive.google.com/open?id=1_nQbVl7vZnCTA2AZYxJvVHoZ_MuueY01&amp;authuser=jay.agg%40gmail.com&amp;usp=drive_fs</v>
      </c>
      <c r="B396" s="73" t="str">
        <f>IFERROR(__xludf.DUMMYFUNCTION("""COMPUTED_VALUE"""),"The Man Company")</f>
        <v>The Man Company</v>
      </c>
      <c r="C396" s="73" t="str">
        <f>IFERROR(__xludf.DUMMYFUNCTION("""COMPUTED_VALUE"""),"Charcoal")</f>
        <v>Charcoal</v>
      </c>
      <c r="D396" s="73" t="str">
        <f>IFERROR(__xludf.DUMMYFUNCTION("""COMPUTED_VALUE"""),"66*31*66 mm | 2.6*1.2*2.6 inch")</f>
        <v>66*31*66 mm | 2.6*1.2*2.6 inch</v>
      </c>
      <c r="E396" s="77">
        <f>IFERROR(__xludf.DUMMYFUNCTION("""COMPUTED_VALUE"""),8.0)</f>
        <v>8</v>
      </c>
      <c r="F396" s="77">
        <f>IFERROR(__xludf.DUMMYFUNCTION("""COMPUTED_VALUE"""),1926.0)</f>
        <v>1926</v>
      </c>
      <c r="G396" s="77">
        <f>IFERROR(__xludf.DUMMYFUNCTION("""COMPUTED_VALUE"""),18.0)</f>
        <v>18</v>
      </c>
      <c r="H396" s="77">
        <f>IFERROR(__xludf.DUMMYFUNCTION("""COMPUTED_VALUE"""),21.0)</f>
        <v>21</v>
      </c>
      <c r="I396" s="77">
        <f>IFERROR(__xludf.DUMMYFUNCTION("""COMPUTED_VALUE"""),100.0)</f>
        <v>100</v>
      </c>
      <c r="J396" s="73"/>
      <c r="K396" s="73"/>
      <c r="L396" s="73"/>
      <c r="M396" s="77">
        <f>IFERROR(__xludf.DUMMYFUNCTION("""COMPUTED_VALUE"""),0.1)</f>
        <v>0.1</v>
      </c>
      <c r="N396" s="77">
        <f>IFERROR(__xludf.DUMMYFUNCTION("""COMPUTED_VALUE"""),1.0)</f>
        <v>1</v>
      </c>
      <c r="O396" s="49"/>
      <c r="P396" s="49" t="str">
        <f>IFERROR(__xludf.DUMMYFUNCTION("""COMPUTED_VALUE"""),"Offset")</f>
        <v>Offset</v>
      </c>
      <c r="Q396" s="49" t="str">
        <f>IFERROR(__xludf.DUMMYFUNCTION("""COMPUTED_VALUE"""),"Packaging")</f>
        <v>Packaging</v>
      </c>
      <c r="R396" s="49" t="str">
        <f>IFERROR(__xludf.DUMMYFUNCTION("""COMPUTED_VALUE"""),"The Man Company")</f>
        <v>The Man Company</v>
      </c>
    </row>
    <row r="397">
      <c r="A397" s="156" t="str">
        <f>IFERROR(__xludf.DUMMYFUNCTION("""COMPUTED_VALUE"""),"https://drive.google.com/open?id=1_wSMFbVvRRZ5SvhJPkprKd1ALAsnTyMy&amp;authuser=jay.agg%40gmail.com&amp;usp=drive_fs")</f>
        <v>https://drive.google.com/open?id=1_wSMFbVvRRZ5SvhJPkprKd1ALAsnTyMy&amp;authuser=jay.agg%40gmail.com&amp;usp=drive_fs</v>
      </c>
      <c r="B397" s="73" t="str">
        <f>IFERROR(__xludf.DUMMYFUNCTION("""COMPUTED_VALUE"""),"The Man Company")</f>
        <v>The Man Company</v>
      </c>
      <c r="C397" s="73" t="str">
        <f>IFERROR(__xludf.DUMMYFUNCTION("""COMPUTED_VALUE"""),"Post Shave Lotion")</f>
        <v>Post Shave Lotion</v>
      </c>
      <c r="D397" s="73" t="str">
        <f>IFERROR(__xludf.DUMMYFUNCTION("""COMPUTED_VALUE"""),"39*39*124 mm | 1.5*1.5*4.9 inch")</f>
        <v>39*39*124 mm | 1.5*1.5*4.9 inch</v>
      </c>
      <c r="E397" s="77">
        <f>IFERROR(__xludf.DUMMYFUNCTION("""COMPUTED_VALUE"""),6.0)</f>
        <v>6</v>
      </c>
      <c r="F397" s="77">
        <f>IFERROR(__xludf.DUMMYFUNCTION("""COMPUTED_VALUE"""),1926.0)</f>
        <v>1926</v>
      </c>
      <c r="G397" s="77">
        <f>IFERROR(__xludf.DUMMYFUNCTION("""COMPUTED_VALUE"""),18.0)</f>
        <v>18</v>
      </c>
      <c r="H397" s="77">
        <f>IFERROR(__xludf.DUMMYFUNCTION("""COMPUTED_VALUE"""),21.0)</f>
        <v>21</v>
      </c>
      <c r="I397" s="77">
        <f>IFERROR(__xludf.DUMMYFUNCTION("""COMPUTED_VALUE"""),100.0)</f>
        <v>100</v>
      </c>
      <c r="J397" s="73"/>
      <c r="K397" s="73"/>
      <c r="L397" s="73"/>
      <c r="M397" s="77">
        <f>IFERROR(__xludf.DUMMYFUNCTION("""COMPUTED_VALUE"""),0.1)</f>
        <v>0.1</v>
      </c>
      <c r="N397" s="77">
        <f>IFERROR(__xludf.DUMMYFUNCTION("""COMPUTED_VALUE"""),1.0)</f>
        <v>1</v>
      </c>
      <c r="O397" s="49"/>
      <c r="P397" s="49" t="str">
        <f>IFERROR(__xludf.DUMMYFUNCTION("""COMPUTED_VALUE"""),"Offset")</f>
        <v>Offset</v>
      </c>
      <c r="Q397" s="49" t="str">
        <f>IFERROR(__xludf.DUMMYFUNCTION("""COMPUTED_VALUE"""),"Packaging")</f>
        <v>Packaging</v>
      </c>
      <c r="R397" s="49" t="str">
        <f>IFERROR(__xludf.DUMMYFUNCTION("""COMPUTED_VALUE"""),"The Man Company")</f>
        <v>The Man Company</v>
      </c>
    </row>
    <row r="398">
      <c r="A398" s="156" t="str">
        <f>IFERROR(__xludf.DUMMYFUNCTION("""COMPUTED_VALUE"""),"https://drive.google.com/open?id=1a0LPu0t4RTEbAQxmKftl5MY9Hx9E2v3s&amp;authuser=jay.agg%40gmail.com&amp;usp=drive_fs")</f>
        <v>https://drive.google.com/open?id=1a0LPu0t4RTEbAQxmKftl5MY9Hx9E2v3s&amp;authuser=jay.agg%40gmail.com&amp;usp=drive_fs</v>
      </c>
      <c r="B398" s="73" t="str">
        <f>IFERROR(__xludf.DUMMYFUNCTION("""COMPUTED_VALUE"""),"The Man Company")</f>
        <v>The Man Company</v>
      </c>
      <c r="C398" s="73" t="str">
        <f>IFERROR(__xludf.DUMMYFUNCTION("""COMPUTED_VALUE"""),"Black")</f>
        <v>Black</v>
      </c>
      <c r="D398" s="73" t="str">
        <f>IFERROR(__xludf.DUMMYFUNCTION("""COMPUTED_VALUE"""),"60*26*105 mm | 2.3*1*4.1 inch")</f>
        <v>60*26*105 mm | 2.3*1*4.1 inch</v>
      </c>
      <c r="E398" s="77">
        <f>IFERROR(__xludf.DUMMYFUNCTION("""COMPUTED_VALUE"""),8.0)</f>
        <v>8</v>
      </c>
      <c r="F398" s="77">
        <f>IFERROR(__xludf.DUMMYFUNCTION("""COMPUTED_VALUE"""),1926.0)</f>
        <v>1926</v>
      </c>
      <c r="G398" s="77">
        <f>IFERROR(__xludf.DUMMYFUNCTION("""COMPUTED_VALUE"""),15.0)</f>
        <v>15</v>
      </c>
      <c r="H398" s="77">
        <f>IFERROR(__xludf.DUMMYFUNCTION("""COMPUTED_VALUE"""),25.0)</f>
        <v>25</v>
      </c>
      <c r="I398" s="77">
        <f>IFERROR(__xludf.DUMMYFUNCTION("""COMPUTED_VALUE"""),100.0)</f>
        <v>100</v>
      </c>
      <c r="J398" s="73"/>
      <c r="K398" s="73"/>
      <c r="L398" s="73"/>
      <c r="M398" s="77">
        <f>IFERROR(__xludf.DUMMYFUNCTION("""COMPUTED_VALUE"""),0.1)</f>
        <v>0.1</v>
      </c>
      <c r="N398" s="77">
        <f>IFERROR(__xludf.DUMMYFUNCTION("""COMPUTED_VALUE"""),1.0)</f>
        <v>1</v>
      </c>
      <c r="O398" s="49"/>
      <c r="P398" s="49" t="str">
        <f>IFERROR(__xludf.DUMMYFUNCTION("""COMPUTED_VALUE"""),"Offset")</f>
        <v>Offset</v>
      </c>
      <c r="Q398" s="49" t="str">
        <f>IFERROR(__xludf.DUMMYFUNCTION("""COMPUTED_VALUE"""),"Packaging")</f>
        <v>Packaging</v>
      </c>
      <c r="R398" s="49" t="str">
        <f>IFERROR(__xludf.DUMMYFUNCTION("""COMPUTED_VALUE"""),"The Man Company")</f>
        <v>The Man Company</v>
      </c>
    </row>
    <row r="399">
      <c r="A399" s="156" t="str">
        <f>IFERROR(__xludf.DUMMYFUNCTION("""COMPUTED_VALUE"""),"https://drive.google.com/open?id=1HxuPm_4BYmig1jaNn7gmPLBidmhCzH1G&amp;authuser=jay.agg%40gmail.com&amp;usp=drive_fs")</f>
        <v>https://drive.google.com/open?id=1HxuPm_4BYmig1jaNn7gmPLBidmhCzH1G&amp;authuser=jay.agg%40gmail.com&amp;usp=drive_fs</v>
      </c>
      <c r="B399" s="73" t="str">
        <f>IFERROR(__xludf.DUMMYFUNCTION("""COMPUTED_VALUE"""),"Cosmetic")</f>
        <v>Cosmetic</v>
      </c>
      <c r="C399" s="73" t="str">
        <f>IFERROR(__xludf.DUMMYFUNCTION("""COMPUTED_VALUE"""),"Lipstick")</f>
        <v>Lipstick</v>
      </c>
      <c r="D399" s="73" t="str">
        <f>IFERROR(__xludf.DUMMYFUNCTION("""COMPUTED_VALUE"""),"24*24*75 mm")</f>
        <v>24*24*75 mm</v>
      </c>
      <c r="E399" s="77">
        <f>IFERROR(__xludf.DUMMYFUNCTION("""COMPUTED_VALUE"""),20.0)</f>
        <v>20</v>
      </c>
      <c r="F399" s="77">
        <f>IFERROR(__xludf.DUMMYFUNCTION("""COMPUTED_VALUE"""),1926.0)</f>
        <v>1926</v>
      </c>
      <c r="G399" s="77">
        <f>IFERROR(__xludf.DUMMYFUNCTION("""COMPUTED_VALUE"""),18.0)</f>
        <v>18</v>
      </c>
      <c r="H399" s="77">
        <f>IFERROR(__xludf.DUMMYFUNCTION("""COMPUTED_VALUE"""),25.0)</f>
        <v>25</v>
      </c>
      <c r="I399" s="77">
        <f>IFERROR(__xludf.DUMMYFUNCTION("""COMPUTED_VALUE"""),100.0)</f>
        <v>100</v>
      </c>
      <c r="J399" s="73"/>
      <c r="K399" s="73"/>
      <c r="L399" s="73"/>
      <c r="M399" s="77">
        <f>IFERROR(__xludf.DUMMYFUNCTION("""COMPUTED_VALUE"""),0.1)</f>
        <v>0.1</v>
      </c>
      <c r="N399" s="77">
        <f>IFERROR(__xludf.DUMMYFUNCTION("""COMPUTED_VALUE"""),1.0)</f>
        <v>1</v>
      </c>
      <c r="O399" s="49"/>
      <c r="P399" s="49" t="str">
        <f>IFERROR(__xludf.DUMMYFUNCTION("""COMPUTED_VALUE"""),"Offset")</f>
        <v>Offset</v>
      </c>
      <c r="Q399" s="49" t="str">
        <f>IFERROR(__xludf.DUMMYFUNCTION("""COMPUTED_VALUE"""),"Packaging")</f>
        <v>Packaging</v>
      </c>
      <c r="R399" s="49" t="str">
        <f>IFERROR(__xludf.DUMMYFUNCTION("""COMPUTED_VALUE"""),"Cosmetic")</f>
        <v>Cosmetic</v>
      </c>
    </row>
    <row r="400">
      <c r="A400" s="156" t="str">
        <f>IFERROR(__xludf.DUMMYFUNCTION("""COMPUTED_VALUE"""),"https://drive.google.com/open?id=1HxUMN1wADY4H7YVeOtmQNqb4ieEbXd07&amp;authuser=jay.agg%40gmail.com&amp;usp=drive_fs")</f>
        <v>https://drive.google.com/open?id=1HxUMN1wADY4H7YVeOtmQNqb4ieEbXd07&amp;authuser=jay.agg%40gmail.com&amp;usp=drive_fs</v>
      </c>
      <c r="B400" s="73" t="str">
        <f>IFERROR(__xludf.DUMMYFUNCTION("""COMPUTED_VALUE"""),"Cosmetic")</f>
        <v>Cosmetic</v>
      </c>
      <c r="C400" s="73" t="str">
        <f>IFERROR(__xludf.DUMMYFUNCTION("""COMPUTED_VALUE"""),"Heena Box")</f>
        <v>Heena Box</v>
      </c>
      <c r="D400" s="73" t="str">
        <f>IFERROR(__xludf.DUMMYFUNCTION("""COMPUTED_VALUE"""),"100*25.4*150 mm")</f>
        <v>100*25.4*150 mm</v>
      </c>
      <c r="E400" s="77">
        <f>IFERROR(__xludf.DUMMYFUNCTION("""COMPUTED_VALUE"""),4.0)</f>
        <v>4</v>
      </c>
      <c r="F400" s="77">
        <f>IFERROR(__xludf.DUMMYFUNCTION("""COMPUTED_VALUE"""),1926.0)</f>
        <v>1926</v>
      </c>
      <c r="G400" s="77">
        <f>IFERROR(__xludf.DUMMYFUNCTION("""COMPUTED_VALUE"""),18.0)</f>
        <v>18</v>
      </c>
      <c r="H400" s="77">
        <f>IFERROR(__xludf.DUMMYFUNCTION("""COMPUTED_VALUE"""),21.0)</f>
        <v>21</v>
      </c>
      <c r="I400" s="77">
        <f>IFERROR(__xludf.DUMMYFUNCTION("""COMPUTED_VALUE"""),100.0)</f>
        <v>100</v>
      </c>
      <c r="J400" s="73"/>
      <c r="K400" s="73"/>
      <c r="L400" s="73"/>
      <c r="M400" s="77">
        <f>IFERROR(__xludf.DUMMYFUNCTION("""COMPUTED_VALUE"""),0.1)</f>
        <v>0.1</v>
      </c>
      <c r="N400" s="77">
        <f>IFERROR(__xludf.DUMMYFUNCTION("""COMPUTED_VALUE"""),1.0)</f>
        <v>1</v>
      </c>
      <c r="O400" s="49"/>
      <c r="P400" s="49" t="str">
        <f>IFERROR(__xludf.DUMMYFUNCTION("""COMPUTED_VALUE"""),"Offset")</f>
        <v>Offset</v>
      </c>
      <c r="Q400" s="49" t="str">
        <f>IFERROR(__xludf.DUMMYFUNCTION("""COMPUTED_VALUE"""),"Packaging")</f>
        <v>Packaging</v>
      </c>
      <c r="R400" s="49" t="str">
        <f>IFERROR(__xludf.DUMMYFUNCTION("""COMPUTED_VALUE"""),"Cosmetic")</f>
        <v>Cosmetic</v>
      </c>
    </row>
    <row r="401">
      <c r="A401" s="156" t="str">
        <f>IFERROR(__xludf.DUMMYFUNCTION("""COMPUTED_VALUE"""),"https://drive.google.com/open?id=1jbpmasc90zpUh12jNmq8-YmZ2QoRyQ-7&amp;authuser=jay.agg%40gmail.com&amp;usp=drive_fs")</f>
        <v>https://drive.google.com/open?id=1jbpmasc90zpUh12jNmq8-YmZ2QoRyQ-7&amp;authuser=jay.agg%40gmail.com&amp;usp=drive_fs</v>
      </c>
      <c r="B401" s="73" t="str">
        <f>IFERROR(__xludf.DUMMYFUNCTION("""COMPUTED_VALUE"""),"Cosmetic")</f>
        <v>Cosmetic</v>
      </c>
      <c r="C401" s="73" t="str">
        <f>IFERROR(__xludf.DUMMYFUNCTION("""COMPUTED_VALUE"""),"Face Wash")</f>
        <v>Face Wash</v>
      </c>
      <c r="D401" s="73" t="str">
        <f>IFERROR(__xludf.DUMMYFUNCTION("""COMPUTED_VALUE"""),"70*70*40 mm IL")</f>
        <v>70*70*40 mm IL</v>
      </c>
      <c r="E401" s="77">
        <f>IFERROR(__xludf.DUMMYFUNCTION("""COMPUTED_VALUE"""),6.0)</f>
        <v>6</v>
      </c>
      <c r="F401" s="77">
        <f>IFERROR(__xludf.DUMMYFUNCTION("""COMPUTED_VALUE"""),1926.0)</f>
        <v>1926</v>
      </c>
      <c r="G401" s="77">
        <f>IFERROR(__xludf.DUMMYFUNCTION("""COMPUTED_VALUE"""),18.0)</f>
        <v>18</v>
      </c>
      <c r="H401" s="77">
        <f>IFERROR(__xludf.DUMMYFUNCTION("""COMPUTED_VALUE"""),23.0)</f>
        <v>23</v>
      </c>
      <c r="I401" s="77">
        <f>IFERROR(__xludf.DUMMYFUNCTION("""COMPUTED_VALUE"""),100.0)</f>
        <v>100</v>
      </c>
      <c r="J401" s="73"/>
      <c r="K401" s="73"/>
      <c r="L401" s="73"/>
      <c r="M401" s="77">
        <f>IFERROR(__xludf.DUMMYFUNCTION("""COMPUTED_VALUE"""),0.1)</f>
        <v>0.1</v>
      </c>
      <c r="N401" s="77">
        <f>IFERROR(__xludf.DUMMYFUNCTION("""COMPUTED_VALUE"""),1.0)</f>
        <v>1</v>
      </c>
      <c r="O401" s="49"/>
      <c r="P401" s="49" t="str">
        <f>IFERROR(__xludf.DUMMYFUNCTION("""COMPUTED_VALUE"""),"Offset")</f>
        <v>Offset</v>
      </c>
      <c r="Q401" s="49" t="str">
        <f>IFERROR(__xludf.DUMMYFUNCTION("""COMPUTED_VALUE"""),"Packaging")</f>
        <v>Packaging</v>
      </c>
      <c r="R401" s="49" t="str">
        <f>IFERROR(__xludf.DUMMYFUNCTION("""COMPUTED_VALUE"""),"Cosmetic")</f>
        <v>Cosmetic</v>
      </c>
    </row>
    <row r="402">
      <c r="A402" s="156" t="str">
        <f>IFERROR(__xludf.DUMMYFUNCTION("""COMPUTED_VALUE"""),"https://drive.google.com/open?id=1nBpOD7wogN8y_SeL4z1GfWLoWactrCyf&amp;authuser=jay.agg%40gmail.com&amp;usp=drive_fs")</f>
        <v>https://drive.google.com/open?id=1nBpOD7wogN8y_SeL4z1GfWLoWactrCyf&amp;authuser=jay.agg%40gmail.com&amp;usp=drive_fs</v>
      </c>
      <c r="B402" s="73" t="str">
        <f>IFERROR(__xludf.DUMMYFUNCTION("""COMPUTED_VALUE"""),"Cosmetic")</f>
        <v>Cosmetic</v>
      </c>
      <c r="C402" s="73" t="str">
        <f>IFERROR(__xludf.DUMMYFUNCTION("""COMPUTED_VALUE"""),"Hair Remover")</f>
        <v>Hair Remover</v>
      </c>
      <c r="D402" s="73" t="str">
        <f>IFERROR(__xludf.DUMMYFUNCTION("""COMPUTED_VALUE"""),"100*35*140 mm IL")</f>
        <v>100*35*140 mm IL</v>
      </c>
      <c r="E402" s="77">
        <f>IFERROR(__xludf.DUMMYFUNCTION("""COMPUTED_VALUE"""),4.0)</f>
        <v>4</v>
      </c>
      <c r="F402" s="77">
        <f>IFERROR(__xludf.DUMMYFUNCTION("""COMPUTED_VALUE"""),1926.0)</f>
        <v>1926</v>
      </c>
      <c r="G402" s="77">
        <f>IFERROR(__xludf.DUMMYFUNCTION("""COMPUTED_VALUE"""),18.0)</f>
        <v>18</v>
      </c>
      <c r="H402" s="77">
        <f>IFERROR(__xludf.DUMMYFUNCTION("""COMPUTED_VALUE"""),23.0)</f>
        <v>23</v>
      </c>
      <c r="I402" s="77">
        <f>IFERROR(__xludf.DUMMYFUNCTION("""COMPUTED_VALUE"""),100.0)</f>
        <v>100</v>
      </c>
      <c r="J402" s="73"/>
      <c r="K402" s="73"/>
      <c r="L402" s="73"/>
      <c r="M402" s="77">
        <f>IFERROR(__xludf.DUMMYFUNCTION("""COMPUTED_VALUE"""),0.1)</f>
        <v>0.1</v>
      </c>
      <c r="N402" s="77">
        <f>IFERROR(__xludf.DUMMYFUNCTION("""COMPUTED_VALUE"""),1.0)</f>
        <v>1</v>
      </c>
      <c r="O402" s="49"/>
      <c r="P402" s="49" t="str">
        <f>IFERROR(__xludf.DUMMYFUNCTION("""COMPUTED_VALUE"""),"Offset")</f>
        <v>Offset</v>
      </c>
      <c r="Q402" s="49" t="str">
        <f>IFERROR(__xludf.DUMMYFUNCTION("""COMPUTED_VALUE"""),"Packaging")</f>
        <v>Packaging</v>
      </c>
      <c r="R402" s="49" t="str">
        <f>IFERROR(__xludf.DUMMYFUNCTION("""COMPUTED_VALUE"""),"Cosmetic")</f>
        <v>Cosmetic</v>
      </c>
    </row>
    <row r="403">
      <c r="A403" s="156" t="str">
        <f>IFERROR(__xludf.DUMMYFUNCTION("""COMPUTED_VALUE"""),"https://drive.google.com/open?id=19oBZIR842KluHNbIkNJj5FWpBAyoudxy&amp;authuser=jay.agg%40gmail.com&amp;usp=drive_fs")</f>
        <v>https://drive.google.com/open?id=19oBZIR842KluHNbIkNJj5FWpBAyoudxy&amp;authuser=jay.agg%40gmail.com&amp;usp=drive_fs</v>
      </c>
      <c r="B403" s="73" t="str">
        <f>IFERROR(__xludf.DUMMYFUNCTION("""COMPUTED_VALUE"""),"Cosmetic")</f>
        <v>Cosmetic</v>
      </c>
      <c r="C403" s="73" t="str">
        <f>IFERROR(__xludf.DUMMYFUNCTION("""COMPUTED_VALUE"""),"Misc")</f>
        <v>Misc</v>
      </c>
      <c r="D403" s="73" t="str">
        <f>IFERROR(__xludf.DUMMYFUNCTION("""COMPUTED_VALUE"""),"46*46*166 mm")</f>
        <v>46*46*166 mm</v>
      </c>
      <c r="E403" s="77">
        <f>IFERROR(__xludf.DUMMYFUNCTION("""COMPUTED_VALUE"""),4.0)</f>
        <v>4</v>
      </c>
      <c r="F403" s="77">
        <f>IFERROR(__xludf.DUMMYFUNCTION("""COMPUTED_VALUE"""),1926.0)</f>
        <v>1926</v>
      </c>
      <c r="G403" s="77">
        <f>IFERROR(__xludf.DUMMYFUNCTION("""COMPUTED_VALUE"""),15.75)</f>
        <v>15.75</v>
      </c>
      <c r="H403" s="77">
        <f>IFERROR(__xludf.DUMMYFUNCTION("""COMPUTED_VALUE"""),20.75)</f>
        <v>20.75</v>
      </c>
      <c r="I403" s="77">
        <f>IFERROR(__xludf.DUMMYFUNCTION("""COMPUTED_VALUE"""),100.0)</f>
        <v>100</v>
      </c>
      <c r="J403" s="73"/>
      <c r="K403" s="73"/>
      <c r="L403" s="73"/>
      <c r="M403" s="77">
        <f>IFERROR(__xludf.DUMMYFUNCTION("""COMPUTED_VALUE"""),0.1)</f>
        <v>0.1</v>
      </c>
      <c r="N403" s="77">
        <f>IFERROR(__xludf.DUMMYFUNCTION("""COMPUTED_VALUE"""),1.0)</f>
        <v>1</v>
      </c>
      <c r="O403" s="49"/>
      <c r="P403" s="49" t="str">
        <f>IFERROR(__xludf.DUMMYFUNCTION("""COMPUTED_VALUE"""),"Offset")</f>
        <v>Offset</v>
      </c>
      <c r="Q403" s="49" t="str">
        <f>IFERROR(__xludf.DUMMYFUNCTION("""COMPUTED_VALUE"""),"Packaging")</f>
        <v>Packaging</v>
      </c>
      <c r="R403" s="49" t="str">
        <f>IFERROR(__xludf.DUMMYFUNCTION("""COMPUTED_VALUE"""),"Cosmetic")</f>
        <v>Cosmetic</v>
      </c>
    </row>
    <row r="404">
      <c r="A404" s="156" t="str">
        <f>IFERROR(__xludf.DUMMYFUNCTION("""COMPUTED_VALUE"""),"https://drive.google.com/open?id=19oupri5lvTjycfL7Je9qgfXwwvcG2J43&amp;authuser=jay.agg%40gmail.com&amp;usp=drive_fs")</f>
        <v>https://drive.google.com/open?id=19oupri5lvTjycfL7Je9qgfXwwvcG2J43&amp;authuser=jay.agg%40gmail.com&amp;usp=drive_fs</v>
      </c>
      <c r="B404" s="73" t="str">
        <f>IFERROR(__xludf.DUMMYFUNCTION("""COMPUTED_VALUE"""),"Cosmetic")</f>
        <v>Cosmetic</v>
      </c>
      <c r="C404" s="73" t="str">
        <f>IFERROR(__xludf.DUMMYFUNCTION("""COMPUTED_VALUE"""),"Misc")</f>
        <v>Misc</v>
      </c>
      <c r="D404" s="73" t="str">
        <f>IFERROR(__xludf.DUMMYFUNCTION("""COMPUTED_VALUE"""),"72*72*42 mm")</f>
        <v>72*72*42 mm</v>
      </c>
      <c r="E404" s="77">
        <f>IFERROR(__xludf.DUMMYFUNCTION("""COMPUTED_VALUE"""),4.0)</f>
        <v>4</v>
      </c>
      <c r="F404" s="77">
        <f>IFERROR(__xludf.DUMMYFUNCTION("""COMPUTED_VALUE"""),1926.0)</f>
        <v>1926</v>
      </c>
      <c r="G404" s="77">
        <f>IFERROR(__xludf.DUMMYFUNCTION("""COMPUTED_VALUE"""),15.0)</f>
        <v>15</v>
      </c>
      <c r="H404" s="77">
        <f>IFERROR(__xludf.DUMMYFUNCTION("""COMPUTED_VALUE"""),25.0)</f>
        <v>25</v>
      </c>
      <c r="I404" s="77">
        <f>IFERROR(__xludf.DUMMYFUNCTION("""COMPUTED_VALUE"""),100.0)</f>
        <v>100</v>
      </c>
      <c r="J404" s="73"/>
      <c r="K404" s="73"/>
      <c r="L404" s="73"/>
      <c r="M404" s="77">
        <f>IFERROR(__xludf.DUMMYFUNCTION("""COMPUTED_VALUE"""),0.1)</f>
        <v>0.1</v>
      </c>
      <c r="N404" s="77">
        <f>IFERROR(__xludf.DUMMYFUNCTION("""COMPUTED_VALUE"""),1.0)</f>
        <v>1</v>
      </c>
      <c r="O404" s="49"/>
      <c r="P404" s="49" t="str">
        <f>IFERROR(__xludf.DUMMYFUNCTION("""COMPUTED_VALUE"""),"Offset")</f>
        <v>Offset</v>
      </c>
      <c r="Q404" s="49" t="str">
        <f>IFERROR(__xludf.DUMMYFUNCTION("""COMPUTED_VALUE"""),"Packaging")</f>
        <v>Packaging</v>
      </c>
      <c r="R404" s="49" t="str">
        <f>IFERROR(__xludf.DUMMYFUNCTION("""COMPUTED_VALUE"""),"Cosmetic")</f>
        <v>Cosmetic</v>
      </c>
    </row>
    <row r="405">
      <c r="A405" s="156" t="str">
        <f>IFERROR(__xludf.DUMMYFUNCTION("""COMPUTED_VALUE"""),"https://drive.google.com/open?id=1OjH576QIVDuc2k2F0GADbldp-8HTn7Tf&amp;authuser=jay.agg%40gmail.com&amp;usp=drive_fs")</f>
        <v>https://drive.google.com/open?id=1OjH576QIVDuc2k2F0GADbldp-8HTn7Tf&amp;authuser=jay.agg%40gmail.com&amp;usp=drive_fs</v>
      </c>
      <c r="B405" s="73" t="str">
        <f>IFERROR(__xludf.DUMMYFUNCTION("""COMPUTED_VALUE"""),"Cosmetic")</f>
        <v>Cosmetic</v>
      </c>
      <c r="C405" s="73" t="str">
        <f>IFERROR(__xludf.DUMMYFUNCTION("""COMPUTED_VALUE"""),"Multani")</f>
        <v>Multani</v>
      </c>
      <c r="D405" s="73" t="str">
        <f>IFERROR(__xludf.DUMMYFUNCTION("""COMPUTED_VALUE"""),"75*38*106 mm")</f>
        <v>75*38*106 mm</v>
      </c>
      <c r="E405" s="77">
        <f>IFERROR(__xludf.DUMMYFUNCTION("""COMPUTED_VALUE"""),8.0)</f>
        <v>8</v>
      </c>
      <c r="F405" s="77">
        <f>IFERROR(__xludf.DUMMYFUNCTION("""COMPUTED_VALUE"""),2029.0)</f>
        <v>2029</v>
      </c>
      <c r="G405" s="77">
        <f>IFERROR(__xludf.DUMMYFUNCTION("""COMPUTED_VALUE"""),20.0)</f>
        <v>20</v>
      </c>
      <c r="H405" s="77">
        <f>IFERROR(__xludf.DUMMYFUNCTION("""COMPUTED_VALUE"""),28.0)</f>
        <v>28</v>
      </c>
      <c r="I405" s="77">
        <f>IFERROR(__xludf.DUMMYFUNCTION("""COMPUTED_VALUE"""),100.0)</f>
        <v>100</v>
      </c>
      <c r="J405" s="73"/>
      <c r="K405" s="73"/>
      <c r="L405" s="73"/>
      <c r="M405" s="77">
        <f>IFERROR(__xludf.DUMMYFUNCTION("""COMPUTED_VALUE"""),0.1)</f>
        <v>0.1</v>
      </c>
      <c r="N405" s="77">
        <f>IFERROR(__xludf.DUMMYFUNCTION("""COMPUTED_VALUE"""),1.0)</f>
        <v>1</v>
      </c>
      <c r="O405" s="49"/>
      <c r="P405" s="49" t="str">
        <f>IFERROR(__xludf.DUMMYFUNCTION("""COMPUTED_VALUE"""),"Offset")</f>
        <v>Offset</v>
      </c>
      <c r="Q405" s="49" t="str">
        <f>IFERROR(__xludf.DUMMYFUNCTION("""COMPUTED_VALUE"""),"Packaging")</f>
        <v>Packaging</v>
      </c>
      <c r="R405" s="49" t="str">
        <f>IFERROR(__xludf.DUMMYFUNCTION("""COMPUTED_VALUE"""),"Cosmetic")</f>
        <v>Cosmetic</v>
      </c>
    </row>
    <row r="406">
      <c r="A406" s="156" t="str">
        <f>IFERROR(__xludf.DUMMYFUNCTION("""COMPUTED_VALUE"""),"https://drive.google.com/open?id=1TD0_Xqy4OWOywa0aCCX-Gbj5HyjEP-_x&amp;authuser=jay.agg%40gmail.com&amp;usp=drive_fs")</f>
        <v>https://drive.google.com/open?id=1TD0_Xqy4OWOywa0aCCX-Gbj5HyjEP-_x&amp;authuser=jay.agg%40gmail.com&amp;usp=drive_fs</v>
      </c>
      <c r="B406" s="73" t="str">
        <f>IFERROR(__xludf.DUMMYFUNCTION("""COMPUTED_VALUE"""),"Cosmetic")</f>
        <v>Cosmetic</v>
      </c>
      <c r="C406" s="73" t="str">
        <f>IFERROR(__xludf.DUMMYFUNCTION("""COMPUTED_VALUE"""),"Cream")</f>
        <v>Cream</v>
      </c>
      <c r="D406" s="73" t="str">
        <f>IFERROR(__xludf.DUMMYFUNCTION("""COMPUTED_VALUE"""),"127*127*90 mm | 5*5*3.5 inch")</f>
        <v>127*127*90 mm | 5*5*3.5 inch</v>
      </c>
      <c r="E406" s="77">
        <f>IFERROR(__xludf.DUMMYFUNCTION("""COMPUTED_VALUE"""),1.0)</f>
        <v>1</v>
      </c>
      <c r="F406" s="77">
        <f>IFERROR(__xludf.DUMMYFUNCTION("""COMPUTED_VALUE"""),1926.0)</f>
        <v>1926</v>
      </c>
      <c r="G406" s="77">
        <f>IFERROR(__xludf.DUMMYFUNCTION("""COMPUTED_VALUE"""),15.75)</f>
        <v>15.75</v>
      </c>
      <c r="H406" s="77">
        <f>IFERROR(__xludf.DUMMYFUNCTION("""COMPUTED_VALUE"""),20.75)</f>
        <v>20.75</v>
      </c>
      <c r="I406" s="77">
        <f>IFERROR(__xludf.DUMMYFUNCTION("""COMPUTED_VALUE"""),100.0)</f>
        <v>100</v>
      </c>
      <c r="J406" s="73"/>
      <c r="K406" s="73"/>
      <c r="L406" s="73"/>
      <c r="M406" s="77">
        <f>IFERROR(__xludf.DUMMYFUNCTION("""COMPUTED_VALUE"""),0.1)</f>
        <v>0.1</v>
      </c>
      <c r="N406" s="77">
        <f>IFERROR(__xludf.DUMMYFUNCTION("""COMPUTED_VALUE"""),1.0)</f>
        <v>1</v>
      </c>
      <c r="O406" s="49"/>
      <c r="P406" s="49" t="str">
        <f>IFERROR(__xludf.DUMMYFUNCTION("""COMPUTED_VALUE"""),"Offset")</f>
        <v>Offset</v>
      </c>
      <c r="Q406" s="49" t="str">
        <f>IFERROR(__xludf.DUMMYFUNCTION("""COMPUTED_VALUE"""),"Packaging")</f>
        <v>Packaging</v>
      </c>
      <c r="R406" s="49" t="str">
        <f>IFERROR(__xludf.DUMMYFUNCTION("""COMPUTED_VALUE"""),"Cosmetic")</f>
        <v>Cosmetic</v>
      </c>
    </row>
    <row r="407">
      <c r="A407" s="156" t="str">
        <f>IFERROR(__xludf.DUMMYFUNCTION("""COMPUTED_VALUE"""),"https://drive.google.com/open?id=1WsoYaEPIRV7-23QB3p0ubfw3jsJjsodk&amp;authuser=jay.agg%40gmail.com&amp;usp=drive_fs")</f>
        <v>https://drive.google.com/open?id=1WsoYaEPIRV7-23QB3p0ubfw3jsJjsodk&amp;authuser=jay.agg%40gmail.com&amp;usp=drive_fs</v>
      </c>
      <c r="B407" s="73" t="str">
        <f>IFERROR(__xludf.DUMMYFUNCTION("""COMPUTED_VALUE"""),"Cosmetic")</f>
        <v>Cosmetic</v>
      </c>
      <c r="C407" s="73" t="str">
        <f>IFERROR(__xludf.DUMMYFUNCTION("""COMPUTED_VALUE"""),"Multani")</f>
        <v>Multani</v>
      </c>
      <c r="D407" s="73" t="str">
        <f>IFERROR(__xludf.DUMMYFUNCTION("""COMPUTED_VALUE"""),"76*19*127 mm | 3*0.75*5 inch")</f>
        <v>76*19*127 mm | 3*0.75*5 inch</v>
      </c>
      <c r="E407" s="77">
        <f>IFERROR(__xludf.DUMMYFUNCTION("""COMPUTED_VALUE"""),8.0)</f>
        <v>8</v>
      </c>
      <c r="F407" s="77">
        <f>IFERROR(__xludf.DUMMYFUNCTION("""COMPUTED_VALUE"""),2029.0)</f>
        <v>2029</v>
      </c>
      <c r="G407" s="77">
        <f>IFERROR(__xludf.DUMMYFUNCTION("""COMPUTED_VALUE"""),17.5)</f>
        <v>17.5</v>
      </c>
      <c r="H407" s="77">
        <f>IFERROR(__xludf.DUMMYFUNCTION("""COMPUTED_VALUE"""),28.0)</f>
        <v>28</v>
      </c>
      <c r="I407" s="77">
        <f>IFERROR(__xludf.DUMMYFUNCTION("""COMPUTED_VALUE"""),100.0)</f>
        <v>100</v>
      </c>
      <c r="J407" s="73"/>
      <c r="K407" s="73"/>
      <c r="L407" s="73"/>
      <c r="M407" s="77">
        <f>IFERROR(__xludf.DUMMYFUNCTION("""COMPUTED_VALUE"""),0.1)</f>
        <v>0.1</v>
      </c>
      <c r="N407" s="77">
        <f>IFERROR(__xludf.DUMMYFUNCTION("""COMPUTED_VALUE"""),1.0)</f>
        <v>1</v>
      </c>
      <c r="O407" s="49"/>
      <c r="P407" s="49" t="str">
        <f>IFERROR(__xludf.DUMMYFUNCTION("""COMPUTED_VALUE"""),"Offset")</f>
        <v>Offset</v>
      </c>
      <c r="Q407" s="49" t="str">
        <f>IFERROR(__xludf.DUMMYFUNCTION("""COMPUTED_VALUE"""),"Packaging")</f>
        <v>Packaging</v>
      </c>
      <c r="R407" s="49" t="str">
        <f>IFERROR(__xludf.DUMMYFUNCTION("""COMPUTED_VALUE"""),"Cosmetic")</f>
        <v>Cosmetic</v>
      </c>
    </row>
    <row r="408">
      <c r="A408" s="156" t="str">
        <f>IFERROR(__xludf.DUMMYFUNCTION("""COMPUTED_VALUE"""),"https://drive.google.com/open?id=1YjAgDba4kfhOH98Yyxd7ua6U3DDpEHGv&amp;authuser=jay.agg%40gmail.com&amp;usp=drive_fs")</f>
        <v>https://drive.google.com/open?id=1YjAgDba4kfhOH98Yyxd7ua6U3DDpEHGv&amp;authuser=jay.agg%40gmail.com&amp;usp=drive_fs</v>
      </c>
      <c r="B408" s="73" t="str">
        <f>IFERROR(__xludf.DUMMYFUNCTION("""COMPUTED_VALUE"""),"Cosmetic")</f>
        <v>Cosmetic</v>
      </c>
      <c r="C408" s="73" t="str">
        <f>IFERROR(__xludf.DUMMYFUNCTION("""COMPUTED_VALUE"""),"Misc")</f>
        <v>Misc</v>
      </c>
      <c r="D408" s="73" t="str">
        <f>IFERROR(__xludf.DUMMYFUNCTION("""COMPUTED_VALUE"""),"51*45*152 mm | 2*1.75*6 inch")</f>
        <v>51*45*152 mm | 2*1.75*6 inch</v>
      </c>
      <c r="E408" s="77">
        <f>IFERROR(__xludf.DUMMYFUNCTION("""COMPUTED_VALUE"""),6.0)</f>
        <v>6</v>
      </c>
      <c r="F408" s="77">
        <f>IFERROR(__xludf.DUMMYFUNCTION("""COMPUTED_VALUE"""),1926.0)</f>
        <v>1926</v>
      </c>
      <c r="G408" s="77">
        <f>IFERROR(__xludf.DUMMYFUNCTION("""COMPUTED_VALUE"""),18.0)</f>
        <v>18</v>
      </c>
      <c r="H408" s="77">
        <f>IFERROR(__xludf.DUMMYFUNCTION("""COMPUTED_VALUE"""),25.0)</f>
        <v>25</v>
      </c>
      <c r="I408" s="77">
        <f>IFERROR(__xludf.DUMMYFUNCTION("""COMPUTED_VALUE"""),100.0)</f>
        <v>100</v>
      </c>
      <c r="J408" s="73"/>
      <c r="K408" s="73"/>
      <c r="L408" s="73"/>
      <c r="M408" s="77">
        <f>IFERROR(__xludf.DUMMYFUNCTION("""COMPUTED_VALUE"""),0.1)</f>
        <v>0.1</v>
      </c>
      <c r="N408" s="77">
        <f>IFERROR(__xludf.DUMMYFUNCTION("""COMPUTED_VALUE"""),1.0)</f>
        <v>1</v>
      </c>
      <c r="O408" s="49"/>
      <c r="P408" s="49" t="str">
        <f>IFERROR(__xludf.DUMMYFUNCTION("""COMPUTED_VALUE"""),"Offset")</f>
        <v>Offset</v>
      </c>
      <c r="Q408" s="49" t="str">
        <f>IFERROR(__xludf.DUMMYFUNCTION("""COMPUTED_VALUE"""),"Packaging")</f>
        <v>Packaging</v>
      </c>
      <c r="R408" s="49" t="str">
        <f>IFERROR(__xludf.DUMMYFUNCTION("""COMPUTED_VALUE"""),"Cosmetic")</f>
        <v>Cosmetic</v>
      </c>
    </row>
    <row r="409">
      <c r="A409" s="156" t="str">
        <f>IFERROR(__xludf.DUMMYFUNCTION("""COMPUTED_VALUE"""),"https://drive.google.com/open?id=1NjvTBGWZQuD6HKnTGHi1HCWLnxLnJll0&amp;authuser=jay.agg%40gmail.com&amp;usp=drive_fs")</f>
        <v>https://drive.google.com/open?id=1NjvTBGWZQuD6HKnTGHi1HCWLnxLnJll0&amp;authuser=jay.agg%40gmail.com&amp;usp=drive_fs</v>
      </c>
      <c r="B409" s="73" t="str">
        <f>IFERROR(__xludf.DUMMYFUNCTION("""COMPUTED_VALUE"""),"Cosmetic")</f>
        <v>Cosmetic</v>
      </c>
      <c r="C409" s="73" t="str">
        <f>IFERROR(__xludf.DUMMYFUNCTION("""COMPUTED_VALUE"""),"Misc")</f>
        <v>Misc</v>
      </c>
      <c r="D409" s="73" t="str">
        <f>IFERROR(__xludf.DUMMYFUNCTION("""COMPUTED_VALUE"""),"38*38*145 mm | 1.5*1.5*5.7 inch")</f>
        <v>38*38*145 mm | 1.5*1.5*5.7 inch</v>
      </c>
      <c r="E409" s="77">
        <f>IFERROR(__xludf.DUMMYFUNCTION("""COMPUTED_VALUE"""),9.0)</f>
        <v>9</v>
      </c>
      <c r="F409" s="77">
        <f>IFERROR(__xludf.DUMMYFUNCTION("""COMPUTED_VALUE"""),2029.0)</f>
        <v>2029</v>
      </c>
      <c r="G409" s="77">
        <f>IFERROR(__xludf.DUMMYFUNCTION("""COMPUTED_VALUE"""),20.0)</f>
        <v>20</v>
      </c>
      <c r="H409" s="77">
        <f>IFERROR(__xludf.DUMMYFUNCTION("""COMPUTED_VALUE"""),28.0)</f>
        <v>28</v>
      </c>
      <c r="I409" s="77">
        <f>IFERROR(__xludf.DUMMYFUNCTION("""COMPUTED_VALUE"""),100.0)</f>
        <v>100</v>
      </c>
      <c r="J409" s="73"/>
      <c r="K409" s="73"/>
      <c r="L409" s="73"/>
      <c r="M409" s="77">
        <f>IFERROR(__xludf.DUMMYFUNCTION("""COMPUTED_VALUE"""),0.1)</f>
        <v>0.1</v>
      </c>
      <c r="N409" s="77">
        <f>IFERROR(__xludf.DUMMYFUNCTION("""COMPUTED_VALUE"""),1.0)</f>
        <v>1</v>
      </c>
      <c r="O409" s="49"/>
      <c r="P409" s="49" t="str">
        <f>IFERROR(__xludf.DUMMYFUNCTION("""COMPUTED_VALUE"""),"Offset")</f>
        <v>Offset</v>
      </c>
      <c r="Q409" s="49" t="str">
        <f>IFERROR(__xludf.DUMMYFUNCTION("""COMPUTED_VALUE"""),"Packaging")</f>
        <v>Packaging</v>
      </c>
      <c r="R409" s="49" t="str">
        <f>IFERROR(__xludf.DUMMYFUNCTION("""COMPUTED_VALUE"""),"Cosmetic")</f>
        <v>Cosmetic</v>
      </c>
    </row>
    <row r="410">
      <c r="A410" s="156" t="str">
        <f>IFERROR(__xludf.DUMMYFUNCTION("""COMPUTED_VALUE"""),"https://drive.google.com/open?id=1QYrsn12YYKgzXepNw8ZwddaMTXU-ykpA&amp;authuser=jay.agg%40gmail.com&amp;usp=drive_fs")</f>
        <v>https://drive.google.com/open?id=1QYrsn12YYKgzXepNw8ZwddaMTXU-ykpA&amp;authuser=jay.agg%40gmail.com&amp;usp=drive_fs</v>
      </c>
      <c r="B410" s="73" t="str">
        <f>IFERROR(__xludf.DUMMYFUNCTION("""COMPUTED_VALUE"""),"Cosmetic")</f>
        <v>Cosmetic</v>
      </c>
      <c r="C410" s="73" t="str">
        <f>IFERROR(__xludf.DUMMYFUNCTION("""COMPUTED_VALUE"""),"Misc")</f>
        <v>Misc</v>
      </c>
      <c r="D410" s="73" t="str">
        <f>IFERROR(__xludf.DUMMYFUNCTION("""COMPUTED_VALUE"""),"60*60*48 mm | 2.4*2.4*1.9 inch")</f>
        <v>60*60*48 mm | 2.4*2.4*1.9 inch</v>
      </c>
      <c r="E410" s="77">
        <f>IFERROR(__xludf.DUMMYFUNCTION("""COMPUTED_VALUE"""),6.0)</f>
        <v>6</v>
      </c>
      <c r="F410" s="77">
        <f>IFERROR(__xludf.DUMMYFUNCTION("""COMPUTED_VALUE"""),2029.0)</f>
        <v>2029</v>
      </c>
      <c r="G410" s="77">
        <f>IFERROR(__xludf.DUMMYFUNCTION("""COMPUTED_VALUE"""),19.0)</f>
        <v>19</v>
      </c>
      <c r="H410" s="77">
        <f>IFERROR(__xludf.DUMMYFUNCTION("""COMPUTED_VALUE"""),20.0)</f>
        <v>20</v>
      </c>
      <c r="I410" s="77">
        <f>IFERROR(__xludf.DUMMYFUNCTION("""COMPUTED_VALUE"""),100.0)</f>
        <v>100</v>
      </c>
      <c r="J410" s="73"/>
      <c r="K410" s="73"/>
      <c r="L410" s="73"/>
      <c r="M410" s="77">
        <f>IFERROR(__xludf.DUMMYFUNCTION("""COMPUTED_VALUE"""),0.12)</f>
        <v>0.12</v>
      </c>
      <c r="N410" s="77">
        <f>IFERROR(__xludf.DUMMYFUNCTION("""COMPUTED_VALUE"""),1.0)</f>
        <v>1</v>
      </c>
      <c r="O410" s="49"/>
      <c r="P410" s="49" t="str">
        <f>IFERROR(__xludf.DUMMYFUNCTION("""COMPUTED_VALUE"""),"Offset")</f>
        <v>Offset</v>
      </c>
      <c r="Q410" s="49" t="str">
        <f>IFERROR(__xludf.DUMMYFUNCTION("""COMPUTED_VALUE"""),"Packaging")</f>
        <v>Packaging</v>
      </c>
      <c r="R410" s="49" t="str">
        <f>IFERROR(__xludf.DUMMYFUNCTION("""COMPUTED_VALUE"""),"Cosmetic")</f>
        <v>Cosmetic</v>
      </c>
    </row>
    <row r="411">
      <c r="A411" s="156" t="str">
        <f>IFERROR(__xludf.DUMMYFUNCTION("""COMPUTED_VALUE"""),"https://drive.google.com/open?id=1Q_NLNkeUUALbYLIallf6tVkMCbGLWOrC&amp;authuser=jay.agg%40gmail.com&amp;usp=drive_fs")</f>
        <v>https://drive.google.com/open?id=1Q_NLNkeUUALbYLIallf6tVkMCbGLWOrC&amp;authuser=jay.agg%40gmail.com&amp;usp=drive_fs</v>
      </c>
      <c r="B411" s="73" t="str">
        <f>IFERROR(__xludf.DUMMYFUNCTION("""COMPUTED_VALUE"""),"Cosmetic")</f>
        <v>Cosmetic</v>
      </c>
      <c r="C411" s="73" t="str">
        <f>IFERROR(__xludf.DUMMYFUNCTION("""COMPUTED_VALUE"""),"Misc")</f>
        <v>Misc</v>
      </c>
      <c r="D411" s="73" t="str">
        <f>IFERROR(__xludf.DUMMYFUNCTION("""COMPUTED_VALUE"""),"38*38*95 mm | 1.5*1.5*3.75 inch")</f>
        <v>38*38*95 mm | 1.5*1.5*3.75 inch</v>
      </c>
      <c r="E411" s="77">
        <f>IFERROR(__xludf.DUMMYFUNCTION("""COMPUTED_VALUE"""),9.0)</f>
        <v>9</v>
      </c>
      <c r="F411" s="77">
        <f>IFERROR(__xludf.DUMMYFUNCTION("""COMPUTED_VALUE"""),2029.0)</f>
        <v>2029</v>
      </c>
      <c r="G411" s="77">
        <f>IFERROR(__xludf.DUMMYFUNCTION("""COMPUTED_VALUE"""),20.0)</f>
        <v>20</v>
      </c>
      <c r="H411" s="77">
        <f>IFERROR(__xludf.DUMMYFUNCTION("""COMPUTED_VALUE"""),21.0)</f>
        <v>21</v>
      </c>
      <c r="I411" s="77">
        <f>IFERROR(__xludf.DUMMYFUNCTION("""COMPUTED_VALUE"""),100.0)</f>
        <v>100</v>
      </c>
      <c r="J411" s="73"/>
      <c r="K411" s="73"/>
      <c r="L411" s="73"/>
      <c r="M411" s="77">
        <f>IFERROR(__xludf.DUMMYFUNCTION("""COMPUTED_VALUE"""),0.12)</f>
        <v>0.12</v>
      </c>
      <c r="N411" s="77">
        <f>IFERROR(__xludf.DUMMYFUNCTION("""COMPUTED_VALUE"""),1.0)</f>
        <v>1</v>
      </c>
      <c r="O411" s="49"/>
      <c r="P411" s="49" t="str">
        <f>IFERROR(__xludf.DUMMYFUNCTION("""COMPUTED_VALUE"""),"Offset")</f>
        <v>Offset</v>
      </c>
      <c r="Q411" s="49" t="str">
        <f>IFERROR(__xludf.DUMMYFUNCTION("""COMPUTED_VALUE"""),"Packaging")</f>
        <v>Packaging</v>
      </c>
      <c r="R411" s="49" t="str">
        <f>IFERROR(__xludf.DUMMYFUNCTION("""COMPUTED_VALUE"""),"Cosmetic")</f>
        <v>Cosmetic</v>
      </c>
    </row>
    <row r="412">
      <c r="A412" s="156" t="str">
        <f>IFERROR(__xludf.DUMMYFUNCTION("""COMPUTED_VALUE"""),"https://drive.google.com/open?id=1FIsaYAa2L0oFbKBzjikN2vu4Zv7XG2wt&amp;authuser=jay.agg%40gmail.com&amp;usp=drive_fs")</f>
        <v>https://drive.google.com/open?id=1FIsaYAa2L0oFbKBzjikN2vu4Zv7XG2wt&amp;authuser=jay.agg%40gmail.com&amp;usp=drive_fs</v>
      </c>
      <c r="B412" s="73" t="str">
        <f>IFERROR(__xludf.DUMMYFUNCTION("""COMPUTED_VALUE"""),"Cosmetic")</f>
        <v>Cosmetic</v>
      </c>
      <c r="C412" s="73" t="str">
        <f>IFERROR(__xludf.DUMMYFUNCTION("""COMPUTED_VALUE"""),"Misc")</f>
        <v>Misc</v>
      </c>
      <c r="D412" s="73" t="str">
        <f>IFERROR(__xludf.DUMMYFUNCTION("""COMPUTED_VALUE"""),"38*38*150 mm | 1.5*1.5*5.9 inch")</f>
        <v>38*38*150 mm | 1.5*1.5*5.9 inch</v>
      </c>
      <c r="E412" s="77">
        <f>IFERROR(__xludf.DUMMYFUNCTION("""COMPUTED_VALUE"""),8.0)</f>
        <v>8</v>
      </c>
      <c r="F412" s="77">
        <f>IFERROR(__xludf.DUMMYFUNCTION("""COMPUTED_VALUE"""),2029.0)</f>
        <v>2029</v>
      </c>
      <c r="G412" s="77">
        <f>IFERROR(__xludf.DUMMYFUNCTION("""COMPUTED_VALUE"""),19.0)</f>
        <v>19</v>
      </c>
      <c r="H412" s="77">
        <f>IFERROR(__xludf.DUMMYFUNCTION("""COMPUTED_VALUE"""),26.0)</f>
        <v>26</v>
      </c>
      <c r="I412" s="77">
        <f>IFERROR(__xludf.DUMMYFUNCTION("""COMPUTED_VALUE"""),100.0)</f>
        <v>100</v>
      </c>
      <c r="J412" s="73"/>
      <c r="K412" s="73"/>
      <c r="L412" s="73"/>
      <c r="M412" s="77">
        <f>IFERROR(__xludf.DUMMYFUNCTION("""COMPUTED_VALUE"""),0.1)</f>
        <v>0.1</v>
      </c>
      <c r="N412" s="77">
        <f>IFERROR(__xludf.DUMMYFUNCTION("""COMPUTED_VALUE"""),1.0)</f>
        <v>1</v>
      </c>
      <c r="O412" s="49"/>
      <c r="P412" s="49" t="str">
        <f>IFERROR(__xludf.DUMMYFUNCTION("""COMPUTED_VALUE"""),"Offset")</f>
        <v>Offset</v>
      </c>
      <c r="Q412" s="49" t="str">
        <f>IFERROR(__xludf.DUMMYFUNCTION("""COMPUTED_VALUE"""),"Packaging")</f>
        <v>Packaging</v>
      </c>
      <c r="R412" s="49" t="str">
        <f>IFERROR(__xludf.DUMMYFUNCTION("""COMPUTED_VALUE"""),"Cosmetic")</f>
        <v>Cosmetic</v>
      </c>
    </row>
    <row r="413">
      <c r="A413" s="156" t="str">
        <f>IFERROR(__xludf.DUMMYFUNCTION("""COMPUTED_VALUE"""),"https://drive.google.com/open?id=1TowihNMVRt_EyV5nyrK_5gNuK3aWZ5aV&amp;authuser=jay.agg%40gmail.com&amp;usp=drive_fs")</f>
        <v>https://drive.google.com/open?id=1TowihNMVRt_EyV5nyrK_5gNuK3aWZ5aV&amp;authuser=jay.agg%40gmail.com&amp;usp=drive_fs</v>
      </c>
      <c r="B413" s="73" t="str">
        <f>IFERROR(__xludf.DUMMYFUNCTION("""COMPUTED_VALUE"""),"Cosmetic")</f>
        <v>Cosmetic</v>
      </c>
      <c r="C413" s="73" t="str">
        <f>IFERROR(__xludf.DUMMYFUNCTION("""COMPUTED_VALUE"""),"Misc")</f>
        <v>Misc</v>
      </c>
      <c r="D413" s="73" t="str">
        <f>IFERROR(__xludf.DUMMYFUNCTION("""COMPUTED_VALUE"""),"42*42*150 mm | 1.6*1.6*5.9 inch ")</f>
        <v>42*42*150 mm | 1.6*1.6*5.9 inch </v>
      </c>
      <c r="E413" s="77">
        <f>IFERROR(__xludf.DUMMYFUNCTION("""COMPUTED_VALUE"""),6.0)</f>
        <v>6</v>
      </c>
      <c r="F413" s="77">
        <f>IFERROR(__xludf.DUMMYFUNCTION("""COMPUTED_VALUE"""),2029.0)</f>
        <v>2029</v>
      </c>
      <c r="G413" s="77">
        <f>IFERROR(__xludf.DUMMYFUNCTION("""COMPUTED_VALUE"""),19.5)</f>
        <v>19.5</v>
      </c>
      <c r="H413" s="77">
        <f>IFERROR(__xludf.DUMMYFUNCTION("""COMPUTED_VALUE"""),23.0)</f>
        <v>23</v>
      </c>
      <c r="I413" s="77">
        <f>IFERROR(__xludf.DUMMYFUNCTION("""COMPUTED_VALUE"""),100.0)</f>
        <v>100</v>
      </c>
      <c r="J413" s="73"/>
      <c r="K413" s="73"/>
      <c r="L413" s="73"/>
      <c r="M413" s="77">
        <f>IFERROR(__xludf.DUMMYFUNCTION("""COMPUTED_VALUE"""),0.1)</f>
        <v>0.1</v>
      </c>
      <c r="N413" s="77">
        <f>IFERROR(__xludf.DUMMYFUNCTION("""COMPUTED_VALUE"""),1.0)</f>
        <v>1</v>
      </c>
      <c r="O413" s="49"/>
      <c r="P413" s="49" t="str">
        <f>IFERROR(__xludf.DUMMYFUNCTION("""COMPUTED_VALUE"""),"Offset")</f>
        <v>Offset</v>
      </c>
      <c r="Q413" s="49" t="str">
        <f>IFERROR(__xludf.DUMMYFUNCTION("""COMPUTED_VALUE"""),"Packaging")</f>
        <v>Packaging</v>
      </c>
      <c r="R413" s="49" t="str">
        <f>IFERROR(__xludf.DUMMYFUNCTION("""COMPUTED_VALUE"""),"Cosmetic")</f>
        <v>Cosmetic</v>
      </c>
    </row>
    <row r="414">
      <c r="A414" s="156" t="str">
        <f>IFERROR(__xludf.DUMMYFUNCTION("""COMPUTED_VALUE"""),"https://drive.google.com/open?id=1Tqy2SaIVJLhNhueErOPzNDpKK50XJHR7&amp;authuser=jay.agg%40gmail.com&amp;usp=drive_fs")</f>
        <v>https://drive.google.com/open?id=1Tqy2SaIVJLhNhueErOPzNDpKK50XJHR7&amp;authuser=jay.agg%40gmail.com&amp;usp=drive_fs</v>
      </c>
      <c r="B414" s="73" t="str">
        <f>IFERROR(__xludf.DUMMYFUNCTION("""COMPUTED_VALUE"""),"Cosmetic")</f>
        <v>Cosmetic</v>
      </c>
      <c r="C414" s="73" t="str">
        <f>IFERROR(__xludf.DUMMYFUNCTION("""COMPUTED_VALUE"""),"Misc")</f>
        <v>Misc</v>
      </c>
      <c r="D414" s="73" t="str">
        <f>IFERROR(__xludf.DUMMYFUNCTION("""COMPUTED_VALUE"""),"65*65*55 mm | 2.6*2.6*2.16 inch IL")</f>
        <v>65*65*55 mm | 2.6*2.6*2.16 inch IL</v>
      </c>
      <c r="E414" s="77">
        <f>IFERROR(__xludf.DUMMYFUNCTION("""COMPUTED_VALUE"""),6.0)</f>
        <v>6</v>
      </c>
      <c r="F414" s="77">
        <f>IFERROR(__xludf.DUMMYFUNCTION("""COMPUTED_VALUE"""),2029.0)</f>
        <v>2029</v>
      </c>
      <c r="G414" s="77">
        <f>IFERROR(__xludf.DUMMYFUNCTION("""COMPUTED_VALUE"""),19.5)</f>
        <v>19.5</v>
      </c>
      <c r="H414" s="77">
        <f>IFERROR(__xludf.DUMMYFUNCTION("""COMPUTED_VALUE"""),23.0)</f>
        <v>23</v>
      </c>
      <c r="I414" s="77">
        <f>IFERROR(__xludf.DUMMYFUNCTION("""COMPUTED_VALUE"""),100.0)</f>
        <v>100</v>
      </c>
      <c r="J414" s="73"/>
      <c r="K414" s="73"/>
      <c r="L414" s="73"/>
      <c r="M414" s="77">
        <f>IFERROR(__xludf.DUMMYFUNCTION("""COMPUTED_VALUE"""),0.1)</f>
        <v>0.1</v>
      </c>
      <c r="N414" s="77">
        <f>IFERROR(__xludf.DUMMYFUNCTION("""COMPUTED_VALUE"""),1.0)</f>
        <v>1</v>
      </c>
      <c r="O414" s="49"/>
      <c r="P414" s="49" t="str">
        <f>IFERROR(__xludf.DUMMYFUNCTION("""COMPUTED_VALUE"""),"Offset")</f>
        <v>Offset</v>
      </c>
      <c r="Q414" s="49" t="str">
        <f>IFERROR(__xludf.DUMMYFUNCTION("""COMPUTED_VALUE"""),"Packaging")</f>
        <v>Packaging</v>
      </c>
      <c r="R414" s="49" t="str">
        <f>IFERROR(__xludf.DUMMYFUNCTION("""COMPUTED_VALUE"""),"Cosmetic")</f>
        <v>Cosmetic</v>
      </c>
    </row>
    <row r="415">
      <c r="A415" s="156" t="str">
        <f>IFERROR(__xludf.DUMMYFUNCTION("""COMPUTED_VALUE"""),"https://drive.google.com/open?id=1Tr4Y3ISXQdPOjoWoC84OUWbLt1qchT3B&amp;authuser=jay.agg%40gmail.com&amp;usp=drive_fs")</f>
        <v>https://drive.google.com/open?id=1Tr4Y3ISXQdPOjoWoC84OUWbLt1qchT3B&amp;authuser=jay.agg%40gmail.com&amp;usp=drive_fs</v>
      </c>
      <c r="B415" s="73" t="str">
        <f>IFERROR(__xludf.DUMMYFUNCTION("""COMPUTED_VALUE"""),"Cosmetic")</f>
        <v>Cosmetic</v>
      </c>
      <c r="C415" s="73" t="str">
        <f>IFERROR(__xludf.DUMMYFUNCTION("""COMPUTED_VALUE"""),"Multani")</f>
        <v>Multani</v>
      </c>
      <c r="D415" s="73" t="str">
        <f>IFERROR(__xludf.DUMMYFUNCTION("""COMPUTED_VALUE"""),"80*40*140 mm | 3.15*1.5*5.5 inch")</f>
        <v>80*40*140 mm | 3.15*1.5*5.5 inch</v>
      </c>
      <c r="E415" s="77">
        <f>IFERROR(__xludf.DUMMYFUNCTION("""COMPUTED_VALUE"""),6.0)</f>
        <v>6</v>
      </c>
      <c r="F415" s="77">
        <f>IFERROR(__xludf.DUMMYFUNCTION("""COMPUTED_VALUE"""),2029.0)</f>
        <v>2029</v>
      </c>
      <c r="G415" s="77">
        <f>IFERROR(__xludf.DUMMYFUNCTION("""COMPUTED_VALUE"""),20.0)</f>
        <v>20</v>
      </c>
      <c r="H415" s="77">
        <f>IFERROR(__xludf.DUMMYFUNCTION("""COMPUTED_VALUE"""),25.0)</f>
        <v>25</v>
      </c>
      <c r="I415" s="77">
        <f>IFERROR(__xludf.DUMMYFUNCTION("""COMPUTED_VALUE"""),100.0)</f>
        <v>100</v>
      </c>
      <c r="J415" s="73"/>
      <c r="K415" s="73"/>
      <c r="L415" s="73"/>
      <c r="M415" s="77">
        <f>IFERROR(__xludf.DUMMYFUNCTION("""COMPUTED_VALUE"""),0.1)</f>
        <v>0.1</v>
      </c>
      <c r="N415" s="77">
        <f>IFERROR(__xludf.DUMMYFUNCTION("""COMPUTED_VALUE"""),1.0)</f>
        <v>1</v>
      </c>
      <c r="O415" s="49"/>
      <c r="P415" s="49" t="str">
        <f>IFERROR(__xludf.DUMMYFUNCTION("""COMPUTED_VALUE"""),"Offset")</f>
        <v>Offset</v>
      </c>
      <c r="Q415" s="49" t="str">
        <f>IFERROR(__xludf.DUMMYFUNCTION("""COMPUTED_VALUE"""),"Packaging")</f>
        <v>Packaging</v>
      </c>
      <c r="R415" s="49" t="str">
        <f>IFERROR(__xludf.DUMMYFUNCTION("""COMPUTED_VALUE"""),"Cosmetic")</f>
        <v>Cosmetic</v>
      </c>
    </row>
    <row r="416">
      <c r="A416" s="156" t="str">
        <f>IFERROR(__xludf.DUMMYFUNCTION("""COMPUTED_VALUE"""),"https://drive.google.com/open?id=1JqM2WqhY-w0RmkHV6tZM9I3oTmMpA_FJ&amp;authuser=jay.agg%40gmail.com&amp;usp=drive_fs")</f>
        <v>https://drive.google.com/open?id=1JqM2WqhY-w0RmkHV6tZM9I3oTmMpA_FJ&amp;authuser=jay.agg%40gmail.com&amp;usp=drive_fs</v>
      </c>
      <c r="B416" s="73" t="str">
        <f>IFERROR(__xludf.DUMMYFUNCTION("""COMPUTED_VALUE"""),"Cosmetic")</f>
        <v>Cosmetic</v>
      </c>
      <c r="C416" s="73" t="str">
        <f>IFERROR(__xludf.DUMMYFUNCTION("""COMPUTED_VALUE"""),"Misc")</f>
        <v>Misc</v>
      </c>
      <c r="D416" s="73" t="str">
        <f>IFERROR(__xludf.DUMMYFUNCTION("""COMPUTED_VALUE"""),"28*28*85 mm | 1.1*1.1*3.3 inch")</f>
        <v>28*28*85 mm | 1.1*1.1*3.3 inch</v>
      </c>
      <c r="E416" s="77">
        <f>IFERROR(__xludf.DUMMYFUNCTION("""COMPUTED_VALUE"""),15.0)</f>
        <v>15</v>
      </c>
      <c r="F416" s="77">
        <f>IFERROR(__xludf.DUMMYFUNCTION("""COMPUTED_VALUE"""),1926.0)</f>
        <v>1926</v>
      </c>
      <c r="G416" s="77">
        <f>IFERROR(__xludf.DUMMYFUNCTION("""COMPUTED_VALUE"""),18.0)</f>
        <v>18</v>
      </c>
      <c r="H416" s="77">
        <f>IFERROR(__xludf.DUMMYFUNCTION("""COMPUTED_VALUE"""),25.0)</f>
        <v>25</v>
      </c>
      <c r="I416" s="77">
        <f>IFERROR(__xludf.DUMMYFUNCTION("""COMPUTED_VALUE"""),100.0)</f>
        <v>100</v>
      </c>
      <c r="J416" s="73"/>
      <c r="K416" s="73"/>
      <c r="L416" s="73"/>
      <c r="M416" s="77">
        <f>IFERROR(__xludf.DUMMYFUNCTION("""COMPUTED_VALUE"""),0.1)</f>
        <v>0.1</v>
      </c>
      <c r="N416" s="77">
        <f>IFERROR(__xludf.DUMMYFUNCTION("""COMPUTED_VALUE"""),1.0)</f>
        <v>1</v>
      </c>
      <c r="O416" s="49"/>
      <c r="P416" s="49" t="str">
        <f>IFERROR(__xludf.DUMMYFUNCTION("""COMPUTED_VALUE"""),"Offset")</f>
        <v>Offset</v>
      </c>
      <c r="Q416" s="49" t="str">
        <f>IFERROR(__xludf.DUMMYFUNCTION("""COMPUTED_VALUE"""),"Packaging")</f>
        <v>Packaging</v>
      </c>
      <c r="R416" s="49" t="str">
        <f>IFERROR(__xludf.DUMMYFUNCTION("""COMPUTED_VALUE"""),"Cosmetic")</f>
        <v>Cosmetic</v>
      </c>
    </row>
    <row r="417">
      <c r="A417" s="156" t="str">
        <f>IFERROR(__xludf.DUMMYFUNCTION("""COMPUTED_VALUE"""),"https://drive.google.com/open?id=1JrOu7OcHfcdd5sY3Lxb8Hbo5nZy4NTtp&amp;authuser=jay.agg%40gmail.com&amp;usp=drive_fs")</f>
        <v>https://drive.google.com/open?id=1JrOu7OcHfcdd5sY3Lxb8Hbo5nZy4NTtp&amp;authuser=jay.agg%40gmail.com&amp;usp=drive_fs</v>
      </c>
      <c r="B417" s="73" t="str">
        <f>IFERROR(__xludf.DUMMYFUNCTION("""COMPUTED_VALUE"""),"Cosmetic")</f>
        <v>Cosmetic</v>
      </c>
      <c r="C417" s="73" t="str">
        <f>IFERROR(__xludf.DUMMYFUNCTION("""COMPUTED_VALUE"""),"Misc")</f>
        <v>Misc</v>
      </c>
      <c r="D417" s="73" t="str">
        <f>IFERROR(__xludf.DUMMYFUNCTION("""COMPUTED_VALUE"""),"20*20*130 mm | 0.8*0.8*5.1 inch")</f>
        <v>20*20*130 mm | 0.8*0.8*5.1 inch</v>
      </c>
      <c r="E417" s="77">
        <f>IFERROR(__xludf.DUMMYFUNCTION("""COMPUTED_VALUE"""),10.0)</f>
        <v>10</v>
      </c>
      <c r="F417" s="77">
        <f>IFERROR(__xludf.DUMMYFUNCTION("""COMPUTED_VALUE"""),1926.0)</f>
        <v>1926</v>
      </c>
      <c r="G417" s="77">
        <f>IFERROR(__xludf.DUMMYFUNCTION("""COMPUTED_VALUE"""),15.75)</f>
        <v>15.75</v>
      </c>
      <c r="H417" s="77">
        <f>IFERROR(__xludf.DUMMYFUNCTION("""COMPUTED_VALUE"""),20.75)</f>
        <v>20.75</v>
      </c>
      <c r="I417" s="77">
        <f>IFERROR(__xludf.DUMMYFUNCTION("""COMPUTED_VALUE"""),100.0)</f>
        <v>100</v>
      </c>
      <c r="J417" s="73"/>
      <c r="K417" s="73"/>
      <c r="L417" s="73"/>
      <c r="M417" s="77">
        <f>IFERROR(__xludf.DUMMYFUNCTION("""COMPUTED_VALUE"""),0.1)</f>
        <v>0.1</v>
      </c>
      <c r="N417" s="77">
        <f>IFERROR(__xludf.DUMMYFUNCTION("""COMPUTED_VALUE"""),1.0)</f>
        <v>1</v>
      </c>
      <c r="O417" s="49"/>
      <c r="P417" s="49" t="str">
        <f>IFERROR(__xludf.DUMMYFUNCTION("""COMPUTED_VALUE"""),"Offset")</f>
        <v>Offset</v>
      </c>
      <c r="Q417" s="49" t="str">
        <f>IFERROR(__xludf.DUMMYFUNCTION("""COMPUTED_VALUE"""),"Packaging")</f>
        <v>Packaging</v>
      </c>
      <c r="R417" s="49" t="str">
        <f>IFERROR(__xludf.DUMMYFUNCTION("""COMPUTED_VALUE"""),"Cosmetic")</f>
        <v>Cosmetic</v>
      </c>
    </row>
    <row r="418">
      <c r="A418" s="156" t="str">
        <f>IFERROR(__xludf.DUMMYFUNCTION("""COMPUTED_VALUE"""),"https://drive.google.com/open?id=1JrfjwU2aciON4uiv3-ztci73aqHDWtCu&amp;authuser=jay.agg%40gmail.com&amp;usp=drive_fs")</f>
        <v>https://drive.google.com/open?id=1JrfjwU2aciON4uiv3-ztci73aqHDWtCu&amp;authuser=jay.agg%40gmail.com&amp;usp=drive_fs</v>
      </c>
      <c r="B418" s="73" t="str">
        <f>IFERROR(__xludf.DUMMYFUNCTION("""COMPUTED_VALUE"""),"Cosmetic")</f>
        <v>Cosmetic</v>
      </c>
      <c r="C418" s="73" t="str">
        <f>IFERROR(__xludf.DUMMYFUNCTION("""COMPUTED_VALUE"""),"Misc")</f>
        <v>Misc</v>
      </c>
      <c r="D418" s="73" t="str">
        <f>IFERROR(__xludf.DUMMYFUNCTION("""COMPUTED_VALUE"""),"65*44*138 mm | 2.5*1.7*5.4 inch")</f>
        <v>65*44*138 mm | 2.5*1.7*5.4 inch</v>
      </c>
      <c r="E418" s="77">
        <f>IFERROR(__xludf.DUMMYFUNCTION("""COMPUTED_VALUE"""),6.0)</f>
        <v>6</v>
      </c>
      <c r="F418" s="77">
        <f>IFERROR(__xludf.DUMMYFUNCTION("""COMPUTED_VALUE"""),2029.0)</f>
        <v>2029</v>
      </c>
      <c r="G418" s="77">
        <f>IFERROR(__xludf.DUMMYFUNCTION("""COMPUTED_VALUE"""),20.0)</f>
        <v>20</v>
      </c>
      <c r="H418" s="77">
        <f>IFERROR(__xludf.DUMMYFUNCTION("""COMPUTED_VALUE"""),28.0)</f>
        <v>28</v>
      </c>
      <c r="I418" s="77">
        <f>IFERROR(__xludf.DUMMYFUNCTION("""COMPUTED_VALUE"""),100.0)</f>
        <v>100</v>
      </c>
      <c r="J418" s="73"/>
      <c r="K418" s="73"/>
      <c r="L418" s="73"/>
      <c r="M418" s="77">
        <f>IFERROR(__xludf.DUMMYFUNCTION("""COMPUTED_VALUE"""),0.1)</f>
        <v>0.1</v>
      </c>
      <c r="N418" s="77">
        <f>IFERROR(__xludf.DUMMYFUNCTION("""COMPUTED_VALUE"""),1.0)</f>
        <v>1</v>
      </c>
      <c r="O418" s="49"/>
      <c r="P418" s="49" t="str">
        <f>IFERROR(__xludf.DUMMYFUNCTION("""COMPUTED_VALUE"""),"Offset")</f>
        <v>Offset</v>
      </c>
      <c r="Q418" s="49" t="str">
        <f>IFERROR(__xludf.DUMMYFUNCTION("""COMPUTED_VALUE"""),"Packaging")</f>
        <v>Packaging</v>
      </c>
      <c r="R418" s="49" t="str">
        <f>IFERROR(__xludf.DUMMYFUNCTION("""COMPUTED_VALUE"""),"Cosmetic")</f>
        <v>Cosmetic</v>
      </c>
    </row>
    <row r="419">
      <c r="A419" s="156" t="str">
        <f>IFERROR(__xludf.DUMMYFUNCTION("""COMPUTED_VALUE"""),"https://drive.google.com/open?id=1K8lfCTHW1bbXOZl2FXMzJJ4mCqDpkk30&amp;authuser=jay.agg%40gmail.com&amp;usp=drive_fs")</f>
        <v>https://drive.google.com/open?id=1K8lfCTHW1bbXOZl2FXMzJJ4mCqDpkk30&amp;authuser=jay.agg%40gmail.com&amp;usp=drive_fs</v>
      </c>
      <c r="B419" s="73" t="str">
        <f>IFERROR(__xludf.DUMMYFUNCTION("""COMPUTED_VALUE"""),"Cosmetic")</f>
        <v>Cosmetic</v>
      </c>
      <c r="C419" s="73" t="str">
        <f>IFERROR(__xludf.DUMMYFUNCTION("""COMPUTED_VALUE"""),"Misc")</f>
        <v>Misc</v>
      </c>
      <c r="D419" s="73" t="str">
        <f>IFERROR(__xludf.DUMMYFUNCTION("""COMPUTED_VALUE"""),"32*32*100 mm | 1.26*1.26*4 inch")</f>
        <v>32*32*100 mm | 1.26*1.26*4 inch</v>
      </c>
      <c r="E419" s="77">
        <f>IFERROR(__xludf.DUMMYFUNCTION("""COMPUTED_VALUE"""),12.0)</f>
        <v>12</v>
      </c>
      <c r="F419" s="77">
        <f>IFERROR(__xludf.DUMMYFUNCTION("""COMPUTED_VALUE"""),2029.0)</f>
        <v>2029</v>
      </c>
      <c r="G419" s="77">
        <f>IFERROR(__xludf.DUMMYFUNCTION("""COMPUTED_VALUE"""),19.5)</f>
        <v>19.5</v>
      </c>
      <c r="H419" s="77">
        <f>IFERROR(__xludf.DUMMYFUNCTION("""COMPUTED_VALUE"""),23.0)</f>
        <v>23</v>
      </c>
      <c r="I419" s="77">
        <f>IFERROR(__xludf.DUMMYFUNCTION("""COMPUTED_VALUE"""),100.0)</f>
        <v>100</v>
      </c>
      <c r="J419" s="73"/>
      <c r="K419" s="73"/>
      <c r="L419" s="73"/>
      <c r="M419" s="77">
        <f>IFERROR(__xludf.DUMMYFUNCTION("""COMPUTED_VALUE"""),0.1)</f>
        <v>0.1</v>
      </c>
      <c r="N419" s="77">
        <f>IFERROR(__xludf.DUMMYFUNCTION("""COMPUTED_VALUE"""),1.0)</f>
        <v>1</v>
      </c>
      <c r="O419" s="49"/>
      <c r="P419" s="49" t="str">
        <f>IFERROR(__xludf.DUMMYFUNCTION("""COMPUTED_VALUE"""),"Offset")</f>
        <v>Offset</v>
      </c>
      <c r="Q419" s="49" t="str">
        <f>IFERROR(__xludf.DUMMYFUNCTION("""COMPUTED_VALUE"""),"Packaging")</f>
        <v>Packaging</v>
      </c>
      <c r="R419" s="49" t="str">
        <f>IFERROR(__xludf.DUMMYFUNCTION("""COMPUTED_VALUE"""),"Cosmetic")</f>
        <v>Cosmetic</v>
      </c>
    </row>
    <row r="420">
      <c r="A420" s="156" t="str">
        <f>IFERROR(__xludf.DUMMYFUNCTION("""COMPUTED_VALUE"""),"https://drive.google.com/open?id=1W90pC_F2FPCf-oYpkZkOgEIfUUEKiIRo&amp;authuser=jay.agg%40gmail.com&amp;usp=drive_fs")</f>
        <v>https://drive.google.com/open?id=1W90pC_F2FPCf-oYpkZkOgEIfUUEKiIRo&amp;authuser=jay.agg%40gmail.com&amp;usp=drive_fs</v>
      </c>
      <c r="B420" s="73" t="str">
        <f>IFERROR(__xludf.DUMMYFUNCTION("""COMPUTED_VALUE"""),"Cosmetic")</f>
        <v>Cosmetic</v>
      </c>
      <c r="C420" s="73" t="str">
        <f>IFERROR(__xludf.DUMMYFUNCTION("""COMPUTED_VALUE"""),"Misc")</f>
        <v>Misc</v>
      </c>
      <c r="D420" s="73" t="str">
        <f>IFERROR(__xludf.DUMMYFUNCTION("""COMPUTED_VALUE"""),"36*31*169 mm | 1.4*1.2*6.6 inch")</f>
        <v>36*31*169 mm | 1.4*1.2*6.6 inch</v>
      </c>
      <c r="E420" s="77">
        <f>IFERROR(__xludf.DUMMYFUNCTION("""COMPUTED_VALUE"""),9.0)</f>
        <v>9</v>
      </c>
      <c r="F420" s="77">
        <f>IFERROR(__xludf.DUMMYFUNCTION("""COMPUTED_VALUE"""),2029.0)</f>
        <v>2029</v>
      </c>
      <c r="G420" s="77">
        <f>IFERROR(__xludf.DUMMYFUNCTION("""COMPUTED_VALUE"""),20.0)</f>
        <v>20</v>
      </c>
      <c r="H420" s="77">
        <f>IFERROR(__xludf.DUMMYFUNCTION("""COMPUTED_VALUE"""),28.0)</f>
        <v>28</v>
      </c>
      <c r="I420" s="77">
        <f>IFERROR(__xludf.DUMMYFUNCTION("""COMPUTED_VALUE"""),100.0)</f>
        <v>100</v>
      </c>
      <c r="J420" s="73"/>
      <c r="K420" s="73"/>
      <c r="L420" s="73"/>
      <c r="M420" s="77">
        <f>IFERROR(__xludf.DUMMYFUNCTION("""COMPUTED_VALUE"""),0.1)</f>
        <v>0.1</v>
      </c>
      <c r="N420" s="77">
        <f>IFERROR(__xludf.DUMMYFUNCTION("""COMPUTED_VALUE"""),1.0)</f>
        <v>1</v>
      </c>
      <c r="O420" s="49"/>
      <c r="P420" s="49" t="str">
        <f>IFERROR(__xludf.DUMMYFUNCTION("""COMPUTED_VALUE"""),"Offset")</f>
        <v>Offset</v>
      </c>
      <c r="Q420" s="49" t="str">
        <f>IFERROR(__xludf.DUMMYFUNCTION("""COMPUTED_VALUE"""),"Packaging")</f>
        <v>Packaging</v>
      </c>
      <c r="R420" s="49" t="str">
        <f>IFERROR(__xludf.DUMMYFUNCTION("""COMPUTED_VALUE"""),"Cosmetic")</f>
        <v>Cosmetic</v>
      </c>
    </row>
    <row r="421">
      <c r="A421" s="156" t="str">
        <f>IFERROR(__xludf.DUMMYFUNCTION("""COMPUTED_VALUE"""),"https://drive.google.com/open?id=1WAKvpMRrVWLeLLttdpovl0k7_OdCIJUe&amp;authuser=jay.agg%40gmail.com&amp;usp=drive_fs")</f>
        <v>https://drive.google.com/open?id=1WAKvpMRrVWLeLLttdpovl0k7_OdCIJUe&amp;authuser=jay.agg%40gmail.com&amp;usp=drive_fs</v>
      </c>
      <c r="B421" s="73" t="str">
        <f>IFERROR(__xludf.DUMMYFUNCTION("""COMPUTED_VALUE"""),"Cosmetic")</f>
        <v>Cosmetic</v>
      </c>
      <c r="C421" s="73" t="str">
        <f>IFERROR(__xludf.DUMMYFUNCTION("""COMPUTED_VALUE"""),"Misc")</f>
        <v>Misc</v>
      </c>
      <c r="D421" s="73" t="str">
        <f>IFERROR(__xludf.DUMMYFUNCTION("""COMPUTED_VALUE"""),"37*36*169 mm | 1.4*1.4*6.6 inch")</f>
        <v>37*36*169 mm | 1.4*1.4*6.6 inch</v>
      </c>
      <c r="E421" s="77">
        <f>IFERROR(__xludf.DUMMYFUNCTION("""COMPUTED_VALUE"""),9.0)</f>
        <v>9</v>
      </c>
      <c r="F421" s="77">
        <f>IFERROR(__xludf.DUMMYFUNCTION("""COMPUTED_VALUE"""),2029.0)</f>
        <v>2029</v>
      </c>
      <c r="G421" s="77">
        <f>IFERROR(__xludf.DUMMYFUNCTION("""COMPUTED_VALUE"""),20.0)</f>
        <v>20</v>
      </c>
      <c r="H421" s="77">
        <f>IFERROR(__xludf.DUMMYFUNCTION("""COMPUTED_VALUE"""),28.0)</f>
        <v>28</v>
      </c>
      <c r="I421" s="77">
        <f>IFERROR(__xludf.DUMMYFUNCTION("""COMPUTED_VALUE"""),100.0)</f>
        <v>100</v>
      </c>
      <c r="J421" s="73"/>
      <c r="K421" s="73"/>
      <c r="L421" s="73"/>
      <c r="M421" s="77">
        <f>IFERROR(__xludf.DUMMYFUNCTION("""COMPUTED_VALUE"""),0.1)</f>
        <v>0.1</v>
      </c>
      <c r="N421" s="77">
        <f>IFERROR(__xludf.DUMMYFUNCTION("""COMPUTED_VALUE"""),1.0)</f>
        <v>1</v>
      </c>
      <c r="O421" s="49"/>
      <c r="P421" s="49" t="str">
        <f>IFERROR(__xludf.DUMMYFUNCTION("""COMPUTED_VALUE"""),"Offset")</f>
        <v>Offset</v>
      </c>
      <c r="Q421" s="49" t="str">
        <f>IFERROR(__xludf.DUMMYFUNCTION("""COMPUTED_VALUE"""),"Packaging")</f>
        <v>Packaging</v>
      </c>
      <c r="R421" s="49" t="str">
        <f>IFERROR(__xludf.DUMMYFUNCTION("""COMPUTED_VALUE"""),"Cosmetic")</f>
        <v>Cosmetic</v>
      </c>
    </row>
    <row r="422">
      <c r="A422" s="156" t="str">
        <f>IFERROR(__xludf.DUMMYFUNCTION("""COMPUTED_VALUE"""),"https://drive.google.com/open?id=1WDOMiNczbhrYDZC9ra9Uw51BrftkxjEQ&amp;authuser=jay.agg%40gmail.com&amp;usp=drive_fs")</f>
        <v>https://drive.google.com/open?id=1WDOMiNczbhrYDZC9ra9Uw51BrftkxjEQ&amp;authuser=jay.agg%40gmail.com&amp;usp=drive_fs</v>
      </c>
      <c r="B422" s="73" t="str">
        <f>IFERROR(__xludf.DUMMYFUNCTION("""COMPUTED_VALUE"""),"Cosmetic")</f>
        <v>Cosmetic</v>
      </c>
      <c r="C422" s="73" t="str">
        <f>IFERROR(__xludf.DUMMYFUNCTION("""COMPUTED_VALUE"""),"Misc")</f>
        <v>Misc</v>
      </c>
      <c r="D422" s="73" t="str">
        <f>IFERROR(__xludf.DUMMYFUNCTION("""COMPUTED_VALUE"""),"98*30*105 mm | 3.8*1.1*4.1 inch")</f>
        <v>98*30*105 mm | 3.8*1.1*4.1 inch</v>
      </c>
      <c r="E422" s="77">
        <f>IFERROR(__xludf.DUMMYFUNCTION("""COMPUTED_VALUE"""),6.0)</f>
        <v>6</v>
      </c>
      <c r="F422" s="77">
        <f>IFERROR(__xludf.DUMMYFUNCTION("""COMPUTED_VALUE"""),2029.0)</f>
        <v>2029</v>
      </c>
      <c r="G422" s="77">
        <f>IFERROR(__xludf.DUMMYFUNCTION("""COMPUTED_VALUE"""),19.5)</f>
        <v>19.5</v>
      </c>
      <c r="H422" s="77">
        <f>IFERROR(__xludf.DUMMYFUNCTION("""COMPUTED_VALUE"""),23.0)</f>
        <v>23</v>
      </c>
      <c r="I422" s="77">
        <f>IFERROR(__xludf.DUMMYFUNCTION("""COMPUTED_VALUE"""),100.0)</f>
        <v>100</v>
      </c>
      <c r="J422" s="73"/>
      <c r="K422" s="73"/>
      <c r="L422" s="73"/>
      <c r="M422" s="77">
        <f>IFERROR(__xludf.DUMMYFUNCTION("""COMPUTED_VALUE"""),0.1)</f>
        <v>0.1</v>
      </c>
      <c r="N422" s="77">
        <f>IFERROR(__xludf.DUMMYFUNCTION("""COMPUTED_VALUE"""),1.0)</f>
        <v>1</v>
      </c>
      <c r="O422" s="49"/>
      <c r="P422" s="49" t="str">
        <f>IFERROR(__xludf.DUMMYFUNCTION("""COMPUTED_VALUE"""),"Offset")</f>
        <v>Offset</v>
      </c>
      <c r="Q422" s="49" t="str">
        <f>IFERROR(__xludf.DUMMYFUNCTION("""COMPUTED_VALUE"""),"Packaging")</f>
        <v>Packaging</v>
      </c>
      <c r="R422" s="49" t="str">
        <f>IFERROR(__xludf.DUMMYFUNCTION("""COMPUTED_VALUE"""),"Cosmetic")</f>
        <v>Cosmetic</v>
      </c>
    </row>
    <row r="423">
      <c r="A423" s="156" t="str">
        <f>IFERROR(__xludf.DUMMYFUNCTION("""COMPUTED_VALUE"""),"https://drive.google.com/open?id=1X2YIn8VnpTC3T_Ufu_6EWi4K9K89qvQs&amp;authuser=jay.agg%40gmail.com&amp;usp=drive_fs")</f>
        <v>https://drive.google.com/open?id=1X2YIn8VnpTC3T_Ufu_6EWi4K9K89qvQs&amp;authuser=jay.agg%40gmail.com&amp;usp=drive_fs</v>
      </c>
      <c r="B423" s="73" t="str">
        <f>IFERROR(__xludf.DUMMYFUNCTION("""COMPUTED_VALUE"""),"Cosmetic")</f>
        <v>Cosmetic</v>
      </c>
      <c r="C423" s="73" t="str">
        <f>IFERROR(__xludf.DUMMYFUNCTION("""COMPUTED_VALUE"""),"Misc")</f>
        <v>Misc</v>
      </c>
      <c r="D423" s="73" t="str">
        <f>IFERROR(__xludf.DUMMYFUNCTION("""COMPUTED_VALUE"""),"89*89*89 mm | 3.5*3.5*3.5 inch")</f>
        <v>89*89*89 mm | 3.5*3.5*3.5 inch</v>
      </c>
      <c r="E423" s="77">
        <f>IFERROR(__xludf.DUMMYFUNCTION("""COMPUTED_VALUE"""),4.0)</f>
        <v>4</v>
      </c>
      <c r="F423" s="77">
        <f>IFERROR(__xludf.DUMMYFUNCTION("""COMPUTED_VALUE"""),2029.0)</f>
        <v>2029</v>
      </c>
      <c r="G423" s="77">
        <f>IFERROR(__xludf.DUMMYFUNCTION("""COMPUTED_VALUE"""),20.75)</f>
        <v>20.75</v>
      </c>
      <c r="H423" s="77">
        <f>IFERROR(__xludf.DUMMYFUNCTION("""COMPUTED_VALUE"""),31.0)</f>
        <v>31</v>
      </c>
      <c r="I423" s="77">
        <f>IFERROR(__xludf.DUMMYFUNCTION("""COMPUTED_VALUE"""),100.0)</f>
        <v>100</v>
      </c>
      <c r="J423" s="73"/>
      <c r="K423" s="73"/>
      <c r="L423" s="73"/>
      <c r="M423" s="77">
        <f>IFERROR(__xludf.DUMMYFUNCTION("""COMPUTED_VALUE"""),0.1)</f>
        <v>0.1</v>
      </c>
      <c r="N423" s="77">
        <f>IFERROR(__xludf.DUMMYFUNCTION("""COMPUTED_VALUE"""),1.0)</f>
        <v>1</v>
      </c>
      <c r="O423" s="49"/>
      <c r="P423" s="49" t="str">
        <f>IFERROR(__xludf.DUMMYFUNCTION("""COMPUTED_VALUE"""),"Offset")</f>
        <v>Offset</v>
      </c>
      <c r="Q423" s="49" t="str">
        <f>IFERROR(__xludf.DUMMYFUNCTION("""COMPUTED_VALUE"""),"Packaging")</f>
        <v>Packaging</v>
      </c>
      <c r="R423" s="49" t="str">
        <f>IFERROR(__xludf.DUMMYFUNCTION("""COMPUTED_VALUE"""),"Cosmetic")</f>
        <v>Cosmetic</v>
      </c>
    </row>
    <row r="424">
      <c r="A424" s="156" t="str">
        <f>IFERROR(__xludf.DUMMYFUNCTION("""COMPUTED_VALUE"""),"https://drive.google.com/open?id=1Zr48u6JCb198CIjYkRE8oCjFiir4ZNaM&amp;authuser=jay.agg%40gmail.com&amp;usp=drive_fs")</f>
        <v>https://drive.google.com/open?id=1Zr48u6JCb198CIjYkRE8oCjFiir4ZNaM&amp;authuser=jay.agg%40gmail.com&amp;usp=drive_fs</v>
      </c>
      <c r="B424" s="73" t="str">
        <f>IFERROR(__xludf.DUMMYFUNCTION("""COMPUTED_VALUE"""),"Cosmetic")</f>
        <v>Cosmetic</v>
      </c>
      <c r="C424" s="73" t="str">
        <f>IFERROR(__xludf.DUMMYFUNCTION("""COMPUTED_VALUE"""),"Misc")</f>
        <v>Misc</v>
      </c>
      <c r="D424" s="73" t="str">
        <f>IFERROR(__xludf.DUMMYFUNCTION("""COMPUTED_VALUE"""),"56*14*112 mm | 2.2*0.5*4.4 inch W 1.5*3.5 inch")</f>
        <v>56*14*112 mm | 2.2*0.5*4.4 inch W 1.5*3.5 inch</v>
      </c>
      <c r="E424" s="77">
        <f>IFERROR(__xludf.DUMMYFUNCTION("""COMPUTED_VALUE"""),12.0)</f>
        <v>12</v>
      </c>
      <c r="F424" s="77">
        <f>IFERROR(__xludf.DUMMYFUNCTION("""COMPUTED_VALUE"""),2029.0)</f>
        <v>2029</v>
      </c>
      <c r="G424" s="77">
        <f>IFERROR(__xludf.DUMMYFUNCTION("""COMPUTED_VALUE"""),18.0)</f>
        <v>18</v>
      </c>
      <c r="H424" s="77">
        <f>IFERROR(__xludf.DUMMYFUNCTION("""COMPUTED_VALUE"""),23.0)</f>
        <v>23</v>
      </c>
      <c r="I424" s="77">
        <f>IFERROR(__xludf.DUMMYFUNCTION("""COMPUTED_VALUE"""),100.0)</f>
        <v>100</v>
      </c>
      <c r="J424" s="73"/>
      <c r="K424" s="73"/>
      <c r="L424" s="73">
        <f>IFERROR(__xludf.DUMMYFUNCTION("""COMPUTED_VALUE"""),1.5)</f>
        <v>1.5</v>
      </c>
      <c r="M424" s="77">
        <f>IFERROR(__xludf.DUMMYFUNCTION("""COMPUTED_VALUE"""),0.1)</f>
        <v>0.1</v>
      </c>
      <c r="N424" s="77">
        <f>IFERROR(__xludf.DUMMYFUNCTION("""COMPUTED_VALUE"""),1.0)</f>
        <v>1</v>
      </c>
      <c r="O424" s="49"/>
      <c r="P424" s="49" t="str">
        <f>IFERROR(__xludf.DUMMYFUNCTION("""COMPUTED_VALUE"""),"Offset")</f>
        <v>Offset</v>
      </c>
      <c r="Q424" s="49" t="str">
        <f>IFERROR(__xludf.DUMMYFUNCTION("""COMPUTED_VALUE"""),"Packaging")</f>
        <v>Packaging</v>
      </c>
      <c r="R424" s="49" t="str">
        <f>IFERROR(__xludf.DUMMYFUNCTION("""COMPUTED_VALUE"""),"Cosmetic")</f>
        <v>Cosmetic</v>
      </c>
    </row>
    <row r="425">
      <c r="A425" s="156" t="str">
        <f>IFERROR(__xludf.DUMMYFUNCTION("""COMPUTED_VALUE"""),"https://drive.google.com/open?id=1a1Nmjj6669Z-54xKxQzzpdtdmX4euyEp&amp;authuser=jay.agg%40gmail.com&amp;usp=drive_fs")</f>
        <v>https://drive.google.com/open?id=1a1Nmjj6669Z-54xKxQzzpdtdmX4euyEp&amp;authuser=jay.agg%40gmail.com&amp;usp=drive_fs</v>
      </c>
      <c r="B425" s="73" t="str">
        <f>IFERROR(__xludf.DUMMYFUNCTION("""COMPUTED_VALUE"""),"Cosmetic")</f>
        <v>Cosmetic</v>
      </c>
      <c r="C425" s="73" t="str">
        <f>IFERROR(__xludf.DUMMYFUNCTION("""COMPUTED_VALUE"""),"Misc")</f>
        <v>Misc</v>
      </c>
      <c r="D425" s="73" t="str">
        <f>IFERROR(__xludf.DUMMYFUNCTION("""COMPUTED_VALUE"""),"42*42*126 mm | 1.6*1.6*4.9 inch")</f>
        <v>42*42*126 mm | 1.6*1.6*4.9 inch</v>
      </c>
      <c r="E425" s="77">
        <f>IFERROR(__xludf.DUMMYFUNCTION("""COMPUTED_VALUE"""),6.0)</f>
        <v>6</v>
      </c>
      <c r="F425" s="77">
        <f>IFERROR(__xludf.DUMMYFUNCTION("""COMPUTED_VALUE"""),1926.0)</f>
        <v>1926</v>
      </c>
      <c r="G425" s="77">
        <f>IFERROR(__xludf.DUMMYFUNCTION("""COMPUTED_VALUE"""),18.0)</f>
        <v>18</v>
      </c>
      <c r="H425" s="77">
        <f>IFERROR(__xludf.DUMMYFUNCTION("""COMPUTED_VALUE"""),23.0)</f>
        <v>23</v>
      </c>
      <c r="I425" s="77">
        <f>IFERROR(__xludf.DUMMYFUNCTION("""COMPUTED_VALUE"""),100.0)</f>
        <v>100</v>
      </c>
      <c r="J425" s="73"/>
      <c r="K425" s="73"/>
      <c r="L425" s="73"/>
      <c r="M425" s="77">
        <f>IFERROR(__xludf.DUMMYFUNCTION("""COMPUTED_VALUE"""),0.1)</f>
        <v>0.1</v>
      </c>
      <c r="N425" s="77">
        <f>IFERROR(__xludf.DUMMYFUNCTION("""COMPUTED_VALUE"""),1.0)</f>
        <v>1</v>
      </c>
      <c r="O425" s="49"/>
      <c r="P425" s="49" t="str">
        <f>IFERROR(__xludf.DUMMYFUNCTION("""COMPUTED_VALUE"""),"Offset")</f>
        <v>Offset</v>
      </c>
      <c r="Q425" s="49" t="str">
        <f>IFERROR(__xludf.DUMMYFUNCTION("""COMPUTED_VALUE"""),"Packaging")</f>
        <v>Packaging</v>
      </c>
      <c r="R425" s="49" t="str">
        <f>IFERROR(__xludf.DUMMYFUNCTION("""COMPUTED_VALUE"""),"Cosmetic")</f>
        <v>Cosmetic</v>
      </c>
    </row>
    <row r="426">
      <c r="A426" s="156" t="str">
        <f>IFERROR(__xludf.DUMMYFUNCTION("""COMPUTED_VALUE"""),"https://drive.google.com/open?id=1bFJMouqJKUUp7OyZoS5hr1YdMefZnQe2&amp;authuser=jay.agg%40gmail.com&amp;usp=drive_fs")</f>
        <v>https://drive.google.com/open?id=1bFJMouqJKUUp7OyZoS5hr1YdMefZnQe2&amp;authuser=jay.agg%40gmail.com&amp;usp=drive_fs</v>
      </c>
      <c r="B426" s="73" t="str">
        <f>IFERROR(__xludf.DUMMYFUNCTION("""COMPUTED_VALUE"""),"Cosmetic")</f>
        <v>Cosmetic</v>
      </c>
      <c r="C426" s="73" t="str">
        <f>IFERROR(__xludf.DUMMYFUNCTION("""COMPUTED_VALUE"""),"Misc")</f>
        <v>Misc</v>
      </c>
      <c r="D426" s="73" t="str">
        <f>IFERROR(__xludf.DUMMYFUNCTION("""COMPUTED_VALUE"""),"92*132*90 mm | 3.6*5.2*3.5 inch LB")</f>
        <v>92*132*90 mm | 3.6*5.2*3.5 inch LB</v>
      </c>
      <c r="E426" s="77">
        <f>IFERROR(__xludf.DUMMYFUNCTION("""COMPUTED_VALUE"""),2.0)</f>
        <v>2</v>
      </c>
      <c r="F426" s="77">
        <f>IFERROR(__xludf.DUMMYFUNCTION("""COMPUTED_VALUE"""),2029.0)</f>
        <v>2029</v>
      </c>
      <c r="G426" s="77">
        <f>IFERROR(__xludf.DUMMYFUNCTION("""COMPUTED_VALUE"""),18.0)</f>
        <v>18</v>
      </c>
      <c r="H426" s="77">
        <f>IFERROR(__xludf.DUMMYFUNCTION("""COMPUTED_VALUE"""),23.0)</f>
        <v>23</v>
      </c>
      <c r="I426" s="77">
        <f>IFERROR(__xludf.DUMMYFUNCTION("""COMPUTED_VALUE"""),100.0)</f>
        <v>100</v>
      </c>
      <c r="J426" s="73"/>
      <c r="K426" s="73"/>
      <c r="L426" s="73">
        <f>IFERROR(__xludf.DUMMYFUNCTION("""COMPUTED_VALUE"""),1.5)</f>
        <v>1.5</v>
      </c>
      <c r="M426" s="77">
        <f>IFERROR(__xludf.DUMMYFUNCTION("""COMPUTED_VALUE"""),0.18)</f>
        <v>0.18</v>
      </c>
      <c r="N426" s="77">
        <f>IFERROR(__xludf.DUMMYFUNCTION("""COMPUTED_VALUE"""),1.0)</f>
        <v>1</v>
      </c>
      <c r="O426" s="49"/>
      <c r="P426" s="49" t="str">
        <f>IFERROR(__xludf.DUMMYFUNCTION("""COMPUTED_VALUE"""),"Offset")</f>
        <v>Offset</v>
      </c>
      <c r="Q426" s="49" t="str">
        <f>IFERROR(__xludf.DUMMYFUNCTION("""COMPUTED_VALUE"""),"Packaging")</f>
        <v>Packaging</v>
      </c>
      <c r="R426" s="49" t="str">
        <f>IFERROR(__xludf.DUMMYFUNCTION("""COMPUTED_VALUE"""),"Cosmetic")</f>
        <v>Cosmetic</v>
      </c>
    </row>
    <row r="427">
      <c r="A427" s="156" t="str">
        <f>IFERROR(__xludf.DUMMYFUNCTION("""COMPUTED_VALUE"""),"https://drive.google.com/open?id=1YzGUf9bOviSOMjIbbBzeEmCQ4GVl1TRQ&amp;authuser=jay.agg%40gmail.com&amp;usp=drive_fs")</f>
        <v>https://drive.google.com/open?id=1YzGUf9bOviSOMjIbbBzeEmCQ4GVl1TRQ&amp;authuser=jay.agg%40gmail.com&amp;usp=drive_fs</v>
      </c>
      <c r="B427" s="73" t="str">
        <f>IFERROR(__xludf.DUMMYFUNCTION("""COMPUTED_VALUE"""),"Dude Love")</f>
        <v>Dude Love</v>
      </c>
      <c r="C427" s="73" t="str">
        <f>IFERROR(__xludf.DUMMYFUNCTION("""COMPUTED_VALUE"""),"Lip Balm")</f>
        <v>Lip Balm</v>
      </c>
      <c r="D427" s="73" t="str">
        <f>IFERROR(__xludf.DUMMYFUNCTION("""COMPUTED_VALUE"""),"Pack of 1 Sleeve 120*50*20 mm | 4.7*1.9*0.8 inch ")</f>
        <v>Pack of 1 Sleeve 120*50*20 mm | 4.7*1.9*0.8 inch </v>
      </c>
      <c r="E427" s="77">
        <f>IFERROR(__xludf.DUMMYFUNCTION("""COMPUTED_VALUE"""),12.0)</f>
        <v>12</v>
      </c>
      <c r="F427" s="77">
        <f>IFERROR(__xludf.DUMMYFUNCTION("""COMPUTED_VALUE"""),1926.0)</f>
        <v>1926</v>
      </c>
      <c r="G427" s="77">
        <f>IFERROR(__xludf.DUMMYFUNCTION("""COMPUTED_VALUE"""),19.5)</f>
        <v>19.5</v>
      </c>
      <c r="H427" s="77">
        <f>IFERROR(__xludf.DUMMYFUNCTION("""COMPUTED_VALUE"""),23.0)</f>
        <v>23</v>
      </c>
      <c r="I427" s="77">
        <f>IFERROR(__xludf.DUMMYFUNCTION("""COMPUTED_VALUE"""),100.0)</f>
        <v>100</v>
      </c>
      <c r="J427" s="73"/>
      <c r="K427" s="73"/>
      <c r="L427" s="73"/>
      <c r="M427" s="77">
        <f>IFERROR(__xludf.DUMMYFUNCTION("""COMPUTED_VALUE"""),0.1)</f>
        <v>0.1</v>
      </c>
      <c r="N427" s="77">
        <f>IFERROR(__xludf.DUMMYFUNCTION("""COMPUTED_VALUE"""),1.0)</f>
        <v>1</v>
      </c>
      <c r="O427" s="49"/>
      <c r="P427" s="49" t="str">
        <f>IFERROR(__xludf.DUMMYFUNCTION("""COMPUTED_VALUE"""),"Offset")</f>
        <v>Offset</v>
      </c>
      <c r="Q427" s="49" t="str">
        <f>IFERROR(__xludf.DUMMYFUNCTION("""COMPUTED_VALUE"""),"Packaging")</f>
        <v>Packaging</v>
      </c>
      <c r="R427" s="49" t="str">
        <f>IFERROR(__xludf.DUMMYFUNCTION("""COMPUTED_VALUE"""),"Dude Love")</f>
        <v>Dude Love</v>
      </c>
    </row>
    <row r="428">
      <c r="A428" s="156" t="str">
        <f>IFERROR(__xludf.DUMMYFUNCTION("""COMPUTED_VALUE"""),"https://drive.google.com/open?id=1YskJyOgYLxXjMNASIyEpSB-Yst-LBCIA&amp;authuser=jay.agg%40gmail.com&amp;usp=drive_fs")</f>
        <v>https://drive.google.com/open?id=1YskJyOgYLxXjMNASIyEpSB-Yst-LBCIA&amp;authuser=jay.agg%40gmail.com&amp;usp=drive_fs</v>
      </c>
      <c r="B428" s="73" t="str">
        <f>IFERROR(__xludf.DUMMYFUNCTION("""COMPUTED_VALUE"""),"Dude Love")</f>
        <v>Dude Love</v>
      </c>
      <c r="C428" s="73" t="str">
        <f>IFERROR(__xludf.DUMMYFUNCTION("""COMPUTED_VALUE"""),"Lip Balm")</f>
        <v>Lip Balm</v>
      </c>
      <c r="D428" s="73" t="str">
        <f>IFERROR(__xludf.DUMMYFUNCTION("""COMPUTED_VALUE"""),"Pack of 2 120*90*20 mm | 4.7*3.5*0.8 inch")</f>
        <v>Pack of 2 120*90*20 mm | 4.7*3.5*0.8 inch</v>
      </c>
      <c r="E428" s="77">
        <f>IFERROR(__xludf.DUMMYFUNCTION("""COMPUTED_VALUE"""),2.0)</f>
        <v>2</v>
      </c>
      <c r="F428" s="77">
        <f>IFERROR(__xludf.DUMMYFUNCTION("""COMPUTED_VALUE"""),1926.0)</f>
        <v>1926</v>
      </c>
      <c r="G428" s="77">
        <f>IFERROR(__xludf.DUMMYFUNCTION("""COMPUTED_VALUE"""),15.75)</f>
        <v>15.75</v>
      </c>
      <c r="H428" s="77">
        <f>IFERROR(__xludf.DUMMYFUNCTION("""COMPUTED_VALUE"""),20.75)</f>
        <v>20.75</v>
      </c>
      <c r="I428" s="77">
        <f>IFERROR(__xludf.DUMMYFUNCTION("""COMPUTED_VALUE"""),100.0)</f>
        <v>100</v>
      </c>
      <c r="J428" s="73"/>
      <c r="K428" s="73"/>
      <c r="L428" s="73"/>
      <c r="M428" s="77">
        <f>IFERROR(__xludf.DUMMYFUNCTION("""COMPUTED_VALUE"""),0.1)</f>
        <v>0.1</v>
      </c>
      <c r="N428" s="77">
        <f>IFERROR(__xludf.DUMMYFUNCTION("""COMPUTED_VALUE"""),1.0)</f>
        <v>1</v>
      </c>
      <c r="O428" s="49"/>
      <c r="P428" s="49" t="str">
        <f>IFERROR(__xludf.DUMMYFUNCTION("""COMPUTED_VALUE"""),"Offset")</f>
        <v>Offset</v>
      </c>
      <c r="Q428" s="49" t="str">
        <f>IFERROR(__xludf.DUMMYFUNCTION("""COMPUTED_VALUE"""),"Packaging")</f>
        <v>Packaging</v>
      </c>
      <c r="R428" s="49" t="str">
        <f>IFERROR(__xludf.DUMMYFUNCTION("""COMPUTED_VALUE"""),"Dude Love")</f>
        <v>Dude Love</v>
      </c>
    </row>
    <row r="429">
      <c r="A429" s="156" t="str">
        <f>IFERROR(__xludf.DUMMYFUNCTION("""COMPUTED_VALUE"""),"https://drive.google.com/open?id=1aDFrqvaIXY4BsXjbD-d0XxClXe1HnyTO&amp;authuser=jay.agg%40gmail.com&amp;usp=drive_fs")</f>
        <v>https://drive.google.com/open?id=1aDFrqvaIXY4BsXjbD-d0XxClXe1HnyTO&amp;authuser=jay.agg%40gmail.com&amp;usp=drive_fs</v>
      </c>
      <c r="B429" s="73" t="str">
        <f>IFERROR(__xludf.DUMMYFUNCTION("""COMPUTED_VALUE"""),"Dude Love")</f>
        <v>Dude Love</v>
      </c>
      <c r="C429" s="73" t="str">
        <f>IFERROR(__xludf.DUMMYFUNCTION("""COMPUTED_VALUE"""),"Lip Balm")</f>
        <v>Lip Balm</v>
      </c>
      <c r="D429" s="73" t="str">
        <f>IFERROR(__xludf.DUMMYFUNCTION("""COMPUTED_VALUE"""),"Pack of 4 Sleeve 170*90*20 mm | 6.7*3.6*0.8 inch")</f>
        <v>Pack of 4 Sleeve 170*90*20 mm | 6.7*3.6*0.8 inch</v>
      </c>
      <c r="E429" s="77">
        <f>IFERROR(__xludf.DUMMYFUNCTION("""COMPUTED_VALUE"""),4.0)</f>
        <v>4</v>
      </c>
      <c r="F429" s="77">
        <f>IFERROR(__xludf.DUMMYFUNCTION("""COMPUTED_VALUE"""),1926.0)</f>
        <v>1926</v>
      </c>
      <c r="G429" s="77">
        <f>IFERROR(__xludf.DUMMYFUNCTION("""COMPUTED_VALUE"""),15.0)</f>
        <v>15</v>
      </c>
      <c r="H429" s="77">
        <f>IFERROR(__xludf.DUMMYFUNCTION("""COMPUTED_VALUE"""),25.0)</f>
        <v>25</v>
      </c>
      <c r="I429" s="77">
        <f>IFERROR(__xludf.DUMMYFUNCTION("""COMPUTED_VALUE"""),100.0)</f>
        <v>100</v>
      </c>
      <c r="J429" s="73"/>
      <c r="K429" s="73"/>
      <c r="L429" s="73"/>
      <c r="M429" s="77">
        <f>IFERROR(__xludf.DUMMYFUNCTION("""COMPUTED_VALUE"""),0.1)</f>
        <v>0.1</v>
      </c>
      <c r="N429" s="77">
        <f>IFERROR(__xludf.DUMMYFUNCTION("""COMPUTED_VALUE"""),1.0)</f>
        <v>1</v>
      </c>
      <c r="O429" s="49"/>
      <c r="P429" s="49" t="str">
        <f>IFERROR(__xludf.DUMMYFUNCTION("""COMPUTED_VALUE"""),"Offset")</f>
        <v>Offset</v>
      </c>
      <c r="Q429" s="49" t="str">
        <f>IFERROR(__xludf.DUMMYFUNCTION("""COMPUTED_VALUE"""),"Packaging")</f>
        <v>Packaging</v>
      </c>
      <c r="R429" s="49" t="str">
        <f>IFERROR(__xludf.DUMMYFUNCTION("""COMPUTED_VALUE"""),"Dude Love")</f>
        <v>Dude Love</v>
      </c>
    </row>
    <row r="430">
      <c r="A430" s="156" t="str">
        <f>IFERROR(__xludf.DUMMYFUNCTION("""COMPUTED_VALUE"""),"https://drive.google.com/open?id=1aIusfbEUnh2y61fcUtLN1s69x_Tqs8Th&amp;authuser=jay.agg%40gmail.com&amp;usp=drive_fs")</f>
        <v>https://drive.google.com/open?id=1aIusfbEUnh2y61fcUtLN1s69x_Tqs8Th&amp;authuser=jay.agg%40gmail.com&amp;usp=drive_fs</v>
      </c>
      <c r="B430" s="73" t="str">
        <f>IFERROR(__xludf.DUMMYFUNCTION("""COMPUTED_VALUE"""),"Dude Love")</f>
        <v>Dude Love</v>
      </c>
      <c r="C430" s="73" t="str">
        <f>IFERROR(__xludf.DUMMYFUNCTION("""COMPUTED_VALUE"""),"Lubricant")</f>
        <v>Lubricant</v>
      </c>
      <c r="D430" s="73" t="str">
        <f>IFERROR(__xludf.DUMMYFUNCTION("""COMPUTED_VALUE"""),"55*55*145 mm | 2.2*2.2*5.7 inch")</f>
        <v>55*55*145 mm | 2.2*2.2*5.7 inch</v>
      </c>
      <c r="E430" s="77">
        <f>IFERROR(__xludf.DUMMYFUNCTION("""COMPUTED_VALUE"""),4.0)</f>
        <v>4</v>
      </c>
      <c r="F430" s="77">
        <f>IFERROR(__xludf.DUMMYFUNCTION("""COMPUTED_VALUE"""),2029.0)</f>
        <v>2029</v>
      </c>
      <c r="G430" s="77">
        <f>IFERROR(__xludf.DUMMYFUNCTION("""COMPUTED_VALUE"""),20.0)</f>
        <v>20</v>
      </c>
      <c r="H430" s="77">
        <f>IFERROR(__xludf.DUMMYFUNCTION("""COMPUTED_VALUE"""),21.0)</f>
        <v>21</v>
      </c>
      <c r="I430" s="77">
        <f>IFERROR(__xludf.DUMMYFUNCTION("""COMPUTED_VALUE"""),100.0)</f>
        <v>100</v>
      </c>
      <c r="J430" s="73"/>
      <c r="K430" s="73"/>
      <c r="L430" s="73"/>
      <c r="M430" s="77">
        <f>IFERROR(__xludf.DUMMYFUNCTION("""COMPUTED_VALUE"""),0.1)</f>
        <v>0.1</v>
      </c>
      <c r="N430" s="77">
        <f>IFERROR(__xludf.DUMMYFUNCTION("""COMPUTED_VALUE"""),1.0)</f>
        <v>1</v>
      </c>
      <c r="O430" s="49"/>
      <c r="P430" s="49" t="str">
        <f>IFERROR(__xludf.DUMMYFUNCTION("""COMPUTED_VALUE"""),"Offset")</f>
        <v>Offset</v>
      </c>
      <c r="Q430" s="49" t="str">
        <f>IFERROR(__xludf.DUMMYFUNCTION("""COMPUTED_VALUE"""),"Packaging")</f>
        <v>Packaging</v>
      </c>
      <c r="R430" s="49" t="str">
        <f>IFERROR(__xludf.DUMMYFUNCTION("""COMPUTED_VALUE"""),"Dude Love")</f>
        <v>Dude Love</v>
      </c>
    </row>
    <row r="431">
      <c r="A431" s="156" t="str">
        <f>IFERROR(__xludf.DUMMYFUNCTION("""COMPUTED_VALUE"""),"https://drive.google.com/open?id=1aIybgTeiRLRTGuxBBZThhDTM8WSBgdZ3&amp;authuser=jay.agg%40gmail.com&amp;usp=drive_fs")</f>
        <v>https://drive.google.com/open?id=1aIybgTeiRLRTGuxBBZThhDTM8WSBgdZ3&amp;authuser=jay.agg%40gmail.com&amp;usp=drive_fs</v>
      </c>
      <c r="B431" s="73" t="str">
        <f>IFERROR(__xludf.DUMMYFUNCTION("""COMPUTED_VALUE"""),"Dude Love")</f>
        <v>Dude Love</v>
      </c>
      <c r="C431" s="73" t="str">
        <f>IFERROR(__xludf.DUMMYFUNCTION("""COMPUTED_VALUE"""),"Massage Oil")</f>
        <v>Massage Oil</v>
      </c>
      <c r="D431" s="73" t="str">
        <f>IFERROR(__xludf.DUMMYFUNCTION("""COMPUTED_VALUE"""),"40*40*150 mm | 1.5*1.5*5.9 inch")</f>
        <v>40*40*150 mm | 1.5*1.5*5.9 inch</v>
      </c>
      <c r="E431" s="77">
        <f>IFERROR(__xludf.DUMMYFUNCTION("""COMPUTED_VALUE"""),4.0)</f>
        <v>4</v>
      </c>
      <c r="F431" s="77">
        <f>IFERROR(__xludf.DUMMYFUNCTION("""COMPUTED_VALUE"""),1926.0)</f>
        <v>1926</v>
      </c>
      <c r="G431" s="77">
        <f>IFERROR(__xludf.DUMMYFUNCTION("""COMPUTED_VALUE"""),15.75)</f>
        <v>15.75</v>
      </c>
      <c r="H431" s="77">
        <f>IFERROR(__xludf.DUMMYFUNCTION("""COMPUTED_VALUE"""),20.75)</f>
        <v>20.75</v>
      </c>
      <c r="I431" s="77">
        <f>IFERROR(__xludf.DUMMYFUNCTION("""COMPUTED_VALUE"""),100.0)</f>
        <v>100</v>
      </c>
      <c r="J431" s="73"/>
      <c r="K431" s="73"/>
      <c r="L431" s="73"/>
      <c r="M431" s="77">
        <f>IFERROR(__xludf.DUMMYFUNCTION("""COMPUTED_VALUE"""),0.1)</f>
        <v>0.1</v>
      </c>
      <c r="N431" s="77">
        <f>IFERROR(__xludf.DUMMYFUNCTION("""COMPUTED_VALUE"""),1.0)</f>
        <v>1</v>
      </c>
      <c r="O431" s="49"/>
      <c r="P431" s="49" t="str">
        <f>IFERROR(__xludf.DUMMYFUNCTION("""COMPUTED_VALUE"""),"Offset")</f>
        <v>Offset</v>
      </c>
      <c r="Q431" s="49" t="str">
        <f>IFERROR(__xludf.DUMMYFUNCTION("""COMPUTED_VALUE"""),"Packaging")</f>
        <v>Packaging</v>
      </c>
      <c r="R431" s="49" t="str">
        <f>IFERROR(__xludf.DUMMYFUNCTION("""COMPUTED_VALUE"""),"Dude Love")</f>
        <v>Dude Love</v>
      </c>
    </row>
    <row r="432">
      <c r="A432" s="156" t="str">
        <f>IFERROR(__xludf.DUMMYFUNCTION("""COMPUTED_VALUE"""),"https://drive.google.com/open?id=1hSeyKJ1hBQ6G-yX5IwyCjff-lO39iQWq&amp;authuser=jay.agg%40gmail.com&amp;usp=drive_fs")</f>
        <v>https://drive.google.com/open?id=1hSeyKJ1hBQ6G-yX5IwyCjff-lO39iQWq&amp;authuser=jay.agg%40gmail.com&amp;usp=drive_fs</v>
      </c>
      <c r="B432" s="73" t="str">
        <f>IFERROR(__xludf.DUMMYFUNCTION("""COMPUTED_VALUE"""),"Cosmetic")</f>
        <v>Cosmetic</v>
      </c>
      <c r="C432" s="73" t="str">
        <f>IFERROR(__xludf.DUMMYFUNCTION("""COMPUTED_VALUE"""),"Misc")</f>
        <v>Misc</v>
      </c>
      <c r="D432" s="73" t="str">
        <f>IFERROR(__xludf.DUMMYFUNCTION("""COMPUTED_VALUE"""),"64*25*102 mm | 2.5*1*4 inch")</f>
        <v>64*25*102 mm | 2.5*1*4 inch</v>
      </c>
      <c r="E432" s="77">
        <f>IFERROR(__xludf.DUMMYFUNCTION("""COMPUTED_VALUE"""),9.0)</f>
        <v>9</v>
      </c>
      <c r="F432" s="77">
        <f>IFERROR(__xludf.DUMMYFUNCTION("""COMPUTED_VALUE"""),1926.0)</f>
        <v>1926</v>
      </c>
      <c r="G432" s="77">
        <f>IFERROR(__xludf.DUMMYFUNCTION("""COMPUTED_VALUE"""),19.5)</f>
        <v>19.5</v>
      </c>
      <c r="H432" s="77">
        <f>IFERROR(__xludf.DUMMYFUNCTION("""COMPUTED_VALUE"""),23.0)</f>
        <v>23</v>
      </c>
      <c r="I432" s="77">
        <f>IFERROR(__xludf.DUMMYFUNCTION("""COMPUTED_VALUE"""),100.0)</f>
        <v>100</v>
      </c>
      <c r="J432" s="73"/>
      <c r="K432" s="73"/>
      <c r="L432" s="73"/>
      <c r="M432" s="77">
        <f>IFERROR(__xludf.DUMMYFUNCTION("""COMPUTED_VALUE"""),0.1)</f>
        <v>0.1</v>
      </c>
      <c r="N432" s="77">
        <f>IFERROR(__xludf.DUMMYFUNCTION("""COMPUTED_VALUE"""),1.0)</f>
        <v>1</v>
      </c>
      <c r="O432" s="49"/>
      <c r="P432" s="49" t="str">
        <f>IFERROR(__xludf.DUMMYFUNCTION("""COMPUTED_VALUE"""),"Offset")</f>
        <v>Offset</v>
      </c>
      <c r="Q432" s="49" t="str">
        <f>IFERROR(__xludf.DUMMYFUNCTION("""COMPUTED_VALUE"""),"Packaging")</f>
        <v>Packaging</v>
      </c>
      <c r="R432" s="49" t="str">
        <f>IFERROR(__xludf.DUMMYFUNCTION("""COMPUTED_VALUE"""),"Cosmetic")</f>
        <v>Cosmetic</v>
      </c>
    </row>
    <row r="433">
      <c r="A433" s="156" t="str">
        <f>IFERROR(__xludf.DUMMYFUNCTION("""COMPUTED_VALUE"""),"https://drive.google.com/open?id=1iOdpJVBfDAl33QYlojvH99PNBK0GaDWK&amp;authuser=jay.agg%40gmail.com&amp;usp=drive_fs")</f>
        <v>https://drive.google.com/open?id=1iOdpJVBfDAl33QYlojvH99PNBK0GaDWK&amp;authuser=jay.agg%40gmail.com&amp;usp=drive_fs</v>
      </c>
      <c r="B433" s="73" t="str">
        <f>IFERROR(__xludf.DUMMYFUNCTION("""COMPUTED_VALUE"""),"Dude Love")</f>
        <v>Dude Love</v>
      </c>
      <c r="C433" s="73" t="str">
        <f>IFERROR(__xludf.DUMMYFUNCTION("""COMPUTED_VALUE"""),"Massage Oil")</f>
        <v>Massage Oil</v>
      </c>
      <c r="D433" s="73" t="str">
        <f>IFERROR(__xludf.DUMMYFUNCTION("""COMPUTED_VALUE"""),"70*50*170 mm | 2.7*2*6.7 inch")</f>
        <v>70*50*170 mm | 2.7*2*6.7 inch</v>
      </c>
      <c r="E433" s="77">
        <f>IFERROR(__xludf.DUMMYFUNCTION("""COMPUTED_VALUE"""),2.0)</f>
        <v>2</v>
      </c>
      <c r="F433" s="77">
        <f>IFERROR(__xludf.DUMMYFUNCTION("""COMPUTED_VALUE"""),1926.0)</f>
        <v>1926</v>
      </c>
      <c r="G433" s="77">
        <f>IFERROR(__xludf.DUMMYFUNCTION("""COMPUTED_VALUE"""),12.0)</f>
        <v>12</v>
      </c>
      <c r="H433" s="77">
        <f>IFERROR(__xludf.DUMMYFUNCTION("""COMPUTED_VALUE"""),23.0)</f>
        <v>23</v>
      </c>
      <c r="I433" s="77">
        <f>IFERROR(__xludf.DUMMYFUNCTION("""COMPUTED_VALUE"""),100.0)</f>
        <v>100</v>
      </c>
      <c r="J433" s="73"/>
      <c r="K433" s="73"/>
      <c r="L433" s="73"/>
      <c r="M433" s="77">
        <f>IFERROR(__xludf.DUMMYFUNCTION("""COMPUTED_VALUE"""),0.1)</f>
        <v>0.1</v>
      </c>
      <c r="N433" s="77">
        <f>IFERROR(__xludf.DUMMYFUNCTION("""COMPUTED_VALUE"""),1.0)</f>
        <v>1</v>
      </c>
      <c r="O433" s="49"/>
      <c r="P433" s="49" t="str">
        <f>IFERROR(__xludf.DUMMYFUNCTION("""COMPUTED_VALUE"""),"Offset")</f>
        <v>Offset</v>
      </c>
      <c r="Q433" s="49" t="str">
        <f>IFERROR(__xludf.DUMMYFUNCTION("""COMPUTED_VALUE"""),"Packaging")</f>
        <v>Packaging</v>
      </c>
      <c r="R433" s="49" t="str">
        <f>IFERROR(__xludf.DUMMYFUNCTION("""COMPUTED_VALUE"""),"Dude Love")</f>
        <v>Dude Love</v>
      </c>
    </row>
    <row r="434">
      <c r="A434" s="156" t="str">
        <f>IFERROR(__xludf.DUMMYFUNCTION("""COMPUTED_VALUE"""),"https://drive.google.com/open?id=1nh0I77l1wz06xfCgEVGjce1i8903ajsc&amp;authuser=jay.agg%40gmail.com&amp;usp=drive_fs")</f>
        <v>https://drive.google.com/open?id=1nh0I77l1wz06xfCgEVGjce1i8903ajsc&amp;authuser=jay.agg%40gmail.com&amp;usp=drive_fs</v>
      </c>
      <c r="B434" s="73" t="str">
        <f>IFERROR(__xludf.DUMMYFUNCTION("""COMPUTED_VALUE"""),"Dude Love")</f>
        <v>Dude Love</v>
      </c>
      <c r="C434" s="73" t="str">
        <f>IFERROR(__xludf.DUMMYFUNCTION("""COMPUTED_VALUE"""),"Lip Balm")</f>
        <v>Lip Balm</v>
      </c>
      <c r="D434" s="73" t="str">
        <f>IFERROR(__xludf.DUMMYFUNCTION("""COMPUTED_VALUE"""),"Pack of 1 Tray 120*50*20 mm | 4.7*1.9*0.8 inch ")</f>
        <v>Pack of 1 Tray 120*50*20 mm | 4.7*1.9*0.8 inch </v>
      </c>
      <c r="E434" s="77">
        <f>IFERROR(__xludf.DUMMYFUNCTION("""COMPUTED_VALUE"""),4.0)</f>
        <v>4</v>
      </c>
      <c r="F434" s="77">
        <f>IFERROR(__xludf.DUMMYFUNCTION("""COMPUTED_VALUE"""),1926.0)</f>
        <v>1926</v>
      </c>
      <c r="G434" s="77">
        <f>IFERROR(__xludf.DUMMYFUNCTION("""COMPUTED_VALUE"""),15.75)</f>
        <v>15.75</v>
      </c>
      <c r="H434" s="77">
        <f>IFERROR(__xludf.DUMMYFUNCTION("""COMPUTED_VALUE"""),20.75)</f>
        <v>20.75</v>
      </c>
      <c r="I434" s="77">
        <f>IFERROR(__xludf.DUMMYFUNCTION("""COMPUTED_VALUE"""),100.0)</f>
        <v>100</v>
      </c>
      <c r="J434" s="73"/>
      <c r="K434" s="73"/>
      <c r="L434" s="73"/>
      <c r="M434" s="77"/>
      <c r="N434" s="77">
        <f>IFERROR(__xludf.DUMMYFUNCTION("""COMPUTED_VALUE"""),1.0)</f>
        <v>1</v>
      </c>
      <c r="O434" s="49"/>
      <c r="P434" s="49" t="str">
        <f>IFERROR(__xludf.DUMMYFUNCTION("""COMPUTED_VALUE"""),"Offset")</f>
        <v>Offset</v>
      </c>
      <c r="Q434" s="49" t="str">
        <f>IFERROR(__xludf.DUMMYFUNCTION("""COMPUTED_VALUE"""),"Packaging")</f>
        <v>Packaging</v>
      </c>
      <c r="R434" s="49" t="str">
        <f>IFERROR(__xludf.DUMMYFUNCTION("""COMPUTED_VALUE"""),"Dude Love")</f>
        <v>Dude Love</v>
      </c>
    </row>
    <row r="435">
      <c r="A435" s="156" t="str">
        <f>IFERROR(__xludf.DUMMYFUNCTION("""COMPUTED_VALUE"""),"https://drive.google.com/open?id=1np649eha-fKQtYVp-SNyj2b86Vw6RxAr&amp;authuser=jay.agg%40gmail.com&amp;usp=drive_fs")</f>
        <v>https://drive.google.com/open?id=1np649eha-fKQtYVp-SNyj2b86Vw6RxAr&amp;authuser=jay.agg%40gmail.com&amp;usp=drive_fs</v>
      </c>
      <c r="B435" s="73" t="str">
        <f>IFERROR(__xludf.DUMMYFUNCTION("""COMPUTED_VALUE"""),"Dude Love")</f>
        <v>Dude Love</v>
      </c>
      <c r="C435" s="73" t="str">
        <f>IFERROR(__xludf.DUMMYFUNCTION("""COMPUTED_VALUE"""),"Lip Balm")</f>
        <v>Lip Balm</v>
      </c>
      <c r="D435" s="73" t="str">
        <f>IFERROR(__xludf.DUMMYFUNCTION("""COMPUTED_VALUE"""),"Pack of 4 Tray 170*90*20 mm | 6.7*3.6*0.8 inch")</f>
        <v>Pack of 4 Tray 170*90*20 mm | 6.7*3.6*0.8 inch</v>
      </c>
      <c r="E435" s="77">
        <f>IFERROR(__xludf.DUMMYFUNCTION("""COMPUTED_VALUE"""),4.0)</f>
        <v>4</v>
      </c>
      <c r="F435" s="77">
        <f>IFERROR(__xludf.DUMMYFUNCTION("""COMPUTED_VALUE"""),1926.0)</f>
        <v>1926</v>
      </c>
      <c r="G435" s="77">
        <f>IFERROR(__xludf.DUMMYFUNCTION("""COMPUTED_VALUE"""),18.0)</f>
        <v>18</v>
      </c>
      <c r="H435" s="77">
        <f>IFERROR(__xludf.DUMMYFUNCTION("""COMPUTED_VALUE"""),23.0)</f>
        <v>23</v>
      </c>
      <c r="I435" s="77">
        <f>IFERROR(__xludf.DUMMYFUNCTION("""COMPUTED_VALUE"""),100.0)</f>
        <v>100</v>
      </c>
      <c r="J435" s="73"/>
      <c r="K435" s="73"/>
      <c r="L435" s="73">
        <f>IFERROR(__xludf.DUMMYFUNCTION("""COMPUTED_VALUE"""),2.7)</f>
        <v>2.7</v>
      </c>
      <c r="M435" s="77"/>
      <c r="N435" s="77">
        <f>IFERROR(__xludf.DUMMYFUNCTION("""COMPUTED_VALUE"""),1.0)</f>
        <v>1</v>
      </c>
      <c r="O435" s="49"/>
      <c r="P435" s="49" t="str">
        <f>IFERROR(__xludf.DUMMYFUNCTION("""COMPUTED_VALUE"""),"Offset")</f>
        <v>Offset</v>
      </c>
      <c r="Q435" s="49" t="str">
        <f>IFERROR(__xludf.DUMMYFUNCTION("""COMPUTED_VALUE"""),"Packaging")</f>
        <v>Packaging</v>
      </c>
      <c r="R435" s="49" t="str">
        <f>IFERROR(__xludf.DUMMYFUNCTION("""COMPUTED_VALUE"""),"Dude Love")</f>
        <v>Dude Love</v>
      </c>
    </row>
    <row r="436">
      <c r="A436" s="156" t="str">
        <f>IFERROR(__xludf.DUMMYFUNCTION("""COMPUTED_VALUE"""),"https://drive.google.com/open?id=161OP8BBrNf_sCnzWa3Ps9JYbqCNp5wIR&amp;authuser=jay.agg%40gmail.com&amp;usp=drive_fs")</f>
        <v>https://drive.google.com/open?id=161OP8BBrNf_sCnzWa3Ps9JYbqCNp5wIR&amp;authuser=jay.agg%40gmail.com&amp;usp=drive_fs</v>
      </c>
      <c r="B436" s="73" t="str">
        <f>IFERROR(__xludf.DUMMYFUNCTION("""COMPUTED_VALUE"""),"Cosmetic")</f>
        <v>Cosmetic</v>
      </c>
      <c r="C436" s="73" t="str">
        <f>IFERROR(__xludf.DUMMYFUNCTION("""COMPUTED_VALUE"""),"Misc")</f>
        <v>Misc</v>
      </c>
      <c r="D436" s="73" t="str">
        <f>IFERROR(__xludf.DUMMYFUNCTION("""COMPUTED_VALUE"""),"48*48*47 mm | 1.9*1.9*1.8 inch")</f>
        <v>48*48*47 mm | 1.9*1.9*1.8 inch</v>
      </c>
      <c r="E436" s="77">
        <f>IFERROR(__xludf.DUMMYFUNCTION("""COMPUTED_VALUE"""),10.0)</f>
        <v>10</v>
      </c>
      <c r="F436" s="77">
        <f>IFERROR(__xludf.DUMMYFUNCTION("""COMPUTED_VALUE"""),1926.0)</f>
        <v>1926</v>
      </c>
      <c r="G436" s="77">
        <f>IFERROR(__xludf.DUMMYFUNCTION("""COMPUTED_VALUE"""),18.0)</f>
        <v>18</v>
      </c>
      <c r="H436" s="77">
        <f>IFERROR(__xludf.DUMMYFUNCTION("""COMPUTED_VALUE"""),25.0)</f>
        <v>25</v>
      </c>
      <c r="I436" s="77">
        <f>IFERROR(__xludf.DUMMYFUNCTION("""COMPUTED_VALUE"""),100.0)</f>
        <v>100</v>
      </c>
      <c r="J436" s="73"/>
      <c r="K436" s="73"/>
      <c r="L436" s="73"/>
      <c r="M436" s="77">
        <f>IFERROR(__xludf.DUMMYFUNCTION("""COMPUTED_VALUE"""),0.1)</f>
        <v>0.1</v>
      </c>
      <c r="N436" s="77">
        <f>IFERROR(__xludf.DUMMYFUNCTION("""COMPUTED_VALUE"""),1.0)</f>
        <v>1</v>
      </c>
      <c r="O436" s="49"/>
      <c r="P436" s="49" t="str">
        <f>IFERROR(__xludf.DUMMYFUNCTION("""COMPUTED_VALUE"""),"Offset")</f>
        <v>Offset</v>
      </c>
      <c r="Q436" s="49" t="str">
        <f>IFERROR(__xludf.DUMMYFUNCTION("""COMPUTED_VALUE"""),"Packaging")</f>
        <v>Packaging</v>
      </c>
      <c r="R436" s="49" t="str">
        <f>IFERROR(__xludf.DUMMYFUNCTION("""COMPUTED_VALUE"""),"Cosmetic")</f>
        <v>Cosmetic</v>
      </c>
    </row>
    <row r="437">
      <c r="A437" s="156" t="str">
        <f>IFERROR(__xludf.DUMMYFUNCTION("""COMPUTED_VALUE"""),"https://drive.google.com/open?id=164bCGfb5k2SRbVbnZ6i4u0PuP4u4Z3rt&amp;authuser=jay.agg%40gmail.com&amp;usp=drive_fs")</f>
        <v>https://drive.google.com/open?id=164bCGfb5k2SRbVbnZ6i4u0PuP4u4Z3rt&amp;authuser=jay.agg%40gmail.com&amp;usp=drive_fs</v>
      </c>
      <c r="B437" s="73" t="str">
        <f>IFERROR(__xludf.DUMMYFUNCTION("""COMPUTED_VALUE"""),"Cosmetic")</f>
        <v>Cosmetic</v>
      </c>
      <c r="C437" s="73" t="str">
        <f>IFERROR(__xludf.DUMMYFUNCTION("""COMPUTED_VALUE"""),"Misc")</f>
        <v>Misc</v>
      </c>
      <c r="D437" s="73" t="str">
        <f>IFERROR(__xludf.DUMMYFUNCTION("""COMPUTED_VALUE"""),"31*15*78 mm | 1.2*0.6*3.1 inch")</f>
        <v>31*15*78 mm | 1.2*0.6*3.1 inch</v>
      </c>
      <c r="E437" s="77">
        <f>IFERROR(__xludf.DUMMYFUNCTION("""COMPUTED_VALUE"""),20.0)</f>
        <v>20</v>
      </c>
      <c r="F437" s="77">
        <f>IFERROR(__xludf.DUMMYFUNCTION("""COMPUTED_VALUE"""),1926.0)</f>
        <v>1926</v>
      </c>
      <c r="G437" s="77">
        <f>IFERROR(__xludf.DUMMYFUNCTION("""COMPUTED_VALUE"""),18.0)</f>
        <v>18</v>
      </c>
      <c r="H437" s="77">
        <f>IFERROR(__xludf.DUMMYFUNCTION("""COMPUTED_VALUE"""),23.0)</f>
        <v>23</v>
      </c>
      <c r="I437" s="77">
        <f>IFERROR(__xludf.DUMMYFUNCTION("""COMPUTED_VALUE"""),100.0)</f>
        <v>100</v>
      </c>
      <c r="J437" s="73"/>
      <c r="K437" s="73"/>
      <c r="L437" s="73"/>
      <c r="M437" s="77">
        <f>IFERROR(__xludf.DUMMYFUNCTION("""COMPUTED_VALUE"""),0.1)</f>
        <v>0.1</v>
      </c>
      <c r="N437" s="77">
        <f>IFERROR(__xludf.DUMMYFUNCTION("""COMPUTED_VALUE"""),1.0)</f>
        <v>1</v>
      </c>
      <c r="O437" s="49"/>
      <c r="P437" s="49" t="str">
        <f>IFERROR(__xludf.DUMMYFUNCTION("""COMPUTED_VALUE"""),"Offset")</f>
        <v>Offset</v>
      </c>
      <c r="Q437" s="49" t="str">
        <f>IFERROR(__xludf.DUMMYFUNCTION("""COMPUTED_VALUE"""),"Packaging")</f>
        <v>Packaging</v>
      </c>
      <c r="R437" s="49" t="str">
        <f>IFERROR(__xludf.DUMMYFUNCTION("""COMPUTED_VALUE"""),"Cosmetic")</f>
        <v>Cosmetic</v>
      </c>
    </row>
    <row r="438">
      <c r="A438" s="156" t="str">
        <f>IFERROR(__xludf.DUMMYFUNCTION("""COMPUTED_VALUE"""),"https://drive.google.com/open?id=1-jtXClvluvzexYFFGBL0FRBPhBHdkIhz&amp;authuser=jay.agg%40gmail.com&amp;usp=drive_fs")</f>
        <v>https://drive.google.com/open?id=1-jtXClvluvzexYFFGBL0FRBPhBHdkIhz&amp;authuser=jay.agg%40gmail.com&amp;usp=drive_fs</v>
      </c>
      <c r="B438" s="73" t="str">
        <f>IFERROR(__xludf.DUMMYFUNCTION("""COMPUTED_VALUE"""),"Cosmetic")</f>
        <v>Cosmetic</v>
      </c>
      <c r="C438" s="73" t="str">
        <f>IFERROR(__xludf.DUMMYFUNCTION("""COMPUTED_VALUE"""),"Misc")</f>
        <v>Misc</v>
      </c>
      <c r="D438" s="73" t="str">
        <f>IFERROR(__xludf.DUMMYFUNCTION("""COMPUTED_VALUE"""),"45*45*60 mm | 1.7*1.7*2.4 inch")</f>
        <v>45*45*60 mm | 1.7*1.7*2.4 inch</v>
      </c>
      <c r="E438" s="77">
        <f>IFERROR(__xludf.DUMMYFUNCTION("""COMPUTED_VALUE"""),9.0)</f>
        <v>9</v>
      </c>
      <c r="F438" s="77">
        <f>IFERROR(__xludf.DUMMYFUNCTION("""COMPUTED_VALUE"""),1926.0)</f>
        <v>1926</v>
      </c>
      <c r="G438" s="77">
        <f>IFERROR(__xludf.DUMMYFUNCTION("""COMPUTED_VALUE"""),18.0)</f>
        <v>18</v>
      </c>
      <c r="H438" s="77">
        <f>IFERROR(__xludf.DUMMYFUNCTION("""COMPUTED_VALUE"""),23.0)</f>
        <v>23</v>
      </c>
      <c r="I438" s="77">
        <f>IFERROR(__xludf.DUMMYFUNCTION("""COMPUTED_VALUE"""),100.0)</f>
        <v>100</v>
      </c>
      <c r="J438" s="73"/>
      <c r="K438" s="73"/>
      <c r="L438" s="73"/>
      <c r="M438" s="77">
        <f>IFERROR(__xludf.DUMMYFUNCTION("""COMPUTED_VALUE"""),0.1)</f>
        <v>0.1</v>
      </c>
      <c r="N438" s="77">
        <f>IFERROR(__xludf.DUMMYFUNCTION("""COMPUTED_VALUE"""),1.0)</f>
        <v>1</v>
      </c>
      <c r="O438" s="49"/>
      <c r="P438" s="49" t="str">
        <f>IFERROR(__xludf.DUMMYFUNCTION("""COMPUTED_VALUE"""),"Offset")</f>
        <v>Offset</v>
      </c>
      <c r="Q438" s="49" t="str">
        <f>IFERROR(__xludf.DUMMYFUNCTION("""COMPUTED_VALUE"""),"Packaging")</f>
        <v>Packaging</v>
      </c>
      <c r="R438" s="49" t="str">
        <f>IFERROR(__xludf.DUMMYFUNCTION("""COMPUTED_VALUE"""),"Cosmetic")</f>
        <v>Cosmetic</v>
      </c>
    </row>
    <row r="439">
      <c r="A439" s="156" t="str">
        <f>IFERROR(__xludf.DUMMYFUNCTION("""COMPUTED_VALUE"""),"https://drive.google.com/open?id=19fDLan4UTr9GpNqPN8vY5vIJKaJ5h_VP&amp;authuser=jay.agg%40gmail.com&amp;usp=drive_fs")</f>
        <v>https://drive.google.com/open?id=19fDLan4UTr9GpNqPN8vY5vIJKaJ5h_VP&amp;authuser=jay.agg%40gmail.com&amp;usp=drive_fs</v>
      </c>
      <c r="B439" s="73" t="str">
        <f>IFERROR(__xludf.DUMMYFUNCTION("""COMPUTED_VALUE"""),"Cosmetic")</f>
        <v>Cosmetic</v>
      </c>
      <c r="C439" s="73" t="str">
        <f>IFERROR(__xludf.DUMMYFUNCTION("""COMPUTED_VALUE"""),"Misc")</f>
        <v>Misc</v>
      </c>
      <c r="D439" s="73" t="str">
        <f>IFERROR(__xludf.DUMMYFUNCTION("""COMPUTED_VALUE"""),"72*37*107 mm | 2.8*1.4*4.2 inch")</f>
        <v>72*37*107 mm | 2.8*1.4*4.2 inch</v>
      </c>
      <c r="E439" s="77">
        <f>IFERROR(__xludf.DUMMYFUNCTION("""COMPUTED_VALUE"""),4.0)</f>
        <v>4</v>
      </c>
      <c r="F439" s="77">
        <f>IFERROR(__xludf.DUMMYFUNCTION("""COMPUTED_VALUE"""),1926.0)</f>
        <v>1926</v>
      </c>
      <c r="G439" s="77">
        <f>IFERROR(__xludf.DUMMYFUNCTION("""COMPUTED_VALUE"""),15.75)</f>
        <v>15.75</v>
      </c>
      <c r="H439" s="77">
        <f>IFERROR(__xludf.DUMMYFUNCTION("""COMPUTED_VALUE"""),20.75)</f>
        <v>20.75</v>
      </c>
      <c r="I439" s="77">
        <f>IFERROR(__xludf.DUMMYFUNCTION("""COMPUTED_VALUE"""),100.0)</f>
        <v>100</v>
      </c>
      <c r="J439" s="73"/>
      <c r="K439" s="73"/>
      <c r="L439" s="73"/>
      <c r="M439" s="77">
        <f>IFERROR(__xludf.DUMMYFUNCTION("""COMPUTED_VALUE"""),0.1)</f>
        <v>0.1</v>
      </c>
      <c r="N439" s="77">
        <f>IFERROR(__xludf.DUMMYFUNCTION("""COMPUTED_VALUE"""),1.0)</f>
        <v>1</v>
      </c>
      <c r="O439" s="49"/>
      <c r="P439" s="49" t="str">
        <f>IFERROR(__xludf.DUMMYFUNCTION("""COMPUTED_VALUE"""),"Offset")</f>
        <v>Offset</v>
      </c>
      <c r="Q439" s="49" t="str">
        <f>IFERROR(__xludf.DUMMYFUNCTION("""COMPUTED_VALUE"""),"Packaging")</f>
        <v>Packaging</v>
      </c>
      <c r="R439" s="49" t="str">
        <f>IFERROR(__xludf.DUMMYFUNCTION("""COMPUTED_VALUE"""),"Cosmetic")</f>
        <v>Cosmetic</v>
      </c>
    </row>
    <row r="440">
      <c r="A440" s="156" t="str">
        <f>IFERROR(__xludf.DUMMYFUNCTION("""COMPUTED_VALUE"""),"https://drive.google.com/open?id=1ABy2JfHXKMM3U4PZRChkjsWo49fyroSW&amp;authuser=jay.agg%40gmail.com&amp;usp=drive_fs")</f>
        <v>https://drive.google.com/open?id=1ABy2JfHXKMM3U4PZRChkjsWo49fyroSW&amp;authuser=jay.agg%40gmail.com&amp;usp=drive_fs</v>
      </c>
      <c r="B440" s="73" t="str">
        <f>IFERROR(__xludf.DUMMYFUNCTION("""COMPUTED_VALUE"""),"Cosmetic")</f>
        <v>Cosmetic</v>
      </c>
      <c r="C440" s="73" t="str">
        <f>IFERROR(__xludf.DUMMYFUNCTION("""COMPUTED_VALUE"""),"Misc")</f>
        <v>Misc</v>
      </c>
      <c r="D440" s="73" t="str">
        <f>IFERROR(__xludf.DUMMYFUNCTION("""COMPUTED_VALUE"""),"90*9*120 mm | 3.5*.4*4.7 inch")</f>
        <v>90*9*120 mm | 3.5*.4*4.7 inch</v>
      </c>
      <c r="E440" s="77">
        <f>IFERROR(__xludf.DUMMYFUNCTION("""COMPUTED_VALUE"""),4.0)</f>
        <v>4</v>
      </c>
      <c r="F440" s="77">
        <f>IFERROR(__xludf.DUMMYFUNCTION("""COMPUTED_VALUE"""),1926.0)</f>
        <v>1926</v>
      </c>
      <c r="G440" s="77">
        <f>IFERROR(__xludf.DUMMYFUNCTION("""COMPUTED_VALUE"""),19.5)</f>
        <v>19.5</v>
      </c>
      <c r="H440" s="77">
        <f>IFERROR(__xludf.DUMMYFUNCTION("""COMPUTED_VALUE"""),23.0)</f>
        <v>23</v>
      </c>
      <c r="I440" s="77">
        <f>IFERROR(__xludf.DUMMYFUNCTION("""COMPUTED_VALUE"""),100.0)</f>
        <v>100</v>
      </c>
      <c r="J440" s="73"/>
      <c r="K440" s="73"/>
      <c r="L440" s="73"/>
      <c r="M440" s="77"/>
      <c r="N440" s="77">
        <f>IFERROR(__xludf.DUMMYFUNCTION("""COMPUTED_VALUE"""),1.0)</f>
        <v>1</v>
      </c>
      <c r="O440" s="49"/>
      <c r="P440" s="49" t="str">
        <f>IFERROR(__xludf.DUMMYFUNCTION("""COMPUTED_VALUE"""),"Offset")</f>
        <v>Offset</v>
      </c>
      <c r="Q440" s="49" t="str">
        <f>IFERROR(__xludf.DUMMYFUNCTION("""COMPUTED_VALUE"""),"Packaging")</f>
        <v>Packaging</v>
      </c>
      <c r="R440" s="49" t="str">
        <f>IFERROR(__xludf.DUMMYFUNCTION("""COMPUTED_VALUE"""),"Cosmetic")</f>
        <v>Cosmetic</v>
      </c>
    </row>
    <row r="441">
      <c r="A441" s="156" t="str">
        <f>IFERROR(__xludf.DUMMYFUNCTION("""COMPUTED_VALUE"""),"https://drive.google.com/open?id=1Agk1Sg6DOwdwTq0jXRNsXWBynaOfFLIH&amp;authuser=jay.agg%40gmail.com&amp;usp=drive_fs")</f>
        <v>https://drive.google.com/open?id=1Agk1Sg6DOwdwTq0jXRNsXWBynaOfFLIH&amp;authuser=jay.agg%40gmail.com&amp;usp=drive_fs</v>
      </c>
      <c r="B441" s="73" t="str">
        <f>IFERROR(__xludf.DUMMYFUNCTION("""COMPUTED_VALUE"""),"Dude Love")</f>
        <v>Dude Love</v>
      </c>
      <c r="C441" s="73" t="str">
        <f>IFERROR(__xludf.DUMMYFUNCTION("""COMPUTED_VALUE"""),"Lubricant")</f>
        <v>Lubricant</v>
      </c>
      <c r="D441" s="73" t="str">
        <f>IFERROR(__xludf.DUMMYFUNCTION("""COMPUTED_VALUE"""),"56*56*140 mm | 2.2*2.2*5.5 inch")</f>
        <v>56*56*140 mm | 2.2*2.2*5.5 inch</v>
      </c>
      <c r="E441" s="77">
        <f>IFERROR(__xludf.DUMMYFUNCTION("""COMPUTED_VALUE"""),4.0)</f>
        <v>4</v>
      </c>
      <c r="F441" s="77">
        <f>IFERROR(__xludf.DUMMYFUNCTION("""COMPUTED_VALUE"""),1926.0)</f>
        <v>1926</v>
      </c>
      <c r="G441" s="77">
        <f>IFERROR(__xludf.DUMMYFUNCTION("""COMPUTED_VALUE"""),19.0)</f>
        <v>19</v>
      </c>
      <c r="H441" s="77">
        <f>IFERROR(__xludf.DUMMYFUNCTION("""COMPUTED_VALUE"""),26.0)</f>
        <v>26</v>
      </c>
      <c r="I441" s="77">
        <f>IFERROR(__xludf.DUMMYFUNCTION("""COMPUTED_VALUE"""),100.0)</f>
        <v>100</v>
      </c>
      <c r="J441" s="73"/>
      <c r="K441" s="73"/>
      <c r="L441" s="73"/>
      <c r="M441" s="77">
        <f>IFERROR(__xludf.DUMMYFUNCTION("""COMPUTED_VALUE"""),0.1)</f>
        <v>0.1</v>
      </c>
      <c r="N441" s="77">
        <f>IFERROR(__xludf.DUMMYFUNCTION("""COMPUTED_VALUE"""),1.0)</f>
        <v>1</v>
      </c>
      <c r="O441" s="49"/>
      <c r="P441" s="49" t="str">
        <f>IFERROR(__xludf.DUMMYFUNCTION("""COMPUTED_VALUE"""),"Offset")</f>
        <v>Offset</v>
      </c>
      <c r="Q441" s="49" t="str">
        <f>IFERROR(__xludf.DUMMYFUNCTION("""COMPUTED_VALUE"""),"Packaging")</f>
        <v>Packaging</v>
      </c>
      <c r="R441" s="49" t="str">
        <f>IFERROR(__xludf.DUMMYFUNCTION("""COMPUTED_VALUE"""),"Dude Love")</f>
        <v>Dude Love</v>
      </c>
    </row>
    <row r="442">
      <c r="A442" s="156" t="str">
        <f>IFERROR(__xludf.DUMMYFUNCTION("""COMPUTED_VALUE"""),"https://drive.google.com/open?id=102feuvfaFLuOTioYV-23G-9gLkcE-CAD&amp;authuser=jay.agg%40gmail.com&amp;usp=drive_fs")</f>
        <v>https://drive.google.com/open?id=102feuvfaFLuOTioYV-23G-9gLkcE-CAD&amp;authuser=jay.agg%40gmail.com&amp;usp=drive_fs</v>
      </c>
      <c r="B442" s="73" t="str">
        <f>IFERROR(__xludf.DUMMYFUNCTION("""COMPUTED_VALUE"""),"The Man Company")</f>
        <v>The Man Company</v>
      </c>
      <c r="C442" s="73" t="str">
        <f>IFERROR(__xludf.DUMMYFUNCTION("""COMPUTED_VALUE"""),"Golfers Shot")</f>
        <v>Golfers Shot</v>
      </c>
      <c r="D442" s="73" t="str">
        <f>IFERROR(__xludf.DUMMYFUNCTION("""COMPUTED_VALUE"""),"165*100*40 mm | 6.5*4*1.6 inch | 14*28")</f>
        <v>165*100*40 mm | 6.5*4*1.6 inch | 14*28</v>
      </c>
      <c r="E442" s="77">
        <f>IFERROR(__xludf.DUMMYFUNCTION("""COMPUTED_VALUE"""),2.0)</f>
        <v>2</v>
      </c>
      <c r="F442" s="77">
        <f>IFERROR(__xludf.DUMMYFUNCTION("""COMPUTED_VALUE"""),1926.0)</f>
        <v>1926</v>
      </c>
      <c r="G442" s="77">
        <f>IFERROR(__xludf.DUMMYFUNCTION("""COMPUTED_VALUE"""),14.0)</f>
        <v>14</v>
      </c>
      <c r="H442" s="77">
        <f>IFERROR(__xludf.DUMMYFUNCTION("""COMPUTED_VALUE"""),26.0)</f>
        <v>26</v>
      </c>
      <c r="I442" s="77">
        <f>IFERROR(__xludf.DUMMYFUNCTION("""COMPUTED_VALUE"""),100.0)</f>
        <v>100</v>
      </c>
      <c r="J442" s="73"/>
      <c r="K442" s="73"/>
      <c r="L442" s="73"/>
      <c r="M442" s="77"/>
      <c r="N442" s="77">
        <f>IFERROR(__xludf.DUMMYFUNCTION("""COMPUTED_VALUE"""),1.0)</f>
        <v>1</v>
      </c>
      <c r="O442" s="49"/>
      <c r="P442" s="49" t="str">
        <f>IFERROR(__xludf.DUMMYFUNCTION("""COMPUTED_VALUE"""),"Offset")</f>
        <v>Offset</v>
      </c>
      <c r="Q442" s="49" t="str">
        <f>IFERROR(__xludf.DUMMYFUNCTION("""COMPUTED_VALUE"""),"Packaging")</f>
        <v>Packaging</v>
      </c>
      <c r="R442" s="49" t="str">
        <f>IFERROR(__xludf.DUMMYFUNCTION("""COMPUTED_VALUE"""),"The Man Company")</f>
        <v>The Man Company</v>
      </c>
    </row>
    <row r="443">
      <c r="A443" s="156" t="str">
        <f>IFERROR(__xludf.DUMMYFUNCTION("""COMPUTED_VALUE"""),"https://drive.google.com/open?id=1Cp9gZ7SDwDOIWoqBwwcgNnwqB48domq7&amp;authuser=jay.agg%40gmail.com&amp;usp=drive_fs")</f>
        <v>https://drive.google.com/open?id=1Cp9gZ7SDwDOIWoqBwwcgNnwqB48domq7&amp;authuser=jay.agg%40gmail.com&amp;usp=drive_fs</v>
      </c>
      <c r="B443" s="73" t="str">
        <f>IFERROR(__xludf.DUMMYFUNCTION("""COMPUTED_VALUE"""),"Dude Love")</f>
        <v>Dude Love</v>
      </c>
      <c r="C443" s="73" t="str">
        <f>IFERROR(__xludf.DUMMYFUNCTION("""COMPUTED_VALUE"""),"Sachet Box")</f>
        <v>Sachet Box</v>
      </c>
      <c r="D443" s="73" t="str">
        <f>IFERROR(__xludf.DUMMYFUNCTION("""COMPUTED_VALUE"""),"87*30*112 mm | 3.4*1.2*4.4 inch")</f>
        <v>87*30*112 mm | 3.4*1.2*4.4 inch</v>
      </c>
      <c r="E443" s="77">
        <f>IFERROR(__xludf.DUMMYFUNCTION("""COMPUTED_VALUE"""),4.0)</f>
        <v>4</v>
      </c>
      <c r="F443" s="77">
        <f>IFERROR(__xludf.DUMMYFUNCTION("""COMPUTED_VALUE"""),1926.0)</f>
        <v>1926</v>
      </c>
      <c r="G443" s="77">
        <f>IFERROR(__xludf.DUMMYFUNCTION("""COMPUTED_VALUE"""),20.75)</f>
        <v>20.75</v>
      </c>
      <c r="H443" s="77">
        <f>IFERROR(__xludf.DUMMYFUNCTION("""COMPUTED_VALUE"""),15.75)</f>
        <v>15.75</v>
      </c>
      <c r="I443" s="77">
        <f>IFERROR(__xludf.DUMMYFUNCTION("""COMPUTED_VALUE"""),100.0)</f>
        <v>100</v>
      </c>
      <c r="J443" s="73"/>
      <c r="K443" s="73"/>
      <c r="L443" s="73"/>
      <c r="M443" s="77">
        <f>IFERROR(__xludf.DUMMYFUNCTION("""COMPUTED_VALUE"""),0.1)</f>
        <v>0.1</v>
      </c>
      <c r="N443" s="77">
        <f>IFERROR(__xludf.DUMMYFUNCTION("""COMPUTED_VALUE"""),1.0)</f>
        <v>1</v>
      </c>
      <c r="O443" s="49"/>
      <c r="P443" s="49" t="str">
        <f>IFERROR(__xludf.DUMMYFUNCTION("""COMPUTED_VALUE"""),"Offset")</f>
        <v>Offset</v>
      </c>
      <c r="Q443" s="49" t="str">
        <f>IFERROR(__xludf.DUMMYFUNCTION("""COMPUTED_VALUE"""),"Packaging")</f>
        <v>Packaging</v>
      </c>
      <c r="R443" s="49" t="str">
        <f>IFERROR(__xludf.DUMMYFUNCTION("""COMPUTED_VALUE"""),"Dude Love")</f>
        <v>Dude Love</v>
      </c>
    </row>
    <row r="444">
      <c r="A444" s="156" t="str">
        <f>IFERROR(__xludf.DUMMYFUNCTION("""COMPUTED_VALUE"""),"https://drive.google.com/open?id=10JVuAHkXCO4ozpO4sLysA6zoQlw8iSNc&amp;authuser=jay.agg%40gmail.com&amp;usp=drive_fs")</f>
        <v>https://drive.google.com/open?id=10JVuAHkXCO4ozpO4sLysA6zoQlw8iSNc&amp;authuser=jay.agg%40gmail.com&amp;usp=drive_fs</v>
      </c>
      <c r="B444" s="73" t="str">
        <f>IFERROR(__xludf.DUMMYFUNCTION("""COMPUTED_VALUE"""),"Dude Love")</f>
        <v>Dude Love</v>
      </c>
      <c r="C444" s="73" t="str">
        <f>IFERROR(__xludf.DUMMYFUNCTION("""COMPUTED_VALUE"""),"Lubricant")</f>
        <v>Lubricant</v>
      </c>
      <c r="D444" s="73" t="str">
        <f>IFERROR(__xludf.DUMMYFUNCTION("""COMPUTED_VALUE"""),"56*56*162 mm | 2.2*2.2*6.4 inch")</f>
        <v>56*56*162 mm | 2.2*2.2*6.4 inch</v>
      </c>
      <c r="E444" s="77">
        <f>IFERROR(__xludf.DUMMYFUNCTION("""COMPUTED_VALUE"""),4.0)</f>
        <v>4</v>
      </c>
      <c r="F444" s="77">
        <f>IFERROR(__xludf.DUMMYFUNCTION("""COMPUTED_VALUE"""),1926.0)</f>
        <v>1926</v>
      </c>
      <c r="G444" s="77">
        <f>IFERROR(__xludf.DUMMYFUNCTION("""COMPUTED_VALUE"""),19.5)</f>
        <v>19.5</v>
      </c>
      <c r="H444" s="77">
        <f>IFERROR(__xludf.DUMMYFUNCTION("""COMPUTED_VALUE"""),23.0)</f>
        <v>23</v>
      </c>
      <c r="I444" s="77">
        <f>IFERROR(__xludf.DUMMYFUNCTION("""COMPUTED_VALUE"""),100.0)</f>
        <v>100</v>
      </c>
      <c r="J444" s="73"/>
      <c r="K444" s="73"/>
      <c r="L444" s="73"/>
      <c r="M444" s="77">
        <f>IFERROR(__xludf.DUMMYFUNCTION("""COMPUTED_VALUE"""),0.1)</f>
        <v>0.1</v>
      </c>
      <c r="N444" s="77">
        <f>IFERROR(__xludf.DUMMYFUNCTION("""COMPUTED_VALUE"""),1.0)</f>
        <v>1</v>
      </c>
      <c r="O444" s="49"/>
      <c r="P444" s="49" t="str">
        <f>IFERROR(__xludf.DUMMYFUNCTION("""COMPUTED_VALUE"""),"Offset")</f>
        <v>Offset</v>
      </c>
      <c r="Q444" s="49" t="str">
        <f>IFERROR(__xludf.DUMMYFUNCTION("""COMPUTED_VALUE"""),"Packaging")</f>
        <v>Packaging</v>
      </c>
      <c r="R444" s="49" t="str">
        <f>IFERROR(__xludf.DUMMYFUNCTION("""COMPUTED_VALUE"""),"Dude Love")</f>
        <v>Dude Love</v>
      </c>
    </row>
    <row r="445">
      <c r="A445" s="156" t="str">
        <f>IFERROR(__xludf.DUMMYFUNCTION("""COMPUTED_VALUE"""),"https://drive.google.com/open?id=1E5d4c5mHudvntRA0gotf6v-_eppPCZPu&amp;authuser=jay.agg%40gmail.com&amp;usp=drive_fs")</f>
        <v>https://drive.google.com/open?id=1E5d4c5mHudvntRA0gotf6v-_eppPCZPu&amp;authuser=jay.agg%40gmail.com&amp;usp=drive_fs</v>
      </c>
      <c r="B445" s="73" t="str">
        <f>IFERROR(__xludf.DUMMYFUNCTION("""COMPUTED_VALUE"""),"BO")</f>
        <v>BO</v>
      </c>
      <c r="C445" s="73" t="str">
        <f>IFERROR(__xludf.DUMMYFUNCTION("""COMPUTED_VALUE"""),"Lip Balm")</f>
        <v>Lip Balm</v>
      </c>
      <c r="D445" s="73" t="str">
        <f>IFERROR(__xludf.DUMMYFUNCTION("""COMPUTED_VALUE"""),"39*39*21 mm | 1.5*1.5*0.8 inch")</f>
        <v>39*39*21 mm | 1.5*1.5*0.8 inch</v>
      </c>
      <c r="E445" s="77">
        <f>IFERROR(__xludf.DUMMYFUNCTION("""COMPUTED_VALUE"""),12.0)</f>
        <v>12</v>
      </c>
      <c r="F445" s="77">
        <f>IFERROR(__xludf.DUMMYFUNCTION("""COMPUTED_VALUE"""),1926.0)</f>
        <v>1926</v>
      </c>
      <c r="G445" s="77">
        <f>IFERROR(__xludf.DUMMYFUNCTION("""COMPUTED_VALUE"""),15.75)</f>
        <v>15.75</v>
      </c>
      <c r="H445" s="77">
        <f>IFERROR(__xludf.DUMMYFUNCTION("""COMPUTED_VALUE"""),20.75)</f>
        <v>20.75</v>
      </c>
      <c r="I445" s="77">
        <f>IFERROR(__xludf.DUMMYFUNCTION("""COMPUTED_VALUE"""),100.0)</f>
        <v>100</v>
      </c>
      <c r="J445" s="73"/>
      <c r="K445" s="73"/>
      <c r="L445" s="73"/>
      <c r="M445" s="77">
        <f>IFERROR(__xludf.DUMMYFUNCTION("""COMPUTED_VALUE"""),0.1)</f>
        <v>0.1</v>
      </c>
      <c r="N445" s="77">
        <f>IFERROR(__xludf.DUMMYFUNCTION("""COMPUTED_VALUE"""),1.0)</f>
        <v>1</v>
      </c>
      <c r="O445" s="49"/>
      <c r="P445" s="49" t="str">
        <f>IFERROR(__xludf.DUMMYFUNCTION("""COMPUTED_VALUE"""),"Offset")</f>
        <v>Offset</v>
      </c>
      <c r="Q445" s="49" t="str">
        <f>IFERROR(__xludf.DUMMYFUNCTION("""COMPUTED_VALUE"""),"Packaging")</f>
        <v>Packaging</v>
      </c>
      <c r="R445" s="49" t="str">
        <f>IFERROR(__xludf.DUMMYFUNCTION("""COMPUTED_VALUE"""),"BO")</f>
        <v>BO</v>
      </c>
    </row>
    <row r="446">
      <c r="A446" s="156" t="str">
        <f>IFERROR(__xludf.DUMMYFUNCTION("""COMPUTED_VALUE"""),"https://drive.google.com/open?id=1E62MlzKiaCvTNp2q3XlBQzjEKm8W3qdi&amp;authuser=jay.agg%40gmail.com&amp;usp=drive_fs")</f>
        <v>https://drive.google.com/open?id=1E62MlzKiaCvTNp2q3XlBQzjEKm8W3qdi&amp;authuser=jay.agg%40gmail.com&amp;usp=drive_fs</v>
      </c>
      <c r="B446" s="73" t="str">
        <f>IFERROR(__xludf.DUMMYFUNCTION("""COMPUTED_VALUE"""),"BO")</f>
        <v>BO</v>
      </c>
      <c r="C446" s="73" t="str">
        <f>IFERROR(__xludf.DUMMYFUNCTION("""COMPUTED_VALUE"""),"Face Wash")</f>
        <v>Face Wash</v>
      </c>
      <c r="D446" s="73" t="str">
        <f>IFERROR(__xludf.DUMMYFUNCTION("""COMPUTED_VALUE"""),"48*48*143 mm | 1.9*1.9*5.6 inch")</f>
        <v>48*48*143 mm | 1.9*1.9*5.6 inch</v>
      </c>
      <c r="E446" s="77">
        <f>IFERROR(__xludf.DUMMYFUNCTION("""COMPUTED_VALUE"""),6.0)</f>
        <v>6</v>
      </c>
      <c r="F446" s="77">
        <f>IFERROR(__xludf.DUMMYFUNCTION("""COMPUTED_VALUE"""),1926.0)</f>
        <v>1926</v>
      </c>
      <c r="G446" s="77">
        <f>IFERROR(__xludf.DUMMYFUNCTION("""COMPUTED_VALUE"""),19.0)</f>
        <v>19</v>
      </c>
      <c r="H446" s="77">
        <f>IFERROR(__xludf.DUMMYFUNCTION("""COMPUTED_VALUE"""),26.0)</f>
        <v>26</v>
      </c>
      <c r="I446" s="77">
        <f>IFERROR(__xludf.DUMMYFUNCTION("""COMPUTED_VALUE"""),100.0)</f>
        <v>100</v>
      </c>
      <c r="J446" s="73"/>
      <c r="K446" s="73"/>
      <c r="L446" s="73"/>
      <c r="M446" s="77">
        <f>IFERROR(__xludf.DUMMYFUNCTION("""COMPUTED_VALUE"""),0.1)</f>
        <v>0.1</v>
      </c>
      <c r="N446" s="77">
        <f>IFERROR(__xludf.DUMMYFUNCTION("""COMPUTED_VALUE"""),1.0)</f>
        <v>1</v>
      </c>
      <c r="O446" s="49"/>
      <c r="P446" s="49" t="str">
        <f>IFERROR(__xludf.DUMMYFUNCTION("""COMPUTED_VALUE"""),"Offset")</f>
        <v>Offset</v>
      </c>
      <c r="Q446" s="49" t="str">
        <f>IFERROR(__xludf.DUMMYFUNCTION("""COMPUTED_VALUE"""),"Packaging")</f>
        <v>Packaging</v>
      </c>
      <c r="R446" s="49" t="str">
        <f>IFERROR(__xludf.DUMMYFUNCTION("""COMPUTED_VALUE"""),"BO")</f>
        <v>BO</v>
      </c>
    </row>
    <row r="447">
      <c r="A447" s="156" t="str">
        <f>IFERROR(__xludf.DUMMYFUNCTION("""COMPUTED_VALUE"""),"https://drive.google.com/open?id=1E6F1fU6dG-pnbsXaetD6PNHnarn5U0uQ&amp;authuser=jay.agg%40gmail.com&amp;usp=drive_fs")</f>
        <v>https://drive.google.com/open?id=1E6F1fU6dG-pnbsXaetD6PNHnarn5U0uQ&amp;authuser=jay.agg%40gmail.com&amp;usp=drive_fs</v>
      </c>
      <c r="B447" s="73" t="str">
        <f>IFERROR(__xludf.DUMMYFUNCTION("""COMPUTED_VALUE"""),"BO")</f>
        <v>BO</v>
      </c>
      <c r="C447" s="73" t="str">
        <f>IFERROR(__xludf.DUMMYFUNCTION("""COMPUTED_VALUE"""),"Body Butter")</f>
        <v>Body Butter</v>
      </c>
      <c r="D447" s="73" t="str">
        <f>IFERROR(__xludf.DUMMYFUNCTION("""COMPUTED_VALUE"""),"62*62*70 mm | 2.4*2.4*2.7 inch")</f>
        <v>62*62*70 mm | 2.4*2.4*2.7 inch</v>
      </c>
      <c r="E447" s="77">
        <f>IFERROR(__xludf.DUMMYFUNCTION("""COMPUTED_VALUE"""),4.0)</f>
        <v>4</v>
      </c>
      <c r="F447" s="77">
        <f>IFERROR(__xludf.DUMMYFUNCTION("""COMPUTED_VALUE"""),1926.0)</f>
        <v>1926</v>
      </c>
      <c r="G447" s="77">
        <f>IFERROR(__xludf.DUMMYFUNCTION("""COMPUTED_VALUE"""),15.75)</f>
        <v>15.75</v>
      </c>
      <c r="H447" s="77">
        <f>IFERROR(__xludf.DUMMYFUNCTION("""COMPUTED_VALUE"""),20.75)</f>
        <v>20.75</v>
      </c>
      <c r="I447" s="77">
        <f>IFERROR(__xludf.DUMMYFUNCTION("""COMPUTED_VALUE"""),100.0)</f>
        <v>100</v>
      </c>
      <c r="J447" s="73"/>
      <c r="K447" s="73"/>
      <c r="L447" s="73"/>
      <c r="M447" s="77">
        <f>IFERROR(__xludf.DUMMYFUNCTION("""COMPUTED_VALUE"""),0.1)</f>
        <v>0.1</v>
      </c>
      <c r="N447" s="77">
        <f>IFERROR(__xludf.DUMMYFUNCTION("""COMPUTED_VALUE"""),1.0)</f>
        <v>1</v>
      </c>
      <c r="O447" s="49"/>
      <c r="P447" s="49" t="str">
        <f>IFERROR(__xludf.DUMMYFUNCTION("""COMPUTED_VALUE"""),"Offset")</f>
        <v>Offset</v>
      </c>
      <c r="Q447" s="49" t="str">
        <f>IFERROR(__xludf.DUMMYFUNCTION("""COMPUTED_VALUE"""),"Packaging")</f>
        <v>Packaging</v>
      </c>
      <c r="R447" s="49" t="str">
        <f>IFERROR(__xludf.DUMMYFUNCTION("""COMPUTED_VALUE"""),"BO")</f>
        <v>BO</v>
      </c>
    </row>
    <row r="448">
      <c r="A448" s="156" t="str">
        <f>IFERROR(__xludf.DUMMYFUNCTION("""COMPUTED_VALUE"""),"https://drive.google.com/open?id=1E9naA_DJ0XBPIUNV9GixH8sJ5REStzBo&amp;authuser=jay.agg%40gmail.com&amp;usp=drive_fs")</f>
        <v>https://drive.google.com/open?id=1E9naA_DJ0XBPIUNV9GixH8sJ5REStzBo&amp;authuser=jay.agg%40gmail.com&amp;usp=drive_fs</v>
      </c>
      <c r="B448" s="73" t="str">
        <f>IFERROR(__xludf.DUMMYFUNCTION("""COMPUTED_VALUE"""),"BO")</f>
        <v>BO</v>
      </c>
      <c r="C448" s="73" t="str">
        <f>IFERROR(__xludf.DUMMYFUNCTION("""COMPUTED_VALUE"""),"Face Serum")</f>
        <v>Face Serum</v>
      </c>
      <c r="D448" s="73" t="str">
        <f>IFERROR(__xludf.DUMMYFUNCTION("""COMPUTED_VALUE"""),"54*33*85 mm | 2.1*1.2*3.3 inch")</f>
        <v>54*33*85 mm | 2.1*1.2*3.3 inch</v>
      </c>
      <c r="E448" s="77">
        <f>IFERROR(__xludf.DUMMYFUNCTION("""COMPUTED_VALUE"""),6.0)</f>
        <v>6</v>
      </c>
      <c r="F448" s="77">
        <f>IFERROR(__xludf.DUMMYFUNCTION("""COMPUTED_VALUE"""),1926.0)</f>
        <v>1926</v>
      </c>
      <c r="G448" s="77">
        <f>IFERROR(__xludf.DUMMYFUNCTION("""COMPUTED_VALUE"""),15.75)</f>
        <v>15.75</v>
      </c>
      <c r="H448" s="77">
        <f>IFERROR(__xludf.DUMMYFUNCTION("""COMPUTED_VALUE"""),20.75)</f>
        <v>20.75</v>
      </c>
      <c r="I448" s="77">
        <f>IFERROR(__xludf.DUMMYFUNCTION("""COMPUTED_VALUE"""),100.0)</f>
        <v>100</v>
      </c>
      <c r="J448" s="73"/>
      <c r="K448" s="73"/>
      <c r="L448" s="73"/>
      <c r="M448" s="77">
        <f>IFERROR(__xludf.DUMMYFUNCTION("""COMPUTED_VALUE"""),0.1)</f>
        <v>0.1</v>
      </c>
      <c r="N448" s="77">
        <f>IFERROR(__xludf.DUMMYFUNCTION("""COMPUTED_VALUE"""),1.0)</f>
        <v>1</v>
      </c>
      <c r="O448" s="49"/>
      <c r="P448" s="49" t="str">
        <f>IFERROR(__xludf.DUMMYFUNCTION("""COMPUTED_VALUE"""),"Offset")</f>
        <v>Offset</v>
      </c>
      <c r="Q448" s="49" t="str">
        <f>IFERROR(__xludf.DUMMYFUNCTION("""COMPUTED_VALUE"""),"Packaging")</f>
        <v>Packaging</v>
      </c>
      <c r="R448" s="49" t="str">
        <f>IFERROR(__xludf.DUMMYFUNCTION("""COMPUTED_VALUE"""),"BO")</f>
        <v>BO</v>
      </c>
    </row>
    <row r="449">
      <c r="A449" s="156" t="str">
        <f>IFERROR(__xludf.DUMMYFUNCTION("""COMPUTED_VALUE"""),"https://drive.google.com/open?id=1EAihm2AFoVVP7GkNl8yW21MtGJw4RM2E&amp;authuser=jay.agg%40gmail.com&amp;usp=drive_fs")</f>
        <v>https://drive.google.com/open?id=1EAihm2AFoVVP7GkNl8yW21MtGJw4RM2E&amp;authuser=jay.agg%40gmail.com&amp;usp=drive_fs</v>
      </c>
      <c r="B449" s="73" t="str">
        <f>IFERROR(__xludf.DUMMYFUNCTION("""COMPUTED_VALUE"""),"BO")</f>
        <v>BO</v>
      </c>
      <c r="C449" s="73" t="str">
        <f>IFERROR(__xludf.DUMMYFUNCTION("""COMPUTED_VALUE"""),"Scrub")</f>
        <v>Scrub</v>
      </c>
      <c r="D449" s="73" t="str">
        <f>IFERROR(__xludf.DUMMYFUNCTION("""COMPUTED_VALUE"""),"46*46*150 mm | 1.8*1.8*5.9 inch")</f>
        <v>46*46*150 mm | 1.8*1.8*5.9 inch</v>
      </c>
      <c r="E449" s="77">
        <f>IFERROR(__xludf.DUMMYFUNCTION("""COMPUTED_VALUE"""),4.0)</f>
        <v>4</v>
      </c>
      <c r="F449" s="77">
        <f>IFERROR(__xludf.DUMMYFUNCTION("""COMPUTED_VALUE"""),1926.0)</f>
        <v>1926</v>
      </c>
      <c r="G449" s="77">
        <f>IFERROR(__xludf.DUMMYFUNCTION("""COMPUTED_VALUE"""),15.75)</f>
        <v>15.75</v>
      </c>
      <c r="H449" s="77">
        <f>IFERROR(__xludf.DUMMYFUNCTION("""COMPUTED_VALUE"""),20.75)</f>
        <v>20.75</v>
      </c>
      <c r="I449" s="77">
        <f>IFERROR(__xludf.DUMMYFUNCTION("""COMPUTED_VALUE"""),100.0)</f>
        <v>100</v>
      </c>
      <c r="J449" s="73"/>
      <c r="K449" s="73"/>
      <c r="L449" s="73"/>
      <c r="M449" s="77">
        <f>IFERROR(__xludf.DUMMYFUNCTION("""COMPUTED_VALUE"""),0.1)</f>
        <v>0.1</v>
      </c>
      <c r="N449" s="77">
        <f>IFERROR(__xludf.DUMMYFUNCTION("""COMPUTED_VALUE"""),1.0)</f>
        <v>1</v>
      </c>
      <c r="O449" s="49"/>
      <c r="P449" s="49" t="str">
        <f>IFERROR(__xludf.DUMMYFUNCTION("""COMPUTED_VALUE"""),"Offset")</f>
        <v>Offset</v>
      </c>
      <c r="Q449" s="49" t="str">
        <f>IFERROR(__xludf.DUMMYFUNCTION("""COMPUTED_VALUE"""),"Packaging")</f>
        <v>Packaging</v>
      </c>
      <c r="R449" s="49" t="str">
        <f>IFERROR(__xludf.DUMMYFUNCTION("""COMPUTED_VALUE"""),"BO")</f>
        <v>BO</v>
      </c>
    </row>
    <row r="450">
      <c r="A450" s="156" t="str">
        <f>IFERROR(__xludf.DUMMYFUNCTION("""COMPUTED_VALUE"""),"https://drive.google.com/open?id=1EBYorjPX26SvKx89E7oYflox3ES-n8X6&amp;authuser=jay.agg%40gmail.com&amp;usp=drive_fs")</f>
        <v>https://drive.google.com/open?id=1EBYorjPX26SvKx89E7oYflox3ES-n8X6&amp;authuser=jay.agg%40gmail.com&amp;usp=drive_fs</v>
      </c>
      <c r="B450" s="73" t="str">
        <f>IFERROR(__xludf.DUMMYFUNCTION("""COMPUTED_VALUE"""),"BO")</f>
        <v>BO</v>
      </c>
      <c r="C450" s="73" t="str">
        <f>IFERROR(__xludf.DUMMYFUNCTION("""COMPUTED_VALUE"""),"Lubricant")</f>
        <v>Lubricant</v>
      </c>
      <c r="D450" s="73" t="str">
        <f>IFERROR(__xludf.DUMMYFUNCTION("""COMPUTED_VALUE"""),"63.4*33*133 mm | 2.5*1.3*5.2 inch")</f>
        <v>63.4*33*133 mm | 2.5*1.3*5.2 inch</v>
      </c>
      <c r="E450" s="77">
        <f>IFERROR(__xludf.DUMMYFUNCTION("""COMPUTED_VALUE"""),6.0)</f>
        <v>6</v>
      </c>
      <c r="F450" s="77">
        <f>IFERROR(__xludf.DUMMYFUNCTION("""COMPUTED_VALUE"""),1926.0)</f>
        <v>1926</v>
      </c>
      <c r="G450" s="77">
        <f>IFERROR(__xludf.DUMMYFUNCTION("""COMPUTED_VALUE"""),18.0)</f>
        <v>18</v>
      </c>
      <c r="H450" s="77">
        <f>IFERROR(__xludf.DUMMYFUNCTION("""COMPUTED_VALUE"""),25.0)</f>
        <v>25</v>
      </c>
      <c r="I450" s="77">
        <f>IFERROR(__xludf.DUMMYFUNCTION("""COMPUTED_VALUE"""),100.0)</f>
        <v>100</v>
      </c>
      <c r="J450" s="73"/>
      <c r="K450" s="73"/>
      <c r="L450" s="73"/>
      <c r="M450" s="77">
        <f>IFERROR(__xludf.DUMMYFUNCTION("""COMPUTED_VALUE"""),0.1)</f>
        <v>0.1</v>
      </c>
      <c r="N450" s="77">
        <f>IFERROR(__xludf.DUMMYFUNCTION("""COMPUTED_VALUE"""),1.0)</f>
        <v>1</v>
      </c>
      <c r="O450" s="49"/>
      <c r="P450" s="49" t="str">
        <f>IFERROR(__xludf.DUMMYFUNCTION("""COMPUTED_VALUE"""),"Offset")</f>
        <v>Offset</v>
      </c>
      <c r="Q450" s="49" t="str">
        <f>IFERROR(__xludf.DUMMYFUNCTION("""COMPUTED_VALUE"""),"Packaging")</f>
        <v>Packaging</v>
      </c>
      <c r="R450" s="49" t="str">
        <f>IFERROR(__xludf.DUMMYFUNCTION("""COMPUTED_VALUE"""),"BO")</f>
        <v>BO</v>
      </c>
    </row>
    <row r="451">
      <c r="A451" s="156" t="str">
        <f>IFERROR(__xludf.DUMMYFUNCTION("""COMPUTED_VALUE"""),"https://drive.google.com/open?id=1EC5x4cMgm7e5xxPfSvSTPqg4B1qpUq-H&amp;authuser=jay.agg%40gmail.com&amp;usp=drive_fs")</f>
        <v>https://drive.google.com/open?id=1EC5x4cMgm7e5xxPfSvSTPqg4B1qpUq-H&amp;authuser=jay.agg%40gmail.com&amp;usp=drive_fs</v>
      </c>
      <c r="B451" s="73" t="str">
        <f>IFERROR(__xludf.DUMMYFUNCTION("""COMPUTED_VALUE"""),"BO")</f>
        <v>BO</v>
      </c>
      <c r="C451" s="73" t="str">
        <f>IFERROR(__xludf.DUMMYFUNCTION("""COMPUTED_VALUE"""),"Lip Care")</f>
        <v>Lip Care</v>
      </c>
      <c r="D451" s="73" t="str">
        <f>IFERROR(__xludf.DUMMYFUNCTION("""COMPUTED_VALUE"""),"34*34*100 mm | 1.3*1.3*3.9 inch")</f>
        <v>34*34*100 mm | 1.3*1.3*3.9 inch</v>
      </c>
      <c r="E451" s="77">
        <f>IFERROR(__xludf.DUMMYFUNCTION("""COMPUTED_VALUE"""),6.0)</f>
        <v>6</v>
      </c>
      <c r="F451" s="77">
        <f>IFERROR(__xludf.DUMMYFUNCTION("""COMPUTED_VALUE"""),1926.0)</f>
        <v>1926</v>
      </c>
      <c r="G451" s="77">
        <f>IFERROR(__xludf.DUMMYFUNCTION("""COMPUTED_VALUE"""),15.75)</f>
        <v>15.75</v>
      </c>
      <c r="H451" s="77">
        <f>IFERROR(__xludf.DUMMYFUNCTION("""COMPUTED_VALUE"""),20.75)</f>
        <v>20.75</v>
      </c>
      <c r="I451" s="77">
        <f>IFERROR(__xludf.DUMMYFUNCTION("""COMPUTED_VALUE"""),100.0)</f>
        <v>100</v>
      </c>
      <c r="J451" s="73"/>
      <c r="K451" s="73"/>
      <c r="L451" s="73"/>
      <c r="M451" s="77">
        <f>IFERROR(__xludf.DUMMYFUNCTION("""COMPUTED_VALUE"""),0.1)</f>
        <v>0.1</v>
      </c>
      <c r="N451" s="77">
        <f>IFERROR(__xludf.DUMMYFUNCTION("""COMPUTED_VALUE"""),1.0)</f>
        <v>1</v>
      </c>
      <c r="O451" s="49"/>
      <c r="P451" s="49" t="str">
        <f>IFERROR(__xludf.DUMMYFUNCTION("""COMPUTED_VALUE"""),"Offset")</f>
        <v>Offset</v>
      </c>
      <c r="Q451" s="49" t="str">
        <f>IFERROR(__xludf.DUMMYFUNCTION("""COMPUTED_VALUE"""),"Packaging")</f>
        <v>Packaging</v>
      </c>
      <c r="R451" s="49" t="str">
        <f>IFERROR(__xludf.DUMMYFUNCTION("""COMPUTED_VALUE"""),"BO")</f>
        <v>BO</v>
      </c>
    </row>
    <row r="452">
      <c r="A452" s="156" t="str">
        <f>IFERROR(__xludf.DUMMYFUNCTION("""COMPUTED_VALUE"""),"https://drive.google.com/open?id=1JDYGW0j0rB6c8vpw15mcB-rgMFO2rw6Q&amp;authuser=jay.agg%40gmail.com&amp;usp=drive_fs")</f>
        <v>https://drive.google.com/open?id=1JDYGW0j0rB6c8vpw15mcB-rgMFO2rw6Q&amp;authuser=jay.agg%40gmail.com&amp;usp=drive_fs</v>
      </c>
      <c r="B452" s="73" t="str">
        <f>IFERROR(__xludf.DUMMYFUNCTION("""COMPUTED_VALUE"""),"Cosmetic")</f>
        <v>Cosmetic</v>
      </c>
      <c r="C452" s="73" t="str">
        <f>IFERROR(__xludf.DUMMYFUNCTION("""COMPUTED_VALUE"""),"Eye Liner")</f>
        <v>Eye Liner</v>
      </c>
      <c r="D452" s="73" t="str">
        <f>IFERROR(__xludf.DUMMYFUNCTION("""COMPUTED_VALUE"""),"32*32*15 mm | 1.26*1.26*0.6 inch")</f>
        <v>32*32*15 mm | 1.26*1.26*0.6 inch</v>
      </c>
      <c r="E452" s="77">
        <f>IFERROR(__xludf.DUMMYFUNCTION("""COMPUTED_VALUE"""),24.0)</f>
        <v>24</v>
      </c>
      <c r="F452" s="77">
        <f>IFERROR(__xludf.DUMMYFUNCTION("""COMPUTED_VALUE"""),1926.0)</f>
        <v>1926</v>
      </c>
      <c r="G452" s="77">
        <f>IFERROR(__xludf.DUMMYFUNCTION("""COMPUTED_VALUE"""),18.0)</f>
        <v>18</v>
      </c>
      <c r="H452" s="77">
        <f>IFERROR(__xludf.DUMMYFUNCTION("""COMPUTED_VALUE"""),23.0)</f>
        <v>23</v>
      </c>
      <c r="I452" s="77">
        <f>IFERROR(__xludf.DUMMYFUNCTION("""COMPUTED_VALUE"""),100.0)</f>
        <v>100</v>
      </c>
      <c r="J452" s="73"/>
      <c r="K452" s="73"/>
      <c r="L452" s="73"/>
      <c r="M452" s="77">
        <f>IFERROR(__xludf.DUMMYFUNCTION("""COMPUTED_VALUE"""),0.2)</f>
        <v>0.2</v>
      </c>
      <c r="N452" s="77">
        <f>IFERROR(__xludf.DUMMYFUNCTION("""COMPUTED_VALUE"""),1.0)</f>
        <v>1</v>
      </c>
      <c r="O452" s="49"/>
      <c r="P452" s="49" t="str">
        <f>IFERROR(__xludf.DUMMYFUNCTION("""COMPUTED_VALUE"""),"Offset")</f>
        <v>Offset</v>
      </c>
      <c r="Q452" s="49" t="str">
        <f>IFERROR(__xludf.DUMMYFUNCTION("""COMPUTED_VALUE"""),"Packaging")</f>
        <v>Packaging</v>
      </c>
      <c r="R452" s="49" t="str">
        <f>IFERROR(__xludf.DUMMYFUNCTION("""COMPUTED_VALUE"""),"Cosmetic")</f>
        <v>Cosmetic</v>
      </c>
    </row>
    <row r="453">
      <c r="A453" s="156" t="str">
        <f>IFERROR(__xludf.DUMMYFUNCTION("""COMPUTED_VALUE"""),"https://drive.google.com/open?id=10vNY-Y9mfg7s2G1K37G23q9ewhnLtGT8&amp;authuser=jay.agg%40gmail.com&amp;usp=drive_fs")</f>
        <v>https://drive.google.com/open?id=10vNY-Y9mfg7s2G1K37G23q9ewhnLtGT8&amp;authuser=jay.agg%40gmail.com&amp;usp=drive_fs</v>
      </c>
      <c r="B453" s="73" t="str">
        <f>IFERROR(__xludf.DUMMYFUNCTION("""COMPUTED_VALUE"""),"The Man Company")</f>
        <v>The Man Company</v>
      </c>
      <c r="C453" s="73" t="str">
        <f>IFERROR(__xludf.DUMMYFUNCTION("""COMPUTED_VALUE"""),"Misc")</f>
        <v>Misc</v>
      </c>
      <c r="D453" s="73" t="str">
        <f>IFERROR(__xludf.DUMMYFUNCTION("""COMPUTED_VALUE"""),"165*100*41 mm | 6.5*3.9*1.6 inch | 26*14")</f>
        <v>165*100*41 mm | 6.5*3.9*1.6 inch | 26*14</v>
      </c>
      <c r="E453" s="77">
        <f>IFERROR(__xludf.DUMMYFUNCTION("""COMPUTED_VALUE"""),2.0)</f>
        <v>2</v>
      </c>
      <c r="F453" s="77">
        <f>IFERROR(__xludf.DUMMYFUNCTION("""COMPUTED_VALUE"""),1926.0)</f>
        <v>1926</v>
      </c>
      <c r="G453" s="77">
        <f>IFERROR(__xludf.DUMMYFUNCTION("""COMPUTED_VALUE"""),14.0)</f>
        <v>14</v>
      </c>
      <c r="H453" s="77">
        <f>IFERROR(__xludf.DUMMYFUNCTION("""COMPUTED_VALUE"""),26.0)</f>
        <v>26</v>
      </c>
      <c r="I453" s="77">
        <f>IFERROR(__xludf.DUMMYFUNCTION("""COMPUTED_VALUE"""),100.0)</f>
        <v>100</v>
      </c>
      <c r="J453" s="73"/>
      <c r="K453" s="73"/>
      <c r="L453" s="73"/>
      <c r="M453" s="77"/>
      <c r="N453" s="77">
        <f>IFERROR(__xludf.DUMMYFUNCTION("""COMPUTED_VALUE"""),1.0)</f>
        <v>1</v>
      </c>
      <c r="O453" s="49"/>
      <c r="P453" s="49" t="str">
        <f>IFERROR(__xludf.DUMMYFUNCTION("""COMPUTED_VALUE"""),"Offset")</f>
        <v>Offset</v>
      </c>
      <c r="Q453" s="49" t="str">
        <f>IFERROR(__xludf.DUMMYFUNCTION("""COMPUTED_VALUE"""),"Packaging")</f>
        <v>Packaging</v>
      </c>
      <c r="R453" s="49" t="str">
        <f>IFERROR(__xludf.DUMMYFUNCTION("""COMPUTED_VALUE"""),"The Man Company")</f>
        <v>The Man Company</v>
      </c>
    </row>
    <row r="454">
      <c r="A454" s="156" t="str">
        <f>IFERROR(__xludf.DUMMYFUNCTION("""COMPUTED_VALUE"""),"https://drive.google.com/open?id=1LpgEWa1h3MLhyxWbstImqTcLqy4Xn46P&amp;authuser=jay.agg%40gmail.com&amp;usp=drive_fs")</f>
        <v>https://drive.google.com/open?id=1LpgEWa1h3MLhyxWbstImqTcLqy4Xn46P&amp;authuser=jay.agg%40gmail.com&amp;usp=drive_fs</v>
      </c>
      <c r="B454" s="73" t="str">
        <f>IFERROR(__xludf.DUMMYFUNCTION("""COMPUTED_VALUE"""),"The Man Company")</f>
        <v>The Man Company</v>
      </c>
      <c r="C454" s="73" t="str">
        <f>IFERROR(__xludf.DUMMYFUNCTION("""COMPUTED_VALUE"""),"Misc")</f>
        <v>Misc</v>
      </c>
      <c r="D454" s="73" t="str">
        <f>IFERROR(__xludf.DUMMYFUNCTION("""COMPUTED_VALUE"""),"160*150*55 mm | 6.3*5.9*2.1 inch | 28*20")</f>
        <v>160*150*55 mm | 6.3*5.9*2.1 inch | 28*20</v>
      </c>
      <c r="E454" s="77">
        <f>IFERROR(__xludf.DUMMYFUNCTION("""COMPUTED_VALUE"""),2.0)</f>
        <v>2</v>
      </c>
      <c r="F454" s="77">
        <f>IFERROR(__xludf.DUMMYFUNCTION("""COMPUTED_VALUE"""),2029.0)</f>
        <v>2029</v>
      </c>
      <c r="G454" s="77">
        <f>IFERROR(__xludf.DUMMYFUNCTION("""COMPUTED_VALUE"""),20.0)</f>
        <v>20</v>
      </c>
      <c r="H454" s="77">
        <f>IFERROR(__xludf.DUMMYFUNCTION("""COMPUTED_VALUE"""),28.0)</f>
        <v>28</v>
      </c>
      <c r="I454" s="77">
        <f>IFERROR(__xludf.DUMMYFUNCTION("""COMPUTED_VALUE"""),100.0)</f>
        <v>100</v>
      </c>
      <c r="J454" s="73"/>
      <c r="K454" s="73"/>
      <c r="L454" s="73"/>
      <c r="M454" s="77"/>
      <c r="N454" s="77">
        <f>IFERROR(__xludf.DUMMYFUNCTION("""COMPUTED_VALUE"""),1.0)</f>
        <v>1</v>
      </c>
      <c r="O454" s="49"/>
      <c r="P454" s="49" t="str">
        <f>IFERROR(__xludf.DUMMYFUNCTION("""COMPUTED_VALUE"""),"Offset")</f>
        <v>Offset</v>
      </c>
      <c r="Q454" s="49" t="str">
        <f>IFERROR(__xludf.DUMMYFUNCTION("""COMPUTED_VALUE"""),"Packaging")</f>
        <v>Packaging</v>
      </c>
      <c r="R454" s="49" t="str">
        <f>IFERROR(__xludf.DUMMYFUNCTION("""COMPUTED_VALUE"""),"The Man Company")</f>
        <v>The Man Company</v>
      </c>
    </row>
    <row r="455">
      <c r="A455" s="156" t="str">
        <f>IFERROR(__xludf.DUMMYFUNCTION("""COMPUTED_VALUE"""),"https://drive.google.com/open?id=114K5WMS2hmb2PA1OFsGsrnib5j8zBkQt&amp;authuser=jay.agg%40gmail.com&amp;usp=drive_fs")</f>
        <v>https://drive.google.com/open?id=114K5WMS2hmb2PA1OFsGsrnib5j8zBkQt&amp;authuser=jay.agg%40gmail.com&amp;usp=drive_fs</v>
      </c>
      <c r="B455" s="73" t="str">
        <f>IFERROR(__xludf.DUMMYFUNCTION("""COMPUTED_VALUE"""),"The Man Company")</f>
        <v>The Man Company</v>
      </c>
      <c r="C455" s="73" t="str">
        <f>IFERROR(__xludf.DUMMYFUNCTION("""COMPUTED_VALUE"""),"Misc")</f>
        <v>Misc</v>
      </c>
      <c r="D455" s="73" t="str">
        <f>IFERROR(__xludf.DUMMYFUNCTION("""COMPUTED_VALUE"""),"200*200*55 mm | 7.8*7.8*2.2 inch | 26*33")</f>
        <v>200*200*55 mm | 7.8*7.8*2.2 inch | 26*33</v>
      </c>
      <c r="E455" s="77">
        <f>IFERROR(__xludf.DUMMYFUNCTION("""COMPUTED_VALUE"""),2.0)</f>
        <v>2</v>
      </c>
      <c r="F455" s="77">
        <f>IFERROR(__xludf.DUMMYFUNCTION("""COMPUTED_VALUE"""),2840.0)</f>
        <v>2840</v>
      </c>
      <c r="G455" s="77">
        <f>IFERROR(__xludf.DUMMYFUNCTION("""COMPUTED_VALUE"""),26.0)</f>
        <v>26</v>
      </c>
      <c r="H455" s="77">
        <f>IFERROR(__xludf.DUMMYFUNCTION("""COMPUTED_VALUE"""),33.0)</f>
        <v>33</v>
      </c>
      <c r="I455" s="77">
        <f>IFERROR(__xludf.DUMMYFUNCTION("""COMPUTED_VALUE"""),100.0)</f>
        <v>100</v>
      </c>
      <c r="J455" s="73"/>
      <c r="K455" s="73"/>
      <c r="L455" s="73"/>
      <c r="M455" s="77"/>
      <c r="N455" s="77">
        <f>IFERROR(__xludf.DUMMYFUNCTION("""COMPUTED_VALUE"""),1.0)</f>
        <v>1</v>
      </c>
      <c r="O455" s="49"/>
      <c r="P455" s="49" t="str">
        <f>IFERROR(__xludf.DUMMYFUNCTION("""COMPUTED_VALUE"""),"Offset")</f>
        <v>Offset</v>
      </c>
      <c r="Q455" s="49" t="str">
        <f>IFERROR(__xludf.DUMMYFUNCTION("""COMPUTED_VALUE"""),"Packaging")</f>
        <v>Packaging</v>
      </c>
      <c r="R455" s="49" t="str">
        <f>IFERROR(__xludf.DUMMYFUNCTION("""COMPUTED_VALUE"""),"The Man Company")</f>
        <v>The Man Company</v>
      </c>
    </row>
    <row r="456">
      <c r="A456" s="156" t="str">
        <f>IFERROR(__xludf.DUMMYFUNCTION("""COMPUTED_VALUE"""),"https://drive.google.com/open?id=1ObXTRsv-uTpLKGqk9mA2pt69BR9boS81&amp;authuser=jay.agg%40gmail.com&amp;usp=drive_fs")</f>
        <v>https://drive.google.com/open?id=1ObXTRsv-uTpLKGqk9mA2pt69BR9boS81&amp;authuser=jay.agg%40gmail.com&amp;usp=drive_fs</v>
      </c>
      <c r="B456" s="73" t="str">
        <f>IFERROR(__xludf.DUMMYFUNCTION("""COMPUTED_VALUE"""),"Cosmetic")</f>
        <v>Cosmetic</v>
      </c>
      <c r="C456" s="73" t="str">
        <f>IFERROR(__xludf.DUMMYFUNCTION("""COMPUTED_VALUE"""),"Misc")</f>
        <v>Misc</v>
      </c>
      <c r="D456" s="73" t="str">
        <f>IFERROR(__xludf.DUMMYFUNCTION("""COMPUTED_VALUE"""),"75*22*125 mm | 3*0.9*5.3 inch")</f>
        <v>75*22*125 mm | 3*0.9*5.3 inch</v>
      </c>
      <c r="E456" s="77">
        <f>IFERROR(__xludf.DUMMYFUNCTION("""COMPUTED_VALUE"""),6.0)</f>
        <v>6</v>
      </c>
      <c r="F456" s="77">
        <f>IFERROR(__xludf.DUMMYFUNCTION("""COMPUTED_VALUE"""),1926.0)</f>
        <v>1926</v>
      </c>
      <c r="G456" s="77">
        <f>IFERROR(__xludf.DUMMYFUNCTION("""COMPUTED_VALUE"""),18.0)</f>
        <v>18</v>
      </c>
      <c r="H456" s="77">
        <f>IFERROR(__xludf.DUMMYFUNCTION("""COMPUTED_VALUE"""),23.0)</f>
        <v>23</v>
      </c>
      <c r="I456" s="77">
        <f>IFERROR(__xludf.DUMMYFUNCTION("""COMPUTED_VALUE"""),100.0)</f>
        <v>100</v>
      </c>
      <c r="J456" s="73"/>
      <c r="K456" s="73"/>
      <c r="L456" s="73"/>
      <c r="M456" s="77">
        <f>IFERROR(__xludf.DUMMYFUNCTION("""COMPUTED_VALUE"""),0.1)</f>
        <v>0.1</v>
      </c>
      <c r="N456" s="77">
        <f>IFERROR(__xludf.DUMMYFUNCTION("""COMPUTED_VALUE"""),1.0)</f>
        <v>1</v>
      </c>
      <c r="O456" s="49"/>
      <c r="P456" s="49" t="str">
        <f>IFERROR(__xludf.DUMMYFUNCTION("""COMPUTED_VALUE"""),"Offset")</f>
        <v>Offset</v>
      </c>
      <c r="Q456" s="49" t="str">
        <f>IFERROR(__xludf.DUMMYFUNCTION("""COMPUTED_VALUE"""),"Packaging")</f>
        <v>Packaging</v>
      </c>
      <c r="R456" s="49" t="str">
        <f>IFERROR(__xludf.DUMMYFUNCTION("""COMPUTED_VALUE"""),"Cosmetic")</f>
        <v>Cosmetic</v>
      </c>
    </row>
    <row r="457">
      <c r="A457" s="156" t="str">
        <f>IFERROR(__xludf.DUMMYFUNCTION("""COMPUTED_VALUE"""),"https://drive.google.com/open?id=1Qds1B0_Z1ebvYNVsIztoqCkJ1jdYLtDj&amp;authuser=jay.agg%40gmail.com&amp;usp=drive_fs")</f>
        <v>https://drive.google.com/open?id=1Qds1B0_Z1ebvYNVsIztoqCkJ1jdYLtDj&amp;authuser=jay.agg%40gmail.com&amp;usp=drive_fs</v>
      </c>
      <c r="B457" s="73" t="str">
        <f>IFERROR(__xludf.DUMMYFUNCTION("""COMPUTED_VALUE"""),"Cosmetic")</f>
        <v>Cosmetic</v>
      </c>
      <c r="C457" s="73" t="str">
        <f>IFERROR(__xludf.DUMMYFUNCTION("""COMPUTED_VALUE"""),"Misc")</f>
        <v>Misc</v>
      </c>
      <c r="D457" s="73" t="str">
        <f>IFERROR(__xludf.DUMMYFUNCTION("""COMPUTED_VALUE"""),"35*35*68 mm | 1.3*1.3*2.6 inch")</f>
        <v>35*35*68 mm | 1.3*1.3*2.6 inch</v>
      </c>
      <c r="E457" s="77">
        <f>IFERROR(__xludf.DUMMYFUNCTION("""COMPUTED_VALUE"""),9.0)</f>
        <v>9</v>
      </c>
      <c r="F457" s="77">
        <f>IFERROR(__xludf.DUMMYFUNCTION("""COMPUTED_VALUE"""),1926.0)</f>
        <v>1926</v>
      </c>
      <c r="G457" s="77">
        <f>IFERROR(__xludf.DUMMYFUNCTION("""COMPUTED_VALUE"""),15.75)</f>
        <v>15.75</v>
      </c>
      <c r="H457" s="77">
        <f>IFERROR(__xludf.DUMMYFUNCTION("""COMPUTED_VALUE"""),20.75)</f>
        <v>20.75</v>
      </c>
      <c r="I457" s="77">
        <f>IFERROR(__xludf.DUMMYFUNCTION("""COMPUTED_VALUE"""),100.0)</f>
        <v>100</v>
      </c>
      <c r="J457" s="73"/>
      <c r="K457" s="73"/>
      <c r="L457" s="73"/>
      <c r="M457" s="77">
        <f>IFERROR(__xludf.DUMMYFUNCTION("""COMPUTED_VALUE"""),0.1)</f>
        <v>0.1</v>
      </c>
      <c r="N457" s="77">
        <f>IFERROR(__xludf.DUMMYFUNCTION("""COMPUTED_VALUE"""),1.0)</f>
        <v>1</v>
      </c>
      <c r="O457" s="49"/>
      <c r="P457" s="49" t="str">
        <f>IFERROR(__xludf.DUMMYFUNCTION("""COMPUTED_VALUE"""),"Offset")</f>
        <v>Offset</v>
      </c>
      <c r="Q457" s="49" t="str">
        <f>IFERROR(__xludf.DUMMYFUNCTION("""COMPUTED_VALUE"""),"Packaging")</f>
        <v>Packaging</v>
      </c>
      <c r="R457" s="49" t="str">
        <f>IFERROR(__xludf.DUMMYFUNCTION("""COMPUTED_VALUE"""),"Cosmetic")</f>
        <v>Cosmetic</v>
      </c>
    </row>
    <row r="458">
      <c r="A458" s="156" t="str">
        <f>IFERROR(__xludf.DUMMYFUNCTION("""COMPUTED_VALUE"""),"https://drive.google.com/open?id=1Src_u0SqpnMvwwBeA0dA0n-dpK1q0-nO&amp;authuser=jay.agg%40gmail.com&amp;usp=drive_fs")</f>
        <v>https://drive.google.com/open?id=1Src_u0SqpnMvwwBeA0dA0n-dpK1q0-nO&amp;authuser=jay.agg%40gmail.com&amp;usp=drive_fs</v>
      </c>
      <c r="B458" s="73" t="str">
        <f>IFERROR(__xludf.DUMMYFUNCTION("""COMPUTED_VALUE"""),"The Man Company")</f>
        <v>The Man Company</v>
      </c>
      <c r="C458" s="73" t="str">
        <f>IFERROR(__xludf.DUMMYFUNCTION("""COMPUTED_VALUE"""),"Misc")</f>
        <v>Misc</v>
      </c>
      <c r="D458" s="73" t="str">
        <f>IFERROR(__xludf.DUMMYFUNCTION("""COMPUTED_VALUE"""),"205*185*82 mm | 8*7.3*3.2 inch | 28*32")</f>
        <v>205*185*82 mm | 8*7.3*3.2 inch | 28*32</v>
      </c>
      <c r="E458" s="77">
        <f>IFERROR(__xludf.DUMMYFUNCTION("""COMPUTED_VALUE"""),2.0)</f>
        <v>2</v>
      </c>
      <c r="F458" s="77">
        <f>IFERROR(__xludf.DUMMYFUNCTION("""COMPUTED_VALUE"""),2840.0)</f>
        <v>2840</v>
      </c>
      <c r="G458" s="77">
        <f>IFERROR(__xludf.DUMMYFUNCTION("""COMPUTED_VALUE"""),28.0)</f>
        <v>28</v>
      </c>
      <c r="H458" s="77">
        <f>IFERROR(__xludf.DUMMYFUNCTION("""COMPUTED_VALUE"""),32.0)</f>
        <v>32</v>
      </c>
      <c r="I458" s="77">
        <f>IFERROR(__xludf.DUMMYFUNCTION("""COMPUTED_VALUE"""),100.0)</f>
        <v>100</v>
      </c>
      <c r="J458" s="73"/>
      <c r="K458" s="73"/>
      <c r="L458" s="73"/>
      <c r="M458" s="77"/>
      <c r="N458" s="77">
        <f>IFERROR(__xludf.DUMMYFUNCTION("""COMPUTED_VALUE"""),1.0)</f>
        <v>1</v>
      </c>
      <c r="O458" s="49"/>
      <c r="P458" s="49" t="str">
        <f>IFERROR(__xludf.DUMMYFUNCTION("""COMPUTED_VALUE"""),"Offset")</f>
        <v>Offset</v>
      </c>
      <c r="Q458" s="49" t="str">
        <f>IFERROR(__xludf.DUMMYFUNCTION("""COMPUTED_VALUE"""),"Packaging")</f>
        <v>Packaging</v>
      </c>
      <c r="R458" s="49" t="str">
        <f>IFERROR(__xludf.DUMMYFUNCTION("""COMPUTED_VALUE"""),"The Man Company")</f>
        <v>The Man Company</v>
      </c>
    </row>
    <row r="459">
      <c r="A459" s="156" t="str">
        <f>IFERROR(__xludf.DUMMYFUNCTION("""COMPUTED_VALUE"""),"https://drive.google.com/open?id=1TB1_4YeZ3hGAlcGXk1_QOz4N0vqsyR57&amp;authuser=jay.agg%40gmail.com&amp;usp=drive_fs")</f>
        <v>https://drive.google.com/open?id=1TB1_4YeZ3hGAlcGXk1_QOz4N0vqsyR57&amp;authuser=jay.agg%40gmail.com&amp;usp=drive_fs</v>
      </c>
      <c r="B459" s="73" t="str">
        <f>IFERROR(__xludf.DUMMYFUNCTION("""COMPUTED_VALUE"""),"The Man Company")</f>
        <v>The Man Company</v>
      </c>
      <c r="C459" s="73" t="str">
        <f>IFERROR(__xludf.DUMMYFUNCTION("""COMPUTED_VALUE"""),"Misc")</f>
        <v>Misc</v>
      </c>
      <c r="D459" s="73" t="str">
        <f>IFERROR(__xludf.DUMMYFUNCTION("""COMPUTED_VALUE"""),"161*128*80 mm | 6.3*5*3.1 inch | 22*24")</f>
        <v>161*128*80 mm | 6.3*5*3.1 inch | 22*24</v>
      </c>
      <c r="E459" s="77">
        <f>IFERROR(__xludf.DUMMYFUNCTION("""COMPUTED_VALUE"""),2.0)</f>
        <v>2</v>
      </c>
      <c r="F459" s="77">
        <f>IFERROR(__xludf.DUMMYFUNCTION("""COMPUTED_VALUE"""),2840.0)</f>
        <v>2840</v>
      </c>
      <c r="G459" s="77">
        <f>IFERROR(__xludf.DUMMYFUNCTION("""COMPUTED_VALUE"""),22.0)</f>
        <v>22</v>
      </c>
      <c r="H459" s="77">
        <f>IFERROR(__xludf.DUMMYFUNCTION("""COMPUTED_VALUE"""),24.0)</f>
        <v>24</v>
      </c>
      <c r="I459" s="77">
        <f>IFERROR(__xludf.DUMMYFUNCTION("""COMPUTED_VALUE"""),100.0)</f>
        <v>100</v>
      </c>
      <c r="J459" s="73"/>
      <c r="K459" s="73"/>
      <c r="L459" s="73"/>
      <c r="M459" s="77"/>
      <c r="N459" s="77">
        <f>IFERROR(__xludf.DUMMYFUNCTION("""COMPUTED_VALUE"""),1.0)</f>
        <v>1</v>
      </c>
      <c r="O459" s="49"/>
      <c r="P459" s="49" t="str">
        <f>IFERROR(__xludf.DUMMYFUNCTION("""COMPUTED_VALUE"""),"Offset")</f>
        <v>Offset</v>
      </c>
      <c r="Q459" s="49" t="str">
        <f>IFERROR(__xludf.DUMMYFUNCTION("""COMPUTED_VALUE"""),"Packaging")</f>
        <v>Packaging</v>
      </c>
      <c r="R459" s="49" t="str">
        <f>IFERROR(__xludf.DUMMYFUNCTION("""COMPUTED_VALUE"""),"The Man Company")</f>
        <v>The Man Company</v>
      </c>
    </row>
    <row r="460">
      <c r="A460" s="156" t="str">
        <f>IFERROR(__xludf.DUMMYFUNCTION("""COMPUTED_VALUE"""),"https://drive.google.com/open?id=1TCRZ8ZaKhoAFGf0e-S0ZgDfN5DFQPxVc&amp;authuser=jay.agg%40gmail.com&amp;usp=drive_fs")</f>
        <v>https://drive.google.com/open?id=1TCRZ8ZaKhoAFGf0e-S0ZgDfN5DFQPxVc&amp;authuser=jay.agg%40gmail.com&amp;usp=drive_fs</v>
      </c>
      <c r="B460" s="73" t="str">
        <f>IFERROR(__xludf.DUMMYFUNCTION("""COMPUTED_VALUE"""),"The Man Company")</f>
        <v>The Man Company</v>
      </c>
      <c r="C460" s="73" t="str">
        <f>IFERROR(__xludf.DUMMYFUNCTION("""COMPUTED_VALUE"""),"Misc")</f>
        <v>Misc</v>
      </c>
      <c r="D460" s="73" t="str">
        <f>IFERROR(__xludf.DUMMYFUNCTION("""COMPUTED_VALUE"""),"205*140*82 mm | 8*5.5*3.2 inch |  24*30")</f>
        <v>205*140*82 mm | 8*5.5*3.2 inch |  24*30</v>
      </c>
      <c r="E460" s="77">
        <f>IFERROR(__xludf.DUMMYFUNCTION("""COMPUTED_VALUE"""),2.0)</f>
        <v>2</v>
      </c>
      <c r="F460" s="77">
        <f>IFERROR(__xludf.DUMMYFUNCTION("""COMPUTED_VALUE"""),2840.0)</f>
        <v>2840</v>
      </c>
      <c r="G460" s="77">
        <f>IFERROR(__xludf.DUMMYFUNCTION("""COMPUTED_VALUE"""),24.0)</f>
        <v>24</v>
      </c>
      <c r="H460" s="77">
        <f>IFERROR(__xludf.DUMMYFUNCTION("""COMPUTED_VALUE"""),30.0)</f>
        <v>30</v>
      </c>
      <c r="I460" s="77">
        <f>IFERROR(__xludf.DUMMYFUNCTION("""COMPUTED_VALUE"""),100.0)</f>
        <v>100</v>
      </c>
      <c r="J460" s="73"/>
      <c r="K460" s="73"/>
      <c r="L460" s="73"/>
      <c r="M460" s="77"/>
      <c r="N460" s="77">
        <f>IFERROR(__xludf.DUMMYFUNCTION("""COMPUTED_VALUE"""),1.0)</f>
        <v>1</v>
      </c>
      <c r="O460" s="49"/>
      <c r="P460" s="49" t="str">
        <f>IFERROR(__xludf.DUMMYFUNCTION("""COMPUTED_VALUE"""),"Offset")</f>
        <v>Offset</v>
      </c>
      <c r="Q460" s="49" t="str">
        <f>IFERROR(__xludf.DUMMYFUNCTION("""COMPUTED_VALUE"""),"Packaging")</f>
        <v>Packaging</v>
      </c>
      <c r="R460" s="49" t="str">
        <f>IFERROR(__xludf.DUMMYFUNCTION("""COMPUTED_VALUE"""),"The Man Company")</f>
        <v>The Man Company</v>
      </c>
    </row>
    <row r="461">
      <c r="A461" s="156" t="str">
        <f>IFERROR(__xludf.DUMMYFUNCTION("""COMPUTED_VALUE"""),"https://drive.google.com/open?id=1UhiKn8J4hTkngWqRxXMkmKJT50M2YHGx&amp;authuser=jay.agg%40gmail.com&amp;usp=drive_fs")</f>
        <v>https://drive.google.com/open?id=1UhiKn8J4hTkngWqRxXMkmKJT50M2YHGx&amp;authuser=jay.agg%40gmail.com&amp;usp=drive_fs</v>
      </c>
      <c r="B461" s="73" t="str">
        <f>IFERROR(__xludf.DUMMYFUNCTION("""COMPUTED_VALUE"""),"Cosmetic")</f>
        <v>Cosmetic</v>
      </c>
      <c r="C461" s="73" t="str">
        <f>IFERROR(__xludf.DUMMYFUNCTION("""COMPUTED_VALUE"""),"Lipstick")</f>
        <v>Lipstick</v>
      </c>
      <c r="D461" s="73" t="str">
        <f>IFERROR(__xludf.DUMMYFUNCTION("""COMPUTED_VALUE"""),"325*157*18 mm | 12.8*6.1*0.8 inch with Tray")</f>
        <v>325*157*18 mm | 12.8*6.1*0.8 inch with Tray</v>
      </c>
      <c r="E461" s="77">
        <f>IFERROR(__xludf.DUMMYFUNCTION("""COMPUTED_VALUE"""),1.0)</f>
        <v>1</v>
      </c>
      <c r="F461" s="77">
        <f>IFERROR(__xludf.DUMMYFUNCTION("""COMPUTED_VALUE"""),1926.0)</f>
        <v>1926</v>
      </c>
      <c r="G461" s="77">
        <f>IFERROR(__xludf.DUMMYFUNCTION("""COMPUTED_VALUE"""),15.0)</f>
        <v>15</v>
      </c>
      <c r="H461" s="77">
        <f>IFERROR(__xludf.DUMMYFUNCTION("""COMPUTED_VALUE"""),25.0)</f>
        <v>25</v>
      </c>
      <c r="I461" s="77">
        <f>IFERROR(__xludf.DUMMYFUNCTION("""COMPUTED_VALUE"""),100.0)</f>
        <v>100</v>
      </c>
      <c r="J461" s="73"/>
      <c r="K461" s="73"/>
      <c r="L461" s="73"/>
      <c r="M461" s="77">
        <f>IFERROR(__xludf.DUMMYFUNCTION("""COMPUTED_VALUE"""),0.1)</f>
        <v>0.1</v>
      </c>
      <c r="N461" s="77">
        <f>IFERROR(__xludf.DUMMYFUNCTION("""COMPUTED_VALUE"""),1.0)</f>
        <v>1</v>
      </c>
      <c r="O461" s="49"/>
      <c r="P461" s="49" t="str">
        <f>IFERROR(__xludf.DUMMYFUNCTION("""COMPUTED_VALUE"""),"Offset")</f>
        <v>Offset</v>
      </c>
      <c r="Q461" s="49" t="str">
        <f>IFERROR(__xludf.DUMMYFUNCTION("""COMPUTED_VALUE"""),"Packaging")</f>
        <v>Packaging</v>
      </c>
      <c r="R461" s="49" t="str">
        <f>IFERROR(__xludf.DUMMYFUNCTION("""COMPUTED_VALUE"""),"Cosmetic")</f>
        <v>Cosmetic</v>
      </c>
    </row>
    <row r="462">
      <c r="A462" s="156" t="str">
        <f>IFERROR(__xludf.DUMMYFUNCTION("""COMPUTED_VALUE"""),"https://drive.google.com/open?id=1UjqH9I2T6ssJRQnDZ5-7-DRsWJdUvdxZ&amp;authuser=jay.agg%40gmail.com&amp;usp=drive_fs")</f>
        <v>https://drive.google.com/open?id=1UjqH9I2T6ssJRQnDZ5-7-DRsWJdUvdxZ&amp;authuser=jay.agg%40gmail.com&amp;usp=drive_fs</v>
      </c>
      <c r="B462" s="73" t="str">
        <f>IFERROR(__xludf.DUMMYFUNCTION("""COMPUTED_VALUE"""),"Cosmetic")</f>
        <v>Cosmetic</v>
      </c>
      <c r="C462" s="73" t="str">
        <f>IFERROR(__xludf.DUMMYFUNCTION("""COMPUTED_VALUE"""),"Beard Oil")</f>
        <v>Beard Oil</v>
      </c>
      <c r="D462" s="73" t="str">
        <f>IFERROR(__xludf.DUMMYFUNCTION("""COMPUTED_VALUE"""),"45*45*115 mm | 1.8*1.8*4.5 inch")</f>
        <v>45*45*115 mm | 1.8*1.8*4.5 inch</v>
      </c>
      <c r="E462" s="77">
        <f>IFERROR(__xludf.DUMMYFUNCTION("""COMPUTED_VALUE"""),6.0)</f>
        <v>6</v>
      </c>
      <c r="F462" s="77">
        <f>IFERROR(__xludf.DUMMYFUNCTION("""COMPUTED_VALUE"""),1926.0)</f>
        <v>1926</v>
      </c>
      <c r="G462" s="77">
        <f>IFERROR(__xludf.DUMMYFUNCTION("""COMPUTED_VALUE"""),18.0)</f>
        <v>18</v>
      </c>
      <c r="H462" s="77">
        <f>IFERROR(__xludf.DUMMYFUNCTION("""COMPUTED_VALUE"""),23.0)</f>
        <v>23</v>
      </c>
      <c r="I462" s="77">
        <f>IFERROR(__xludf.DUMMYFUNCTION("""COMPUTED_VALUE"""),100.0)</f>
        <v>100</v>
      </c>
      <c r="J462" s="73"/>
      <c r="K462" s="73"/>
      <c r="L462" s="73"/>
      <c r="M462" s="77">
        <f>IFERROR(__xludf.DUMMYFUNCTION("""COMPUTED_VALUE"""),0.1)</f>
        <v>0.1</v>
      </c>
      <c r="N462" s="77">
        <f>IFERROR(__xludf.DUMMYFUNCTION("""COMPUTED_VALUE"""),1.0)</f>
        <v>1</v>
      </c>
      <c r="O462" s="49"/>
      <c r="P462" s="49" t="str">
        <f>IFERROR(__xludf.DUMMYFUNCTION("""COMPUTED_VALUE"""),"Offset")</f>
        <v>Offset</v>
      </c>
      <c r="Q462" s="49" t="str">
        <f>IFERROR(__xludf.DUMMYFUNCTION("""COMPUTED_VALUE"""),"Packaging")</f>
        <v>Packaging</v>
      </c>
      <c r="R462" s="49" t="str">
        <f>IFERROR(__xludf.DUMMYFUNCTION("""COMPUTED_VALUE"""),"Cosmetic")</f>
        <v>Cosmetic</v>
      </c>
    </row>
    <row r="463">
      <c r="A463" s="156" t="str">
        <f>IFERROR(__xludf.DUMMYFUNCTION("""COMPUTED_VALUE"""),"https://drive.google.com/open?id=1VDsny2b9rpCdrrQOtrnfNPH6pqREJ1M4&amp;authuser=jay.agg%40gmail.com&amp;usp=drive_fs")</f>
        <v>https://drive.google.com/open?id=1VDsny2b9rpCdrrQOtrnfNPH6pqREJ1M4&amp;authuser=jay.agg%40gmail.com&amp;usp=drive_fs</v>
      </c>
      <c r="B463" s="73" t="str">
        <f>IFERROR(__xludf.DUMMYFUNCTION("""COMPUTED_VALUE"""),"Cosmetic")</f>
        <v>Cosmetic</v>
      </c>
      <c r="C463" s="73" t="str">
        <f>IFERROR(__xludf.DUMMYFUNCTION("""COMPUTED_VALUE"""),"Serum")</f>
        <v>Serum</v>
      </c>
      <c r="D463" s="73" t="str">
        <f>IFERROR(__xludf.DUMMYFUNCTION("""COMPUTED_VALUE"""),"24*24*130 mm | 1*1*5.1 inch")</f>
        <v>24*24*130 mm | 1*1*5.1 inch</v>
      </c>
      <c r="E463" s="77">
        <f>IFERROR(__xludf.DUMMYFUNCTION("""COMPUTED_VALUE"""),9.0)</f>
        <v>9</v>
      </c>
      <c r="F463" s="77">
        <f>IFERROR(__xludf.DUMMYFUNCTION("""COMPUTED_VALUE"""),1926.0)</f>
        <v>1926</v>
      </c>
      <c r="G463" s="77">
        <f>IFERROR(__xludf.DUMMYFUNCTION("""COMPUTED_VALUE"""),14.0)</f>
        <v>14</v>
      </c>
      <c r="H463" s="77">
        <f>IFERROR(__xludf.DUMMYFUNCTION("""COMPUTED_VALUE"""),22.0)</f>
        <v>22</v>
      </c>
      <c r="I463" s="77">
        <f>IFERROR(__xludf.DUMMYFUNCTION("""COMPUTED_VALUE"""),100.0)</f>
        <v>100</v>
      </c>
      <c r="J463" s="73"/>
      <c r="K463" s="73"/>
      <c r="L463" s="73"/>
      <c r="M463" s="77">
        <f>IFERROR(__xludf.DUMMYFUNCTION("""COMPUTED_VALUE"""),0.1)</f>
        <v>0.1</v>
      </c>
      <c r="N463" s="77">
        <f>IFERROR(__xludf.DUMMYFUNCTION("""COMPUTED_VALUE"""),1.0)</f>
        <v>1</v>
      </c>
      <c r="O463" s="49"/>
      <c r="P463" s="49" t="str">
        <f>IFERROR(__xludf.DUMMYFUNCTION("""COMPUTED_VALUE"""),"Offset")</f>
        <v>Offset</v>
      </c>
      <c r="Q463" s="49" t="str">
        <f>IFERROR(__xludf.DUMMYFUNCTION("""COMPUTED_VALUE"""),"Packaging")</f>
        <v>Packaging</v>
      </c>
      <c r="R463" s="49" t="str">
        <f>IFERROR(__xludf.DUMMYFUNCTION("""COMPUTED_VALUE"""),"Cosmetic")</f>
        <v>Cosmetic</v>
      </c>
    </row>
    <row r="464">
      <c r="A464" s="156" t="str">
        <f>IFERROR(__xludf.DUMMYFUNCTION("""COMPUTED_VALUE"""),"https://drive.google.com/open?id=1-c8etHL68eEyoCOWZIzWphkBZB9c5Se0&amp;authuser=jay.agg%40gmail.com&amp;usp=drive_fs")</f>
        <v>https://drive.google.com/open?id=1-c8etHL68eEyoCOWZIzWphkBZB9c5Se0&amp;authuser=jay.agg%40gmail.com&amp;usp=drive_fs</v>
      </c>
      <c r="B464" s="73" t="str">
        <f>IFERROR(__xludf.DUMMYFUNCTION("""COMPUTED_VALUE"""),"Cosmetic")</f>
        <v>Cosmetic</v>
      </c>
      <c r="C464" s="73" t="str">
        <f>IFERROR(__xludf.DUMMYFUNCTION("""COMPUTED_VALUE"""),"Misc")</f>
        <v>Misc</v>
      </c>
      <c r="D464" s="73" t="str">
        <f>IFERROR(__xludf.DUMMYFUNCTION("""COMPUTED_VALUE"""),"95*60*136 mm | 3.75*2.4*5.4 inch IL")</f>
        <v>95*60*136 mm | 3.75*2.4*5.4 inch IL</v>
      </c>
      <c r="E464" s="77">
        <f>IFERROR(__xludf.DUMMYFUNCTION("""COMPUTED_VALUE"""),4.0)</f>
        <v>4</v>
      </c>
      <c r="F464" s="77">
        <f>IFERROR(__xludf.DUMMYFUNCTION("""COMPUTED_VALUE"""),1926.0)</f>
        <v>1926</v>
      </c>
      <c r="G464" s="77">
        <f>IFERROR(__xludf.DUMMYFUNCTION("""COMPUTED_VALUE"""),19.0)</f>
        <v>19</v>
      </c>
      <c r="H464" s="77">
        <f>IFERROR(__xludf.DUMMYFUNCTION("""COMPUTED_VALUE"""),26.0)</f>
        <v>26</v>
      </c>
      <c r="I464" s="77">
        <f>IFERROR(__xludf.DUMMYFUNCTION("""COMPUTED_VALUE"""),100.0)</f>
        <v>100</v>
      </c>
      <c r="J464" s="73"/>
      <c r="K464" s="73"/>
      <c r="L464" s="73"/>
      <c r="M464" s="77">
        <f>IFERROR(__xludf.DUMMYFUNCTION("""COMPUTED_VALUE"""),0.1)</f>
        <v>0.1</v>
      </c>
      <c r="N464" s="77">
        <f>IFERROR(__xludf.DUMMYFUNCTION("""COMPUTED_VALUE"""),1.0)</f>
        <v>1</v>
      </c>
      <c r="O464" s="49"/>
      <c r="P464" s="49" t="str">
        <f>IFERROR(__xludf.DUMMYFUNCTION("""COMPUTED_VALUE"""),"Offset")</f>
        <v>Offset</v>
      </c>
      <c r="Q464" s="49" t="str">
        <f>IFERROR(__xludf.DUMMYFUNCTION("""COMPUTED_VALUE"""),"Packaging")</f>
        <v>Packaging</v>
      </c>
      <c r="R464" s="49" t="str">
        <f>IFERROR(__xludf.DUMMYFUNCTION("""COMPUTED_VALUE"""),"Cosmetic")</f>
        <v>Cosmetic</v>
      </c>
    </row>
    <row r="465">
      <c r="A465" s="156" t="str">
        <f>IFERROR(__xludf.DUMMYFUNCTION("""COMPUTED_VALUE"""),"https://drive.google.com/open?id=1cnyIdRLmCOBRgidIlu7C7n8s1a2zMqKR&amp;authuser=jay.agg%40gmail.com&amp;usp=drive_fs")</f>
        <v>https://drive.google.com/open?id=1cnyIdRLmCOBRgidIlu7C7n8s1a2zMqKR&amp;authuser=jay.agg%40gmail.com&amp;usp=drive_fs</v>
      </c>
      <c r="B465" s="73" t="str">
        <f>IFERROR(__xludf.DUMMYFUNCTION("""COMPUTED_VALUE"""),"The Man Company")</f>
        <v>The Man Company</v>
      </c>
      <c r="C465" s="73" t="str">
        <f>IFERROR(__xludf.DUMMYFUNCTION("""COMPUTED_VALUE"""),"Misc")</f>
        <v>Misc</v>
      </c>
      <c r="D465" s="73" t="str">
        <f>IFERROR(__xludf.DUMMYFUNCTION("""COMPUTED_VALUE"""),"230*176*52 mm | 9*7*2 inch IL | 22*33")</f>
        <v>230*176*52 mm | 9*7*2 inch IL | 22*33</v>
      </c>
      <c r="E465" s="77">
        <f>IFERROR(__xludf.DUMMYFUNCTION("""COMPUTED_VALUE"""),2.0)</f>
        <v>2</v>
      </c>
      <c r="F465" s="77">
        <f>IFERROR(__xludf.DUMMYFUNCTION("""COMPUTED_VALUE"""),2029.0)</f>
        <v>2029</v>
      </c>
      <c r="G465" s="77">
        <f>IFERROR(__xludf.DUMMYFUNCTION("""COMPUTED_VALUE"""),22.0)</f>
        <v>22</v>
      </c>
      <c r="H465" s="77">
        <f>IFERROR(__xludf.DUMMYFUNCTION("""COMPUTED_VALUE"""),33.0)</f>
        <v>33</v>
      </c>
      <c r="I465" s="77">
        <f>IFERROR(__xludf.DUMMYFUNCTION("""COMPUTED_VALUE"""),100.0)</f>
        <v>100</v>
      </c>
      <c r="J465" s="73"/>
      <c r="K465" s="73"/>
      <c r="L465" s="73"/>
      <c r="M465" s="77"/>
      <c r="N465" s="77">
        <f>IFERROR(__xludf.DUMMYFUNCTION("""COMPUTED_VALUE"""),1.0)</f>
        <v>1</v>
      </c>
      <c r="O465" s="49"/>
      <c r="P465" s="49" t="str">
        <f>IFERROR(__xludf.DUMMYFUNCTION("""COMPUTED_VALUE"""),"Offset")</f>
        <v>Offset</v>
      </c>
      <c r="Q465" s="49" t="str">
        <f>IFERROR(__xludf.DUMMYFUNCTION("""COMPUTED_VALUE"""),"Packaging")</f>
        <v>Packaging</v>
      </c>
      <c r="R465" s="49" t="str">
        <f>IFERROR(__xludf.DUMMYFUNCTION("""COMPUTED_VALUE"""),"The Man Company")</f>
        <v>The Man Company</v>
      </c>
    </row>
    <row r="466">
      <c r="A466" s="156" t="str">
        <f>IFERROR(__xludf.DUMMYFUNCTION("""COMPUTED_VALUE"""),"https://drive.google.com/open?id=1CXPDjxvyzTIt_k1u9Gkn2MgS-obc5ozQ&amp;authuser=jay.agg%40gmail.com&amp;usp=drive_fs")</f>
        <v>https://drive.google.com/open?id=1CXPDjxvyzTIt_k1u9Gkn2MgS-obc5ozQ&amp;authuser=jay.agg%40gmail.com&amp;usp=drive_fs</v>
      </c>
      <c r="B466" s="73" t="str">
        <f>IFERROR(__xludf.DUMMYFUNCTION("""COMPUTED_VALUE"""),"Sathwa")</f>
        <v>Sathwa</v>
      </c>
      <c r="C466" s="73" t="str">
        <f>IFERROR(__xludf.DUMMYFUNCTION("""COMPUTED_VALUE"""),"Hair Oil")</f>
        <v>Hair Oil</v>
      </c>
      <c r="D466" s="73" t="str">
        <f>IFERROR(__xludf.DUMMYFUNCTION("""COMPUTED_VALUE"""),"64*64*145 mm | 2.5*2.5*5.7 inch")</f>
        <v>64*64*145 mm | 2.5*2.5*5.7 inch</v>
      </c>
      <c r="E466" s="77">
        <f>IFERROR(__xludf.DUMMYFUNCTION("""COMPUTED_VALUE"""),2.0)</f>
        <v>2</v>
      </c>
      <c r="F466" s="77">
        <f>IFERROR(__xludf.DUMMYFUNCTION("""COMPUTED_VALUE"""),1926.0)</f>
        <v>1926</v>
      </c>
      <c r="G466" s="77">
        <f>IFERROR(__xludf.DUMMYFUNCTION("""COMPUTED_VALUE"""),14.0)</f>
        <v>14</v>
      </c>
      <c r="H466" s="77">
        <f>IFERROR(__xludf.DUMMYFUNCTION("""COMPUTED_VALUE"""),22.0)</f>
        <v>22</v>
      </c>
      <c r="I466" s="77">
        <f>IFERROR(__xludf.DUMMYFUNCTION("""COMPUTED_VALUE"""),100.0)</f>
        <v>100</v>
      </c>
      <c r="J466" s="73"/>
      <c r="K466" s="73"/>
      <c r="L466" s="73"/>
      <c r="M466" s="77">
        <f>IFERROR(__xludf.DUMMYFUNCTION("""COMPUTED_VALUE"""),0.1)</f>
        <v>0.1</v>
      </c>
      <c r="N466" s="77">
        <f>IFERROR(__xludf.DUMMYFUNCTION("""COMPUTED_VALUE"""),1.0)</f>
        <v>1</v>
      </c>
      <c r="O466" s="49"/>
      <c r="P466" s="49" t="str">
        <f>IFERROR(__xludf.DUMMYFUNCTION("""COMPUTED_VALUE"""),"Offset")</f>
        <v>Offset</v>
      </c>
      <c r="Q466" s="49" t="str">
        <f>IFERROR(__xludf.DUMMYFUNCTION("""COMPUTED_VALUE"""),"Packaging")</f>
        <v>Packaging</v>
      </c>
      <c r="R466" s="49" t="str">
        <f>IFERROR(__xludf.DUMMYFUNCTION("""COMPUTED_VALUE"""),"Sathwa")</f>
        <v>Sathwa</v>
      </c>
    </row>
    <row r="467">
      <c r="A467" s="156" t="str">
        <f>IFERROR(__xludf.DUMMYFUNCTION("""COMPUTED_VALUE"""),"https://drive.google.com/open?id=1-CLr-UkVxJtxVCo3mqe4LHghEn_jXG07&amp;authuser=jay.agg%40gmail.com&amp;usp=drive_fs")</f>
        <v>https://drive.google.com/open?id=1-CLr-UkVxJtxVCo3mqe4LHghEn_jXG07&amp;authuser=jay.agg%40gmail.com&amp;usp=drive_fs</v>
      </c>
      <c r="B467" s="73" t="str">
        <f>IFERROR(__xludf.DUMMYFUNCTION("""COMPUTED_VALUE"""),"Cosmetic")</f>
        <v>Cosmetic</v>
      </c>
      <c r="C467" s="73" t="str">
        <f>IFERROR(__xludf.DUMMYFUNCTION("""COMPUTED_VALUE"""),"Misc")</f>
        <v>Misc</v>
      </c>
      <c r="D467" s="73" t="str">
        <f>IFERROR(__xludf.DUMMYFUNCTION("""COMPUTED_VALUE"""),"85*85*85 mm | 3.4*3.4*3.4 inch")</f>
        <v>85*85*85 mm | 3.4*3.4*3.4 inch</v>
      </c>
      <c r="E467" s="77">
        <f>IFERROR(__xludf.DUMMYFUNCTION("""COMPUTED_VALUE"""),2.0)</f>
        <v>2</v>
      </c>
      <c r="F467" s="77">
        <f>IFERROR(__xludf.DUMMYFUNCTION("""COMPUTED_VALUE"""),1926.0)</f>
        <v>1926</v>
      </c>
      <c r="G467" s="77">
        <f>IFERROR(__xludf.DUMMYFUNCTION("""COMPUTED_VALUE"""),14.0)</f>
        <v>14</v>
      </c>
      <c r="H467" s="77">
        <f>IFERROR(__xludf.DUMMYFUNCTION("""COMPUTED_VALUE"""),22.0)</f>
        <v>22</v>
      </c>
      <c r="I467" s="77">
        <f>IFERROR(__xludf.DUMMYFUNCTION("""COMPUTED_VALUE"""),100.0)</f>
        <v>100</v>
      </c>
      <c r="J467" s="73"/>
      <c r="K467" s="73"/>
      <c r="L467" s="73"/>
      <c r="M467" s="77">
        <f>IFERROR(__xludf.DUMMYFUNCTION("""COMPUTED_VALUE"""),0.1)</f>
        <v>0.1</v>
      </c>
      <c r="N467" s="77">
        <f>IFERROR(__xludf.DUMMYFUNCTION("""COMPUTED_VALUE"""),1.0)</f>
        <v>1</v>
      </c>
      <c r="O467" s="49"/>
      <c r="P467" s="49" t="str">
        <f>IFERROR(__xludf.DUMMYFUNCTION("""COMPUTED_VALUE"""),"Offset")</f>
        <v>Offset</v>
      </c>
      <c r="Q467" s="49" t="str">
        <f>IFERROR(__xludf.DUMMYFUNCTION("""COMPUTED_VALUE"""),"Packaging")</f>
        <v>Packaging</v>
      </c>
      <c r="R467" s="49" t="str">
        <f>IFERROR(__xludf.DUMMYFUNCTION("""COMPUTED_VALUE"""),"Cosmetic")</f>
        <v>Cosmetic</v>
      </c>
    </row>
    <row r="468">
      <c r="A468" s="156" t="str">
        <f>IFERROR(__xludf.DUMMYFUNCTION("""COMPUTED_VALUE"""),"https://drive.google.com/open?id=1FEEmMAXqGuQRU93pBeHbeqIyEK4msQKN&amp;authuser=jay.agg%40gmail.com&amp;usp=drive_fs")</f>
        <v>https://drive.google.com/open?id=1FEEmMAXqGuQRU93pBeHbeqIyEK4msQKN&amp;authuser=jay.agg%40gmail.com&amp;usp=drive_fs</v>
      </c>
      <c r="B468" s="73" t="str">
        <f>IFERROR(__xludf.DUMMYFUNCTION("""COMPUTED_VALUE"""),"Cosmetic")</f>
        <v>Cosmetic</v>
      </c>
      <c r="C468" s="73" t="str">
        <f>IFERROR(__xludf.DUMMYFUNCTION("""COMPUTED_VALUE"""),"Misc")</f>
        <v>Misc</v>
      </c>
      <c r="D468" s="73" t="str">
        <f>IFERROR(__xludf.DUMMYFUNCTION("""COMPUTED_VALUE"""),"43*43*136 mm | 1.7*1.7*5.4 inch")</f>
        <v>43*43*136 mm | 1.7*1.7*5.4 inch</v>
      </c>
      <c r="E468" s="77">
        <f>IFERROR(__xludf.DUMMYFUNCTION("""COMPUTED_VALUE"""),8.0)</f>
        <v>8</v>
      </c>
      <c r="F468" s="77">
        <f>IFERROR(__xludf.DUMMYFUNCTION("""COMPUTED_VALUE"""),2029.0)</f>
        <v>2029</v>
      </c>
      <c r="G468" s="77">
        <f>IFERROR(__xludf.DUMMYFUNCTION("""COMPUTED_VALUE"""),20.75)</f>
        <v>20.75</v>
      </c>
      <c r="H468" s="77">
        <f>IFERROR(__xludf.DUMMYFUNCTION("""COMPUTED_VALUE"""),31.0)</f>
        <v>31</v>
      </c>
      <c r="I468" s="77">
        <f>IFERROR(__xludf.DUMMYFUNCTION("""COMPUTED_VALUE"""),100.0)</f>
        <v>100</v>
      </c>
      <c r="J468" s="73"/>
      <c r="K468" s="73"/>
      <c r="L468" s="73"/>
      <c r="M468" s="77">
        <f>IFERROR(__xludf.DUMMYFUNCTION("""COMPUTED_VALUE"""),0.1)</f>
        <v>0.1</v>
      </c>
      <c r="N468" s="77">
        <f>IFERROR(__xludf.DUMMYFUNCTION("""COMPUTED_VALUE"""),1.0)</f>
        <v>1</v>
      </c>
      <c r="O468" s="49"/>
      <c r="P468" s="49" t="str">
        <f>IFERROR(__xludf.DUMMYFUNCTION("""COMPUTED_VALUE"""),"Offset")</f>
        <v>Offset</v>
      </c>
      <c r="Q468" s="49" t="str">
        <f>IFERROR(__xludf.DUMMYFUNCTION("""COMPUTED_VALUE"""),"Packaging")</f>
        <v>Packaging</v>
      </c>
      <c r="R468" s="49" t="str">
        <f>IFERROR(__xludf.DUMMYFUNCTION("""COMPUTED_VALUE"""),"Cosmetic")</f>
        <v>Cosmetic</v>
      </c>
    </row>
    <row r="469">
      <c r="A469" s="156" t="str">
        <f>IFERROR(__xludf.DUMMYFUNCTION("""COMPUTED_VALUE"""),"https://drive.google.com/open?id=18EQmuCoIyA9Rh61aHxQWHSV53k0GVkk_&amp;usp=drive_fs")</f>
        <v>https://drive.google.com/open?id=18EQmuCoIyA9Rh61aHxQWHSV53k0GVkk_&amp;usp=drive_fs</v>
      </c>
      <c r="B469" s="73" t="str">
        <f>IFERROR(__xludf.DUMMYFUNCTION("""COMPUTED_VALUE"""),"Cosmetic")</f>
        <v>Cosmetic</v>
      </c>
      <c r="C469" s="73" t="str">
        <f>IFERROR(__xludf.DUMMYFUNCTION("""COMPUTED_VALUE"""),"Misc")</f>
        <v>Misc</v>
      </c>
      <c r="D469" s="73" t="str">
        <f>IFERROR(__xludf.DUMMYFUNCTION("""COMPUTED_VALUE"""),"47*47*138 mm | 1.85*1.85*5.4 inch")</f>
        <v>47*47*138 mm | 1.85*1.85*5.4 inch</v>
      </c>
      <c r="E469" s="77">
        <f>IFERROR(__xludf.DUMMYFUNCTION("""COMPUTED_VALUE"""),6.0)</f>
        <v>6</v>
      </c>
      <c r="F469" s="77">
        <f>IFERROR(__xludf.DUMMYFUNCTION("""COMPUTED_VALUE"""),2029.0)</f>
        <v>2029</v>
      </c>
      <c r="G469" s="77">
        <f>IFERROR(__xludf.DUMMYFUNCTION("""COMPUTED_VALUE"""),20.0)</f>
        <v>20</v>
      </c>
      <c r="H469" s="77">
        <f>IFERROR(__xludf.DUMMYFUNCTION("""COMPUTED_VALUE"""),25.0)</f>
        <v>25</v>
      </c>
      <c r="I469" s="77">
        <f>IFERROR(__xludf.DUMMYFUNCTION("""COMPUTED_VALUE"""),100.0)</f>
        <v>100</v>
      </c>
      <c r="J469" s="73"/>
      <c r="K469" s="73"/>
      <c r="L469" s="73"/>
      <c r="M469" s="77">
        <f>IFERROR(__xludf.DUMMYFUNCTION("""COMPUTED_VALUE"""),0.11)</f>
        <v>0.11</v>
      </c>
      <c r="N469" s="77">
        <f>IFERROR(__xludf.DUMMYFUNCTION("""COMPUTED_VALUE"""),1.0)</f>
        <v>1</v>
      </c>
      <c r="O469" s="49"/>
      <c r="P469" s="49" t="str">
        <f>IFERROR(__xludf.DUMMYFUNCTION("""COMPUTED_VALUE"""),"Offset")</f>
        <v>Offset</v>
      </c>
      <c r="Q469" s="49" t="str">
        <f>IFERROR(__xludf.DUMMYFUNCTION("""COMPUTED_VALUE"""),"Packaging")</f>
        <v>Packaging</v>
      </c>
      <c r="R469" s="49" t="str">
        <f>IFERROR(__xludf.DUMMYFUNCTION("""COMPUTED_VALUE"""),"Cosmetic")</f>
        <v>Cosmetic</v>
      </c>
    </row>
    <row r="470">
      <c r="A470" s="156" t="str">
        <f>IFERROR(__xludf.DUMMYFUNCTION("""COMPUTED_VALUE"""),"https://drive.google.com/open?id=1QWJvNs0Qz9qhvf3qe7b0pTA_hFCapC28&amp;usp=drive_fs")</f>
        <v>https://drive.google.com/open?id=1QWJvNs0Qz9qhvf3qe7b0pTA_hFCapC28&amp;usp=drive_fs</v>
      </c>
      <c r="B470" s="73" t="str">
        <f>IFERROR(__xludf.DUMMYFUNCTION("""COMPUTED_VALUE"""),"Cosmetic")</f>
        <v>Cosmetic</v>
      </c>
      <c r="C470" s="73" t="str">
        <f>IFERROR(__xludf.DUMMYFUNCTION("""COMPUTED_VALUE"""),"Misc")</f>
        <v>Misc</v>
      </c>
      <c r="D470" s="73" t="str">
        <f>IFERROR(__xludf.DUMMYFUNCTION("""COMPUTED_VALUE"""),"90*10*190 mm | 3.5*0.4*7.5 inch")</f>
        <v>90*10*190 mm | 3.5*0.4*7.5 inch</v>
      </c>
      <c r="E470" s="77">
        <f>IFERROR(__xludf.DUMMYFUNCTION("""COMPUTED_VALUE"""),6.0)</f>
        <v>6</v>
      </c>
      <c r="F470" s="77">
        <f>IFERROR(__xludf.DUMMYFUNCTION("""COMPUTED_VALUE"""),1926.0)</f>
        <v>1926</v>
      </c>
      <c r="G470" s="77">
        <f>IFERROR(__xludf.DUMMYFUNCTION("""COMPUTED_VALUE"""),19.0)</f>
        <v>19</v>
      </c>
      <c r="H470" s="77">
        <f>IFERROR(__xludf.DUMMYFUNCTION("""COMPUTED_VALUE"""),26.0)</f>
        <v>26</v>
      </c>
      <c r="I470" s="77">
        <f>IFERROR(__xludf.DUMMYFUNCTION("""COMPUTED_VALUE"""),100.0)</f>
        <v>100</v>
      </c>
      <c r="J470" s="73"/>
      <c r="K470" s="73"/>
      <c r="L470" s="73"/>
      <c r="M470" s="77">
        <f>IFERROR(__xludf.DUMMYFUNCTION("""COMPUTED_VALUE"""),0.11)</f>
        <v>0.11</v>
      </c>
      <c r="N470" s="77">
        <f>IFERROR(__xludf.DUMMYFUNCTION("""COMPUTED_VALUE"""),1.0)</f>
        <v>1</v>
      </c>
      <c r="O470" s="49"/>
      <c r="P470" s="49" t="str">
        <f>IFERROR(__xludf.DUMMYFUNCTION("""COMPUTED_VALUE"""),"Offset")</f>
        <v>Offset</v>
      </c>
      <c r="Q470" s="49" t="str">
        <f>IFERROR(__xludf.DUMMYFUNCTION("""COMPUTED_VALUE"""),"Packaging")</f>
        <v>Packaging</v>
      </c>
      <c r="R470" s="49" t="str">
        <f>IFERROR(__xludf.DUMMYFUNCTION("""COMPUTED_VALUE"""),"Cosmetic")</f>
        <v>Cosmetic</v>
      </c>
    </row>
    <row r="471">
      <c r="A471" s="156" t="str">
        <f>IFERROR(__xludf.DUMMYFUNCTION("""COMPUTED_VALUE"""),"https://drive.google.com/open?id=18iCN72BgpbDCh2cOTcvvjQM9PnJjvGEO&amp;usp=drive_fs")</f>
        <v>https://drive.google.com/open?id=18iCN72BgpbDCh2cOTcvvjQM9PnJjvGEO&amp;usp=drive_fs</v>
      </c>
      <c r="B471" s="73" t="str">
        <f>IFERROR(__xludf.DUMMYFUNCTION("""COMPUTED_VALUE"""),"Cosmetic")</f>
        <v>Cosmetic</v>
      </c>
      <c r="C471" s="73" t="str">
        <f>IFERROR(__xludf.DUMMYFUNCTION("""COMPUTED_VALUE"""),"Misc")</f>
        <v>Misc</v>
      </c>
      <c r="D471" s="73" t="str">
        <f>IFERROR(__xludf.DUMMYFUNCTION("""COMPUTED_VALUE"""),"90*40*150 mm | 3.5*1.6*6 inch")</f>
        <v>90*40*150 mm | 3.5*1.6*6 inch</v>
      </c>
      <c r="E471" s="77">
        <f>IFERROR(__xludf.DUMMYFUNCTION("""COMPUTED_VALUE"""),4.0)</f>
        <v>4</v>
      </c>
      <c r="F471" s="77">
        <f>IFERROR(__xludf.DUMMYFUNCTION("""COMPUTED_VALUE"""),1926.0)</f>
        <v>1926</v>
      </c>
      <c r="G471" s="77">
        <f>IFERROR(__xludf.DUMMYFUNCTION("""COMPUTED_VALUE"""),19.5)</f>
        <v>19.5</v>
      </c>
      <c r="H471" s="77">
        <f>IFERROR(__xludf.DUMMYFUNCTION("""COMPUTED_VALUE"""),23.0)</f>
        <v>23</v>
      </c>
      <c r="I471" s="77">
        <f>IFERROR(__xludf.DUMMYFUNCTION("""COMPUTED_VALUE"""),100.0)</f>
        <v>100</v>
      </c>
      <c r="J471" s="73"/>
      <c r="K471" s="73"/>
      <c r="L471" s="73"/>
      <c r="M471" s="77">
        <f>IFERROR(__xludf.DUMMYFUNCTION("""COMPUTED_VALUE"""),0.1)</f>
        <v>0.1</v>
      </c>
      <c r="N471" s="77">
        <f>IFERROR(__xludf.DUMMYFUNCTION("""COMPUTED_VALUE"""),1.0)</f>
        <v>1</v>
      </c>
      <c r="O471" s="49"/>
      <c r="P471" s="49" t="str">
        <f>IFERROR(__xludf.DUMMYFUNCTION("""COMPUTED_VALUE"""),"Offset")</f>
        <v>Offset</v>
      </c>
      <c r="Q471" s="49" t="str">
        <f>IFERROR(__xludf.DUMMYFUNCTION("""COMPUTED_VALUE"""),"Packaging")</f>
        <v>Packaging</v>
      </c>
      <c r="R471" s="49" t="str">
        <f>IFERROR(__xludf.DUMMYFUNCTION("""COMPUTED_VALUE"""),"Cosmetic")</f>
        <v>Cosmetic</v>
      </c>
    </row>
    <row r="472">
      <c r="A472" s="156" t="str">
        <f>IFERROR(__xludf.DUMMYFUNCTION("""COMPUTED_VALUE"""),"https://drive.google.com/open?id=18wSvDL-YFdzoLRJ15wkONUMwcl6u1IDx&amp;usp=drive_fs")</f>
        <v>https://drive.google.com/open?id=18wSvDL-YFdzoLRJ15wkONUMwcl6u1IDx&amp;usp=drive_fs</v>
      </c>
      <c r="B472" s="73" t="str">
        <f>IFERROR(__xludf.DUMMYFUNCTION("""COMPUTED_VALUE"""),"Cosmetic")</f>
        <v>Cosmetic</v>
      </c>
      <c r="C472" s="73" t="str">
        <f>IFERROR(__xludf.DUMMYFUNCTION("""COMPUTED_VALUE"""),"Misc")</f>
        <v>Misc</v>
      </c>
      <c r="D472" s="73" t="str">
        <f>IFERROR(__xludf.DUMMYFUNCTION("""COMPUTED_VALUE"""),"54*54*145 mm | 2.1*2.1*5.7 inch")</f>
        <v>54*54*145 mm | 2.1*2.1*5.7 inch</v>
      </c>
      <c r="E472" s="77">
        <f>IFERROR(__xludf.DUMMYFUNCTION("""COMPUTED_VALUE"""),4.0)</f>
        <v>4</v>
      </c>
      <c r="F472" s="77">
        <f>IFERROR(__xludf.DUMMYFUNCTION("""COMPUTED_VALUE"""),2029.0)</f>
        <v>2029</v>
      </c>
      <c r="G472" s="77">
        <f>IFERROR(__xludf.DUMMYFUNCTION("""COMPUTED_VALUE"""),19.0)</f>
        <v>19</v>
      </c>
      <c r="H472" s="77">
        <f>IFERROR(__xludf.DUMMYFUNCTION("""COMPUTED_VALUE"""),26.0)</f>
        <v>26</v>
      </c>
      <c r="I472" s="77">
        <f>IFERROR(__xludf.DUMMYFUNCTION("""COMPUTED_VALUE"""),100.0)</f>
        <v>100</v>
      </c>
      <c r="J472" s="73"/>
      <c r="K472" s="73"/>
      <c r="L472" s="73"/>
      <c r="M472" s="77">
        <f>IFERROR(__xludf.DUMMYFUNCTION("""COMPUTED_VALUE"""),0.2)</f>
        <v>0.2</v>
      </c>
      <c r="N472" s="77">
        <f>IFERROR(__xludf.DUMMYFUNCTION("""COMPUTED_VALUE"""),1.0)</f>
        <v>1</v>
      </c>
      <c r="O472" s="49"/>
      <c r="P472" s="49" t="str">
        <f>IFERROR(__xludf.DUMMYFUNCTION("""COMPUTED_VALUE"""),"Offset")</f>
        <v>Offset</v>
      </c>
      <c r="Q472" s="49" t="str">
        <f>IFERROR(__xludf.DUMMYFUNCTION("""COMPUTED_VALUE"""),"Packaging")</f>
        <v>Packaging</v>
      </c>
      <c r="R472" s="49" t="str">
        <f>IFERROR(__xludf.DUMMYFUNCTION("""COMPUTED_VALUE"""),"Cosmetic")</f>
        <v>Cosmetic</v>
      </c>
    </row>
    <row r="473">
      <c r="A473" s="156" t="str">
        <f>IFERROR(__xludf.DUMMYFUNCTION("""COMPUTED_VALUE"""),"https://drive.google.com/open?id=192xkOjyuqQss9hXlUWxhob_35IdXslLT&amp;usp=drive_fs")</f>
        <v>https://drive.google.com/open?id=192xkOjyuqQss9hXlUWxhob_35IdXslLT&amp;usp=drive_fs</v>
      </c>
      <c r="B473" s="73" t="str">
        <f>IFERROR(__xludf.DUMMYFUNCTION("""COMPUTED_VALUE"""),"Cosmetic")</f>
        <v>Cosmetic</v>
      </c>
      <c r="C473" s="73" t="str">
        <f>IFERROR(__xludf.DUMMYFUNCTION("""COMPUTED_VALUE"""),"Misc")</f>
        <v>Misc</v>
      </c>
      <c r="D473" s="73" t="str">
        <f>IFERROR(__xludf.DUMMYFUNCTION("""COMPUTED_VALUE"""),"95*95*40 mm | 3.74*3.74*1.6 inch")</f>
        <v>95*95*40 mm | 3.74*3.74*1.6 inch</v>
      </c>
      <c r="E473" s="77">
        <f>IFERROR(__xludf.DUMMYFUNCTION("""COMPUTED_VALUE"""),2.0)</f>
        <v>2</v>
      </c>
      <c r="F473" s="77">
        <f>IFERROR(__xludf.DUMMYFUNCTION("""COMPUTED_VALUE"""),1926.0)</f>
        <v>1926</v>
      </c>
      <c r="G473" s="77">
        <f>IFERROR(__xludf.DUMMYFUNCTION("""COMPUTED_VALUE"""),18.0)</f>
        <v>18</v>
      </c>
      <c r="H473" s="77">
        <f>IFERROR(__xludf.DUMMYFUNCTION("""COMPUTED_VALUE"""),23.0)</f>
        <v>23</v>
      </c>
      <c r="I473" s="77">
        <f>IFERROR(__xludf.DUMMYFUNCTION("""COMPUTED_VALUE"""),100.0)</f>
        <v>100</v>
      </c>
      <c r="J473" s="73"/>
      <c r="K473" s="73"/>
      <c r="L473" s="73"/>
      <c r="M473" s="77">
        <f>IFERROR(__xludf.DUMMYFUNCTION("""COMPUTED_VALUE"""),0.15)</f>
        <v>0.15</v>
      </c>
      <c r="N473" s="77">
        <f>IFERROR(__xludf.DUMMYFUNCTION("""COMPUTED_VALUE"""),1.0)</f>
        <v>1</v>
      </c>
      <c r="O473" s="49"/>
      <c r="P473" s="49" t="str">
        <f>IFERROR(__xludf.DUMMYFUNCTION("""COMPUTED_VALUE"""),"Offset")</f>
        <v>Offset</v>
      </c>
      <c r="Q473" s="49" t="str">
        <f>IFERROR(__xludf.DUMMYFUNCTION("""COMPUTED_VALUE"""),"Packaging")</f>
        <v>Packaging</v>
      </c>
      <c r="R473" s="49" t="str">
        <f>IFERROR(__xludf.DUMMYFUNCTION("""COMPUTED_VALUE"""),"Cosmetic")</f>
        <v>Cosmetic</v>
      </c>
    </row>
    <row r="474">
      <c r="A474" s="156" t="str">
        <f>IFERROR(__xludf.DUMMYFUNCTION("""COMPUTED_VALUE"""),"https://drive.google.com/open?id=194-cDTx5TGipf8wg8Hoz3NrTM6e4LJ3T&amp;usp=drive_fs")</f>
        <v>https://drive.google.com/open?id=194-cDTx5TGipf8wg8Hoz3NrTM6e4LJ3T&amp;usp=drive_fs</v>
      </c>
      <c r="B474" s="73" t="str">
        <f>IFERROR(__xludf.DUMMYFUNCTION("""COMPUTED_VALUE"""),"Cosmetic")</f>
        <v>Cosmetic</v>
      </c>
      <c r="C474" s="73" t="str">
        <f>IFERROR(__xludf.DUMMYFUNCTION("""COMPUTED_VALUE"""),"Misc")</f>
        <v>Misc</v>
      </c>
      <c r="D474" s="73" t="str">
        <f>IFERROR(__xludf.DUMMYFUNCTION("""COMPUTED_VALUE"""),"82*82*50 mm | 3.2*3.2*2 inch")</f>
        <v>82*82*50 mm | 3.2*3.2*2 inch</v>
      </c>
      <c r="E474" s="77">
        <f>IFERROR(__xludf.DUMMYFUNCTION("""COMPUTED_VALUE"""),2.0)</f>
        <v>2</v>
      </c>
      <c r="F474" s="77">
        <f>IFERROR(__xludf.DUMMYFUNCTION("""COMPUTED_VALUE"""),1926.0)</f>
        <v>1926</v>
      </c>
      <c r="G474" s="77">
        <f>IFERROR(__xludf.DUMMYFUNCTION("""COMPUTED_VALUE"""),14.0)</f>
        <v>14</v>
      </c>
      <c r="H474" s="77">
        <f>IFERROR(__xludf.DUMMYFUNCTION("""COMPUTED_VALUE"""),22.0)</f>
        <v>22</v>
      </c>
      <c r="I474" s="77">
        <f>IFERROR(__xludf.DUMMYFUNCTION("""COMPUTED_VALUE"""),100.0)</f>
        <v>100</v>
      </c>
      <c r="J474" s="73"/>
      <c r="K474" s="73"/>
      <c r="L474" s="73"/>
      <c r="M474" s="77">
        <f>IFERROR(__xludf.DUMMYFUNCTION("""COMPUTED_VALUE"""),0.15)</f>
        <v>0.15</v>
      </c>
      <c r="N474" s="77">
        <f>IFERROR(__xludf.DUMMYFUNCTION("""COMPUTED_VALUE"""),1.0)</f>
        <v>1</v>
      </c>
      <c r="O474" s="49"/>
      <c r="P474" s="49" t="str">
        <f>IFERROR(__xludf.DUMMYFUNCTION("""COMPUTED_VALUE"""),"Offset")</f>
        <v>Offset</v>
      </c>
      <c r="Q474" s="49" t="str">
        <f>IFERROR(__xludf.DUMMYFUNCTION("""COMPUTED_VALUE"""),"Packaging")</f>
        <v>Packaging</v>
      </c>
      <c r="R474" s="49" t="str">
        <f>IFERROR(__xludf.DUMMYFUNCTION("""COMPUTED_VALUE"""),"Cosmetic")</f>
        <v>Cosmetic</v>
      </c>
    </row>
    <row r="475">
      <c r="A475" s="156" t="str">
        <f>IFERROR(__xludf.DUMMYFUNCTION("""COMPUTED_VALUE"""),"https://drive.google.com/open?id=1SHbRjzuHIQ6WFTx-sS00z3YIuSMGY2Y0&amp;usp=drive_fs")</f>
        <v>https://drive.google.com/open?id=1SHbRjzuHIQ6WFTx-sS00z3YIuSMGY2Y0&amp;usp=drive_fs</v>
      </c>
      <c r="B475" s="73" t="str">
        <f>IFERROR(__xludf.DUMMYFUNCTION("""COMPUTED_VALUE"""),"Dude Love")</f>
        <v>Dude Love</v>
      </c>
      <c r="C475" s="73" t="str">
        <f>IFERROR(__xludf.DUMMYFUNCTION("""COMPUTED_VALUE"""),"Oral Oil")</f>
        <v>Oral Oil</v>
      </c>
      <c r="D475" s="73" t="str">
        <f>IFERROR(__xludf.DUMMYFUNCTION("""COMPUTED_VALUE"""),"58*48*185 mm | 2.3*1.9*7.3 inch")</f>
        <v>58*48*185 mm | 2.3*1.9*7.3 inch</v>
      </c>
      <c r="E475" s="77">
        <f>IFERROR(__xludf.DUMMYFUNCTION("""COMPUTED_VALUE"""),4.0)</f>
        <v>4</v>
      </c>
      <c r="F475" s="77">
        <f>IFERROR(__xludf.DUMMYFUNCTION("""COMPUTED_VALUE"""),1926.0)</f>
        <v>1926</v>
      </c>
      <c r="G475" s="77">
        <f>IFERROR(__xludf.DUMMYFUNCTION("""COMPUTED_VALUE"""),18.0)</f>
        <v>18</v>
      </c>
      <c r="H475" s="77">
        <f>IFERROR(__xludf.DUMMYFUNCTION("""COMPUTED_VALUE"""),23.0)</f>
        <v>23</v>
      </c>
      <c r="I475" s="77">
        <f>IFERROR(__xludf.DUMMYFUNCTION("""COMPUTED_VALUE"""),100.0)</f>
        <v>100</v>
      </c>
      <c r="J475" s="73"/>
      <c r="K475" s="73"/>
      <c r="L475" s="73"/>
      <c r="M475" s="77">
        <f>IFERROR(__xludf.DUMMYFUNCTION("""COMPUTED_VALUE"""),0.1)</f>
        <v>0.1</v>
      </c>
      <c r="N475" s="77">
        <f>IFERROR(__xludf.DUMMYFUNCTION("""COMPUTED_VALUE"""),1.0)</f>
        <v>1</v>
      </c>
      <c r="O475" s="49"/>
      <c r="P475" s="49" t="str">
        <f>IFERROR(__xludf.DUMMYFUNCTION("""COMPUTED_VALUE"""),"Offset")</f>
        <v>Offset</v>
      </c>
      <c r="Q475" s="49" t="str">
        <f>IFERROR(__xludf.DUMMYFUNCTION("""COMPUTED_VALUE"""),"Packaging")</f>
        <v>Packaging</v>
      </c>
      <c r="R475" s="49" t="str">
        <f>IFERROR(__xludf.DUMMYFUNCTION("""COMPUTED_VALUE"""),"Dude Love")</f>
        <v>Dude Love</v>
      </c>
    </row>
    <row r="476">
      <c r="A476" s="156" t="str">
        <f>IFERROR(__xludf.DUMMYFUNCTION("""COMPUTED_VALUE"""),"https://drive.google.com/open?id=1SObkdPaCWqHytg3xlUQK8MBbBd2EDqpK&amp;usp=drive_fs")</f>
        <v>https://drive.google.com/open?id=1SObkdPaCWqHytg3xlUQK8MBbBd2EDqpK&amp;usp=drive_fs</v>
      </c>
      <c r="B476" s="73" t="str">
        <f>IFERROR(__xludf.DUMMYFUNCTION("""COMPUTED_VALUE"""),"Cosmetic")</f>
        <v>Cosmetic</v>
      </c>
      <c r="C476" s="73" t="str">
        <f>IFERROR(__xludf.DUMMYFUNCTION("""COMPUTED_VALUE"""),"Misc")</f>
        <v>Misc</v>
      </c>
      <c r="D476" s="73" t="str">
        <f>IFERROR(__xludf.DUMMYFUNCTION("""COMPUTED_VALUE"""),"40*40*135 mm | 1.5*1.5*5.3 inch LB")</f>
        <v>40*40*135 mm | 1.5*1.5*5.3 inch LB</v>
      </c>
      <c r="E476" s="77">
        <f>IFERROR(__xludf.DUMMYFUNCTION("""COMPUTED_VALUE"""),6.0)</f>
        <v>6</v>
      </c>
      <c r="F476" s="77">
        <f>IFERROR(__xludf.DUMMYFUNCTION("""COMPUTED_VALUE"""),1926.0)</f>
        <v>1926</v>
      </c>
      <c r="G476" s="77">
        <f>IFERROR(__xludf.DUMMYFUNCTION("""COMPUTED_VALUE"""),15.75)</f>
        <v>15.75</v>
      </c>
      <c r="H476" s="77">
        <f>IFERROR(__xludf.DUMMYFUNCTION("""COMPUTED_VALUE"""),20.75)</f>
        <v>20.75</v>
      </c>
      <c r="I476" s="77">
        <f>IFERROR(__xludf.DUMMYFUNCTION("""COMPUTED_VALUE"""),100.0)</f>
        <v>100</v>
      </c>
      <c r="J476" s="73"/>
      <c r="K476" s="73"/>
      <c r="L476" s="73"/>
      <c r="M476" s="77">
        <f>IFERROR(__xludf.DUMMYFUNCTION("""COMPUTED_VALUE"""),0.18)</f>
        <v>0.18</v>
      </c>
      <c r="N476" s="77">
        <f>IFERROR(__xludf.DUMMYFUNCTION("""COMPUTED_VALUE"""),1.0)</f>
        <v>1</v>
      </c>
      <c r="O476" s="49"/>
      <c r="P476" s="49" t="str">
        <f>IFERROR(__xludf.DUMMYFUNCTION("""COMPUTED_VALUE"""),"Offset")</f>
        <v>Offset</v>
      </c>
      <c r="Q476" s="49" t="str">
        <f>IFERROR(__xludf.DUMMYFUNCTION("""COMPUTED_VALUE"""),"Packaging")</f>
        <v>Packaging</v>
      </c>
      <c r="R476" s="49" t="str">
        <f>IFERROR(__xludf.DUMMYFUNCTION("""COMPUTED_VALUE"""),"Cosmetic")</f>
        <v>Cosmetic</v>
      </c>
    </row>
    <row r="477">
      <c r="A477" s="156" t="str">
        <f>IFERROR(__xludf.DUMMYFUNCTION("""COMPUTED_VALUE"""),"https://drive.google.com/open?id=1BV7658YsyZ-dDIF1uiAcoq2RhkfjbOYm&amp;usp=drive_fs")</f>
        <v>https://drive.google.com/open?id=1BV7658YsyZ-dDIF1uiAcoq2RhkfjbOYm&amp;usp=drive_fs</v>
      </c>
      <c r="B477" s="73" t="str">
        <f>IFERROR(__xludf.DUMMYFUNCTION("""COMPUTED_VALUE"""),"Cerene")</f>
        <v>Cerene</v>
      </c>
      <c r="C477" s="73" t="str">
        <f>IFERROR(__xludf.DUMMYFUNCTION("""COMPUTED_VALUE"""),"Water Cream")</f>
        <v>Water Cream</v>
      </c>
      <c r="D477" s="73" t="str">
        <f>IFERROR(__xludf.DUMMYFUNCTION("""COMPUTED_VALUE"""),"60*50*140 mm | 2.3*2*5.5 inch LB")</f>
        <v>60*50*140 mm | 2.3*2*5.5 inch LB</v>
      </c>
      <c r="E477" s="77">
        <f>IFERROR(__xludf.DUMMYFUNCTION("""COMPUTED_VALUE"""),4.0)</f>
        <v>4</v>
      </c>
      <c r="F477" s="77">
        <f>IFERROR(__xludf.DUMMYFUNCTION("""COMPUTED_VALUE"""),2029.0)</f>
        <v>2029</v>
      </c>
      <c r="G477" s="77">
        <f>IFERROR(__xludf.DUMMYFUNCTION("""COMPUTED_VALUE"""),19.5)</f>
        <v>19.5</v>
      </c>
      <c r="H477" s="77">
        <f>IFERROR(__xludf.DUMMYFUNCTION("""COMPUTED_VALUE"""),23.0)</f>
        <v>23</v>
      </c>
      <c r="I477" s="77">
        <f>IFERROR(__xludf.DUMMYFUNCTION("""COMPUTED_VALUE"""),100.0)</f>
        <v>100</v>
      </c>
      <c r="J477" s="73"/>
      <c r="K477" s="73"/>
      <c r="L477" s="73"/>
      <c r="M477" s="77">
        <f>IFERROR(__xludf.DUMMYFUNCTION("""COMPUTED_VALUE"""),0.7)</f>
        <v>0.7</v>
      </c>
      <c r="N477" s="77">
        <f>IFERROR(__xludf.DUMMYFUNCTION("""COMPUTED_VALUE"""),1.0)</f>
        <v>1</v>
      </c>
      <c r="O477" s="49"/>
      <c r="P477" s="49" t="str">
        <f>IFERROR(__xludf.DUMMYFUNCTION("""COMPUTED_VALUE"""),"Offset")</f>
        <v>Offset</v>
      </c>
      <c r="Q477" s="49" t="str">
        <f>IFERROR(__xludf.DUMMYFUNCTION("""COMPUTED_VALUE"""),"Packaging")</f>
        <v>Packaging</v>
      </c>
      <c r="R477" s="49" t="str">
        <f>IFERROR(__xludf.DUMMYFUNCTION("""COMPUTED_VALUE"""),"Cerene")</f>
        <v>Cerene</v>
      </c>
    </row>
    <row r="478">
      <c r="A478" s="156" t="str">
        <f>IFERROR(__xludf.DUMMYFUNCTION("""COMPUTED_VALUE"""),"https://drive.google.com/open?id=1BavIH7W0d3CyVUn1T_n0kc_j9diEg16S&amp;usp=drive_fs")</f>
        <v>https://drive.google.com/open?id=1BavIH7W0d3CyVUn1T_n0kc_j9diEg16S&amp;usp=drive_fs</v>
      </c>
      <c r="B478" s="73" t="str">
        <f>IFERROR(__xludf.DUMMYFUNCTION("""COMPUTED_VALUE"""),"Cerene")</f>
        <v>Cerene</v>
      </c>
      <c r="C478" s="73" t="str">
        <f>IFERROR(__xludf.DUMMYFUNCTION("""COMPUTED_VALUE"""),"Outer")</f>
        <v>Outer</v>
      </c>
      <c r="D478" s="73" t="str">
        <f>IFERROR(__xludf.DUMMYFUNCTION("""COMPUTED_VALUE"""),"200*110*75 mm | 8.2*4.3*3 inch | 22*18")</f>
        <v>200*110*75 mm | 8.2*4.3*3 inch | 22*18</v>
      </c>
      <c r="E478" s="77">
        <f>IFERROR(__xludf.DUMMYFUNCTION("""COMPUTED_VALUE"""),1.0)</f>
        <v>1</v>
      </c>
      <c r="F478" s="77">
        <f>IFERROR(__xludf.DUMMYFUNCTION("""COMPUTED_VALUE"""),1926.0)</f>
        <v>1926</v>
      </c>
      <c r="G478" s="77">
        <f>IFERROR(__xludf.DUMMYFUNCTION("""COMPUTED_VALUE"""),22.0)</f>
        <v>22</v>
      </c>
      <c r="H478" s="77">
        <f>IFERROR(__xludf.DUMMYFUNCTION("""COMPUTED_VALUE"""),18.0)</f>
        <v>18</v>
      </c>
      <c r="I478" s="77">
        <f>IFERROR(__xludf.DUMMYFUNCTION("""COMPUTED_VALUE"""),100.0)</f>
        <v>100</v>
      </c>
      <c r="J478" s="73"/>
      <c r="K478" s="73"/>
      <c r="L478" s="73"/>
      <c r="M478" s="77"/>
      <c r="N478" s="77">
        <f>IFERROR(__xludf.DUMMYFUNCTION("""COMPUTED_VALUE"""),1.0)</f>
        <v>1</v>
      </c>
      <c r="O478" s="49"/>
      <c r="P478" s="49" t="str">
        <f>IFERROR(__xludf.DUMMYFUNCTION("""COMPUTED_VALUE"""),"Offset")</f>
        <v>Offset</v>
      </c>
      <c r="Q478" s="49" t="str">
        <f>IFERROR(__xludf.DUMMYFUNCTION("""COMPUTED_VALUE"""),"Packaging")</f>
        <v>Packaging</v>
      </c>
      <c r="R478" s="49" t="str">
        <f>IFERROR(__xludf.DUMMYFUNCTION("""COMPUTED_VALUE"""),"Cerene")</f>
        <v>Cerene</v>
      </c>
    </row>
    <row r="479">
      <c r="A479" s="156" t="str">
        <f>IFERROR(__xludf.DUMMYFUNCTION("""COMPUTED_VALUE"""),"https://drive.google.com/open?id=1IF4Nj9MShwOZ7oM_gJJRos_I1rJabW-U&amp;usp=drive_fs")</f>
        <v>https://drive.google.com/open?id=1IF4Nj9MShwOZ7oM_gJJRos_I1rJabW-U&amp;usp=drive_fs</v>
      </c>
      <c r="B479" s="73" t="str">
        <f>IFERROR(__xludf.DUMMYFUNCTION("""COMPUTED_VALUE"""),"Dude Love")</f>
        <v>Dude Love</v>
      </c>
      <c r="C479" s="73" t="str">
        <f>IFERROR(__xludf.DUMMYFUNCTION("""COMPUTED_VALUE"""),"Spray")</f>
        <v>Spray</v>
      </c>
      <c r="D479" s="73" t="str">
        <f>IFERROR(__xludf.DUMMYFUNCTION("""COMPUTED_VALUE"""),"65*17*100 mm | 2.5*0.6*3.9 inch")</f>
        <v>65*17*100 mm | 2.5*0.6*3.9 inch</v>
      </c>
      <c r="E479" s="77">
        <f>IFERROR(__xludf.DUMMYFUNCTION("""COMPUTED_VALUE"""),9.0)</f>
        <v>9</v>
      </c>
      <c r="F479" s="77">
        <f>IFERROR(__xludf.DUMMYFUNCTION("""COMPUTED_VALUE"""),1926.0)</f>
        <v>1926</v>
      </c>
      <c r="G479" s="77">
        <f>IFERROR(__xludf.DUMMYFUNCTION("""COMPUTED_VALUE"""),18.0)</f>
        <v>18</v>
      </c>
      <c r="H479" s="77">
        <f>IFERROR(__xludf.DUMMYFUNCTION("""COMPUTED_VALUE"""),23.0)</f>
        <v>23</v>
      </c>
      <c r="I479" s="77">
        <f>IFERROR(__xludf.DUMMYFUNCTION("""COMPUTED_VALUE"""),100.0)</f>
        <v>100</v>
      </c>
      <c r="J479" s="73"/>
      <c r="K479" s="73"/>
      <c r="L479" s="73"/>
      <c r="M479" s="77">
        <f>IFERROR(__xludf.DUMMYFUNCTION("""COMPUTED_VALUE"""),0.1)</f>
        <v>0.1</v>
      </c>
      <c r="N479" s="77">
        <f>IFERROR(__xludf.DUMMYFUNCTION("""COMPUTED_VALUE"""),1.0)</f>
        <v>1</v>
      </c>
      <c r="O479" s="49"/>
      <c r="P479" s="49" t="str">
        <f>IFERROR(__xludf.DUMMYFUNCTION("""COMPUTED_VALUE"""),"Offset")</f>
        <v>Offset</v>
      </c>
      <c r="Q479" s="49" t="str">
        <f>IFERROR(__xludf.DUMMYFUNCTION("""COMPUTED_VALUE"""),"Packaging")</f>
        <v>Packaging</v>
      </c>
      <c r="R479" s="49" t="str">
        <f>IFERROR(__xludf.DUMMYFUNCTION("""COMPUTED_VALUE"""),"Dude Love")</f>
        <v>Dude Love</v>
      </c>
    </row>
    <row r="480">
      <c r="A480" s="156" t="str">
        <f>IFERROR(__xludf.DUMMYFUNCTION("""COMPUTED_VALUE"""),"https://drive.google.com/open?id=1OPf2hOgxA_Xc1TxSUfm1icaSE3ySD0dj&amp;usp=drive_fs")</f>
        <v>https://drive.google.com/open?id=1OPf2hOgxA_Xc1TxSUfm1icaSE3ySD0dj&amp;usp=drive_fs</v>
      </c>
      <c r="B480" s="73" t="str">
        <f>IFERROR(__xludf.DUMMYFUNCTION("""COMPUTED_VALUE"""),"Cosmetic")</f>
        <v>Cosmetic</v>
      </c>
      <c r="C480" s="73" t="str">
        <f>IFERROR(__xludf.DUMMYFUNCTION("""COMPUTED_VALUE"""),"Cream")</f>
        <v>Cream</v>
      </c>
      <c r="D480" s="73" t="str">
        <f>IFERROR(__xludf.DUMMYFUNCTION("""COMPUTED_VALUE"""),"38*38*123 mm | 1.5*1.5*4.9 inch LB")</f>
        <v>38*38*123 mm | 1.5*1.5*4.9 inch LB</v>
      </c>
      <c r="E480" s="77">
        <f>IFERROR(__xludf.DUMMYFUNCTION("""COMPUTED_VALUE"""),6.0)</f>
        <v>6</v>
      </c>
      <c r="F480" s="77">
        <f>IFERROR(__xludf.DUMMYFUNCTION("""COMPUTED_VALUE"""),1926.0)</f>
        <v>1926</v>
      </c>
      <c r="G480" s="77">
        <f>IFERROR(__xludf.DUMMYFUNCTION("""COMPUTED_VALUE"""),14.0)</f>
        <v>14</v>
      </c>
      <c r="H480" s="77">
        <f>IFERROR(__xludf.DUMMYFUNCTION("""COMPUTED_VALUE"""),22.0)</f>
        <v>22</v>
      </c>
      <c r="I480" s="77">
        <f>IFERROR(__xludf.DUMMYFUNCTION("""COMPUTED_VALUE"""),100.0)</f>
        <v>100</v>
      </c>
      <c r="J480" s="73"/>
      <c r="K480" s="73"/>
      <c r="L480" s="73"/>
      <c r="M480" s="77">
        <f>IFERROR(__xludf.DUMMYFUNCTION("""COMPUTED_VALUE"""),0.18)</f>
        <v>0.18</v>
      </c>
      <c r="N480" s="77">
        <f>IFERROR(__xludf.DUMMYFUNCTION("""COMPUTED_VALUE"""),1.0)</f>
        <v>1</v>
      </c>
      <c r="O480" s="49"/>
      <c r="P480" s="49" t="str">
        <f>IFERROR(__xludf.DUMMYFUNCTION("""COMPUTED_VALUE"""),"Offset")</f>
        <v>Offset</v>
      </c>
      <c r="Q480" s="49" t="str">
        <f>IFERROR(__xludf.DUMMYFUNCTION("""COMPUTED_VALUE"""),"Packaging")</f>
        <v>Packaging</v>
      </c>
      <c r="R480" s="49" t="str">
        <f>IFERROR(__xludf.DUMMYFUNCTION("""COMPUTED_VALUE"""),"Cosmetic")</f>
        <v>Cosmetic</v>
      </c>
    </row>
    <row r="481">
      <c r="A481" s="156" t="str">
        <f>IFERROR(__xludf.DUMMYFUNCTION("""COMPUTED_VALUE"""),"https://drive.google.com/open?id=10jeB26ywQ_aoIuiKQqytgsVyH5khrg3_&amp;usp=drive_fs")</f>
        <v>https://drive.google.com/open?id=10jeB26ywQ_aoIuiKQqytgsVyH5khrg3_&amp;usp=drive_fs</v>
      </c>
      <c r="B481" s="73" t="str">
        <f>IFERROR(__xludf.DUMMYFUNCTION("""COMPUTED_VALUE"""),"Cosmetic")</f>
        <v>Cosmetic</v>
      </c>
      <c r="C481" s="73" t="str">
        <f>IFERROR(__xludf.DUMMYFUNCTION("""COMPUTED_VALUE"""),"Heena Box")</f>
        <v>Heena Box</v>
      </c>
      <c r="D481" s="73" t="str">
        <f>IFERROR(__xludf.DUMMYFUNCTION("""COMPUTED_VALUE"""),"Set 225*180*32 | 180*112*32 mm")</f>
        <v>Set 225*180*32 | 180*112*32 mm</v>
      </c>
      <c r="E481" s="77">
        <f>IFERROR(__xludf.DUMMYFUNCTION("""COMPUTED_VALUE"""),2.0)</f>
        <v>2</v>
      </c>
      <c r="F481" s="77">
        <f>IFERROR(__xludf.DUMMYFUNCTION("""COMPUTED_VALUE"""),1926.0)</f>
        <v>1926</v>
      </c>
      <c r="G481" s="77">
        <f>IFERROR(__xludf.DUMMYFUNCTION("""COMPUTED_VALUE"""),15.0)</f>
        <v>15</v>
      </c>
      <c r="H481" s="77">
        <f>IFERROR(__xludf.DUMMYFUNCTION("""COMPUTED_VALUE"""),25.0)</f>
        <v>25</v>
      </c>
      <c r="I481" s="77">
        <f>IFERROR(__xludf.DUMMYFUNCTION("""COMPUTED_VALUE"""),100.0)</f>
        <v>100</v>
      </c>
      <c r="J481" s="73"/>
      <c r="K481" s="73"/>
      <c r="L481" s="73"/>
      <c r="M481" s="77"/>
      <c r="N481" s="77">
        <f>IFERROR(__xludf.DUMMYFUNCTION("""COMPUTED_VALUE"""),1.0)</f>
        <v>1</v>
      </c>
      <c r="O481" s="49"/>
      <c r="P481" s="49" t="str">
        <f>IFERROR(__xludf.DUMMYFUNCTION("""COMPUTED_VALUE"""),"Offset")</f>
        <v>Offset</v>
      </c>
      <c r="Q481" s="49" t="str">
        <f>IFERROR(__xludf.DUMMYFUNCTION("""COMPUTED_VALUE"""),"Packaging")</f>
        <v>Packaging</v>
      </c>
      <c r="R481" s="49" t="str">
        <f>IFERROR(__xludf.DUMMYFUNCTION("""COMPUTED_VALUE"""),"Cosmetic")</f>
        <v>Cosmetic</v>
      </c>
    </row>
    <row r="482">
      <c r="A482" s="156" t="str">
        <f>IFERROR(__xludf.DUMMYFUNCTION("""COMPUTED_VALUE"""),"https://drive.google.com/open?id=1Pg4BB9bmHSTOcKBWEGXOFg4UcaExCPiS&amp;usp=drive_fs")</f>
        <v>https://drive.google.com/open?id=1Pg4BB9bmHSTOcKBWEGXOFg4UcaExCPiS&amp;usp=drive_fs</v>
      </c>
      <c r="B482" s="73" t="str">
        <f>IFERROR(__xludf.DUMMYFUNCTION("""COMPUTED_VALUE"""),"Cosmetic")</f>
        <v>Cosmetic</v>
      </c>
      <c r="C482" s="73" t="str">
        <f>IFERROR(__xludf.DUMMYFUNCTION("""COMPUTED_VALUE"""),"Misc")</f>
        <v>Misc</v>
      </c>
      <c r="D482" s="73" t="str">
        <f>IFERROR(__xludf.DUMMYFUNCTION("""COMPUTED_VALUE"""),"240*180*100 mm | 9.5*7*4 inch | 26*27")</f>
        <v>240*180*100 mm | 9.5*7*4 inch | 26*27</v>
      </c>
      <c r="E482" s="77">
        <f>IFERROR(__xludf.DUMMYFUNCTION("""COMPUTED_VALUE"""),1.0)</f>
        <v>1</v>
      </c>
      <c r="F482" s="77">
        <f>IFERROR(__xludf.DUMMYFUNCTION("""COMPUTED_VALUE"""),2840.0)</f>
        <v>2840</v>
      </c>
      <c r="G482" s="77">
        <f>IFERROR(__xludf.DUMMYFUNCTION("""COMPUTED_VALUE"""),26.0)</f>
        <v>26</v>
      </c>
      <c r="H482" s="77">
        <f>IFERROR(__xludf.DUMMYFUNCTION("""COMPUTED_VALUE"""),27.0)</f>
        <v>27</v>
      </c>
      <c r="I482" s="77">
        <f>IFERROR(__xludf.DUMMYFUNCTION("""COMPUTED_VALUE"""),100.0)</f>
        <v>100</v>
      </c>
      <c r="J482" s="73"/>
      <c r="K482" s="73"/>
      <c r="L482" s="73"/>
      <c r="M482" s="77"/>
      <c r="N482" s="77">
        <f>IFERROR(__xludf.DUMMYFUNCTION("""COMPUTED_VALUE"""),1.0)</f>
        <v>1</v>
      </c>
      <c r="O482" s="49"/>
      <c r="P482" s="49" t="str">
        <f>IFERROR(__xludf.DUMMYFUNCTION("""COMPUTED_VALUE"""),"Offset")</f>
        <v>Offset</v>
      </c>
      <c r="Q482" s="49" t="str">
        <f>IFERROR(__xludf.DUMMYFUNCTION("""COMPUTED_VALUE"""),"Packaging")</f>
        <v>Packaging</v>
      </c>
      <c r="R482" s="49" t="str">
        <f>IFERROR(__xludf.DUMMYFUNCTION("""COMPUTED_VALUE"""),"Cosmetic")</f>
        <v>Cosmetic</v>
      </c>
    </row>
    <row r="483">
      <c r="A483" s="156" t="str">
        <f>IFERROR(__xludf.DUMMYFUNCTION("""COMPUTED_VALUE"""),"https://drive.google.com/open?id=12XphRf0GeM_3YzseA4uaVhdrRYjSZ32f&amp;usp=drive_fs")</f>
        <v>https://drive.google.com/open?id=12XphRf0GeM_3YzseA4uaVhdrRYjSZ32f&amp;usp=drive_fs</v>
      </c>
      <c r="B483" s="73" t="str">
        <f>IFERROR(__xludf.DUMMYFUNCTION("""COMPUTED_VALUE"""),"Dude Love")</f>
        <v>Dude Love</v>
      </c>
      <c r="C483" s="73" t="str">
        <f>IFERROR(__xludf.DUMMYFUNCTION("""COMPUTED_VALUE"""),"Misc")</f>
        <v>Misc</v>
      </c>
      <c r="D483" s="73" t="str">
        <f>IFERROR(__xludf.DUMMYFUNCTION("""COMPUTED_VALUE"""),"70*30*162 mm | 2.7*1.2*6.4 inch")</f>
        <v>70*30*162 mm | 2.7*1.2*6.4 inch</v>
      </c>
      <c r="E483" s="77">
        <f>IFERROR(__xludf.DUMMYFUNCTION("""COMPUTED_VALUE"""),2.0)</f>
        <v>2</v>
      </c>
      <c r="F483" s="77">
        <f>IFERROR(__xludf.DUMMYFUNCTION("""COMPUTED_VALUE"""),1926.0)</f>
        <v>1926</v>
      </c>
      <c r="G483" s="77">
        <f>IFERROR(__xludf.DUMMYFUNCTION("""COMPUTED_VALUE"""),15.75)</f>
        <v>15.75</v>
      </c>
      <c r="H483" s="77">
        <f>IFERROR(__xludf.DUMMYFUNCTION("""COMPUTED_VALUE"""),20.75)</f>
        <v>20.75</v>
      </c>
      <c r="I483" s="77">
        <f>IFERROR(__xludf.DUMMYFUNCTION("""COMPUTED_VALUE"""),100.0)</f>
        <v>100</v>
      </c>
      <c r="J483" s="73"/>
      <c r="K483" s="73"/>
      <c r="L483" s="73"/>
      <c r="M483" s="77">
        <f>IFERROR(__xludf.DUMMYFUNCTION("""COMPUTED_VALUE"""),0.2)</f>
        <v>0.2</v>
      </c>
      <c r="N483" s="77">
        <f>IFERROR(__xludf.DUMMYFUNCTION("""COMPUTED_VALUE"""),1.0)</f>
        <v>1</v>
      </c>
      <c r="O483" s="49"/>
      <c r="P483" s="49" t="str">
        <f>IFERROR(__xludf.DUMMYFUNCTION("""COMPUTED_VALUE"""),"Offset")</f>
        <v>Offset</v>
      </c>
      <c r="Q483" s="49" t="str">
        <f>IFERROR(__xludf.DUMMYFUNCTION("""COMPUTED_VALUE"""),"Packaging")</f>
        <v>Packaging</v>
      </c>
      <c r="R483" s="49" t="str">
        <f>IFERROR(__xludf.DUMMYFUNCTION("""COMPUTED_VALUE"""),"Dude Love")</f>
        <v>Dude Love</v>
      </c>
    </row>
    <row r="484">
      <c r="A484" s="156" t="str">
        <f>IFERROR(__xludf.DUMMYFUNCTION("""COMPUTED_VALUE"""),"https://drive.google.com/open?id=14052XphC2xZvyH9zbf5g6oafVNuimGL1&amp;usp=drive_fs")</f>
        <v>https://drive.google.com/open?id=14052XphC2xZvyH9zbf5g6oafVNuimGL1&amp;usp=drive_fs</v>
      </c>
      <c r="B484" s="73" t="str">
        <f>IFERROR(__xludf.DUMMYFUNCTION("""COMPUTED_VALUE"""),"Nathabit")</f>
        <v>Nathabit</v>
      </c>
      <c r="C484" s="73" t="str">
        <f>IFERROR(__xludf.DUMMYFUNCTION("""COMPUTED_VALUE"""),"Comb")</f>
        <v>Comb</v>
      </c>
      <c r="D484" s="73" t="str">
        <f>IFERROR(__xludf.DUMMYFUNCTION("""COMPUTED_VALUE"""),"70*10*200 mm | 2.7*0.4*7.8 inch")</f>
        <v>70*10*200 mm | 2.7*0.4*7.8 inch</v>
      </c>
      <c r="E484" s="77">
        <f>IFERROR(__xludf.DUMMYFUNCTION("""COMPUTED_VALUE"""),8.0)</f>
        <v>8</v>
      </c>
      <c r="F484" s="77">
        <f>IFERROR(__xludf.DUMMYFUNCTION("""COMPUTED_VALUE"""),2029.0)</f>
        <v>2029</v>
      </c>
      <c r="G484" s="77">
        <f>IFERROR(__xludf.DUMMYFUNCTION("""COMPUTED_VALUE"""),22.0)</f>
        <v>22</v>
      </c>
      <c r="H484" s="77">
        <f>IFERROR(__xludf.DUMMYFUNCTION("""COMPUTED_VALUE"""),28.0)</f>
        <v>28</v>
      </c>
      <c r="I484" s="77">
        <f>IFERROR(__xludf.DUMMYFUNCTION("""COMPUTED_VALUE"""),100.0)</f>
        <v>100</v>
      </c>
      <c r="J484" s="73"/>
      <c r="K484" s="73"/>
      <c r="L484" s="73"/>
      <c r="M484" s="77">
        <f>IFERROR(__xludf.DUMMYFUNCTION("""COMPUTED_VALUE"""),0.5)</f>
        <v>0.5</v>
      </c>
      <c r="N484" s="77">
        <f>IFERROR(__xludf.DUMMYFUNCTION("""COMPUTED_VALUE"""),1.0)</f>
        <v>1</v>
      </c>
      <c r="O484" s="49"/>
      <c r="P484" s="49" t="str">
        <f>IFERROR(__xludf.DUMMYFUNCTION("""COMPUTED_VALUE"""),"Offset")</f>
        <v>Offset</v>
      </c>
      <c r="Q484" s="49" t="str">
        <f>IFERROR(__xludf.DUMMYFUNCTION("""COMPUTED_VALUE"""),"Packaging")</f>
        <v>Packaging</v>
      </c>
      <c r="R484" s="49" t="str">
        <f>IFERROR(__xludf.DUMMYFUNCTION("""COMPUTED_VALUE"""),"Nathabit")</f>
        <v>Nathabit</v>
      </c>
    </row>
    <row r="485">
      <c r="A485" s="156" t="str">
        <f>IFERROR(__xludf.DUMMYFUNCTION("""COMPUTED_VALUE"""),"https://drive.google.com/open?id=1R2ZgkydTJ1utYzRqJWsk16_E-YcNyZXI&amp;usp=drive_fs")</f>
        <v>https://drive.google.com/open?id=1R2ZgkydTJ1utYzRqJWsk16_E-YcNyZXI&amp;usp=drive_fs</v>
      </c>
      <c r="B485" s="73" t="str">
        <f>IFERROR(__xludf.DUMMYFUNCTION("""COMPUTED_VALUE"""),"Cosmetic")</f>
        <v>Cosmetic</v>
      </c>
      <c r="C485" s="73" t="str">
        <f>IFERROR(__xludf.DUMMYFUNCTION("""COMPUTED_VALUE"""),"Misc")</f>
        <v>Misc</v>
      </c>
      <c r="D485" s="73" t="str">
        <f>IFERROR(__xludf.DUMMYFUNCTION("""COMPUTED_VALUE"""),"78*42*125 mm | 3*1.7*5 inch")</f>
        <v>78*42*125 mm | 3*1.7*5 inch</v>
      </c>
      <c r="E485" s="77">
        <f>IFERROR(__xludf.DUMMYFUNCTION("""COMPUTED_VALUE"""),6.0)</f>
        <v>6</v>
      </c>
      <c r="F485" s="77">
        <f>IFERROR(__xludf.DUMMYFUNCTION("""COMPUTED_VALUE"""),2029.0)</f>
        <v>2029</v>
      </c>
      <c r="G485" s="77">
        <f>IFERROR(__xludf.DUMMYFUNCTION("""COMPUTED_VALUE"""),20.0)</f>
        <v>20</v>
      </c>
      <c r="H485" s="77">
        <f>IFERROR(__xludf.DUMMYFUNCTION("""COMPUTED_VALUE"""),25.0)</f>
        <v>25</v>
      </c>
      <c r="I485" s="77">
        <f>IFERROR(__xludf.DUMMYFUNCTION("""COMPUTED_VALUE"""),100.0)</f>
        <v>100</v>
      </c>
      <c r="J485" s="73"/>
      <c r="K485" s="73"/>
      <c r="L485" s="73"/>
      <c r="M485" s="77">
        <f>IFERROR(__xludf.DUMMYFUNCTION("""COMPUTED_VALUE"""),0.1)</f>
        <v>0.1</v>
      </c>
      <c r="N485" s="77">
        <f>IFERROR(__xludf.DUMMYFUNCTION("""COMPUTED_VALUE"""),1.0)</f>
        <v>1</v>
      </c>
      <c r="O485" s="49"/>
      <c r="P485" s="49" t="str">
        <f>IFERROR(__xludf.DUMMYFUNCTION("""COMPUTED_VALUE"""),"Offset")</f>
        <v>Offset</v>
      </c>
      <c r="Q485" s="49" t="str">
        <f>IFERROR(__xludf.DUMMYFUNCTION("""COMPUTED_VALUE"""),"Packaging")</f>
        <v>Packaging</v>
      </c>
      <c r="R485" s="49" t="str">
        <f>IFERROR(__xludf.DUMMYFUNCTION("""COMPUTED_VALUE"""),"Cosmetic")</f>
        <v>Cosmetic</v>
      </c>
    </row>
    <row r="486">
      <c r="A486" s="156" t="str">
        <f>IFERROR(__xludf.DUMMYFUNCTION("""COMPUTED_VALUE"""),"https://drive.google.com/open?id=141KZNx8qzw0UA3pHnvXOn70BoiRoViNW&amp;usp=drive_fs")</f>
        <v>https://drive.google.com/open?id=141KZNx8qzw0UA3pHnvXOn70BoiRoViNW&amp;usp=drive_fs</v>
      </c>
      <c r="B486" s="73" t="str">
        <f>IFERROR(__xludf.DUMMYFUNCTION("""COMPUTED_VALUE"""),"Cosmetic")</f>
        <v>Cosmetic</v>
      </c>
      <c r="C486" s="73" t="str">
        <f>IFERROR(__xludf.DUMMYFUNCTION("""COMPUTED_VALUE"""),"Misc")</f>
        <v>Misc</v>
      </c>
      <c r="D486" s="73" t="str">
        <f>IFERROR(__xludf.DUMMYFUNCTION("""COMPUTED_VALUE"""),"255*180*74 mm | 10*7*2.9 inch")</f>
        <v>255*180*74 mm | 10*7*2.9 inch</v>
      </c>
      <c r="E486" s="77">
        <f>IFERROR(__xludf.DUMMYFUNCTION("""COMPUTED_VALUE"""),1.0)</f>
        <v>1</v>
      </c>
      <c r="F486" s="77">
        <f>IFERROR(__xludf.DUMMYFUNCTION("""COMPUTED_VALUE"""),1926.0)</f>
        <v>1926</v>
      </c>
      <c r="G486" s="77">
        <f>IFERROR(__xludf.DUMMYFUNCTION("""COMPUTED_VALUE"""),18.0)</f>
        <v>18</v>
      </c>
      <c r="H486" s="77">
        <f>IFERROR(__xludf.DUMMYFUNCTION("""COMPUTED_VALUE"""),23.0)</f>
        <v>23</v>
      </c>
      <c r="I486" s="77">
        <f>IFERROR(__xludf.DUMMYFUNCTION("""COMPUTED_VALUE"""),100.0)</f>
        <v>100</v>
      </c>
      <c r="J486" s="73"/>
      <c r="K486" s="73"/>
      <c r="L486" s="73">
        <f>IFERROR(__xludf.DUMMYFUNCTION("""COMPUTED_VALUE"""),1.0)</f>
        <v>1</v>
      </c>
      <c r="M486" s="77"/>
      <c r="N486" s="77">
        <f>IFERROR(__xludf.DUMMYFUNCTION("""COMPUTED_VALUE"""),1.0)</f>
        <v>1</v>
      </c>
      <c r="O486" s="49"/>
      <c r="P486" s="49" t="str">
        <f>IFERROR(__xludf.DUMMYFUNCTION("""COMPUTED_VALUE"""),"Offset")</f>
        <v>Offset</v>
      </c>
      <c r="Q486" s="49" t="str">
        <f>IFERROR(__xludf.DUMMYFUNCTION("""COMPUTED_VALUE"""),"Packaging")</f>
        <v>Packaging</v>
      </c>
      <c r="R486" s="49" t="str">
        <f>IFERROR(__xludf.DUMMYFUNCTION("""COMPUTED_VALUE"""),"Cosmetic")</f>
        <v>Cosmetic</v>
      </c>
    </row>
    <row r="487">
      <c r="A487" s="156" t="str">
        <f>IFERROR(__xludf.DUMMYFUNCTION("""COMPUTED_VALUE"""),"https://drive.google.com/open?id=144XNvBa2vONJCB_soomiXmUUUKVoqTAN&amp;usp=drive_fs")</f>
        <v>https://drive.google.com/open?id=144XNvBa2vONJCB_soomiXmUUUKVoqTAN&amp;usp=drive_fs</v>
      </c>
      <c r="B487" s="73" t="str">
        <f>IFERROR(__xludf.DUMMYFUNCTION("""COMPUTED_VALUE"""),"Cosmetic")</f>
        <v>Cosmetic</v>
      </c>
      <c r="C487" s="73" t="str">
        <f>IFERROR(__xludf.DUMMYFUNCTION("""COMPUTED_VALUE"""),"Misc")</f>
        <v>Misc</v>
      </c>
      <c r="D487" s="73" t="str">
        <f>IFERROR(__xludf.DUMMYFUNCTION("""COMPUTED_VALUE"""),"45*40*170 mm | 1.7*1.5*6.7 inch")</f>
        <v>45*40*170 mm | 1.7*1.5*6.7 inch</v>
      </c>
      <c r="E487" s="77">
        <f>IFERROR(__xludf.DUMMYFUNCTION("""COMPUTED_VALUE"""),4.0)</f>
        <v>4</v>
      </c>
      <c r="F487" s="77">
        <f>IFERROR(__xludf.DUMMYFUNCTION("""COMPUTED_VALUE"""),1926.0)</f>
        <v>1926</v>
      </c>
      <c r="G487" s="77">
        <f>IFERROR(__xludf.DUMMYFUNCTION("""COMPUTED_VALUE"""),15.75)</f>
        <v>15.75</v>
      </c>
      <c r="H487" s="77">
        <f>IFERROR(__xludf.DUMMYFUNCTION("""COMPUTED_VALUE"""),20.75)</f>
        <v>20.75</v>
      </c>
      <c r="I487" s="77">
        <f>IFERROR(__xludf.DUMMYFUNCTION("""COMPUTED_VALUE"""),100.0)</f>
        <v>100</v>
      </c>
      <c r="J487" s="73"/>
      <c r="K487" s="73"/>
      <c r="L487" s="73"/>
      <c r="M487" s="77">
        <f>IFERROR(__xludf.DUMMYFUNCTION("""COMPUTED_VALUE"""),0.1)</f>
        <v>0.1</v>
      </c>
      <c r="N487" s="77">
        <f>IFERROR(__xludf.DUMMYFUNCTION("""COMPUTED_VALUE"""),1.0)</f>
        <v>1</v>
      </c>
      <c r="O487" s="49"/>
      <c r="P487" s="49" t="str">
        <f>IFERROR(__xludf.DUMMYFUNCTION("""COMPUTED_VALUE"""),"Offset")</f>
        <v>Offset</v>
      </c>
      <c r="Q487" s="49" t="str">
        <f>IFERROR(__xludf.DUMMYFUNCTION("""COMPUTED_VALUE"""),"Packaging")</f>
        <v>Packaging</v>
      </c>
      <c r="R487" s="49" t="str">
        <f>IFERROR(__xludf.DUMMYFUNCTION("""COMPUTED_VALUE"""),"Cosmetic")</f>
        <v>Cosmetic</v>
      </c>
    </row>
    <row r="488">
      <c r="A488" s="156" t="str">
        <f>IFERROR(__xludf.DUMMYFUNCTION("""COMPUTED_VALUE"""),"https://drive.google.com/open?id=10jeB26ywQ_aoIuiKQqytgsVyH5khrg3_&amp;usp=drive_fs")</f>
        <v>https://drive.google.com/open?id=10jeB26ywQ_aoIuiKQqytgsVyH5khrg3_&amp;usp=drive_fs</v>
      </c>
      <c r="B488" s="73" t="str">
        <f>IFERROR(__xludf.DUMMYFUNCTION("""COMPUTED_VALUE"""),"Cosmetic")</f>
        <v>Cosmetic</v>
      </c>
      <c r="C488" s="73" t="str">
        <f>IFERROR(__xludf.DUMMYFUNCTION("""COMPUTED_VALUE"""),"Heena Box")</f>
        <v>Heena Box</v>
      </c>
      <c r="D488" s="73" t="str">
        <f>IFERROR(__xludf.DUMMYFUNCTION("""COMPUTED_VALUE"""),"225*180*32 mm | 8.82*7*1.26 inch")</f>
        <v>225*180*32 mm | 8.82*7*1.26 inch</v>
      </c>
      <c r="E488" s="77">
        <f>IFERROR(__xludf.DUMMYFUNCTION("""COMPUTED_VALUE"""),2.0)</f>
        <v>2</v>
      </c>
      <c r="F488" s="77">
        <f>IFERROR(__xludf.DUMMYFUNCTION("""COMPUTED_VALUE"""),1926.0)</f>
        <v>1926</v>
      </c>
      <c r="G488" s="77">
        <f>IFERROR(__xludf.DUMMYFUNCTION("""COMPUTED_VALUE"""),19.0)</f>
        <v>19</v>
      </c>
      <c r="H488" s="77">
        <f>IFERROR(__xludf.DUMMYFUNCTION("""COMPUTED_VALUE"""),26.0)</f>
        <v>26</v>
      </c>
      <c r="I488" s="77">
        <f>IFERROR(__xludf.DUMMYFUNCTION("""COMPUTED_VALUE"""),100.0)</f>
        <v>100</v>
      </c>
      <c r="J488" s="73"/>
      <c r="K488" s="73"/>
      <c r="L488" s="73"/>
      <c r="M488" s="77"/>
      <c r="N488" s="77">
        <f>IFERROR(__xludf.DUMMYFUNCTION("""COMPUTED_VALUE"""),1.0)</f>
        <v>1</v>
      </c>
      <c r="O488" s="49"/>
      <c r="P488" s="49" t="str">
        <f>IFERROR(__xludf.DUMMYFUNCTION("""COMPUTED_VALUE"""),"Offset")</f>
        <v>Offset</v>
      </c>
      <c r="Q488" s="49" t="str">
        <f>IFERROR(__xludf.DUMMYFUNCTION("""COMPUTED_VALUE"""),"Packaging")</f>
        <v>Packaging</v>
      </c>
      <c r="R488" s="49" t="str">
        <f>IFERROR(__xludf.DUMMYFUNCTION("""COMPUTED_VALUE"""),"Cosmetic")</f>
        <v>Cosmetic</v>
      </c>
    </row>
    <row r="489">
      <c r="A489" s="156" t="str">
        <f>IFERROR(__xludf.DUMMYFUNCTION("""COMPUTED_VALUE"""),"https://drive.google.com/open?id=1fxvTj8645tGtVC8-i7HL8MAxYdM80Y7B&amp;usp=drive_fs")</f>
        <v>https://drive.google.com/open?id=1fxvTj8645tGtVC8-i7HL8MAxYdM80Y7B&amp;usp=drive_fs</v>
      </c>
      <c r="B489" s="73" t="str">
        <f>IFERROR(__xludf.DUMMYFUNCTION("""COMPUTED_VALUE"""),"Cosmetic")</f>
        <v>Cosmetic</v>
      </c>
      <c r="C489" s="73" t="str">
        <f>IFERROR(__xludf.DUMMYFUNCTION("""COMPUTED_VALUE"""),"Deodrant")</f>
        <v>Deodrant</v>
      </c>
      <c r="D489" s="73" t="str">
        <f>IFERROR(__xludf.DUMMYFUNCTION("""COMPUTED_VALUE"""),"40*40*70 mm | 1.5*1.5*2.7 inch")</f>
        <v>40*40*70 mm | 1.5*1.5*2.7 inch</v>
      </c>
      <c r="E489" s="77">
        <f>IFERROR(__xludf.DUMMYFUNCTION("""COMPUTED_VALUE"""),8.0)</f>
        <v>8</v>
      </c>
      <c r="F489" s="77">
        <f>IFERROR(__xludf.DUMMYFUNCTION("""COMPUTED_VALUE"""),1926.0)</f>
        <v>1926</v>
      </c>
      <c r="G489" s="77">
        <f>IFERROR(__xludf.DUMMYFUNCTION("""COMPUTED_VALUE"""),14.0)</f>
        <v>14</v>
      </c>
      <c r="H489" s="77">
        <f>IFERROR(__xludf.DUMMYFUNCTION("""COMPUTED_VALUE"""),22.0)</f>
        <v>22</v>
      </c>
      <c r="I489" s="77">
        <f>IFERROR(__xludf.DUMMYFUNCTION("""COMPUTED_VALUE"""),100.0)</f>
        <v>100</v>
      </c>
      <c r="J489" s="73"/>
      <c r="K489" s="73"/>
      <c r="L489" s="73"/>
      <c r="M489" s="77">
        <f>IFERROR(__xludf.DUMMYFUNCTION("""COMPUTED_VALUE"""),0.1)</f>
        <v>0.1</v>
      </c>
      <c r="N489" s="77">
        <f>IFERROR(__xludf.DUMMYFUNCTION("""COMPUTED_VALUE"""),1.0)</f>
        <v>1</v>
      </c>
      <c r="O489" s="49"/>
      <c r="P489" s="49" t="str">
        <f>IFERROR(__xludf.DUMMYFUNCTION("""COMPUTED_VALUE"""),"Offset")</f>
        <v>Offset</v>
      </c>
      <c r="Q489" s="49" t="str">
        <f>IFERROR(__xludf.DUMMYFUNCTION("""COMPUTED_VALUE"""),"Packaging")</f>
        <v>Packaging</v>
      </c>
      <c r="R489" s="49" t="str">
        <f>IFERROR(__xludf.DUMMYFUNCTION("""COMPUTED_VALUE"""),"Cosmetic")</f>
        <v>Cosmetic</v>
      </c>
    </row>
    <row r="490">
      <c r="A490" s="156" t="str">
        <f>IFERROR(__xludf.DUMMYFUNCTION("""COMPUTED_VALUE"""),"https://drive.google.com/open?id=1-FjI7fnmACr80dWFpeVvC_IVoRx5NPkL&amp;usp=drive_fs")</f>
        <v>https://drive.google.com/open?id=1-FjI7fnmACr80dWFpeVvC_IVoRx5NPkL&amp;usp=drive_fs</v>
      </c>
      <c r="B490" s="73" t="str">
        <f>IFERROR(__xludf.DUMMYFUNCTION("""COMPUTED_VALUE"""),"Cosmetic")</f>
        <v>Cosmetic</v>
      </c>
      <c r="C490" s="73" t="str">
        <f>IFERROR(__xludf.DUMMYFUNCTION("""COMPUTED_VALUE"""),"Cream")</f>
        <v>Cream</v>
      </c>
      <c r="D490" s="73" t="str">
        <f>IFERROR(__xludf.DUMMYFUNCTION("""COMPUTED_VALUE"""),"57*57*45 mm | 2.2*2.2*1.7 inch")</f>
        <v>57*57*45 mm | 2.2*2.2*1.7 inch</v>
      </c>
      <c r="E490" s="77">
        <f>IFERROR(__xludf.DUMMYFUNCTION("""COMPUTED_VALUE"""),6.0)</f>
        <v>6</v>
      </c>
      <c r="F490" s="77">
        <f>IFERROR(__xludf.DUMMYFUNCTION("""COMPUTED_VALUE"""),1926.0)</f>
        <v>1926</v>
      </c>
      <c r="G490" s="77">
        <f>IFERROR(__xludf.DUMMYFUNCTION("""COMPUTED_VALUE"""),18.0)</f>
        <v>18</v>
      </c>
      <c r="H490" s="77">
        <f>IFERROR(__xludf.DUMMYFUNCTION("""COMPUTED_VALUE"""),23.0)</f>
        <v>23</v>
      </c>
      <c r="I490" s="77">
        <f>IFERROR(__xludf.DUMMYFUNCTION("""COMPUTED_VALUE"""),100.0)</f>
        <v>100</v>
      </c>
      <c r="J490" s="73"/>
      <c r="K490" s="73"/>
      <c r="L490" s="73"/>
      <c r="M490" s="77">
        <f>IFERROR(__xludf.DUMMYFUNCTION("""COMPUTED_VALUE"""),0.1)</f>
        <v>0.1</v>
      </c>
      <c r="N490" s="77">
        <f>IFERROR(__xludf.DUMMYFUNCTION("""COMPUTED_VALUE"""),1.0)</f>
        <v>1</v>
      </c>
      <c r="O490" s="49"/>
      <c r="P490" s="49" t="str">
        <f>IFERROR(__xludf.DUMMYFUNCTION("""COMPUTED_VALUE"""),"Offset")</f>
        <v>Offset</v>
      </c>
      <c r="Q490" s="49" t="str">
        <f>IFERROR(__xludf.DUMMYFUNCTION("""COMPUTED_VALUE"""),"Packaging")</f>
        <v>Packaging</v>
      </c>
      <c r="R490" s="49" t="str">
        <f>IFERROR(__xludf.DUMMYFUNCTION("""COMPUTED_VALUE"""),"Cosmetic")</f>
        <v>Cosmetic</v>
      </c>
    </row>
    <row r="491">
      <c r="A491" s="156" t="str">
        <f>IFERROR(__xludf.DUMMYFUNCTION("""COMPUTED_VALUE"""),"https://drive.google.com/open?id=1-NnGYjqV0g7KvsWQw81sAAEcTykO5xRk&amp;usp=drive_fs")</f>
        <v>https://drive.google.com/open?id=1-NnGYjqV0g7KvsWQw81sAAEcTykO5xRk&amp;usp=drive_fs</v>
      </c>
      <c r="B491" s="73" t="str">
        <f>IFERROR(__xludf.DUMMYFUNCTION("""COMPUTED_VALUE"""),"Nathabit")</f>
        <v>Nathabit</v>
      </c>
      <c r="C491" s="73" t="str">
        <f>IFERROR(__xludf.DUMMYFUNCTION("""COMPUTED_VALUE"""),"Comb")</f>
        <v>Comb</v>
      </c>
      <c r="D491" s="73" t="str">
        <f>IFERROR(__xludf.DUMMYFUNCTION("""COMPUTED_VALUE"""),"80*200 mm | 3.15*7.8 inch")</f>
        <v>80*200 mm | 3.15*7.8 inch</v>
      </c>
      <c r="E491" s="77">
        <f>IFERROR(__xludf.DUMMYFUNCTION("""COMPUTED_VALUE"""),6.0)</f>
        <v>6</v>
      </c>
      <c r="F491" s="77">
        <f>IFERROR(__xludf.DUMMYFUNCTION("""COMPUTED_VALUE"""),2029.0)</f>
        <v>2029</v>
      </c>
      <c r="G491" s="77">
        <f>IFERROR(__xludf.DUMMYFUNCTION("""COMPUTED_VALUE"""),19.5)</f>
        <v>19.5</v>
      </c>
      <c r="H491" s="77">
        <f>IFERROR(__xludf.DUMMYFUNCTION("""COMPUTED_VALUE"""),23.0)</f>
        <v>23</v>
      </c>
      <c r="I491" s="77">
        <f>IFERROR(__xludf.DUMMYFUNCTION("""COMPUTED_VALUE"""),100.0)</f>
        <v>100</v>
      </c>
      <c r="J491" s="73"/>
      <c r="K491" s="73"/>
      <c r="L491" s="73"/>
      <c r="M491" s="77">
        <f>IFERROR(__xludf.DUMMYFUNCTION("""COMPUTED_VALUE"""),1.0)</f>
        <v>1</v>
      </c>
      <c r="N491" s="77">
        <f>IFERROR(__xludf.DUMMYFUNCTION("""COMPUTED_VALUE"""),1.0)</f>
        <v>1</v>
      </c>
      <c r="O491" s="49"/>
      <c r="P491" s="49" t="str">
        <f>IFERROR(__xludf.DUMMYFUNCTION("""COMPUTED_VALUE"""),"Offset")</f>
        <v>Offset</v>
      </c>
      <c r="Q491" s="49" t="str">
        <f>IFERROR(__xludf.DUMMYFUNCTION("""COMPUTED_VALUE"""),"Packaging")</f>
        <v>Packaging</v>
      </c>
      <c r="R491" s="49" t="str">
        <f>IFERROR(__xludf.DUMMYFUNCTION("""COMPUTED_VALUE"""),"Nathabit")</f>
        <v>Nathabit</v>
      </c>
    </row>
    <row r="492">
      <c r="A492" s="156" t="str">
        <f>IFERROR(__xludf.DUMMYFUNCTION("""COMPUTED_VALUE"""),"https://drive.google.com/open?id=1-HYfqbsYoulTYJEJ8NVhahYjFHk71o4Z&amp;usp=drive_fs")</f>
        <v>https://drive.google.com/open?id=1-HYfqbsYoulTYJEJ8NVhahYjFHk71o4Z&amp;usp=drive_fs</v>
      </c>
      <c r="B492" s="73" t="str">
        <f>IFERROR(__xludf.DUMMYFUNCTION("""COMPUTED_VALUE"""),"Nathabit")</f>
        <v>Nathabit</v>
      </c>
      <c r="C492" s="73" t="str">
        <f>IFERROR(__xludf.DUMMYFUNCTION("""COMPUTED_VALUE"""),"Comb")</f>
        <v>Comb</v>
      </c>
      <c r="D492" s="73" t="str">
        <f>IFERROR(__xludf.DUMMYFUNCTION("""COMPUTED_VALUE"""),"69*169 mm | 2.7*6.6 inch")</f>
        <v>69*169 mm | 2.7*6.6 inch</v>
      </c>
      <c r="E492" s="77">
        <f>IFERROR(__xludf.DUMMYFUNCTION("""COMPUTED_VALUE"""),9.0)</f>
        <v>9</v>
      </c>
      <c r="F492" s="77">
        <f>IFERROR(__xludf.DUMMYFUNCTION("""COMPUTED_VALUE"""),2029.0)</f>
        <v>2029</v>
      </c>
      <c r="G492" s="77">
        <f>IFERROR(__xludf.DUMMYFUNCTION("""COMPUTED_VALUE"""),19.0)</f>
        <v>19</v>
      </c>
      <c r="H492" s="77">
        <f>IFERROR(__xludf.DUMMYFUNCTION("""COMPUTED_VALUE"""),26.0)</f>
        <v>26</v>
      </c>
      <c r="I492" s="77">
        <f>IFERROR(__xludf.DUMMYFUNCTION("""COMPUTED_VALUE"""),100.0)</f>
        <v>100</v>
      </c>
      <c r="J492" s="73"/>
      <c r="K492" s="73"/>
      <c r="L492" s="73"/>
      <c r="M492" s="77">
        <f>IFERROR(__xludf.DUMMYFUNCTION("""COMPUTED_VALUE"""),1.0)</f>
        <v>1</v>
      </c>
      <c r="N492" s="77">
        <f>IFERROR(__xludf.DUMMYFUNCTION("""COMPUTED_VALUE"""),1.0)</f>
        <v>1</v>
      </c>
      <c r="O492" s="49"/>
      <c r="P492" s="49" t="str">
        <f>IFERROR(__xludf.DUMMYFUNCTION("""COMPUTED_VALUE"""),"Offset")</f>
        <v>Offset</v>
      </c>
      <c r="Q492" s="49" t="str">
        <f>IFERROR(__xludf.DUMMYFUNCTION("""COMPUTED_VALUE"""),"Packaging")</f>
        <v>Packaging</v>
      </c>
      <c r="R492" s="49" t="str">
        <f>IFERROR(__xludf.DUMMYFUNCTION("""COMPUTED_VALUE"""),"Nathabit")</f>
        <v>Nathabit</v>
      </c>
    </row>
    <row r="493">
      <c r="A493" s="156" t="str">
        <f>IFERROR(__xludf.DUMMYFUNCTION("""COMPUTED_VALUE"""),"https://drive.google.com/open?id=1-R1ONEmh78DfkS3-l3dJI8cEhIMf1w27&amp;usp=drive_fs")</f>
        <v>https://drive.google.com/open?id=1-R1ONEmh78DfkS3-l3dJI8cEhIMf1w27&amp;usp=drive_fs</v>
      </c>
      <c r="B493" s="73" t="str">
        <f>IFERROR(__xludf.DUMMYFUNCTION("""COMPUTED_VALUE"""),"Cosmetic")</f>
        <v>Cosmetic</v>
      </c>
      <c r="C493" s="73" t="str">
        <f>IFERROR(__xludf.DUMMYFUNCTION("""COMPUTED_VALUE"""),"Roller")</f>
        <v>Roller</v>
      </c>
      <c r="D493" s="73" t="str">
        <f>IFERROR(__xludf.DUMMYFUNCTION("""COMPUTED_VALUE"""),"106*26*183 mm | 4.1*1*7.3 inch")</f>
        <v>106*26*183 mm | 4.1*1*7.3 inch</v>
      </c>
      <c r="E493" s="77">
        <f>IFERROR(__xludf.DUMMYFUNCTION("""COMPUTED_VALUE"""),2.0)</f>
        <v>2</v>
      </c>
      <c r="F493" s="77">
        <f>IFERROR(__xludf.DUMMYFUNCTION("""COMPUTED_VALUE"""),1926.0)</f>
        <v>1926</v>
      </c>
      <c r="G493" s="77">
        <f>IFERROR(__xludf.DUMMYFUNCTION("""COMPUTED_VALUE"""),12.0)</f>
        <v>12</v>
      </c>
      <c r="H493" s="77">
        <f>IFERROR(__xludf.DUMMYFUNCTION("""COMPUTED_VALUE"""),23.0)</f>
        <v>23</v>
      </c>
      <c r="I493" s="77">
        <f>IFERROR(__xludf.DUMMYFUNCTION("""COMPUTED_VALUE"""),100.0)</f>
        <v>100</v>
      </c>
      <c r="J493" s="73"/>
      <c r="K493" s="73"/>
      <c r="L493" s="73"/>
      <c r="M493" s="77">
        <f>IFERROR(__xludf.DUMMYFUNCTION("""COMPUTED_VALUE"""),0.1)</f>
        <v>0.1</v>
      </c>
      <c r="N493" s="77">
        <f>IFERROR(__xludf.DUMMYFUNCTION("""COMPUTED_VALUE"""),1.0)</f>
        <v>1</v>
      </c>
      <c r="O493" s="49"/>
      <c r="P493" s="49" t="str">
        <f>IFERROR(__xludf.DUMMYFUNCTION("""COMPUTED_VALUE"""),"Offset")</f>
        <v>Offset</v>
      </c>
      <c r="Q493" s="49" t="str">
        <f>IFERROR(__xludf.DUMMYFUNCTION("""COMPUTED_VALUE"""),"Packaging")</f>
        <v>Packaging</v>
      </c>
      <c r="R493" s="49" t="str">
        <f>IFERROR(__xludf.DUMMYFUNCTION("""COMPUTED_VALUE"""),"Cosmetic")</f>
        <v>Cosmetic</v>
      </c>
    </row>
    <row r="494">
      <c r="A494" s="73"/>
      <c r="B494" s="73" t="str">
        <f>IFERROR(__xludf.DUMMYFUNCTION("""COMPUTED_VALUE"""),"Nathabit")</f>
        <v>Nathabit</v>
      </c>
      <c r="C494" s="73" t="str">
        <f>IFERROR(__xludf.DUMMYFUNCTION("""COMPUTED_VALUE"""),"Comb")</f>
        <v>Comb</v>
      </c>
      <c r="D494" s="73" t="str">
        <f>IFERROR(__xludf.DUMMYFUNCTION("""COMPUTED_VALUE"""),"66*10*230mm | 65*12*176mm")</f>
        <v>66*10*230mm | 65*12*176mm</v>
      </c>
      <c r="E494" s="77">
        <f>IFERROR(__xludf.DUMMYFUNCTION("""COMPUTED_VALUE"""),11.0)</f>
        <v>11</v>
      </c>
      <c r="F494" s="77">
        <f>IFERROR(__xludf.DUMMYFUNCTION("""COMPUTED_VALUE"""),2840.0)</f>
        <v>2840</v>
      </c>
      <c r="G494" s="77">
        <f>IFERROR(__xludf.DUMMYFUNCTION("""COMPUTED_VALUE"""),28.0)</f>
        <v>28</v>
      </c>
      <c r="H494" s="77">
        <f>IFERROR(__xludf.DUMMYFUNCTION("""COMPUTED_VALUE"""),38.0)</f>
        <v>38</v>
      </c>
      <c r="I494" s="77">
        <f>IFERROR(__xludf.DUMMYFUNCTION("""COMPUTED_VALUE"""),100.0)</f>
        <v>100</v>
      </c>
      <c r="J494" s="73"/>
      <c r="K494" s="73"/>
      <c r="L494" s="73">
        <f>IFERROR(__xludf.DUMMYFUNCTION("""COMPUTED_VALUE"""),2.0)</f>
        <v>2</v>
      </c>
      <c r="M494" s="77">
        <f>IFERROR(__xludf.DUMMYFUNCTION("""COMPUTED_VALUE"""),0.1)</f>
        <v>0.1</v>
      </c>
      <c r="N494" s="77">
        <f>IFERROR(__xludf.DUMMYFUNCTION("""COMPUTED_VALUE"""),1.0)</f>
        <v>1</v>
      </c>
      <c r="O494" s="49"/>
      <c r="P494" s="49" t="str">
        <f>IFERROR(__xludf.DUMMYFUNCTION("""COMPUTED_VALUE"""),"Offset")</f>
        <v>Offset</v>
      </c>
      <c r="Q494" s="49" t="str">
        <f>IFERROR(__xludf.DUMMYFUNCTION("""COMPUTED_VALUE"""),"Packaging")</f>
        <v>Packaging</v>
      </c>
      <c r="R494" s="49" t="str">
        <f>IFERROR(__xludf.DUMMYFUNCTION("""COMPUTED_VALUE"""),"Nathabit")</f>
        <v>Nathabit</v>
      </c>
    </row>
    <row r="495">
      <c r="A495" s="73"/>
      <c r="B495" s="73" t="str">
        <f>IFERROR(__xludf.DUMMYFUNCTION("""COMPUTED_VALUE"""),"Nathabit")</f>
        <v>Nathabit</v>
      </c>
      <c r="C495" s="73" t="str">
        <f>IFERROR(__xludf.DUMMYFUNCTION("""COMPUTED_VALUE"""),"Comb")</f>
        <v>Comb</v>
      </c>
      <c r="D495" s="73" t="str">
        <f>IFERROR(__xludf.DUMMYFUNCTION("""COMPUTED_VALUE"""),"Holder Big 66*10*230mm")</f>
        <v>Holder Big 66*10*230mm</v>
      </c>
      <c r="E495" s="77">
        <f>IFERROR(__xludf.DUMMYFUNCTION("""COMPUTED_VALUE"""),70.0)</f>
        <v>70</v>
      </c>
      <c r="F495" s="77">
        <f>IFERROR(__xludf.DUMMYFUNCTION("""COMPUTED_VALUE"""),1926.0)</f>
        <v>1926</v>
      </c>
      <c r="G495" s="77">
        <f>IFERROR(__xludf.DUMMYFUNCTION("""COMPUTED_VALUE"""),26.0)</f>
        <v>26</v>
      </c>
      <c r="H495" s="77">
        <f>IFERROR(__xludf.DUMMYFUNCTION("""COMPUTED_VALUE"""),38.0)</f>
        <v>38</v>
      </c>
      <c r="I495" s="77">
        <f>IFERROR(__xludf.DUMMYFUNCTION("""COMPUTED_VALUE"""),100.0)</f>
        <v>100</v>
      </c>
      <c r="J495" s="73"/>
      <c r="K495" s="73"/>
      <c r="L495" s="73"/>
      <c r="M495" s="77">
        <f>IFERROR(__xludf.DUMMYFUNCTION("""COMPUTED_VALUE"""),0.4)</f>
        <v>0.4</v>
      </c>
      <c r="N495" s="77">
        <f>IFERROR(__xludf.DUMMYFUNCTION("""COMPUTED_VALUE"""),1.0)</f>
        <v>1</v>
      </c>
      <c r="O495" s="49"/>
      <c r="P495" s="49" t="str">
        <f>IFERROR(__xludf.DUMMYFUNCTION("""COMPUTED_VALUE"""),"Offset")</f>
        <v>Offset</v>
      </c>
      <c r="Q495" s="49" t="str">
        <f>IFERROR(__xludf.DUMMYFUNCTION("""COMPUTED_VALUE"""),"Packaging")</f>
        <v>Packaging</v>
      </c>
      <c r="R495" s="49" t="str">
        <f>IFERROR(__xludf.DUMMYFUNCTION("""COMPUTED_VALUE"""),"Nathabit")</f>
        <v>Nathabit</v>
      </c>
    </row>
    <row r="496">
      <c r="A496" s="73"/>
      <c r="B496" s="73" t="str">
        <f>IFERROR(__xludf.DUMMYFUNCTION("""COMPUTED_VALUE"""),"Nathabit")</f>
        <v>Nathabit</v>
      </c>
      <c r="C496" s="73" t="str">
        <f>IFERROR(__xludf.DUMMYFUNCTION("""COMPUTED_VALUE"""),"Comb")</f>
        <v>Comb</v>
      </c>
      <c r="D496" s="73" t="str">
        <f>IFERROR(__xludf.DUMMYFUNCTION("""COMPUTED_VALUE"""),"Holder Small 65*12*176mm")</f>
        <v>Holder Small 65*12*176mm</v>
      </c>
      <c r="E496" s="77">
        <f>IFERROR(__xludf.DUMMYFUNCTION("""COMPUTED_VALUE"""),60.0)</f>
        <v>60</v>
      </c>
      <c r="F496" s="77">
        <f>IFERROR(__xludf.DUMMYFUNCTION("""COMPUTED_VALUE"""),1926.0)</f>
        <v>1926</v>
      </c>
      <c r="G496" s="77">
        <f>IFERROR(__xludf.DUMMYFUNCTION("""COMPUTED_VALUE"""),26.0)</f>
        <v>26</v>
      </c>
      <c r="H496" s="77">
        <f>IFERROR(__xludf.DUMMYFUNCTION("""COMPUTED_VALUE"""),38.0)</f>
        <v>38</v>
      </c>
      <c r="I496" s="77">
        <f>IFERROR(__xludf.DUMMYFUNCTION("""COMPUTED_VALUE"""),100.0)</f>
        <v>100</v>
      </c>
      <c r="J496" s="73"/>
      <c r="K496" s="73"/>
      <c r="L496" s="73"/>
      <c r="M496" s="77">
        <f>IFERROR(__xludf.DUMMYFUNCTION("""COMPUTED_VALUE"""),0.4)</f>
        <v>0.4</v>
      </c>
      <c r="N496" s="77">
        <f>IFERROR(__xludf.DUMMYFUNCTION("""COMPUTED_VALUE"""),1.0)</f>
        <v>1</v>
      </c>
      <c r="O496" s="49"/>
      <c r="P496" s="49" t="str">
        <f>IFERROR(__xludf.DUMMYFUNCTION("""COMPUTED_VALUE"""),"Offset")</f>
        <v>Offset</v>
      </c>
      <c r="Q496" s="49" t="str">
        <f>IFERROR(__xludf.DUMMYFUNCTION("""COMPUTED_VALUE"""),"Packaging")</f>
        <v>Packaging</v>
      </c>
      <c r="R496" s="49" t="str">
        <f>IFERROR(__xludf.DUMMYFUNCTION("""COMPUTED_VALUE"""),"Nathabit")</f>
        <v>Nathabit</v>
      </c>
    </row>
    <row r="497">
      <c r="A497" s="156" t="str">
        <f>IFERROR(__xludf.DUMMYFUNCTION("""COMPUTED_VALUE"""),"https://drive.google.com/open?id=10CeX_z2D2KB_NF5skuek-FFfx7UKPcli&amp;usp=drive_fs")</f>
        <v>https://drive.google.com/open?id=10CeX_z2D2KB_NF5skuek-FFfx7UKPcli&amp;usp=drive_fs</v>
      </c>
      <c r="B497" s="73" t="str">
        <f>IFERROR(__xludf.DUMMYFUNCTION("""COMPUTED_VALUE"""),"Nathabit")</f>
        <v>Nathabit</v>
      </c>
      <c r="C497" s="73" t="str">
        <f>IFERROR(__xludf.DUMMYFUNCTION("""COMPUTED_VALUE"""),"Hair Oil")</f>
        <v>Hair Oil</v>
      </c>
      <c r="D497" s="73" t="str">
        <f>IFERROR(__xludf.DUMMYFUNCTION("""COMPUTED_VALUE"""),"80*47*150mm | 3.15*1.85*5.9 inch LB")</f>
        <v>80*47*150mm | 3.15*1.85*5.9 inch LB</v>
      </c>
      <c r="E497" s="77">
        <f>IFERROR(__xludf.DUMMYFUNCTION("""COMPUTED_VALUE"""),4.0)</f>
        <v>4</v>
      </c>
      <c r="F497" s="77">
        <f>IFERROR(__xludf.DUMMYFUNCTION("""COMPUTED_VALUE"""),2029.0)</f>
        <v>2029</v>
      </c>
      <c r="G497" s="77">
        <f>IFERROR(__xludf.DUMMYFUNCTION("""COMPUTED_VALUE"""),18.0)</f>
        <v>18</v>
      </c>
      <c r="H497" s="77">
        <f>IFERROR(__xludf.DUMMYFUNCTION("""COMPUTED_VALUE"""),23.0)</f>
        <v>23</v>
      </c>
      <c r="I497" s="77">
        <f>IFERROR(__xludf.DUMMYFUNCTION("""COMPUTED_VALUE"""),100.0)</f>
        <v>100</v>
      </c>
      <c r="J497" s="73"/>
      <c r="K497" s="73"/>
      <c r="L497" s="73">
        <f>IFERROR(__xludf.DUMMYFUNCTION("""COMPUTED_VALUE"""),1.5)</f>
        <v>1.5</v>
      </c>
      <c r="M497" s="77">
        <f>IFERROR(__xludf.DUMMYFUNCTION("""COMPUTED_VALUE"""),0.2)</f>
        <v>0.2</v>
      </c>
      <c r="N497" s="77">
        <f>IFERROR(__xludf.DUMMYFUNCTION("""COMPUTED_VALUE"""),1.0)</f>
        <v>1</v>
      </c>
      <c r="O497" s="49"/>
      <c r="P497" s="49" t="str">
        <f>IFERROR(__xludf.DUMMYFUNCTION("""COMPUTED_VALUE"""),"Offset")</f>
        <v>Offset</v>
      </c>
      <c r="Q497" s="49" t="str">
        <f>IFERROR(__xludf.DUMMYFUNCTION("""COMPUTED_VALUE"""),"Packaging")</f>
        <v>Packaging</v>
      </c>
      <c r="R497" s="49" t="str">
        <f>IFERROR(__xludf.DUMMYFUNCTION("""COMPUTED_VALUE"""),"Nathabit")</f>
        <v>Nathabit</v>
      </c>
    </row>
    <row r="498">
      <c r="A498" s="156" t="str">
        <f>IFERROR(__xludf.DUMMYFUNCTION("""COMPUTED_VALUE"""),"https://drive.google.com/open?id=10CeX_z2D2KB_NF5skuek-FFfx7UKPcli&amp;usp=drive_fs")</f>
        <v>https://drive.google.com/open?id=10CeX_z2D2KB_NF5skuek-FFfx7UKPcli&amp;usp=drive_fs</v>
      </c>
      <c r="B498" s="73" t="str">
        <f>IFERROR(__xludf.DUMMYFUNCTION("""COMPUTED_VALUE"""),"Nathabit")</f>
        <v>Nathabit</v>
      </c>
      <c r="C498" s="73" t="str">
        <f>IFERROR(__xludf.DUMMYFUNCTION("""COMPUTED_VALUE"""),"Hair Oil")</f>
        <v>Hair Oil</v>
      </c>
      <c r="D498" s="73" t="str">
        <f>IFERROR(__xludf.DUMMYFUNCTION("""COMPUTED_VALUE"""),"80*47*150mm | 3.15*1.85*5.9 inch LB WW")</f>
        <v>80*47*150mm | 3.15*1.85*5.9 inch LB WW</v>
      </c>
      <c r="E498" s="77">
        <f>IFERROR(__xludf.DUMMYFUNCTION("""COMPUTED_VALUE"""),6.0)</f>
        <v>6</v>
      </c>
      <c r="F498" s="77">
        <f>IFERROR(__xludf.DUMMYFUNCTION("""COMPUTED_VALUE"""),2840.0)</f>
        <v>2840</v>
      </c>
      <c r="G498" s="77">
        <f>IFERROR(__xludf.DUMMYFUNCTION("""COMPUTED_VALUE"""),22.0)</f>
        <v>22</v>
      </c>
      <c r="H498" s="77">
        <f>IFERROR(__xludf.DUMMYFUNCTION("""COMPUTED_VALUE"""),28.0)</f>
        <v>28</v>
      </c>
      <c r="I498" s="77">
        <f>IFERROR(__xludf.DUMMYFUNCTION("""COMPUTED_VALUE"""),100.0)</f>
        <v>100</v>
      </c>
      <c r="J498" s="73"/>
      <c r="K498" s="73"/>
      <c r="L498" s="73"/>
      <c r="M498" s="77">
        <f>IFERROR(__xludf.DUMMYFUNCTION("""COMPUTED_VALUE"""),0.25)</f>
        <v>0.25</v>
      </c>
      <c r="N498" s="77">
        <f>IFERROR(__xludf.DUMMYFUNCTION("""COMPUTED_VALUE"""),1.0)</f>
        <v>1</v>
      </c>
      <c r="O498" s="49"/>
      <c r="P498" s="49" t="str">
        <f>IFERROR(__xludf.DUMMYFUNCTION("""COMPUTED_VALUE"""),"Offset")</f>
        <v>Offset</v>
      </c>
      <c r="Q498" s="49" t="str">
        <f>IFERROR(__xludf.DUMMYFUNCTION("""COMPUTED_VALUE"""),"Packaging")</f>
        <v>Packaging</v>
      </c>
      <c r="R498" s="49" t="str">
        <f>IFERROR(__xludf.DUMMYFUNCTION("""COMPUTED_VALUE"""),"Nathabit")</f>
        <v>Nathabit</v>
      </c>
    </row>
    <row r="499">
      <c r="A499" s="156" t="str">
        <f>IFERROR(__xludf.DUMMYFUNCTION("""COMPUTED_VALUE"""),"https://drive.google.com/open?id=1NMe_Pgzn3626R5tdiYTZSrLRHIdmOcQn&amp;usp=drive_fs")</f>
        <v>https://drive.google.com/open?id=1NMe_Pgzn3626R5tdiYTZSrLRHIdmOcQn&amp;usp=drive_fs</v>
      </c>
      <c r="B499" s="73" t="str">
        <f>IFERROR(__xludf.DUMMYFUNCTION("""COMPUTED_VALUE"""),"Artsbury")</f>
        <v>Artsbury</v>
      </c>
      <c r="C499" s="73" t="str">
        <f>IFERROR(__xludf.DUMMYFUNCTION("""COMPUTED_VALUE"""),"Kajal")</f>
        <v>Kajal</v>
      </c>
      <c r="D499" s="73" t="str">
        <f>IFERROR(__xludf.DUMMYFUNCTION("""COMPUTED_VALUE"""),"20*20*134 mm | 0.8*0.8*5.3 inch")</f>
        <v>20*20*134 mm | 0.8*0.8*5.3 inch</v>
      </c>
      <c r="E499" s="77">
        <f>IFERROR(__xludf.DUMMYFUNCTION("""COMPUTED_VALUE"""),12.0)</f>
        <v>12</v>
      </c>
      <c r="F499" s="77">
        <f>IFERROR(__xludf.DUMMYFUNCTION("""COMPUTED_VALUE"""),1926.0)</f>
        <v>1926</v>
      </c>
      <c r="G499" s="77">
        <f>IFERROR(__xludf.DUMMYFUNCTION("""COMPUTED_VALUE"""),15.0)</f>
        <v>15</v>
      </c>
      <c r="H499" s="77">
        <f>IFERROR(__xludf.DUMMYFUNCTION("""COMPUTED_VALUE"""),25.0)</f>
        <v>25</v>
      </c>
      <c r="I499" s="77">
        <f>IFERROR(__xludf.DUMMYFUNCTION("""COMPUTED_VALUE"""),100.0)</f>
        <v>100</v>
      </c>
      <c r="J499" s="73"/>
      <c r="K499" s="73"/>
      <c r="L499" s="73"/>
      <c r="M499" s="77">
        <f>IFERROR(__xludf.DUMMYFUNCTION("""COMPUTED_VALUE"""),0.12)</f>
        <v>0.12</v>
      </c>
      <c r="N499" s="77">
        <f>IFERROR(__xludf.DUMMYFUNCTION("""COMPUTED_VALUE"""),1.0)</f>
        <v>1</v>
      </c>
      <c r="O499" s="49"/>
      <c r="P499" s="49" t="str">
        <f>IFERROR(__xludf.DUMMYFUNCTION("""COMPUTED_VALUE"""),"Offset")</f>
        <v>Offset</v>
      </c>
      <c r="Q499" s="49" t="str">
        <f>IFERROR(__xludf.DUMMYFUNCTION("""COMPUTED_VALUE"""),"Packaging")</f>
        <v>Packaging</v>
      </c>
      <c r="R499" s="49" t="str">
        <f>IFERROR(__xludf.DUMMYFUNCTION("""COMPUTED_VALUE"""),"Artsbury")</f>
        <v>Artsbury</v>
      </c>
    </row>
    <row r="500">
      <c r="A500" s="156" t="str">
        <f>IFERROR(__xludf.DUMMYFUNCTION("""COMPUTED_VALUE"""),"https://drive.google.com/open?id=1kX-pwF4iO9GDbyGPQ7yTKbEuskDJhr2L&amp;usp=drive_fs")</f>
        <v>https://drive.google.com/open?id=1kX-pwF4iO9GDbyGPQ7yTKbEuskDJhr2L&amp;usp=drive_fs</v>
      </c>
      <c r="B500" s="73" t="str">
        <f>IFERROR(__xludf.DUMMYFUNCTION("""COMPUTED_VALUE"""),"Artsbury")</f>
        <v>Artsbury</v>
      </c>
      <c r="C500" s="73" t="str">
        <f>IFERROR(__xludf.DUMMYFUNCTION("""COMPUTED_VALUE"""),"Sindoor")</f>
        <v>Sindoor</v>
      </c>
      <c r="D500" s="73" t="str">
        <f>IFERROR(__xludf.DUMMYFUNCTION("""COMPUTED_VALUE"""),"Tray 50*20*129 mm | 1.9*0.8*4.9 inch")</f>
        <v>Tray 50*20*129 mm | 1.9*0.8*4.9 inch</v>
      </c>
      <c r="E500" s="77">
        <f>IFERROR(__xludf.DUMMYFUNCTION("""COMPUTED_VALUE"""),6.0)</f>
        <v>6</v>
      </c>
      <c r="F500" s="77">
        <f>IFERROR(__xludf.DUMMYFUNCTION("""COMPUTED_VALUE"""),1926.0)</f>
        <v>1926</v>
      </c>
      <c r="G500" s="77">
        <f>IFERROR(__xludf.DUMMYFUNCTION("""COMPUTED_VALUE"""),15.0)</f>
        <v>15</v>
      </c>
      <c r="H500" s="77">
        <f>IFERROR(__xludf.DUMMYFUNCTION("""COMPUTED_VALUE"""),25.0)</f>
        <v>25</v>
      </c>
      <c r="I500" s="77">
        <f>IFERROR(__xludf.DUMMYFUNCTION("""COMPUTED_VALUE"""),100.0)</f>
        <v>100</v>
      </c>
      <c r="J500" s="73"/>
      <c r="K500" s="73"/>
      <c r="L500" s="73"/>
      <c r="M500" s="77"/>
      <c r="N500" s="77">
        <f>IFERROR(__xludf.DUMMYFUNCTION("""COMPUTED_VALUE"""),1.0)</f>
        <v>1</v>
      </c>
      <c r="O500" s="49"/>
      <c r="P500" s="49" t="str">
        <f>IFERROR(__xludf.DUMMYFUNCTION("""COMPUTED_VALUE"""),"Offset")</f>
        <v>Offset</v>
      </c>
      <c r="Q500" s="49" t="str">
        <f>IFERROR(__xludf.DUMMYFUNCTION("""COMPUTED_VALUE"""),"Packaging")</f>
        <v>Packaging</v>
      </c>
      <c r="R500" s="49" t="str">
        <f>IFERROR(__xludf.DUMMYFUNCTION("""COMPUTED_VALUE"""),"Artsbury")</f>
        <v>Artsbury</v>
      </c>
    </row>
    <row r="501">
      <c r="A501" s="156" t="str">
        <f>IFERROR(__xludf.DUMMYFUNCTION("""COMPUTED_VALUE"""),"https://drive.google.com/open?id=1kX-pwF4iO9GDbyGPQ7yTKbEuskDJhr2L&amp;usp=drive_fs")</f>
        <v>https://drive.google.com/open?id=1kX-pwF4iO9GDbyGPQ7yTKbEuskDJhr2L&amp;usp=drive_fs</v>
      </c>
      <c r="B501" s="73" t="str">
        <f>IFERROR(__xludf.DUMMYFUNCTION("""COMPUTED_VALUE"""),"Artsbury")</f>
        <v>Artsbury</v>
      </c>
      <c r="C501" s="73" t="str">
        <f>IFERROR(__xludf.DUMMYFUNCTION("""COMPUTED_VALUE"""),"Sindoor")</f>
        <v>Sindoor</v>
      </c>
      <c r="D501" s="73" t="str">
        <f>IFERROR(__xludf.DUMMYFUNCTION("""COMPUTED_VALUE"""),"Sleeve 50*20*129 mm | 1.9*0.8*4.9 inch")</f>
        <v>Sleeve 50*20*129 mm | 1.9*0.8*4.9 inch</v>
      </c>
      <c r="E501" s="77">
        <f>IFERROR(__xludf.DUMMYFUNCTION("""COMPUTED_VALUE"""),8.0)</f>
        <v>8</v>
      </c>
      <c r="F501" s="77">
        <f>IFERROR(__xludf.DUMMYFUNCTION("""COMPUTED_VALUE"""),1926.0)</f>
        <v>1926</v>
      </c>
      <c r="G501" s="77">
        <f>IFERROR(__xludf.DUMMYFUNCTION("""COMPUTED_VALUE"""),18.0)</f>
        <v>18</v>
      </c>
      <c r="H501" s="77">
        <f>IFERROR(__xludf.DUMMYFUNCTION("""COMPUTED_VALUE"""),25.0)</f>
        <v>25</v>
      </c>
      <c r="I501" s="77">
        <f>IFERROR(__xludf.DUMMYFUNCTION("""COMPUTED_VALUE"""),100.0)</f>
        <v>100</v>
      </c>
      <c r="J501" s="73"/>
      <c r="K501" s="73"/>
      <c r="L501" s="73">
        <f>IFERROR(__xludf.DUMMYFUNCTION("""COMPUTED_VALUE"""),0.7)</f>
        <v>0.7</v>
      </c>
      <c r="M501" s="77">
        <f>IFERROR(__xludf.DUMMYFUNCTION("""COMPUTED_VALUE"""),0.1)</f>
        <v>0.1</v>
      </c>
      <c r="N501" s="77">
        <f>IFERROR(__xludf.DUMMYFUNCTION("""COMPUTED_VALUE"""),1.0)</f>
        <v>1</v>
      </c>
      <c r="O501" s="49"/>
      <c r="P501" s="49" t="str">
        <f>IFERROR(__xludf.DUMMYFUNCTION("""COMPUTED_VALUE"""),"Offset")</f>
        <v>Offset</v>
      </c>
      <c r="Q501" s="49" t="str">
        <f>IFERROR(__xludf.DUMMYFUNCTION("""COMPUTED_VALUE"""),"Packaging")</f>
        <v>Packaging</v>
      </c>
      <c r="R501" s="49" t="str">
        <f>IFERROR(__xludf.DUMMYFUNCTION("""COMPUTED_VALUE"""),"Artsbury")</f>
        <v>Artsbury</v>
      </c>
    </row>
    <row r="502">
      <c r="A502" s="156" t="str">
        <f>IFERROR(__xludf.DUMMYFUNCTION("""COMPUTED_VALUE"""),"https://drive.google.com/open?id=1rSoMLYAZljhaKkSbxBjsnOl1NJUdG3E9&amp;usp=drive_fs")</f>
        <v>https://drive.google.com/open?id=1rSoMLYAZljhaKkSbxBjsnOl1NJUdG3E9&amp;usp=drive_fs</v>
      </c>
      <c r="B502" s="73" t="str">
        <f>IFERROR(__xludf.DUMMYFUNCTION("""COMPUTED_VALUE"""),"Artsbury")</f>
        <v>Artsbury</v>
      </c>
      <c r="C502" s="73" t="str">
        <f>IFERROR(__xludf.DUMMYFUNCTION("""COMPUTED_VALUE"""),"Lip Balm")</f>
        <v>Lip Balm</v>
      </c>
      <c r="D502" s="73" t="str">
        <f>IFERROR(__xludf.DUMMYFUNCTION("""COMPUTED_VALUE"""),"20*20*72 mm | 0.8*0.8*2.7 inch")</f>
        <v>20*20*72 mm | 0.8*0.8*2.7 inch</v>
      </c>
      <c r="E502" s="77">
        <f>IFERROR(__xludf.DUMMYFUNCTION("""COMPUTED_VALUE"""),8.0)</f>
        <v>8</v>
      </c>
      <c r="F502" s="77">
        <f>IFERROR(__xludf.DUMMYFUNCTION("""COMPUTED_VALUE"""),1926.0)</f>
        <v>1926</v>
      </c>
      <c r="G502" s="77">
        <f>IFERROR(__xludf.DUMMYFUNCTION("""COMPUTED_VALUE"""),19.5)</f>
        <v>19.5</v>
      </c>
      <c r="H502" s="77">
        <f>IFERROR(__xludf.DUMMYFUNCTION("""COMPUTED_VALUE"""),23.0)</f>
        <v>23</v>
      </c>
      <c r="I502" s="77">
        <f>IFERROR(__xludf.DUMMYFUNCTION("""COMPUTED_VALUE"""),100.0)</f>
        <v>100</v>
      </c>
      <c r="J502" s="73"/>
      <c r="K502" s="73"/>
      <c r="L502" s="73"/>
      <c r="M502" s="77">
        <f>IFERROR(__xludf.DUMMYFUNCTION("""COMPUTED_VALUE"""),1.0)</f>
        <v>1</v>
      </c>
      <c r="N502" s="77">
        <f>IFERROR(__xludf.DUMMYFUNCTION("""COMPUTED_VALUE"""),1.0)</f>
        <v>1</v>
      </c>
      <c r="O502" s="49"/>
      <c r="P502" s="49" t="str">
        <f>IFERROR(__xludf.DUMMYFUNCTION("""COMPUTED_VALUE"""),"Offset")</f>
        <v>Offset</v>
      </c>
      <c r="Q502" s="49" t="str">
        <f>IFERROR(__xludf.DUMMYFUNCTION("""COMPUTED_VALUE"""),"Packaging")</f>
        <v>Packaging</v>
      </c>
      <c r="R502" s="49" t="str">
        <f>IFERROR(__xludf.DUMMYFUNCTION("""COMPUTED_VALUE"""),"Artsbury")</f>
        <v>Artsbury</v>
      </c>
    </row>
    <row r="503">
      <c r="A503" s="156" t="str">
        <f>IFERROR(__xludf.DUMMYFUNCTION("""COMPUTED_VALUE"""),"https://drive.google.com/open?id=1q4sSQ6_tnh9jNmbN9NZ8wVzaHAa6V1Tj&amp;usp=drive_fs")</f>
        <v>https://drive.google.com/open?id=1q4sSQ6_tnh9jNmbN9NZ8wVzaHAa6V1Tj&amp;usp=drive_fs</v>
      </c>
      <c r="B503" s="73" t="str">
        <f>IFERROR(__xludf.DUMMYFUNCTION("""COMPUTED_VALUE"""),"Artsbury")</f>
        <v>Artsbury</v>
      </c>
      <c r="C503" s="73" t="str">
        <f>IFERROR(__xludf.DUMMYFUNCTION("""COMPUTED_VALUE"""),"Liquid Sindoor")</f>
        <v>Liquid Sindoor</v>
      </c>
      <c r="D503" s="73" t="str">
        <f>IFERROR(__xludf.DUMMYFUNCTION("""COMPUTED_VALUE"""),"20*18*110 mm | 0.8*0.7*4.25 inch")</f>
        <v>20*18*110 mm | 0.8*0.7*4.25 inch</v>
      </c>
      <c r="E503" s="77">
        <f>IFERROR(__xludf.DUMMYFUNCTION("""COMPUTED_VALUE"""),8.0)</f>
        <v>8</v>
      </c>
      <c r="F503" s="77">
        <f>IFERROR(__xludf.DUMMYFUNCTION("""COMPUTED_VALUE"""),1926.0)</f>
        <v>1926</v>
      </c>
      <c r="G503" s="77">
        <f>IFERROR(__xludf.DUMMYFUNCTION("""COMPUTED_VALUE"""),19.0)</f>
        <v>19</v>
      </c>
      <c r="H503" s="77">
        <f>IFERROR(__xludf.DUMMYFUNCTION("""COMPUTED_VALUE"""),26.0)</f>
        <v>26</v>
      </c>
      <c r="I503" s="77">
        <f>IFERROR(__xludf.DUMMYFUNCTION("""COMPUTED_VALUE"""),100.0)</f>
        <v>100</v>
      </c>
      <c r="J503" s="73"/>
      <c r="K503" s="73"/>
      <c r="L503" s="73"/>
      <c r="M503" s="77">
        <f>IFERROR(__xludf.DUMMYFUNCTION("""COMPUTED_VALUE"""),1.0)</f>
        <v>1</v>
      </c>
      <c r="N503" s="77">
        <f>IFERROR(__xludf.DUMMYFUNCTION("""COMPUTED_VALUE"""),1.0)</f>
        <v>1</v>
      </c>
      <c r="O503" s="49"/>
      <c r="P503" s="49" t="str">
        <f>IFERROR(__xludf.DUMMYFUNCTION("""COMPUTED_VALUE"""),"Offset")</f>
        <v>Offset</v>
      </c>
      <c r="Q503" s="49" t="str">
        <f>IFERROR(__xludf.DUMMYFUNCTION("""COMPUTED_VALUE"""),"Packaging")</f>
        <v>Packaging</v>
      </c>
      <c r="R503" s="49" t="str">
        <f>IFERROR(__xludf.DUMMYFUNCTION("""COMPUTED_VALUE"""),"Artsbury")</f>
        <v>Artsbury</v>
      </c>
    </row>
    <row r="504">
      <c r="A504" s="156" t="str">
        <f>IFERROR(__xludf.DUMMYFUNCTION("""COMPUTED_VALUE"""),"https://drive.google.com/open?id=1XRCBWVhhcrRDM2hQ2Tsdg0s14YrCAQvf&amp;usp=drive_fs")</f>
        <v>https://drive.google.com/open?id=1XRCBWVhhcrRDM2hQ2Tsdg0s14YrCAQvf&amp;usp=drive_fs</v>
      </c>
      <c r="B504" s="73" t="str">
        <f>IFERROR(__xludf.DUMMYFUNCTION("""COMPUTED_VALUE"""),"Artsbury")</f>
        <v>Artsbury</v>
      </c>
      <c r="C504" s="73" t="str">
        <f>IFERROR(__xludf.DUMMYFUNCTION("""COMPUTED_VALUE"""),"Liquid Lipstick")</f>
        <v>Liquid Lipstick</v>
      </c>
      <c r="D504" s="73" t="str">
        <f>IFERROR(__xludf.DUMMYFUNCTION("""COMPUTED_VALUE"""),"66*17*63 mm | 2.4*0.6*2.6 inch")</f>
        <v>66*17*63 mm | 2.4*0.6*2.6 inch</v>
      </c>
      <c r="E504" s="77">
        <f>IFERROR(__xludf.DUMMYFUNCTION("""COMPUTED_VALUE"""),5.0)</f>
        <v>5</v>
      </c>
      <c r="F504" s="77">
        <f>IFERROR(__xludf.DUMMYFUNCTION("""COMPUTED_VALUE"""),1926.0)</f>
        <v>1926</v>
      </c>
      <c r="G504" s="77">
        <f>IFERROR(__xludf.DUMMYFUNCTION("""COMPUTED_VALUE"""),15.75)</f>
        <v>15.75</v>
      </c>
      <c r="H504" s="77">
        <f>IFERROR(__xludf.DUMMYFUNCTION("""COMPUTED_VALUE"""),20.75)</f>
        <v>20.75</v>
      </c>
      <c r="I504" s="77">
        <f>IFERROR(__xludf.DUMMYFUNCTION("""COMPUTED_VALUE"""),100.0)</f>
        <v>100</v>
      </c>
      <c r="J504" s="73"/>
      <c r="K504" s="73"/>
      <c r="L504" s="73"/>
      <c r="M504" s="77">
        <f>IFERROR(__xludf.DUMMYFUNCTION("""COMPUTED_VALUE"""),2.0)</f>
        <v>2</v>
      </c>
      <c r="N504" s="77">
        <f>IFERROR(__xludf.DUMMYFUNCTION("""COMPUTED_VALUE"""),1.0)</f>
        <v>1</v>
      </c>
      <c r="O504" s="49"/>
      <c r="P504" s="49" t="str">
        <f>IFERROR(__xludf.DUMMYFUNCTION("""COMPUTED_VALUE"""),"Offset")</f>
        <v>Offset</v>
      </c>
      <c r="Q504" s="49" t="str">
        <f>IFERROR(__xludf.DUMMYFUNCTION("""COMPUTED_VALUE"""),"Packaging")</f>
        <v>Packaging</v>
      </c>
      <c r="R504" s="49" t="str">
        <f>IFERROR(__xludf.DUMMYFUNCTION("""COMPUTED_VALUE"""),"Artsbury")</f>
        <v>Artsbury</v>
      </c>
    </row>
    <row r="505">
      <c r="A505" s="156" t="str">
        <f>IFERROR(__xludf.DUMMYFUNCTION("""COMPUTED_VALUE"""),"https://drive.google.com/open?id=1ZJoPZzFLa3jWW91HS6zg2jknsNdKa12Q&amp;usp=drive_fs")</f>
        <v>https://drive.google.com/open?id=1ZJoPZzFLa3jWW91HS6zg2jknsNdKa12Q&amp;usp=drive_fs</v>
      </c>
      <c r="B505" s="73" t="str">
        <f>IFERROR(__xludf.DUMMYFUNCTION("""COMPUTED_VALUE"""),"Artsbury")</f>
        <v>Artsbury</v>
      </c>
      <c r="C505" s="73" t="str">
        <f>IFERROR(__xludf.DUMMYFUNCTION("""COMPUTED_VALUE"""),"Eye Kajal")</f>
        <v>Eye Kajal</v>
      </c>
      <c r="D505" s="73" t="str">
        <f>IFERROR(__xludf.DUMMYFUNCTION("""COMPUTED_VALUE"""),"85*200 mm | 3.4*7.6 inch")</f>
        <v>85*200 mm | 3.4*7.6 inch</v>
      </c>
      <c r="E505" s="77">
        <f>IFERROR(__xludf.DUMMYFUNCTION("""COMPUTED_VALUE"""),6.0)</f>
        <v>6</v>
      </c>
      <c r="F505" s="77">
        <f>IFERROR(__xludf.DUMMYFUNCTION("""COMPUTED_VALUE"""),1926.0)</f>
        <v>1926</v>
      </c>
      <c r="G505" s="77">
        <f>IFERROR(__xludf.DUMMYFUNCTION("""COMPUTED_VALUE"""),15.75)</f>
        <v>15.75</v>
      </c>
      <c r="H505" s="77">
        <f>IFERROR(__xludf.DUMMYFUNCTION("""COMPUTED_VALUE"""),20.75)</f>
        <v>20.75</v>
      </c>
      <c r="I505" s="77">
        <f>IFERROR(__xludf.DUMMYFUNCTION("""COMPUTED_VALUE"""),100.0)</f>
        <v>100</v>
      </c>
      <c r="J505" s="73"/>
      <c r="K505" s="73"/>
      <c r="L505" s="73"/>
      <c r="M505" s="77">
        <f>IFERROR(__xludf.DUMMYFUNCTION("""COMPUTED_VALUE"""),1.0)</f>
        <v>1</v>
      </c>
      <c r="N505" s="77">
        <f>IFERROR(__xludf.DUMMYFUNCTION("""COMPUTED_VALUE"""),1.0)</f>
        <v>1</v>
      </c>
      <c r="O505" s="49"/>
      <c r="P505" s="49" t="str">
        <f>IFERROR(__xludf.DUMMYFUNCTION("""COMPUTED_VALUE"""),"Offset")</f>
        <v>Offset</v>
      </c>
      <c r="Q505" s="49" t="str">
        <f>IFERROR(__xludf.DUMMYFUNCTION("""COMPUTED_VALUE"""),"Packaging")</f>
        <v>Packaging</v>
      </c>
      <c r="R505" s="49" t="str">
        <f>IFERROR(__xludf.DUMMYFUNCTION("""COMPUTED_VALUE"""),"Artsbury")</f>
        <v>Artsbury</v>
      </c>
    </row>
    <row r="506">
      <c r="A506" s="156" t="str">
        <f>IFERROR(__xludf.DUMMYFUNCTION("""COMPUTED_VALUE"""),"https://drive.google.com/open?id=1HbaZDStDNaNpadvSCSpYkvmYu6z4IXcf&amp;authuser=jay.agg%40gmail.com&amp;usp=drive_fs")</f>
        <v>https://drive.google.com/open?id=1HbaZDStDNaNpadvSCSpYkvmYu6z4IXcf&amp;authuser=jay.agg%40gmail.com&amp;usp=drive_fs</v>
      </c>
      <c r="B506" s="73" t="str">
        <f>IFERROR(__xludf.DUMMYFUNCTION("""COMPUTED_VALUE"""),"Computer Accessories")</f>
        <v>Computer Accessories</v>
      </c>
      <c r="C506" s="73" t="str">
        <f>IFERROR(__xludf.DUMMYFUNCTION("""COMPUTED_VALUE"""),"Tonner Box")</f>
        <v>Tonner Box</v>
      </c>
      <c r="D506" s="73" t="str">
        <f>IFERROR(__xludf.DUMMYFUNCTION("""COMPUTED_VALUE"""),"4.5*4.5*15 inch")</f>
        <v>4.5*4.5*15 inch</v>
      </c>
      <c r="E506" s="77">
        <f>IFERROR(__xludf.DUMMYFUNCTION("""COMPUTED_VALUE"""),1.0)</f>
        <v>1</v>
      </c>
      <c r="F506" s="77">
        <f>IFERROR(__xludf.DUMMYFUNCTION("""COMPUTED_VALUE"""),1926.0)</f>
        <v>1926</v>
      </c>
      <c r="G506" s="77">
        <f>IFERROR(__xludf.DUMMYFUNCTION("""COMPUTED_VALUE"""),19.0)</f>
        <v>19</v>
      </c>
      <c r="H506" s="77">
        <f>IFERROR(__xludf.DUMMYFUNCTION("""COMPUTED_VALUE"""),26.0)</f>
        <v>26</v>
      </c>
      <c r="I506" s="77">
        <f>IFERROR(__xludf.DUMMYFUNCTION("""COMPUTED_VALUE"""),100.0)</f>
        <v>100</v>
      </c>
      <c r="J506" s="73"/>
      <c r="K506" s="73"/>
      <c r="L506" s="73"/>
      <c r="M506" s="77">
        <f>IFERROR(__xludf.DUMMYFUNCTION("""COMPUTED_VALUE"""),0.2)</f>
        <v>0.2</v>
      </c>
      <c r="N506" s="77">
        <f>IFERROR(__xludf.DUMMYFUNCTION("""COMPUTED_VALUE"""),1.0)</f>
        <v>1</v>
      </c>
      <c r="O506" s="49"/>
      <c r="P506" s="49" t="str">
        <f>IFERROR(__xludf.DUMMYFUNCTION("""COMPUTED_VALUE"""),"Offset")</f>
        <v>Offset</v>
      </c>
      <c r="Q506" s="49" t="str">
        <f>IFERROR(__xludf.DUMMYFUNCTION("""COMPUTED_VALUE"""),"Packaging")</f>
        <v>Packaging</v>
      </c>
      <c r="R506" s="49" t="str">
        <f>IFERROR(__xludf.DUMMYFUNCTION("""COMPUTED_VALUE"""),"Computer Accessories")</f>
        <v>Computer Accessories</v>
      </c>
    </row>
    <row r="507">
      <c r="A507" s="156" t="str">
        <f>IFERROR(__xludf.DUMMYFUNCTION("""COMPUTED_VALUE"""),"https://drive.google.com/open?id=1Hw6KFCYu4ALB-4d36DycItgPyE2OGXEN&amp;authuser=jay.agg%40gmail.com&amp;usp=drive_fs")</f>
        <v>https://drive.google.com/open?id=1Hw6KFCYu4ALB-4d36DycItgPyE2OGXEN&amp;authuser=jay.agg%40gmail.com&amp;usp=drive_fs</v>
      </c>
      <c r="B507" s="73" t="str">
        <f>IFERROR(__xludf.DUMMYFUNCTION("""COMPUTED_VALUE"""),"Computer Accessories")</f>
        <v>Computer Accessories</v>
      </c>
      <c r="C507" s="73" t="str">
        <f>IFERROR(__xludf.DUMMYFUNCTION("""COMPUTED_VALUE"""),"SSD Box")</f>
        <v>SSD Box</v>
      </c>
      <c r="D507" s="73" t="str">
        <f>IFERROR(__xludf.DUMMYFUNCTION("""COMPUTED_VALUE"""),"114x16x144 mm")</f>
        <v>114x16x144 mm</v>
      </c>
      <c r="E507" s="77">
        <f>IFERROR(__xludf.DUMMYFUNCTION("""COMPUTED_VALUE"""),4.0)</f>
        <v>4</v>
      </c>
      <c r="F507" s="77">
        <f>IFERROR(__xludf.DUMMYFUNCTION("""COMPUTED_VALUE"""),1926.0)</f>
        <v>1926</v>
      </c>
      <c r="G507" s="77">
        <f>IFERROR(__xludf.DUMMYFUNCTION("""COMPUTED_VALUE"""),18.0)</f>
        <v>18</v>
      </c>
      <c r="H507" s="77">
        <f>IFERROR(__xludf.DUMMYFUNCTION("""COMPUTED_VALUE"""),23.0)</f>
        <v>23</v>
      </c>
      <c r="I507" s="77">
        <f>IFERROR(__xludf.DUMMYFUNCTION("""COMPUTED_VALUE"""),100.0)</f>
        <v>100</v>
      </c>
      <c r="J507" s="73"/>
      <c r="K507" s="73"/>
      <c r="L507" s="73"/>
      <c r="M507" s="77">
        <f>IFERROR(__xludf.DUMMYFUNCTION("""COMPUTED_VALUE"""),0.1)</f>
        <v>0.1</v>
      </c>
      <c r="N507" s="77">
        <f>IFERROR(__xludf.DUMMYFUNCTION("""COMPUTED_VALUE"""),1.0)</f>
        <v>1</v>
      </c>
      <c r="O507" s="49"/>
      <c r="P507" s="49" t="str">
        <f>IFERROR(__xludf.DUMMYFUNCTION("""COMPUTED_VALUE"""),"Offset")</f>
        <v>Offset</v>
      </c>
      <c r="Q507" s="49" t="str">
        <f>IFERROR(__xludf.DUMMYFUNCTION("""COMPUTED_VALUE"""),"Packaging")</f>
        <v>Packaging</v>
      </c>
      <c r="R507" s="49" t="str">
        <f>IFERROR(__xludf.DUMMYFUNCTION("""COMPUTED_VALUE"""),"Computer Accessories")</f>
        <v>Computer Accessories</v>
      </c>
    </row>
    <row r="508">
      <c r="A508" s="156" t="str">
        <f>IFERROR(__xludf.DUMMYFUNCTION("""COMPUTED_VALUE"""),"https://drive.google.com/open?id=1zykrBg-uXWLhBYmwjgL99YmT8duK817r&amp;authuser=jay.agg%40gmail.com&amp;usp=drive_fs")</f>
        <v>https://drive.google.com/open?id=1zykrBg-uXWLhBYmwjgL99YmT8duK817r&amp;authuser=jay.agg%40gmail.com&amp;usp=drive_fs</v>
      </c>
      <c r="B508" s="73" t="str">
        <f>IFERROR(__xludf.DUMMYFUNCTION("""COMPUTED_VALUE"""),"Computer Accessories")</f>
        <v>Computer Accessories</v>
      </c>
      <c r="C508" s="73" t="str">
        <f>IFERROR(__xludf.DUMMYFUNCTION("""COMPUTED_VALUE"""),"Tonner Box")</f>
        <v>Tonner Box</v>
      </c>
      <c r="D508" s="73" t="str">
        <f>IFERROR(__xludf.DUMMYFUNCTION("""COMPUTED_VALUE"""),"310*100*100 mm | 12*4*4 inch")</f>
        <v>310*100*100 mm | 12*4*4 inch</v>
      </c>
      <c r="E508" s="77">
        <f>IFERROR(__xludf.DUMMYFUNCTION("""COMPUTED_VALUE"""),1.0)</f>
        <v>1</v>
      </c>
      <c r="F508" s="77">
        <f>IFERROR(__xludf.DUMMYFUNCTION("""COMPUTED_VALUE"""),1926.0)</f>
        <v>1926</v>
      </c>
      <c r="G508" s="77">
        <f>IFERROR(__xludf.DUMMYFUNCTION("""COMPUTED_VALUE"""),18.0)</f>
        <v>18</v>
      </c>
      <c r="H508" s="77">
        <f>IFERROR(__xludf.DUMMYFUNCTION("""COMPUTED_VALUE"""),23.0)</f>
        <v>23</v>
      </c>
      <c r="I508" s="77">
        <f>IFERROR(__xludf.DUMMYFUNCTION("""COMPUTED_VALUE"""),100.0)</f>
        <v>100</v>
      </c>
      <c r="J508" s="73"/>
      <c r="K508" s="73"/>
      <c r="L508" s="73"/>
      <c r="M508" s="77">
        <f>IFERROR(__xludf.DUMMYFUNCTION("""COMPUTED_VALUE"""),0.2)</f>
        <v>0.2</v>
      </c>
      <c r="N508" s="77">
        <f>IFERROR(__xludf.DUMMYFUNCTION("""COMPUTED_VALUE"""),1.0)</f>
        <v>1</v>
      </c>
      <c r="O508" s="49"/>
      <c r="P508" s="49" t="str">
        <f>IFERROR(__xludf.DUMMYFUNCTION("""COMPUTED_VALUE"""),"Offset")</f>
        <v>Offset</v>
      </c>
      <c r="Q508" s="49" t="str">
        <f>IFERROR(__xludf.DUMMYFUNCTION("""COMPUTED_VALUE"""),"Packaging")</f>
        <v>Packaging</v>
      </c>
      <c r="R508" s="49" t="str">
        <f>IFERROR(__xludf.DUMMYFUNCTION("""COMPUTED_VALUE"""),"Computer Accessories")</f>
        <v>Computer Accessories</v>
      </c>
    </row>
    <row r="509">
      <c r="A509" s="156" t="str">
        <f>IFERROR(__xludf.DUMMYFUNCTION("""COMPUTED_VALUE"""),"https://drive.google.com/open?id=1A2azO5DYUfzAo62p4Q5GuQtfYrs4-idE&amp;authuser=jay.agg%40gmail.com&amp;usp=drive_fs")</f>
        <v>https://drive.google.com/open?id=1A2azO5DYUfzAo62p4Q5GuQtfYrs4-idE&amp;authuser=jay.agg%40gmail.com&amp;usp=drive_fs</v>
      </c>
      <c r="B509" s="73" t="str">
        <f>IFERROR(__xludf.DUMMYFUNCTION("""COMPUTED_VALUE"""),"Computer Accessories")</f>
        <v>Computer Accessories</v>
      </c>
      <c r="C509" s="73" t="str">
        <f>IFERROR(__xludf.DUMMYFUNCTION("""COMPUTED_VALUE"""),"Ink")</f>
        <v>Ink</v>
      </c>
      <c r="D509" s="73" t="str">
        <f>IFERROR(__xludf.DUMMYFUNCTION("""COMPUTED_VALUE"""),"42*42*152 mm | 1.6*1.6*5 inch with Hanger")</f>
        <v>42*42*152 mm | 1.6*1.6*5 inch with Hanger</v>
      </c>
      <c r="E509" s="77">
        <f>IFERROR(__xludf.DUMMYFUNCTION("""COMPUTED_VALUE"""),4.0)</f>
        <v>4</v>
      </c>
      <c r="F509" s="77">
        <f>IFERROR(__xludf.DUMMYFUNCTION("""COMPUTED_VALUE"""),1926.0)</f>
        <v>1926</v>
      </c>
      <c r="G509" s="77">
        <f>IFERROR(__xludf.DUMMYFUNCTION("""COMPUTED_VALUE"""),15.75)</f>
        <v>15.75</v>
      </c>
      <c r="H509" s="77">
        <f>IFERROR(__xludf.DUMMYFUNCTION("""COMPUTED_VALUE"""),20.75)</f>
        <v>20.75</v>
      </c>
      <c r="I509" s="77">
        <f>IFERROR(__xludf.DUMMYFUNCTION("""COMPUTED_VALUE"""),100.0)</f>
        <v>100</v>
      </c>
      <c r="J509" s="73"/>
      <c r="K509" s="73"/>
      <c r="L509" s="73"/>
      <c r="M509" s="77">
        <f>IFERROR(__xludf.DUMMYFUNCTION("""COMPUTED_VALUE"""),0.1)</f>
        <v>0.1</v>
      </c>
      <c r="N509" s="77">
        <f>IFERROR(__xludf.DUMMYFUNCTION("""COMPUTED_VALUE"""),1.0)</f>
        <v>1</v>
      </c>
      <c r="O509" s="49"/>
      <c r="P509" s="49" t="str">
        <f>IFERROR(__xludf.DUMMYFUNCTION("""COMPUTED_VALUE"""),"Offset")</f>
        <v>Offset</v>
      </c>
      <c r="Q509" s="49" t="str">
        <f>IFERROR(__xludf.DUMMYFUNCTION("""COMPUTED_VALUE"""),"Packaging")</f>
        <v>Packaging</v>
      </c>
      <c r="R509" s="49" t="str">
        <f>IFERROR(__xludf.DUMMYFUNCTION("""COMPUTED_VALUE"""),"Computer Accessories")</f>
        <v>Computer Accessories</v>
      </c>
    </row>
    <row r="510">
      <c r="A510" s="156" t="str">
        <f>IFERROR(__xludf.DUMMYFUNCTION("""COMPUTED_VALUE"""),"https://drive.google.com/open?id=1A3X8GkMBdrKQbFXLJXrxixgI0oSImxX6&amp;authuser=jay.agg%40gmail.com&amp;usp=drive_fs")</f>
        <v>https://drive.google.com/open?id=1A3X8GkMBdrKQbFXLJXrxixgI0oSImxX6&amp;authuser=jay.agg%40gmail.com&amp;usp=drive_fs</v>
      </c>
      <c r="B510" s="73" t="str">
        <f>IFERROR(__xludf.DUMMYFUNCTION("""COMPUTED_VALUE"""),"Computer Accessories")</f>
        <v>Computer Accessories</v>
      </c>
      <c r="C510" s="73" t="str">
        <f>IFERROR(__xludf.DUMMYFUNCTION("""COMPUTED_VALUE"""),"Ink")</f>
        <v>Ink</v>
      </c>
      <c r="D510" s="73" t="str">
        <f>IFERROR(__xludf.DUMMYFUNCTION("""COMPUTED_VALUE"""),"51*51*187 mm | 2*2*7.25 inch with Hanger IL")</f>
        <v>51*51*187 mm | 2*2*7.25 inch with Hanger IL</v>
      </c>
      <c r="E510" s="77">
        <f>IFERROR(__xludf.DUMMYFUNCTION("""COMPUTED_VALUE"""),4.0)</f>
        <v>4</v>
      </c>
      <c r="F510" s="77">
        <f>IFERROR(__xludf.DUMMYFUNCTION("""COMPUTED_VALUE"""),1926.0)</f>
        <v>1926</v>
      </c>
      <c r="G510" s="77">
        <f>IFERROR(__xludf.DUMMYFUNCTION("""COMPUTED_VALUE"""),18.0)</f>
        <v>18</v>
      </c>
      <c r="H510" s="77">
        <f>IFERROR(__xludf.DUMMYFUNCTION("""COMPUTED_VALUE"""),25.0)</f>
        <v>25</v>
      </c>
      <c r="I510" s="77">
        <f>IFERROR(__xludf.DUMMYFUNCTION("""COMPUTED_VALUE"""),100.0)</f>
        <v>100</v>
      </c>
      <c r="J510" s="73"/>
      <c r="K510" s="73"/>
      <c r="L510" s="73"/>
      <c r="M510" s="77">
        <f>IFERROR(__xludf.DUMMYFUNCTION("""COMPUTED_VALUE"""),0.1)</f>
        <v>0.1</v>
      </c>
      <c r="N510" s="77">
        <f>IFERROR(__xludf.DUMMYFUNCTION("""COMPUTED_VALUE"""),1.0)</f>
        <v>1</v>
      </c>
      <c r="O510" s="49"/>
      <c r="P510" s="49" t="str">
        <f>IFERROR(__xludf.DUMMYFUNCTION("""COMPUTED_VALUE"""),"Offset")</f>
        <v>Offset</v>
      </c>
      <c r="Q510" s="49" t="str">
        <f>IFERROR(__xludf.DUMMYFUNCTION("""COMPUTED_VALUE"""),"Packaging")</f>
        <v>Packaging</v>
      </c>
      <c r="R510" s="49" t="str">
        <f>IFERROR(__xludf.DUMMYFUNCTION("""COMPUTED_VALUE"""),"Computer Accessories")</f>
        <v>Computer Accessories</v>
      </c>
    </row>
    <row r="511">
      <c r="A511" s="156" t="str">
        <f>IFERROR(__xludf.DUMMYFUNCTION("""COMPUTED_VALUE"""),"https://drive.google.com/open?id=10i0C5YKC82My5a3GaR6IDxByvI-70EpA&amp;authuser=jay.agg%40gmail.com&amp;usp=drive_fs")</f>
        <v>https://drive.google.com/open?id=10i0C5YKC82My5a3GaR6IDxByvI-70EpA&amp;authuser=jay.agg%40gmail.com&amp;usp=drive_fs</v>
      </c>
      <c r="B511" s="73" t="str">
        <f>IFERROR(__xludf.DUMMYFUNCTION("""COMPUTED_VALUE"""),"Computer Accessories")</f>
        <v>Computer Accessories</v>
      </c>
      <c r="C511" s="73" t="str">
        <f>IFERROR(__xludf.DUMMYFUNCTION("""COMPUTED_VALUE"""),"HDD")</f>
        <v>HDD</v>
      </c>
      <c r="D511" s="73" t="str">
        <f>IFERROR(__xludf.DUMMYFUNCTION("""COMPUTED_VALUE"""),"2.5"" 80*18*125 mm | 3.25*0.7*4.9 inch")</f>
        <v>2.5" 80*18*125 mm | 3.25*0.7*4.9 inch</v>
      </c>
      <c r="E511" s="77">
        <f>IFERROR(__xludf.DUMMYFUNCTION("""COMPUTED_VALUE"""),6.0)</f>
        <v>6</v>
      </c>
      <c r="F511" s="77">
        <f>IFERROR(__xludf.DUMMYFUNCTION("""COMPUTED_VALUE"""),1926.0)</f>
        <v>1926</v>
      </c>
      <c r="G511" s="77">
        <f>IFERROR(__xludf.DUMMYFUNCTION("""COMPUTED_VALUE"""),18.0)</f>
        <v>18</v>
      </c>
      <c r="H511" s="77">
        <f>IFERROR(__xludf.DUMMYFUNCTION("""COMPUTED_VALUE"""),21.0)</f>
        <v>21</v>
      </c>
      <c r="I511" s="77">
        <f>IFERROR(__xludf.DUMMYFUNCTION("""COMPUTED_VALUE"""),100.0)</f>
        <v>100</v>
      </c>
      <c r="J511" s="73"/>
      <c r="K511" s="73"/>
      <c r="L511" s="73"/>
      <c r="M511" s="77">
        <f>IFERROR(__xludf.DUMMYFUNCTION("""COMPUTED_VALUE"""),0.1)</f>
        <v>0.1</v>
      </c>
      <c r="N511" s="77">
        <f>IFERROR(__xludf.DUMMYFUNCTION("""COMPUTED_VALUE"""),1.0)</f>
        <v>1</v>
      </c>
      <c r="O511" s="49"/>
      <c r="P511" s="49" t="str">
        <f>IFERROR(__xludf.DUMMYFUNCTION("""COMPUTED_VALUE"""),"Offset")</f>
        <v>Offset</v>
      </c>
      <c r="Q511" s="49" t="str">
        <f>IFERROR(__xludf.DUMMYFUNCTION("""COMPUTED_VALUE"""),"Packaging")</f>
        <v>Packaging</v>
      </c>
      <c r="R511" s="49" t="str">
        <f>IFERROR(__xludf.DUMMYFUNCTION("""COMPUTED_VALUE"""),"Computer Accessories")</f>
        <v>Computer Accessories</v>
      </c>
    </row>
    <row r="512">
      <c r="A512" s="156" t="str">
        <f>IFERROR(__xludf.DUMMYFUNCTION("""COMPUTED_VALUE"""),"https://drive.google.com/open?id=17Ld3lx3BCLkZb_8KTnK0R93is_jxLXrQ&amp;authuser=jay.agg%40gmail.com&amp;usp=drive_fs")</f>
        <v>https://drive.google.com/open?id=17Ld3lx3BCLkZb_8KTnK0R93is_jxLXrQ&amp;authuser=jay.agg%40gmail.com&amp;usp=drive_fs</v>
      </c>
      <c r="B512" s="73" t="str">
        <f>IFERROR(__xludf.DUMMYFUNCTION("""COMPUTED_VALUE"""),"Corrugation")</f>
        <v>Corrugation</v>
      </c>
      <c r="C512" s="73" t="str">
        <f>IFERROR(__xludf.DUMMYFUNCTION("""COMPUTED_VALUE"""),"Misc")</f>
        <v>Misc</v>
      </c>
      <c r="D512" s="73" t="str">
        <f>IFERROR(__xludf.DUMMYFUNCTION("""COMPUTED_VALUE"""),"12.25*9*3 inch | 26*32")</f>
        <v>12.25*9*3 inch | 26*32</v>
      </c>
      <c r="E512" s="77">
        <f>IFERROR(__xludf.DUMMYFUNCTION("""COMPUTED_VALUE"""),1.0)</f>
        <v>1</v>
      </c>
      <c r="F512" s="77">
        <f>IFERROR(__xludf.DUMMYFUNCTION("""COMPUTED_VALUE"""),2840.0)</f>
        <v>2840</v>
      </c>
      <c r="G512" s="77">
        <f>IFERROR(__xludf.DUMMYFUNCTION("""COMPUTED_VALUE"""),28.0)</f>
        <v>28</v>
      </c>
      <c r="H512" s="77">
        <f>IFERROR(__xludf.DUMMYFUNCTION("""COMPUTED_VALUE"""),35.0)</f>
        <v>35</v>
      </c>
      <c r="I512" s="77">
        <f>IFERROR(__xludf.DUMMYFUNCTION("""COMPUTED_VALUE"""),100.0)</f>
        <v>100</v>
      </c>
      <c r="J512" s="73"/>
      <c r="K512" s="73"/>
      <c r="L512" s="73"/>
      <c r="M512" s="77"/>
      <c r="N512" s="77">
        <f>IFERROR(__xludf.DUMMYFUNCTION("""COMPUTED_VALUE"""),1.0)</f>
        <v>1</v>
      </c>
      <c r="O512" s="49"/>
      <c r="P512" s="49" t="str">
        <f>IFERROR(__xludf.DUMMYFUNCTION("""COMPUTED_VALUE"""),"Offset")</f>
        <v>Offset</v>
      </c>
      <c r="Q512" s="49" t="str">
        <f>IFERROR(__xludf.DUMMYFUNCTION("""COMPUTED_VALUE"""),"Packaging")</f>
        <v>Packaging</v>
      </c>
      <c r="R512" s="49" t="str">
        <f>IFERROR(__xludf.DUMMYFUNCTION("""COMPUTED_VALUE"""),"Corrugation")</f>
        <v>Corrugation</v>
      </c>
    </row>
    <row r="513">
      <c r="A513" s="156" t="str">
        <f>IFERROR(__xludf.DUMMYFUNCTION("""COMPUTED_VALUE"""),"https://drive.google.com/open?id=17R7VY4WCavQpw2te6dpphTHsW9m2kDh0&amp;authuser=jay.agg%40gmail.com&amp;usp=drive_fs")</f>
        <v>https://drive.google.com/open?id=17R7VY4WCavQpw2te6dpphTHsW9m2kDh0&amp;authuser=jay.agg%40gmail.com&amp;usp=drive_fs</v>
      </c>
      <c r="B513" s="73" t="str">
        <f>IFERROR(__xludf.DUMMYFUNCTION("""COMPUTED_VALUE"""),"Corrugation")</f>
        <v>Corrugation</v>
      </c>
      <c r="C513" s="73" t="str">
        <f>IFERROR(__xludf.DUMMYFUNCTION("""COMPUTED_VALUE"""),"Misc")</f>
        <v>Misc</v>
      </c>
      <c r="D513" s="73" t="str">
        <f>IFERROR(__xludf.DUMMYFUNCTION("""COMPUTED_VALUE"""),"Tray 12.25*9*3 | 24*32")</f>
        <v>Tray 12.25*9*3 | 24*32</v>
      </c>
      <c r="E513" s="77">
        <f>IFERROR(__xludf.DUMMYFUNCTION("""COMPUTED_VALUE"""),4.0)</f>
        <v>4</v>
      </c>
      <c r="F513" s="77">
        <f>IFERROR(__xludf.DUMMYFUNCTION("""COMPUTED_VALUE"""),2840.0)</f>
        <v>2840</v>
      </c>
      <c r="G513" s="77">
        <f>IFERROR(__xludf.DUMMYFUNCTION("""COMPUTED_VALUE"""),28.0)</f>
        <v>28</v>
      </c>
      <c r="H513" s="77">
        <f>IFERROR(__xludf.DUMMYFUNCTION("""COMPUTED_VALUE"""),35.0)</f>
        <v>35</v>
      </c>
      <c r="I513" s="77">
        <f>IFERROR(__xludf.DUMMYFUNCTION("""COMPUTED_VALUE"""),100.0)</f>
        <v>100</v>
      </c>
      <c r="J513" s="73"/>
      <c r="K513" s="73"/>
      <c r="L513" s="73"/>
      <c r="M513" s="77">
        <f>IFERROR(__xludf.DUMMYFUNCTION("""COMPUTED_VALUE"""),0.1)</f>
        <v>0.1</v>
      </c>
      <c r="N513" s="77">
        <f>IFERROR(__xludf.DUMMYFUNCTION("""COMPUTED_VALUE"""),1.0)</f>
        <v>1</v>
      </c>
      <c r="O513" s="49"/>
      <c r="P513" s="49" t="str">
        <f>IFERROR(__xludf.DUMMYFUNCTION("""COMPUTED_VALUE"""),"Offset")</f>
        <v>Offset</v>
      </c>
      <c r="Q513" s="49" t="str">
        <f>IFERROR(__xludf.DUMMYFUNCTION("""COMPUTED_VALUE"""),"Packaging")</f>
        <v>Packaging</v>
      </c>
      <c r="R513" s="49" t="str">
        <f>IFERROR(__xludf.DUMMYFUNCTION("""COMPUTED_VALUE"""),"Corrugation")</f>
        <v>Corrugation</v>
      </c>
    </row>
    <row r="514">
      <c r="A514" s="73"/>
      <c r="B514" s="73" t="str">
        <f>IFERROR(__xludf.DUMMYFUNCTION("""COMPUTED_VALUE"""),"Fratelli")</f>
        <v>Fratelli</v>
      </c>
      <c r="C514" s="73" t="str">
        <f>IFERROR(__xludf.DUMMYFUNCTION("""COMPUTED_VALUE"""),"Corrugation")</f>
        <v>Corrugation</v>
      </c>
      <c r="D514" s="73" t="str">
        <f>IFERROR(__xludf.DUMMYFUNCTION("""COMPUTED_VALUE"""),"400*297*195 mm")</f>
        <v>400*297*195 mm</v>
      </c>
      <c r="E514" s="77">
        <f>IFERROR(__xludf.DUMMYFUNCTION("""COMPUTED_VALUE"""),0.5)</f>
        <v>0.5</v>
      </c>
      <c r="F514" s="77">
        <f>IFERROR(__xludf.DUMMYFUNCTION("""COMPUTED_VALUE"""),2029.0)</f>
        <v>2029</v>
      </c>
      <c r="G514" s="77">
        <f>IFERROR(__xludf.DUMMYFUNCTION("""COMPUTED_VALUE"""),20.75)</f>
        <v>20.75</v>
      </c>
      <c r="H514" s="77">
        <f>IFERROR(__xludf.DUMMYFUNCTION("""COMPUTED_VALUE"""),31.5)</f>
        <v>31.5</v>
      </c>
      <c r="I514" s="77">
        <f>IFERROR(__xludf.DUMMYFUNCTION("""COMPUTED_VALUE"""),100.0)</f>
        <v>100</v>
      </c>
      <c r="J514" s="73"/>
      <c r="K514" s="73"/>
      <c r="L514" s="73"/>
      <c r="M514" s="77"/>
      <c r="N514" s="77">
        <f>IFERROR(__xludf.DUMMYFUNCTION("""COMPUTED_VALUE"""),1.0)</f>
        <v>1</v>
      </c>
      <c r="O514" s="49"/>
      <c r="P514" s="49" t="str">
        <f>IFERROR(__xludf.DUMMYFUNCTION("""COMPUTED_VALUE"""),"Offset")</f>
        <v>Offset</v>
      </c>
      <c r="Q514" s="49" t="str">
        <f>IFERROR(__xludf.DUMMYFUNCTION("""COMPUTED_VALUE"""),"Packaging")</f>
        <v>Packaging</v>
      </c>
      <c r="R514" s="49" t="str">
        <f>IFERROR(__xludf.DUMMYFUNCTION("""COMPUTED_VALUE"""),"Fratelli")</f>
        <v>Fratelli</v>
      </c>
    </row>
    <row r="515">
      <c r="A515" s="156" t="str">
        <f>IFERROR(__xludf.DUMMYFUNCTION("""COMPUTED_VALUE"""),"https://drive.google.com/open?id=1DxVAylVii5WQEZTzTXptLDc2E8LAV2oB&amp;authuser=jay.agg%40gmail.com&amp;usp=drive_fs")</f>
        <v>https://drive.google.com/open?id=1DxVAylVii5WQEZTzTXptLDc2E8LAV2oB&amp;authuser=jay.agg%40gmail.com&amp;usp=drive_fs</v>
      </c>
      <c r="B515" s="73" t="str">
        <f>IFERROR(__xludf.DUMMYFUNCTION("""COMPUTED_VALUE"""),"Shoe")</f>
        <v>Shoe</v>
      </c>
      <c r="C515" s="73" t="str">
        <f>IFERROR(__xludf.DUMMYFUNCTION("""COMPUTED_VALUE"""),"Louis")</f>
        <v>Louis</v>
      </c>
      <c r="D515" s="73" t="str">
        <f>IFERROR(__xludf.DUMMYFUNCTION("""COMPUTED_VALUE"""),"13*10*4.5 inch | 335*250*115 mm | 34*25")</f>
        <v>13*10*4.5 inch | 335*250*115 mm | 34*25</v>
      </c>
      <c r="E515" s="77">
        <f>IFERROR(__xludf.DUMMYFUNCTION("""COMPUTED_VALUE"""),1.0)</f>
        <v>1</v>
      </c>
      <c r="F515" s="77">
        <f>IFERROR(__xludf.DUMMYFUNCTION("""COMPUTED_VALUE"""),2840.0)</f>
        <v>2840</v>
      </c>
      <c r="G515" s="77">
        <f>IFERROR(__xludf.DUMMYFUNCTION("""COMPUTED_VALUE"""),32.0)</f>
        <v>32</v>
      </c>
      <c r="H515" s="77">
        <f>IFERROR(__xludf.DUMMYFUNCTION("""COMPUTED_VALUE"""),33.0)</f>
        <v>33</v>
      </c>
      <c r="I515" s="77">
        <f>IFERROR(__xludf.DUMMYFUNCTION("""COMPUTED_VALUE"""),100.0)</f>
        <v>100</v>
      </c>
      <c r="J515" s="73"/>
      <c r="K515" s="73"/>
      <c r="L515" s="73"/>
      <c r="M515" s="77"/>
      <c r="N515" s="77">
        <f>IFERROR(__xludf.DUMMYFUNCTION("""COMPUTED_VALUE"""),1.0)</f>
        <v>1</v>
      </c>
      <c r="O515" s="49"/>
      <c r="P515" s="49" t="str">
        <f>IFERROR(__xludf.DUMMYFUNCTION("""COMPUTED_VALUE"""),"Offset")</f>
        <v>Offset</v>
      </c>
      <c r="Q515" s="49" t="str">
        <f>IFERROR(__xludf.DUMMYFUNCTION("""COMPUTED_VALUE"""),"Packaging")</f>
        <v>Packaging</v>
      </c>
      <c r="R515" s="49" t="str">
        <f>IFERROR(__xludf.DUMMYFUNCTION("""COMPUTED_VALUE"""),"Shoe")</f>
        <v>Shoe</v>
      </c>
    </row>
    <row r="516">
      <c r="A516" s="156" t="str">
        <f>IFERROR(__xludf.DUMMYFUNCTION("""COMPUTED_VALUE"""),"https://drive.google.com/open?id=1DtuXoqiYiUUA24Fh4yDyphxxCZZPSPTB&amp;authuser=jay.agg%40gmail.com&amp;usp=drive_fs")</f>
        <v>https://drive.google.com/open?id=1DtuXoqiYiUUA24Fh4yDyphxxCZZPSPTB&amp;authuser=jay.agg%40gmail.com&amp;usp=drive_fs</v>
      </c>
      <c r="B516" s="73" t="str">
        <f>IFERROR(__xludf.DUMMYFUNCTION("""COMPUTED_VALUE"""),"Shoe")</f>
        <v>Shoe</v>
      </c>
      <c r="C516" s="73" t="str">
        <f>IFERROR(__xludf.DUMMYFUNCTION("""COMPUTED_VALUE"""),"Louis")</f>
        <v>Louis</v>
      </c>
      <c r="D516" s="73" t="str">
        <f>IFERROR(__xludf.DUMMYFUNCTION("""COMPUTED_VALUE"""),"13*8.7*4.2 inch | 330*220*108 mm | 24*30")</f>
        <v>13*8.7*4.2 inch | 330*220*108 mm | 24*30</v>
      </c>
      <c r="E516" s="77">
        <f>IFERROR(__xludf.DUMMYFUNCTION("""COMPUTED_VALUE"""),1.0)</f>
        <v>1</v>
      </c>
      <c r="F516" s="77">
        <f>IFERROR(__xludf.DUMMYFUNCTION("""COMPUTED_VALUE"""),2840.0)</f>
        <v>2840</v>
      </c>
      <c r="G516" s="77">
        <f>IFERROR(__xludf.DUMMYFUNCTION("""COMPUTED_VALUE"""),24.0)</f>
        <v>24</v>
      </c>
      <c r="H516" s="77">
        <f>IFERROR(__xludf.DUMMYFUNCTION("""COMPUTED_VALUE"""),30.0)</f>
        <v>30</v>
      </c>
      <c r="I516" s="77">
        <f>IFERROR(__xludf.DUMMYFUNCTION("""COMPUTED_VALUE"""),100.0)</f>
        <v>100</v>
      </c>
      <c r="J516" s="73"/>
      <c r="K516" s="73"/>
      <c r="L516" s="73"/>
      <c r="M516" s="77">
        <f>IFERROR(__xludf.DUMMYFUNCTION("""COMPUTED_VALUE"""),0.1)</f>
        <v>0.1</v>
      </c>
      <c r="N516" s="77">
        <f>IFERROR(__xludf.DUMMYFUNCTION("""COMPUTED_VALUE"""),1.0)</f>
        <v>1</v>
      </c>
      <c r="O516" s="49"/>
      <c r="P516" s="49" t="str">
        <f>IFERROR(__xludf.DUMMYFUNCTION("""COMPUTED_VALUE"""),"Offset")</f>
        <v>Offset</v>
      </c>
      <c r="Q516" s="49" t="str">
        <f>IFERROR(__xludf.DUMMYFUNCTION("""COMPUTED_VALUE"""),"Packaging")</f>
        <v>Packaging</v>
      </c>
      <c r="R516" s="49" t="str">
        <f>IFERROR(__xludf.DUMMYFUNCTION("""COMPUTED_VALUE"""),"Shoe")</f>
        <v>Shoe</v>
      </c>
    </row>
    <row r="517">
      <c r="A517" s="156" t="str">
        <f>IFERROR(__xludf.DUMMYFUNCTION("""COMPUTED_VALUE"""),"https://drive.google.com/open?id=10j6xjh1ydxV5pa9CqvseL1zjL3on8rK_&amp;authuser=jay.agg%40gmail.com&amp;usp=drive_fs")</f>
        <v>https://drive.google.com/open?id=10j6xjh1ydxV5pa9CqvseL1zjL3on8rK_&amp;authuser=jay.agg%40gmail.com&amp;usp=drive_fs</v>
      </c>
      <c r="B517" s="73" t="str">
        <f>IFERROR(__xludf.DUMMYFUNCTION("""COMPUTED_VALUE"""),"Boult")</f>
        <v>Boult</v>
      </c>
      <c r="C517" s="73" t="str">
        <f>IFERROR(__xludf.DUMMYFUNCTION("""COMPUTED_VALUE"""),"NeckBand")</f>
        <v>NeckBand</v>
      </c>
      <c r="D517" s="73" t="str">
        <f>IFERROR(__xludf.DUMMYFUNCTION("""COMPUTED_VALUE"""),"220*170*60 mm | 8.6*6.7*3.3 inch | 20*32")</f>
        <v>220*170*60 mm | 8.6*6.7*3.3 inch | 20*32</v>
      </c>
      <c r="E517" s="77">
        <f>IFERROR(__xludf.DUMMYFUNCTION("""COMPUTED_VALUE"""),2.0)</f>
        <v>2</v>
      </c>
      <c r="F517" s="77">
        <f>IFERROR(__xludf.DUMMYFUNCTION("""COMPUTED_VALUE"""),2840.0)</f>
        <v>2840</v>
      </c>
      <c r="G517" s="77">
        <f>IFERROR(__xludf.DUMMYFUNCTION("""COMPUTED_VALUE"""),32.0)</f>
        <v>32</v>
      </c>
      <c r="H517" s="77">
        <f>IFERROR(__xludf.DUMMYFUNCTION("""COMPUTED_VALUE"""),19.0)</f>
        <v>19</v>
      </c>
      <c r="I517" s="77">
        <f>IFERROR(__xludf.DUMMYFUNCTION("""COMPUTED_VALUE"""),100.0)</f>
        <v>100</v>
      </c>
      <c r="J517" s="73"/>
      <c r="K517" s="73"/>
      <c r="L517" s="73"/>
      <c r="M517" s="77"/>
      <c r="N517" s="77">
        <f>IFERROR(__xludf.DUMMYFUNCTION("""COMPUTED_VALUE"""),1.0)</f>
        <v>1</v>
      </c>
      <c r="O517" s="49"/>
      <c r="P517" s="49" t="str">
        <f>IFERROR(__xludf.DUMMYFUNCTION("""COMPUTED_VALUE"""),"Offset")</f>
        <v>Offset</v>
      </c>
      <c r="Q517" s="49" t="str">
        <f>IFERROR(__xludf.DUMMYFUNCTION("""COMPUTED_VALUE"""),"Packaging")</f>
        <v>Packaging</v>
      </c>
      <c r="R517" s="49" t="str">
        <f>IFERROR(__xludf.DUMMYFUNCTION("""COMPUTED_VALUE"""),"Boult")</f>
        <v>Boult</v>
      </c>
    </row>
    <row r="518">
      <c r="A518" s="156" t="str">
        <f>IFERROR(__xludf.DUMMYFUNCTION("""COMPUTED_VALUE"""),"https://drive.google.com/open?id=10jDX0wCNe3WUqom3cmeM9HV46oTS7MDC&amp;authuser=jay.agg%40gmail.com&amp;usp=drive_fs")</f>
        <v>https://drive.google.com/open?id=10jDX0wCNe3WUqom3cmeM9HV46oTS7MDC&amp;authuser=jay.agg%40gmail.com&amp;usp=drive_fs</v>
      </c>
      <c r="B518" s="73" t="str">
        <f>IFERROR(__xludf.DUMMYFUNCTION("""COMPUTED_VALUE"""),"Boult")</f>
        <v>Boult</v>
      </c>
      <c r="C518" s="73" t="str">
        <f>IFERROR(__xludf.DUMMYFUNCTION("""COMPUTED_VALUE"""),"TWC")</f>
        <v>TWC</v>
      </c>
      <c r="D518" s="73" t="str">
        <f>IFERROR(__xludf.DUMMYFUNCTION("""COMPUTED_VALUE"""),"245*240*120 mm | 9.6*9.5*4.8 inch | 30*40")</f>
        <v>245*240*120 mm | 9.6*9.5*4.8 inch | 30*40</v>
      </c>
      <c r="E518" s="77">
        <f>IFERROR(__xludf.DUMMYFUNCTION("""COMPUTED_VALUE"""),2.0)</f>
        <v>2</v>
      </c>
      <c r="F518" s="77">
        <f>IFERROR(__xludf.DUMMYFUNCTION("""COMPUTED_VALUE"""),2840.0)</f>
        <v>2840</v>
      </c>
      <c r="G518" s="77">
        <f>IFERROR(__xludf.DUMMYFUNCTION("""COMPUTED_VALUE"""),30.0)</f>
        <v>30</v>
      </c>
      <c r="H518" s="77">
        <f>IFERROR(__xludf.DUMMYFUNCTION("""COMPUTED_VALUE"""),40.0)</f>
        <v>40</v>
      </c>
      <c r="I518" s="77">
        <f>IFERROR(__xludf.DUMMYFUNCTION("""COMPUTED_VALUE"""),100.0)</f>
        <v>100</v>
      </c>
      <c r="J518" s="73"/>
      <c r="K518" s="73"/>
      <c r="L518" s="73"/>
      <c r="M518" s="77"/>
      <c r="N518" s="77">
        <f>IFERROR(__xludf.DUMMYFUNCTION("""COMPUTED_VALUE"""),1.0)</f>
        <v>1</v>
      </c>
      <c r="O518" s="49"/>
      <c r="P518" s="49" t="str">
        <f>IFERROR(__xludf.DUMMYFUNCTION("""COMPUTED_VALUE"""),"Offset")</f>
        <v>Offset</v>
      </c>
      <c r="Q518" s="49" t="str">
        <f>IFERROR(__xludf.DUMMYFUNCTION("""COMPUTED_VALUE"""),"Packaging")</f>
        <v>Packaging</v>
      </c>
      <c r="R518" s="49" t="str">
        <f>IFERROR(__xludf.DUMMYFUNCTION("""COMPUTED_VALUE"""),"Boult")</f>
        <v>Boult</v>
      </c>
    </row>
    <row r="519">
      <c r="A519" s="156" t="str">
        <f>IFERROR(__xludf.DUMMYFUNCTION("""COMPUTED_VALUE"""),"https://drive.google.com/open?id=10jMEkoHOWS13dKjgCUqa-FSKhE6WCYcC&amp;authuser=jay.agg%40gmail.com&amp;usp=drive_fs")</f>
        <v>https://drive.google.com/open?id=10jMEkoHOWS13dKjgCUqa-FSKhE6WCYcC&amp;authuser=jay.agg%40gmail.com&amp;usp=drive_fs</v>
      </c>
      <c r="B519" s="73" t="str">
        <f>IFERROR(__xludf.DUMMYFUNCTION("""COMPUTED_VALUE"""),"Boult")</f>
        <v>Boult</v>
      </c>
      <c r="C519" s="73" t="str">
        <f>IFERROR(__xludf.DUMMYFUNCTION("""COMPUTED_VALUE"""),"Head Phone")</f>
        <v>Head Phone</v>
      </c>
      <c r="D519" s="73" t="str">
        <f>IFERROR(__xludf.DUMMYFUNCTION("""COMPUTED_VALUE"""),"120*120*65 mm | 4.7*4.7*2.6 inch | 22*20")</f>
        <v>120*120*65 mm | 4.7*4.7*2.6 inch | 22*20</v>
      </c>
      <c r="E519" s="77">
        <f>IFERROR(__xludf.DUMMYFUNCTION("""COMPUTED_VALUE"""),3.0)</f>
        <v>3</v>
      </c>
      <c r="F519" s="77">
        <f>IFERROR(__xludf.DUMMYFUNCTION("""COMPUTED_VALUE"""),2029.0)</f>
        <v>2029</v>
      </c>
      <c r="G519" s="77">
        <f>IFERROR(__xludf.DUMMYFUNCTION("""COMPUTED_VALUE"""),22.0)</f>
        <v>22</v>
      </c>
      <c r="H519" s="77">
        <f>IFERROR(__xludf.DUMMYFUNCTION("""COMPUTED_VALUE"""),20.0)</f>
        <v>20</v>
      </c>
      <c r="I519" s="77">
        <f>IFERROR(__xludf.DUMMYFUNCTION("""COMPUTED_VALUE"""),100.0)</f>
        <v>100</v>
      </c>
      <c r="J519" s="73"/>
      <c r="K519" s="73"/>
      <c r="L519" s="73"/>
      <c r="M519" s="77"/>
      <c r="N519" s="77">
        <f>IFERROR(__xludf.DUMMYFUNCTION("""COMPUTED_VALUE"""),1.0)</f>
        <v>1</v>
      </c>
      <c r="O519" s="49"/>
      <c r="P519" s="49" t="str">
        <f>IFERROR(__xludf.DUMMYFUNCTION("""COMPUTED_VALUE"""),"Offset")</f>
        <v>Offset</v>
      </c>
      <c r="Q519" s="49" t="str">
        <f>IFERROR(__xludf.DUMMYFUNCTION("""COMPUTED_VALUE"""),"Packaging")</f>
        <v>Packaging</v>
      </c>
      <c r="R519" s="49" t="str">
        <f>IFERROR(__xludf.DUMMYFUNCTION("""COMPUTED_VALUE"""),"Boult")</f>
        <v>Boult</v>
      </c>
    </row>
    <row r="520">
      <c r="A520" s="156" t="str">
        <f>IFERROR(__xludf.DUMMYFUNCTION("""COMPUTED_VALUE"""),"https://drive.google.com/open?id=10w3-pbzyMt2YnU-eKJvW9iNwN2XwGtmy&amp;authuser=jay.agg%40gmail.com&amp;usp=drive_fs")</f>
        <v>https://drive.google.com/open?id=10w3-pbzyMt2YnU-eKJvW9iNwN2XwGtmy&amp;authuser=jay.agg%40gmail.com&amp;usp=drive_fs</v>
      </c>
      <c r="B520" s="73" t="str">
        <f>IFERROR(__xludf.DUMMYFUNCTION("""COMPUTED_VALUE"""),"Shoe")</f>
        <v>Shoe</v>
      </c>
      <c r="C520" s="73" t="str">
        <f>IFERROR(__xludf.DUMMYFUNCTION("""COMPUTED_VALUE"""),"Mutaqinoti")</f>
        <v>Mutaqinoti</v>
      </c>
      <c r="D520" s="73" t="str">
        <f>IFERROR(__xludf.DUMMYFUNCTION("""COMPUTED_VALUE"""),"325*185*108 mm | 12.75*7.3*4.2 inch | 22*28")</f>
        <v>325*185*108 mm | 12.75*7.3*4.2 inch | 22*28</v>
      </c>
      <c r="E520" s="77">
        <f>IFERROR(__xludf.DUMMYFUNCTION("""COMPUTED_VALUE"""),1.0)</f>
        <v>1</v>
      </c>
      <c r="F520" s="77">
        <f>IFERROR(__xludf.DUMMYFUNCTION("""COMPUTED_VALUE"""),2029.0)</f>
        <v>2029</v>
      </c>
      <c r="G520" s="77">
        <f>IFERROR(__xludf.DUMMYFUNCTION("""COMPUTED_VALUE"""),22.0)</f>
        <v>22</v>
      </c>
      <c r="H520" s="77">
        <f>IFERROR(__xludf.DUMMYFUNCTION("""COMPUTED_VALUE"""),28.0)</f>
        <v>28</v>
      </c>
      <c r="I520" s="77">
        <f>IFERROR(__xludf.DUMMYFUNCTION("""COMPUTED_VALUE"""),100.0)</f>
        <v>100</v>
      </c>
      <c r="J520" s="73"/>
      <c r="K520" s="73"/>
      <c r="L520" s="73"/>
      <c r="M520" s="77"/>
      <c r="N520" s="77">
        <f>IFERROR(__xludf.DUMMYFUNCTION("""COMPUTED_VALUE"""),1.0)</f>
        <v>1</v>
      </c>
      <c r="O520" s="49"/>
      <c r="P520" s="49" t="str">
        <f>IFERROR(__xludf.DUMMYFUNCTION("""COMPUTED_VALUE"""),"Offset")</f>
        <v>Offset</v>
      </c>
      <c r="Q520" s="49" t="str">
        <f>IFERROR(__xludf.DUMMYFUNCTION("""COMPUTED_VALUE"""),"Packaging")</f>
        <v>Packaging</v>
      </c>
      <c r="R520" s="49" t="str">
        <f>IFERROR(__xludf.DUMMYFUNCTION("""COMPUTED_VALUE"""),"Shoe")</f>
        <v>Shoe</v>
      </c>
    </row>
    <row r="521">
      <c r="A521" s="156" t="str">
        <f>IFERROR(__xludf.DUMMYFUNCTION("""COMPUTED_VALUE"""),"https://drive.google.com/open?id=1Lhm0h94LbQvLjDW9rVbGbd97L5AjlaVS&amp;authuser=jay.agg%40gmail.com&amp;usp=drive_fs")</f>
        <v>https://drive.google.com/open?id=1Lhm0h94LbQvLjDW9rVbGbd97L5AjlaVS&amp;authuser=jay.agg%40gmail.com&amp;usp=drive_fs</v>
      </c>
      <c r="B521" s="73" t="str">
        <f>IFERROR(__xludf.DUMMYFUNCTION("""COMPUTED_VALUE"""),"Shipper")</f>
        <v>Shipper</v>
      </c>
      <c r="C521" s="73" t="str">
        <f>IFERROR(__xludf.DUMMYFUNCTION("""COMPUTED_VALUE"""),"Misc")</f>
        <v>Misc</v>
      </c>
      <c r="D521" s="73" t="str">
        <f>IFERROR(__xludf.DUMMYFUNCTION("""COMPUTED_VALUE"""),"165*165*52mm | 6.5*6.5*2 inch | 28*19")</f>
        <v>165*165*52mm | 6.5*6.5*2 inch | 28*19</v>
      </c>
      <c r="E521" s="77">
        <f>IFERROR(__xludf.DUMMYFUNCTION("""COMPUTED_VALUE"""),2.0)</f>
        <v>2</v>
      </c>
      <c r="F521" s="77">
        <f>IFERROR(__xludf.DUMMYFUNCTION("""COMPUTED_VALUE"""),2029.0)</f>
        <v>2029</v>
      </c>
      <c r="G521" s="77">
        <f>IFERROR(__xludf.DUMMYFUNCTION("""COMPUTED_VALUE"""),28.0)</f>
        <v>28</v>
      </c>
      <c r="H521" s="77">
        <f>IFERROR(__xludf.DUMMYFUNCTION("""COMPUTED_VALUE"""),19.0)</f>
        <v>19</v>
      </c>
      <c r="I521" s="77">
        <f>IFERROR(__xludf.DUMMYFUNCTION("""COMPUTED_VALUE"""),100.0)</f>
        <v>100</v>
      </c>
      <c r="J521" s="73"/>
      <c r="K521" s="73"/>
      <c r="L521" s="73"/>
      <c r="M521" s="77"/>
      <c r="N521" s="77">
        <f>IFERROR(__xludf.DUMMYFUNCTION("""COMPUTED_VALUE"""),1.0)</f>
        <v>1</v>
      </c>
      <c r="O521" s="49"/>
      <c r="P521" s="49" t="str">
        <f>IFERROR(__xludf.DUMMYFUNCTION("""COMPUTED_VALUE"""),"Offset")</f>
        <v>Offset</v>
      </c>
      <c r="Q521" s="49" t="str">
        <f>IFERROR(__xludf.DUMMYFUNCTION("""COMPUTED_VALUE"""),"Packaging")</f>
        <v>Packaging</v>
      </c>
      <c r="R521" s="49" t="str">
        <f>IFERROR(__xludf.DUMMYFUNCTION("""COMPUTED_VALUE"""),"Shipper")</f>
        <v>Shipper</v>
      </c>
    </row>
    <row r="522">
      <c r="A522" s="156" t="str">
        <f>IFERROR(__xludf.DUMMYFUNCTION("""COMPUTED_VALUE"""),"https://drive.google.com/open?id=1LiDZZ9bvAoIdhWtdQQG_DnbcwIUuuSlK&amp;authuser=jay.agg%40gmail.com&amp;usp=drive_fs")</f>
        <v>https://drive.google.com/open?id=1LiDZZ9bvAoIdhWtdQQG_DnbcwIUuuSlK&amp;authuser=jay.agg%40gmail.com&amp;usp=drive_fs</v>
      </c>
      <c r="B522" s="73" t="str">
        <f>IFERROR(__xludf.DUMMYFUNCTION("""COMPUTED_VALUE"""),"Shipper")</f>
        <v>Shipper</v>
      </c>
      <c r="C522" s="73" t="str">
        <f>IFERROR(__xludf.DUMMYFUNCTION("""COMPUTED_VALUE"""),"Misc")</f>
        <v>Misc</v>
      </c>
      <c r="D522" s="73" t="str">
        <f>IFERROR(__xludf.DUMMYFUNCTION("""COMPUTED_VALUE"""),"165*115*52 mm | 6.5*4.5*2 inch | 28*15")</f>
        <v>165*115*52 mm | 6.5*4.5*2 inch | 28*15</v>
      </c>
      <c r="E522" s="77">
        <f>IFERROR(__xludf.DUMMYFUNCTION("""COMPUTED_VALUE"""),2.0)</f>
        <v>2</v>
      </c>
      <c r="F522" s="77">
        <f>IFERROR(__xludf.DUMMYFUNCTION("""COMPUTED_VALUE"""),2029.0)</f>
        <v>2029</v>
      </c>
      <c r="G522" s="77">
        <f>IFERROR(__xludf.DUMMYFUNCTION("""COMPUTED_VALUE"""),28.0)</f>
        <v>28</v>
      </c>
      <c r="H522" s="77">
        <f>IFERROR(__xludf.DUMMYFUNCTION("""COMPUTED_VALUE"""),15.0)</f>
        <v>15</v>
      </c>
      <c r="I522" s="77">
        <f>IFERROR(__xludf.DUMMYFUNCTION("""COMPUTED_VALUE"""),100.0)</f>
        <v>100</v>
      </c>
      <c r="J522" s="73"/>
      <c r="K522" s="73"/>
      <c r="L522" s="73"/>
      <c r="M522" s="77"/>
      <c r="N522" s="77">
        <f>IFERROR(__xludf.DUMMYFUNCTION("""COMPUTED_VALUE"""),1.0)</f>
        <v>1</v>
      </c>
      <c r="O522" s="49"/>
      <c r="P522" s="49" t="str">
        <f>IFERROR(__xludf.DUMMYFUNCTION("""COMPUTED_VALUE"""),"Offset")</f>
        <v>Offset</v>
      </c>
      <c r="Q522" s="49" t="str">
        <f>IFERROR(__xludf.DUMMYFUNCTION("""COMPUTED_VALUE"""),"Packaging")</f>
        <v>Packaging</v>
      </c>
      <c r="R522" s="49" t="str">
        <f>IFERROR(__xludf.DUMMYFUNCTION("""COMPUTED_VALUE"""),"Shipper")</f>
        <v>Shipper</v>
      </c>
    </row>
    <row r="523">
      <c r="A523" s="156" t="str">
        <f>IFERROR(__xludf.DUMMYFUNCTION("""COMPUTED_VALUE"""),"https://drive.google.com/open?id=1LlbM49qDP0bejhkgBN2720k3_umhVAjY&amp;authuser=jay.agg%40gmail.com&amp;usp=drive_fs")</f>
        <v>https://drive.google.com/open?id=1LlbM49qDP0bejhkgBN2720k3_umhVAjY&amp;authuser=jay.agg%40gmail.com&amp;usp=drive_fs</v>
      </c>
      <c r="B523" s="73" t="str">
        <f>IFERROR(__xludf.DUMMYFUNCTION("""COMPUTED_VALUE"""),"Shipper")</f>
        <v>Shipper</v>
      </c>
      <c r="C523" s="73" t="str">
        <f>IFERROR(__xludf.DUMMYFUNCTION("""COMPUTED_VALUE"""),"Misc")</f>
        <v>Misc</v>
      </c>
      <c r="D523" s="73" t="str">
        <f>IFERROR(__xludf.DUMMYFUNCTION("""COMPUTED_VALUE"""),"216*165*52 mm | 8.5*6.5*2 inch | 32*20")</f>
        <v>216*165*52 mm | 8.5*6.5*2 inch | 32*20</v>
      </c>
      <c r="E523" s="77">
        <f>IFERROR(__xludf.DUMMYFUNCTION("""COMPUTED_VALUE"""),2.0)</f>
        <v>2</v>
      </c>
      <c r="F523" s="77">
        <f>IFERROR(__xludf.DUMMYFUNCTION("""COMPUTED_VALUE"""),2029.0)</f>
        <v>2029</v>
      </c>
      <c r="G523" s="77">
        <f>IFERROR(__xludf.DUMMYFUNCTION("""COMPUTED_VALUE"""),32.0)</f>
        <v>32</v>
      </c>
      <c r="H523" s="77">
        <f>IFERROR(__xludf.DUMMYFUNCTION("""COMPUTED_VALUE"""),20.0)</f>
        <v>20</v>
      </c>
      <c r="I523" s="77">
        <f>IFERROR(__xludf.DUMMYFUNCTION("""COMPUTED_VALUE"""),100.0)</f>
        <v>100</v>
      </c>
      <c r="J523" s="73"/>
      <c r="K523" s="73"/>
      <c r="L523" s="73"/>
      <c r="M523" s="77"/>
      <c r="N523" s="77">
        <f>IFERROR(__xludf.DUMMYFUNCTION("""COMPUTED_VALUE"""),1.0)</f>
        <v>1</v>
      </c>
      <c r="O523" s="49"/>
      <c r="P523" s="49" t="str">
        <f>IFERROR(__xludf.DUMMYFUNCTION("""COMPUTED_VALUE"""),"Offset")</f>
        <v>Offset</v>
      </c>
      <c r="Q523" s="49" t="str">
        <f>IFERROR(__xludf.DUMMYFUNCTION("""COMPUTED_VALUE"""),"Packaging")</f>
        <v>Packaging</v>
      </c>
      <c r="R523" s="49" t="str">
        <f>IFERROR(__xludf.DUMMYFUNCTION("""COMPUTED_VALUE"""),"Shipper")</f>
        <v>Shipper</v>
      </c>
    </row>
    <row r="524">
      <c r="A524" s="156" t="str">
        <f>IFERROR(__xludf.DUMMYFUNCTION("""COMPUTED_VALUE"""),"https://drive.google.com/open?id=10zL70vxYTlijm50vQq-fBS5vospSQr8R&amp;authuser=jay.agg%40gmail.com&amp;usp=drive_fs")</f>
        <v>https://drive.google.com/open?id=10zL70vxYTlijm50vQq-fBS5vospSQr8R&amp;authuser=jay.agg%40gmail.com&amp;usp=drive_fs</v>
      </c>
      <c r="B524" s="73" t="str">
        <f>IFERROR(__xludf.DUMMYFUNCTION("""COMPUTED_VALUE"""),"Shipper")</f>
        <v>Shipper</v>
      </c>
      <c r="C524" s="73" t="str">
        <f>IFERROR(__xludf.DUMMYFUNCTION("""COMPUTED_VALUE"""),"Misc")</f>
        <v>Misc</v>
      </c>
      <c r="D524" s="73" t="str">
        <f>IFERROR(__xludf.DUMMYFUNCTION("""COMPUTED_VALUE"""),"254*178*91 mm | 10*7*3.5 inch | 26*25")</f>
        <v>254*178*91 mm | 10*7*3.5 inch | 26*25</v>
      </c>
      <c r="E524" s="77">
        <f>IFERROR(__xludf.DUMMYFUNCTION("""COMPUTED_VALUE"""),1.0)</f>
        <v>1</v>
      </c>
      <c r="F524" s="77">
        <f>IFERROR(__xludf.DUMMYFUNCTION("""COMPUTED_VALUE"""),2840.0)</f>
        <v>2840</v>
      </c>
      <c r="G524" s="77">
        <f>IFERROR(__xludf.DUMMYFUNCTION("""COMPUTED_VALUE"""),26.0)</f>
        <v>26</v>
      </c>
      <c r="H524" s="77">
        <f>IFERROR(__xludf.DUMMYFUNCTION("""COMPUTED_VALUE"""),25.0)</f>
        <v>25</v>
      </c>
      <c r="I524" s="77">
        <f>IFERROR(__xludf.DUMMYFUNCTION("""COMPUTED_VALUE"""),100.0)</f>
        <v>100</v>
      </c>
      <c r="J524" s="73"/>
      <c r="K524" s="73"/>
      <c r="L524" s="73"/>
      <c r="M524" s="77"/>
      <c r="N524" s="77">
        <f>IFERROR(__xludf.DUMMYFUNCTION("""COMPUTED_VALUE"""),1.0)</f>
        <v>1</v>
      </c>
      <c r="O524" s="49"/>
      <c r="P524" s="49" t="str">
        <f>IFERROR(__xludf.DUMMYFUNCTION("""COMPUTED_VALUE"""),"Offset")</f>
        <v>Offset</v>
      </c>
      <c r="Q524" s="49" t="str">
        <f>IFERROR(__xludf.DUMMYFUNCTION("""COMPUTED_VALUE"""),"Packaging")</f>
        <v>Packaging</v>
      </c>
      <c r="R524" s="49" t="str">
        <f>IFERROR(__xludf.DUMMYFUNCTION("""COMPUTED_VALUE"""),"Shipper")</f>
        <v>Shipper</v>
      </c>
    </row>
    <row r="525">
      <c r="A525" s="156" t="str">
        <f>IFERROR(__xludf.DUMMYFUNCTION("""COMPUTED_VALUE"""),"https://drive.google.com/open?id=1PbKtxnYoLhuHU_b7oiRh6LspLV5PMjeJ&amp;authuser=jay.agg%40gmail.com&amp;usp=drive_fs")</f>
        <v>https://drive.google.com/open?id=1PbKtxnYoLhuHU_b7oiRh6LspLV5PMjeJ&amp;authuser=jay.agg%40gmail.com&amp;usp=drive_fs</v>
      </c>
      <c r="B525" s="73" t="str">
        <f>IFERROR(__xludf.DUMMYFUNCTION("""COMPUTED_VALUE"""),"Shipper")</f>
        <v>Shipper</v>
      </c>
      <c r="C525" s="73" t="str">
        <f>IFERROR(__xludf.DUMMYFUNCTION("""COMPUTED_VALUE"""),"Misc")</f>
        <v>Misc</v>
      </c>
      <c r="D525" s="73" t="str">
        <f>IFERROR(__xludf.DUMMYFUNCTION("""COMPUTED_VALUE"""),"356*305*89 mm | 14*12*3.5 inch | 30*35")</f>
        <v>356*305*89 mm | 14*12*3.5 inch | 30*35</v>
      </c>
      <c r="E525" s="77">
        <f>IFERROR(__xludf.DUMMYFUNCTION("""COMPUTED_VALUE"""),1.0)</f>
        <v>1</v>
      </c>
      <c r="F525" s="77">
        <f>IFERROR(__xludf.DUMMYFUNCTION("""COMPUTED_VALUE"""),2840.0)</f>
        <v>2840</v>
      </c>
      <c r="G525" s="77">
        <f>IFERROR(__xludf.DUMMYFUNCTION("""COMPUTED_VALUE"""),30.0)</f>
        <v>30</v>
      </c>
      <c r="H525" s="77">
        <f>IFERROR(__xludf.DUMMYFUNCTION("""COMPUTED_VALUE"""),35.0)</f>
        <v>35</v>
      </c>
      <c r="I525" s="77">
        <f>IFERROR(__xludf.DUMMYFUNCTION("""COMPUTED_VALUE"""),100.0)</f>
        <v>100</v>
      </c>
      <c r="J525" s="73"/>
      <c r="K525" s="73"/>
      <c r="L525" s="73"/>
      <c r="M525" s="77"/>
      <c r="N525" s="77">
        <f>IFERROR(__xludf.DUMMYFUNCTION("""COMPUTED_VALUE"""),1.0)</f>
        <v>1</v>
      </c>
      <c r="O525" s="49"/>
      <c r="P525" s="49" t="str">
        <f>IFERROR(__xludf.DUMMYFUNCTION("""COMPUTED_VALUE"""),"Offset")</f>
        <v>Offset</v>
      </c>
      <c r="Q525" s="49" t="str">
        <f>IFERROR(__xludf.DUMMYFUNCTION("""COMPUTED_VALUE"""),"Packaging")</f>
        <v>Packaging</v>
      </c>
      <c r="R525" s="49" t="str">
        <f>IFERROR(__xludf.DUMMYFUNCTION("""COMPUTED_VALUE"""),"Shipper")</f>
        <v>Shipper</v>
      </c>
    </row>
    <row r="526">
      <c r="A526" s="156" t="str">
        <f>IFERROR(__xludf.DUMMYFUNCTION("""COMPUTED_VALUE"""),"https://drive.google.com/open?id=1PaYrpHnbunE3SfPTYGwR_ef9_SwUI8mU&amp;authuser=jay.agg%40gmail.com&amp;usp=drive_fs")</f>
        <v>https://drive.google.com/open?id=1PaYrpHnbunE3SfPTYGwR_ef9_SwUI8mU&amp;authuser=jay.agg%40gmail.com&amp;usp=drive_fs</v>
      </c>
      <c r="B526" s="73" t="str">
        <f>IFERROR(__xludf.DUMMYFUNCTION("""COMPUTED_VALUE"""),"Shipper")</f>
        <v>Shipper</v>
      </c>
      <c r="C526" s="73" t="str">
        <f>IFERROR(__xludf.DUMMYFUNCTION("""COMPUTED_VALUE"""),"Misc")</f>
        <v>Misc</v>
      </c>
      <c r="D526" s="73" t="str">
        <f>IFERROR(__xludf.DUMMYFUNCTION("""COMPUTED_VALUE"""),"290*208*66 mm | 11.4*8.2*2.6 inch | 24*25")</f>
        <v>290*208*66 mm | 11.4*8.2*2.6 inch | 24*25</v>
      </c>
      <c r="E526" s="77">
        <f>IFERROR(__xludf.DUMMYFUNCTION("""COMPUTED_VALUE"""),1.0)</f>
        <v>1</v>
      </c>
      <c r="F526" s="77">
        <f>IFERROR(__xludf.DUMMYFUNCTION("""COMPUTED_VALUE"""),2840.0)</f>
        <v>2840</v>
      </c>
      <c r="G526" s="77">
        <f>IFERROR(__xludf.DUMMYFUNCTION("""COMPUTED_VALUE"""),24.0)</f>
        <v>24</v>
      </c>
      <c r="H526" s="77">
        <f>IFERROR(__xludf.DUMMYFUNCTION("""COMPUTED_VALUE"""),25.0)</f>
        <v>25</v>
      </c>
      <c r="I526" s="77">
        <f>IFERROR(__xludf.DUMMYFUNCTION("""COMPUTED_VALUE"""),100.0)</f>
        <v>100</v>
      </c>
      <c r="J526" s="73"/>
      <c r="K526" s="73"/>
      <c r="L526" s="73"/>
      <c r="M526" s="77"/>
      <c r="N526" s="77">
        <f>IFERROR(__xludf.DUMMYFUNCTION("""COMPUTED_VALUE"""),1.0)</f>
        <v>1</v>
      </c>
      <c r="O526" s="49"/>
      <c r="P526" s="49" t="str">
        <f>IFERROR(__xludf.DUMMYFUNCTION("""COMPUTED_VALUE"""),"Offset")</f>
        <v>Offset</v>
      </c>
      <c r="Q526" s="49" t="str">
        <f>IFERROR(__xludf.DUMMYFUNCTION("""COMPUTED_VALUE"""),"Packaging")</f>
        <v>Packaging</v>
      </c>
      <c r="R526" s="49" t="str">
        <f>IFERROR(__xludf.DUMMYFUNCTION("""COMPUTED_VALUE"""),"Shipper")</f>
        <v>Shipper</v>
      </c>
    </row>
    <row r="527">
      <c r="A527" s="156" t="str">
        <f>IFERROR(__xludf.DUMMYFUNCTION("""COMPUTED_VALUE"""),"https://drive.google.com/open?id=1PaIhXq6oJWPb-VG23BlXjvPStev6l4QQ&amp;authuser=jay.agg%40gmail.com&amp;usp=drive_fs")</f>
        <v>https://drive.google.com/open?id=1PaIhXq6oJWPb-VG23BlXjvPStev6l4QQ&amp;authuser=jay.agg%40gmail.com&amp;usp=drive_fs</v>
      </c>
      <c r="B527" s="73" t="str">
        <f>IFERROR(__xludf.DUMMYFUNCTION("""COMPUTED_VALUE"""),"Shipper")</f>
        <v>Shipper</v>
      </c>
      <c r="C527" s="73" t="str">
        <f>IFERROR(__xludf.DUMMYFUNCTION("""COMPUTED_VALUE"""),"Misc")</f>
        <v>Misc</v>
      </c>
      <c r="D527" s="73" t="str">
        <f>IFERROR(__xludf.DUMMYFUNCTION("""COMPUTED_VALUE"""),"102*102*52 mm | 4*4*2 inch | 24*14")</f>
        <v>102*102*52 mm | 4*4*2 inch | 24*14</v>
      </c>
      <c r="E527" s="77">
        <f>IFERROR(__xludf.DUMMYFUNCTION("""COMPUTED_VALUE"""),2.0)</f>
        <v>2</v>
      </c>
      <c r="F527" s="77">
        <f>IFERROR(__xludf.DUMMYFUNCTION("""COMPUTED_VALUE"""),1926.0)</f>
        <v>1926</v>
      </c>
      <c r="G527" s="77">
        <f>IFERROR(__xludf.DUMMYFUNCTION("""COMPUTED_VALUE"""),25.0)</f>
        <v>25</v>
      </c>
      <c r="H527" s="77">
        <f>IFERROR(__xludf.DUMMYFUNCTION("""COMPUTED_VALUE"""),15.0)</f>
        <v>15</v>
      </c>
      <c r="I527" s="77">
        <f>IFERROR(__xludf.DUMMYFUNCTION("""COMPUTED_VALUE"""),100.0)</f>
        <v>100</v>
      </c>
      <c r="J527" s="73"/>
      <c r="K527" s="73"/>
      <c r="L527" s="73"/>
      <c r="M527" s="77"/>
      <c r="N527" s="77">
        <f>IFERROR(__xludf.DUMMYFUNCTION("""COMPUTED_VALUE"""),1.0)</f>
        <v>1</v>
      </c>
      <c r="O527" s="49"/>
      <c r="P527" s="49" t="str">
        <f>IFERROR(__xludf.DUMMYFUNCTION("""COMPUTED_VALUE"""),"Offset")</f>
        <v>Offset</v>
      </c>
      <c r="Q527" s="49" t="str">
        <f>IFERROR(__xludf.DUMMYFUNCTION("""COMPUTED_VALUE"""),"Packaging")</f>
        <v>Packaging</v>
      </c>
      <c r="R527" s="49" t="str">
        <f>IFERROR(__xludf.DUMMYFUNCTION("""COMPUTED_VALUE"""),"Shipper")</f>
        <v>Shipper</v>
      </c>
    </row>
    <row r="528">
      <c r="A528" s="156" t="str">
        <f>IFERROR(__xludf.DUMMYFUNCTION("""COMPUTED_VALUE"""),"https://drive.google.com/open?id=1Y8xw7hZxjyNmIHNhN7RFzl8RAUkIjU5H&amp;authuser=jay.agg%40gmail.com&amp;usp=drive_fs")</f>
        <v>https://drive.google.com/open?id=1Y8xw7hZxjyNmIHNhN7RFzl8RAUkIjU5H&amp;authuser=jay.agg%40gmail.com&amp;usp=drive_fs</v>
      </c>
      <c r="B528" s="73" t="str">
        <f>IFERROR(__xludf.DUMMYFUNCTION("""COMPUTED_VALUE"""),"Shoe")</f>
        <v>Shoe</v>
      </c>
      <c r="C528" s="73" t="str">
        <f>IFERROR(__xludf.DUMMYFUNCTION("""COMPUTED_VALUE"""),"Tuff")</f>
        <v>Tuff</v>
      </c>
      <c r="D528" s="73" t="str">
        <f>IFERROR(__xludf.DUMMYFUNCTION("""COMPUTED_VALUE"""),"205*140*80 mm | 8.1*5.6*3.2 inch | 34*22")</f>
        <v>205*140*80 mm | 8.1*5.6*3.2 inch | 34*22</v>
      </c>
      <c r="E528" s="77">
        <f>IFERROR(__xludf.DUMMYFUNCTION("""COMPUTED_VALUE"""),2.0)</f>
        <v>2</v>
      </c>
      <c r="F528" s="77">
        <f>IFERROR(__xludf.DUMMYFUNCTION("""COMPUTED_VALUE"""),2840.0)</f>
        <v>2840</v>
      </c>
      <c r="G528" s="77">
        <f>IFERROR(__xludf.DUMMYFUNCTION("""COMPUTED_VALUE"""),34.0)</f>
        <v>34</v>
      </c>
      <c r="H528" s="77">
        <f>IFERROR(__xludf.DUMMYFUNCTION("""COMPUTED_VALUE"""),22.0)</f>
        <v>22</v>
      </c>
      <c r="I528" s="77">
        <f>IFERROR(__xludf.DUMMYFUNCTION("""COMPUTED_VALUE"""),100.0)</f>
        <v>100</v>
      </c>
      <c r="J528" s="73"/>
      <c r="K528" s="73"/>
      <c r="L528" s="73"/>
      <c r="M528" s="77"/>
      <c r="N528" s="77">
        <f>IFERROR(__xludf.DUMMYFUNCTION("""COMPUTED_VALUE"""),1.0)</f>
        <v>1</v>
      </c>
      <c r="O528" s="49"/>
      <c r="P528" s="49" t="str">
        <f>IFERROR(__xludf.DUMMYFUNCTION("""COMPUTED_VALUE"""),"Offset")</f>
        <v>Offset</v>
      </c>
      <c r="Q528" s="49" t="str">
        <f>IFERROR(__xludf.DUMMYFUNCTION("""COMPUTED_VALUE"""),"Packaging")</f>
        <v>Packaging</v>
      </c>
      <c r="R528" s="49" t="str">
        <f>IFERROR(__xludf.DUMMYFUNCTION("""COMPUTED_VALUE"""),"Shoe")</f>
        <v>Shoe</v>
      </c>
    </row>
    <row r="529">
      <c r="A529" s="156" t="str">
        <f>IFERROR(__xludf.DUMMYFUNCTION("""COMPUTED_VALUE"""),"https://drive.google.com/open?id=11ipbOVTv4bxJEyfmikuCx1OhH5tLRUIB&amp;authuser=jay.agg%40gmail.com&amp;usp=drive_fs")</f>
        <v>https://drive.google.com/open?id=11ipbOVTv4bxJEyfmikuCx1OhH5tLRUIB&amp;authuser=jay.agg%40gmail.com&amp;usp=drive_fs</v>
      </c>
      <c r="B529" s="73" t="str">
        <f>IFERROR(__xludf.DUMMYFUNCTION("""COMPUTED_VALUE"""),"Shipper")</f>
        <v>Shipper</v>
      </c>
      <c r="C529" s="73" t="str">
        <f>IFERROR(__xludf.DUMMYFUNCTION("""COMPUTED_VALUE"""),"Misc")</f>
        <v>Misc</v>
      </c>
      <c r="D529" s="73" t="str">
        <f>IFERROR(__xludf.DUMMYFUNCTION("""COMPUTED_VALUE"""),"210*125*52 mm | 8.5*5*2 inch | 32*16")</f>
        <v>210*125*52 mm | 8.5*5*2 inch | 32*16</v>
      </c>
      <c r="E529" s="77">
        <f>IFERROR(__xludf.DUMMYFUNCTION("""COMPUTED_VALUE"""),2.0)</f>
        <v>2</v>
      </c>
      <c r="F529" s="77">
        <f>IFERROR(__xludf.DUMMYFUNCTION("""COMPUTED_VALUE"""),2840.0)</f>
        <v>2840</v>
      </c>
      <c r="G529" s="77">
        <f>IFERROR(__xludf.DUMMYFUNCTION("""COMPUTED_VALUE"""),32.0)</f>
        <v>32</v>
      </c>
      <c r="H529" s="77">
        <f>IFERROR(__xludf.DUMMYFUNCTION("""COMPUTED_VALUE"""),16.0)</f>
        <v>16</v>
      </c>
      <c r="I529" s="77">
        <f>IFERROR(__xludf.DUMMYFUNCTION("""COMPUTED_VALUE"""),100.0)</f>
        <v>100</v>
      </c>
      <c r="J529" s="73"/>
      <c r="K529" s="73"/>
      <c r="L529" s="73"/>
      <c r="M529" s="77"/>
      <c r="N529" s="77">
        <f>IFERROR(__xludf.DUMMYFUNCTION("""COMPUTED_VALUE"""),1.0)</f>
        <v>1</v>
      </c>
      <c r="O529" s="49"/>
      <c r="P529" s="49" t="str">
        <f>IFERROR(__xludf.DUMMYFUNCTION("""COMPUTED_VALUE"""),"Offset")</f>
        <v>Offset</v>
      </c>
      <c r="Q529" s="49" t="str">
        <f>IFERROR(__xludf.DUMMYFUNCTION("""COMPUTED_VALUE"""),"Packaging")</f>
        <v>Packaging</v>
      </c>
      <c r="R529" s="49" t="str">
        <f>IFERROR(__xludf.DUMMYFUNCTION("""COMPUTED_VALUE"""),"Shipper")</f>
        <v>Shipper</v>
      </c>
    </row>
    <row r="530">
      <c r="A530" s="156" t="str">
        <f>IFERROR(__xludf.DUMMYFUNCTION("""COMPUTED_VALUE"""),"https://drive.google.com/open?id=1Tk1bQysOUgs9ltsmecXqQZvkH8ygXK1P&amp;authuser=jay.agg%40gmail.com&amp;usp=drive_fs")</f>
        <v>https://drive.google.com/open?id=1Tk1bQysOUgs9ltsmecXqQZvkH8ygXK1P&amp;authuser=jay.agg%40gmail.com&amp;usp=drive_fs</v>
      </c>
      <c r="B530" s="73" t="str">
        <f>IFERROR(__xludf.DUMMYFUNCTION("""COMPUTED_VALUE"""),"Shoe")</f>
        <v>Shoe</v>
      </c>
      <c r="C530" s="73" t="str">
        <f>IFERROR(__xludf.DUMMYFUNCTION("""COMPUTED_VALUE"""),"Tuff")</f>
        <v>Tuff</v>
      </c>
      <c r="D530" s="73" t="str">
        <f>IFERROR(__xludf.DUMMYFUNCTION("""COMPUTED_VALUE"""),"265*228*110 mm | 10.5*4.3*8.9 inch | 24*31")</f>
        <v>265*228*110 mm | 10.5*4.3*8.9 inch | 24*31</v>
      </c>
      <c r="E530" s="77">
        <f>IFERROR(__xludf.DUMMYFUNCTION("""COMPUTED_VALUE"""),1.0)</f>
        <v>1</v>
      </c>
      <c r="F530" s="77">
        <f>IFERROR(__xludf.DUMMYFUNCTION("""COMPUTED_VALUE"""),2840.0)</f>
        <v>2840</v>
      </c>
      <c r="G530" s="77">
        <f>IFERROR(__xludf.DUMMYFUNCTION("""COMPUTED_VALUE"""),24.0)</f>
        <v>24</v>
      </c>
      <c r="H530" s="77">
        <f>IFERROR(__xludf.DUMMYFUNCTION("""COMPUTED_VALUE"""),31.0)</f>
        <v>31</v>
      </c>
      <c r="I530" s="77">
        <f>IFERROR(__xludf.DUMMYFUNCTION("""COMPUTED_VALUE"""),100.0)</f>
        <v>100</v>
      </c>
      <c r="J530" s="73"/>
      <c r="K530" s="73"/>
      <c r="L530" s="73"/>
      <c r="M530" s="77"/>
      <c r="N530" s="77">
        <f>IFERROR(__xludf.DUMMYFUNCTION("""COMPUTED_VALUE"""),1.0)</f>
        <v>1</v>
      </c>
      <c r="O530" s="49"/>
      <c r="P530" s="49" t="str">
        <f>IFERROR(__xludf.DUMMYFUNCTION("""COMPUTED_VALUE"""),"Offset")</f>
        <v>Offset</v>
      </c>
      <c r="Q530" s="49" t="str">
        <f>IFERROR(__xludf.DUMMYFUNCTION("""COMPUTED_VALUE"""),"Packaging")</f>
        <v>Packaging</v>
      </c>
      <c r="R530" s="49" t="str">
        <f>IFERROR(__xludf.DUMMYFUNCTION("""COMPUTED_VALUE"""),"Shoe")</f>
        <v>Shoe</v>
      </c>
    </row>
    <row r="531">
      <c r="A531" s="156" t="str">
        <f>IFERROR(__xludf.DUMMYFUNCTION("""COMPUTED_VALUE"""),"https://drive.google.com/open?id=1TvPO_kB9Ofp09WpOZWFsdwKK0qlgM_ES&amp;authuser=jay.agg%40gmail.com&amp;usp=drive_fs")</f>
        <v>https://drive.google.com/open?id=1TvPO_kB9Ofp09WpOZWFsdwKK0qlgM_ES&amp;authuser=jay.agg%40gmail.com&amp;usp=drive_fs</v>
      </c>
      <c r="B531" s="73" t="str">
        <f>IFERROR(__xludf.DUMMYFUNCTION("""COMPUTED_VALUE"""),"Shipper")</f>
        <v>Shipper</v>
      </c>
      <c r="C531" s="73" t="str">
        <f>IFERROR(__xludf.DUMMYFUNCTION("""COMPUTED_VALUE"""),"Cashify")</f>
        <v>Cashify</v>
      </c>
      <c r="D531" s="73" t="str">
        <f>IFERROR(__xludf.DUMMYFUNCTION("""COMPUTED_VALUE"""),"240*104*60 mm | 9.5*4*2.3 inch | 24*40")</f>
        <v>240*104*60 mm | 9.5*4*2.3 inch | 24*40</v>
      </c>
      <c r="E531" s="77">
        <f>IFERROR(__xludf.DUMMYFUNCTION("""COMPUTED_VALUE"""),2.0)</f>
        <v>2</v>
      </c>
      <c r="F531" s="77">
        <f>IFERROR(__xludf.DUMMYFUNCTION("""COMPUTED_VALUE"""),2840.0)</f>
        <v>2840</v>
      </c>
      <c r="G531" s="77">
        <f>IFERROR(__xludf.DUMMYFUNCTION("""COMPUTED_VALUE"""),24.0)</f>
        <v>24</v>
      </c>
      <c r="H531" s="77">
        <f>IFERROR(__xludf.DUMMYFUNCTION("""COMPUTED_VALUE"""),40.0)</f>
        <v>40</v>
      </c>
      <c r="I531" s="77">
        <f>IFERROR(__xludf.DUMMYFUNCTION("""COMPUTED_VALUE"""),100.0)</f>
        <v>100</v>
      </c>
      <c r="J531" s="73"/>
      <c r="K531" s="73"/>
      <c r="L531" s="73"/>
      <c r="M531" s="77"/>
      <c r="N531" s="77">
        <f>IFERROR(__xludf.DUMMYFUNCTION("""COMPUTED_VALUE"""),1.0)</f>
        <v>1</v>
      </c>
      <c r="O531" s="49"/>
      <c r="P531" s="49" t="str">
        <f>IFERROR(__xludf.DUMMYFUNCTION("""COMPUTED_VALUE"""),"Offset")</f>
        <v>Offset</v>
      </c>
      <c r="Q531" s="49" t="str">
        <f>IFERROR(__xludf.DUMMYFUNCTION("""COMPUTED_VALUE"""),"Packaging")</f>
        <v>Packaging</v>
      </c>
      <c r="R531" s="49" t="str">
        <f>IFERROR(__xludf.DUMMYFUNCTION("""COMPUTED_VALUE"""),"Shipper")</f>
        <v>Shipper</v>
      </c>
    </row>
    <row r="532">
      <c r="A532" s="156" t="str">
        <f>IFERROR(__xludf.DUMMYFUNCTION("""COMPUTED_VALUE"""),"https://drive.google.com/open?id=1TvRcIXObKjjXg5p4Duq7lc9x9V24s-Hg&amp;authuser=jay.agg%40gmail.com&amp;usp=drive_fs")</f>
        <v>https://drive.google.com/open?id=1TvRcIXObKjjXg5p4Duq7lc9x9V24s-Hg&amp;authuser=jay.agg%40gmail.com&amp;usp=drive_fs</v>
      </c>
      <c r="B532" s="73" t="str">
        <f>IFERROR(__xludf.DUMMYFUNCTION("""COMPUTED_VALUE"""),"Shipper")</f>
        <v>Shipper</v>
      </c>
      <c r="C532" s="73" t="str">
        <f>IFERROR(__xludf.DUMMYFUNCTION("""COMPUTED_VALUE"""),"Misc")</f>
        <v>Misc</v>
      </c>
      <c r="D532" s="73" t="str">
        <f>IFERROR(__xludf.DUMMYFUNCTION("""COMPUTED_VALUE"""),"254*178*76 mm | 10*7*3 | 22*36")</f>
        <v>254*178*76 mm | 10*7*3 | 22*36</v>
      </c>
      <c r="E532" s="77">
        <f>IFERROR(__xludf.DUMMYFUNCTION("""COMPUTED_VALUE"""),2.0)</f>
        <v>2</v>
      </c>
      <c r="F532" s="77">
        <f>IFERROR(__xludf.DUMMYFUNCTION("""COMPUTED_VALUE"""),2840.0)</f>
        <v>2840</v>
      </c>
      <c r="G532" s="77">
        <f>IFERROR(__xludf.DUMMYFUNCTION("""COMPUTED_VALUE"""),22.0)</f>
        <v>22</v>
      </c>
      <c r="H532" s="77">
        <f>IFERROR(__xludf.DUMMYFUNCTION("""COMPUTED_VALUE"""),36.0)</f>
        <v>36</v>
      </c>
      <c r="I532" s="77">
        <f>IFERROR(__xludf.DUMMYFUNCTION("""COMPUTED_VALUE"""),100.0)</f>
        <v>100</v>
      </c>
      <c r="J532" s="73"/>
      <c r="K532" s="73"/>
      <c r="L532" s="73"/>
      <c r="M532" s="77"/>
      <c r="N532" s="77">
        <f>IFERROR(__xludf.DUMMYFUNCTION("""COMPUTED_VALUE"""),1.0)</f>
        <v>1</v>
      </c>
      <c r="O532" s="49"/>
      <c r="P532" s="49" t="str">
        <f>IFERROR(__xludf.DUMMYFUNCTION("""COMPUTED_VALUE"""),"Offset")</f>
        <v>Offset</v>
      </c>
      <c r="Q532" s="49" t="str">
        <f>IFERROR(__xludf.DUMMYFUNCTION("""COMPUTED_VALUE"""),"Packaging")</f>
        <v>Packaging</v>
      </c>
      <c r="R532" s="49" t="str">
        <f>IFERROR(__xludf.DUMMYFUNCTION("""COMPUTED_VALUE"""),"Shipper")</f>
        <v>Shipper</v>
      </c>
    </row>
    <row r="533">
      <c r="A533" s="156" t="str">
        <f>IFERROR(__xludf.DUMMYFUNCTION("""COMPUTED_VALUE"""),"https://drive.google.com/open?id=1UH6qhsqaJTFpFHKIpAHSnM9o-agkmEls&amp;authuser=jay.agg%40gmail.com&amp;usp=drive_fs")</f>
        <v>https://drive.google.com/open?id=1UH6qhsqaJTFpFHKIpAHSnM9o-agkmEls&amp;authuser=jay.agg%40gmail.com&amp;usp=drive_fs</v>
      </c>
      <c r="B533" s="73" t="str">
        <f>IFERROR(__xludf.DUMMYFUNCTION("""COMPUTED_VALUE"""),"Shipper")</f>
        <v>Shipper</v>
      </c>
      <c r="C533" s="73" t="str">
        <f>IFERROR(__xludf.DUMMYFUNCTION("""COMPUTED_VALUE"""),"Misc")</f>
        <v>Misc</v>
      </c>
      <c r="D533" s="73" t="str">
        <f>IFERROR(__xludf.DUMMYFUNCTION("""COMPUTED_VALUE"""),"381*305*71 mm | 15*12*2.8 inch | 28*33")</f>
        <v>381*305*71 mm | 15*12*2.8 inch | 28*33</v>
      </c>
      <c r="E533" s="77">
        <f>IFERROR(__xludf.DUMMYFUNCTION("""COMPUTED_VALUE"""),1.0)</f>
        <v>1</v>
      </c>
      <c r="F533" s="77">
        <f>IFERROR(__xludf.DUMMYFUNCTION("""COMPUTED_VALUE"""),2840.0)</f>
        <v>2840</v>
      </c>
      <c r="G533" s="77">
        <f>IFERROR(__xludf.DUMMYFUNCTION("""COMPUTED_VALUE"""),28.0)</f>
        <v>28</v>
      </c>
      <c r="H533" s="77">
        <f>IFERROR(__xludf.DUMMYFUNCTION("""COMPUTED_VALUE"""),33.0)</f>
        <v>33</v>
      </c>
      <c r="I533" s="77">
        <f>IFERROR(__xludf.DUMMYFUNCTION("""COMPUTED_VALUE"""),100.0)</f>
        <v>100</v>
      </c>
      <c r="J533" s="73"/>
      <c r="K533" s="73"/>
      <c r="L533" s="73"/>
      <c r="M533" s="77"/>
      <c r="N533" s="77">
        <f>IFERROR(__xludf.DUMMYFUNCTION("""COMPUTED_VALUE"""),1.0)</f>
        <v>1</v>
      </c>
      <c r="O533" s="49"/>
      <c r="P533" s="49" t="str">
        <f>IFERROR(__xludf.DUMMYFUNCTION("""COMPUTED_VALUE"""),"Offset")</f>
        <v>Offset</v>
      </c>
      <c r="Q533" s="49" t="str">
        <f>IFERROR(__xludf.DUMMYFUNCTION("""COMPUTED_VALUE"""),"Packaging")</f>
        <v>Packaging</v>
      </c>
      <c r="R533" s="49" t="str">
        <f>IFERROR(__xludf.DUMMYFUNCTION("""COMPUTED_VALUE"""),"Shipper")</f>
        <v>Shipper</v>
      </c>
    </row>
    <row r="534">
      <c r="A534" s="156" t="str">
        <f>IFERROR(__xludf.DUMMYFUNCTION("""COMPUTED_VALUE"""),"https://drive.google.com/open?id=11ucy9g2D6oIGTFFi-c9nwyY29iLBmMCK&amp;authuser=jay.agg%40gmail.com&amp;usp=drive_fs")</f>
        <v>https://drive.google.com/open?id=11ucy9g2D6oIGTFFi-c9nwyY29iLBmMCK&amp;authuser=jay.agg%40gmail.com&amp;usp=drive_fs</v>
      </c>
      <c r="B534" s="73" t="str">
        <f>IFERROR(__xludf.DUMMYFUNCTION("""COMPUTED_VALUE"""),"Shipper")</f>
        <v>Shipper</v>
      </c>
      <c r="C534" s="73" t="str">
        <f>IFERROR(__xludf.DUMMYFUNCTION("""COMPUTED_VALUE"""),"Misc")</f>
        <v>Misc</v>
      </c>
      <c r="D534" s="73" t="str">
        <f>IFERROR(__xludf.DUMMYFUNCTION("""COMPUTED_VALUE"""),"190*190*76 mm | 7.5*7.5*3 inch | 22*25")</f>
        <v>190*190*76 mm | 7.5*7.5*3 inch | 22*25</v>
      </c>
      <c r="E534" s="77">
        <f>IFERROR(__xludf.DUMMYFUNCTION("""COMPUTED_VALUE"""),1.0)</f>
        <v>1</v>
      </c>
      <c r="F534" s="77">
        <f>IFERROR(__xludf.DUMMYFUNCTION("""COMPUTED_VALUE"""),2029.0)</f>
        <v>2029</v>
      </c>
      <c r="G534" s="77">
        <f>IFERROR(__xludf.DUMMYFUNCTION("""COMPUTED_VALUE"""),20.0)</f>
        <v>20</v>
      </c>
      <c r="H534" s="77">
        <f>IFERROR(__xludf.DUMMYFUNCTION("""COMPUTED_VALUE"""),25.0)</f>
        <v>25</v>
      </c>
      <c r="I534" s="77">
        <f>IFERROR(__xludf.DUMMYFUNCTION("""COMPUTED_VALUE"""),100.0)</f>
        <v>100</v>
      </c>
      <c r="J534" s="73"/>
      <c r="K534" s="73"/>
      <c r="L534" s="73"/>
      <c r="M534" s="77"/>
      <c r="N534" s="77">
        <f>IFERROR(__xludf.DUMMYFUNCTION("""COMPUTED_VALUE"""),1.0)</f>
        <v>1</v>
      </c>
      <c r="O534" s="49"/>
      <c r="P534" s="49" t="str">
        <f>IFERROR(__xludf.DUMMYFUNCTION("""COMPUTED_VALUE"""),"Offset")</f>
        <v>Offset</v>
      </c>
      <c r="Q534" s="49" t="str">
        <f>IFERROR(__xludf.DUMMYFUNCTION("""COMPUTED_VALUE"""),"Packaging")</f>
        <v>Packaging</v>
      </c>
      <c r="R534" s="49" t="str">
        <f>IFERROR(__xludf.DUMMYFUNCTION("""COMPUTED_VALUE"""),"Shipper")</f>
        <v>Shipper</v>
      </c>
    </row>
    <row r="535">
      <c r="A535" s="156" t="str">
        <f>IFERROR(__xludf.DUMMYFUNCTION("""COMPUTED_VALUE"""),"https://drive.google.com/open?id=11z0LRnNJpRi_5qdbRLGsBDysidYswuvI&amp;authuser=jay.agg%40gmail.com&amp;usp=drive_fs")</f>
        <v>https://drive.google.com/open?id=11z0LRnNJpRi_5qdbRLGsBDysidYswuvI&amp;authuser=jay.agg%40gmail.com&amp;usp=drive_fs</v>
      </c>
      <c r="B535" s="73" t="str">
        <f>IFERROR(__xludf.DUMMYFUNCTION("""COMPUTED_VALUE"""),"Shoe")</f>
        <v>Shoe</v>
      </c>
      <c r="C535" s="73" t="str">
        <f>IFERROR(__xludf.DUMMYFUNCTION("""COMPUTED_VALUE"""),"Summum")</f>
        <v>Summum</v>
      </c>
      <c r="D535" s="73" t="str">
        <f>IFERROR(__xludf.DUMMYFUNCTION("""COMPUTED_VALUE"""),"300*150*105 mm | 11.8*5.9*4.1 inch | 28*23")</f>
        <v>300*150*105 mm | 11.8*5.9*4.1 inch | 28*23</v>
      </c>
      <c r="E535" s="77">
        <f>IFERROR(__xludf.DUMMYFUNCTION("""COMPUTED_VALUE"""),1.0)</f>
        <v>1</v>
      </c>
      <c r="F535" s="77">
        <f>IFERROR(__xludf.DUMMYFUNCTION("""COMPUTED_VALUE"""),2840.0)</f>
        <v>2840</v>
      </c>
      <c r="G535" s="77">
        <f>IFERROR(__xludf.DUMMYFUNCTION("""COMPUTED_VALUE"""),23.0)</f>
        <v>23</v>
      </c>
      <c r="H535" s="77">
        <f>IFERROR(__xludf.DUMMYFUNCTION("""COMPUTED_VALUE"""),28.0)</f>
        <v>28</v>
      </c>
      <c r="I535" s="77">
        <f>IFERROR(__xludf.DUMMYFUNCTION("""COMPUTED_VALUE"""),100.0)</f>
        <v>100</v>
      </c>
      <c r="J535" s="73"/>
      <c r="K535" s="73"/>
      <c r="L535" s="73">
        <f>IFERROR(__xludf.DUMMYFUNCTION("""COMPUTED_VALUE"""),4.0)</f>
        <v>4</v>
      </c>
      <c r="M535" s="77"/>
      <c r="N535" s="77">
        <f>IFERROR(__xludf.DUMMYFUNCTION("""COMPUTED_VALUE"""),1.0)</f>
        <v>1</v>
      </c>
      <c r="O535" s="49"/>
      <c r="P535" s="49" t="str">
        <f>IFERROR(__xludf.DUMMYFUNCTION("""COMPUTED_VALUE"""),"Offset")</f>
        <v>Offset</v>
      </c>
      <c r="Q535" s="49" t="str">
        <f>IFERROR(__xludf.DUMMYFUNCTION("""COMPUTED_VALUE"""),"Packaging")</f>
        <v>Packaging</v>
      </c>
      <c r="R535" s="49" t="str">
        <f>IFERROR(__xludf.DUMMYFUNCTION("""COMPUTED_VALUE"""),"Shoe")</f>
        <v>Shoe</v>
      </c>
    </row>
    <row r="536">
      <c r="A536" s="156" t="str">
        <f>IFERROR(__xludf.DUMMYFUNCTION("""COMPUTED_VALUE"""),"https://drive.google.com/open?id=12-53KlE7VMxQ34UMot3tNdT_3ZP4I-ya&amp;authuser=jay.agg%40gmail.com&amp;usp=drive_fs")</f>
        <v>https://drive.google.com/open?id=12-53KlE7VMxQ34UMot3tNdT_3ZP4I-ya&amp;authuser=jay.agg%40gmail.com&amp;usp=drive_fs</v>
      </c>
      <c r="B536" s="73" t="str">
        <f>IFERROR(__xludf.DUMMYFUNCTION("""COMPUTED_VALUE"""),"Shipper")</f>
        <v>Shipper</v>
      </c>
      <c r="C536" s="73" t="str">
        <f>IFERROR(__xludf.DUMMYFUNCTION("""COMPUTED_VALUE"""),"Misc")</f>
        <v>Misc</v>
      </c>
      <c r="D536" s="73" t="str">
        <f>IFERROR(__xludf.DUMMYFUNCTION("""COMPUTED_VALUE"""),"184*145*35 mm | 7.2*5.7*1.4 inch | 26*16")</f>
        <v>184*145*35 mm | 7.2*5.7*1.4 inch | 26*16</v>
      </c>
      <c r="E536" s="77">
        <f>IFERROR(__xludf.DUMMYFUNCTION("""COMPUTED_VALUE"""),2.0)</f>
        <v>2</v>
      </c>
      <c r="F536" s="77">
        <f>IFERROR(__xludf.DUMMYFUNCTION("""COMPUTED_VALUE"""),1926.0)</f>
        <v>1926</v>
      </c>
      <c r="G536" s="77">
        <f>IFERROR(__xludf.DUMMYFUNCTION("""COMPUTED_VALUE"""),18.0)</f>
        <v>18</v>
      </c>
      <c r="H536" s="77">
        <f>IFERROR(__xludf.DUMMYFUNCTION("""COMPUTED_VALUE"""),25.0)</f>
        <v>25</v>
      </c>
      <c r="I536" s="77">
        <f>IFERROR(__xludf.DUMMYFUNCTION("""COMPUTED_VALUE"""),100.0)</f>
        <v>100</v>
      </c>
      <c r="J536" s="73"/>
      <c r="K536" s="73"/>
      <c r="L536" s="73"/>
      <c r="M536" s="77"/>
      <c r="N536" s="77">
        <f>IFERROR(__xludf.DUMMYFUNCTION("""COMPUTED_VALUE"""),1.0)</f>
        <v>1</v>
      </c>
      <c r="O536" s="49"/>
      <c r="P536" s="49" t="str">
        <f>IFERROR(__xludf.DUMMYFUNCTION("""COMPUTED_VALUE"""),"Offset")</f>
        <v>Offset</v>
      </c>
      <c r="Q536" s="49" t="str">
        <f>IFERROR(__xludf.DUMMYFUNCTION("""COMPUTED_VALUE"""),"Packaging")</f>
        <v>Packaging</v>
      </c>
      <c r="R536" s="49" t="str">
        <f>IFERROR(__xludf.DUMMYFUNCTION("""COMPUTED_VALUE"""),"Shipper")</f>
        <v>Shipper</v>
      </c>
    </row>
    <row r="537">
      <c r="A537" s="156" t="str">
        <f>IFERROR(__xludf.DUMMYFUNCTION("""COMPUTED_VALUE"""),"https://drive.google.com/open?id=1VQtPbaN6ZLVKRKshEY_p4vLrpVs5FMfP&amp;authuser=jay.agg%40gmail.com&amp;usp=drive_fs")</f>
        <v>https://drive.google.com/open?id=1VQtPbaN6ZLVKRKshEY_p4vLrpVs5FMfP&amp;authuser=jay.agg%40gmail.com&amp;usp=drive_fs</v>
      </c>
      <c r="B537" s="73" t="str">
        <f>IFERROR(__xludf.DUMMYFUNCTION("""COMPUTED_VALUE"""),"Shipper")</f>
        <v>Shipper</v>
      </c>
      <c r="C537" s="73" t="str">
        <f>IFERROR(__xludf.DUMMYFUNCTION("""COMPUTED_VALUE"""),"Misc")</f>
        <v>Misc</v>
      </c>
      <c r="D537" s="73" t="str">
        <f>IFERROR(__xludf.DUMMYFUNCTION("""COMPUTED_VALUE"""),"95*95*30 mm | 3.75*3.75*1.1 inch | 18*22")</f>
        <v>95*95*30 mm | 3.75*3.75*1.1 inch | 18*22</v>
      </c>
      <c r="E537" s="77">
        <f>IFERROR(__xludf.DUMMYFUNCTION("""COMPUTED_VALUE"""),4.0)</f>
        <v>4</v>
      </c>
      <c r="F537" s="77">
        <f>IFERROR(__xludf.DUMMYFUNCTION("""COMPUTED_VALUE"""),1926.0)</f>
        <v>1926</v>
      </c>
      <c r="G537" s="77">
        <f>IFERROR(__xludf.DUMMYFUNCTION("""COMPUTED_VALUE"""),18.0)</f>
        <v>18</v>
      </c>
      <c r="H537" s="77">
        <f>IFERROR(__xludf.DUMMYFUNCTION("""COMPUTED_VALUE"""),23.0)</f>
        <v>23</v>
      </c>
      <c r="I537" s="77">
        <f>IFERROR(__xludf.DUMMYFUNCTION("""COMPUTED_VALUE"""),100.0)</f>
        <v>100</v>
      </c>
      <c r="J537" s="73"/>
      <c r="K537" s="73"/>
      <c r="L537" s="73"/>
      <c r="M537" s="77"/>
      <c r="N537" s="77">
        <f>IFERROR(__xludf.DUMMYFUNCTION("""COMPUTED_VALUE"""),1.0)</f>
        <v>1</v>
      </c>
      <c r="O537" s="49"/>
      <c r="P537" s="49" t="str">
        <f>IFERROR(__xludf.DUMMYFUNCTION("""COMPUTED_VALUE"""),"Offset")</f>
        <v>Offset</v>
      </c>
      <c r="Q537" s="49" t="str">
        <f>IFERROR(__xludf.DUMMYFUNCTION("""COMPUTED_VALUE"""),"Packaging")</f>
        <v>Packaging</v>
      </c>
      <c r="R537" s="49" t="str">
        <f>IFERROR(__xludf.DUMMYFUNCTION("""COMPUTED_VALUE"""),"Shipper")</f>
        <v>Shipper</v>
      </c>
    </row>
    <row r="538">
      <c r="A538" s="156" t="str">
        <f>IFERROR(__xludf.DUMMYFUNCTION("""COMPUTED_VALUE"""),"https://drive.google.com/open?id=1WCbN5MRTWnZvtDV69Cfcost4AYNLLEPQ&amp;authuser=jay.agg%40gmail.com&amp;usp=drive_fs")</f>
        <v>https://drive.google.com/open?id=1WCbN5MRTWnZvtDV69Cfcost4AYNLLEPQ&amp;authuser=jay.agg%40gmail.com&amp;usp=drive_fs</v>
      </c>
      <c r="B538" s="73" t="str">
        <f>IFERROR(__xludf.DUMMYFUNCTION("""COMPUTED_VALUE"""),"Shoe")</f>
        <v>Shoe</v>
      </c>
      <c r="C538" s="73" t="str">
        <f>IFERROR(__xludf.DUMMYFUNCTION("""COMPUTED_VALUE"""),"Airxoes")</f>
        <v>Airxoes</v>
      </c>
      <c r="D538" s="73" t="str">
        <f>IFERROR(__xludf.DUMMYFUNCTION("""COMPUTED_VALUE"""),"352*222*121 mm | 13.9*8.8*4.8 inch | 26*31")</f>
        <v>352*222*121 mm | 13.9*8.8*4.8 inch | 26*31</v>
      </c>
      <c r="E538" s="77">
        <f>IFERROR(__xludf.DUMMYFUNCTION("""COMPUTED_VALUE"""),1.0)</f>
        <v>1</v>
      </c>
      <c r="F538" s="77">
        <f>IFERROR(__xludf.DUMMYFUNCTION("""COMPUTED_VALUE"""),2840.0)</f>
        <v>2840</v>
      </c>
      <c r="G538" s="77">
        <f>IFERROR(__xludf.DUMMYFUNCTION("""COMPUTED_VALUE"""),26.0)</f>
        <v>26</v>
      </c>
      <c r="H538" s="77">
        <f>IFERROR(__xludf.DUMMYFUNCTION("""COMPUTED_VALUE"""),31.0)</f>
        <v>31</v>
      </c>
      <c r="I538" s="77">
        <f>IFERROR(__xludf.DUMMYFUNCTION("""COMPUTED_VALUE"""),100.0)</f>
        <v>100</v>
      </c>
      <c r="J538" s="73"/>
      <c r="K538" s="73"/>
      <c r="L538" s="73"/>
      <c r="M538" s="77"/>
      <c r="N538" s="77">
        <f>IFERROR(__xludf.DUMMYFUNCTION("""COMPUTED_VALUE"""),1.0)</f>
        <v>1</v>
      </c>
      <c r="O538" s="49"/>
      <c r="P538" s="49" t="str">
        <f>IFERROR(__xludf.DUMMYFUNCTION("""COMPUTED_VALUE"""),"Offset")</f>
        <v>Offset</v>
      </c>
      <c r="Q538" s="49" t="str">
        <f>IFERROR(__xludf.DUMMYFUNCTION("""COMPUTED_VALUE"""),"Packaging")</f>
        <v>Packaging</v>
      </c>
      <c r="R538" s="49" t="str">
        <f>IFERROR(__xludf.DUMMYFUNCTION("""COMPUTED_VALUE"""),"Shoe")</f>
        <v>Shoe</v>
      </c>
    </row>
    <row r="539">
      <c r="A539" s="156" t="str">
        <f>IFERROR(__xludf.DUMMYFUNCTION("""COMPUTED_VALUE"""),"https://drive.google.com/open?id=1WFAOxXWV-ZpZGd8GN4AOR3gDvUnMMYoG&amp;authuser=jay.agg%40gmail.com&amp;usp=drive_fs")</f>
        <v>https://drive.google.com/open?id=1WFAOxXWV-ZpZGd8GN4AOR3gDvUnMMYoG&amp;authuser=jay.agg%40gmail.com&amp;usp=drive_fs</v>
      </c>
      <c r="B539" s="73" t="str">
        <f>IFERROR(__xludf.DUMMYFUNCTION("""COMPUTED_VALUE"""),"Shoe")</f>
        <v>Shoe</v>
      </c>
      <c r="C539" s="73" t="str">
        <f>IFERROR(__xludf.DUMMYFUNCTION("""COMPUTED_VALUE"""),"Airxoes")</f>
        <v>Airxoes</v>
      </c>
      <c r="D539" s="73" t="str">
        <f>IFERROR(__xludf.DUMMYFUNCTION("""COMPUTED_VALUE"""),"292*164*90 mm | 11.5*6.5*3.5 inch | 24*23")</f>
        <v>292*164*90 mm | 11.5*6.5*3.5 inch | 24*23</v>
      </c>
      <c r="E539" s="77">
        <f>IFERROR(__xludf.DUMMYFUNCTION("""COMPUTED_VALUE"""),1.0)</f>
        <v>1</v>
      </c>
      <c r="F539" s="77">
        <f>IFERROR(__xludf.DUMMYFUNCTION("""COMPUTED_VALUE"""),2840.0)</f>
        <v>2840</v>
      </c>
      <c r="G539" s="77">
        <f>IFERROR(__xludf.DUMMYFUNCTION("""COMPUTED_VALUE"""),24.0)</f>
        <v>24</v>
      </c>
      <c r="H539" s="77">
        <f>IFERROR(__xludf.DUMMYFUNCTION("""COMPUTED_VALUE"""),23.0)</f>
        <v>23</v>
      </c>
      <c r="I539" s="77">
        <f>IFERROR(__xludf.DUMMYFUNCTION("""COMPUTED_VALUE"""),100.0)</f>
        <v>100</v>
      </c>
      <c r="J539" s="73"/>
      <c r="K539" s="73"/>
      <c r="L539" s="73"/>
      <c r="M539" s="77"/>
      <c r="N539" s="77">
        <f>IFERROR(__xludf.DUMMYFUNCTION("""COMPUTED_VALUE"""),1.0)</f>
        <v>1</v>
      </c>
      <c r="O539" s="49"/>
      <c r="P539" s="49" t="str">
        <f>IFERROR(__xludf.DUMMYFUNCTION("""COMPUTED_VALUE"""),"Offset")</f>
        <v>Offset</v>
      </c>
      <c r="Q539" s="49" t="str">
        <f>IFERROR(__xludf.DUMMYFUNCTION("""COMPUTED_VALUE"""),"Packaging")</f>
        <v>Packaging</v>
      </c>
      <c r="R539" s="49" t="str">
        <f>IFERROR(__xludf.DUMMYFUNCTION("""COMPUTED_VALUE"""),"Shoe")</f>
        <v>Shoe</v>
      </c>
    </row>
    <row r="540">
      <c r="A540" s="156" t="str">
        <f>IFERROR(__xludf.DUMMYFUNCTION("""COMPUTED_VALUE"""),"https://drive.google.com/open?id=1WTRhYYOWigneiK3BwIeu1kWc30zDdE_m&amp;authuser=jay.agg%40gmail.com&amp;usp=drive_fs")</f>
        <v>https://drive.google.com/open?id=1WTRhYYOWigneiK3BwIeu1kWc30zDdE_m&amp;authuser=jay.agg%40gmail.com&amp;usp=drive_fs</v>
      </c>
      <c r="B540" s="73" t="str">
        <f>IFERROR(__xludf.DUMMYFUNCTION("""COMPUTED_VALUE"""),"Shipper")</f>
        <v>Shipper</v>
      </c>
      <c r="C540" s="73" t="str">
        <f>IFERROR(__xludf.DUMMYFUNCTION("""COMPUTED_VALUE"""),"Misc")</f>
        <v>Misc</v>
      </c>
      <c r="D540" s="73" t="str">
        <f>IFERROR(__xludf.DUMMYFUNCTION("""COMPUTED_VALUE"""),"203*203*100 mm | 8*8*4 inch | 26*29")</f>
        <v>203*203*100 mm | 8*8*4 inch | 26*29</v>
      </c>
      <c r="E540" s="77">
        <f>IFERROR(__xludf.DUMMYFUNCTION("""COMPUTED_VALUE"""),1.0)</f>
        <v>1</v>
      </c>
      <c r="F540" s="77">
        <f>IFERROR(__xludf.DUMMYFUNCTION("""COMPUTED_VALUE"""),2840.0)</f>
        <v>2840</v>
      </c>
      <c r="G540" s="77">
        <f>IFERROR(__xludf.DUMMYFUNCTION("""COMPUTED_VALUE"""),25.0)</f>
        <v>25</v>
      </c>
      <c r="H540" s="77">
        <f>IFERROR(__xludf.DUMMYFUNCTION("""COMPUTED_VALUE"""),30.0)</f>
        <v>30</v>
      </c>
      <c r="I540" s="77">
        <f>IFERROR(__xludf.DUMMYFUNCTION("""COMPUTED_VALUE"""),100.0)</f>
        <v>100</v>
      </c>
      <c r="J540" s="73"/>
      <c r="K540" s="73"/>
      <c r="L540" s="73"/>
      <c r="M540" s="77"/>
      <c r="N540" s="77">
        <f>IFERROR(__xludf.DUMMYFUNCTION("""COMPUTED_VALUE"""),1.0)</f>
        <v>1</v>
      </c>
      <c r="O540" s="49"/>
      <c r="P540" s="49" t="str">
        <f>IFERROR(__xludf.DUMMYFUNCTION("""COMPUTED_VALUE"""),"Offset")</f>
        <v>Offset</v>
      </c>
      <c r="Q540" s="49" t="str">
        <f>IFERROR(__xludf.DUMMYFUNCTION("""COMPUTED_VALUE"""),"Packaging")</f>
        <v>Packaging</v>
      </c>
      <c r="R540" s="49" t="str">
        <f>IFERROR(__xludf.DUMMYFUNCTION("""COMPUTED_VALUE"""),"Shipper")</f>
        <v>Shipper</v>
      </c>
    </row>
    <row r="541">
      <c r="A541" s="156" t="str">
        <f>IFERROR(__xludf.DUMMYFUNCTION("""COMPUTED_VALUE"""),"https://drive.google.com/open?id=1-1RXCcl5004gLp12jL_kojCs_gJpplUl&amp;authuser=jay.agg%40gmail.com&amp;usp=drive_fs")</f>
        <v>https://drive.google.com/open?id=1-1RXCcl5004gLp12jL_kojCs_gJpplUl&amp;authuser=jay.agg%40gmail.com&amp;usp=drive_fs</v>
      </c>
      <c r="B541" s="73" t="str">
        <f>IFERROR(__xludf.DUMMYFUNCTION("""COMPUTED_VALUE"""),"Shipper")</f>
        <v>Shipper</v>
      </c>
      <c r="C541" s="73" t="str">
        <f>IFERROR(__xludf.DUMMYFUNCTION("""COMPUTED_VALUE"""),"Misc")</f>
        <v>Misc</v>
      </c>
      <c r="D541" s="73" t="str">
        <f>IFERROR(__xludf.DUMMYFUNCTION("""COMPUTED_VALUE"""),"152*228*152 mm | 6*9*6 | 26*32")</f>
        <v>152*228*152 mm | 6*9*6 | 26*32</v>
      </c>
      <c r="E541" s="77">
        <f>IFERROR(__xludf.DUMMYFUNCTION("""COMPUTED_VALUE"""),2.0)</f>
        <v>2</v>
      </c>
      <c r="F541" s="77">
        <f>IFERROR(__xludf.DUMMYFUNCTION("""COMPUTED_VALUE"""),2840.0)</f>
        <v>2840</v>
      </c>
      <c r="G541" s="77">
        <f>IFERROR(__xludf.DUMMYFUNCTION("""COMPUTED_VALUE"""),26.0)</f>
        <v>26</v>
      </c>
      <c r="H541" s="77">
        <f>IFERROR(__xludf.DUMMYFUNCTION("""COMPUTED_VALUE"""),32.0)</f>
        <v>32</v>
      </c>
      <c r="I541" s="77">
        <f>IFERROR(__xludf.DUMMYFUNCTION("""COMPUTED_VALUE"""),100.0)</f>
        <v>100</v>
      </c>
      <c r="J541" s="73"/>
      <c r="K541" s="73"/>
      <c r="L541" s="73"/>
      <c r="M541" s="77"/>
      <c r="N541" s="77">
        <f>IFERROR(__xludf.DUMMYFUNCTION("""COMPUTED_VALUE"""),1.0)</f>
        <v>1</v>
      </c>
      <c r="O541" s="49"/>
      <c r="P541" s="49" t="str">
        <f>IFERROR(__xludf.DUMMYFUNCTION("""COMPUTED_VALUE"""),"Offset")</f>
        <v>Offset</v>
      </c>
      <c r="Q541" s="49" t="str">
        <f>IFERROR(__xludf.DUMMYFUNCTION("""COMPUTED_VALUE"""),"Packaging")</f>
        <v>Packaging</v>
      </c>
      <c r="R541" s="49" t="str">
        <f>IFERROR(__xludf.DUMMYFUNCTION("""COMPUTED_VALUE"""),"Shipper")</f>
        <v>Shipper</v>
      </c>
    </row>
    <row r="542">
      <c r="A542" s="156" t="str">
        <f>IFERROR(__xludf.DUMMYFUNCTION("""COMPUTED_VALUE"""),"https://drive.google.com/open?id=1Y5H_kMOe6mRSpy0Cy1q-frifYWF0schV&amp;authuser=jay.agg%40gmail.com&amp;usp=drive_fs")</f>
        <v>https://drive.google.com/open?id=1Y5H_kMOe6mRSpy0Cy1q-frifYWF0schV&amp;authuser=jay.agg%40gmail.com&amp;usp=drive_fs</v>
      </c>
      <c r="B542" s="73" t="str">
        <f>IFERROR(__xludf.DUMMYFUNCTION("""COMPUTED_VALUE"""),"Shoe")</f>
        <v>Shoe</v>
      </c>
      <c r="C542" s="73" t="str">
        <f>IFERROR(__xludf.DUMMYFUNCTION("""COMPUTED_VALUE"""),"Misc")</f>
        <v>Misc</v>
      </c>
      <c r="D542" s="73" t="str">
        <f>IFERROR(__xludf.DUMMYFUNCTION("""COMPUTED_VALUE"""),"320*220*130 mm | 12.6*8.6*5.1 inch | 24*32")</f>
        <v>320*220*130 mm | 12.6*8.6*5.1 inch | 24*32</v>
      </c>
      <c r="E542" s="77">
        <f>IFERROR(__xludf.DUMMYFUNCTION("""COMPUTED_VALUE"""),1.0)</f>
        <v>1</v>
      </c>
      <c r="F542" s="77">
        <f>IFERROR(__xludf.DUMMYFUNCTION("""COMPUTED_VALUE"""),2840.0)</f>
        <v>2840</v>
      </c>
      <c r="G542" s="77">
        <f>IFERROR(__xludf.DUMMYFUNCTION("""COMPUTED_VALUE"""),24.0)</f>
        <v>24</v>
      </c>
      <c r="H542" s="77">
        <f>IFERROR(__xludf.DUMMYFUNCTION("""COMPUTED_VALUE"""),32.0)</f>
        <v>32</v>
      </c>
      <c r="I542" s="77">
        <f>IFERROR(__xludf.DUMMYFUNCTION("""COMPUTED_VALUE"""),100.0)</f>
        <v>100</v>
      </c>
      <c r="J542" s="73"/>
      <c r="K542" s="73"/>
      <c r="L542" s="73"/>
      <c r="M542" s="77"/>
      <c r="N542" s="77">
        <f>IFERROR(__xludf.DUMMYFUNCTION("""COMPUTED_VALUE"""),1.0)</f>
        <v>1</v>
      </c>
      <c r="O542" s="49"/>
      <c r="P542" s="49" t="str">
        <f>IFERROR(__xludf.DUMMYFUNCTION("""COMPUTED_VALUE"""),"Offset")</f>
        <v>Offset</v>
      </c>
      <c r="Q542" s="49" t="str">
        <f>IFERROR(__xludf.DUMMYFUNCTION("""COMPUTED_VALUE"""),"Packaging")</f>
        <v>Packaging</v>
      </c>
      <c r="R542" s="49" t="str">
        <f>IFERROR(__xludf.DUMMYFUNCTION("""COMPUTED_VALUE"""),"Shoe")</f>
        <v>Shoe</v>
      </c>
    </row>
    <row r="543">
      <c r="A543" s="156" t="str">
        <f>IFERROR(__xludf.DUMMYFUNCTION("""COMPUTED_VALUE"""),"https://drive.google.com/open?id=1YALJM6u-N0KR0ldAmeh9kUdzdBVaxLm6&amp;authuser=jay.agg%40gmail.com&amp;usp=drive_fs")</f>
        <v>https://drive.google.com/open?id=1YALJM6u-N0KR0ldAmeh9kUdzdBVaxLm6&amp;authuser=jay.agg%40gmail.com&amp;usp=drive_fs</v>
      </c>
      <c r="B543" s="73" t="str">
        <f>IFERROR(__xludf.DUMMYFUNCTION("""COMPUTED_VALUE"""),"Toy")</f>
        <v>Toy</v>
      </c>
      <c r="C543" s="73" t="str">
        <f>IFERROR(__xludf.DUMMYFUNCTION("""COMPUTED_VALUE"""),"Misc")</f>
        <v>Misc</v>
      </c>
      <c r="D543" s="73" t="str">
        <f>IFERROR(__xludf.DUMMYFUNCTION("""COMPUTED_VALUE"""),"Bottom 560*460*160 mm | 22*18.1*6.3 inch | 35*36")</f>
        <v>Bottom 560*460*160 mm | 22*18.1*6.3 inch | 35*36</v>
      </c>
      <c r="E543" s="77">
        <f>IFERROR(__xludf.DUMMYFUNCTION("""COMPUTED_VALUE"""),1.0)</f>
        <v>1</v>
      </c>
      <c r="F543" s="77">
        <f>IFERROR(__xludf.DUMMYFUNCTION("""COMPUTED_VALUE"""),2840.0)</f>
        <v>2840</v>
      </c>
      <c r="G543" s="77">
        <f>IFERROR(__xludf.DUMMYFUNCTION("""COMPUTED_VALUE"""),35.0)</f>
        <v>35</v>
      </c>
      <c r="H543" s="77">
        <f>IFERROR(__xludf.DUMMYFUNCTION("""COMPUTED_VALUE"""),36.0)</f>
        <v>36</v>
      </c>
      <c r="I543" s="77">
        <f>IFERROR(__xludf.DUMMYFUNCTION("""COMPUTED_VALUE"""),100.0)</f>
        <v>100</v>
      </c>
      <c r="J543" s="73"/>
      <c r="K543" s="73"/>
      <c r="L543" s="73"/>
      <c r="M543" s="77"/>
      <c r="N543" s="77">
        <f>IFERROR(__xludf.DUMMYFUNCTION("""COMPUTED_VALUE"""),1.0)</f>
        <v>1</v>
      </c>
      <c r="O543" s="49"/>
      <c r="P543" s="49" t="str">
        <f>IFERROR(__xludf.DUMMYFUNCTION("""COMPUTED_VALUE"""),"Offset")</f>
        <v>Offset</v>
      </c>
      <c r="Q543" s="49" t="str">
        <f>IFERROR(__xludf.DUMMYFUNCTION("""COMPUTED_VALUE"""),"Packaging")</f>
        <v>Packaging</v>
      </c>
      <c r="R543" s="49" t="str">
        <f>IFERROR(__xludf.DUMMYFUNCTION("""COMPUTED_VALUE"""),"Toy")</f>
        <v>Toy</v>
      </c>
    </row>
    <row r="544">
      <c r="A544" s="156" t="str">
        <f>IFERROR(__xludf.DUMMYFUNCTION("""COMPUTED_VALUE"""),"https://drive.google.com/open?id=1YGfJLnWWnDPvu6W3e1oD8-4IYGa42vjz&amp;authuser=jay.agg%40gmail.com&amp;usp=drive_fs")</f>
        <v>https://drive.google.com/open?id=1YGfJLnWWnDPvu6W3e1oD8-4IYGa42vjz&amp;authuser=jay.agg%40gmail.com&amp;usp=drive_fs</v>
      </c>
      <c r="B544" s="73" t="str">
        <f>IFERROR(__xludf.DUMMYFUNCTION("""COMPUTED_VALUE"""),"Toy")</f>
        <v>Toy</v>
      </c>
      <c r="C544" s="73" t="str">
        <f>IFERROR(__xludf.DUMMYFUNCTION("""COMPUTED_VALUE"""),"Misc")</f>
        <v>Misc</v>
      </c>
      <c r="D544" s="73" t="str">
        <f>IFERROR(__xludf.DUMMYFUNCTION("""COMPUTED_VALUE"""),"Top 560*460*160 mm | 22*18.1*6.3 inch | 26*33")</f>
        <v>Top 560*460*160 mm | 22*18.1*6.3 inch | 26*33</v>
      </c>
      <c r="E544" s="77">
        <f>IFERROR(__xludf.DUMMYFUNCTION("""COMPUTED_VALUE"""),1.0)</f>
        <v>1</v>
      </c>
      <c r="F544" s="77">
        <f>IFERROR(__xludf.DUMMYFUNCTION("""COMPUTED_VALUE"""),2840.0)</f>
        <v>2840</v>
      </c>
      <c r="G544" s="77">
        <f>IFERROR(__xludf.DUMMYFUNCTION("""COMPUTED_VALUE"""),25.0)</f>
        <v>25</v>
      </c>
      <c r="H544" s="77">
        <f>IFERROR(__xludf.DUMMYFUNCTION("""COMPUTED_VALUE"""),36.0)</f>
        <v>36</v>
      </c>
      <c r="I544" s="77">
        <f>IFERROR(__xludf.DUMMYFUNCTION("""COMPUTED_VALUE"""),100.0)</f>
        <v>100</v>
      </c>
      <c r="J544" s="73"/>
      <c r="K544" s="73"/>
      <c r="L544" s="73"/>
      <c r="M544" s="77"/>
      <c r="N544" s="77">
        <f>IFERROR(__xludf.DUMMYFUNCTION("""COMPUTED_VALUE"""),1.0)</f>
        <v>1</v>
      </c>
      <c r="O544" s="49"/>
      <c r="P544" s="49" t="str">
        <f>IFERROR(__xludf.DUMMYFUNCTION("""COMPUTED_VALUE"""),"Offset")</f>
        <v>Offset</v>
      </c>
      <c r="Q544" s="49" t="str">
        <f>IFERROR(__xludf.DUMMYFUNCTION("""COMPUTED_VALUE"""),"Packaging")</f>
        <v>Packaging</v>
      </c>
      <c r="R544" s="49" t="str">
        <f>IFERROR(__xludf.DUMMYFUNCTION("""COMPUTED_VALUE"""),"Toy")</f>
        <v>Toy</v>
      </c>
    </row>
    <row r="545">
      <c r="A545" s="156" t="str">
        <f>IFERROR(__xludf.DUMMYFUNCTION("""COMPUTED_VALUE"""),"https://drive.google.com/open?id=1YHgL3B-JkkuFqwAuKhWQwQpMr54Slzlk&amp;authuser=jay.agg%40gmail.com&amp;usp=drive_fs")</f>
        <v>https://drive.google.com/open?id=1YHgL3B-JkkuFqwAuKhWQwQpMr54Slzlk&amp;authuser=jay.agg%40gmail.com&amp;usp=drive_fs</v>
      </c>
      <c r="B545" s="73" t="str">
        <f>IFERROR(__xludf.DUMMYFUNCTION("""COMPUTED_VALUE"""),"Shipper")</f>
        <v>Shipper</v>
      </c>
      <c r="C545" s="73" t="str">
        <f>IFERROR(__xludf.DUMMYFUNCTION("""COMPUTED_VALUE"""),"Misc")</f>
        <v>Misc</v>
      </c>
      <c r="D545" s="73" t="str">
        <f>IFERROR(__xludf.DUMMYFUNCTION("""COMPUTED_VALUE"""),"229*76*63.5 mm | 9*3*2.5 inch | 22*14")</f>
        <v>229*76*63.5 mm | 9*3*2.5 inch | 22*14</v>
      </c>
      <c r="E545" s="77">
        <f>IFERROR(__xludf.DUMMYFUNCTION("""COMPUTED_VALUE"""),1.0)</f>
        <v>1</v>
      </c>
      <c r="F545" s="77">
        <f>IFERROR(__xludf.DUMMYFUNCTION("""COMPUTED_VALUE"""),1926.0)</f>
        <v>1926</v>
      </c>
      <c r="G545" s="77">
        <f>IFERROR(__xludf.DUMMYFUNCTION("""COMPUTED_VALUE"""),22.0)</f>
        <v>22</v>
      </c>
      <c r="H545" s="77">
        <f>IFERROR(__xludf.DUMMYFUNCTION("""COMPUTED_VALUE"""),14.0)</f>
        <v>14</v>
      </c>
      <c r="I545" s="77">
        <f>IFERROR(__xludf.DUMMYFUNCTION("""COMPUTED_VALUE"""),100.0)</f>
        <v>100</v>
      </c>
      <c r="J545" s="73"/>
      <c r="K545" s="73"/>
      <c r="L545" s="73"/>
      <c r="M545" s="77"/>
      <c r="N545" s="77">
        <f>IFERROR(__xludf.DUMMYFUNCTION("""COMPUTED_VALUE"""),1.0)</f>
        <v>1</v>
      </c>
      <c r="O545" s="49"/>
      <c r="P545" s="49" t="str">
        <f>IFERROR(__xludf.DUMMYFUNCTION("""COMPUTED_VALUE"""),"Offset")</f>
        <v>Offset</v>
      </c>
      <c r="Q545" s="49" t="str">
        <f>IFERROR(__xludf.DUMMYFUNCTION("""COMPUTED_VALUE"""),"Packaging")</f>
        <v>Packaging</v>
      </c>
      <c r="R545" s="49" t="str">
        <f>IFERROR(__xludf.DUMMYFUNCTION("""COMPUTED_VALUE"""),"Shipper")</f>
        <v>Shipper</v>
      </c>
    </row>
    <row r="546">
      <c r="A546" s="156" t="str">
        <f>IFERROR(__xludf.DUMMYFUNCTION("""COMPUTED_VALUE"""),"https://drive.google.com/open?id=1YUWOabxgOFeQHtLZ5K4bEAq8dFvA19Pe&amp;authuser=jay.agg%40gmail.com&amp;usp=drive_fs")</f>
        <v>https://drive.google.com/open?id=1YUWOabxgOFeQHtLZ5K4bEAq8dFvA19Pe&amp;authuser=jay.agg%40gmail.com&amp;usp=drive_fs</v>
      </c>
      <c r="B546" s="73" t="str">
        <f>IFERROR(__xludf.DUMMYFUNCTION("""COMPUTED_VALUE"""),"Shipper")</f>
        <v>Shipper</v>
      </c>
      <c r="C546" s="73" t="str">
        <f>IFERROR(__xludf.DUMMYFUNCTION("""COMPUTED_VALUE"""),"Misc")</f>
        <v>Misc</v>
      </c>
      <c r="D546" s="73" t="str">
        <f>IFERROR(__xludf.DUMMYFUNCTION("""COMPUTED_VALUE"""),"229*76*54 mm | 9*3*2 inch | 24*18")</f>
        <v>229*76*54 mm | 9*3*2 inch | 24*18</v>
      </c>
      <c r="E546" s="77">
        <f>IFERROR(__xludf.DUMMYFUNCTION("""COMPUTED_VALUE"""),2.0)</f>
        <v>2</v>
      </c>
      <c r="F546" s="77">
        <f>IFERROR(__xludf.DUMMYFUNCTION("""COMPUTED_VALUE"""),1926.0)</f>
        <v>1926</v>
      </c>
      <c r="G546" s="77">
        <f>IFERROR(__xludf.DUMMYFUNCTION("""COMPUTED_VALUE"""),18.0)</f>
        <v>18</v>
      </c>
      <c r="H546" s="77">
        <f>IFERROR(__xludf.DUMMYFUNCTION("""COMPUTED_VALUE"""),24.0)</f>
        <v>24</v>
      </c>
      <c r="I546" s="77">
        <f>IFERROR(__xludf.DUMMYFUNCTION("""COMPUTED_VALUE"""),100.0)</f>
        <v>100</v>
      </c>
      <c r="J546" s="73"/>
      <c r="K546" s="73"/>
      <c r="L546" s="73"/>
      <c r="M546" s="77"/>
      <c r="N546" s="77">
        <f>IFERROR(__xludf.DUMMYFUNCTION("""COMPUTED_VALUE"""),1.0)</f>
        <v>1</v>
      </c>
      <c r="O546" s="49"/>
      <c r="P546" s="49" t="str">
        <f>IFERROR(__xludf.DUMMYFUNCTION("""COMPUTED_VALUE"""),"Offset")</f>
        <v>Offset</v>
      </c>
      <c r="Q546" s="49" t="str">
        <f>IFERROR(__xludf.DUMMYFUNCTION("""COMPUTED_VALUE"""),"Packaging")</f>
        <v>Packaging</v>
      </c>
      <c r="R546" s="49" t="str">
        <f>IFERROR(__xludf.DUMMYFUNCTION("""COMPUTED_VALUE"""),"Shipper")</f>
        <v>Shipper</v>
      </c>
    </row>
    <row r="547">
      <c r="A547" s="156" t="str">
        <f>IFERROR(__xludf.DUMMYFUNCTION("""COMPUTED_VALUE"""),"https://drive.google.com/open?id=13-IEH4sPN2ozfUMYoqwqFrD-DB0xyB5E&amp;authuser=jay.agg%40gmail.com&amp;usp=drive_fs")</f>
        <v>https://drive.google.com/open?id=13-IEH4sPN2ozfUMYoqwqFrD-DB0xyB5E&amp;authuser=jay.agg%40gmail.com&amp;usp=drive_fs</v>
      </c>
      <c r="B547" s="73" t="str">
        <f>IFERROR(__xludf.DUMMYFUNCTION("""COMPUTED_VALUE"""),"Shipper")</f>
        <v>Shipper</v>
      </c>
      <c r="C547" s="73" t="str">
        <f>IFERROR(__xludf.DUMMYFUNCTION("""COMPUTED_VALUE"""),"Misc")</f>
        <v>Misc</v>
      </c>
      <c r="D547" s="73" t="str">
        <f>IFERROR(__xludf.DUMMYFUNCTION("""COMPUTED_VALUE"""),"330*203*100 mm | 13*13*4 | 30*28")</f>
        <v>330*203*100 mm | 13*13*4 | 30*28</v>
      </c>
      <c r="E547" s="77">
        <f>IFERROR(__xludf.DUMMYFUNCTION("""COMPUTED_VALUE"""),1.0)</f>
        <v>1</v>
      </c>
      <c r="F547" s="77">
        <f>IFERROR(__xludf.DUMMYFUNCTION("""COMPUTED_VALUE"""),2840.0)</f>
        <v>2840</v>
      </c>
      <c r="G547" s="77">
        <f>IFERROR(__xludf.DUMMYFUNCTION("""COMPUTED_VALUE"""),28.0)</f>
        <v>28</v>
      </c>
      <c r="H547" s="77">
        <f>IFERROR(__xludf.DUMMYFUNCTION("""COMPUTED_VALUE"""),30.0)</f>
        <v>30</v>
      </c>
      <c r="I547" s="77">
        <f>IFERROR(__xludf.DUMMYFUNCTION("""COMPUTED_VALUE"""),100.0)</f>
        <v>100</v>
      </c>
      <c r="J547" s="73"/>
      <c r="K547" s="73"/>
      <c r="L547" s="73"/>
      <c r="M547" s="77"/>
      <c r="N547" s="77">
        <f>IFERROR(__xludf.DUMMYFUNCTION("""COMPUTED_VALUE"""),1.0)</f>
        <v>1</v>
      </c>
      <c r="O547" s="49"/>
      <c r="P547" s="49" t="str">
        <f>IFERROR(__xludf.DUMMYFUNCTION("""COMPUTED_VALUE"""),"Offset")</f>
        <v>Offset</v>
      </c>
      <c r="Q547" s="49" t="str">
        <f>IFERROR(__xludf.DUMMYFUNCTION("""COMPUTED_VALUE"""),"Packaging")</f>
        <v>Packaging</v>
      </c>
      <c r="R547" s="49" t="str">
        <f>IFERROR(__xludf.DUMMYFUNCTION("""COMPUTED_VALUE"""),"Shipper")</f>
        <v>Shipper</v>
      </c>
    </row>
    <row r="548">
      <c r="A548" s="156" t="str">
        <f>IFERROR(__xludf.DUMMYFUNCTION("""COMPUTED_VALUE"""),"https://drive.google.com/open?id=14ZWzKxxIa3QdCUIa7gYtvbkWunUj8G88&amp;authuser=jay.agg%40gmail.com&amp;usp=drive_fs")</f>
        <v>https://drive.google.com/open?id=14ZWzKxxIa3QdCUIa7gYtvbkWunUj8G88&amp;authuser=jay.agg%40gmail.com&amp;usp=drive_fs</v>
      </c>
      <c r="B548" s="73" t="str">
        <f>IFERROR(__xludf.DUMMYFUNCTION("""COMPUTED_VALUE"""),"Shipper")</f>
        <v>Shipper</v>
      </c>
      <c r="C548" s="73" t="str">
        <f>IFERROR(__xludf.DUMMYFUNCTION("""COMPUTED_VALUE"""),"Misc")</f>
        <v>Misc</v>
      </c>
      <c r="D548" s="73" t="str">
        <f>IFERROR(__xludf.DUMMYFUNCTION("""COMPUTED_VALUE"""),"102*102*40 mm | 4*4*1.5 inch | 24*13")</f>
        <v>102*102*40 mm | 4*4*1.5 inch | 24*13</v>
      </c>
      <c r="E548" s="77">
        <f>IFERROR(__xludf.DUMMYFUNCTION("""COMPUTED_VALUE"""),2.0)</f>
        <v>2</v>
      </c>
      <c r="F548" s="77">
        <f>IFERROR(__xludf.DUMMYFUNCTION("""COMPUTED_VALUE"""),1926.0)</f>
        <v>1926</v>
      </c>
      <c r="G548" s="77">
        <f>IFERROR(__xludf.DUMMYFUNCTION("""COMPUTED_VALUE"""),23.0)</f>
        <v>23</v>
      </c>
      <c r="H548" s="77">
        <f>IFERROR(__xludf.DUMMYFUNCTION("""COMPUTED_VALUE"""),13.0)</f>
        <v>13</v>
      </c>
      <c r="I548" s="77">
        <f>IFERROR(__xludf.DUMMYFUNCTION("""COMPUTED_VALUE"""),100.0)</f>
        <v>100</v>
      </c>
      <c r="J548" s="73"/>
      <c r="K548" s="73"/>
      <c r="L548" s="73"/>
      <c r="M548" s="77"/>
      <c r="N548" s="77">
        <f>IFERROR(__xludf.DUMMYFUNCTION("""COMPUTED_VALUE"""),1.0)</f>
        <v>1</v>
      </c>
      <c r="O548" s="49"/>
      <c r="P548" s="49" t="str">
        <f>IFERROR(__xludf.DUMMYFUNCTION("""COMPUTED_VALUE"""),"Offset")</f>
        <v>Offset</v>
      </c>
      <c r="Q548" s="49" t="str">
        <f>IFERROR(__xludf.DUMMYFUNCTION("""COMPUTED_VALUE"""),"Packaging")</f>
        <v>Packaging</v>
      </c>
      <c r="R548" s="49" t="str">
        <f>IFERROR(__xludf.DUMMYFUNCTION("""COMPUTED_VALUE"""),"Shipper")</f>
        <v>Shipper</v>
      </c>
    </row>
    <row r="549">
      <c r="A549" s="156" t="str">
        <f>IFERROR(__xludf.DUMMYFUNCTION("""COMPUTED_VALUE"""),"https://drive.google.com/open?id=14_TTfsrrzwn9woxcZNdi1VRzZIEI5arv&amp;authuser=jay.agg%40gmail.com&amp;usp=drive_fs")</f>
        <v>https://drive.google.com/open?id=14_TTfsrrzwn9woxcZNdi1VRzZIEI5arv&amp;authuser=jay.agg%40gmail.com&amp;usp=drive_fs</v>
      </c>
      <c r="B549" s="73" t="str">
        <f>IFERROR(__xludf.DUMMYFUNCTION("""COMPUTED_VALUE"""),"Shipper")</f>
        <v>Shipper</v>
      </c>
      <c r="C549" s="73" t="str">
        <f>IFERROR(__xludf.DUMMYFUNCTION("""COMPUTED_VALUE"""),"Misc")</f>
        <v>Misc</v>
      </c>
      <c r="D549" s="73" t="str">
        <f>IFERROR(__xludf.DUMMYFUNCTION("""COMPUTED_VALUE"""),"210*110*60 mm | 8.25*4.3*2.4 inch | 22*16")</f>
        <v>210*110*60 mm | 8.25*4.3*2.4 inch | 22*16</v>
      </c>
      <c r="E549" s="77">
        <f>IFERROR(__xludf.DUMMYFUNCTION("""COMPUTED_VALUE"""),1.0)</f>
        <v>1</v>
      </c>
      <c r="F549" s="77">
        <f>IFERROR(__xludf.DUMMYFUNCTION("""COMPUTED_VALUE"""),1926.0)</f>
        <v>1926</v>
      </c>
      <c r="G549" s="77">
        <f>IFERROR(__xludf.DUMMYFUNCTION("""COMPUTED_VALUE"""),18.0)</f>
        <v>18</v>
      </c>
      <c r="H549" s="77">
        <f>IFERROR(__xludf.DUMMYFUNCTION("""COMPUTED_VALUE"""),23.0)</f>
        <v>23</v>
      </c>
      <c r="I549" s="77">
        <f>IFERROR(__xludf.DUMMYFUNCTION("""COMPUTED_VALUE"""),100.0)</f>
        <v>100</v>
      </c>
      <c r="J549" s="73"/>
      <c r="K549" s="73"/>
      <c r="L549" s="73"/>
      <c r="M549" s="77"/>
      <c r="N549" s="77">
        <f>IFERROR(__xludf.DUMMYFUNCTION("""COMPUTED_VALUE"""),1.0)</f>
        <v>1</v>
      </c>
      <c r="O549" s="49"/>
      <c r="P549" s="49" t="str">
        <f>IFERROR(__xludf.DUMMYFUNCTION("""COMPUTED_VALUE"""),"Offset")</f>
        <v>Offset</v>
      </c>
      <c r="Q549" s="49" t="str">
        <f>IFERROR(__xludf.DUMMYFUNCTION("""COMPUTED_VALUE"""),"Packaging")</f>
        <v>Packaging</v>
      </c>
      <c r="R549" s="49" t="str">
        <f>IFERROR(__xludf.DUMMYFUNCTION("""COMPUTED_VALUE"""),"Shipper")</f>
        <v>Shipper</v>
      </c>
    </row>
    <row r="550">
      <c r="A550" s="156" t="str">
        <f>IFERROR(__xludf.DUMMYFUNCTION("""COMPUTED_VALUE"""),"https://drive.google.com/open?id=14dXpdNp5JX1FfInNZ0_m3f1Lc7vikQyf&amp;authuser=jay.agg%40gmail.com&amp;usp=drive_fs")</f>
        <v>https://drive.google.com/open?id=14dXpdNp5JX1FfInNZ0_m3f1Lc7vikQyf&amp;authuser=jay.agg%40gmail.com&amp;usp=drive_fs</v>
      </c>
      <c r="B550" s="73" t="str">
        <f>IFERROR(__xludf.DUMMYFUNCTION("""COMPUTED_VALUE"""),"Shipper")</f>
        <v>Shipper</v>
      </c>
      <c r="C550" s="73" t="str">
        <f>IFERROR(__xludf.DUMMYFUNCTION("""COMPUTED_VALUE"""),"Misc")</f>
        <v>Misc</v>
      </c>
      <c r="D550" s="73" t="str">
        <f>IFERROR(__xludf.DUMMYFUNCTION("""COMPUTED_VALUE"""),"230*235*90 mm | 9*9.25*3.5 inch | 30*25")</f>
        <v>230*235*90 mm | 9*9.25*3.5 inch | 30*25</v>
      </c>
      <c r="E550" s="77">
        <f>IFERROR(__xludf.DUMMYFUNCTION("""COMPUTED_VALUE"""),1.0)</f>
        <v>1</v>
      </c>
      <c r="F550" s="77">
        <f>IFERROR(__xludf.DUMMYFUNCTION("""COMPUTED_VALUE"""),2840.0)</f>
        <v>2840</v>
      </c>
      <c r="G550" s="77">
        <f>IFERROR(__xludf.DUMMYFUNCTION("""COMPUTED_VALUE"""),25.0)</f>
        <v>25</v>
      </c>
      <c r="H550" s="77">
        <f>IFERROR(__xludf.DUMMYFUNCTION("""COMPUTED_VALUE"""),30.0)</f>
        <v>30</v>
      </c>
      <c r="I550" s="77">
        <f>IFERROR(__xludf.DUMMYFUNCTION("""COMPUTED_VALUE"""),100.0)</f>
        <v>100</v>
      </c>
      <c r="J550" s="73"/>
      <c r="K550" s="73"/>
      <c r="L550" s="73"/>
      <c r="M550" s="77"/>
      <c r="N550" s="77">
        <f>IFERROR(__xludf.DUMMYFUNCTION("""COMPUTED_VALUE"""),1.0)</f>
        <v>1</v>
      </c>
      <c r="O550" s="49"/>
      <c r="P550" s="49" t="str">
        <f>IFERROR(__xludf.DUMMYFUNCTION("""COMPUTED_VALUE"""),"Offset")</f>
        <v>Offset</v>
      </c>
      <c r="Q550" s="49" t="str">
        <f>IFERROR(__xludf.DUMMYFUNCTION("""COMPUTED_VALUE"""),"Packaging")</f>
        <v>Packaging</v>
      </c>
      <c r="R550" s="49" t="str">
        <f>IFERROR(__xludf.DUMMYFUNCTION("""COMPUTED_VALUE"""),"Shipper")</f>
        <v>Shipper</v>
      </c>
    </row>
    <row r="551">
      <c r="A551" s="156" t="str">
        <f>IFERROR(__xludf.DUMMYFUNCTION("""COMPUTED_VALUE"""),"https://drive.google.com/open?id=1bLfJOhL2IxDo6E6TG-ZF8sMkbBGFdL43&amp;authuser=jay.agg%40gmail.com&amp;usp=drive_fs")</f>
        <v>https://drive.google.com/open?id=1bLfJOhL2IxDo6E6TG-ZF8sMkbBGFdL43&amp;authuser=jay.agg%40gmail.com&amp;usp=drive_fs</v>
      </c>
      <c r="B551" s="73" t="str">
        <f>IFERROR(__xludf.DUMMYFUNCTION("""COMPUTED_VALUE"""),"Shipper")</f>
        <v>Shipper</v>
      </c>
      <c r="C551" s="73" t="str">
        <f>IFERROR(__xludf.DUMMYFUNCTION("""COMPUTED_VALUE"""),"Misc")</f>
        <v>Misc</v>
      </c>
      <c r="D551" s="73" t="str">
        <f>IFERROR(__xludf.DUMMYFUNCTION("""COMPUTED_VALUE"""),"195*155*25 mm | 7.7*6.1*1 inch | 24*16")</f>
        <v>195*155*25 mm | 7.7*6.1*1 inch | 24*16</v>
      </c>
      <c r="E551" s="77">
        <f>IFERROR(__xludf.DUMMYFUNCTION("""COMPUTED_VALUE"""),2.0)</f>
        <v>2</v>
      </c>
      <c r="F551" s="77">
        <f>IFERROR(__xludf.DUMMYFUNCTION("""COMPUTED_VALUE"""),1926.0)</f>
        <v>1926</v>
      </c>
      <c r="G551" s="77">
        <f>IFERROR(__xludf.DUMMYFUNCTION("""COMPUTED_VALUE"""),18.0)</f>
        <v>18</v>
      </c>
      <c r="H551" s="77">
        <f>IFERROR(__xludf.DUMMYFUNCTION("""COMPUTED_VALUE"""),24.0)</f>
        <v>24</v>
      </c>
      <c r="I551" s="77">
        <f>IFERROR(__xludf.DUMMYFUNCTION("""COMPUTED_VALUE"""),100.0)</f>
        <v>100</v>
      </c>
      <c r="J551" s="73"/>
      <c r="K551" s="73"/>
      <c r="L551" s="73"/>
      <c r="M551" s="77"/>
      <c r="N551" s="77">
        <f>IFERROR(__xludf.DUMMYFUNCTION("""COMPUTED_VALUE"""),1.0)</f>
        <v>1</v>
      </c>
      <c r="O551" s="49"/>
      <c r="P551" s="49" t="str">
        <f>IFERROR(__xludf.DUMMYFUNCTION("""COMPUTED_VALUE"""),"Offset")</f>
        <v>Offset</v>
      </c>
      <c r="Q551" s="49" t="str">
        <f>IFERROR(__xludf.DUMMYFUNCTION("""COMPUTED_VALUE"""),"Packaging")</f>
        <v>Packaging</v>
      </c>
      <c r="R551" s="49" t="str">
        <f>IFERROR(__xludf.DUMMYFUNCTION("""COMPUTED_VALUE"""),"Shipper")</f>
        <v>Shipper</v>
      </c>
    </row>
    <row r="552">
      <c r="A552" s="156" t="str">
        <f>IFERROR(__xludf.DUMMYFUNCTION("""COMPUTED_VALUE"""),"https://drive.google.com/open?id=15TrW7oScI8W_5gJI2GGg86mbPO5qy0Lf&amp;authuser=jay.agg%40gmail.com&amp;usp=drive_fs")</f>
        <v>https://drive.google.com/open?id=15TrW7oScI8W_5gJI2GGg86mbPO5qy0Lf&amp;authuser=jay.agg%40gmail.com&amp;usp=drive_fs</v>
      </c>
      <c r="B552" s="73" t="str">
        <f>IFERROR(__xludf.DUMMYFUNCTION("""COMPUTED_VALUE"""),"Shoe")</f>
        <v>Shoe</v>
      </c>
      <c r="C552" s="73" t="str">
        <f>IFERROR(__xludf.DUMMYFUNCTION("""COMPUTED_VALUE"""),"Elles")</f>
        <v>Elles</v>
      </c>
      <c r="D552" s="73" t="str">
        <f>IFERROR(__xludf.DUMMYFUNCTION("""COMPUTED_VALUE"""),"280*153*102 mm | 11*6*4 inch | 22*24")</f>
        <v>280*153*102 mm | 11*6*4 inch | 22*24</v>
      </c>
      <c r="E552" s="77">
        <f>IFERROR(__xludf.DUMMYFUNCTION("""COMPUTED_VALUE"""),1.0)</f>
        <v>1</v>
      </c>
      <c r="F552" s="77">
        <f>IFERROR(__xludf.DUMMYFUNCTION("""COMPUTED_VALUE"""),2840.0)</f>
        <v>2840</v>
      </c>
      <c r="G552" s="77">
        <f>IFERROR(__xludf.DUMMYFUNCTION("""COMPUTED_VALUE"""),22.0)</f>
        <v>22</v>
      </c>
      <c r="H552" s="77">
        <f>IFERROR(__xludf.DUMMYFUNCTION("""COMPUTED_VALUE"""),28.0)</f>
        <v>28</v>
      </c>
      <c r="I552" s="77">
        <f>IFERROR(__xludf.DUMMYFUNCTION("""COMPUTED_VALUE"""),100.0)</f>
        <v>100</v>
      </c>
      <c r="J552" s="73"/>
      <c r="K552" s="73">
        <f>IFERROR(__xludf.DUMMYFUNCTION("""COMPUTED_VALUE"""),2.0)</f>
        <v>2</v>
      </c>
      <c r="L552" s="73"/>
      <c r="M552" s="77"/>
      <c r="N552" s="77">
        <f>IFERROR(__xludf.DUMMYFUNCTION("""COMPUTED_VALUE"""),1.0)</f>
        <v>1</v>
      </c>
      <c r="O552" s="49"/>
      <c r="P552" s="49" t="str">
        <f>IFERROR(__xludf.DUMMYFUNCTION("""COMPUTED_VALUE"""),"Offset")</f>
        <v>Offset</v>
      </c>
      <c r="Q552" s="49" t="str">
        <f>IFERROR(__xludf.DUMMYFUNCTION("""COMPUTED_VALUE"""),"Packaging")</f>
        <v>Packaging</v>
      </c>
      <c r="R552" s="49" t="str">
        <f>IFERROR(__xludf.DUMMYFUNCTION("""COMPUTED_VALUE"""),"Shoe")</f>
        <v>Shoe</v>
      </c>
    </row>
    <row r="553">
      <c r="A553" s="156" t="str">
        <f>IFERROR(__xludf.DUMMYFUNCTION("""COMPUTED_VALUE"""),"https://drive.google.com/open?id=15WpUXahhLy87Qt8GgaQDyjwXDgcNjg2B&amp;authuser=jay.agg%40gmail.com&amp;usp=drive_fs")</f>
        <v>https://drive.google.com/open?id=15WpUXahhLy87Qt8GgaQDyjwXDgcNjg2B&amp;authuser=jay.agg%40gmail.com&amp;usp=drive_fs</v>
      </c>
      <c r="B553" s="73" t="str">
        <f>IFERROR(__xludf.DUMMYFUNCTION("""COMPUTED_VALUE"""),"Shipper")</f>
        <v>Shipper</v>
      </c>
      <c r="C553" s="73" t="str">
        <f>IFERROR(__xludf.DUMMYFUNCTION("""COMPUTED_VALUE"""),"Misc")</f>
        <v>Misc</v>
      </c>
      <c r="D553" s="73" t="str">
        <f>IFERROR(__xludf.DUMMYFUNCTION("""COMPUTED_VALUE"""),"228*178*52 mm | 9*7*2 inch | 22*18")</f>
        <v>228*178*52 mm | 9*7*2 inch | 22*18</v>
      </c>
      <c r="E553" s="77">
        <f>IFERROR(__xludf.DUMMYFUNCTION("""COMPUTED_VALUE"""),1.0)</f>
        <v>1</v>
      </c>
      <c r="F553" s="77">
        <f>IFERROR(__xludf.DUMMYFUNCTION("""COMPUTED_VALUE"""),1926.0)</f>
        <v>1926</v>
      </c>
      <c r="G553" s="77">
        <f>IFERROR(__xludf.DUMMYFUNCTION("""COMPUTED_VALUE"""),18.0)</f>
        <v>18</v>
      </c>
      <c r="H553" s="77">
        <f>IFERROR(__xludf.DUMMYFUNCTION("""COMPUTED_VALUE"""),23.0)</f>
        <v>23</v>
      </c>
      <c r="I553" s="77">
        <f>IFERROR(__xludf.DUMMYFUNCTION("""COMPUTED_VALUE"""),100.0)</f>
        <v>100</v>
      </c>
      <c r="J553" s="73"/>
      <c r="K553" s="73"/>
      <c r="L553" s="73"/>
      <c r="M553" s="77"/>
      <c r="N553" s="77">
        <f>IFERROR(__xludf.DUMMYFUNCTION("""COMPUTED_VALUE"""),1.0)</f>
        <v>1</v>
      </c>
      <c r="O553" s="49"/>
      <c r="P553" s="49" t="str">
        <f>IFERROR(__xludf.DUMMYFUNCTION("""COMPUTED_VALUE"""),"Offset")</f>
        <v>Offset</v>
      </c>
      <c r="Q553" s="49" t="str">
        <f>IFERROR(__xludf.DUMMYFUNCTION("""COMPUTED_VALUE"""),"Packaging")</f>
        <v>Packaging</v>
      </c>
      <c r="R553" s="49" t="str">
        <f>IFERROR(__xludf.DUMMYFUNCTION("""COMPUTED_VALUE"""),"Shipper")</f>
        <v>Shipper</v>
      </c>
    </row>
    <row r="554">
      <c r="A554" s="156" t="str">
        <f>IFERROR(__xludf.DUMMYFUNCTION("""COMPUTED_VALUE"""),"https://drive.google.com/open?id=15lMRmZccGRak2x6YXoCIiY5p_yYiIQak&amp;authuser=jay.agg%40gmail.com&amp;usp=drive_fs")</f>
        <v>https://drive.google.com/open?id=15lMRmZccGRak2x6YXoCIiY5p_yYiIQak&amp;authuser=jay.agg%40gmail.com&amp;usp=drive_fs</v>
      </c>
      <c r="B554" s="73" t="str">
        <f>IFERROR(__xludf.DUMMYFUNCTION("""COMPUTED_VALUE"""),"Shipper")</f>
        <v>Shipper</v>
      </c>
      <c r="C554" s="73" t="str">
        <f>IFERROR(__xludf.DUMMYFUNCTION("""COMPUTED_VALUE"""),"Misc")</f>
        <v>Misc</v>
      </c>
      <c r="D554" s="73" t="str">
        <f>IFERROR(__xludf.DUMMYFUNCTION("""COMPUTED_VALUE"""),"102*102*102 mm | 4*4*4 inch | 22*20")</f>
        <v>102*102*102 mm | 4*4*4 inch | 22*20</v>
      </c>
      <c r="E554" s="77">
        <f>IFERROR(__xludf.DUMMYFUNCTION("""COMPUTED_VALUE"""),1.0)</f>
        <v>1</v>
      </c>
      <c r="F554" s="77">
        <f>IFERROR(__xludf.DUMMYFUNCTION("""COMPUTED_VALUE"""),1926.0)</f>
        <v>1926</v>
      </c>
      <c r="G554" s="77">
        <f>IFERROR(__xludf.DUMMYFUNCTION("""COMPUTED_VALUE"""),22.0)</f>
        <v>22</v>
      </c>
      <c r="H554" s="77">
        <f>IFERROR(__xludf.DUMMYFUNCTION("""COMPUTED_VALUE"""),22.0)</f>
        <v>22</v>
      </c>
      <c r="I554" s="77">
        <f>IFERROR(__xludf.DUMMYFUNCTION("""COMPUTED_VALUE"""),100.0)</f>
        <v>100</v>
      </c>
      <c r="J554" s="73"/>
      <c r="K554" s="73"/>
      <c r="L554" s="73"/>
      <c r="M554" s="77"/>
      <c r="N554" s="77">
        <f>IFERROR(__xludf.DUMMYFUNCTION("""COMPUTED_VALUE"""),1.0)</f>
        <v>1</v>
      </c>
      <c r="O554" s="49"/>
      <c r="P554" s="49" t="str">
        <f>IFERROR(__xludf.DUMMYFUNCTION("""COMPUTED_VALUE"""),"Offset")</f>
        <v>Offset</v>
      </c>
      <c r="Q554" s="49" t="str">
        <f>IFERROR(__xludf.DUMMYFUNCTION("""COMPUTED_VALUE"""),"Packaging")</f>
        <v>Packaging</v>
      </c>
      <c r="R554" s="49" t="str">
        <f>IFERROR(__xludf.DUMMYFUNCTION("""COMPUTED_VALUE"""),"Shipper")</f>
        <v>Shipper</v>
      </c>
    </row>
    <row r="555">
      <c r="A555" s="156" t="str">
        <f>IFERROR(__xludf.DUMMYFUNCTION("""COMPUTED_VALUE"""),"https://drive.google.com/open?id=15r9is-XbosBQyir20ngjdi2PtQy8iDJB&amp;authuser=jay.agg%40gmail.com&amp;usp=drive_fs")</f>
        <v>https://drive.google.com/open?id=15r9is-XbosBQyir20ngjdi2PtQy8iDJB&amp;authuser=jay.agg%40gmail.com&amp;usp=drive_fs</v>
      </c>
      <c r="B555" s="73" t="str">
        <f>IFERROR(__xludf.DUMMYFUNCTION("""COMPUTED_VALUE"""),"Shoe")</f>
        <v>Shoe</v>
      </c>
      <c r="C555" s="73" t="str">
        <f>IFERROR(__xludf.DUMMYFUNCTION("""COMPUTED_VALUE"""),"Elles")</f>
        <v>Elles</v>
      </c>
      <c r="D555" s="73" t="str">
        <f>IFERROR(__xludf.DUMMYFUNCTION("""COMPUTED_VALUE"""),"280*203*102 mm | 11*8*4 inch | 24*28")</f>
        <v>280*203*102 mm | 11*8*4 inch | 24*28</v>
      </c>
      <c r="E555" s="77">
        <f>IFERROR(__xludf.DUMMYFUNCTION("""COMPUTED_VALUE"""),1.0)</f>
        <v>1</v>
      </c>
      <c r="F555" s="77">
        <f>IFERROR(__xludf.DUMMYFUNCTION("""COMPUTED_VALUE"""),2840.0)</f>
        <v>2840</v>
      </c>
      <c r="G555" s="77">
        <f>IFERROR(__xludf.DUMMYFUNCTION("""COMPUTED_VALUE"""),22.0)</f>
        <v>22</v>
      </c>
      <c r="H555" s="77">
        <f>IFERROR(__xludf.DUMMYFUNCTION("""COMPUTED_VALUE"""),28.0)</f>
        <v>28</v>
      </c>
      <c r="I555" s="77">
        <f>IFERROR(__xludf.DUMMYFUNCTION("""COMPUTED_VALUE"""),100.0)</f>
        <v>100</v>
      </c>
      <c r="J555" s="73"/>
      <c r="K555" s="73">
        <f>IFERROR(__xludf.DUMMYFUNCTION("""COMPUTED_VALUE"""),2.0)</f>
        <v>2</v>
      </c>
      <c r="L555" s="73"/>
      <c r="M555" s="77"/>
      <c r="N555" s="77">
        <f>IFERROR(__xludf.DUMMYFUNCTION("""COMPUTED_VALUE"""),1.0)</f>
        <v>1</v>
      </c>
      <c r="O555" s="49"/>
      <c r="P555" s="49" t="str">
        <f>IFERROR(__xludf.DUMMYFUNCTION("""COMPUTED_VALUE"""),"Offset")</f>
        <v>Offset</v>
      </c>
      <c r="Q555" s="49" t="str">
        <f>IFERROR(__xludf.DUMMYFUNCTION("""COMPUTED_VALUE"""),"Packaging")</f>
        <v>Packaging</v>
      </c>
      <c r="R555" s="49" t="str">
        <f>IFERROR(__xludf.DUMMYFUNCTION("""COMPUTED_VALUE"""),"Shoe")</f>
        <v>Shoe</v>
      </c>
    </row>
    <row r="556">
      <c r="A556" s="156" t="str">
        <f>IFERROR(__xludf.DUMMYFUNCTION("""COMPUTED_VALUE"""),"https://drive.google.com/open?id=16RD4nheWNq-8N3AXZExFHfMqKq_bjMnn&amp;authuser=jay.agg%40gmail.com&amp;usp=drive_fs")</f>
        <v>https://drive.google.com/open?id=16RD4nheWNq-8N3AXZExFHfMqKq_bjMnn&amp;authuser=jay.agg%40gmail.com&amp;usp=drive_fs</v>
      </c>
      <c r="B556" s="73" t="str">
        <f>IFERROR(__xludf.DUMMYFUNCTION("""COMPUTED_VALUE"""),"Shipper")</f>
        <v>Shipper</v>
      </c>
      <c r="C556" s="73" t="str">
        <f>IFERROR(__xludf.DUMMYFUNCTION("""COMPUTED_VALUE"""),"Misc")</f>
        <v>Misc</v>
      </c>
      <c r="D556" s="73" t="str">
        <f>IFERROR(__xludf.DUMMYFUNCTION("""COMPUTED_VALUE"""),"95*95*130 mm | 3.74*3.74*5.1 inch IL | 22*16")</f>
        <v>95*95*130 mm | 3.74*3.74*5.1 inch IL | 22*16</v>
      </c>
      <c r="E556" s="77">
        <f>IFERROR(__xludf.DUMMYFUNCTION("""COMPUTED_VALUE"""),2.0)</f>
        <v>2</v>
      </c>
      <c r="F556" s="77">
        <f>IFERROR(__xludf.DUMMYFUNCTION("""COMPUTED_VALUE"""),1926.0)</f>
        <v>1926</v>
      </c>
      <c r="G556" s="77">
        <f>IFERROR(__xludf.DUMMYFUNCTION("""COMPUTED_VALUE"""),18.0)</f>
        <v>18</v>
      </c>
      <c r="H556" s="77">
        <f>IFERROR(__xludf.DUMMYFUNCTION("""COMPUTED_VALUE"""),23.0)</f>
        <v>23</v>
      </c>
      <c r="I556" s="77">
        <f>IFERROR(__xludf.DUMMYFUNCTION("""COMPUTED_VALUE"""),100.0)</f>
        <v>100</v>
      </c>
      <c r="J556" s="73"/>
      <c r="K556" s="73"/>
      <c r="L556" s="73"/>
      <c r="M556" s="77"/>
      <c r="N556" s="77">
        <f>IFERROR(__xludf.DUMMYFUNCTION("""COMPUTED_VALUE"""),1.0)</f>
        <v>1</v>
      </c>
      <c r="O556" s="49"/>
      <c r="P556" s="49" t="str">
        <f>IFERROR(__xludf.DUMMYFUNCTION("""COMPUTED_VALUE"""),"Offset")</f>
        <v>Offset</v>
      </c>
      <c r="Q556" s="49" t="str">
        <f>IFERROR(__xludf.DUMMYFUNCTION("""COMPUTED_VALUE"""),"Packaging")</f>
        <v>Packaging</v>
      </c>
      <c r="R556" s="49" t="str">
        <f>IFERROR(__xludf.DUMMYFUNCTION("""COMPUTED_VALUE"""),"Shipper")</f>
        <v>Shipper</v>
      </c>
    </row>
    <row r="557">
      <c r="A557" s="156" t="str">
        <f>IFERROR(__xludf.DUMMYFUNCTION("""COMPUTED_VALUE"""),"https://drive.google.com/open?id=17R65lEkZg_lAJHShsZpzWuEjCNPWNfjL&amp;authuser=jay.agg%40gmail.com&amp;usp=drive_fs")</f>
        <v>https://drive.google.com/open?id=17R65lEkZg_lAJHShsZpzWuEjCNPWNfjL&amp;authuser=jay.agg%40gmail.com&amp;usp=drive_fs</v>
      </c>
      <c r="B557" s="73" t="str">
        <f>IFERROR(__xludf.DUMMYFUNCTION("""COMPUTED_VALUE"""),"Shoe")</f>
        <v>Shoe</v>
      </c>
      <c r="C557" s="73" t="str">
        <f>IFERROR(__xludf.DUMMYFUNCTION("""COMPUTED_VALUE"""),"Elles")</f>
        <v>Elles</v>
      </c>
      <c r="D557" s="73" t="str">
        <f>IFERROR(__xludf.DUMMYFUNCTION("""COMPUTED_VALUE"""),"280*120*102 mm | 11*4.75*4 inch |  22*21")</f>
        <v>280*120*102 mm | 11*4.75*4 inch |  22*21</v>
      </c>
      <c r="E557" s="77">
        <f>IFERROR(__xludf.DUMMYFUNCTION("""COMPUTED_VALUE"""),1.0)</f>
        <v>1</v>
      </c>
      <c r="F557" s="77">
        <f>IFERROR(__xludf.DUMMYFUNCTION("""COMPUTED_VALUE"""),2840.0)</f>
        <v>2840</v>
      </c>
      <c r="G557" s="77">
        <f>IFERROR(__xludf.DUMMYFUNCTION("""COMPUTED_VALUE"""),22.0)</f>
        <v>22</v>
      </c>
      <c r="H557" s="77">
        <f>IFERROR(__xludf.DUMMYFUNCTION("""COMPUTED_VALUE"""),28.0)</f>
        <v>28</v>
      </c>
      <c r="I557" s="77">
        <f>IFERROR(__xludf.DUMMYFUNCTION("""COMPUTED_VALUE"""),100.0)</f>
        <v>100</v>
      </c>
      <c r="J557" s="73"/>
      <c r="K557" s="73">
        <f>IFERROR(__xludf.DUMMYFUNCTION("""COMPUTED_VALUE"""),2.0)</f>
        <v>2</v>
      </c>
      <c r="L557" s="73"/>
      <c r="M557" s="77"/>
      <c r="N557" s="77">
        <f>IFERROR(__xludf.DUMMYFUNCTION("""COMPUTED_VALUE"""),1.0)</f>
        <v>1</v>
      </c>
      <c r="O557" s="49"/>
      <c r="P557" s="49" t="str">
        <f>IFERROR(__xludf.DUMMYFUNCTION("""COMPUTED_VALUE"""),"Offset")</f>
        <v>Offset</v>
      </c>
      <c r="Q557" s="49" t="str">
        <f>IFERROR(__xludf.DUMMYFUNCTION("""COMPUTED_VALUE"""),"Packaging")</f>
        <v>Packaging</v>
      </c>
      <c r="R557" s="49" t="str">
        <f>IFERROR(__xludf.DUMMYFUNCTION("""COMPUTED_VALUE"""),"Shoe")</f>
        <v>Shoe</v>
      </c>
    </row>
    <row r="558">
      <c r="A558" s="156" t="str">
        <f>IFERROR(__xludf.DUMMYFUNCTION("""COMPUTED_VALUE"""),"https://drive.google.com/open?id=1dLzlu1hdzm0lTF0jKspGn9OCeU8P-0qy&amp;authuser=jay.agg%40gmail.com&amp;usp=drive_fs")</f>
        <v>https://drive.google.com/open?id=1dLzlu1hdzm0lTF0jKspGn9OCeU8P-0qy&amp;authuser=jay.agg%40gmail.com&amp;usp=drive_fs</v>
      </c>
      <c r="B558" s="73" t="str">
        <f>IFERROR(__xludf.DUMMYFUNCTION("""COMPUTED_VALUE"""),"Shipper")</f>
        <v>Shipper</v>
      </c>
      <c r="C558" s="73" t="str">
        <f>IFERROR(__xludf.DUMMYFUNCTION("""COMPUTED_VALUE"""),"Misc")</f>
        <v>Misc</v>
      </c>
      <c r="D558" s="73" t="str">
        <f>IFERROR(__xludf.DUMMYFUNCTION("""COMPUTED_VALUE"""),"82*82*235 mm | 3.2*3.2*9.2 inch | 28*14")</f>
        <v>82*82*235 mm | 3.2*3.2*9.2 inch | 28*14</v>
      </c>
      <c r="E558" s="77">
        <f>IFERROR(__xludf.DUMMYFUNCTION("""COMPUTED_VALUE"""),2.0)</f>
        <v>2</v>
      </c>
      <c r="F558" s="77">
        <f>IFERROR(__xludf.DUMMYFUNCTION("""COMPUTED_VALUE"""),2029.0)</f>
        <v>2029</v>
      </c>
      <c r="G558" s="77">
        <f>IFERROR(__xludf.DUMMYFUNCTION("""COMPUTED_VALUE"""),14.0)</f>
        <v>14</v>
      </c>
      <c r="H558" s="77">
        <f>IFERROR(__xludf.DUMMYFUNCTION("""COMPUTED_VALUE"""),28.0)</f>
        <v>28</v>
      </c>
      <c r="I558" s="77">
        <f>IFERROR(__xludf.DUMMYFUNCTION("""COMPUTED_VALUE"""),100.0)</f>
        <v>100</v>
      </c>
      <c r="J558" s="73"/>
      <c r="K558" s="73"/>
      <c r="L558" s="73"/>
      <c r="M558" s="77"/>
      <c r="N558" s="77">
        <f>IFERROR(__xludf.DUMMYFUNCTION("""COMPUTED_VALUE"""),1.0)</f>
        <v>1</v>
      </c>
      <c r="O558" s="49"/>
      <c r="P558" s="49" t="str">
        <f>IFERROR(__xludf.DUMMYFUNCTION("""COMPUTED_VALUE"""),"Offset")</f>
        <v>Offset</v>
      </c>
      <c r="Q558" s="49" t="str">
        <f>IFERROR(__xludf.DUMMYFUNCTION("""COMPUTED_VALUE"""),"Packaging")</f>
        <v>Packaging</v>
      </c>
      <c r="R558" s="49" t="str">
        <f>IFERROR(__xludf.DUMMYFUNCTION("""COMPUTED_VALUE"""),"Shipper")</f>
        <v>Shipper</v>
      </c>
    </row>
    <row r="559">
      <c r="A559" s="73"/>
      <c r="B559" s="73" t="str">
        <f>IFERROR(__xludf.DUMMYFUNCTION("""COMPUTED_VALUE"""),"Shipper")</f>
        <v>Shipper</v>
      </c>
      <c r="C559" s="73" t="str">
        <f>IFERROR(__xludf.DUMMYFUNCTION("""COMPUTED_VALUE"""),"Misc")</f>
        <v>Misc</v>
      </c>
      <c r="D559" s="73" t="str">
        <f>IFERROR(__xludf.DUMMYFUNCTION("""COMPUTED_VALUE"""),"317*215*51 mm |12.5*8.5*2 inch | 22*28")</f>
        <v>317*215*51 mm |12.5*8.5*2 inch | 22*28</v>
      </c>
      <c r="E559" s="77">
        <f>IFERROR(__xludf.DUMMYFUNCTION("""COMPUTED_VALUE"""),1.0)</f>
        <v>1</v>
      </c>
      <c r="F559" s="77">
        <f>IFERROR(__xludf.DUMMYFUNCTION("""COMPUTED_VALUE"""),2029.0)</f>
        <v>2029</v>
      </c>
      <c r="G559" s="77">
        <f>IFERROR(__xludf.DUMMYFUNCTION("""COMPUTED_VALUE"""),22.0)</f>
        <v>22</v>
      </c>
      <c r="H559" s="77">
        <f>IFERROR(__xludf.DUMMYFUNCTION("""COMPUTED_VALUE"""),28.0)</f>
        <v>28</v>
      </c>
      <c r="I559" s="77">
        <f>IFERROR(__xludf.DUMMYFUNCTION("""COMPUTED_VALUE"""),100.0)</f>
        <v>100</v>
      </c>
      <c r="J559" s="73"/>
      <c r="K559" s="73"/>
      <c r="L559" s="73"/>
      <c r="M559" s="77"/>
      <c r="N559" s="77">
        <f>IFERROR(__xludf.DUMMYFUNCTION("""COMPUTED_VALUE"""),1.0)</f>
        <v>1</v>
      </c>
      <c r="O559" s="49"/>
      <c r="P559" s="49" t="str">
        <f>IFERROR(__xludf.DUMMYFUNCTION("""COMPUTED_VALUE"""),"Offset")</f>
        <v>Offset</v>
      </c>
      <c r="Q559" s="49" t="str">
        <f>IFERROR(__xludf.DUMMYFUNCTION("""COMPUTED_VALUE"""),"Packaging")</f>
        <v>Packaging</v>
      </c>
      <c r="R559" s="49" t="str">
        <f>IFERROR(__xludf.DUMMYFUNCTION("""COMPUTED_VALUE"""),"Shipper")</f>
        <v>Shipper</v>
      </c>
    </row>
    <row r="560">
      <c r="A560" s="156" t="str">
        <f>IFERROR(__xludf.DUMMYFUNCTION("""COMPUTED_VALUE"""),"https://drive.google.com/open?id=1dkCwl8uafmMMhmuNBwjOjj-21RLigeRl&amp;authuser=jay.agg%40gmail.com&amp;usp=drive_fs")</f>
        <v>https://drive.google.com/open?id=1dkCwl8uafmMMhmuNBwjOjj-21RLigeRl&amp;authuser=jay.agg%40gmail.com&amp;usp=drive_fs</v>
      </c>
      <c r="B560" s="73" t="str">
        <f>IFERROR(__xludf.DUMMYFUNCTION("""COMPUTED_VALUE"""),"Shipper")</f>
        <v>Shipper</v>
      </c>
      <c r="C560" s="73" t="str">
        <f>IFERROR(__xludf.DUMMYFUNCTION("""COMPUTED_VALUE"""),"Misc")</f>
        <v>Misc</v>
      </c>
      <c r="D560" s="73" t="str">
        <f>IFERROR(__xludf.DUMMYFUNCTION("""COMPUTED_VALUE"""),"102*102*76 mm | 4*4*3 inch | 32*17")</f>
        <v>102*102*76 mm | 4*4*3 inch | 32*17</v>
      </c>
      <c r="E560" s="77">
        <f>IFERROR(__xludf.DUMMYFUNCTION("""COMPUTED_VALUE"""),2.0)</f>
        <v>2</v>
      </c>
      <c r="F560" s="77">
        <f>IFERROR(__xludf.DUMMYFUNCTION("""COMPUTED_VALUE"""),2029.0)</f>
        <v>2029</v>
      </c>
      <c r="G560" s="77">
        <f>IFERROR(__xludf.DUMMYFUNCTION("""COMPUTED_VALUE"""),18.0)</f>
        <v>18</v>
      </c>
      <c r="H560" s="77">
        <f>IFERROR(__xludf.DUMMYFUNCTION("""COMPUTED_VALUE"""),32.0)</f>
        <v>32</v>
      </c>
      <c r="I560" s="77">
        <f>IFERROR(__xludf.DUMMYFUNCTION("""COMPUTED_VALUE"""),100.0)</f>
        <v>100</v>
      </c>
      <c r="J560" s="73"/>
      <c r="K560" s="73"/>
      <c r="L560" s="73"/>
      <c r="M560" s="77"/>
      <c r="N560" s="77">
        <f>IFERROR(__xludf.DUMMYFUNCTION("""COMPUTED_VALUE"""),1.0)</f>
        <v>1</v>
      </c>
      <c r="O560" s="49"/>
      <c r="P560" s="49" t="str">
        <f>IFERROR(__xludf.DUMMYFUNCTION("""COMPUTED_VALUE"""),"Offset")</f>
        <v>Offset</v>
      </c>
      <c r="Q560" s="49" t="str">
        <f>IFERROR(__xludf.DUMMYFUNCTION("""COMPUTED_VALUE"""),"Packaging")</f>
        <v>Packaging</v>
      </c>
      <c r="R560" s="49" t="str">
        <f>IFERROR(__xludf.DUMMYFUNCTION("""COMPUTED_VALUE"""),"Shipper")</f>
        <v>Shipper</v>
      </c>
    </row>
    <row r="561">
      <c r="A561" s="156" t="str">
        <f>IFERROR(__xludf.DUMMYFUNCTION("""COMPUTED_VALUE"""),"https://drive.google.com/open?id=1eOWpN4aqpvM42tIVhG1mDNlMCsZLyGgo&amp;authuser=jay.agg%40gmail.com&amp;usp=drive_fs")</f>
        <v>https://drive.google.com/open?id=1eOWpN4aqpvM42tIVhG1mDNlMCsZLyGgo&amp;authuser=jay.agg%40gmail.com&amp;usp=drive_fs</v>
      </c>
      <c r="B561" s="73" t="str">
        <f>IFERROR(__xludf.DUMMYFUNCTION("""COMPUTED_VALUE"""),"Shipper")</f>
        <v>Shipper</v>
      </c>
      <c r="C561" s="73" t="str">
        <f>IFERROR(__xludf.DUMMYFUNCTION("""COMPUTED_VALUE"""),"Misc")</f>
        <v>Misc</v>
      </c>
      <c r="D561" s="73" t="str">
        <f>IFERROR(__xludf.DUMMYFUNCTION("""COMPUTED_VALUE"""),"405*177*52 mm | 16*7*2 inch | 26*21")</f>
        <v>405*177*52 mm | 16*7*2 inch | 26*21</v>
      </c>
      <c r="E561" s="77">
        <f>IFERROR(__xludf.DUMMYFUNCTION("""COMPUTED_VALUE"""),1.0)</f>
        <v>1</v>
      </c>
      <c r="F561" s="77">
        <f>IFERROR(__xludf.DUMMYFUNCTION("""COMPUTED_VALUE"""),2029.0)</f>
        <v>2029</v>
      </c>
      <c r="G561" s="77">
        <f>IFERROR(__xludf.DUMMYFUNCTION("""COMPUTED_VALUE"""),20.0)</f>
        <v>20</v>
      </c>
      <c r="H561" s="77">
        <f>IFERROR(__xludf.DUMMYFUNCTION("""COMPUTED_VALUE"""),25.0)</f>
        <v>25</v>
      </c>
      <c r="I561" s="77">
        <f>IFERROR(__xludf.DUMMYFUNCTION("""COMPUTED_VALUE"""),100.0)</f>
        <v>100</v>
      </c>
      <c r="J561" s="73"/>
      <c r="K561" s="73"/>
      <c r="L561" s="73"/>
      <c r="M561" s="77">
        <f>IFERROR(__xludf.DUMMYFUNCTION("""COMPUTED_VALUE"""),0.1)</f>
        <v>0.1</v>
      </c>
      <c r="N561" s="77">
        <f>IFERROR(__xludf.DUMMYFUNCTION("""COMPUTED_VALUE"""),1.0)</f>
        <v>1</v>
      </c>
      <c r="O561" s="49"/>
      <c r="P561" s="49" t="str">
        <f>IFERROR(__xludf.DUMMYFUNCTION("""COMPUTED_VALUE"""),"Offset")</f>
        <v>Offset</v>
      </c>
      <c r="Q561" s="49" t="str">
        <f>IFERROR(__xludf.DUMMYFUNCTION("""COMPUTED_VALUE"""),"Packaging")</f>
        <v>Packaging</v>
      </c>
      <c r="R561" s="49" t="str">
        <f>IFERROR(__xludf.DUMMYFUNCTION("""COMPUTED_VALUE"""),"Shipper")</f>
        <v>Shipper</v>
      </c>
    </row>
    <row r="562">
      <c r="A562" s="156" t="str">
        <f>IFERROR(__xludf.DUMMYFUNCTION("""COMPUTED_VALUE"""),"https://drive.google.com/open?id=1eimYuGG5buTe5xyo2l9Je7LY1Muo7cK4&amp;authuser=jay.agg%40gmail.com&amp;usp=drive_fs")</f>
        <v>https://drive.google.com/open?id=1eimYuGG5buTe5xyo2l9Je7LY1Muo7cK4&amp;authuser=jay.agg%40gmail.com&amp;usp=drive_fs</v>
      </c>
      <c r="B562" s="73" t="str">
        <f>IFERROR(__xludf.DUMMYFUNCTION("""COMPUTED_VALUE"""),"Shipper")</f>
        <v>Shipper</v>
      </c>
      <c r="C562" s="73" t="str">
        <f>IFERROR(__xludf.DUMMYFUNCTION("""COMPUTED_VALUE"""),"Misc")</f>
        <v>Misc</v>
      </c>
      <c r="D562" s="73" t="str">
        <f>IFERROR(__xludf.DUMMYFUNCTION("""COMPUTED_VALUE"""),"64*64*51 mm | 2.5*2.5*2 LB | 22*11")</f>
        <v>64*64*51 mm | 2.5*2.5*2 LB | 22*11</v>
      </c>
      <c r="E562" s="77">
        <f>IFERROR(__xludf.DUMMYFUNCTION("""COMPUTED_VALUE"""),4.0)</f>
        <v>4</v>
      </c>
      <c r="F562" s="77">
        <f>IFERROR(__xludf.DUMMYFUNCTION("""COMPUTED_VALUE"""),1926.0)</f>
        <v>1926</v>
      </c>
      <c r="G562" s="77">
        <f>IFERROR(__xludf.DUMMYFUNCTION("""COMPUTED_VALUE"""),12.0)</f>
        <v>12</v>
      </c>
      <c r="H562" s="77">
        <f>IFERROR(__xludf.DUMMYFUNCTION("""COMPUTED_VALUE"""),23.0)</f>
        <v>23</v>
      </c>
      <c r="I562" s="77">
        <f>IFERROR(__xludf.DUMMYFUNCTION("""COMPUTED_VALUE"""),100.0)</f>
        <v>100</v>
      </c>
      <c r="J562" s="73"/>
      <c r="K562" s="73"/>
      <c r="L562" s="73"/>
      <c r="M562" s="77">
        <f>IFERROR(__xludf.DUMMYFUNCTION("""COMPUTED_VALUE"""),0.1)</f>
        <v>0.1</v>
      </c>
      <c r="N562" s="77">
        <f>IFERROR(__xludf.DUMMYFUNCTION("""COMPUTED_VALUE"""),1.0)</f>
        <v>1</v>
      </c>
      <c r="O562" s="49"/>
      <c r="P562" s="49" t="str">
        <f>IFERROR(__xludf.DUMMYFUNCTION("""COMPUTED_VALUE"""),"Offset")</f>
        <v>Offset</v>
      </c>
      <c r="Q562" s="49" t="str">
        <f>IFERROR(__xludf.DUMMYFUNCTION("""COMPUTED_VALUE"""),"Packaging")</f>
        <v>Packaging</v>
      </c>
      <c r="R562" s="49" t="str">
        <f>IFERROR(__xludf.DUMMYFUNCTION("""COMPUTED_VALUE"""),"Shipper")</f>
        <v>Shipper</v>
      </c>
    </row>
    <row r="563">
      <c r="A563" s="156" t="str">
        <f>IFERROR(__xludf.DUMMYFUNCTION("""COMPUTED_VALUE"""),"https://drive.google.com/open?id=1f9Y1cvxf0kcb0jkCiZJWEsm9qWG13nNI&amp;authuser=jay.agg%40gmail.com&amp;usp=drive_fs")</f>
        <v>https://drive.google.com/open?id=1f9Y1cvxf0kcb0jkCiZJWEsm9qWG13nNI&amp;authuser=jay.agg%40gmail.com&amp;usp=drive_fs</v>
      </c>
      <c r="B563" s="73" t="str">
        <f>IFERROR(__xludf.DUMMYFUNCTION("""COMPUTED_VALUE"""),"Shoe")</f>
        <v>Shoe</v>
      </c>
      <c r="C563" s="73" t="str">
        <f>IFERROR(__xludf.DUMMYFUNCTION("""COMPUTED_VALUE"""),"Atheco")</f>
        <v>Atheco</v>
      </c>
      <c r="D563" s="73" t="str">
        <f>IFERROR(__xludf.DUMMYFUNCTION("""COMPUTED_VALUE"""),"330*203*119 mm | 13*8*4.7 | 28*32")</f>
        <v>330*203*119 mm | 13*8*4.7 | 28*32</v>
      </c>
      <c r="E563" s="77">
        <f>IFERROR(__xludf.DUMMYFUNCTION("""COMPUTED_VALUE"""),1.0)</f>
        <v>1</v>
      </c>
      <c r="F563" s="77">
        <f>IFERROR(__xludf.DUMMYFUNCTION("""COMPUTED_VALUE"""),2840.0)</f>
        <v>2840</v>
      </c>
      <c r="G563" s="77">
        <f>IFERROR(__xludf.DUMMYFUNCTION("""COMPUTED_VALUE"""),28.0)</f>
        <v>28</v>
      </c>
      <c r="H563" s="77">
        <f>IFERROR(__xludf.DUMMYFUNCTION("""COMPUTED_VALUE"""),32.0)</f>
        <v>32</v>
      </c>
      <c r="I563" s="77">
        <f>IFERROR(__xludf.DUMMYFUNCTION("""COMPUTED_VALUE"""),100.0)</f>
        <v>100</v>
      </c>
      <c r="J563" s="73"/>
      <c r="K563" s="73"/>
      <c r="L563" s="73"/>
      <c r="M563" s="77"/>
      <c r="N563" s="77">
        <f>IFERROR(__xludf.DUMMYFUNCTION("""COMPUTED_VALUE"""),1.0)</f>
        <v>1</v>
      </c>
      <c r="O563" s="49"/>
      <c r="P563" s="49" t="str">
        <f>IFERROR(__xludf.DUMMYFUNCTION("""COMPUTED_VALUE"""),"Offset")</f>
        <v>Offset</v>
      </c>
      <c r="Q563" s="49" t="str">
        <f>IFERROR(__xludf.DUMMYFUNCTION("""COMPUTED_VALUE"""),"Packaging")</f>
        <v>Packaging</v>
      </c>
      <c r="R563" s="49" t="str">
        <f>IFERROR(__xludf.DUMMYFUNCTION("""COMPUTED_VALUE"""),"Shoe")</f>
        <v>Shoe</v>
      </c>
    </row>
    <row r="564">
      <c r="A564" s="156" t="str">
        <f>IFERROR(__xludf.DUMMYFUNCTION("""COMPUTED_VALUE"""),"https://drive.google.com/open?id=1H-WeL2C1VrbZlUSk4riI8zYhCyxLmbf1&amp;authuser=jay.agg%40gmail.com&amp;usp=drive_fs")</f>
        <v>https://drive.google.com/open?id=1H-WeL2C1VrbZlUSk4riI8zYhCyxLmbf1&amp;authuser=jay.agg%40gmail.com&amp;usp=drive_fs</v>
      </c>
      <c r="B564" s="73" t="str">
        <f>IFERROR(__xludf.DUMMYFUNCTION("""COMPUTED_VALUE"""),"Shipper")</f>
        <v>Shipper</v>
      </c>
      <c r="C564" s="73" t="str">
        <f>IFERROR(__xludf.DUMMYFUNCTION("""COMPUTED_VALUE"""),"Laptop")</f>
        <v>Laptop</v>
      </c>
      <c r="D564" s="73" t="str">
        <f>IFERROR(__xludf.DUMMYFUNCTION("""COMPUTED_VALUE"""),"530*68*325 mm | 21*2.7*12.8 inch | 22*49")</f>
        <v>530*68*325 mm | 21*2.7*12.8 inch | 22*49</v>
      </c>
      <c r="E564" s="77">
        <f>IFERROR(__xludf.DUMMYFUNCTION("""COMPUTED_VALUE"""),1.0)</f>
        <v>1</v>
      </c>
      <c r="F564" s="77">
        <f>IFERROR(__xludf.DUMMYFUNCTION("""COMPUTED_VALUE"""),2840.0)</f>
        <v>2840</v>
      </c>
      <c r="G564" s="77">
        <f>IFERROR(__xludf.DUMMYFUNCTION("""COMPUTED_VALUE"""),22.0)</f>
        <v>22</v>
      </c>
      <c r="H564" s="77">
        <f>IFERROR(__xludf.DUMMYFUNCTION("""COMPUTED_VALUE"""),49.0)</f>
        <v>49</v>
      </c>
      <c r="I564" s="77">
        <f>IFERROR(__xludf.DUMMYFUNCTION("""COMPUTED_VALUE"""),100.0)</f>
        <v>100</v>
      </c>
      <c r="J564" s="73"/>
      <c r="K564" s="73"/>
      <c r="L564" s="73"/>
      <c r="M564" s="77">
        <f>IFERROR(__xludf.DUMMYFUNCTION("""COMPUTED_VALUE"""),0.1)</f>
        <v>0.1</v>
      </c>
      <c r="N564" s="77">
        <f>IFERROR(__xludf.DUMMYFUNCTION("""COMPUTED_VALUE"""),1.0)</f>
        <v>1</v>
      </c>
      <c r="O564" s="49"/>
      <c r="P564" s="49" t="str">
        <f>IFERROR(__xludf.DUMMYFUNCTION("""COMPUTED_VALUE"""),"Offset")</f>
        <v>Offset</v>
      </c>
      <c r="Q564" s="49" t="str">
        <f>IFERROR(__xludf.DUMMYFUNCTION("""COMPUTED_VALUE"""),"Packaging")</f>
        <v>Packaging</v>
      </c>
      <c r="R564" s="49" t="str">
        <f>IFERROR(__xludf.DUMMYFUNCTION("""COMPUTED_VALUE"""),"Shipper")</f>
        <v>Shipper</v>
      </c>
    </row>
    <row r="565">
      <c r="A565" s="156" t="str">
        <f>IFERROR(__xludf.DUMMYFUNCTION("""COMPUTED_VALUE"""),"https://drive.google.com/open?id=1H5sEJnDDpqroQG6LGmzgUnze-yi86SnM&amp;authuser=jay.agg%40gmail.com&amp;usp=drive_fs")</f>
        <v>https://drive.google.com/open?id=1H5sEJnDDpqroQG6LGmzgUnze-yi86SnM&amp;authuser=jay.agg%40gmail.com&amp;usp=drive_fs</v>
      </c>
      <c r="B565" s="73" t="str">
        <f>IFERROR(__xludf.DUMMYFUNCTION("""COMPUTED_VALUE"""),"Shipper")</f>
        <v>Shipper</v>
      </c>
      <c r="C565" s="73" t="str">
        <f>IFERROR(__xludf.DUMMYFUNCTION("""COMPUTED_VALUE"""),"Laptop")</f>
        <v>Laptop</v>
      </c>
      <c r="D565" s="73" t="str">
        <f>IFERROR(__xludf.DUMMYFUNCTION("""COMPUTED_VALUE"""),"Partition 530*68*325 mm | 21*2.7*12.8 inch | 22*26")</f>
        <v>Partition 530*68*325 mm | 21*2.7*12.8 inch | 22*26</v>
      </c>
      <c r="E565" s="77">
        <f>IFERROR(__xludf.DUMMYFUNCTION("""COMPUTED_VALUE"""),4.0)</f>
        <v>4</v>
      </c>
      <c r="F565" s="77">
        <f>IFERROR(__xludf.DUMMYFUNCTION("""COMPUTED_VALUE"""),2840.0)</f>
        <v>2840</v>
      </c>
      <c r="G565" s="77">
        <f>IFERROR(__xludf.DUMMYFUNCTION("""COMPUTED_VALUE"""),22.0)</f>
        <v>22</v>
      </c>
      <c r="H565" s="77">
        <f>IFERROR(__xludf.DUMMYFUNCTION("""COMPUTED_VALUE"""),26.0)</f>
        <v>26</v>
      </c>
      <c r="I565" s="77">
        <f>IFERROR(__xludf.DUMMYFUNCTION("""COMPUTED_VALUE"""),100.0)</f>
        <v>100</v>
      </c>
      <c r="J565" s="73"/>
      <c r="K565" s="73"/>
      <c r="L565" s="73"/>
      <c r="M565" s="77">
        <f>IFERROR(__xludf.DUMMYFUNCTION("""COMPUTED_VALUE"""),0.1)</f>
        <v>0.1</v>
      </c>
      <c r="N565" s="77">
        <f>IFERROR(__xludf.DUMMYFUNCTION("""COMPUTED_VALUE"""),1.0)</f>
        <v>1</v>
      </c>
      <c r="O565" s="49"/>
      <c r="P565" s="49" t="str">
        <f>IFERROR(__xludf.DUMMYFUNCTION("""COMPUTED_VALUE"""),"Offset")</f>
        <v>Offset</v>
      </c>
      <c r="Q565" s="49" t="str">
        <f>IFERROR(__xludf.DUMMYFUNCTION("""COMPUTED_VALUE"""),"Packaging")</f>
        <v>Packaging</v>
      </c>
      <c r="R565" s="49" t="str">
        <f>IFERROR(__xludf.DUMMYFUNCTION("""COMPUTED_VALUE"""),"Shipper")</f>
        <v>Shipper</v>
      </c>
    </row>
    <row r="566">
      <c r="A566" s="156" t="str">
        <f>IFERROR(__xludf.DUMMYFUNCTION("""COMPUTED_VALUE"""),"https://drive.google.com/open?id=10GTk9WdAMmZHMXzZJcDincBIAr9v7IYH&amp;authuser=jay.agg%40gmail.com&amp;usp=drive_fs")</f>
        <v>https://drive.google.com/open?id=10GTk9WdAMmZHMXzZJcDincBIAr9v7IYH&amp;authuser=jay.agg%40gmail.com&amp;usp=drive_fs</v>
      </c>
      <c r="B566" s="73" t="str">
        <f>IFERROR(__xludf.DUMMYFUNCTION("""COMPUTED_VALUE"""),"Shipper")</f>
        <v>Shipper</v>
      </c>
      <c r="C566" s="73" t="str">
        <f>IFERROR(__xludf.DUMMYFUNCTION("""COMPUTED_VALUE"""),"Laptop")</f>
        <v>Laptop</v>
      </c>
      <c r="D566" s="73" t="str">
        <f>IFERROR(__xludf.DUMMYFUNCTION("""COMPUTED_VALUE"""),"Part 1 530*68*325 mm | 21*2.7*12.8 inch | 32*37")</f>
        <v>Part 1 530*68*325 mm | 21*2.7*12.8 inch | 32*37</v>
      </c>
      <c r="E566" s="77">
        <f>IFERROR(__xludf.DUMMYFUNCTION("""COMPUTED_VALUE"""),1.0)</f>
        <v>1</v>
      </c>
      <c r="F566" s="77">
        <f>IFERROR(__xludf.DUMMYFUNCTION("""COMPUTED_VALUE"""),2840.0)</f>
        <v>2840</v>
      </c>
      <c r="G566" s="77">
        <f>IFERROR(__xludf.DUMMYFUNCTION("""COMPUTED_VALUE"""),32.0)</f>
        <v>32</v>
      </c>
      <c r="H566" s="77">
        <f>IFERROR(__xludf.DUMMYFUNCTION("""COMPUTED_VALUE"""),37.0)</f>
        <v>37</v>
      </c>
      <c r="I566" s="77">
        <f>IFERROR(__xludf.DUMMYFUNCTION("""COMPUTED_VALUE"""),100.0)</f>
        <v>100</v>
      </c>
      <c r="J566" s="73"/>
      <c r="K566" s="73"/>
      <c r="L566" s="73">
        <f>IFERROR(__xludf.DUMMYFUNCTION("""COMPUTED_VALUE"""),2.0)</f>
        <v>2</v>
      </c>
      <c r="M566" s="77"/>
      <c r="N566" s="77">
        <f>IFERROR(__xludf.DUMMYFUNCTION("""COMPUTED_VALUE"""),1.0)</f>
        <v>1</v>
      </c>
      <c r="O566" s="49"/>
      <c r="P566" s="49" t="str">
        <f>IFERROR(__xludf.DUMMYFUNCTION("""COMPUTED_VALUE"""),"Offset")</f>
        <v>Offset</v>
      </c>
      <c r="Q566" s="49" t="str">
        <f>IFERROR(__xludf.DUMMYFUNCTION("""COMPUTED_VALUE"""),"Packaging")</f>
        <v>Packaging</v>
      </c>
      <c r="R566" s="49" t="str">
        <f>IFERROR(__xludf.DUMMYFUNCTION("""COMPUTED_VALUE"""),"Shipper")</f>
        <v>Shipper</v>
      </c>
    </row>
    <row r="567">
      <c r="A567" s="156" t="str">
        <f>IFERROR(__xludf.DUMMYFUNCTION("""COMPUTED_VALUE"""),"https://drive.google.com/open?id=10GzVYFGkewRh5UxlFIJ_8dd_W514Xz0t&amp;authuser=jay.agg%40gmail.com&amp;usp=drive_fs")</f>
        <v>https://drive.google.com/open?id=10GzVYFGkewRh5UxlFIJ_8dd_W514Xz0t&amp;authuser=jay.agg%40gmail.com&amp;usp=drive_fs</v>
      </c>
      <c r="B567" s="73" t="str">
        <f>IFERROR(__xludf.DUMMYFUNCTION("""COMPUTED_VALUE"""),"Shipper")</f>
        <v>Shipper</v>
      </c>
      <c r="C567" s="73" t="str">
        <f>IFERROR(__xludf.DUMMYFUNCTION("""COMPUTED_VALUE"""),"Laptop")</f>
        <v>Laptop</v>
      </c>
      <c r="D567" s="73" t="str">
        <f>IFERROR(__xludf.DUMMYFUNCTION("""COMPUTED_VALUE"""),"Part 2 530*68*325 mm | 21*2.7*12.8 inch | 32*26")</f>
        <v>Part 2 530*68*325 mm | 21*2.7*12.8 inch | 32*26</v>
      </c>
      <c r="E567" s="77">
        <f>IFERROR(__xludf.DUMMYFUNCTION("""COMPUTED_VALUE"""),2.0)</f>
        <v>2</v>
      </c>
      <c r="F567" s="77">
        <f>IFERROR(__xludf.DUMMYFUNCTION("""COMPUTED_VALUE"""),2840.0)</f>
        <v>2840</v>
      </c>
      <c r="G567" s="77">
        <f>IFERROR(__xludf.DUMMYFUNCTION("""COMPUTED_VALUE"""),32.0)</f>
        <v>32</v>
      </c>
      <c r="H567" s="77">
        <f>IFERROR(__xludf.DUMMYFUNCTION("""COMPUTED_VALUE"""),26.0)</f>
        <v>26</v>
      </c>
      <c r="I567" s="77">
        <f>IFERROR(__xludf.DUMMYFUNCTION("""COMPUTED_VALUE"""),100.0)</f>
        <v>100</v>
      </c>
      <c r="J567" s="73"/>
      <c r="K567" s="73"/>
      <c r="L567" s="73"/>
      <c r="M567" s="77"/>
      <c r="N567" s="77">
        <f>IFERROR(__xludf.DUMMYFUNCTION("""COMPUTED_VALUE"""),1.0)</f>
        <v>1</v>
      </c>
      <c r="O567" s="49"/>
      <c r="P567" s="49" t="str">
        <f>IFERROR(__xludf.DUMMYFUNCTION("""COMPUTED_VALUE"""),"Offset")</f>
        <v>Offset</v>
      </c>
      <c r="Q567" s="49" t="str">
        <f>IFERROR(__xludf.DUMMYFUNCTION("""COMPUTED_VALUE"""),"Packaging")</f>
        <v>Packaging</v>
      </c>
      <c r="R567" s="49" t="str">
        <f>IFERROR(__xludf.DUMMYFUNCTION("""COMPUTED_VALUE"""),"Shipper")</f>
        <v>Shipper</v>
      </c>
    </row>
    <row r="568">
      <c r="A568" s="156" t="str">
        <f>IFERROR(__xludf.DUMMYFUNCTION("""COMPUTED_VALUE"""),"https://drive.google.com/open?id=1HHzwtCC0LakNx9Yj8fJDH8XcvicEp7RK&amp;authuser=jay.agg%40gmail.com&amp;usp=drive_fs")</f>
        <v>https://drive.google.com/open?id=1HHzwtCC0LakNx9Yj8fJDH8XcvicEp7RK&amp;authuser=jay.agg%40gmail.com&amp;usp=drive_fs</v>
      </c>
      <c r="B568" s="73" t="str">
        <f>IFERROR(__xludf.DUMMYFUNCTION("""COMPUTED_VALUE"""),"Shipper")</f>
        <v>Shipper</v>
      </c>
      <c r="C568" s="73" t="str">
        <f>IFERROR(__xludf.DUMMYFUNCTION("""COMPUTED_VALUE"""),"Misc")</f>
        <v>Misc</v>
      </c>
      <c r="D568" s="73" t="str">
        <f>IFERROR(__xludf.DUMMYFUNCTION("""COMPUTED_VALUE"""),"210*120*60 mm | 8.26*4.7*2.4 inch | 34*17")</f>
        <v>210*120*60 mm | 8.26*4.7*2.4 inch | 34*17</v>
      </c>
      <c r="E568" s="77">
        <f>IFERROR(__xludf.DUMMYFUNCTION("""COMPUTED_VALUE"""),2.0)</f>
        <v>2</v>
      </c>
      <c r="F568" s="77">
        <f>IFERROR(__xludf.DUMMYFUNCTION("""COMPUTED_VALUE"""),2840.0)</f>
        <v>2840</v>
      </c>
      <c r="G568" s="77">
        <f>IFERROR(__xludf.DUMMYFUNCTION("""COMPUTED_VALUE"""),34.0)</f>
        <v>34</v>
      </c>
      <c r="H568" s="77">
        <f>IFERROR(__xludf.DUMMYFUNCTION("""COMPUTED_VALUE"""),17.0)</f>
        <v>17</v>
      </c>
      <c r="I568" s="77">
        <f>IFERROR(__xludf.DUMMYFUNCTION("""COMPUTED_VALUE"""),100.0)</f>
        <v>100</v>
      </c>
      <c r="J568" s="73"/>
      <c r="K568" s="73"/>
      <c r="L568" s="73"/>
      <c r="M568" s="77"/>
      <c r="N568" s="77">
        <f>IFERROR(__xludf.DUMMYFUNCTION("""COMPUTED_VALUE"""),1.0)</f>
        <v>1</v>
      </c>
      <c r="O568" s="49"/>
      <c r="P568" s="49" t="str">
        <f>IFERROR(__xludf.DUMMYFUNCTION("""COMPUTED_VALUE"""),"Offset")</f>
        <v>Offset</v>
      </c>
      <c r="Q568" s="49" t="str">
        <f>IFERROR(__xludf.DUMMYFUNCTION("""COMPUTED_VALUE"""),"Packaging")</f>
        <v>Packaging</v>
      </c>
      <c r="R568" s="49" t="str">
        <f>IFERROR(__xludf.DUMMYFUNCTION("""COMPUTED_VALUE"""),"Shipper")</f>
        <v>Shipper</v>
      </c>
    </row>
    <row r="569">
      <c r="A569" s="156" t="str">
        <f>IFERROR(__xludf.DUMMYFUNCTION("""COMPUTED_VALUE"""),"https://drive.google.com/open?id=1JY0l4I1n5ZZ1Pn6nooeQcoC2ZSgBwtwk&amp;usp=drive_fs")</f>
        <v>https://drive.google.com/open?id=1JY0l4I1n5ZZ1Pn6nooeQcoC2ZSgBwtwk&amp;usp=drive_fs</v>
      </c>
      <c r="B569" s="73" t="str">
        <f>IFERROR(__xludf.DUMMYFUNCTION("""COMPUTED_VALUE"""),"Shoe")</f>
        <v>Shoe</v>
      </c>
      <c r="C569" s="73" t="str">
        <f>IFERROR(__xludf.DUMMYFUNCTION("""COMPUTED_VALUE"""),"Louis")</f>
        <v>Louis</v>
      </c>
      <c r="D569" s="73" t="str">
        <f>IFERROR(__xludf.DUMMYFUNCTION("""COMPUTED_VALUE"""),"330*280*120 mm | 13*11*4.75  inch | 24*33")</f>
        <v>330*280*120 mm | 13*11*4.75  inch | 24*33</v>
      </c>
      <c r="E569" s="77">
        <f>IFERROR(__xludf.DUMMYFUNCTION("""COMPUTED_VALUE"""),1.0)</f>
        <v>1</v>
      </c>
      <c r="F569" s="77">
        <f>IFERROR(__xludf.DUMMYFUNCTION("""COMPUTED_VALUE"""),2840.0)</f>
        <v>2840</v>
      </c>
      <c r="G569" s="77">
        <f>IFERROR(__xludf.DUMMYFUNCTION("""COMPUTED_VALUE"""),24.0)</f>
        <v>24</v>
      </c>
      <c r="H569" s="77">
        <f>IFERROR(__xludf.DUMMYFUNCTION("""COMPUTED_VALUE"""),33.0)</f>
        <v>33</v>
      </c>
      <c r="I569" s="77">
        <f>IFERROR(__xludf.DUMMYFUNCTION("""COMPUTED_VALUE"""),100.0)</f>
        <v>100</v>
      </c>
      <c r="J569" s="73"/>
      <c r="K569" s="73"/>
      <c r="L569" s="73"/>
      <c r="M569" s="77">
        <f>IFERROR(__xludf.DUMMYFUNCTION("""COMPUTED_VALUE"""),0.1)</f>
        <v>0.1</v>
      </c>
      <c r="N569" s="77">
        <f>IFERROR(__xludf.DUMMYFUNCTION("""COMPUTED_VALUE"""),1.0)</f>
        <v>1</v>
      </c>
      <c r="O569" s="49"/>
      <c r="P569" s="49" t="str">
        <f>IFERROR(__xludf.DUMMYFUNCTION("""COMPUTED_VALUE"""),"Offset")</f>
        <v>Offset</v>
      </c>
      <c r="Q569" s="49" t="str">
        <f>IFERROR(__xludf.DUMMYFUNCTION("""COMPUTED_VALUE"""),"Packaging")</f>
        <v>Packaging</v>
      </c>
      <c r="R569" s="49" t="str">
        <f>IFERROR(__xludf.DUMMYFUNCTION("""COMPUTED_VALUE"""),"Shoe")</f>
        <v>Shoe</v>
      </c>
    </row>
    <row r="570">
      <c r="A570" s="156" t="str">
        <f>IFERROR(__xludf.DUMMYFUNCTION("""COMPUTED_VALUE"""),"https://drive.google.com/open?id=1Ja5zPIv0sP4aofByIC69g51J49N6gUc-&amp;usp=drive_fs")</f>
        <v>https://drive.google.com/open?id=1Ja5zPIv0sP4aofByIC69g51J49N6gUc-&amp;usp=drive_fs</v>
      </c>
      <c r="B570" s="73" t="str">
        <f>IFERROR(__xludf.DUMMYFUNCTION("""COMPUTED_VALUE"""),"Shoe")</f>
        <v>Shoe</v>
      </c>
      <c r="C570" s="73" t="str">
        <f>IFERROR(__xludf.DUMMYFUNCTION("""COMPUTED_VALUE"""),"Louis")</f>
        <v>Louis</v>
      </c>
      <c r="D570" s="73" t="str">
        <f>IFERROR(__xludf.DUMMYFUNCTION("""COMPUTED_VALUE"""),"330*220*115 mm |  13*9*4.5 inch | 30*23")</f>
        <v>330*220*115 mm |  13*9*4.5 inch | 30*23</v>
      </c>
      <c r="E570" s="77">
        <f>IFERROR(__xludf.DUMMYFUNCTION("""COMPUTED_VALUE"""),1.0)</f>
        <v>1</v>
      </c>
      <c r="F570" s="77">
        <f>IFERROR(__xludf.DUMMYFUNCTION("""COMPUTED_VALUE"""),2840.0)</f>
        <v>2840</v>
      </c>
      <c r="G570" s="77">
        <f>IFERROR(__xludf.DUMMYFUNCTION("""COMPUTED_VALUE"""),23.0)</f>
        <v>23</v>
      </c>
      <c r="H570" s="77">
        <f>IFERROR(__xludf.DUMMYFUNCTION("""COMPUTED_VALUE"""),30.0)</f>
        <v>30</v>
      </c>
      <c r="I570" s="77">
        <f>IFERROR(__xludf.DUMMYFUNCTION("""COMPUTED_VALUE"""),100.0)</f>
        <v>100</v>
      </c>
      <c r="J570" s="73"/>
      <c r="K570" s="73"/>
      <c r="L570" s="73"/>
      <c r="M570" s="77">
        <f>IFERROR(__xludf.DUMMYFUNCTION("""COMPUTED_VALUE"""),0.1)</f>
        <v>0.1</v>
      </c>
      <c r="N570" s="77">
        <f>IFERROR(__xludf.DUMMYFUNCTION("""COMPUTED_VALUE"""),1.0)</f>
        <v>1</v>
      </c>
      <c r="O570" s="49"/>
      <c r="P570" s="49" t="str">
        <f>IFERROR(__xludf.DUMMYFUNCTION("""COMPUTED_VALUE"""),"Offset")</f>
        <v>Offset</v>
      </c>
      <c r="Q570" s="49" t="str">
        <f>IFERROR(__xludf.DUMMYFUNCTION("""COMPUTED_VALUE"""),"Packaging")</f>
        <v>Packaging</v>
      </c>
      <c r="R570" s="49" t="str">
        <f>IFERROR(__xludf.DUMMYFUNCTION("""COMPUTED_VALUE"""),"Shoe")</f>
        <v>Shoe</v>
      </c>
    </row>
    <row r="571">
      <c r="A571" s="156" t="str">
        <f>IFERROR(__xludf.DUMMYFUNCTION("""COMPUTED_VALUE"""),"https://drive.google.com/open?id=15-3TqwX3sJKKAH0wDwbnAzWzAm-maVkW&amp;usp=drive_fs")</f>
        <v>https://drive.google.com/open?id=15-3TqwX3sJKKAH0wDwbnAzWzAm-maVkW&amp;usp=drive_fs</v>
      </c>
      <c r="B571" s="73" t="str">
        <f>IFERROR(__xludf.DUMMYFUNCTION("""COMPUTED_VALUE"""),"Shipper")</f>
        <v>Shipper</v>
      </c>
      <c r="C571" s="73" t="str">
        <f>IFERROR(__xludf.DUMMYFUNCTION("""COMPUTED_VALUE"""),"Misc")</f>
        <v>Misc</v>
      </c>
      <c r="D571" s="73" t="str">
        <f>IFERROR(__xludf.DUMMYFUNCTION("""COMPUTED_VALUE"""),"305*208*66 mm | 12*8*2.5 inch | 24*24.5")</f>
        <v>305*208*66 mm | 12*8*2.5 inch | 24*24.5</v>
      </c>
      <c r="E571" s="77">
        <f>IFERROR(__xludf.DUMMYFUNCTION("""COMPUTED_VALUE"""),1.0)</f>
        <v>1</v>
      </c>
      <c r="F571" s="77">
        <f>IFERROR(__xludf.DUMMYFUNCTION("""COMPUTED_VALUE"""),2840.0)</f>
        <v>2840</v>
      </c>
      <c r="G571" s="77">
        <f>IFERROR(__xludf.DUMMYFUNCTION("""COMPUTED_VALUE"""),24.0)</f>
        <v>24</v>
      </c>
      <c r="H571" s="77">
        <f>IFERROR(__xludf.DUMMYFUNCTION("""COMPUTED_VALUE"""),25.0)</f>
        <v>25</v>
      </c>
      <c r="I571" s="77">
        <f>IFERROR(__xludf.DUMMYFUNCTION("""COMPUTED_VALUE"""),100.0)</f>
        <v>100</v>
      </c>
      <c r="J571" s="73"/>
      <c r="K571" s="73"/>
      <c r="L571" s="73"/>
      <c r="M571" s="77"/>
      <c r="N571" s="77">
        <f>IFERROR(__xludf.DUMMYFUNCTION("""COMPUTED_VALUE"""),1.0)</f>
        <v>1</v>
      </c>
      <c r="O571" s="49"/>
      <c r="P571" s="49" t="str">
        <f>IFERROR(__xludf.DUMMYFUNCTION("""COMPUTED_VALUE"""),"Offset")</f>
        <v>Offset</v>
      </c>
      <c r="Q571" s="49" t="str">
        <f>IFERROR(__xludf.DUMMYFUNCTION("""COMPUTED_VALUE"""),"Packaging")</f>
        <v>Packaging</v>
      </c>
      <c r="R571" s="49" t="str">
        <f>IFERROR(__xludf.DUMMYFUNCTION("""COMPUTED_VALUE"""),"Shipper")</f>
        <v>Shipper</v>
      </c>
    </row>
    <row r="572">
      <c r="A572" s="156" t="str">
        <f>IFERROR(__xludf.DUMMYFUNCTION("""COMPUTED_VALUE"""),"https://drive.google.com/open?id=1NQHm3TgrrgGhqQkgYV5Bqf3u-8f1Eb_h&amp;usp=drive_fs")</f>
        <v>https://drive.google.com/open?id=1NQHm3TgrrgGhqQkgYV5Bqf3u-8f1Eb_h&amp;usp=drive_fs</v>
      </c>
      <c r="B572" s="73" t="str">
        <f>IFERROR(__xludf.DUMMYFUNCTION("""COMPUTED_VALUE"""),"Shipper")</f>
        <v>Shipper</v>
      </c>
      <c r="C572" s="73" t="str">
        <f>IFERROR(__xludf.DUMMYFUNCTION("""COMPUTED_VALUE"""),"BedSheet")</f>
        <v>BedSheet</v>
      </c>
      <c r="D572" s="73" t="str">
        <f>IFERROR(__xludf.DUMMYFUNCTION("""COMPUTED_VALUE"""),"250*45*300 mm | 9.8*1.8*11.8 inch IL | 26*18")</f>
        <v>250*45*300 mm | 9.8*1.8*11.8 inch IL | 26*18</v>
      </c>
      <c r="E572" s="77">
        <f>IFERROR(__xludf.DUMMYFUNCTION("""COMPUTED_VALUE"""),1.0)</f>
        <v>1</v>
      </c>
      <c r="F572" s="77">
        <f>IFERROR(__xludf.DUMMYFUNCTION("""COMPUTED_VALUE"""),1926.0)</f>
        <v>1926</v>
      </c>
      <c r="G572" s="77">
        <f>IFERROR(__xludf.DUMMYFUNCTION("""COMPUTED_VALUE"""),18.0)</f>
        <v>18</v>
      </c>
      <c r="H572" s="77">
        <f>IFERROR(__xludf.DUMMYFUNCTION("""COMPUTED_VALUE"""),25.0)</f>
        <v>25</v>
      </c>
      <c r="I572" s="77">
        <f>IFERROR(__xludf.DUMMYFUNCTION("""COMPUTED_VALUE"""),100.0)</f>
        <v>100</v>
      </c>
      <c r="J572" s="73"/>
      <c r="K572" s="73"/>
      <c r="L572" s="73"/>
      <c r="M572" s="77">
        <f>IFERROR(__xludf.DUMMYFUNCTION("""COMPUTED_VALUE"""),0.12)</f>
        <v>0.12</v>
      </c>
      <c r="N572" s="77">
        <f>IFERROR(__xludf.DUMMYFUNCTION("""COMPUTED_VALUE"""),1.0)</f>
        <v>1</v>
      </c>
      <c r="O572" s="49"/>
      <c r="P572" s="49" t="str">
        <f>IFERROR(__xludf.DUMMYFUNCTION("""COMPUTED_VALUE"""),"Offset")</f>
        <v>Offset</v>
      </c>
      <c r="Q572" s="49" t="str">
        <f>IFERROR(__xludf.DUMMYFUNCTION("""COMPUTED_VALUE"""),"Packaging")</f>
        <v>Packaging</v>
      </c>
      <c r="R572" s="49" t="str">
        <f>IFERROR(__xludf.DUMMYFUNCTION("""COMPUTED_VALUE"""),"Shipper")</f>
        <v>Shipper</v>
      </c>
    </row>
    <row r="573">
      <c r="A573" s="156" t="str">
        <f>IFERROR(__xludf.DUMMYFUNCTION("""COMPUTED_VALUE"""),"https://drive.google.com/open?id=1KHDy4nxo9RhzVE9nG63xlQA1p4BKSSNL&amp;usp=drive_fs")</f>
        <v>https://drive.google.com/open?id=1KHDy4nxo9RhzVE9nG63xlQA1p4BKSSNL&amp;usp=drive_fs</v>
      </c>
      <c r="B573" s="73" t="str">
        <f>IFERROR(__xludf.DUMMYFUNCTION("""COMPUTED_VALUE"""),"Shipper")</f>
        <v>Shipper</v>
      </c>
      <c r="C573" s="73" t="str">
        <f>IFERROR(__xludf.DUMMYFUNCTION("""COMPUTED_VALUE"""),"Suit Length")</f>
        <v>Suit Length</v>
      </c>
      <c r="D573" s="73" t="str">
        <f>IFERROR(__xludf.DUMMYFUNCTION("""COMPUTED_VALUE"""),"395*190*45 mm | 15.5*7.5*1.7 inch | 22*25")</f>
        <v>395*190*45 mm | 15.5*7.5*1.7 inch | 22*25</v>
      </c>
      <c r="E573" s="77">
        <f>IFERROR(__xludf.DUMMYFUNCTION("""COMPUTED_VALUE"""),1.0)</f>
        <v>1</v>
      </c>
      <c r="F573" s="77">
        <f>IFERROR(__xludf.DUMMYFUNCTION("""COMPUTED_VALUE"""),2840.0)</f>
        <v>2840</v>
      </c>
      <c r="G573" s="77">
        <f>IFERROR(__xludf.DUMMYFUNCTION("""COMPUTED_VALUE"""),22.0)</f>
        <v>22</v>
      </c>
      <c r="H573" s="77">
        <f>IFERROR(__xludf.DUMMYFUNCTION("""COMPUTED_VALUE"""),25.0)</f>
        <v>25</v>
      </c>
      <c r="I573" s="77">
        <f>IFERROR(__xludf.DUMMYFUNCTION("""COMPUTED_VALUE"""),100.0)</f>
        <v>100</v>
      </c>
      <c r="J573" s="73"/>
      <c r="K573" s="73"/>
      <c r="L573" s="73"/>
      <c r="M573" s="77"/>
      <c r="N573" s="77">
        <f>IFERROR(__xludf.DUMMYFUNCTION("""COMPUTED_VALUE"""),1.0)</f>
        <v>1</v>
      </c>
      <c r="O573" s="49"/>
      <c r="P573" s="49" t="str">
        <f>IFERROR(__xludf.DUMMYFUNCTION("""COMPUTED_VALUE"""),"Offset")</f>
        <v>Offset</v>
      </c>
      <c r="Q573" s="49" t="str">
        <f>IFERROR(__xludf.DUMMYFUNCTION("""COMPUTED_VALUE"""),"Packaging")</f>
        <v>Packaging</v>
      </c>
      <c r="R573" s="49" t="str">
        <f>IFERROR(__xludf.DUMMYFUNCTION("""COMPUTED_VALUE"""),"Shipper")</f>
        <v>Shipper</v>
      </c>
    </row>
    <row r="574">
      <c r="A574" s="156" t="str">
        <f>IFERROR(__xludf.DUMMYFUNCTION("""COMPUTED_VALUE"""),"https://drive.google.com/open?id=1142yUbkC1UXoPdEUubY_vu87HcXHIVBW&amp;usp=drive_fs")</f>
        <v>https://drive.google.com/open?id=1142yUbkC1UXoPdEUubY_vu87HcXHIVBW&amp;usp=drive_fs</v>
      </c>
      <c r="B574" s="73" t="str">
        <f>IFERROR(__xludf.DUMMYFUNCTION("""COMPUTED_VALUE"""),"Shipper")</f>
        <v>Shipper</v>
      </c>
      <c r="C574" s="73" t="str">
        <f>IFERROR(__xludf.DUMMYFUNCTION("""COMPUTED_VALUE"""),"Suit Length")</f>
        <v>Suit Length</v>
      </c>
      <c r="D574" s="73" t="str">
        <f>IFERROR(__xludf.DUMMYFUNCTION("""COMPUTED_VALUE"""),"395*190*81 mm | 15.5*7.5*3.2 inch | 25*32")</f>
        <v>395*190*81 mm | 15.5*7.5*3.2 inch | 25*32</v>
      </c>
      <c r="E574" s="77">
        <f>IFERROR(__xludf.DUMMYFUNCTION("""COMPUTED_VALUE"""),1.0)</f>
        <v>1</v>
      </c>
      <c r="F574" s="77">
        <f>IFERROR(__xludf.DUMMYFUNCTION("""COMPUTED_VALUE"""),2840.0)</f>
        <v>2840</v>
      </c>
      <c r="G574" s="77">
        <f>IFERROR(__xludf.DUMMYFUNCTION("""COMPUTED_VALUE"""),25.0)</f>
        <v>25</v>
      </c>
      <c r="H574" s="77">
        <f>IFERROR(__xludf.DUMMYFUNCTION("""COMPUTED_VALUE"""),33.0)</f>
        <v>33</v>
      </c>
      <c r="I574" s="77">
        <f>IFERROR(__xludf.DUMMYFUNCTION("""COMPUTED_VALUE"""),100.0)</f>
        <v>100</v>
      </c>
      <c r="J574" s="73"/>
      <c r="K574" s="73"/>
      <c r="L574" s="73"/>
      <c r="M574" s="77"/>
      <c r="N574" s="77">
        <f>IFERROR(__xludf.DUMMYFUNCTION("""COMPUTED_VALUE"""),1.0)</f>
        <v>1</v>
      </c>
      <c r="O574" s="49"/>
      <c r="P574" s="49" t="str">
        <f>IFERROR(__xludf.DUMMYFUNCTION("""COMPUTED_VALUE"""),"Offset")</f>
        <v>Offset</v>
      </c>
      <c r="Q574" s="49" t="str">
        <f>IFERROR(__xludf.DUMMYFUNCTION("""COMPUTED_VALUE"""),"Packaging")</f>
        <v>Packaging</v>
      </c>
      <c r="R574" s="49" t="str">
        <f>IFERROR(__xludf.DUMMYFUNCTION("""COMPUTED_VALUE"""),"Shipper")</f>
        <v>Shipper</v>
      </c>
    </row>
    <row r="575">
      <c r="A575" s="156" t="str">
        <f>IFERROR(__xludf.DUMMYFUNCTION("""COMPUTED_VALUE"""),"https://drive.google.com/open?id=1KTHkMIbtUbNkZ65_4R3cs3ib8gpDzifL&amp;usp=drive_fs")</f>
        <v>https://drive.google.com/open?id=1KTHkMIbtUbNkZ65_4R3cs3ib8gpDzifL&amp;usp=drive_fs</v>
      </c>
      <c r="B575" s="73" t="str">
        <f>IFERROR(__xludf.DUMMYFUNCTION("""COMPUTED_VALUE"""),"Shipper")</f>
        <v>Shipper</v>
      </c>
      <c r="C575" s="73" t="str">
        <f>IFERROR(__xludf.DUMMYFUNCTION("""COMPUTED_VALUE"""),"Misc")</f>
        <v>Misc</v>
      </c>
      <c r="D575" s="73" t="str">
        <f>IFERROR(__xludf.DUMMYFUNCTION("""COMPUTED_VALUE"""),"220*180*70 mm | 8.6*7*2.75 inch | 24*38")</f>
        <v>220*180*70 mm | 8.6*7*2.75 inch | 24*38</v>
      </c>
      <c r="E575" s="77">
        <f>IFERROR(__xludf.DUMMYFUNCTION("""COMPUTED_VALUE"""),2.0)</f>
        <v>2</v>
      </c>
      <c r="F575" s="77">
        <f>IFERROR(__xludf.DUMMYFUNCTION("""COMPUTED_VALUE"""),2840.0)</f>
        <v>2840</v>
      </c>
      <c r="G575" s="77">
        <f>IFERROR(__xludf.DUMMYFUNCTION("""COMPUTED_VALUE"""),23.0)</f>
        <v>23</v>
      </c>
      <c r="H575" s="77">
        <f>IFERROR(__xludf.DUMMYFUNCTION("""COMPUTED_VALUE"""),39.0)</f>
        <v>39</v>
      </c>
      <c r="I575" s="77">
        <f>IFERROR(__xludf.DUMMYFUNCTION("""COMPUTED_VALUE"""),100.0)</f>
        <v>100</v>
      </c>
      <c r="J575" s="73"/>
      <c r="K575" s="73"/>
      <c r="L575" s="73"/>
      <c r="M575" s="77"/>
      <c r="N575" s="77">
        <f>IFERROR(__xludf.DUMMYFUNCTION("""COMPUTED_VALUE"""),1.0)</f>
        <v>1</v>
      </c>
      <c r="O575" s="49"/>
      <c r="P575" s="49" t="str">
        <f>IFERROR(__xludf.DUMMYFUNCTION("""COMPUTED_VALUE"""),"Offset")</f>
        <v>Offset</v>
      </c>
      <c r="Q575" s="49" t="str">
        <f>IFERROR(__xludf.DUMMYFUNCTION("""COMPUTED_VALUE"""),"Packaging")</f>
        <v>Packaging</v>
      </c>
      <c r="R575" s="49" t="str">
        <f>IFERROR(__xludf.DUMMYFUNCTION("""COMPUTED_VALUE"""),"Shipper")</f>
        <v>Shipper</v>
      </c>
    </row>
    <row r="576">
      <c r="A576" s="156" t="str">
        <f>IFERROR(__xludf.DUMMYFUNCTION("""COMPUTED_VALUE"""),"https://drive.google.com/open?id=1KnxP-OcN8emorIvIxEWaxaLbWfvGMnZx&amp;usp=drive_fs")</f>
        <v>https://drive.google.com/open?id=1KnxP-OcN8emorIvIxEWaxaLbWfvGMnZx&amp;usp=drive_fs</v>
      </c>
      <c r="B576" s="73" t="str">
        <f>IFERROR(__xludf.DUMMYFUNCTION("""COMPUTED_VALUE"""),"Shipper")</f>
        <v>Shipper</v>
      </c>
      <c r="C576" s="73" t="str">
        <f>IFERROR(__xludf.DUMMYFUNCTION("""COMPUTED_VALUE"""),"Suit Length")</f>
        <v>Suit Length</v>
      </c>
      <c r="D576" s="73" t="str">
        <f>IFERROR(__xludf.DUMMYFUNCTION("""COMPUTED_VALUE"""),"406*203*51 mm | 16*8*2 inch | 26*23")</f>
        <v>406*203*51 mm | 16*8*2 inch | 26*23</v>
      </c>
      <c r="E576" s="77">
        <f>IFERROR(__xludf.DUMMYFUNCTION("""COMPUTED_VALUE"""),1.0)</f>
        <v>1</v>
      </c>
      <c r="F576" s="77">
        <f>IFERROR(__xludf.DUMMYFUNCTION("""COMPUTED_VALUE"""),2840.0)</f>
        <v>2840</v>
      </c>
      <c r="G576" s="77">
        <f>IFERROR(__xludf.DUMMYFUNCTION("""COMPUTED_VALUE"""),25.0)</f>
        <v>25</v>
      </c>
      <c r="H576" s="77">
        <f>IFERROR(__xludf.DUMMYFUNCTION("""COMPUTED_VALUE"""),26.0)</f>
        <v>26</v>
      </c>
      <c r="I576" s="77">
        <f>IFERROR(__xludf.DUMMYFUNCTION("""COMPUTED_VALUE"""),100.0)</f>
        <v>100</v>
      </c>
      <c r="J576" s="73"/>
      <c r="K576" s="73"/>
      <c r="L576" s="73"/>
      <c r="M576" s="77">
        <f>IFERROR(__xludf.DUMMYFUNCTION("""COMPUTED_VALUE"""),0.1)</f>
        <v>0.1</v>
      </c>
      <c r="N576" s="77">
        <f>IFERROR(__xludf.DUMMYFUNCTION("""COMPUTED_VALUE"""),1.0)</f>
        <v>1</v>
      </c>
      <c r="O576" s="49"/>
      <c r="P576" s="49" t="str">
        <f>IFERROR(__xludf.DUMMYFUNCTION("""COMPUTED_VALUE"""),"Offset")</f>
        <v>Offset</v>
      </c>
      <c r="Q576" s="49" t="str">
        <f>IFERROR(__xludf.DUMMYFUNCTION("""COMPUTED_VALUE"""),"Packaging")</f>
        <v>Packaging</v>
      </c>
      <c r="R576" s="49" t="str">
        <f>IFERROR(__xludf.DUMMYFUNCTION("""COMPUTED_VALUE"""),"Shipper")</f>
        <v>Shipper</v>
      </c>
    </row>
    <row r="577">
      <c r="A577" s="156" t="str">
        <f>IFERROR(__xludf.DUMMYFUNCTION("""COMPUTED_VALUE"""),"https://drive.google.com/open?id=1NQHm3TgrrgGhqQkgYV5Bqf3u-8f1Eb_h&amp;usp=drive_fs")</f>
        <v>https://drive.google.com/open?id=1NQHm3TgrrgGhqQkgYV5Bqf3u-8f1Eb_h&amp;usp=drive_fs</v>
      </c>
      <c r="B577" s="73" t="str">
        <f>IFERROR(__xludf.DUMMYFUNCTION("""COMPUTED_VALUE"""),"Shipper")</f>
        <v>Shipper</v>
      </c>
      <c r="C577" s="73" t="str">
        <f>IFERROR(__xludf.DUMMYFUNCTION("""COMPUTED_VALUE"""),"BedSheet")</f>
        <v>BedSheet</v>
      </c>
      <c r="D577" s="73" t="str">
        <f>IFERROR(__xludf.DUMMYFUNCTION("""COMPUTED_VALUE"""),"255*50*305 mm | 10*2*12 inch IL | 26*32")</f>
        <v>255*50*305 mm | 10*2*12 inch IL | 26*32</v>
      </c>
      <c r="E577" s="77">
        <f>IFERROR(__xludf.DUMMYFUNCTION("""COMPUTED_VALUE"""),2.0)</f>
        <v>2</v>
      </c>
      <c r="F577" s="77">
        <f>IFERROR(__xludf.DUMMYFUNCTION("""COMPUTED_VALUE"""),2840.0)</f>
        <v>2840</v>
      </c>
      <c r="G577" s="77">
        <f>IFERROR(__xludf.DUMMYFUNCTION("""COMPUTED_VALUE"""),26.0)</f>
        <v>26</v>
      </c>
      <c r="H577" s="77">
        <f>IFERROR(__xludf.DUMMYFUNCTION("""COMPUTED_VALUE"""),32.0)</f>
        <v>32</v>
      </c>
      <c r="I577" s="77">
        <f>IFERROR(__xludf.DUMMYFUNCTION("""COMPUTED_VALUE"""),100.0)</f>
        <v>100</v>
      </c>
      <c r="J577" s="73"/>
      <c r="K577" s="73"/>
      <c r="L577" s="73"/>
      <c r="M577" s="77">
        <f>IFERROR(__xludf.DUMMYFUNCTION("""COMPUTED_VALUE"""),0.12)</f>
        <v>0.12</v>
      </c>
      <c r="N577" s="77">
        <f>IFERROR(__xludf.DUMMYFUNCTION("""COMPUTED_VALUE"""),1.0)</f>
        <v>1</v>
      </c>
      <c r="O577" s="49"/>
      <c r="P577" s="49" t="str">
        <f>IFERROR(__xludf.DUMMYFUNCTION("""COMPUTED_VALUE"""),"Offset")</f>
        <v>Offset</v>
      </c>
      <c r="Q577" s="49" t="str">
        <f>IFERROR(__xludf.DUMMYFUNCTION("""COMPUTED_VALUE"""),"Packaging")</f>
        <v>Packaging</v>
      </c>
      <c r="R577" s="49" t="str">
        <f>IFERROR(__xludf.DUMMYFUNCTION("""COMPUTED_VALUE"""),"Shipper")</f>
        <v>Shipper</v>
      </c>
    </row>
    <row r="578">
      <c r="A578" s="73"/>
      <c r="B578" s="73" t="str">
        <f>IFERROR(__xludf.DUMMYFUNCTION("""COMPUTED_VALUE"""),"Shipper")</f>
        <v>Shipper</v>
      </c>
      <c r="C578" s="73" t="str">
        <f>IFERROR(__xludf.DUMMYFUNCTION("""COMPUTED_VALUE"""),"Toy")</f>
        <v>Toy</v>
      </c>
      <c r="D578" s="73" t="str">
        <f>IFERROR(__xludf.DUMMYFUNCTION("""COMPUTED_VALUE"""),"15.25*9.75*3 inch | 30*29")</f>
        <v>15.25*9.75*3 inch | 30*29</v>
      </c>
      <c r="E578" s="77">
        <f>IFERROR(__xludf.DUMMYFUNCTION("""COMPUTED_VALUE"""),1.0)</f>
        <v>1</v>
      </c>
      <c r="F578" s="77">
        <f>IFERROR(__xludf.DUMMYFUNCTION("""COMPUTED_VALUE"""),2840.0)</f>
        <v>2840</v>
      </c>
      <c r="G578" s="77"/>
      <c r="H578" s="77"/>
      <c r="I578" s="77">
        <f>IFERROR(__xludf.DUMMYFUNCTION("""COMPUTED_VALUE"""),100.0)</f>
        <v>100</v>
      </c>
      <c r="J578" s="73"/>
      <c r="K578" s="73"/>
      <c r="L578" s="73"/>
      <c r="M578" s="77">
        <f>IFERROR(__xludf.DUMMYFUNCTION("""COMPUTED_VALUE"""),0.1)</f>
        <v>0.1</v>
      </c>
      <c r="N578" s="77">
        <f>IFERROR(__xludf.DUMMYFUNCTION("""COMPUTED_VALUE"""),1.0)</f>
        <v>1</v>
      </c>
      <c r="O578" s="49"/>
      <c r="P578" s="49" t="str">
        <f>IFERROR(__xludf.DUMMYFUNCTION("""COMPUTED_VALUE"""),"Offset")</f>
        <v>Offset</v>
      </c>
      <c r="Q578" s="49" t="str">
        <f>IFERROR(__xludf.DUMMYFUNCTION("""COMPUTED_VALUE"""),"Packaging")</f>
        <v>Packaging</v>
      </c>
      <c r="R578" s="49" t="str">
        <f>IFERROR(__xludf.DUMMYFUNCTION("""COMPUTED_VALUE"""),"Shipper")</f>
        <v>Shipper</v>
      </c>
    </row>
    <row r="579">
      <c r="A579" s="156" t="str">
        <f>IFERROR(__xludf.DUMMYFUNCTION("""COMPUTED_VALUE"""),"https://drive.google.com/open?id=11RtUeSZ7xnzviYd7EqAJ-HWLFDVdg05_&amp;usp=drive_fs")</f>
        <v>https://drive.google.com/open?id=11RtUeSZ7xnzviYd7EqAJ-HWLFDVdg05_&amp;usp=drive_fs</v>
      </c>
      <c r="B579" s="73" t="str">
        <f>IFERROR(__xludf.DUMMYFUNCTION("""COMPUTED_VALUE"""),"Shipper")</f>
        <v>Shipper</v>
      </c>
      <c r="C579" s="73" t="str">
        <f>IFERROR(__xludf.DUMMYFUNCTION("""COMPUTED_VALUE"""),"Toy")</f>
        <v>Toy</v>
      </c>
      <c r="D579" s="73" t="str">
        <f>IFERROR(__xludf.DUMMYFUNCTION("""COMPUTED_VALUE"""),"305*241*66 mm | 12*9.5*2.5 inch | 24*28")</f>
        <v>305*241*66 mm | 12*9.5*2.5 inch | 24*28</v>
      </c>
      <c r="E579" s="77">
        <f>IFERROR(__xludf.DUMMYFUNCTION("""COMPUTED_VALUE"""),1.0)</f>
        <v>1</v>
      </c>
      <c r="F579" s="77">
        <f>IFERROR(__xludf.DUMMYFUNCTION("""COMPUTED_VALUE"""),2840.0)</f>
        <v>2840</v>
      </c>
      <c r="G579" s="77">
        <f>IFERROR(__xludf.DUMMYFUNCTION("""COMPUTED_VALUE"""),24.0)</f>
        <v>24</v>
      </c>
      <c r="H579" s="77">
        <f>IFERROR(__xludf.DUMMYFUNCTION("""COMPUTED_VALUE"""),28.0)</f>
        <v>28</v>
      </c>
      <c r="I579" s="77">
        <f>IFERROR(__xludf.DUMMYFUNCTION("""COMPUTED_VALUE"""),100.0)</f>
        <v>100</v>
      </c>
      <c r="J579" s="73"/>
      <c r="K579" s="73"/>
      <c r="L579" s="73"/>
      <c r="M579" s="77"/>
      <c r="N579" s="77">
        <f>IFERROR(__xludf.DUMMYFUNCTION("""COMPUTED_VALUE"""),1.0)</f>
        <v>1</v>
      </c>
      <c r="O579" s="49"/>
      <c r="P579" s="49" t="str">
        <f>IFERROR(__xludf.DUMMYFUNCTION("""COMPUTED_VALUE"""),"Offset")</f>
        <v>Offset</v>
      </c>
      <c r="Q579" s="49" t="str">
        <f>IFERROR(__xludf.DUMMYFUNCTION("""COMPUTED_VALUE"""),"Packaging")</f>
        <v>Packaging</v>
      </c>
      <c r="R579" s="49" t="str">
        <f>IFERROR(__xludf.DUMMYFUNCTION("""COMPUTED_VALUE"""),"Shipper")</f>
        <v>Shipper</v>
      </c>
    </row>
    <row r="580">
      <c r="A580" s="156" t="str">
        <f>IFERROR(__xludf.DUMMYFUNCTION("""COMPUTED_VALUE"""),"https://drive.google.com/open?id=1McFWsEgGErptZThXBzszq3gZoy2Vycc8&amp;usp=drive_fs")</f>
        <v>https://drive.google.com/open?id=1McFWsEgGErptZThXBzszq3gZoy2Vycc8&amp;usp=drive_fs</v>
      </c>
      <c r="B580" s="73" t="str">
        <f>IFERROR(__xludf.DUMMYFUNCTION("""COMPUTED_VALUE"""),"Shipper")</f>
        <v>Shipper</v>
      </c>
      <c r="C580" s="73" t="str">
        <f>IFERROR(__xludf.DUMMYFUNCTION("""COMPUTED_VALUE"""),"Toy")</f>
        <v>Toy</v>
      </c>
      <c r="D580" s="73" t="str">
        <f>IFERROR(__xludf.DUMMYFUNCTION("""COMPUTED_VALUE"""),"190*80*260 mm | 7.5*3.15*10.2 inch | 34*23")</f>
        <v>190*80*260 mm | 7.5*3.15*10.2 inch | 34*23</v>
      </c>
      <c r="E580" s="77">
        <f>IFERROR(__xludf.DUMMYFUNCTION("""COMPUTED_VALUE"""),2.0)</f>
        <v>2</v>
      </c>
      <c r="F580" s="77">
        <f>IFERROR(__xludf.DUMMYFUNCTION("""COMPUTED_VALUE"""),2840.0)</f>
        <v>2840</v>
      </c>
      <c r="G580" s="77">
        <f>IFERROR(__xludf.DUMMYFUNCTION("""COMPUTED_VALUE"""),23.0)</f>
        <v>23</v>
      </c>
      <c r="H580" s="77">
        <f>IFERROR(__xludf.DUMMYFUNCTION("""COMPUTED_VALUE"""),34.0)</f>
        <v>34</v>
      </c>
      <c r="I580" s="77">
        <f>IFERROR(__xludf.DUMMYFUNCTION("""COMPUTED_VALUE"""),100.0)</f>
        <v>100</v>
      </c>
      <c r="J580" s="73"/>
      <c r="K580" s="73"/>
      <c r="L580" s="73"/>
      <c r="M580" s="77">
        <f>IFERROR(__xludf.DUMMYFUNCTION("""COMPUTED_VALUE"""),0.14)</f>
        <v>0.14</v>
      </c>
      <c r="N580" s="77">
        <f>IFERROR(__xludf.DUMMYFUNCTION("""COMPUTED_VALUE"""),1.0)</f>
        <v>1</v>
      </c>
      <c r="O580" s="49"/>
      <c r="P580" s="49" t="str">
        <f>IFERROR(__xludf.DUMMYFUNCTION("""COMPUTED_VALUE"""),"Offset")</f>
        <v>Offset</v>
      </c>
      <c r="Q580" s="49" t="str">
        <f>IFERROR(__xludf.DUMMYFUNCTION("""COMPUTED_VALUE"""),"Packaging")</f>
        <v>Packaging</v>
      </c>
      <c r="R580" s="49" t="str">
        <f>IFERROR(__xludf.DUMMYFUNCTION("""COMPUTED_VALUE"""),"Shipper")</f>
        <v>Shipper</v>
      </c>
    </row>
    <row r="581">
      <c r="A581" s="156" t="str">
        <f>IFERROR(__xludf.DUMMYFUNCTION("""COMPUTED_VALUE"""),"https://drive.google.com/open?id=1MgSqgKmIU--BGTxdAPY7JQUcbnF-yg6k&amp;usp=drive_fs")</f>
        <v>https://drive.google.com/open?id=1MgSqgKmIU--BGTxdAPY7JQUcbnF-yg6k&amp;usp=drive_fs</v>
      </c>
      <c r="B581" s="73" t="str">
        <f>IFERROR(__xludf.DUMMYFUNCTION("""COMPUTED_VALUE"""),"Shipper")</f>
        <v>Shipper</v>
      </c>
      <c r="C581" s="73" t="str">
        <f>IFERROR(__xludf.DUMMYFUNCTION("""COMPUTED_VALUE"""),"Toy")</f>
        <v>Toy</v>
      </c>
      <c r="D581" s="73" t="str">
        <f>IFERROR(__xludf.DUMMYFUNCTION("""COMPUTED_VALUE"""),"320*235*90 mm |  12.5*9.5*3.5 inch | 28*30")</f>
        <v>320*235*90 mm |  12.5*9.5*3.5 inch | 28*30</v>
      </c>
      <c r="E581" s="77">
        <f>IFERROR(__xludf.DUMMYFUNCTION("""COMPUTED_VALUE"""),1.0)</f>
        <v>1</v>
      </c>
      <c r="F581" s="77">
        <f>IFERROR(__xludf.DUMMYFUNCTION("""COMPUTED_VALUE"""),2840.0)</f>
        <v>2840</v>
      </c>
      <c r="G581" s="77">
        <f>IFERROR(__xludf.DUMMYFUNCTION("""COMPUTED_VALUE"""),28.0)</f>
        <v>28</v>
      </c>
      <c r="H581" s="77">
        <f>IFERROR(__xludf.DUMMYFUNCTION("""COMPUTED_VALUE"""),30.0)</f>
        <v>30</v>
      </c>
      <c r="I581" s="77">
        <f>IFERROR(__xludf.DUMMYFUNCTION("""COMPUTED_VALUE"""),100.0)</f>
        <v>100</v>
      </c>
      <c r="J581" s="73"/>
      <c r="K581" s="73"/>
      <c r="L581" s="73"/>
      <c r="M581" s="77"/>
      <c r="N581" s="77">
        <f>IFERROR(__xludf.DUMMYFUNCTION("""COMPUTED_VALUE"""),1.0)</f>
        <v>1</v>
      </c>
      <c r="O581" s="49"/>
      <c r="P581" s="49" t="str">
        <f>IFERROR(__xludf.DUMMYFUNCTION("""COMPUTED_VALUE"""),"Offset")</f>
        <v>Offset</v>
      </c>
      <c r="Q581" s="49" t="str">
        <f>IFERROR(__xludf.DUMMYFUNCTION("""COMPUTED_VALUE"""),"Packaging")</f>
        <v>Packaging</v>
      </c>
      <c r="R581" s="49" t="str">
        <f>IFERROR(__xludf.DUMMYFUNCTION("""COMPUTED_VALUE"""),"Shipper")</f>
        <v>Shipper</v>
      </c>
    </row>
    <row r="582">
      <c r="A582" s="73"/>
      <c r="B582" s="73" t="str">
        <f>IFERROR(__xludf.DUMMYFUNCTION("""COMPUTED_VALUE"""),"Shipper")</f>
        <v>Shipper</v>
      </c>
      <c r="C582" s="73" t="str">
        <f>IFERROR(__xludf.DUMMYFUNCTION("""COMPUTED_VALUE"""),"Envelope")</f>
        <v>Envelope</v>
      </c>
      <c r="D582" s="73" t="str">
        <f>IFERROR(__xludf.DUMMYFUNCTION("""COMPUTED_VALUE"""),"500*429 mm | 19.7*16.9 inch | 22*17")</f>
        <v>500*429 mm | 19.7*16.9 inch | 22*17</v>
      </c>
      <c r="E582" s="77">
        <f>IFERROR(__xludf.DUMMYFUNCTION("""COMPUTED_VALUE"""),1.0)</f>
        <v>1</v>
      </c>
      <c r="F582" s="77">
        <f>IFERROR(__xludf.DUMMYFUNCTION("""COMPUTED_VALUE"""),2840.0)</f>
        <v>2840</v>
      </c>
      <c r="G582" s="77">
        <f>IFERROR(__xludf.DUMMYFUNCTION("""COMPUTED_VALUE"""),22.0)</f>
        <v>22</v>
      </c>
      <c r="H582" s="77">
        <f>IFERROR(__xludf.DUMMYFUNCTION("""COMPUTED_VALUE"""),17.0)</f>
        <v>17</v>
      </c>
      <c r="I582" s="77">
        <f>IFERROR(__xludf.DUMMYFUNCTION("""COMPUTED_VALUE"""),100.0)</f>
        <v>100</v>
      </c>
      <c r="J582" s="73"/>
      <c r="K582" s="73"/>
      <c r="L582" s="73"/>
      <c r="M582" s="77"/>
      <c r="N582" s="77">
        <f>IFERROR(__xludf.DUMMYFUNCTION("""COMPUTED_VALUE"""),1.0)</f>
        <v>1</v>
      </c>
      <c r="O582" s="49"/>
      <c r="P582" s="49" t="str">
        <f>IFERROR(__xludf.DUMMYFUNCTION("""COMPUTED_VALUE"""),"Offset")</f>
        <v>Offset</v>
      </c>
      <c r="Q582" s="49" t="str">
        <f>IFERROR(__xludf.DUMMYFUNCTION("""COMPUTED_VALUE"""),"Packaging")</f>
        <v>Packaging</v>
      </c>
      <c r="R582" s="49" t="str">
        <f>IFERROR(__xludf.DUMMYFUNCTION("""COMPUTED_VALUE"""),"Shipper")</f>
        <v>Shipper</v>
      </c>
    </row>
    <row r="583">
      <c r="A583" s="73"/>
      <c r="B583" s="73" t="str">
        <f>IFERROR(__xludf.DUMMYFUNCTION("""COMPUTED_VALUE"""),"Shipper")</f>
        <v>Shipper</v>
      </c>
      <c r="C583" s="73" t="str">
        <f>IFERROR(__xludf.DUMMYFUNCTION("""COMPUTED_VALUE"""),"Envelope")</f>
        <v>Envelope</v>
      </c>
      <c r="D583" s="73" t="str">
        <f>IFERROR(__xludf.DUMMYFUNCTION("""COMPUTED_VALUE"""),"520*460 mm | 20.5*18.1 inch | 22*19")</f>
        <v>520*460 mm | 20.5*18.1 inch | 22*19</v>
      </c>
      <c r="E583" s="77">
        <f>IFERROR(__xludf.DUMMYFUNCTION("""COMPUTED_VALUE"""),1.0)</f>
        <v>1</v>
      </c>
      <c r="F583" s="77">
        <f>IFERROR(__xludf.DUMMYFUNCTION("""COMPUTED_VALUE"""),2840.0)</f>
        <v>2840</v>
      </c>
      <c r="G583" s="77">
        <f>IFERROR(__xludf.DUMMYFUNCTION("""COMPUTED_VALUE"""),22.0)</f>
        <v>22</v>
      </c>
      <c r="H583" s="77">
        <f>IFERROR(__xludf.DUMMYFUNCTION("""COMPUTED_VALUE"""),19.0)</f>
        <v>19</v>
      </c>
      <c r="I583" s="77">
        <f>IFERROR(__xludf.DUMMYFUNCTION("""COMPUTED_VALUE"""),100.0)</f>
        <v>100</v>
      </c>
      <c r="J583" s="73"/>
      <c r="K583" s="73"/>
      <c r="L583" s="73"/>
      <c r="M583" s="77"/>
      <c r="N583" s="77">
        <f>IFERROR(__xludf.DUMMYFUNCTION("""COMPUTED_VALUE"""),1.0)</f>
        <v>1</v>
      </c>
      <c r="O583" s="49"/>
      <c r="P583" s="49" t="str">
        <f>IFERROR(__xludf.DUMMYFUNCTION("""COMPUTED_VALUE"""),"Offset")</f>
        <v>Offset</v>
      </c>
      <c r="Q583" s="49" t="str">
        <f>IFERROR(__xludf.DUMMYFUNCTION("""COMPUTED_VALUE"""),"Packaging")</f>
        <v>Packaging</v>
      </c>
      <c r="R583" s="49" t="str">
        <f>IFERROR(__xludf.DUMMYFUNCTION("""COMPUTED_VALUE"""),"Shipper")</f>
        <v>Shipper</v>
      </c>
    </row>
    <row r="584">
      <c r="A584" s="73"/>
      <c r="B584" s="73" t="str">
        <f>IFERROR(__xludf.DUMMYFUNCTION("""COMPUTED_VALUE"""),"Shipper")</f>
        <v>Shipper</v>
      </c>
      <c r="C584" s="73" t="str">
        <f>IFERROR(__xludf.DUMMYFUNCTION("""COMPUTED_VALUE"""),"Envelope")</f>
        <v>Envelope</v>
      </c>
      <c r="D584" s="73" t="str">
        <f>IFERROR(__xludf.DUMMYFUNCTION("""COMPUTED_VALUE"""),"600*494 mm | 23.6*19.5 inch | 24*20")</f>
        <v>600*494 mm | 23.6*19.5 inch | 24*20</v>
      </c>
      <c r="E584" s="77">
        <f>IFERROR(__xludf.DUMMYFUNCTION("""COMPUTED_VALUE"""),1.0)</f>
        <v>1</v>
      </c>
      <c r="F584" s="77">
        <f>IFERROR(__xludf.DUMMYFUNCTION("""COMPUTED_VALUE"""),2840.0)</f>
        <v>2840</v>
      </c>
      <c r="G584" s="77">
        <f>IFERROR(__xludf.DUMMYFUNCTION("""COMPUTED_VALUE"""),24.0)</f>
        <v>24</v>
      </c>
      <c r="H584" s="77">
        <f>IFERROR(__xludf.DUMMYFUNCTION("""COMPUTED_VALUE"""),20.0)</f>
        <v>20</v>
      </c>
      <c r="I584" s="77">
        <f>IFERROR(__xludf.DUMMYFUNCTION("""COMPUTED_VALUE"""),100.0)</f>
        <v>100</v>
      </c>
      <c r="J584" s="73"/>
      <c r="K584" s="73"/>
      <c r="L584" s="73"/>
      <c r="M584" s="77"/>
      <c r="N584" s="77">
        <f>IFERROR(__xludf.DUMMYFUNCTION("""COMPUTED_VALUE"""),1.0)</f>
        <v>1</v>
      </c>
      <c r="O584" s="49"/>
      <c r="P584" s="49" t="str">
        <f>IFERROR(__xludf.DUMMYFUNCTION("""COMPUTED_VALUE"""),"Offset")</f>
        <v>Offset</v>
      </c>
      <c r="Q584" s="49" t="str">
        <f>IFERROR(__xludf.DUMMYFUNCTION("""COMPUTED_VALUE"""),"Packaging")</f>
        <v>Packaging</v>
      </c>
      <c r="R584" s="49" t="str">
        <f>IFERROR(__xludf.DUMMYFUNCTION("""COMPUTED_VALUE"""),"Shipper")</f>
        <v>Shipper</v>
      </c>
    </row>
    <row r="585">
      <c r="A585" s="73"/>
      <c r="B585" s="73" t="str">
        <f>IFERROR(__xludf.DUMMYFUNCTION("""COMPUTED_VALUE"""),"Shipper")</f>
        <v>Shipper</v>
      </c>
      <c r="C585" s="73" t="str">
        <f>IFERROR(__xludf.DUMMYFUNCTION("""COMPUTED_VALUE"""),"Envelope")</f>
        <v>Envelope</v>
      </c>
      <c r="D585" s="73" t="str">
        <f>IFERROR(__xludf.DUMMYFUNCTION("""COMPUTED_VALUE"""),"690*522 mm | 27.2*20.6 inch | 28*21")</f>
        <v>690*522 mm | 27.2*20.6 inch | 28*21</v>
      </c>
      <c r="E585" s="77">
        <f>IFERROR(__xludf.DUMMYFUNCTION("""COMPUTED_VALUE"""),1.0)</f>
        <v>1</v>
      </c>
      <c r="F585" s="77">
        <f>IFERROR(__xludf.DUMMYFUNCTION("""COMPUTED_VALUE"""),2840.0)</f>
        <v>2840</v>
      </c>
      <c r="G585" s="77">
        <f>IFERROR(__xludf.DUMMYFUNCTION("""COMPUTED_VALUE"""),28.0)</f>
        <v>28</v>
      </c>
      <c r="H585" s="77">
        <f>IFERROR(__xludf.DUMMYFUNCTION("""COMPUTED_VALUE"""),21.0)</f>
        <v>21</v>
      </c>
      <c r="I585" s="77">
        <f>IFERROR(__xludf.DUMMYFUNCTION("""COMPUTED_VALUE"""),100.0)</f>
        <v>100</v>
      </c>
      <c r="J585" s="73"/>
      <c r="K585" s="73"/>
      <c r="L585" s="73"/>
      <c r="M585" s="77"/>
      <c r="N585" s="77">
        <f>IFERROR(__xludf.DUMMYFUNCTION("""COMPUTED_VALUE"""),1.0)</f>
        <v>1</v>
      </c>
      <c r="O585" s="49"/>
      <c r="P585" s="49" t="str">
        <f>IFERROR(__xludf.DUMMYFUNCTION("""COMPUTED_VALUE"""),"Offset")</f>
        <v>Offset</v>
      </c>
      <c r="Q585" s="49" t="str">
        <f>IFERROR(__xludf.DUMMYFUNCTION("""COMPUTED_VALUE"""),"Packaging")</f>
        <v>Packaging</v>
      </c>
      <c r="R585" s="49" t="str">
        <f>IFERROR(__xludf.DUMMYFUNCTION("""COMPUTED_VALUE"""),"Shipper")</f>
        <v>Shipper</v>
      </c>
    </row>
    <row r="586">
      <c r="A586" s="73"/>
      <c r="B586" s="73" t="str">
        <f>IFERROR(__xludf.DUMMYFUNCTION("""COMPUTED_VALUE"""),"Shipper")</f>
        <v>Shipper</v>
      </c>
      <c r="C586" s="73" t="str">
        <f>IFERROR(__xludf.DUMMYFUNCTION("""COMPUTED_VALUE"""),"Envelope")</f>
        <v>Envelope</v>
      </c>
      <c r="D586" s="73" t="str">
        <f>IFERROR(__xludf.DUMMYFUNCTION("""COMPUTED_VALUE"""),"890*635 mm | 35*25 inch | 36*26")</f>
        <v>890*635 mm | 35*25 inch | 36*26</v>
      </c>
      <c r="E586" s="77">
        <f>IFERROR(__xludf.DUMMYFUNCTION("""COMPUTED_VALUE"""),1.0)</f>
        <v>1</v>
      </c>
      <c r="F586" s="77">
        <f>IFERROR(__xludf.DUMMYFUNCTION("""COMPUTED_VALUE"""),2840.0)</f>
        <v>2840</v>
      </c>
      <c r="G586" s="77">
        <f>IFERROR(__xludf.DUMMYFUNCTION("""COMPUTED_VALUE"""),36.0)</f>
        <v>36</v>
      </c>
      <c r="H586" s="77">
        <f>IFERROR(__xludf.DUMMYFUNCTION("""COMPUTED_VALUE"""),26.0)</f>
        <v>26</v>
      </c>
      <c r="I586" s="77">
        <f>IFERROR(__xludf.DUMMYFUNCTION("""COMPUTED_VALUE"""),100.0)</f>
        <v>100</v>
      </c>
      <c r="J586" s="73"/>
      <c r="K586" s="73"/>
      <c r="L586" s="73"/>
      <c r="M586" s="77"/>
      <c r="N586" s="77">
        <f>IFERROR(__xludf.DUMMYFUNCTION("""COMPUTED_VALUE"""),1.0)</f>
        <v>1</v>
      </c>
      <c r="O586" s="49"/>
      <c r="P586" s="49" t="str">
        <f>IFERROR(__xludf.DUMMYFUNCTION("""COMPUTED_VALUE"""),"Offset")</f>
        <v>Offset</v>
      </c>
      <c r="Q586" s="49" t="str">
        <f>IFERROR(__xludf.DUMMYFUNCTION("""COMPUTED_VALUE"""),"Packaging")</f>
        <v>Packaging</v>
      </c>
      <c r="R586" s="49" t="str">
        <f>IFERROR(__xludf.DUMMYFUNCTION("""COMPUTED_VALUE"""),"Shipper")</f>
        <v>Shipper</v>
      </c>
    </row>
    <row r="587">
      <c r="A587" s="156" t="str">
        <f>IFERROR(__xludf.DUMMYFUNCTION("""COMPUTED_VALUE"""),"https://drive.google.com/open?id=13rHXmgff0LdXZKLh7LShTxyWqtH30n8r&amp;usp=drive_fs")</f>
        <v>https://drive.google.com/open?id=13rHXmgff0LdXZKLh7LShTxyWqtH30n8r&amp;usp=drive_fs</v>
      </c>
      <c r="B587" s="73" t="str">
        <f>IFERROR(__xludf.DUMMYFUNCTION("""COMPUTED_VALUE"""),"Shipper")</f>
        <v>Shipper</v>
      </c>
      <c r="C587" s="73" t="str">
        <f>IFERROR(__xludf.DUMMYFUNCTION("""COMPUTED_VALUE"""),"Misc")</f>
        <v>Misc</v>
      </c>
      <c r="D587" s="73" t="str">
        <f>IFERROR(__xludf.DUMMYFUNCTION("""COMPUTED_VALUE"""),"203*127*76 mm | 8*5*3 inch | 22*20")</f>
        <v>203*127*76 mm | 8*5*3 inch | 22*20</v>
      </c>
      <c r="E587" s="77">
        <f>IFERROR(__xludf.DUMMYFUNCTION("""COMPUTED_VALUE"""),1.0)</f>
        <v>1</v>
      </c>
      <c r="F587" s="77">
        <f>IFERROR(__xludf.DUMMYFUNCTION("""COMPUTED_VALUE"""),2029.0)</f>
        <v>2029</v>
      </c>
      <c r="G587" s="77">
        <f>IFERROR(__xludf.DUMMYFUNCTION("""COMPUTED_VALUE"""),22.0)</f>
        <v>22</v>
      </c>
      <c r="H587" s="77">
        <f>IFERROR(__xludf.DUMMYFUNCTION("""COMPUTED_VALUE"""),20.0)</f>
        <v>20</v>
      </c>
      <c r="I587" s="77">
        <f>IFERROR(__xludf.DUMMYFUNCTION("""COMPUTED_VALUE"""),100.0)</f>
        <v>100</v>
      </c>
      <c r="J587" s="73"/>
      <c r="K587" s="73"/>
      <c r="L587" s="73"/>
      <c r="M587" s="77"/>
      <c r="N587" s="77">
        <f>IFERROR(__xludf.DUMMYFUNCTION("""COMPUTED_VALUE"""),1.0)</f>
        <v>1</v>
      </c>
      <c r="O587" s="49"/>
      <c r="P587" s="49" t="str">
        <f>IFERROR(__xludf.DUMMYFUNCTION("""COMPUTED_VALUE"""),"Offset")</f>
        <v>Offset</v>
      </c>
      <c r="Q587" s="49" t="str">
        <f>IFERROR(__xludf.DUMMYFUNCTION("""COMPUTED_VALUE"""),"Packaging")</f>
        <v>Packaging</v>
      </c>
      <c r="R587" s="49" t="str">
        <f>IFERROR(__xludf.DUMMYFUNCTION("""COMPUTED_VALUE"""),"Shipper")</f>
        <v>Shipper</v>
      </c>
    </row>
    <row r="588">
      <c r="A588" s="156" t="str">
        <f>IFERROR(__xludf.DUMMYFUNCTION("""COMPUTED_VALUE"""),"https://drive.google.com/open?id=1OrBIFvgyncYltJ_gSjtm61AzXTOFGtZg&amp;usp=drive_fs")</f>
        <v>https://drive.google.com/open?id=1OrBIFvgyncYltJ_gSjtm61AzXTOFGtZg&amp;usp=drive_fs</v>
      </c>
      <c r="B588" s="73" t="str">
        <f>IFERROR(__xludf.DUMMYFUNCTION("""COMPUTED_VALUE"""),"Shipper")</f>
        <v>Shipper</v>
      </c>
      <c r="C588" s="73" t="str">
        <f>IFERROR(__xludf.DUMMYFUNCTION("""COMPUTED_VALUE"""),"Misc")</f>
        <v>Misc</v>
      </c>
      <c r="D588" s="73" t="str">
        <f>IFERROR(__xludf.DUMMYFUNCTION("""COMPUTED_VALUE"""),"130*100*50 mm | 5.1*4*2 inch | 26*15")</f>
        <v>130*100*50 mm | 5.1*4*2 inch | 26*15</v>
      </c>
      <c r="E588" s="77">
        <f>IFERROR(__xludf.DUMMYFUNCTION("""COMPUTED_VALUE"""),2.0)</f>
        <v>2</v>
      </c>
      <c r="F588" s="77">
        <f>IFERROR(__xludf.DUMMYFUNCTION("""COMPUTED_VALUE"""),1926.0)</f>
        <v>1926</v>
      </c>
      <c r="G588" s="77">
        <f>IFERROR(__xludf.DUMMYFUNCTION("""COMPUTED_VALUE"""),19.0)</f>
        <v>19</v>
      </c>
      <c r="H588" s="77">
        <f>IFERROR(__xludf.DUMMYFUNCTION("""COMPUTED_VALUE"""),26.0)</f>
        <v>26</v>
      </c>
      <c r="I588" s="77">
        <f>IFERROR(__xludf.DUMMYFUNCTION("""COMPUTED_VALUE"""),100.0)</f>
        <v>100</v>
      </c>
      <c r="J588" s="73"/>
      <c r="K588" s="73"/>
      <c r="L588" s="73"/>
      <c r="M588" s="77"/>
      <c r="N588" s="77">
        <f>IFERROR(__xludf.DUMMYFUNCTION("""COMPUTED_VALUE"""),1.0)</f>
        <v>1</v>
      </c>
      <c r="O588" s="49"/>
      <c r="P588" s="49" t="str">
        <f>IFERROR(__xludf.DUMMYFUNCTION("""COMPUTED_VALUE"""),"Offset")</f>
        <v>Offset</v>
      </c>
      <c r="Q588" s="49" t="str">
        <f>IFERROR(__xludf.DUMMYFUNCTION("""COMPUTED_VALUE"""),"Packaging")</f>
        <v>Packaging</v>
      </c>
      <c r="R588" s="49" t="str">
        <f>IFERROR(__xludf.DUMMYFUNCTION("""COMPUTED_VALUE"""),"Shipper")</f>
        <v>Shipper</v>
      </c>
    </row>
    <row r="589">
      <c r="A589" s="156" t="str">
        <f>IFERROR(__xludf.DUMMYFUNCTION("""COMPUTED_VALUE"""),"https://drive.google.com/open?id=1OroAPDC7A4dYPek1wjcoad4p-9i28SdX&amp;usp=drive_fs")</f>
        <v>https://drive.google.com/open?id=1OroAPDC7A4dYPek1wjcoad4p-9i28SdX&amp;usp=drive_fs</v>
      </c>
      <c r="B589" s="73" t="str">
        <f>IFERROR(__xludf.DUMMYFUNCTION("""COMPUTED_VALUE"""),"Shipper")</f>
        <v>Shipper</v>
      </c>
      <c r="C589" s="73" t="str">
        <f>IFERROR(__xludf.DUMMYFUNCTION("""COMPUTED_VALUE"""),"Misc")</f>
        <v>Misc</v>
      </c>
      <c r="D589" s="73" t="str">
        <f>IFERROR(__xludf.DUMMYFUNCTION("""COMPUTED_VALUE"""),"290*200*60 mm | 11.4*7.8*2.4 inch | 22*24")</f>
        <v>290*200*60 mm | 11.4*7.8*2.4 inch | 22*24</v>
      </c>
      <c r="E589" s="77">
        <f>IFERROR(__xludf.DUMMYFUNCTION("""COMPUTED_VALUE"""),2.0)</f>
        <v>2</v>
      </c>
      <c r="F589" s="77">
        <f>IFERROR(__xludf.DUMMYFUNCTION("""COMPUTED_VALUE"""),2840.0)</f>
        <v>2840</v>
      </c>
      <c r="G589" s="77">
        <f>IFERROR(__xludf.DUMMYFUNCTION("""COMPUTED_VALUE"""),22.0)</f>
        <v>22</v>
      </c>
      <c r="H589" s="77">
        <f>IFERROR(__xludf.DUMMYFUNCTION("""COMPUTED_VALUE"""),24.0)</f>
        <v>24</v>
      </c>
      <c r="I589" s="77">
        <f>IFERROR(__xludf.DUMMYFUNCTION("""COMPUTED_VALUE"""),100.0)</f>
        <v>100</v>
      </c>
      <c r="J589" s="73"/>
      <c r="K589" s="73"/>
      <c r="L589" s="73"/>
      <c r="M589" s="77"/>
      <c r="N589" s="77">
        <f>IFERROR(__xludf.DUMMYFUNCTION("""COMPUTED_VALUE"""),1.0)</f>
        <v>1</v>
      </c>
      <c r="O589" s="49"/>
      <c r="P589" s="49" t="str">
        <f>IFERROR(__xludf.DUMMYFUNCTION("""COMPUTED_VALUE"""),"Offset")</f>
        <v>Offset</v>
      </c>
      <c r="Q589" s="49" t="str">
        <f>IFERROR(__xludf.DUMMYFUNCTION("""COMPUTED_VALUE"""),"Packaging")</f>
        <v>Packaging</v>
      </c>
      <c r="R589" s="49" t="str">
        <f>IFERROR(__xludf.DUMMYFUNCTION("""COMPUTED_VALUE"""),"Shipper")</f>
        <v>Shipper</v>
      </c>
    </row>
    <row r="590">
      <c r="A590" s="156" t="str">
        <f>IFERROR(__xludf.DUMMYFUNCTION("""COMPUTED_VALUE"""),"https://drive.google.com/open?id=16Q96V1feabBgs7eIxi-ZJCjHgsIdJ5KZ&amp;usp=drive_fs")</f>
        <v>https://drive.google.com/open?id=16Q96V1feabBgs7eIxi-ZJCjHgsIdJ5KZ&amp;usp=drive_fs</v>
      </c>
      <c r="B590" s="73" t="str">
        <f>IFERROR(__xludf.DUMMYFUNCTION("""COMPUTED_VALUE"""),"Shipper")</f>
        <v>Shipper</v>
      </c>
      <c r="C590" s="73" t="str">
        <f>IFERROR(__xludf.DUMMYFUNCTION("""COMPUTED_VALUE"""),"Misc")</f>
        <v>Misc</v>
      </c>
      <c r="D590" s="73" t="str">
        <f>IFERROR(__xludf.DUMMYFUNCTION("""COMPUTED_VALUE"""),"241*165*100 mm | 9.5*6.5*4 inch | 26*27 ")</f>
        <v>241*165*100 mm | 9.5*6.5*4 inch | 26*27 </v>
      </c>
      <c r="E590" s="77">
        <f>IFERROR(__xludf.DUMMYFUNCTION("""COMPUTED_VALUE"""),1.0)</f>
        <v>1</v>
      </c>
      <c r="F590" s="77">
        <f>IFERROR(__xludf.DUMMYFUNCTION("""COMPUTED_VALUE"""),2840.0)</f>
        <v>2840</v>
      </c>
      <c r="G590" s="77">
        <f>IFERROR(__xludf.DUMMYFUNCTION("""COMPUTED_VALUE"""),26.0)</f>
        <v>26</v>
      </c>
      <c r="H590" s="77">
        <f>IFERROR(__xludf.DUMMYFUNCTION("""COMPUTED_VALUE"""),28.0)</f>
        <v>28</v>
      </c>
      <c r="I590" s="77">
        <f>IFERROR(__xludf.DUMMYFUNCTION("""COMPUTED_VALUE"""),100.0)</f>
        <v>100</v>
      </c>
      <c r="J590" s="73"/>
      <c r="K590" s="73"/>
      <c r="L590" s="73"/>
      <c r="M590" s="77"/>
      <c r="N590" s="77">
        <f>IFERROR(__xludf.DUMMYFUNCTION("""COMPUTED_VALUE"""),1.0)</f>
        <v>1</v>
      </c>
      <c r="O590" s="49"/>
      <c r="P590" s="49" t="str">
        <f>IFERROR(__xludf.DUMMYFUNCTION("""COMPUTED_VALUE"""),"Offset")</f>
        <v>Offset</v>
      </c>
      <c r="Q590" s="49" t="str">
        <f>IFERROR(__xludf.DUMMYFUNCTION("""COMPUTED_VALUE"""),"Packaging")</f>
        <v>Packaging</v>
      </c>
      <c r="R590" s="49" t="str">
        <f>IFERROR(__xludf.DUMMYFUNCTION("""COMPUTED_VALUE"""),"Shipper")</f>
        <v>Shipper</v>
      </c>
    </row>
    <row r="591">
      <c r="A591" s="156" t="str">
        <f>IFERROR(__xludf.DUMMYFUNCTION("""COMPUTED_VALUE"""),"https://drive.google.com/open?id=16daeH6OjYrMKjRoXZGIgUCBt6dDR7x26&amp;usp=drive_fs")</f>
        <v>https://drive.google.com/open?id=16daeH6OjYrMKjRoXZGIgUCBt6dDR7x26&amp;usp=drive_fs</v>
      </c>
      <c r="B591" s="73" t="str">
        <f>IFERROR(__xludf.DUMMYFUNCTION("""COMPUTED_VALUE"""),"Shoe")</f>
        <v>Shoe</v>
      </c>
      <c r="C591" s="73" t="str">
        <f>IFERROR(__xludf.DUMMYFUNCTION("""COMPUTED_VALUE"""),"Sports")</f>
        <v>Sports</v>
      </c>
      <c r="D591" s="73" t="str">
        <f>IFERROR(__xludf.DUMMYFUNCTION("""COMPUTED_VALUE"""),"335*228*123 mm | 13.2*9*4.9 inch | 24*34")</f>
        <v>335*228*123 mm | 13.2*9*4.9 inch | 24*34</v>
      </c>
      <c r="E591" s="77">
        <f>IFERROR(__xludf.DUMMYFUNCTION("""COMPUTED_VALUE"""),1.0)</f>
        <v>1</v>
      </c>
      <c r="F591" s="77">
        <f>IFERROR(__xludf.DUMMYFUNCTION("""COMPUTED_VALUE"""),2840.0)</f>
        <v>2840</v>
      </c>
      <c r="G591" s="77">
        <f>IFERROR(__xludf.DUMMYFUNCTION("""COMPUTED_VALUE"""),24.0)</f>
        <v>24</v>
      </c>
      <c r="H591" s="77">
        <f>IFERROR(__xludf.DUMMYFUNCTION("""COMPUTED_VALUE"""),34.0)</f>
        <v>34</v>
      </c>
      <c r="I591" s="77">
        <f>IFERROR(__xludf.DUMMYFUNCTION("""COMPUTED_VALUE"""),100.0)</f>
        <v>100</v>
      </c>
      <c r="J591" s="73"/>
      <c r="K591" s="73"/>
      <c r="L591" s="73"/>
      <c r="M591" s="77"/>
      <c r="N591" s="77">
        <f>IFERROR(__xludf.DUMMYFUNCTION("""COMPUTED_VALUE"""),1.0)</f>
        <v>1</v>
      </c>
      <c r="O591" s="49"/>
      <c r="P591" s="49" t="str">
        <f>IFERROR(__xludf.DUMMYFUNCTION("""COMPUTED_VALUE"""),"Offset")</f>
        <v>Offset</v>
      </c>
      <c r="Q591" s="49" t="str">
        <f>IFERROR(__xludf.DUMMYFUNCTION("""COMPUTED_VALUE"""),"Packaging")</f>
        <v>Packaging</v>
      </c>
      <c r="R591" s="49" t="str">
        <f>IFERROR(__xludf.DUMMYFUNCTION("""COMPUTED_VALUE"""),"Shoe")</f>
        <v>Shoe</v>
      </c>
    </row>
    <row r="592">
      <c r="A592" s="156" t="str">
        <f>IFERROR(__xludf.DUMMYFUNCTION("""COMPUTED_VALUE"""),"https://drive.google.com/open?id=1OuCiURMsc0FJ6FZStZt9eTCwbNaQWQQh&amp;usp=drive_fs")</f>
        <v>https://drive.google.com/open?id=1OuCiURMsc0FJ6FZStZt9eTCwbNaQWQQh&amp;usp=drive_fs</v>
      </c>
      <c r="B592" s="73" t="str">
        <f>IFERROR(__xludf.DUMMYFUNCTION("""COMPUTED_VALUE"""),"Shipper")</f>
        <v>Shipper</v>
      </c>
      <c r="C592" s="73" t="str">
        <f>IFERROR(__xludf.DUMMYFUNCTION("""COMPUTED_VALUE"""),"Misc")</f>
        <v>Misc</v>
      </c>
      <c r="D592" s="73" t="str">
        <f>IFERROR(__xludf.DUMMYFUNCTION("""COMPUTED_VALUE"""),"165*120*60 mm | 4.7*2.4*6.5 inch | 22*16")</f>
        <v>165*120*60 mm | 4.7*2.4*6.5 inch | 22*16</v>
      </c>
      <c r="E592" s="77">
        <f>IFERROR(__xludf.DUMMYFUNCTION("""COMPUTED_VALUE"""),2.0)</f>
        <v>2</v>
      </c>
      <c r="F592" s="77">
        <f>IFERROR(__xludf.DUMMYFUNCTION("""COMPUTED_VALUE"""),1926.0)</f>
        <v>1926</v>
      </c>
      <c r="G592" s="77">
        <f>IFERROR(__xludf.DUMMYFUNCTION("""COMPUTED_VALUE"""),22.0)</f>
        <v>22</v>
      </c>
      <c r="H592" s="77">
        <f>IFERROR(__xludf.DUMMYFUNCTION("""COMPUTED_VALUE"""),16.0)</f>
        <v>16</v>
      </c>
      <c r="I592" s="77">
        <f>IFERROR(__xludf.DUMMYFUNCTION("""COMPUTED_VALUE"""),100.0)</f>
        <v>100</v>
      </c>
      <c r="J592" s="73"/>
      <c r="K592" s="73"/>
      <c r="L592" s="73"/>
      <c r="M592" s="77">
        <f>IFERROR(__xludf.DUMMYFUNCTION("""COMPUTED_VALUE"""),0.1)</f>
        <v>0.1</v>
      </c>
      <c r="N592" s="77">
        <f>IFERROR(__xludf.DUMMYFUNCTION("""COMPUTED_VALUE"""),1.0)</f>
        <v>1</v>
      </c>
      <c r="O592" s="49"/>
      <c r="P592" s="49" t="str">
        <f>IFERROR(__xludf.DUMMYFUNCTION("""COMPUTED_VALUE"""),"Offset")</f>
        <v>Offset</v>
      </c>
      <c r="Q592" s="49" t="str">
        <f>IFERROR(__xludf.DUMMYFUNCTION("""COMPUTED_VALUE"""),"Packaging")</f>
        <v>Packaging</v>
      </c>
      <c r="R592" s="49" t="str">
        <f>IFERROR(__xludf.DUMMYFUNCTION("""COMPUTED_VALUE"""),"Shipper")</f>
        <v>Shipper</v>
      </c>
    </row>
    <row r="593">
      <c r="A593" s="156" t="str">
        <f>IFERROR(__xludf.DUMMYFUNCTION("""COMPUTED_VALUE"""),"https://drive.google.com/open?id=16wxH_H-B2vHyNn_Ku_AnHBdIHVTxY_n4&amp;usp=drive_fs")</f>
        <v>https://drive.google.com/open?id=16wxH_H-B2vHyNn_Ku_AnHBdIHVTxY_n4&amp;usp=drive_fs</v>
      </c>
      <c r="B593" s="73" t="str">
        <f>IFERROR(__xludf.DUMMYFUNCTION("""COMPUTED_VALUE"""),"Shoe")</f>
        <v>Shoe</v>
      </c>
      <c r="C593" s="73" t="str">
        <f>IFERROR(__xludf.DUMMYFUNCTION("""COMPUTED_VALUE"""),"Kids")</f>
        <v>Kids</v>
      </c>
      <c r="D593" s="73" t="str">
        <f>IFERROR(__xludf.DUMMYFUNCTION("""COMPUTED_VALUE"""),"254*203*100 mm | 10*8*4 inch | 28*30")</f>
        <v>254*203*100 mm | 10*8*4 inch | 28*30</v>
      </c>
      <c r="E593" s="77">
        <f>IFERROR(__xludf.DUMMYFUNCTION("""COMPUTED_VALUE"""),1.0)</f>
        <v>1</v>
      </c>
      <c r="F593" s="77">
        <f>IFERROR(__xludf.DUMMYFUNCTION("""COMPUTED_VALUE"""),2840.0)</f>
        <v>2840</v>
      </c>
      <c r="G593" s="77">
        <f>IFERROR(__xludf.DUMMYFUNCTION("""COMPUTED_VALUE"""),28.0)</f>
        <v>28</v>
      </c>
      <c r="H593" s="77">
        <f>IFERROR(__xludf.DUMMYFUNCTION("""COMPUTED_VALUE"""),30.0)</f>
        <v>30</v>
      </c>
      <c r="I593" s="77">
        <f>IFERROR(__xludf.DUMMYFUNCTION("""COMPUTED_VALUE"""),100.0)</f>
        <v>100</v>
      </c>
      <c r="J593" s="73"/>
      <c r="K593" s="73"/>
      <c r="L593" s="73"/>
      <c r="M593" s="77"/>
      <c r="N593" s="77">
        <f>IFERROR(__xludf.DUMMYFUNCTION("""COMPUTED_VALUE"""),1.0)</f>
        <v>1</v>
      </c>
      <c r="O593" s="49"/>
      <c r="P593" s="49" t="str">
        <f>IFERROR(__xludf.DUMMYFUNCTION("""COMPUTED_VALUE"""),"Offset")</f>
        <v>Offset</v>
      </c>
      <c r="Q593" s="49" t="str">
        <f>IFERROR(__xludf.DUMMYFUNCTION("""COMPUTED_VALUE"""),"Packaging")</f>
        <v>Packaging</v>
      </c>
      <c r="R593" s="49" t="str">
        <f>IFERROR(__xludf.DUMMYFUNCTION("""COMPUTED_VALUE"""),"Shoe")</f>
        <v>Shoe</v>
      </c>
    </row>
    <row r="594">
      <c r="A594" s="156" t="str">
        <f>IFERROR(__xludf.DUMMYFUNCTION("""COMPUTED_VALUE"""),"https://drive.google.com/open?id=1OxqcURsGqpUwl_9jsixsaQ7AHjd0BiS_&amp;usp=drive_fs")</f>
        <v>https://drive.google.com/open?id=1OxqcURsGqpUwl_9jsixsaQ7AHjd0BiS_&amp;usp=drive_fs</v>
      </c>
      <c r="B594" s="73" t="str">
        <f>IFERROR(__xludf.DUMMYFUNCTION("""COMPUTED_VALUE"""),"Shipper")</f>
        <v>Shipper</v>
      </c>
      <c r="C594" s="73" t="str">
        <f>IFERROR(__xludf.DUMMYFUNCTION("""COMPUTED_VALUE"""),"Misc")</f>
        <v>Misc</v>
      </c>
      <c r="D594" s="73" t="str">
        <f>IFERROR(__xludf.DUMMYFUNCTION("""COMPUTED_VALUE"""),"221*30*270 mm | 8.7*1.2*10.6 inch | 22*15")</f>
        <v>221*30*270 mm | 8.7*1.2*10.6 inch | 22*15</v>
      </c>
      <c r="E594" s="77">
        <f>IFERROR(__xludf.DUMMYFUNCTION("""COMPUTED_VALUE"""),1.0)</f>
        <v>1</v>
      </c>
      <c r="F594" s="77">
        <f>IFERROR(__xludf.DUMMYFUNCTION("""COMPUTED_VALUE"""),1926.0)</f>
        <v>1926</v>
      </c>
      <c r="G594" s="77">
        <f>IFERROR(__xludf.DUMMYFUNCTION("""COMPUTED_VALUE"""),15.75)</f>
        <v>15.75</v>
      </c>
      <c r="H594" s="77">
        <f>IFERROR(__xludf.DUMMYFUNCTION("""COMPUTED_VALUE"""),20.75)</f>
        <v>20.75</v>
      </c>
      <c r="I594" s="77">
        <f>IFERROR(__xludf.DUMMYFUNCTION("""COMPUTED_VALUE"""),100.0)</f>
        <v>100</v>
      </c>
      <c r="J594" s="73"/>
      <c r="K594" s="73"/>
      <c r="L594" s="73"/>
      <c r="M594" s="77">
        <f>IFERROR(__xludf.DUMMYFUNCTION("""COMPUTED_VALUE"""),0.12)</f>
        <v>0.12</v>
      </c>
      <c r="N594" s="77">
        <f>IFERROR(__xludf.DUMMYFUNCTION("""COMPUTED_VALUE"""),1.0)</f>
        <v>1</v>
      </c>
      <c r="O594" s="49"/>
      <c r="P594" s="49" t="str">
        <f>IFERROR(__xludf.DUMMYFUNCTION("""COMPUTED_VALUE"""),"Offset")</f>
        <v>Offset</v>
      </c>
      <c r="Q594" s="49" t="str">
        <f>IFERROR(__xludf.DUMMYFUNCTION("""COMPUTED_VALUE"""),"Packaging")</f>
        <v>Packaging</v>
      </c>
      <c r="R594" s="49" t="str">
        <f>IFERROR(__xludf.DUMMYFUNCTION("""COMPUTED_VALUE"""),"Shipper")</f>
        <v>Shipper</v>
      </c>
    </row>
    <row r="595">
      <c r="A595" s="156" t="str">
        <f>IFERROR(__xludf.DUMMYFUNCTION("""COMPUTED_VALUE"""),"https://drive.google.com/open?id=17rVKvL95B054GiOQNHp4AyOKFxLBwqbq&amp;usp=drive_fs")</f>
        <v>https://drive.google.com/open?id=17rVKvL95B054GiOQNHp4AyOKFxLBwqbq&amp;usp=drive_fs</v>
      </c>
      <c r="B595" s="73" t="str">
        <f>IFERROR(__xludf.DUMMYFUNCTION("""COMPUTED_VALUE"""),"Xpider")</f>
        <v>Xpider</v>
      </c>
      <c r="C595" s="73" t="str">
        <f>IFERROR(__xludf.DUMMYFUNCTION("""COMPUTED_VALUE"""),"XA 575")</f>
        <v>XA 575</v>
      </c>
      <c r="D595" s="73" t="str">
        <f>IFERROR(__xludf.DUMMYFUNCTION("""COMPUTED_VALUE"""),"380*190*93 mm | 15*7.5*3.6 inch | 32*27")</f>
        <v>380*190*93 mm | 15*7.5*3.6 inch | 32*27</v>
      </c>
      <c r="E595" s="77">
        <f>IFERROR(__xludf.DUMMYFUNCTION("""COMPUTED_VALUE"""),1.0)</f>
        <v>1</v>
      </c>
      <c r="F595" s="77">
        <f>IFERROR(__xludf.DUMMYFUNCTION("""COMPUTED_VALUE"""),2840.0)</f>
        <v>2840</v>
      </c>
      <c r="G595" s="77">
        <f>IFERROR(__xludf.DUMMYFUNCTION("""COMPUTED_VALUE"""),28.0)</f>
        <v>28</v>
      </c>
      <c r="H595" s="77">
        <f>IFERROR(__xludf.DUMMYFUNCTION("""COMPUTED_VALUE"""),32.0)</f>
        <v>32</v>
      </c>
      <c r="I595" s="77">
        <f>IFERROR(__xludf.DUMMYFUNCTION("""COMPUTED_VALUE"""),100.0)</f>
        <v>100</v>
      </c>
      <c r="J595" s="73"/>
      <c r="K595" s="73"/>
      <c r="L595" s="73"/>
      <c r="M595" s="77"/>
      <c r="N595" s="77">
        <f>IFERROR(__xludf.DUMMYFUNCTION("""COMPUTED_VALUE"""),1.0)</f>
        <v>1</v>
      </c>
      <c r="O595" s="49"/>
      <c r="P595" s="49" t="str">
        <f>IFERROR(__xludf.DUMMYFUNCTION("""COMPUTED_VALUE"""),"Offset")</f>
        <v>Offset</v>
      </c>
      <c r="Q595" s="49" t="str">
        <f>IFERROR(__xludf.DUMMYFUNCTION("""COMPUTED_VALUE"""),"Packaging")</f>
        <v>Packaging</v>
      </c>
      <c r="R595" s="49" t="str">
        <f>IFERROR(__xludf.DUMMYFUNCTION("""COMPUTED_VALUE"""),"Xpider")</f>
        <v>Xpider</v>
      </c>
    </row>
    <row r="596">
      <c r="A596" s="156" t="str">
        <f>IFERROR(__xludf.DUMMYFUNCTION("""COMPUTED_VALUE"""),"https://drive.google.com/open?id=17vW21R5RcSIaWUaEOon9VtLcFyi93hBA&amp;usp=drive_fs")</f>
        <v>https://drive.google.com/open?id=17vW21R5RcSIaWUaEOon9VtLcFyi93hBA&amp;usp=drive_fs</v>
      </c>
      <c r="B596" s="73" t="str">
        <f>IFERROR(__xludf.DUMMYFUNCTION("""COMPUTED_VALUE"""),"Xpider")</f>
        <v>Xpider</v>
      </c>
      <c r="C596" s="73" t="str">
        <f>IFERROR(__xludf.DUMMYFUNCTION("""COMPUTED_VALUE"""),"XA 475")</f>
        <v>XA 475</v>
      </c>
      <c r="D596" s="73" t="str">
        <f>IFERROR(__xludf.DUMMYFUNCTION("""COMPUTED_VALUE"""),"384*190*78 mm | 15*7.5*3 inch | 30*25")</f>
        <v>384*190*78 mm | 15*7.5*3 inch | 30*25</v>
      </c>
      <c r="E596" s="77">
        <f>IFERROR(__xludf.DUMMYFUNCTION("""COMPUTED_VALUE"""),1.0)</f>
        <v>1</v>
      </c>
      <c r="F596" s="77">
        <f>IFERROR(__xludf.DUMMYFUNCTION("""COMPUTED_VALUE"""),2840.0)</f>
        <v>2840</v>
      </c>
      <c r="G596" s="77">
        <f>IFERROR(__xludf.DUMMYFUNCTION("""COMPUTED_VALUE"""),30.0)</f>
        <v>30</v>
      </c>
      <c r="H596" s="77">
        <f>IFERROR(__xludf.DUMMYFUNCTION("""COMPUTED_VALUE"""),25.0)</f>
        <v>25</v>
      </c>
      <c r="I596" s="77">
        <f>IFERROR(__xludf.DUMMYFUNCTION("""COMPUTED_VALUE"""),100.0)</f>
        <v>100</v>
      </c>
      <c r="J596" s="73"/>
      <c r="K596" s="73"/>
      <c r="L596" s="73"/>
      <c r="M596" s="77"/>
      <c r="N596" s="77">
        <f>IFERROR(__xludf.DUMMYFUNCTION("""COMPUTED_VALUE"""),1.0)</f>
        <v>1</v>
      </c>
      <c r="O596" s="49"/>
      <c r="P596" s="49" t="str">
        <f>IFERROR(__xludf.DUMMYFUNCTION("""COMPUTED_VALUE"""),"Offset")</f>
        <v>Offset</v>
      </c>
      <c r="Q596" s="49" t="str">
        <f>IFERROR(__xludf.DUMMYFUNCTION("""COMPUTED_VALUE"""),"Packaging")</f>
        <v>Packaging</v>
      </c>
      <c r="R596" s="49" t="str">
        <f>IFERROR(__xludf.DUMMYFUNCTION("""COMPUTED_VALUE"""),"Xpider")</f>
        <v>Xpider</v>
      </c>
    </row>
    <row r="597">
      <c r="A597" s="156" t="str">
        <f>IFERROR(__xludf.DUMMYFUNCTION("""COMPUTED_VALUE"""),"https://drive.google.com/open?id=17xTLYhDbkSn4Elpnc52RSLsCzZ2TtBJs&amp;usp=drive_fs")</f>
        <v>https://drive.google.com/open?id=17xTLYhDbkSn4Elpnc52RSLsCzZ2TtBJs&amp;usp=drive_fs</v>
      </c>
      <c r="B597" s="73" t="str">
        <f>IFERROR(__xludf.DUMMYFUNCTION("""COMPUTED_VALUE"""),"Xpider")</f>
        <v>Xpider</v>
      </c>
      <c r="C597" s="73" t="str">
        <f>IFERROR(__xludf.DUMMYFUNCTION("""COMPUTED_VALUE"""),"XA 3000")</f>
        <v>XA 3000</v>
      </c>
      <c r="D597" s="73" t="str">
        <f>IFERROR(__xludf.DUMMYFUNCTION("""COMPUTED_VALUE"""),"A 324*324*190.5 mm | 12.75*12.75*7.5 inch | 28*30")</f>
        <v>A 324*324*190.5 mm | 12.75*12.75*7.5 inch | 28*30</v>
      </c>
      <c r="E597" s="77">
        <f>IFERROR(__xludf.DUMMYFUNCTION("""COMPUTED_VALUE"""),1.0)</f>
        <v>1</v>
      </c>
      <c r="F597" s="77">
        <f>IFERROR(__xludf.DUMMYFUNCTION("""COMPUTED_VALUE"""),2840.0)</f>
        <v>2840</v>
      </c>
      <c r="G597" s="77">
        <f>IFERROR(__xludf.DUMMYFUNCTION("""COMPUTED_VALUE"""),28.0)</f>
        <v>28</v>
      </c>
      <c r="H597" s="77">
        <f>IFERROR(__xludf.DUMMYFUNCTION("""COMPUTED_VALUE"""),30.0)</f>
        <v>30</v>
      </c>
      <c r="I597" s="77">
        <f>IFERROR(__xludf.DUMMYFUNCTION("""COMPUTED_VALUE"""),100.0)</f>
        <v>100</v>
      </c>
      <c r="J597" s="73"/>
      <c r="K597" s="73"/>
      <c r="L597" s="73"/>
      <c r="M597" s="77">
        <f>IFERROR(__xludf.DUMMYFUNCTION("""COMPUTED_VALUE"""),0.5)</f>
        <v>0.5</v>
      </c>
      <c r="N597" s="77">
        <f>IFERROR(__xludf.DUMMYFUNCTION("""COMPUTED_VALUE"""),1.0)</f>
        <v>1</v>
      </c>
      <c r="O597" s="49"/>
      <c r="P597" s="49" t="str">
        <f>IFERROR(__xludf.DUMMYFUNCTION("""COMPUTED_VALUE"""),"Offset")</f>
        <v>Offset</v>
      </c>
      <c r="Q597" s="49" t="str">
        <f>IFERROR(__xludf.DUMMYFUNCTION("""COMPUTED_VALUE"""),"Packaging")</f>
        <v>Packaging</v>
      </c>
      <c r="R597" s="49" t="str">
        <f>IFERROR(__xludf.DUMMYFUNCTION("""COMPUTED_VALUE"""),"Xpider")</f>
        <v>Xpider</v>
      </c>
    </row>
    <row r="598">
      <c r="A598" s="156" t="str">
        <f>IFERROR(__xludf.DUMMYFUNCTION("""COMPUTED_VALUE"""),"https://drive.google.com/open?id=1871TKfxhD4cXTiHo6P8oouSTIo3fc_Ik&amp;usp=drive_fs")</f>
        <v>https://drive.google.com/open?id=1871TKfxhD4cXTiHo6P8oouSTIo3fc_Ik&amp;usp=drive_fs</v>
      </c>
      <c r="B598" s="73" t="str">
        <f>IFERROR(__xludf.DUMMYFUNCTION("""COMPUTED_VALUE"""),"Xpider")</f>
        <v>Xpider</v>
      </c>
      <c r="C598" s="73" t="str">
        <f>IFERROR(__xludf.DUMMYFUNCTION("""COMPUTED_VALUE"""),"XA 3000")</f>
        <v>XA 3000</v>
      </c>
      <c r="D598" s="73" t="str">
        <f>IFERROR(__xludf.DUMMYFUNCTION("""COMPUTED_VALUE"""),"B 324*324*190.5 mm | 12.75*12.75*7.5 inch | 28*22")</f>
        <v>B 324*324*190.5 mm | 12.75*12.75*7.5 inch | 28*22</v>
      </c>
      <c r="E598" s="77">
        <f>IFERROR(__xludf.DUMMYFUNCTION("""COMPUTED_VALUE"""),1.0)</f>
        <v>1</v>
      </c>
      <c r="F598" s="77">
        <f>IFERROR(__xludf.DUMMYFUNCTION("""COMPUTED_VALUE"""),2840.0)</f>
        <v>2840</v>
      </c>
      <c r="G598" s="77">
        <f>IFERROR(__xludf.DUMMYFUNCTION("""COMPUTED_VALUE"""),28.0)</f>
        <v>28</v>
      </c>
      <c r="H598" s="77">
        <f>IFERROR(__xludf.DUMMYFUNCTION("""COMPUTED_VALUE"""),22.0)</f>
        <v>22</v>
      </c>
      <c r="I598" s="77">
        <f>IFERROR(__xludf.DUMMYFUNCTION("""COMPUTED_VALUE"""),100.0)</f>
        <v>100</v>
      </c>
      <c r="J598" s="73"/>
      <c r="K598" s="73"/>
      <c r="L598" s="73"/>
      <c r="M598" s="77">
        <f>IFERROR(__xludf.DUMMYFUNCTION("""COMPUTED_VALUE"""),0.5)</f>
        <v>0.5</v>
      </c>
      <c r="N598" s="77">
        <f>IFERROR(__xludf.DUMMYFUNCTION("""COMPUTED_VALUE"""),1.0)</f>
        <v>1</v>
      </c>
      <c r="O598" s="49"/>
      <c r="P598" s="49" t="str">
        <f>IFERROR(__xludf.DUMMYFUNCTION("""COMPUTED_VALUE"""),"Offset")</f>
        <v>Offset</v>
      </c>
      <c r="Q598" s="49" t="str">
        <f>IFERROR(__xludf.DUMMYFUNCTION("""COMPUTED_VALUE"""),"Packaging")</f>
        <v>Packaging</v>
      </c>
      <c r="R598" s="49" t="str">
        <f>IFERROR(__xludf.DUMMYFUNCTION("""COMPUTED_VALUE"""),"Xpider")</f>
        <v>Xpider</v>
      </c>
    </row>
    <row r="599">
      <c r="A599" s="156" t="str">
        <f>IFERROR(__xludf.DUMMYFUNCTION("""COMPUTED_VALUE"""),"https://drive.google.com/open?id=187xWmykLzhij8LNE5ryLW4K_2jI_iPgO&amp;usp=drive_fs")</f>
        <v>https://drive.google.com/open?id=187xWmykLzhij8LNE5ryLW4K_2jI_iPgO&amp;usp=drive_fs</v>
      </c>
      <c r="B599" s="73" t="str">
        <f>IFERROR(__xludf.DUMMYFUNCTION("""COMPUTED_VALUE"""),"Shoe")</f>
        <v>Shoe</v>
      </c>
      <c r="C599" s="73" t="str">
        <f>IFERROR(__xludf.DUMMYFUNCTION("""COMPUTED_VALUE"""),"Kids")</f>
        <v>Kids</v>
      </c>
      <c r="D599" s="73" t="str">
        <f>IFERROR(__xludf.DUMMYFUNCTION("""COMPUTED_VALUE"""),"210*150*100 mm | 8.2*5.9*4 inch | 26*24")</f>
        <v>210*150*100 mm | 8.2*5.9*4 inch | 26*24</v>
      </c>
      <c r="E599" s="77">
        <f>IFERROR(__xludf.DUMMYFUNCTION("""COMPUTED_VALUE"""),1.0)</f>
        <v>1</v>
      </c>
      <c r="F599" s="77">
        <f>IFERROR(__xludf.DUMMYFUNCTION("""COMPUTED_VALUE"""),2840.0)</f>
        <v>2840</v>
      </c>
      <c r="G599" s="77">
        <f>IFERROR(__xludf.DUMMYFUNCTION("""COMPUTED_VALUE"""),24.0)</f>
        <v>24</v>
      </c>
      <c r="H599" s="77">
        <f>IFERROR(__xludf.DUMMYFUNCTION("""COMPUTED_VALUE"""),26.0)</f>
        <v>26</v>
      </c>
      <c r="I599" s="77">
        <f>IFERROR(__xludf.DUMMYFUNCTION("""COMPUTED_VALUE"""),100.0)</f>
        <v>100</v>
      </c>
      <c r="J599" s="73"/>
      <c r="K599" s="73"/>
      <c r="L599" s="73"/>
      <c r="M599" s="77"/>
      <c r="N599" s="77">
        <f>IFERROR(__xludf.DUMMYFUNCTION("""COMPUTED_VALUE"""),1.0)</f>
        <v>1</v>
      </c>
      <c r="O599" s="49"/>
      <c r="P599" s="49" t="str">
        <f>IFERROR(__xludf.DUMMYFUNCTION("""COMPUTED_VALUE"""),"Offset")</f>
        <v>Offset</v>
      </c>
      <c r="Q599" s="49" t="str">
        <f>IFERROR(__xludf.DUMMYFUNCTION("""COMPUTED_VALUE"""),"Packaging")</f>
        <v>Packaging</v>
      </c>
      <c r="R599" s="49" t="str">
        <f>IFERROR(__xludf.DUMMYFUNCTION("""COMPUTED_VALUE"""),"Shoe")</f>
        <v>Shoe</v>
      </c>
    </row>
    <row r="600">
      <c r="A600" s="156" t="str">
        <f>IFERROR(__xludf.DUMMYFUNCTION("""COMPUTED_VALUE"""),"https://drive.google.com/open?id=1Qh3ijcyUcqVd1XVTh7zw0wErTVdf5X1q&amp;usp=drive_fs")</f>
        <v>https://drive.google.com/open?id=1Qh3ijcyUcqVd1XVTh7zw0wErTVdf5X1q&amp;usp=drive_fs</v>
      </c>
      <c r="B600" s="73" t="str">
        <f>IFERROR(__xludf.DUMMYFUNCTION("""COMPUTED_VALUE"""),"Xpider")</f>
        <v>Xpider</v>
      </c>
      <c r="C600" s="73" t="str">
        <f>IFERROR(__xludf.DUMMYFUNCTION("""COMPUTED_VALUE"""),"Twitor")</f>
        <v>Twitor</v>
      </c>
      <c r="D600" s="73" t="str">
        <f>IFERROR(__xludf.DUMMYFUNCTION("""COMPUTED_VALUE"""),"160*115*70 mm | 6.5*4.5*2.7 inch |  34*19")</f>
        <v>160*115*70 mm | 6.5*4.5*2.7 inch |  34*19</v>
      </c>
      <c r="E600" s="77">
        <f>IFERROR(__xludf.DUMMYFUNCTION("""COMPUTED_VALUE"""),2.0)</f>
        <v>2</v>
      </c>
      <c r="F600" s="77">
        <f>IFERROR(__xludf.DUMMYFUNCTION("""COMPUTED_VALUE"""),2840.0)</f>
        <v>2840</v>
      </c>
      <c r="G600" s="77">
        <f>IFERROR(__xludf.DUMMYFUNCTION("""COMPUTED_VALUE"""),19.0)</f>
        <v>19</v>
      </c>
      <c r="H600" s="77">
        <f>IFERROR(__xludf.DUMMYFUNCTION("""COMPUTED_VALUE"""),34.0)</f>
        <v>34</v>
      </c>
      <c r="I600" s="77">
        <f>IFERROR(__xludf.DUMMYFUNCTION("""COMPUTED_VALUE"""),100.0)</f>
        <v>100</v>
      </c>
      <c r="J600" s="73"/>
      <c r="K600" s="73"/>
      <c r="L600" s="73"/>
      <c r="M600" s="77"/>
      <c r="N600" s="77">
        <f>IFERROR(__xludf.DUMMYFUNCTION("""COMPUTED_VALUE"""),1.0)</f>
        <v>1</v>
      </c>
      <c r="O600" s="49"/>
      <c r="P600" s="49" t="str">
        <f>IFERROR(__xludf.DUMMYFUNCTION("""COMPUTED_VALUE"""),"Offset")</f>
        <v>Offset</v>
      </c>
      <c r="Q600" s="49" t="str">
        <f>IFERROR(__xludf.DUMMYFUNCTION("""COMPUTED_VALUE"""),"Packaging")</f>
        <v>Packaging</v>
      </c>
      <c r="R600" s="49" t="str">
        <f>IFERROR(__xludf.DUMMYFUNCTION("""COMPUTED_VALUE"""),"Xpider")</f>
        <v>Xpider</v>
      </c>
    </row>
    <row r="601">
      <c r="A601" s="156" t="str">
        <f>IFERROR(__xludf.DUMMYFUNCTION("""COMPUTED_VALUE"""),"https://drive.google.com/open?id=1Qu275nkuDgTS7urauvuRBGIVTS3hzVHh&amp;usp=drive_fs")</f>
        <v>https://drive.google.com/open?id=1Qu275nkuDgTS7urauvuRBGIVTS3hzVHh&amp;usp=drive_fs</v>
      </c>
      <c r="B601" s="73" t="str">
        <f>IFERROR(__xludf.DUMMYFUNCTION("""COMPUTED_VALUE"""),"Shipper")</f>
        <v>Shipper</v>
      </c>
      <c r="C601" s="73" t="str">
        <f>IFERROR(__xludf.DUMMYFUNCTION("""COMPUTED_VALUE"""),"Misc")</f>
        <v>Misc</v>
      </c>
      <c r="D601" s="73" t="str">
        <f>IFERROR(__xludf.DUMMYFUNCTION("""COMPUTED_VALUE"""),"150*150*60 mm | 5.9*5.9*2.4 inch | 26*17")</f>
        <v>150*150*60 mm | 5.9*5.9*2.4 inch | 26*17</v>
      </c>
      <c r="E601" s="77">
        <f>IFERROR(__xludf.DUMMYFUNCTION("""COMPUTED_VALUE"""),2.0)</f>
        <v>2</v>
      </c>
      <c r="F601" s="77">
        <f>IFERROR(__xludf.DUMMYFUNCTION("""COMPUTED_VALUE"""),1926.0)</f>
        <v>1926</v>
      </c>
      <c r="G601" s="77">
        <f>IFERROR(__xludf.DUMMYFUNCTION("""COMPUTED_VALUE"""),18.0)</f>
        <v>18</v>
      </c>
      <c r="H601" s="77">
        <f>IFERROR(__xludf.DUMMYFUNCTION("""COMPUTED_VALUE"""),25.0)</f>
        <v>25</v>
      </c>
      <c r="I601" s="77">
        <f>IFERROR(__xludf.DUMMYFUNCTION("""COMPUTED_VALUE"""),100.0)</f>
        <v>100</v>
      </c>
      <c r="J601" s="73"/>
      <c r="K601" s="73"/>
      <c r="L601" s="73"/>
      <c r="M601" s="77">
        <f>IFERROR(__xludf.DUMMYFUNCTION("""COMPUTED_VALUE"""),0.25)</f>
        <v>0.25</v>
      </c>
      <c r="N601" s="77">
        <f>IFERROR(__xludf.DUMMYFUNCTION("""COMPUTED_VALUE"""),1.0)</f>
        <v>1</v>
      </c>
      <c r="O601" s="49"/>
      <c r="P601" s="49" t="str">
        <f>IFERROR(__xludf.DUMMYFUNCTION("""COMPUTED_VALUE"""),"Offset")</f>
        <v>Offset</v>
      </c>
      <c r="Q601" s="49" t="str">
        <f>IFERROR(__xludf.DUMMYFUNCTION("""COMPUTED_VALUE"""),"Packaging")</f>
        <v>Packaging</v>
      </c>
      <c r="R601" s="49" t="str">
        <f>IFERROR(__xludf.DUMMYFUNCTION("""COMPUTED_VALUE"""),"Shipper")</f>
        <v>Shipper</v>
      </c>
    </row>
    <row r="602">
      <c r="A602" s="156" t="str">
        <f>IFERROR(__xludf.DUMMYFUNCTION("""COMPUTED_VALUE"""),"https://drive.google.com/open?id=19ijkkbe5TdqmQDAdRAin1ZgPLxPbFXhh&amp;usp=drive_fs")</f>
        <v>https://drive.google.com/open?id=19ijkkbe5TdqmQDAdRAin1ZgPLxPbFXhh&amp;usp=drive_fs</v>
      </c>
      <c r="B602" s="73" t="str">
        <f>IFERROR(__xludf.DUMMYFUNCTION("""COMPUTED_VALUE"""),"Shipper")</f>
        <v>Shipper</v>
      </c>
      <c r="C602" s="73" t="str">
        <f>IFERROR(__xludf.DUMMYFUNCTION("""COMPUTED_VALUE"""),"Misc")</f>
        <v>Misc</v>
      </c>
      <c r="D602" s="73" t="str">
        <f>IFERROR(__xludf.DUMMYFUNCTION("""COMPUTED_VALUE"""),"289*153*52 mm | 11*6*2 inch | 22*19")</f>
        <v>289*153*52 mm | 11*6*2 inch | 22*19</v>
      </c>
      <c r="E602" s="77">
        <f>IFERROR(__xludf.DUMMYFUNCTION("""COMPUTED_VALUE"""),1.0)</f>
        <v>1</v>
      </c>
      <c r="F602" s="77">
        <f>IFERROR(__xludf.DUMMYFUNCTION("""COMPUTED_VALUE"""),1926.0)</f>
        <v>1926</v>
      </c>
      <c r="G602" s="77">
        <f>IFERROR(__xludf.DUMMYFUNCTION("""COMPUTED_VALUE"""),19.5)</f>
        <v>19.5</v>
      </c>
      <c r="H602" s="77">
        <f>IFERROR(__xludf.DUMMYFUNCTION("""COMPUTED_VALUE"""),23.0)</f>
        <v>23</v>
      </c>
      <c r="I602" s="77">
        <f>IFERROR(__xludf.DUMMYFUNCTION("""COMPUTED_VALUE"""),100.0)</f>
        <v>100</v>
      </c>
      <c r="J602" s="73"/>
      <c r="K602" s="73"/>
      <c r="L602" s="73"/>
      <c r="M602" s="77"/>
      <c r="N602" s="77">
        <f>IFERROR(__xludf.DUMMYFUNCTION("""COMPUTED_VALUE"""),1.0)</f>
        <v>1</v>
      </c>
      <c r="O602" s="49"/>
      <c r="P602" s="49" t="str">
        <f>IFERROR(__xludf.DUMMYFUNCTION("""COMPUTED_VALUE"""),"Offset")</f>
        <v>Offset</v>
      </c>
      <c r="Q602" s="49" t="str">
        <f>IFERROR(__xludf.DUMMYFUNCTION("""COMPUTED_VALUE"""),"Packaging")</f>
        <v>Packaging</v>
      </c>
      <c r="R602" s="49" t="str">
        <f>IFERROR(__xludf.DUMMYFUNCTION("""COMPUTED_VALUE"""),"Shipper")</f>
        <v>Shipper</v>
      </c>
    </row>
    <row r="603">
      <c r="A603" s="156" t="str">
        <f>IFERROR(__xludf.DUMMYFUNCTION("""COMPUTED_VALUE"""),"https://drive.google.com/open?id=19k0CayZblb7CJlAucRFPaU1gDv37GiqR&amp;usp=drive_fs")</f>
        <v>https://drive.google.com/open?id=19k0CayZblb7CJlAucRFPaU1gDv37GiqR&amp;usp=drive_fs</v>
      </c>
      <c r="B603" s="73" t="str">
        <f>IFERROR(__xludf.DUMMYFUNCTION("""COMPUTED_VALUE"""),"Shipper")</f>
        <v>Shipper</v>
      </c>
      <c r="C603" s="73" t="str">
        <f>IFERROR(__xludf.DUMMYFUNCTION("""COMPUTED_VALUE"""),"Misc")</f>
        <v>Misc</v>
      </c>
      <c r="D603" s="73" t="str">
        <f>IFERROR(__xludf.DUMMYFUNCTION("""COMPUTED_VALUE"""),"328*302*75 mm | 13*12*3 inch | 26*34")</f>
        <v>328*302*75 mm | 13*12*3 inch | 26*34</v>
      </c>
      <c r="E603" s="77">
        <f>IFERROR(__xludf.DUMMYFUNCTION("""COMPUTED_VALUE"""),1.0)</f>
        <v>1</v>
      </c>
      <c r="F603" s="77">
        <f>IFERROR(__xludf.DUMMYFUNCTION("""COMPUTED_VALUE"""),2840.0)</f>
        <v>2840</v>
      </c>
      <c r="G603" s="77">
        <f>IFERROR(__xludf.DUMMYFUNCTION("""COMPUTED_VALUE"""),26.0)</f>
        <v>26</v>
      </c>
      <c r="H603" s="77">
        <f>IFERROR(__xludf.DUMMYFUNCTION("""COMPUTED_VALUE"""),34.0)</f>
        <v>34</v>
      </c>
      <c r="I603" s="77">
        <f>IFERROR(__xludf.DUMMYFUNCTION("""COMPUTED_VALUE"""),100.0)</f>
        <v>100</v>
      </c>
      <c r="J603" s="73"/>
      <c r="K603" s="73"/>
      <c r="L603" s="73"/>
      <c r="M603" s="77"/>
      <c r="N603" s="77">
        <f>IFERROR(__xludf.DUMMYFUNCTION("""COMPUTED_VALUE"""),1.0)</f>
        <v>1</v>
      </c>
      <c r="O603" s="49"/>
      <c r="P603" s="49" t="str">
        <f>IFERROR(__xludf.DUMMYFUNCTION("""COMPUTED_VALUE"""),"Offset")</f>
        <v>Offset</v>
      </c>
      <c r="Q603" s="49" t="str">
        <f>IFERROR(__xludf.DUMMYFUNCTION("""COMPUTED_VALUE"""),"Packaging")</f>
        <v>Packaging</v>
      </c>
      <c r="R603" s="49" t="str">
        <f>IFERROR(__xludf.DUMMYFUNCTION("""COMPUTED_VALUE"""),"Shipper")</f>
        <v>Shipper</v>
      </c>
    </row>
    <row r="604">
      <c r="A604" s="156" t="str">
        <f>IFERROR(__xludf.DUMMYFUNCTION("""COMPUTED_VALUE"""),"https://drive.google.com/open?id=19kxjgfVI7pY14-wi5635oqd4sWj0bBIz&amp;usp=drive_fs")</f>
        <v>https://drive.google.com/open?id=19kxjgfVI7pY14-wi5635oqd4sWj0bBIz&amp;usp=drive_fs</v>
      </c>
      <c r="B604" s="73" t="str">
        <f>IFERROR(__xludf.DUMMYFUNCTION("""COMPUTED_VALUE"""),"Shipper")</f>
        <v>Shipper</v>
      </c>
      <c r="C604" s="73" t="str">
        <f>IFERROR(__xludf.DUMMYFUNCTION("""COMPUTED_VALUE"""),"Misc")</f>
        <v>Misc</v>
      </c>
      <c r="D604" s="73" t="str">
        <f>IFERROR(__xludf.DUMMYFUNCTION("""COMPUTED_VALUE"""),"225*190*60 mm | 9.3*7.5* 2.4 inch | 22*23")</f>
        <v>225*190*60 mm | 9.3*7.5* 2.4 inch | 22*23</v>
      </c>
      <c r="E604" s="77">
        <f>IFERROR(__xludf.DUMMYFUNCTION("""COMPUTED_VALUE"""),1.0)</f>
        <v>1</v>
      </c>
      <c r="F604" s="77">
        <f>IFERROR(__xludf.DUMMYFUNCTION("""COMPUTED_VALUE"""),2029.0)</f>
        <v>2029</v>
      </c>
      <c r="G604" s="77">
        <f>IFERROR(__xludf.DUMMYFUNCTION("""COMPUTED_VALUE"""),22.0)</f>
        <v>22</v>
      </c>
      <c r="H604" s="77">
        <f>IFERROR(__xludf.DUMMYFUNCTION("""COMPUTED_VALUE"""),23.0)</f>
        <v>23</v>
      </c>
      <c r="I604" s="77">
        <f>IFERROR(__xludf.DUMMYFUNCTION("""COMPUTED_VALUE"""),100.0)</f>
        <v>100</v>
      </c>
      <c r="J604" s="73"/>
      <c r="K604" s="73"/>
      <c r="L604" s="73"/>
      <c r="M604" s="77"/>
      <c r="N604" s="77">
        <f>IFERROR(__xludf.DUMMYFUNCTION("""COMPUTED_VALUE"""),1.0)</f>
        <v>1</v>
      </c>
      <c r="O604" s="49"/>
      <c r="P604" s="49" t="str">
        <f>IFERROR(__xludf.DUMMYFUNCTION("""COMPUTED_VALUE"""),"Offset")</f>
        <v>Offset</v>
      </c>
      <c r="Q604" s="49" t="str">
        <f>IFERROR(__xludf.DUMMYFUNCTION("""COMPUTED_VALUE"""),"Packaging")</f>
        <v>Packaging</v>
      </c>
      <c r="R604" s="49" t="str">
        <f>IFERROR(__xludf.DUMMYFUNCTION("""COMPUTED_VALUE"""),"Shipper")</f>
        <v>Shipper</v>
      </c>
    </row>
    <row r="605">
      <c r="A605" s="156" t="str">
        <f>IFERROR(__xludf.DUMMYFUNCTION("""COMPUTED_VALUE"""),"https://drive.google.com/open?id=1R9MPkTRd3bj8TMGYsSERrLjaO3hn9ynP&amp;usp=drive_fs")</f>
        <v>https://drive.google.com/open?id=1R9MPkTRd3bj8TMGYsSERrLjaO3hn9ynP&amp;usp=drive_fs</v>
      </c>
      <c r="B605" s="73" t="str">
        <f>IFERROR(__xludf.DUMMYFUNCTION("""COMPUTED_VALUE"""),"Shipper")</f>
        <v>Shipper</v>
      </c>
      <c r="C605" s="73" t="str">
        <f>IFERROR(__xludf.DUMMYFUNCTION("""COMPUTED_VALUE"""),"Misc")</f>
        <v>Misc</v>
      </c>
      <c r="D605" s="73" t="str">
        <f>IFERROR(__xludf.DUMMYFUNCTION("""COMPUTED_VALUE"""),"280*165*255 mm | 11*6.5*10 inch | 24*38")</f>
        <v>280*165*255 mm | 11*6.5*10 inch | 24*38</v>
      </c>
      <c r="E605" s="77">
        <f>IFERROR(__xludf.DUMMYFUNCTION("""COMPUTED_VALUE"""),1.0)</f>
        <v>1</v>
      </c>
      <c r="F605" s="77">
        <f>IFERROR(__xludf.DUMMYFUNCTION("""COMPUTED_VALUE"""),2840.0)</f>
        <v>2840</v>
      </c>
      <c r="G605" s="77">
        <f>IFERROR(__xludf.DUMMYFUNCTION("""COMPUTED_VALUE"""),24.0)</f>
        <v>24</v>
      </c>
      <c r="H605" s="77">
        <f>IFERROR(__xludf.DUMMYFUNCTION("""COMPUTED_VALUE"""),38.0)</f>
        <v>38</v>
      </c>
      <c r="I605" s="77">
        <f>IFERROR(__xludf.DUMMYFUNCTION("""COMPUTED_VALUE"""),100.0)</f>
        <v>100</v>
      </c>
      <c r="J605" s="73"/>
      <c r="K605" s="73"/>
      <c r="L605" s="73"/>
      <c r="M605" s="77">
        <f>IFERROR(__xludf.DUMMYFUNCTION("""COMPUTED_VALUE"""),0.16)</f>
        <v>0.16</v>
      </c>
      <c r="N605" s="77">
        <f>IFERROR(__xludf.DUMMYFUNCTION("""COMPUTED_VALUE"""),1.0)</f>
        <v>1</v>
      </c>
      <c r="O605" s="49"/>
      <c r="P605" s="49" t="str">
        <f>IFERROR(__xludf.DUMMYFUNCTION("""COMPUTED_VALUE"""),"Offset")</f>
        <v>Offset</v>
      </c>
      <c r="Q605" s="49" t="str">
        <f>IFERROR(__xludf.DUMMYFUNCTION("""COMPUTED_VALUE"""),"Packaging")</f>
        <v>Packaging</v>
      </c>
      <c r="R605" s="49" t="str">
        <f>IFERROR(__xludf.DUMMYFUNCTION("""COMPUTED_VALUE"""),"Shipper")</f>
        <v>Shipper</v>
      </c>
    </row>
    <row r="606">
      <c r="A606" s="156" t="str">
        <f>IFERROR(__xludf.DUMMYFUNCTION("""COMPUTED_VALUE"""),"https://drive.google.com/open?id=1RqArPyA1zFwvIMG-oQWTcdiSaDgra4Jz&amp;usp=drive_fs")</f>
        <v>https://drive.google.com/open?id=1RqArPyA1zFwvIMG-oQWTcdiSaDgra4Jz&amp;usp=drive_fs</v>
      </c>
      <c r="B606" s="73" t="str">
        <f>IFERROR(__xludf.DUMMYFUNCTION("""COMPUTED_VALUE"""),"Shipper")</f>
        <v>Shipper</v>
      </c>
      <c r="C606" s="73" t="str">
        <f>IFERROR(__xludf.DUMMYFUNCTION("""COMPUTED_VALUE"""),"Misc")</f>
        <v>Misc</v>
      </c>
      <c r="D606" s="73" t="str">
        <f>IFERROR(__xludf.DUMMYFUNCTION("""COMPUTED_VALUE"""),"190*60*225 mm |  7.5*2.3*8.9 inch | 22*20")</f>
        <v>190*60*225 mm |  7.5*2.3*8.9 inch | 22*20</v>
      </c>
      <c r="E606" s="77">
        <f>IFERROR(__xludf.DUMMYFUNCTION("""COMPUTED_VALUE"""),1.0)</f>
        <v>1</v>
      </c>
      <c r="F606" s="77">
        <f>IFERROR(__xludf.DUMMYFUNCTION("""COMPUTED_VALUE"""),1926.0)</f>
        <v>1926</v>
      </c>
      <c r="G606" s="77">
        <f>IFERROR(__xludf.DUMMYFUNCTION("""COMPUTED_VALUE"""),19.5)</f>
        <v>19.5</v>
      </c>
      <c r="H606" s="77">
        <f>IFERROR(__xludf.DUMMYFUNCTION("""COMPUTED_VALUE"""),23.0)</f>
        <v>23</v>
      </c>
      <c r="I606" s="77">
        <f>IFERROR(__xludf.DUMMYFUNCTION("""COMPUTED_VALUE"""),100.0)</f>
        <v>100</v>
      </c>
      <c r="J606" s="73"/>
      <c r="K606" s="73"/>
      <c r="L606" s="73"/>
      <c r="M606" s="77"/>
      <c r="N606" s="77">
        <f>IFERROR(__xludf.DUMMYFUNCTION("""COMPUTED_VALUE"""),1.0)</f>
        <v>1</v>
      </c>
      <c r="O606" s="49"/>
      <c r="P606" s="49" t="str">
        <f>IFERROR(__xludf.DUMMYFUNCTION("""COMPUTED_VALUE"""),"Offset")</f>
        <v>Offset</v>
      </c>
      <c r="Q606" s="49" t="str">
        <f>IFERROR(__xludf.DUMMYFUNCTION("""COMPUTED_VALUE"""),"Packaging")</f>
        <v>Packaging</v>
      </c>
      <c r="R606" s="49" t="str">
        <f>IFERROR(__xludf.DUMMYFUNCTION("""COMPUTED_VALUE"""),"Shipper")</f>
        <v>Shipper</v>
      </c>
    </row>
    <row r="607">
      <c r="A607" s="156" t="str">
        <f>IFERROR(__xludf.DUMMYFUNCTION("""COMPUTED_VALUE"""),"https://drive.google.com/open?id=1BCfjhiPbDXjBT0n75qNnJvxcY6rLt9Qx&amp;usp=drive_fs")</f>
        <v>https://drive.google.com/open?id=1BCfjhiPbDXjBT0n75qNnJvxcY6rLt9Qx&amp;usp=drive_fs</v>
      </c>
      <c r="B607" s="73" t="str">
        <f>IFERROR(__xludf.DUMMYFUNCTION("""COMPUTED_VALUE"""),"Shipper")</f>
        <v>Shipper</v>
      </c>
      <c r="C607" s="73" t="str">
        <f>IFERROR(__xludf.DUMMYFUNCTION("""COMPUTED_VALUE"""),"Misc")</f>
        <v>Misc</v>
      </c>
      <c r="D607" s="73" t="str">
        <f>IFERROR(__xludf.DUMMYFUNCTION("""COMPUTED_VALUE"""),"102*102*38 mm | 4*4*1.5 inch | 22*18")</f>
        <v>102*102*38 mm | 4*4*1.5 inch | 22*18</v>
      </c>
      <c r="E607" s="77">
        <f>IFERROR(__xludf.DUMMYFUNCTION("""COMPUTED_VALUE"""),4.0)</f>
        <v>4</v>
      </c>
      <c r="F607" s="77">
        <f>IFERROR(__xludf.DUMMYFUNCTION("""COMPUTED_VALUE"""),1926.0)</f>
        <v>1926</v>
      </c>
      <c r="G607" s="77">
        <f>IFERROR(__xludf.DUMMYFUNCTION("""COMPUTED_VALUE"""),22.0)</f>
        <v>22</v>
      </c>
      <c r="H607" s="77">
        <f>IFERROR(__xludf.DUMMYFUNCTION("""COMPUTED_VALUE"""),18.0)</f>
        <v>18</v>
      </c>
      <c r="I607" s="77">
        <f>IFERROR(__xludf.DUMMYFUNCTION("""COMPUTED_VALUE"""),100.0)</f>
        <v>100</v>
      </c>
      <c r="J607" s="73"/>
      <c r="K607" s="73"/>
      <c r="L607" s="73"/>
      <c r="M607" s="77">
        <f>IFERROR(__xludf.DUMMYFUNCTION("""COMPUTED_VALUE"""),0.15)</f>
        <v>0.15</v>
      </c>
      <c r="N607" s="77">
        <f>IFERROR(__xludf.DUMMYFUNCTION("""COMPUTED_VALUE"""),1.0)</f>
        <v>1</v>
      </c>
      <c r="O607" s="49"/>
      <c r="P607" s="49" t="str">
        <f>IFERROR(__xludf.DUMMYFUNCTION("""COMPUTED_VALUE"""),"Offset")</f>
        <v>Offset</v>
      </c>
      <c r="Q607" s="49" t="str">
        <f>IFERROR(__xludf.DUMMYFUNCTION("""COMPUTED_VALUE"""),"Packaging")</f>
        <v>Packaging</v>
      </c>
      <c r="R607" s="49" t="str">
        <f>IFERROR(__xludf.DUMMYFUNCTION("""COMPUTED_VALUE"""),"Shipper")</f>
        <v>Shipper</v>
      </c>
    </row>
    <row r="608">
      <c r="A608" s="156" t="str">
        <f>IFERROR(__xludf.DUMMYFUNCTION("""COMPUTED_VALUE"""),"https://drive.google.com/open?id=1BE9TUqxWXCZYWZmnGbvcgOFyNUACilgB&amp;usp=drive_fs")</f>
        <v>https://drive.google.com/open?id=1BE9TUqxWXCZYWZmnGbvcgOFyNUACilgB&amp;usp=drive_fs</v>
      </c>
      <c r="B608" s="73" t="str">
        <f>IFERROR(__xludf.DUMMYFUNCTION("""COMPUTED_VALUE"""),"Shipper")</f>
        <v>Shipper</v>
      </c>
      <c r="C608" s="73" t="str">
        <f>IFERROR(__xludf.DUMMYFUNCTION("""COMPUTED_VALUE"""),"Misc")</f>
        <v>Misc</v>
      </c>
      <c r="D608" s="73" t="str">
        <f>IFERROR(__xludf.DUMMYFUNCTION("""COMPUTED_VALUE"""),"465*380*75 mm | 18*15*3 inch | 32*40")</f>
        <v>465*380*75 mm | 18*15*3 inch | 32*40</v>
      </c>
      <c r="E608" s="77">
        <f>IFERROR(__xludf.DUMMYFUNCTION("""COMPUTED_VALUE"""),1.0)</f>
        <v>1</v>
      </c>
      <c r="F608" s="77">
        <f>IFERROR(__xludf.DUMMYFUNCTION("""COMPUTED_VALUE"""),2840.0)</f>
        <v>2840</v>
      </c>
      <c r="G608" s="77">
        <f>IFERROR(__xludf.DUMMYFUNCTION("""COMPUTED_VALUE"""),32.0)</f>
        <v>32</v>
      </c>
      <c r="H608" s="77">
        <f>IFERROR(__xludf.DUMMYFUNCTION("""COMPUTED_VALUE"""),30.0)</f>
        <v>30</v>
      </c>
      <c r="I608" s="77">
        <f>IFERROR(__xludf.DUMMYFUNCTION("""COMPUTED_VALUE"""),100.0)</f>
        <v>100</v>
      </c>
      <c r="J608" s="73"/>
      <c r="K608" s="73"/>
      <c r="L608" s="73"/>
      <c r="M608" s="77"/>
      <c r="N608" s="77">
        <f>IFERROR(__xludf.DUMMYFUNCTION("""COMPUTED_VALUE"""),1.0)</f>
        <v>1</v>
      </c>
      <c r="O608" s="49"/>
      <c r="P608" s="49" t="str">
        <f>IFERROR(__xludf.DUMMYFUNCTION("""COMPUTED_VALUE"""),"Offset")</f>
        <v>Offset</v>
      </c>
      <c r="Q608" s="49" t="str">
        <f>IFERROR(__xludf.DUMMYFUNCTION("""COMPUTED_VALUE"""),"Packaging")</f>
        <v>Packaging</v>
      </c>
      <c r="R608" s="49" t="str">
        <f>IFERROR(__xludf.DUMMYFUNCTION("""COMPUTED_VALUE"""),"Shipper")</f>
        <v>Shipper</v>
      </c>
    </row>
    <row r="609">
      <c r="A609" s="156" t="str">
        <f>IFERROR(__xludf.DUMMYFUNCTION("""COMPUTED_VALUE"""),"https://drive.google.com/open?id=1BLCrB9DhuerLJ5YzPQ-n-ZhjsqkbNfFW&amp;usp=drive_fs")</f>
        <v>https://drive.google.com/open?id=1BLCrB9DhuerLJ5YzPQ-n-ZhjsqkbNfFW&amp;usp=drive_fs</v>
      </c>
      <c r="B609" s="73" t="str">
        <f>IFERROR(__xludf.DUMMYFUNCTION("""COMPUTED_VALUE"""),"Shipper")</f>
        <v>Shipper</v>
      </c>
      <c r="C609" s="73" t="str">
        <f>IFERROR(__xludf.DUMMYFUNCTION("""COMPUTED_VALUE"""),"Misc")</f>
        <v>Misc</v>
      </c>
      <c r="D609" s="73" t="str">
        <f>IFERROR(__xludf.DUMMYFUNCTION("""COMPUTED_VALUE"""),"178*127*90 mm | 7*5*3.5 inch | 26*18")</f>
        <v>178*127*90 mm | 7*5*3.5 inch | 26*18</v>
      </c>
      <c r="E609" s="77">
        <f>IFERROR(__xludf.DUMMYFUNCTION("""COMPUTED_VALUE"""),2.0)</f>
        <v>2</v>
      </c>
      <c r="F609" s="77">
        <f>IFERROR(__xludf.DUMMYFUNCTION("""COMPUTED_VALUE"""),1926.0)</f>
        <v>1926</v>
      </c>
      <c r="G609" s="77">
        <f>IFERROR(__xludf.DUMMYFUNCTION("""COMPUTED_VALUE"""),26.0)</f>
        <v>26</v>
      </c>
      <c r="H609" s="77">
        <f>IFERROR(__xludf.DUMMYFUNCTION("""COMPUTED_VALUE"""),18.0)</f>
        <v>18</v>
      </c>
      <c r="I609" s="77">
        <f>IFERROR(__xludf.DUMMYFUNCTION("""COMPUTED_VALUE"""),100.0)</f>
        <v>100</v>
      </c>
      <c r="J609" s="73"/>
      <c r="K609" s="73"/>
      <c r="L609" s="73"/>
      <c r="M609" s="77">
        <f>IFERROR(__xludf.DUMMYFUNCTION("""COMPUTED_VALUE"""),0.18)</f>
        <v>0.18</v>
      </c>
      <c r="N609" s="77">
        <f>IFERROR(__xludf.DUMMYFUNCTION("""COMPUTED_VALUE"""),1.0)</f>
        <v>1</v>
      </c>
      <c r="O609" s="49"/>
      <c r="P609" s="49" t="str">
        <f>IFERROR(__xludf.DUMMYFUNCTION("""COMPUTED_VALUE"""),"Offset")</f>
        <v>Offset</v>
      </c>
      <c r="Q609" s="49" t="str">
        <f>IFERROR(__xludf.DUMMYFUNCTION("""COMPUTED_VALUE"""),"Packaging")</f>
        <v>Packaging</v>
      </c>
      <c r="R609" s="49" t="str">
        <f>IFERROR(__xludf.DUMMYFUNCTION("""COMPUTED_VALUE"""),"Shipper")</f>
        <v>Shipper</v>
      </c>
    </row>
    <row r="610">
      <c r="A610" s="156" t="str">
        <f>IFERROR(__xludf.DUMMYFUNCTION("""COMPUTED_VALUE"""),"https://drive.google.com/open?id=1BNiOolrr6My7R4xcgIM4Ied9Bj09tn9Z&amp;usp=drive_fs")</f>
        <v>https://drive.google.com/open?id=1BNiOolrr6My7R4xcgIM4Ied9Bj09tn9Z&amp;usp=drive_fs</v>
      </c>
      <c r="B610" s="73" t="str">
        <f>IFERROR(__xludf.DUMMYFUNCTION("""COMPUTED_VALUE"""),"Shipper")</f>
        <v>Shipper</v>
      </c>
      <c r="C610" s="73" t="str">
        <f>IFERROR(__xludf.DUMMYFUNCTION("""COMPUTED_VALUE"""),"Misc")</f>
        <v>Misc</v>
      </c>
      <c r="D610" s="73" t="str">
        <f>IFERROR(__xludf.DUMMYFUNCTION("""COMPUTED_VALUE"""),"300*200*40 mm | 8.3*28*12.3 inch | 34*22")</f>
        <v>300*200*40 mm | 8.3*28*12.3 inch | 34*22</v>
      </c>
      <c r="E610" s="77">
        <f>IFERROR(__xludf.DUMMYFUNCTION("""COMPUTED_VALUE"""),2.0)</f>
        <v>2</v>
      </c>
      <c r="F610" s="77">
        <f>IFERROR(__xludf.DUMMYFUNCTION("""COMPUTED_VALUE"""),2840.0)</f>
        <v>2840</v>
      </c>
      <c r="G610" s="77">
        <f>IFERROR(__xludf.DUMMYFUNCTION("""COMPUTED_VALUE"""),34.0)</f>
        <v>34</v>
      </c>
      <c r="H610" s="77">
        <f>IFERROR(__xludf.DUMMYFUNCTION("""COMPUTED_VALUE"""),22.0)</f>
        <v>22</v>
      </c>
      <c r="I610" s="77">
        <f>IFERROR(__xludf.DUMMYFUNCTION("""COMPUTED_VALUE"""),100.0)</f>
        <v>100</v>
      </c>
      <c r="J610" s="73"/>
      <c r="K610" s="73"/>
      <c r="L610" s="73"/>
      <c r="M610" s="77">
        <f>IFERROR(__xludf.DUMMYFUNCTION("""COMPUTED_VALUE"""),0.2)</f>
        <v>0.2</v>
      </c>
      <c r="N610" s="77">
        <f>IFERROR(__xludf.DUMMYFUNCTION("""COMPUTED_VALUE"""),1.0)</f>
        <v>1</v>
      </c>
      <c r="O610" s="49"/>
      <c r="P610" s="49" t="str">
        <f>IFERROR(__xludf.DUMMYFUNCTION("""COMPUTED_VALUE"""),"Offset")</f>
        <v>Offset</v>
      </c>
      <c r="Q610" s="49" t="str">
        <f>IFERROR(__xludf.DUMMYFUNCTION("""COMPUTED_VALUE"""),"Packaging")</f>
        <v>Packaging</v>
      </c>
      <c r="R610" s="49" t="str">
        <f>IFERROR(__xludf.DUMMYFUNCTION("""COMPUTED_VALUE"""),"Shipper")</f>
        <v>Shipper</v>
      </c>
    </row>
    <row r="611">
      <c r="A611" s="156" t="str">
        <f>IFERROR(__xludf.DUMMYFUNCTION("""COMPUTED_VALUE"""),"https://drive.google.com/open?id=1BcNEeSBcEXzER1SjNG0uGFYb0zy44SR3&amp;usp=drive_fs")</f>
        <v>https://drive.google.com/open?id=1BcNEeSBcEXzER1SjNG0uGFYb0zy44SR3&amp;usp=drive_fs</v>
      </c>
      <c r="B611" s="73" t="str">
        <f>IFERROR(__xludf.DUMMYFUNCTION("""COMPUTED_VALUE"""),"Shipper")</f>
        <v>Shipper</v>
      </c>
      <c r="C611" s="73" t="str">
        <f>IFERROR(__xludf.DUMMYFUNCTION("""COMPUTED_VALUE"""),"Misc")</f>
        <v>Misc</v>
      </c>
      <c r="D611" s="73" t="str">
        <f>IFERROR(__xludf.DUMMYFUNCTION("""COMPUTED_VALUE"""),"175*115*52 mm | 6.5*4.5*2 inch | 30*16")</f>
        <v>175*115*52 mm | 6.5*4.5*2 inch | 30*16</v>
      </c>
      <c r="E611" s="77">
        <f>IFERROR(__xludf.DUMMYFUNCTION("""COMPUTED_VALUE"""),2.0)</f>
        <v>2</v>
      </c>
      <c r="F611" s="77">
        <f>IFERROR(__xludf.DUMMYFUNCTION("""COMPUTED_VALUE"""),2840.0)</f>
        <v>2840</v>
      </c>
      <c r="G611" s="77">
        <f>IFERROR(__xludf.DUMMYFUNCTION("""COMPUTED_VALUE"""),32.0)</f>
        <v>32</v>
      </c>
      <c r="H611" s="77">
        <f>IFERROR(__xludf.DUMMYFUNCTION("""COMPUTED_VALUE"""),16.0)</f>
        <v>16</v>
      </c>
      <c r="I611" s="77">
        <f>IFERROR(__xludf.DUMMYFUNCTION("""COMPUTED_VALUE"""),100.0)</f>
        <v>100</v>
      </c>
      <c r="J611" s="73"/>
      <c r="K611" s="73"/>
      <c r="L611" s="73"/>
      <c r="M611" s="77"/>
      <c r="N611" s="77">
        <f>IFERROR(__xludf.DUMMYFUNCTION("""COMPUTED_VALUE"""),1.0)</f>
        <v>1</v>
      </c>
      <c r="O611" s="49"/>
      <c r="P611" s="49" t="str">
        <f>IFERROR(__xludf.DUMMYFUNCTION("""COMPUTED_VALUE"""),"Offset")</f>
        <v>Offset</v>
      </c>
      <c r="Q611" s="49" t="str">
        <f>IFERROR(__xludf.DUMMYFUNCTION("""COMPUTED_VALUE"""),"Packaging")</f>
        <v>Packaging</v>
      </c>
      <c r="R611" s="49" t="str">
        <f>IFERROR(__xludf.DUMMYFUNCTION("""COMPUTED_VALUE"""),"Shipper")</f>
        <v>Shipper</v>
      </c>
    </row>
    <row r="612">
      <c r="A612" s="156" t="str">
        <f>IFERROR(__xludf.DUMMYFUNCTION("""COMPUTED_VALUE"""),"https://drive.google.com/open?id=1C7wp0NYnbUoLCj0ORUGBYSzwC4Wt-4vH&amp;usp=drive_fs")</f>
        <v>https://drive.google.com/open?id=1C7wp0NYnbUoLCj0ORUGBYSzwC4Wt-4vH&amp;usp=drive_fs</v>
      </c>
      <c r="B612" s="73" t="str">
        <f>IFERROR(__xludf.DUMMYFUNCTION("""COMPUTED_VALUE"""),"Shipper")</f>
        <v>Shipper</v>
      </c>
      <c r="C612" s="73" t="str">
        <f>IFERROR(__xludf.DUMMYFUNCTION("""COMPUTED_VALUE"""),"Misc")</f>
        <v>Misc</v>
      </c>
      <c r="D612" s="73" t="str">
        <f>IFERROR(__xludf.DUMMYFUNCTION("""COMPUTED_VALUE"""),"140*100*50 mm | 6*4*2 inch | 26*14")</f>
        <v>140*100*50 mm | 6*4*2 inch | 26*14</v>
      </c>
      <c r="E612" s="77">
        <f>IFERROR(__xludf.DUMMYFUNCTION("""COMPUTED_VALUE"""),2.0)</f>
        <v>2</v>
      </c>
      <c r="F612" s="77">
        <f>IFERROR(__xludf.DUMMYFUNCTION("""COMPUTED_VALUE"""),1926.0)</f>
        <v>1926</v>
      </c>
      <c r="G612" s="77">
        <f>IFERROR(__xludf.DUMMYFUNCTION("""COMPUTED_VALUE"""),14.0)</f>
        <v>14</v>
      </c>
      <c r="H612" s="77">
        <f>IFERROR(__xludf.DUMMYFUNCTION("""COMPUTED_VALUE"""),26.0)</f>
        <v>26</v>
      </c>
      <c r="I612" s="77">
        <f>IFERROR(__xludf.DUMMYFUNCTION("""COMPUTED_VALUE"""),100.0)</f>
        <v>100</v>
      </c>
      <c r="J612" s="73"/>
      <c r="K612" s="73"/>
      <c r="L612" s="73"/>
      <c r="M612" s="77"/>
      <c r="N612" s="77">
        <f>IFERROR(__xludf.DUMMYFUNCTION("""COMPUTED_VALUE"""),1.0)</f>
        <v>1</v>
      </c>
      <c r="O612" s="49"/>
      <c r="P612" s="49" t="str">
        <f>IFERROR(__xludf.DUMMYFUNCTION("""COMPUTED_VALUE"""),"Offset")</f>
        <v>Offset</v>
      </c>
      <c r="Q612" s="49" t="str">
        <f>IFERROR(__xludf.DUMMYFUNCTION("""COMPUTED_VALUE"""),"Packaging")</f>
        <v>Packaging</v>
      </c>
      <c r="R612" s="49" t="str">
        <f>IFERROR(__xludf.DUMMYFUNCTION("""COMPUTED_VALUE"""),"Shipper")</f>
        <v>Shipper</v>
      </c>
    </row>
    <row r="613">
      <c r="A613" s="156" t="str">
        <f>IFERROR(__xludf.DUMMYFUNCTION("""COMPUTED_VALUE"""),"https://drive.google.com/open?id=1CE_VbBoMX-A-oWg0PRxOrGg8tzmU0I1n&amp;usp=drive_fs")</f>
        <v>https://drive.google.com/open?id=1CE_VbBoMX-A-oWg0PRxOrGg8tzmU0I1n&amp;usp=drive_fs</v>
      </c>
      <c r="B613" s="73" t="str">
        <f>IFERROR(__xludf.DUMMYFUNCTION("""COMPUTED_VALUE"""),"Shipper")</f>
        <v>Shipper</v>
      </c>
      <c r="C613" s="73" t="str">
        <f>IFERROR(__xludf.DUMMYFUNCTION("""COMPUTED_VALUE"""),"Misc")</f>
        <v>Misc</v>
      </c>
      <c r="D613" s="73" t="str">
        <f>IFERROR(__xludf.DUMMYFUNCTION("""COMPUTED_VALUE"""),"162*162*50 mm | 6.5*6.5*2 inch | 28*19")</f>
        <v>162*162*50 mm | 6.5*6.5*2 inch | 28*19</v>
      </c>
      <c r="E613" s="77">
        <f>IFERROR(__xludf.DUMMYFUNCTION("""COMPUTED_VALUE"""),2.0)</f>
        <v>2</v>
      </c>
      <c r="F613" s="77">
        <f>IFERROR(__xludf.DUMMYFUNCTION("""COMPUTED_VALUE"""),2029.0)</f>
        <v>2029</v>
      </c>
      <c r="G613" s="77">
        <f>IFERROR(__xludf.DUMMYFUNCTION("""COMPUTED_VALUE"""),20.0)</f>
        <v>20</v>
      </c>
      <c r="H613" s="77">
        <f>IFERROR(__xludf.DUMMYFUNCTION("""COMPUTED_VALUE"""),28.0)</f>
        <v>28</v>
      </c>
      <c r="I613" s="77">
        <f>IFERROR(__xludf.DUMMYFUNCTION("""COMPUTED_VALUE"""),100.0)</f>
        <v>100</v>
      </c>
      <c r="J613" s="73"/>
      <c r="K613" s="73"/>
      <c r="L613" s="73"/>
      <c r="M613" s="77"/>
      <c r="N613" s="77">
        <f>IFERROR(__xludf.DUMMYFUNCTION("""COMPUTED_VALUE"""),1.0)</f>
        <v>1</v>
      </c>
      <c r="O613" s="49"/>
      <c r="P613" s="49" t="str">
        <f>IFERROR(__xludf.DUMMYFUNCTION("""COMPUTED_VALUE"""),"Offset")</f>
        <v>Offset</v>
      </c>
      <c r="Q613" s="49" t="str">
        <f>IFERROR(__xludf.DUMMYFUNCTION("""COMPUTED_VALUE"""),"Packaging")</f>
        <v>Packaging</v>
      </c>
      <c r="R613" s="49" t="str">
        <f>IFERROR(__xludf.DUMMYFUNCTION("""COMPUTED_VALUE"""),"Shipper")</f>
        <v>Shipper</v>
      </c>
    </row>
    <row r="614">
      <c r="A614" s="156" t="str">
        <f>IFERROR(__xludf.DUMMYFUNCTION("""COMPUTED_VALUE"""),"https://drive.google.com/open?id=1CIBJ6PVGLE9B-K5MEXIX269hfDPM9e8i&amp;usp=drive_fs")</f>
        <v>https://drive.google.com/open?id=1CIBJ6PVGLE9B-K5MEXIX269hfDPM9e8i&amp;usp=drive_fs</v>
      </c>
      <c r="B614" s="73" t="str">
        <f>IFERROR(__xludf.DUMMYFUNCTION("""COMPUTED_VALUE"""),"Shipper")</f>
        <v>Shipper</v>
      </c>
      <c r="C614" s="73" t="str">
        <f>IFERROR(__xludf.DUMMYFUNCTION("""COMPUTED_VALUE"""),"Misc")</f>
        <v>Misc</v>
      </c>
      <c r="D614" s="73" t="str">
        <f>IFERROR(__xludf.DUMMYFUNCTION("""COMPUTED_VALUE"""),"125*125*38 mm | 5.5*5.5*1.5 inch | 22*15")</f>
        <v>125*125*38 mm | 5.5*5.5*1.5 inch | 22*15</v>
      </c>
      <c r="E614" s="77">
        <f>IFERROR(__xludf.DUMMYFUNCTION("""COMPUTED_VALUE"""),2.0)</f>
        <v>2</v>
      </c>
      <c r="F614" s="77">
        <f>IFERROR(__xludf.DUMMYFUNCTION("""COMPUTED_VALUE"""),1926.0)</f>
        <v>1926</v>
      </c>
      <c r="G614" s="77">
        <f>IFERROR(__xludf.DUMMYFUNCTION("""COMPUTED_VALUE"""),15.0)</f>
        <v>15</v>
      </c>
      <c r="H614" s="77">
        <f>IFERROR(__xludf.DUMMYFUNCTION("""COMPUTED_VALUE"""),22.0)</f>
        <v>22</v>
      </c>
      <c r="I614" s="77">
        <f>IFERROR(__xludf.DUMMYFUNCTION("""COMPUTED_VALUE"""),100.0)</f>
        <v>100</v>
      </c>
      <c r="J614" s="73"/>
      <c r="K614" s="73"/>
      <c r="L614" s="73"/>
      <c r="M614" s="77"/>
      <c r="N614" s="77">
        <f>IFERROR(__xludf.DUMMYFUNCTION("""COMPUTED_VALUE"""),1.0)</f>
        <v>1</v>
      </c>
      <c r="O614" s="49"/>
      <c r="P614" s="49" t="str">
        <f>IFERROR(__xludf.DUMMYFUNCTION("""COMPUTED_VALUE"""),"Offset")</f>
        <v>Offset</v>
      </c>
      <c r="Q614" s="49" t="str">
        <f>IFERROR(__xludf.DUMMYFUNCTION("""COMPUTED_VALUE"""),"Packaging")</f>
        <v>Packaging</v>
      </c>
      <c r="R614" s="49" t="str">
        <f>IFERROR(__xludf.DUMMYFUNCTION("""COMPUTED_VALUE"""),"Shipper")</f>
        <v>Shipper</v>
      </c>
    </row>
    <row r="615">
      <c r="A615" s="156" t="str">
        <f>IFERROR(__xludf.DUMMYFUNCTION("""COMPUTED_VALUE"""),"https://drive.google.com/open?id=1I6Hx_0B2Xy1QmC598d2LxymN1T8vI8gb&amp;usp=drive_fs")</f>
        <v>https://drive.google.com/open?id=1I6Hx_0B2Xy1QmC598d2LxymN1T8vI8gb&amp;usp=drive_fs</v>
      </c>
      <c r="B615" s="73" t="str">
        <f>IFERROR(__xludf.DUMMYFUNCTION("""COMPUTED_VALUE"""),"Shipper")</f>
        <v>Shipper</v>
      </c>
      <c r="C615" s="73" t="str">
        <f>IFERROR(__xludf.DUMMYFUNCTION("""COMPUTED_VALUE"""),"Misc")</f>
        <v>Misc</v>
      </c>
      <c r="D615" s="73" t="str">
        <f>IFERROR(__xludf.DUMMYFUNCTION("""COMPUTED_VALUE"""),"165*127*51 mm | 6.5*5*2 inch | 28*17")</f>
        <v>165*127*51 mm | 6.5*5*2 inch | 28*17</v>
      </c>
      <c r="E615" s="77">
        <f>IFERROR(__xludf.DUMMYFUNCTION("""COMPUTED_VALUE"""),2.0)</f>
        <v>2</v>
      </c>
      <c r="F615" s="77">
        <f>IFERROR(__xludf.DUMMYFUNCTION("""COMPUTED_VALUE"""),2029.0)</f>
        <v>2029</v>
      </c>
      <c r="G615" s="77">
        <f>IFERROR(__xludf.DUMMYFUNCTION("""COMPUTED_VALUE"""),18.0)</f>
        <v>18</v>
      </c>
      <c r="H615" s="77">
        <f>IFERROR(__xludf.DUMMYFUNCTION("""COMPUTED_VALUE"""),28.0)</f>
        <v>28</v>
      </c>
      <c r="I615" s="77">
        <f>IFERROR(__xludf.DUMMYFUNCTION("""COMPUTED_VALUE"""),100.0)</f>
        <v>100</v>
      </c>
      <c r="J615" s="73"/>
      <c r="K615" s="73"/>
      <c r="L615" s="73"/>
      <c r="M615" s="77"/>
      <c r="N615" s="77">
        <f>IFERROR(__xludf.DUMMYFUNCTION("""COMPUTED_VALUE"""),1.0)</f>
        <v>1</v>
      </c>
      <c r="O615" s="49"/>
      <c r="P615" s="49" t="str">
        <f>IFERROR(__xludf.DUMMYFUNCTION("""COMPUTED_VALUE"""),"Offset")</f>
        <v>Offset</v>
      </c>
      <c r="Q615" s="49" t="str">
        <f>IFERROR(__xludf.DUMMYFUNCTION("""COMPUTED_VALUE"""),"Packaging")</f>
        <v>Packaging</v>
      </c>
      <c r="R615" s="49" t="str">
        <f>IFERROR(__xludf.DUMMYFUNCTION("""COMPUTED_VALUE"""),"Shipper")</f>
        <v>Shipper</v>
      </c>
    </row>
    <row r="616">
      <c r="A616" s="156" t="str">
        <f>IFERROR(__xludf.DUMMYFUNCTION("""COMPUTED_VALUE"""),"https://drive.google.com/open?id=1TCIj-rPSeAQ3T1jb5cDjjzRur5xzFh0D&amp;usp=drive_fs")</f>
        <v>https://drive.google.com/open?id=1TCIj-rPSeAQ3T1jb5cDjjzRur5xzFh0D&amp;usp=drive_fs</v>
      </c>
      <c r="B616" s="73" t="str">
        <f>IFERROR(__xludf.DUMMYFUNCTION("""COMPUTED_VALUE"""),"Shipper")</f>
        <v>Shipper</v>
      </c>
      <c r="C616" s="73" t="str">
        <f>IFERROR(__xludf.DUMMYFUNCTION("""COMPUTED_VALUE"""),"Misc")</f>
        <v>Misc</v>
      </c>
      <c r="D616" s="73" t="str">
        <f>IFERROR(__xludf.DUMMYFUNCTION("""COMPUTED_VALUE"""),"270*185*165 mm | 10.6*7.3*6.4 inch | 22*38")</f>
        <v>270*185*165 mm | 10.6*7.3*6.4 inch | 22*38</v>
      </c>
      <c r="E616" s="77">
        <f>IFERROR(__xludf.DUMMYFUNCTION("""COMPUTED_VALUE"""),1.0)</f>
        <v>1</v>
      </c>
      <c r="F616" s="77">
        <f>IFERROR(__xludf.DUMMYFUNCTION("""COMPUTED_VALUE"""),2840.0)</f>
        <v>2840</v>
      </c>
      <c r="G616" s="77">
        <f>IFERROR(__xludf.DUMMYFUNCTION("""COMPUTED_VALUE"""),22.0)</f>
        <v>22</v>
      </c>
      <c r="H616" s="77">
        <f>IFERROR(__xludf.DUMMYFUNCTION("""COMPUTED_VALUE"""),38.0)</f>
        <v>38</v>
      </c>
      <c r="I616" s="77">
        <f>IFERROR(__xludf.DUMMYFUNCTION("""COMPUTED_VALUE"""),100.0)</f>
        <v>100</v>
      </c>
      <c r="J616" s="73"/>
      <c r="K616" s="73"/>
      <c r="L616" s="73"/>
      <c r="M616" s="77">
        <f>IFERROR(__xludf.DUMMYFUNCTION("""COMPUTED_VALUE"""),0.15)</f>
        <v>0.15</v>
      </c>
      <c r="N616" s="77">
        <f>IFERROR(__xludf.DUMMYFUNCTION("""COMPUTED_VALUE"""),1.0)</f>
        <v>1</v>
      </c>
      <c r="O616" s="49"/>
      <c r="P616" s="49" t="str">
        <f>IFERROR(__xludf.DUMMYFUNCTION("""COMPUTED_VALUE"""),"Offset")</f>
        <v>Offset</v>
      </c>
      <c r="Q616" s="49" t="str">
        <f>IFERROR(__xludf.DUMMYFUNCTION("""COMPUTED_VALUE"""),"Packaging")</f>
        <v>Packaging</v>
      </c>
      <c r="R616" s="49" t="str">
        <f>IFERROR(__xludf.DUMMYFUNCTION("""COMPUTED_VALUE"""),"Shipper")</f>
        <v>Shipper</v>
      </c>
    </row>
    <row r="617">
      <c r="A617" s="156" t="str">
        <f>IFERROR(__xludf.DUMMYFUNCTION("""COMPUTED_VALUE"""),"https://drive.google.com/open?id=1TD79oGzdrZLTlJD3fXsld000M-ehS73M&amp;usp=drive_fs")</f>
        <v>https://drive.google.com/open?id=1TD79oGzdrZLTlJD3fXsld000M-ehS73M&amp;usp=drive_fs</v>
      </c>
      <c r="B617" s="73" t="str">
        <f>IFERROR(__xludf.DUMMYFUNCTION("""COMPUTED_VALUE"""),"Shipper")</f>
        <v>Shipper</v>
      </c>
      <c r="C617" s="73" t="str">
        <f>IFERROR(__xludf.DUMMYFUNCTION("""COMPUTED_VALUE"""),"Misc")</f>
        <v>Misc</v>
      </c>
      <c r="D617" s="73" t="str">
        <f>IFERROR(__xludf.DUMMYFUNCTION("""COMPUTED_VALUE"""),"416*312*165 mm | 16.4*12.3*6.5 | 22*32")</f>
        <v>416*312*165 mm | 16.4*12.3*6.5 | 22*32</v>
      </c>
      <c r="E617" s="77">
        <f>IFERROR(__xludf.DUMMYFUNCTION("""COMPUTED_VALUE"""),0.5)</f>
        <v>0.5</v>
      </c>
      <c r="F617" s="77">
        <f>IFERROR(__xludf.DUMMYFUNCTION("""COMPUTED_VALUE"""),2840.0)</f>
        <v>2840</v>
      </c>
      <c r="G617" s="77">
        <f>IFERROR(__xludf.DUMMYFUNCTION("""COMPUTED_VALUE"""),22.0)</f>
        <v>22</v>
      </c>
      <c r="H617" s="77">
        <f>IFERROR(__xludf.DUMMYFUNCTION("""COMPUTED_VALUE"""),32.0)</f>
        <v>32</v>
      </c>
      <c r="I617" s="77">
        <f>IFERROR(__xludf.DUMMYFUNCTION("""COMPUTED_VALUE"""),100.0)</f>
        <v>100</v>
      </c>
      <c r="J617" s="73"/>
      <c r="K617" s="73"/>
      <c r="L617" s="73"/>
      <c r="M617" s="77">
        <f>IFERROR(__xludf.DUMMYFUNCTION("""COMPUTED_VALUE"""),0.1)</f>
        <v>0.1</v>
      </c>
      <c r="N617" s="77">
        <f>IFERROR(__xludf.DUMMYFUNCTION("""COMPUTED_VALUE"""),1.0)</f>
        <v>1</v>
      </c>
      <c r="O617" s="49"/>
      <c r="P617" s="49" t="str">
        <f>IFERROR(__xludf.DUMMYFUNCTION("""COMPUTED_VALUE"""),"Offset")</f>
        <v>Offset</v>
      </c>
      <c r="Q617" s="49" t="str">
        <f>IFERROR(__xludf.DUMMYFUNCTION("""COMPUTED_VALUE"""),"Packaging")</f>
        <v>Packaging</v>
      </c>
      <c r="R617" s="49" t="str">
        <f>IFERROR(__xludf.DUMMYFUNCTION("""COMPUTED_VALUE"""),"Shipper")</f>
        <v>Shipper</v>
      </c>
    </row>
    <row r="618">
      <c r="A618" s="156" t="str">
        <f>IFERROR(__xludf.DUMMYFUNCTION("""COMPUTED_VALUE"""),"https://drive.google.com/open?id=1THnPr2RI5qrrFUQJW_Opp0A9C-8fTqgn&amp;usp=drive_fs")</f>
        <v>https://drive.google.com/open?id=1THnPr2RI5qrrFUQJW_Opp0A9C-8fTqgn&amp;usp=drive_fs</v>
      </c>
      <c r="B618" s="73" t="str">
        <f>IFERROR(__xludf.DUMMYFUNCTION("""COMPUTED_VALUE"""),"Shipper")</f>
        <v>Shipper</v>
      </c>
      <c r="C618" s="73" t="str">
        <f>IFERROR(__xludf.DUMMYFUNCTION("""COMPUTED_VALUE"""),"Misc")</f>
        <v>Misc</v>
      </c>
      <c r="D618" s="73" t="str">
        <f>IFERROR(__xludf.DUMMYFUNCTION("""COMPUTED_VALUE"""),"85*85*85 mm | 3.2*3.2*3.2 inch | 22*28")</f>
        <v>85*85*85 mm | 3.2*3.2*3.2 inch | 22*28</v>
      </c>
      <c r="E618" s="77">
        <f>IFERROR(__xludf.DUMMYFUNCTION("""COMPUTED_VALUE"""),4.0)</f>
        <v>4</v>
      </c>
      <c r="F618" s="77">
        <f>IFERROR(__xludf.DUMMYFUNCTION("""COMPUTED_VALUE"""),2029.0)</f>
        <v>2029</v>
      </c>
      <c r="G618" s="77">
        <f>IFERROR(__xludf.DUMMYFUNCTION("""COMPUTED_VALUE"""),20.0)</f>
        <v>20</v>
      </c>
      <c r="H618" s="77">
        <f>IFERROR(__xludf.DUMMYFUNCTION("""COMPUTED_VALUE"""),28.0)</f>
        <v>28</v>
      </c>
      <c r="I618" s="77">
        <f>IFERROR(__xludf.DUMMYFUNCTION("""COMPUTED_VALUE"""),100.0)</f>
        <v>100</v>
      </c>
      <c r="J618" s="73"/>
      <c r="K618" s="73"/>
      <c r="L618" s="73"/>
      <c r="M618" s="77">
        <f>IFERROR(__xludf.DUMMYFUNCTION("""COMPUTED_VALUE"""),0.1)</f>
        <v>0.1</v>
      </c>
      <c r="N618" s="77">
        <f>IFERROR(__xludf.DUMMYFUNCTION("""COMPUTED_VALUE"""),1.0)</f>
        <v>1</v>
      </c>
      <c r="O618" s="49"/>
      <c r="P618" s="49" t="str">
        <f>IFERROR(__xludf.DUMMYFUNCTION("""COMPUTED_VALUE"""),"Offset")</f>
        <v>Offset</v>
      </c>
      <c r="Q618" s="49" t="str">
        <f>IFERROR(__xludf.DUMMYFUNCTION("""COMPUTED_VALUE"""),"Packaging")</f>
        <v>Packaging</v>
      </c>
      <c r="R618" s="49" t="str">
        <f>IFERROR(__xludf.DUMMYFUNCTION("""COMPUTED_VALUE"""),"Shipper")</f>
        <v>Shipper</v>
      </c>
    </row>
    <row r="619">
      <c r="A619" s="156" t="str">
        <f>IFERROR(__xludf.DUMMYFUNCTION("""COMPUTED_VALUE"""),"https://drive.google.com/open?id=1TQ-DDXpHBQ497UhzmzsdmGst3tUM8aq-&amp;usp=drive_fs")</f>
        <v>https://drive.google.com/open?id=1TQ-DDXpHBQ497UhzmzsdmGst3tUM8aq-&amp;usp=drive_fs</v>
      </c>
      <c r="B619" s="73" t="str">
        <f>IFERROR(__xludf.DUMMYFUNCTION("""COMPUTED_VALUE"""),"Shipper")</f>
        <v>Shipper</v>
      </c>
      <c r="C619" s="73" t="str">
        <f>IFERROR(__xludf.DUMMYFUNCTION("""COMPUTED_VALUE"""),"Misc")</f>
        <v>Misc</v>
      </c>
      <c r="D619" s="73" t="str">
        <f>IFERROR(__xludf.DUMMYFUNCTION("""COMPUTED_VALUE"""),"100*98*153 mm | 3.8*3.8*6 inch | 22*16")</f>
        <v>100*98*153 mm | 3.8*3.8*6 inch | 22*16</v>
      </c>
      <c r="E619" s="77">
        <f>IFERROR(__xludf.DUMMYFUNCTION("""COMPUTED_VALUE"""),2.0)</f>
        <v>2</v>
      </c>
      <c r="F619" s="77">
        <f>IFERROR(__xludf.DUMMYFUNCTION("""COMPUTED_VALUE"""),1926.0)</f>
        <v>1926</v>
      </c>
      <c r="G619" s="77">
        <f>IFERROR(__xludf.DUMMYFUNCTION("""COMPUTED_VALUE"""),18.0)</f>
        <v>18</v>
      </c>
      <c r="H619" s="77">
        <f>IFERROR(__xludf.DUMMYFUNCTION("""COMPUTED_VALUE"""),23.0)</f>
        <v>23</v>
      </c>
      <c r="I619" s="77">
        <f>IFERROR(__xludf.DUMMYFUNCTION("""COMPUTED_VALUE"""),100.0)</f>
        <v>100</v>
      </c>
      <c r="J619" s="73"/>
      <c r="K619" s="73"/>
      <c r="L619" s="73"/>
      <c r="M619" s="77">
        <f>IFERROR(__xludf.DUMMYFUNCTION("""COMPUTED_VALUE"""),0.15)</f>
        <v>0.15</v>
      </c>
      <c r="N619" s="77">
        <f>IFERROR(__xludf.DUMMYFUNCTION("""COMPUTED_VALUE"""),1.0)</f>
        <v>1</v>
      </c>
      <c r="O619" s="49"/>
      <c r="P619" s="49" t="str">
        <f>IFERROR(__xludf.DUMMYFUNCTION("""COMPUTED_VALUE"""),"Offset")</f>
        <v>Offset</v>
      </c>
      <c r="Q619" s="49" t="str">
        <f>IFERROR(__xludf.DUMMYFUNCTION("""COMPUTED_VALUE"""),"Packaging")</f>
        <v>Packaging</v>
      </c>
      <c r="R619" s="49" t="str">
        <f>IFERROR(__xludf.DUMMYFUNCTION("""COMPUTED_VALUE"""),"Shipper")</f>
        <v>Shipper</v>
      </c>
    </row>
    <row r="620">
      <c r="A620" s="156" t="str">
        <f>IFERROR(__xludf.DUMMYFUNCTION("""COMPUTED_VALUE"""),"https://drive.google.com/open?id=1TQE-iK49dy9CQ4lZtp9piEHOB1YwMwSr&amp;usp=drive_fs")</f>
        <v>https://drive.google.com/open?id=1TQE-iK49dy9CQ4lZtp9piEHOB1YwMwSr&amp;usp=drive_fs</v>
      </c>
      <c r="B620" s="73" t="str">
        <f>IFERROR(__xludf.DUMMYFUNCTION("""COMPUTED_VALUE"""),"Shipper")</f>
        <v>Shipper</v>
      </c>
      <c r="C620" s="73" t="str">
        <f>IFERROR(__xludf.DUMMYFUNCTION("""COMPUTED_VALUE"""),"Misc")</f>
        <v>Misc</v>
      </c>
      <c r="D620" s="73" t="str">
        <f>IFERROR(__xludf.DUMMYFUNCTION("""COMPUTED_VALUE"""),"144*139*195 mm | 5.6*5.5*7.7 inch | 22*23")</f>
        <v>144*139*195 mm | 5.6*5.5*7.7 inch | 22*23</v>
      </c>
      <c r="E620" s="77">
        <f>IFERROR(__xludf.DUMMYFUNCTION("""COMPUTED_VALUE"""),1.0)</f>
        <v>1</v>
      </c>
      <c r="F620" s="77">
        <f>IFERROR(__xludf.DUMMYFUNCTION("""COMPUTED_VALUE"""),1926.0)</f>
        <v>1926</v>
      </c>
      <c r="G620" s="77">
        <f>IFERROR(__xludf.DUMMYFUNCTION("""COMPUTED_VALUE"""),18.0)</f>
        <v>18</v>
      </c>
      <c r="H620" s="77">
        <f>IFERROR(__xludf.DUMMYFUNCTION("""COMPUTED_VALUE"""),25.0)</f>
        <v>25</v>
      </c>
      <c r="I620" s="77">
        <f>IFERROR(__xludf.DUMMYFUNCTION("""COMPUTED_VALUE"""),100.0)</f>
        <v>100</v>
      </c>
      <c r="J620" s="73"/>
      <c r="K620" s="73"/>
      <c r="L620" s="73"/>
      <c r="M620" s="77">
        <f>IFERROR(__xludf.DUMMYFUNCTION("""COMPUTED_VALUE"""),0.1)</f>
        <v>0.1</v>
      </c>
      <c r="N620" s="77">
        <f>IFERROR(__xludf.DUMMYFUNCTION("""COMPUTED_VALUE"""),1.0)</f>
        <v>1</v>
      </c>
      <c r="O620" s="49"/>
      <c r="P620" s="49" t="str">
        <f>IFERROR(__xludf.DUMMYFUNCTION("""COMPUTED_VALUE"""),"Offset")</f>
        <v>Offset</v>
      </c>
      <c r="Q620" s="49" t="str">
        <f>IFERROR(__xludf.DUMMYFUNCTION("""COMPUTED_VALUE"""),"Packaging")</f>
        <v>Packaging</v>
      </c>
      <c r="R620" s="49" t="str">
        <f>IFERROR(__xludf.DUMMYFUNCTION("""COMPUTED_VALUE"""),"Shipper")</f>
        <v>Shipper</v>
      </c>
    </row>
    <row r="621">
      <c r="A621" s="156" t="str">
        <f>IFERROR(__xludf.DUMMYFUNCTION("""COMPUTED_VALUE"""),"https://drive.google.com/open?id=1JircPvjVegY3VZOTGib6QVtpdIEggNKw&amp;usp=drive_fs")</f>
        <v>https://drive.google.com/open?id=1JircPvjVegY3VZOTGib6QVtpdIEggNKw&amp;usp=drive_fs</v>
      </c>
      <c r="B621" s="73" t="str">
        <f>IFERROR(__xludf.DUMMYFUNCTION("""COMPUTED_VALUE"""),"Shipper")</f>
        <v>Shipper</v>
      </c>
      <c r="C621" s="73" t="str">
        <f>IFERROR(__xludf.DUMMYFUNCTION("""COMPUTED_VALUE"""),"Misc")</f>
        <v>Misc</v>
      </c>
      <c r="D621" s="73" t="str">
        <f>IFERROR(__xludf.DUMMYFUNCTION("""COMPUTED_VALUE"""),"140*65*210 mm | 5.5*2.5*8.3 inch | 28*17")</f>
        <v>140*65*210 mm | 5.5*2.5*8.3 inch | 28*17</v>
      </c>
      <c r="E621" s="77">
        <f>IFERROR(__xludf.DUMMYFUNCTION("""COMPUTED_VALUE"""),2.0)</f>
        <v>2</v>
      </c>
      <c r="F621" s="77">
        <f>IFERROR(__xludf.DUMMYFUNCTION("""COMPUTED_VALUE"""),2029.0)</f>
        <v>2029</v>
      </c>
      <c r="G621" s="77">
        <f>IFERROR(__xludf.DUMMYFUNCTION("""COMPUTED_VALUE"""),18.0)</f>
        <v>18</v>
      </c>
      <c r="H621" s="77">
        <f>IFERROR(__xludf.DUMMYFUNCTION("""COMPUTED_VALUE"""),28.0)</f>
        <v>28</v>
      </c>
      <c r="I621" s="77">
        <f>IFERROR(__xludf.DUMMYFUNCTION("""COMPUTED_VALUE"""),100.0)</f>
        <v>100</v>
      </c>
      <c r="J621" s="73"/>
      <c r="K621" s="73"/>
      <c r="L621" s="73"/>
      <c r="M621" s="77">
        <f>IFERROR(__xludf.DUMMYFUNCTION("""COMPUTED_VALUE"""),0.15)</f>
        <v>0.15</v>
      </c>
      <c r="N621" s="77">
        <f>IFERROR(__xludf.DUMMYFUNCTION("""COMPUTED_VALUE"""),1.0)</f>
        <v>1</v>
      </c>
      <c r="O621" s="49"/>
      <c r="P621" s="49" t="str">
        <f>IFERROR(__xludf.DUMMYFUNCTION("""COMPUTED_VALUE"""),"Offset")</f>
        <v>Offset</v>
      </c>
      <c r="Q621" s="49" t="str">
        <f>IFERROR(__xludf.DUMMYFUNCTION("""COMPUTED_VALUE"""),"Packaging")</f>
        <v>Packaging</v>
      </c>
      <c r="R621" s="49" t="str">
        <f>IFERROR(__xludf.DUMMYFUNCTION("""COMPUTED_VALUE"""),"Shipper")</f>
        <v>Shipper</v>
      </c>
    </row>
    <row r="622">
      <c r="A622" s="156" t="str">
        <f>IFERROR(__xludf.DUMMYFUNCTION("""COMPUTED_VALUE"""),"https://drive.google.com/open?id=1JtzAJbxHjmOMeDPBEtZrBlG6yUHGLls3&amp;usp=drive_fs")</f>
        <v>https://drive.google.com/open?id=1JtzAJbxHjmOMeDPBEtZrBlG6yUHGLls3&amp;usp=drive_fs</v>
      </c>
      <c r="B622" s="73" t="str">
        <f>IFERROR(__xludf.DUMMYFUNCTION("""COMPUTED_VALUE"""),"Shipper")</f>
        <v>Shipper</v>
      </c>
      <c r="C622" s="73" t="str">
        <f>IFERROR(__xludf.DUMMYFUNCTION("""COMPUTED_VALUE"""),"Misc")</f>
        <v>Misc</v>
      </c>
      <c r="D622" s="73" t="str">
        <f>IFERROR(__xludf.DUMMYFUNCTION("""COMPUTED_VALUE"""),"102*102*76 mm | 4*4*3 inch | 30*18")</f>
        <v>102*102*76 mm | 4*4*3 inch | 30*18</v>
      </c>
      <c r="E622" s="77">
        <f>IFERROR(__xludf.DUMMYFUNCTION("""COMPUTED_VALUE"""),2.0)</f>
        <v>2</v>
      </c>
      <c r="F622" s="77">
        <f>IFERROR(__xludf.DUMMYFUNCTION("""COMPUTED_VALUE"""),2029.0)</f>
        <v>2029</v>
      </c>
      <c r="G622" s="77">
        <f>IFERROR(__xludf.DUMMYFUNCTION("""COMPUTED_VALUE"""),30.0)</f>
        <v>30</v>
      </c>
      <c r="H622" s="77">
        <f>IFERROR(__xludf.DUMMYFUNCTION("""COMPUTED_VALUE"""),18.0)</f>
        <v>18</v>
      </c>
      <c r="I622" s="77">
        <f>IFERROR(__xludf.DUMMYFUNCTION("""COMPUTED_VALUE"""),100.0)</f>
        <v>100</v>
      </c>
      <c r="J622" s="73"/>
      <c r="K622" s="73"/>
      <c r="L622" s="73"/>
      <c r="M622" s="77"/>
      <c r="N622" s="77">
        <f>IFERROR(__xludf.DUMMYFUNCTION("""COMPUTED_VALUE"""),1.0)</f>
        <v>1</v>
      </c>
      <c r="O622" s="49"/>
      <c r="P622" s="49" t="str">
        <f>IFERROR(__xludf.DUMMYFUNCTION("""COMPUTED_VALUE"""),"Offset")</f>
        <v>Offset</v>
      </c>
      <c r="Q622" s="49" t="str">
        <f>IFERROR(__xludf.DUMMYFUNCTION("""COMPUTED_VALUE"""),"Packaging")</f>
        <v>Packaging</v>
      </c>
      <c r="R622" s="49" t="str">
        <f>IFERROR(__xludf.DUMMYFUNCTION("""COMPUTED_VALUE"""),"Shipper")</f>
        <v>Shipper</v>
      </c>
    </row>
    <row r="623">
      <c r="A623" s="156" t="str">
        <f>IFERROR(__xludf.DUMMYFUNCTION("""COMPUTED_VALUE"""),"https://drive.google.com/open?id=1K1PJoQI8QBjjc6XvxRjeQTYBZav2ho4f&amp;usp=drive_fs")</f>
        <v>https://drive.google.com/open?id=1K1PJoQI8QBjjc6XvxRjeQTYBZav2ho4f&amp;usp=drive_fs</v>
      </c>
      <c r="B623" s="73" t="str">
        <f>IFERROR(__xludf.DUMMYFUNCTION("""COMPUTED_VALUE"""),"Shipper")</f>
        <v>Shipper</v>
      </c>
      <c r="C623" s="73" t="str">
        <f>IFERROR(__xludf.DUMMYFUNCTION("""COMPUTED_VALUE"""),"Misc")</f>
        <v>Misc</v>
      </c>
      <c r="D623" s="73" t="str">
        <f>IFERROR(__xludf.DUMMYFUNCTION("""COMPUTED_VALUE"""),"279*279*152 mm | 11*6*11 inch | 26*36")</f>
        <v>279*279*152 mm | 11*6*11 inch | 26*36</v>
      </c>
      <c r="E623" s="77">
        <f>IFERROR(__xludf.DUMMYFUNCTION("""COMPUTED_VALUE"""),1.0)</f>
        <v>1</v>
      </c>
      <c r="F623" s="77">
        <f>IFERROR(__xludf.DUMMYFUNCTION("""COMPUTED_VALUE"""),2840.0)</f>
        <v>2840</v>
      </c>
      <c r="G623" s="77">
        <f>IFERROR(__xludf.DUMMYFUNCTION("""COMPUTED_VALUE"""),26.0)</f>
        <v>26</v>
      </c>
      <c r="H623" s="77">
        <f>IFERROR(__xludf.DUMMYFUNCTION("""COMPUTED_VALUE"""),36.0)</f>
        <v>36</v>
      </c>
      <c r="I623" s="77">
        <f>IFERROR(__xludf.DUMMYFUNCTION("""COMPUTED_VALUE"""),100.0)</f>
        <v>100</v>
      </c>
      <c r="J623" s="73"/>
      <c r="K623" s="73"/>
      <c r="L623" s="73"/>
      <c r="M623" s="77">
        <f>IFERROR(__xludf.DUMMYFUNCTION("""COMPUTED_VALUE"""),0.15)</f>
        <v>0.15</v>
      </c>
      <c r="N623" s="77">
        <f>IFERROR(__xludf.DUMMYFUNCTION("""COMPUTED_VALUE"""),1.0)</f>
        <v>1</v>
      </c>
      <c r="O623" s="49"/>
      <c r="P623" s="49" t="str">
        <f>IFERROR(__xludf.DUMMYFUNCTION("""COMPUTED_VALUE"""),"Offset")</f>
        <v>Offset</v>
      </c>
      <c r="Q623" s="49" t="str">
        <f>IFERROR(__xludf.DUMMYFUNCTION("""COMPUTED_VALUE"""),"Packaging")</f>
        <v>Packaging</v>
      </c>
      <c r="R623" s="49" t="str">
        <f>IFERROR(__xludf.DUMMYFUNCTION("""COMPUTED_VALUE"""),"Shipper")</f>
        <v>Shipper</v>
      </c>
    </row>
    <row r="624">
      <c r="A624" s="156" t="str">
        <f>IFERROR(__xludf.DUMMYFUNCTION("""COMPUTED_VALUE"""),"https://drive.google.com/open?id=1K1m-DNGDs3Ui7ytHXpZPhNXzlG0QeliV&amp;usp=drive_fs")</f>
        <v>https://drive.google.com/open?id=1K1m-DNGDs3Ui7ytHXpZPhNXzlG0QeliV&amp;usp=drive_fs</v>
      </c>
      <c r="B624" s="73" t="str">
        <f>IFERROR(__xludf.DUMMYFUNCTION("""COMPUTED_VALUE"""),"Shipper")</f>
        <v>Shipper</v>
      </c>
      <c r="C624" s="73" t="str">
        <f>IFERROR(__xludf.DUMMYFUNCTION("""COMPUTED_VALUE"""),"Misc")</f>
        <v>Misc</v>
      </c>
      <c r="D624" s="73" t="str">
        <f>IFERROR(__xludf.DUMMYFUNCTION("""COMPUTED_VALUE"""),"140*50*381 mm | 5.5*2*15 inch | 22*32")</f>
        <v>140*50*381 mm | 5.5*2*15 inch | 22*32</v>
      </c>
      <c r="E624" s="77">
        <f>IFERROR(__xludf.DUMMYFUNCTION("""COMPUTED_VALUE"""),2.0)</f>
        <v>2</v>
      </c>
      <c r="F624" s="77">
        <f>IFERROR(__xludf.DUMMYFUNCTION("""COMPUTED_VALUE"""),2840.0)</f>
        <v>2840</v>
      </c>
      <c r="G624" s="77">
        <f>IFERROR(__xludf.DUMMYFUNCTION("""COMPUTED_VALUE"""),22.0)</f>
        <v>22</v>
      </c>
      <c r="H624" s="77">
        <f>IFERROR(__xludf.DUMMYFUNCTION("""COMPUTED_VALUE"""),32.0)</f>
        <v>32</v>
      </c>
      <c r="I624" s="77">
        <f>IFERROR(__xludf.DUMMYFUNCTION("""COMPUTED_VALUE"""),100.0)</f>
        <v>100</v>
      </c>
      <c r="J624" s="73"/>
      <c r="K624" s="73"/>
      <c r="L624" s="73"/>
      <c r="M624" s="77">
        <f>IFERROR(__xludf.DUMMYFUNCTION("""COMPUTED_VALUE"""),0.15)</f>
        <v>0.15</v>
      </c>
      <c r="N624" s="77">
        <f>IFERROR(__xludf.DUMMYFUNCTION("""COMPUTED_VALUE"""),1.0)</f>
        <v>1</v>
      </c>
      <c r="O624" s="49"/>
      <c r="P624" s="49" t="str">
        <f>IFERROR(__xludf.DUMMYFUNCTION("""COMPUTED_VALUE"""),"Offset")</f>
        <v>Offset</v>
      </c>
      <c r="Q624" s="49" t="str">
        <f>IFERROR(__xludf.DUMMYFUNCTION("""COMPUTED_VALUE"""),"Packaging")</f>
        <v>Packaging</v>
      </c>
      <c r="R624" s="49" t="str">
        <f>IFERROR(__xludf.DUMMYFUNCTION("""COMPUTED_VALUE"""),"Shipper")</f>
        <v>Shipper</v>
      </c>
    </row>
    <row r="625">
      <c r="A625" s="156" t="str">
        <f>IFERROR(__xludf.DUMMYFUNCTION("""COMPUTED_VALUE"""),"https://drive.google.com/open?id=1K2Y80ssczhhKm_rkpHVIvZmFOwvLOHrY&amp;usp=drive_fs")</f>
        <v>https://drive.google.com/open?id=1K2Y80ssczhhKm_rkpHVIvZmFOwvLOHrY&amp;usp=drive_fs</v>
      </c>
      <c r="B625" s="73" t="str">
        <f>IFERROR(__xludf.DUMMYFUNCTION("""COMPUTED_VALUE"""),"Shipper")</f>
        <v>Shipper</v>
      </c>
      <c r="C625" s="73" t="str">
        <f>IFERROR(__xludf.DUMMYFUNCTION("""COMPUTED_VALUE"""),"Misc")</f>
        <v>Misc</v>
      </c>
      <c r="D625" s="73" t="str">
        <f>IFERROR(__xludf.DUMMYFUNCTION("""COMPUTED_VALUE"""),"240*45*280 mm | 9.5*1.75*11 inch | 32*24")</f>
        <v>240*45*280 mm | 9.5*1.75*11 inch | 32*24</v>
      </c>
      <c r="E625" s="77">
        <f>IFERROR(__xludf.DUMMYFUNCTION("""COMPUTED_VALUE"""),2.0)</f>
        <v>2</v>
      </c>
      <c r="F625" s="77">
        <f>IFERROR(__xludf.DUMMYFUNCTION("""COMPUTED_VALUE"""),2840.0)</f>
        <v>2840</v>
      </c>
      <c r="G625" s="77">
        <f>IFERROR(__xludf.DUMMYFUNCTION("""COMPUTED_VALUE"""),32.0)</f>
        <v>32</v>
      </c>
      <c r="H625" s="77">
        <f>IFERROR(__xludf.DUMMYFUNCTION("""COMPUTED_VALUE"""),24.0)</f>
        <v>24</v>
      </c>
      <c r="I625" s="77">
        <f>IFERROR(__xludf.DUMMYFUNCTION("""COMPUTED_VALUE"""),100.0)</f>
        <v>100</v>
      </c>
      <c r="J625" s="73"/>
      <c r="K625" s="73"/>
      <c r="L625" s="73"/>
      <c r="M625" s="77">
        <f>IFERROR(__xludf.DUMMYFUNCTION("""COMPUTED_VALUE"""),0.15)</f>
        <v>0.15</v>
      </c>
      <c r="N625" s="77">
        <f>IFERROR(__xludf.DUMMYFUNCTION("""COMPUTED_VALUE"""),1.0)</f>
        <v>1</v>
      </c>
      <c r="O625" s="49"/>
      <c r="P625" s="49" t="str">
        <f>IFERROR(__xludf.DUMMYFUNCTION("""COMPUTED_VALUE"""),"Offset")</f>
        <v>Offset</v>
      </c>
      <c r="Q625" s="49" t="str">
        <f>IFERROR(__xludf.DUMMYFUNCTION("""COMPUTED_VALUE"""),"Packaging")</f>
        <v>Packaging</v>
      </c>
      <c r="R625" s="49" t="str">
        <f>IFERROR(__xludf.DUMMYFUNCTION("""COMPUTED_VALUE"""),"Shipper")</f>
        <v>Shipper</v>
      </c>
    </row>
    <row r="626">
      <c r="A626" s="156" t="str">
        <f>IFERROR(__xludf.DUMMYFUNCTION("""COMPUTED_VALUE"""),"https://drive.google.com/open?id=1K6ngpnJyom2_HB84-QLQM3JUg7vu5XZR&amp;usp=drive_fs")</f>
        <v>https://drive.google.com/open?id=1K6ngpnJyom2_HB84-QLQM3JUg7vu5XZR&amp;usp=drive_fs</v>
      </c>
      <c r="B626" s="73" t="str">
        <f>IFERROR(__xludf.DUMMYFUNCTION("""COMPUTED_VALUE"""),"Shipper")</f>
        <v>Shipper</v>
      </c>
      <c r="C626" s="73" t="str">
        <f>IFERROR(__xludf.DUMMYFUNCTION("""COMPUTED_VALUE"""),"Misc")</f>
        <v>Misc</v>
      </c>
      <c r="D626" s="73" t="str">
        <f>IFERROR(__xludf.DUMMYFUNCTION("""COMPUTED_VALUE"""),"305*63*406 mm | 12*2.5*16 inch | 24*32")</f>
        <v>305*63*406 mm | 12*2.5*16 inch | 24*32</v>
      </c>
      <c r="E626" s="77">
        <f>IFERROR(__xludf.DUMMYFUNCTION("""COMPUTED_VALUE"""),1.0)</f>
        <v>1</v>
      </c>
      <c r="F626" s="77">
        <f>IFERROR(__xludf.DUMMYFUNCTION("""COMPUTED_VALUE"""),2840.0)</f>
        <v>2840</v>
      </c>
      <c r="G626" s="77">
        <f>IFERROR(__xludf.DUMMYFUNCTION("""COMPUTED_VALUE"""),24.0)</f>
        <v>24</v>
      </c>
      <c r="H626" s="77">
        <f>IFERROR(__xludf.DUMMYFUNCTION("""COMPUTED_VALUE"""),32.0)</f>
        <v>32</v>
      </c>
      <c r="I626" s="77">
        <f>IFERROR(__xludf.DUMMYFUNCTION("""COMPUTED_VALUE"""),100.0)</f>
        <v>100</v>
      </c>
      <c r="J626" s="73"/>
      <c r="K626" s="73"/>
      <c r="L626" s="73"/>
      <c r="M626" s="77">
        <f>IFERROR(__xludf.DUMMYFUNCTION("""COMPUTED_VALUE"""),0.15)</f>
        <v>0.15</v>
      </c>
      <c r="N626" s="77">
        <f>IFERROR(__xludf.DUMMYFUNCTION("""COMPUTED_VALUE"""),1.0)</f>
        <v>1</v>
      </c>
      <c r="O626" s="49"/>
      <c r="P626" s="49" t="str">
        <f>IFERROR(__xludf.DUMMYFUNCTION("""COMPUTED_VALUE"""),"Offset")</f>
        <v>Offset</v>
      </c>
      <c r="Q626" s="49" t="str">
        <f>IFERROR(__xludf.DUMMYFUNCTION("""COMPUTED_VALUE"""),"Packaging")</f>
        <v>Packaging</v>
      </c>
      <c r="R626" s="49" t="str">
        <f>IFERROR(__xludf.DUMMYFUNCTION("""COMPUTED_VALUE"""),"Shipper")</f>
        <v>Shipper</v>
      </c>
    </row>
    <row r="627">
      <c r="A627" s="156" t="str">
        <f>IFERROR(__xludf.DUMMYFUNCTION("""COMPUTED_VALUE"""),"https://drive.google.com/open?id=1OkkdCTc3xubl3lVair5UpNZvPOVxAh71&amp;usp=drive_fs")</f>
        <v>https://drive.google.com/open?id=1OkkdCTc3xubl3lVair5UpNZvPOVxAh71&amp;usp=drive_fs</v>
      </c>
      <c r="B627" s="73" t="str">
        <f>IFERROR(__xludf.DUMMYFUNCTION("""COMPUTED_VALUE"""),"Shipper")</f>
        <v>Shipper</v>
      </c>
      <c r="C627" s="73" t="str">
        <f>IFERROR(__xludf.DUMMYFUNCTION("""COMPUTED_VALUE"""),"Misc")</f>
        <v>Misc</v>
      </c>
      <c r="D627" s="73" t="str">
        <f>IFERROR(__xludf.DUMMYFUNCTION("""COMPUTED_VALUE"""),"102*102*38 mm | 4*4*1.5 inch | 22*17")</f>
        <v>102*102*38 mm | 4*4*1.5 inch | 22*17</v>
      </c>
      <c r="E627" s="77">
        <f>IFERROR(__xludf.DUMMYFUNCTION("""COMPUTED_VALUE"""),4.0)</f>
        <v>4</v>
      </c>
      <c r="F627" s="77">
        <f>IFERROR(__xludf.DUMMYFUNCTION("""COMPUTED_VALUE"""),1926.0)</f>
        <v>1926</v>
      </c>
      <c r="G627" s="77">
        <f>IFERROR(__xludf.DUMMYFUNCTION("""COMPUTED_VALUE"""),22.0)</f>
        <v>22</v>
      </c>
      <c r="H627" s="77">
        <f>IFERROR(__xludf.DUMMYFUNCTION("""COMPUTED_VALUE"""),17.0)</f>
        <v>17</v>
      </c>
      <c r="I627" s="77">
        <f>IFERROR(__xludf.DUMMYFUNCTION("""COMPUTED_VALUE"""),100.0)</f>
        <v>100</v>
      </c>
      <c r="J627" s="73"/>
      <c r="K627" s="73"/>
      <c r="L627" s="73"/>
      <c r="M627" s="77">
        <f>IFERROR(__xludf.DUMMYFUNCTION("""COMPUTED_VALUE"""),0.14)</f>
        <v>0.14</v>
      </c>
      <c r="N627" s="77">
        <f>IFERROR(__xludf.DUMMYFUNCTION("""COMPUTED_VALUE"""),1.0)</f>
        <v>1</v>
      </c>
      <c r="O627" s="49"/>
      <c r="P627" s="49" t="str">
        <f>IFERROR(__xludf.DUMMYFUNCTION("""COMPUTED_VALUE"""),"Offset")</f>
        <v>Offset</v>
      </c>
      <c r="Q627" s="49" t="str">
        <f>IFERROR(__xludf.DUMMYFUNCTION("""COMPUTED_VALUE"""),"Packaging")</f>
        <v>Packaging</v>
      </c>
      <c r="R627" s="49" t="str">
        <f>IFERROR(__xludf.DUMMYFUNCTION("""COMPUTED_VALUE"""),"Shipper")</f>
        <v>Shipper</v>
      </c>
    </row>
    <row r="628">
      <c r="A628" s="73"/>
      <c r="B628" s="73" t="str">
        <f>IFERROR(__xludf.DUMMYFUNCTION("""COMPUTED_VALUE"""),"Shipper")</f>
        <v>Shipper</v>
      </c>
      <c r="C628" s="73" t="str">
        <f>IFERROR(__xludf.DUMMYFUNCTION("""COMPUTED_VALUE"""),"Misc")</f>
        <v>Misc</v>
      </c>
      <c r="D628" s="73" t="str">
        <f>IFERROR(__xludf.DUMMYFUNCTION("""COMPUTED_VALUE"""),"55*55*85 mm | 2.1*2.1*3.4 inch | 28*20")</f>
        <v>55*55*85 mm | 2.1*2.1*3.4 inch | 28*20</v>
      </c>
      <c r="E628" s="77">
        <f>IFERROR(__xludf.DUMMYFUNCTION("""COMPUTED_VALUE"""),8.0)</f>
        <v>8</v>
      </c>
      <c r="F628" s="77">
        <f>IFERROR(__xludf.DUMMYFUNCTION("""COMPUTED_VALUE"""),2029.0)</f>
        <v>2029</v>
      </c>
      <c r="G628" s="77">
        <f>IFERROR(__xludf.DUMMYFUNCTION("""COMPUTED_VALUE"""),20.0)</f>
        <v>20</v>
      </c>
      <c r="H628" s="77">
        <f>IFERROR(__xludf.DUMMYFUNCTION("""COMPUTED_VALUE"""),28.0)</f>
        <v>28</v>
      </c>
      <c r="I628" s="77">
        <f>IFERROR(__xludf.DUMMYFUNCTION("""COMPUTED_VALUE"""),100.0)</f>
        <v>100</v>
      </c>
      <c r="J628" s="73"/>
      <c r="K628" s="73"/>
      <c r="L628" s="73"/>
      <c r="M628" s="77">
        <f>IFERROR(__xludf.DUMMYFUNCTION("""COMPUTED_VALUE"""),0.12)</f>
        <v>0.12</v>
      </c>
      <c r="N628" s="77">
        <f>IFERROR(__xludf.DUMMYFUNCTION("""COMPUTED_VALUE"""),1.0)</f>
        <v>1</v>
      </c>
      <c r="O628" s="49"/>
      <c r="P628" s="49" t="str">
        <f>IFERROR(__xludf.DUMMYFUNCTION("""COMPUTED_VALUE"""),"Offset")</f>
        <v>Offset</v>
      </c>
      <c r="Q628" s="49" t="str">
        <f>IFERROR(__xludf.DUMMYFUNCTION("""COMPUTED_VALUE"""),"Packaging")</f>
        <v>Packaging</v>
      </c>
      <c r="R628" s="49" t="str">
        <f>IFERROR(__xludf.DUMMYFUNCTION("""COMPUTED_VALUE"""),"Shipper")</f>
        <v>Shipper</v>
      </c>
    </row>
    <row r="629">
      <c r="A629" s="156" t="str">
        <f>IFERROR(__xludf.DUMMYFUNCTION("""COMPUTED_VALUE"""),"https://drive.google.com/open?id=1La8rAfuBBV89azcIvcd5-zLVGexOe0ot&amp;authuser=jay.agg%40gmail.com&amp;usp=drive_fs")</f>
        <v>https://drive.google.com/open?id=1La8rAfuBBV89azcIvcd5-zLVGexOe0ot&amp;authuser=jay.agg%40gmail.com&amp;usp=drive_fs</v>
      </c>
      <c r="B629" s="73" t="str">
        <f>IFERROR(__xludf.DUMMYFUNCTION("""COMPUTED_VALUE"""),"Daily Essential")</f>
        <v>Daily Essential</v>
      </c>
      <c r="C629" s="73" t="str">
        <f>IFERROR(__xludf.DUMMYFUNCTION("""COMPUTED_VALUE"""),"Makeup")</f>
        <v>Makeup</v>
      </c>
      <c r="D629" s="73" t="str">
        <f>IFERROR(__xludf.DUMMYFUNCTION("""COMPUTED_VALUE"""),"25*25*125 mm")</f>
        <v>25*25*125 mm</v>
      </c>
      <c r="E629" s="77">
        <f>IFERROR(__xludf.DUMMYFUNCTION("""COMPUTED_VALUE"""),12.0)</f>
        <v>12</v>
      </c>
      <c r="F629" s="77">
        <f>IFERROR(__xludf.DUMMYFUNCTION("""COMPUTED_VALUE"""),1926.0)</f>
        <v>1926</v>
      </c>
      <c r="G629" s="77">
        <f>IFERROR(__xludf.DUMMYFUNCTION("""COMPUTED_VALUE"""),18.0)</f>
        <v>18</v>
      </c>
      <c r="H629" s="77">
        <f>IFERROR(__xludf.DUMMYFUNCTION("""COMPUTED_VALUE"""),21.0)</f>
        <v>21</v>
      </c>
      <c r="I629" s="77">
        <f>IFERROR(__xludf.DUMMYFUNCTION("""COMPUTED_VALUE"""),100.0)</f>
        <v>100</v>
      </c>
      <c r="J629" s="73"/>
      <c r="K629" s="73"/>
      <c r="L629" s="73"/>
      <c r="M629" s="77">
        <f>IFERROR(__xludf.DUMMYFUNCTION("""COMPUTED_VALUE"""),0.1)</f>
        <v>0.1</v>
      </c>
      <c r="N629" s="77">
        <f>IFERROR(__xludf.DUMMYFUNCTION("""COMPUTED_VALUE"""),1.0)</f>
        <v>1</v>
      </c>
      <c r="O629" s="49"/>
      <c r="P629" s="49" t="str">
        <f>IFERROR(__xludf.DUMMYFUNCTION("""COMPUTED_VALUE"""),"Offset")</f>
        <v>Offset</v>
      </c>
      <c r="Q629" s="49" t="str">
        <f>IFERROR(__xludf.DUMMYFUNCTION("""COMPUTED_VALUE"""),"Packaging")</f>
        <v>Packaging</v>
      </c>
      <c r="R629" s="49" t="str">
        <f>IFERROR(__xludf.DUMMYFUNCTION("""COMPUTED_VALUE"""),"Daily Essential")</f>
        <v>Daily Essential</v>
      </c>
    </row>
    <row r="630">
      <c r="A630" s="156" t="str">
        <f>IFERROR(__xludf.DUMMYFUNCTION("""COMPUTED_VALUE"""),"https://drive.google.com/open?id=1K5Y3Ez7G1r0WyD0o_yoxYrV__R3-4zC5&amp;authuser=jay.agg%40gmail.com&amp;usp=drive_fs")</f>
        <v>https://drive.google.com/open?id=1K5Y3Ez7G1r0WyD0o_yoxYrV__R3-4zC5&amp;authuser=jay.agg%40gmail.com&amp;usp=drive_fs</v>
      </c>
      <c r="B630" s="73" t="str">
        <f>IFERROR(__xludf.DUMMYFUNCTION("""COMPUTED_VALUE"""),"Daily Essential")</f>
        <v>Daily Essential</v>
      </c>
      <c r="C630" s="73" t="str">
        <f>IFERROR(__xludf.DUMMYFUNCTION("""COMPUTED_VALUE"""),"Dustbin Bag")</f>
        <v>Dustbin Bag</v>
      </c>
      <c r="D630" s="73" t="str">
        <f>IFERROR(__xludf.DUMMYFUNCTION("""COMPUTED_VALUE"""),"5.25*2.25*2.25 inch IL")</f>
        <v>5.25*2.25*2.25 inch IL</v>
      </c>
      <c r="E630" s="77">
        <f>IFERROR(__xludf.DUMMYFUNCTION("""COMPUTED_VALUE"""),6.0)</f>
        <v>6</v>
      </c>
      <c r="F630" s="77">
        <f>IFERROR(__xludf.DUMMYFUNCTION("""COMPUTED_VALUE"""),2029.0)</f>
        <v>2029</v>
      </c>
      <c r="G630" s="77">
        <f>IFERROR(__xludf.DUMMYFUNCTION("""COMPUTED_VALUE"""),20.0)</f>
        <v>20</v>
      </c>
      <c r="H630" s="77">
        <f>IFERROR(__xludf.DUMMYFUNCTION("""COMPUTED_VALUE"""),30.0)</f>
        <v>30</v>
      </c>
      <c r="I630" s="77">
        <f>IFERROR(__xludf.DUMMYFUNCTION("""COMPUTED_VALUE"""),100.0)</f>
        <v>100</v>
      </c>
      <c r="J630" s="73"/>
      <c r="K630" s="73"/>
      <c r="L630" s="73"/>
      <c r="M630" s="77">
        <f>IFERROR(__xludf.DUMMYFUNCTION("""COMPUTED_VALUE"""),0.1)</f>
        <v>0.1</v>
      </c>
      <c r="N630" s="77">
        <f>IFERROR(__xludf.DUMMYFUNCTION("""COMPUTED_VALUE"""),1.0)</f>
        <v>1</v>
      </c>
      <c r="O630" s="49"/>
      <c r="P630" s="49" t="str">
        <f>IFERROR(__xludf.DUMMYFUNCTION("""COMPUTED_VALUE"""),"Offset")</f>
        <v>Offset</v>
      </c>
      <c r="Q630" s="49" t="str">
        <f>IFERROR(__xludf.DUMMYFUNCTION("""COMPUTED_VALUE"""),"Packaging")</f>
        <v>Packaging</v>
      </c>
      <c r="R630" s="49" t="str">
        <f>IFERROR(__xludf.DUMMYFUNCTION("""COMPUTED_VALUE"""),"Daily Essential")</f>
        <v>Daily Essential</v>
      </c>
    </row>
    <row r="631">
      <c r="A631" s="156" t="str">
        <f>IFERROR(__xludf.DUMMYFUNCTION("""COMPUTED_VALUE"""),"https://drive.google.com/open?id=1KOFDn5Fze_OqDjAOfrxLpgk6qHiYchEr&amp;authuser=jay.agg%40gmail.com&amp;usp=drive_fs")</f>
        <v>https://drive.google.com/open?id=1KOFDn5Fze_OqDjAOfrxLpgk6qHiYchEr&amp;authuser=jay.agg%40gmail.com&amp;usp=drive_fs</v>
      </c>
      <c r="B631" s="73" t="str">
        <f>IFERROR(__xludf.DUMMYFUNCTION("""COMPUTED_VALUE"""),"Daily Essential")</f>
        <v>Daily Essential</v>
      </c>
      <c r="C631" s="73" t="str">
        <f>IFERROR(__xludf.DUMMYFUNCTION("""COMPUTED_VALUE"""),"Dustbin Bag")</f>
        <v>Dustbin Bag</v>
      </c>
      <c r="D631" s="73" t="str">
        <f>IFERROR(__xludf.DUMMYFUNCTION("""COMPUTED_VALUE"""),"5.8*2.25*2.25 inch IL")</f>
        <v>5.8*2.25*2.25 inch IL</v>
      </c>
      <c r="E631" s="77">
        <f>IFERROR(__xludf.DUMMYFUNCTION("""COMPUTED_VALUE"""),6.0)</f>
        <v>6</v>
      </c>
      <c r="F631" s="77">
        <f>IFERROR(__xludf.DUMMYFUNCTION("""COMPUTED_VALUE"""),2029.0)</f>
        <v>2029</v>
      </c>
      <c r="G631" s="77">
        <f>IFERROR(__xludf.DUMMYFUNCTION("""COMPUTED_VALUE"""),20.0)</f>
        <v>20</v>
      </c>
      <c r="H631" s="77">
        <f>IFERROR(__xludf.DUMMYFUNCTION("""COMPUTED_VALUE"""),30.0)</f>
        <v>30</v>
      </c>
      <c r="I631" s="77">
        <f>IFERROR(__xludf.DUMMYFUNCTION("""COMPUTED_VALUE"""),100.0)</f>
        <v>100</v>
      </c>
      <c r="J631" s="73"/>
      <c r="K631" s="73"/>
      <c r="L631" s="73"/>
      <c r="M631" s="77">
        <f>IFERROR(__xludf.DUMMYFUNCTION("""COMPUTED_VALUE"""),0.1)</f>
        <v>0.1</v>
      </c>
      <c r="N631" s="77">
        <f>IFERROR(__xludf.DUMMYFUNCTION("""COMPUTED_VALUE"""),1.0)</f>
        <v>1</v>
      </c>
      <c r="O631" s="49"/>
      <c r="P631" s="49" t="str">
        <f>IFERROR(__xludf.DUMMYFUNCTION("""COMPUTED_VALUE"""),"Offset")</f>
        <v>Offset</v>
      </c>
      <c r="Q631" s="49" t="str">
        <f>IFERROR(__xludf.DUMMYFUNCTION("""COMPUTED_VALUE"""),"Packaging")</f>
        <v>Packaging</v>
      </c>
      <c r="R631" s="49" t="str">
        <f>IFERROR(__xludf.DUMMYFUNCTION("""COMPUTED_VALUE"""),"Daily Essential")</f>
        <v>Daily Essential</v>
      </c>
    </row>
    <row r="632">
      <c r="A632" s="156" t="str">
        <f>IFERROR(__xludf.DUMMYFUNCTION("""COMPUTED_VALUE"""),"https://drive.google.com/open?id=1KRtBZoNHGtATI6P_5UXSiv1sONozyTQJ&amp;authuser=jay.agg%40gmail.com&amp;usp=drive_fs")</f>
        <v>https://drive.google.com/open?id=1KRtBZoNHGtATI6P_5UXSiv1sONozyTQJ&amp;authuser=jay.agg%40gmail.com&amp;usp=drive_fs</v>
      </c>
      <c r="B632" s="73" t="str">
        <f>IFERROR(__xludf.DUMMYFUNCTION("""COMPUTED_VALUE"""),"Daily Essential")</f>
        <v>Daily Essential</v>
      </c>
      <c r="C632" s="73" t="str">
        <f>IFERROR(__xludf.DUMMYFUNCTION("""COMPUTED_VALUE"""),"Dustbin Bag")</f>
        <v>Dustbin Bag</v>
      </c>
      <c r="D632" s="73" t="str">
        <f>IFERROR(__xludf.DUMMYFUNCTION("""COMPUTED_VALUE"""),"6.25*2.25*2.25 inch IL")</f>
        <v>6.25*2.25*2.25 inch IL</v>
      </c>
      <c r="E632" s="77">
        <f>IFERROR(__xludf.DUMMYFUNCTION("""COMPUTED_VALUE"""),6.0)</f>
        <v>6</v>
      </c>
      <c r="F632" s="77">
        <f>IFERROR(__xludf.DUMMYFUNCTION("""COMPUTED_VALUE"""),2029.0)</f>
        <v>2029</v>
      </c>
      <c r="G632" s="77">
        <f>IFERROR(__xludf.DUMMYFUNCTION("""COMPUTED_VALUE"""),20.0)</f>
        <v>20</v>
      </c>
      <c r="H632" s="77">
        <f>IFERROR(__xludf.DUMMYFUNCTION("""COMPUTED_VALUE"""),30.0)</f>
        <v>30</v>
      </c>
      <c r="I632" s="77">
        <f>IFERROR(__xludf.DUMMYFUNCTION("""COMPUTED_VALUE"""),100.0)</f>
        <v>100</v>
      </c>
      <c r="J632" s="73"/>
      <c r="K632" s="73"/>
      <c r="L632" s="73"/>
      <c r="M632" s="77">
        <f>IFERROR(__xludf.DUMMYFUNCTION("""COMPUTED_VALUE"""),0.1)</f>
        <v>0.1</v>
      </c>
      <c r="N632" s="77">
        <f>IFERROR(__xludf.DUMMYFUNCTION("""COMPUTED_VALUE"""),1.0)</f>
        <v>1</v>
      </c>
      <c r="O632" s="49"/>
      <c r="P632" s="49" t="str">
        <f>IFERROR(__xludf.DUMMYFUNCTION("""COMPUTED_VALUE"""),"Offset")</f>
        <v>Offset</v>
      </c>
      <c r="Q632" s="49" t="str">
        <f>IFERROR(__xludf.DUMMYFUNCTION("""COMPUTED_VALUE"""),"Packaging")</f>
        <v>Packaging</v>
      </c>
      <c r="R632" s="49" t="str">
        <f>IFERROR(__xludf.DUMMYFUNCTION("""COMPUTED_VALUE"""),"Daily Essential")</f>
        <v>Daily Essential</v>
      </c>
    </row>
    <row r="633">
      <c r="A633" s="156" t="str">
        <f>IFERROR(__xludf.DUMMYFUNCTION("""COMPUTED_VALUE"""),"https://drive.google.com/open?id=1KUJcINMK--eJ4hUkOROzlYJ4qjNZlPKV&amp;authuser=jay.agg%40gmail.com&amp;usp=drive_fs")</f>
        <v>https://drive.google.com/open?id=1KUJcINMK--eJ4hUkOROzlYJ4qjNZlPKV&amp;authuser=jay.agg%40gmail.com&amp;usp=drive_fs</v>
      </c>
      <c r="B633" s="73" t="str">
        <f>IFERROR(__xludf.DUMMYFUNCTION("""COMPUTED_VALUE"""),"Daily Essential")</f>
        <v>Daily Essential</v>
      </c>
      <c r="C633" s="73" t="str">
        <f>IFERROR(__xludf.DUMMYFUNCTION("""COMPUTED_VALUE"""),"Misc")</f>
        <v>Misc</v>
      </c>
      <c r="D633" s="73" t="str">
        <f>IFERROR(__xludf.DUMMYFUNCTION("""COMPUTED_VALUE"""),"3.2*2.5*7 inch IL")</f>
        <v>3.2*2.5*7 inch IL</v>
      </c>
      <c r="E633" s="77">
        <f>IFERROR(__xludf.DUMMYFUNCTION("""COMPUTED_VALUE"""),2.0)</f>
        <v>2</v>
      </c>
      <c r="F633" s="77">
        <f>IFERROR(__xludf.DUMMYFUNCTION("""COMPUTED_VALUE"""),1926.0)</f>
        <v>1926</v>
      </c>
      <c r="G633" s="77">
        <f>IFERROR(__xludf.DUMMYFUNCTION("""COMPUTED_VALUE"""),12.0)</f>
        <v>12</v>
      </c>
      <c r="H633" s="77">
        <f>IFERROR(__xludf.DUMMYFUNCTION("""COMPUTED_VALUE"""),25.0)</f>
        <v>25</v>
      </c>
      <c r="I633" s="77">
        <f>IFERROR(__xludf.DUMMYFUNCTION("""COMPUTED_VALUE"""),100.0)</f>
        <v>100</v>
      </c>
      <c r="J633" s="73"/>
      <c r="K633" s="73"/>
      <c r="L633" s="73"/>
      <c r="M633" s="77">
        <f>IFERROR(__xludf.DUMMYFUNCTION("""COMPUTED_VALUE"""),0.1)</f>
        <v>0.1</v>
      </c>
      <c r="N633" s="77">
        <f>IFERROR(__xludf.DUMMYFUNCTION("""COMPUTED_VALUE"""),1.0)</f>
        <v>1</v>
      </c>
      <c r="O633" s="49"/>
      <c r="P633" s="49" t="str">
        <f>IFERROR(__xludf.DUMMYFUNCTION("""COMPUTED_VALUE"""),"Offset")</f>
        <v>Offset</v>
      </c>
      <c r="Q633" s="49" t="str">
        <f>IFERROR(__xludf.DUMMYFUNCTION("""COMPUTED_VALUE"""),"Packaging")</f>
        <v>Packaging</v>
      </c>
      <c r="R633" s="49" t="str">
        <f>IFERROR(__xludf.DUMMYFUNCTION("""COMPUTED_VALUE"""),"Daily Essential")</f>
        <v>Daily Essential</v>
      </c>
    </row>
    <row r="634">
      <c r="A634" s="156" t="str">
        <f>IFERROR(__xludf.DUMMYFUNCTION("""COMPUTED_VALUE"""),"https://drive.google.com/open?id=1KZGO_qzZgCo2OgBSnPum8kOyM24CJUJa&amp;authuser=jay.agg%40gmail.com&amp;usp=drive_fs")</f>
        <v>https://drive.google.com/open?id=1KZGO_qzZgCo2OgBSnPum8kOyM24CJUJa&amp;authuser=jay.agg%40gmail.com&amp;usp=drive_fs</v>
      </c>
      <c r="B634" s="73" t="str">
        <f>IFERROR(__xludf.DUMMYFUNCTION("""COMPUTED_VALUE"""),"Daily Essential")</f>
        <v>Daily Essential</v>
      </c>
      <c r="C634" s="73" t="str">
        <f>IFERROR(__xludf.DUMMYFUNCTION("""COMPUTED_VALUE"""),"Soap Box")</f>
        <v>Soap Box</v>
      </c>
      <c r="D634" s="73" t="str">
        <f>IFERROR(__xludf.DUMMYFUNCTION("""COMPUTED_VALUE"""),"60*30*110 mm")</f>
        <v>60*30*110 mm</v>
      </c>
      <c r="E634" s="77">
        <f>IFERROR(__xludf.DUMMYFUNCTION("""COMPUTED_VALUE"""),6.0)</f>
        <v>6</v>
      </c>
      <c r="F634" s="77">
        <f>IFERROR(__xludf.DUMMYFUNCTION("""COMPUTED_VALUE"""),1926.0)</f>
        <v>1926</v>
      </c>
      <c r="G634" s="77">
        <f>IFERROR(__xludf.DUMMYFUNCTION("""COMPUTED_VALUE"""),15.75)</f>
        <v>15.75</v>
      </c>
      <c r="H634" s="77">
        <f>IFERROR(__xludf.DUMMYFUNCTION("""COMPUTED_VALUE"""),20.75)</f>
        <v>20.75</v>
      </c>
      <c r="I634" s="77">
        <f>IFERROR(__xludf.DUMMYFUNCTION("""COMPUTED_VALUE"""),100.0)</f>
        <v>100</v>
      </c>
      <c r="J634" s="73"/>
      <c r="K634" s="73"/>
      <c r="L634" s="73"/>
      <c r="M634" s="77">
        <f>IFERROR(__xludf.DUMMYFUNCTION("""COMPUTED_VALUE"""),0.1)</f>
        <v>0.1</v>
      </c>
      <c r="N634" s="77">
        <f>IFERROR(__xludf.DUMMYFUNCTION("""COMPUTED_VALUE"""),1.0)</f>
        <v>1</v>
      </c>
      <c r="O634" s="49"/>
      <c r="P634" s="49" t="str">
        <f>IFERROR(__xludf.DUMMYFUNCTION("""COMPUTED_VALUE"""),"Offset")</f>
        <v>Offset</v>
      </c>
      <c r="Q634" s="49" t="str">
        <f>IFERROR(__xludf.DUMMYFUNCTION("""COMPUTED_VALUE"""),"Packaging")</f>
        <v>Packaging</v>
      </c>
      <c r="R634" s="49" t="str">
        <f>IFERROR(__xludf.DUMMYFUNCTION("""COMPUTED_VALUE"""),"Daily Essential")</f>
        <v>Daily Essential</v>
      </c>
    </row>
    <row r="635">
      <c r="A635" s="156" t="str">
        <f>IFERROR(__xludf.DUMMYFUNCTION("""COMPUTED_VALUE"""),"https://drive.google.com/open?id=1KZbmhXGjtCzDd3NzNyDNIyKyKIFVPxa6&amp;authuser=jay.agg%40gmail.com&amp;usp=drive_fs")</f>
        <v>https://drive.google.com/open?id=1KZbmhXGjtCzDd3NzNyDNIyKyKIFVPxa6&amp;authuser=jay.agg%40gmail.com&amp;usp=drive_fs</v>
      </c>
      <c r="B635" s="73" t="str">
        <f>IFERROR(__xludf.DUMMYFUNCTION("""COMPUTED_VALUE"""),"Daily Essential")</f>
        <v>Daily Essential</v>
      </c>
      <c r="C635" s="73" t="str">
        <f>IFERROR(__xludf.DUMMYFUNCTION("""COMPUTED_VALUE"""),"Soap Box")</f>
        <v>Soap Box</v>
      </c>
      <c r="D635" s="73" t="str">
        <f>IFERROR(__xludf.DUMMYFUNCTION("""COMPUTED_VALUE"""),"65*35*90 mm")</f>
        <v>65*35*90 mm</v>
      </c>
      <c r="E635" s="77">
        <f>IFERROR(__xludf.DUMMYFUNCTION("""COMPUTED_VALUE"""),8.0)</f>
        <v>8</v>
      </c>
      <c r="F635" s="77">
        <f>IFERROR(__xludf.DUMMYFUNCTION("""COMPUTED_VALUE"""),1926.0)</f>
        <v>1926</v>
      </c>
      <c r="G635" s="77">
        <f>IFERROR(__xludf.DUMMYFUNCTION("""COMPUTED_VALUE"""),18.0)</f>
        <v>18</v>
      </c>
      <c r="H635" s="77">
        <f>IFERROR(__xludf.DUMMYFUNCTION("""COMPUTED_VALUE"""),25.0)</f>
        <v>25</v>
      </c>
      <c r="I635" s="77">
        <f>IFERROR(__xludf.DUMMYFUNCTION("""COMPUTED_VALUE"""),100.0)</f>
        <v>100</v>
      </c>
      <c r="J635" s="73"/>
      <c r="K635" s="73"/>
      <c r="L635" s="73"/>
      <c r="M635" s="77">
        <f>IFERROR(__xludf.DUMMYFUNCTION("""COMPUTED_VALUE"""),0.1)</f>
        <v>0.1</v>
      </c>
      <c r="N635" s="77">
        <f>IFERROR(__xludf.DUMMYFUNCTION("""COMPUTED_VALUE"""),1.0)</f>
        <v>1</v>
      </c>
      <c r="O635" s="49"/>
      <c r="P635" s="49" t="str">
        <f>IFERROR(__xludf.DUMMYFUNCTION("""COMPUTED_VALUE"""),"Offset")</f>
        <v>Offset</v>
      </c>
      <c r="Q635" s="49" t="str">
        <f>IFERROR(__xludf.DUMMYFUNCTION("""COMPUTED_VALUE"""),"Packaging")</f>
        <v>Packaging</v>
      </c>
      <c r="R635" s="49" t="str">
        <f>IFERROR(__xludf.DUMMYFUNCTION("""COMPUTED_VALUE"""),"Daily Essential")</f>
        <v>Daily Essential</v>
      </c>
    </row>
    <row r="636">
      <c r="A636" s="156" t="str">
        <f>IFERROR(__xludf.DUMMYFUNCTION("""COMPUTED_VALUE"""),"https://drive.google.com/open?id=1K_Blo3ztb0PgHM_KRMwUZzg57MBcvW2F&amp;authuser=jay.agg%40gmail.com&amp;usp=drive_fs")</f>
        <v>https://drive.google.com/open?id=1K_Blo3ztb0PgHM_KRMwUZzg57MBcvW2F&amp;authuser=jay.agg%40gmail.com&amp;usp=drive_fs</v>
      </c>
      <c r="B636" s="73" t="str">
        <f>IFERROR(__xludf.DUMMYFUNCTION("""COMPUTED_VALUE"""),"Daily Essential")</f>
        <v>Daily Essential</v>
      </c>
      <c r="C636" s="73" t="str">
        <f>IFERROR(__xludf.DUMMYFUNCTION("""COMPUTED_VALUE"""),"Tissue Box")</f>
        <v>Tissue Box</v>
      </c>
      <c r="D636" s="73" t="str">
        <f>IFERROR(__xludf.DUMMYFUNCTION("""COMPUTED_VALUE"""),"210*40*105 mm")</f>
        <v>210*40*105 mm</v>
      </c>
      <c r="E636" s="77">
        <f>IFERROR(__xludf.DUMMYFUNCTION("""COMPUTED_VALUE"""),2.0)</f>
        <v>2</v>
      </c>
      <c r="F636" s="77">
        <f>IFERROR(__xludf.DUMMYFUNCTION("""COMPUTED_VALUE"""),1926.0)</f>
        <v>1926</v>
      </c>
      <c r="G636" s="77">
        <f>IFERROR(__xludf.DUMMYFUNCTION("""COMPUTED_VALUE"""),12.0)</f>
        <v>12</v>
      </c>
      <c r="H636" s="77">
        <f>IFERROR(__xludf.DUMMYFUNCTION("""COMPUTED_VALUE"""),23.0)</f>
        <v>23</v>
      </c>
      <c r="I636" s="77">
        <f>IFERROR(__xludf.DUMMYFUNCTION("""COMPUTED_VALUE"""),100.0)</f>
        <v>100</v>
      </c>
      <c r="J636" s="73"/>
      <c r="K636" s="73"/>
      <c r="L636" s="73"/>
      <c r="M636" s="77">
        <f>IFERROR(__xludf.DUMMYFUNCTION("""COMPUTED_VALUE"""),0.1)</f>
        <v>0.1</v>
      </c>
      <c r="N636" s="77">
        <f>IFERROR(__xludf.DUMMYFUNCTION("""COMPUTED_VALUE"""),1.0)</f>
        <v>1</v>
      </c>
      <c r="O636" s="49"/>
      <c r="P636" s="49" t="str">
        <f>IFERROR(__xludf.DUMMYFUNCTION("""COMPUTED_VALUE"""),"Offset")</f>
        <v>Offset</v>
      </c>
      <c r="Q636" s="49" t="str">
        <f>IFERROR(__xludf.DUMMYFUNCTION("""COMPUTED_VALUE"""),"Packaging")</f>
        <v>Packaging</v>
      </c>
      <c r="R636" s="49" t="str">
        <f>IFERROR(__xludf.DUMMYFUNCTION("""COMPUTED_VALUE"""),"Daily Essential")</f>
        <v>Daily Essential</v>
      </c>
    </row>
    <row r="637">
      <c r="A637" s="156" t="str">
        <f>IFERROR(__xludf.DUMMYFUNCTION("""COMPUTED_VALUE"""),"https://drive.google.com/open?id=1KtolPS5CoUUEq81FFPAOSc8M2h71-n1T&amp;authuser=jay.agg%40gmail.com&amp;usp=drive_fs")</f>
        <v>https://drive.google.com/open?id=1KtolPS5CoUUEq81FFPAOSc8M2h71-n1T&amp;authuser=jay.agg%40gmail.com&amp;usp=drive_fs</v>
      </c>
      <c r="B637" s="73" t="str">
        <f>IFERROR(__xludf.DUMMYFUNCTION("""COMPUTED_VALUE"""),"Daily Essential")</f>
        <v>Daily Essential</v>
      </c>
      <c r="C637" s="73" t="str">
        <f>IFERROR(__xludf.DUMMYFUNCTION("""COMPUTED_VALUE"""),"Soap Box")</f>
        <v>Soap Box</v>
      </c>
      <c r="D637" s="73" t="str">
        <f>IFERROR(__xludf.DUMMYFUNCTION("""COMPUTED_VALUE"""),"4*4*2 inch | 102*102*51 mm")</f>
        <v>4*4*2 inch | 102*102*51 mm</v>
      </c>
      <c r="E637" s="77">
        <f>IFERROR(__xludf.DUMMYFUNCTION("""COMPUTED_VALUE"""),4.0)</f>
        <v>4</v>
      </c>
      <c r="F637" s="77">
        <f>IFERROR(__xludf.DUMMYFUNCTION("""COMPUTED_VALUE"""),1926.0)</f>
        <v>1926</v>
      </c>
      <c r="G637" s="77">
        <f>IFERROR(__xludf.DUMMYFUNCTION("""COMPUTED_VALUE"""),18.0)</f>
        <v>18</v>
      </c>
      <c r="H637" s="77">
        <f>IFERROR(__xludf.DUMMYFUNCTION("""COMPUTED_VALUE"""),25.0)</f>
        <v>25</v>
      </c>
      <c r="I637" s="77">
        <f>IFERROR(__xludf.DUMMYFUNCTION("""COMPUTED_VALUE"""),100.0)</f>
        <v>100</v>
      </c>
      <c r="J637" s="73"/>
      <c r="K637" s="73"/>
      <c r="L637" s="73"/>
      <c r="M637" s="77">
        <f>IFERROR(__xludf.DUMMYFUNCTION("""COMPUTED_VALUE"""),0.1)</f>
        <v>0.1</v>
      </c>
      <c r="N637" s="77">
        <f>IFERROR(__xludf.DUMMYFUNCTION("""COMPUTED_VALUE"""),1.0)</f>
        <v>1</v>
      </c>
      <c r="O637" s="49"/>
      <c r="P637" s="49" t="str">
        <f>IFERROR(__xludf.DUMMYFUNCTION("""COMPUTED_VALUE"""),"Offset")</f>
        <v>Offset</v>
      </c>
      <c r="Q637" s="49" t="str">
        <f>IFERROR(__xludf.DUMMYFUNCTION("""COMPUTED_VALUE"""),"Packaging")</f>
        <v>Packaging</v>
      </c>
      <c r="R637" s="49" t="str">
        <f>IFERROR(__xludf.DUMMYFUNCTION("""COMPUTED_VALUE"""),"Daily Essential")</f>
        <v>Daily Essential</v>
      </c>
    </row>
    <row r="638">
      <c r="A638" s="156" t="str">
        <f>IFERROR(__xludf.DUMMYFUNCTION("""COMPUTED_VALUE"""),"https://drive.google.com/open?id=1L6OiNNqO3VIbhlNPu8nGYYX5roxt0pwn&amp;authuser=jay.agg%40gmail.com&amp;usp=drive_fs")</f>
        <v>https://drive.google.com/open?id=1L6OiNNqO3VIbhlNPu8nGYYX5roxt0pwn&amp;authuser=jay.agg%40gmail.com&amp;usp=drive_fs</v>
      </c>
      <c r="B638" s="73" t="str">
        <f>IFERROR(__xludf.DUMMYFUNCTION("""COMPUTED_VALUE"""),"Daily Essential")</f>
        <v>Daily Essential</v>
      </c>
      <c r="C638" s="73" t="str">
        <f>IFERROR(__xludf.DUMMYFUNCTION("""COMPUTED_VALUE"""),"Goggle")</f>
        <v>Goggle</v>
      </c>
      <c r="D638" s="73" t="str">
        <f>IFERROR(__xludf.DUMMYFUNCTION("""COMPUTED_VALUE"""),"6*3*3 inch | 152*76*76 mm")</f>
        <v>6*3*3 inch | 152*76*76 mm</v>
      </c>
      <c r="E638" s="77">
        <f>IFERROR(__xludf.DUMMYFUNCTION("""COMPUTED_VALUE"""),4.0)</f>
        <v>4</v>
      </c>
      <c r="F638" s="77">
        <f>IFERROR(__xludf.DUMMYFUNCTION("""COMPUTED_VALUE"""),2029.0)</f>
        <v>2029</v>
      </c>
      <c r="G638" s="77">
        <f>IFERROR(__xludf.DUMMYFUNCTION("""COMPUTED_VALUE"""),19.0)</f>
        <v>19</v>
      </c>
      <c r="H638" s="77">
        <f>IFERROR(__xludf.DUMMYFUNCTION("""COMPUTED_VALUE"""),28.0)</f>
        <v>28</v>
      </c>
      <c r="I638" s="77">
        <f>IFERROR(__xludf.DUMMYFUNCTION("""COMPUTED_VALUE"""),100.0)</f>
        <v>100</v>
      </c>
      <c r="J638" s="73"/>
      <c r="K638" s="73"/>
      <c r="L638" s="73"/>
      <c r="M638" s="77">
        <f>IFERROR(__xludf.DUMMYFUNCTION("""COMPUTED_VALUE"""),0.1)</f>
        <v>0.1</v>
      </c>
      <c r="N638" s="77">
        <f>IFERROR(__xludf.DUMMYFUNCTION("""COMPUTED_VALUE"""),1.0)</f>
        <v>1</v>
      </c>
      <c r="O638" s="49"/>
      <c r="P638" s="49" t="str">
        <f>IFERROR(__xludf.DUMMYFUNCTION("""COMPUTED_VALUE"""),"Offset")</f>
        <v>Offset</v>
      </c>
      <c r="Q638" s="49" t="str">
        <f>IFERROR(__xludf.DUMMYFUNCTION("""COMPUTED_VALUE"""),"Packaging")</f>
        <v>Packaging</v>
      </c>
      <c r="R638" s="49" t="str">
        <f>IFERROR(__xludf.DUMMYFUNCTION("""COMPUTED_VALUE"""),"Daily Essential")</f>
        <v>Daily Essential</v>
      </c>
    </row>
    <row r="639">
      <c r="A639" s="156" t="str">
        <f>IFERROR(__xludf.DUMMYFUNCTION("""COMPUTED_VALUE"""),"https://drive.google.com/open?id=1J0-zGGjroSMOJtc02dtfoyEYkLwlz4fT&amp;authuser=jay.agg%40gmail.com&amp;usp=drive_fs")</f>
        <v>https://drive.google.com/open?id=1J0-zGGjroSMOJtc02dtfoyEYkLwlz4fT&amp;authuser=jay.agg%40gmail.com&amp;usp=drive_fs</v>
      </c>
      <c r="B639" s="73" t="str">
        <f>IFERROR(__xludf.DUMMYFUNCTION("""COMPUTED_VALUE"""),"Daily Essential")</f>
        <v>Daily Essential</v>
      </c>
      <c r="C639" s="73" t="str">
        <f>IFERROR(__xludf.DUMMYFUNCTION("""COMPUTED_VALUE"""),"Soap Box")</f>
        <v>Soap Box</v>
      </c>
      <c r="D639" s="73" t="str">
        <f>IFERROR(__xludf.DUMMYFUNCTION("""COMPUTED_VALUE"""),"70*70*38 mm")</f>
        <v>70*70*38 mm</v>
      </c>
      <c r="E639" s="77">
        <f>IFERROR(__xludf.DUMMYFUNCTION("""COMPUTED_VALUE"""),8.0)</f>
        <v>8</v>
      </c>
      <c r="F639" s="77">
        <f>IFERROR(__xludf.DUMMYFUNCTION("""COMPUTED_VALUE"""),1926.0)</f>
        <v>1926</v>
      </c>
      <c r="G639" s="77">
        <f>IFERROR(__xludf.DUMMYFUNCTION("""COMPUTED_VALUE"""),18.0)</f>
        <v>18</v>
      </c>
      <c r="H639" s="77">
        <f>IFERROR(__xludf.DUMMYFUNCTION("""COMPUTED_VALUE"""),23.0)</f>
        <v>23</v>
      </c>
      <c r="I639" s="77">
        <f>IFERROR(__xludf.DUMMYFUNCTION("""COMPUTED_VALUE"""),100.0)</f>
        <v>100</v>
      </c>
      <c r="J639" s="73"/>
      <c r="K639" s="73"/>
      <c r="L639" s="73"/>
      <c r="M639" s="77">
        <f>IFERROR(__xludf.DUMMYFUNCTION("""COMPUTED_VALUE"""),0.1)</f>
        <v>0.1</v>
      </c>
      <c r="N639" s="77">
        <f>IFERROR(__xludf.DUMMYFUNCTION("""COMPUTED_VALUE"""),1.0)</f>
        <v>1</v>
      </c>
      <c r="O639" s="49"/>
      <c r="P639" s="49" t="str">
        <f>IFERROR(__xludf.DUMMYFUNCTION("""COMPUTED_VALUE"""),"Offset")</f>
        <v>Offset</v>
      </c>
      <c r="Q639" s="49" t="str">
        <f>IFERROR(__xludf.DUMMYFUNCTION("""COMPUTED_VALUE"""),"Packaging")</f>
        <v>Packaging</v>
      </c>
      <c r="R639" s="49" t="str">
        <f>IFERROR(__xludf.DUMMYFUNCTION("""COMPUTED_VALUE"""),"Daily Essential")</f>
        <v>Daily Essential</v>
      </c>
    </row>
    <row r="640">
      <c r="A640" s="156" t="str">
        <f>IFERROR(__xludf.DUMMYFUNCTION("""COMPUTED_VALUE"""),"https://drive.google.com/open?id=1LhJ2ZZbgBfSRXKjp2Vm9d-fSgDgWZt5u&amp;authuser=jay.agg%40gmail.com&amp;usp=drive_fs")</f>
        <v>https://drive.google.com/open?id=1LhJ2ZZbgBfSRXKjp2Vm9d-fSgDgWZt5u&amp;authuser=jay.agg%40gmail.com&amp;usp=drive_fs</v>
      </c>
      <c r="B640" s="73" t="str">
        <f>IFERROR(__xludf.DUMMYFUNCTION("""COMPUTED_VALUE"""),"Daily Essential")</f>
        <v>Daily Essential</v>
      </c>
      <c r="C640" s="73" t="str">
        <f>IFERROR(__xludf.DUMMYFUNCTION("""COMPUTED_VALUE"""),"Chowk Box")</f>
        <v>Chowk Box</v>
      </c>
      <c r="D640" s="73" t="str">
        <f>IFERROR(__xludf.DUMMYFUNCTION("""COMPUTED_VALUE"""),"90*70*70 mm")</f>
        <v>90*70*70 mm</v>
      </c>
      <c r="E640" s="77">
        <f>IFERROR(__xludf.DUMMYFUNCTION("""COMPUTED_VALUE"""),3.0)</f>
        <v>3</v>
      </c>
      <c r="F640" s="77">
        <f>IFERROR(__xludf.DUMMYFUNCTION("""COMPUTED_VALUE"""),1926.0)</f>
        <v>1926</v>
      </c>
      <c r="G640" s="77">
        <f>IFERROR(__xludf.DUMMYFUNCTION("""COMPUTED_VALUE"""),14.0)</f>
        <v>14</v>
      </c>
      <c r="H640" s="77">
        <f>IFERROR(__xludf.DUMMYFUNCTION("""COMPUTED_VALUE"""),22.0)</f>
        <v>22</v>
      </c>
      <c r="I640" s="77">
        <f>IFERROR(__xludf.DUMMYFUNCTION("""COMPUTED_VALUE"""),100.0)</f>
        <v>100</v>
      </c>
      <c r="J640" s="73"/>
      <c r="K640" s="73"/>
      <c r="L640" s="73"/>
      <c r="M640" s="77">
        <f>IFERROR(__xludf.DUMMYFUNCTION("""COMPUTED_VALUE"""),0.1)</f>
        <v>0.1</v>
      </c>
      <c r="N640" s="77">
        <f>IFERROR(__xludf.DUMMYFUNCTION("""COMPUTED_VALUE"""),1.0)</f>
        <v>1</v>
      </c>
      <c r="O640" s="49"/>
      <c r="P640" s="49" t="str">
        <f>IFERROR(__xludf.DUMMYFUNCTION("""COMPUTED_VALUE"""),"Offset")</f>
        <v>Offset</v>
      </c>
      <c r="Q640" s="49" t="str">
        <f>IFERROR(__xludf.DUMMYFUNCTION("""COMPUTED_VALUE"""),"Packaging")</f>
        <v>Packaging</v>
      </c>
      <c r="R640" s="49" t="str">
        <f>IFERROR(__xludf.DUMMYFUNCTION("""COMPUTED_VALUE"""),"Daily Essential")</f>
        <v>Daily Essential</v>
      </c>
    </row>
    <row r="641">
      <c r="A641" s="156" t="str">
        <f>IFERROR(__xludf.DUMMYFUNCTION("""COMPUTED_VALUE"""),"https://drive.google.com/open?id=1Lsm1sdPOoaSN5o5RmB7bfzftefWNvXUS&amp;authuser=jay.agg%40gmail.com&amp;usp=drive_fs")</f>
        <v>https://drive.google.com/open?id=1Lsm1sdPOoaSN5o5RmB7bfzftefWNvXUS&amp;authuser=jay.agg%40gmail.com&amp;usp=drive_fs</v>
      </c>
      <c r="B641" s="73" t="str">
        <f>IFERROR(__xludf.DUMMYFUNCTION("""COMPUTED_VALUE"""),"Daily Essential")</f>
        <v>Daily Essential</v>
      </c>
      <c r="C641" s="73" t="str">
        <f>IFERROR(__xludf.DUMMYFUNCTION("""COMPUTED_VALUE"""),"Oil")</f>
        <v>Oil</v>
      </c>
      <c r="D641" s="73" t="str">
        <f>IFERROR(__xludf.DUMMYFUNCTION("""COMPUTED_VALUE"""),"110*75*15 mm")</f>
        <v>110*75*15 mm</v>
      </c>
      <c r="E641" s="77">
        <f>IFERROR(__xludf.DUMMYFUNCTION("""COMPUTED_VALUE"""),9.0)</f>
        <v>9</v>
      </c>
      <c r="F641" s="77">
        <f>IFERROR(__xludf.DUMMYFUNCTION("""COMPUTED_VALUE"""),1926.0)</f>
        <v>1926</v>
      </c>
      <c r="G641" s="77">
        <f>IFERROR(__xludf.DUMMYFUNCTION("""COMPUTED_VALUE"""),18.0)</f>
        <v>18</v>
      </c>
      <c r="H641" s="77">
        <f>IFERROR(__xludf.DUMMYFUNCTION("""COMPUTED_VALUE"""),23.0)</f>
        <v>23</v>
      </c>
      <c r="I641" s="77">
        <f>IFERROR(__xludf.DUMMYFUNCTION("""COMPUTED_VALUE"""),100.0)</f>
        <v>100</v>
      </c>
      <c r="J641" s="73"/>
      <c r="K641" s="73"/>
      <c r="L641" s="73"/>
      <c r="M641" s="77">
        <f>IFERROR(__xludf.DUMMYFUNCTION("""COMPUTED_VALUE"""),0.1)</f>
        <v>0.1</v>
      </c>
      <c r="N641" s="77">
        <f>IFERROR(__xludf.DUMMYFUNCTION("""COMPUTED_VALUE"""),1.0)</f>
        <v>1</v>
      </c>
      <c r="O641" s="49"/>
      <c r="P641" s="49" t="str">
        <f>IFERROR(__xludf.DUMMYFUNCTION("""COMPUTED_VALUE"""),"Offset")</f>
        <v>Offset</v>
      </c>
      <c r="Q641" s="49" t="str">
        <f>IFERROR(__xludf.DUMMYFUNCTION("""COMPUTED_VALUE"""),"Packaging")</f>
        <v>Packaging</v>
      </c>
      <c r="R641" s="49" t="str">
        <f>IFERROR(__xludf.DUMMYFUNCTION("""COMPUTED_VALUE"""),"Daily Essential")</f>
        <v>Daily Essential</v>
      </c>
    </row>
    <row r="642">
      <c r="A642" s="156" t="str">
        <f>IFERROR(__xludf.DUMMYFUNCTION("""COMPUTED_VALUE"""),"https://drive.google.com/open?id=1LBludiD6Oc_rZNQbSbrutSUY2Ecvu3-X&amp;authuser=jay.agg%40gmail.com&amp;usp=drive_fs")</f>
        <v>https://drive.google.com/open?id=1LBludiD6Oc_rZNQbSbrutSUY2Ecvu3-X&amp;authuser=jay.agg%40gmail.com&amp;usp=drive_fs</v>
      </c>
      <c r="B642" s="73" t="str">
        <f>IFERROR(__xludf.DUMMYFUNCTION("""COMPUTED_VALUE"""),"Daily Essential")</f>
        <v>Daily Essential</v>
      </c>
      <c r="C642" s="73" t="str">
        <f>IFERROR(__xludf.DUMMYFUNCTION("""COMPUTED_VALUE"""),"Oil")</f>
        <v>Oil</v>
      </c>
      <c r="D642" s="73" t="str">
        <f>IFERROR(__xludf.DUMMYFUNCTION("""COMPUTED_VALUE"""),"60*48*136 mm")</f>
        <v>60*48*136 mm</v>
      </c>
      <c r="E642" s="77">
        <f>IFERROR(__xludf.DUMMYFUNCTION("""COMPUTED_VALUE"""),4.0)</f>
        <v>4</v>
      </c>
      <c r="F642" s="77">
        <f>IFERROR(__xludf.DUMMYFUNCTION("""COMPUTED_VALUE"""),1926.0)</f>
        <v>1926</v>
      </c>
      <c r="G642" s="77">
        <f>IFERROR(__xludf.DUMMYFUNCTION("""COMPUTED_VALUE"""),18.0)</f>
        <v>18</v>
      </c>
      <c r="H642" s="77">
        <f>IFERROR(__xludf.DUMMYFUNCTION("""COMPUTED_VALUE"""),19.0)</f>
        <v>19</v>
      </c>
      <c r="I642" s="77">
        <f>IFERROR(__xludf.DUMMYFUNCTION("""COMPUTED_VALUE"""),100.0)</f>
        <v>100</v>
      </c>
      <c r="J642" s="73"/>
      <c r="K642" s="73"/>
      <c r="L642" s="73"/>
      <c r="M642" s="77">
        <f>IFERROR(__xludf.DUMMYFUNCTION("""COMPUTED_VALUE"""),0.1)</f>
        <v>0.1</v>
      </c>
      <c r="N642" s="77">
        <f>IFERROR(__xludf.DUMMYFUNCTION("""COMPUTED_VALUE"""),1.0)</f>
        <v>1</v>
      </c>
      <c r="O642" s="49"/>
      <c r="P642" s="49" t="str">
        <f>IFERROR(__xludf.DUMMYFUNCTION("""COMPUTED_VALUE"""),"Offset")</f>
        <v>Offset</v>
      </c>
      <c r="Q642" s="49" t="str">
        <f>IFERROR(__xludf.DUMMYFUNCTION("""COMPUTED_VALUE"""),"Packaging")</f>
        <v>Packaging</v>
      </c>
      <c r="R642" s="49" t="str">
        <f>IFERROR(__xludf.DUMMYFUNCTION("""COMPUTED_VALUE"""),"Daily Essential")</f>
        <v>Daily Essential</v>
      </c>
    </row>
    <row r="643">
      <c r="A643" s="156" t="str">
        <f>IFERROR(__xludf.DUMMYFUNCTION("""COMPUTED_VALUE"""),"https://drive.google.com/open?id=1LufqyFjq4gr4Y3PE2ay4OrOd1VTHNK3z&amp;authuser=jay.agg%40gmail.com&amp;usp=drive_fs")</f>
        <v>https://drive.google.com/open?id=1LufqyFjq4gr4Y3PE2ay4OrOd1VTHNK3z&amp;authuser=jay.agg%40gmail.com&amp;usp=drive_fs</v>
      </c>
      <c r="B643" s="73" t="str">
        <f>IFERROR(__xludf.DUMMYFUNCTION("""COMPUTED_VALUE"""),"Daily Essential")</f>
        <v>Daily Essential</v>
      </c>
      <c r="C643" s="73" t="str">
        <f>IFERROR(__xludf.DUMMYFUNCTION("""COMPUTED_VALUE"""),"Mosquito Repellent Liquid")</f>
        <v>Mosquito Repellent Liquid</v>
      </c>
      <c r="D643" s="73" t="str">
        <f>IFERROR(__xludf.DUMMYFUNCTION("""COMPUTED_VALUE"""),"3*3*4 inch | 76*76*102 mm IL")</f>
        <v>3*3*4 inch | 76*76*102 mm IL</v>
      </c>
      <c r="E643" s="77">
        <f>IFERROR(__xludf.DUMMYFUNCTION("""COMPUTED_VALUE"""),4.0)</f>
        <v>4</v>
      </c>
      <c r="F643" s="77">
        <f>IFERROR(__xludf.DUMMYFUNCTION("""COMPUTED_VALUE"""),1926.0)</f>
        <v>1926</v>
      </c>
      <c r="G643" s="77">
        <f>IFERROR(__xludf.DUMMYFUNCTION("""COMPUTED_VALUE"""),18.0)</f>
        <v>18</v>
      </c>
      <c r="H643" s="77">
        <f>IFERROR(__xludf.DUMMYFUNCTION("""COMPUTED_VALUE"""),25.0)</f>
        <v>25</v>
      </c>
      <c r="I643" s="77">
        <f>IFERROR(__xludf.DUMMYFUNCTION("""COMPUTED_VALUE"""),100.0)</f>
        <v>100</v>
      </c>
      <c r="J643" s="73"/>
      <c r="K643" s="73"/>
      <c r="L643" s="73"/>
      <c r="M643" s="77">
        <f>IFERROR(__xludf.DUMMYFUNCTION("""COMPUTED_VALUE"""),0.1)</f>
        <v>0.1</v>
      </c>
      <c r="N643" s="77">
        <f>IFERROR(__xludf.DUMMYFUNCTION("""COMPUTED_VALUE"""),1.0)</f>
        <v>1</v>
      </c>
      <c r="O643" s="49"/>
      <c r="P643" s="49" t="str">
        <f>IFERROR(__xludf.DUMMYFUNCTION("""COMPUTED_VALUE"""),"Offset")</f>
        <v>Offset</v>
      </c>
      <c r="Q643" s="49" t="str">
        <f>IFERROR(__xludf.DUMMYFUNCTION("""COMPUTED_VALUE"""),"Packaging")</f>
        <v>Packaging</v>
      </c>
      <c r="R643" s="49" t="str">
        <f>IFERROR(__xludf.DUMMYFUNCTION("""COMPUTED_VALUE"""),"Daily Essential")</f>
        <v>Daily Essential</v>
      </c>
    </row>
    <row r="644">
      <c r="A644" s="156" t="str">
        <f>IFERROR(__xludf.DUMMYFUNCTION("""COMPUTED_VALUE"""),"https://drive.google.com/open?id=1KjoWHLSpmgniePIsJzMYKUqch4Q7lF5i&amp;authuser=jay.agg%40gmail.com&amp;usp=drive_fs")</f>
        <v>https://drive.google.com/open?id=1KjoWHLSpmgniePIsJzMYKUqch4Q7lF5i&amp;authuser=jay.agg%40gmail.com&amp;usp=drive_fs</v>
      </c>
      <c r="B644" s="73" t="str">
        <f>IFERROR(__xludf.DUMMYFUNCTION("""COMPUTED_VALUE"""),"Daily Essential")</f>
        <v>Daily Essential</v>
      </c>
      <c r="C644" s="73" t="str">
        <f>IFERROR(__xludf.DUMMYFUNCTION("""COMPUTED_VALUE"""),"Tissue Box")</f>
        <v>Tissue Box</v>
      </c>
      <c r="D644" s="73" t="str">
        <f>IFERROR(__xludf.DUMMYFUNCTION("""COMPUTED_VALUE"""),"170*170*70 mm")</f>
        <v>170*170*70 mm</v>
      </c>
      <c r="E644" s="77">
        <f>IFERROR(__xludf.DUMMYFUNCTION("""COMPUTED_VALUE"""),1.0)</f>
        <v>1</v>
      </c>
      <c r="F644" s="77">
        <f>IFERROR(__xludf.DUMMYFUNCTION("""COMPUTED_VALUE"""),1926.0)</f>
        <v>1926</v>
      </c>
      <c r="G644" s="77">
        <f>IFERROR(__xludf.DUMMYFUNCTION("""COMPUTED_VALUE"""),12.0)</f>
        <v>12</v>
      </c>
      <c r="H644" s="77">
        <f>IFERROR(__xludf.DUMMYFUNCTION("""COMPUTED_VALUE"""),20.0)</f>
        <v>20</v>
      </c>
      <c r="I644" s="77">
        <f>IFERROR(__xludf.DUMMYFUNCTION("""COMPUTED_VALUE"""),100.0)</f>
        <v>100</v>
      </c>
      <c r="J644" s="73"/>
      <c r="K644" s="73"/>
      <c r="L644" s="73"/>
      <c r="M644" s="77">
        <f>IFERROR(__xludf.DUMMYFUNCTION("""COMPUTED_VALUE"""),0.1)</f>
        <v>0.1</v>
      </c>
      <c r="N644" s="77">
        <f>IFERROR(__xludf.DUMMYFUNCTION("""COMPUTED_VALUE"""),1.0)</f>
        <v>1</v>
      </c>
      <c r="O644" s="49"/>
      <c r="P644" s="49" t="str">
        <f>IFERROR(__xludf.DUMMYFUNCTION("""COMPUTED_VALUE"""),"Offset")</f>
        <v>Offset</v>
      </c>
      <c r="Q644" s="49" t="str">
        <f>IFERROR(__xludf.DUMMYFUNCTION("""COMPUTED_VALUE"""),"Packaging")</f>
        <v>Packaging</v>
      </c>
      <c r="R644" s="49" t="str">
        <f>IFERROR(__xludf.DUMMYFUNCTION("""COMPUTED_VALUE"""),"Daily Essential")</f>
        <v>Daily Essential</v>
      </c>
    </row>
    <row r="645">
      <c r="A645" s="156" t="str">
        <f>IFERROR(__xludf.DUMMYFUNCTION("""COMPUTED_VALUE"""),"https://drive.google.com/open?id=1KcbWT-vGSAkr7konOOzz84Kf0Ew0LQyN&amp;authuser=jay.agg%40gmail.com&amp;usp=drive_fs")</f>
        <v>https://drive.google.com/open?id=1KcbWT-vGSAkr7konOOzz84Kf0Ew0LQyN&amp;authuser=jay.agg%40gmail.com&amp;usp=drive_fs</v>
      </c>
      <c r="B645" s="73" t="str">
        <f>IFERROR(__xludf.DUMMYFUNCTION("""COMPUTED_VALUE"""),"Daily Essential")</f>
        <v>Daily Essential</v>
      </c>
      <c r="C645" s="73" t="str">
        <f>IFERROR(__xludf.DUMMYFUNCTION("""COMPUTED_VALUE"""),"Tissue Box")</f>
        <v>Tissue Box</v>
      </c>
      <c r="D645" s="73" t="str">
        <f>IFERROR(__xludf.DUMMYFUNCTION("""COMPUTED_VALUE"""),"230*48*120 mm")</f>
        <v>230*48*120 mm</v>
      </c>
      <c r="E645" s="77">
        <f>IFERROR(__xludf.DUMMYFUNCTION("""COMPUTED_VALUE"""),2.0)</f>
        <v>2</v>
      </c>
      <c r="F645" s="77">
        <f>IFERROR(__xludf.DUMMYFUNCTION("""COMPUTED_VALUE"""),1926.0)</f>
        <v>1926</v>
      </c>
      <c r="G645" s="77">
        <f>IFERROR(__xludf.DUMMYFUNCTION("""COMPUTED_VALUE"""),14.0)</f>
        <v>14</v>
      </c>
      <c r="H645" s="77">
        <f>IFERROR(__xludf.DUMMYFUNCTION("""COMPUTED_VALUE"""),26.0)</f>
        <v>26</v>
      </c>
      <c r="I645" s="77">
        <f>IFERROR(__xludf.DUMMYFUNCTION("""COMPUTED_VALUE"""),100.0)</f>
        <v>100</v>
      </c>
      <c r="J645" s="73"/>
      <c r="K645" s="73"/>
      <c r="L645" s="73"/>
      <c r="M645" s="77">
        <f>IFERROR(__xludf.DUMMYFUNCTION("""COMPUTED_VALUE"""),0.1)</f>
        <v>0.1</v>
      </c>
      <c r="N645" s="77">
        <f>IFERROR(__xludf.DUMMYFUNCTION("""COMPUTED_VALUE"""),1.0)</f>
        <v>1</v>
      </c>
      <c r="O645" s="49"/>
      <c r="P645" s="49" t="str">
        <f>IFERROR(__xludf.DUMMYFUNCTION("""COMPUTED_VALUE"""),"Offset")</f>
        <v>Offset</v>
      </c>
      <c r="Q645" s="49" t="str">
        <f>IFERROR(__xludf.DUMMYFUNCTION("""COMPUTED_VALUE"""),"Packaging")</f>
        <v>Packaging</v>
      </c>
      <c r="R645" s="49" t="str">
        <f>IFERROR(__xludf.DUMMYFUNCTION("""COMPUTED_VALUE"""),"Daily Essential")</f>
        <v>Daily Essential</v>
      </c>
    </row>
    <row r="646">
      <c r="A646" s="156" t="str">
        <f>IFERROR(__xludf.DUMMYFUNCTION("""COMPUTED_VALUE"""),"https://drive.google.com/open?id=1LDuXK2LMWOpJx80u7T1pETk6xOLDqyUj&amp;authuser=jay.agg%40gmail.com&amp;usp=drive_fs")</f>
        <v>https://drive.google.com/open?id=1LDuXK2LMWOpJx80u7T1pETk6xOLDqyUj&amp;authuser=jay.agg%40gmail.com&amp;usp=drive_fs</v>
      </c>
      <c r="B646" s="73" t="str">
        <f>IFERROR(__xludf.DUMMYFUNCTION("""COMPUTED_VALUE"""),"Daily Essential")</f>
        <v>Daily Essential</v>
      </c>
      <c r="C646" s="73" t="str">
        <f>IFERROR(__xludf.DUMMYFUNCTION("""COMPUTED_VALUE"""),"Oil")</f>
        <v>Oil</v>
      </c>
      <c r="D646" s="73" t="str">
        <f>IFERROR(__xludf.DUMMYFUNCTION("""COMPUTED_VALUE"""),"36*36*95 50ml")</f>
        <v>36*36*95 50ml</v>
      </c>
      <c r="E646" s="77">
        <f>IFERROR(__xludf.DUMMYFUNCTION("""COMPUTED_VALUE"""),6.0)</f>
        <v>6</v>
      </c>
      <c r="F646" s="77">
        <f>IFERROR(__xludf.DUMMYFUNCTION("""COMPUTED_VALUE"""),1926.0)</f>
        <v>1926</v>
      </c>
      <c r="G646" s="77">
        <f>IFERROR(__xludf.DUMMYFUNCTION("""COMPUTED_VALUE"""),13.0)</f>
        <v>13</v>
      </c>
      <c r="H646" s="77">
        <f>IFERROR(__xludf.DUMMYFUNCTION("""COMPUTED_VALUE"""),21.0)</f>
        <v>21</v>
      </c>
      <c r="I646" s="77">
        <f>IFERROR(__xludf.DUMMYFUNCTION("""COMPUTED_VALUE"""),100.0)</f>
        <v>100</v>
      </c>
      <c r="J646" s="73"/>
      <c r="K646" s="73"/>
      <c r="L646" s="73"/>
      <c r="M646" s="77">
        <f>IFERROR(__xludf.DUMMYFUNCTION("""COMPUTED_VALUE"""),0.1)</f>
        <v>0.1</v>
      </c>
      <c r="N646" s="77">
        <f>IFERROR(__xludf.DUMMYFUNCTION("""COMPUTED_VALUE"""),1.0)</f>
        <v>1</v>
      </c>
      <c r="O646" s="49"/>
      <c r="P646" s="49" t="str">
        <f>IFERROR(__xludf.DUMMYFUNCTION("""COMPUTED_VALUE"""),"Offset")</f>
        <v>Offset</v>
      </c>
      <c r="Q646" s="49" t="str">
        <f>IFERROR(__xludf.DUMMYFUNCTION("""COMPUTED_VALUE"""),"Packaging")</f>
        <v>Packaging</v>
      </c>
      <c r="R646" s="49" t="str">
        <f>IFERROR(__xludf.DUMMYFUNCTION("""COMPUTED_VALUE"""),"Daily Essential")</f>
        <v>Daily Essential</v>
      </c>
    </row>
    <row r="647">
      <c r="A647" s="156" t="str">
        <f>IFERROR(__xludf.DUMMYFUNCTION("""COMPUTED_VALUE"""),"https://drive.google.com/open?id=1LHQt4rrMiq4NVUX4Gu4LvqvOvGh9Izfc&amp;authuser=jay.agg%40gmail.com&amp;usp=drive_fs")</f>
        <v>https://drive.google.com/open?id=1LHQt4rrMiq4NVUX4Gu4LvqvOvGh9Izfc&amp;authuser=jay.agg%40gmail.com&amp;usp=drive_fs</v>
      </c>
      <c r="B647" s="73" t="str">
        <f>IFERROR(__xludf.DUMMYFUNCTION("""COMPUTED_VALUE"""),"Daily Essential")</f>
        <v>Daily Essential</v>
      </c>
      <c r="C647" s="73" t="str">
        <f>IFERROR(__xludf.DUMMYFUNCTION("""COMPUTED_VALUE"""),"Oil")</f>
        <v>Oil</v>
      </c>
      <c r="D647" s="73" t="str">
        <f>IFERROR(__xludf.DUMMYFUNCTION("""COMPUTED_VALUE"""),"45*45*109 100ml")</f>
        <v>45*45*109 100ml</v>
      </c>
      <c r="E647" s="77">
        <f>IFERROR(__xludf.DUMMYFUNCTION("""COMPUTED_VALUE"""),6.0)</f>
        <v>6</v>
      </c>
      <c r="F647" s="77">
        <f>IFERROR(__xludf.DUMMYFUNCTION("""COMPUTED_VALUE"""),1926.0)</f>
        <v>1926</v>
      </c>
      <c r="G647" s="77">
        <f>IFERROR(__xludf.DUMMYFUNCTION("""COMPUTED_VALUE"""),18.0)</f>
        <v>18</v>
      </c>
      <c r="H647" s="77">
        <f>IFERROR(__xludf.DUMMYFUNCTION("""COMPUTED_VALUE"""),23.0)</f>
        <v>23</v>
      </c>
      <c r="I647" s="77">
        <f>IFERROR(__xludf.DUMMYFUNCTION("""COMPUTED_VALUE"""),100.0)</f>
        <v>100</v>
      </c>
      <c r="J647" s="73"/>
      <c r="K647" s="73"/>
      <c r="L647" s="73"/>
      <c r="M647" s="77">
        <f>IFERROR(__xludf.DUMMYFUNCTION("""COMPUTED_VALUE"""),0.1)</f>
        <v>0.1</v>
      </c>
      <c r="N647" s="77">
        <f>IFERROR(__xludf.DUMMYFUNCTION("""COMPUTED_VALUE"""),1.0)</f>
        <v>1</v>
      </c>
      <c r="O647" s="49"/>
      <c r="P647" s="49" t="str">
        <f>IFERROR(__xludf.DUMMYFUNCTION("""COMPUTED_VALUE"""),"Offset")</f>
        <v>Offset</v>
      </c>
      <c r="Q647" s="49" t="str">
        <f>IFERROR(__xludf.DUMMYFUNCTION("""COMPUTED_VALUE"""),"Packaging")</f>
        <v>Packaging</v>
      </c>
      <c r="R647" s="49" t="str">
        <f>IFERROR(__xludf.DUMMYFUNCTION("""COMPUTED_VALUE"""),"Daily Essential")</f>
        <v>Daily Essential</v>
      </c>
    </row>
    <row r="648">
      <c r="A648" s="156" t="str">
        <f>IFERROR(__xludf.DUMMYFUNCTION("""COMPUTED_VALUE"""),"https://drive.google.com/open?id=1J7N_Emz3m9_noZLGvgTC_0eEamNxHO5o&amp;authuser=jay.agg%40gmail.com&amp;usp=drive_fs")</f>
        <v>https://drive.google.com/open?id=1J7N_Emz3m9_noZLGvgTC_0eEamNxHO5o&amp;authuser=jay.agg%40gmail.com&amp;usp=drive_fs</v>
      </c>
      <c r="B648" s="73" t="str">
        <f>IFERROR(__xludf.DUMMYFUNCTION("""COMPUTED_VALUE"""),"Daily Essential")</f>
        <v>Daily Essential</v>
      </c>
      <c r="C648" s="73" t="str">
        <f>IFERROR(__xludf.DUMMYFUNCTION("""COMPUTED_VALUE"""),"Sanitary Napkins")</f>
        <v>Sanitary Napkins</v>
      </c>
      <c r="D648" s="73" t="str">
        <f>IFERROR(__xludf.DUMMYFUNCTION("""COMPUTED_VALUE"""),"120*105*146 mm LB")</f>
        <v>120*105*146 mm LB</v>
      </c>
      <c r="E648" s="77">
        <f>IFERROR(__xludf.DUMMYFUNCTION("""COMPUTED_VALUE"""),2.0)</f>
        <v>2</v>
      </c>
      <c r="F648" s="77">
        <f>IFERROR(__xludf.DUMMYFUNCTION("""COMPUTED_VALUE"""),1926.0)</f>
        <v>1926</v>
      </c>
      <c r="G648" s="77">
        <f>IFERROR(__xludf.DUMMYFUNCTION("""COMPUTED_VALUE"""),19.5)</f>
        <v>19.5</v>
      </c>
      <c r="H648" s="77">
        <f>IFERROR(__xludf.DUMMYFUNCTION("""COMPUTED_VALUE"""),23.0)</f>
        <v>23</v>
      </c>
      <c r="I648" s="77">
        <f>IFERROR(__xludf.DUMMYFUNCTION("""COMPUTED_VALUE"""),100.0)</f>
        <v>100</v>
      </c>
      <c r="J648" s="73"/>
      <c r="K648" s="73"/>
      <c r="L648" s="73"/>
      <c r="M648" s="77">
        <f>IFERROR(__xludf.DUMMYFUNCTION("""COMPUTED_VALUE"""),0.16)</f>
        <v>0.16</v>
      </c>
      <c r="N648" s="77">
        <f>IFERROR(__xludf.DUMMYFUNCTION("""COMPUTED_VALUE"""),1.0)</f>
        <v>1</v>
      </c>
      <c r="O648" s="49"/>
      <c r="P648" s="49" t="str">
        <f>IFERROR(__xludf.DUMMYFUNCTION("""COMPUTED_VALUE"""),"Offset")</f>
        <v>Offset</v>
      </c>
      <c r="Q648" s="49" t="str">
        <f>IFERROR(__xludf.DUMMYFUNCTION("""COMPUTED_VALUE"""),"Packaging")</f>
        <v>Packaging</v>
      </c>
      <c r="R648" s="49" t="str">
        <f>IFERROR(__xludf.DUMMYFUNCTION("""COMPUTED_VALUE"""),"Daily Essential")</f>
        <v>Daily Essential</v>
      </c>
    </row>
    <row r="649">
      <c r="A649" s="156" t="str">
        <f>IFERROR(__xludf.DUMMYFUNCTION("""COMPUTED_VALUE"""),"https://drive.google.com/open?id=1KvcJMWNh36CRpKHopUwod5wv8jaSFIvY&amp;authuser=jay.agg%40gmail.com&amp;usp=drive_fs")</f>
        <v>https://drive.google.com/open?id=1KvcJMWNh36CRpKHopUwod5wv8jaSFIvY&amp;authuser=jay.agg%40gmail.com&amp;usp=drive_fs</v>
      </c>
      <c r="B649" s="73" t="str">
        <f>IFERROR(__xludf.DUMMYFUNCTION("""COMPUTED_VALUE"""),"Daily Essential")</f>
        <v>Daily Essential</v>
      </c>
      <c r="C649" s="73" t="str">
        <f>IFERROR(__xludf.DUMMYFUNCTION("""COMPUTED_VALUE"""),"Soap Box")</f>
        <v>Soap Box</v>
      </c>
      <c r="D649" s="73" t="str">
        <f>IFERROR(__xludf.DUMMYFUNCTION("""COMPUTED_VALUE"""),"114*38*114 | 4.5*4.5*1.5 inch")</f>
        <v>114*38*114 | 4.5*4.5*1.5 inch</v>
      </c>
      <c r="E649" s="77">
        <f>IFERROR(__xludf.DUMMYFUNCTION("""COMPUTED_VALUE"""),4.0)</f>
        <v>4</v>
      </c>
      <c r="F649" s="77">
        <f>IFERROR(__xludf.DUMMYFUNCTION("""COMPUTED_VALUE"""),1926.0)</f>
        <v>1926</v>
      </c>
      <c r="G649" s="77">
        <f>IFERROR(__xludf.DUMMYFUNCTION("""COMPUTED_VALUE"""),18.0)</f>
        <v>18</v>
      </c>
      <c r="H649" s="77">
        <f>IFERROR(__xludf.DUMMYFUNCTION("""COMPUTED_VALUE"""),25.0)</f>
        <v>25</v>
      </c>
      <c r="I649" s="77">
        <f>IFERROR(__xludf.DUMMYFUNCTION("""COMPUTED_VALUE"""),100.0)</f>
        <v>100</v>
      </c>
      <c r="J649" s="73"/>
      <c r="K649" s="73"/>
      <c r="L649" s="73"/>
      <c r="M649" s="77">
        <f>IFERROR(__xludf.DUMMYFUNCTION("""COMPUTED_VALUE"""),0.1)</f>
        <v>0.1</v>
      </c>
      <c r="N649" s="77">
        <f>IFERROR(__xludf.DUMMYFUNCTION("""COMPUTED_VALUE"""),1.0)</f>
        <v>1</v>
      </c>
      <c r="O649" s="49"/>
      <c r="P649" s="49" t="str">
        <f>IFERROR(__xludf.DUMMYFUNCTION("""COMPUTED_VALUE"""),"Offset")</f>
        <v>Offset</v>
      </c>
      <c r="Q649" s="49" t="str">
        <f>IFERROR(__xludf.DUMMYFUNCTION("""COMPUTED_VALUE"""),"Packaging")</f>
        <v>Packaging</v>
      </c>
      <c r="R649" s="49" t="str">
        <f>IFERROR(__xludf.DUMMYFUNCTION("""COMPUTED_VALUE"""),"Daily Essential")</f>
        <v>Daily Essential</v>
      </c>
    </row>
    <row r="650">
      <c r="A650" s="156" t="str">
        <f>IFERROR(__xludf.DUMMYFUNCTION("""COMPUTED_VALUE"""),"https://drive.google.com/open?id=1J1xrBvVPs9bg-vMHcPxuuglti5hihyoa&amp;authuser=jay.agg%40gmail.com&amp;usp=drive_fs")</f>
        <v>https://drive.google.com/open?id=1J1xrBvVPs9bg-vMHcPxuuglti5hihyoa&amp;authuser=jay.agg%40gmail.com&amp;usp=drive_fs</v>
      </c>
      <c r="B650" s="73" t="str">
        <f>IFERROR(__xludf.DUMMYFUNCTION("""COMPUTED_VALUE"""),"Daily Essential")</f>
        <v>Daily Essential</v>
      </c>
      <c r="C650" s="73" t="str">
        <f>IFERROR(__xludf.DUMMYFUNCTION("""COMPUTED_VALUE"""),"Hair Remover")</f>
        <v>Hair Remover</v>
      </c>
      <c r="D650" s="73" t="str">
        <f>IFERROR(__xludf.DUMMYFUNCTION("""COMPUTED_VALUE"""),"65*25*135 mm")</f>
        <v>65*25*135 mm</v>
      </c>
      <c r="E650" s="77">
        <f>IFERROR(__xludf.DUMMYFUNCTION("""COMPUTED_VALUE"""),6.0)</f>
        <v>6</v>
      </c>
      <c r="F650" s="77">
        <f>IFERROR(__xludf.DUMMYFUNCTION("""COMPUTED_VALUE"""),1926.0)</f>
        <v>1926</v>
      </c>
      <c r="G650" s="77">
        <f>IFERROR(__xludf.DUMMYFUNCTION("""COMPUTED_VALUE"""),18.0)</f>
        <v>18</v>
      </c>
      <c r="H650" s="77">
        <f>IFERROR(__xludf.DUMMYFUNCTION("""COMPUTED_VALUE"""),23.0)</f>
        <v>23</v>
      </c>
      <c r="I650" s="77">
        <f>IFERROR(__xludf.DUMMYFUNCTION("""COMPUTED_VALUE"""),100.0)</f>
        <v>100</v>
      </c>
      <c r="J650" s="73"/>
      <c r="K650" s="73"/>
      <c r="L650" s="73"/>
      <c r="M650" s="77">
        <f>IFERROR(__xludf.DUMMYFUNCTION("""COMPUTED_VALUE"""),0.1)</f>
        <v>0.1</v>
      </c>
      <c r="N650" s="77">
        <f>IFERROR(__xludf.DUMMYFUNCTION("""COMPUTED_VALUE"""),1.0)</f>
        <v>1</v>
      </c>
      <c r="O650" s="49"/>
      <c r="P650" s="49" t="str">
        <f>IFERROR(__xludf.DUMMYFUNCTION("""COMPUTED_VALUE"""),"Offset")</f>
        <v>Offset</v>
      </c>
      <c r="Q650" s="49" t="str">
        <f>IFERROR(__xludf.DUMMYFUNCTION("""COMPUTED_VALUE"""),"Packaging")</f>
        <v>Packaging</v>
      </c>
      <c r="R650" s="49" t="str">
        <f>IFERROR(__xludf.DUMMYFUNCTION("""COMPUTED_VALUE"""),"Daily Essential")</f>
        <v>Daily Essential</v>
      </c>
    </row>
    <row r="651">
      <c r="A651" s="156" t="str">
        <f>IFERROR(__xludf.DUMMYFUNCTION("""COMPUTED_VALUE"""),"https://drive.google.com/open?id=1Ka4qN7YBxWbRLQ_MzbBWb14rp9AuPH0e&amp;authuser=jay.agg%40gmail.com&amp;usp=drive_fs")</f>
        <v>https://drive.google.com/open?id=1Ka4qN7YBxWbRLQ_MzbBWb14rp9AuPH0e&amp;authuser=jay.agg%40gmail.com&amp;usp=drive_fs</v>
      </c>
      <c r="B651" s="73" t="str">
        <f>IFERROR(__xludf.DUMMYFUNCTION("""COMPUTED_VALUE"""),"Daily Essential")</f>
        <v>Daily Essential</v>
      </c>
      <c r="C651" s="73" t="str">
        <f>IFERROR(__xludf.DUMMYFUNCTION("""COMPUTED_VALUE"""),"Tissue Box")</f>
        <v>Tissue Box</v>
      </c>
      <c r="D651" s="73" t="str">
        <f>IFERROR(__xludf.DUMMYFUNCTION("""COMPUTED_VALUE"""),"Tissue 65*215*118 mm")</f>
        <v>Tissue 65*215*118 mm</v>
      </c>
      <c r="E651" s="77">
        <f>IFERROR(__xludf.DUMMYFUNCTION("""COMPUTED_VALUE"""),2.0)</f>
        <v>2</v>
      </c>
      <c r="F651" s="77">
        <f>IFERROR(__xludf.DUMMYFUNCTION("""COMPUTED_VALUE"""),1926.0)</f>
        <v>1926</v>
      </c>
      <c r="G651" s="77">
        <f>IFERROR(__xludf.DUMMYFUNCTION("""COMPUTED_VALUE"""),15.0)</f>
        <v>15</v>
      </c>
      <c r="H651" s="77">
        <f>IFERROR(__xludf.DUMMYFUNCTION("""COMPUTED_VALUE"""),25.0)</f>
        <v>25</v>
      </c>
      <c r="I651" s="77">
        <f>IFERROR(__xludf.DUMMYFUNCTION("""COMPUTED_VALUE"""),100.0)</f>
        <v>100</v>
      </c>
      <c r="J651" s="73"/>
      <c r="K651" s="73"/>
      <c r="L651" s="73"/>
      <c r="M651" s="77">
        <f>IFERROR(__xludf.DUMMYFUNCTION("""COMPUTED_VALUE"""),0.1)</f>
        <v>0.1</v>
      </c>
      <c r="N651" s="77">
        <f>IFERROR(__xludf.DUMMYFUNCTION("""COMPUTED_VALUE"""),1.0)</f>
        <v>1</v>
      </c>
      <c r="O651" s="49"/>
      <c r="P651" s="49" t="str">
        <f>IFERROR(__xludf.DUMMYFUNCTION("""COMPUTED_VALUE"""),"Offset")</f>
        <v>Offset</v>
      </c>
      <c r="Q651" s="49" t="str">
        <f>IFERROR(__xludf.DUMMYFUNCTION("""COMPUTED_VALUE"""),"Packaging")</f>
        <v>Packaging</v>
      </c>
      <c r="R651" s="49" t="str">
        <f>IFERROR(__xludf.DUMMYFUNCTION("""COMPUTED_VALUE"""),"Daily Essential")</f>
        <v>Daily Essential</v>
      </c>
    </row>
    <row r="652">
      <c r="A652" s="156" t="str">
        <f>IFERROR(__xludf.DUMMYFUNCTION("""COMPUTED_VALUE"""),"https://drive.google.com/open?id=1JEQ1UhyziAPqJ_CsHpB_0cjiDNisYFlD&amp;authuser=jay.agg%40gmail.com&amp;usp=drive_fs")</f>
        <v>https://drive.google.com/open?id=1JEQ1UhyziAPqJ_CsHpB_0cjiDNisYFlD&amp;authuser=jay.agg%40gmail.com&amp;usp=drive_fs</v>
      </c>
      <c r="B652" s="73" t="str">
        <f>IFERROR(__xludf.DUMMYFUNCTION("""COMPUTED_VALUE"""),"Daily Essential")</f>
        <v>Daily Essential</v>
      </c>
      <c r="C652" s="73" t="str">
        <f>IFERROR(__xludf.DUMMYFUNCTION("""COMPUTED_VALUE"""),"Sanitary Napkins")</f>
        <v>Sanitary Napkins</v>
      </c>
      <c r="D652" s="73" t="str">
        <f>IFERROR(__xludf.DUMMYFUNCTION("""COMPUTED_VALUE"""),"Envelop 103*143 mm ")</f>
        <v>Envelop 103*143 mm </v>
      </c>
      <c r="E652" s="77">
        <f>IFERROR(__xludf.DUMMYFUNCTION("""COMPUTED_VALUE"""),8.0)</f>
        <v>8</v>
      </c>
      <c r="F652" s="77">
        <f>IFERROR(__xludf.DUMMYFUNCTION("""COMPUTED_VALUE"""),2029.0)</f>
        <v>2029</v>
      </c>
      <c r="G652" s="77">
        <f>IFERROR(__xludf.DUMMYFUNCTION("""COMPUTED_VALUE"""),20.0)</f>
        <v>20</v>
      </c>
      <c r="H652" s="77">
        <f>IFERROR(__xludf.DUMMYFUNCTION("""COMPUTED_VALUE"""),30.0)</f>
        <v>30</v>
      </c>
      <c r="I652" s="77">
        <f>IFERROR(__xludf.DUMMYFUNCTION("""COMPUTED_VALUE"""),100.0)</f>
        <v>100</v>
      </c>
      <c r="J652" s="73"/>
      <c r="K652" s="73"/>
      <c r="L652" s="73"/>
      <c r="M652" s="77">
        <f>IFERROR(__xludf.DUMMYFUNCTION("""COMPUTED_VALUE"""),0.22)</f>
        <v>0.22</v>
      </c>
      <c r="N652" s="77">
        <f>IFERROR(__xludf.DUMMYFUNCTION("""COMPUTED_VALUE"""),1.0)</f>
        <v>1</v>
      </c>
      <c r="O652" s="49"/>
      <c r="P652" s="49" t="str">
        <f>IFERROR(__xludf.DUMMYFUNCTION("""COMPUTED_VALUE"""),"Offset")</f>
        <v>Offset</v>
      </c>
      <c r="Q652" s="49" t="str">
        <f>IFERROR(__xludf.DUMMYFUNCTION("""COMPUTED_VALUE"""),"Commercial")</f>
        <v>Commercial</v>
      </c>
      <c r="R652" s="49" t="str">
        <f>IFERROR(__xludf.DUMMYFUNCTION("""COMPUTED_VALUE"""),"Daily Essential")</f>
        <v>Daily Essential</v>
      </c>
    </row>
    <row r="653">
      <c r="A653" s="156" t="str">
        <f>IFERROR(__xludf.DUMMYFUNCTION("""COMPUTED_VALUE"""),"https://drive.google.com/open?id=1J0j6aKVGWU_hPsmCWefvbTiQGsAkQgCo&amp;authuser=jay.agg%40gmail.com&amp;usp=drive_fs")</f>
        <v>https://drive.google.com/open?id=1J0j6aKVGWU_hPsmCWefvbTiQGsAkQgCo&amp;authuser=jay.agg%40gmail.com&amp;usp=drive_fs</v>
      </c>
      <c r="B653" s="73" t="str">
        <f>IFERROR(__xludf.DUMMYFUNCTION("""COMPUTED_VALUE"""),"Daily Essential")</f>
        <v>Daily Essential</v>
      </c>
      <c r="C653" s="73" t="str">
        <f>IFERROR(__xludf.DUMMYFUNCTION("""COMPUTED_VALUE"""),"Soap Box")</f>
        <v>Soap Box</v>
      </c>
      <c r="D653" s="73" t="str">
        <f>IFERROR(__xludf.DUMMYFUNCTION("""COMPUTED_VALUE"""),"75*75*38 mm")</f>
        <v>75*75*38 mm</v>
      </c>
      <c r="E653" s="77">
        <f>IFERROR(__xludf.DUMMYFUNCTION("""COMPUTED_VALUE"""),8.0)</f>
        <v>8</v>
      </c>
      <c r="F653" s="77">
        <f>IFERROR(__xludf.DUMMYFUNCTION("""COMPUTED_VALUE"""),1926.0)</f>
        <v>1926</v>
      </c>
      <c r="G653" s="77">
        <f>IFERROR(__xludf.DUMMYFUNCTION("""COMPUTED_VALUE"""),19.0)</f>
        <v>19</v>
      </c>
      <c r="H653" s="77">
        <f>IFERROR(__xludf.DUMMYFUNCTION("""COMPUTED_VALUE"""),23.0)</f>
        <v>23</v>
      </c>
      <c r="I653" s="77">
        <f>IFERROR(__xludf.DUMMYFUNCTION("""COMPUTED_VALUE"""),100.0)</f>
        <v>100</v>
      </c>
      <c r="J653" s="73"/>
      <c r="K653" s="73"/>
      <c r="L653" s="73"/>
      <c r="M653" s="77">
        <f>IFERROR(__xludf.DUMMYFUNCTION("""COMPUTED_VALUE"""),0.1)</f>
        <v>0.1</v>
      </c>
      <c r="N653" s="77">
        <f>IFERROR(__xludf.DUMMYFUNCTION("""COMPUTED_VALUE"""),1.0)</f>
        <v>1</v>
      </c>
      <c r="O653" s="49"/>
      <c r="P653" s="49" t="str">
        <f>IFERROR(__xludf.DUMMYFUNCTION("""COMPUTED_VALUE"""),"Offset")</f>
        <v>Offset</v>
      </c>
      <c r="Q653" s="49" t="str">
        <f>IFERROR(__xludf.DUMMYFUNCTION("""COMPUTED_VALUE"""),"Packaging")</f>
        <v>Packaging</v>
      </c>
      <c r="R653" s="49" t="str">
        <f>IFERROR(__xludf.DUMMYFUNCTION("""COMPUTED_VALUE"""),"Daily Essential")</f>
        <v>Daily Essential</v>
      </c>
    </row>
    <row r="654">
      <c r="A654" s="156" t="str">
        <f>IFERROR(__xludf.DUMMYFUNCTION("""COMPUTED_VALUE"""),"https://drive.google.com/open?id=1idjwFS-GYI7IAVU0CWFDOp1vi_2m1jdy&amp;authuser=jay.agg%40gmail.com&amp;usp=drive_fs")</f>
        <v>https://drive.google.com/open?id=1idjwFS-GYI7IAVU0CWFDOp1vi_2m1jdy&amp;authuser=jay.agg%40gmail.com&amp;usp=drive_fs</v>
      </c>
      <c r="B654" s="73" t="str">
        <f>IFERROR(__xludf.DUMMYFUNCTION("""COMPUTED_VALUE"""),"Daily Essential")</f>
        <v>Daily Essential</v>
      </c>
      <c r="C654" s="73" t="str">
        <f>IFERROR(__xludf.DUMMYFUNCTION("""COMPUTED_VALUE"""),"Baby Powder")</f>
        <v>Baby Powder</v>
      </c>
      <c r="D654" s="73" t="str">
        <f>IFERROR(__xludf.DUMMYFUNCTION("""COMPUTED_VALUE"""),"9.6*9.6*8 cm | 96*96*80 mm IL")</f>
        <v>9.6*9.6*8 cm | 96*96*80 mm IL</v>
      </c>
      <c r="E654" s="77">
        <f>IFERROR(__xludf.DUMMYFUNCTION("""COMPUTED_VALUE"""),3.0)</f>
        <v>3</v>
      </c>
      <c r="F654" s="77">
        <f>IFERROR(__xludf.DUMMYFUNCTION("""COMPUTED_VALUE"""),1926.0)</f>
        <v>1926</v>
      </c>
      <c r="G654" s="77">
        <f>IFERROR(__xludf.DUMMYFUNCTION("""COMPUTED_VALUE"""),19.0)</f>
        <v>19</v>
      </c>
      <c r="H654" s="77">
        <f>IFERROR(__xludf.DUMMYFUNCTION("""COMPUTED_VALUE"""),26.0)</f>
        <v>26</v>
      </c>
      <c r="I654" s="77">
        <f>IFERROR(__xludf.DUMMYFUNCTION("""COMPUTED_VALUE"""),100.0)</f>
        <v>100</v>
      </c>
      <c r="J654" s="73"/>
      <c r="K654" s="73"/>
      <c r="L654" s="73">
        <f>IFERROR(__xludf.DUMMYFUNCTION("""COMPUTED_VALUE"""),1.0)</f>
        <v>1</v>
      </c>
      <c r="M654" s="77">
        <f>IFERROR(__xludf.DUMMYFUNCTION("""COMPUTED_VALUE"""),0.1)</f>
        <v>0.1</v>
      </c>
      <c r="N654" s="77">
        <f>IFERROR(__xludf.DUMMYFUNCTION("""COMPUTED_VALUE"""),1.0)</f>
        <v>1</v>
      </c>
      <c r="O654" s="49"/>
      <c r="P654" s="49" t="str">
        <f>IFERROR(__xludf.DUMMYFUNCTION("""COMPUTED_VALUE"""),"Offset")</f>
        <v>Offset</v>
      </c>
      <c r="Q654" s="49" t="str">
        <f>IFERROR(__xludf.DUMMYFUNCTION("""COMPUTED_VALUE"""),"Packaging")</f>
        <v>Packaging</v>
      </c>
      <c r="R654" s="49" t="str">
        <f>IFERROR(__xludf.DUMMYFUNCTION("""COMPUTED_VALUE"""),"Daily Essential")</f>
        <v>Daily Essential</v>
      </c>
    </row>
    <row r="655">
      <c r="A655" s="156" t="str">
        <f>IFERROR(__xludf.DUMMYFUNCTION("""COMPUTED_VALUE"""),"https://drive.google.com/open?id=1Isob5jV27b_CsEvbMNHRgNTabQeN-JmO&amp;authuser=jay.agg%40gmail.com&amp;usp=drive_fs")</f>
        <v>https://drive.google.com/open?id=1Isob5jV27b_CsEvbMNHRgNTabQeN-JmO&amp;authuser=jay.agg%40gmail.com&amp;usp=drive_fs</v>
      </c>
      <c r="B655" s="73" t="str">
        <f>IFERROR(__xludf.DUMMYFUNCTION("""COMPUTED_VALUE"""),"Daily Essential")</f>
        <v>Daily Essential</v>
      </c>
      <c r="C655" s="73" t="str">
        <f>IFERROR(__xludf.DUMMYFUNCTION("""COMPUTED_VALUE"""),"Soap Box")</f>
        <v>Soap Box</v>
      </c>
      <c r="D655" s="73" t="str">
        <f>IFERROR(__xludf.DUMMYFUNCTION("""COMPUTED_VALUE"""),"78*78*40 mm")</f>
        <v>78*78*40 mm</v>
      </c>
      <c r="E655" s="77">
        <f>IFERROR(__xludf.DUMMYFUNCTION("""COMPUTED_VALUE"""),6.0)</f>
        <v>6</v>
      </c>
      <c r="F655" s="77">
        <f>IFERROR(__xludf.DUMMYFUNCTION("""COMPUTED_VALUE"""),1926.0)</f>
        <v>1926</v>
      </c>
      <c r="G655" s="77">
        <f>IFERROR(__xludf.DUMMYFUNCTION("""COMPUTED_VALUE"""),18.0)</f>
        <v>18</v>
      </c>
      <c r="H655" s="77">
        <f>IFERROR(__xludf.DUMMYFUNCTION("""COMPUTED_VALUE"""),21.0)</f>
        <v>21</v>
      </c>
      <c r="I655" s="77">
        <f>IFERROR(__xludf.DUMMYFUNCTION("""COMPUTED_VALUE"""),100.0)</f>
        <v>100</v>
      </c>
      <c r="J655" s="73"/>
      <c r="K655" s="73"/>
      <c r="L655" s="73"/>
      <c r="M655" s="77">
        <f>IFERROR(__xludf.DUMMYFUNCTION("""COMPUTED_VALUE"""),0.1)</f>
        <v>0.1</v>
      </c>
      <c r="N655" s="77">
        <f>IFERROR(__xludf.DUMMYFUNCTION("""COMPUTED_VALUE"""),1.0)</f>
        <v>1</v>
      </c>
      <c r="O655" s="49"/>
      <c r="P655" s="49" t="str">
        <f>IFERROR(__xludf.DUMMYFUNCTION("""COMPUTED_VALUE"""),"Offset")</f>
        <v>Offset</v>
      </c>
      <c r="Q655" s="49" t="str">
        <f>IFERROR(__xludf.DUMMYFUNCTION("""COMPUTED_VALUE"""),"Packaging")</f>
        <v>Packaging</v>
      </c>
      <c r="R655" s="49" t="str">
        <f>IFERROR(__xludf.DUMMYFUNCTION("""COMPUTED_VALUE"""),"Daily Essential")</f>
        <v>Daily Essential</v>
      </c>
    </row>
    <row r="656">
      <c r="A656" s="156" t="str">
        <f>IFERROR(__xludf.DUMMYFUNCTION("""COMPUTED_VALUE"""),"https://drive.google.com/open?id=1Iew70STC5DDLFu4l3qX6yVhmSkiyiA8i&amp;authuser=jay.agg%40gmail.com&amp;usp=drive_fs")</f>
        <v>https://drive.google.com/open?id=1Iew70STC5DDLFu4l3qX6yVhmSkiyiA8i&amp;authuser=jay.agg%40gmail.com&amp;usp=drive_fs</v>
      </c>
      <c r="B656" s="73" t="str">
        <f>IFERROR(__xludf.DUMMYFUNCTION("""COMPUTED_VALUE"""),"Daily Essential")</f>
        <v>Daily Essential</v>
      </c>
      <c r="C656" s="73" t="str">
        <f>IFERROR(__xludf.DUMMYFUNCTION("""COMPUTED_VALUE"""),"Oil Brush")</f>
        <v>Oil Brush</v>
      </c>
      <c r="D656" s="73" t="str">
        <f>IFERROR(__xludf.DUMMYFUNCTION("""COMPUTED_VALUE""")," 55*255*25 mm")</f>
        <v> 55*255*25 mm</v>
      </c>
      <c r="E656" s="77">
        <f>IFERROR(__xludf.DUMMYFUNCTION("""COMPUTED_VALUE"""),4.0)</f>
        <v>4</v>
      </c>
      <c r="F656" s="77">
        <f>IFERROR(__xludf.DUMMYFUNCTION("""COMPUTED_VALUE"""),1926.0)</f>
        <v>1926</v>
      </c>
      <c r="G656" s="77">
        <f>IFERROR(__xludf.DUMMYFUNCTION("""COMPUTED_VALUE"""),15.0)</f>
        <v>15</v>
      </c>
      <c r="H656" s="77">
        <f>IFERROR(__xludf.DUMMYFUNCTION("""COMPUTED_VALUE"""),25.0)</f>
        <v>25</v>
      </c>
      <c r="I656" s="77">
        <f>IFERROR(__xludf.DUMMYFUNCTION("""COMPUTED_VALUE"""),100.0)</f>
        <v>100</v>
      </c>
      <c r="J656" s="73"/>
      <c r="K656" s="73"/>
      <c r="L656" s="73"/>
      <c r="M656" s="77">
        <f>IFERROR(__xludf.DUMMYFUNCTION("""COMPUTED_VALUE"""),0.1)</f>
        <v>0.1</v>
      </c>
      <c r="N656" s="77">
        <f>IFERROR(__xludf.DUMMYFUNCTION("""COMPUTED_VALUE"""),1.0)</f>
        <v>1</v>
      </c>
      <c r="O656" s="49"/>
      <c r="P656" s="49" t="str">
        <f>IFERROR(__xludf.DUMMYFUNCTION("""COMPUTED_VALUE"""),"Offset")</f>
        <v>Offset</v>
      </c>
      <c r="Q656" s="49" t="str">
        <f>IFERROR(__xludf.DUMMYFUNCTION("""COMPUTED_VALUE"""),"Packaging")</f>
        <v>Packaging</v>
      </c>
      <c r="R656" s="49" t="str">
        <f>IFERROR(__xludf.DUMMYFUNCTION("""COMPUTED_VALUE"""),"Daily Essential")</f>
        <v>Daily Essential</v>
      </c>
    </row>
    <row r="657">
      <c r="A657" s="156" t="str">
        <f>IFERROR(__xludf.DUMMYFUNCTION("""COMPUTED_VALUE"""),"https://drive.google.com/open?id=1I_2lpa1bOhUYDJlyixode73IeFcPIC6x&amp;authuser=jay.agg%40gmail.com&amp;usp=drive_fs")</f>
        <v>https://drive.google.com/open?id=1I_2lpa1bOhUYDJlyixode73IeFcPIC6x&amp;authuser=jay.agg%40gmail.com&amp;usp=drive_fs</v>
      </c>
      <c r="B657" s="73" t="str">
        <f>IFERROR(__xludf.DUMMYFUNCTION("""COMPUTED_VALUE"""),"Daily Essential")</f>
        <v>Daily Essential</v>
      </c>
      <c r="C657" s="73" t="str">
        <f>IFERROR(__xludf.DUMMYFUNCTION("""COMPUTED_VALUE"""),"Soap Box")</f>
        <v>Soap Box</v>
      </c>
      <c r="D657" s="73" t="str">
        <f>IFERROR(__xludf.DUMMYFUNCTION("""COMPUTED_VALUE"""),"56*28*82 W 35*51 mm")</f>
        <v>56*28*82 W 35*51 mm</v>
      </c>
      <c r="E657" s="77">
        <f>IFERROR(__xludf.DUMMYFUNCTION("""COMPUTED_VALUE"""),9.0)</f>
        <v>9</v>
      </c>
      <c r="F657" s="77">
        <f>IFERROR(__xludf.DUMMYFUNCTION("""COMPUTED_VALUE"""),1926.0)</f>
        <v>1926</v>
      </c>
      <c r="G657" s="77">
        <f>IFERROR(__xludf.DUMMYFUNCTION("""COMPUTED_VALUE"""),18.0)</f>
        <v>18</v>
      </c>
      <c r="H657" s="77">
        <f>IFERROR(__xludf.DUMMYFUNCTION("""COMPUTED_VALUE"""),23.0)</f>
        <v>23</v>
      </c>
      <c r="I657" s="77">
        <f>IFERROR(__xludf.DUMMYFUNCTION("""COMPUTED_VALUE"""),100.0)</f>
        <v>100</v>
      </c>
      <c r="J657" s="73"/>
      <c r="K657" s="73"/>
      <c r="L657" s="73">
        <f>IFERROR(__xludf.DUMMYFUNCTION("""COMPUTED_VALUE"""),1.0)</f>
        <v>1</v>
      </c>
      <c r="M657" s="77">
        <f>IFERROR(__xludf.DUMMYFUNCTION("""COMPUTED_VALUE"""),0.1)</f>
        <v>0.1</v>
      </c>
      <c r="N657" s="77">
        <f>IFERROR(__xludf.DUMMYFUNCTION("""COMPUTED_VALUE"""),1.0)</f>
        <v>1</v>
      </c>
      <c r="O657" s="49"/>
      <c r="P657" s="49" t="str">
        <f>IFERROR(__xludf.DUMMYFUNCTION("""COMPUTED_VALUE"""),"Offset")</f>
        <v>Offset</v>
      </c>
      <c r="Q657" s="49" t="str">
        <f>IFERROR(__xludf.DUMMYFUNCTION("""COMPUTED_VALUE"""),"Packaging")</f>
        <v>Packaging</v>
      </c>
      <c r="R657" s="49" t="str">
        <f>IFERROR(__xludf.DUMMYFUNCTION("""COMPUTED_VALUE"""),"Daily Essential")</f>
        <v>Daily Essential</v>
      </c>
    </row>
    <row r="658">
      <c r="A658" s="156" t="str">
        <f>IFERROR(__xludf.DUMMYFUNCTION("""COMPUTED_VALUE"""),"https://drive.google.com/open?id=1IXKRdk4xQ0vLsmJJWcglUm32xpa3UsRB&amp;authuser=jay.agg%40gmail.com&amp;usp=drive_fs")</f>
        <v>https://drive.google.com/open?id=1IXKRdk4xQ0vLsmJJWcglUm32xpa3UsRB&amp;authuser=jay.agg%40gmail.com&amp;usp=drive_fs</v>
      </c>
      <c r="B658" s="73" t="str">
        <f>IFERROR(__xludf.DUMMYFUNCTION("""COMPUTED_VALUE"""),"Daily Essential")</f>
        <v>Daily Essential</v>
      </c>
      <c r="C658" s="73" t="str">
        <f>IFERROR(__xludf.DUMMYFUNCTION("""COMPUTED_VALUE"""),"Juna Box")</f>
        <v>Juna Box</v>
      </c>
      <c r="D658" s="73" t="str">
        <f>IFERROR(__xludf.DUMMYFUNCTION("""COMPUTED_VALUE"""),"90*25*115 W 32*70 mm")</f>
        <v>90*25*115 W 32*70 mm</v>
      </c>
      <c r="E658" s="77">
        <f>IFERROR(__xludf.DUMMYFUNCTION("""COMPUTED_VALUE"""),4.0)</f>
        <v>4</v>
      </c>
      <c r="F658" s="77">
        <f>IFERROR(__xludf.DUMMYFUNCTION("""COMPUTED_VALUE"""),1926.0)</f>
        <v>1926</v>
      </c>
      <c r="G658" s="77">
        <f>IFERROR(__xludf.DUMMYFUNCTION("""COMPUTED_VALUE"""),15.0)</f>
        <v>15</v>
      </c>
      <c r="H658" s="77">
        <f>IFERROR(__xludf.DUMMYFUNCTION("""COMPUTED_VALUE"""),20.0)</f>
        <v>20</v>
      </c>
      <c r="I658" s="77">
        <f>IFERROR(__xludf.DUMMYFUNCTION("""COMPUTED_VALUE"""),100.0)</f>
        <v>100</v>
      </c>
      <c r="J658" s="73"/>
      <c r="K658" s="73"/>
      <c r="L658" s="73">
        <f>IFERROR(__xludf.DUMMYFUNCTION("""COMPUTED_VALUE"""),0.9)</f>
        <v>0.9</v>
      </c>
      <c r="M658" s="77">
        <f>IFERROR(__xludf.DUMMYFUNCTION("""COMPUTED_VALUE"""),0.1)</f>
        <v>0.1</v>
      </c>
      <c r="N658" s="77">
        <f>IFERROR(__xludf.DUMMYFUNCTION("""COMPUTED_VALUE"""),1.0)</f>
        <v>1</v>
      </c>
      <c r="O658" s="49"/>
      <c r="P658" s="49" t="str">
        <f>IFERROR(__xludf.DUMMYFUNCTION("""COMPUTED_VALUE"""),"Offset")</f>
        <v>Offset</v>
      </c>
      <c r="Q658" s="49" t="str">
        <f>IFERROR(__xludf.DUMMYFUNCTION("""COMPUTED_VALUE"""),"Packaging")</f>
        <v>Packaging</v>
      </c>
      <c r="R658" s="49" t="str">
        <f>IFERROR(__xludf.DUMMYFUNCTION("""COMPUTED_VALUE"""),"Daily Essential")</f>
        <v>Daily Essential</v>
      </c>
    </row>
    <row r="659">
      <c r="A659" s="156" t="str">
        <f>IFERROR(__xludf.DUMMYFUNCTION("""COMPUTED_VALUE"""),"https://drive.google.com/open?id=1IXBjeYGAVsfvhrn7cOKM0Aejf1io_U-t&amp;authuser=jay.agg%40gmail.com&amp;usp=drive_fs")</f>
        <v>https://drive.google.com/open?id=1IXBjeYGAVsfvhrn7cOKM0Aejf1io_U-t&amp;authuser=jay.agg%40gmail.com&amp;usp=drive_fs</v>
      </c>
      <c r="B659" s="73" t="str">
        <f>IFERROR(__xludf.DUMMYFUNCTION("""COMPUTED_VALUE"""),"Daily Essential")</f>
        <v>Daily Essential</v>
      </c>
      <c r="C659" s="73" t="str">
        <f>IFERROR(__xludf.DUMMYFUNCTION("""COMPUTED_VALUE"""),"Naveda Soap")</f>
        <v>Naveda Soap</v>
      </c>
      <c r="D659" s="73" t="str">
        <f>IFERROR(__xludf.DUMMYFUNCTION("""COMPUTED_VALUE"""),"60*32*85 mm")</f>
        <v>60*32*85 mm</v>
      </c>
      <c r="E659" s="77">
        <f>IFERROR(__xludf.DUMMYFUNCTION("""COMPUTED_VALUE"""),9.0)</f>
        <v>9</v>
      </c>
      <c r="F659" s="77">
        <f>IFERROR(__xludf.DUMMYFUNCTION("""COMPUTED_VALUE"""),1926.0)</f>
        <v>1926</v>
      </c>
      <c r="G659" s="77">
        <f>IFERROR(__xludf.DUMMYFUNCTION("""COMPUTED_VALUE"""),18.0)</f>
        <v>18</v>
      </c>
      <c r="H659" s="77">
        <f>IFERROR(__xludf.DUMMYFUNCTION("""COMPUTED_VALUE"""),23.0)</f>
        <v>23</v>
      </c>
      <c r="I659" s="77">
        <f>IFERROR(__xludf.DUMMYFUNCTION("""COMPUTED_VALUE"""),100.0)</f>
        <v>100</v>
      </c>
      <c r="J659" s="73"/>
      <c r="K659" s="73"/>
      <c r="L659" s="73"/>
      <c r="M659" s="77">
        <f>IFERROR(__xludf.DUMMYFUNCTION("""COMPUTED_VALUE"""),0.1)</f>
        <v>0.1</v>
      </c>
      <c r="N659" s="77">
        <f>IFERROR(__xludf.DUMMYFUNCTION("""COMPUTED_VALUE"""),1.0)</f>
        <v>1</v>
      </c>
      <c r="O659" s="49"/>
      <c r="P659" s="49" t="str">
        <f>IFERROR(__xludf.DUMMYFUNCTION("""COMPUTED_VALUE"""),"Offset")</f>
        <v>Offset</v>
      </c>
      <c r="Q659" s="49" t="str">
        <f>IFERROR(__xludf.DUMMYFUNCTION("""COMPUTED_VALUE"""),"Packaging")</f>
        <v>Packaging</v>
      </c>
      <c r="R659" s="49" t="str">
        <f>IFERROR(__xludf.DUMMYFUNCTION("""COMPUTED_VALUE"""),"Daily Essential")</f>
        <v>Daily Essential</v>
      </c>
    </row>
    <row r="660">
      <c r="A660" s="156" t="str">
        <f>IFERROR(__xludf.DUMMYFUNCTION("""COMPUTED_VALUE"""),"https://drive.google.com/open?id=1IOyJbl4GNct61zrISFm1aJ5Daaqj-B_R&amp;authuser=jay.agg%40gmail.com&amp;usp=drive_fs")</f>
        <v>https://drive.google.com/open?id=1IOyJbl4GNct61zrISFm1aJ5Daaqj-B_R&amp;authuser=jay.agg%40gmail.com&amp;usp=drive_fs</v>
      </c>
      <c r="B660" s="73" t="str">
        <f>IFERROR(__xludf.DUMMYFUNCTION("""COMPUTED_VALUE"""),"Daily Essential")</f>
        <v>Daily Essential</v>
      </c>
      <c r="C660" s="73" t="str">
        <f>IFERROR(__xludf.DUMMYFUNCTION("""COMPUTED_VALUE"""),"Essential Oil")</f>
        <v>Essential Oil</v>
      </c>
      <c r="D660" s="73" t="str">
        <f>IFERROR(__xludf.DUMMYFUNCTION("""COMPUTED_VALUE"""),"30*30*80 mm IL")</f>
        <v>30*30*80 mm IL</v>
      </c>
      <c r="E660" s="77">
        <f>IFERROR(__xludf.DUMMYFUNCTION("""COMPUTED_VALUE"""),12.0)</f>
        <v>12</v>
      </c>
      <c r="F660" s="77">
        <f>IFERROR(__xludf.DUMMYFUNCTION("""COMPUTED_VALUE"""),1926.0)</f>
        <v>1926</v>
      </c>
      <c r="G660" s="77">
        <f>IFERROR(__xludf.DUMMYFUNCTION("""COMPUTED_VALUE"""),18.0)</f>
        <v>18</v>
      </c>
      <c r="H660" s="77">
        <f>IFERROR(__xludf.DUMMYFUNCTION("""COMPUTED_VALUE"""),21.0)</f>
        <v>21</v>
      </c>
      <c r="I660" s="77">
        <f>IFERROR(__xludf.DUMMYFUNCTION("""COMPUTED_VALUE"""),100.0)</f>
        <v>100</v>
      </c>
      <c r="J660" s="73"/>
      <c r="K660" s="73"/>
      <c r="L660" s="73"/>
      <c r="M660" s="77">
        <f>IFERROR(__xludf.DUMMYFUNCTION("""COMPUTED_VALUE"""),0.1)</f>
        <v>0.1</v>
      </c>
      <c r="N660" s="77">
        <f>IFERROR(__xludf.DUMMYFUNCTION("""COMPUTED_VALUE"""),1.0)</f>
        <v>1</v>
      </c>
      <c r="O660" s="49"/>
      <c r="P660" s="49" t="str">
        <f>IFERROR(__xludf.DUMMYFUNCTION("""COMPUTED_VALUE"""),"Offset")</f>
        <v>Offset</v>
      </c>
      <c r="Q660" s="49" t="str">
        <f>IFERROR(__xludf.DUMMYFUNCTION("""COMPUTED_VALUE"""),"Packaging")</f>
        <v>Packaging</v>
      </c>
      <c r="R660" s="49" t="str">
        <f>IFERROR(__xludf.DUMMYFUNCTION("""COMPUTED_VALUE"""),"Daily Essential")</f>
        <v>Daily Essential</v>
      </c>
    </row>
    <row r="661">
      <c r="A661" s="156" t="str">
        <f>IFERROR(__xludf.DUMMYFUNCTION("""COMPUTED_VALUE"""),"https://drive.google.com/open?id=1IR92fP8qdU6BvCGzsHQHPvMwejZ0T9cz&amp;authuser=jay.agg%40gmail.com&amp;usp=drive_fs")</f>
        <v>https://drive.google.com/open?id=1IR92fP8qdU6BvCGzsHQHPvMwejZ0T9cz&amp;authuser=jay.agg%40gmail.com&amp;usp=drive_fs</v>
      </c>
      <c r="B661" s="73" t="str">
        <f>IFERROR(__xludf.DUMMYFUNCTION("""COMPUTED_VALUE"""),"Daily Essential")</f>
        <v>Daily Essential</v>
      </c>
      <c r="C661" s="73" t="str">
        <f>IFERROR(__xludf.DUMMYFUNCTION("""COMPUTED_VALUE"""),"Bottle")</f>
        <v>Bottle</v>
      </c>
      <c r="D661" s="73" t="str">
        <f>IFERROR(__xludf.DUMMYFUNCTION("""COMPUTED_VALUE""")," 2.5*2.5*4.5 inch | 64*64*115 mm IL")</f>
        <v> 2.5*2.5*4.5 inch | 64*64*115 mm IL</v>
      </c>
      <c r="E661" s="77">
        <f>IFERROR(__xludf.DUMMYFUNCTION("""COMPUTED_VALUE"""),4.0)</f>
        <v>4</v>
      </c>
      <c r="F661" s="77">
        <f>IFERROR(__xludf.DUMMYFUNCTION("""COMPUTED_VALUE"""),1926.0)</f>
        <v>1926</v>
      </c>
      <c r="G661" s="77">
        <f>IFERROR(__xludf.DUMMYFUNCTION("""COMPUTED_VALUE"""),18.0)</f>
        <v>18</v>
      </c>
      <c r="H661" s="77">
        <f>IFERROR(__xludf.DUMMYFUNCTION("""COMPUTED_VALUE"""),23.0)</f>
        <v>23</v>
      </c>
      <c r="I661" s="77">
        <f>IFERROR(__xludf.DUMMYFUNCTION("""COMPUTED_VALUE"""),100.0)</f>
        <v>100</v>
      </c>
      <c r="J661" s="73"/>
      <c r="K661" s="73"/>
      <c r="L661" s="73"/>
      <c r="M661" s="77">
        <f>IFERROR(__xludf.DUMMYFUNCTION("""COMPUTED_VALUE"""),0.1)</f>
        <v>0.1</v>
      </c>
      <c r="N661" s="77">
        <f>IFERROR(__xludf.DUMMYFUNCTION("""COMPUTED_VALUE"""),1.0)</f>
        <v>1</v>
      </c>
      <c r="O661" s="49"/>
      <c r="P661" s="49" t="str">
        <f>IFERROR(__xludf.DUMMYFUNCTION("""COMPUTED_VALUE"""),"Offset")</f>
        <v>Offset</v>
      </c>
      <c r="Q661" s="49" t="str">
        <f>IFERROR(__xludf.DUMMYFUNCTION("""COMPUTED_VALUE"""),"Packaging")</f>
        <v>Packaging</v>
      </c>
      <c r="R661" s="49" t="str">
        <f>IFERROR(__xludf.DUMMYFUNCTION("""COMPUTED_VALUE"""),"Daily Essential")</f>
        <v>Daily Essential</v>
      </c>
    </row>
    <row r="662">
      <c r="A662" s="156" t="str">
        <f>IFERROR(__xludf.DUMMYFUNCTION("""COMPUTED_VALUE"""),"https://drive.google.com/open?id=1I9uzHxvbtWCS5konUIo5MJtKD-TH-YRH&amp;authuser=jay.agg%40gmail.com&amp;usp=drive_fs")</f>
        <v>https://drive.google.com/open?id=1I9uzHxvbtWCS5konUIo5MJtKD-TH-YRH&amp;authuser=jay.agg%40gmail.com&amp;usp=drive_fs</v>
      </c>
      <c r="B662" s="73" t="str">
        <f>IFERROR(__xludf.DUMMYFUNCTION("""COMPUTED_VALUE"""),"Daily Essential")</f>
        <v>Daily Essential</v>
      </c>
      <c r="C662" s="73" t="str">
        <f>IFERROR(__xludf.DUMMYFUNCTION("""COMPUTED_VALUE"""),"Combo Oil Shampoo")</f>
        <v>Combo Oil Shampoo</v>
      </c>
      <c r="D662" s="73" t="str">
        <f>IFERROR(__xludf.DUMMYFUNCTION("""COMPUTED_VALUE"""),"90*50*150 mm IL")</f>
        <v>90*50*150 mm IL</v>
      </c>
      <c r="E662" s="77">
        <f>IFERROR(__xludf.DUMMYFUNCTION("""COMPUTED_VALUE"""),4.0)</f>
        <v>4</v>
      </c>
      <c r="F662" s="77">
        <f>IFERROR(__xludf.DUMMYFUNCTION("""COMPUTED_VALUE"""),1926.0)</f>
        <v>1926</v>
      </c>
      <c r="G662" s="77">
        <f>IFERROR(__xludf.DUMMYFUNCTION("""COMPUTED_VALUE"""),18.0)</f>
        <v>18</v>
      </c>
      <c r="H662" s="77">
        <f>IFERROR(__xludf.DUMMYFUNCTION("""COMPUTED_VALUE"""),25.0)</f>
        <v>25</v>
      </c>
      <c r="I662" s="77">
        <f>IFERROR(__xludf.DUMMYFUNCTION("""COMPUTED_VALUE"""),100.0)</f>
        <v>100</v>
      </c>
      <c r="J662" s="73"/>
      <c r="K662" s="73"/>
      <c r="L662" s="73"/>
      <c r="M662" s="77">
        <f>IFERROR(__xludf.DUMMYFUNCTION("""COMPUTED_VALUE"""),0.1)</f>
        <v>0.1</v>
      </c>
      <c r="N662" s="77">
        <f>IFERROR(__xludf.DUMMYFUNCTION("""COMPUTED_VALUE"""),1.0)</f>
        <v>1</v>
      </c>
      <c r="O662" s="49"/>
      <c r="P662" s="49" t="str">
        <f>IFERROR(__xludf.DUMMYFUNCTION("""COMPUTED_VALUE"""),"Offset")</f>
        <v>Offset</v>
      </c>
      <c r="Q662" s="49" t="str">
        <f>IFERROR(__xludf.DUMMYFUNCTION("""COMPUTED_VALUE"""),"Packaging")</f>
        <v>Packaging</v>
      </c>
      <c r="R662" s="49" t="str">
        <f>IFERROR(__xludf.DUMMYFUNCTION("""COMPUTED_VALUE"""),"Daily Essential")</f>
        <v>Daily Essential</v>
      </c>
    </row>
    <row r="663">
      <c r="A663" s="156" t="str">
        <f>IFERROR(__xludf.DUMMYFUNCTION("""COMPUTED_VALUE"""),"https://drive.google.com/open?id=1I1_k5B7ycYc0pYOF4XELNzy41XzqCmeM&amp;authuser=jay.agg%40gmail.com&amp;usp=drive_fs")</f>
        <v>https://drive.google.com/open?id=1I1_k5B7ycYc0pYOF4XELNzy41XzqCmeM&amp;authuser=jay.agg%40gmail.com&amp;usp=drive_fs</v>
      </c>
      <c r="B663" s="73" t="str">
        <f>IFERROR(__xludf.DUMMYFUNCTION("""COMPUTED_VALUE"""),"Daily Essential")</f>
        <v>Daily Essential</v>
      </c>
      <c r="C663" s="73" t="str">
        <f>IFERROR(__xludf.DUMMYFUNCTION("""COMPUTED_VALUE"""),"Soap Box")</f>
        <v>Soap Box</v>
      </c>
      <c r="D663" s="73" t="str">
        <f>IFERROR(__xludf.DUMMYFUNCTION("""COMPUTED_VALUE"""),"100*70*30 mm")</f>
        <v>100*70*30 mm</v>
      </c>
      <c r="E663" s="77">
        <f>IFERROR(__xludf.DUMMYFUNCTION("""COMPUTED_VALUE"""),9.0)</f>
        <v>9</v>
      </c>
      <c r="F663" s="77">
        <f>IFERROR(__xludf.DUMMYFUNCTION("""COMPUTED_VALUE"""),1926.0)</f>
        <v>1926</v>
      </c>
      <c r="G663" s="77">
        <f>IFERROR(__xludf.DUMMYFUNCTION("""COMPUTED_VALUE"""),19.0)</f>
        <v>19</v>
      </c>
      <c r="H663" s="77">
        <f>IFERROR(__xludf.DUMMYFUNCTION("""COMPUTED_VALUE"""),26.0)</f>
        <v>26</v>
      </c>
      <c r="I663" s="77">
        <f>IFERROR(__xludf.DUMMYFUNCTION("""COMPUTED_VALUE"""),100.0)</f>
        <v>100</v>
      </c>
      <c r="J663" s="73"/>
      <c r="K663" s="73"/>
      <c r="L663" s="73"/>
      <c r="M663" s="77">
        <f>IFERROR(__xludf.DUMMYFUNCTION("""COMPUTED_VALUE"""),0.1)</f>
        <v>0.1</v>
      </c>
      <c r="N663" s="77">
        <f>IFERROR(__xludf.DUMMYFUNCTION("""COMPUTED_VALUE"""),1.0)</f>
        <v>1</v>
      </c>
      <c r="O663" s="49"/>
      <c r="P663" s="49" t="str">
        <f>IFERROR(__xludf.DUMMYFUNCTION("""COMPUTED_VALUE"""),"Offset")</f>
        <v>Offset</v>
      </c>
      <c r="Q663" s="49" t="str">
        <f>IFERROR(__xludf.DUMMYFUNCTION("""COMPUTED_VALUE"""),"Packaging")</f>
        <v>Packaging</v>
      </c>
      <c r="R663" s="49" t="str">
        <f>IFERROR(__xludf.DUMMYFUNCTION("""COMPUTED_VALUE"""),"Daily Essential")</f>
        <v>Daily Essential</v>
      </c>
    </row>
    <row r="664">
      <c r="A664" s="156" t="str">
        <f>IFERROR(__xludf.DUMMYFUNCTION("""COMPUTED_VALUE"""),"https://drive.google.com/open?id=1AZEKdCJDMH-2WS7tZTNosO0ZlZeF222E&amp;authuser=jay.agg%40gmail.com&amp;usp=drive_fs")</f>
        <v>https://drive.google.com/open?id=1AZEKdCJDMH-2WS7tZTNosO0ZlZeF222E&amp;authuser=jay.agg%40gmail.com&amp;usp=drive_fs</v>
      </c>
      <c r="B664" s="73" t="str">
        <f>IFERROR(__xludf.DUMMYFUNCTION("""COMPUTED_VALUE"""),"Daily Essential")</f>
        <v>Daily Essential</v>
      </c>
      <c r="C664" s="73" t="str">
        <f>IFERROR(__xludf.DUMMYFUNCTION("""COMPUTED_VALUE"""),"Soap Box")</f>
        <v>Soap Box</v>
      </c>
      <c r="D664" s="73" t="str">
        <f>IFERROR(__xludf.DUMMYFUNCTION("""COMPUTED_VALUE"""),"51*25*76 mm | 2*1*3 inch")</f>
        <v>51*25*76 mm | 2*1*3 inch</v>
      </c>
      <c r="E664" s="77">
        <f>IFERROR(__xludf.DUMMYFUNCTION("""COMPUTED_VALUE"""),9.0)</f>
        <v>9</v>
      </c>
      <c r="F664" s="77">
        <f>IFERROR(__xludf.DUMMYFUNCTION("""COMPUTED_VALUE"""),1926.0)</f>
        <v>1926</v>
      </c>
      <c r="G664" s="77">
        <f>IFERROR(__xludf.DUMMYFUNCTION("""COMPUTED_VALUE"""),15.75)</f>
        <v>15.75</v>
      </c>
      <c r="H664" s="77">
        <f>IFERROR(__xludf.DUMMYFUNCTION("""COMPUTED_VALUE"""),20.75)</f>
        <v>20.75</v>
      </c>
      <c r="I664" s="77">
        <f>IFERROR(__xludf.DUMMYFUNCTION("""COMPUTED_VALUE"""),100.0)</f>
        <v>100</v>
      </c>
      <c r="J664" s="73"/>
      <c r="K664" s="73"/>
      <c r="L664" s="73"/>
      <c r="M664" s="77">
        <f>IFERROR(__xludf.DUMMYFUNCTION("""COMPUTED_VALUE"""),0.1)</f>
        <v>0.1</v>
      </c>
      <c r="N664" s="77">
        <f>IFERROR(__xludf.DUMMYFUNCTION("""COMPUTED_VALUE"""),1.0)</f>
        <v>1</v>
      </c>
      <c r="O664" s="49"/>
      <c r="P664" s="49" t="str">
        <f>IFERROR(__xludf.DUMMYFUNCTION("""COMPUTED_VALUE"""),"Offset")</f>
        <v>Offset</v>
      </c>
      <c r="Q664" s="49" t="str">
        <f>IFERROR(__xludf.DUMMYFUNCTION("""COMPUTED_VALUE"""),"Packaging")</f>
        <v>Packaging</v>
      </c>
      <c r="R664" s="49" t="str">
        <f>IFERROR(__xludf.DUMMYFUNCTION("""COMPUTED_VALUE"""),"Daily Essential")</f>
        <v>Daily Essential</v>
      </c>
    </row>
    <row r="665">
      <c r="A665" s="156" t="str">
        <f>IFERROR(__xludf.DUMMYFUNCTION("""COMPUTED_VALUE"""),"https://drive.google.com/open?id=1JHODC4mivV4KxR_7fJ7ZGNBuVLTgJk06&amp;authuser=jay.agg%40gmail.com&amp;usp=drive_fs")</f>
        <v>https://drive.google.com/open?id=1JHODC4mivV4KxR_7fJ7ZGNBuVLTgJk06&amp;authuser=jay.agg%40gmail.com&amp;usp=drive_fs</v>
      </c>
      <c r="B665" s="73" t="str">
        <f>IFERROR(__xludf.DUMMYFUNCTION("""COMPUTED_VALUE"""),"Daily Essential")</f>
        <v>Daily Essential</v>
      </c>
      <c r="C665" s="73" t="str">
        <f>IFERROR(__xludf.DUMMYFUNCTION("""COMPUTED_VALUE"""),"Dental Kit")</f>
        <v>Dental Kit</v>
      </c>
      <c r="D665" s="73" t="str">
        <f>IFERROR(__xludf.DUMMYFUNCTION("""COMPUTED_VALUE"""),"7.5*1.5*.7 | 38*18*190 mm")</f>
        <v>7.5*1.5*.7 | 38*18*190 mm</v>
      </c>
      <c r="E665" s="77">
        <f>IFERROR(__xludf.DUMMYFUNCTION("""COMPUTED_VALUE"""),6.0)</f>
        <v>6</v>
      </c>
      <c r="F665" s="77">
        <f>IFERROR(__xludf.DUMMYFUNCTION("""COMPUTED_VALUE"""),1926.0)</f>
        <v>1926</v>
      </c>
      <c r="G665" s="77">
        <f>IFERROR(__xludf.DUMMYFUNCTION("""COMPUTED_VALUE"""),15.0)</f>
        <v>15</v>
      </c>
      <c r="H665" s="77">
        <f>IFERROR(__xludf.DUMMYFUNCTION("""COMPUTED_VALUE"""),20.0)</f>
        <v>20</v>
      </c>
      <c r="I665" s="77">
        <f>IFERROR(__xludf.DUMMYFUNCTION("""COMPUTED_VALUE"""),100.0)</f>
        <v>100</v>
      </c>
      <c r="J665" s="73"/>
      <c r="K665" s="73"/>
      <c r="L665" s="73"/>
      <c r="M665" s="77">
        <f>IFERROR(__xludf.DUMMYFUNCTION("""COMPUTED_VALUE"""),0.1)</f>
        <v>0.1</v>
      </c>
      <c r="N665" s="77">
        <f>IFERROR(__xludf.DUMMYFUNCTION("""COMPUTED_VALUE"""),1.0)</f>
        <v>1</v>
      </c>
      <c r="O665" s="49"/>
      <c r="P665" s="49" t="str">
        <f>IFERROR(__xludf.DUMMYFUNCTION("""COMPUTED_VALUE"""),"Offset")</f>
        <v>Offset</v>
      </c>
      <c r="Q665" s="49" t="str">
        <f>IFERROR(__xludf.DUMMYFUNCTION("""COMPUTED_VALUE"""),"Packaging")</f>
        <v>Packaging</v>
      </c>
      <c r="R665" s="49" t="str">
        <f>IFERROR(__xludf.DUMMYFUNCTION("""COMPUTED_VALUE"""),"Daily Essential")</f>
        <v>Daily Essential</v>
      </c>
    </row>
    <row r="666">
      <c r="A666" s="156" t="str">
        <f>IFERROR(__xludf.DUMMYFUNCTION("""COMPUTED_VALUE"""),"https://drive.google.com/open?id=1JPWpWCvSvWqhxfhBh6Wb1MAZ_vFmkvDZ&amp;authuser=jay.agg%40gmail.com&amp;usp=drive_fs")</f>
        <v>https://drive.google.com/open?id=1JPWpWCvSvWqhxfhBh6Wb1MAZ_vFmkvDZ&amp;authuser=jay.agg%40gmail.com&amp;usp=drive_fs</v>
      </c>
      <c r="B666" s="73" t="str">
        <f>IFERROR(__xludf.DUMMYFUNCTION("""COMPUTED_VALUE"""),"Daily Essential")</f>
        <v>Daily Essential</v>
      </c>
      <c r="C666" s="73" t="str">
        <f>IFERROR(__xludf.DUMMYFUNCTION("""COMPUTED_VALUE"""),"Comb")</f>
        <v>Comb</v>
      </c>
      <c r="D666" s="73" t="str">
        <f>IFERROR(__xludf.DUMMYFUNCTION("""COMPUTED_VALUE"""),"38*10*187 mm")</f>
        <v>38*10*187 mm</v>
      </c>
      <c r="E666" s="77">
        <f>IFERROR(__xludf.DUMMYFUNCTION("""COMPUTED_VALUE"""),12.0)</f>
        <v>12</v>
      </c>
      <c r="F666" s="77">
        <f>IFERROR(__xludf.DUMMYFUNCTION("""COMPUTED_VALUE"""),1926.0)</f>
        <v>1926</v>
      </c>
      <c r="G666" s="77">
        <f>IFERROR(__xludf.DUMMYFUNCTION("""COMPUTED_VALUE"""),19.0)</f>
        <v>19</v>
      </c>
      <c r="H666" s="77">
        <f>IFERROR(__xludf.DUMMYFUNCTION("""COMPUTED_VALUE"""),26.0)</f>
        <v>26</v>
      </c>
      <c r="I666" s="77">
        <f>IFERROR(__xludf.DUMMYFUNCTION("""COMPUTED_VALUE"""),100.0)</f>
        <v>100</v>
      </c>
      <c r="J666" s="73"/>
      <c r="K666" s="73"/>
      <c r="L666" s="73"/>
      <c r="M666" s="77">
        <f>IFERROR(__xludf.DUMMYFUNCTION("""COMPUTED_VALUE"""),0.1)</f>
        <v>0.1</v>
      </c>
      <c r="N666" s="77">
        <f>IFERROR(__xludf.DUMMYFUNCTION("""COMPUTED_VALUE"""),1.0)</f>
        <v>1</v>
      </c>
      <c r="O666" s="49"/>
      <c r="P666" s="49" t="str">
        <f>IFERROR(__xludf.DUMMYFUNCTION("""COMPUTED_VALUE"""),"Offset")</f>
        <v>Offset</v>
      </c>
      <c r="Q666" s="49" t="str">
        <f>IFERROR(__xludf.DUMMYFUNCTION("""COMPUTED_VALUE"""),"Packaging")</f>
        <v>Packaging</v>
      </c>
      <c r="R666" s="49" t="str">
        <f>IFERROR(__xludf.DUMMYFUNCTION("""COMPUTED_VALUE"""),"Daily Essential")</f>
        <v>Daily Essential</v>
      </c>
    </row>
    <row r="667">
      <c r="A667" s="156" t="str">
        <f>IFERROR(__xludf.DUMMYFUNCTION("""COMPUTED_VALUE"""),"https://drive.google.com/open?id=1JQKVsSqsamKj9GgFzwfW6oLyRlRjoov7&amp;authuser=jay.agg%40gmail.com&amp;usp=drive_fs")</f>
        <v>https://drive.google.com/open?id=1JQKVsSqsamKj9GgFzwfW6oLyRlRjoov7&amp;authuser=jay.agg%40gmail.com&amp;usp=drive_fs</v>
      </c>
      <c r="B667" s="73" t="str">
        <f>IFERROR(__xludf.DUMMYFUNCTION("""COMPUTED_VALUE"""),"Daily Essential")</f>
        <v>Daily Essential</v>
      </c>
      <c r="C667" s="73" t="str">
        <f>IFERROR(__xludf.DUMMYFUNCTION("""COMPUTED_VALUE"""),"For Your Care")</f>
        <v>For Your Care</v>
      </c>
      <c r="D667" s="73" t="str">
        <f>IFERROR(__xludf.DUMMYFUNCTION("""COMPUTED_VALUE""")," 44*90*8.25 mm")</f>
        <v> 44*90*8.25 mm</v>
      </c>
      <c r="E667" s="77">
        <f>IFERROR(__xludf.DUMMYFUNCTION("""COMPUTED_VALUE"""),20.0)</f>
        <v>20</v>
      </c>
      <c r="F667" s="77">
        <f>IFERROR(__xludf.DUMMYFUNCTION("""COMPUTED_VALUE"""),1926.0)</f>
        <v>1926</v>
      </c>
      <c r="G667" s="77">
        <f>IFERROR(__xludf.DUMMYFUNCTION("""COMPUTED_VALUE"""),18.0)</f>
        <v>18</v>
      </c>
      <c r="H667" s="77">
        <f>IFERROR(__xludf.DUMMYFUNCTION("""COMPUTED_VALUE"""),21.0)</f>
        <v>21</v>
      </c>
      <c r="I667" s="77">
        <f>IFERROR(__xludf.DUMMYFUNCTION("""COMPUTED_VALUE"""),100.0)</f>
        <v>100</v>
      </c>
      <c r="J667" s="73"/>
      <c r="K667" s="73"/>
      <c r="L667" s="73"/>
      <c r="M667" s="77">
        <f>IFERROR(__xludf.DUMMYFUNCTION("""COMPUTED_VALUE"""),0.1)</f>
        <v>0.1</v>
      </c>
      <c r="N667" s="77">
        <f>IFERROR(__xludf.DUMMYFUNCTION("""COMPUTED_VALUE"""),1.0)</f>
        <v>1</v>
      </c>
      <c r="O667" s="49"/>
      <c r="P667" s="49" t="str">
        <f>IFERROR(__xludf.DUMMYFUNCTION("""COMPUTED_VALUE"""),"Offset")</f>
        <v>Offset</v>
      </c>
      <c r="Q667" s="49" t="str">
        <f>IFERROR(__xludf.DUMMYFUNCTION("""COMPUTED_VALUE"""),"Packaging")</f>
        <v>Packaging</v>
      </c>
      <c r="R667" s="49" t="str">
        <f>IFERROR(__xludf.DUMMYFUNCTION("""COMPUTED_VALUE"""),"Daily Essential")</f>
        <v>Daily Essential</v>
      </c>
    </row>
    <row r="668">
      <c r="A668" s="156" t="str">
        <f>IFERROR(__xludf.DUMMYFUNCTION("""COMPUTED_VALUE"""),"https://drive.google.com/open?id=1JZ9VIiX8wi7Ob991y_HsJwknLQdibCNE&amp;authuser=jay.agg%40gmail.com&amp;usp=drive_fs")</f>
        <v>https://drive.google.com/open?id=1JZ9VIiX8wi7Ob991y_HsJwknLQdibCNE&amp;authuser=jay.agg%40gmail.com&amp;usp=drive_fs</v>
      </c>
      <c r="B668" s="73" t="str">
        <f>IFERROR(__xludf.DUMMYFUNCTION("""COMPUTED_VALUE"""),"Daily Essential")</f>
        <v>Daily Essential</v>
      </c>
      <c r="C668" s="73" t="str">
        <f>IFERROR(__xludf.DUMMYFUNCTION("""COMPUTED_VALUE"""),"Soap Box")</f>
        <v>Soap Box</v>
      </c>
      <c r="D668" s="73" t="str">
        <f>IFERROR(__xludf.DUMMYFUNCTION("""COMPUTED_VALUE"""),"57*13*57 mm")</f>
        <v>57*13*57 mm</v>
      </c>
      <c r="E668" s="77">
        <f>IFERROR(__xludf.DUMMYFUNCTION("""COMPUTED_VALUE"""),21.0)</f>
        <v>21</v>
      </c>
      <c r="F668" s="77">
        <f>IFERROR(__xludf.DUMMYFUNCTION("""COMPUTED_VALUE"""),1926.0)</f>
        <v>1926</v>
      </c>
      <c r="G668" s="77">
        <f>IFERROR(__xludf.DUMMYFUNCTION("""COMPUTED_VALUE"""),18.0)</f>
        <v>18</v>
      </c>
      <c r="H668" s="77">
        <f>IFERROR(__xludf.DUMMYFUNCTION("""COMPUTED_VALUE"""),23.0)</f>
        <v>23</v>
      </c>
      <c r="I668" s="77">
        <f>IFERROR(__xludf.DUMMYFUNCTION("""COMPUTED_VALUE"""),100.0)</f>
        <v>100</v>
      </c>
      <c r="J668" s="73"/>
      <c r="K668" s="73"/>
      <c r="L668" s="73"/>
      <c r="M668" s="77">
        <f>IFERROR(__xludf.DUMMYFUNCTION("""COMPUTED_VALUE"""),0.1)</f>
        <v>0.1</v>
      </c>
      <c r="N668" s="77">
        <f>IFERROR(__xludf.DUMMYFUNCTION("""COMPUTED_VALUE"""),1.0)</f>
        <v>1</v>
      </c>
      <c r="O668" s="49"/>
      <c r="P668" s="49" t="str">
        <f>IFERROR(__xludf.DUMMYFUNCTION("""COMPUTED_VALUE"""),"Offset")</f>
        <v>Offset</v>
      </c>
      <c r="Q668" s="49" t="str">
        <f>IFERROR(__xludf.DUMMYFUNCTION("""COMPUTED_VALUE"""),"Packaging")</f>
        <v>Packaging</v>
      </c>
      <c r="R668" s="49" t="str">
        <f>IFERROR(__xludf.DUMMYFUNCTION("""COMPUTED_VALUE"""),"Daily Essential")</f>
        <v>Daily Essential</v>
      </c>
    </row>
    <row r="669">
      <c r="A669" s="156" t="str">
        <f>IFERROR(__xludf.DUMMYFUNCTION("""COMPUTED_VALUE"""),"https://drive.google.com/open?id=1Jblgy_onFJTAER0vE3PHaCYl1BjASmwG&amp;authuser=jay.agg%40gmail.com&amp;usp=drive_fs")</f>
        <v>https://drive.google.com/open?id=1Jblgy_onFJTAER0vE3PHaCYl1BjASmwG&amp;authuser=jay.agg%40gmail.com&amp;usp=drive_fs</v>
      </c>
      <c r="B669" s="73" t="str">
        <f>IFERROR(__xludf.DUMMYFUNCTION("""COMPUTED_VALUE"""),"Daily Essential")</f>
        <v>Daily Essential</v>
      </c>
      <c r="C669" s="73" t="str">
        <f>IFERROR(__xludf.DUMMYFUNCTION("""COMPUTED_VALUE"""),"Shaving kit")</f>
        <v>Shaving kit</v>
      </c>
      <c r="D669" s="73" t="str">
        <f>IFERROR(__xludf.DUMMYFUNCTION("""COMPUTED_VALUE""")," 51*18*123 mm")</f>
        <v> 51*18*123 mm</v>
      </c>
      <c r="E669" s="77">
        <f>IFERROR(__xludf.DUMMYFUNCTION("""COMPUTED_VALUE"""),9.0)</f>
        <v>9</v>
      </c>
      <c r="F669" s="77">
        <f>IFERROR(__xludf.DUMMYFUNCTION("""COMPUTED_VALUE"""),1926.0)</f>
        <v>1926</v>
      </c>
      <c r="G669" s="77">
        <f>IFERROR(__xludf.DUMMYFUNCTION("""COMPUTED_VALUE"""),18.0)</f>
        <v>18</v>
      </c>
      <c r="H669" s="77">
        <f>IFERROR(__xludf.DUMMYFUNCTION("""COMPUTED_VALUE"""),21.0)</f>
        <v>21</v>
      </c>
      <c r="I669" s="77">
        <f>IFERROR(__xludf.DUMMYFUNCTION("""COMPUTED_VALUE"""),100.0)</f>
        <v>100</v>
      </c>
      <c r="J669" s="73"/>
      <c r="K669" s="73"/>
      <c r="L669" s="73"/>
      <c r="M669" s="77">
        <f>IFERROR(__xludf.DUMMYFUNCTION("""COMPUTED_VALUE"""),0.1)</f>
        <v>0.1</v>
      </c>
      <c r="N669" s="77">
        <f>IFERROR(__xludf.DUMMYFUNCTION("""COMPUTED_VALUE"""),1.0)</f>
        <v>1</v>
      </c>
      <c r="O669" s="49"/>
      <c r="P669" s="49" t="str">
        <f>IFERROR(__xludf.DUMMYFUNCTION("""COMPUTED_VALUE"""),"Offset")</f>
        <v>Offset</v>
      </c>
      <c r="Q669" s="49" t="str">
        <f>IFERROR(__xludf.DUMMYFUNCTION("""COMPUTED_VALUE"""),"Packaging")</f>
        <v>Packaging</v>
      </c>
      <c r="R669" s="49" t="str">
        <f>IFERROR(__xludf.DUMMYFUNCTION("""COMPUTED_VALUE"""),"Daily Essential")</f>
        <v>Daily Essential</v>
      </c>
    </row>
    <row r="670">
      <c r="A670" s="156" t="str">
        <f>IFERROR(__xludf.DUMMYFUNCTION("""COMPUTED_VALUE"""),"https://drive.google.com/open?id=1JdDxediGg_ZfUtouyQLxvCxbjWH3ivEA&amp;authuser=jay.agg%40gmail.com&amp;usp=drive_fs")</f>
        <v>https://drive.google.com/open?id=1JdDxediGg_ZfUtouyQLxvCxbjWH3ivEA&amp;authuser=jay.agg%40gmail.com&amp;usp=drive_fs</v>
      </c>
      <c r="B670" s="73" t="str">
        <f>IFERROR(__xludf.DUMMYFUNCTION("""COMPUTED_VALUE"""),"Daily Essential")</f>
        <v>Daily Essential</v>
      </c>
      <c r="C670" s="73" t="str">
        <f>IFERROR(__xludf.DUMMYFUNCTION("""COMPUTED_VALUE"""),"Shower Cap")</f>
        <v>Shower Cap</v>
      </c>
      <c r="D670" s="73" t="str">
        <f>IFERROR(__xludf.DUMMYFUNCTION("""COMPUTED_VALUE""")," 51*19*64 mm")</f>
        <v> 51*19*64 mm</v>
      </c>
      <c r="E670" s="77">
        <f>IFERROR(__xludf.DUMMYFUNCTION("""COMPUTED_VALUE"""),15.0)</f>
        <v>15</v>
      </c>
      <c r="F670" s="77">
        <f>IFERROR(__xludf.DUMMYFUNCTION("""COMPUTED_VALUE"""),1926.0)</f>
        <v>1926</v>
      </c>
      <c r="G670" s="77">
        <f>IFERROR(__xludf.DUMMYFUNCTION("""COMPUTED_VALUE"""),18.0)</f>
        <v>18</v>
      </c>
      <c r="H670" s="77">
        <f>IFERROR(__xludf.DUMMYFUNCTION("""COMPUTED_VALUE"""),21.0)</f>
        <v>21</v>
      </c>
      <c r="I670" s="77">
        <f>IFERROR(__xludf.DUMMYFUNCTION("""COMPUTED_VALUE"""),100.0)</f>
        <v>100</v>
      </c>
      <c r="J670" s="73"/>
      <c r="K670" s="73"/>
      <c r="L670" s="73"/>
      <c r="M670" s="77">
        <f>IFERROR(__xludf.DUMMYFUNCTION("""COMPUTED_VALUE"""),0.1)</f>
        <v>0.1</v>
      </c>
      <c r="N670" s="77">
        <f>IFERROR(__xludf.DUMMYFUNCTION("""COMPUTED_VALUE"""),1.0)</f>
        <v>1</v>
      </c>
      <c r="O670" s="49"/>
      <c r="P670" s="49" t="str">
        <f>IFERROR(__xludf.DUMMYFUNCTION("""COMPUTED_VALUE"""),"Offset")</f>
        <v>Offset</v>
      </c>
      <c r="Q670" s="49" t="str">
        <f>IFERROR(__xludf.DUMMYFUNCTION("""COMPUTED_VALUE"""),"Packaging")</f>
        <v>Packaging</v>
      </c>
      <c r="R670" s="49" t="str">
        <f>IFERROR(__xludf.DUMMYFUNCTION("""COMPUTED_VALUE"""),"Daily Essential")</f>
        <v>Daily Essential</v>
      </c>
    </row>
    <row r="671">
      <c r="A671" s="156" t="str">
        <f>IFERROR(__xludf.DUMMYFUNCTION("""COMPUTED_VALUE"""),"https://drive.google.com/open?id=1JlTR9Kd1tMUaOrQHDFUw45DgqVzcqWCb&amp;authuser=jay.agg%40gmail.com&amp;usp=drive_fs")</f>
        <v>https://drive.google.com/open?id=1JlTR9Kd1tMUaOrQHDFUw45DgqVzcqWCb&amp;authuser=jay.agg%40gmail.com&amp;usp=drive_fs</v>
      </c>
      <c r="B671" s="73" t="str">
        <f>IFERROR(__xludf.DUMMYFUNCTION("""COMPUTED_VALUE"""),"Daily Essential")</f>
        <v>Daily Essential</v>
      </c>
      <c r="C671" s="73" t="str">
        <f>IFERROR(__xludf.DUMMYFUNCTION("""COMPUTED_VALUE"""),"Cream")</f>
        <v>Cream</v>
      </c>
      <c r="D671" s="73" t="str">
        <f>IFERROR(__xludf.DUMMYFUNCTION("""COMPUTED_VALUE""")," 62*62*52 mm")</f>
        <v> 62*62*52 mm</v>
      </c>
      <c r="E671" s="77">
        <f>IFERROR(__xludf.DUMMYFUNCTION("""COMPUTED_VALUE"""),8.0)</f>
        <v>8</v>
      </c>
      <c r="F671" s="77">
        <f>IFERROR(__xludf.DUMMYFUNCTION("""COMPUTED_VALUE"""),1926.0)</f>
        <v>1926</v>
      </c>
      <c r="G671" s="77">
        <f>IFERROR(__xludf.DUMMYFUNCTION("""COMPUTED_VALUE"""),18.0)</f>
        <v>18</v>
      </c>
      <c r="H671" s="77">
        <f>IFERROR(__xludf.DUMMYFUNCTION("""COMPUTED_VALUE"""),21.0)</f>
        <v>21</v>
      </c>
      <c r="I671" s="77">
        <f>IFERROR(__xludf.DUMMYFUNCTION("""COMPUTED_VALUE"""),100.0)</f>
        <v>100</v>
      </c>
      <c r="J671" s="73"/>
      <c r="K671" s="73"/>
      <c r="L671" s="73"/>
      <c r="M671" s="77">
        <f>IFERROR(__xludf.DUMMYFUNCTION("""COMPUTED_VALUE"""),0.1)</f>
        <v>0.1</v>
      </c>
      <c r="N671" s="77">
        <f>IFERROR(__xludf.DUMMYFUNCTION("""COMPUTED_VALUE"""),1.0)</f>
        <v>1</v>
      </c>
      <c r="O671" s="49"/>
      <c r="P671" s="49" t="str">
        <f>IFERROR(__xludf.DUMMYFUNCTION("""COMPUTED_VALUE"""),"Offset")</f>
        <v>Offset</v>
      </c>
      <c r="Q671" s="49" t="str">
        <f>IFERROR(__xludf.DUMMYFUNCTION("""COMPUTED_VALUE"""),"Packaging")</f>
        <v>Packaging</v>
      </c>
      <c r="R671" s="49" t="str">
        <f>IFERROR(__xludf.DUMMYFUNCTION("""COMPUTED_VALUE"""),"Daily Essential")</f>
        <v>Daily Essential</v>
      </c>
    </row>
    <row r="672">
      <c r="A672" s="156" t="str">
        <f>IFERROR(__xludf.DUMMYFUNCTION("""COMPUTED_VALUE"""),"https://drive.google.com/open?id=1JrehHNpJM_0lUUeJ6GUDs3UcFFSUtLpP&amp;authuser=jay.agg%40gmail.com&amp;usp=drive_fs")</f>
        <v>https://drive.google.com/open?id=1JrehHNpJM_0lUUeJ6GUDs3UcFFSUtLpP&amp;authuser=jay.agg%40gmail.com&amp;usp=drive_fs</v>
      </c>
      <c r="B672" s="73" t="str">
        <f>IFERROR(__xludf.DUMMYFUNCTION("""COMPUTED_VALUE"""),"Daily Essential")</f>
        <v>Daily Essential</v>
      </c>
      <c r="C672" s="73" t="str">
        <f>IFERROR(__xludf.DUMMYFUNCTION("""COMPUTED_VALUE"""),"Cream")</f>
        <v>Cream</v>
      </c>
      <c r="D672" s="73" t="str">
        <f>IFERROR(__xludf.DUMMYFUNCTION("""COMPUTED_VALUE"""),"74*74*79 mm")</f>
        <v>74*74*79 mm</v>
      </c>
      <c r="E672" s="77">
        <f>IFERROR(__xludf.DUMMYFUNCTION("""COMPUTED_VALUE"""),2.0)</f>
        <v>2</v>
      </c>
      <c r="F672" s="77">
        <f>IFERROR(__xludf.DUMMYFUNCTION("""COMPUTED_VALUE"""),1926.0)</f>
        <v>1926</v>
      </c>
      <c r="G672" s="77">
        <f>IFERROR(__xludf.DUMMYFUNCTION("""COMPUTED_VALUE"""),15.0)</f>
        <v>15</v>
      </c>
      <c r="H672" s="77">
        <f>IFERROR(__xludf.DUMMYFUNCTION("""COMPUTED_VALUE"""),25.0)</f>
        <v>25</v>
      </c>
      <c r="I672" s="77">
        <f>IFERROR(__xludf.DUMMYFUNCTION("""COMPUTED_VALUE"""),100.0)</f>
        <v>100</v>
      </c>
      <c r="J672" s="73"/>
      <c r="K672" s="73"/>
      <c r="L672" s="73"/>
      <c r="M672" s="77">
        <f>IFERROR(__xludf.DUMMYFUNCTION("""COMPUTED_VALUE"""),0.1)</f>
        <v>0.1</v>
      </c>
      <c r="N672" s="77">
        <f>IFERROR(__xludf.DUMMYFUNCTION("""COMPUTED_VALUE"""),1.0)</f>
        <v>1</v>
      </c>
      <c r="O672" s="49"/>
      <c r="P672" s="49" t="str">
        <f>IFERROR(__xludf.DUMMYFUNCTION("""COMPUTED_VALUE"""),"Offset")</f>
        <v>Offset</v>
      </c>
      <c r="Q672" s="49" t="str">
        <f>IFERROR(__xludf.DUMMYFUNCTION("""COMPUTED_VALUE"""),"Packaging")</f>
        <v>Packaging</v>
      </c>
      <c r="R672" s="49" t="str">
        <f>IFERROR(__xludf.DUMMYFUNCTION("""COMPUTED_VALUE"""),"Daily Essential")</f>
        <v>Daily Essential</v>
      </c>
    </row>
    <row r="673">
      <c r="A673" s="156" t="str">
        <f>IFERROR(__xludf.DUMMYFUNCTION("""COMPUTED_VALUE"""),"https://drive.google.com/open?id=1JyH50_LSo0kV2QzZXzqYk3NVeMRhBrc_&amp;authuser=jay.agg%40gmail.com&amp;usp=drive_fs")</f>
        <v>https://drive.google.com/open?id=1JyH50_LSo0kV2QzZXzqYk3NVeMRhBrc_&amp;authuser=jay.agg%40gmail.com&amp;usp=drive_fs</v>
      </c>
      <c r="B673" s="73" t="str">
        <f>IFERROR(__xludf.DUMMYFUNCTION("""COMPUTED_VALUE"""),"Daily Essential")</f>
        <v>Daily Essential</v>
      </c>
      <c r="C673" s="73" t="str">
        <f>IFERROR(__xludf.DUMMYFUNCTION("""COMPUTED_VALUE"""),"Lipstick")</f>
        <v>Lipstick</v>
      </c>
      <c r="D673" s="73" t="str">
        <f>IFERROR(__xludf.DUMMYFUNCTION("""COMPUTED_VALUE"""),"100*34*138 mm")</f>
        <v>100*34*138 mm</v>
      </c>
      <c r="E673" s="77">
        <f>IFERROR(__xludf.DUMMYFUNCTION("""COMPUTED_VALUE"""),4.0)</f>
        <v>4</v>
      </c>
      <c r="F673" s="77">
        <f>IFERROR(__xludf.DUMMYFUNCTION("""COMPUTED_VALUE"""),1926.0)</f>
        <v>1926</v>
      </c>
      <c r="G673" s="77">
        <f>IFERROR(__xludf.DUMMYFUNCTION("""COMPUTED_VALUE"""),18.0)</f>
        <v>18</v>
      </c>
      <c r="H673" s="77">
        <f>IFERROR(__xludf.DUMMYFUNCTION("""COMPUTED_VALUE"""),23.0)</f>
        <v>23</v>
      </c>
      <c r="I673" s="77">
        <f>IFERROR(__xludf.DUMMYFUNCTION("""COMPUTED_VALUE"""),100.0)</f>
        <v>100</v>
      </c>
      <c r="J673" s="73"/>
      <c r="K673" s="73"/>
      <c r="L673" s="73"/>
      <c r="M673" s="77">
        <f>IFERROR(__xludf.DUMMYFUNCTION("""COMPUTED_VALUE"""),0.1)</f>
        <v>0.1</v>
      </c>
      <c r="N673" s="77">
        <f>IFERROR(__xludf.DUMMYFUNCTION("""COMPUTED_VALUE"""),1.0)</f>
        <v>1</v>
      </c>
      <c r="O673" s="49"/>
      <c r="P673" s="49" t="str">
        <f>IFERROR(__xludf.DUMMYFUNCTION("""COMPUTED_VALUE"""),"Offset")</f>
        <v>Offset</v>
      </c>
      <c r="Q673" s="49" t="str">
        <f>IFERROR(__xludf.DUMMYFUNCTION("""COMPUTED_VALUE"""),"Packaging")</f>
        <v>Packaging</v>
      </c>
      <c r="R673" s="49" t="str">
        <f>IFERROR(__xludf.DUMMYFUNCTION("""COMPUTED_VALUE"""),"Daily Essential")</f>
        <v>Daily Essential</v>
      </c>
    </row>
    <row r="674">
      <c r="A674" s="156" t="str">
        <f>IFERROR(__xludf.DUMMYFUNCTION("""COMPUTED_VALUE"""),"https://drive.google.com/open?id=1K1Z9Zxq3cLNUceJfZFhecmYSTXQsVkxG&amp;authuser=jay.agg%40gmail.com&amp;usp=drive_fs")</f>
        <v>https://drive.google.com/open?id=1K1Z9Zxq3cLNUceJfZFhecmYSTXQsVkxG&amp;authuser=jay.agg%40gmail.com&amp;usp=drive_fs</v>
      </c>
      <c r="B674" s="73" t="str">
        <f>IFERROR(__xludf.DUMMYFUNCTION("""COMPUTED_VALUE"""),"Daily Essential")</f>
        <v>Daily Essential</v>
      </c>
      <c r="C674" s="73" t="str">
        <f>IFERROR(__xludf.DUMMYFUNCTION("""COMPUTED_VALUE"""),"Hair")</f>
        <v>Hair</v>
      </c>
      <c r="D674" s="73" t="str">
        <f>IFERROR(__xludf.DUMMYFUNCTION("""COMPUTED_VALUE""")," 99*27*189 w 21*135 mm")</f>
        <v> 99*27*189 w 21*135 mm</v>
      </c>
      <c r="E674" s="77">
        <f>IFERROR(__xludf.DUMMYFUNCTION("""COMPUTED_VALUE"""),2.0)</f>
        <v>2</v>
      </c>
      <c r="F674" s="77">
        <f>IFERROR(__xludf.DUMMYFUNCTION("""COMPUTED_VALUE"""),1926.0)</f>
        <v>1926</v>
      </c>
      <c r="G674" s="77">
        <f>IFERROR(__xludf.DUMMYFUNCTION("""COMPUTED_VALUE"""),12.0)</f>
        <v>12</v>
      </c>
      <c r="H674" s="77">
        <f>IFERROR(__xludf.DUMMYFUNCTION("""COMPUTED_VALUE"""),21.0)</f>
        <v>21</v>
      </c>
      <c r="I674" s="77">
        <f>IFERROR(__xludf.DUMMYFUNCTION("""COMPUTED_VALUE"""),100.0)</f>
        <v>100</v>
      </c>
      <c r="J674" s="73"/>
      <c r="K674" s="73"/>
      <c r="L674" s="73"/>
      <c r="M674" s="77">
        <f>IFERROR(__xludf.DUMMYFUNCTION("""COMPUTED_VALUE"""),0.1)</f>
        <v>0.1</v>
      </c>
      <c r="N674" s="77">
        <f>IFERROR(__xludf.DUMMYFUNCTION("""COMPUTED_VALUE"""),1.0)</f>
        <v>1</v>
      </c>
      <c r="O674" s="49"/>
      <c r="P674" s="49" t="str">
        <f>IFERROR(__xludf.DUMMYFUNCTION("""COMPUTED_VALUE"""),"Offset")</f>
        <v>Offset</v>
      </c>
      <c r="Q674" s="49" t="str">
        <f>IFERROR(__xludf.DUMMYFUNCTION("""COMPUTED_VALUE"""),"Packaging")</f>
        <v>Packaging</v>
      </c>
      <c r="R674" s="49" t="str">
        <f>IFERROR(__xludf.DUMMYFUNCTION("""COMPUTED_VALUE"""),"Daily Essential")</f>
        <v>Daily Essential</v>
      </c>
    </row>
    <row r="675">
      <c r="A675" s="156" t="str">
        <f>IFERROR(__xludf.DUMMYFUNCTION("""COMPUTED_VALUE"""),"https://drive.google.com/open?id=1ilCK3TO9i-kXMnEvwd2yn2tFBdAPcy-y&amp;authuser=jay.agg%40gmail.com&amp;usp=drive_fs")</f>
        <v>https://drive.google.com/open?id=1ilCK3TO9i-kXMnEvwd2yn2tFBdAPcy-y&amp;authuser=jay.agg%40gmail.com&amp;usp=drive_fs</v>
      </c>
      <c r="B675" s="73" t="str">
        <f>IFERROR(__xludf.DUMMYFUNCTION("""COMPUTED_VALUE"""),"Daily Essential")</f>
        <v>Daily Essential</v>
      </c>
      <c r="C675" s="73" t="str">
        <f>IFERROR(__xludf.DUMMYFUNCTION("""COMPUTED_VALUE"""),"Baby Powder")</f>
        <v>Baby Powder</v>
      </c>
      <c r="D675" s="73" t="str">
        <f>IFERROR(__xludf.DUMMYFUNCTION("""COMPUTED_VALUE"""),"5.4*5.4*7 cm | 54*54*70 mm IL")</f>
        <v>5.4*5.4*7 cm | 54*54*70 mm IL</v>
      </c>
      <c r="E675" s="77">
        <f>IFERROR(__xludf.DUMMYFUNCTION("""COMPUTED_VALUE"""),8.0)</f>
        <v>8</v>
      </c>
      <c r="F675" s="77">
        <f>IFERROR(__xludf.DUMMYFUNCTION("""COMPUTED_VALUE"""),1926.0)</f>
        <v>1926</v>
      </c>
      <c r="G675" s="77">
        <f>IFERROR(__xludf.DUMMYFUNCTION("""COMPUTED_VALUE"""),19.0)</f>
        <v>19</v>
      </c>
      <c r="H675" s="77">
        <f>IFERROR(__xludf.DUMMYFUNCTION("""COMPUTED_VALUE"""),26.0)</f>
        <v>26</v>
      </c>
      <c r="I675" s="77">
        <f>IFERROR(__xludf.DUMMYFUNCTION("""COMPUTED_VALUE"""),100.0)</f>
        <v>100</v>
      </c>
      <c r="J675" s="73"/>
      <c r="K675" s="73"/>
      <c r="L675" s="73"/>
      <c r="M675" s="77">
        <f>IFERROR(__xludf.DUMMYFUNCTION("""COMPUTED_VALUE"""),0.1)</f>
        <v>0.1</v>
      </c>
      <c r="N675" s="77">
        <f>IFERROR(__xludf.DUMMYFUNCTION("""COMPUTED_VALUE"""),1.0)</f>
        <v>1</v>
      </c>
      <c r="O675" s="49"/>
      <c r="P675" s="49" t="str">
        <f>IFERROR(__xludf.DUMMYFUNCTION("""COMPUTED_VALUE"""),"Offset")</f>
        <v>Offset</v>
      </c>
      <c r="Q675" s="49" t="str">
        <f>IFERROR(__xludf.DUMMYFUNCTION("""COMPUTED_VALUE"""),"Packaging")</f>
        <v>Packaging</v>
      </c>
      <c r="R675" s="49" t="str">
        <f>IFERROR(__xludf.DUMMYFUNCTION("""COMPUTED_VALUE"""),"Daily Essential")</f>
        <v>Daily Essential</v>
      </c>
    </row>
    <row r="676">
      <c r="A676" s="156" t="str">
        <f>IFERROR(__xludf.DUMMYFUNCTION("""COMPUTED_VALUE"""),"https://drive.google.com/open?id=1j8UHMYlqwTGgBMl4ThiwV1zebbtYfiVe&amp;authuser=jay.agg%40gmail.com&amp;usp=drive_fs")</f>
        <v>https://drive.google.com/open?id=1j8UHMYlqwTGgBMl4ThiwV1zebbtYfiVe&amp;authuser=jay.agg%40gmail.com&amp;usp=drive_fs</v>
      </c>
      <c r="B676" s="73" t="str">
        <f>IFERROR(__xludf.DUMMYFUNCTION("""COMPUTED_VALUE"""),"Daily Essential")</f>
        <v>Daily Essential</v>
      </c>
      <c r="C676" s="73" t="str">
        <f>IFERROR(__xludf.DUMMYFUNCTION("""COMPUTED_VALUE"""),"Perfume")</f>
        <v>Perfume</v>
      </c>
      <c r="D676" s="73" t="str">
        <f>IFERROR(__xludf.DUMMYFUNCTION("""COMPUTED_VALUE"""),"47*25*55 mm")</f>
        <v>47*25*55 mm</v>
      </c>
      <c r="E676" s="77">
        <f>IFERROR(__xludf.DUMMYFUNCTION("""COMPUTED_VALUE"""),12.0)</f>
        <v>12</v>
      </c>
      <c r="F676" s="77">
        <f>IFERROR(__xludf.DUMMYFUNCTION("""COMPUTED_VALUE"""),1926.0)</f>
        <v>1926</v>
      </c>
      <c r="G676" s="77">
        <f>IFERROR(__xludf.DUMMYFUNCTION("""COMPUTED_VALUE"""),18.0)</f>
        <v>18</v>
      </c>
      <c r="H676" s="77">
        <f>IFERROR(__xludf.DUMMYFUNCTION("""COMPUTED_VALUE"""),25.0)</f>
        <v>25</v>
      </c>
      <c r="I676" s="77">
        <f>IFERROR(__xludf.DUMMYFUNCTION("""COMPUTED_VALUE"""),100.0)</f>
        <v>100</v>
      </c>
      <c r="J676" s="73"/>
      <c r="K676" s="73"/>
      <c r="L676" s="73"/>
      <c r="M676" s="77">
        <f>IFERROR(__xludf.DUMMYFUNCTION("""COMPUTED_VALUE"""),0.12)</f>
        <v>0.12</v>
      </c>
      <c r="N676" s="77">
        <f>IFERROR(__xludf.DUMMYFUNCTION("""COMPUTED_VALUE"""),1.0)</f>
        <v>1</v>
      </c>
      <c r="O676" s="49"/>
      <c r="P676" s="49" t="str">
        <f>IFERROR(__xludf.DUMMYFUNCTION("""COMPUTED_VALUE"""),"Offset")</f>
        <v>Offset</v>
      </c>
      <c r="Q676" s="49" t="str">
        <f>IFERROR(__xludf.DUMMYFUNCTION("""COMPUTED_VALUE"""),"Packaging")</f>
        <v>Packaging</v>
      </c>
      <c r="R676" s="49" t="str">
        <f>IFERROR(__xludf.DUMMYFUNCTION("""COMPUTED_VALUE"""),"Daily Essential")</f>
        <v>Daily Essential</v>
      </c>
    </row>
    <row r="677">
      <c r="A677" s="156" t="str">
        <f>IFERROR(__xludf.DUMMYFUNCTION("""COMPUTED_VALUE"""),"https://drive.google.com/open?id=1jAys8nIwI3mposxVOfjK-4EdLn7_XH5q&amp;authuser=jay.agg%40gmail.com&amp;usp=drive_fs")</f>
        <v>https://drive.google.com/open?id=1jAys8nIwI3mposxVOfjK-4EdLn7_XH5q&amp;authuser=jay.agg%40gmail.com&amp;usp=drive_fs</v>
      </c>
      <c r="B677" s="73" t="str">
        <f>IFERROR(__xludf.DUMMYFUNCTION("""COMPUTED_VALUE"""),"Daily Essential")</f>
        <v>Daily Essential</v>
      </c>
      <c r="C677" s="73" t="str">
        <f>IFERROR(__xludf.DUMMYFUNCTION("""COMPUTED_VALUE"""),"Perfume")</f>
        <v>Perfume</v>
      </c>
      <c r="D677" s="73" t="str">
        <f>IFERROR(__xludf.DUMMYFUNCTION("""COMPUTED_VALUE"""),"57*25*88 mm")</f>
        <v>57*25*88 mm</v>
      </c>
      <c r="E677" s="77">
        <f>IFERROR(__xludf.DUMMYFUNCTION("""COMPUTED_VALUE"""),6.0)</f>
        <v>6</v>
      </c>
      <c r="F677" s="77">
        <f>IFERROR(__xludf.DUMMYFUNCTION("""COMPUTED_VALUE"""),1926.0)</f>
        <v>1926</v>
      </c>
      <c r="G677" s="77">
        <f>IFERROR(__xludf.DUMMYFUNCTION("""COMPUTED_VALUE"""),18.0)</f>
        <v>18</v>
      </c>
      <c r="H677" s="77">
        <f>IFERROR(__xludf.DUMMYFUNCTION("""COMPUTED_VALUE"""),25.0)</f>
        <v>25</v>
      </c>
      <c r="I677" s="77">
        <f>IFERROR(__xludf.DUMMYFUNCTION("""COMPUTED_VALUE"""),100.0)</f>
        <v>100</v>
      </c>
      <c r="J677" s="73"/>
      <c r="K677" s="73"/>
      <c r="L677" s="73"/>
      <c r="M677" s="77">
        <f>IFERROR(__xludf.DUMMYFUNCTION("""COMPUTED_VALUE"""),0.12)</f>
        <v>0.12</v>
      </c>
      <c r="N677" s="77">
        <f>IFERROR(__xludf.DUMMYFUNCTION("""COMPUTED_VALUE"""),1.0)</f>
        <v>1</v>
      </c>
      <c r="O677" s="49"/>
      <c r="P677" s="49" t="str">
        <f>IFERROR(__xludf.DUMMYFUNCTION("""COMPUTED_VALUE"""),"Offset")</f>
        <v>Offset</v>
      </c>
      <c r="Q677" s="49" t="str">
        <f>IFERROR(__xludf.DUMMYFUNCTION("""COMPUTED_VALUE"""),"Packaging")</f>
        <v>Packaging</v>
      </c>
      <c r="R677" s="49" t="str">
        <f>IFERROR(__xludf.DUMMYFUNCTION("""COMPUTED_VALUE"""),"Daily Essential")</f>
        <v>Daily Essential</v>
      </c>
    </row>
    <row r="678">
      <c r="A678" s="156" t="str">
        <f>IFERROR(__xludf.DUMMYFUNCTION("""COMPUTED_VALUE"""),"https://drive.google.com/open?id=1jkIjYMKHGVEOsiLiTbxwfjNyMb7dlNte&amp;authuser=jay.agg%40gmail.com&amp;usp=drive_fs")</f>
        <v>https://drive.google.com/open?id=1jkIjYMKHGVEOsiLiTbxwfjNyMb7dlNte&amp;authuser=jay.agg%40gmail.com&amp;usp=drive_fs</v>
      </c>
      <c r="B678" s="73" t="str">
        <f>IFERROR(__xludf.DUMMYFUNCTION("""COMPUTED_VALUE"""),"Daily Essential")</f>
        <v>Daily Essential</v>
      </c>
      <c r="C678" s="73" t="str">
        <f>IFERROR(__xludf.DUMMYFUNCTION("""COMPUTED_VALUE"""),"Tongue Cleaner")</f>
        <v>Tongue Cleaner</v>
      </c>
      <c r="D678" s="73" t="str">
        <f>IFERROR(__xludf.DUMMYFUNCTION("""COMPUTED_VALUE"""),"50*10*140 mm")</f>
        <v>50*10*140 mm</v>
      </c>
      <c r="E678" s="77">
        <f>IFERROR(__xludf.DUMMYFUNCTION("""COMPUTED_VALUE"""),9.0)</f>
        <v>9</v>
      </c>
      <c r="F678" s="77">
        <f>IFERROR(__xludf.DUMMYFUNCTION("""COMPUTED_VALUE"""),1926.0)</f>
        <v>1926</v>
      </c>
      <c r="G678" s="77">
        <f>IFERROR(__xludf.DUMMYFUNCTION("""COMPUTED_VALUE"""),15.75)</f>
        <v>15.75</v>
      </c>
      <c r="H678" s="77">
        <f>IFERROR(__xludf.DUMMYFUNCTION("""COMPUTED_VALUE"""),20.75)</f>
        <v>20.75</v>
      </c>
      <c r="I678" s="77">
        <f>IFERROR(__xludf.DUMMYFUNCTION("""COMPUTED_VALUE"""),100.0)</f>
        <v>100</v>
      </c>
      <c r="J678" s="73"/>
      <c r="K678" s="73"/>
      <c r="L678" s="73"/>
      <c r="M678" s="77">
        <f>IFERROR(__xludf.DUMMYFUNCTION("""COMPUTED_VALUE"""),0.1)</f>
        <v>0.1</v>
      </c>
      <c r="N678" s="77">
        <f>IFERROR(__xludf.DUMMYFUNCTION("""COMPUTED_VALUE"""),1.0)</f>
        <v>1</v>
      </c>
      <c r="O678" s="49"/>
      <c r="P678" s="49" t="str">
        <f>IFERROR(__xludf.DUMMYFUNCTION("""COMPUTED_VALUE"""),"Offset")</f>
        <v>Offset</v>
      </c>
      <c r="Q678" s="49" t="str">
        <f>IFERROR(__xludf.DUMMYFUNCTION("""COMPUTED_VALUE"""),"Packaging")</f>
        <v>Packaging</v>
      </c>
      <c r="R678" s="49" t="str">
        <f>IFERROR(__xludf.DUMMYFUNCTION("""COMPUTED_VALUE"""),"Daily Essential")</f>
        <v>Daily Essential</v>
      </c>
    </row>
    <row r="679">
      <c r="A679" s="156" t="str">
        <f>IFERROR(__xludf.DUMMYFUNCTION("""COMPUTED_VALUE"""),"https://drive.google.com/open?id=1jv5wYbzpnj5TFpggaNRzcKuZ2zdSJXAr&amp;authuser=jay.agg%40gmail.com&amp;usp=drive_fs")</f>
        <v>https://drive.google.com/open?id=1jv5wYbzpnj5TFpggaNRzcKuZ2zdSJXAr&amp;authuser=jay.agg%40gmail.com&amp;usp=drive_fs</v>
      </c>
      <c r="B679" s="73" t="str">
        <f>IFERROR(__xludf.DUMMYFUNCTION("""COMPUTED_VALUE"""),"Daily Essential")</f>
        <v>Daily Essential</v>
      </c>
      <c r="C679" s="73" t="str">
        <f>IFERROR(__xludf.DUMMYFUNCTION("""COMPUTED_VALUE"""),"Soap Box")</f>
        <v>Soap Box</v>
      </c>
      <c r="D679" s="73" t="str">
        <f>IFERROR(__xludf.DUMMYFUNCTION("""COMPUTED_VALUE"""),"75*50*25 mm")</f>
        <v>75*50*25 mm</v>
      </c>
      <c r="E679" s="77">
        <f>IFERROR(__xludf.DUMMYFUNCTION("""COMPUTED_VALUE"""),15.0)</f>
        <v>15</v>
      </c>
      <c r="F679" s="77">
        <f>IFERROR(__xludf.DUMMYFUNCTION("""COMPUTED_VALUE"""),1926.0)</f>
        <v>1926</v>
      </c>
      <c r="G679" s="77">
        <f>IFERROR(__xludf.DUMMYFUNCTION("""COMPUTED_VALUE"""),19.0)</f>
        <v>19</v>
      </c>
      <c r="H679" s="77">
        <f>IFERROR(__xludf.DUMMYFUNCTION("""COMPUTED_VALUE"""),26.0)</f>
        <v>26</v>
      </c>
      <c r="I679" s="77">
        <f>IFERROR(__xludf.DUMMYFUNCTION("""COMPUTED_VALUE"""),100.0)</f>
        <v>100</v>
      </c>
      <c r="J679" s="73"/>
      <c r="K679" s="73"/>
      <c r="L679" s="73"/>
      <c r="M679" s="77">
        <f>IFERROR(__xludf.DUMMYFUNCTION("""COMPUTED_VALUE"""),0.1)</f>
        <v>0.1</v>
      </c>
      <c r="N679" s="77">
        <f>IFERROR(__xludf.DUMMYFUNCTION("""COMPUTED_VALUE"""),1.0)</f>
        <v>1</v>
      </c>
      <c r="O679" s="49"/>
      <c r="P679" s="49" t="str">
        <f>IFERROR(__xludf.DUMMYFUNCTION("""COMPUTED_VALUE"""),"Offset")</f>
        <v>Offset</v>
      </c>
      <c r="Q679" s="49" t="str">
        <f>IFERROR(__xludf.DUMMYFUNCTION("""COMPUTED_VALUE"""),"Packaging")</f>
        <v>Packaging</v>
      </c>
      <c r="R679" s="49" t="str">
        <f>IFERROR(__xludf.DUMMYFUNCTION("""COMPUTED_VALUE"""),"Daily Essential")</f>
        <v>Daily Essential</v>
      </c>
    </row>
    <row r="680">
      <c r="A680" s="156" t="str">
        <f>IFERROR(__xludf.DUMMYFUNCTION("""COMPUTED_VALUE"""),"https://drive.google.com/open?id=1lL3fY0JqL55UqaNQTgLjc2WLX02nTy-i&amp;authuser=jay.agg%40gmail.com&amp;usp=drive_fs")</f>
        <v>https://drive.google.com/open?id=1lL3fY0JqL55UqaNQTgLjc2WLX02nTy-i&amp;authuser=jay.agg%40gmail.com&amp;usp=drive_fs</v>
      </c>
      <c r="B680" s="73" t="str">
        <f>IFERROR(__xludf.DUMMYFUNCTION("""COMPUTED_VALUE"""),"Daily Essential")</f>
        <v>Daily Essential</v>
      </c>
      <c r="C680" s="73" t="str">
        <f>IFERROR(__xludf.DUMMYFUNCTION("""COMPUTED_VALUE"""),"Tooth Brush")</f>
        <v>Tooth Brush</v>
      </c>
      <c r="D680" s="73" t="str">
        <f>IFERROR(__xludf.DUMMYFUNCTION("""COMPUTED_VALUE"""),"195*30 mm")</f>
        <v>195*30 mm</v>
      </c>
      <c r="E680" s="77">
        <f>IFERROR(__xludf.DUMMYFUNCTION("""COMPUTED_VALUE"""),14.0)</f>
        <v>14</v>
      </c>
      <c r="F680" s="77">
        <f>IFERROR(__xludf.DUMMYFUNCTION("""COMPUTED_VALUE"""),1926.0)</f>
        <v>1926</v>
      </c>
      <c r="G680" s="77">
        <f>IFERROR(__xludf.DUMMYFUNCTION("""COMPUTED_VALUE"""),19.0)</f>
        <v>19</v>
      </c>
      <c r="H680" s="77">
        <f>IFERROR(__xludf.DUMMYFUNCTION("""COMPUTED_VALUE"""),20.0)</f>
        <v>20</v>
      </c>
      <c r="I680" s="77">
        <f>IFERROR(__xludf.DUMMYFUNCTION("""COMPUTED_VALUE"""),100.0)</f>
        <v>100</v>
      </c>
      <c r="J680" s="73"/>
      <c r="K680" s="73"/>
      <c r="L680" s="73"/>
      <c r="M680" s="77">
        <f>IFERROR(__xludf.DUMMYFUNCTION("""COMPUTED_VALUE"""),0.1)</f>
        <v>0.1</v>
      </c>
      <c r="N680" s="77">
        <f>IFERROR(__xludf.DUMMYFUNCTION("""COMPUTED_VALUE"""),1.0)</f>
        <v>1</v>
      </c>
      <c r="O680" s="49"/>
      <c r="P680" s="49" t="str">
        <f>IFERROR(__xludf.DUMMYFUNCTION("""COMPUTED_VALUE"""),"Offset")</f>
        <v>Offset</v>
      </c>
      <c r="Q680" s="49" t="str">
        <f>IFERROR(__xludf.DUMMYFUNCTION("""COMPUTED_VALUE"""),"Packaging")</f>
        <v>Packaging</v>
      </c>
      <c r="R680" s="49" t="str">
        <f>IFERROR(__xludf.DUMMYFUNCTION("""COMPUTED_VALUE"""),"Daily Essential")</f>
        <v>Daily Essential</v>
      </c>
    </row>
    <row r="681">
      <c r="A681" s="156" t="str">
        <f>IFERROR(__xludf.DUMMYFUNCTION("""COMPUTED_VALUE"""),"https://drive.google.com/open?id=1lUKK3mKF424aqkhZb80WMehb8wmh6mCE&amp;authuser=jay.agg%40gmail.com&amp;usp=drive_fs")</f>
        <v>https://drive.google.com/open?id=1lUKK3mKF424aqkhZb80WMehb8wmh6mCE&amp;authuser=jay.agg%40gmail.com&amp;usp=drive_fs</v>
      </c>
      <c r="B681" s="73" t="str">
        <f>IFERROR(__xludf.DUMMYFUNCTION("""COMPUTED_VALUE"""),"Daily Essential")</f>
        <v>Daily Essential</v>
      </c>
      <c r="C681" s="73" t="str">
        <f>IFERROR(__xludf.DUMMYFUNCTION("""COMPUTED_VALUE"""),"Oil")</f>
        <v>Oil</v>
      </c>
      <c r="D681" s="73" t="str">
        <f>IFERROR(__xludf.DUMMYFUNCTION("""COMPUTED_VALUE"""),"34*34*124 mm LB")</f>
        <v>34*34*124 mm LB</v>
      </c>
      <c r="E681" s="77">
        <f>IFERROR(__xludf.DUMMYFUNCTION("""COMPUTED_VALUE"""),9.0)</f>
        <v>9</v>
      </c>
      <c r="F681" s="77">
        <f>IFERROR(__xludf.DUMMYFUNCTION("""COMPUTED_VALUE"""),1926.0)</f>
        <v>1926</v>
      </c>
      <c r="G681" s="77">
        <f>IFERROR(__xludf.DUMMYFUNCTION("""COMPUTED_VALUE"""),18.0)</f>
        <v>18</v>
      </c>
      <c r="H681" s="77">
        <f>IFERROR(__xludf.DUMMYFUNCTION("""COMPUTED_VALUE"""),21.0)</f>
        <v>21</v>
      </c>
      <c r="I681" s="77">
        <f>IFERROR(__xludf.DUMMYFUNCTION("""COMPUTED_VALUE"""),100.0)</f>
        <v>100</v>
      </c>
      <c r="J681" s="73"/>
      <c r="K681" s="73"/>
      <c r="L681" s="73"/>
      <c r="M681" s="77">
        <f>IFERROR(__xludf.DUMMYFUNCTION("""COMPUTED_VALUE"""),0.16)</f>
        <v>0.16</v>
      </c>
      <c r="N681" s="77">
        <f>IFERROR(__xludf.DUMMYFUNCTION("""COMPUTED_VALUE"""),1.0)</f>
        <v>1</v>
      </c>
      <c r="O681" s="49"/>
      <c r="P681" s="49" t="str">
        <f>IFERROR(__xludf.DUMMYFUNCTION("""COMPUTED_VALUE"""),"Offset")</f>
        <v>Offset</v>
      </c>
      <c r="Q681" s="49" t="str">
        <f>IFERROR(__xludf.DUMMYFUNCTION("""COMPUTED_VALUE"""),"Packaging")</f>
        <v>Packaging</v>
      </c>
      <c r="R681" s="49" t="str">
        <f>IFERROR(__xludf.DUMMYFUNCTION("""COMPUTED_VALUE"""),"Daily Essential")</f>
        <v>Daily Essential</v>
      </c>
    </row>
    <row r="682">
      <c r="A682" s="156" t="str">
        <f>IFERROR(__xludf.DUMMYFUNCTION("""COMPUTED_VALUE"""),"https://drive.google.com/open?id=1lW8235AG5JoVgWQKTbwcKpQ6rqnK53Oc&amp;authuser=jay.agg%40gmail.com&amp;usp=drive_fs")</f>
        <v>https://drive.google.com/open?id=1lW8235AG5JoVgWQKTbwcKpQ6rqnK53Oc&amp;authuser=jay.agg%40gmail.com&amp;usp=drive_fs</v>
      </c>
      <c r="B682" s="73" t="str">
        <f>IFERROR(__xludf.DUMMYFUNCTION("""COMPUTED_VALUE"""),"Daily Essential")</f>
        <v>Daily Essential</v>
      </c>
      <c r="C682" s="73" t="str">
        <f>IFERROR(__xludf.DUMMYFUNCTION("""COMPUTED_VALUE"""),"Oil")</f>
        <v>Oil</v>
      </c>
      <c r="D682" s="73" t="str">
        <f>IFERROR(__xludf.DUMMYFUNCTION("""COMPUTED_VALUE"""),"45*34*115 mm LB")</f>
        <v>45*34*115 mm LB</v>
      </c>
      <c r="E682" s="77">
        <f>IFERROR(__xludf.DUMMYFUNCTION("""COMPUTED_VALUE"""),6.0)</f>
        <v>6</v>
      </c>
      <c r="F682" s="77">
        <f>IFERROR(__xludf.DUMMYFUNCTION("""COMPUTED_VALUE"""),1926.0)</f>
        <v>1926</v>
      </c>
      <c r="G682" s="77">
        <f>IFERROR(__xludf.DUMMYFUNCTION("""COMPUTED_VALUE"""),14.0)</f>
        <v>14</v>
      </c>
      <c r="H682" s="77">
        <f>IFERROR(__xludf.DUMMYFUNCTION("""COMPUTED_VALUE"""),22.0)</f>
        <v>22</v>
      </c>
      <c r="I682" s="77">
        <f>IFERROR(__xludf.DUMMYFUNCTION("""COMPUTED_VALUE"""),100.0)</f>
        <v>100</v>
      </c>
      <c r="J682" s="73"/>
      <c r="K682" s="73"/>
      <c r="L682" s="73"/>
      <c r="M682" s="77">
        <f>IFERROR(__xludf.DUMMYFUNCTION("""COMPUTED_VALUE"""),0.16)</f>
        <v>0.16</v>
      </c>
      <c r="N682" s="77">
        <f>IFERROR(__xludf.DUMMYFUNCTION("""COMPUTED_VALUE"""),1.0)</f>
        <v>1</v>
      </c>
      <c r="O682" s="49"/>
      <c r="P682" s="49" t="str">
        <f>IFERROR(__xludf.DUMMYFUNCTION("""COMPUTED_VALUE"""),"Offset")</f>
        <v>Offset</v>
      </c>
      <c r="Q682" s="49" t="str">
        <f>IFERROR(__xludf.DUMMYFUNCTION("""COMPUTED_VALUE"""),"Packaging")</f>
        <v>Packaging</v>
      </c>
      <c r="R682" s="49" t="str">
        <f>IFERROR(__xludf.DUMMYFUNCTION("""COMPUTED_VALUE"""),"Daily Essential")</f>
        <v>Daily Essential</v>
      </c>
    </row>
    <row r="683">
      <c r="A683" s="156" t="str">
        <f>IFERROR(__xludf.DUMMYFUNCTION("""COMPUTED_VALUE"""),"https://drive.google.com/open?id=1lfMXlK65ldyN9sLH9TGVtQZT23ZshOsy&amp;authuser=jay.agg%40gmail.com&amp;usp=drive_fs")</f>
        <v>https://drive.google.com/open?id=1lfMXlK65ldyN9sLH9TGVtQZT23ZshOsy&amp;authuser=jay.agg%40gmail.com&amp;usp=drive_fs</v>
      </c>
      <c r="B683" s="73" t="str">
        <f>IFERROR(__xludf.DUMMYFUNCTION("""COMPUTED_VALUE"""),"Daily Essential")</f>
        <v>Daily Essential</v>
      </c>
      <c r="C683" s="73" t="str">
        <f>IFERROR(__xludf.DUMMYFUNCTION("""COMPUTED_VALUE"""),"Bottle Cleaner")</f>
        <v>Bottle Cleaner</v>
      </c>
      <c r="D683" s="73" t="str">
        <f>IFERROR(__xludf.DUMMYFUNCTION("""COMPUTED_VALUE"""),"150*75*254 mm | 6*3*10 inch LB")</f>
        <v>150*75*254 mm | 6*3*10 inch LB</v>
      </c>
      <c r="E683" s="77">
        <f>IFERROR(__xludf.DUMMYFUNCTION("""COMPUTED_VALUE"""),2.0)</f>
        <v>2</v>
      </c>
      <c r="F683" s="77">
        <f>IFERROR(__xludf.DUMMYFUNCTION("""COMPUTED_VALUE"""),2029.0)</f>
        <v>2029</v>
      </c>
      <c r="G683" s="77">
        <f>IFERROR(__xludf.DUMMYFUNCTION("""COMPUTED_VALUE"""),20.0)</f>
        <v>20</v>
      </c>
      <c r="H683" s="77">
        <f>IFERROR(__xludf.DUMMYFUNCTION("""COMPUTED_VALUE"""),30.0)</f>
        <v>30</v>
      </c>
      <c r="I683" s="77">
        <f>IFERROR(__xludf.DUMMYFUNCTION("""COMPUTED_VALUE"""),100.0)</f>
        <v>100</v>
      </c>
      <c r="J683" s="73"/>
      <c r="K683" s="73"/>
      <c r="L683" s="73"/>
      <c r="M683" s="77">
        <f>IFERROR(__xludf.DUMMYFUNCTION("""COMPUTED_VALUE"""),0.16)</f>
        <v>0.16</v>
      </c>
      <c r="N683" s="77">
        <f>IFERROR(__xludf.DUMMYFUNCTION("""COMPUTED_VALUE"""),1.0)</f>
        <v>1</v>
      </c>
      <c r="O683" s="49"/>
      <c r="P683" s="49" t="str">
        <f>IFERROR(__xludf.DUMMYFUNCTION("""COMPUTED_VALUE"""),"Offset")</f>
        <v>Offset</v>
      </c>
      <c r="Q683" s="49" t="str">
        <f>IFERROR(__xludf.DUMMYFUNCTION("""COMPUTED_VALUE"""),"Packaging")</f>
        <v>Packaging</v>
      </c>
      <c r="R683" s="49" t="str">
        <f>IFERROR(__xludf.DUMMYFUNCTION("""COMPUTED_VALUE"""),"Daily Essential")</f>
        <v>Daily Essential</v>
      </c>
    </row>
    <row r="684">
      <c r="A684" s="156" t="str">
        <f>IFERROR(__xludf.DUMMYFUNCTION("""COMPUTED_VALUE"""),"https://drive.google.com/open?id=1oNEr7_Ao4OviZmC6mGtEEEyg_7f5vqXC&amp;authuser=jay.agg%40gmail.com&amp;usp=drive_fs")</f>
        <v>https://drive.google.com/open?id=1oNEr7_Ao4OviZmC6mGtEEEyg_7f5vqXC&amp;authuser=jay.agg%40gmail.com&amp;usp=drive_fs</v>
      </c>
      <c r="B684" s="73" t="str">
        <f>IFERROR(__xludf.DUMMYFUNCTION("""COMPUTED_VALUE"""),"Daily Essential")</f>
        <v>Daily Essential</v>
      </c>
      <c r="C684" s="73" t="str">
        <f>IFERROR(__xludf.DUMMYFUNCTION("""COMPUTED_VALUE"""),"Soap Box")</f>
        <v>Soap Box</v>
      </c>
      <c r="D684" s="73" t="str">
        <f>IFERROR(__xludf.DUMMYFUNCTION("""COMPUTED_VALUE"""),"80*54*15 mm")</f>
        <v>80*54*15 mm</v>
      </c>
      <c r="E684" s="77">
        <f>IFERROR(__xludf.DUMMYFUNCTION("""COMPUTED_VALUE"""),15.0)</f>
        <v>15</v>
      </c>
      <c r="F684" s="77">
        <f>IFERROR(__xludf.DUMMYFUNCTION("""COMPUTED_VALUE"""),1926.0)</f>
        <v>1926</v>
      </c>
      <c r="G684" s="77">
        <f>IFERROR(__xludf.DUMMYFUNCTION("""COMPUTED_VALUE"""),18.0)</f>
        <v>18</v>
      </c>
      <c r="H684" s="77">
        <f>IFERROR(__xludf.DUMMYFUNCTION("""COMPUTED_VALUE"""),23.0)</f>
        <v>23</v>
      </c>
      <c r="I684" s="77">
        <f>IFERROR(__xludf.DUMMYFUNCTION("""COMPUTED_VALUE"""),100.0)</f>
        <v>100</v>
      </c>
      <c r="J684" s="73"/>
      <c r="K684" s="73"/>
      <c r="L684" s="73"/>
      <c r="M684" s="77">
        <f>IFERROR(__xludf.DUMMYFUNCTION("""COMPUTED_VALUE"""),0.1)</f>
        <v>0.1</v>
      </c>
      <c r="N684" s="77">
        <f>IFERROR(__xludf.DUMMYFUNCTION("""COMPUTED_VALUE"""),1.0)</f>
        <v>1</v>
      </c>
      <c r="O684" s="49"/>
      <c r="P684" s="49" t="str">
        <f>IFERROR(__xludf.DUMMYFUNCTION("""COMPUTED_VALUE"""),"Offset")</f>
        <v>Offset</v>
      </c>
      <c r="Q684" s="49" t="str">
        <f>IFERROR(__xludf.DUMMYFUNCTION("""COMPUTED_VALUE"""),"Packaging")</f>
        <v>Packaging</v>
      </c>
      <c r="R684" s="49" t="str">
        <f>IFERROR(__xludf.DUMMYFUNCTION("""COMPUTED_VALUE"""),"Daily Essential")</f>
        <v>Daily Essential</v>
      </c>
    </row>
    <row r="685">
      <c r="A685" s="156" t="str">
        <f>IFERROR(__xludf.DUMMYFUNCTION("""COMPUTED_VALUE"""),"https://drive.google.com/open?id=1pAM1OZbXy4o8q06VTZeK4tPMYumrmObB&amp;authuser=jay.agg%40gmail.com&amp;usp=drive_fs")</f>
        <v>https://drive.google.com/open?id=1pAM1OZbXy4o8q06VTZeK4tPMYumrmObB&amp;authuser=jay.agg%40gmail.com&amp;usp=drive_fs</v>
      </c>
      <c r="B685" s="73" t="str">
        <f>IFERROR(__xludf.DUMMYFUNCTION("""COMPUTED_VALUE"""),"Daily Essential")</f>
        <v>Daily Essential</v>
      </c>
      <c r="C685" s="73" t="str">
        <f>IFERROR(__xludf.DUMMYFUNCTION("""COMPUTED_VALUE"""),"Soap Box")</f>
        <v>Soap Box</v>
      </c>
      <c r="D685" s="73" t="str">
        <f>IFERROR(__xludf.DUMMYFUNCTION("""COMPUTED_VALUE"""),"50*27*70 mm")</f>
        <v>50*27*70 mm</v>
      </c>
      <c r="E685" s="77">
        <f>IFERROR(__xludf.DUMMYFUNCTION("""COMPUTED_VALUE"""),9.0)</f>
        <v>9</v>
      </c>
      <c r="F685" s="77">
        <f>IFERROR(__xludf.DUMMYFUNCTION("""COMPUTED_VALUE"""),1926.0)</f>
        <v>1926</v>
      </c>
      <c r="G685" s="77">
        <f>IFERROR(__xludf.DUMMYFUNCTION("""COMPUTED_VALUE"""),15.0)</f>
        <v>15</v>
      </c>
      <c r="H685" s="77">
        <f>IFERROR(__xludf.DUMMYFUNCTION("""COMPUTED_VALUE"""),20.0)</f>
        <v>20</v>
      </c>
      <c r="I685" s="77">
        <f>IFERROR(__xludf.DUMMYFUNCTION("""COMPUTED_VALUE"""),100.0)</f>
        <v>100</v>
      </c>
      <c r="J685" s="73"/>
      <c r="K685" s="73"/>
      <c r="L685" s="73"/>
      <c r="M685" s="77">
        <f>IFERROR(__xludf.DUMMYFUNCTION("""COMPUTED_VALUE"""),0.1)</f>
        <v>0.1</v>
      </c>
      <c r="N685" s="77">
        <f>IFERROR(__xludf.DUMMYFUNCTION("""COMPUTED_VALUE"""),1.0)</f>
        <v>1</v>
      </c>
      <c r="O685" s="49"/>
      <c r="P685" s="49" t="str">
        <f>IFERROR(__xludf.DUMMYFUNCTION("""COMPUTED_VALUE"""),"Offset")</f>
        <v>Offset</v>
      </c>
      <c r="Q685" s="49" t="str">
        <f>IFERROR(__xludf.DUMMYFUNCTION("""COMPUTED_VALUE"""),"Packaging")</f>
        <v>Packaging</v>
      </c>
      <c r="R685" s="49" t="str">
        <f>IFERROR(__xludf.DUMMYFUNCTION("""COMPUTED_VALUE"""),"Daily Essential")</f>
        <v>Daily Essential</v>
      </c>
    </row>
    <row r="686">
      <c r="A686" s="156" t="str">
        <f>IFERROR(__xludf.DUMMYFUNCTION("""COMPUTED_VALUE"""),"https://drive.google.com/open?id=1pAYNI_wFrkfDy1kfR_VR7XZNkF3xF4C6&amp;authuser=jay.agg%40gmail.com&amp;usp=drive_fs")</f>
        <v>https://drive.google.com/open?id=1pAYNI_wFrkfDy1kfR_VR7XZNkF3xF4C6&amp;authuser=jay.agg%40gmail.com&amp;usp=drive_fs</v>
      </c>
      <c r="B686" s="73" t="str">
        <f>IFERROR(__xludf.DUMMYFUNCTION("""COMPUTED_VALUE"""),"Daily Essential")</f>
        <v>Daily Essential</v>
      </c>
      <c r="C686" s="73" t="str">
        <f>IFERROR(__xludf.DUMMYFUNCTION("""COMPUTED_VALUE"""),"Soap Box")</f>
        <v>Soap Box</v>
      </c>
      <c r="D686" s="73" t="str">
        <f>IFERROR(__xludf.DUMMYFUNCTION("""COMPUTED_VALUE"""),"70*27*90 mm")</f>
        <v>70*27*90 mm</v>
      </c>
      <c r="E686" s="77">
        <f>IFERROR(__xludf.DUMMYFUNCTION("""COMPUTED_VALUE"""),9.0)</f>
        <v>9</v>
      </c>
      <c r="F686" s="77">
        <f>IFERROR(__xludf.DUMMYFUNCTION("""COMPUTED_VALUE"""),1926.0)</f>
        <v>1926</v>
      </c>
      <c r="G686" s="77">
        <f>IFERROR(__xludf.DUMMYFUNCTION("""COMPUTED_VALUE"""),18.0)</f>
        <v>18</v>
      </c>
      <c r="H686" s="77">
        <f>IFERROR(__xludf.DUMMYFUNCTION("""COMPUTED_VALUE"""),25.0)</f>
        <v>25</v>
      </c>
      <c r="I686" s="77">
        <f>IFERROR(__xludf.DUMMYFUNCTION("""COMPUTED_VALUE"""),100.0)</f>
        <v>100</v>
      </c>
      <c r="J686" s="73"/>
      <c r="K686" s="73"/>
      <c r="L686" s="73"/>
      <c r="M686" s="77">
        <f>IFERROR(__xludf.DUMMYFUNCTION("""COMPUTED_VALUE"""),0.1)</f>
        <v>0.1</v>
      </c>
      <c r="N686" s="77">
        <f>IFERROR(__xludf.DUMMYFUNCTION("""COMPUTED_VALUE"""),1.0)</f>
        <v>1</v>
      </c>
      <c r="O686" s="49"/>
      <c r="P686" s="49" t="str">
        <f>IFERROR(__xludf.DUMMYFUNCTION("""COMPUTED_VALUE"""),"Offset")</f>
        <v>Offset</v>
      </c>
      <c r="Q686" s="49" t="str">
        <f>IFERROR(__xludf.DUMMYFUNCTION("""COMPUTED_VALUE"""),"Packaging")</f>
        <v>Packaging</v>
      </c>
      <c r="R686" s="49" t="str">
        <f>IFERROR(__xludf.DUMMYFUNCTION("""COMPUTED_VALUE"""),"Daily Essential")</f>
        <v>Daily Essential</v>
      </c>
    </row>
    <row r="687">
      <c r="A687" s="156" t="str">
        <f>IFERROR(__xludf.DUMMYFUNCTION("""COMPUTED_VALUE"""),"https://drive.google.com/open?id=1GjRdzqABm0JQP5KgaqpLeaK9V8qJ0ZoA&amp;authuser=jay.agg%40gmail.com&amp;usp=drive_fs")</f>
        <v>https://drive.google.com/open?id=1GjRdzqABm0JQP5KgaqpLeaK9V8qJ0ZoA&amp;authuser=jay.agg%40gmail.com&amp;usp=drive_fs</v>
      </c>
      <c r="B687" s="73" t="str">
        <f>IFERROR(__xludf.DUMMYFUNCTION("""COMPUTED_VALUE"""),"Daily Essential")</f>
        <v>Daily Essential</v>
      </c>
      <c r="C687" s="73" t="str">
        <f>IFERROR(__xludf.DUMMYFUNCTION("""COMPUTED_VALUE"""),"Tissue Box")</f>
        <v>Tissue Box</v>
      </c>
      <c r="D687" s="73" t="str">
        <f>IFERROR(__xludf.DUMMYFUNCTION("""COMPUTED_VALUE"""),"210*120*60 mm")</f>
        <v>210*120*60 mm</v>
      </c>
      <c r="E687" s="77">
        <f>IFERROR(__xludf.DUMMYFUNCTION("""COMPUTED_VALUE"""),2.0)</f>
        <v>2</v>
      </c>
      <c r="F687" s="77">
        <f>IFERROR(__xludf.DUMMYFUNCTION("""COMPUTED_VALUE"""),1926.0)</f>
        <v>1926</v>
      </c>
      <c r="G687" s="77">
        <f>IFERROR(__xludf.DUMMYFUNCTION("""COMPUTED_VALUE"""),15.0)</f>
        <v>15</v>
      </c>
      <c r="H687" s="77">
        <f>IFERROR(__xludf.DUMMYFUNCTION("""COMPUTED_VALUE"""),25.0)</f>
        <v>25</v>
      </c>
      <c r="I687" s="77">
        <f>IFERROR(__xludf.DUMMYFUNCTION("""COMPUTED_VALUE"""),100.0)</f>
        <v>100</v>
      </c>
      <c r="J687" s="73"/>
      <c r="K687" s="73"/>
      <c r="L687" s="73"/>
      <c r="M687" s="77">
        <f>IFERROR(__xludf.DUMMYFUNCTION("""COMPUTED_VALUE"""),0.1)</f>
        <v>0.1</v>
      </c>
      <c r="N687" s="77">
        <f>IFERROR(__xludf.DUMMYFUNCTION("""COMPUTED_VALUE"""),1.0)</f>
        <v>1</v>
      </c>
      <c r="O687" s="49"/>
      <c r="P687" s="49" t="str">
        <f>IFERROR(__xludf.DUMMYFUNCTION("""COMPUTED_VALUE"""),"Offset")</f>
        <v>Offset</v>
      </c>
      <c r="Q687" s="49" t="str">
        <f>IFERROR(__xludf.DUMMYFUNCTION("""COMPUTED_VALUE"""),"Packaging")</f>
        <v>Packaging</v>
      </c>
      <c r="R687" s="49" t="str">
        <f>IFERROR(__xludf.DUMMYFUNCTION("""COMPUTED_VALUE"""),"Daily Essential")</f>
        <v>Daily Essential</v>
      </c>
    </row>
    <row r="688">
      <c r="A688" s="156" t="str">
        <f>IFERROR(__xludf.DUMMYFUNCTION("""COMPUTED_VALUE"""),"https://drive.google.com/open?id=1pCLLf5tXT5OvytmrZaM8c45UrmdgeUuu&amp;authuser=jay.agg%40gmail.com&amp;usp=drive_fs")</f>
        <v>https://drive.google.com/open?id=1pCLLf5tXT5OvytmrZaM8c45UrmdgeUuu&amp;authuser=jay.agg%40gmail.com&amp;usp=drive_fs</v>
      </c>
      <c r="B688" s="73" t="str">
        <f>IFERROR(__xludf.DUMMYFUNCTION("""COMPUTED_VALUE"""),"Daily Essential")</f>
        <v>Daily Essential</v>
      </c>
      <c r="C688" s="73" t="str">
        <f>IFERROR(__xludf.DUMMYFUNCTION("""COMPUTED_VALUE"""),"Tissue Box")</f>
        <v>Tissue Box</v>
      </c>
      <c r="D688" s="73" t="str">
        <f>IFERROR(__xludf.DUMMYFUNCTION("""COMPUTED_VALUE"""),"105*36*202 mm")</f>
        <v>105*36*202 mm</v>
      </c>
      <c r="E688" s="77">
        <f>IFERROR(__xludf.DUMMYFUNCTION("""COMPUTED_VALUE"""),2.0)</f>
        <v>2</v>
      </c>
      <c r="F688" s="77">
        <f>IFERROR(__xludf.DUMMYFUNCTION("""COMPUTED_VALUE"""),1926.0)</f>
        <v>1926</v>
      </c>
      <c r="G688" s="77">
        <f>IFERROR(__xludf.DUMMYFUNCTION("""COMPUTED_VALUE"""),12.0)</f>
        <v>12</v>
      </c>
      <c r="H688" s="77">
        <f>IFERROR(__xludf.DUMMYFUNCTION("""COMPUTED_VALUE"""),21.0)</f>
        <v>21</v>
      </c>
      <c r="I688" s="77">
        <f>IFERROR(__xludf.DUMMYFUNCTION("""COMPUTED_VALUE"""),100.0)</f>
        <v>100</v>
      </c>
      <c r="J688" s="73"/>
      <c r="K688" s="73"/>
      <c r="L688" s="73"/>
      <c r="M688" s="77">
        <f>IFERROR(__xludf.DUMMYFUNCTION("""COMPUTED_VALUE"""),0.1)</f>
        <v>0.1</v>
      </c>
      <c r="N688" s="77">
        <f>IFERROR(__xludf.DUMMYFUNCTION("""COMPUTED_VALUE"""),1.0)</f>
        <v>1</v>
      </c>
      <c r="O688" s="49"/>
      <c r="P688" s="49" t="str">
        <f>IFERROR(__xludf.DUMMYFUNCTION("""COMPUTED_VALUE"""),"Offset")</f>
        <v>Offset</v>
      </c>
      <c r="Q688" s="49" t="str">
        <f>IFERROR(__xludf.DUMMYFUNCTION("""COMPUTED_VALUE"""),"Packaging")</f>
        <v>Packaging</v>
      </c>
      <c r="R688" s="49" t="str">
        <f>IFERROR(__xludf.DUMMYFUNCTION("""COMPUTED_VALUE"""),"Daily Essential")</f>
        <v>Daily Essential</v>
      </c>
    </row>
    <row r="689">
      <c r="A689" s="156" t="str">
        <f>IFERROR(__xludf.DUMMYFUNCTION("""COMPUTED_VALUE"""),"https://drive.google.com/open?id=1q-PlnMC42ATc4SqGwarKZ65Jg2JCXcs5&amp;authuser=jay.agg%40gmail.com&amp;usp=drive_fs")</f>
        <v>https://drive.google.com/open?id=1q-PlnMC42ATc4SqGwarKZ65Jg2JCXcs5&amp;authuser=jay.agg%40gmail.com&amp;usp=drive_fs</v>
      </c>
      <c r="B689" s="73" t="str">
        <f>IFERROR(__xludf.DUMMYFUNCTION("""COMPUTED_VALUE"""),"Daily Essential")</f>
        <v>Daily Essential</v>
      </c>
      <c r="C689" s="73" t="str">
        <f>IFERROR(__xludf.DUMMYFUNCTION("""COMPUTED_VALUE"""),"Soap Box")</f>
        <v>Soap Box</v>
      </c>
      <c r="D689" s="73" t="str">
        <f>IFERROR(__xludf.DUMMYFUNCTION("""COMPUTED_VALUE"""),"72*72*25 mm")</f>
        <v>72*72*25 mm</v>
      </c>
      <c r="E689" s="77">
        <f>IFERROR(__xludf.DUMMYFUNCTION("""COMPUTED_VALUE"""),10.0)</f>
        <v>10</v>
      </c>
      <c r="F689" s="77">
        <f>IFERROR(__xludf.DUMMYFUNCTION("""COMPUTED_VALUE"""),1926.0)</f>
        <v>1926</v>
      </c>
      <c r="G689" s="77">
        <f>IFERROR(__xludf.DUMMYFUNCTION("""COMPUTED_VALUE"""),18.0)</f>
        <v>18</v>
      </c>
      <c r="H689" s="77">
        <f>IFERROR(__xludf.DUMMYFUNCTION("""COMPUTED_VALUE"""),25.0)</f>
        <v>25</v>
      </c>
      <c r="I689" s="77">
        <f>IFERROR(__xludf.DUMMYFUNCTION("""COMPUTED_VALUE"""),100.0)</f>
        <v>100</v>
      </c>
      <c r="J689" s="73"/>
      <c r="K689" s="73"/>
      <c r="L689" s="73"/>
      <c r="M689" s="77">
        <f>IFERROR(__xludf.DUMMYFUNCTION("""COMPUTED_VALUE"""),0.1)</f>
        <v>0.1</v>
      </c>
      <c r="N689" s="77">
        <f>IFERROR(__xludf.DUMMYFUNCTION("""COMPUTED_VALUE"""),1.0)</f>
        <v>1</v>
      </c>
      <c r="O689" s="49"/>
      <c r="P689" s="49" t="str">
        <f>IFERROR(__xludf.DUMMYFUNCTION("""COMPUTED_VALUE"""),"Offset")</f>
        <v>Offset</v>
      </c>
      <c r="Q689" s="49" t="str">
        <f>IFERROR(__xludf.DUMMYFUNCTION("""COMPUTED_VALUE"""),"Packaging")</f>
        <v>Packaging</v>
      </c>
      <c r="R689" s="49" t="str">
        <f>IFERROR(__xludf.DUMMYFUNCTION("""COMPUTED_VALUE"""),"Daily Essential")</f>
        <v>Daily Essential</v>
      </c>
    </row>
    <row r="690">
      <c r="A690" s="156" t="str">
        <f>IFERROR(__xludf.DUMMYFUNCTION("""COMPUTED_VALUE"""),"https://drive.google.com/open?id=1qM8tGq_LKW_k-jLOtgniTJY3C9h8Rn7D&amp;authuser=jay.agg%40gmail.com&amp;usp=drive_fs")</f>
        <v>https://drive.google.com/open?id=1qM8tGq_LKW_k-jLOtgniTJY3C9h8Rn7D&amp;authuser=jay.agg%40gmail.com&amp;usp=drive_fs</v>
      </c>
      <c r="B690" s="73" t="str">
        <f>IFERROR(__xludf.DUMMYFUNCTION("""COMPUTED_VALUE"""),"Daily Essential")</f>
        <v>Daily Essential</v>
      </c>
      <c r="C690" s="73" t="str">
        <f>IFERROR(__xludf.DUMMYFUNCTION("""COMPUTED_VALUE"""),"Soap Box")</f>
        <v>Soap Box</v>
      </c>
      <c r="D690" s="73" t="str">
        <f>IFERROR(__xludf.DUMMYFUNCTION("""COMPUTED_VALUE"""),"85*85*30 mm")</f>
        <v>85*85*30 mm</v>
      </c>
      <c r="E690" s="77">
        <f>IFERROR(__xludf.DUMMYFUNCTION("""COMPUTED_VALUE"""),8.0)</f>
        <v>8</v>
      </c>
      <c r="F690" s="77">
        <f>IFERROR(__xludf.DUMMYFUNCTION("""COMPUTED_VALUE"""),1926.0)</f>
        <v>1926</v>
      </c>
      <c r="G690" s="77">
        <f>IFERROR(__xludf.DUMMYFUNCTION("""COMPUTED_VALUE"""),19.5)</f>
        <v>19.5</v>
      </c>
      <c r="H690" s="77">
        <f>IFERROR(__xludf.DUMMYFUNCTION("""COMPUTED_VALUE"""),23.0)</f>
        <v>23</v>
      </c>
      <c r="I690" s="77">
        <f>IFERROR(__xludf.DUMMYFUNCTION("""COMPUTED_VALUE"""),100.0)</f>
        <v>100</v>
      </c>
      <c r="J690" s="73"/>
      <c r="K690" s="73"/>
      <c r="L690" s="73"/>
      <c r="M690" s="77">
        <f>IFERROR(__xludf.DUMMYFUNCTION("""COMPUTED_VALUE"""),0.1)</f>
        <v>0.1</v>
      </c>
      <c r="N690" s="77">
        <f>IFERROR(__xludf.DUMMYFUNCTION("""COMPUTED_VALUE"""),1.0)</f>
        <v>1</v>
      </c>
      <c r="O690" s="49"/>
      <c r="P690" s="49" t="str">
        <f>IFERROR(__xludf.DUMMYFUNCTION("""COMPUTED_VALUE"""),"Offset")</f>
        <v>Offset</v>
      </c>
      <c r="Q690" s="49" t="str">
        <f>IFERROR(__xludf.DUMMYFUNCTION("""COMPUTED_VALUE"""),"Packaging")</f>
        <v>Packaging</v>
      </c>
      <c r="R690" s="49" t="str">
        <f>IFERROR(__xludf.DUMMYFUNCTION("""COMPUTED_VALUE"""),"Daily Essential")</f>
        <v>Daily Essential</v>
      </c>
    </row>
    <row r="691">
      <c r="A691" s="156" t="str">
        <f>IFERROR(__xludf.DUMMYFUNCTION("""COMPUTED_VALUE"""),"https://drive.google.com/open?id=1qNZsSgx3B5By9yKca-pdOBSdKE6YG-Uy&amp;authuser=jay.agg%40gmail.com&amp;usp=drive_fs")</f>
        <v>https://drive.google.com/open?id=1qNZsSgx3B5By9yKca-pdOBSdKE6YG-Uy&amp;authuser=jay.agg%40gmail.com&amp;usp=drive_fs</v>
      </c>
      <c r="B691" s="73" t="str">
        <f>IFERROR(__xludf.DUMMYFUNCTION("""COMPUTED_VALUE"""),"Daily Essential")</f>
        <v>Daily Essential</v>
      </c>
      <c r="C691" s="73" t="str">
        <f>IFERROR(__xludf.DUMMYFUNCTION("""COMPUTED_VALUE"""),"Tissue Box")</f>
        <v>Tissue Box</v>
      </c>
      <c r="D691" s="73" t="str">
        <f>IFERROR(__xludf.DUMMYFUNCTION("""COMPUTED_VALUE"""),"120*30*240 mm")</f>
        <v>120*30*240 mm</v>
      </c>
      <c r="E691" s="77">
        <f>IFERROR(__xludf.DUMMYFUNCTION("""COMPUTED_VALUE"""),2.0)</f>
        <v>2</v>
      </c>
      <c r="F691" s="77">
        <f>IFERROR(__xludf.DUMMYFUNCTION("""COMPUTED_VALUE"""),1926.0)</f>
        <v>1926</v>
      </c>
      <c r="G691" s="77">
        <f>IFERROR(__xludf.DUMMYFUNCTION("""COMPUTED_VALUE"""),13.0)</f>
        <v>13</v>
      </c>
      <c r="H691" s="77">
        <f>IFERROR(__xludf.DUMMYFUNCTION("""COMPUTED_VALUE"""),23.0)</f>
        <v>23</v>
      </c>
      <c r="I691" s="77">
        <f>IFERROR(__xludf.DUMMYFUNCTION("""COMPUTED_VALUE"""),100.0)</f>
        <v>100</v>
      </c>
      <c r="J691" s="73"/>
      <c r="K691" s="73"/>
      <c r="L691" s="73"/>
      <c r="M691" s="77">
        <f>IFERROR(__xludf.DUMMYFUNCTION("""COMPUTED_VALUE"""),0.1)</f>
        <v>0.1</v>
      </c>
      <c r="N691" s="77">
        <f>IFERROR(__xludf.DUMMYFUNCTION("""COMPUTED_VALUE"""),1.0)</f>
        <v>1</v>
      </c>
      <c r="O691" s="49"/>
      <c r="P691" s="49" t="str">
        <f>IFERROR(__xludf.DUMMYFUNCTION("""COMPUTED_VALUE"""),"Offset")</f>
        <v>Offset</v>
      </c>
      <c r="Q691" s="49" t="str">
        <f>IFERROR(__xludf.DUMMYFUNCTION("""COMPUTED_VALUE"""),"Packaging")</f>
        <v>Packaging</v>
      </c>
      <c r="R691" s="49" t="str">
        <f>IFERROR(__xludf.DUMMYFUNCTION("""COMPUTED_VALUE"""),"Daily Essential")</f>
        <v>Daily Essential</v>
      </c>
    </row>
    <row r="692">
      <c r="A692" s="156" t="str">
        <f>IFERROR(__xludf.DUMMYFUNCTION("""COMPUTED_VALUE"""),"https://drive.google.com/open?id=1qVJmR4BcSZPRj3qqXKg2xSr-hWcJcppi&amp;authuser=jay.agg%40gmail.com&amp;usp=drive_fs")</f>
        <v>https://drive.google.com/open?id=1qVJmR4BcSZPRj3qqXKg2xSr-hWcJcppi&amp;authuser=jay.agg%40gmail.com&amp;usp=drive_fs</v>
      </c>
      <c r="B692" s="73" t="str">
        <f>IFERROR(__xludf.DUMMYFUNCTION("""COMPUTED_VALUE"""),"Daily Essential")</f>
        <v>Daily Essential</v>
      </c>
      <c r="C692" s="73" t="str">
        <f>IFERROR(__xludf.DUMMYFUNCTION("""COMPUTED_VALUE"""),"Tissue Box")</f>
        <v>Tissue Box</v>
      </c>
      <c r="D692" s="73" t="str">
        <f>IFERROR(__xludf.DUMMYFUNCTION("""COMPUTED_VALUE"""),"120*30*252 mm")</f>
        <v>120*30*252 mm</v>
      </c>
      <c r="E692" s="77">
        <f>IFERROR(__xludf.DUMMYFUNCTION("""COMPUTED_VALUE"""),2.0)</f>
        <v>2</v>
      </c>
      <c r="F692" s="77">
        <f>IFERROR(__xludf.DUMMYFUNCTION("""COMPUTED_VALUE"""),1926.0)</f>
        <v>1926</v>
      </c>
      <c r="G692" s="77">
        <f>IFERROR(__xludf.DUMMYFUNCTION("""COMPUTED_VALUE"""),12.7)</f>
        <v>12.7</v>
      </c>
      <c r="H692" s="77">
        <f>IFERROR(__xludf.DUMMYFUNCTION("""COMPUTED_VALUE"""),26.0)</f>
        <v>26</v>
      </c>
      <c r="I692" s="77">
        <f>IFERROR(__xludf.DUMMYFUNCTION("""COMPUTED_VALUE"""),100.0)</f>
        <v>100</v>
      </c>
      <c r="J692" s="73"/>
      <c r="K692" s="73"/>
      <c r="L692" s="73"/>
      <c r="M692" s="77">
        <f>IFERROR(__xludf.DUMMYFUNCTION("""COMPUTED_VALUE"""),0.1)</f>
        <v>0.1</v>
      </c>
      <c r="N692" s="77">
        <f>IFERROR(__xludf.DUMMYFUNCTION("""COMPUTED_VALUE"""),1.0)</f>
        <v>1</v>
      </c>
      <c r="O692" s="49"/>
      <c r="P692" s="49" t="str">
        <f>IFERROR(__xludf.DUMMYFUNCTION("""COMPUTED_VALUE"""),"Offset")</f>
        <v>Offset</v>
      </c>
      <c r="Q692" s="49" t="str">
        <f>IFERROR(__xludf.DUMMYFUNCTION("""COMPUTED_VALUE"""),"Packaging")</f>
        <v>Packaging</v>
      </c>
      <c r="R692" s="49" t="str">
        <f>IFERROR(__xludf.DUMMYFUNCTION("""COMPUTED_VALUE"""),"Daily Essential")</f>
        <v>Daily Essential</v>
      </c>
    </row>
    <row r="693">
      <c r="A693" s="156" t="str">
        <f>IFERROR(__xludf.DUMMYFUNCTION("""COMPUTED_VALUE"""),"https://drive.google.com/open?id=1qXXNkf1aNKdWFNOdbfRXe0e5obI1qZvj&amp;authuser=jay.agg%40gmail.com&amp;usp=drive_fs")</f>
        <v>https://drive.google.com/open?id=1qXXNkf1aNKdWFNOdbfRXe0e5obI1qZvj&amp;authuser=jay.agg%40gmail.com&amp;usp=drive_fs</v>
      </c>
      <c r="B693" s="73" t="str">
        <f>IFERROR(__xludf.DUMMYFUNCTION("""COMPUTED_VALUE"""),"Daily Essential")</f>
        <v>Daily Essential</v>
      </c>
      <c r="C693" s="73" t="str">
        <f>IFERROR(__xludf.DUMMYFUNCTION("""COMPUTED_VALUE"""),"Soap Box")</f>
        <v>Soap Box</v>
      </c>
      <c r="D693" s="73" t="str">
        <f>IFERROR(__xludf.DUMMYFUNCTION("""COMPUTED_VALUE"""),"85*85*30 mm F")</f>
        <v>85*85*30 mm F</v>
      </c>
      <c r="E693" s="77">
        <f>IFERROR(__xludf.DUMMYFUNCTION("""COMPUTED_VALUE"""),6.0)</f>
        <v>6</v>
      </c>
      <c r="F693" s="77">
        <f>IFERROR(__xludf.DUMMYFUNCTION("""COMPUTED_VALUE"""),1926.0)</f>
        <v>1926</v>
      </c>
      <c r="G693" s="77">
        <f>IFERROR(__xludf.DUMMYFUNCTION("""COMPUTED_VALUE"""),15.0)</f>
        <v>15</v>
      </c>
      <c r="H693" s="77">
        <f>IFERROR(__xludf.DUMMYFUNCTION("""COMPUTED_VALUE"""),25.0)</f>
        <v>25</v>
      </c>
      <c r="I693" s="77">
        <f>IFERROR(__xludf.DUMMYFUNCTION("""COMPUTED_VALUE"""),100.0)</f>
        <v>100</v>
      </c>
      <c r="J693" s="73"/>
      <c r="K693" s="73"/>
      <c r="L693" s="73"/>
      <c r="M693" s="77">
        <f>IFERROR(__xludf.DUMMYFUNCTION("""COMPUTED_VALUE"""),1.0)</f>
        <v>1</v>
      </c>
      <c r="N693" s="77">
        <f>IFERROR(__xludf.DUMMYFUNCTION("""COMPUTED_VALUE"""),1.0)</f>
        <v>1</v>
      </c>
      <c r="O693" s="49"/>
      <c r="P693" s="49" t="str">
        <f>IFERROR(__xludf.DUMMYFUNCTION("""COMPUTED_VALUE"""),"Offset")</f>
        <v>Offset</v>
      </c>
      <c r="Q693" s="49" t="str">
        <f>IFERROR(__xludf.DUMMYFUNCTION("""COMPUTED_VALUE"""),"Packaging")</f>
        <v>Packaging</v>
      </c>
      <c r="R693" s="49" t="str">
        <f>IFERROR(__xludf.DUMMYFUNCTION("""COMPUTED_VALUE"""),"Daily Essential")</f>
        <v>Daily Essential</v>
      </c>
    </row>
    <row r="694">
      <c r="A694" s="156" t="str">
        <f>IFERROR(__xludf.DUMMYFUNCTION("""COMPUTED_VALUE"""),"https://drive.google.com/open?id=1qXaRhL7-BF4uylP1W6khaGnBtQernXlR&amp;authuser=jay.agg%40gmail.com&amp;usp=drive_fs")</f>
        <v>https://drive.google.com/open?id=1qXaRhL7-BF4uylP1W6khaGnBtQernXlR&amp;authuser=jay.agg%40gmail.com&amp;usp=drive_fs</v>
      </c>
      <c r="B694" s="73" t="str">
        <f>IFERROR(__xludf.DUMMYFUNCTION("""COMPUTED_VALUE"""),"Daily Essential")</f>
        <v>Daily Essential</v>
      </c>
      <c r="C694" s="73" t="str">
        <f>IFERROR(__xludf.DUMMYFUNCTION("""COMPUTED_VALUE"""),"Handkerchief")</f>
        <v>Handkerchief</v>
      </c>
      <c r="D694" s="73" t="str">
        <f>IFERROR(__xludf.DUMMYFUNCTION("""COMPUTED_VALUE"""),"65*38*76 mm | 2.5*1.5*3 inch")</f>
        <v>65*38*76 mm | 2.5*1.5*3 inch</v>
      </c>
      <c r="E694" s="77">
        <f>IFERROR(__xludf.DUMMYFUNCTION("""COMPUTED_VALUE"""),8.0)</f>
        <v>8</v>
      </c>
      <c r="F694" s="77">
        <f>IFERROR(__xludf.DUMMYFUNCTION("""COMPUTED_VALUE"""),1926.0)</f>
        <v>1926</v>
      </c>
      <c r="G694" s="77">
        <f>IFERROR(__xludf.DUMMYFUNCTION("""COMPUTED_VALUE"""),18.0)</f>
        <v>18</v>
      </c>
      <c r="H694" s="77">
        <f>IFERROR(__xludf.DUMMYFUNCTION("""COMPUTED_VALUE"""),23.0)</f>
        <v>23</v>
      </c>
      <c r="I694" s="77">
        <f>IFERROR(__xludf.DUMMYFUNCTION("""COMPUTED_VALUE"""),100.0)</f>
        <v>100</v>
      </c>
      <c r="J694" s="73"/>
      <c r="K694" s="73"/>
      <c r="L694" s="73"/>
      <c r="M694" s="77">
        <f>IFERROR(__xludf.DUMMYFUNCTION("""COMPUTED_VALUE"""),0.1)</f>
        <v>0.1</v>
      </c>
      <c r="N694" s="77">
        <f>IFERROR(__xludf.DUMMYFUNCTION("""COMPUTED_VALUE"""),1.0)</f>
        <v>1</v>
      </c>
      <c r="O694" s="49"/>
      <c r="P694" s="49" t="str">
        <f>IFERROR(__xludf.DUMMYFUNCTION("""COMPUTED_VALUE"""),"Offset")</f>
        <v>Offset</v>
      </c>
      <c r="Q694" s="49" t="str">
        <f>IFERROR(__xludf.DUMMYFUNCTION("""COMPUTED_VALUE"""),"Packaging")</f>
        <v>Packaging</v>
      </c>
      <c r="R694" s="49" t="str">
        <f>IFERROR(__xludf.DUMMYFUNCTION("""COMPUTED_VALUE"""),"Daily Essential")</f>
        <v>Daily Essential</v>
      </c>
    </row>
    <row r="695">
      <c r="A695" s="156" t="str">
        <f>IFERROR(__xludf.DUMMYFUNCTION("""COMPUTED_VALUE"""),"https://drive.google.com/open?id=1qYFO5fPf3ge82nOv-244Opkzt8dMWr6B&amp;authuser=jay.agg%40gmail.com&amp;usp=drive_fs")</f>
        <v>https://drive.google.com/open?id=1qYFO5fPf3ge82nOv-244Opkzt8dMWr6B&amp;authuser=jay.agg%40gmail.com&amp;usp=drive_fs</v>
      </c>
      <c r="B695" s="73" t="str">
        <f>IFERROR(__xludf.DUMMYFUNCTION("""COMPUTED_VALUE"""),"Daily Essential")</f>
        <v>Daily Essential</v>
      </c>
      <c r="C695" s="73" t="str">
        <f>IFERROR(__xludf.DUMMYFUNCTION("""COMPUTED_VALUE"""),"Oil")</f>
        <v>Oil</v>
      </c>
      <c r="D695" s="73" t="str">
        <f>IFERROR(__xludf.DUMMYFUNCTION("""COMPUTED_VALUE"""),"42*42*130 mm LB")</f>
        <v>42*42*130 mm LB</v>
      </c>
      <c r="E695" s="77">
        <f>IFERROR(__xludf.DUMMYFUNCTION("""COMPUTED_VALUE"""),6.0)</f>
        <v>6</v>
      </c>
      <c r="F695" s="77">
        <f>IFERROR(__xludf.DUMMYFUNCTION("""COMPUTED_VALUE"""),1926.0)</f>
        <v>1926</v>
      </c>
      <c r="G695" s="77">
        <f>IFERROR(__xludf.DUMMYFUNCTION("""COMPUTED_VALUE"""),18.0)</f>
        <v>18</v>
      </c>
      <c r="H695" s="77">
        <f>IFERROR(__xludf.DUMMYFUNCTION("""COMPUTED_VALUE"""),23.0)</f>
        <v>23</v>
      </c>
      <c r="I695" s="77">
        <f>IFERROR(__xludf.DUMMYFUNCTION("""COMPUTED_VALUE"""),100.0)</f>
        <v>100</v>
      </c>
      <c r="J695" s="73"/>
      <c r="K695" s="73"/>
      <c r="L695" s="73"/>
      <c r="M695" s="77">
        <f>IFERROR(__xludf.DUMMYFUNCTION("""COMPUTED_VALUE"""),0.1)</f>
        <v>0.1</v>
      </c>
      <c r="N695" s="77">
        <f>IFERROR(__xludf.DUMMYFUNCTION("""COMPUTED_VALUE"""),1.0)</f>
        <v>1</v>
      </c>
      <c r="O695" s="49"/>
      <c r="P695" s="49" t="str">
        <f>IFERROR(__xludf.DUMMYFUNCTION("""COMPUTED_VALUE"""),"Offset")</f>
        <v>Offset</v>
      </c>
      <c r="Q695" s="49" t="str">
        <f>IFERROR(__xludf.DUMMYFUNCTION("""COMPUTED_VALUE"""),"Packaging")</f>
        <v>Packaging</v>
      </c>
      <c r="R695" s="49" t="str">
        <f>IFERROR(__xludf.DUMMYFUNCTION("""COMPUTED_VALUE"""),"Daily Essential")</f>
        <v>Daily Essential</v>
      </c>
    </row>
    <row r="696">
      <c r="A696" s="156" t="str">
        <f>IFERROR(__xludf.DUMMYFUNCTION("""COMPUTED_VALUE"""),"https://drive.google.com/open?id=1ruGNdXVwWS66Gqd44ZsXne3LoN4w_Aei&amp;authuser=jay.agg%40gmail.com&amp;usp=drive_fs")</f>
        <v>https://drive.google.com/open?id=1ruGNdXVwWS66Gqd44ZsXne3LoN4w_Aei&amp;authuser=jay.agg%40gmail.com&amp;usp=drive_fs</v>
      </c>
      <c r="B696" s="73" t="str">
        <f>IFERROR(__xludf.DUMMYFUNCTION("""COMPUTED_VALUE"""),"Daily Essential")</f>
        <v>Daily Essential</v>
      </c>
      <c r="C696" s="73" t="str">
        <f>IFERROR(__xludf.DUMMYFUNCTION("""COMPUTED_VALUE"""),"Baby Bottle")</f>
        <v>Baby Bottle</v>
      </c>
      <c r="D696" s="73" t="str">
        <f>IFERROR(__xludf.DUMMYFUNCTION("""COMPUTED_VALUE"""),"60*60*110 mm IL")</f>
        <v>60*60*110 mm IL</v>
      </c>
      <c r="E696" s="77">
        <f>IFERROR(__xludf.DUMMYFUNCTION("""COMPUTED_VALUE"""),4.0)</f>
        <v>4</v>
      </c>
      <c r="F696" s="77">
        <f>IFERROR(__xludf.DUMMYFUNCTION("""COMPUTED_VALUE"""),1926.0)</f>
        <v>1926</v>
      </c>
      <c r="G696" s="77">
        <f>IFERROR(__xludf.DUMMYFUNCTION("""COMPUTED_VALUE"""),18.0)</f>
        <v>18</v>
      </c>
      <c r="H696" s="77">
        <f>IFERROR(__xludf.DUMMYFUNCTION("""COMPUTED_VALUE"""),21.0)</f>
        <v>21</v>
      </c>
      <c r="I696" s="77">
        <f>IFERROR(__xludf.DUMMYFUNCTION("""COMPUTED_VALUE"""),100.0)</f>
        <v>100</v>
      </c>
      <c r="J696" s="73"/>
      <c r="K696" s="73"/>
      <c r="L696" s="73"/>
      <c r="M696" s="77">
        <f>IFERROR(__xludf.DUMMYFUNCTION("""COMPUTED_VALUE"""),0.1)</f>
        <v>0.1</v>
      </c>
      <c r="N696" s="77">
        <f>IFERROR(__xludf.DUMMYFUNCTION("""COMPUTED_VALUE"""),1.0)</f>
        <v>1</v>
      </c>
      <c r="O696" s="49"/>
      <c r="P696" s="49" t="str">
        <f>IFERROR(__xludf.DUMMYFUNCTION("""COMPUTED_VALUE"""),"Offset")</f>
        <v>Offset</v>
      </c>
      <c r="Q696" s="49" t="str">
        <f>IFERROR(__xludf.DUMMYFUNCTION("""COMPUTED_VALUE"""),"Packaging")</f>
        <v>Packaging</v>
      </c>
      <c r="R696" s="49" t="str">
        <f>IFERROR(__xludf.DUMMYFUNCTION("""COMPUTED_VALUE"""),"Daily Essential")</f>
        <v>Daily Essential</v>
      </c>
    </row>
    <row r="697">
      <c r="A697" s="156" t="str">
        <f>IFERROR(__xludf.DUMMYFUNCTION("""COMPUTED_VALUE"""),"https://drive.google.com/open?id=1s7UWWXnciXeNoXsRHC3JYkc1c6ST73V3&amp;authuser=jay.agg%40gmail.com&amp;usp=drive_fs")</f>
        <v>https://drive.google.com/open?id=1s7UWWXnciXeNoXsRHC3JYkc1c6ST73V3&amp;authuser=jay.agg%40gmail.com&amp;usp=drive_fs</v>
      </c>
      <c r="B697" s="73" t="str">
        <f>IFERROR(__xludf.DUMMYFUNCTION("""COMPUTED_VALUE"""),"Daily Essential")</f>
        <v>Daily Essential</v>
      </c>
      <c r="C697" s="73" t="str">
        <f>IFERROR(__xludf.DUMMYFUNCTION("""COMPUTED_VALUE"""),"Baby Bottle")</f>
        <v>Baby Bottle</v>
      </c>
      <c r="D697" s="73" t="str">
        <f>IFERROR(__xludf.DUMMYFUNCTION("""COMPUTED_VALUE"""),"60*60*160 mm IL")</f>
        <v>60*60*160 mm IL</v>
      </c>
      <c r="E697" s="77">
        <f>IFERROR(__xludf.DUMMYFUNCTION("""COMPUTED_VALUE"""),4.0)</f>
        <v>4</v>
      </c>
      <c r="F697" s="77">
        <f>IFERROR(__xludf.DUMMYFUNCTION("""COMPUTED_VALUE"""),1926.0)</f>
        <v>1926</v>
      </c>
      <c r="G697" s="77">
        <f>IFERROR(__xludf.DUMMYFUNCTION("""COMPUTED_VALUE"""),19.0)</f>
        <v>19</v>
      </c>
      <c r="H697" s="77">
        <f>IFERROR(__xludf.DUMMYFUNCTION("""COMPUTED_VALUE"""),20.0)</f>
        <v>20</v>
      </c>
      <c r="I697" s="77">
        <f>IFERROR(__xludf.DUMMYFUNCTION("""COMPUTED_VALUE"""),100.0)</f>
        <v>100</v>
      </c>
      <c r="J697" s="73"/>
      <c r="K697" s="73"/>
      <c r="L697" s="73"/>
      <c r="M697" s="77">
        <f>IFERROR(__xludf.DUMMYFUNCTION("""COMPUTED_VALUE"""),0.1)</f>
        <v>0.1</v>
      </c>
      <c r="N697" s="77">
        <f>IFERROR(__xludf.DUMMYFUNCTION("""COMPUTED_VALUE"""),1.0)</f>
        <v>1</v>
      </c>
      <c r="O697" s="49"/>
      <c r="P697" s="49" t="str">
        <f>IFERROR(__xludf.DUMMYFUNCTION("""COMPUTED_VALUE"""),"Offset")</f>
        <v>Offset</v>
      </c>
      <c r="Q697" s="49" t="str">
        <f>IFERROR(__xludf.DUMMYFUNCTION("""COMPUTED_VALUE"""),"Packaging")</f>
        <v>Packaging</v>
      </c>
      <c r="R697" s="49" t="str">
        <f>IFERROR(__xludf.DUMMYFUNCTION("""COMPUTED_VALUE"""),"Daily Essential")</f>
        <v>Daily Essential</v>
      </c>
    </row>
    <row r="698">
      <c r="A698" s="156" t="str">
        <f>IFERROR(__xludf.DUMMYFUNCTION("""COMPUTED_VALUE"""),"https://drive.google.com/open?id=1sFxPz5jwFvxTbutdV0o375qxDelHRLab&amp;authuser=jay.agg%40gmail.com&amp;usp=drive_fs")</f>
        <v>https://drive.google.com/open?id=1sFxPz5jwFvxTbutdV0o375qxDelHRLab&amp;authuser=jay.agg%40gmail.com&amp;usp=drive_fs</v>
      </c>
      <c r="B698" s="73" t="str">
        <f>IFERROR(__xludf.DUMMYFUNCTION("""COMPUTED_VALUE"""),"Daily Essential")</f>
        <v>Daily Essential</v>
      </c>
      <c r="C698" s="73" t="str">
        <f>IFERROR(__xludf.DUMMYFUNCTION("""COMPUTED_VALUE"""),"Baby Bottle")</f>
        <v>Baby Bottle</v>
      </c>
      <c r="D698" s="73" t="str">
        <f>IFERROR(__xludf.DUMMYFUNCTION("""COMPUTED_VALUE"""),"60*60*200 mm IL")</f>
        <v>60*60*200 mm IL</v>
      </c>
      <c r="E698" s="77">
        <f>IFERROR(__xludf.DUMMYFUNCTION("""COMPUTED_VALUE"""),4.0)</f>
        <v>4</v>
      </c>
      <c r="F698" s="77">
        <f>IFERROR(__xludf.DUMMYFUNCTION("""COMPUTED_VALUE"""),2029.0)</f>
        <v>2029</v>
      </c>
      <c r="G698" s="77">
        <f>IFERROR(__xludf.DUMMYFUNCTION("""COMPUTED_VALUE"""),20.0)</f>
        <v>20</v>
      </c>
      <c r="H698" s="77">
        <f>IFERROR(__xludf.DUMMYFUNCTION("""COMPUTED_VALUE"""),25.0)</f>
        <v>25</v>
      </c>
      <c r="I698" s="77">
        <f>IFERROR(__xludf.DUMMYFUNCTION("""COMPUTED_VALUE"""),100.0)</f>
        <v>100</v>
      </c>
      <c r="J698" s="73"/>
      <c r="K698" s="73"/>
      <c r="L698" s="73"/>
      <c r="M698" s="77">
        <f>IFERROR(__xludf.DUMMYFUNCTION("""COMPUTED_VALUE"""),0.1)</f>
        <v>0.1</v>
      </c>
      <c r="N698" s="77">
        <f>IFERROR(__xludf.DUMMYFUNCTION("""COMPUTED_VALUE"""),1.0)</f>
        <v>1</v>
      </c>
      <c r="O698" s="49"/>
      <c r="P698" s="49" t="str">
        <f>IFERROR(__xludf.DUMMYFUNCTION("""COMPUTED_VALUE"""),"Offset")</f>
        <v>Offset</v>
      </c>
      <c r="Q698" s="49" t="str">
        <f>IFERROR(__xludf.DUMMYFUNCTION("""COMPUTED_VALUE"""),"Packaging")</f>
        <v>Packaging</v>
      </c>
      <c r="R698" s="49" t="str">
        <f>IFERROR(__xludf.DUMMYFUNCTION("""COMPUTED_VALUE"""),"Daily Essential")</f>
        <v>Daily Essential</v>
      </c>
    </row>
    <row r="699">
      <c r="A699" s="156" t="str">
        <f>IFERROR(__xludf.DUMMYFUNCTION("""COMPUTED_VALUE"""),"https://drive.google.com/open?id=1sJMXBqzsbmsPQ_aOz-Rc_QnSKKUcxatB&amp;authuser=jay.agg%40gmail.com&amp;usp=drive_fs")</f>
        <v>https://drive.google.com/open?id=1sJMXBqzsbmsPQ_aOz-Rc_QnSKKUcxatB&amp;authuser=jay.agg%40gmail.com&amp;usp=drive_fs</v>
      </c>
      <c r="B699" s="73" t="str">
        <f>IFERROR(__xludf.DUMMYFUNCTION("""COMPUTED_VALUE"""),"Daily Essential")</f>
        <v>Daily Essential</v>
      </c>
      <c r="C699" s="73" t="str">
        <f>IFERROR(__xludf.DUMMYFUNCTION("""COMPUTED_VALUE"""),"Soap Box")</f>
        <v>Soap Box</v>
      </c>
      <c r="D699" s="73" t="str">
        <f>IFERROR(__xludf.DUMMYFUNCTION("""COMPUTED_VALUE"""),"90*60*25 mm")</f>
        <v>90*60*25 mm</v>
      </c>
      <c r="E699" s="77">
        <f>IFERROR(__xludf.DUMMYFUNCTION("""COMPUTED_VALUE"""),9.0)</f>
        <v>9</v>
      </c>
      <c r="F699" s="77">
        <f>IFERROR(__xludf.DUMMYFUNCTION("""COMPUTED_VALUE"""),1926.0)</f>
        <v>1926</v>
      </c>
      <c r="G699" s="77">
        <f>IFERROR(__xludf.DUMMYFUNCTION("""COMPUTED_VALUE"""),18.0)</f>
        <v>18</v>
      </c>
      <c r="H699" s="77">
        <f>IFERROR(__xludf.DUMMYFUNCTION("""COMPUTED_VALUE"""),23.0)</f>
        <v>23</v>
      </c>
      <c r="I699" s="77">
        <f>IFERROR(__xludf.DUMMYFUNCTION("""COMPUTED_VALUE"""),100.0)</f>
        <v>100</v>
      </c>
      <c r="J699" s="73"/>
      <c r="K699" s="73"/>
      <c r="L699" s="73"/>
      <c r="M699" s="77">
        <f>IFERROR(__xludf.DUMMYFUNCTION("""COMPUTED_VALUE"""),0.1)</f>
        <v>0.1</v>
      </c>
      <c r="N699" s="77">
        <f>IFERROR(__xludf.DUMMYFUNCTION("""COMPUTED_VALUE"""),1.0)</f>
        <v>1</v>
      </c>
      <c r="O699" s="49"/>
      <c r="P699" s="49" t="str">
        <f>IFERROR(__xludf.DUMMYFUNCTION("""COMPUTED_VALUE"""),"Offset")</f>
        <v>Offset</v>
      </c>
      <c r="Q699" s="49" t="str">
        <f>IFERROR(__xludf.DUMMYFUNCTION("""COMPUTED_VALUE"""),"Packaging")</f>
        <v>Packaging</v>
      </c>
      <c r="R699" s="49" t="str">
        <f>IFERROR(__xludf.DUMMYFUNCTION("""COMPUTED_VALUE"""),"Daily Essential")</f>
        <v>Daily Essential</v>
      </c>
    </row>
    <row r="700">
      <c r="A700" s="156" t="str">
        <f>IFERROR(__xludf.DUMMYFUNCTION("""COMPUTED_VALUE"""),"https://drive.google.com/open?id=1v3tdvQa0X4PwePvgg3n7Pnu_kEO291iJ&amp;authuser=jay.agg%40gmail.com&amp;usp=drive_fs")</f>
        <v>https://drive.google.com/open?id=1v3tdvQa0X4PwePvgg3n7Pnu_kEO291iJ&amp;authuser=jay.agg%40gmail.com&amp;usp=drive_fs</v>
      </c>
      <c r="B700" s="73" t="str">
        <f>IFERROR(__xludf.DUMMYFUNCTION("""COMPUTED_VALUE"""),"Daily Essential")</f>
        <v>Daily Essential</v>
      </c>
      <c r="C700" s="73" t="str">
        <f>IFERROR(__xludf.DUMMYFUNCTION("""COMPUTED_VALUE"""),"Shaving kit")</f>
        <v>Shaving kit</v>
      </c>
      <c r="D700" s="73" t="str">
        <f>IFERROR(__xludf.DUMMYFUNCTION("""COMPUTED_VALUE"""),"50*20*120 mm")</f>
        <v>50*20*120 mm</v>
      </c>
      <c r="E700" s="77">
        <f>IFERROR(__xludf.DUMMYFUNCTION("""COMPUTED_VALUE"""),12.0)</f>
        <v>12</v>
      </c>
      <c r="F700" s="77">
        <f>IFERROR(__xludf.DUMMYFUNCTION("""COMPUTED_VALUE"""),1926.0)</f>
        <v>1926</v>
      </c>
      <c r="G700" s="77">
        <f>IFERROR(__xludf.DUMMYFUNCTION("""COMPUTED_VALUE"""),21.0)</f>
        <v>21</v>
      </c>
      <c r="H700" s="77">
        <f>IFERROR(__xludf.DUMMYFUNCTION("""COMPUTED_VALUE"""),26.0)</f>
        <v>26</v>
      </c>
      <c r="I700" s="77">
        <f>IFERROR(__xludf.DUMMYFUNCTION("""COMPUTED_VALUE"""),100.0)</f>
        <v>100</v>
      </c>
      <c r="J700" s="73"/>
      <c r="K700" s="73"/>
      <c r="L700" s="73"/>
      <c r="M700" s="77">
        <f>IFERROR(__xludf.DUMMYFUNCTION("""COMPUTED_VALUE"""),0.1)</f>
        <v>0.1</v>
      </c>
      <c r="N700" s="77">
        <f>IFERROR(__xludf.DUMMYFUNCTION("""COMPUTED_VALUE"""),1.0)</f>
        <v>1</v>
      </c>
      <c r="O700" s="49"/>
      <c r="P700" s="49" t="str">
        <f>IFERROR(__xludf.DUMMYFUNCTION("""COMPUTED_VALUE"""),"Offset")</f>
        <v>Offset</v>
      </c>
      <c r="Q700" s="49" t="str">
        <f>IFERROR(__xludf.DUMMYFUNCTION("""COMPUTED_VALUE"""),"Packaging")</f>
        <v>Packaging</v>
      </c>
      <c r="R700" s="49" t="str">
        <f>IFERROR(__xludf.DUMMYFUNCTION("""COMPUTED_VALUE"""),"Daily Essential")</f>
        <v>Daily Essential</v>
      </c>
    </row>
    <row r="701">
      <c r="A701" s="156" t="str">
        <f>IFERROR(__xludf.DUMMYFUNCTION("""COMPUTED_VALUE"""),"https://drive.google.com/open?id=1v4cGd5gQhdsCSwESCzqIuwLHXBQ61FZ3&amp;authuser=jay.agg%40gmail.com&amp;usp=drive_fs")</f>
        <v>https://drive.google.com/open?id=1v4cGd5gQhdsCSwESCzqIuwLHXBQ61FZ3&amp;authuser=jay.agg%40gmail.com&amp;usp=drive_fs</v>
      </c>
      <c r="B701" s="73" t="str">
        <f>IFERROR(__xludf.DUMMYFUNCTION("""COMPUTED_VALUE"""),"Daily Essential")</f>
        <v>Daily Essential</v>
      </c>
      <c r="C701" s="73" t="str">
        <f>IFERROR(__xludf.DUMMYFUNCTION("""COMPUTED_VALUE"""),"Soap Box")</f>
        <v>Soap Box</v>
      </c>
      <c r="D701" s="73" t="str">
        <f>IFERROR(__xludf.DUMMYFUNCTION("""COMPUTED_VALUE"""),"50*50*15 mm")</f>
        <v>50*50*15 mm</v>
      </c>
      <c r="E701" s="77">
        <f>IFERROR(__xludf.DUMMYFUNCTION("""COMPUTED_VALUE"""),20.0)</f>
        <v>20</v>
      </c>
      <c r="F701" s="77">
        <f>IFERROR(__xludf.DUMMYFUNCTION("""COMPUTED_VALUE"""),1926.0)</f>
        <v>1926</v>
      </c>
      <c r="G701" s="77">
        <f>IFERROR(__xludf.DUMMYFUNCTION("""COMPUTED_VALUE"""),18.0)</f>
        <v>18</v>
      </c>
      <c r="H701" s="77">
        <f>IFERROR(__xludf.DUMMYFUNCTION("""COMPUTED_VALUE"""),23.0)</f>
        <v>23</v>
      </c>
      <c r="I701" s="77">
        <f>IFERROR(__xludf.DUMMYFUNCTION("""COMPUTED_VALUE"""),100.0)</f>
        <v>100</v>
      </c>
      <c r="J701" s="73"/>
      <c r="K701" s="73"/>
      <c r="L701" s="73"/>
      <c r="M701" s="77">
        <f>IFERROR(__xludf.DUMMYFUNCTION("""COMPUTED_VALUE"""),0.1)</f>
        <v>0.1</v>
      </c>
      <c r="N701" s="77">
        <f>IFERROR(__xludf.DUMMYFUNCTION("""COMPUTED_VALUE"""),1.0)</f>
        <v>1</v>
      </c>
      <c r="O701" s="49"/>
      <c r="P701" s="49" t="str">
        <f>IFERROR(__xludf.DUMMYFUNCTION("""COMPUTED_VALUE"""),"Offset")</f>
        <v>Offset</v>
      </c>
      <c r="Q701" s="49" t="str">
        <f>IFERROR(__xludf.DUMMYFUNCTION("""COMPUTED_VALUE"""),"Packaging")</f>
        <v>Packaging</v>
      </c>
      <c r="R701" s="49" t="str">
        <f>IFERROR(__xludf.DUMMYFUNCTION("""COMPUTED_VALUE"""),"Daily Essential")</f>
        <v>Daily Essential</v>
      </c>
    </row>
    <row r="702">
      <c r="A702" s="156" t="str">
        <f>IFERROR(__xludf.DUMMYFUNCTION("""COMPUTED_VALUE"""),"https://drive.google.com/open?id=1i2Orf0sLUfj3yGrBd2tW3ehcbIKI7yhR&amp;authuser=jay.agg%40gmail.com&amp;usp=drive_fs")</f>
        <v>https://drive.google.com/open?id=1i2Orf0sLUfj3yGrBd2tW3ehcbIKI7yhR&amp;authuser=jay.agg%40gmail.com&amp;usp=drive_fs</v>
      </c>
      <c r="B702" s="73" t="str">
        <f>IFERROR(__xludf.DUMMYFUNCTION("""COMPUTED_VALUE"""),"Daily Essential")</f>
        <v>Daily Essential</v>
      </c>
      <c r="C702" s="73" t="str">
        <f>IFERROR(__xludf.DUMMYFUNCTION("""COMPUTED_VALUE"""),"Tooth Paste")</f>
        <v>Tooth Paste</v>
      </c>
      <c r="D702" s="73" t="str">
        <f>IFERROR(__xludf.DUMMYFUNCTION("""COMPUTED_VALUE"""),"38*38*180 mm | 1.5*1.5*7.1 inch")</f>
        <v>38*38*180 mm | 1.5*1.5*7.1 inch</v>
      </c>
      <c r="E702" s="77">
        <f>IFERROR(__xludf.DUMMYFUNCTION("""COMPUTED_VALUE"""),6.0)</f>
        <v>6</v>
      </c>
      <c r="F702" s="77">
        <f>IFERROR(__xludf.DUMMYFUNCTION("""COMPUTED_VALUE"""),1926.0)</f>
        <v>1926</v>
      </c>
      <c r="G702" s="77">
        <f>IFERROR(__xludf.DUMMYFUNCTION("""COMPUTED_VALUE"""),20.0)</f>
        <v>20</v>
      </c>
      <c r="H702" s="77">
        <f>IFERROR(__xludf.DUMMYFUNCTION("""COMPUTED_VALUE"""),21.0)</f>
        <v>21</v>
      </c>
      <c r="I702" s="77">
        <f>IFERROR(__xludf.DUMMYFUNCTION("""COMPUTED_VALUE"""),100.0)</f>
        <v>100</v>
      </c>
      <c r="J702" s="73"/>
      <c r="K702" s="73"/>
      <c r="L702" s="73"/>
      <c r="M702" s="77">
        <f>IFERROR(__xludf.DUMMYFUNCTION("""COMPUTED_VALUE"""),0.1)</f>
        <v>0.1</v>
      </c>
      <c r="N702" s="77">
        <f>IFERROR(__xludf.DUMMYFUNCTION("""COMPUTED_VALUE"""),1.0)</f>
        <v>1</v>
      </c>
      <c r="O702" s="49"/>
      <c r="P702" s="49" t="str">
        <f>IFERROR(__xludf.DUMMYFUNCTION("""COMPUTED_VALUE"""),"Offset")</f>
        <v>Offset</v>
      </c>
      <c r="Q702" s="49" t="str">
        <f>IFERROR(__xludf.DUMMYFUNCTION("""COMPUTED_VALUE"""),"Packaging")</f>
        <v>Packaging</v>
      </c>
      <c r="R702" s="49" t="str">
        <f>IFERROR(__xludf.DUMMYFUNCTION("""COMPUTED_VALUE"""),"Daily Essential")</f>
        <v>Daily Essential</v>
      </c>
    </row>
    <row r="703">
      <c r="A703" s="156" t="str">
        <f>IFERROR(__xludf.DUMMYFUNCTION("""COMPUTED_VALUE"""),"https://drive.google.com/open?id=1xj2HsIQmnDmtMA6pmw9bPIVejGD2enHj&amp;authuser=jay.agg%40gmail.com&amp;usp=drive_fs")</f>
        <v>https://drive.google.com/open?id=1xj2HsIQmnDmtMA6pmw9bPIVejGD2enHj&amp;authuser=jay.agg%40gmail.com&amp;usp=drive_fs</v>
      </c>
      <c r="B703" s="73" t="str">
        <f>IFERROR(__xludf.DUMMYFUNCTION("""COMPUTED_VALUE"""),"Daily Essential")</f>
        <v>Daily Essential</v>
      </c>
      <c r="C703" s="73" t="str">
        <f>IFERROR(__xludf.DUMMYFUNCTION("""COMPUTED_VALUE"""),"Soap Box")</f>
        <v>Soap Box</v>
      </c>
      <c r="D703" s="73" t="str">
        <f>IFERROR(__xludf.DUMMYFUNCTION("""COMPUTED_VALUE"""),"98*70*35 mm W 62*45mm")</f>
        <v>98*70*35 mm W 62*45mm</v>
      </c>
      <c r="E703" s="77">
        <f>IFERROR(__xludf.DUMMYFUNCTION("""COMPUTED_VALUE"""),4.0)</f>
        <v>4</v>
      </c>
      <c r="F703" s="77">
        <f>IFERROR(__xludf.DUMMYFUNCTION("""COMPUTED_VALUE"""),1926.0)</f>
        <v>1926</v>
      </c>
      <c r="G703" s="77">
        <f>IFERROR(__xludf.DUMMYFUNCTION("""COMPUTED_VALUE"""),18.0)</f>
        <v>18</v>
      </c>
      <c r="H703" s="77">
        <f>IFERROR(__xludf.DUMMYFUNCTION("""COMPUTED_VALUE"""),21.0)</f>
        <v>21</v>
      </c>
      <c r="I703" s="77">
        <f>IFERROR(__xludf.DUMMYFUNCTION("""COMPUTED_VALUE"""),100.0)</f>
        <v>100</v>
      </c>
      <c r="J703" s="73"/>
      <c r="K703" s="73"/>
      <c r="L703" s="73">
        <f>IFERROR(__xludf.DUMMYFUNCTION("""COMPUTED_VALUE"""),1.5)</f>
        <v>1.5</v>
      </c>
      <c r="M703" s="77">
        <f>IFERROR(__xludf.DUMMYFUNCTION("""COMPUTED_VALUE"""),0.1)</f>
        <v>0.1</v>
      </c>
      <c r="N703" s="77">
        <f>IFERROR(__xludf.DUMMYFUNCTION("""COMPUTED_VALUE"""),1.0)</f>
        <v>1</v>
      </c>
      <c r="O703" s="49"/>
      <c r="P703" s="49" t="str">
        <f>IFERROR(__xludf.DUMMYFUNCTION("""COMPUTED_VALUE"""),"Offset")</f>
        <v>Offset</v>
      </c>
      <c r="Q703" s="49" t="str">
        <f>IFERROR(__xludf.DUMMYFUNCTION("""COMPUTED_VALUE"""),"Packaging")</f>
        <v>Packaging</v>
      </c>
      <c r="R703" s="49" t="str">
        <f>IFERROR(__xludf.DUMMYFUNCTION("""COMPUTED_VALUE"""),"Daily Essential")</f>
        <v>Daily Essential</v>
      </c>
    </row>
    <row r="704">
      <c r="A704" s="156" t="str">
        <f>IFERROR(__xludf.DUMMYFUNCTION("""COMPUTED_VALUE"""),"https://drive.google.com/open?id=1xrSN9jdf39LshriFDuihCoc325rMT_Vw&amp;authuser=jay.agg%40gmail.com&amp;usp=drive_fs")</f>
        <v>https://drive.google.com/open?id=1xrSN9jdf39LshriFDuihCoc325rMT_Vw&amp;authuser=jay.agg%40gmail.com&amp;usp=drive_fs</v>
      </c>
      <c r="B704" s="73" t="str">
        <f>IFERROR(__xludf.DUMMYFUNCTION("""COMPUTED_VALUE"""),"Daily Essential")</f>
        <v>Daily Essential</v>
      </c>
      <c r="C704" s="73" t="str">
        <f>IFERROR(__xludf.DUMMYFUNCTION("""COMPUTED_VALUE"""),"Cosmetic")</f>
        <v>Cosmetic</v>
      </c>
      <c r="D704" s="73" t="str">
        <f>IFERROR(__xludf.DUMMYFUNCTION("""COMPUTED_VALUE"""),"33*33*109 mm | 1.3*1.3*4.3 inch")</f>
        <v>33*33*109 mm | 1.3*1.3*4.3 inch</v>
      </c>
      <c r="E704" s="77">
        <f>IFERROR(__xludf.DUMMYFUNCTION("""COMPUTED_VALUE"""),9.0)</f>
        <v>9</v>
      </c>
      <c r="F704" s="77">
        <f>IFERROR(__xludf.DUMMYFUNCTION("""COMPUTED_VALUE"""),1926.0)</f>
        <v>1926</v>
      </c>
      <c r="G704" s="77">
        <f>IFERROR(__xludf.DUMMYFUNCTION("""COMPUTED_VALUE"""),18.0)</f>
        <v>18</v>
      </c>
      <c r="H704" s="77">
        <f>IFERROR(__xludf.DUMMYFUNCTION("""COMPUTED_VALUE"""),21.0)</f>
        <v>21</v>
      </c>
      <c r="I704" s="77">
        <f>IFERROR(__xludf.DUMMYFUNCTION("""COMPUTED_VALUE"""),100.0)</f>
        <v>100</v>
      </c>
      <c r="J704" s="73"/>
      <c r="K704" s="73"/>
      <c r="L704" s="73"/>
      <c r="M704" s="77">
        <f>IFERROR(__xludf.DUMMYFUNCTION("""COMPUTED_VALUE"""),0.1)</f>
        <v>0.1</v>
      </c>
      <c r="N704" s="77">
        <f>IFERROR(__xludf.DUMMYFUNCTION("""COMPUTED_VALUE"""),1.0)</f>
        <v>1</v>
      </c>
      <c r="O704" s="49"/>
      <c r="P704" s="49" t="str">
        <f>IFERROR(__xludf.DUMMYFUNCTION("""COMPUTED_VALUE"""),"Offset")</f>
        <v>Offset</v>
      </c>
      <c r="Q704" s="49" t="str">
        <f>IFERROR(__xludf.DUMMYFUNCTION("""COMPUTED_VALUE"""),"Packaging")</f>
        <v>Packaging</v>
      </c>
      <c r="R704" s="49" t="str">
        <f>IFERROR(__xludf.DUMMYFUNCTION("""COMPUTED_VALUE"""),"Daily Essential")</f>
        <v>Daily Essential</v>
      </c>
    </row>
    <row r="705">
      <c r="A705" s="156" t="str">
        <f>IFERROR(__xludf.DUMMYFUNCTION("""COMPUTED_VALUE"""),"https://drive.google.com/open?id=1-NcNyDUBjr07xIK6idbrZmn0_xFW7jen&amp;authuser=jay.agg%40gmail.com&amp;usp=drive_fs")</f>
        <v>https://drive.google.com/open?id=1-NcNyDUBjr07xIK6idbrZmn0_xFW7jen&amp;authuser=jay.agg%40gmail.com&amp;usp=drive_fs</v>
      </c>
      <c r="B705" s="73" t="str">
        <f>IFERROR(__xludf.DUMMYFUNCTION("""COMPUTED_VALUE"""),"Daily Essential")</f>
        <v>Daily Essential</v>
      </c>
      <c r="C705" s="73" t="str">
        <f>IFERROR(__xludf.DUMMYFUNCTION("""COMPUTED_VALUE"""),"Tissue Box")</f>
        <v>Tissue Box</v>
      </c>
      <c r="D705" s="73" t="str">
        <f>IFERROR(__xludf.DUMMYFUNCTION("""COMPUTED_VALUE"""),"200*122*30 mm")</f>
        <v>200*122*30 mm</v>
      </c>
      <c r="E705" s="77">
        <f>IFERROR(__xludf.DUMMYFUNCTION("""COMPUTED_VALUE"""),2.0)</f>
        <v>2</v>
      </c>
      <c r="F705" s="77">
        <f>IFERROR(__xludf.DUMMYFUNCTION("""COMPUTED_VALUE"""),1926.0)</f>
        <v>1926</v>
      </c>
      <c r="G705" s="77">
        <f>IFERROR(__xludf.DUMMYFUNCTION("""COMPUTED_VALUE"""),15.0)</f>
        <v>15</v>
      </c>
      <c r="H705" s="77">
        <f>IFERROR(__xludf.DUMMYFUNCTION("""COMPUTED_VALUE"""),20.0)</f>
        <v>20</v>
      </c>
      <c r="I705" s="77">
        <f>IFERROR(__xludf.DUMMYFUNCTION("""COMPUTED_VALUE"""),100.0)</f>
        <v>100</v>
      </c>
      <c r="J705" s="73"/>
      <c r="K705" s="73"/>
      <c r="L705" s="73"/>
      <c r="M705" s="77">
        <f>IFERROR(__xludf.DUMMYFUNCTION("""COMPUTED_VALUE"""),0.1)</f>
        <v>0.1</v>
      </c>
      <c r="N705" s="77">
        <f>IFERROR(__xludf.DUMMYFUNCTION("""COMPUTED_VALUE"""),1.0)</f>
        <v>1</v>
      </c>
      <c r="O705" s="49"/>
      <c r="P705" s="49" t="str">
        <f>IFERROR(__xludf.DUMMYFUNCTION("""COMPUTED_VALUE"""),"Offset")</f>
        <v>Offset</v>
      </c>
      <c r="Q705" s="49" t="str">
        <f>IFERROR(__xludf.DUMMYFUNCTION("""COMPUTED_VALUE"""),"Packaging")</f>
        <v>Packaging</v>
      </c>
      <c r="R705" s="49" t="str">
        <f>IFERROR(__xludf.DUMMYFUNCTION("""COMPUTED_VALUE"""),"Daily Essential")</f>
        <v>Daily Essential</v>
      </c>
    </row>
    <row r="706">
      <c r="A706" s="156" t="str">
        <f>IFERROR(__xludf.DUMMYFUNCTION("""COMPUTED_VALUE"""),"https://drive.google.com/open?id=10fI25xNNp2NVzniSjr3n5PRpuMA3-ns_&amp;authuser=jay.agg%40gmail.com&amp;usp=drive_fs")</f>
        <v>https://drive.google.com/open?id=10fI25xNNp2NVzniSjr3n5PRpuMA3-ns_&amp;authuser=jay.agg%40gmail.com&amp;usp=drive_fs</v>
      </c>
      <c r="B706" s="73" t="str">
        <f>IFERROR(__xludf.DUMMYFUNCTION("""COMPUTED_VALUE"""),"Daily Essential")</f>
        <v>Daily Essential</v>
      </c>
      <c r="C706" s="73" t="str">
        <f>IFERROR(__xludf.DUMMYFUNCTION("""COMPUTED_VALUE"""),"Oil")</f>
        <v>Oil</v>
      </c>
      <c r="D706" s="73" t="str">
        <f>IFERROR(__xludf.DUMMYFUNCTION("""COMPUTED_VALUE"""),"73*55*100 mm")</f>
        <v>73*55*100 mm</v>
      </c>
      <c r="E706" s="77">
        <f>IFERROR(__xludf.DUMMYFUNCTION("""COMPUTED_VALUE"""),4.0)</f>
        <v>4</v>
      </c>
      <c r="F706" s="77">
        <f>IFERROR(__xludf.DUMMYFUNCTION("""COMPUTED_VALUE"""),1926.0)</f>
        <v>1926</v>
      </c>
      <c r="G706" s="77">
        <f>IFERROR(__xludf.DUMMYFUNCTION("""COMPUTED_VALUE"""),18.0)</f>
        <v>18</v>
      </c>
      <c r="H706" s="77">
        <f>IFERROR(__xludf.DUMMYFUNCTION("""COMPUTED_VALUE"""),23.0)</f>
        <v>23</v>
      </c>
      <c r="I706" s="77">
        <f>IFERROR(__xludf.DUMMYFUNCTION("""COMPUTED_VALUE"""),100.0)</f>
        <v>100</v>
      </c>
      <c r="J706" s="73"/>
      <c r="K706" s="73"/>
      <c r="L706" s="73"/>
      <c r="M706" s="77">
        <f>IFERROR(__xludf.DUMMYFUNCTION("""COMPUTED_VALUE"""),0.1)</f>
        <v>0.1</v>
      </c>
      <c r="N706" s="77">
        <f>IFERROR(__xludf.DUMMYFUNCTION("""COMPUTED_VALUE"""),1.0)</f>
        <v>1</v>
      </c>
      <c r="O706" s="49"/>
      <c r="P706" s="49" t="str">
        <f>IFERROR(__xludf.DUMMYFUNCTION("""COMPUTED_VALUE"""),"Offset")</f>
        <v>Offset</v>
      </c>
      <c r="Q706" s="49" t="str">
        <f>IFERROR(__xludf.DUMMYFUNCTION("""COMPUTED_VALUE"""),"Packaging")</f>
        <v>Packaging</v>
      </c>
      <c r="R706" s="49" t="str">
        <f>IFERROR(__xludf.DUMMYFUNCTION("""COMPUTED_VALUE"""),"Daily Essential")</f>
        <v>Daily Essential</v>
      </c>
    </row>
    <row r="707">
      <c r="A707" s="156" t="str">
        <f>IFERROR(__xludf.DUMMYFUNCTION("""COMPUTED_VALUE"""),"https://drive.google.com/open?id=10h_p0sNAH2pM0EZFmpUIbnczPPv-GuHk&amp;authuser=jay.agg%40gmail.com&amp;usp=drive_fs")</f>
        <v>https://drive.google.com/open?id=10h_p0sNAH2pM0EZFmpUIbnczPPv-GuHk&amp;authuser=jay.agg%40gmail.com&amp;usp=drive_fs</v>
      </c>
      <c r="B707" s="73" t="str">
        <f>IFERROR(__xludf.DUMMYFUNCTION("""COMPUTED_VALUE"""),"Daily Essential")</f>
        <v>Daily Essential</v>
      </c>
      <c r="C707" s="73" t="str">
        <f>IFERROR(__xludf.DUMMYFUNCTION("""COMPUTED_VALUE"""),"Oil")</f>
        <v>Oil</v>
      </c>
      <c r="D707" s="73" t="str">
        <f>IFERROR(__xludf.DUMMYFUNCTION("""COMPUTED_VALUE"""),"73*55*100 mm Tray")</f>
        <v>73*55*100 mm Tray</v>
      </c>
      <c r="E707" s="77">
        <f>IFERROR(__xludf.DUMMYFUNCTION("""COMPUTED_VALUE"""),12.0)</f>
        <v>12</v>
      </c>
      <c r="F707" s="77">
        <f>IFERROR(__xludf.DUMMYFUNCTION("""COMPUTED_VALUE"""),1926.0)</f>
        <v>1926</v>
      </c>
      <c r="G707" s="77">
        <f>IFERROR(__xludf.DUMMYFUNCTION("""COMPUTED_VALUE"""),12.5)</f>
        <v>12.5</v>
      </c>
      <c r="H707" s="77">
        <f>IFERROR(__xludf.DUMMYFUNCTION("""COMPUTED_VALUE"""),13.0)</f>
        <v>13</v>
      </c>
      <c r="I707" s="77">
        <f>IFERROR(__xludf.DUMMYFUNCTION("""COMPUTED_VALUE"""),100.0)</f>
        <v>100</v>
      </c>
      <c r="J707" s="73"/>
      <c r="K707" s="73"/>
      <c r="L707" s="73"/>
      <c r="M707" s="77">
        <f>IFERROR(__xludf.DUMMYFUNCTION("""COMPUTED_VALUE"""),0.1)</f>
        <v>0.1</v>
      </c>
      <c r="N707" s="77">
        <f>IFERROR(__xludf.DUMMYFUNCTION("""COMPUTED_VALUE"""),1.0)</f>
        <v>1</v>
      </c>
      <c r="O707" s="49"/>
      <c r="P707" s="49" t="str">
        <f>IFERROR(__xludf.DUMMYFUNCTION("""COMPUTED_VALUE"""),"Offset")</f>
        <v>Offset</v>
      </c>
      <c r="Q707" s="49" t="str">
        <f>IFERROR(__xludf.DUMMYFUNCTION("""COMPUTED_VALUE"""),"Packaging")</f>
        <v>Packaging</v>
      </c>
      <c r="R707" s="49" t="str">
        <f>IFERROR(__xludf.DUMMYFUNCTION("""COMPUTED_VALUE"""),"Daily Essential")</f>
        <v>Daily Essential</v>
      </c>
    </row>
    <row r="708">
      <c r="A708" s="156" t="str">
        <f>IFERROR(__xludf.DUMMYFUNCTION("""COMPUTED_VALUE"""),"https://drive.google.com/open?id=1IDc9g1sruf7g1KQdTE7NRrdk7KNBGP_N&amp;authuser=jay.agg%40gmail.com&amp;usp=drive_fs")</f>
        <v>https://drive.google.com/open?id=1IDc9g1sruf7g1KQdTE7NRrdk7KNBGP_N&amp;authuser=jay.agg%40gmail.com&amp;usp=drive_fs</v>
      </c>
      <c r="B708" s="73" t="str">
        <f>IFERROR(__xludf.DUMMYFUNCTION("""COMPUTED_VALUE"""),"Daily Essential")</f>
        <v>Daily Essential</v>
      </c>
      <c r="C708" s="73" t="str">
        <f>IFERROR(__xludf.DUMMYFUNCTION("""COMPUTED_VALUE"""),"Dental Kit")</f>
        <v>Dental Kit</v>
      </c>
      <c r="D708" s="73" t="str">
        <f>IFERROR(__xludf.DUMMYFUNCTION("""COMPUTED_VALUE"""),"38*20*185 mm")</f>
        <v>38*20*185 mm</v>
      </c>
      <c r="E708" s="77">
        <f>IFERROR(__xludf.DUMMYFUNCTION("""COMPUTED_VALUE"""),6.0)</f>
        <v>6</v>
      </c>
      <c r="F708" s="77">
        <f>IFERROR(__xludf.DUMMYFUNCTION("""COMPUTED_VALUE"""),1926.0)</f>
        <v>1926</v>
      </c>
      <c r="G708" s="77">
        <f>IFERROR(__xludf.DUMMYFUNCTION("""COMPUTED_VALUE"""),15.75)</f>
        <v>15.75</v>
      </c>
      <c r="H708" s="77">
        <f>IFERROR(__xludf.DUMMYFUNCTION("""COMPUTED_VALUE"""),20.75)</f>
        <v>20.75</v>
      </c>
      <c r="I708" s="77">
        <f>IFERROR(__xludf.DUMMYFUNCTION("""COMPUTED_VALUE"""),100.0)</f>
        <v>100</v>
      </c>
      <c r="J708" s="73"/>
      <c r="K708" s="73"/>
      <c r="L708" s="73"/>
      <c r="M708" s="77">
        <f>IFERROR(__xludf.DUMMYFUNCTION("""COMPUTED_VALUE"""),0.1)</f>
        <v>0.1</v>
      </c>
      <c r="N708" s="77">
        <f>IFERROR(__xludf.DUMMYFUNCTION("""COMPUTED_VALUE"""),1.0)</f>
        <v>1</v>
      </c>
      <c r="O708" s="49"/>
      <c r="P708" s="49" t="str">
        <f>IFERROR(__xludf.DUMMYFUNCTION("""COMPUTED_VALUE"""),"Offset")</f>
        <v>Offset</v>
      </c>
      <c r="Q708" s="49" t="str">
        <f>IFERROR(__xludf.DUMMYFUNCTION("""COMPUTED_VALUE"""),"Packaging")</f>
        <v>Packaging</v>
      </c>
      <c r="R708" s="49" t="str">
        <f>IFERROR(__xludf.DUMMYFUNCTION("""COMPUTED_VALUE"""),"Daily Essential")</f>
        <v>Daily Essential</v>
      </c>
    </row>
    <row r="709">
      <c r="A709" s="156" t="str">
        <f>IFERROR(__xludf.DUMMYFUNCTION("""COMPUTED_VALUE"""),"https://drive.google.com/open?id=1IBZZ3_HmDeoVx6p2tA3NZuzRKoJjes5o&amp;authuser=jay.agg%40gmail.com&amp;usp=drive_fs")</f>
        <v>https://drive.google.com/open?id=1IBZZ3_HmDeoVx6p2tA3NZuzRKoJjes5o&amp;authuser=jay.agg%40gmail.com&amp;usp=drive_fs</v>
      </c>
      <c r="B709" s="73" t="str">
        <f>IFERROR(__xludf.DUMMYFUNCTION("""COMPUTED_VALUE"""),"Daily Essential")</f>
        <v>Daily Essential</v>
      </c>
      <c r="C709" s="73" t="str">
        <f>IFERROR(__xludf.DUMMYFUNCTION("""COMPUTED_VALUE"""),"Shaving kit")</f>
        <v>Shaving kit</v>
      </c>
      <c r="D709" s="73" t="str">
        <f>IFERROR(__xludf.DUMMYFUNCTION("""COMPUTED_VALUE"""),"50*21*122 mm")</f>
        <v>50*21*122 mm</v>
      </c>
      <c r="E709" s="77">
        <f>IFERROR(__xludf.DUMMYFUNCTION("""COMPUTED_VALUE"""),8.0)</f>
        <v>8</v>
      </c>
      <c r="F709" s="77">
        <f>IFERROR(__xludf.DUMMYFUNCTION("""COMPUTED_VALUE"""),1926.0)</f>
        <v>1926</v>
      </c>
      <c r="G709" s="77">
        <f>IFERROR(__xludf.DUMMYFUNCTION("""COMPUTED_VALUE"""),15.0)</f>
        <v>15</v>
      </c>
      <c r="H709" s="77">
        <f>IFERROR(__xludf.DUMMYFUNCTION("""COMPUTED_VALUE"""),25.0)</f>
        <v>25</v>
      </c>
      <c r="I709" s="77">
        <f>IFERROR(__xludf.DUMMYFUNCTION("""COMPUTED_VALUE"""),100.0)</f>
        <v>100</v>
      </c>
      <c r="J709" s="73"/>
      <c r="K709" s="73"/>
      <c r="L709" s="73"/>
      <c r="M709" s="77">
        <f>IFERROR(__xludf.DUMMYFUNCTION("""COMPUTED_VALUE"""),0.1)</f>
        <v>0.1</v>
      </c>
      <c r="N709" s="77">
        <f>IFERROR(__xludf.DUMMYFUNCTION("""COMPUTED_VALUE"""),1.0)</f>
        <v>1</v>
      </c>
      <c r="O709" s="49"/>
      <c r="P709" s="49" t="str">
        <f>IFERROR(__xludf.DUMMYFUNCTION("""COMPUTED_VALUE"""),"Offset")</f>
        <v>Offset</v>
      </c>
      <c r="Q709" s="49" t="str">
        <f>IFERROR(__xludf.DUMMYFUNCTION("""COMPUTED_VALUE"""),"Packaging")</f>
        <v>Packaging</v>
      </c>
      <c r="R709" s="49" t="str">
        <f>IFERROR(__xludf.DUMMYFUNCTION("""COMPUTED_VALUE"""),"Daily Essential")</f>
        <v>Daily Essential</v>
      </c>
    </row>
    <row r="710">
      <c r="A710" s="156" t="str">
        <f>IFERROR(__xludf.DUMMYFUNCTION("""COMPUTED_VALUE"""),"https://drive.google.com/open?id=1IGLrwykcYcUl-ohWrDGLpxew16sb41IE&amp;authuser=jay.agg%40gmail.com&amp;usp=drive_fs")</f>
        <v>https://drive.google.com/open?id=1IGLrwykcYcUl-ohWrDGLpxew16sb41IE&amp;authuser=jay.agg%40gmail.com&amp;usp=drive_fs</v>
      </c>
      <c r="B710" s="73" t="str">
        <f>IFERROR(__xludf.DUMMYFUNCTION("""COMPUTED_VALUE"""),"Daily Essential")</f>
        <v>Daily Essential</v>
      </c>
      <c r="C710" s="73" t="str">
        <f>IFERROR(__xludf.DUMMYFUNCTION("""COMPUTED_VALUE"""),"Comb")</f>
        <v>Comb</v>
      </c>
      <c r="D710" s="73" t="str">
        <f>IFERROR(__xludf.DUMMYFUNCTION("""COMPUTED_VALUE"""),"45*224 mm")</f>
        <v>45*224 mm</v>
      </c>
      <c r="E710" s="77">
        <f>IFERROR(__xludf.DUMMYFUNCTION("""COMPUTED_VALUE"""),10.0)</f>
        <v>10</v>
      </c>
      <c r="F710" s="77">
        <f>IFERROR(__xludf.DUMMYFUNCTION("""COMPUTED_VALUE"""),1926.0)</f>
        <v>1926</v>
      </c>
      <c r="G710" s="77">
        <f>IFERROR(__xludf.DUMMYFUNCTION("""COMPUTED_VALUE"""),21.0)</f>
        <v>21</v>
      </c>
      <c r="H710" s="77">
        <f>IFERROR(__xludf.DUMMYFUNCTION("""COMPUTED_VALUE"""),20.0)</f>
        <v>20</v>
      </c>
      <c r="I710" s="77">
        <f>IFERROR(__xludf.DUMMYFUNCTION("""COMPUTED_VALUE"""),100.0)</f>
        <v>100</v>
      </c>
      <c r="J710" s="73"/>
      <c r="K710" s="73"/>
      <c r="L710" s="73"/>
      <c r="M710" s="77">
        <f>IFERROR(__xludf.DUMMYFUNCTION("""COMPUTED_VALUE"""),0.4)</f>
        <v>0.4</v>
      </c>
      <c r="N710" s="77">
        <f>IFERROR(__xludf.DUMMYFUNCTION("""COMPUTED_VALUE"""),1.0)</f>
        <v>1</v>
      </c>
      <c r="O710" s="49"/>
      <c r="P710" s="49" t="str">
        <f>IFERROR(__xludf.DUMMYFUNCTION("""COMPUTED_VALUE"""),"Offset")</f>
        <v>Offset</v>
      </c>
      <c r="Q710" s="49" t="str">
        <f>IFERROR(__xludf.DUMMYFUNCTION("""COMPUTED_VALUE"""),"Packaging")</f>
        <v>Packaging</v>
      </c>
      <c r="R710" s="49" t="str">
        <f>IFERROR(__xludf.DUMMYFUNCTION("""COMPUTED_VALUE"""),"Daily Essential")</f>
        <v>Daily Essential</v>
      </c>
    </row>
    <row r="711">
      <c r="A711" s="156" t="str">
        <f>IFERROR(__xludf.DUMMYFUNCTION("""COMPUTED_VALUE"""),"https://drive.google.com/open?id=1IuKwHdeHoeDV8K_hdVHP01GLN-KdBwy4&amp;authuser=jay.agg%40gmail.com&amp;usp=drive_fs")</f>
        <v>https://drive.google.com/open?id=1IuKwHdeHoeDV8K_hdVHP01GLN-KdBwy4&amp;authuser=jay.agg%40gmail.com&amp;usp=drive_fs</v>
      </c>
      <c r="B711" s="73" t="str">
        <f>IFERROR(__xludf.DUMMYFUNCTION("""COMPUTED_VALUE"""),"Daily Essential")</f>
        <v>Daily Essential</v>
      </c>
      <c r="C711" s="73" t="str">
        <f>IFERROR(__xludf.DUMMYFUNCTION("""COMPUTED_VALUE"""),"Comb")</f>
        <v>Comb</v>
      </c>
      <c r="D711" s="73" t="str">
        <f>IFERROR(__xludf.DUMMYFUNCTION("""COMPUTED_VALUE"""),"40*190 mm")</f>
        <v>40*190 mm</v>
      </c>
      <c r="E711" s="77">
        <f>IFERROR(__xludf.DUMMYFUNCTION("""COMPUTED_VALUE"""),15.0)</f>
        <v>15</v>
      </c>
      <c r="F711" s="77">
        <f>IFERROR(__xludf.DUMMYFUNCTION("""COMPUTED_VALUE"""),1926.0)</f>
        <v>1926</v>
      </c>
      <c r="G711" s="77">
        <f>IFERROR(__xludf.DUMMYFUNCTION("""COMPUTED_VALUE"""),18.0)</f>
        <v>18</v>
      </c>
      <c r="H711" s="77">
        <f>IFERROR(__xludf.DUMMYFUNCTION("""COMPUTED_VALUE"""),25.0)</f>
        <v>25</v>
      </c>
      <c r="I711" s="77">
        <f>IFERROR(__xludf.DUMMYFUNCTION("""COMPUTED_VALUE"""),100.0)</f>
        <v>100</v>
      </c>
      <c r="J711" s="73"/>
      <c r="K711" s="73"/>
      <c r="L711" s="73"/>
      <c r="M711" s="77">
        <f>IFERROR(__xludf.DUMMYFUNCTION("""COMPUTED_VALUE"""),0.4)</f>
        <v>0.4</v>
      </c>
      <c r="N711" s="77">
        <f>IFERROR(__xludf.DUMMYFUNCTION("""COMPUTED_VALUE"""),1.0)</f>
        <v>1</v>
      </c>
      <c r="O711" s="49"/>
      <c r="P711" s="49" t="str">
        <f>IFERROR(__xludf.DUMMYFUNCTION("""COMPUTED_VALUE"""),"Offset")</f>
        <v>Offset</v>
      </c>
      <c r="Q711" s="49" t="str">
        <f>IFERROR(__xludf.DUMMYFUNCTION("""COMPUTED_VALUE"""),"Packaging")</f>
        <v>Packaging</v>
      </c>
      <c r="R711" s="49" t="str">
        <f>IFERROR(__xludf.DUMMYFUNCTION("""COMPUTED_VALUE"""),"Daily Essential")</f>
        <v>Daily Essential</v>
      </c>
    </row>
    <row r="712">
      <c r="A712" s="156" t="str">
        <f>IFERROR(__xludf.DUMMYFUNCTION("""COMPUTED_VALUE"""),"https://drive.google.com/open?id=1fbFd2vTLrxePtcCEblZSM0fMIWNLtIkn&amp;usp=drive_fs")</f>
        <v>https://drive.google.com/open?id=1fbFd2vTLrxePtcCEblZSM0fMIWNLtIkn&amp;usp=drive_fs</v>
      </c>
      <c r="B712" s="73" t="str">
        <f>IFERROR(__xludf.DUMMYFUNCTION("""COMPUTED_VALUE"""),"Daily Essential")</f>
        <v>Daily Essential</v>
      </c>
      <c r="C712" s="73" t="str">
        <f>IFERROR(__xludf.DUMMYFUNCTION("""COMPUTED_VALUE"""),"Soap Box")</f>
        <v>Soap Box</v>
      </c>
      <c r="D712" s="73" t="str">
        <f>IFERROR(__xludf.DUMMYFUNCTION("""COMPUTED_VALUE"""),"60*30*90 mm | 2.3*1.2*3.5 inch")</f>
        <v>60*30*90 mm | 2.3*1.2*3.5 inch</v>
      </c>
      <c r="E712" s="77">
        <f>IFERROR(__xludf.DUMMYFUNCTION("""COMPUTED_VALUE"""),6.0)</f>
        <v>6</v>
      </c>
      <c r="F712" s="77">
        <f>IFERROR(__xludf.DUMMYFUNCTION("""COMPUTED_VALUE"""),1926.0)</f>
        <v>1926</v>
      </c>
      <c r="G712" s="77">
        <f>IFERROR(__xludf.DUMMYFUNCTION("""COMPUTED_VALUE"""),15.75)</f>
        <v>15.75</v>
      </c>
      <c r="H712" s="77">
        <f>IFERROR(__xludf.DUMMYFUNCTION("""COMPUTED_VALUE"""),20.75)</f>
        <v>20.75</v>
      </c>
      <c r="I712" s="77">
        <f>IFERROR(__xludf.DUMMYFUNCTION("""COMPUTED_VALUE"""),100.0)</f>
        <v>100</v>
      </c>
      <c r="J712" s="73"/>
      <c r="K712" s="73"/>
      <c r="L712" s="73"/>
      <c r="M712" s="77">
        <f>IFERROR(__xludf.DUMMYFUNCTION("""COMPUTED_VALUE"""),0.1)</f>
        <v>0.1</v>
      </c>
      <c r="N712" s="77">
        <f>IFERROR(__xludf.DUMMYFUNCTION("""COMPUTED_VALUE"""),1.0)</f>
        <v>1</v>
      </c>
      <c r="O712" s="49"/>
      <c r="P712" s="49" t="str">
        <f>IFERROR(__xludf.DUMMYFUNCTION("""COMPUTED_VALUE"""),"Offset")</f>
        <v>Offset</v>
      </c>
      <c r="Q712" s="49" t="str">
        <f>IFERROR(__xludf.DUMMYFUNCTION("""COMPUTED_VALUE"""),"Packaging")</f>
        <v>Packaging</v>
      </c>
      <c r="R712" s="49" t="str">
        <f>IFERROR(__xludf.DUMMYFUNCTION("""COMPUTED_VALUE"""),"Daily Essential")</f>
        <v>Daily Essential</v>
      </c>
    </row>
    <row r="713">
      <c r="A713" s="156" t="str">
        <f>IFERROR(__xludf.DUMMYFUNCTION("""COMPUTED_VALUE"""),"https://drive.google.com/open?id=1JhSv_vUmIfx4kupr0hGmv88JWssnIUpt&amp;authuser=jay.agg%40gmail.com&amp;usp=drive_fs")</f>
        <v>https://drive.google.com/open?id=1JhSv_vUmIfx4kupr0hGmv88JWssnIUpt&amp;authuser=jay.agg%40gmail.com&amp;usp=drive_fs</v>
      </c>
      <c r="B713" s="73" t="str">
        <f>IFERROR(__xludf.DUMMYFUNCTION("""COMPUTED_VALUE"""),"Daily Essential")</f>
        <v>Daily Essential</v>
      </c>
      <c r="C713" s="73" t="str">
        <f>IFERROR(__xludf.DUMMYFUNCTION("""COMPUTED_VALUE"""),"Soap Box")</f>
        <v>Soap Box</v>
      </c>
      <c r="D713" s="73" t="str">
        <f>IFERROR(__xludf.DUMMYFUNCTION("""COMPUTED_VALUE"""),"80*55*20 mm | 3.15*2.16*1 inch")</f>
        <v>80*55*20 mm | 3.15*2.16*1 inch</v>
      </c>
      <c r="E713" s="77">
        <f>IFERROR(__xludf.DUMMYFUNCTION("""COMPUTED_VALUE"""),9.0)</f>
        <v>9</v>
      </c>
      <c r="F713" s="77">
        <f>IFERROR(__xludf.DUMMYFUNCTION("""COMPUTED_VALUE"""),1926.0)</f>
        <v>1926</v>
      </c>
      <c r="G713" s="77">
        <f>IFERROR(__xludf.DUMMYFUNCTION("""COMPUTED_VALUE"""),15.75)</f>
        <v>15.75</v>
      </c>
      <c r="H713" s="77">
        <f>IFERROR(__xludf.DUMMYFUNCTION("""COMPUTED_VALUE"""),20.75)</f>
        <v>20.75</v>
      </c>
      <c r="I713" s="77">
        <f>IFERROR(__xludf.DUMMYFUNCTION("""COMPUTED_VALUE"""),100.0)</f>
        <v>100</v>
      </c>
      <c r="J713" s="73"/>
      <c r="K713" s="73"/>
      <c r="L713" s="73"/>
      <c r="M713" s="77">
        <f>IFERROR(__xludf.DUMMYFUNCTION("""COMPUTED_VALUE"""),0.1)</f>
        <v>0.1</v>
      </c>
      <c r="N713" s="77">
        <f>IFERROR(__xludf.DUMMYFUNCTION("""COMPUTED_VALUE"""),1.0)</f>
        <v>1</v>
      </c>
      <c r="O713" s="49"/>
      <c r="P713" s="49" t="str">
        <f>IFERROR(__xludf.DUMMYFUNCTION("""COMPUTED_VALUE"""),"Offset")</f>
        <v>Offset</v>
      </c>
      <c r="Q713" s="49" t="str">
        <f>IFERROR(__xludf.DUMMYFUNCTION("""COMPUTED_VALUE"""),"Packaging")</f>
        <v>Packaging</v>
      </c>
      <c r="R713" s="49" t="str">
        <f>IFERROR(__xludf.DUMMYFUNCTION("""COMPUTED_VALUE"""),"Daily Essential")</f>
        <v>Daily Essential</v>
      </c>
    </row>
    <row r="714">
      <c r="A714" s="156" t="str">
        <f>IFERROR(__xludf.DUMMYFUNCTION("""COMPUTED_VALUE"""),"https://drive.google.com/open?id=1Jgl20GWMI8ddDX4-u3TXxoPMXJJ9xugj&amp;authuser=jay.agg%40gmail.com&amp;usp=drive_fs")</f>
        <v>https://drive.google.com/open?id=1Jgl20GWMI8ddDX4-u3TXxoPMXJJ9xugj&amp;authuser=jay.agg%40gmail.com&amp;usp=drive_fs</v>
      </c>
      <c r="B714" s="73" t="str">
        <f>IFERROR(__xludf.DUMMYFUNCTION("""COMPUTED_VALUE"""),"Daily Essential")</f>
        <v>Daily Essential</v>
      </c>
      <c r="C714" s="73" t="str">
        <f>IFERROR(__xludf.DUMMYFUNCTION("""COMPUTED_VALUE"""),"Soap Box")</f>
        <v>Soap Box</v>
      </c>
      <c r="D714" s="73" t="str">
        <f>IFERROR(__xludf.DUMMYFUNCTION("""COMPUTED_VALUE"""),"55*55*25 mm")</f>
        <v>55*55*25 mm</v>
      </c>
      <c r="E714" s="77">
        <f>IFERROR(__xludf.DUMMYFUNCTION("""COMPUTED_VALUE"""),12.0)</f>
        <v>12</v>
      </c>
      <c r="F714" s="77">
        <f>IFERROR(__xludf.DUMMYFUNCTION("""COMPUTED_VALUE"""),1926.0)</f>
        <v>1926</v>
      </c>
      <c r="G714" s="77">
        <f>IFERROR(__xludf.DUMMYFUNCTION("""COMPUTED_VALUE"""),18.0)</f>
        <v>18</v>
      </c>
      <c r="H714" s="77">
        <f>IFERROR(__xludf.DUMMYFUNCTION("""COMPUTED_VALUE"""),21.0)</f>
        <v>21</v>
      </c>
      <c r="I714" s="77">
        <f>IFERROR(__xludf.DUMMYFUNCTION("""COMPUTED_VALUE"""),100.0)</f>
        <v>100</v>
      </c>
      <c r="J714" s="73"/>
      <c r="K714" s="73"/>
      <c r="L714" s="73"/>
      <c r="M714" s="77">
        <f>IFERROR(__xludf.DUMMYFUNCTION("""COMPUTED_VALUE"""),0.1)</f>
        <v>0.1</v>
      </c>
      <c r="N714" s="77">
        <f>IFERROR(__xludf.DUMMYFUNCTION("""COMPUTED_VALUE"""),1.0)</f>
        <v>1</v>
      </c>
      <c r="O714" s="49"/>
      <c r="P714" s="49" t="str">
        <f>IFERROR(__xludf.DUMMYFUNCTION("""COMPUTED_VALUE"""),"Offset")</f>
        <v>Offset</v>
      </c>
      <c r="Q714" s="49" t="str">
        <f>IFERROR(__xludf.DUMMYFUNCTION("""COMPUTED_VALUE"""),"Packaging")</f>
        <v>Packaging</v>
      </c>
      <c r="R714" s="49" t="str">
        <f>IFERROR(__xludf.DUMMYFUNCTION("""COMPUTED_VALUE"""),"Daily Essential")</f>
        <v>Daily Essential</v>
      </c>
    </row>
    <row r="715">
      <c r="A715" s="156" t="str">
        <f>IFERROR(__xludf.DUMMYFUNCTION("""COMPUTED_VALUE"""),"https://drive.google.com/open?id=1Jty2thkM1v3pZSFUNPJyBYBRtY9F7Ztd&amp;authuser=jay.agg%40gmail.com&amp;usp=drive_fs")</f>
        <v>https://drive.google.com/open?id=1Jty2thkM1v3pZSFUNPJyBYBRtY9F7Ztd&amp;authuser=jay.agg%40gmail.com&amp;usp=drive_fs</v>
      </c>
      <c r="B715" s="73" t="str">
        <f>IFERROR(__xludf.DUMMYFUNCTION("""COMPUTED_VALUE"""),"Daily Essential")</f>
        <v>Daily Essential</v>
      </c>
      <c r="C715" s="73" t="str">
        <f>IFERROR(__xludf.DUMMYFUNCTION("""COMPUTED_VALUE"""),"Soap Box")</f>
        <v>Soap Box</v>
      </c>
      <c r="D715" s="73" t="str">
        <f>IFERROR(__xludf.DUMMYFUNCTION("""COMPUTED_VALUE"""),"45*20*66 mm")</f>
        <v>45*20*66 mm</v>
      </c>
      <c r="E715" s="77">
        <f>IFERROR(__xludf.DUMMYFUNCTION("""COMPUTED_VALUE"""),16.0)</f>
        <v>16</v>
      </c>
      <c r="F715" s="77">
        <f>IFERROR(__xludf.DUMMYFUNCTION("""COMPUTED_VALUE"""),1926.0)</f>
        <v>1926</v>
      </c>
      <c r="G715" s="77">
        <f>IFERROR(__xludf.DUMMYFUNCTION("""COMPUTED_VALUE"""),18.0)</f>
        <v>18</v>
      </c>
      <c r="H715" s="77">
        <f>IFERROR(__xludf.DUMMYFUNCTION("""COMPUTED_VALUE"""),23.0)</f>
        <v>23</v>
      </c>
      <c r="I715" s="77">
        <f>IFERROR(__xludf.DUMMYFUNCTION("""COMPUTED_VALUE"""),100.0)</f>
        <v>100</v>
      </c>
      <c r="J715" s="73"/>
      <c r="K715" s="73"/>
      <c r="L715" s="73"/>
      <c r="M715" s="77">
        <f>IFERROR(__xludf.DUMMYFUNCTION("""COMPUTED_VALUE"""),0.1)</f>
        <v>0.1</v>
      </c>
      <c r="N715" s="77">
        <f>IFERROR(__xludf.DUMMYFUNCTION("""COMPUTED_VALUE"""),1.0)</f>
        <v>1</v>
      </c>
      <c r="O715" s="49"/>
      <c r="P715" s="49" t="str">
        <f>IFERROR(__xludf.DUMMYFUNCTION("""COMPUTED_VALUE"""),"Offset")</f>
        <v>Offset</v>
      </c>
      <c r="Q715" s="49" t="str">
        <f>IFERROR(__xludf.DUMMYFUNCTION("""COMPUTED_VALUE"""),"Packaging")</f>
        <v>Packaging</v>
      </c>
      <c r="R715" s="49" t="str">
        <f>IFERROR(__xludf.DUMMYFUNCTION("""COMPUTED_VALUE"""),"Daily Essential")</f>
        <v>Daily Essential</v>
      </c>
    </row>
    <row r="716">
      <c r="A716" s="156" t="str">
        <f>IFERROR(__xludf.DUMMYFUNCTION("""COMPUTED_VALUE"""),"https://drive.google.com/open?id=13zhx5fG-fKLjlKQUCaUiwwDa_rFrmgef&amp;authuser=jay.agg%40gmail.com&amp;usp=drive_fs")</f>
        <v>https://drive.google.com/open?id=13zhx5fG-fKLjlKQUCaUiwwDa_rFrmgef&amp;authuser=jay.agg%40gmail.com&amp;usp=drive_fs</v>
      </c>
      <c r="B716" s="73" t="str">
        <f>IFERROR(__xludf.DUMMYFUNCTION("""COMPUTED_VALUE"""),"Daily Essential")</f>
        <v>Daily Essential</v>
      </c>
      <c r="C716" s="73" t="str">
        <f>IFERROR(__xludf.DUMMYFUNCTION("""COMPUTED_VALUE"""),"Tooth Pick")</f>
        <v>Tooth Pick</v>
      </c>
      <c r="D716" s="73" t="str">
        <f>IFERROR(__xludf.DUMMYFUNCTION("""COMPUTED_VALUE"""),"85*80*95 mm | 3.3*3.15*3*74 inch")</f>
        <v>85*80*95 mm | 3.3*3.15*3*74 inch</v>
      </c>
      <c r="E716" s="77">
        <f>IFERROR(__xludf.DUMMYFUNCTION("""COMPUTED_VALUE"""),4.0)</f>
        <v>4</v>
      </c>
      <c r="F716" s="77">
        <f>IFERROR(__xludf.DUMMYFUNCTION("""COMPUTED_VALUE"""),2029.0)</f>
        <v>2029</v>
      </c>
      <c r="G716" s="77">
        <f>IFERROR(__xludf.DUMMYFUNCTION("""COMPUTED_VALUE"""),19.0)</f>
        <v>19</v>
      </c>
      <c r="H716" s="77">
        <f>IFERROR(__xludf.DUMMYFUNCTION("""COMPUTED_VALUE"""),28.0)</f>
        <v>28</v>
      </c>
      <c r="I716" s="77">
        <f>IFERROR(__xludf.DUMMYFUNCTION("""COMPUTED_VALUE"""),100.0)</f>
        <v>100</v>
      </c>
      <c r="J716" s="73"/>
      <c r="K716" s="73"/>
      <c r="L716" s="73"/>
      <c r="M716" s="77">
        <f>IFERROR(__xludf.DUMMYFUNCTION("""COMPUTED_VALUE"""),0.1)</f>
        <v>0.1</v>
      </c>
      <c r="N716" s="77">
        <f>IFERROR(__xludf.DUMMYFUNCTION("""COMPUTED_VALUE"""),1.0)</f>
        <v>1</v>
      </c>
      <c r="O716" s="49"/>
      <c r="P716" s="49" t="str">
        <f>IFERROR(__xludf.DUMMYFUNCTION("""COMPUTED_VALUE"""),"Offset")</f>
        <v>Offset</v>
      </c>
      <c r="Q716" s="49" t="str">
        <f>IFERROR(__xludf.DUMMYFUNCTION("""COMPUTED_VALUE"""),"Packaging")</f>
        <v>Packaging</v>
      </c>
      <c r="R716" s="49" t="str">
        <f>IFERROR(__xludf.DUMMYFUNCTION("""COMPUTED_VALUE"""),"Daily Essential")</f>
        <v>Daily Essential</v>
      </c>
    </row>
    <row r="717">
      <c r="A717" s="156" t="str">
        <f>IFERROR(__xludf.DUMMYFUNCTION("""COMPUTED_VALUE"""),"https://drive.google.com/open?id=1Lz0XmeZRIl2vA-f_lDEB6W3iOTdFvXPs&amp;authuser=jay.agg%40gmail.com&amp;usp=drive_fs")</f>
        <v>https://drive.google.com/open?id=1Lz0XmeZRIl2vA-f_lDEB6W3iOTdFvXPs&amp;authuser=jay.agg%40gmail.com&amp;usp=drive_fs</v>
      </c>
      <c r="B717" s="73" t="str">
        <f>IFERROR(__xludf.DUMMYFUNCTION("""COMPUTED_VALUE"""),"Daily Essential")</f>
        <v>Daily Essential</v>
      </c>
      <c r="C717" s="73" t="str">
        <f>IFERROR(__xludf.DUMMYFUNCTION("""COMPUTED_VALUE"""),"Soap Box")</f>
        <v>Soap Box</v>
      </c>
      <c r="D717" s="73" t="str">
        <f>IFERROR(__xludf.DUMMYFUNCTION("""COMPUTED_VALUE"""),"57*30*81 mm | 2.2*1.2*3.2 inch")</f>
        <v>57*30*81 mm | 2.2*1.2*3.2 inch</v>
      </c>
      <c r="E717" s="77">
        <f>IFERROR(__xludf.DUMMYFUNCTION("""COMPUTED_VALUE"""),9.0)</f>
        <v>9</v>
      </c>
      <c r="F717" s="77">
        <f>IFERROR(__xludf.DUMMYFUNCTION("""COMPUTED_VALUE"""),1926.0)</f>
        <v>1926</v>
      </c>
      <c r="G717" s="77">
        <f>IFERROR(__xludf.DUMMYFUNCTION("""COMPUTED_VALUE"""),18.0)</f>
        <v>18</v>
      </c>
      <c r="H717" s="77">
        <f>IFERROR(__xludf.DUMMYFUNCTION("""COMPUTED_VALUE"""),23.0)</f>
        <v>23</v>
      </c>
      <c r="I717" s="77">
        <f>IFERROR(__xludf.DUMMYFUNCTION("""COMPUTED_VALUE"""),100.0)</f>
        <v>100</v>
      </c>
      <c r="J717" s="73"/>
      <c r="K717" s="73"/>
      <c r="L717" s="73"/>
      <c r="M717" s="77">
        <f>IFERROR(__xludf.DUMMYFUNCTION("""COMPUTED_VALUE"""),0.1)</f>
        <v>0.1</v>
      </c>
      <c r="N717" s="77">
        <f>IFERROR(__xludf.DUMMYFUNCTION("""COMPUTED_VALUE"""),1.0)</f>
        <v>1</v>
      </c>
      <c r="O717" s="49"/>
      <c r="P717" s="49" t="str">
        <f>IFERROR(__xludf.DUMMYFUNCTION("""COMPUTED_VALUE"""),"Offset")</f>
        <v>Offset</v>
      </c>
      <c r="Q717" s="49" t="str">
        <f>IFERROR(__xludf.DUMMYFUNCTION("""COMPUTED_VALUE"""),"Packaging")</f>
        <v>Packaging</v>
      </c>
      <c r="R717" s="49" t="str">
        <f>IFERROR(__xludf.DUMMYFUNCTION("""COMPUTED_VALUE"""),"Daily Essential")</f>
        <v>Daily Essential</v>
      </c>
    </row>
    <row r="718">
      <c r="A718" s="156" t="str">
        <f>IFERROR(__xludf.DUMMYFUNCTION("""COMPUTED_VALUE"""),"https://drive.google.com/open?id=1M1LcGDzdw5r7vKm8l5I93fsq-AdS66nH&amp;authuser=jay.agg%40gmail.com&amp;usp=drive_fs")</f>
        <v>https://drive.google.com/open?id=1M1LcGDzdw5r7vKm8l5I93fsq-AdS66nH&amp;authuser=jay.agg%40gmail.com&amp;usp=drive_fs</v>
      </c>
      <c r="B718" s="73" t="str">
        <f>IFERROR(__xludf.DUMMYFUNCTION("""COMPUTED_VALUE"""),"Daily Essential")</f>
        <v>Daily Essential</v>
      </c>
      <c r="C718" s="73" t="str">
        <f>IFERROR(__xludf.DUMMYFUNCTION("""COMPUTED_VALUE"""),"Comb")</f>
        <v>Comb</v>
      </c>
      <c r="D718" s="73" t="str">
        <f>IFERROR(__xludf.DUMMYFUNCTION("""COMPUTED_VALUE"""),"80*230 mm")</f>
        <v>80*230 mm</v>
      </c>
      <c r="E718" s="77">
        <f>IFERROR(__xludf.DUMMYFUNCTION("""COMPUTED_VALUE"""),4.0)</f>
        <v>4</v>
      </c>
      <c r="F718" s="77">
        <f>IFERROR(__xludf.DUMMYFUNCTION("""COMPUTED_VALUE"""),1926.0)</f>
        <v>1926</v>
      </c>
      <c r="G718" s="77">
        <f>IFERROR(__xludf.DUMMYFUNCTION("""COMPUTED_VALUE"""),14.0)</f>
        <v>14</v>
      </c>
      <c r="H718" s="77">
        <f>IFERROR(__xludf.DUMMYFUNCTION("""COMPUTED_VALUE"""),22.0)</f>
        <v>22</v>
      </c>
      <c r="I718" s="77">
        <f>IFERROR(__xludf.DUMMYFUNCTION("""COMPUTED_VALUE"""),100.0)</f>
        <v>100</v>
      </c>
      <c r="J718" s="73"/>
      <c r="K718" s="73"/>
      <c r="L718" s="73"/>
      <c r="M718" s="77">
        <f>IFERROR(__xludf.DUMMYFUNCTION("""COMPUTED_VALUE"""),0.1)</f>
        <v>0.1</v>
      </c>
      <c r="N718" s="77">
        <f>IFERROR(__xludf.DUMMYFUNCTION("""COMPUTED_VALUE"""),1.0)</f>
        <v>1</v>
      </c>
      <c r="O718" s="49"/>
      <c r="P718" s="49" t="str">
        <f>IFERROR(__xludf.DUMMYFUNCTION("""COMPUTED_VALUE"""),"Offset")</f>
        <v>Offset</v>
      </c>
      <c r="Q718" s="49" t="str">
        <f>IFERROR(__xludf.DUMMYFUNCTION("""COMPUTED_VALUE"""),"Packaging")</f>
        <v>Packaging</v>
      </c>
      <c r="R718" s="49" t="str">
        <f>IFERROR(__xludf.DUMMYFUNCTION("""COMPUTED_VALUE"""),"Daily Essential")</f>
        <v>Daily Essential</v>
      </c>
    </row>
    <row r="719">
      <c r="A719" s="156" t="str">
        <f>IFERROR(__xludf.DUMMYFUNCTION("""COMPUTED_VALUE"""),"https://drive.google.com/open?id=17J9HEkOTt00JgZjUh5ituXxuusvGbRg5&amp;authuser=jay.agg%40gmail.com&amp;usp=drive_fs")</f>
        <v>https://drive.google.com/open?id=17J9HEkOTt00JgZjUh5ituXxuusvGbRg5&amp;authuser=jay.agg%40gmail.com&amp;usp=drive_fs</v>
      </c>
      <c r="B719" s="73" t="str">
        <f>IFERROR(__xludf.DUMMYFUNCTION("""COMPUTED_VALUE"""),"Daily Essential")</f>
        <v>Daily Essential</v>
      </c>
      <c r="C719" s="73" t="str">
        <f>IFERROR(__xludf.DUMMYFUNCTION("""COMPUTED_VALUE"""),"Perfume")</f>
        <v>Perfume</v>
      </c>
      <c r="D719" s="73" t="str">
        <f>IFERROR(__xludf.DUMMYFUNCTION("""COMPUTED_VALUE"""),"85*85*140 mm")</f>
        <v>85*85*140 mm</v>
      </c>
      <c r="E719" s="77">
        <f>IFERROR(__xludf.DUMMYFUNCTION("""COMPUTED_VALUE"""),2.0)</f>
        <v>2</v>
      </c>
      <c r="F719" s="77">
        <f>IFERROR(__xludf.DUMMYFUNCTION("""COMPUTED_VALUE"""),1926.0)</f>
        <v>1926</v>
      </c>
      <c r="G719" s="77">
        <f>IFERROR(__xludf.DUMMYFUNCTION("""COMPUTED_VALUE"""),15.0)</f>
        <v>15</v>
      </c>
      <c r="H719" s="77">
        <f>IFERROR(__xludf.DUMMYFUNCTION("""COMPUTED_VALUE"""),25.0)</f>
        <v>25</v>
      </c>
      <c r="I719" s="77">
        <f>IFERROR(__xludf.DUMMYFUNCTION("""COMPUTED_VALUE"""),100.0)</f>
        <v>100</v>
      </c>
      <c r="J719" s="73"/>
      <c r="K719" s="73"/>
      <c r="L719" s="73"/>
      <c r="M719" s="77">
        <f>IFERROR(__xludf.DUMMYFUNCTION("""COMPUTED_VALUE"""),0.1)</f>
        <v>0.1</v>
      </c>
      <c r="N719" s="77">
        <f>IFERROR(__xludf.DUMMYFUNCTION("""COMPUTED_VALUE"""),1.0)</f>
        <v>1</v>
      </c>
      <c r="O719" s="49"/>
      <c r="P719" s="49" t="str">
        <f>IFERROR(__xludf.DUMMYFUNCTION("""COMPUTED_VALUE"""),"Offset")</f>
        <v>Offset</v>
      </c>
      <c r="Q719" s="49" t="str">
        <f>IFERROR(__xludf.DUMMYFUNCTION("""COMPUTED_VALUE"""),"Packaging")</f>
        <v>Packaging</v>
      </c>
      <c r="R719" s="49" t="str">
        <f>IFERROR(__xludf.DUMMYFUNCTION("""COMPUTED_VALUE"""),"Daily Essential")</f>
        <v>Daily Essential</v>
      </c>
    </row>
    <row r="720">
      <c r="A720" s="156" t="str">
        <f>IFERROR(__xludf.DUMMYFUNCTION("""COMPUTED_VALUE"""),"https://drive.google.com/open?id=18fP_8SuY2p9mFWweHe6JGLIAzl-RegyU&amp;authuser=jay.agg%40gmail.com&amp;usp=drive_fs")</f>
        <v>https://drive.google.com/open?id=18fP_8SuY2p9mFWweHe6JGLIAzl-RegyU&amp;authuser=jay.agg%40gmail.com&amp;usp=drive_fs</v>
      </c>
      <c r="B720" s="73" t="str">
        <f>IFERROR(__xludf.DUMMYFUNCTION("""COMPUTED_VALUE"""),"Daily Essential")</f>
        <v>Daily Essential</v>
      </c>
      <c r="C720" s="73" t="str">
        <f>IFERROR(__xludf.DUMMYFUNCTION("""COMPUTED_VALUE"""),"Sanitary Napkins")</f>
        <v>Sanitary Napkins</v>
      </c>
      <c r="D720" s="73" t="str">
        <f>IFERROR(__xludf.DUMMYFUNCTION("""COMPUTED_VALUE"""),"80*68*125 mm | 3.15*2.6*4.9 inch LB")</f>
        <v>80*68*125 mm | 3.15*2.6*4.9 inch LB</v>
      </c>
      <c r="E720" s="77">
        <f>IFERROR(__xludf.DUMMYFUNCTION("""COMPUTED_VALUE"""),4.0)</f>
        <v>4</v>
      </c>
      <c r="F720" s="77">
        <f>IFERROR(__xludf.DUMMYFUNCTION("""COMPUTED_VALUE"""),1926.0)</f>
        <v>1926</v>
      </c>
      <c r="G720" s="77">
        <f>IFERROR(__xludf.DUMMYFUNCTION("""COMPUTED_VALUE"""),18.0)</f>
        <v>18</v>
      </c>
      <c r="H720" s="77">
        <f>IFERROR(__xludf.DUMMYFUNCTION("""COMPUTED_VALUE"""),25.0)</f>
        <v>25</v>
      </c>
      <c r="I720" s="77">
        <f>IFERROR(__xludf.DUMMYFUNCTION("""COMPUTED_VALUE"""),100.0)</f>
        <v>100</v>
      </c>
      <c r="J720" s="73"/>
      <c r="K720" s="73"/>
      <c r="L720" s="73"/>
      <c r="M720" s="77">
        <f>IFERROR(__xludf.DUMMYFUNCTION("""COMPUTED_VALUE"""),0.1)</f>
        <v>0.1</v>
      </c>
      <c r="N720" s="77">
        <f>IFERROR(__xludf.DUMMYFUNCTION("""COMPUTED_VALUE"""),1.0)</f>
        <v>1</v>
      </c>
      <c r="O720" s="49"/>
      <c r="P720" s="49" t="str">
        <f>IFERROR(__xludf.DUMMYFUNCTION("""COMPUTED_VALUE"""),"Offset")</f>
        <v>Offset</v>
      </c>
      <c r="Q720" s="49" t="str">
        <f>IFERROR(__xludf.DUMMYFUNCTION("""COMPUTED_VALUE"""),"Packaging")</f>
        <v>Packaging</v>
      </c>
      <c r="R720" s="49" t="str">
        <f>IFERROR(__xludf.DUMMYFUNCTION("""COMPUTED_VALUE"""),"Daily Essential")</f>
        <v>Daily Essential</v>
      </c>
    </row>
    <row r="721">
      <c r="A721" s="156" t="str">
        <f>IFERROR(__xludf.DUMMYFUNCTION("""COMPUTED_VALUE"""),"https://drive.google.com/open?id=1NKaYml9oeW6RcEJdfMw3-0QQjjry9r-H&amp;authuser=jay.agg%40gmail.com&amp;usp=drive_fs")</f>
        <v>https://drive.google.com/open?id=1NKaYml9oeW6RcEJdfMw3-0QQjjry9r-H&amp;authuser=jay.agg%40gmail.com&amp;usp=drive_fs</v>
      </c>
      <c r="B721" s="73" t="str">
        <f>IFERROR(__xludf.DUMMYFUNCTION("""COMPUTED_VALUE"""),"Daily Essential")</f>
        <v>Daily Essential</v>
      </c>
      <c r="C721" s="73" t="str">
        <f>IFERROR(__xludf.DUMMYFUNCTION("""COMPUTED_VALUE"""),"Tissue Box")</f>
        <v>Tissue Box</v>
      </c>
      <c r="D721" s="73" t="str">
        <f>IFERROR(__xludf.DUMMYFUNCTION("""COMPUTED_VALUE"""),"205*98*45 mm | 8*3.9*1.8 inch")</f>
        <v>205*98*45 mm | 8*3.9*1.8 inch</v>
      </c>
      <c r="E721" s="77">
        <f>IFERROR(__xludf.DUMMYFUNCTION("""COMPUTED_VALUE"""),2.0)</f>
        <v>2</v>
      </c>
      <c r="F721" s="77">
        <f>IFERROR(__xludf.DUMMYFUNCTION("""COMPUTED_VALUE"""),1926.0)</f>
        <v>1926</v>
      </c>
      <c r="G721" s="77">
        <f>IFERROR(__xludf.DUMMYFUNCTION("""COMPUTED_VALUE"""),12.0)</f>
        <v>12</v>
      </c>
      <c r="H721" s="77">
        <f>IFERROR(__xludf.DUMMYFUNCTION("""COMPUTED_VALUE"""),23.0)</f>
        <v>23</v>
      </c>
      <c r="I721" s="77">
        <f>IFERROR(__xludf.DUMMYFUNCTION("""COMPUTED_VALUE"""),100.0)</f>
        <v>100</v>
      </c>
      <c r="J721" s="73"/>
      <c r="K721" s="73"/>
      <c r="L721" s="73"/>
      <c r="M721" s="77">
        <f>IFERROR(__xludf.DUMMYFUNCTION("""COMPUTED_VALUE"""),0.1)</f>
        <v>0.1</v>
      </c>
      <c r="N721" s="77">
        <f>IFERROR(__xludf.DUMMYFUNCTION("""COMPUTED_VALUE"""),1.0)</f>
        <v>1</v>
      </c>
      <c r="O721" s="49"/>
      <c r="P721" s="49" t="str">
        <f>IFERROR(__xludf.DUMMYFUNCTION("""COMPUTED_VALUE"""),"Offset")</f>
        <v>Offset</v>
      </c>
      <c r="Q721" s="49" t="str">
        <f>IFERROR(__xludf.DUMMYFUNCTION("""COMPUTED_VALUE"""),"Packaging")</f>
        <v>Packaging</v>
      </c>
      <c r="R721" s="49" t="str">
        <f>IFERROR(__xludf.DUMMYFUNCTION("""COMPUTED_VALUE"""),"Daily Essential")</f>
        <v>Daily Essential</v>
      </c>
    </row>
    <row r="722">
      <c r="A722" s="156" t="str">
        <f>IFERROR(__xludf.DUMMYFUNCTION("""COMPUTED_VALUE"""),"https://drive.google.com/open?id=1NoXQIQzF0yG600aAcWVcTmboAi-zpBgq&amp;authuser=jay.agg%40gmail.com&amp;usp=drive_fs")</f>
        <v>https://drive.google.com/open?id=1NoXQIQzF0yG600aAcWVcTmboAi-zpBgq&amp;authuser=jay.agg%40gmail.com&amp;usp=drive_fs</v>
      </c>
      <c r="B722" s="73" t="str">
        <f>IFERROR(__xludf.DUMMYFUNCTION("""COMPUTED_VALUE"""),"Daily Essential")</f>
        <v>Daily Essential</v>
      </c>
      <c r="C722" s="73" t="str">
        <f>IFERROR(__xludf.DUMMYFUNCTION("""COMPUTED_VALUE"""),"Misc")</f>
        <v>Misc</v>
      </c>
      <c r="D722" s="73" t="str">
        <f>IFERROR(__xludf.DUMMYFUNCTION("""COMPUTED_VALUE"""),"40*40*70 mm")</f>
        <v>40*40*70 mm</v>
      </c>
      <c r="E722" s="77">
        <f>IFERROR(__xludf.DUMMYFUNCTION("""COMPUTED_VALUE"""),2.0)</f>
        <v>2</v>
      </c>
      <c r="F722" s="77">
        <f>IFERROR(__xludf.DUMMYFUNCTION("""COMPUTED_VALUE"""),1926.0)</f>
        <v>1926</v>
      </c>
      <c r="G722" s="77">
        <f>IFERROR(__xludf.DUMMYFUNCTION("""COMPUTED_VALUE"""),18.0)</f>
        <v>18</v>
      </c>
      <c r="H722" s="77">
        <f>IFERROR(__xludf.DUMMYFUNCTION("""COMPUTED_VALUE"""),21.0)</f>
        <v>21</v>
      </c>
      <c r="I722" s="77">
        <f>IFERROR(__xludf.DUMMYFUNCTION("""COMPUTED_VALUE"""),100.0)</f>
        <v>100</v>
      </c>
      <c r="J722" s="73"/>
      <c r="K722" s="73"/>
      <c r="L722" s="73"/>
      <c r="M722" s="77">
        <f>IFERROR(__xludf.DUMMYFUNCTION("""COMPUTED_VALUE"""),0.1)</f>
        <v>0.1</v>
      </c>
      <c r="N722" s="77">
        <f>IFERROR(__xludf.DUMMYFUNCTION("""COMPUTED_VALUE"""),1.0)</f>
        <v>1</v>
      </c>
      <c r="O722" s="49"/>
      <c r="P722" s="49" t="str">
        <f>IFERROR(__xludf.DUMMYFUNCTION("""COMPUTED_VALUE"""),"Offset")</f>
        <v>Offset</v>
      </c>
      <c r="Q722" s="49" t="str">
        <f>IFERROR(__xludf.DUMMYFUNCTION("""COMPUTED_VALUE"""),"Packaging")</f>
        <v>Packaging</v>
      </c>
      <c r="R722" s="49" t="str">
        <f>IFERROR(__xludf.DUMMYFUNCTION("""COMPUTED_VALUE"""),"Daily Essential")</f>
        <v>Daily Essential</v>
      </c>
    </row>
    <row r="723">
      <c r="A723" s="156" t="str">
        <f>IFERROR(__xludf.DUMMYFUNCTION("""COMPUTED_VALUE"""),"https://drive.google.com/open?id=1OQIDJP1Qhml1MwGusac5621tIL85UCNN&amp;authuser=jay.agg%40gmail.com&amp;usp=drive_fs")</f>
        <v>https://drive.google.com/open?id=1OQIDJP1Qhml1MwGusac5621tIL85UCNN&amp;authuser=jay.agg%40gmail.com&amp;usp=drive_fs</v>
      </c>
      <c r="B723" s="73" t="str">
        <f>IFERROR(__xludf.DUMMYFUNCTION("""COMPUTED_VALUE"""),"Daily Essential")</f>
        <v>Daily Essential</v>
      </c>
      <c r="C723" s="73" t="str">
        <f>IFERROR(__xludf.DUMMYFUNCTION("""COMPUTED_VALUE"""),"Comb")</f>
        <v>Comb</v>
      </c>
      <c r="D723" s="73" t="str">
        <f>IFERROR(__xludf.DUMMYFUNCTION("""COMPUTED_VALUE"""),"38*10*187 mm | 1.5*0.394*7.35 inch")</f>
        <v>38*10*187 mm | 1.5*0.394*7.35 inch</v>
      </c>
      <c r="E723" s="77">
        <f>IFERROR(__xludf.DUMMYFUNCTION("""COMPUTED_VALUE"""),10.0)</f>
        <v>10</v>
      </c>
      <c r="F723" s="77">
        <f>IFERROR(__xludf.DUMMYFUNCTION("""COMPUTED_VALUE"""),1926.0)</f>
        <v>1926</v>
      </c>
      <c r="G723" s="77">
        <f>IFERROR(__xludf.DUMMYFUNCTION("""COMPUTED_VALUE"""),18.0)</f>
        <v>18</v>
      </c>
      <c r="H723" s="77">
        <f>IFERROR(__xludf.DUMMYFUNCTION("""COMPUTED_VALUE"""),21.0)</f>
        <v>21</v>
      </c>
      <c r="I723" s="77">
        <f>IFERROR(__xludf.DUMMYFUNCTION("""COMPUTED_VALUE"""),100.0)</f>
        <v>100</v>
      </c>
      <c r="J723" s="73"/>
      <c r="K723" s="73"/>
      <c r="L723" s="73"/>
      <c r="M723" s="77">
        <f>IFERROR(__xludf.DUMMYFUNCTION("""COMPUTED_VALUE"""),0.1)</f>
        <v>0.1</v>
      </c>
      <c r="N723" s="77">
        <f>IFERROR(__xludf.DUMMYFUNCTION("""COMPUTED_VALUE"""),1.0)</f>
        <v>1</v>
      </c>
      <c r="O723" s="49"/>
      <c r="P723" s="49" t="str">
        <f>IFERROR(__xludf.DUMMYFUNCTION("""COMPUTED_VALUE"""),"Offset")</f>
        <v>Offset</v>
      </c>
      <c r="Q723" s="49" t="str">
        <f>IFERROR(__xludf.DUMMYFUNCTION("""COMPUTED_VALUE"""),"Packaging")</f>
        <v>Packaging</v>
      </c>
      <c r="R723" s="49" t="str">
        <f>IFERROR(__xludf.DUMMYFUNCTION("""COMPUTED_VALUE"""),"Daily Essential")</f>
        <v>Daily Essential</v>
      </c>
    </row>
    <row r="724">
      <c r="A724" s="156" t="str">
        <f>IFERROR(__xludf.DUMMYFUNCTION("""COMPUTED_VALUE"""),"https://drive.google.com/open?id=1PCGKkm9C_Vg9QVXzwgTyEz-U_AkZcE3t&amp;authuser=jay.agg%40gmail.com&amp;usp=drive_fs")</f>
        <v>https://drive.google.com/open?id=1PCGKkm9C_Vg9QVXzwgTyEz-U_AkZcE3t&amp;authuser=jay.agg%40gmail.com&amp;usp=drive_fs</v>
      </c>
      <c r="B724" s="73" t="str">
        <f>IFERROR(__xludf.DUMMYFUNCTION("""COMPUTED_VALUE"""),"Daily Essential")</f>
        <v>Daily Essential</v>
      </c>
      <c r="C724" s="73" t="str">
        <f>IFERROR(__xludf.DUMMYFUNCTION("""COMPUTED_VALUE"""),"Mosquito Repellent Liquid")</f>
        <v>Mosquito Repellent Liquid</v>
      </c>
      <c r="D724" s="73" t="str">
        <f>IFERROR(__xludf.DUMMYFUNCTION("""COMPUTED_VALUE"""),"46*46*90 mm | 1.8*1.8*3.5 inch")</f>
        <v>46*46*90 mm | 1.8*1.8*3.5 inch</v>
      </c>
      <c r="E724" s="77">
        <f>IFERROR(__xludf.DUMMYFUNCTION("""COMPUTED_VALUE"""),6.0)</f>
        <v>6</v>
      </c>
      <c r="F724" s="77">
        <f>IFERROR(__xludf.DUMMYFUNCTION("""COMPUTED_VALUE"""),1926.0)</f>
        <v>1926</v>
      </c>
      <c r="G724" s="77">
        <f>IFERROR(__xludf.DUMMYFUNCTION("""COMPUTED_VALUE"""),15.75)</f>
        <v>15.75</v>
      </c>
      <c r="H724" s="77">
        <f>IFERROR(__xludf.DUMMYFUNCTION("""COMPUTED_VALUE"""),20.75)</f>
        <v>20.75</v>
      </c>
      <c r="I724" s="77">
        <f>IFERROR(__xludf.DUMMYFUNCTION("""COMPUTED_VALUE"""),100.0)</f>
        <v>100</v>
      </c>
      <c r="J724" s="73"/>
      <c r="K724" s="73"/>
      <c r="L724" s="73"/>
      <c r="M724" s="77">
        <f>IFERROR(__xludf.DUMMYFUNCTION("""COMPUTED_VALUE"""),0.1)</f>
        <v>0.1</v>
      </c>
      <c r="N724" s="77">
        <f>IFERROR(__xludf.DUMMYFUNCTION("""COMPUTED_VALUE"""),1.0)</f>
        <v>1</v>
      </c>
      <c r="O724" s="49"/>
      <c r="P724" s="49" t="str">
        <f>IFERROR(__xludf.DUMMYFUNCTION("""COMPUTED_VALUE"""),"Offset")</f>
        <v>Offset</v>
      </c>
      <c r="Q724" s="49" t="str">
        <f>IFERROR(__xludf.DUMMYFUNCTION("""COMPUTED_VALUE"""),"Packaging")</f>
        <v>Packaging</v>
      </c>
      <c r="R724" s="49" t="str">
        <f>IFERROR(__xludf.DUMMYFUNCTION("""COMPUTED_VALUE"""),"Daily Essential")</f>
        <v>Daily Essential</v>
      </c>
    </row>
    <row r="725">
      <c r="A725" s="156" t="str">
        <f>IFERROR(__xludf.DUMMYFUNCTION("""COMPUTED_VALUE"""),"https://drive.google.com/open?id=1RwDtIvG4oelZDuX8PEc6O5HZYINGhatS&amp;authuser=jay.agg%40gmail.com&amp;usp=drive_fs")</f>
        <v>https://drive.google.com/open?id=1RwDtIvG4oelZDuX8PEc6O5HZYINGhatS&amp;authuser=jay.agg%40gmail.com&amp;usp=drive_fs</v>
      </c>
      <c r="B725" s="73" t="str">
        <f>IFERROR(__xludf.DUMMYFUNCTION("""COMPUTED_VALUE"""),"Daily Essential")</f>
        <v>Daily Essential</v>
      </c>
      <c r="C725" s="73" t="str">
        <f>IFERROR(__xludf.DUMMYFUNCTION("""COMPUTED_VALUE"""),"Soap Box")</f>
        <v>Soap Box</v>
      </c>
      <c r="D725" s="73" t="str">
        <f>IFERROR(__xludf.DUMMYFUNCTION("""COMPUTED_VALUE"""),"47*24*70 mm | 1.85*1*2.75 inch")</f>
        <v>47*24*70 mm | 1.85*1*2.75 inch</v>
      </c>
      <c r="E725" s="77">
        <f>IFERROR(__xludf.DUMMYFUNCTION("""COMPUTED_VALUE"""),12.0)</f>
        <v>12</v>
      </c>
      <c r="F725" s="77">
        <f>IFERROR(__xludf.DUMMYFUNCTION("""COMPUTED_VALUE"""),1926.0)</f>
        <v>1926</v>
      </c>
      <c r="G725" s="77">
        <f>IFERROR(__xludf.DUMMYFUNCTION("""COMPUTED_VALUE"""),15.0)</f>
        <v>15</v>
      </c>
      <c r="H725" s="77">
        <f>IFERROR(__xludf.DUMMYFUNCTION("""COMPUTED_VALUE"""),25.0)</f>
        <v>25</v>
      </c>
      <c r="I725" s="77">
        <f>IFERROR(__xludf.DUMMYFUNCTION("""COMPUTED_VALUE"""),100.0)</f>
        <v>100</v>
      </c>
      <c r="J725" s="73"/>
      <c r="K725" s="73"/>
      <c r="L725" s="73"/>
      <c r="M725" s="77">
        <f>IFERROR(__xludf.DUMMYFUNCTION("""COMPUTED_VALUE"""),0.1)</f>
        <v>0.1</v>
      </c>
      <c r="N725" s="77">
        <f>IFERROR(__xludf.DUMMYFUNCTION("""COMPUTED_VALUE"""),1.0)</f>
        <v>1</v>
      </c>
      <c r="O725" s="49"/>
      <c r="P725" s="49" t="str">
        <f>IFERROR(__xludf.DUMMYFUNCTION("""COMPUTED_VALUE"""),"Offset")</f>
        <v>Offset</v>
      </c>
      <c r="Q725" s="49" t="str">
        <f>IFERROR(__xludf.DUMMYFUNCTION("""COMPUTED_VALUE"""),"Packaging")</f>
        <v>Packaging</v>
      </c>
      <c r="R725" s="49" t="str">
        <f>IFERROR(__xludf.DUMMYFUNCTION("""COMPUTED_VALUE"""),"Daily Essential")</f>
        <v>Daily Essential</v>
      </c>
    </row>
    <row r="726">
      <c r="A726" s="156" t="str">
        <f>IFERROR(__xludf.DUMMYFUNCTION("""COMPUTED_VALUE"""),"https://drive.google.com/open?id=1EzIb8KWWA-Mk2J0uZqKr5pdhQrE12Bp7&amp;authuser=jay.agg%40gmail.com&amp;usp=drive_fs")</f>
        <v>https://drive.google.com/open?id=1EzIb8KWWA-Mk2J0uZqKr5pdhQrE12Bp7&amp;authuser=jay.agg%40gmail.com&amp;usp=drive_fs</v>
      </c>
      <c r="B726" s="73" t="str">
        <f>IFERROR(__xludf.DUMMYFUNCTION("""COMPUTED_VALUE"""),"Daily Essential")</f>
        <v>Daily Essential</v>
      </c>
      <c r="C726" s="73" t="str">
        <f>IFERROR(__xludf.DUMMYFUNCTION("""COMPUTED_VALUE"""),"Soap Box")</f>
        <v>Soap Box</v>
      </c>
      <c r="D726" s="73" t="str">
        <f>IFERROR(__xludf.DUMMYFUNCTION("""COMPUTED_VALUE"""),"55*28*80 mm | 2.1*1.1*3.15 inch")</f>
        <v>55*28*80 mm | 2.1*1.1*3.15 inch</v>
      </c>
      <c r="E726" s="77">
        <f>IFERROR(__xludf.DUMMYFUNCTION("""COMPUTED_VALUE"""),9.0)</f>
        <v>9</v>
      </c>
      <c r="F726" s="77">
        <f>IFERROR(__xludf.DUMMYFUNCTION("""COMPUTED_VALUE"""),1926.0)</f>
        <v>1926</v>
      </c>
      <c r="G726" s="77">
        <f>IFERROR(__xludf.DUMMYFUNCTION("""COMPUTED_VALUE"""),18.0)</f>
        <v>18</v>
      </c>
      <c r="H726" s="77">
        <f>IFERROR(__xludf.DUMMYFUNCTION("""COMPUTED_VALUE"""),23.0)</f>
        <v>23</v>
      </c>
      <c r="I726" s="77">
        <f>IFERROR(__xludf.DUMMYFUNCTION("""COMPUTED_VALUE"""),100.0)</f>
        <v>100</v>
      </c>
      <c r="J726" s="73"/>
      <c r="K726" s="73"/>
      <c r="L726" s="73"/>
      <c r="M726" s="77">
        <f>IFERROR(__xludf.DUMMYFUNCTION("""COMPUTED_VALUE"""),0.1)</f>
        <v>0.1</v>
      </c>
      <c r="N726" s="77">
        <f>IFERROR(__xludf.DUMMYFUNCTION("""COMPUTED_VALUE"""),1.0)</f>
        <v>1</v>
      </c>
      <c r="O726" s="49"/>
      <c r="P726" s="49" t="str">
        <f>IFERROR(__xludf.DUMMYFUNCTION("""COMPUTED_VALUE"""),"Offset")</f>
        <v>Offset</v>
      </c>
      <c r="Q726" s="49" t="str">
        <f>IFERROR(__xludf.DUMMYFUNCTION("""COMPUTED_VALUE"""),"Packaging")</f>
        <v>Packaging</v>
      </c>
      <c r="R726" s="49" t="str">
        <f>IFERROR(__xludf.DUMMYFUNCTION("""COMPUTED_VALUE"""),"Daily Essential")</f>
        <v>Daily Essential</v>
      </c>
    </row>
    <row r="727">
      <c r="A727" s="156" t="str">
        <f>IFERROR(__xludf.DUMMYFUNCTION("""COMPUTED_VALUE"""),"https://drive.google.com/open?id=1FcAas3GY7sablJCf2ngEhTQEHEMmbqVB&amp;authuser=jay.agg%40gmail.com&amp;usp=drive_fs")</f>
        <v>https://drive.google.com/open?id=1FcAas3GY7sablJCf2ngEhTQEHEMmbqVB&amp;authuser=jay.agg%40gmail.com&amp;usp=drive_fs</v>
      </c>
      <c r="B727" s="73" t="str">
        <f>IFERROR(__xludf.DUMMYFUNCTION("""COMPUTED_VALUE"""),"Daily Essential")</f>
        <v>Daily Essential</v>
      </c>
      <c r="C727" s="73" t="str">
        <f>IFERROR(__xludf.DUMMYFUNCTION("""COMPUTED_VALUE"""),"Soap Box")</f>
        <v>Soap Box</v>
      </c>
      <c r="D727" s="73" t="str">
        <f>IFERROR(__xludf.DUMMYFUNCTION("""COMPUTED_VALUE"""),"75*33*100 mm | 3*1.3*4 inch")</f>
        <v>75*33*100 mm | 3*1.3*4 inch</v>
      </c>
      <c r="E727" s="77">
        <f>IFERROR(__xludf.DUMMYFUNCTION("""COMPUTED_VALUE"""),8.0)</f>
        <v>8</v>
      </c>
      <c r="F727" s="77">
        <f>IFERROR(__xludf.DUMMYFUNCTION("""COMPUTED_VALUE"""),2029.0)</f>
        <v>2029</v>
      </c>
      <c r="G727" s="77">
        <f>IFERROR(__xludf.DUMMYFUNCTION("""COMPUTED_VALUE"""),19.0)</f>
        <v>19</v>
      </c>
      <c r="H727" s="77">
        <f>IFERROR(__xludf.DUMMYFUNCTION("""COMPUTED_VALUE"""),26.0)</f>
        <v>26</v>
      </c>
      <c r="I727" s="77">
        <f>IFERROR(__xludf.DUMMYFUNCTION("""COMPUTED_VALUE"""),100.0)</f>
        <v>100</v>
      </c>
      <c r="J727" s="73"/>
      <c r="K727" s="73"/>
      <c r="L727" s="73"/>
      <c r="M727" s="77">
        <f>IFERROR(__xludf.DUMMYFUNCTION("""COMPUTED_VALUE"""),0.1)</f>
        <v>0.1</v>
      </c>
      <c r="N727" s="77">
        <f>IFERROR(__xludf.DUMMYFUNCTION("""COMPUTED_VALUE"""),1.0)</f>
        <v>1</v>
      </c>
      <c r="O727" s="49"/>
      <c r="P727" s="49" t="str">
        <f>IFERROR(__xludf.DUMMYFUNCTION("""COMPUTED_VALUE"""),"Offset")</f>
        <v>Offset</v>
      </c>
      <c r="Q727" s="49" t="str">
        <f>IFERROR(__xludf.DUMMYFUNCTION("""COMPUTED_VALUE"""),"Packaging")</f>
        <v>Packaging</v>
      </c>
      <c r="R727" s="49" t="str">
        <f>IFERROR(__xludf.DUMMYFUNCTION("""COMPUTED_VALUE"""),"Daily Essential")</f>
        <v>Daily Essential</v>
      </c>
    </row>
    <row r="728">
      <c r="A728" s="156" t="str">
        <f>IFERROR(__xludf.DUMMYFUNCTION("""COMPUTED_VALUE"""),"https://drive.google.com/open?id=1GwRhTsFVD80yw98u7s8jgEcC4CKU8qu7&amp;authuser=jay.agg%40gmail.com&amp;usp=drive_fs")</f>
        <v>https://drive.google.com/open?id=1GwRhTsFVD80yw98u7s8jgEcC4CKU8qu7&amp;authuser=jay.agg%40gmail.com&amp;usp=drive_fs</v>
      </c>
      <c r="B728" s="73" t="str">
        <f>IFERROR(__xludf.DUMMYFUNCTION("""COMPUTED_VALUE"""),"Daily Essential")</f>
        <v>Daily Essential</v>
      </c>
      <c r="C728" s="73" t="str">
        <f>IFERROR(__xludf.DUMMYFUNCTION("""COMPUTED_VALUE"""),"Kit")</f>
        <v>Kit</v>
      </c>
      <c r="D728" s="73" t="str">
        <f>IFERROR(__xludf.DUMMYFUNCTION("""COMPUTED_VALUE"""),"200*133*30 mm | 7.8*5.2*1.2 inch")</f>
        <v>200*133*30 mm | 7.8*5.2*1.2 inch</v>
      </c>
      <c r="E728" s="77">
        <f>IFERROR(__xludf.DUMMYFUNCTION("""COMPUTED_VALUE"""),1.0)</f>
        <v>1</v>
      </c>
      <c r="F728" s="77">
        <f>IFERROR(__xludf.DUMMYFUNCTION("""COMPUTED_VALUE"""),2029.0)</f>
        <v>2029</v>
      </c>
      <c r="G728" s="77">
        <f>IFERROR(__xludf.DUMMYFUNCTION("""COMPUTED_VALUE"""),13.8)</f>
        <v>13.8</v>
      </c>
      <c r="H728" s="77">
        <f>IFERROR(__xludf.DUMMYFUNCTION("""COMPUTED_VALUE"""),31.5)</f>
        <v>31.5</v>
      </c>
      <c r="I728" s="77">
        <f>IFERROR(__xludf.DUMMYFUNCTION("""COMPUTED_VALUE"""),100.0)</f>
        <v>100</v>
      </c>
      <c r="J728" s="73"/>
      <c r="K728" s="73"/>
      <c r="L728" s="73"/>
      <c r="M728" s="77">
        <f>IFERROR(__xludf.DUMMYFUNCTION("""COMPUTED_VALUE"""),0.12)</f>
        <v>0.12</v>
      </c>
      <c r="N728" s="77">
        <f>IFERROR(__xludf.DUMMYFUNCTION("""COMPUTED_VALUE"""),1.0)</f>
        <v>1</v>
      </c>
      <c r="O728" s="49"/>
      <c r="P728" s="49" t="str">
        <f>IFERROR(__xludf.DUMMYFUNCTION("""COMPUTED_VALUE"""),"Offset")</f>
        <v>Offset</v>
      </c>
      <c r="Q728" s="49" t="str">
        <f>IFERROR(__xludf.DUMMYFUNCTION("""COMPUTED_VALUE"""),"Packaging")</f>
        <v>Packaging</v>
      </c>
      <c r="R728" s="49" t="str">
        <f>IFERROR(__xludf.DUMMYFUNCTION("""COMPUTED_VALUE"""),"Daily Essential")</f>
        <v>Daily Essential</v>
      </c>
    </row>
    <row r="729">
      <c r="A729" s="156" t="str">
        <f>IFERROR(__xludf.DUMMYFUNCTION("""COMPUTED_VALUE"""),"https://drive.google.com/open?id=1Gv3BQ3cW3dns0fD05bZm4RAPq-2muYwh&amp;authuser=jay.agg%40gmail.com&amp;usp=drive_fs")</f>
        <v>https://drive.google.com/open?id=1Gv3BQ3cW3dns0fD05bZm4RAPq-2muYwh&amp;authuser=jay.agg%40gmail.com&amp;usp=drive_fs</v>
      </c>
      <c r="B729" s="73" t="str">
        <f>IFERROR(__xludf.DUMMYFUNCTION("""COMPUTED_VALUE"""),"Daily Essential")</f>
        <v>Daily Essential</v>
      </c>
      <c r="C729" s="73" t="str">
        <f>IFERROR(__xludf.DUMMYFUNCTION("""COMPUTED_VALUE"""),"Kit")</f>
        <v>Kit</v>
      </c>
      <c r="D729" s="73" t="str">
        <f>IFERROR(__xludf.DUMMYFUNCTION("""COMPUTED_VALUE"""),"133*30*200 mm | 5.2*1.2*7.8 inch")</f>
        <v>133*30*200 mm | 5.2*1.2*7.8 inch</v>
      </c>
      <c r="E729" s="77">
        <f>IFERROR(__xludf.DUMMYFUNCTION("""COMPUTED_VALUE"""),2.0)</f>
        <v>2</v>
      </c>
      <c r="F729" s="77">
        <f>IFERROR(__xludf.DUMMYFUNCTION("""COMPUTED_VALUE"""),1926.0)</f>
        <v>1926</v>
      </c>
      <c r="G729" s="77">
        <f>IFERROR(__xludf.DUMMYFUNCTION("""COMPUTED_VALUE"""),14.0)</f>
        <v>14</v>
      </c>
      <c r="H729" s="77">
        <f>IFERROR(__xludf.DUMMYFUNCTION("""COMPUTED_VALUE"""),22.0)</f>
        <v>22</v>
      </c>
      <c r="I729" s="77">
        <f>IFERROR(__xludf.DUMMYFUNCTION("""COMPUTED_VALUE"""),100.0)</f>
        <v>100</v>
      </c>
      <c r="J729" s="73"/>
      <c r="K729" s="73"/>
      <c r="L729" s="73"/>
      <c r="M729" s="77">
        <f>IFERROR(__xludf.DUMMYFUNCTION("""COMPUTED_VALUE"""),0.1)</f>
        <v>0.1</v>
      </c>
      <c r="N729" s="77">
        <f>IFERROR(__xludf.DUMMYFUNCTION("""COMPUTED_VALUE"""),1.0)</f>
        <v>1</v>
      </c>
      <c r="O729" s="49"/>
      <c r="P729" s="49" t="str">
        <f>IFERROR(__xludf.DUMMYFUNCTION("""COMPUTED_VALUE"""),"Offset")</f>
        <v>Offset</v>
      </c>
      <c r="Q729" s="49" t="str">
        <f>IFERROR(__xludf.DUMMYFUNCTION("""COMPUTED_VALUE"""),"Packaging")</f>
        <v>Packaging</v>
      </c>
      <c r="R729" s="49" t="str">
        <f>IFERROR(__xludf.DUMMYFUNCTION("""COMPUTED_VALUE"""),"Daily Essential")</f>
        <v>Daily Essential</v>
      </c>
    </row>
    <row r="730">
      <c r="A730" s="156" t="str">
        <f>IFERROR(__xludf.DUMMYFUNCTION("""COMPUTED_VALUE"""),"https://drive.google.com/open?id=1GwbrJ4AwmshgcktEjkJ_rnu67hg0BCtI&amp;authuser=jay.agg%40gmail.com&amp;usp=drive_fs")</f>
        <v>https://drive.google.com/open?id=1GwbrJ4AwmshgcktEjkJ_rnu67hg0BCtI&amp;authuser=jay.agg%40gmail.com&amp;usp=drive_fs</v>
      </c>
      <c r="B730" s="73" t="str">
        <f>IFERROR(__xludf.DUMMYFUNCTION("""COMPUTED_VALUE"""),"Daily Essential")</f>
        <v>Daily Essential</v>
      </c>
      <c r="C730" s="73" t="str">
        <f>IFERROR(__xludf.DUMMYFUNCTION("""COMPUTED_VALUE"""),"Shaving kit")</f>
        <v>Shaving kit</v>
      </c>
      <c r="D730" s="73" t="str">
        <f>IFERROR(__xludf.DUMMYFUNCTION("""COMPUTED_VALUE"""),"50*20*122 mm | 2*0.8*4.8 inch")</f>
        <v>50*20*122 mm | 2*0.8*4.8 inch</v>
      </c>
      <c r="E730" s="77">
        <f>IFERROR(__xludf.DUMMYFUNCTION("""COMPUTED_VALUE"""),8.0)</f>
        <v>8</v>
      </c>
      <c r="F730" s="77">
        <f>IFERROR(__xludf.DUMMYFUNCTION("""COMPUTED_VALUE"""),1926.0)</f>
        <v>1926</v>
      </c>
      <c r="G730" s="77">
        <f>IFERROR(__xludf.DUMMYFUNCTION("""COMPUTED_VALUE"""),15.0)</f>
        <v>15</v>
      </c>
      <c r="H730" s="77">
        <f>IFERROR(__xludf.DUMMYFUNCTION("""COMPUTED_VALUE"""),25.0)</f>
        <v>25</v>
      </c>
      <c r="I730" s="77">
        <f>IFERROR(__xludf.DUMMYFUNCTION("""COMPUTED_VALUE"""),100.0)</f>
        <v>100</v>
      </c>
      <c r="J730" s="73"/>
      <c r="K730" s="73"/>
      <c r="L730" s="73"/>
      <c r="M730" s="77">
        <f>IFERROR(__xludf.DUMMYFUNCTION("""COMPUTED_VALUE"""),0.1)</f>
        <v>0.1</v>
      </c>
      <c r="N730" s="77">
        <f>IFERROR(__xludf.DUMMYFUNCTION("""COMPUTED_VALUE"""),1.0)</f>
        <v>1</v>
      </c>
      <c r="O730" s="49"/>
      <c r="P730" s="49" t="str">
        <f>IFERROR(__xludf.DUMMYFUNCTION("""COMPUTED_VALUE"""),"Offset")</f>
        <v>Offset</v>
      </c>
      <c r="Q730" s="49" t="str">
        <f>IFERROR(__xludf.DUMMYFUNCTION("""COMPUTED_VALUE"""),"Packaging")</f>
        <v>Packaging</v>
      </c>
      <c r="R730" s="49" t="str">
        <f>IFERROR(__xludf.DUMMYFUNCTION("""COMPUTED_VALUE"""),"Daily Essential")</f>
        <v>Daily Essential</v>
      </c>
    </row>
    <row r="731">
      <c r="A731" s="156" t="str">
        <f>IFERROR(__xludf.DUMMYFUNCTION("""COMPUTED_VALUE"""),"https://drive.google.com/open?id=1GzUSKJW57V07SU137xe7oXINwq2aWE2J&amp;authuser=jay.agg%40gmail.com&amp;usp=drive_fs")</f>
        <v>https://drive.google.com/open?id=1GzUSKJW57V07SU137xe7oXINwq2aWE2J&amp;authuser=jay.agg%40gmail.com&amp;usp=drive_fs</v>
      </c>
      <c r="B731" s="73" t="str">
        <f>IFERROR(__xludf.DUMMYFUNCTION("""COMPUTED_VALUE"""),"Daily Essential")</f>
        <v>Daily Essential</v>
      </c>
      <c r="C731" s="73" t="str">
        <f>IFERROR(__xludf.DUMMYFUNCTION("""COMPUTED_VALUE"""),"Soap Box")</f>
        <v>Soap Box</v>
      </c>
      <c r="D731" s="73" t="str">
        <f>IFERROR(__xludf.DUMMYFUNCTION("""COMPUTED_VALUE"""),"46*18*65 mm | 1.8*0.7*2.6 inch")</f>
        <v>46*18*65 mm | 1.8*0.7*2.6 inch</v>
      </c>
      <c r="E731" s="77">
        <f>IFERROR(__xludf.DUMMYFUNCTION("""COMPUTED_VALUE"""),16.0)</f>
        <v>16</v>
      </c>
      <c r="F731" s="77">
        <f>IFERROR(__xludf.DUMMYFUNCTION("""COMPUTED_VALUE"""),1926.0)</f>
        <v>1926</v>
      </c>
      <c r="G731" s="77">
        <f>IFERROR(__xludf.DUMMYFUNCTION("""COMPUTED_VALUE"""),18.0)</f>
        <v>18</v>
      </c>
      <c r="H731" s="77">
        <f>IFERROR(__xludf.DUMMYFUNCTION("""COMPUTED_VALUE"""),23.0)</f>
        <v>23</v>
      </c>
      <c r="I731" s="77">
        <f>IFERROR(__xludf.DUMMYFUNCTION("""COMPUTED_VALUE"""),100.0)</f>
        <v>100</v>
      </c>
      <c r="J731" s="73"/>
      <c r="K731" s="73"/>
      <c r="L731" s="73"/>
      <c r="M731" s="77">
        <f>IFERROR(__xludf.DUMMYFUNCTION("""COMPUTED_VALUE"""),0.1)</f>
        <v>0.1</v>
      </c>
      <c r="N731" s="77">
        <f>IFERROR(__xludf.DUMMYFUNCTION("""COMPUTED_VALUE"""),1.0)</f>
        <v>1</v>
      </c>
      <c r="O731" s="49"/>
      <c r="P731" s="49" t="str">
        <f>IFERROR(__xludf.DUMMYFUNCTION("""COMPUTED_VALUE"""),"Offset")</f>
        <v>Offset</v>
      </c>
      <c r="Q731" s="49" t="str">
        <f>IFERROR(__xludf.DUMMYFUNCTION("""COMPUTED_VALUE"""),"Packaging")</f>
        <v>Packaging</v>
      </c>
      <c r="R731" s="49" t="str">
        <f>IFERROR(__xludf.DUMMYFUNCTION("""COMPUTED_VALUE"""),"Daily Essential")</f>
        <v>Daily Essential</v>
      </c>
    </row>
    <row r="732">
      <c r="A732" s="156" t="str">
        <f>IFERROR(__xludf.DUMMYFUNCTION("""COMPUTED_VALUE"""),"https://drive.google.com/open?id=1H31rhCCfdH9t4TJt3ioavgrzAbJ-DArK&amp;authuser=jay.agg%40gmail.com&amp;usp=drive_fs")</f>
        <v>https://drive.google.com/open?id=1H31rhCCfdH9t4TJt3ioavgrzAbJ-DArK&amp;authuser=jay.agg%40gmail.com&amp;usp=drive_fs</v>
      </c>
      <c r="B732" s="73" t="str">
        <f>IFERROR(__xludf.DUMMYFUNCTION("""COMPUTED_VALUE"""),"Daily Essential")</f>
        <v>Daily Essential</v>
      </c>
      <c r="C732" s="73" t="str">
        <f>IFERROR(__xludf.DUMMYFUNCTION("""COMPUTED_VALUE"""),"Dental Kit")</f>
        <v>Dental Kit</v>
      </c>
      <c r="D732" s="73" t="str">
        <f>IFERROR(__xludf.DUMMYFUNCTION("""COMPUTED_VALUE"""),"40*18*192 mm | 1.6*0.7*7.6 inch")</f>
        <v>40*18*192 mm | 1.6*0.7*7.6 inch</v>
      </c>
      <c r="E732" s="77">
        <f>IFERROR(__xludf.DUMMYFUNCTION("""COMPUTED_VALUE"""),6.0)</f>
        <v>6</v>
      </c>
      <c r="F732" s="77">
        <f>IFERROR(__xludf.DUMMYFUNCTION("""COMPUTED_VALUE"""),1926.0)</f>
        <v>1926</v>
      </c>
      <c r="G732" s="77">
        <f>IFERROR(__xludf.DUMMYFUNCTION("""COMPUTED_VALUE"""),15.75)</f>
        <v>15.75</v>
      </c>
      <c r="H732" s="77">
        <f>IFERROR(__xludf.DUMMYFUNCTION("""COMPUTED_VALUE"""),20.75)</f>
        <v>20.75</v>
      </c>
      <c r="I732" s="77">
        <f>IFERROR(__xludf.DUMMYFUNCTION("""COMPUTED_VALUE"""),100.0)</f>
        <v>100</v>
      </c>
      <c r="J732" s="73"/>
      <c r="K732" s="73"/>
      <c r="L732" s="73"/>
      <c r="M732" s="77">
        <f>IFERROR(__xludf.DUMMYFUNCTION("""COMPUTED_VALUE"""),0.1)</f>
        <v>0.1</v>
      </c>
      <c r="N732" s="77">
        <f>IFERROR(__xludf.DUMMYFUNCTION("""COMPUTED_VALUE"""),1.0)</f>
        <v>1</v>
      </c>
      <c r="O732" s="49"/>
      <c r="P732" s="49" t="str">
        <f>IFERROR(__xludf.DUMMYFUNCTION("""COMPUTED_VALUE"""),"Offset")</f>
        <v>Offset</v>
      </c>
      <c r="Q732" s="49" t="str">
        <f>IFERROR(__xludf.DUMMYFUNCTION("""COMPUTED_VALUE"""),"Packaging")</f>
        <v>Packaging</v>
      </c>
      <c r="R732" s="49" t="str">
        <f>IFERROR(__xludf.DUMMYFUNCTION("""COMPUTED_VALUE"""),"Daily Essential")</f>
        <v>Daily Essential</v>
      </c>
    </row>
    <row r="733">
      <c r="A733" s="156" t="str">
        <f>IFERROR(__xludf.DUMMYFUNCTION("""COMPUTED_VALUE"""),"https://drive.google.com/open?id=1H3iD9oGc_Tw7N791uItdYxdEEQHwjaFV&amp;authuser=jay.agg%40gmail.com&amp;usp=drive_fs")</f>
        <v>https://drive.google.com/open?id=1H3iD9oGc_Tw7N791uItdYxdEEQHwjaFV&amp;authuser=jay.agg%40gmail.com&amp;usp=drive_fs</v>
      </c>
      <c r="B733" s="73" t="str">
        <f>IFERROR(__xludf.DUMMYFUNCTION("""COMPUTED_VALUE"""),"Daily Essential")</f>
        <v>Daily Essential</v>
      </c>
      <c r="C733" s="73" t="str">
        <f>IFERROR(__xludf.DUMMYFUNCTION("""COMPUTED_VALUE"""),"Comb")</f>
        <v>Comb</v>
      </c>
      <c r="D733" s="73" t="str">
        <f>IFERROR(__xludf.DUMMYFUNCTION("""COMPUTED_VALUE"""),"40*12*190 mm | 1.6*0.5*7.5 inch")</f>
        <v>40*12*190 mm | 1.6*0.5*7.5 inch</v>
      </c>
      <c r="E733" s="77">
        <f>IFERROR(__xludf.DUMMYFUNCTION("""COMPUTED_VALUE"""),10.0)</f>
        <v>10</v>
      </c>
      <c r="F733" s="77">
        <f>IFERROR(__xludf.DUMMYFUNCTION("""COMPUTED_VALUE"""),1926.0)</f>
        <v>1926</v>
      </c>
      <c r="G733" s="77">
        <f>IFERROR(__xludf.DUMMYFUNCTION("""COMPUTED_VALUE"""),18.0)</f>
        <v>18</v>
      </c>
      <c r="H733" s="77">
        <f>IFERROR(__xludf.DUMMYFUNCTION("""COMPUTED_VALUE"""),23.0)</f>
        <v>23</v>
      </c>
      <c r="I733" s="77">
        <f>IFERROR(__xludf.DUMMYFUNCTION("""COMPUTED_VALUE"""),100.0)</f>
        <v>100</v>
      </c>
      <c r="J733" s="73"/>
      <c r="K733" s="73"/>
      <c r="L733" s="73"/>
      <c r="M733" s="77">
        <f>IFERROR(__xludf.DUMMYFUNCTION("""COMPUTED_VALUE"""),0.1)</f>
        <v>0.1</v>
      </c>
      <c r="N733" s="77">
        <f>IFERROR(__xludf.DUMMYFUNCTION("""COMPUTED_VALUE"""),1.0)</f>
        <v>1</v>
      </c>
      <c r="O733" s="49"/>
      <c r="P733" s="49" t="str">
        <f>IFERROR(__xludf.DUMMYFUNCTION("""COMPUTED_VALUE"""),"Offset")</f>
        <v>Offset</v>
      </c>
      <c r="Q733" s="49" t="str">
        <f>IFERROR(__xludf.DUMMYFUNCTION("""COMPUTED_VALUE"""),"Packaging")</f>
        <v>Packaging</v>
      </c>
      <c r="R733" s="49" t="str">
        <f>IFERROR(__xludf.DUMMYFUNCTION("""COMPUTED_VALUE"""),"Daily Essential")</f>
        <v>Daily Essential</v>
      </c>
    </row>
    <row r="734">
      <c r="A734" s="156" t="str">
        <f>IFERROR(__xludf.DUMMYFUNCTION("""COMPUTED_VALUE"""),"https://drive.google.com/open?id=1TcTUqqK-Qk_tcPO_xjn3nm00RUkKKIav&amp;authuser=jay.agg%40gmail.com&amp;usp=drive_fs")</f>
        <v>https://drive.google.com/open?id=1TcTUqqK-Qk_tcPO_xjn3nm00RUkKKIav&amp;authuser=jay.agg%40gmail.com&amp;usp=drive_fs</v>
      </c>
      <c r="B734" s="73" t="str">
        <f>IFERROR(__xludf.DUMMYFUNCTION("""COMPUTED_VALUE"""),"Daily Essential")</f>
        <v>Daily Essential</v>
      </c>
      <c r="C734" s="73" t="str">
        <f>IFERROR(__xludf.DUMMYFUNCTION("""COMPUTED_VALUE"""),"Misc")</f>
        <v>Misc</v>
      </c>
      <c r="D734" s="73" t="str">
        <f>IFERROR(__xludf.DUMMYFUNCTION("""COMPUTED_VALUE"""),"175*45*20 mm | 6.89*1.8*0.8 inch")</f>
        <v>175*45*20 mm | 6.89*1.8*0.8 inch</v>
      </c>
      <c r="E734" s="77">
        <f>IFERROR(__xludf.DUMMYFUNCTION("""COMPUTED_VALUE"""),8.0)</f>
        <v>8</v>
      </c>
      <c r="F734" s="77">
        <f>IFERROR(__xludf.DUMMYFUNCTION("""COMPUTED_VALUE"""),1926.0)</f>
        <v>1926</v>
      </c>
      <c r="G734" s="77">
        <f>IFERROR(__xludf.DUMMYFUNCTION("""COMPUTED_VALUE"""),18.0)</f>
        <v>18</v>
      </c>
      <c r="H734" s="77">
        <f>IFERROR(__xludf.DUMMYFUNCTION("""COMPUTED_VALUE"""),23.0)</f>
        <v>23</v>
      </c>
      <c r="I734" s="77">
        <f>IFERROR(__xludf.DUMMYFUNCTION("""COMPUTED_VALUE"""),100.0)</f>
        <v>100</v>
      </c>
      <c r="J734" s="73"/>
      <c r="K734" s="73"/>
      <c r="L734" s="73"/>
      <c r="M734" s="77">
        <f>IFERROR(__xludf.DUMMYFUNCTION("""COMPUTED_VALUE"""),0.1)</f>
        <v>0.1</v>
      </c>
      <c r="N734" s="77">
        <f>IFERROR(__xludf.DUMMYFUNCTION("""COMPUTED_VALUE"""),1.0)</f>
        <v>1</v>
      </c>
      <c r="O734" s="49"/>
      <c r="P734" s="49" t="str">
        <f>IFERROR(__xludf.DUMMYFUNCTION("""COMPUTED_VALUE"""),"Offset")</f>
        <v>Offset</v>
      </c>
      <c r="Q734" s="49" t="str">
        <f>IFERROR(__xludf.DUMMYFUNCTION("""COMPUTED_VALUE"""),"Packaging")</f>
        <v>Packaging</v>
      </c>
      <c r="R734" s="49" t="str">
        <f>IFERROR(__xludf.DUMMYFUNCTION("""COMPUTED_VALUE"""),"Daily Essential")</f>
        <v>Daily Essential</v>
      </c>
    </row>
    <row r="735">
      <c r="A735" s="156" t="str">
        <f>IFERROR(__xludf.DUMMYFUNCTION("""COMPUTED_VALUE"""),"https://drive.google.com/open?id=1HLHQKZv6PKRou07-m76H8Gn0nQPTRVUQ&amp;authuser=jay.agg%40gmail.com&amp;usp=drive_fs")</f>
        <v>https://drive.google.com/open?id=1HLHQKZv6PKRou07-m76H8Gn0nQPTRVUQ&amp;authuser=jay.agg%40gmail.com&amp;usp=drive_fs</v>
      </c>
      <c r="B735" s="73" t="str">
        <f>IFERROR(__xludf.DUMMYFUNCTION("""COMPUTED_VALUE"""),"Daily Essential")</f>
        <v>Daily Essential</v>
      </c>
      <c r="C735" s="73" t="str">
        <f>IFERROR(__xludf.DUMMYFUNCTION("""COMPUTED_VALUE"""),"Comb")</f>
        <v>Comb</v>
      </c>
      <c r="D735" s="73" t="str">
        <f>IFERROR(__xludf.DUMMYFUNCTION("""COMPUTED_VALUE"""),"86*47*257 mm | 3.3*1.85*10 inch W 1.5*6 inch")</f>
        <v>86*47*257 mm | 3.3*1.85*10 inch W 1.5*6 inch</v>
      </c>
      <c r="E735" s="77">
        <f>IFERROR(__xludf.DUMMYFUNCTION("""COMPUTED_VALUE"""),2.0)</f>
        <v>2</v>
      </c>
      <c r="F735" s="77">
        <f>IFERROR(__xludf.DUMMYFUNCTION("""COMPUTED_VALUE"""),1926.0)</f>
        <v>1926</v>
      </c>
      <c r="G735" s="77">
        <f>IFERROR(__xludf.DUMMYFUNCTION("""COMPUTED_VALUE"""),18.0)</f>
        <v>18</v>
      </c>
      <c r="H735" s="77">
        <f>IFERROR(__xludf.DUMMYFUNCTION("""COMPUTED_VALUE"""),23.0)</f>
        <v>23</v>
      </c>
      <c r="I735" s="77">
        <f>IFERROR(__xludf.DUMMYFUNCTION("""COMPUTED_VALUE"""),100.0)</f>
        <v>100</v>
      </c>
      <c r="J735" s="73"/>
      <c r="K735" s="73"/>
      <c r="L735" s="73">
        <f>IFERROR(__xludf.DUMMYFUNCTION("""COMPUTED_VALUE"""),2.0)</f>
        <v>2</v>
      </c>
      <c r="M735" s="77">
        <f>IFERROR(__xludf.DUMMYFUNCTION("""COMPUTED_VALUE"""),0.1)</f>
        <v>0.1</v>
      </c>
      <c r="N735" s="77">
        <f>IFERROR(__xludf.DUMMYFUNCTION("""COMPUTED_VALUE"""),1.0)</f>
        <v>1</v>
      </c>
      <c r="O735" s="49"/>
      <c r="P735" s="49" t="str">
        <f>IFERROR(__xludf.DUMMYFUNCTION("""COMPUTED_VALUE"""),"Offset")</f>
        <v>Offset</v>
      </c>
      <c r="Q735" s="49" t="str">
        <f>IFERROR(__xludf.DUMMYFUNCTION("""COMPUTED_VALUE"""),"Packaging")</f>
        <v>Packaging</v>
      </c>
      <c r="R735" s="49" t="str">
        <f>IFERROR(__xludf.DUMMYFUNCTION("""COMPUTED_VALUE"""),"Daily Essential")</f>
        <v>Daily Essential</v>
      </c>
    </row>
    <row r="736">
      <c r="A736" s="156" t="str">
        <f>IFERROR(__xludf.DUMMYFUNCTION("""COMPUTED_VALUE"""),"https://drive.google.com/open?id=1HV1TSt3WDnCTLR9ZGJlRC5-4t166p95E&amp;authuser=jay.agg%40gmail.com&amp;usp=drive_fs")</f>
        <v>https://drive.google.com/open?id=1HV1TSt3WDnCTLR9ZGJlRC5-4t166p95E&amp;authuser=jay.agg%40gmail.com&amp;usp=drive_fs</v>
      </c>
      <c r="B736" s="73" t="str">
        <f>IFERROR(__xludf.DUMMYFUNCTION("""COMPUTED_VALUE"""),"Daily Essential")</f>
        <v>Daily Essential</v>
      </c>
      <c r="C736" s="73" t="str">
        <f>IFERROR(__xludf.DUMMYFUNCTION("""COMPUTED_VALUE"""),"Sanitary Napkins")</f>
        <v>Sanitary Napkins</v>
      </c>
      <c r="D736" s="73" t="str">
        <f>IFERROR(__xludf.DUMMYFUNCTION("""COMPUTED_VALUE"""),"Envelop 90*130 mm | 3.5*5.1 inch")</f>
        <v>Envelop 90*130 mm | 3.5*5.1 inch</v>
      </c>
      <c r="E736" s="77">
        <f>IFERROR(__xludf.DUMMYFUNCTION("""COMPUTED_VALUE"""),8.0)</f>
        <v>8</v>
      </c>
      <c r="F736" s="77">
        <f>IFERROR(__xludf.DUMMYFUNCTION("""COMPUTED_VALUE"""),1926.0)</f>
        <v>1926</v>
      </c>
      <c r="G736" s="77">
        <f>IFERROR(__xludf.DUMMYFUNCTION("""COMPUTED_VALUE"""),18.0)</f>
        <v>18</v>
      </c>
      <c r="H736" s="77">
        <f>IFERROR(__xludf.DUMMYFUNCTION("""COMPUTED_VALUE"""),25.0)</f>
        <v>25</v>
      </c>
      <c r="I736" s="77">
        <f>IFERROR(__xludf.DUMMYFUNCTION("""COMPUTED_VALUE"""),100.0)</f>
        <v>100</v>
      </c>
      <c r="J736" s="73"/>
      <c r="K736" s="73"/>
      <c r="L736" s="73"/>
      <c r="M736" s="77">
        <f>IFERROR(__xludf.DUMMYFUNCTION("""COMPUTED_VALUE"""),0.1)</f>
        <v>0.1</v>
      </c>
      <c r="N736" s="77">
        <f>IFERROR(__xludf.DUMMYFUNCTION("""COMPUTED_VALUE"""),1.0)</f>
        <v>1</v>
      </c>
      <c r="O736" s="49"/>
      <c r="P736" s="49" t="str">
        <f>IFERROR(__xludf.DUMMYFUNCTION("""COMPUTED_VALUE"""),"Offset")</f>
        <v>Offset</v>
      </c>
      <c r="Q736" s="49" t="str">
        <f>IFERROR(__xludf.DUMMYFUNCTION("""COMPUTED_VALUE"""),"Commercial")</f>
        <v>Commercial</v>
      </c>
      <c r="R736" s="49" t="str">
        <f>IFERROR(__xludf.DUMMYFUNCTION("""COMPUTED_VALUE"""),"Daily Essential")</f>
        <v>Daily Essential</v>
      </c>
    </row>
    <row r="737">
      <c r="A737" s="156" t="str">
        <f>IFERROR(__xludf.DUMMYFUNCTION("""COMPUTED_VALUE"""),"https://drive.google.com/open?id=1Hjtk-eLy8I3FTKs9tqvpqtJH1_rCy2Qn&amp;authuser=jay.agg%40gmail.com&amp;usp=drive_fs")</f>
        <v>https://drive.google.com/open?id=1Hjtk-eLy8I3FTKs9tqvpqtJH1_rCy2Qn&amp;authuser=jay.agg%40gmail.com&amp;usp=drive_fs</v>
      </c>
      <c r="B737" s="73" t="str">
        <f>IFERROR(__xludf.DUMMYFUNCTION("""COMPUTED_VALUE"""),"Daily Essential")</f>
        <v>Daily Essential</v>
      </c>
      <c r="C737" s="73" t="str">
        <f>IFERROR(__xludf.DUMMYFUNCTION("""COMPUTED_VALUE"""),"Sanitary Napkins")</f>
        <v>Sanitary Napkins</v>
      </c>
      <c r="D737" s="73" t="str">
        <f>IFERROR(__xludf.DUMMYFUNCTION("""COMPUTED_VALUE"""),"86*86*135 mm | 3.4*3.4*5.3 inch LB")</f>
        <v>86*86*135 mm | 3.4*3.4*5.3 inch LB</v>
      </c>
      <c r="E737" s="77">
        <f>IFERROR(__xludf.DUMMYFUNCTION("""COMPUTED_VALUE"""),4.0)</f>
        <v>4</v>
      </c>
      <c r="F737" s="77">
        <f>IFERROR(__xludf.DUMMYFUNCTION("""COMPUTED_VALUE"""),2029.0)</f>
        <v>2029</v>
      </c>
      <c r="G737" s="77">
        <f>IFERROR(__xludf.DUMMYFUNCTION("""COMPUTED_VALUE"""),20.0)</f>
        <v>20</v>
      </c>
      <c r="H737" s="77">
        <f>IFERROR(__xludf.DUMMYFUNCTION("""COMPUTED_VALUE"""),28.0)</f>
        <v>28</v>
      </c>
      <c r="I737" s="77">
        <f>IFERROR(__xludf.DUMMYFUNCTION("""COMPUTED_VALUE"""),100.0)</f>
        <v>100</v>
      </c>
      <c r="J737" s="73"/>
      <c r="K737" s="73"/>
      <c r="L737" s="73"/>
      <c r="M737" s="77">
        <f>IFERROR(__xludf.DUMMYFUNCTION("""COMPUTED_VALUE"""),0.16)</f>
        <v>0.16</v>
      </c>
      <c r="N737" s="77">
        <f>IFERROR(__xludf.DUMMYFUNCTION("""COMPUTED_VALUE"""),1.0)</f>
        <v>1</v>
      </c>
      <c r="O737" s="49"/>
      <c r="P737" s="49" t="str">
        <f>IFERROR(__xludf.DUMMYFUNCTION("""COMPUTED_VALUE"""),"Offset")</f>
        <v>Offset</v>
      </c>
      <c r="Q737" s="49" t="str">
        <f>IFERROR(__xludf.DUMMYFUNCTION("""COMPUTED_VALUE"""),"Packaging")</f>
        <v>Packaging</v>
      </c>
      <c r="R737" s="49" t="str">
        <f>IFERROR(__xludf.DUMMYFUNCTION("""COMPUTED_VALUE"""),"Daily Essential")</f>
        <v>Daily Essential</v>
      </c>
    </row>
    <row r="738">
      <c r="A738" s="156" t="str">
        <f>IFERROR(__xludf.DUMMYFUNCTION("""COMPUTED_VALUE"""),"https://drive.google.com/open?id=1KJbC2cMd0lEOUN-dU38T1x1a2tH9hIba&amp;authuser=jay.agg%40gmail.com&amp;usp=drive_fs")</f>
        <v>https://drive.google.com/open?id=1KJbC2cMd0lEOUN-dU38T1x1a2tH9hIba&amp;authuser=jay.agg%40gmail.com&amp;usp=drive_fs</v>
      </c>
      <c r="B738" s="73" t="str">
        <f>IFERROR(__xludf.DUMMYFUNCTION("""COMPUTED_VALUE"""),"Daily Essential")</f>
        <v>Daily Essential</v>
      </c>
      <c r="C738" s="73" t="str">
        <f>IFERROR(__xludf.DUMMYFUNCTION("""COMPUTED_VALUE"""),"Sanitary Napkins")</f>
        <v>Sanitary Napkins</v>
      </c>
      <c r="D738" s="73" t="str">
        <f>IFERROR(__xludf.DUMMYFUNCTION("""COMPUTED_VALUE"""),"130*90*135 mm | 5.1*3.5*5.3 inch LB")</f>
        <v>130*90*135 mm | 5.1*3.5*5.3 inch LB</v>
      </c>
      <c r="E738" s="77">
        <f>IFERROR(__xludf.DUMMYFUNCTION("""COMPUTED_VALUE"""),2.0)</f>
        <v>2</v>
      </c>
      <c r="F738" s="77">
        <f>IFERROR(__xludf.DUMMYFUNCTION("""COMPUTED_VALUE"""),1926.0)</f>
        <v>1926</v>
      </c>
      <c r="G738" s="77">
        <f>IFERROR(__xludf.DUMMYFUNCTION("""COMPUTED_VALUE"""),18.0)</f>
        <v>18</v>
      </c>
      <c r="H738" s="77">
        <f>IFERROR(__xludf.DUMMYFUNCTION("""COMPUTED_VALUE"""),21.0)</f>
        <v>21</v>
      </c>
      <c r="I738" s="77">
        <f>IFERROR(__xludf.DUMMYFUNCTION("""COMPUTED_VALUE"""),100.0)</f>
        <v>100</v>
      </c>
      <c r="J738" s="73"/>
      <c r="K738" s="73"/>
      <c r="L738" s="73"/>
      <c r="M738" s="77">
        <f>IFERROR(__xludf.DUMMYFUNCTION("""COMPUTED_VALUE"""),0.18)</f>
        <v>0.18</v>
      </c>
      <c r="N738" s="77">
        <f>IFERROR(__xludf.DUMMYFUNCTION("""COMPUTED_VALUE"""),1.0)</f>
        <v>1</v>
      </c>
      <c r="O738" s="49"/>
      <c r="P738" s="49" t="str">
        <f>IFERROR(__xludf.DUMMYFUNCTION("""COMPUTED_VALUE"""),"Offset")</f>
        <v>Offset</v>
      </c>
      <c r="Q738" s="49" t="str">
        <f>IFERROR(__xludf.DUMMYFUNCTION("""COMPUTED_VALUE"""),"Packaging")</f>
        <v>Packaging</v>
      </c>
      <c r="R738" s="49" t="str">
        <f>IFERROR(__xludf.DUMMYFUNCTION("""COMPUTED_VALUE"""),"Daily Essential")</f>
        <v>Daily Essential</v>
      </c>
    </row>
    <row r="739">
      <c r="A739" s="156" t="str">
        <f>IFERROR(__xludf.DUMMYFUNCTION("""COMPUTED_VALUE"""),"https://drive.google.com/open?id=1KcGO1hZSwV9KvjSC1EnHeiMfD3ziqul9&amp;authuser=jay.agg%40gmail.com&amp;usp=drive_fs")</f>
        <v>https://drive.google.com/open?id=1KcGO1hZSwV9KvjSC1EnHeiMfD3ziqul9&amp;authuser=jay.agg%40gmail.com&amp;usp=drive_fs</v>
      </c>
      <c r="B739" s="73" t="str">
        <f>IFERROR(__xludf.DUMMYFUNCTION("""COMPUTED_VALUE"""),"Daily Essential")</f>
        <v>Daily Essential</v>
      </c>
      <c r="C739" s="73" t="str">
        <f>IFERROR(__xludf.DUMMYFUNCTION("""COMPUTED_VALUE"""),"Sanitary Napkins")</f>
        <v>Sanitary Napkins</v>
      </c>
      <c r="D739" s="73" t="str">
        <f>IFERROR(__xludf.DUMMYFUNCTION("""COMPUTED_VALUE"""),"260*90*135 mm | 10.2*3.5*5.3 inch LB")</f>
        <v>260*90*135 mm | 10.2*3.5*5.3 inch LB</v>
      </c>
      <c r="E739" s="77">
        <f>IFERROR(__xludf.DUMMYFUNCTION("""COMPUTED_VALUE"""),1.0)</f>
        <v>1</v>
      </c>
      <c r="F739" s="77">
        <f>IFERROR(__xludf.DUMMYFUNCTION("""COMPUTED_VALUE"""),2029.0)</f>
        <v>2029</v>
      </c>
      <c r="G739" s="77">
        <f>IFERROR(__xludf.DUMMYFUNCTION("""COMPUTED_VALUE"""),13.6)</f>
        <v>13.6</v>
      </c>
      <c r="H739" s="77">
        <f>IFERROR(__xludf.DUMMYFUNCTION("""COMPUTED_VALUE"""),31.0)</f>
        <v>31</v>
      </c>
      <c r="I739" s="77">
        <f>IFERROR(__xludf.DUMMYFUNCTION("""COMPUTED_VALUE"""),100.0)</f>
        <v>100</v>
      </c>
      <c r="J739" s="73"/>
      <c r="K739" s="73"/>
      <c r="L739" s="73"/>
      <c r="M739" s="77">
        <f>IFERROR(__xludf.DUMMYFUNCTION("""COMPUTED_VALUE"""),0.18)</f>
        <v>0.18</v>
      </c>
      <c r="N739" s="77">
        <f>IFERROR(__xludf.DUMMYFUNCTION("""COMPUTED_VALUE"""),1.0)</f>
        <v>1</v>
      </c>
      <c r="O739" s="49"/>
      <c r="P739" s="49" t="str">
        <f>IFERROR(__xludf.DUMMYFUNCTION("""COMPUTED_VALUE"""),"Offset")</f>
        <v>Offset</v>
      </c>
      <c r="Q739" s="49" t="str">
        <f>IFERROR(__xludf.DUMMYFUNCTION("""COMPUTED_VALUE"""),"Packaging")</f>
        <v>Packaging</v>
      </c>
      <c r="R739" s="49" t="str">
        <f>IFERROR(__xludf.DUMMYFUNCTION("""COMPUTED_VALUE"""),"Daily Essential")</f>
        <v>Daily Essential</v>
      </c>
    </row>
    <row r="740">
      <c r="A740" s="156" t="str">
        <f>IFERROR(__xludf.DUMMYFUNCTION("""COMPUTED_VALUE"""),"https://drive.google.com/open?id=1UOWv0i-CWe3fNXBtnYHTgkmXvVgsggjG&amp;authuser=jay.agg%40gmail.com&amp;usp=drive_fs")</f>
        <v>https://drive.google.com/open?id=1UOWv0i-CWe3fNXBtnYHTgkmXvVgsggjG&amp;authuser=jay.agg%40gmail.com&amp;usp=drive_fs</v>
      </c>
      <c r="B740" s="73" t="str">
        <f>IFERROR(__xludf.DUMMYFUNCTION("""COMPUTED_VALUE"""),"Daily Essential")</f>
        <v>Daily Essential</v>
      </c>
      <c r="C740" s="73" t="str">
        <f>IFERROR(__xludf.DUMMYFUNCTION("""COMPUTED_VALUE"""),"Sanitary Napkins")</f>
        <v>Sanitary Napkins</v>
      </c>
      <c r="D740" s="73" t="str">
        <f>IFERROR(__xludf.DUMMYFUNCTION("""COMPUTED_VALUE"""),"115*95*140 mm | 4.5*3.7*5.5 inch LB")</f>
        <v>115*95*140 mm | 4.5*3.7*5.5 inch LB</v>
      </c>
      <c r="E740" s="77">
        <f>IFERROR(__xludf.DUMMYFUNCTION("""COMPUTED_VALUE"""),2.0)</f>
        <v>2</v>
      </c>
      <c r="F740" s="77">
        <f>IFERROR(__xludf.DUMMYFUNCTION("""COMPUTED_VALUE"""),1926.0)</f>
        <v>1926</v>
      </c>
      <c r="G740" s="77">
        <f>IFERROR(__xludf.DUMMYFUNCTION("""COMPUTED_VALUE"""),18.0)</f>
        <v>18</v>
      </c>
      <c r="H740" s="77">
        <f>IFERROR(__xludf.DUMMYFUNCTION("""COMPUTED_VALUE"""),21.0)</f>
        <v>21</v>
      </c>
      <c r="I740" s="77">
        <f>IFERROR(__xludf.DUMMYFUNCTION("""COMPUTED_VALUE"""),100.0)</f>
        <v>100</v>
      </c>
      <c r="J740" s="73"/>
      <c r="K740" s="73"/>
      <c r="L740" s="73"/>
      <c r="M740" s="77">
        <f>IFERROR(__xludf.DUMMYFUNCTION("""COMPUTED_VALUE"""),0.18)</f>
        <v>0.18</v>
      </c>
      <c r="N740" s="77">
        <f>IFERROR(__xludf.DUMMYFUNCTION("""COMPUTED_VALUE"""),1.0)</f>
        <v>1</v>
      </c>
      <c r="O740" s="49"/>
      <c r="P740" s="49" t="str">
        <f>IFERROR(__xludf.DUMMYFUNCTION("""COMPUTED_VALUE"""),"Offset")</f>
        <v>Offset</v>
      </c>
      <c r="Q740" s="49" t="str">
        <f>IFERROR(__xludf.DUMMYFUNCTION("""COMPUTED_VALUE"""),"Packaging")</f>
        <v>Packaging</v>
      </c>
      <c r="R740" s="49" t="str">
        <f>IFERROR(__xludf.DUMMYFUNCTION("""COMPUTED_VALUE"""),"Daily Essential")</f>
        <v>Daily Essential</v>
      </c>
    </row>
    <row r="741">
      <c r="A741" s="156" t="str">
        <f>IFERROR(__xludf.DUMMYFUNCTION("""COMPUTED_VALUE"""),"https://drive.google.com/open?id=1UMzkG6O_uGUpQW1QcapwiXSY1lQr2iQu&amp;authuser=jay.agg%40gmail.com&amp;usp=drive_fs")</f>
        <v>https://drive.google.com/open?id=1UMzkG6O_uGUpQW1QcapwiXSY1lQr2iQu&amp;authuser=jay.agg%40gmail.com&amp;usp=drive_fs</v>
      </c>
      <c r="B741" s="73" t="str">
        <f>IFERROR(__xludf.DUMMYFUNCTION("""COMPUTED_VALUE"""),"Daily Essential")</f>
        <v>Daily Essential</v>
      </c>
      <c r="C741" s="73" t="str">
        <f>IFERROR(__xludf.DUMMYFUNCTION("""COMPUTED_VALUE"""),"Sanitary Napkins")</f>
        <v>Sanitary Napkins</v>
      </c>
      <c r="D741" s="73" t="str">
        <f>IFERROR(__xludf.DUMMYFUNCTION("""COMPUTED_VALUE"""),"130*90*135 mm | 5.1*3.5*5.3 inch IL")</f>
        <v>130*90*135 mm | 5.1*3.5*5.3 inch IL</v>
      </c>
      <c r="E741" s="77">
        <f>IFERROR(__xludf.DUMMYFUNCTION("""COMPUTED_VALUE"""),2.0)</f>
        <v>2</v>
      </c>
      <c r="F741" s="77">
        <f>IFERROR(__xludf.DUMMYFUNCTION("""COMPUTED_VALUE"""),1926.0)</f>
        <v>1926</v>
      </c>
      <c r="G741" s="77">
        <f>IFERROR(__xludf.DUMMYFUNCTION("""COMPUTED_VALUE"""),19.0)</f>
        <v>19</v>
      </c>
      <c r="H741" s="77">
        <f>IFERROR(__xludf.DUMMYFUNCTION("""COMPUTED_VALUE"""),20.0)</f>
        <v>20</v>
      </c>
      <c r="I741" s="77">
        <f>IFERROR(__xludf.DUMMYFUNCTION("""COMPUTED_VALUE"""),100.0)</f>
        <v>100</v>
      </c>
      <c r="J741" s="73"/>
      <c r="K741" s="73"/>
      <c r="L741" s="73"/>
      <c r="M741" s="77">
        <f>IFERROR(__xludf.DUMMYFUNCTION("""COMPUTED_VALUE"""),0.1)</f>
        <v>0.1</v>
      </c>
      <c r="N741" s="77">
        <f>IFERROR(__xludf.DUMMYFUNCTION("""COMPUTED_VALUE"""),1.0)</f>
        <v>1</v>
      </c>
      <c r="O741" s="49"/>
      <c r="P741" s="49" t="str">
        <f>IFERROR(__xludf.DUMMYFUNCTION("""COMPUTED_VALUE"""),"Offset")</f>
        <v>Offset</v>
      </c>
      <c r="Q741" s="49" t="str">
        <f>IFERROR(__xludf.DUMMYFUNCTION("""COMPUTED_VALUE"""),"Packaging")</f>
        <v>Packaging</v>
      </c>
      <c r="R741" s="49" t="str">
        <f>IFERROR(__xludf.DUMMYFUNCTION("""COMPUTED_VALUE"""),"Daily Essential")</f>
        <v>Daily Essential</v>
      </c>
    </row>
    <row r="742">
      <c r="A742" s="156" t="str">
        <f>IFERROR(__xludf.DUMMYFUNCTION("""COMPUTED_VALUE"""),"https://drive.google.com/open?id=1VCdERoSQpQv_-6STNSCmfmhxsa0kk4PA&amp;authuser=jay.agg%40gmail.com&amp;usp=drive_fs")</f>
        <v>https://drive.google.com/open?id=1VCdERoSQpQv_-6STNSCmfmhxsa0kk4PA&amp;authuser=jay.agg%40gmail.com&amp;usp=drive_fs</v>
      </c>
      <c r="B742" s="73" t="str">
        <f>IFERROR(__xludf.DUMMYFUNCTION("""COMPUTED_VALUE"""),"Daily Essential")</f>
        <v>Daily Essential</v>
      </c>
      <c r="C742" s="73" t="str">
        <f>IFERROR(__xludf.DUMMYFUNCTION("""COMPUTED_VALUE"""),"Tissue Box")</f>
        <v>Tissue Box</v>
      </c>
      <c r="D742" s="73" t="str">
        <f>IFERROR(__xludf.DUMMYFUNCTION("""COMPUTED_VALUE"""),"225*117*70 mm | 4.6*2.7*8.9 inch")</f>
        <v>225*117*70 mm | 4.6*2.7*8.9 inch</v>
      </c>
      <c r="E742" s="77">
        <f>IFERROR(__xludf.DUMMYFUNCTION("""COMPUTED_VALUE"""),2.0)</f>
        <v>2</v>
      </c>
      <c r="F742" s="77">
        <f>IFERROR(__xludf.DUMMYFUNCTION("""COMPUTED_VALUE"""),2029.0)</f>
        <v>2029</v>
      </c>
      <c r="G742" s="77">
        <f>IFERROR(__xludf.DUMMYFUNCTION("""COMPUTED_VALUE"""),18.0)</f>
        <v>18</v>
      </c>
      <c r="H742" s="77">
        <f>IFERROR(__xludf.DUMMYFUNCTION("""COMPUTED_VALUE"""),28.0)</f>
        <v>28</v>
      </c>
      <c r="I742" s="77">
        <f>IFERROR(__xludf.DUMMYFUNCTION("""COMPUTED_VALUE"""),100.0)</f>
        <v>100</v>
      </c>
      <c r="J742" s="73"/>
      <c r="K742" s="73"/>
      <c r="L742" s="73"/>
      <c r="M742" s="77">
        <f>IFERROR(__xludf.DUMMYFUNCTION("""COMPUTED_VALUE"""),0.1)</f>
        <v>0.1</v>
      </c>
      <c r="N742" s="77">
        <f>IFERROR(__xludf.DUMMYFUNCTION("""COMPUTED_VALUE"""),1.0)</f>
        <v>1</v>
      </c>
      <c r="O742" s="49"/>
      <c r="P742" s="49" t="str">
        <f>IFERROR(__xludf.DUMMYFUNCTION("""COMPUTED_VALUE"""),"Offset")</f>
        <v>Offset</v>
      </c>
      <c r="Q742" s="49" t="str">
        <f>IFERROR(__xludf.DUMMYFUNCTION("""COMPUTED_VALUE"""),"Packaging")</f>
        <v>Packaging</v>
      </c>
      <c r="R742" s="49" t="str">
        <f>IFERROR(__xludf.DUMMYFUNCTION("""COMPUTED_VALUE"""),"Daily Essential")</f>
        <v>Daily Essential</v>
      </c>
    </row>
    <row r="743">
      <c r="A743" s="156" t="str">
        <f>IFERROR(__xludf.DUMMYFUNCTION("""COMPUTED_VALUE"""),"https://drive.google.com/open?id=1VFhAtXVuW29bGKrNGlUucOXipAF070Aq&amp;authuser=jay.agg%40gmail.com&amp;usp=drive_fs")</f>
        <v>https://drive.google.com/open?id=1VFhAtXVuW29bGKrNGlUucOXipAF070Aq&amp;authuser=jay.agg%40gmail.com&amp;usp=drive_fs</v>
      </c>
      <c r="B743" s="73" t="str">
        <f>IFERROR(__xludf.DUMMYFUNCTION("""COMPUTED_VALUE"""),"Daily Essential")</f>
        <v>Daily Essential</v>
      </c>
      <c r="C743" s="73" t="str">
        <f>IFERROR(__xludf.DUMMYFUNCTION("""COMPUTED_VALUE"""),"Tissue Box")</f>
        <v>Tissue Box</v>
      </c>
      <c r="D743" s="73" t="str">
        <f>IFERROR(__xludf.DUMMYFUNCTION("""COMPUTED_VALUE"""),"225*117*80 mm | 4.6*3.14*8.9 inch")</f>
        <v>225*117*80 mm | 4.6*3.14*8.9 inch</v>
      </c>
      <c r="E743" s="77">
        <f>IFERROR(__xludf.DUMMYFUNCTION("""COMPUTED_VALUE"""),2.0)</f>
        <v>2</v>
      </c>
      <c r="F743" s="77">
        <f>IFERROR(__xludf.DUMMYFUNCTION("""COMPUTED_VALUE"""),2029.0)</f>
        <v>2029</v>
      </c>
      <c r="G743" s="77">
        <f>IFERROR(__xludf.DUMMYFUNCTION("""COMPUTED_VALUE"""),18.0)</f>
        <v>18</v>
      </c>
      <c r="H743" s="77">
        <f>IFERROR(__xludf.DUMMYFUNCTION("""COMPUTED_VALUE"""),28.0)</f>
        <v>28</v>
      </c>
      <c r="I743" s="77">
        <f>IFERROR(__xludf.DUMMYFUNCTION("""COMPUTED_VALUE"""),100.0)</f>
        <v>100</v>
      </c>
      <c r="J743" s="73"/>
      <c r="K743" s="73"/>
      <c r="L743" s="73"/>
      <c r="M743" s="77">
        <f>IFERROR(__xludf.DUMMYFUNCTION("""COMPUTED_VALUE"""),0.1)</f>
        <v>0.1</v>
      </c>
      <c r="N743" s="77">
        <f>IFERROR(__xludf.DUMMYFUNCTION("""COMPUTED_VALUE"""),1.0)</f>
        <v>1</v>
      </c>
      <c r="O743" s="49"/>
      <c r="P743" s="49" t="str">
        <f>IFERROR(__xludf.DUMMYFUNCTION("""COMPUTED_VALUE"""),"Offset")</f>
        <v>Offset</v>
      </c>
      <c r="Q743" s="49" t="str">
        <f>IFERROR(__xludf.DUMMYFUNCTION("""COMPUTED_VALUE"""),"Packaging")</f>
        <v>Packaging</v>
      </c>
      <c r="R743" s="49" t="str">
        <f>IFERROR(__xludf.DUMMYFUNCTION("""COMPUTED_VALUE"""),"Daily Essential")</f>
        <v>Daily Essential</v>
      </c>
    </row>
    <row r="744">
      <c r="A744" s="156" t="str">
        <f>IFERROR(__xludf.DUMMYFUNCTION("""COMPUTED_VALUE"""),"https://drive.google.com/open?id=1VSzcZkzjESC9xVKZiOTVohgyZdeeszVX&amp;authuser=jay.agg%40gmail.com&amp;usp=drive_fs")</f>
        <v>https://drive.google.com/open?id=1VSzcZkzjESC9xVKZiOTVohgyZdeeszVX&amp;authuser=jay.agg%40gmail.com&amp;usp=drive_fs</v>
      </c>
      <c r="B744" s="73" t="str">
        <f>IFERROR(__xludf.DUMMYFUNCTION("""COMPUTED_VALUE"""),"Daily Essential")</f>
        <v>Daily Essential</v>
      </c>
      <c r="C744" s="73" t="str">
        <f>IFERROR(__xludf.DUMMYFUNCTION("""COMPUTED_VALUE"""),"Tissue Box")</f>
        <v>Tissue Box</v>
      </c>
      <c r="D744" s="73" t="str">
        <f>IFERROR(__xludf.DUMMYFUNCTION("""COMPUTED_VALUE"""),"110*110*122 mm | 4.3*4.3*4.8 inch")</f>
        <v>110*110*122 mm | 4.3*4.3*4.8 inch</v>
      </c>
      <c r="E744" s="77">
        <f>IFERROR(__xludf.DUMMYFUNCTION("""COMPUTED_VALUE"""),2.0)</f>
        <v>2</v>
      </c>
      <c r="F744" s="77">
        <f>IFERROR(__xludf.DUMMYFUNCTION("""COMPUTED_VALUE"""),2029.0)</f>
        <v>2029</v>
      </c>
      <c r="G744" s="77">
        <f>IFERROR(__xludf.DUMMYFUNCTION("""COMPUTED_VALUE"""),20.0)</f>
        <v>20</v>
      </c>
      <c r="H744" s="77">
        <f>IFERROR(__xludf.DUMMYFUNCTION("""COMPUTED_VALUE"""),23.0)</f>
        <v>23</v>
      </c>
      <c r="I744" s="77">
        <f>IFERROR(__xludf.DUMMYFUNCTION("""COMPUTED_VALUE"""),100.0)</f>
        <v>100</v>
      </c>
      <c r="J744" s="73"/>
      <c r="K744" s="73"/>
      <c r="L744" s="73"/>
      <c r="M744" s="77">
        <f>IFERROR(__xludf.DUMMYFUNCTION("""COMPUTED_VALUE"""),0.1)</f>
        <v>0.1</v>
      </c>
      <c r="N744" s="77">
        <f>IFERROR(__xludf.DUMMYFUNCTION("""COMPUTED_VALUE"""),1.0)</f>
        <v>1</v>
      </c>
      <c r="O744" s="49"/>
      <c r="P744" s="49" t="str">
        <f>IFERROR(__xludf.DUMMYFUNCTION("""COMPUTED_VALUE"""),"Offset")</f>
        <v>Offset</v>
      </c>
      <c r="Q744" s="49" t="str">
        <f>IFERROR(__xludf.DUMMYFUNCTION("""COMPUTED_VALUE"""),"Packaging")</f>
        <v>Packaging</v>
      </c>
      <c r="R744" s="49" t="str">
        <f>IFERROR(__xludf.DUMMYFUNCTION("""COMPUTED_VALUE"""),"Daily Essential")</f>
        <v>Daily Essential</v>
      </c>
    </row>
    <row r="745">
      <c r="A745" s="156" t="str">
        <f>IFERROR(__xludf.DUMMYFUNCTION("""COMPUTED_VALUE"""),"https://drive.google.com/open?id=1VT7uh77oEHBZF4hL9o7toUKnRrTVIKMj&amp;authuser=jay.agg%40gmail.com&amp;usp=drive_fs")</f>
        <v>https://drive.google.com/open?id=1VT7uh77oEHBZF4hL9o7toUKnRrTVIKMj&amp;authuser=jay.agg%40gmail.com&amp;usp=drive_fs</v>
      </c>
      <c r="B745" s="73" t="str">
        <f>IFERROR(__xludf.DUMMYFUNCTION("""COMPUTED_VALUE"""),"Daily Essential")</f>
        <v>Daily Essential</v>
      </c>
      <c r="C745" s="73" t="str">
        <f>IFERROR(__xludf.DUMMYFUNCTION("""COMPUTED_VALUE"""),"Tissue Box")</f>
        <v>Tissue Box</v>
      </c>
      <c r="D745" s="73" t="str">
        <f>IFERROR(__xludf.DUMMYFUNCTION("""COMPUTED_VALUE"""),"120*110*130 mm | 4.7*4.3*5.1 inch")</f>
        <v>120*110*130 mm | 4.7*4.3*5.1 inch</v>
      </c>
      <c r="E745" s="77">
        <f>IFERROR(__xludf.DUMMYFUNCTION("""COMPUTED_VALUE"""),2.0)</f>
        <v>2</v>
      </c>
      <c r="F745" s="77">
        <f>IFERROR(__xludf.DUMMYFUNCTION("""COMPUTED_VALUE"""),2029.0)</f>
        <v>2029</v>
      </c>
      <c r="G745" s="77">
        <f>IFERROR(__xludf.DUMMYFUNCTION("""COMPUTED_VALUE"""),20.0)</f>
        <v>20</v>
      </c>
      <c r="H745" s="77">
        <f>IFERROR(__xludf.DUMMYFUNCTION("""COMPUTED_VALUE"""),25.0)</f>
        <v>25</v>
      </c>
      <c r="I745" s="77">
        <f>IFERROR(__xludf.DUMMYFUNCTION("""COMPUTED_VALUE"""),100.0)</f>
        <v>100</v>
      </c>
      <c r="J745" s="73"/>
      <c r="K745" s="73"/>
      <c r="L745" s="73"/>
      <c r="M745" s="77">
        <f>IFERROR(__xludf.DUMMYFUNCTION("""COMPUTED_VALUE"""),0.1)</f>
        <v>0.1</v>
      </c>
      <c r="N745" s="77">
        <f>IFERROR(__xludf.DUMMYFUNCTION("""COMPUTED_VALUE"""),1.0)</f>
        <v>1</v>
      </c>
      <c r="O745" s="49"/>
      <c r="P745" s="49" t="str">
        <f>IFERROR(__xludf.DUMMYFUNCTION("""COMPUTED_VALUE"""),"Offset")</f>
        <v>Offset</v>
      </c>
      <c r="Q745" s="49" t="str">
        <f>IFERROR(__xludf.DUMMYFUNCTION("""COMPUTED_VALUE"""),"Packaging")</f>
        <v>Packaging</v>
      </c>
      <c r="R745" s="49" t="str">
        <f>IFERROR(__xludf.DUMMYFUNCTION("""COMPUTED_VALUE"""),"Daily Essential")</f>
        <v>Daily Essential</v>
      </c>
    </row>
    <row r="746">
      <c r="A746" s="156" t="str">
        <f>IFERROR(__xludf.DUMMYFUNCTION("""COMPUTED_VALUE"""),"https://drive.google.com/open?id=1VVU8RuF9ogNUe272DUIydXVcg_8H9mnE&amp;authuser=jay.agg%40gmail.com&amp;usp=drive_fs")</f>
        <v>https://drive.google.com/open?id=1VVU8RuF9ogNUe272DUIydXVcg_8H9mnE&amp;authuser=jay.agg%40gmail.com&amp;usp=drive_fs</v>
      </c>
      <c r="B746" s="73" t="str">
        <f>IFERROR(__xludf.DUMMYFUNCTION("""COMPUTED_VALUE"""),"Daily Essential")</f>
        <v>Daily Essential</v>
      </c>
      <c r="C746" s="73" t="str">
        <f>IFERROR(__xludf.DUMMYFUNCTION("""COMPUTED_VALUE"""),"Tissue Box")</f>
        <v>Tissue Box</v>
      </c>
      <c r="D746" s="73" t="str">
        <f>IFERROR(__xludf.DUMMYFUNCTION("""COMPUTED_VALUE"""),"215*105*25 mm | 8.5*4.1*1 inch")</f>
        <v>215*105*25 mm | 8.5*4.1*1 inch</v>
      </c>
      <c r="E746" s="77">
        <f>IFERROR(__xludf.DUMMYFUNCTION("""COMPUTED_VALUE"""),4.0)</f>
        <v>4</v>
      </c>
      <c r="F746" s="77">
        <f>IFERROR(__xludf.DUMMYFUNCTION("""COMPUTED_VALUE"""),2029.0)</f>
        <v>2029</v>
      </c>
      <c r="G746" s="77">
        <f>IFERROR(__xludf.DUMMYFUNCTION("""COMPUTED_VALUE"""),20.0)</f>
        <v>20</v>
      </c>
      <c r="H746" s="77">
        <f>IFERROR(__xludf.DUMMYFUNCTION("""COMPUTED_VALUE"""),23.0)</f>
        <v>23</v>
      </c>
      <c r="I746" s="77">
        <f>IFERROR(__xludf.DUMMYFUNCTION("""COMPUTED_VALUE"""),100.0)</f>
        <v>100</v>
      </c>
      <c r="J746" s="73"/>
      <c r="K746" s="73"/>
      <c r="L746" s="73"/>
      <c r="M746" s="77">
        <f>IFERROR(__xludf.DUMMYFUNCTION("""COMPUTED_VALUE"""),0.1)</f>
        <v>0.1</v>
      </c>
      <c r="N746" s="77">
        <f>IFERROR(__xludf.DUMMYFUNCTION("""COMPUTED_VALUE"""),1.0)</f>
        <v>1</v>
      </c>
      <c r="O746" s="49"/>
      <c r="P746" s="49" t="str">
        <f>IFERROR(__xludf.DUMMYFUNCTION("""COMPUTED_VALUE"""),"Offset")</f>
        <v>Offset</v>
      </c>
      <c r="Q746" s="49" t="str">
        <f>IFERROR(__xludf.DUMMYFUNCTION("""COMPUTED_VALUE"""),"Packaging")</f>
        <v>Packaging</v>
      </c>
      <c r="R746" s="49" t="str">
        <f>IFERROR(__xludf.DUMMYFUNCTION("""COMPUTED_VALUE"""),"Daily Essential")</f>
        <v>Daily Essential</v>
      </c>
    </row>
    <row r="747">
      <c r="A747" s="156" t="str">
        <f>IFERROR(__xludf.DUMMYFUNCTION("""COMPUTED_VALUE"""),"https://drive.google.com/open?id=1VZh6JQ1LSWa43HBeEcbu8UUDElUWKKRQ&amp;authuser=jay.agg%40gmail.com&amp;usp=drive_fs")</f>
        <v>https://drive.google.com/open?id=1VZh6JQ1LSWa43HBeEcbu8UUDElUWKKRQ&amp;authuser=jay.agg%40gmail.com&amp;usp=drive_fs</v>
      </c>
      <c r="B747" s="73" t="str">
        <f>IFERROR(__xludf.DUMMYFUNCTION("""COMPUTED_VALUE"""),"Daily Essential")</f>
        <v>Daily Essential</v>
      </c>
      <c r="C747" s="73" t="str">
        <f>IFERROR(__xludf.DUMMYFUNCTION("""COMPUTED_VALUE"""),"Tissue Box")</f>
        <v>Tissue Box</v>
      </c>
      <c r="D747" s="73" t="str">
        <f>IFERROR(__xludf.DUMMYFUNCTION("""COMPUTED_VALUE"""),"171*110*21 mm | 6.7*4.3*0.9 inch")</f>
        <v>171*110*21 mm | 6.7*4.3*0.9 inch</v>
      </c>
      <c r="E747" s="77">
        <f>IFERROR(__xludf.DUMMYFUNCTION("""COMPUTED_VALUE"""),4.0)</f>
        <v>4</v>
      </c>
      <c r="F747" s="77">
        <f>IFERROR(__xludf.DUMMYFUNCTION("""COMPUTED_VALUE"""),1926.0)</f>
        <v>1926</v>
      </c>
      <c r="G747" s="77">
        <f>IFERROR(__xludf.DUMMYFUNCTION("""COMPUTED_VALUE"""),18.0)</f>
        <v>18</v>
      </c>
      <c r="H747" s="77">
        <f>IFERROR(__xludf.DUMMYFUNCTION("""COMPUTED_VALUE"""),23.0)</f>
        <v>23</v>
      </c>
      <c r="I747" s="77">
        <f>IFERROR(__xludf.DUMMYFUNCTION("""COMPUTED_VALUE"""),100.0)</f>
        <v>100</v>
      </c>
      <c r="J747" s="73"/>
      <c r="K747" s="73"/>
      <c r="L747" s="73"/>
      <c r="M747" s="77">
        <f>IFERROR(__xludf.DUMMYFUNCTION("""COMPUTED_VALUE"""),0.1)</f>
        <v>0.1</v>
      </c>
      <c r="N747" s="77">
        <f>IFERROR(__xludf.DUMMYFUNCTION("""COMPUTED_VALUE"""),1.0)</f>
        <v>1</v>
      </c>
      <c r="O747" s="49"/>
      <c r="P747" s="49" t="str">
        <f>IFERROR(__xludf.DUMMYFUNCTION("""COMPUTED_VALUE"""),"Offset")</f>
        <v>Offset</v>
      </c>
      <c r="Q747" s="49" t="str">
        <f>IFERROR(__xludf.DUMMYFUNCTION("""COMPUTED_VALUE"""),"Packaging")</f>
        <v>Packaging</v>
      </c>
      <c r="R747" s="49" t="str">
        <f>IFERROR(__xludf.DUMMYFUNCTION("""COMPUTED_VALUE"""),"Daily Essential")</f>
        <v>Daily Essential</v>
      </c>
    </row>
    <row r="748">
      <c r="A748" s="156" t="str">
        <f>IFERROR(__xludf.DUMMYFUNCTION("""COMPUTED_VALUE"""),"https://drive.google.com/open?id=1Zno3LqhrdnXJwqaTVbcPt6dXupmV3W1k&amp;authuser=jay.agg%40gmail.com&amp;usp=drive_fs")</f>
        <v>https://drive.google.com/open?id=1Zno3LqhrdnXJwqaTVbcPt6dXupmV3W1k&amp;authuser=jay.agg%40gmail.com&amp;usp=drive_fs</v>
      </c>
      <c r="B748" s="73" t="str">
        <f>IFERROR(__xludf.DUMMYFUNCTION("""COMPUTED_VALUE"""),"Daily Essential")</f>
        <v>Daily Essential</v>
      </c>
      <c r="C748" s="73" t="str">
        <f>IFERROR(__xludf.DUMMYFUNCTION("""COMPUTED_VALUE"""),"Sanitary Napkins")</f>
        <v>Sanitary Napkins</v>
      </c>
      <c r="D748" s="73" t="str">
        <f>IFERROR(__xludf.DUMMYFUNCTION("""COMPUTED_VALUE"""),"115*25*140 mm | 4.5*1*5.5 inch")</f>
        <v>115*25*140 mm | 4.5*1*5.5 inch</v>
      </c>
      <c r="E748" s="77">
        <f>IFERROR(__xludf.DUMMYFUNCTION("""COMPUTED_VALUE"""),4.0)</f>
        <v>4</v>
      </c>
      <c r="F748" s="77">
        <f>IFERROR(__xludf.DUMMYFUNCTION("""COMPUTED_VALUE"""),1926.0)</f>
        <v>1926</v>
      </c>
      <c r="G748" s="77">
        <f>IFERROR(__xludf.DUMMYFUNCTION("""COMPUTED_VALUE"""),18.0)</f>
        <v>18</v>
      </c>
      <c r="H748" s="77">
        <f>IFERROR(__xludf.DUMMYFUNCTION("""COMPUTED_VALUE"""),23.0)</f>
        <v>23</v>
      </c>
      <c r="I748" s="77">
        <f>IFERROR(__xludf.DUMMYFUNCTION("""COMPUTED_VALUE"""),100.0)</f>
        <v>100</v>
      </c>
      <c r="J748" s="73"/>
      <c r="K748" s="73"/>
      <c r="L748" s="73"/>
      <c r="M748" s="77">
        <f>IFERROR(__xludf.DUMMYFUNCTION("""COMPUTED_VALUE"""),0.1)</f>
        <v>0.1</v>
      </c>
      <c r="N748" s="77">
        <f>IFERROR(__xludf.DUMMYFUNCTION("""COMPUTED_VALUE"""),1.0)</f>
        <v>1</v>
      </c>
      <c r="O748" s="49"/>
      <c r="P748" s="49" t="str">
        <f>IFERROR(__xludf.DUMMYFUNCTION("""COMPUTED_VALUE"""),"Offset")</f>
        <v>Offset</v>
      </c>
      <c r="Q748" s="49" t="str">
        <f>IFERROR(__xludf.DUMMYFUNCTION("""COMPUTED_VALUE"""),"Packaging")</f>
        <v>Packaging</v>
      </c>
      <c r="R748" s="49" t="str">
        <f>IFERROR(__xludf.DUMMYFUNCTION("""COMPUTED_VALUE"""),"Daily Essential")</f>
        <v>Daily Essential</v>
      </c>
    </row>
    <row r="749">
      <c r="A749" s="156" t="str">
        <f>IFERROR(__xludf.DUMMYFUNCTION("""COMPUTED_VALUE"""),"https://drive.google.com/open?id=1Y0PxheuDhqSMkq9yorWBs0CCLyehXInZ&amp;authuser=jay.agg%40gmail.com&amp;usp=drive_fs")</f>
        <v>https://drive.google.com/open?id=1Y0PxheuDhqSMkq9yorWBs0CCLyehXInZ&amp;authuser=jay.agg%40gmail.com&amp;usp=drive_fs</v>
      </c>
      <c r="B749" s="73" t="str">
        <f>IFERROR(__xludf.DUMMYFUNCTION("""COMPUTED_VALUE"""),"Daily Essential")</f>
        <v>Daily Essential</v>
      </c>
      <c r="C749" s="73" t="str">
        <f>IFERROR(__xludf.DUMMYFUNCTION("""COMPUTED_VALUE"""),"Sanitary Napkins")</f>
        <v>Sanitary Napkins</v>
      </c>
      <c r="D749" s="73" t="str">
        <f>IFERROR(__xludf.DUMMYFUNCTION("""COMPUTED_VALUE"""),"90*38*140 mm | 3.5*1.5*5.5 inch")</f>
        <v>90*38*140 mm | 3.5*1.5*5.5 inch</v>
      </c>
      <c r="E749" s="77">
        <f>IFERROR(__xludf.DUMMYFUNCTION("""COMPUTED_VALUE"""),4.0)</f>
        <v>4</v>
      </c>
      <c r="F749" s="77">
        <f>IFERROR(__xludf.DUMMYFUNCTION("""COMPUTED_VALUE"""),1926.0)</f>
        <v>1926</v>
      </c>
      <c r="G749" s="77">
        <f>IFERROR(__xludf.DUMMYFUNCTION("""COMPUTED_VALUE"""),18.0)</f>
        <v>18</v>
      </c>
      <c r="H749" s="77">
        <f>IFERROR(__xludf.DUMMYFUNCTION("""COMPUTED_VALUE"""),23.0)</f>
        <v>23</v>
      </c>
      <c r="I749" s="77">
        <f>IFERROR(__xludf.DUMMYFUNCTION("""COMPUTED_VALUE"""),100.0)</f>
        <v>100</v>
      </c>
      <c r="J749" s="73"/>
      <c r="K749" s="73"/>
      <c r="L749" s="73"/>
      <c r="M749" s="77">
        <f>IFERROR(__xludf.DUMMYFUNCTION("""COMPUTED_VALUE"""),0.1)</f>
        <v>0.1</v>
      </c>
      <c r="N749" s="77">
        <f>IFERROR(__xludf.DUMMYFUNCTION("""COMPUTED_VALUE"""),1.0)</f>
        <v>1</v>
      </c>
      <c r="O749" s="49"/>
      <c r="P749" s="49" t="str">
        <f>IFERROR(__xludf.DUMMYFUNCTION("""COMPUTED_VALUE"""),"Offset")</f>
        <v>Offset</v>
      </c>
      <c r="Q749" s="49" t="str">
        <f>IFERROR(__xludf.DUMMYFUNCTION("""COMPUTED_VALUE"""),"Packaging")</f>
        <v>Packaging</v>
      </c>
      <c r="R749" s="49" t="str">
        <f>IFERROR(__xludf.DUMMYFUNCTION("""COMPUTED_VALUE"""),"Daily Essential")</f>
        <v>Daily Essential</v>
      </c>
    </row>
    <row r="750">
      <c r="A750" s="156" t="str">
        <f>IFERROR(__xludf.DUMMYFUNCTION("""COMPUTED_VALUE"""),"https://drive.google.com/open?id=11NMLor_xlwQsCAluVMcj8oRb-6-1ShrA&amp;authuser=jay.agg%40gmail.com&amp;usp=drive_fs")</f>
        <v>https://drive.google.com/open?id=11NMLor_xlwQsCAluVMcj8oRb-6-1ShrA&amp;authuser=jay.agg%40gmail.com&amp;usp=drive_fs</v>
      </c>
      <c r="B750" s="73" t="str">
        <f>IFERROR(__xludf.DUMMYFUNCTION("""COMPUTED_VALUE"""),"Daily Essential")</f>
        <v>Daily Essential</v>
      </c>
      <c r="C750" s="73" t="str">
        <f>IFERROR(__xludf.DUMMYFUNCTION("""COMPUTED_VALUE"""),"Face Wash")</f>
        <v>Face Wash</v>
      </c>
      <c r="D750" s="73" t="str">
        <f>IFERROR(__xludf.DUMMYFUNCTION("""COMPUTED_VALUE"""),"40*40*130 mm | 1.6*1.6*5.1 inch")</f>
        <v>40*40*130 mm | 1.6*1.6*5.1 inch</v>
      </c>
      <c r="E750" s="77">
        <f>IFERROR(__xludf.DUMMYFUNCTION("""COMPUTED_VALUE"""),6.0)</f>
        <v>6</v>
      </c>
      <c r="F750" s="77">
        <f>IFERROR(__xludf.DUMMYFUNCTION("""COMPUTED_VALUE"""),1926.0)</f>
        <v>1926</v>
      </c>
      <c r="G750" s="77">
        <f>IFERROR(__xludf.DUMMYFUNCTION("""COMPUTED_VALUE"""),18.0)</f>
        <v>18</v>
      </c>
      <c r="H750" s="77">
        <f>IFERROR(__xludf.DUMMYFUNCTION("""COMPUTED_VALUE"""),21.0)</f>
        <v>21</v>
      </c>
      <c r="I750" s="77">
        <f>IFERROR(__xludf.DUMMYFUNCTION("""COMPUTED_VALUE"""),100.0)</f>
        <v>100</v>
      </c>
      <c r="J750" s="73"/>
      <c r="K750" s="73"/>
      <c r="L750" s="73"/>
      <c r="M750" s="77">
        <f>IFERROR(__xludf.DUMMYFUNCTION("""COMPUTED_VALUE"""),0.1)</f>
        <v>0.1</v>
      </c>
      <c r="N750" s="77">
        <f>IFERROR(__xludf.DUMMYFUNCTION("""COMPUTED_VALUE"""),1.0)</f>
        <v>1</v>
      </c>
      <c r="O750" s="49"/>
      <c r="P750" s="49" t="str">
        <f>IFERROR(__xludf.DUMMYFUNCTION("""COMPUTED_VALUE"""),"Offset")</f>
        <v>Offset</v>
      </c>
      <c r="Q750" s="49" t="str">
        <f>IFERROR(__xludf.DUMMYFUNCTION("""COMPUTED_VALUE"""),"Packaging")</f>
        <v>Packaging</v>
      </c>
      <c r="R750" s="49" t="str">
        <f>IFERROR(__xludf.DUMMYFUNCTION("""COMPUTED_VALUE"""),"Daily Essential")</f>
        <v>Daily Essential</v>
      </c>
    </row>
    <row r="751">
      <c r="A751" s="156" t="str">
        <f>IFERROR(__xludf.DUMMYFUNCTION("""COMPUTED_VALUE"""),"https://drive.google.com/open?id=11OSuCbhzTlp6IIgt75BRcZzT_gDhznAH&amp;authuser=jay.agg%40gmail.com&amp;usp=drive_fs")</f>
        <v>https://drive.google.com/open?id=11OSuCbhzTlp6IIgt75BRcZzT_gDhznAH&amp;authuser=jay.agg%40gmail.com&amp;usp=drive_fs</v>
      </c>
      <c r="B751" s="73" t="str">
        <f>IFERROR(__xludf.DUMMYFUNCTION("""COMPUTED_VALUE"""),"Daily Essential")</f>
        <v>Daily Essential</v>
      </c>
      <c r="C751" s="73" t="str">
        <f>IFERROR(__xludf.DUMMYFUNCTION("""COMPUTED_VALUE"""),"Soap Box")</f>
        <v>Soap Box</v>
      </c>
      <c r="D751" s="73" t="str">
        <f>IFERROR(__xludf.DUMMYFUNCTION("""COMPUTED_VALUE"""),"75*75*35 mm | 3*3*1.4 inch")</f>
        <v>75*75*35 mm | 3*3*1.4 inch</v>
      </c>
      <c r="E751" s="77">
        <f>IFERROR(__xludf.DUMMYFUNCTION("""COMPUTED_VALUE"""),8.0)</f>
        <v>8</v>
      </c>
      <c r="F751" s="77">
        <f>IFERROR(__xludf.DUMMYFUNCTION("""COMPUTED_VALUE"""),1926.0)</f>
        <v>1926</v>
      </c>
      <c r="G751" s="77">
        <f>IFERROR(__xludf.DUMMYFUNCTION("""COMPUTED_VALUE"""),19.5)</f>
        <v>19.5</v>
      </c>
      <c r="H751" s="77">
        <f>IFERROR(__xludf.DUMMYFUNCTION("""COMPUTED_VALUE"""),23.0)</f>
        <v>23</v>
      </c>
      <c r="I751" s="77">
        <f>IFERROR(__xludf.DUMMYFUNCTION("""COMPUTED_VALUE"""),100.0)</f>
        <v>100</v>
      </c>
      <c r="J751" s="73"/>
      <c r="K751" s="73"/>
      <c r="L751" s="73"/>
      <c r="M751" s="77">
        <f>IFERROR(__xludf.DUMMYFUNCTION("""COMPUTED_VALUE"""),0.1)</f>
        <v>0.1</v>
      </c>
      <c r="N751" s="77">
        <f>IFERROR(__xludf.DUMMYFUNCTION("""COMPUTED_VALUE"""),1.0)</f>
        <v>1</v>
      </c>
      <c r="O751" s="49"/>
      <c r="P751" s="49" t="str">
        <f>IFERROR(__xludf.DUMMYFUNCTION("""COMPUTED_VALUE"""),"Offset")</f>
        <v>Offset</v>
      </c>
      <c r="Q751" s="49" t="str">
        <f>IFERROR(__xludf.DUMMYFUNCTION("""COMPUTED_VALUE"""),"Packaging")</f>
        <v>Packaging</v>
      </c>
      <c r="R751" s="49" t="str">
        <f>IFERROR(__xludf.DUMMYFUNCTION("""COMPUTED_VALUE"""),"Daily Essential")</f>
        <v>Daily Essential</v>
      </c>
    </row>
    <row r="752">
      <c r="A752" s="156" t="str">
        <f>IFERROR(__xludf.DUMMYFUNCTION("""COMPUTED_VALUE"""),"https://drive.google.com/open?id=16Z4UrlvqKi74YEAbYCfiL91M3aRmFVk3&amp;authuser=jay.agg%40gmail.com&amp;usp=drive_fs")</f>
        <v>https://drive.google.com/open?id=16Z4UrlvqKi74YEAbYCfiL91M3aRmFVk3&amp;authuser=jay.agg%40gmail.com&amp;usp=drive_fs</v>
      </c>
      <c r="B752" s="73" t="str">
        <f>IFERROR(__xludf.DUMMYFUNCTION("""COMPUTED_VALUE"""),"Daily Essential")</f>
        <v>Daily Essential</v>
      </c>
      <c r="C752" s="73" t="str">
        <f>IFERROR(__xludf.DUMMYFUNCTION("""COMPUTED_VALUE"""),"Vanity")</f>
        <v>Vanity</v>
      </c>
      <c r="D752" s="73" t="str">
        <f>IFERROR(__xludf.DUMMYFUNCTION("""COMPUTED_VALUE"""),"45*10*90 mm | 1.7*0.4*3.5 inch")</f>
        <v>45*10*90 mm | 1.7*0.4*3.5 inch</v>
      </c>
      <c r="E752" s="77">
        <f>IFERROR(__xludf.DUMMYFUNCTION("""COMPUTED_VALUE"""),20.0)</f>
        <v>20</v>
      </c>
      <c r="F752" s="77">
        <f>IFERROR(__xludf.DUMMYFUNCTION("""COMPUTED_VALUE"""),2029.0)</f>
        <v>2029</v>
      </c>
      <c r="G752" s="77">
        <f>IFERROR(__xludf.DUMMYFUNCTION("""COMPUTED_VALUE"""),19.5)</f>
        <v>19.5</v>
      </c>
      <c r="H752" s="77">
        <f>IFERROR(__xludf.DUMMYFUNCTION("""COMPUTED_VALUE"""),23.0)</f>
        <v>23</v>
      </c>
      <c r="I752" s="77">
        <f>IFERROR(__xludf.DUMMYFUNCTION("""COMPUTED_VALUE"""),100.0)</f>
        <v>100</v>
      </c>
      <c r="J752" s="73"/>
      <c r="K752" s="73"/>
      <c r="L752" s="73"/>
      <c r="M752" s="77">
        <f>IFERROR(__xludf.DUMMYFUNCTION("""COMPUTED_VALUE"""),0.1)</f>
        <v>0.1</v>
      </c>
      <c r="N752" s="77">
        <f>IFERROR(__xludf.DUMMYFUNCTION("""COMPUTED_VALUE"""),1.0)</f>
        <v>1</v>
      </c>
      <c r="O752" s="49"/>
      <c r="P752" s="49" t="str">
        <f>IFERROR(__xludf.DUMMYFUNCTION("""COMPUTED_VALUE"""),"Offset")</f>
        <v>Offset</v>
      </c>
      <c r="Q752" s="49" t="str">
        <f>IFERROR(__xludf.DUMMYFUNCTION("""COMPUTED_VALUE"""),"Packaging")</f>
        <v>Packaging</v>
      </c>
      <c r="R752" s="49" t="str">
        <f>IFERROR(__xludf.DUMMYFUNCTION("""COMPUTED_VALUE"""),"Daily Essential")</f>
        <v>Daily Essential</v>
      </c>
    </row>
    <row r="753">
      <c r="A753" s="156" t="str">
        <f>IFERROR(__xludf.DUMMYFUNCTION("""COMPUTED_VALUE"""),"https://drive.google.com/open?id=16lJPBTj3HVxc5tvo4aFjpQt0F1DsEI_v&amp;authuser=jay.agg%40gmail.com&amp;usp=drive_fs")</f>
        <v>https://drive.google.com/open?id=16lJPBTj3HVxc5tvo4aFjpQt0F1DsEI_v&amp;authuser=jay.agg%40gmail.com&amp;usp=drive_fs</v>
      </c>
      <c r="B753" s="73" t="str">
        <f>IFERROR(__xludf.DUMMYFUNCTION("""COMPUTED_VALUE"""),"Daily Essential")</f>
        <v>Daily Essential</v>
      </c>
      <c r="C753" s="73" t="str">
        <f>IFERROR(__xludf.DUMMYFUNCTION("""COMPUTED_VALUE"""),"Disposal")</f>
        <v>Disposal</v>
      </c>
      <c r="D753" s="73" t="str">
        <f>IFERROR(__xludf.DUMMYFUNCTION("""COMPUTED_VALUE"""),"50*14*65 mm | 2*0.5*5.5 inch")</f>
        <v>50*14*65 mm | 2*0.5*5.5 inch</v>
      </c>
      <c r="E753" s="77">
        <f>IFERROR(__xludf.DUMMYFUNCTION("""COMPUTED_VALUE"""),9.0)</f>
        <v>9</v>
      </c>
      <c r="F753" s="77">
        <f>IFERROR(__xludf.DUMMYFUNCTION("""COMPUTED_VALUE"""),1926.0)</f>
        <v>1926</v>
      </c>
      <c r="G753" s="77">
        <f>IFERROR(__xludf.DUMMYFUNCTION("""COMPUTED_VALUE"""),18.0)</f>
        <v>18</v>
      </c>
      <c r="H753" s="77">
        <f>IFERROR(__xludf.DUMMYFUNCTION("""COMPUTED_VALUE"""),21.0)</f>
        <v>21</v>
      </c>
      <c r="I753" s="77">
        <f>IFERROR(__xludf.DUMMYFUNCTION("""COMPUTED_VALUE"""),100.0)</f>
        <v>100</v>
      </c>
      <c r="J753" s="73"/>
      <c r="K753" s="73"/>
      <c r="L753" s="73"/>
      <c r="M753" s="77">
        <f>IFERROR(__xludf.DUMMYFUNCTION("""COMPUTED_VALUE"""),0.1)</f>
        <v>0.1</v>
      </c>
      <c r="N753" s="77">
        <f>IFERROR(__xludf.DUMMYFUNCTION("""COMPUTED_VALUE"""),1.0)</f>
        <v>1</v>
      </c>
      <c r="O753" s="49"/>
      <c r="P753" s="49" t="str">
        <f>IFERROR(__xludf.DUMMYFUNCTION("""COMPUTED_VALUE"""),"Offset")</f>
        <v>Offset</v>
      </c>
      <c r="Q753" s="49" t="str">
        <f>IFERROR(__xludf.DUMMYFUNCTION("""COMPUTED_VALUE"""),"Packaging")</f>
        <v>Packaging</v>
      </c>
      <c r="R753" s="49" t="str">
        <f>IFERROR(__xludf.DUMMYFUNCTION("""COMPUTED_VALUE"""),"Daily Essential")</f>
        <v>Daily Essential</v>
      </c>
    </row>
    <row r="754">
      <c r="A754" s="156" t="str">
        <f>IFERROR(__xludf.DUMMYFUNCTION("""COMPUTED_VALUE"""),"https://drive.google.com/open?id=16lohPOEbgT_NKOvqmkF34duyHme60z2x&amp;authuser=jay.agg%40gmail.com&amp;usp=drive_fs")</f>
        <v>https://drive.google.com/open?id=16lohPOEbgT_NKOvqmkF34duyHme60z2x&amp;authuser=jay.agg%40gmail.com&amp;usp=drive_fs</v>
      </c>
      <c r="B754" s="73" t="str">
        <f>IFERROR(__xludf.DUMMYFUNCTION("""COMPUTED_VALUE"""),"Daily Essential")</f>
        <v>Daily Essential</v>
      </c>
      <c r="C754" s="73" t="str">
        <f>IFERROR(__xludf.DUMMYFUNCTION("""COMPUTED_VALUE"""),"Loofah")</f>
        <v>Loofah</v>
      </c>
      <c r="D754" s="73" t="str">
        <f>IFERROR(__xludf.DUMMYFUNCTION("""COMPUTED_VALUE"""),"90*14*140 mm | 3.5*0.5*5.5 inch")</f>
        <v>90*14*140 mm | 3.5*0.5*5.5 inch</v>
      </c>
      <c r="E754" s="77">
        <f>IFERROR(__xludf.DUMMYFUNCTION("""COMPUTED_VALUE"""),6.0)</f>
        <v>6</v>
      </c>
      <c r="F754" s="77">
        <f>IFERROR(__xludf.DUMMYFUNCTION("""COMPUTED_VALUE"""),1926.0)</f>
        <v>1926</v>
      </c>
      <c r="G754" s="77">
        <f>IFERROR(__xludf.DUMMYFUNCTION("""COMPUTED_VALUE"""),18.0)</f>
        <v>18</v>
      </c>
      <c r="H754" s="77">
        <f>IFERROR(__xludf.DUMMYFUNCTION("""COMPUTED_VALUE"""),21.0)</f>
        <v>21</v>
      </c>
      <c r="I754" s="77">
        <f>IFERROR(__xludf.DUMMYFUNCTION("""COMPUTED_VALUE"""),100.0)</f>
        <v>100</v>
      </c>
      <c r="J754" s="73"/>
      <c r="K754" s="73"/>
      <c r="L754" s="73"/>
      <c r="M754" s="77">
        <f>IFERROR(__xludf.DUMMYFUNCTION("""COMPUTED_VALUE"""),0.1)</f>
        <v>0.1</v>
      </c>
      <c r="N754" s="77">
        <f>IFERROR(__xludf.DUMMYFUNCTION("""COMPUTED_VALUE"""),1.0)</f>
        <v>1</v>
      </c>
      <c r="O754" s="49"/>
      <c r="P754" s="49" t="str">
        <f>IFERROR(__xludf.DUMMYFUNCTION("""COMPUTED_VALUE"""),"Offset")</f>
        <v>Offset</v>
      </c>
      <c r="Q754" s="49" t="str">
        <f>IFERROR(__xludf.DUMMYFUNCTION("""COMPUTED_VALUE"""),"Packaging")</f>
        <v>Packaging</v>
      </c>
      <c r="R754" s="49" t="str">
        <f>IFERROR(__xludf.DUMMYFUNCTION("""COMPUTED_VALUE"""),"Daily Essential")</f>
        <v>Daily Essential</v>
      </c>
    </row>
    <row r="755">
      <c r="A755" s="156" t="str">
        <f>IFERROR(__xludf.DUMMYFUNCTION("""COMPUTED_VALUE"""),"https://drive.google.com/open?id=16pqPiddHko28GuHeYTF-6-_MQnZNtFCu&amp;authuser=jay.agg%40gmail.com&amp;usp=drive_fs")</f>
        <v>https://drive.google.com/open?id=16pqPiddHko28GuHeYTF-6-_MQnZNtFCu&amp;authuser=jay.agg%40gmail.com&amp;usp=drive_fs</v>
      </c>
      <c r="B755" s="73" t="str">
        <f>IFERROR(__xludf.DUMMYFUNCTION("""COMPUTED_VALUE"""),"Daily Essential")</f>
        <v>Daily Essential</v>
      </c>
      <c r="C755" s="73" t="str">
        <f>IFERROR(__xludf.DUMMYFUNCTION("""COMPUTED_VALUE"""),"Kit")</f>
        <v>Kit</v>
      </c>
      <c r="D755" s="73" t="str">
        <f>IFERROR(__xludf.DUMMYFUNCTION("""COMPUTED_VALUE"""),"290*130*52 mm | 11.5*5.1*2 inch")</f>
        <v>290*130*52 mm | 11.5*5.1*2 inch</v>
      </c>
      <c r="E755" s="77">
        <f>IFERROR(__xludf.DUMMYFUNCTION("""COMPUTED_VALUE"""),1.0)</f>
        <v>1</v>
      </c>
      <c r="F755" s="77">
        <f>IFERROR(__xludf.DUMMYFUNCTION("""COMPUTED_VALUE"""),1926.0)</f>
        <v>1926</v>
      </c>
      <c r="G755" s="77">
        <f>IFERROR(__xludf.DUMMYFUNCTION("""COMPUTED_VALUE"""),18.0)</f>
        <v>18</v>
      </c>
      <c r="H755" s="77">
        <f>IFERROR(__xludf.DUMMYFUNCTION("""COMPUTED_VALUE"""),21.0)</f>
        <v>21</v>
      </c>
      <c r="I755" s="77">
        <f>IFERROR(__xludf.DUMMYFUNCTION("""COMPUTED_VALUE"""),100.0)</f>
        <v>100</v>
      </c>
      <c r="J755" s="73"/>
      <c r="K755" s="73"/>
      <c r="L755" s="73"/>
      <c r="M755" s="77">
        <f>IFERROR(__xludf.DUMMYFUNCTION("""COMPUTED_VALUE"""),0.1)</f>
        <v>0.1</v>
      </c>
      <c r="N755" s="77">
        <f>IFERROR(__xludf.DUMMYFUNCTION("""COMPUTED_VALUE"""),1.0)</f>
        <v>1</v>
      </c>
      <c r="O755" s="49"/>
      <c r="P755" s="49" t="str">
        <f>IFERROR(__xludf.DUMMYFUNCTION("""COMPUTED_VALUE"""),"Offset")</f>
        <v>Offset</v>
      </c>
      <c r="Q755" s="49" t="str">
        <f>IFERROR(__xludf.DUMMYFUNCTION("""COMPUTED_VALUE"""),"Packaging")</f>
        <v>Packaging</v>
      </c>
      <c r="R755" s="49" t="str">
        <f>IFERROR(__xludf.DUMMYFUNCTION("""COMPUTED_VALUE"""),"Daily Essential")</f>
        <v>Daily Essential</v>
      </c>
    </row>
    <row r="756">
      <c r="A756" s="156" t="str">
        <f>IFERROR(__xludf.DUMMYFUNCTION("""COMPUTED_VALUE"""),"https://drive.google.com/open?id=186J5yrlLrX8TJmRkfZXL2irKbPURgDw_&amp;authuser=jay.agg%40gmail.com&amp;usp=drive_fs")</f>
        <v>https://drive.google.com/open?id=186J5yrlLrX8TJmRkfZXL2irKbPURgDw_&amp;authuser=jay.agg%40gmail.com&amp;usp=drive_fs</v>
      </c>
      <c r="B756" s="73" t="str">
        <f>IFERROR(__xludf.DUMMYFUNCTION("""COMPUTED_VALUE"""),"Daily Essential")</f>
        <v>Daily Essential</v>
      </c>
      <c r="C756" s="73" t="str">
        <f>IFERROR(__xludf.DUMMYFUNCTION("""COMPUTED_VALUE"""),"Ear Bud")</f>
        <v>Ear Bud</v>
      </c>
      <c r="D756" s="73" t="str">
        <f>IFERROR(__xludf.DUMMYFUNCTION("""COMPUTED_VALUE"""),"76*26*90 mm | 3*1*3.5 inch")</f>
        <v>76*26*90 mm | 3*1*3.5 inch</v>
      </c>
      <c r="E756" s="77">
        <f>IFERROR(__xludf.DUMMYFUNCTION("""COMPUTED_VALUE"""),8.0)</f>
        <v>8</v>
      </c>
      <c r="F756" s="77">
        <f>IFERROR(__xludf.DUMMYFUNCTION("""COMPUTED_VALUE"""),1926.0)</f>
        <v>1926</v>
      </c>
      <c r="G756" s="77">
        <f>IFERROR(__xludf.DUMMYFUNCTION("""COMPUTED_VALUE"""),18.0)</f>
        <v>18</v>
      </c>
      <c r="H756" s="77">
        <f>IFERROR(__xludf.DUMMYFUNCTION("""COMPUTED_VALUE"""),23.0)</f>
        <v>23</v>
      </c>
      <c r="I756" s="77">
        <f>IFERROR(__xludf.DUMMYFUNCTION("""COMPUTED_VALUE"""),100.0)</f>
        <v>100</v>
      </c>
      <c r="J756" s="73"/>
      <c r="K756" s="73"/>
      <c r="L756" s="73"/>
      <c r="M756" s="77">
        <f>IFERROR(__xludf.DUMMYFUNCTION("""COMPUTED_VALUE"""),0.1)</f>
        <v>0.1</v>
      </c>
      <c r="N756" s="77">
        <f>IFERROR(__xludf.DUMMYFUNCTION("""COMPUTED_VALUE"""),1.0)</f>
        <v>1</v>
      </c>
      <c r="O756" s="49"/>
      <c r="P756" s="49" t="str">
        <f>IFERROR(__xludf.DUMMYFUNCTION("""COMPUTED_VALUE"""),"Offset")</f>
        <v>Offset</v>
      </c>
      <c r="Q756" s="49" t="str">
        <f>IFERROR(__xludf.DUMMYFUNCTION("""COMPUTED_VALUE"""),"Packaging")</f>
        <v>Packaging</v>
      </c>
      <c r="R756" s="49" t="str">
        <f>IFERROR(__xludf.DUMMYFUNCTION("""COMPUTED_VALUE"""),"Daily Essential")</f>
        <v>Daily Essential</v>
      </c>
    </row>
    <row r="757">
      <c r="A757" s="156" t="str">
        <f>IFERROR(__xludf.DUMMYFUNCTION("""COMPUTED_VALUE"""),"https://drive.google.com/open?id=1v4LYLvRcD7hgXWji9lfftUof5sjuIEaA&amp;authuser=jay.agg%40gmail.com&amp;usp=drive_fs")</f>
        <v>https://drive.google.com/open?id=1v4LYLvRcD7hgXWji9lfftUof5sjuIEaA&amp;authuser=jay.agg%40gmail.com&amp;usp=drive_fs</v>
      </c>
      <c r="B757" s="73" t="str">
        <f>IFERROR(__xludf.DUMMYFUNCTION("""COMPUTED_VALUE"""),"Daily Essential")</f>
        <v>Daily Essential</v>
      </c>
      <c r="C757" s="73" t="str">
        <f>IFERROR(__xludf.DUMMYFUNCTION("""COMPUTED_VALUE"""),"Dental Kit")</f>
        <v>Dental Kit</v>
      </c>
      <c r="D757" s="73" t="str">
        <f>IFERROR(__xludf.DUMMYFUNCTION("""COMPUTED_VALUE"""),"40*20*190 mm")</f>
        <v>40*20*190 mm</v>
      </c>
      <c r="E757" s="77">
        <f>IFERROR(__xludf.DUMMYFUNCTION("""COMPUTED_VALUE"""),6.0)</f>
        <v>6</v>
      </c>
      <c r="F757" s="77">
        <f>IFERROR(__xludf.DUMMYFUNCTION("""COMPUTED_VALUE"""),1926.0)</f>
        <v>1926</v>
      </c>
      <c r="G757" s="77">
        <f>IFERROR(__xludf.DUMMYFUNCTION("""COMPUTED_VALUE"""),15.75)</f>
        <v>15.75</v>
      </c>
      <c r="H757" s="77">
        <f>IFERROR(__xludf.DUMMYFUNCTION("""COMPUTED_VALUE"""),20.75)</f>
        <v>20.75</v>
      </c>
      <c r="I757" s="77">
        <f>IFERROR(__xludf.DUMMYFUNCTION("""COMPUTED_VALUE"""),100.0)</f>
        <v>100</v>
      </c>
      <c r="J757" s="73"/>
      <c r="K757" s="73"/>
      <c r="L757" s="73"/>
      <c r="M757" s="77">
        <f>IFERROR(__xludf.DUMMYFUNCTION("""COMPUTED_VALUE"""),0.1)</f>
        <v>0.1</v>
      </c>
      <c r="N757" s="77">
        <f>IFERROR(__xludf.DUMMYFUNCTION("""COMPUTED_VALUE"""),1.0)</f>
        <v>1</v>
      </c>
      <c r="O757" s="49"/>
      <c r="P757" s="49" t="str">
        <f>IFERROR(__xludf.DUMMYFUNCTION("""COMPUTED_VALUE"""),"Offset")</f>
        <v>Offset</v>
      </c>
      <c r="Q757" s="49" t="str">
        <f>IFERROR(__xludf.DUMMYFUNCTION("""COMPUTED_VALUE"""),"Packaging")</f>
        <v>Packaging</v>
      </c>
      <c r="R757" s="49" t="str">
        <f>IFERROR(__xludf.DUMMYFUNCTION("""COMPUTED_VALUE"""),"Daily Essential")</f>
        <v>Daily Essential</v>
      </c>
    </row>
    <row r="758">
      <c r="A758" s="156" t="str">
        <f>IFERROR(__xludf.DUMMYFUNCTION("""COMPUTED_VALUE"""),"https://drive.google.com/open?id=1B_EuwcjB6Oto2ePD0JMWLzpji1POQRCi&amp;authuser=jay.agg%40gmail.com&amp;usp=drive_fs")</f>
        <v>https://drive.google.com/open?id=1B_EuwcjB6Oto2ePD0JMWLzpji1POQRCi&amp;authuser=jay.agg%40gmail.com&amp;usp=drive_fs</v>
      </c>
      <c r="B758" s="73" t="str">
        <f>IFERROR(__xludf.DUMMYFUNCTION("""COMPUTED_VALUE"""),"Daily Essential")</f>
        <v>Daily Essential</v>
      </c>
      <c r="C758" s="73" t="str">
        <f>IFERROR(__xludf.DUMMYFUNCTION("""COMPUTED_VALUE"""),"Soap Box")</f>
        <v>Soap Box</v>
      </c>
      <c r="D758" s="73" t="str">
        <f>IFERROR(__xludf.DUMMYFUNCTION("""COMPUTED_VALUE"""),"55*38*12 mm | 2.1*1.5*0.5 inch")</f>
        <v>55*38*12 mm | 2.1*1.5*0.5 inch</v>
      </c>
      <c r="E758" s="77">
        <f>IFERROR(__xludf.DUMMYFUNCTION("""COMPUTED_VALUE"""),28.0)</f>
        <v>28</v>
      </c>
      <c r="F758" s="77">
        <f>IFERROR(__xludf.DUMMYFUNCTION("""COMPUTED_VALUE"""),1926.0)</f>
        <v>1926</v>
      </c>
      <c r="G758" s="77">
        <f>IFERROR(__xludf.DUMMYFUNCTION("""COMPUTED_VALUE"""),18.0)</f>
        <v>18</v>
      </c>
      <c r="H758" s="77">
        <f>IFERROR(__xludf.DUMMYFUNCTION("""COMPUTED_VALUE"""),23.0)</f>
        <v>23</v>
      </c>
      <c r="I758" s="77">
        <f>IFERROR(__xludf.DUMMYFUNCTION("""COMPUTED_VALUE"""),100.0)</f>
        <v>100</v>
      </c>
      <c r="J758" s="73"/>
      <c r="K758" s="73"/>
      <c r="L758" s="73"/>
      <c r="M758" s="77">
        <f>IFERROR(__xludf.DUMMYFUNCTION("""COMPUTED_VALUE"""),0.1)</f>
        <v>0.1</v>
      </c>
      <c r="N758" s="77">
        <f>IFERROR(__xludf.DUMMYFUNCTION("""COMPUTED_VALUE"""),1.0)</f>
        <v>1</v>
      </c>
      <c r="O758" s="49"/>
      <c r="P758" s="49" t="str">
        <f>IFERROR(__xludf.DUMMYFUNCTION("""COMPUTED_VALUE"""),"Offset")</f>
        <v>Offset</v>
      </c>
      <c r="Q758" s="49" t="str">
        <f>IFERROR(__xludf.DUMMYFUNCTION("""COMPUTED_VALUE"""),"Packaging")</f>
        <v>Packaging</v>
      </c>
      <c r="R758" s="49" t="str">
        <f>IFERROR(__xludf.DUMMYFUNCTION("""COMPUTED_VALUE"""),"Daily Essential")</f>
        <v>Daily Essential</v>
      </c>
    </row>
    <row r="759">
      <c r="A759" s="156" t="str">
        <f>IFERROR(__xludf.DUMMYFUNCTION("""COMPUTED_VALUE"""),"https://drive.google.com/open?id=12qSHLherxtk-sd4b9C4mqIQJOOgKXDB6&amp;authuser=jay.agg%40gmail.com&amp;usp=drive_fs")</f>
        <v>https://drive.google.com/open?id=12qSHLherxtk-sd4b9C4mqIQJOOgKXDB6&amp;authuser=jay.agg%40gmail.com&amp;usp=drive_fs</v>
      </c>
      <c r="B759" s="73" t="str">
        <f>IFERROR(__xludf.DUMMYFUNCTION("""COMPUTED_VALUE"""),"Daily Essential")</f>
        <v>Daily Essential</v>
      </c>
      <c r="C759" s="73" t="str">
        <f>IFERROR(__xludf.DUMMYFUNCTION("""COMPUTED_VALUE"""),"Dental Kit")</f>
        <v>Dental Kit</v>
      </c>
      <c r="D759" s="73" t="str">
        <f>IFERROR(__xludf.DUMMYFUNCTION("""COMPUTED_VALUE"""),"32*20*196 mm | 1.26*0.8*7.7 inch")</f>
        <v>32*20*196 mm | 1.26*0.8*7.7 inch</v>
      </c>
      <c r="E759" s="77">
        <f>IFERROR(__xludf.DUMMYFUNCTION("""COMPUTED_VALUE"""),8.0)</f>
        <v>8</v>
      </c>
      <c r="F759" s="77">
        <f>IFERROR(__xludf.DUMMYFUNCTION("""COMPUTED_VALUE"""),2029.0)</f>
        <v>2029</v>
      </c>
      <c r="G759" s="77">
        <f>IFERROR(__xludf.DUMMYFUNCTION("""COMPUTED_VALUE"""),19.0)</f>
        <v>19</v>
      </c>
      <c r="H759" s="77">
        <f>IFERROR(__xludf.DUMMYFUNCTION("""COMPUTED_VALUE"""),20.0)</f>
        <v>20</v>
      </c>
      <c r="I759" s="77">
        <f>IFERROR(__xludf.DUMMYFUNCTION("""COMPUTED_VALUE"""),100.0)</f>
        <v>100</v>
      </c>
      <c r="J759" s="73"/>
      <c r="K759" s="73"/>
      <c r="L759" s="73"/>
      <c r="M759" s="77">
        <f>IFERROR(__xludf.DUMMYFUNCTION("""COMPUTED_VALUE"""),0.1)</f>
        <v>0.1</v>
      </c>
      <c r="N759" s="77">
        <f>IFERROR(__xludf.DUMMYFUNCTION("""COMPUTED_VALUE"""),1.0)</f>
        <v>1</v>
      </c>
      <c r="O759" s="49"/>
      <c r="P759" s="49" t="str">
        <f>IFERROR(__xludf.DUMMYFUNCTION("""COMPUTED_VALUE"""),"Offset")</f>
        <v>Offset</v>
      </c>
      <c r="Q759" s="49" t="str">
        <f>IFERROR(__xludf.DUMMYFUNCTION("""COMPUTED_VALUE"""),"Packaging")</f>
        <v>Packaging</v>
      </c>
      <c r="R759" s="49" t="str">
        <f>IFERROR(__xludf.DUMMYFUNCTION("""COMPUTED_VALUE"""),"Daily Essential")</f>
        <v>Daily Essential</v>
      </c>
    </row>
    <row r="760">
      <c r="A760" s="156" t="str">
        <f>IFERROR(__xludf.DUMMYFUNCTION("""COMPUTED_VALUE"""),"https://drive.google.com/open?id=12wHwvN1a-R_PCCVSQ7UkmNrdd4tJMUCE&amp;authuser=jay.agg%40gmail.com&amp;usp=drive_fs")</f>
        <v>https://drive.google.com/open?id=12wHwvN1a-R_PCCVSQ7UkmNrdd4tJMUCE&amp;authuser=jay.agg%40gmail.com&amp;usp=drive_fs</v>
      </c>
      <c r="B760" s="73" t="str">
        <f>IFERROR(__xludf.DUMMYFUNCTION("""COMPUTED_VALUE"""),"Daily Essential")</f>
        <v>Daily Essential</v>
      </c>
      <c r="C760" s="73" t="str">
        <f>IFERROR(__xludf.DUMMYFUNCTION("""COMPUTED_VALUE"""),"Shaving kit")</f>
        <v>Shaving kit</v>
      </c>
      <c r="D760" s="73" t="str">
        <f>IFERROR(__xludf.DUMMYFUNCTION("""COMPUTED_VALUE"""),"50*20*128 mm | 2*0.8*5 inch")</f>
        <v>50*20*128 mm | 2*0.8*5 inch</v>
      </c>
      <c r="E760" s="77">
        <f>IFERROR(__xludf.DUMMYFUNCTION("""COMPUTED_VALUE"""),9.0)</f>
        <v>9</v>
      </c>
      <c r="F760" s="77">
        <f>IFERROR(__xludf.DUMMYFUNCTION("""COMPUTED_VALUE"""),1926.0)</f>
        <v>1926</v>
      </c>
      <c r="G760" s="77">
        <f>IFERROR(__xludf.DUMMYFUNCTION("""COMPUTED_VALUE"""),18.0)</f>
        <v>18</v>
      </c>
      <c r="H760" s="77">
        <f>IFERROR(__xludf.DUMMYFUNCTION("""COMPUTED_VALUE"""),21.0)</f>
        <v>21</v>
      </c>
      <c r="I760" s="77">
        <f>IFERROR(__xludf.DUMMYFUNCTION("""COMPUTED_VALUE"""),100.0)</f>
        <v>100</v>
      </c>
      <c r="J760" s="73"/>
      <c r="K760" s="73"/>
      <c r="L760" s="73"/>
      <c r="M760" s="77">
        <f>IFERROR(__xludf.DUMMYFUNCTION("""COMPUTED_VALUE"""),0.1)</f>
        <v>0.1</v>
      </c>
      <c r="N760" s="77">
        <f>IFERROR(__xludf.DUMMYFUNCTION("""COMPUTED_VALUE"""),1.0)</f>
        <v>1</v>
      </c>
      <c r="O760" s="49"/>
      <c r="P760" s="49" t="str">
        <f>IFERROR(__xludf.DUMMYFUNCTION("""COMPUTED_VALUE"""),"Offset")</f>
        <v>Offset</v>
      </c>
      <c r="Q760" s="49" t="str">
        <f>IFERROR(__xludf.DUMMYFUNCTION("""COMPUTED_VALUE"""),"Packaging")</f>
        <v>Packaging</v>
      </c>
      <c r="R760" s="49" t="str">
        <f>IFERROR(__xludf.DUMMYFUNCTION("""COMPUTED_VALUE"""),"Daily Essential")</f>
        <v>Daily Essential</v>
      </c>
    </row>
    <row r="761">
      <c r="A761" s="156" t="str">
        <f>IFERROR(__xludf.DUMMYFUNCTION("""COMPUTED_VALUE"""),"https://drive.google.com/open?id=12wdmZTSE22p7ug9czWXDdVQeAlFIFB4k&amp;authuser=jay.agg%40gmail.com&amp;usp=drive_fs")</f>
        <v>https://drive.google.com/open?id=12wdmZTSE22p7ug9czWXDdVQeAlFIFB4k&amp;authuser=jay.agg%40gmail.com&amp;usp=drive_fs</v>
      </c>
      <c r="B761" s="73" t="str">
        <f>IFERROR(__xludf.DUMMYFUNCTION("""COMPUTED_VALUE"""),"Daily Essential")</f>
        <v>Daily Essential</v>
      </c>
      <c r="C761" s="73" t="str">
        <f>IFERROR(__xludf.DUMMYFUNCTION("""COMPUTED_VALUE"""),"Comb")</f>
        <v>Comb</v>
      </c>
      <c r="D761" s="73" t="str">
        <f>IFERROR(__xludf.DUMMYFUNCTION("""COMPUTED_VALUE"""),"50*200 mm | 2*7.9 inch")</f>
        <v>50*200 mm | 2*7.9 inch</v>
      </c>
      <c r="E761" s="77">
        <f>IFERROR(__xludf.DUMMYFUNCTION("""COMPUTED_VALUE"""),12.0)</f>
        <v>12</v>
      </c>
      <c r="F761" s="77">
        <f>IFERROR(__xludf.DUMMYFUNCTION("""COMPUTED_VALUE"""),1926.0)</f>
        <v>1926</v>
      </c>
      <c r="G761" s="77">
        <f>IFERROR(__xludf.DUMMYFUNCTION("""COMPUTED_VALUE"""),18.0)</f>
        <v>18</v>
      </c>
      <c r="H761" s="77">
        <f>IFERROR(__xludf.DUMMYFUNCTION("""COMPUTED_VALUE"""),25.0)</f>
        <v>25</v>
      </c>
      <c r="I761" s="77">
        <f>IFERROR(__xludf.DUMMYFUNCTION("""COMPUTED_VALUE"""),100.0)</f>
        <v>100</v>
      </c>
      <c r="J761" s="73"/>
      <c r="K761" s="73"/>
      <c r="L761" s="73"/>
      <c r="M761" s="77">
        <f>IFERROR(__xludf.DUMMYFUNCTION("""COMPUTED_VALUE"""),0.16)</f>
        <v>0.16</v>
      </c>
      <c r="N761" s="77">
        <f>IFERROR(__xludf.DUMMYFUNCTION("""COMPUTED_VALUE"""),1.0)</f>
        <v>1</v>
      </c>
      <c r="O761" s="49"/>
      <c r="P761" s="49" t="str">
        <f>IFERROR(__xludf.DUMMYFUNCTION("""COMPUTED_VALUE"""),"Offset")</f>
        <v>Offset</v>
      </c>
      <c r="Q761" s="49" t="str">
        <f>IFERROR(__xludf.DUMMYFUNCTION("""COMPUTED_VALUE"""),"Packaging")</f>
        <v>Packaging</v>
      </c>
      <c r="R761" s="49" t="str">
        <f>IFERROR(__xludf.DUMMYFUNCTION("""COMPUTED_VALUE"""),"Daily Essential")</f>
        <v>Daily Essential</v>
      </c>
    </row>
    <row r="762">
      <c r="A762" s="156" t="str">
        <f>IFERROR(__xludf.DUMMYFUNCTION("""COMPUTED_VALUE"""),"https://drive.google.com/open?id=12whs8ef81ivLFLq-gH50a62bBqXtxT0s&amp;authuser=jay.agg%40gmail.com&amp;usp=drive_fs")</f>
        <v>https://drive.google.com/open?id=12whs8ef81ivLFLq-gH50a62bBqXtxT0s&amp;authuser=jay.agg%40gmail.com&amp;usp=drive_fs</v>
      </c>
      <c r="B762" s="73" t="str">
        <f>IFERROR(__xludf.DUMMYFUNCTION("""COMPUTED_VALUE"""),"Daily Essential")</f>
        <v>Daily Essential</v>
      </c>
      <c r="C762" s="73" t="str">
        <f>IFERROR(__xludf.DUMMYFUNCTION("""COMPUTED_VALUE"""),"Soap Box")</f>
        <v>Soap Box</v>
      </c>
      <c r="D762" s="73" t="str">
        <f>IFERROR(__xludf.DUMMYFUNCTION("""COMPUTED_VALUE"""),"35*25*60 mm | 1.4*1*2.4 inch")</f>
        <v>35*25*60 mm | 1.4*1*2.4 inch</v>
      </c>
      <c r="E762" s="77">
        <f>IFERROR(__xludf.DUMMYFUNCTION("""COMPUTED_VALUE"""),15.0)</f>
        <v>15</v>
      </c>
      <c r="F762" s="77">
        <f>IFERROR(__xludf.DUMMYFUNCTION("""COMPUTED_VALUE"""),1926.0)</f>
        <v>1926</v>
      </c>
      <c r="G762" s="77">
        <f>IFERROR(__xludf.DUMMYFUNCTION("""COMPUTED_VALUE"""),15.75)</f>
        <v>15.75</v>
      </c>
      <c r="H762" s="77">
        <f>IFERROR(__xludf.DUMMYFUNCTION("""COMPUTED_VALUE"""),20.75)</f>
        <v>20.75</v>
      </c>
      <c r="I762" s="77">
        <f>IFERROR(__xludf.DUMMYFUNCTION("""COMPUTED_VALUE"""),100.0)</f>
        <v>100</v>
      </c>
      <c r="J762" s="73"/>
      <c r="K762" s="73"/>
      <c r="L762" s="73"/>
      <c r="M762" s="77">
        <f>IFERROR(__xludf.DUMMYFUNCTION("""COMPUTED_VALUE"""),0.1)</f>
        <v>0.1</v>
      </c>
      <c r="N762" s="77">
        <f>IFERROR(__xludf.DUMMYFUNCTION("""COMPUTED_VALUE"""),1.0)</f>
        <v>1</v>
      </c>
      <c r="O762" s="49"/>
      <c r="P762" s="49" t="str">
        <f>IFERROR(__xludf.DUMMYFUNCTION("""COMPUTED_VALUE"""),"Offset")</f>
        <v>Offset</v>
      </c>
      <c r="Q762" s="49" t="str">
        <f>IFERROR(__xludf.DUMMYFUNCTION("""COMPUTED_VALUE"""),"Packaging")</f>
        <v>Packaging</v>
      </c>
      <c r="R762" s="49" t="str">
        <f>IFERROR(__xludf.DUMMYFUNCTION("""COMPUTED_VALUE"""),"Daily Essential")</f>
        <v>Daily Essential</v>
      </c>
    </row>
    <row r="763">
      <c r="A763" s="156" t="str">
        <f>IFERROR(__xludf.DUMMYFUNCTION("""COMPUTED_VALUE"""),"https://drive.google.com/open?id=12xtU46a_4voa6O6WVWyNOxitRSXlHaJc&amp;authuser=jay.agg%40gmail.com&amp;usp=drive_fs")</f>
        <v>https://drive.google.com/open?id=12xtU46a_4voa6O6WVWyNOxitRSXlHaJc&amp;authuser=jay.agg%40gmail.com&amp;usp=drive_fs</v>
      </c>
      <c r="B763" s="73" t="str">
        <f>IFERROR(__xludf.DUMMYFUNCTION("""COMPUTED_VALUE"""),"Daily Essential")</f>
        <v>Daily Essential</v>
      </c>
      <c r="C763" s="73" t="str">
        <f>IFERROR(__xludf.DUMMYFUNCTION("""COMPUTED_VALUE"""),"Toilet Kit")</f>
        <v>Toilet Kit</v>
      </c>
      <c r="D763" s="73" t="str">
        <f>IFERROR(__xludf.DUMMYFUNCTION("""COMPUTED_VALUE"""),"70*28*215 mm | 2.7*1.1*8.5 inch")</f>
        <v>70*28*215 mm | 2.7*1.1*8.5 inch</v>
      </c>
      <c r="E763" s="77">
        <f>IFERROR(__xludf.DUMMYFUNCTION("""COMPUTED_VALUE"""),4.0)</f>
        <v>4</v>
      </c>
      <c r="F763" s="77">
        <f>IFERROR(__xludf.DUMMYFUNCTION("""COMPUTED_VALUE"""),1926.0)</f>
        <v>1926</v>
      </c>
      <c r="G763" s="77">
        <f>IFERROR(__xludf.DUMMYFUNCTION("""COMPUTED_VALUE"""),18.0)</f>
        <v>18</v>
      </c>
      <c r="H763" s="77">
        <f>IFERROR(__xludf.DUMMYFUNCTION("""COMPUTED_VALUE"""),23.0)</f>
        <v>23</v>
      </c>
      <c r="I763" s="77">
        <f>IFERROR(__xludf.DUMMYFUNCTION("""COMPUTED_VALUE"""),100.0)</f>
        <v>100</v>
      </c>
      <c r="J763" s="73"/>
      <c r="K763" s="73"/>
      <c r="L763" s="73"/>
      <c r="M763" s="77">
        <f>IFERROR(__xludf.DUMMYFUNCTION("""COMPUTED_VALUE"""),0.1)</f>
        <v>0.1</v>
      </c>
      <c r="N763" s="77">
        <f>IFERROR(__xludf.DUMMYFUNCTION("""COMPUTED_VALUE"""),1.0)</f>
        <v>1</v>
      </c>
      <c r="O763" s="49"/>
      <c r="P763" s="49" t="str">
        <f>IFERROR(__xludf.DUMMYFUNCTION("""COMPUTED_VALUE"""),"Offset")</f>
        <v>Offset</v>
      </c>
      <c r="Q763" s="49" t="str">
        <f>IFERROR(__xludf.DUMMYFUNCTION("""COMPUTED_VALUE"""),"Packaging")</f>
        <v>Packaging</v>
      </c>
      <c r="R763" s="49" t="str">
        <f>IFERROR(__xludf.DUMMYFUNCTION("""COMPUTED_VALUE"""),"Daily Essential")</f>
        <v>Daily Essential</v>
      </c>
    </row>
    <row r="764">
      <c r="A764" s="156" t="str">
        <f>IFERROR(__xludf.DUMMYFUNCTION("""COMPUTED_VALUE"""),"https://drive.google.com/open?id=12yzuIstfiJ__2brf3ISPcMAOze2o1OTW&amp;authuser=jay.agg%40gmail.com&amp;usp=drive_fs")</f>
        <v>https://drive.google.com/open?id=12yzuIstfiJ__2brf3ISPcMAOze2o1OTW&amp;authuser=jay.agg%40gmail.com&amp;usp=drive_fs</v>
      </c>
      <c r="B764" s="73" t="str">
        <f>IFERROR(__xludf.DUMMYFUNCTION("""COMPUTED_VALUE"""),"Daily Essential")</f>
        <v>Daily Essential</v>
      </c>
      <c r="C764" s="73" t="str">
        <f>IFERROR(__xludf.DUMMYFUNCTION("""COMPUTED_VALUE"""),"Sanitary Napkins")</f>
        <v>Sanitary Napkins</v>
      </c>
      <c r="D764" s="73" t="str">
        <f>IFERROR(__xludf.DUMMYFUNCTION("""COMPUTED_VALUE"""),"130*30*135 mm | 5.1*1.2*5.3 inch LB")</f>
        <v>130*30*135 mm | 5.1*1.2*5.3 inch LB</v>
      </c>
      <c r="E764" s="77">
        <f>IFERROR(__xludf.DUMMYFUNCTION("""COMPUTED_VALUE"""),3.0)</f>
        <v>3</v>
      </c>
      <c r="F764" s="77">
        <f>IFERROR(__xludf.DUMMYFUNCTION("""COMPUTED_VALUE"""),1926.0)</f>
        <v>1926</v>
      </c>
      <c r="G764" s="77">
        <f>IFERROR(__xludf.DUMMYFUNCTION("""COMPUTED_VALUE"""),15.0)</f>
        <v>15</v>
      </c>
      <c r="H764" s="77">
        <f>IFERROR(__xludf.DUMMYFUNCTION("""COMPUTED_VALUE"""),25.0)</f>
        <v>25</v>
      </c>
      <c r="I764" s="77">
        <f>IFERROR(__xludf.DUMMYFUNCTION("""COMPUTED_VALUE"""),100.0)</f>
        <v>100</v>
      </c>
      <c r="J764" s="73"/>
      <c r="K764" s="73"/>
      <c r="L764" s="73"/>
      <c r="M764" s="77">
        <f>IFERROR(__xludf.DUMMYFUNCTION("""COMPUTED_VALUE"""),0.18)</f>
        <v>0.18</v>
      </c>
      <c r="N764" s="77">
        <f>IFERROR(__xludf.DUMMYFUNCTION("""COMPUTED_VALUE"""),1.0)</f>
        <v>1</v>
      </c>
      <c r="O764" s="49"/>
      <c r="P764" s="49" t="str">
        <f>IFERROR(__xludf.DUMMYFUNCTION("""COMPUTED_VALUE"""),"Offset")</f>
        <v>Offset</v>
      </c>
      <c r="Q764" s="49" t="str">
        <f>IFERROR(__xludf.DUMMYFUNCTION("""COMPUTED_VALUE"""),"Packaging")</f>
        <v>Packaging</v>
      </c>
      <c r="R764" s="49" t="str">
        <f>IFERROR(__xludf.DUMMYFUNCTION("""COMPUTED_VALUE"""),"Daily Essential")</f>
        <v>Daily Essential</v>
      </c>
    </row>
    <row r="765">
      <c r="A765" s="156" t="str">
        <f>IFERROR(__xludf.DUMMYFUNCTION("""COMPUTED_VALUE"""),"https://drive.google.com/open?id=1H16M3xMfhu5VAwHjp8j65Lhs3qLlb8Yi&amp;authuser=jay.agg%40gmail.com&amp;usp=drive_fs")</f>
        <v>https://drive.google.com/open?id=1H16M3xMfhu5VAwHjp8j65Lhs3qLlb8Yi&amp;authuser=jay.agg%40gmail.com&amp;usp=drive_fs</v>
      </c>
      <c r="B765" s="73" t="str">
        <f>IFERROR(__xludf.DUMMYFUNCTION("""COMPUTED_VALUE"""),"Daily Essential")</f>
        <v>Daily Essential</v>
      </c>
      <c r="C765" s="73" t="str">
        <f>IFERROR(__xludf.DUMMYFUNCTION("""COMPUTED_VALUE"""),"Sanitary Napkins")</f>
        <v>Sanitary Napkins</v>
      </c>
      <c r="D765" s="73" t="str">
        <f>IFERROR(__xludf.DUMMYFUNCTION("""COMPUTED_VALUE"""),"90*30*135 mm | 3.5*1.2*5.3 inch LB")</f>
        <v>90*30*135 mm | 3.5*1.2*5.3 inch LB</v>
      </c>
      <c r="E765" s="77">
        <f>IFERROR(__xludf.DUMMYFUNCTION("""COMPUTED_VALUE"""),4.0)</f>
        <v>4</v>
      </c>
      <c r="F765" s="77">
        <f>IFERROR(__xludf.DUMMYFUNCTION("""COMPUTED_VALUE"""),1926.0)</f>
        <v>1926</v>
      </c>
      <c r="G765" s="77">
        <f>IFERROR(__xludf.DUMMYFUNCTION("""COMPUTED_VALUE"""),15.75)</f>
        <v>15.75</v>
      </c>
      <c r="H765" s="77">
        <f>IFERROR(__xludf.DUMMYFUNCTION("""COMPUTED_VALUE"""),20.75)</f>
        <v>20.75</v>
      </c>
      <c r="I765" s="77">
        <f>IFERROR(__xludf.DUMMYFUNCTION("""COMPUTED_VALUE"""),100.0)</f>
        <v>100</v>
      </c>
      <c r="J765" s="73"/>
      <c r="K765" s="73"/>
      <c r="L765" s="73"/>
      <c r="M765" s="77">
        <f>IFERROR(__xludf.DUMMYFUNCTION("""COMPUTED_VALUE"""),0.22)</f>
        <v>0.22</v>
      </c>
      <c r="N765" s="77">
        <f>IFERROR(__xludf.DUMMYFUNCTION("""COMPUTED_VALUE"""),1.0)</f>
        <v>1</v>
      </c>
      <c r="O765" s="49"/>
      <c r="P765" s="49" t="str">
        <f>IFERROR(__xludf.DUMMYFUNCTION("""COMPUTED_VALUE"""),"Offset")</f>
        <v>Offset</v>
      </c>
      <c r="Q765" s="49" t="str">
        <f>IFERROR(__xludf.DUMMYFUNCTION("""COMPUTED_VALUE"""),"Packaging")</f>
        <v>Packaging</v>
      </c>
      <c r="R765" s="49" t="str">
        <f>IFERROR(__xludf.DUMMYFUNCTION("""COMPUTED_VALUE"""),"Daily Essential")</f>
        <v>Daily Essential</v>
      </c>
    </row>
    <row r="766">
      <c r="A766" s="156" t="str">
        <f>IFERROR(__xludf.DUMMYFUNCTION("""COMPUTED_VALUE"""),"https://drive.google.com/open?id=1O92T-KjoFDKEK13XT4fctm2U-Ey-6dJg&amp;authuser=jay.agg%40gmail.com&amp;usp=drive_fs")</f>
        <v>https://drive.google.com/open?id=1O92T-KjoFDKEK13XT4fctm2U-Ey-6dJg&amp;authuser=jay.agg%40gmail.com&amp;usp=drive_fs</v>
      </c>
      <c r="B766" s="73" t="str">
        <f>IFERROR(__xludf.DUMMYFUNCTION("""COMPUTED_VALUE"""),"Daily Essential")</f>
        <v>Daily Essential</v>
      </c>
      <c r="C766" s="73" t="str">
        <f>IFERROR(__xludf.DUMMYFUNCTION("""COMPUTED_VALUE"""),"Sanitary Napkins")</f>
        <v>Sanitary Napkins</v>
      </c>
      <c r="D766" s="73" t="str">
        <f>IFERROR(__xludf.DUMMYFUNCTION("""COMPUTED_VALUE"""),"90*203*140 mm | 3.5*8*5.5 inch LB")</f>
        <v>90*203*140 mm | 3.5*8*5.5 inch LB</v>
      </c>
      <c r="E766" s="77">
        <f>IFERROR(__xludf.DUMMYFUNCTION("""COMPUTED_VALUE"""),2.0)</f>
        <v>2</v>
      </c>
      <c r="F766" s="77">
        <f>IFERROR(__xludf.DUMMYFUNCTION("""COMPUTED_VALUE"""),2029.0)</f>
        <v>2029</v>
      </c>
      <c r="G766" s="77">
        <f>IFERROR(__xludf.DUMMYFUNCTION("""COMPUTED_VALUE"""),20.0)</f>
        <v>20</v>
      </c>
      <c r="H766" s="77">
        <f>IFERROR(__xludf.DUMMYFUNCTION("""COMPUTED_VALUE"""),28.0)</f>
        <v>28</v>
      </c>
      <c r="I766" s="77">
        <f>IFERROR(__xludf.DUMMYFUNCTION("""COMPUTED_VALUE"""),100.0)</f>
        <v>100</v>
      </c>
      <c r="J766" s="73"/>
      <c r="K766" s="73"/>
      <c r="L766" s="73"/>
      <c r="M766" s="77">
        <f>IFERROR(__xludf.DUMMYFUNCTION("""COMPUTED_VALUE"""),0.24)</f>
        <v>0.24</v>
      </c>
      <c r="N766" s="77">
        <f>IFERROR(__xludf.DUMMYFUNCTION("""COMPUTED_VALUE"""),1.0)</f>
        <v>1</v>
      </c>
      <c r="O766" s="49"/>
      <c r="P766" s="49" t="str">
        <f>IFERROR(__xludf.DUMMYFUNCTION("""COMPUTED_VALUE"""),"Offset")</f>
        <v>Offset</v>
      </c>
      <c r="Q766" s="49" t="str">
        <f>IFERROR(__xludf.DUMMYFUNCTION("""COMPUTED_VALUE"""),"Packaging")</f>
        <v>Packaging</v>
      </c>
      <c r="R766" s="49" t="str">
        <f>IFERROR(__xludf.DUMMYFUNCTION("""COMPUTED_VALUE"""),"Daily Essential")</f>
        <v>Daily Essential</v>
      </c>
    </row>
    <row r="767">
      <c r="A767" s="156" t="str">
        <f>IFERROR(__xludf.DUMMYFUNCTION("""COMPUTED_VALUE"""),"https://drive.google.com/open?id=17L3OP8OwomAtDkYGrm7BmA8_UnsHC4Xu&amp;authuser=jay.agg%40gmail.com&amp;usp=drive_fs")</f>
        <v>https://drive.google.com/open?id=17L3OP8OwomAtDkYGrm7BmA8_UnsHC4Xu&amp;authuser=jay.agg%40gmail.com&amp;usp=drive_fs</v>
      </c>
      <c r="B767" s="73" t="str">
        <f>IFERROR(__xludf.DUMMYFUNCTION("""COMPUTED_VALUE"""),"Daily Essential")</f>
        <v>Daily Essential</v>
      </c>
      <c r="C767" s="73" t="str">
        <f>IFERROR(__xludf.DUMMYFUNCTION("""COMPUTED_VALUE"""),"Misc")</f>
        <v>Misc</v>
      </c>
      <c r="D767" s="73" t="str">
        <f>IFERROR(__xludf.DUMMYFUNCTION("""COMPUTED_VALUE"""),"170*140*20 mm | 6.7*0.8*5.5 inch")</f>
        <v>170*140*20 mm | 6.7*0.8*5.5 inch</v>
      </c>
      <c r="E767" s="77">
        <f>IFERROR(__xludf.DUMMYFUNCTION("""COMPUTED_VALUE"""),3.0)</f>
        <v>3</v>
      </c>
      <c r="F767" s="77">
        <f>IFERROR(__xludf.DUMMYFUNCTION("""COMPUTED_VALUE"""),2029.0)</f>
        <v>2029</v>
      </c>
      <c r="G767" s="77">
        <f>IFERROR(__xludf.DUMMYFUNCTION("""COMPUTED_VALUE"""),18.0)</f>
        <v>18</v>
      </c>
      <c r="H767" s="77">
        <f>IFERROR(__xludf.DUMMYFUNCTION("""COMPUTED_VALUE"""),23.0)</f>
        <v>23</v>
      </c>
      <c r="I767" s="77">
        <f>IFERROR(__xludf.DUMMYFUNCTION("""COMPUTED_VALUE"""),100.0)</f>
        <v>100</v>
      </c>
      <c r="J767" s="73"/>
      <c r="K767" s="73"/>
      <c r="L767" s="73"/>
      <c r="M767" s="77">
        <f>IFERROR(__xludf.DUMMYFUNCTION("""COMPUTED_VALUE"""),0.12)</f>
        <v>0.12</v>
      </c>
      <c r="N767" s="77">
        <f>IFERROR(__xludf.DUMMYFUNCTION("""COMPUTED_VALUE"""),1.0)</f>
        <v>1</v>
      </c>
      <c r="O767" s="49"/>
      <c r="P767" s="49" t="str">
        <f>IFERROR(__xludf.DUMMYFUNCTION("""COMPUTED_VALUE"""),"Offset")</f>
        <v>Offset</v>
      </c>
      <c r="Q767" s="49" t="str">
        <f>IFERROR(__xludf.DUMMYFUNCTION("""COMPUTED_VALUE"""),"Packaging")</f>
        <v>Packaging</v>
      </c>
      <c r="R767" s="49" t="str">
        <f>IFERROR(__xludf.DUMMYFUNCTION("""COMPUTED_VALUE"""),"Daily Essential")</f>
        <v>Daily Essential</v>
      </c>
    </row>
    <row r="768">
      <c r="A768" s="156" t="str">
        <f>IFERROR(__xludf.DUMMYFUNCTION("""COMPUTED_VALUE"""),"https://drive.google.com/open?id=1TSX1HAjPKIAnTH5QqiEucb-Bc5-Iyfkc&amp;authuser=jay.agg%40gmail.com&amp;usp=drive_fs")</f>
        <v>https://drive.google.com/open?id=1TSX1HAjPKIAnTH5QqiEucb-Bc5-Iyfkc&amp;authuser=jay.agg%40gmail.com&amp;usp=drive_fs</v>
      </c>
      <c r="B768" s="73" t="str">
        <f>IFERROR(__xludf.DUMMYFUNCTION("""COMPUTED_VALUE"""),"Daily Essential")</f>
        <v>Daily Essential</v>
      </c>
      <c r="C768" s="73" t="str">
        <f>IFERROR(__xludf.DUMMYFUNCTION("""COMPUTED_VALUE"""),"Tissue Box")</f>
        <v>Tissue Box</v>
      </c>
      <c r="D768" s="73" t="str">
        <f>IFERROR(__xludf.DUMMYFUNCTION("""COMPUTED_VALUE"""),"164*70*103 mm | 6.5*2.75*5 inch LB")</f>
        <v>164*70*103 mm | 6.5*2.75*5 inch LB</v>
      </c>
      <c r="E768" s="77">
        <f>IFERROR(__xludf.DUMMYFUNCTION("""COMPUTED_VALUE"""),4.0)</f>
        <v>4</v>
      </c>
      <c r="F768" s="77">
        <f>IFERROR(__xludf.DUMMYFUNCTION("""COMPUTED_VALUE"""),2029.0)</f>
        <v>2029</v>
      </c>
      <c r="G768" s="77">
        <f>IFERROR(__xludf.DUMMYFUNCTION("""COMPUTED_VALUE"""),20.0)</f>
        <v>20</v>
      </c>
      <c r="H768" s="77">
        <f>IFERROR(__xludf.DUMMYFUNCTION("""COMPUTED_VALUE"""),25.0)</f>
        <v>25</v>
      </c>
      <c r="I768" s="77">
        <f>IFERROR(__xludf.DUMMYFUNCTION("""COMPUTED_VALUE"""),100.0)</f>
        <v>100</v>
      </c>
      <c r="J768" s="73"/>
      <c r="K768" s="73"/>
      <c r="L768" s="73"/>
      <c r="M768" s="77">
        <f>IFERROR(__xludf.DUMMYFUNCTION("""COMPUTED_VALUE"""),0.22)</f>
        <v>0.22</v>
      </c>
      <c r="N768" s="77">
        <f>IFERROR(__xludf.DUMMYFUNCTION("""COMPUTED_VALUE"""),1.0)</f>
        <v>1</v>
      </c>
      <c r="O768" s="49"/>
      <c r="P768" s="49" t="str">
        <f>IFERROR(__xludf.DUMMYFUNCTION("""COMPUTED_VALUE"""),"Offset")</f>
        <v>Offset</v>
      </c>
      <c r="Q768" s="49" t="str">
        <f>IFERROR(__xludf.DUMMYFUNCTION("""COMPUTED_VALUE"""),"Packaging")</f>
        <v>Packaging</v>
      </c>
      <c r="R768" s="49" t="str">
        <f>IFERROR(__xludf.DUMMYFUNCTION("""COMPUTED_VALUE"""),"Daily Essential")</f>
        <v>Daily Essential</v>
      </c>
    </row>
    <row r="769">
      <c r="A769" s="156" t="str">
        <f>IFERROR(__xludf.DUMMYFUNCTION("""COMPUTED_VALUE"""),"https://drive.google.com/open?id=1TVfjZg6ToAC9InoSPMt9__F7oBMI52ap&amp;authuser=jay.agg%40gmail.com&amp;usp=drive_fs")</f>
        <v>https://drive.google.com/open?id=1TVfjZg6ToAC9InoSPMt9__F7oBMI52ap&amp;authuser=jay.agg%40gmail.com&amp;usp=drive_fs</v>
      </c>
      <c r="B769" s="73" t="str">
        <f>IFERROR(__xludf.DUMMYFUNCTION("""COMPUTED_VALUE"""),"Daily Essential")</f>
        <v>Daily Essential</v>
      </c>
      <c r="C769" s="73" t="str">
        <f>IFERROR(__xludf.DUMMYFUNCTION("""COMPUTED_VALUE"""),"Tissue Box")</f>
        <v>Tissue Box</v>
      </c>
      <c r="D769" s="73" t="str">
        <f>IFERROR(__xludf.DUMMYFUNCTION("""COMPUTED_VALUE"""),"150*150*75 mm | 6*6*3 inch LB")</f>
        <v>150*150*75 mm | 6*6*3 inch LB</v>
      </c>
      <c r="E769" s="77">
        <f>IFERROR(__xludf.DUMMYFUNCTION("""COMPUTED_VALUE"""),3.0)</f>
        <v>3</v>
      </c>
      <c r="F769" s="77">
        <f>IFERROR(__xludf.DUMMYFUNCTION("""COMPUTED_VALUE"""),2029.0)</f>
        <v>2029</v>
      </c>
      <c r="G769" s="77">
        <f>IFERROR(__xludf.DUMMYFUNCTION("""COMPUTED_VALUE"""),20.0)</f>
        <v>20</v>
      </c>
      <c r="H769" s="77">
        <f>IFERROR(__xludf.DUMMYFUNCTION("""COMPUTED_VALUE"""),25.0)</f>
        <v>25</v>
      </c>
      <c r="I769" s="77">
        <f>IFERROR(__xludf.DUMMYFUNCTION("""COMPUTED_VALUE"""),100.0)</f>
        <v>100</v>
      </c>
      <c r="J769" s="73"/>
      <c r="K769" s="73"/>
      <c r="L769" s="73"/>
      <c r="M769" s="77">
        <f>IFERROR(__xludf.DUMMYFUNCTION("""COMPUTED_VALUE"""),0.22)</f>
        <v>0.22</v>
      </c>
      <c r="N769" s="77">
        <f>IFERROR(__xludf.DUMMYFUNCTION("""COMPUTED_VALUE"""),1.0)</f>
        <v>1</v>
      </c>
      <c r="O769" s="49"/>
      <c r="P769" s="49" t="str">
        <f>IFERROR(__xludf.DUMMYFUNCTION("""COMPUTED_VALUE"""),"Offset")</f>
        <v>Offset</v>
      </c>
      <c r="Q769" s="49" t="str">
        <f>IFERROR(__xludf.DUMMYFUNCTION("""COMPUTED_VALUE"""),"Packaging")</f>
        <v>Packaging</v>
      </c>
      <c r="R769" s="49" t="str">
        <f>IFERROR(__xludf.DUMMYFUNCTION("""COMPUTED_VALUE"""),"Daily Essential")</f>
        <v>Daily Essential</v>
      </c>
    </row>
    <row r="770">
      <c r="A770" s="156" t="str">
        <f>IFERROR(__xludf.DUMMYFUNCTION("""COMPUTED_VALUE"""),"https://drive.google.com/open?id=1X32TPOXfGG1uvY7SRZy1tsBPEGEWMoZC&amp;authuser=jay.agg%40gmail.com&amp;usp=drive_fs")</f>
        <v>https://drive.google.com/open?id=1X32TPOXfGG1uvY7SRZy1tsBPEGEWMoZC&amp;authuser=jay.agg%40gmail.com&amp;usp=drive_fs</v>
      </c>
      <c r="B770" s="73" t="str">
        <f>IFERROR(__xludf.DUMMYFUNCTION("""COMPUTED_VALUE"""),"Daily Essential")</f>
        <v>Daily Essential</v>
      </c>
      <c r="C770" s="73" t="str">
        <f>IFERROR(__xludf.DUMMYFUNCTION("""COMPUTED_VALUE"""),"Sanitary Napkins")</f>
        <v>Sanitary Napkins</v>
      </c>
      <c r="D770" s="73" t="str">
        <f>IFERROR(__xludf.DUMMYFUNCTION("""COMPUTED_VALUE"""),"140*95*275 mm | 5.5*3.7*10.9 inch LB")</f>
        <v>140*95*275 mm | 5.5*3.7*10.9 inch LB</v>
      </c>
      <c r="E770" s="77">
        <f>IFERROR(__xludf.DUMMYFUNCTION("""COMPUTED_VALUE"""),1.0)</f>
        <v>1</v>
      </c>
      <c r="F770" s="77">
        <f>IFERROR(__xludf.DUMMYFUNCTION("""COMPUTED_VALUE"""),2029.0)</f>
        <v>2029</v>
      </c>
      <c r="G770" s="77">
        <f>IFERROR(__xludf.DUMMYFUNCTION("""COMPUTED_VALUE"""),18.0)</f>
        <v>18</v>
      </c>
      <c r="H770" s="77">
        <f>IFERROR(__xludf.DUMMYFUNCTION("""COMPUTED_VALUE"""),20.0)</f>
        <v>20</v>
      </c>
      <c r="I770" s="77">
        <f>IFERROR(__xludf.DUMMYFUNCTION("""COMPUTED_VALUE"""),100.0)</f>
        <v>100</v>
      </c>
      <c r="J770" s="73"/>
      <c r="K770" s="73"/>
      <c r="L770" s="73"/>
      <c r="M770" s="77">
        <f>IFERROR(__xludf.DUMMYFUNCTION("""COMPUTED_VALUE"""),0.22)</f>
        <v>0.22</v>
      </c>
      <c r="N770" s="77">
        <f>IFERROR(__xludf.DUMMYFUNCTION("""COMPUTED_VALUE"""),1.0)</f>
        <v>1</v>
      </c>
      <c r="O770" s="49"/>
      <c r="P770" s="49" t="str">
        <f>IFERROR(__xludf.DUMMYFUNCTION("""COMPUTED_VALUE"""),"Offset")</f>
        <v>Offset</v>
      </c>
      <c r="Q770" s="49" t="str">
        <f>IFERROR(__xludf.DUMMYFUNCTION("""COMPUTED_VALUE"""),"Packaging")</f>
        <v>Packaging</v>
      </c>
      <c r="R770" s="49" t="str">
        <f>IFERROR(__xludf.DUMMYFUNCTION("""COMPUTED_VALUE"""),"Daily Essential")</f>
        <v>Daily Essential</v>
      </c>
    </row>
    <row r="771">
      <c r="A771" s="156" t="str">
        <f>IFERROR(__xludf.DUMMYFUNCTION("""COMPUTED_VALUE"""),"https://drive.google.com/open?id=1a1MBVdfek41mhq7i197BnkXKAPUPMWf-&amp;authuser=jay.agg%40gmail.com&amp;usp=drive_fs")</f>
        <v>https://drive.google.com/open?id=1a1MBVdfek41mhq7i197BnkXKAPUPMWf-&amp;authuser=jay.agg%40gmail.com&amp;usp=drive_fs</v>
      </c>
      <c r="B771" s="73" t="str">
        <f>IFERROR(__xludf.DUMMYFUNCTION("""COMPUTED_VALUE"""),"Daily Essential")</f>
        <v>Daily Essential</v>
      </c>
      <c r="C771" s="73" t="str">
        <f>IFERROR(__xludf.DUMMYFUNCTION("""COMPUTED_VALUE"""),"Tooth Brush")</f>
        <v>Tooth Brush</v>
      </c>
      <c r="D771" s="73" t="str">
        <f>IFERROR(__xludf.DUMMYFUNCTION("""COMPUTED_VALUE"""),"23*15*200 mm | 0.9*0.6*7.8 inch")</f>
        <v>23*15*200 mm | 0.9*0.6*7.8 inch</v>
      </c>
      <c r="E771" s="77">
        <f>IFERROR(__xludf.DUMMYFUNCTION("""COMPUTED_VALUE"""),10.0)</f>
        <v>10</v>
      </c>
      <c r="F771" s="77">
        <f>IFERROR(__xludf.DUMMYFUNCTION("""COMPUTED_VALUE"""),1926.0)</f>
        <v>1926</v>
      </c>
      <c r="G771" s="77">
        <f>IFERROR(__xludf.DUMMYFUNCTION("""COMPUTED_VALUE"""),18.0)</f>
        <v>18</v>
      </c>
      <c r="H771" s="77">
        <f>IFERROR(__xludf.DUMMYFUNCTION("""COMPUTED_VALUE"""),21.0)</f>
        <v>21</v>
      </c>
      <c r="I771" s="77">
        <f>IFERROR(__xludf.DUMMYFUNCTION("""COMPUTED_VALUE"""),100.0)</f>
        <v>100</v>
      </c>
      <c r="J771" s="73"/>
      <c r="K771" s="73"/>
      <c r="L771" s="73"/>
      <c r="M771" s="77">
        <f>IFERROR(__xludf.DUMMYFUNCTION("""COMPUTED_VALUE"""),0.1)</f>
        <v>0.1</v>
      </c>
      <c r="N771" s="77">
        <f>IFERROR(__xludf.DUMMYFUNCTION("""COMPUTED_VALUE"""),1.0)</f>
        <v>1</v>
      </c>
      <c r="O771" s="49"/>
      <c r="P771" s="49" t="str">
        <f>IFERROR(__xludf.DUMMYFUNCTION("""COMPUTED_VALUE"""),"Offset")</f>
        <v>Offset</v>
      </c>
      <c r="Q771" s="49" t="str">
        <f>IFERROR(__xludf.DUMMYFUNCTION("""COMPUTED_VALUE"""),"Packaging")</f>
        <v>Packaging</v>
      </c>
      <c r="R771" s="49" t="str">
        <f>IFERROR(__xludf.DUMMYFUNCTION("""COMPUTED_VALUE"""),"Daily Essential")</f>
        <v>Daily Essential</v>
      </c>
    </row>
    <row r="772">
      <c r="A772" s="156" t="str">
        <f>IFERROR(__xludf.DUMMYFUNCTION("""COMPUTED_VALUE"""),"https://drive.google.com/open?id=1RtCmoxo_6dl07pblka_KuCp-Yeq_lskx&amp;authuser=jay.agg%40gmail.com&amp;usp=drive_fs")</f>
        <v>https://drive.google.com/open?id=1RtCmoxo_6dl07pblka_KuCp-Yeq_lskx&amp;authuser=jay.agg%40gmail.com&amp;usp=drive_fs</v>
      </c>
      <c r="B772" s="73" t="str">
        <f>IFERROR(__xludf.DUMMYFUNCTION("""COMPUTED_VALUE"""),"Daily Essential")</f>
        <v>Daily Essential</v>
      </c>
      <c r="C772" s="73" t="str">
        <f>IFERROR(__xludf.DUMMYFUNCTION("""COMPUTED_VALUE"""),"Sanitary Napkins")</f>
        <v>Sanitary Napkins</v>
      </c>
      <c r="D772" s="73" t="str">
        <f>IFERROR(__xludf.DUMMYFUNCTION("""COMPUTED_VALUE"""),"78*44*98 mm |  3*1.7*3.8 inch LB")</f>
        <v>78*44*98 mm |  3*1.7*3.8 inch LB</v>
      </c>
      <c r="E772" s="77">
        <f>IFERROR(__xludf.DUMMYFUNCTION("""COMPUTED_VALUE"""),4.0)</f>
        <v>4</v>
      </c>
      <c r="F772" s="77">
        <f>IFERROR(__xludf.DUMMYFUNCTION("""COMPUTED_VALUE"""),1926.0)</f>
        <v>1926</v>
      </c>
      <c r="G772" s="77">
        <f>IFERROR(__xludf.DUMMYFUNCTION("""COMPUTED_VALUE"""),15.75)</f>
        <v>15.75</v>
      </c>
      <c r="H772" s="77">
        <f>IFERROR(__xludf.DUMMYFUNCTION("""COMPUTED_VALUE"""),20.75)</f>
        <v>20.75</v>
      </c>
      <c r="I772" s="77">
        <f>IFERROR(__xludf.DUMMYFUNCTION("""COMPUTED_VALUE"""),100.0)</f>
        <v>100</v>
      </c>
      <c r="J772" s="73"/>
      <c r="K772" s="73"/>
      <c r="L772" s="73"/>
      <c r="M772" s="77">
        <f>IFERROR(__xludf.DUMMYFUNCTION("""COMPUTED_VALUE"""),0.18)</f>
        <v>0.18</v>
      </c>
      <c r="N772" s="77">
        <f>IFERROR(__xludf.DUMMYFUNCTION("""COMPUTED_VALUE"""),1.0)</f>
        <v>1</v>
      </c>
      <c r="O772" s="49"/>
      <c r="P772" s="49" t="str">
        <f>IFERROR(__xludf.DUMMYFUNCTION("""COMPUTED_VALUE"""),"Offset")</f>
        <v>Offset</v>
      </c>
      <c r="Q772" s="49" t="str">
        <f>IFERROR(__xludf.DUMMYFUNCTION("""COMPUTED_VALUE"""),"Packaging")</f>
        <v>Packaging</v>
      </c>
      <c r="R772" s="49" t="str">
        <f>IFERROR(__xludf.DUMMYFUNCTION("""COMPUTED_VALUE"""),"Daily Essential")</f>
        <v>Daily Essential</v>
      </c>
    </row>
    <row r="773">
      <c r="A773" s="156" t="str">
        <f>IFERROR(__xludf.DUMMYFUNCTION("""COMPUTED_VALUE"""),"https://drive.google.com/open?id=1SDuaGteNM3TcQlHjcsWfz_05_llCGJm4&amp;authuser=jay.agg%40gmail.com&amp;usp=drive_fs")</f>
        <v>https://drive.google.com/open?id=1SDuaGteNM3TcQlHjcsWfz_05_llCGJm4&amp;authuser=jay.agg%40gmail.com&amp;usp=drive_fs</v>
      </c>
      <c r="B773" s="73" t="str">
        <f>IFERROR(__xludf.DUMMYFUNCTION("""COMPUTED_VALUE"""),"Daily Essential")</f>
        <v>Daily Essential</v>
      </c>
      <c r="C773" s="73" t="str">
        <f>IFERROR(__xludf.DUMMYFUNCTION("""COMPUTED_VALUE"""),"Tooth Brush")</f>
        <v>Tooth Brush</v>
      </c>
      <c r="D773" s="73" t="str">
        <f>IFERROR(__xludf.DUMMYFUNCTION("""COMPUTED_VALUE"""),"Outer 23*15*200 | 51*32*201 mm")</f>
        <v>Outer 23*15*200 | 51*32*201 mm</v>
      </c>
      <c r="E773" s="77">
        <f>IFERROR(__xludf.DUMMYFUNCTION("""COMPUTED_VALUE"""),4.0)</f>
        <v>4</v>
      </c>
      <c r="F773" s="77">
        <f>IFERROR(__xludf.DUMMYFUNCTION("""COMPUTED_VALUE"""),1926.0)</f>
        <v>1926</v>
      </c>
      <c r="G773" s="77">
        <f>IFERROR(__xludf.DUMMYFUNCTION("""COMPUTED_VALUE"""),15.0)</f>
        <v>15</v>
      </c>
      <c r="H773" s="77">
        <f>IFERROR(__xludf.DUMMYFUNCTION("""COMPUTED_VALUE"""),23.0)</f>
        <v>23</v>
      </c>
      <c r="I773" s="77">
        <f>IFERROR(__xludf.DUMMYFUNCTION("""COMPUTED_VALUE"""),100.0)</f>
        <v>100</v>
      </c>
      <c r="J773" s="73"/>
      <c r="K773" s="73"/>
      <c r="L773" s="73"/>
      <c r="M773" s="77">
        <f>IFERROR(__xludf.DUMMYFUNCTION("""COMPUTED_VALUE"""),0.1)</f>
        <v>0.1</v>
      </c>
      <c r="N773" s="77">
        <f>IFERROR(__xludf.DUMMYFUNCTION("""COMPUTED_VALUE"""),1.0)</f>
        <v>1</v>
      </c>
      <c r="O773" s="49"/>
      <c r="P773" s="49" t="str">
        <f>IFERROR(__xludf.DUMMYFUNCTION("""COMPUTED_VALUE"""),"Offset")</f>
        <v>Offset</v>
      </c>
      <c r="Q773" s="49" t="str">
        <f>IFERROR(__xludf.DUMMYFUNCTION("""COMPUTED_VALUE"""),"Packaging")</f>
        <v>Packaging</v>
      </c>
      <c r="R773" s="49" t="str">
        <f>IFERROR(__xludf.DUMMYFUNCTION("""COMPUTED_VALUE"""),"Daily Essential")</f>
        <v>Daily Essential</v>
      </c>
    </row>
    <row r="774">
      <c r="A774" s="156" t="str">
        <f>IFERROR(__xludf.DUMMYFUNCTION("""COMPUTED_VALUE"""),"https://drive.google.com/open?id=1ZjtmOWvZ6Vmb55DxtRrRqoNoroz3WEnN&amp;authuser=jay.agg%40gmail.com&amp;usp=drive_fs")</f>
        <v>https://drive.google.com/open?id=1ZjtmOWvZ6Vmb55DxtRrRqoNoroz3WEnN&amp;authuser=jay.agg%40gmail.com&amp;usp=drive_fs</v>
      </c>
      <c r="B774" s="73" t="str">
        <f>IFERROR(__xludf.DUMMYFUNCTION("""COMPUTED_VALUE"""),"Daily Essential")</f>
        <v>Daily Essential</v>
      </c>
      <c r="C774" s="73" t="str">
        <f>IFERROR(__xludf.DUMMYFUNCTION("""COMPUTED_VALUE"""),"Dental Kit")</f>
        <v>Dental Kit</v>
      </c>
      <c r="D774" s="73" t="str">
        <f>IFERROR(__xludf.DUMMYFUNCTION("""COMPUTED_VALUE"""),"37*17*187 mm |  1.5*0.7*7.4 inch")</f>
        <v>37*17*187 mm |  1.5*0.7*7.4 inch</v>
      </c>
      <c r="E774" s="77">
        <f>IFERROR(__xludf.DUMMYFUNCTION("""COMPUTED_VALUE"""),8.0)</f>
        <v>8</v>
      </c>
      <c r="F774" s="77">
        <f>IFERROR(__xludf.DUMMYFUNCTION("""COMPUTED_VALUE"""),1926.0)</f>
        <v>1926</v>
      </c>
      <c r="G774" s="77">
        <f>IFERROR(__xludf.DUMMYFUNCTION("""COMPUTED_VALUE"""),20.0)</f>
        <v>20</v>
      </c>
      <c r="H774" s="77">
        <f>IFERROR(__xludf.DUMMYFUNCTION("""COMPUTED_VALUE"""),21.0)</f>
        <v>21</v>
      </c>
      <c r="I774" s="77">
        <f>IFERROR(__xludf.DUMMYFUNCTION("""COMPUTED_VALUE"""),100.0)</f>
        <v>100</v>
      </c>
      <c r="J774" s="73"/>
      <c r="K774" s="73"/>
      <c r="L774" s="73"/>
      <c r="M774" s="77">
        <f>IFERROR(__xludf.DUMMYFUNCTION("""COMPUTED_VALUE"""),0.1)</f>
        <v>0.1</v>
      </c>
      <c r="N774" s="77">
        <f>IFERROR(__xludf.DUMMYFUNCTION("""COMPUTED_VALUE"""),1.0)</f>
        <v>1</v>
      </c>
      <c r="O774" s="49"/>
      <c r="P774" s="49" t="str">
        <f>IFERROR(__xludf.DUMMYFUNCTION("""COMPUTED_VALUE"""),"Offset")</f>
        <v>Offset</v>
      </c>
      <c r="Q774" s="49" t="str">
        <f>IFERROR(__xludf.DUMMYFUNCTION("""COMPUTED_VALUE"""),"Packaging")</f>
        <v>Packaging</v>
      </c>
      <c r="R774" s="49" t="str">
        <f>IFERROR(__xludf.DUMMYFUNCTION("""COMPUTED_VALUE"""),"Daily Essential")</f>
        <v>Daily Essential</v>
      </c>
    </row>
    <row r="775">
      <c r="A775" s="156" t="str">
        <f>IFERROR(__xludf.DUMMYFUNCTION("""COMPUTED_VALUE"""),"https://drive.google.com/open?id=1hGqTLm1x6_9cyy0Hy1GqrXlb2DhexUYq&amp;authuser=jay.agg%40gmail.com&amp;usp=drive_fs")</f>
        <v>https://drive.google.com/open?id=1hGqTLm1x6_9cyy0Hy1GqrXlb2DhexUYq&amp;authuser=jay.agg%40gmail.com&amp;usp=drive_fs</v>
      </c>
      <c r="B775" s="73" t="str">
        <f>IFERROR(__xludf.DUMMYFUNCTION("""COMPUTED_VALUE"""),"Daily Essential")</f>
        <v>Daily Essential</v>
      </c>
      <c r="C775" s="73" t="str">
        <f>IFERROR(__xludf.DUMMYFUNCTION("""COMPUTED_VALUE"""),"Tissue Box")</f>
        <v>Tissue Box</v>
      </c>
      <c r="D775" s="73" t="str">
        <f>IFERROR(__xludf.DUMMYFUNCTION("""COMPUTED_VALUE"""),"215*114*25 mm | 8.46*4.5*1 inch")</f>
        <v>215*114*25 mm | 8.46*4.5*1 inch</v>
      </c>
      <c r="E775" s="77">
        <f>IFERROR(__xludf.DUMMYFUNCTION("""COMPUTED_VALUE"""),2.0)</f>
        <v>2</v>
      </c>
      <c r="F775" s="77">
        <f>IFERROR(__xludf.DUMMYFUNCTION("""COMPUTED_VALUE"""),1926.0)</f>
        <v>1926</v>
      </c>
      <c r="G775" s="77">
        <f>IFERROR(__xludf.DUMMYFUNCTION("""COMPUTED_VALUE"""),12.0)</f>
        <v>12</v>
      </c>
      <c r="H775" s="77">
        <f>IFERROR(__xludf.DUMMYFUNCTION("""COMPUTED_VALUE"""),23.0)</f>
        <v>23</v>
      </c>
      <c r="I775" s="77">
        <f>IFERROR(__xludf.DUMMYFUNCTION("""COMPUTED_VALUE"""),100.0)</f>
        <v>100</v>
      </c>
      <c r="J775" s="73"/>
      <c r="K775" s="73"/>
      <c r="L775" s="73"/>
      <c r="M775" s="77">
        <f>IFERROR(__xludf.DUMMYFUNCTION("""COMPUTED_VALUE"""),0.1)</f>
        <v>0.1</v>
      </c>
      <c r="N775" s="77">
        <f>IFERROR(__xludf.DUMMYFUNCTION("""COMPUTED_VALUE"""),1.0)</f>
        <v>1</v>
      </c>
      <c r="O775" s="49"/>
      <c r="P775" s="49" t="str">
        <f>IFERROR(__xludf.DUMMYFUNCTION("""COMPUTED_VALUE"""),"Offset")</f>
        <v>Offset</v>
      </c>
      <c r="Q775" s="49" t="str">
        <f>IFERROR(__xludf.DUMMYFUNCTION("""COMPUTED_VALUE"""),"Packaging")</f>
        <v>Packaging</v>
      </c>
      <c r="R775" s="49" t="str">
        <f>IFERROR(__xludf.DUMMYFUNCTION("""COMPUTED_VALUE"""),"Daily Essential")</f>
        <v>Daily Essential</v>
      </c>
    </row>
    <row r="776">
      <c r="A776" s="156" t="str">
        <f>IFERROR(__xludf.DUMMYFUNCTION("""COMPUTED_VALUE"""),"https://drive.google.com/open?id=1kgTcw439lfSfKOe46M2HE_BMypEHNQCh&amp;authuser=jay.agg%40gmail.com&amp;usp=drive_fs")</f>
        <v>https://drive.google.com/open?id=1kgTcw439lfSfKOe46M2HE_BMypEHNQCh&amp;authuser=jay.agg%40gmail.com&amp;usp=drive_fs</v>
      </c>
      <c r="B776" s="73" t="str">
        <f>IFERROR(__xludf.DUMMYFUNCTION("""COMPUTED_VALUE"""),"Daily Essential")</f>
        <v>Daily Essential</v>
      </c>
      <c r="C776" s="73" t="str">
        <f>IFERROR(__xludf.DUMMYFUNCTION("""COMPUTED_VALUE"""),"Dental Kit")</f>
        <v>Dental Kit</v>
      </c>
      <c r="D776" s="73" t="str">
        <f>IFERROR(__xludf.DUMMYFUNCTION("""COMPUTED_VALUE"""),"37*20*180 mm | 1.5*0.8*7 inch")</f>
        <v>37*20*180 mm | 1.5*0.8*7 inch</v>
      </c>
      <c r="E776" s="77">
        <f>IFERROR(__xludf.DUMMYFUNCTION("""COMPUTED_VALUE"""),6.0)</f>
        <v>6</v>
      </c>
      <c r="F776" s="77">
        <f>IFERROR(__xludf.DUMMYFUNCTION("""COMPUTED_VALUE"""),1926.0)</f>
        <v>1926</v>
      </c>
      <c r="G776" s="77">
        <f>IFERROR(__xludf.DUMMYFUNCTION("""COMPUTED_VALUE"""),15.75)</f>
        <v>15.75</v>
      </c>
      <c r="H776" s="77">
        <f>IFERROR(__xludf.DUMMYFUNCTION("""COMPUTED_VALUE"""),20.75)</f>
        <v>20.75</v>
      </c>
      <c r="I776" s="77">
        <f>IFERROR(__xludf.DUMMYFUNCTION("""COMPUTED_VALUE"""),100.0)</f>
        <v>100</v>
      </c>
      <c r="J776" s="73"/>
      <c r="K776" s="73"/>
      <c r="L776" s="73"/>
      <c r="M776" s="77">
        <f>IFERROR(__xludf.DUMMYFUNCTION("""COMPUTED_VALUE"""),0.1)</f>
        <v>0.1</v>
      </c>
      <c r="N776" s="77">
        <f>IFERROR(__xludf.DUMMYFUNCTION("""COMPUTED_VALUE"""),1.0)</f>
        <v>1</v>
      </c>
      <c r="O776" s="49"/>
      <c r="P776" s="49" t="str">
        <f>IFERROR(__xludf.DUMMYFUNCTION("""COMPUTED_VALUE"""),"Offset")</f>
        <v>Offset</v>
      </c>
      <c r="Q776" s="49" t="str">
        <f>IFERROR(__xludf.DUMMYFUNCTION("""COMPUTED_VALUE"""),"Packaging")</f>
        <v>Packaging</v>
      </c>
      <c r="R776" s="49" t="str">
        <f>IFERROR(__xludf.DUMMYFUNCTION("""COMPUTED_VALUE"""),"Daily Essential")</f>
        <v>Daily Essential</v>
      </c>
    </row>
    <row r="777">
      <c r="A777" s="156" t="str">
        <f>IFERROR(__xludf.DUMMYFUNCTION("""COMPUTED_VALUE"""),"https://drive.google.com/open?id=13MOjLAq-kcj8sV3kcoGyYF5cBY_uOfbi&amp;authuser=jay.agg%40gmail.com&amp;usp=drive_fs")</f>
        <v>https://drive.google.com/open?id=13MOjLAq-kcj8sV3kcoGyYF5cBY_uOfbi&amp;authuser=jay.agg%40gmail.com&amp;usp=drive_fs</v>
      </c>
      <c r="B777" s="73" t="str">
        <f>IFERROR(__xludf.DUMMYFUNCTION("""COMPUTED_VALUE"""),"Daily Essential")</f>
        <v>Daily Essential</v>
      </c>
      <c r="C777" s="73" t="str">
        <f>IFERROR(__xludf.DUMMYFUNCTION("""COMPUTED_VALUE"""),"Tooth Brush")</f>
        <v>Tooth Brush</v>
      </c>
      <c r="D777" s="73" t="str">
        <f>IFERROR(__xludf.DUMMYFUNCTION("""COMPUTED_VALUE"""),"85*23*200 mm | 3.3*0.9*7.8 inch")</f>
        <v>85*23*200 mm | 3.3*0.9*7.8 inch</v>
      </c>
      <c r="E777" s="77">
        <f>IFERROR(__xludf.DUMMYFUNCTION("""COMPUTED_VALUE"""),4.0)</f>
        <v>4</v>
      </c>
      <c r="F777" s="77">
        <f>IFERROR(__xludf.DUMMYFUNCTION("""COMPUTED_VALUE"""),1926.0)</f>
        <v>1926</v>
      </c>
      <c r="G777" s="77">
        <f>IFERROR(__xludf.DUMMYFUNCTION("""COMPUTED_VALUE"""),18.0)</f>
        <v>18</v>
      </c>
      <c r="H777" s="77">
        <f>IFERROR(__xludf.DUMMYFUNCTION("""COMPUTED_VALUE"""),23.0)</f>
        <v>23</v>
      </c>
      <c r="I777" s="77">
        <f>IFERROR(__xludf.DUMMYFUNCTION("""COMPUTED_VALUE"""),100.0)</f>
        <v>100</v>
      </c>
      <c r="J777" s="73"/>
      <c r="K777" s="73"/>
      <c r="L777" s="73"/>
      <c r="M777" s="77">
        <f>IFERROR(__xludf.DUMMYFUNCTION("""COMPUTED_VALUE"""),0.1)</f>
        <v>0.1</v>
      </c>
      <c r="N777" s="77">
        <f>IFERROR(__xludf.DUMMYFUNCTION("""COMPUTED_VALUE"""),1.0)</f>
        <v>1</v>
      </c>
      <c r="O777" s="49"/>
      <c r="P777" s="49" t="str">
        <f>IFERROR(__xludf.DUMMYFUNCTION("""COMPUTED_VALUE"""),"Offset")</f>
        <v>Offset</v>
      </c>
      <c r="Q777" s="49" t="str">
        <f>IFERROR(__xludf.DUMMYFUNCTION("""COMPUTED_VALUE"""),"Packaging")</f>
        <v>Packaging</v>
      </c>
      <c r="R777" s="49" t="str">
        <f>IFERROR(__xludf.DUMMYFUNCTION("""COMPUTED_VALUE"""),"Daily Essential")</f>
        <v>Daily Essential</v>
      </c>
    </row>
    <row r="778">
      <c r="A778" s="156" t="str">
        <f>IFERROR(__xludf.DUMMYFUNCTION("""COMPUTED_VALUE"""),"https://drive.google.com/open?id=13m8KPxxg3a6Qx8-4hJ4rxEoEX1mRx98e&amp;authuser=jay.agg%40gmail.com&amp;usp=drive_fs")</f>
        <v>https://drive.google.com/open?id=13m8KPxxg3a6Qx8-4hJ4rxEoEX1mRx98e&amp;authuser=jay.agg%40gmail.com&amp;usp=drive_fs</v>
      </c>
      <c r="B778" s="73" t="str">
        <f>IFERROR(__xludf.DUMMYFUNCTION("""COMPUTED_VALUE"""),"Daily Essential")</f>
        <v>Daily Essential</v>
      </c>
      <c r="C778" s="73" t="str">
        <f>IFERROR(__xludf.DUMMYFUNCTION("""COMPUTED_VALUE"""),"Sanitary Napkins")</f>
        <v>Sanitary Napkins</v>
      </c>
      <c r="D778" s="73" t="str">
        <f>IFERROR(__xludf.DUMMYFUNCTION("""COMPUTED_VALUE"""),"111*86*70 mm | 3.4*2.7*4.8 inch")</f>
        <v>111*86*70 mm | 3.4*2.7*4.8 inch</v>
      </c>
      <c r="E778" s="77">
        <f>IFERROR(__xludf.DUMMYFUNCTION("""COMPUTED_VALUE"""),2.0)</f>
        <v>2</v>
      </c>
      <c r="F778" s="77">
        <f>IFERROR(__xludf.DUMMYFUNCTION("""COMPUTED_VALUE"""),1926.0)</f>
        <v>1926</v>
      </c>
      <c r="G778" s="77">
        <f>IFERROR(__xludf.DUMMYFUNCTION("""COMPUTED_VALUE"""),15.75)</f>
        <v>15.75</v>
      </c>
      <c r="H778" s="77">
        <f>IFERROR(__xludf.DUMMYFUNCTION("""COMPUTED_VALUE"""),20.75)</f>
        <v>20.75</v>
      </c>
      <c r="I778" s="77">
        <f>IFERROR(__xludf.DUMMYFUNCTION("""COMPUTED_VALUE"""),100.0)</f>
        <v>100</v>
      </c>
      <c r="J778" s="73"/>
      <c r="K778" s="73"/>
      <c r="L778" s="73"/>
      <c r="M778" s="77">
        <f>IFERROR(__xludf.DUMMYFUNCTION("""COMPUTED_VALUE"""),0.1)</f>
        <v>0.1</v>
      </c>
      <c r="N778" s="77">
        <f>IFERROR(__xludf.DUMMYFUNCTION("""COMPUTED_VALUE"""),1.0)</f>
        <v>1</v>
      </c>
      <c r="O778" s="49"/>
      <c r="P778" s="49" t="str">
        <f>IFERROR(__xludf.DUMMYFUNCTION("""COMPUTED_VALUE"""),"Offset")</f>
        <v>Offset</v>
      </c>
      <c r="Q778" s="49" t="str">
        <f>IFERROR(__xludf.DUMMYFUNCTION("""COMPUTED_VALUE"""),"Packaging")</f>
        <v>Packaging</v>
      </c>
      <c r="R778" s="49" t="str">
        <f>IFERROR(__xludf.DUMMYFUNCTION("""COMPUTED_VALUE"""),"Daily Essential")</f>
        <v>Daily Essential</v>
      </c>
    </row>
    <row r="779">
      <c r="A779" s="156" t="str">
        <f>IFERROR(__xludf.DUMMYFUNCTION("""COMPUTED_VALUE"""),"https://drive.google.com/open?id=13srIGEBNPvseIGNgQ19ATDRm8iUr6hSN&amp;authuser=jay.agg%40gmail.com&amp;usp=drive_fs")</f>
        <v>https://drive.google.com/open?id=13srIGEBNPvseIGNgQ19ATDRm8iUr6hSN&amp;authuser=jay.agg%40gmail.com&amp;usp=drive_fs</v>
      </c>
      <c r="B779" s="73" t="str">
        <f>IFERROR(__xludf.DUMMYFUNCTION("""COMPUTED_VALUE"""),"Daily Essential")</f>
        <v>Daily Essential</v>
      </c>
      <c r="C779" s="73" t="str">
        <f>IFERROR(__xludf.DUMMYFUNCTION("""COMPUTED_VALUE"""),"Soap Box")</f>
        <v>Soap Box</v>
      </c>
      <c r="D779" s="73" t="str">
        <f>IFERROR(__xludf.DUMMYFUNCTION("""COMPUTED_VALUE"""),"127*76*178 mm | 5*3*7 inch")</f>
        <v>127*76*178 mm | 5*3*7 inch</v>
      </c>
      <c r="E779" s="77">
        <f>IFERROR(__xludf.DUMMYFUNCTION("""COMPUTED_VALUE"""),2.0)</f>
        <v>2</v>
      </c>
      <c r="F779" s="77">
        <f>IFERROR(__xludf.DUMMYFUNCTION("""COMPUTED_VALUE"""),1926.0)</f>
        <v>1926</v>
      </c>
      <c r="G779" s="77">
        <f>IFERROR(__xludf.DUMMYFUNCTION("""COMPUTED_VALUE"""),19.0)</f>
        <v>19</v>
      </c>
      <c r="H779" s="77">
        <f>IFERROR(__xludf.DUMMYFUNCTION("""COMPUTED_VALUE"""),26.0)</f>
        <v>26</v>
      </c>
      <c r="I779" s="77">
        <f>IFERROR(__xludf.DUMMYFUNCTION("""COMPUTED_VALUE"""),100.0)</f>
        <v>100</v>
      </c>
      <c r="J779" s="73"/>
      <c r="K779" s="73"/>
      <c r="L779" s="73"/>
      <c r="M779" s="77">
        <f>IFERROR(__xludf.DUMMYFUNCTION("""COMPUTED_VALUE"""),0.1)</f>
        <v>0.1</v>
      </c>
      <c r="N779" s="77">
        <f>IFERROR(__xludf.DUMMYFUNCTION("""COMPUTED_VALUE"""),1.0)</f>
        <v>1</v>
      </c>
      <c r="O779" s="49"/>
      <c r="P779" s="49" t="str">
        <f>IFERROR(__xludf.DUMMYFUNCTION("""COMPUTED_VALUE"""),"Offset")</f>
        <v>Offset</v>
      </c>
      <c r="Q779" s="49" t="str">
        <f>IFERROR(__xludf.DUMMYFUNCTION("""COMPUTED_VALUE"""),"Packaging")</f>
        <v>Packaging</v>
      </c>
      <c r="R779" s="49" t="str">
        <f>IFERROR(__xludf.DUMMYFUNCTION("""COMPUTED_VALUE"""),"Daily Essential")</f>
        <v>Daily Essential</v>
      </c>
    </row>
    <row r="780">
      <c r="A780" s="156" t="str">
        <f>IFERROR(__xludf.DUMMYFUNCTION("""COMPUTED_VALUE"""),"https://drive.google.com/open?id=16cb8UUs4uQ6xkD_SwjR-7deP7t5mH7A-&amp;authuser=jay.agg%40gmail.com&amp;usp=drive_fs")</f>
        <v>https://drive.google.com/open?id=16cb8UUs4uQ6xkD_SwjR-7deP7t5mH7A-&amp;authuser=jay.agg%40gmail.com&amp;usp=drive_fs</v>
      </c>
      <c r="B780" s="73" t="str">
        <f>IFERROR(__xludf.DUMMYFUNCTION("""COMPUTED_VALUE"""),"Daily Essential")</f>
        <v>Daily Essential</v>
      </c>
      <c r="C780" s="73" t="str">
        <f>IFERROR(__xludf.DUMMYFUNCTION("""COMPUTED_VALUE"""),"Tissue Box")</f>
        <v>Tissue Box</v>
      </c>
      <c r="D780" s="73" t="str">
        <f>IFERROR(__xludf.DUMMYFUNCTION("""COMPUTED_VALUE"""),"195*130*70 mm | 7.6*5.1*2.7 inch Flap")</f>
        <v>195*130*70 mm | 7.6*5.1*2.7 inch Flap</v>
      </c>
      <c r="E780" s="77">
        <f>IFERROR(__xludf.DUMMYFUNCTION("""COMPUTED_VALUE"""),2.0)</f>
        <v>2</v>
      </c>
      <c r="F780" s="77">
        <f>IFERROR(__xludf.DUMMYFUNCTION("""COMPUTED_VALUE"""),2029.0)</f>
        <v>2029</v>
      </c>
      <c r="G780" s="77">
        <f>IFERROR(__xludf.DUMMYFUNCTION("""COMPUTED_VALUE"""),20.75)</f>
        <v>20.75</v>
      </c>
      <c r="H780" s="77">
        <f>IFERROR(__xludf.DUMMYFUNCTION("""COMPUTED_VALUE"""),31.0)</f>
        <v>31</v>
      </c>
      <c r="I780" s="77">
        <f>IFERROR(__xludf.DUMMYFUNCTION("""COMPUTED_VALUE"""),100.0)</f>
        <v>100</v>
      </c>
      <c r="J780" s="73"/>
      <c r="K780" s="73"/>
      <c r="L780" s="73"/>
      <c r="M780" s="77">
        <f>IFERROR(__xludf.DUMMYFUNCTION("""COMPUTED_VALUE"""),0.1)</f>
        <v>0.1</v>
      </c>
      <c r="N780" s="77">
        <f>IFERROR(__xludf.DUMMYFUNCTION("""COMPUTED_VALUE"""),1.0)</f>
        <v>1</v>
      </c>
      <c r="O780" s="49"/>
      <c r="P780" s="49" t="str">
        <f>IFERROR(__xludf.DUMMYFUNCTION("""COMPUTED_VALUE"""),"Offset")</f>
        <v>Offset</v>
      </c>
      <c r="Q780" s="49" t="str">
        <f>IFERROR(__xludf.DUMMYFUNCTION("""COMPUTED_VALUE"""),"Packaging")</f>
        <v>Packaging</v>
      </c>
      <c r="R780" s="49" t="str">
        <f>IFERROR(__xludf.DUMMYFUNCTION("""COMPUTED_VALUE"""),"Daily Essential")</f>
        <v>Daily Essential</v>
      </c>
    </row>
    <row r="781">
      <c r="A781" s="156" t="str">
        <f>IFERROR(__xludf.DUMMYFUNCTION("""COMPUTED_VALUE"""),"https://drive.google.com/open?id=170OI7aKNIHVJEU4kEx4w9jWzgC_VyM0e&amp;authuser=jay.agg%40gmail.com&amp;usp=drive_fs")</f>
        <v>https://drive.google.com/open?id=170OI7aKNIHVJEU4kEx4w9jWzgC_VyM0e&amp;authuser=jay.agg%40gmail.com&amp;usp=drive_fs</v>
      </c>
      <c r="B781" s="73" t="str">
        <f>IFERROR(__xludf.DUMMYFUNCTION("""COMPUTED_VALUE"""),"Daily Essential")</f>
        <v>Daily Essential</v>
      </c>
      <c r="C781" s="73" t="str">
        <f>IFERROR(__xludf.DUMMYFUNCTION("""COMPUTED_VALUE"""),"Soap Box")</f>
        <v>Soap Box</v>
      </c>
      <c r="D781" s="73" t="str">
        <f>IFERROR(__xludf.DUMMYFUNCTION("""COMPUTED_VALUE"""),"64*45*20 mm | 2.5*1.7*0.8 inch")</f>
        <v>64*45*20 mm | 2.5*1.7*0.8 inch</v>
      </c>
      <c r="E781" s="77">
        <f>IFERROR(__xludf.DUMMYFUNCTION("""COMPUTED_VALUE"""),16.0)</f>
        <v>16</v>
      </c>
      <c r="F781" s="77">
        <f>IFERROR(__xludf.DUMMYFUNCTION("""COMPUTED_VALUE"""),1926.0)</f>
        <v>1926</v>
      </c>
      <c r="G781" s="77">
        <f>IFERROR(__xludf.DUMMYFUNCTION("""COMPUTED_VALUE"""),18.0)</f>
        <v>18</v>
      </c>
      <c r="H781" s="77">
        <f>IFERROR(__xludf.DUMMYFUNCTION("""COMPUTED_VALUE"""),23.0)</f>
        <v>23</v>
      </c>
      <c r="I781" s="77">
        <f>IFERROR(__xludf.DUMMYFUNCTION("""COMPUTED_VALUE"""),100.0)</f>
        <v>100</v>
      </c>
      <c r="J781" s="73"/>
      <c r="K781" s="73"/>
      <c r="L781" s="73"/>
      <c r="M781" s="77">
        <f>IFERROR(__xludf.DUMMYFUNCTION("""COMPUTED_VALUE"""),0.1)</f>
        <v>0.1</v>
      </c>
      <c r="N781" s="77">
        <f>IFERROR(__xludf.DUMMYFUNCTION("""COMPUTED_VALUE"""),1.0)</f>
        <v>1</v>
      </c>
      <c r="O781" s="49"/>
      <c r="P781" s="49" t="str">
        <f>IFERROR(__xludf.DUMMYFUNCTION("""COMPUTED_VALUE"""),"Offset")</f>
        <v>Offset</v>
      </c>
      <c r="Q781" s="49" t="str">
        <f>IFERROR(__xludf.DUMMYFUNCTION("""COMPUTED_VALUE"""),"Packaging")</f>
        <v>Packaging</v>
      </c>
      <c r="R781" s="49" t="str">
        <f>IFERROR(__xludf.DUMMYFUNCTION("""COMPUTED_VALUE"""),"Daily Essential")</f>
        <v>Daily Essential</v>
      </c>
    </row>
    <row r="782">
      <c r="A782" s="156" t="str">
        <f>IFERROR(__xludf.DUMMYFUNCTION("""COMPUTED_VALUE"""),"https://drive.google.com/open?id=1730VNFOzP1CIQOD6HBIxftpKXzPT_GlB&amp;authuser=jay.agg%40gmail.com&amp;usp=drive_fs")</f>
        <v>https://drive.google.com/open?id=1730VNFOzP1CIQOD6HBIxftpKXzPT_GlB&amp;authuser=jay.agg%40gmail.com&amp;usp=drive_fs</v>
      </c>
      <c r="B782" s="73" t="str">
        <f>IFERROR(__xludf.DUMMYFUNCTION("""COMPUTED_VALUE"""),"Daily Essential")</f>
        <v>Daily Essential</v>
      </c>
      <c r="C782" s="73" t="str">
        <f>IFERROR(__xludf.DUMMYFUNCTION("""COMPUTED_VALUE"""),"Soap Box")</f>
        <v>Soap Box</v>
      </c>
      <c r="D782" s="73" t="str">
        <f>IFERROR(__xludf.DUMMYFUNCTION("""COMPUTED_VALUE"""),"85*60*25 mm | 3.3*2.3*1 inch")</f>
        <v>85*60*25 mm | 3.3*2.3*1 inch</v>
      </c>
      <c r="E782" s="77">
        <f>IFERROR(__xludf.DUMMYFUNCTION("""COMPUTED_VALUE"""),9.0)</f>
        <v>9</v>
      </c>
      <c r="F782" s="77">
        <f>IFERROR(__xludf.DUMMYFUNCTION("""COMPUTED_VALUE"""),1926.0)</f>
        <v>1926</v>
      </c>
      <c r="G782" s="77">
        <f>IFERROR(__xludf.DUMMYFUNCTION("""COMPUTED_VALUE"""),18.0)</f>
        <v>18</v>
      </c>
      <c r="H782" s="77">
        <f>IFERROR(__xludf.DUMMYFUNCTION("""COMPUTED_VALUE"""),23.0)</f>
        <v>23</v>
      </c>
      <c r="I782" s="77">
        <f>IFERROR(__xludf.DUMMYFUNCTION("""COMPUTED_VALUE"""),100.0)</f>
        <v>100</v>
      </c>
      <c r="J782" s="73"/>
      <c r="K782" s="73"/>
      <c r="L782" s="73"/>
      <c r="M782" s="77">
        <f>IFERROR(__xludf.DUMMYFUNCTION("""COMPUTED_VALUE"""),0.1)</f>
        <v>0.1</v>
      </c>
      <c r="N782" s="77">
        <f>IFERROR(__xludf.DUMMYFUNCTION("""COMPUTED_VALUE"""),1.0)</f>
        <v>1</v>
      </c>
      <c r="O782" s="49"/>
      <c r="P782" s="49" t="str">
        <f>IFERROR(__xludf.DUMMYFUNCTION("""COMPUTED_VALUE"""),"Offset")</f>
        <v>Offset</v>
      </c>
      <c r="Q782" s="49" t="str">
        <f>IFERROR(__xludf.DUMMYFUNCTION("""COMPUTED_VALUE"""),"Packaging")</f>
        <v>Packaging</v>
      </c>
      <c r="R782" s="49" t="str">
        <f>IFERROR(__xludf.DUMMYFUNCTION("""COMPUTED_VALUE"""),"Daily Essential")</f>
        <v>Daily Essential</v>
      </c>
    </row>
    <row r="783">
      <c r="A783" s="156" t="str">
        <f>IFERROR(__xludf.DUMMYFUNCTION("""COMPUTED_VALUE"""),"https://drive.google.com/open?id=17Txl8ISuliNWWh4WWk2vW4U_AgjMj6wu&amp;authuser=jay.agg%40gmail.com&amp;usp=drive_fs")</f>
        <v>https://drive.google.com/open?id=17Txl8ISuliNWWh4WWk2vW4U_AgjMj6wu&amp;authuser=jay.agg%40gmail.com&amp;usp=drive_fs</v>
      </c>
      <c r="B783" s="73" t="str">
        <f>IFERROR(__xludf.DUMMYFUNCTION("""COMPUTED_VALUE"""),"Daily Essential")</f>
        <v>Daily Essential</v>
      </c>
      <c r="C783" s="73" t="str">
        <f>IFERROR(__xludf.DUMMYFUNCTION("""COMPUTED_VALUE"""),"Tissue Box")</f>
        <v>Tissue Box</v>
      </c>
      <c r="D783" s="73" t="str">
        <f>IFERROR(__xludf.DUMMYFUNCTION("""COMPUTED_VALUE"""),"210*84*32 mm | 8.2*3.3*1.2 inch")</f>
        <v>210*84*32 mm | 8.2*3.3*1.2 inch</v>
      </c>
      <c r="E783" s="77">
        <f>IFERROR(__xludf.DUMMYFUNCTION("""COMPUTED_VALUE"""),2.0)</f>
        <v>2</v>
      </c>
      <c r="F783" s="77">
        <f>IFERROR(__xludf.DUMMYFUNCTION("""COMPUTED_VALUE"""),1926.0)</f>
        <v>1926</v>
      </c>
      <c r="G783" s="77">
        <f>IFERROR(__xludf.DUMMYFUNCTION("""COMPUTED_VALUE"""),12.0)</f>
        <v>12</v>
      </c>
      <c r="H783" s="77">
        <f>IFERROR(__xludf.DUMMYFUNCTION("""COMPUTED_VALUE"""),23.0)</f>
        <v>23</v>
      </c>
      <c r="I783" s="77">
        <f>IFERROR(__xludf.DUMMYFUNCTION("""COMPUTED_VALUE"""),100.0)</f>
        <v>100</v>
      </c>
      <c r="J783" s="73"/>
      <c r="K783" s="73"/>
      <c r="L783" s="73"/>
      <c r="M783" s="77">
        <f>IFERROR(__xludf.DUMMYFUNCTION("""COMPUTED_VALUE"""),0.1)</f>
        <v>0.1</v>
      </c>
      <c r="N783" s="77">
        <f>IFERROR(__xludf.DUMMYFUNCTION("""COMPUTED_VALUE"""),1.0)</f>
        <v>1</v>
      </c>
      <c r="O783" s="49"/>
      <c r="P783" s="49" t="str">
        <f>IFERROR(__xludf.DUMMYFUNCTION("""COMPUTED_VALUE"""),"Offset")</f>
        <v>Offset</v>
      </c>
      <c r="Q783" s="49" t="str">
        <f>IFERROR(__xludf.DUMMYFUNCTION("""COMPUTED_VALUE"""),"Packaging")</f>
        <v>Packaging</v>
      </c>
      <c r="R783" s="49" t="str">
        <f>IFERROR(__xludf.DUMMYFUNCTION("""COMPUTED_VALUE"""),"Daily Essential")</f>
        <v>Daily Essential</v>
      </c>
    </row>
    <row r="784">
      <c r="A784" s="156" t="str">
        <f>IFERROR(__xludf.DUMMYFUNCTION("""COMPUTED_VALUE"""),"https://drive.google.com/open?id=17vsR-rOj-txGOfb3L-D1VROkZtvUz2uR&amp;authuser=jay.agg%40gmail.com&amp;usp=drive_fs")</f>
        <v>https://drive.google.com/open?id=17vsR-rOj-txGOfb3L-D1VROkZtvUz2uR&amp;authuser=jay.agg%40gmail.com&amp;usp=drive_fs</v>
      </c>
      <c r="B784" s="73" t="str">
        <f>IFERROR(__xludf.DUMMYFUNCTION("""COMPUTED_VALUE"""),"Daily Essential")</f>
        <v>Daily Essential</v>
      </c>
      <c r="C784" s="73" t="str">
        <f>IFERROR(__xludf.DUMMYFUNCTION("""COMPUTED_VALUE"""),"Tissue Box")</f>
        <v>Tissue Box</v>
      </c>
      <c r="D784" s="73" t="str">
        <f>IFERROR(__xludf.DUMMYFUNCTION("""COMPUTED_VALUE"""),"195*50*100 mm | 7.6*3.9*2 inch")</f>
        <v>195*50*100 mm | 7.6*3.9*2 inch</v>
      </c>
      <c r="E784" s="77">
        <f>IFERROR(__xludf.DUMMYFUNCTION("""COMPUTED_VALUE"""),2.0)</f>
        <v>2</v>
      </c>
      <c r="F784" s="77">
        <f>IFERROR(__xludf.DUMMYFUNCTION("""COMPUTED_VALUE"""),1926.0)</f>
        <v>1926</v>
      </c>
      <c r="G784" s="77">
        <f>IFERROR(__xludf.DUMMYFUNCTION("""COMPUTED_VALUE"""),13.0)</f>
        <v>13</v>
      </c>
      <c r="H784" s="77">
        <f>IFERROR(__xludf.DUMMYFUNCTION("""COMPUTED_VALUE"""),23.0)</f>
        <v>23</v>
      </c>
      <c r="I784" s="77">
        <f>IFERROR(__xludf.DUMMYFUNCTION("""COMPUTED_VALUE"""),100.0)</f>
        <v>100</v>
      </c>
      <c r="J784" s="73"/>
      <c r="K784" s="73"/>
      <c r="L784" s="73"/>
      <c r="M784" s="77">
        <f>IFERROR(__xludf.DUMMYFUNCTION("""COMPUTED_VALUE"""),0.1)</f>
        <v>0.1</v>
      </c>
      <c r="N784" s="77">
        <f>IFERROR(__xludf.DUMMYFUNCTION("""COMPUTED_VALUE"""),1.0)</f>
        <v>1</v>
      </c>
      <c r="O784" s="49"/>
      <c r="P784" s="49" t="str">
        <f>IFERROR(__xludf.DUMMYFUNCTION("""COMPUTED_VALUE"""),"Offset")</f>
        <v>Offset</v>
      </c>
      <c r="Q784" s="49" t="str">
        <f>IFERROR(__xludf.DUMMYFUNCTION("""COMPUTED_VALUE"""),"Packaging")</f>
        <v>Packaging</v>
      </c>
      <c r="R784" s="49" t="str">
        <f>IFERROR(__xludf.DUMMYFUNCTION("""COMPUTED_VALUE"""),"Daily Essential")</f>
        <v>Daily Essential</v>
      </c>
    </row>
    <row r="785">
      <c r="A785" s="156" t="str">
        <f>IFERROR(__xludf.DUMMYFUNCTION("""COMPUTED_VALUE"""),"https://drive.google.com/open?id=181TvOkWJhldySOarFOvhsZfeTFTjgwfS&amp;authuser=jay.agg%40gmail.com&amp;usp=drive_fs")</f>
        <v>https://drive.google.com/open?id=181TvOkWJhldySOarFOvhsZfeTFTjgwfS&amp;authuser=jay.agg%40gmail.com&amp;usp=drive_fs</v>
      </c>
      <c r="B785" s="73" t="str">
        <f>IFERROR(__xludf.DUMMYFUNCTION("""COMPUTED_VALUE"""),"Daily Essential")</f>
        <v>Daily Essential</v>
      </c>
      <c r="C785" s="73" t="str">
        <f>IFERROR(__xludf.DUMMYFUNCTION("""COMPUTED_VALUE"""),"Sanitary Napkins")</f>
        <v>Sanitary Napkins</v>
      </c>
      <c r="D785" s="73" t="str">
        <f>IFERROR(__xludf.DUMMYFUNCTION("""COMPUTED_VALUE"""),"120*58*146 mm | 4.7*2.2*5.7 inch")</f>
        <v>120*58*146 mm | 4.7*2.2*5.7 inch</v>
      </c>
      <c r="E785" s="77">
        <f>IFERROR(__xludf.DUMMYFUNCTION("""COMPUTED_VALUE"""),2.0)</f>
        <v>2</v>
      </c>
      <c r="F785" s="77">
        <f>IFERROR(__xludf.DUMMYFUNCTION("""COMPUTED_VALUE"""),1926.0)</f>
        <v>1926</v>
      </c>
      <c r="G785" s="77">
        <f>IFERROR(__xludf.DUMMYFUNCTION("""COMPUTED_VALUE"""),15.75)</f>
        <v>15.75</v>
      </c>
      <c r="H785" s="77">
        <f>IFERROR(__xludf.DUMMYFUNCTION("""COMPUTED_VALUE"""),20.75)</f>
        <v>20.75</v>
      </c>
      <c r="I785" s="77">
        <f>IFERROR(__xludf.DUMMYFUNCTION("""COMPUTED_VALUE"""),100.0)</f>
        <v>100</v>
      </c>
      <c r="J785" s="73"/>
      <c r="K785" s="73"/>
      <c r="L785" s="73"/>
      <c r="M785" s="77">
        <f>IFERROR(__xludf.DUMMYFUNCTION("""COMPUTED_VALUE"""),0.1)</f>
        <v>0.1</v>
      </c>
      <c r="N785" s="77">
        <f>IFERROR(__xludf.DUMMYFUNCTION("""COMPUTED_VALUE"""),1.0)</f>
        <v>1</v>
      </c>
      <c r="O785" s="49"/>
      <c r="P785" s="49" t="str">
        <f>IFERROR(__xludf.DUMMYFUNCTION("""COMPUTED_VALUE"""),"Offset")</f>
        <v>Offset</v>
      </c>
      <c r="Q785" s="49" t="str">
        <f>IFERROR(__xludf.DUMMYFUNCTION("""COMPUTED_VALUE"""),"Packaging")</f>
        <v>Packaging</v>
      </c>
      <c r="R785" s="49" t="str">
        <f>IFERROR(__xludf.DUMMYFUNCTION("""COMPUTED_VALUE"""),"Daily Essential")</f>
        <v>Daily Essential</v>
      </c>
    </row>
    <row r="786">
      <c r="A786" s="156" t="str">
        <f>IFERROR(__xludf.DUMMYFUNCTION("""COMPUTED_VALUE"""),"https://drive.google.com/open?id=18646EVHU_91h26ScP-VzIwb-xaM9IHV8&amp;authuser=jay.agg%40gmail.com&amp;usp=drive_fs")</f>
        <v>https://drive.google.com/open?id=18646EVHU_91h26ScP-VzIwb-xaM9IHV8&amp;authuser=jay.agg%40gmail.com&amp;usp=drive_fs</v>
      </c>
      <c r="B786" s="73" t="str">
        <f>IFERROR(__xludf.DUMMYFUNCTION("""COMPUTED_VALUE"""),"Daily Essential")</f>
        <v>Daily Essential</v>
      </c>
      <c r="C786" s="73" t="str">
        <f>IFERROR(__xludf.DUMMYFUNCTION("""COMPUTED_VALUE"""),"Sanitary Napkins")</f>
        <v>Sanitary Napkins</v>
      </c>
      <c r="D786" s="73" t="str">
        <f>IFERROR(__xludf.DUMMYFUNCTION("""COMPUTED_VALUE"""),"140*80*110 mm | 5.5*3.1*4.3 inch IL")</f>
        <v>140*80*110 mm | 5.5*3.1*4.3 inch IL</v>
      </c>
      <c r="E786" s="77">
        <f>IFERROR(__xludf.DUMMYFUNCTION("""COMPUTED_VALUE"""),3.0)</f>
        <v>3</v>
      </c>
      <c r="F786" s="77">
        <f>IFERROR(__xludf.DUMMYFUNCTION("""COMPUTED_VALUE"""),2029.0)</f>
        <v>2029</v>
      </c>
      <c r="G786" s="77">
        <f>IFERROR(__xludf.DUMMYFUNCTION("""COMPUTED_VALUE"""),20.0)</f>
        <v>20</v>
      </c>
      <c r="H786" s="77">
        <f>IFERROR(__xludf.DUMMYFUNCTION("""COMPUTED_VALUE"""),28.0)</f>
        <v>28</v>
      </c>
      <c r="I786" s="77">
        <f>IFERROR(__xludf.DUMMYFUNCTION("""COMPUTED_VALUE"""),100.0)</f>
        <v>100</v>
      </c>
      <c r="J786" s="73"/>
      <c r="K786" s="73"/>
      <c r="L786" s="73"/>
      <c r="M786" s="77">
        <f>IFERROR(__xludf.DUMMYFUNCTION("""COMPUTED_VALUE"""),0.1)</f>
        <v>0.1</v>
      </c>
      <c r="N786" s="77">
        <f>IFERROR(__xludf.DUMMYFUNCTION("""COMPUTED_VALUE"""),1.0)</f>
        <v>1</v>
      </c>
      <c r="O786" s="49"/>
      <c r="P786" s="49" t="str">
        <f>IFERROR(__xludf.DUMMYFUNCTION("""COMPUTED_VALUE"""),"Offset")</f>
        <v>Offset</v>
      </c>
      <c r="Q786" s="49" t="str">
        <f>IFERROR(__xludf.DUMMYFUNCTION("""COMPUTED_VALUE"""),"Packaging")</f>
        <v>Packaging</v>
      </c>
      <c r="R786" s="49" t="str">
        <f>IFERROR(__xludf.DUMMYFUNCTION("""COMPUTED_VALUE"""),"Daily Essential")</f>
        <v>Daily Essential</v>
      </c>
    </row>
    <row r="787">
      <c r="A787" s="156" t="str">
        <f>IFERROR(__xludf.DUMMYFUNCTION("""COMPUTED_VALUE"""),"https://drive.google.com/open?id=198WfOVFNtzjIJtr07qGiNxp-yoh5t5vx&amp;authuser=jay.agg%40gmail.com&amp;usp=drive_fs")</f>
        <v>https://drive.google.com/open?id=198WfOVFNtzjIJtr07qGiNxp-yoh5t5vx&amp;authuser=jay.agg%40gmail.com&amp;usp=drive_fs</v>
      </c>
      <c r="B787" s="73" t="str">
        <f>IFERROR(__xludf.DUMMYFUNCTION("""COMPUTED_VALUE"""),"Daily Essential")</f>
        <v>Daily Essential</v>
      </c>
      <c r="C787" s="73" t="str">
        <f>IFERROR(__xludf.DUMMYFUNCTION("""COMPUTED_VALUE"""),"Sanitary Napkins")</f>
        <v>Sanitary Napkins</v>
      </c>
      <c r="D787" s="73" t="str">
        <f>IFERROR(__xludf.DUMMYFUNCTION("""COMPUTED_VALUE"""),"90*65*135 mm | 3.5*2.5*5.3 inch LB")</f>
        <v>90*65*135 mm | 3.5*2.5*5.3 inch LB</v>
      </c>
      <c r="E787" s="77">
        <f>IFERROR(__xludf.DUMMYFUNCTION("""COMPUTED_VALUE"""),4.0)</f>
        <v>4</v>
      </c>
      <c r="F787" s="77">
        <f>IFERROR(__xludf.DUMMYFUNCTION("""COMPUTED_VALUE"""),1926.0)</f>
        <v>1926</v>
      </c>
      <c r="G787" s="77">
        <f>IFERROR(__xludf.DUMMYFUNCTION("""COMPUTED_VALUE"""),19.0)</f>
        <v>19</v>
      </c>
      <c r="H787" s="77">
        <f>IFERROR(__xludf.DUMMYFUNCTION("""COMPUTED_VALUE"""),26.0)</f>
        <v>26</v>
      </c>
      <c r="I787" s="77">
        <f>IFERROR(__xludf.DUMMYFUNCTION("""COMPUTED_VALUE"""),100.0)</f>
        <v>100</v>
      </c>
      <c r="J787" s="73"/>
      <c r="K787" s="73"/>
      <c r="L787" s="73"/>
      <c r="M787" s="77">
        <f>IFERROR(__xludf.DUMMYFUNCTION("""COMPUTED_VALUE"""),0.18)</f>
        <v>0.18</v>
      </c>
      <c r="N787" s="77">
        <f>IFERROR(__xludf.DUMMYFUNCTION("""COMPUTED_VALUE"""),1.0)</f>
        <v>1</v>
      </c>
      <c r="O787" s="49"/>
      <c r="P787" s="49" t="str">
        <f>IFERROR(__xludf.DUMMYFUNCTION("""COMPUTED_VALUE"""),"Offset")</f>
        <v>Offset</v>
      </c>
      <c r="Q787" s="49" t="str">
        <f>IFERROR(__xludf.DUMMYFUNCTION("""COMPUTED_VALUE"""),"Packaging")</f>
        <v>Packaging</v>
      </c>
      <c r="R787" s="49" t="str">
        <f>IFERROR(__xludf.DUMMYFUNCTION("""COMPUTED_VALUE"""),"Daily Essential")</f>
        <v>Daily Essential</v>
      </c>
    </row>
    <row r="788">
      <c r="A788" s="156" t="str">
        <f>IFERROR(__xludf.DUMMYFUNCTION("""COMPUTED_VALUE"""),"https://drive.google.com/open?id=19CQa5id6EaGJBJTGA_WpmpmZQdfXtDvF&amp;authuser=jay.agg%40gmail.com&amp;usp=drive_fs")</f>
        <v>https://drive.google.com/open?id=19CQa5id6EaGJBJTGA_WpmpmZQdfXtDvF&amp;authuser=jay.agg%40gmail.com&amp;usp=drive_fs</v>
      </c>
      <c r="B788" s="73" t="str">
        <f>IFERROR(__xludf.DUMMYFUNCTION("""COMPUTED_VALUE"""),"Daily Essential")</f>
        <v>Daily Essential</v>
      </c>
      <c r="C788" s="73" t="str">
        <f>IFERROR(__xludf.DUMMYFUNCTION("""COMPUTED_VALUE"""),"Sanitary Napkins")</f>
        <v>Sanitary Napkins</v>
      </c>
      <c r="D788" s="73" t="str">
        <f>IFERROR(__xludf.DUMMYFUNCTION("""COMPUTED_VALUE"""),"90*43*135 mm | 3.5*1.7*5.3 inch LB")</f>
        <v>90*43*135 mm | 3.5*1.7*5.3 inch LB</v>
      </c>
      <c r="E788" s="77">
        <f>IFERROR(__xludf.DUMMYFUNCTION("""COMPUTED_VALUE"""),4.0)</f>
        <v>4</v>
      </c>
      <c r="F788" s="77">
        <f>IFERROR(__xludf.DUMMYFUNCTION("""COMPUTED_VALUE"""),1926.0)</f>
        <v>1926</v>
      </c>
      <c r="G788" s="77">
        <f>IFERROR(__xludf.DUMMYFUNCTION("""COMPUTED_VALUE"""),18.0)</f>
        <v>18</v>
      </c>
      <c r="H788" s="77">
        <f>IFERROR(__xludf.DUMMYFUNCTION("""COMPUTED_VALUE"""),23.0)</f>
        <v>23</v>
      </c>
      <c r="I788" s="77">
        <f>IFERROR(__xludf.DUMMYFUNCTION("""COMPUTED_VALUE"""),100.0)</f>
        <v>100</v>
      </c>
      <c r="J788" s="73"/>
      <c r="K788" s="73"/>
      <c r="L788" s="73"/>
      <c r="M788" s="77">
        <f>IFERROR(__xludf.DUMMYFUNCTION("""COMPUTED_VALUE"""),0.18)</f>
        <v>0.18</v>
      </c>
      <c r="N788" s="77">
        <f>IFERROR(__xludf.DUMMYFUNCTION("""COMPUTED_VALUE"""),1.0)</f>
        <v>1</v>
      </c>
      <c r="O788" s="49"/>
      <c r="P788" s="49" t="str">
        <f>IFERROR(__xludf.DUMMYFUNCTION("""COMPUTED_VALUE"""),"Offset")</f>
        <v>Offset</v>
      </c>
      <c r="Q788" s="49" t="str">
        <f>IFERROR(__xludf.DUMMYFUNCTION("""COMPUTED_VALUE"""),"Packaging")</f>
        <v>Packaging</v>
      </c>
      <c r="R788" s="49" t="str">
        <f>IFERROR(__xludf.DUMMYFUNCTION("""COMPUTED_VALUE"""),"Daily Essential")</f>
        <v>Daily Essential</v>
      </c>
    </row>
    <row r="789">
      <c r="A789" s="156" t="str">
        <f>IFERROR(__xludf.DUMMYFUNCTION("""COMPUTED_VALUE"""),"https://drive.google.com/open?id=19dyZbjLZFJb4o6J_LS30-aQxq2m8HFfG&amp;authuser=jay.agg%40gmail.com&amp;usp=drive_fs")</f>
        <v>https://drive.google.com/open?id=19dyZbjLZFJb4o6J_LS30-aQxq2m8HFfG&amp;authuser=jay.agg%40gmail.com&amp;usp=drive_fs</v>
      </c>
      <c r="B789" s="73" t="str">
        <f>IFERROR(__xludf.DUMMYFUNCTION("""COMPUTED_VALUE"""),"Daily Essential")</f>
        <v>Daily Essential</v>
      </c>
      <c r="C789" s="73" t="str">
        <f>IFERROR(__xludf.DUMMYFUNCTION("""COMPUTED_VALUE"""),"Tissue Box")</f>
        <v>Tissue Box</v>
      </c>
      <c r="D789" s="73" t="str">
        <f>IFERROR(__xludf.DUMMYFUNCTION("""COMPUTED_VALUE"""),"115*64*215 mm | 4.5*2.5*8.5 inch")</f>
        <v>115*64*215 mm | 4.5*2.5*8.5 inch</v>
      </c>
      <c r="E789" s="77">
        <f>IFERROR(__xludf.DUMMYFUNCTION("""COMPUTED_VALUE"""),2.0)</f>
        <v>2</v>
      </c>
      <c r="F789" s="77">
        <f>IFERROR(__xludf.DUMMYFUNCTION("""COMPUTED_VALUE"""),1926.0)</f>
        <v>1926</v>
      </c>
      <c r="G789" s="77">
        <f>IFERROR(__xludf.DUMMYFUNCTION("""COMPUTED_VALUE"""),15.0)</f>
        <v>15</v>
      </c>
      <c r="H789" s="77">
        <f>IFERROR(__xludf.DUMMYFUNCTION("""COMPUTED_VALUE"""),25.0)</f>
        <v>25</v>
      </c>
      <c r="I789" s="77">
        <f>IFERROR(__xludf.DUMMYFUNCTION("""COMPUTED_VALUE"""),100.0)</f>
        <v>100</v>
      </c>
      <c r="J789" s="73"/>
      <c r="K789" s="73"/>
      <c r="L789" s="73"/>
      <c r="M789" s="77">
        <f>IFERROR(__xludf.DUMMYFUNCTION("""COMPUTED_VALUE"""),0.1)</f>
        <v>0.1</v>
      </c>
      <c r="N789" s="77">
        <f>IFERROR(__xludf.DUMMYFUNCTION("""COMPUTED_VALUE"""),1.0)</f>
        <v>1</v>
      </c>
      <c r="O789" s="49"/>
      <c r="P789" s="49" t="str">
        <f>IFERROR(__xludf.DUMMYFUNCTION("""COMPUTED_VALUE"""),"Offset")</f>
        <v>Offset</v>
      </c>
      <c r="Q789" s="49" t="str">
        <f>IFERROR(__xludf.DUMMYFUNCTION("""COMPUTED_VALUE"""),"Packaging")</f>
        <v>Packaging</v>
      </c>
      <c r="R789" s="49" t="str">
        <f>IFERROR(__xludf.DUMMYFUNCTION("""COMPUTED_VALUE"""),"Daily Essential")</f>
        <v>Daily Essential</v>
      </c>
    </row>
    <row r="790">
      <c r="A790" s="156" t="str">
        <f>IFERROR(__xludf.DUMMYFUNCTION("""COMPUTED_VALUE"""),"https://drive.google.com/open?id=1Abvzw9iYsOv8km0cOHQUuMlkZijfyf6l&amp;authuser=jay.agg%40gmail.com&amp;usp=drive_fs")</f>
        <v>https://drive.google.com/open?id=1Abvzw9iYsOv8km0cOHQUuMlkZijfyf6l&amp;authuser=jay.agg%40gmail.com&amp;usp=drive_fs</v>
      </c>
      <c r="B790" s="73" t="str">
        <f>IFERROR(__xludf.DUMMYFUNCTION("""COMPUTED_VALUE"""),"Daily Essential")</f>
        <v>Daily Essential</v>
      </c>
      <c r="C790" s="73" t="str">
        <f>IFERROR(__xludf.DUMMYFUNCTION("""COMPUTED_VALUE"""),"Soap Box")</f>
        <v>Soap Box</v>
      </c>
      <c r="D790" s="73" t="str">
        <f>IFERROR(__xludf.DUMMYFUNCTION("""COMPUTED_VALUE"""),"64*25*89 mm | 2.5*1*3.5 inch")</f>
        <v>64*25*89 mm | 2.5*1*3.5 inch</v>
      </c>
      <c r="E790" s="77">
        <f>IFERROR(__xludf.DUMMYFUNCTION("""COMPUTED_VALUE"""),9.0)</f>
        <v>9</v>
      </c>
      <c r="F790" s="77">
        <f>IFERROR(__xludf.DUMMYFUNCTION("""COMPUTED_VALUE"""),1926.0)</f>
        <v>1926</v>
      </c>
      <c r="G790" s="77">
        <f>IFERROR(__xludf.DUMMYFUNCTION("""COMPUTED_VALUE"""),18.0)</f>
        <v>18</v>
      </c>
      <c r="H790" s="77">
        <f>IFERROR(__xludf.DUMMYFUNCTION("""COMPUTED_VALUE"""),23.0)</f>
        <v>23</v>
      </c>
      <c r="I790" s="77">
        <f>IFERROR(__xludf.DUMMYFUNCTION("""COMPUTED_VALUE"""),100.0)</f>
        <v>100</v>
      </c>
      <c r="J790" s="73"/>
      <c r="K790" s="73"/>
      <c r="L790" s="73"/>
      <c r="M790" s="77">
        <f>IFERROR(__xludf.DUMMYFUNCTION("""COMPUTED_VALUE"""),0.1)</f>
        <v>0.1</v>
      </c>
      <c r="N790" s="77">
        <f>IFERROR(__xludf.DUMMYFUNCTION("""COMPUTED_VALUE"""),1.0)</f>
        <v>1</v>
      </c>
      <c r="O790" s="49"/>
      <c r="P790" s="49" t="str">
        <f>IFERROR(__xludf.DUMMYFUNCTION("""COMPUTED_VALUE"""),"Offset")</f>
        <v>Offset</v>
      </c>
      <c r="Q790" s="49" t="str">
        <f>IFERROR(__xludf.DUMMYFUNCTION("""COMPUTED_VALUE"""),"Packaging")</f>
        <v>Packaging</v>
      </c>
      <c r="R790" s="49" t="str">
        <f>IFERROR(__xludf.DUMMYFUNCTION("""COMPUTED_VALUE"""),"Daily Essential")</f>
        <v>Daily Essential</v>
      </c>
    </row>
    <row r="791">
      <c r="A791" s="156" t="str">
        <f>IFERROR(__xludf.DUMMYFUNCTION("""COMPUTED_VALUE"""),"https://drive.google.com/open?id=1BGkETsSjBKS8ZO3GT2_ynhPfhiLDMnw0&amp;authuser=jay.agg%40gmail.com&amp;usp=drive_fs")</f>
        <v>https://drive.google.com/open?id=1BGkETsSjBKS8ZO3GT2_ynhPfhiLDMnw0&amp;authuser=jay.agg%40gmail.com&amp;usp=drive_fs</v>
      </c>
      <c r="B791" s="73" t="str">
        <f>IFERROR(__xludf.DUMMYFUNCTION("""COMPUTED_VALUE"""),"Daily Essential")</f>
        <v>Daily Essential</v>
      </c>
      <c r="C791" s="73" t="str">
        <f>IFERROR(__xludf.DUMMYFUNCTION("""COMPUTED_VALUE"""),"Toilet Kit")</f>
        <v>Toilet Kit</v>
      </c>
      <c r="D791" s="73" t="str">
        <f>IFERROR(__xludf.DUMMYFUNCTION("""COMPUTED_VALUE"""),"85*30*210 mm | 3.3*1.2*8.3 inch")</f>
        <v>85*30*210 mm | 3.3*1.2*8.3 inch</v>
      </c>
      <c r="E791" s="77">
        <f>IFERROR(__xludf.DUMMYFUNCTION("""COMPUTED_VALUE"""),4.0)</f>
        <v>4</v>
      </c>
      <c r="F791" s="77">
        <f>IFERROR(__xludf.DUMMYFUNCTION("""COMPUTED_VALUE"""),1926.0)</f>
        <v>1926</v>
      </c>
      <c r="G791" s="77">
        <f>IFERROR(__xludf.DUMMYFUNCTION("""COMPUTED_VALUE"""),19.5)</f>
        <v>19.5</v>
      </c>
      <c r="H791" s="77">
        <f>IFERROR(__xludf.DUMMYFUNCTION("""COMPUTED_VALUE"""),23.0)</f>
        <v>23</v>
      </c>
      <c r="I791" s="77">
        <f>IFERROR(__xludf.DUMMYFUNCTION("""COMPUTED_VALUE"""),100.0)</f>
        <v>100</v>
      </c>
      <c r="J791" s="73"/>
      <c r="K791" s="73"/>
      <c r="L791" s="73"/>
      <c r="M791" s="77">
        <f>IFERROR(__xludf.DUMMYFUNCTION("""COMPUTED_VALUE"""),0.1)</f>
        <v>0.1</v>
      </c>
      <c r="N791" s="77">
        <f>IFERROR(__xludf.DUMMYFUNCTION("""COMPUTED_VALUE"""),1.0)</f>
        <v>1</v>
      </c>
      <c r="O791" s="49"/>
      <c r="P791" s="49" t="str">
        <f>IFERROR(__xludf.DUMMYFUNCTION("""COMPUTED_VALUE"""),"Offset")</f>
        <v>Offset</v>
      </c>
      <c r="Q791" s="49" t="str">
        <f>IFERROR(__xludf.DUMMYFUNCTION("""COMPUTED_VALUE"""),"Packaging")</f>
        <v>Packaging</v>
      </c>
      <c r="R791" s="49" t="str">
        <f>IFERROR(__xludf.DUMMYFUNCTION("""COMPUTED_VALUE"""),"Daily Essential")</f>
        <v>Daily Essential</v>
      </c>
    </row>
    <row r="792">
      <c r="A792" s="156" t="str">
        <f>IFERROR(__xludf.DUMMYFUNCTION("""COMPUTED_VALUE"""),"https://drive.google.com/open?id=1BT8_qAaxegNKthJOzmUiOMU2F0daBVKe&amp;authuser=jay.agg%40gmail.com&amp;usp=drive_fs")</f>
        <v>https://drive.google.com/open?id=1BT8_qAaxegNKthJOzmUiOMU2F0daBVKe&amp;authuser=jay.agg%40gmail.com&amp;usp=drive_fs</v>
      </c>
      <c r="B792" s="73" t="str">
        <f>IFERROR(__xludf.DUMMYFUNCTION("""COMPUTED_VALUE"""),"Daily Essential")</f>
        <v>Daily Essential</v>
      </c>
      <c r="C792" s="73" t="str">
        <f>IFERROR(__xludf.DUMMYFUNCTION("""COMPUTED_VALUE"""),"Soap Box")</f>
        <v>Soap Box</v>
      </c>
      <c r="D792" s="73" t="str">
        <f>IFERROR(__xludf.DUMMYFUNCTION("""COMPUTED_VALUE"""),"45*35*285 mm | 1.7*1.4*11.2 inch")</f>
        <v>45*35*285 mm | 1.7*1.4*11.2 inch</v>
      </c>
      <c r="E792" s="77">
        <f>IFERROR(__xludf.DUMMYFUNCTION("""COMPUTED_VALUE"""),3.0)</f>
        <v>3</v>
      </c>
      <c r="F792" s="77">
        <f>IFERROR(__xludf.DUMMYFUNCTION("""COMPUTED_VALUE"""),1926.0)</f>
        <v>1926</v>
      </c>
      <c r="G792" s="77">
        <f>IFERROR(__xludf.DUMMYFUNCTION("""COMPUTED_VALUE"""),15.75)</f>
        <v>15.75</v>
      </c>
      <c r="H792" s="77">
        <f>IFERROR(__xludf.DUMMYFUNCTION("""COMPUTED_VALUE"""),20.75)</f>
        <v>20.75</v>
      </c>
      <c r="I792" s="77">
        <f>IFERROR(__xludf.DUMMYFUNCTION("""COMPUTED_VALUE"""),100.0)</f>
        <v>100</v>
      </c>
      <c r="J792" s="73"/>
      <c r="K792" s="73"/>
      <c r="L792" s="73"/>
      <c r="M792" s="77">
        <f>IFERROR(__xludf.DUMMYFUNCTION("""COMPUTED_VALUE"""),0.1)</f>
        <v>0.1</v>
      </c>
      <c r="N792" s="77">
        <f>IFERROR(__xludf.DUMMYFUNCTION("""COMPUTED_VALUE"""),1.0)</f>
        <v>1</v>
      </c>
      <c r="O792" s="49"/>
      <c r="P792" s="49" t="str">
        <f>IFERROR(__xludf.DUMMYFUNCTION("""COMPUTED_VALUE"""),"Offset")</f>
        <v>Offset</v>
      </c>
      <c r="Q792" s="49" t="str">
        <f>IFERROR(__xludf.DUMMYFUNCTION("""COMPUTED_VALUE"""),"Packaging")</f>
        <v>Packaging</v>
      </c>
      <c r="R792" s="49" t="str">
        <f>IFERROR(__xludf.DUMMYFUNCTION("""COMPUTED_VALUE"""),"Daily Essential")</f>
        <v>Daily Essential</v>
      </c>
    </row>
    <row r="793">
      <c r="A793" s="156" t="str">
        <f>IFERROR(__xludf.DUMMYFUNCTION("""COMPUTED_VALUE"""),"https://drive.google.com/open?id=1BkNAFaTbkOEwF0GVU8xBWRO3T4OPLmjW&amp;authuser=jay.agg%40gmail.com&amp;usp=drive_fs")</f>
        <v>https://drive.google.com/open?id=1BkNAFaTbkOEwF0GVU8xBWRO3T4OPLmjW&amp;authuser=jay.agg%40gmail.com&amp;usp=drive_fs</v>
      </c>
      <c r="B793" s="73" t="str">
        <f>IFERROR(__xludf.DUMMYFUNCTION("""COMPUTED_VALUE"""),"Daily Essential")</f>
        <v>Daily Essential</v>
      </c>
      <c r="C793" s="73" t="str">
        <f>IFERROR(__xludf.DUMMYFUNCTION("""COMPUTED_VALUE"""),"Misc")</f>
        <v>Misc</v>
      </c>
      <c r="D793" s="73" t="str">
        <f>IFERROR(__xludf.DUMMYFUNCTION("""COMPUTED_VALUE"""),"150*72*9 mm | 2.8*.4*5.9 inch")</f>
        <v>150*72*9 mm | 2.8*.4*5.9 inch</v>
      </c>
      <c r="E793" s="77">
        <f>IFERROR(__xludf.DUMMYFUNCTION("""COMPUTED_VALUE"""),6.0)</f>
        <v>6</v>
      </c>
      <c r="F793" s="77">
        <f>IFERROR(__xludf.DUMMYFUNCTION("""COMPUTED_VALUE"""),1926.0)</f>
        <v>1926</v>
      </c>
      <c r="G793" s="77">
        <f>IFERROR(__xludf.DUMMYFUNCTION("""COMPUTED_VALUE"""),15.75)</f>
        <v>15.75</v>
      </c>
      <c r="H793" s="77">
        <f>IFERROR(__xludf.DUMMYFUNCTION("""COMPUTED_VALUE"""),20.75)</f>
        <v>20.75</v>
      </c>
      <c r="I793" s="77">
        <f>IFERROR(__xludf.DUMMYFUNCTION("""COMPUTED_VALUE"""),100.0)</f>
        <v>100</v>
      </c>
      <c r="J793" s="73"/>
      <c r="K793" s="73"/>
      <c r="L793" s="73"/>
      <c r="M793" s="77">
        <f>IFERROR(__xludf.DUMMYFUNCTION("""COMPUTED_VALUE"""),0.1)</f>
        <v>0.1</v>
      </c>
      <c r="N793" s="77">
        <f>IFERROR(__xludf.DUMMYFUNCTION("""COMPUTED_VALUE"""),1.0)</f>
        <v>1</v>
      </c>
      <c r="O793" s="49"/>
      <c r="P793" s="49" t="str">
        <f>IFERROR(__xludf.DUMMYFUNCTION("""COMPUTED_VALUE"""),"Offset")</f>
        <v>Offset</v>
      </c>
      <c r="Q793" s="49" t="str">
        <f>IFERROR(__xludf.DUMMYFUNCTION("""COMPUTED_VALUE"""),"Packaging")</f>
        <v>Packaging</v>
      </c>
      <c r="R793" s="49" t="str">
        <f>IFERROR(__xludf.DUMMYFUNCTION("""COMPUTED_VALUE"""),"Daily Essential")</f>
        <v>Daily Essential</v>
      </c>
    </row>
    <row r="794">
      <c r="A794" s="156" t="str">
        <f>IFERROR(__xludf.DUMMYFUNCTION("""COMPUTED_VALUE"""),"https://drive.google.com/open?id=1CFZ0HCxQw3eJAWz4N3lVBEEraUZGnam6&amp;authuser=jay.agg%40gmail.com&amp;usp=drive_fs")</f>
        <v>https://drive.google.com/open?id=1CFZ0HCxQw3eJAWz4N3lVBEEraUZGnam6&amp;authuser=jay.agg%40gmail.com&amp;usp=drive_fs</v>
      </c>
      <c r="B794" s="73" t="str">
        <f>IFERROR(__xludf.DUMMYFUNCTION("""COMPUTED_VALUE"""),"Daily Essential")</f>
        <v>Daily Essential</v>
      </c>
      <c r="C794" s="73" t="str">
        <f>IFERROR(__xludf.DUMMYFUNCTION("""COMPUTED_VALUE"""),"Soap Box")</f>
        <v>Soap Box</v>
      </c>
      <c r="D794" s="73" t="str">
        <f>IFERROR(__xludf.DUMMYFUNCTION("""COMPUTED_VALUE"""),"58*30*85 mm | 2.3*1.2*3.5 inch")</f>
        <v>58*30*85 mm | 2.3*1.2*3.5 inch</v>
      </c>
      <c r="E794" s="77">
        <f>IFERROR(__xludf.DUMMYFUNCTION("""COMPUTED_VALUE"""),9.0)</f>
        <v>9</v>
      </c>
      <c r="F794" s="77">
        <f>IFERROR(__xludf.DUMMYFUNCTION("""COMPUTED_VALUE"""),1926.0)</f>
        <v>1926</v>
      </c>
      <c r="G794" s="77">
        <f>IFERROR(__xludf.DUMMYFUNCTION("""COMPUTED_VALUE"""),18.0)</f>
        <v>18</v>
      </c>
      <c r="H794" s="77">
        <f>IFERROR(__xludf.DUMMYFUNCTION("""COMPUTED_VALUE"""),23.0)</f>
        <v>23</v>
      </c>
      <c r="I794" s="77">
        <f>IFERROR(__xludf.DUMMYFUNCTION("""COMPUTED_VALUE"""),100.0)</f>
        <v>100</v>
      </c>
      <c r="J794" s="73"/>
      <c r="K794" s="73"/>
      <c r="L794" s="73"/>
      <c r="M794" s="77">
        <f>IFERROR(__xludf.DUMMYFUNCTION("""COMPUTED_VALUE"""),0.1)</f>
        <v>0.1</v>
      </c>
      <c r="N794" s="77">
        <f>IFERROR(__xludf.DUMMYFUNCTION("""COMPUTED_VALUE"""),1.0)</f>
        <v>1</v>
      </c>
      <c r="O794" s="49"/>
      <c r="P794" s="49" t="str">
        <f>IFERROR(__xludf.DUMMYFUNCTION("""COMPUTED_VALUE"""),"Offset")</f>
        <v>Offset</v>
      </c>
      <c r="Q794" s="49" t="str">
        <f>IFERROR(__xludf.DUMMYFUNCTION("""COMPUTED_VALUE"""),"Packaging")</f>
        <v>Packaging</v>
      </c>
      <c r="R794" s="49" t="str">
        <f>IFERROR(__xludf.DUMMYFUNCTION("""COMPUTED_VALUE"""),"Daily Essential")</f>
        <v>Daily Essential</v>
      </c>
    </row>
    <row r="795">
      <c r="A795" s="156" t="str">
        <f>IFERROR(__xludf.DUMMYFUNCTION("""COMPUTED_VALUE"""),"https://drive.google.com/open?id=1CPFfh8O3nx9xPUS2yD8enugBCIJqRrOl&amp;authuser=jay.agg%40gmail.com&amp;usp=drive_fs")</f>
        <v>https://drive.google.com/open?id=1CPFfh8O3nx9xPUS2yD8enugBCIJqRrOl&amp;authuser=jay.agg%40gmail.com&amp;usp=drive_fs</v>
      </c>
      <c r="B795" s="73" t="str">
        <f>IFERROR(__xludf.DUMMYFUNCTION("""COMPUTED_VALUE"""),"Daily Essential")</f>
        <v>Daily Essential</v>
      </c>
      <c r="C795" s="73" t="str">
        <f>IFERROR(__xludf.DUMMYFUNCTION("""COMPUTED_VALUE"""),"Acne Patch")</f>
        <v>Acne Patch</v>
      </c>
      <c r="D795" s="73" t="str">
        <f>IFERROR(__xludf.DUMMYFUNCTION("""COMPUTED_VALUE"""),"90*9*120 mm | 3.5*0.4*4.7 inch")</f>
        <v>90*9*120 mm | 3.5*0.4*4.7 inch</v>
      </c>
      <c r="E795" s="77">
        <f>IFERROR(__xludf.DUMMYFUNCTION("""COMPUTED_VALUE"""),8.0)</f>
        <v>8</v>
      </c>
      <c r="F795" s="77">
        <f>IFERROR(__xludf.DUMMYFUNCTION("""COMPUTED_VALUE"""),1926.0)</f>
        <v>1926</v>
      </c>
      <c r="G795" s="77">
        <f>IFERROR(__xludf.DUMMYFUNCTION("""COMPUTED_VALUE"""),18.0)</f>
        <v>18</v>
      </c>
      <c r="H795" s="77">
        <f>IFERROR(__xludf.DUMMYFUNCTION("""COMPUTED_VALUE"""),23.0)</f>
        <v>23</v>
      </c>
      <c r="I795" s="77">
        <f>IFERROR(__xludf.DUMMYFUNCTION("""COMPUTED_VALUE"""),100.0)</f>
        <v>100</v>
      </c>
      <c r="J795" s="73"/>
      <c r="K795" s="73"/>
      <c r="L795" s="73"/>
      <c r="M795" s="77">
        <f>IFERROR(__xludf.DUMMYFUNCTION("""COMPUTED_VALUE"""),0.1)</f>
        <v>0.1</v>
      </c>
      <c r="N795" s="77">
        <f>IFERROR(__xludf.DUMMYFUNCTION("""COMPUTED_VALUE"""),1.0)</f>
        <v>1</v>
      </c>
      <c r="O795" s="49"/>
      <c r="P795" s="49" t="str">
        <f>IFERROR(__xludf.DUMMYFUNCTION("""COMPUTED_VALUE"""),"Offset")</f>
        <v>Offset</v>
      </c>
      <c r="Q795" s="49" t="str">
        <f>IFERROR(__xludf.DUMMYFUNCTION("""COMPUTED_VALUE"""),"Packaging")</f>
        <v>Packaging</v>
      </c>
      <c r="R795" s="49" t="str">
        <f>IFERROR(__xludf.DUMMYFUNCTION("""COMPUTED_VALUE"""),"Daily Essential")</f>
        <v>Daily Essential</v>
      </c>
    </row>
    <row r="796">
      <c r="A796" s="156" t="str">
        <f>IFERROR(__xludf.DUMMYFUNCTION("""COMPUTED_VALUE"""),"https://drive.google.com/open?id=1CdQoHrpEEc5ndjdtRcMiwc47csgvDTBP&amp;authuser=jay.agg%40gmail.com&amp;usp=drive_fs")</f>
        <v>https://drive.google.com/open?id=1CdQoHrpEEc5ndjdtRcMiwc47csgvDTBP&amp;authuser=jay.agg%40gmail.com&amp;usp=drive_fs</v>
      </c>
      <c r="B796" s="73" t="str">
        <f>IFERROR(__xludf.DUMMYFUNCTION("""COMPUTED_VALUE"""),"Daily Essential")</f>
        <v>Daily Essential</v>
      </c>
      <c r="C796" s="73" t="str">
        <f>IFERROR(__xludf.DUMMYFUNCTION("""COMPUTED_VALUE"""),"Tissue Box")</f>
        <v>Tissue Box</v>
      </c>
      <c r="D796" s="73" t="str">
        <f>IFERROR(__xludf.DUMMYFUNCTION("""COMPUTED_VALUE"""),"203*127*63.5 mm | 8*5*2.5 inch")</f>
        <v>203*127*63.5 mm | 8*5*2.5 inch</v>
      </c>
      <c r="E796" s="77">
        <f>IFERROR(__xludf.DUMMYFUNCTION("""COMPUTED_VALUE"""),2.0)</f>
        <v>2</v>
      </c>
      <c r="F796" s="77">
        <f>IFERROR(__xludf.DUMMYFUNCTION("""COMPUTED_VALUE"""),1926.0)</f>
        <v>1926</v>
      </c>
      <c r="G796" s="77">
        <f>IFERROR(__xludf.DUMMYFUNCTION("""COMPUTED_VALUE"""),19.0)</f>
        <v>19</v>
      </c>
      <c r="H796" s="77">
        <f>IFERROR(__xludf.DUMMYFUNCTION("""COMPUTED_VALUE"""),26.0)</f>
        <v>26</v>
      </c>
      <c r="I796" s="77">
        <f>IFERROR(__xludf.DUMMYFUNCTION("""COMPUTED_VALUE"""),100.0)</f>
        <v>100</v>
      </c>
      <c r="J796" s="73"/>
      <c r="K796" s="73"/>
      <c r="L796" s="73"/>
      <c r="M796" s="77">
        <f>IFERROR(__xludf.DUMMYFUNCTION("""COMPUTED_VALUE"""),0.1)</f>
        <v>0.1</v>
      </c>
      <c r="N796" s="77">
        <f>IFERROR(__xludf.DUMMYFUNCTION("""COMPUTED_VALUE"""),1.0)</f>
        <v>1</v>
      </c>
      <c r="O796" s="49"/>
      <c r="P796" s="49" t="str">
        <f>IFERROR(__xludf.DUMMYFUNCTION("""COMPUTED_VALUE"""),"Offset")</f>
        <v>Offset</v>
      </c>
      <c r="Q796" s="49" t="str">
        <f>IFERROR(__xludf.DUMMYFUNCTION("""COMPUTED_VALUE"""),"Packaging")</f>
        <v>Packaging</v>
      </c>
      <c r="R796" s="49" t="str">
        <f>IFERROR(__xludf.DUMMYFUNCTION("""COMPUTED_VALUE"""),"Daily Essential")</f>
        <v>Daily Essential</v>
      </c>
    </row>
    <row r="797">
      <c r="A797" s="156" t="str">
        <f>IFERROR(__xludf.DUMMYFUNCTION("""COMPUTED_VALUE"""),"https://drive.google.com/open?id=1CgN0iMgcKqzwr61hEHwUFz6H-OF28W3c&amp;authuser=jay.agg%40gmail.com&amp;usp=drive_fs")</f>
        <v>https://drive.google.com/open?id=1CgN0iMgcKqzwr61hEHwUFz6H-OF28W3c&amp;authuser=jay.agg%40gmail.com&amp;usp=drive_fs</v>
      </c>
      <c r="B797" s="73" t="str">
        <f>IFERROR(__xludf.DUMMYFUNCTION("""COMPUTED_VALUE"""),"Daily Essential")</f>
        <v>Daily Essential</v>
      </c>
      <c r="C797" s="73" t="str">
        <f>IFERROR(__xludf.DUMMYFUNCTION("""COMPUTED_VALUE"""),"Sanitary Napkins")</f>
        <v>Sanitary Napkins</v>
      </c>
      <c r="D797" s="73" t="str">
        <f>IFERROR(__xludf.DUMMYFUNCTION("""COMPUTED_VALUE"""),"105*140 mm | 4.13*5.5 inch")</f>
        <v>105*140 mm | 4.13*5.5 inch</v>
      </c>
      <c r="E797" s="77">
        <f>IFERROR(__xludf.DUMMYFUNCTION("""COMPUTED_VALUE"""),5.0)</f>
        <v>5</v>
      </c>
      <c r="F797" s="77">
        <f>IFERROR(__xludf.DUMMYFUNCTION("""COMPUTED_VALUE"""),1926.0)</f>
        <v>1926</v>
      </c>
      <c r="G797" s="77">
        <f>IFERROR(__xludf.DUMMYFUNCTION("""COMPUTED_VALUE"""),18.0)</f>
        <v>18</v>
      </c>
      <c r="H797" s="77">
        <f>IFERROR(__xludf.DUMMYFUNCTION("""COMPUTED_VALUE"""),25.0)</f>
        <v>25</v>
      </c>
      <c r="I797" s="77">
        <f>IFERROR(__xludf.DUMMYFUNCTION("""COMPUTED_VALUE"""),100.0)</f>
        <v>100</v>
      </c>
      <c r="J797" s="73"/>
      <c r="K797" s="73"/>
      <c r="L797" s="73"/>
      <c r="M797" s="77">
        <f>IFERROR(__xludf.DUMMYFUNCTION("""COMPUTED_VALUE"""),0.22)</f>
        <v>0.22</v>
      </c>
      <c r="N797" s="77">
        <f>IFERROR(__xludf.DUMMYFUNCTION("""COMPUTED_VALUE"""),1.0)</f>
        <v>1</v>
      </c>
      <c r="O797" s="49"/>
      <c r="P797" s="49" t="str">
        <f>IFERROR(__xludf.DUMMYFUNCTION("""COMPUTED_VALUE"""),"Offset")</f>
        <v>Offset</v>
      </c>
      <c r="Q797" s="49" t="str">
        <f>IFERROR(__xludf.DUMMYFUNCTION("""COMPUTED_VALUE"""),"Packaging")</f>
        <v>Packaging</v>
      </c>
      <c r="R797" s="49" t="str">
        <f>IFERROR(__xludf.DUMMYFUNCTION("""COMPUTED_VALUE"""),"Daily Essential")</f>
        <v>Daily Essential</v>
      </c>
    </row>
    <row r="798">
      <c r="A798" s="156" t="str">
        <f>IFERROR(__xludf.DUMMYFUNCTION("""COMPUTED_VALUE"""),"https://drive.google.com/open?id=10iZZZnfCekFsgWTAk-wGRIjtTATjgcmB&amp;authuser=jay.agg%40gmail.com&amp;usp=drive_fs")</f>
        <v>https://drive.google.com/open?id=10iZZZnfCekFsgWTAk-wGRIjtTATjgcmB&amp;authuser=jay.agg%40gmail.com&amp;usp=drive_fs</v>
      </c>
      <c r="B798" s="73" t="str">
        <f>IFERROR(__xludf.DUMMYFUNCTION("""COMPUTED_VALUE"""),"Daily Essential")</f>
        <v>Daily Essential</v>
      </c>
      <c r="C798" s="73" t="str">
        <f>IFERROR(__xludf.DUMMYFUNCTION("""COMPUTED_VALUE"""),"Essential Oil")</f>
        <v>Essential Oil</v>
      </c>
      <c r="D798" s="73" t="str">
        <f>IFERROR(__xludf.DUMMYFUNCTION("""COMPUTED_VALUE"""),"30*30*80 mm | 1.2*1.2*3.15 inch Flap")</f>
        <v>30*30*80 mm | 1.2*1.2*3.15 inch Flap</v>
      </c>
      <c r="E798" s="77">
        <f>IFERROR(__xludf.DUMMYFUNCTION("""COMPUTED_VALUE"""),12.0)</f>
        <v>12</v>
      </c>
      <c r="F798" s="77">
        <f>IFERROR(__xludf.DUMMYFUNCTION("""COMPUTED_VALUE"""),1926.0)</f>
        <v>1926</v>
      </c>
      <c r="G798" s="77">
        <f>IFERROR(__xludf.DUMMYFUNCTION("""COMPUTED_VALUE"""),18.0)</f>
        <v>18</v>
      </c>
      <c r="H798" s="77">
        <f>IFERROR(__xludf.DUMMYFUNCTION("""COMPUTED_VALUE"""),23.0)</f>
        <v>23</v>
      </c>
      <c r="I798" s="77">
        <f>IFERROR(__xludf.DUMMYFUNCTION("""COMPUTED_VALUE"""),100.0)</f>
        <v>100</v>
      </c>
      <c r="J798" s="73"/>
      <c r="K798" s="73"/>
      <c r="L798" s="73"/>
      <c r="M798" s="77">
        <f>IFERROR(__xludf.DUMMYFUNCTION("""COMPUTED_VALUE"""),0.1)</f>
        <v>0.1</v>
      </c>
      <c r="N798" s="77">
        <f>IFERROR(__xludf.DUMMYFUNCTION("""COMPUTED_VALUE"""),1.0)</f>
        <v>1</v>
      </c>
      <c r="O798" s="49"/>
      <c r="P798" s="49" t="str">
        <f>IFERROR(__xludf.DUMMYFUNCTION("""COMPUTED_VALUE"""),"Offset")</f>
        <v>Offset</v>
      </c>
      <c r="Q798" s="49" t="str">
        <f>IFERROR(__xludf.DUMMYFUNCTION("""COMPUTED_VALUE"""),"Packaging")</f>
        <v>Packaging</v>
      </c>
      <c r="R798" s="49" t="str">
        <f>IFERROR(__xludf.DUMMYFUNCTION("""COMPUTED_VALUE"""),"Daily Essential")</f>
        <v>Daily Essential</v>
      </c>
    </row>
    <row r="799">
      <c r="A799" s="156" t="str">
        <f>IFERROR(__xludf.DUMMYFUNCTION("""COMPUTED_VALUE"""),"https://drive.google.com/open?id=10zYD9Ux1kF8-ZDrNJMCHGllEWF2cpvQZ&amp;authuser=jay.agg%40gmail.com&amp;usp=drive_fs")</f>
        <v>https://drive.google.com/open?id=10zYD9Ux1kF8-ZDrNJMCHGllEWF2cpvQZ&amp;authuser=jay.agg%40gmail.com&amp;usp=drive_fs</v>
      </c>
      <c r="B799" s="73" t="str">
        <f>IFERROR(__xludf.DUMMYFUNCTION("""COMPUTED_VALUE"""),"Daily Essential")</f>
        <v>Daily Essential</v>
      </c>
      <c r="C799" s="73" t="str">
        <f>IFERROR(__xludf.DUMMYFUNCTION("""COMPUTED_VALUE"""),"Sanitary Napkins")</f>
        <v>Sanitary Napkins</v>
      </c>
      <c r="D799" s="73" t="str">
        <f>IFERROR(__xludf.DUMMYFUNCTION("""COMPUTED_VALUE"""),"170*85*105 mm | 6.7*3.3*4.1 inch IL")</f>
        <v>170*85*105 mm | 6.7*3.3*4.1 inch IL</v>
      </c>
      <c r="E799" s="77">
        <f>IFERROR(__xludf.DUMMYFUNCTION("""COMPUTED_VALUE"""),2.0)</f>
        <v>2</v>
      </c>
      <c r="F799" s="77">
        <f>IFERROR(__xludf.DUMMYFUNCTION("""COMPUTED_VALUE"""),1926.0)</f>
        <v>1926</v>
      </c>
      <c r="G799" s="77">
        <f>IFERROR(__xludf.DUMMYFUNCTION("""COMPUTED_VALUE"""),18.0)</f>
        <v>18</v>
      </c>
      <c r="H799" s="77">
        <f>IFERROR(__xludf.DUMMYFUNCTION("""COMPUTED_VALUE"""),23.0)</f>
        <v>23</v>
      </c>
      <c r="I799" s="77">
        <f>IFERROR(__xludf.DUMMYFUNCTION("""COMPUTED_VALUE"""),100.0)</f>
        <v>100</v>
      </c>
      <c r="J799" s="73"/>
      <c r="K799" s="73"/>
      <c r="L799" s="73"/>
      <c r="M799" s="77">
        <f>IFERROR(__xludf.DUMMYFUNCTION("""COMPUTED_VALUE"""),0.1)</f>
        <v>0.1</v>
      </c>
      <c r="N799" s="77">
        <f>IFERROR(__xludf.DUMMYFUNCTION("""COMPUTED_VALUE"""),1.0)</f>
        <v>1</v>
      </c>
      <c r="O799" s="49"/>
      <c r="P799" s="49" t="str">
        <f>IFERROR(__xludf.DUMMYFUNCTION("""COMPUTED_VALUE"""),"Offset")</f>
        <v>Offset</v>
      </c>
      <c r="Q799" s="49" t="str">
        <f>IFERROR(__xludf.DUMMYFUNCTION("""COMPUTED_VALUE"""),"Packaging")</f>
        <v>Packaging</v>
      </c>
      <c r="R799" s="49" t="str">
        <f>IFERROR(__xludf.DUMMYFUNCTION("""COMPUTED_VALUE"""),"Daily Essential")</f>
        <v>Daily Essential</v>
      </c>
    </row>
    <row r="800">
      <c r="A800" s="156" t="str">
        <f>IFERROR(__xludf.DUMMYFUNCTION("""COMPUTED_VALUE"""),"https://drive.google.com/open?id=10zdgN_JuWqzuaAd4XR-2EYR3wsGzaZpS&amp;authuser=jay.agg%40gmail.com&amp;usp=drive_fs")</f>
        <v>https://drive.google.com/open?id=10zdgN_JuWqzuaAd4XR-2EYR3wsGzaZpS&amp;authuser=jay.agg%40gmail.com&amp;usp=drive_fs</v>
      </c>
      <c r="B800" s="73" t="str">
        <f>IFERROR(__xludf.DUMMYFUNCTION("""COMPUTED_VALUE"""),"Daily Essential")</f>
        <v>Daily Essential</v>
      </c>
      <c r="C800" s="73" t="str">
        <f>IFERROR(__xludf.DUMMYFUNCTION("""COMPUTED_VALUE"""),"Sanitary Napkins")</f>
        <v>Sanitary Napkins</v>
      </c>
      <c r="D800" s="73" t="str">
        <f>IFERROR(__xludf.DUMMYFUNCTION("""COMPUTED_VALUE"""),"130*85*105 mm | 5.1*3.3*4.1 inch IL")</f>
        <v>130*85*105 mm | 5.1*3.3*4.1 inch IL</v>
      </c>
      <c r="E800" s="77">
        <f>IFERROR(__xludf.DUMMYFUNCTION("""COMPUTED_VALUE"""),2.0)</f>
        <v>2</v>
      </c>
      <c r="F800" s="77">
        <f>IFERROR(__xludf.DUMMYFUNCTION("""COMPUTED_VALUE"""),1926.0)</f>
        <v>1926</v>
      </c>
      <c r="G800" s="77">
        <f>IFERROR(__xludf.DUMMYFUNCTION("""COMPUTED_VALUE"""),18.0)</f>
        <v>18</v>
      </c>
      <c r="H800" s="77">
        <f>IFERROR(__xludf.DUMMYFUNCTION("""COMPUTED_VALUE"""),21.0)</f>
        <v>21</v>
      </c>
      <c r="I800" s="77">
        <f>IFERROR(__xludf.DUMMYFUNCTION("""COMPUTED_VALUE"""),100.0)</f>
        <v>100</v>
      </c>
      <c r="J800" s="73"/>
      <c r="K800" s="73"/>
      <c r="L800" s="73"/>
      <c r="M800" s="77">
        <f>IFERROR(__xludf.DUMMYFUNCTION("""COMPUTED_VALUE"""),0.1)</f>
        <v>0.1</v>
      </c>
      <c r="N800" s="77">
        <f>IFERROR(__xludf.DUMMYFUNCTION("""COMPUTED_VALUE"""),1.0)</f>
        <v>1</v>
      </c>
      <c r="O800" s="49"/>
      <c r="P800" s="49" t="str">
        <f>IFERROR(__xludf.DUMMYFUNCTION("""COMPUTED_VALUE"""),"Offset")</f>
        <v>Offset</v>
      </c>
      <c r="Q800" s="49" t="str">
        <f>IFERROR(__xludf.DUMMYFUNCTION("""COMPUTED_VALUE"""),"Packaging")</f>
        <v>Packaging</v>
      </c>
      <c r="R800" s="49" t="str">
        <f>IFERROR(__xludf.DUMMYFUNCTION("""COMPUTED_VALUE"""),"Daily Essential")</f>
        <v>Daily Essential</v>
      </c>
    </row>
    <row r="801">
      <c r="A801" s="156" t="str">
        <f>IFERROR(__xludf.DUMMYFUNCTION("""COMPUTED_VALUE"""),"https://drive.google.com/open?id=11-XpG0kIJinOKf5aLXTX1A6UcZxBGNsY&amp;authuser=jay.agg%40gmail.com&amp;usp=drive_fs")</f>
        <v>https://drive.google.com/open?id=11-XpG0kIJinOKf5aLXTX1A6UcZxBGNsY&amp;authuser=jay.agg%40gmail.com&amp;usp=drive_fs</v>
      </c>
      <c r="B801" s="73" t="str">
        <f>IFERROR(__xludf.DUMMYFUNCTION("""COMPUTED_VALUE"""),"Daily Essential")</f>
        <v>Daily Essential</v>
      </c>
      <c r="C801" s="73" t="str">
        <f>IFERROR(__xludf.DUMMYFUNCTION("""COMPUTED_VALUE"""),"Sanitary Napkins")</f>
        <v>Sanitary Napkins</v>
      </c>
      <c r="D801" s="73" t="str">
        <f>IFERROR(__xludf.DUMMYFUNCTION("""COMPUTED_VALUE"""),"85*50*105 mm | 3.3*2*4.1 inch IL")</f>
        <v>85*50*105 mm | 3.3*2*4.1 inch IL</v>
      </c>
      <c r="E801" s="77">
        <f>IFERROR(__xludf.DUMMYFUNCTION("""COMPUTED_VALUE"""),4.0)</f>
        <v>4</v>
      </c>
      <c r="F801" s="77">
        <f>IFERROR(__xludf.DUMMYFUNCTION("""COMPUTED_VALUE"""),1926.0)</f>
        <v>1926</v>
      </c>
      <c r="G801" s="77">
        <f>IFERROR(__xludf.DUMMYFUNCTION("""COMPUTED_VALUE"""),15.0)</f>
        <v>15</v>
      </c>
      <c r="H801" s="77">
        <f>IFERROR(__xludf.DUMMYFUNCTION("""COMPUTED_VALUE"""),25.0)</f>
        <v>25</v>
      </c>
      <c r="I801" s="77">
        <f>IFERROR(__xludf.DUMMYFUNCTION("""COMPUTED_VALUE"""),100.0)</f>
        <v>100</v>
      </c>
      <c r="J801" s="73"/>
      <c r="K801" s="73"/>
      <c r="L801" s="73"/>
      <c r="M801" s="77">
        <f>IFERROR(__xludf.DUMMYFUNCTION("""COMPUTED_VALUE"""),0.1)</f>
        <v>0.1</v>
      </c>
      <c r="N801" s="77">
        <f>IFERROR(__xludf.DUMMYFUNCTION("""COMPUTED_VALUE"""),1.0)</f>
        <v>1</v>
      </c>
      <c r="O801" s="49"/>
      <c r="P801" s="49" t="str">
        <f>IFERROR(__xludf.DUMMYFUNCTION("""COMPUTED_VALUE"""),"Offset")</f>
        <v>Offset</v>
      </c>
      <c r="Q801" s="49" t="str">
        <f>IFERROR(__xludf.DUMMYFUNCTION("""COMPUTED_VALUE"""),"Packaging")</f>
        <v>Packaging</v>
      </c>
      <c r="R801" s="49" t="str">
        <f>IFERROR(__xludf.DUMMYFUNCTION("""COMPUTED_VALUE"""),"Daily Essential")</f>
        <v>Daily Essential</v>
      </c>
    </row>
    <row r="802">
      <c r="A802" s="156" t="str">
        <f>IFERROR(__xludf.DUMMYFUNCTION("""COMPUTED_VALUE"""),"https://drive.google.com/open?id=11-bIJE5rxWHq-HVZRU-VJxrSSTsm9xh8&amp;authuser=jay.agg%40gmail.com&amp;usp=drive_fs")</f>
        <v>https://drive.google.com/open?id=11-bIJE5rxWHq-HVZRU-VJxrSSTsm9xh8&amp;authuser=jay.agg%40gmail.com&amp;usp=drive_fs</v>
      </c>
      <c r="B802" s="73" t="str">
        <f>IFERROR(__xludf.DUMMYFUNCTION("""COMPUTED_VALUE"""),"Daily Essential")</f>
        <v>Daily Essential</v>
      </c>
      <c r="C802" s="73" t="str">
        <f>IFERROR(__xludf.DUMMYFUNCTION("""COMPUTED_VALUE"""),"Sanitary Napkins")</f>
        <v>Sanitary Napkins</v>
      </c>
      <c r="D802" s="73" t="str">
        <f>IFERROR(__xludf.DUMMYFUNCTION("""COMPUTED_VALUE"""),"85*20*105 mm | 3.3*0.8*4.1 inch Flap")</f>
        <v>85*20*105 mm | 3.3*0.8*4.1 inch Flap</v>
      </c>
      <c r="E802" s="77">
        <f>IFERROR(__xludf.DUMMYFUNCTION("""COMPUTED_VALUE"""),8.0)</f>
        <v>8</v>
      </c>
      <c r="F802" s="77">
        <f>IFERROR(__xludf.DUMMYFUNCTION("""COMPUTED_VALUE"""),1926.0)</f>
        <v>1926</v>
      </c>
      <c r="G802" s="77">
        <f>IFERROR(__xludf.DUMMYFUNCTION("""COMPUTED_VALUE"""),18.0)</f>
        <v>18</v>
      </c>
      <c r="H802" s="77">
        <f>IFERROR(__xludf.DUMMYFUNCTION("""COMPUTED_VALUE"""),25.0)</f>
        <v>25</v>
      </c>
      <c r="I802" s="77">
        <f>IFERROR(__xludf.DUMMYFUNCTION("""COMPUTED_VALUE"""),100.0)</f>
        <v>100</v>
      </c>
      <c r="J802" s="73"/>
      <c r="K802" s="73"/>
      <c r="L802" s="73"/>
      <c r="M802" s="77">
        <f>IFERROR(__xludf.DUMMYFUNCTION("""COMPUTED_VALUE"""),0.1)</f>
        <v>0.1</v>
      </c>
      <c r="N802" s="77">
        <f>IFERROR(__xludf.DUMMYFUNCTION("""COMPUTED_VALUE"""),1.0)</f>
        <v>1</v>
      </c>
      <c r="O802" s="49"/>
      <c r="P802" s="49" t="str">
        <f>IFERROR(__xludf.DUMMYFUNCTION("""COMPUTED_VALUE"""),"Offset")</f>
        <v>Offset</v>
      </c>
      <c r="Q802" s="49" t="str">
        <f>IFERROR(__xludf.DUMMYFUNCTION("""COMPUTED_VALUE"""),"Packaging")</f>
        <v>Packaging</v>
      </c>
      <c r="R802" s="49" t="str">
        <f>IFERROR(__xludf.DUMMYFUNCTION("""COMPUTED_VALUE"""),"Daily Essential")</f>
        <v>Daily Essential</v>
      </c>
    </row>
    <row r="803">
      <c r="A803" s="156" t="str">
        <f>IFERROR(__xludf.DUMMYFUNCTION("""COMPUTED_VALUE"""),"https://drive.google.com/open?id=1R69PogUzlw66VxbBzrKDvHUtkqR9J9o-&amp;authuser=jay.agg%40gmail.com&amp;usp=drive_fs")</f>
        <v>https://drive.google.com/open?id=1R69PogUzlw66VxbBzrKDvHUtkqR9J9o-&amp;authuser=jay.agg%40gmail.com&amp;usp=drive_fs</v>
      </c>
      <c r="B803" s="73" t="str">
        <f>IFERROR(__xludf.DUMMYFUNCTION("""COMPUTED_VALUE"""),"Daily Essential")</f>
        <v>Daily Essential</v>
      </c>
      <c r="C803" s="73" t="str">
        <f>IFERROR(__xludf.DUMMYFUNCTION("""COMPUTED_VALUE"""),"Tissue Box")</f>
        <v>Tissue Box</v>
      </c>
      <c r="D803" s="73" t="str">
        <f>IFERROR(__xludf.DUMMYFUNCTION("""COMPUTED_VALUE"""),"152*95*152 mm | 6*3.5*6 inch")</f>
        <v>152*95*152 mm | 6*3.5*6 inch</v>
      </c>
      <c r="E803" s="77">
        <f>IFERROR(__xludf.DUMMYFUNCTION("""COMPUTED_VALUE"""),1.0)</f>
        <v>1</v>
      </c>
      <c r="F803" s="77">
        <f>IFERROR(__xludf.DUMMYFUNCTION("""COMPUTED_VALUE"""),1926.0)</f>
        <v>1926</v>
      </c>
      <c r="G803" s="77">
        <f>IFERROR(__xludf.DUMMYFUNCTION("""COMPUTED_VALUE"""),15.75)</f>
        <v>15.75</v>
      </c>
      <c r="H803" s="77">
        <f>IFERROR(__xludf.DUMMYFUNCTION("""COMPUTED_VALUE"""),20.75)</f>
        <v>20.75</v>
      </c>
      <c r="I803" s="77">
        <f>IFERROR(__xludf.DUMMYFUNCTION("""COMPUTED_VALUE"""),100.0)</f>
        <v>100</v>
      </c>
      <c r="J803" s="73"/>
      <c r="K803" s="73"/>
      <c r="L803" s="73"/>
      <c r="M803" s="77">
        <f>IFERROR(__xludf.DUMMYFUNCTION("""COMPUTED_VALUE"""),0.1)</f>
        <v>0.1</v>
      </c>
      <c r="N803" s="77">
        <f>IFERROR(__xludf.DUMMYFUNCTION("""COMPUTED_VALUE"""),1.0)</f>
        <v>1</v>
      </c>
      <c r="O803" s="49"/>
      <c r="P803" s="49" t="str">
        <f>IFERROR(__xludf.DUMMYFUNCTION("""COMPUTED_VALUE"""),"Offset")</f>
        <v>Offset</v>
      </c>
      <c r="Q803" s="49" t="str">
        <f>IFERROR(__xludf.DUMMYFUNCTION("""COMPUTED_VALUE"""),"Packaging")</f>
        <v>Packaging</v>
      </c>
      <c r="R803" s="49" t="str">
        <f>IFERROR(__xludf.DUMMYFUNCTION("""COMPUTED_VALUE"""),"Daily Essential")</f>
        <v>Daily Essential</v>
      </c>
    </row>
    <row r="804">
      <c r="A804" s="156" t="str">
        <f>IFERROR(__xludf.DUMMYFUNCTION("""COMPUTED_VALUE"""),"https://drive.google.com/open?id=1R6LqymeMIykRp2OoxhSuUfVNXwRU3IuE&amp;authuser=jay.agg%40gmail.com&amp;usp=drive_fs")</f>
        <v>https://drive.google.com/open?id=1R6LqymeMIykRp2OoxhSuUfVNXwRU3IuE&amp;authuser=jay.agg%40gmail.com&amp;usp=drive_fs</v>
      </c>
      <c r="B804" s="73" t="str">
        <f>IFERROR(__xludf.DUMMYFUNCTION("""COMPUTED_VALUE"""),"Daily Essential")</f>
        <v>Daily Essential</v>
      </c>
      <c r="C804" s="73" t="str">
        <f>IFERROR(__xludf.DUMMYFUNCTION("""COMPUTED_VALUE"""),"Tissue Box")</f>
        <v>Tissue Box</v>
      </c>
      <c r="D804" s="73" t="str">
        <f>IFERROR(__xludf.DUMMYFUNCTION("""COMPUTED_VALUE"""),"220*120*90 mm | 8.6*4.7*3.5 inch")</f>
        <v>220*120*90 mm | 8.6*4.7*3.5 inch</v>
      </c>
      <c r="E804" s="77">
        <f>IFERROR(__xludf.DUMMYFUNCTION("""COMPUTED_VALUE"""),1.0)</f>
        <v>1</v>
      </c>
      <c r="F804" s="77">
        <f>IFERROR(__xludf.DUMMYFUNCTION("""COMPUTED_VALUE"""),1926.0)</f>
        <v>1926</v>
      </c>
      <c r="G804" s="77">
        <f>IFERROR(__xludf.DUMMYFUNCTION("""COMPUTED_VALUE"""),15.75)</f>
        <v>15.75</v>
      </c>
      <c r="H804" s="77">
        <f>IFERROR(__xludf.DUMMYFUNCTION("""COMPUTED_VALUE"""),20.75)</f>
        <v>20.75</v>
      </c>
      <c r="I804" s="77">
        <f>IFERROR(__xludf.DUMMYFUNCTION("""COMPUTED_VALUE"""),100.0)</f>
        <v>100</v>
      </c>
      <c r="J804" s="73"/>
      <c r="K804" s="73"/>
      <c r="L804" s="73"/>
      <c r="M804" s="77">
        <f>IFERROR(__xludf.DUMMYFUNCTION("""COMPUTED_VALUE"""),0.1)</f>
        <v>0.1</v>
      </c>
      <c r="N804" s="77">
        <f>IFERROR(__xludf.DUMMYFUNCTION("""COMPUTED_VALUE"""),1.0)</f>
        <v>1</v>
      </c>
      <c r="O804" s="49"/>
      <c r="P804" s="49" t="str">
        <f>IFERROR(__xludf.DUMMYFUNCTION("""COMPUTED_VALUE"""),"Offset")</f>
        <v>Offset</v>
      </c>
      <c r="Q804" s="49" t="str">
        <f>IFERROR(__xludf.DUMMYFUNCTION("""COMPUTED_VALUE"""),"Packaging")</f>
        <v>Packaging</v>
      </c>
      <c r="R804" s="49" t="str">
        <f>IFERROR(__xludf.DUMMYFUNCTION("""COMPUTED_VALUE"""),"Daily Essential")</f>
        <v>Daily Essential</v>
      </c>
    </row>
    <row r="805">
      <c r="A805" s="156" t="str">
        <f>IFERROR(__xludf.DUMMYFUNCTION("""COMPUTED_VALUE"""),"https://drive.google.com/open?id=12-_YZd3E24uJ5mUOSzuZ-iUGkHS_K58N&amp;authuser=jay.agg%40gmail.com&amp;usp=drive_fs")</f>
        <v>https://drive.google.com/open?id=12-_YZd3E24uJ5mUOSzuZ-iUGkHS_K58N&amp;authuser=jay.agg%40gmail.com&amp;usp=drive_fs</v>
      </c>
      <c r="B805" s="73" t="str">
        <f>IFERROR(__xludf.DUMMYFUNCTION("""COMPUTED_VALUE"""),"Daily Essential")</f>
        <v>Daily Essential</v>
      </c>
      <c r="C805" s="73" t="str">
        <f>IFERROR(__xludf.DUMMYFUNCTION("""COMPUTED_VALUE"""),"Tissue Box")</f>
        <v>Tissue Box</v>
      </c>
      <c r="D805" s="73" t="str">
        <f>IFERROR(__xludf.DUMMYFUNCTION("""COMPUTED_VALUE"""),"200*122*15 mm | 7.8*4.8*0.6 inch")</f>
        <v>200*122*15 mm | 7.8*4.8*0.6 inch</v>
      </c>
      <c r="E805" s="77">
        <f>IFERROR(__xludf.DUMMYFUNCTION("""COMPUTED_VALUE"""),4.0)</f>
        <v>4</v>
      </c>
      <c r="F805" s="77">
        <f>IFERROR(__xludf.DUMMYFUNCTION("""COMPUTED_VALUE"""),1926.0)</f>
        <v>1926</v>
      </c>
      <c r="G805" s="77">
        <f>IFERROR(__xludf.DUMMYFUNCTION("""COMPUTED_VALUE"""),19.5)</f>
        <v>19.5</v>
      </c>
      <c r="H805" s="77">
        <f>IFERROR(__xludf.DUMMYFUNCTION("""COMPUTED_VALUE"""),23.0)</f>
        <v>23</v>
      </c>
      <c r="I805" s="77">
        <f>IFERROR(__xludf.DUMMYFUNCTION("""COMPUTED_VALUE"""),100.0)</f>
        <v>100</v>
      </c>
      <c r="J805" s="73"/>
      <c r="K805" s="73"/>
      <c r="L805" s="73"/>
      <c r="M805" s="77">
        <f>IFERROR(__xludf.DUMMYFUNCTION("""COMPUTED_VALUE"""),0.1)</f>
        <v>0.1</v>
      </c>
      <c r="N805" s="77">
        <f>IFERROR(__xludf.DUMMYFUNCTION("""COMPUTED_VALUE"""),1.0)</f>
        <v>1</v>
      </c>
      <c r="O805" s="49"/>
      <c r="P805" s="49" t="str">
        <f>IFERROR(__xludf.DUMMYFUNCTION("""COMPUTED_VALUE"""),"Offset")</f>
        <v>Offset</v>
      </c>
      <c r="Q805" s="49" t="str">
        <f>IFERROR(__xludf.DUMMYFUNCTION("""COMPUTED_VALUE"""),"Packaging")</f>
        <v>Packaging</v>
      </c>
      <c r="R805" s="49" t="str">
        <f>IFERROR(__xludf.DUMMYFUNCTION("""COMPUTED_VALUE"""),"Daily Essential")</f>
        <v>Daily Essential</v>
      </c>
    </row>
    <row r="806">
      <c r="A806" s="156" t="str">
        <f>IFERROR(__xludf.DUMMYFUNCTION("""COMPUTED_VALUE"""),"https://drive.google.com/open?id=1-cWSHOa86BsXIsyjHBT_9-e9IbFFHrcc&amp;authuser=jay.agg%40gmail.com&amp;usp=drive_fs")</f>
        <v>https://drive.google.com/open?id=1-cWSHOa86BsXIsyjHBT_9-e9IbFFHrcc&amp;authuser=jay.agg%40gmail.com&amp;usp=drive_fs</v>
      </c>
      <c r="B806" s="73" t="str">
        <f>IFERROR(__xludf.DUMMYFUNCTION("""COMPUTED_VALUE"""),"Daily Essential")</f>
        <v>Daily Essential</v>
      </c>
      <c r="C806" s="73" t="str">
        <f>IFERROR(__xludf.DUMMYFUNCTION("""COMPUTED_VALUE"""),"Perfume")</f>
        <v>Perfume</v>
      </c>
      <c r="D806" s="73" t="str">
        <f>IFERROR(__xludf.DUMMYFUNCTION("""COMPUTED_VALUE"""),"30*20*50 mm | 1.2*0.8*2 inch")</f>
        <v>30*20*50 mm | 1.2*0.8*2 inch</v>
      </c>
      <c r="E806" s="77">
        <f>IFERROR(__xludf.DUMMYFUNCTION("""COMPUTED_VALUE"""),16.0)</f>
        <v>16</v>
      </c>
      <c r="F806" s="77">
        <f>IFERROR(__xludf.DUMMYFUNCTION("""COMPUTED_VALUE"""),1926.0)</f>
        <v>1926</v>
      </c>
      <c r="G806" s="77">
        <f>IFERROR(__xludf.DUMMYFUNCTION("""COMPUTED_VALUE"""),15.75)</f>
        <v>15.75</v>
      </c>
      <c r="H806" s="77">
        <f>IFERROR(__xludf.DUMMYFUNCTION("""COMPUTED_VALUE"""),20.75)</f>
        <v>20.75</v>
      </c>
      <c r="I806" s="77">
        <f>IFERROR(__xludf.DUMMYFUNCTION("""COMPUTED_VALUE"""),100.0)</f>
        <v>100</v>
      </c>
      <c r="J806" s="73"/>
      <c r="K806" s="73"/>
      <c r="L806" s="73"/>
      <c r="M806" s="77">
        <f>IFERROR(__xludf.DUMMYFUNCTION("""COMPUTED_VALUE"""),0.1)</f>
        <v>0.1</v>
      </c>
      <c r="N806" s="77">
        <f>IFERROR(__xludf.DUMMYFUNCTION("""COMPUTED_VALUE"""),1.0)</f>
        <v>1</v>
      </c>
      <c r="O806" s="49"/>
      <c r="P806" s="49" t="str">
        <f>IFERROR(__xludf.DUMMYFUNCTION("""COMPUTED_VALUE"""),"Offset")</f>
        <v>Offset</v>
      </c>
      <c r="Q806" s="49" t="str">
        <f>IFERROR(__xludf.DUMMYFUNCTION("""COMPUTED_VALUE"""),"Packaging")</f>
        <v>Packaging</v>
      </c>
      <c r="R806" s="49" t="str">
        <f>IFERROR(__xludf.DUMMYFUNCTION("""COMPUTED_VALUE"""),"Daily Essential")</f>
        <v>Daily Essential</v>
      </c>
    </row>
    <row r="807">
      <c r="A807" s="156" t="str">
        <f>IFERROR(__xludf.DUMMYFUNCTION("""COMPUTED_VALUE"""),"https://drive.google.com/open?id=1YoqkWRxutA0290DVkajVW6cUeStCveLk&amp;authuser=jay.agg%40gmail.com&amp;usp=drive_fs")</f>
        <v>https://drive.google.com/open?id=1YoqkWRxutA0290DVkajVW6cUeStCveLk&amp;authuser=jay.agg%40gmail.com&amp;usp=drive_fs</v>
      </c>
      <c r="B807" s="73" t="str">
        <f>IFERROR(__xludf.DUMMYFUNCTION("""COMPUTED_VALUE"""),"Daily Essential")</f>
        <v>Daily Essential</v>
      </c>
      <c r="C807" s="73" t="str">
        <f>IFERROR(__xludf.DUMMYFUNCTION("""COMPUTED_VALUE"""),"Perfume")</f>
        <v>Perfume</v>
      </c>
      <c r="D807" s="73" t="str">
        <f>IFERROR(__xludf.DUMMYFUNCTION("""COMPUTED_VALUE"""),"55*30*105 mm | 2.1*1.2*4.1 inch")</f>
        <v>55*30*105 mm | 2.1*1.2*4.1 inch</v>
      </c>
      <c r="E807" s="77">
        <f>IFERROR(__xludf.DUMMYFUNCTION("""COMPUTED_VALUE"""),6.0)</f>
        <v>6</v>
      </c>
      <c r="F807" s="77">
        <f>IFERROR(__xludf.DUMMYFUNCTION("""COMPUTED_VALUE"""),1926.0)</f>
        <v>1926</v>
      </c>
      <c r="G807" s="77">
        <f>IFERROR(__xludf.DUMMYFUNCTION("""COMPUTED_VALUE"""),15.75)</f>
        <v>15.75</v>
      </c>
      <c r="H807" s="77">
        <f>IFERROR(__xludf.DUMMYFUNCTION("""COMPUTED_VALUE"""),20.75)</f>
        <v>20.75</v>
      </c>
      <c r="I807" s="77">
        <f>IFERROR(__xludf.DUMMYFUNCTION("""COMPUTED_VALUE"""),100.0)</f>
        <v>100</v>
      </c>
      <c r="J807" s="73"/>
      <c r="K807" s="73"/>
      <c r="L807" s="73"/>
      <c r="M807" s="77">
        <f>IFERROR(__xludf.DUMMYFUNCTION("""COMPUTED_VALUE"""),0.1)</f>
        <v>0.1</v>
      </c>
      <c r="N807" s="77">
        <f>IFERROR(__xludf.DUMMYFUNCTION("""COMPUTED_VALUE"""),1.0)</f>
        <v>1</v>
      </c>
      <c r="O807" s="49"/>
      <c r="P807" s="49" t="str">
        <f>IFERROR(__xludf.DUMMYFUNCTION("""COMPUTED_VALUE"""),"Offset")</f>
        <v>Offset</v>
      </c>
      <c r="Q807" s="49" t="str">
        <f>IFERROR(__xludf.DUMMYFUNCTION("""COMPUTED_VALUE"""),"Packaging")</f>
        <v>Packaging</v>
      </c>
      <c r="R807" s="49" t="str">
        <f>IFERROR(__xludf.DUMMYFUNCTION("""COMPUTED_VALUE"""),"Daily Essential")</f>
        <v>Daily Essential</v>
      </c>
    </row>
    <row r="808">
      <c r="A808" s="156" t="str">
        <f>IFERROR(__xludf.DUMMYFUNCTION("""COMPUTED_VALUE"""),"https://drive.google.com/open?id=10KIt-a0krr5ALXmKS2meH5KDbglXX1zj&amp;authuser=jay.agg%40gmail.com&amp;usp=drive_fs")</f>
        <v>https://drive.google.com/open?id=10KIt-a0krr5ALXmKS2meH5KDbglXX1zj&amp;authuser=jay.agg%40gmail.com&amp;usp=drive_fs</v>
      </c>
      <c r="B808" s="73" t="str">
        <f>IFERROR(__xludf.DUMMYFUNCTION("""COMPUTED_VALUE"""),"Daily Essential")</f>
        <v>Daily Essential</v>
      </c>
      <c r="C808" s="73" t="str">
        <f>IFERROR(__xludf.DUMMYFUNCTION("""COMPUTED_VALUE"""),"Perfume")</f>
        <v>Perfume</v>
      </c>
      <c r="D808" s="73" t="str">
        <f>IFERROR(__xludf.DUMMYFUNCTION("""COMPUTED_VALUE"""),"60*60*90 mm | 2.3*2.3*3.5 inch")</f>
        <v>60*60*90 mm | 2.3*2.3*3.5 inch</v>
      </c>
      <c r="E808" s="77">
        <f>IFERROR(__xludf.DUMMYFUNCTION("""COMPUTED_VALUE"""),4.0)</f>
        <v>4</v>
      </c>
      <c r="F808" s="77">
        <f>IFERROR(__xludf.DUMMYFUNCTION("""COMPUTED_VALUE"""),1926.0)</f>
        <v>1926</v>
      </c>
      <c r="G808" s="77">
        <f>IFERROR(__xludf.DUMMYFUNCTION("""COMPUTED_VALUE"""),18.0)</f>
        <v>18</v>
      </c>
      <c r="H808" s="77">
        <f>IFERROR(__xludf.DUMMYFUNCTION("""COMPUTED_VALUE"""),23.0)</f>
        <v>23</v>
      </c>
      <c r="I808" s="77">
        <f>IFERROR(__xludf.DUMMYFUNCTION("""COMPUTED_VALUE"""),100.0)</f>
        <v>100</v>
      </c>
      <c r="J808" s="73"/>
      <c r="K808" s="73"/>
      <c r="L808" s="73"/>
      <c r="M808" s="77">
        <f>IFERROR(__xludf.DUMMYFUNCTION("""COMPUTED_VALUE"""),0.1)</f>
        <v>0.1</v>
      </c>
      <c r="N808" s="77">
        <f>IFERROR(__xludf.DUMMYFUNCTION("""COMPUTED_VALUE"""),1.0)</f>
        <v>1</v>
      </c>
      <c r="O808" s="49"/>
      <c r="P808" s="49" t="str">
        <f>IFERROR(__xludf.DUMMYFUNCTION("""COMPUTED_VALUE"""),"Offset")</f>
        <v>Offset</v>
      </c>
      <c r="Q808" s="49" t="str">
        <f>IFERROR(__xludf.DUMMYFUNCTION("""COMPUTED_VALUE"""),"Packaging")</f>
        <v>Packaging</v>
      </c>
      <c r="R808" s="49" t="str">
        <f>IFERROR(__xludf.DUMMYFUNCTION("""COMPUTED_VALUE"""),"Daily Essential")</f>
        <v>Daily Essential</v>
      </c>
    </row>
    <row r="809">
      <c r="A809" s="156" t="str">
        <f>IFERROR(__xludf.DUMMYFUNCTION("""COMPUTED_VALUE"""),"https://drive.google.com/open?id=1bR5OJG6n07riET0EgkDzThpEZmWiz5c8&amp;authuser=jay.agg%40gmail.com&amp;usp=drive_fs")</f>
        <v>https://drive.google.com/open?id=1bR5OJG6n07riET0EgkDzThpEZmWiz5c8&amp;authuser=jay.agg%40gmail.com&amp;usp=drive_fs</v>
      </c>
      <c r="B809" s="73" t="str">
        <f>IFERROR(__xludf.DUMMYFUNCTION("""COMPUTED_VALUE"""),"Daily Essential")</f>
        <v>Daily Essential</v>
      </c>
      <c r="C809" s="73" t="str">
        <f>IFERROR(__xludf.DUMMYFUNCTION("""COMPUTED_VALUE"""),"Acne Patch")</f>
        <v>Acne Patch</v>
      </c>
      <c r="D809" s="73" t="str">
        <f>IFERROR(__xludf.DUMMYFUNCTION("""COMPUTED_VALUE"""),"90*9*141 mm | 3.3*0.4*5.5 inch")</f>
        <v>90*9*141 mm | 3.3*0.4*5.5 inch</v>
      </c>
      <c r="E809" s="77">
        <f>IFERROR(__xludf.DUMMYFUNCTION("""COMPUTED_VALUE"""),6.0)</f>
        <v>6</v>
      </c>
      <c r="F809" s="77">
        <f>IFERROR(__xludf.DUMMYFUNCTION("""COMPUTED_VALUE"""),1926.0)</f>
        <v>1926</v>
      </c>
      <c r="G809" s="77">
        <f>IFERROR(__xludf.DUMMYFUNCTION("""COMPUTED_VALUE"""),18.0)</f>
        <v>18</v>
      </c>
      <c r="H809" s="77">
        <f>IFERROR(__xludf.DUMMYFUNCTION("""COMPUTED_VALUE"""),23.0)</f>
        <v>23</v>
      </c>
      <c r="I809" s="77">
        <f>IFERROR(__xludf.DUMMYFUNCTION("""COMPUTED_VALUE"""),100.0)</f>
        <v>100</v>
      </c>
      <c r="J809" s="73"/>
      <c r="K809" s="73"/>
      <c r="L809" s="73"/>
      <c r="M809" s="77">
        <f>IFERROR(__xludf.DUMMYFUNCTION("""COMPUTED_VALUE"""),0.1)</f>
        <v>0.1</v>
      </c>
      <c r="N809" s="77">
        <f>IFERROR(__xludf.DUMMYFUNCTION("""COMPUTED_VALUE"""),1.0)</f>
        <v>1</v>
      </c>
      <c r="O809" s="49"/>
      <c r="P809" s="49" t="str">
        <f>IFERROR(__xludf.DUMMYFUNCTION("""COMPUTED_VALUE"""),"Offset")</f>
        <v>Offset</v>
      </c>
      <c r="Q809" s="49" t="str">
        <f>IFERROR(__xludf.DUMMYFUNCTION("""COMPUTED_VALUE"""),"Packaging")</f>
        <v>Packaging</v>
      </c>
      <c r="R809" s="49" t="str">
        <f>IFERROR(__xludf.DUMMYFUNCTION("""COMPUTED_VALUE"""),"Daily Essential")</f>
        <v>Daily Essential</v>
      </c>
    </row>
    <row r="810">
      <c r="A810" s="156" t="str">
        <f>IFERROR(__xludf.DUMMYFUNCTION("""COMPUTED_VALUE"""),"https://drive.google.com/open?id=15_lZlltj-T_vSHJNGzqoZzWmB0oPVMyv&amp;authuser=jay.agg%40gmail.com&amp;usp=drive_fs")</f>
        <v>https://drive.google.com/open?id=15_lZlltj-T_vSHJNGzqoZzWmB0oPVMyv&amp;authuser=jay.agg%40gmail.com&amp;usp=drive_fs</v>
      </c>
      <c r="B810" s="73" t="str">
        <f>IFERROR(__xludf.DUMMYFUNCTION("""COMPUTED_VALUE"""),"Daily Essential")</f>
        <v>Daily Essential</v>
      </c>
      <c r="C810" s="73" t="str">
        <f>IFERROR(__xludf.DUMMYFUNCTION("""COMPUTED_VALUE"""),"Soap Box")</f>
        <v>Soap Box</v>
      </c>
      <c r="D810" s="73" t="str">
        <f>IFERROR(__xludf.DUMMYFUNCTION("""COMPUTED_VALUE"""),"60*20*80 mm | 2.4*0.8*3.15 inch")</f>
        <v>60*20*80 mm | 2.4*0.8*3.15 inch</v>
      </c>
      <c r="E810" s="77">
        <f>IFERROR(__xludf.DUMMYFUNCTION("""COMPUTED_VALUE"""),9.0)</f>
        <v>9</v>
      </c>
      <c r="F810" s="77">
        <f>IFERROR(__xludf.DUMMYFUNCTION("""COMPUTED_VALUE"""),1926.0)</f>
        <v>1926</v>
      </c>
      <c r="G810" s="77">
        <f>IFERROR(__xludf.DUMMYFUNCTION("""COMPUTED_VALUE"""),15.75)</f>
        <v>15.75</v>
      </c>
      <c r="H810" s="77">
        <f>IFERROR(__xludf.DUMMYFUNCTION("""COMPUTED_VALUE"""),20.75)</f>
        <v>20.75</v>
      </c>
      <c r="I810" s="77">
        <f>IFERROR(__xludf.DUMMYFUNCTION("""COMPUTED_VALUE"""),100.0)</f>
        <v>100</v>
      </c>
      <c r="J810" s="73"/>
      <c r="K810" s="73"/>
      <c r="L810" s="73"/>
      <c r="M810" s="77">
        <f>IFERROR(__xludf.DUMMYFUNCTION("""COMPUTED_VALUE"""),0.18)</f>
        <v>0.18</v>
      </c>
      <c r="N810" s="77">
        <f>IFERROR(__xludf.DUMMYFUNCTION("""COMPUTED_VALUE"""),1.0)</f>
        <v>1</v>
      </c>
      <c r="O810" s="49"/>
      <c r="P810" s="49" t="str">
        <f>IFERROR(__xludf.DUMMYFUNCTION("""COMPUTED_VALUE"""),"Offset")</f>
        <v>Offset</v>
      </c>
      <c r="Q810" s="49" t="str">
        <f>IFERROR(__xludf.DUMMYFUNCTION("""COMPUTED_VALUE"""),"Packaging")</f>
        <v>Packaging</v>
      </c>
      <c r="R810" s="49" t="str">
        <f>IFERROR(__xludf.DUMMYFUNCTION("""COMPUTED_VALUE"""),"Daily Essential")</f>
        <v>Daily Essential</v>
      </c>
    </row>
    <row r="811">
      <c r="A811" s="156" t="str">
        <f>IFERROR(__xludf.DUMMYFUNCTION("""COMPUTED_VALUE"""),"https://drive.google.com/open?id=15i7tH5n09weNj12b2qQ0XjckrY-JQUbS&amp;authuser=jay.agg%40gmail.com&amp;usp=drive_fs")</f>
        <v>https://drive.google.com/open?id=15i7tH5n09weNj12b2qQ0XjckrY-JQUbS&amp;authuser=jay.agg%40gmail.com&amp;usp=drive_fs</v>
      </c>
      <c r="B811" s="73" t="str">
        <f>IFERROR(__xludf.DUMMYFUNCTION("""COMPUTED_VALUE"""),"Daily Essential")</f>
        <v>Daily Essential</v>
      </c>
      <c r="C811" s="73" t="str">
        <f>IFERROR(__xludf.DUMMYFUNCTION("""COMPUTED_VALUE"""),"Soap Box")</f>
        <v>Soap Box</v>
      </c>
      <c r="D811" s="73" t="str">
        <f>IFERROR(__xludf.DUMMYFUNCTION("""COMPUTED_VALUE"""),"25*15*50 mm | 1*0.6*2 inch")</f>
        <v>25*15*50 mm | 1*0.6*2 inch</v>
      </c>
      <c r="E811" s="77">
        <f>IFERROR(__xludf.DUMMYFUNCTION("""COMPUTED_VALUE"""),30.0)</f>
        <v>30</v>
      </c>
      <c r="F811" s="77">
        <f>IFERROR(__xludf.DUMMYFUNCTION("""COMPUTED_VALUE"""),1926.0)</f>
        <v>1926</v>
      </c>
      <c r="G811" s="77">
        <f>IFERROR(__xludf.DUMMYFUNCTION("""COMPUTED_VALUE"""),19.5)</f>
        <v>19.5</v>
      </c>
      <c r="H811" s="77">
        <f>IFERROR(__xludf.DUMMYFUNCTION("""COMPUTED_VALUE"""),23.0)</f>
        <v>23</v>
      </c>
      <c r="I811" s="77">
        <f>IFERROR(__xludf.DUMMYFUNCTION("""COMPUTED_VALUE"""),100.0)</f>
        <v>100</v>
      </c>
      <c r="J811" s="73"/>
      <c r="K811" s="73"/>
      <c r="L811" s="73"/>
      <c r="M811" s="77">
        <f>IFERROR(__xludf.DUMMYFUNCTION("""COMPUTED_VALUE"""),0.1)</f>
        <v>0.1</v>
      </c>
      <c r="N811" s="77">
        <f>IFERROR(__xludf.DUMMYFUNCTION("""COMPUTED_VALUE"""),1.0)</f>
        <v>1</v>
      </c>
      <c r="O811" s="49"/>
      <c r="P811" s="49" t="str">
        <f>IFERROR(__xludf.DUMMYFUNCTION("""COMPUTED_VALUE"""),"Offset")</f>
        <v>Offset</v>
      </c>
      <c r="Q811" s="49" t="str">
        <f>IFERROR(__xludf.DUMMYFUNCTION("""COMPUTED_VALUE"""),"Packaging")</f>
        <v>Packaging</v>
      </c>
      <c r="R811" s="49" t="str">
        <f>IFERROR(__xludf.DUMMYFUNCTION("""COMPUTED_VALUE"""),"Daily Essential")</f>
        <v>Daily Essential</v>
      </c>
    </row>
    <row r="812">
      <c r="A812" s="156" t="str">
        <f>IFERROR(__xludf.DUMMYFUNCTION("""COMPUTED_VALUE"""),"https://drive.google.com/open?id=15jYX12Y9cQ5GmMul6Wafy8RKPw8DL7hz&amp;authuser=jay.agg%40gmail.com&amp;usp=drive_fs")</f>
        <v>https://drive.google.com/open?id=15jYX12Y9cQ5GmMul6Wafy8RKPw8DL7hz&amp;authuser=jay.agg%40gmail.com&amp;usp=drive_fs</v>
      </c>
      <c r="B812" s="73" t="str">
        <f>IFERROR(__xludf.DUMMYFUNCTION("""COMPUTED_VALUE"""),"Daily Essential")</f>
        <v>Daily Essential</v>
      </c>
      <c r="C812" s="73" t="str">
        <f>IFERROR(__xludf.DUMMYFUNCTION("""COMPUTED_VALUE"""),"Tooth Brush")</f>
        <v>Tooth Brush</v>
      </c>
      <c r="D812" s="73" t="str">
        <f>IFERROR(__xludf.DUMMYFUNCTION("""COMPUTED_VALUE"""),"21*21*200 mm | 0.9*0.7.9 inch with Hanger")</f>
        <v>21*21*200 mm | 0.9*0.7.9 inch with Hanger</v>
      </c>
      <c r="E812" s="77">
        <f>IFERROR(__xludf.DUMMYFUNCTION("""COMPUTED_VALUE"""),8.0)</f>
        <v>8</v>
      </c>
      <c r="F812" s="77">
        <f>IFERROR(__xludf.DUMMYFUNCTION("""COMPUTED_VALUE"""),1926.0)</f>
        <v>1926</v>
      </c>
      <c r="G812" s="77">
        <f>IFERROR(__xludf.DUMMYFUNCTION("""COMPUTED_VALUE"""),15.75)</f>
        <v>15.75</v>
      </c>
      <c r="H812" s="77">
        <f>IFERROR(__xludf.DUMMYFUNCTION("""COMPUTED_VALUE"""),20.75)</f>
        <v>20.75</v>
      </c>
      <c r="I812" s="77">
        <f>IFERROR(__xludf.DUMMYFUNCTION("""COMPUTED_VALUE"""),100.0)</f>
        <v>100</v>
      </c>
      <c r="J812" s="73"/>
      <c r="K812" s="73"/>
      <c r="L812" s="73"/>
      <c r="M812" s="77">
        <f>IFERROR(__xludf.DUMMYFUNCTION("""COMPUTED_VALUE"""),0.1)</f>
        <v>0.1</v>
      </c>
      <c r="N812" s="77">
        <f>IFERROR(__xludf.DUMMYFUNCTION("""COMPUTED_VALUE"""),1.0)</f>
        <v>1</v>
      </c>
      <c r="O812" s="49"/>
      <c r="P812" s="49" t="str">
        <f>IFERROR(__xludf.DUMMYFUNCTION("""COMPUTED_VALUE"""),"Offset")</f>
        <v>Offset</v>
      </c>
      <c r="Q812" s="49" t="str">
        <f>IFERROR(__xludf.DUMMYFUNCTION("""COMPUTED_VALUE"""),"Packaging")</f>
        <v>Packaging</v>
      </c>
      <c r="R812" s="49" t="str">
        <f>IFERROR(__xludf.DUMMYFUNCTION("""COMPUTED_VALUE"""),"Daily Essential")</f>
        <v>Daily Essential</v>
      </c>
    </row>
    <row r="813">
      <c r="A813" s="156" t="str">
        <f>IFERROR(__xludf.DUMMYFUNCTION("""COMPUTED_VALUE"""),"https://drive.google.com/open?id=16cfR53rh8DAh7IQn0w86m6j0qLgObnxk&amp;authuser=jay.agg%40gmail.com&amp;usp=drive_fs")</f>
        <v>https://drive.google.com/open?id=16cfR53rh8DAh7IQn0w86m6j0qLgObnxk&amp;authuser=jay.agg%40gmail.com&amp;usp=drive_fs</v>
      </c>
      <c r="B813" s="73" t="str">
        <f>IFERROR(__xludf.DUMMYFUNCTION("""COMPUTED_VALUE"""),"Daily Essential")</f>
        <v>Daily Essential</v>
      </c>
      <c r="C813" s="73" t="str">
        <f>IFERROR(__xludf.DUMMYFUNCTION("""COMPUTED_VALUE"""),"Soap Box")</f>
        <v>Soap Box</v>
      </c>
      <c r="D813" s="73" t="str">
        <f>IFERROR(__xludf.DUMMYFUNCTION("""COMPUTED_VALUE"""),"125*65*35 mm | 2.5*1*5 inch")</f>
        <v>125*65*35 mm | 2.5*1*5 inch</v>
      </c>
      <c r="E813" s="77">
        <f>IFERROR(__xludf.DUMMYFUNCTION("""COMPUTED_VALUE"""),6.0)</f>
        <v>6</v>
      </c>
      <c r="F813" s="77">
        <f>IFERROR(__xludf.DUMMYFUNCTION("""COMPUTED_VALUE"""),1926.0)</f>
        <v>1926</v>
      </c>
      <c r="G813" s="77">
        <f>IFERROR(__xludf.DUMMYFUNCTION("""COMPUTED_VALUE"""),15.75)</f>
        <v>15.75</v>
      </c>
      <c r="H813" s="77">
        <f>IFERROR(__xludf.DUMMYFUNCTION("""COMPUTED_VALUE"""),20.75)</f>
        <v>20.75</v>
      </c>
      <c r="I813" s="77">
        <f>IFERROR(__xludf.DUMMYFUNCTION("""COMPUTED_VALUE"""),100.0)</f>
        <v>100</v>
      </c>
      <c r="J813" s="73"/>
      <c r="K813" s="73"/>
      <c r="L813" s="73"/>
      <c r="M813" s="77">
        <f>IFERROR(__xludf.DUMMYFUNCTION("""COMPUTED_VALUE"""),0.1)</f>
        <v>0.1</v>
      </c>
      <c r="N813" s="77">
        <f>IFERROR(__xludf.DUMMYFUNCTION("""COMPUTED_VALUE"""),1.0)</f>
        <v>1</v>
      </c>
      <c r="O813" s="49"/>
      <c r="P813" s="49" t="str">
        <f>IFERROR(__xludf.DUMMYFUNCTION("""COMPUTED_VALUE"""),"Offset")</f>
        <v>Offset</v>
      </c>
      <c r="Q813" s="49" t="str">
        <f>IFERROR(__xludf.DUMMYFUNCTION("""COMPUTED_VALUE"""),"Packaging")</f>
        <v>Packaging</v>
      </c>
      <c r="R813" s="49" t="str">
        <f>IFERROR(__xludf.DUMMYFUNCTION("""COMPUTED_VALUE"""),"Daily Essential")</f>
        <v>Daily Essential</v>
      </c>
    </row>
    <row r="814">
      <c r="A814" s="156" t="str">
        <f>IFERROR(__xludf.DUMMYFUNCTION("""COMPUTED_VALUE"""),"https://drive.google.com/open?id=1dJzvbZhSge4QJUnneoTNdwvYMEL3K0y0&amp;authuser=jay.agg%40gmail.com&amp;usp=drive_fs")</f>
        <v>https://drive.google.com/open?id=1dJzvbZhSge4QJUnneoTNdwvYMEL3K0y0&amp;authuser=jay.agg%40gmail.com&amp;usp=drive_fs</v>
      </c>
      <c r="B814" s="73" t="str">
        <f>IFERROR(__xludf.DUMMYFUNCTION("""COMPUTED_VALUE"""),"Daily Essential")</f>
        <v>Daily Essential</v>
      </c>
      <c r="C814" s="73" t="str">
        <f>IFERROR(__xludf.DUMMYFUNCTION("""COMPUTED_VALUE"""),"Soap Box")</f>
        <v>Soap Box</v>
      </c>
      <c r="D814" s="73" t="str">
        <f>IFERROR(__xludf.DUMMYFUNCTION("""COMPUTED_VALUE"""),"55*32*95 mm | 2.6*1.26*3.74 inch")</f>
        <v>55*32*95 mm | 2.6*1.26*3.74 inch</v>
      </c>
      <c r="E814" s="77">
        <f>IFERROR(__xludf.DUMMYFUNCTION("""COMPUTED_VALUE"""),8.0)</f>
        <v>8</v>
      </c>
      <c r="F814" s="77">
        <f>IFERROR(__xludf.DUMMYFUNCTION("""COMPUTED_VALUE"""),1926.0)</f>
        <v>1926</v>
      </c>
      <c r="G814" s="77">
        <f>IFERROR(__xludf.DUMMYFUNCTION("""COMPUTED_VALUE"""),18.0)</f>
        <v>18</v>
      </c>
      <c r="H814" s="77">
        <f>IFERROR(__xludf.DUMMYFUNCTION("""COMPUTED_VALUE"""),25.0)</f>
        <v>25</v>
      </c>
      <c r="I814" s="77">
        <f>IFERROR(__xludf.DUMMYFUNCTION("""COMPUTED_VALUE"""),100.0)</f>
        <v>100</v>
      </c>
      <c r="J814" s="73"/>
      <c r="K814" s="73"/>
      <c r="L814" s="73"/>
      <c r="M814" s="77">
        <f>IFERROR(__xludf.DUMMYFUNCTION("""COMPUTED_VALUE"""),0.1)</f>
        <v>0.1</v>
      </c>
      <c r="N814" s="77">
        <f>IFERROR(__xludf.DUMMYFUNCTION("""COMPUTED_VALUE"""),1.0)</f>
        <v>1</v>
      </c>
      <c r="O814" s="49"/>
      <c r="P814" s="49" t="str">
        <f>IFERROR(__xludf.DUMMYFUNCTION("""COMPUTED_VALUE"""),"Offset")</f>
        <v>Offset</v>
      </c>
      <c r="Q814" s="49" t="str">
        <f>IFERROR(__xludf.DUMMYFUNCTION("""COMPUTED_VALUE"""),"Packaging")</f>
        <v>Packaging</v>
      </c>
      <c r="R814" s="49" t="str">
        <f>IFERROR(__xludf.DUMMYFUNCTION("""COMPUTED_VALUE"""),"Daily Essential")</f>
        <v>Daily Essential</v>
      </c>
    </row>
    <row r="815">
      <c r="A815" s="156" t="str">
        <f>IFERROR(__xludf.DUMMYFUNCTION("""COMPUTED_VALUE"""),"https://drive.google.com/open?id=1ef97oVh6KFpfGGHAAFeGj287iJnqtjbi&amp;authuser=jay.agg%40gmail.com&amp;usp=drive_fs")</f>
        <v>https://drive.google.com/open?id=1ef97oVh6KFpfGGHAAFeGj287iJnqtjbi&amp;authuser=jay.agg%40gmail.com&amp;usp=drive_fs</v>
      </c>
      <c r="B815" s="73" t="str">
        <f>IFERROR(__xludf.DUMMYFUNCTION("""COMPUTED_VALUE"""),"Daily Essential")</f>
        <v>Daily Essential</v>
      </c>
      <c r="C815" s="73" t="str">
        <f>IFERROR(__xludf.DUMMYFUNCTION("""COMPUTED_VALUE"""),"Perfume")</f>
        <v>Perfume</v>
      </c>
      <c r="D815" s="73" t="str">
        <f>IFERROR(__xludf.DUMMYFUNCTION("""COMPUTED_VALUE"""),"20*21*50 mm | 0.9*0.8*2 inch")</f>
        <v>20*21*50 mm | 0.9*0.8*2 inch</v>
      </c>
      <c r="E815" s="77">
        <f>IFERROR(__xludf.DUMMYFUNCTION("""COMPUTED_VALUE"""),24.0)</f>
        <v>24</v>
      </c>
      <c r="F815" s="77">
        <f>IFERROR(__xludf.DUMMYFUNCTION("""COMPUTED_VALUE"""),1926.0)</f>
        <v>1926</v>
      </c>
      <c r="G815" s="77">
        <f>IFERROR(__xludf.DUMMYFUNCTION("""COMPUTED_VALUE"""),15.75)</f>
        <v>15.75</v>
      </c>
      <c r="H815" s="77">
        <f>IFERROR(__xludf.DUMMYFUNCTION("""COMPUTED_VALUE"""),20.75)</f>
        <v>20.75</v>
      </c>
      <c r="I815" s="77">
        <f>IFERROR(__xludf.DUMMYFUNCTION("""COMPUTED_VALUE"""),100.0)</f>
        <v>100</v>
      </c>
      <c r="J815" s="73"/>
      <c r="K815" s="73"/>
      <c r="L815" s="73"/>
      <c r="M815" s="77">
        <f>IFERROR(__xludf.DUMMYFUNCTION("""COMPUTED_VALUE"""),0.1)</f>
        <v>0.1</v>
      </c>
      <c r="N815" s="77">
        <f>IFERROR(__xludf.DUMMYFUNCTION("""COMPUTED_VALUE"""),1.0)</f>
        <v>1</v>
      </c>
      <c r="O815" s="49"/>
      <c r="P815" s="49" t="str">
        <f>IFERROR(__xludf.DUMMYFUNCTION("""COMPUTED_VALUE"""),"Offset")</f>
        <v>Offset</v>
      </c>
      <c r="Q815" s="49" t="str">
        <f>IFERROR(__xludf.DUMMYFUNCTION("""COMPUTED_VALUE"""),"Packaging")</f>
        <v>Packaging</v>
      </c>
      <c r="R815" s="49" t="str">
        <f>IFERROR(__xludf.DUMMYFUNCTION("""COMPUTED_VALUE"""),"Daily Essential")</f>
        <v>Daily Essential</v>
      </c>
    </row>
    <row r="816">
      <c r="A816" s="156" t="str">
        <f>IFERROR(__xludf.DUMMYFUNCTION("""COMPUTED_VALUE"""),"https://drive.google.com/open?id=1egOeE_I6_v48ITY4TAkgm5Uu0ZS1euNw&amp;authuser=jay.agg%40gmail.com&amp;usp=drive_fs")</f>
        <v>https://drive.google.com/open?id=1egOeE_I6_v48ITY4TAkgm5Uu0ZS1euNw&amp;authuser=jay.agg%40gmail.com&amp;usp=drive_fs</v>
      </c>
      <c r="B816" s="73" t="str">
        <f>IFERROR(__xludf.DUMMYFUNCTION("""COMPUTED_VALUE"""),"Daily Essential")</f>
        <v>Daily Essential</v>
      </c>
      <c r="C816" s="73" t="str">
        <f>IFERROR(__xludf.DUMMYFUNCTION("""COMPUTED_VALUE"""),"Soap Box")</f>
        <v>Soap Box</v>
      </c>
      <c r="D816" s="73" t="str">
        <f>IFERROR(__xludf.DUMMYFUNCTION("""COMPUTED_VALUE"""),"65*30*80 mm | 2.5*1.1*3.1 inch")</f>
        <v>65*30*80 mm | 2.5*1.1*3.1 inch</v>
      </c>
      <c r="E816" s="77">
        <f>IFERROR(__xludf.DUMMYFUNCTION("""COMPUTED_VALUE"""),9.0)</f>
        <v>9</v>
      </c>
      <c r="F816" s="77">
        <f>IFERROR(__xludf.DUMMYFUNCTION("""COMPUTED_VALUE"""),1926.0)</f>
        <v>1926</v>
      </c>
      <c r="G816" s="77">
        <f>IFERROR(__xludf.DUMMYFUNCTION("""COMPUTED_VALUE"""),18.0)</f>
        <v>18</v>
      </c>
      <c r="H816" s="77">
        <f>IFERROR(__xludf.DUMMYFUNCTION("""COMPUTED_VALUE"""),25.0)</f>
        <v>25</v>
      </c>
      <c r="I816" s="77">
        <f>IFERROR(__xludf.DUMMYFUNCTION("""COMPUTED_VALUE"""),100.0)</f>
        <v>100</v>
      </c>
      <c r="J816" s="73"/>
      <c r="K816" s="73"/>
      <c r="L816" s="73"/>
      <c r="M816" s="77">
        <f>IFERROR(__xludf.DUMMYFUNCTION("""COMPUTED_VALUE"""),0.1)</f>
        <v>0.1</v>
      </c>
      <c r="N816" s="77">
        <f>IFERROR(__xludf.DUMMYFUNCTION("""COMPUTED_VALUE"""),1.0)</f>
        <v>1</v>
      </c>
      <c r="O816" s="49"/>
      <c r="P816" s="49" t="str">
        <f>IFERROR(__xludf.DUMMYFUNCTION("""COMPUTED_VALUE"""),"Offset")</f>
        <v>Offset</v>
      </c>
      <c r="Q816" s="49" t="str">
        <f>IFERROR(__xludf.DUMMYFUNCTION("""COMPUTED_VALUE"""),"Packaging")</f>
        <v>Packaging</v>
      </c>
      <c r="R816" s="49" t="str">
        <f>IFERROR(__xludf.DUMMYFUNCTION("""COMPUTED_VALUE"""),"Daily Essential")</f>
        <v>Daily Essential</v>
      </c>
    </row>
    <row r="817">
      <c r="A817" s="156" t="str">
        <f>IFERROR(__xludf.DUMMYFUNCTION("""COMPUTED_VALUE"""),"https://drive.google.com/open?id=1CfN8AMS1irvT9P0qsgCtrTKoUfn4xfga&amp;authuser=jay.agg%40gmail.com&amp;usp=drive_fs")</f>
        <v>https://drive.google.com/open?id=1CfN8AMS1irvT9P0qsgCtrTKoUfn4xfga&amp;authuser=jay.agg%40gmail.com&amp;usp=drive_fs</v>
      </c>
      <c r="B817" s="73" t="str">
        <f>IFERROR(__xludf.DUMMYFUNCTION("""COMPUTED_VALUE"""),"Daily Essential")</f>
        <v>Daily Essential</v>
      </c>
      <c r="C817" s="73" t="str">
        <f>IFERROR(__xludf.DUMMYFUNCTION("""COMPUTED_VALUE"""),"Hair Brush")</f>
        <v>Hair Brush</v>
      </c>
      <c r="D817" s="73" t="str">
        <f>IFERROR(__xludf.DUMMYFUNCTION("""COMPUTED_VALUE"""),"75*55*255 mm | 2.9*2.1*10 inch")</f>
        <v>75*55*255 mm | 2.9*2.1*10 inch</v>
      </c>
      <c r="E817" s="77">
        <f>IFERROR(__xludf.DUMMYFUNCTION("""COMPUTED_VALUE"""),2.0)</f>
        <v>2</v>
      </c>
      <c r="F817" s="77">
        <f>IFERROR(__xludf.DUMMYFUNCTION("""COMPUTED_VALUE"""),1926.0)</f>
        <v>1926</v>
      </c>
      <c r="G817" s="77">
        <f>IFERROR(__xludf.DUMMYFUNCTION("""COMPUTED_VALUE"""),18.0)</f>
        <v>18</v>
      </c>
      <c r="H817" s="77">
        <f>IFERROR(__xludf.DUMMYFUNCTION("""COMPUTED_VALUE"""),23.0)</f>
        <v>23</v>
      </c>
      <c r="I817" s="77">
        <f>IFERROR(__xludf.DUMMYFUNCTION("""COMPUTED_VALUE"""),100.0)</f>
        <v>100</v>
      </c>
      <c r="J817" s="73"/>
      <c r="K817" s="73"/>
      <c r="L817" s="73"/>
      <c r="M817" s="77">
        <f>IFERROR(__xludf.DUMMYFUNCTION("""COMPUTED_VALUE"""),0.1)</f>
        <v>0.1</v>
      </c>
      <c r="N817" s="77">
        <f>IFERROR(__xludf.DUMMYFUNCTION("""COMPUTED_VALUE"""),1.0)</f>
        <v>1</v>
      </c>
      <c r="O817" s="49"/>
      <c r="P817" s="49" t="str">
        <f>IFERROR(__xludf.DUMMYFUNCTION("""COMPUTED_VALUE"""),"Offset")</f>
        <v>Offset</v>
      </c>
      <c r="Q817" s="49" t="str">
        <f>IFERROR(__xludf.DUMMYFUNCTION("""COMPUTED_VALUE"""),"Packaging")</f>
        <v>Packaging</v>
      </c>
      <c r="R817" s="49" t="str">
        <f>IFERROR(__xludf.DUMMYFUNCTION("""COMPUTED_VALUE"""),"Daily Essential")</f>
        <v>Daily Essential</v>
      </c>
    </row>
    <row r="818">
      <c r="A818" s="156" t="str">
        <f>IFERROR(__xludf.DUMMYFUNCTION("""COMPUTED_VALUE"""),"https://drive.google.com/open?id=1hdp7WjJge4Y195PwrugOB_MoAXYENzi2&amp;authuser=jay.agg%40gmail.com&amp;usp=drive_fs")</f>
        <v>https://drive.google.com/open?id=1hdp7WjJge4Y195PwrugOB_MoAXYENzi2&amp;authuser=jay.agg%40gmail.com&amp;usp=drive_fs</v>
      </c>
      <c r="B818" s="73" t="str">
        <f>IFERROR(__xludf.DUMMYFUNCTION("""COMPUTED_VALUE"""),"Daily Essential")</f>
        <v>Daily Essential</v>
      </c>
      <c r="C818" s="73" t="str">
        <f>IFERROR(__xludf.DUMMYFUNCTION("""COMPUTED_VALUE"""),"Acne Patch")</f>
        <v>Acne Patch</v>
      </c>
      <c r="D818" s="73" t="str">
        <f>IFERROR(__xludf.DUMMYFUNCTION("""COMPUTED_VALUE"""),"45*40*105 mm | 1.7*1.6*4.1 inch")</f>
        <v>45*40*105 mm | 1.7*1.6*4.1 inch</v>
      </c>
      <c r="E818" s="77">
        <f>IFERROR(__xludf.DUMMYFUNCTION("""COMPUTED_VALUE"""),6.0)</f>
        <v>6</v>
      </c>
      <c r="F818" s="77">
        <f>IFERROR(__xludf.DUMMYFUNCTION("""COMPUTED_VALUE"""),1926.0)</f>
        <v>1926</v>
      </c>
      <c r="G818" s="77">
        <f>IFERROR(__xludf.DUMMYFUNCTION("""COMPUTED_VALUE"""),18.0)</f>
        <v>18</v>
      </c>
      <c r="H818" s="77">
        <f>IFERROR(__xludf.DUMMYFUNCTION("""COMPUTED_VALUE"""),23.0)</f>
        <v>23</v>
      </c>
      <c r="I818" s="77">
        <f>IFERROR(__xludf.DUMMYFUNCTION("""COMPUTED_VALUE"""),100.0)</f>
        <v>100</v>
      </c>
      <c r="J818" s="73"/>
      <c r="K818" s="73"/>
      <c r="L818" s="73"/>
      <c r="M818" s="77">
        <f>IFERROR(__xludf.DUMMYFUNCTION("""COMPUTED_VALUE"""),0.1)</f>
        <v>0.1</v>
      </c>
      <c r="N818" s="77">
        <f>IFERROR(__xludf.DUMMYFUNCTION("""COMPUTED_VALUE"""),1.0)</f>
        <v>1</v>
      </c>
      <c r="O818" s="49"/>
      <c r="P818" s="49" t="str">
        <f>IFERROR(__xludf.DUMMYFUNCTION("""COMPUTED_VALUE"""),"Offset")</f>
        <v>Offset</v>
      </c>
      <c r="Q818" s="49" t="str">
        <f>IFERROR(__xludf.DUMMYFUNCTION("""COMPUTED_VALUE"""),"Packaging")</f>
        <v>Packaging</v>
      </c>
      <c r="R818" s="49" t="str">
        <f>IFERROR(__xludf.DUMMYFUNCTION("""COMPUTED_VALUE"""),"Daily Essential")</f>
        <v>Daily Essential</v>
      </c>
    </row>
    <row r="819">
      <c r="A819" s="156" t="str">
        <f>IFERROR(__xludf.DUMMYFUNCTION("""COMPUTED_VALUE"""),"https://drive.google.com/open?id=1hdrPdg2roKlnj_kz8ky9XwJqTVw6ykfj&amp;authuser=jay.agg%40gmail.com&amp;usp=drive_fs")</f>
        <v>https://drive.google.com/open?id=1hdrPdg2roKlnj_kz8ky9XwJqTVw6ykfj&amp;authuser=jay.agg%40gmail.com&amp;usp=drive_fs</v>
      </c>
      <c r="B819" s="73" t="str">
        <f>IFERROR(__xludf.DUMMYFUNCTION("""COMPUTED_VALUE"""),"Daily Essential")</f>
        <v>Daily Essential</v>
      </c>
      <c r="C819" s="73" t="str">
        <f>IFERROR(__xludf.DUMMYFUNCTION("""COMPUTED_VALUE"""),"Acne Patch")</f>
        <v>Acne Patch</v>
      </c>
      <c r="D819" s="73" t="str">
        <f>IFERROR(__xludf.DUMMYFUNCTION("""COMPUTED_VALUE"""),"45*10*75 mm | 1.8*0.4*3 inch")</f>
        <v>45*10*75 mm | 1.8*0.4*3 inch</v>
      </c>
      <c r="E819" s="77">
        <f>IFERROR(__xludf.DUMMYFUNCTION("""COMPUTED_VALUE"""),15.0)</f>
        <v>15</v>
      </c>
      <c r="F819" s="77">
        <f>IFERROR(__xludf.DUMMYFUNCTION("""COMPUTED_VALUE"""),1926.0)</f>
        <v>1926</v>
      </c>
      <c r="G819" s="77">
        <f>IFERROR(__xludf.DUMMYFUNCTION("""COMPUTED_VALUE"""),15.75)</f>
        <v>15.75</v>
      </c>
      <c r="H819" s="77">
        <f>IFERROR(__xludf.DUMMYFUNCTION("""COMPUTED_VALUE"""),20.75)</f>
        <v>20.75</v>
      </c>
      <c r="I819" s="77">
        <f>IFERROR(__xludf.DUMMYFUNCTION("""COMPUTED_VALUE"""),100.0)</f>
        <v>100</v>
      </c>
      <c r="J819" s="73"/>
      <c r="K819" s="73"/>
      <c r="L819" s="73"/>
      <c r="M819" s="77">
        <f>IFERROR(__xludf.DUMMYFUNCTION("""COMPUTED_VALUE"""),0.1)</f>
        <v>0.1</v>
      </c>
      <c r="N819" s="77">
        <f>IFERROR(__xludf.DUMMYFUNCTION("""COMPUTED_VALUE"""),1.0)</f>
        <v>1</v>
      </c>
      <c r="O819" s="49"/>
      <c r="P819" s="49" t="str">
        <f>IFERROR(__xludf.DUMMYFUNCTION("""COMPUTED_VALUE"""),"Offset")</f>
        <v>Offset</v>
      </c>
      <c r="Q819" s="49" t="str">
        <f>IFERROR(__xludf.DUMMYFUNCTION("""COMPUTED_VALUE"""),"Packaging")</f>
        <v>Packaging</v>
      </c>
      <c r="R819" s="49" t="str">
        <f>IFERROR(__xludf.DUMMYFUNCTION("""COMPUTED_VALUE"""),"Daily Essential")</f>
        <v>Daily Essential</v>
      </c>
    </row>
    <row r="820">
      <c r="A820" s="156" t="str">
        <f>IFERROR(__xludf.DUMMYFUNCTION("""COMPUTED_VALUE"""),"https://drive.google.com/open?id=1-ZDr92lbyFoPc7pgvW03E8Yrg1GbmgvL&amp;authuser=jay.agg%40gmail.com&amp;usp=drive_fs")</f>
        <v>https://drive.google.com/open?id=1-ZDr92lbyFoPc7pgvW03E8Yrg1GbmgvL&amp;authuser=jay.agg%40gmail.com&amp;usp=drive_fs</v>
      </c>
      <c r="B820" s="73" t="str">
        <f>IFERROR(__xludf.DUMMYFUNCTION("""COMPUTED_VALUE"""),"Daily Essential")</f>
        <v>Daily Essential</v>
      </c>
      <c r="C820" s="73" t="str">
        <f>IFERROR(__xludf.DUMMYFUNCTION("""COMPUTED_VALUE"""),"Perfume")</f>
        <v>Perfume</v>
      </c>
      <c r="D820" s="73" t="str">
        <f>IFERROR(__xludf.DUMMYFUNCTION("""COMPUTED_VALUE"""),"20*20*125 mm | 0.8*0.8*5 inch")</f>
        <v>20*20*125 mm | 0.8*0.8*5 inch</v>
      </c>
      <c r="E820" s="77">
        <f>IFERROR(__xludf.DUMMYFUNCTION("""COMPUTED_VALUE"""),12.0)</f>
        <v>12</v>
      </c>
      <c r="F820" s="77">
        <f>IFERROR(__xludf.DUMMYFUNCTION("""COMPUTED_VALUE"""),1926.0)</f>
        <v>1926</v>
      </c>
      <c r="G820" s="77">
        <f>IFERROR(__xludf.DUMMYFUNCTION("""COMPUTED_VALUE"""),15.75)</f>
        <v>15.75</v>
      </c>
      <c r="H820" s="77">
        <f>IFERROR(__xludf.DUMMYFUNCTION("""COMPUTED_VALUE"""),20.75)</f>
        <v>20.75</v>
      </c>
      <c r="I820" s="77">
        <f>IFERROR(__xludf.DUMMYFUNCTION("""COMPUTED_VALUE"""),100.0)</f>
        <v>100</v>
      </c>
      <c r="J820" s="73"/>
      <c r="K820" s="73"/>
      <c r="L820" s="73"/>
      <c r="M820" s="77">
        <f>IFERROR(__xludf.DUMMYFUNCTION("""COMPUTED_VALUE"""),0.1)</f>
        <v>0.1</v>
      </c>
      <c r="N820" s="77">
        <f>IFERROR(__xludf.DUMMYFUNCTION("""COMPUTED_VALUE"""),1.0)</f>
        <v>1</v>
      </c>
      <c r="O820" s="49"/>
      <c r="P820" s="49" t="str">
        <f>IFERROR(__xludf.DUMMYFUNCTION("""COMPUTED_VALUE"""),"Offset")</f>
        <v>Offset</v>
      </c>
      <c r="Q820" s="49" t="str">
        <f>IFERROR(__xludf.DUMMYFUNCTION("""COMPUTED_VALUE"""),"Packaging")</f>
        <v>Packaging</v>
      </c>
      <c r="R820" s="49" t="str">
        <f>IFERROR(__xludf.DUMMYFUNCTION("""COMPUTED_VALUE"""),"Daily Essential")</f>
        <v>Daily Essential</v>
      </c>
    </row>
    <row r="821">
      <c r="A821" s="156" t="str">
        <f>IFERROR(__xludf.DUMMYFUNCTION("""COMPUTED_VALUE"""),"https://drive.google.com/open?id=1GuqdqRzoEBYF1oa0EICvBzNTGsuB4Y7o&amp;authuser=jay.agg%40gmail.com&amp;usp=drive_fs")</f>
        <v>https://drive.google.com/open?id=1GuqdqRzoEBYF1oa0EICvBzNTGsuB4Y7o&amp;authuser=jay.agg%40gmail.com&amp;usp=drive_fs</v>
      </c>
      <c r="B821" s="73" t="str">
        <f>IFERROR(__xludf.DUMMYFUNCTION("""COMPUTED_VALUE"""),"Daily Essential")</f>
        <v>Daily Essential</v>
      </c>
      <c r="C821" s="73" t="str">
        <f>IFERROR(__xludf.DUMMYFUNCTION("""COMPUTED_VALUE"""),"Perfume")</f>
        <v>Perfume</v>
      </c>
      <c r="D821" s="73" t="str">
        <f>IFERROR(__xludf.DUMMYFUNCTION("""COMPUTED_VALUE"""),"45*30*120 mm | 1.8*1.2*4.7 inch")</f>
        <v>45*30*120 mm | 1.8*1.2*4.7 inch</v>
      </c>
      <c r="E821" s="77">
        <f>IFERROR(__xludf.DUMMYFUNCTION("""COMPUTED_VALUE"""),6.0)</f>
        <v>6</v>
      </c>
      <c r="F821" s="77">
        <f>IFERROR(__xludf.DUMMYFUNCTION("""COMPUTED_VALUE"""),1926.0)</f>
        <v>1926</v>
      </c>
      <c r="G821" s="77">
        <f>IFERROR(__xludf.DUMMYFUNCTION("""COMPUTED_VALUE"""),13.0)</f>
        <v>13</v>
      </c>
      <c r="H821" s="77">
        <f>IFERROR(__xludf.DUMMYFUNCTION("""COMPUTED_VALUE"""),23.0)</f>
        <v>23</v>
      </c>
      <c r="I821" s="77">
        <f>IFERROR(__xludf.DUMMYFUNCTION("""COMPUTED_VALUE"""),100.0)</f>
        <v>100</v>
      </c>
      <c r="J821" s="73"/>
      <c r="K821" s="73"/>
      <c r="L821" s="73"/>
      <c r="M821" s="77">
        <f>IFERROR(__xludf.DUMMYFUNCTION("""COMPUTED_VALUE"""),0.1)</f>
        <v>0.1</v>
      </c>
      <c r="N821" s="77">
        <f>IFERROR(__xludf.DUMMYFUNCTION("""COMPUTED_VALUE"""),1.0)</f>
        <v>1</v>
      </c>
      <c r="O821" s="49"/>
      <c r="P821" s="49" t="str">
        <f>IFERROR(__xludf.DUMMYFUNCTION("""COMPUTED_VALUE"""),"Offset")</f>
        <v>Offset</v>
      </c>
      <c r="Q821" s="49" t="str">
        <f>IFERROR(__xludf.DUMMYFUNCTION("""COMPUTED_VALUE"""),"Packaging")</f>
        <v>Packaging</v>
      </c>
      <c r="R821" s="49" t="str">
        <f>IFERROR(__xludf.DUMMYFUNCTION("""COMPUTED_VALUE"""),"Daily Essential")</f>
        <v>Daily Essential</v>
      </c>
    </row>
    <row r="822">
      <c r="A822" s="156" t="str">
        <f>IFERROR(__xludf.DUMMYFUNCTION("""COMPUTED_VALUE"""),"https://drive.google.com/open?id=1H5xaahs2SXPJwiVHCDiSbRUfxM68Qrhz&amp;authuser=jay.agg%40gmail.com&amp;usp=drive_fs")</f>
        <v>https://drive.google.com/open?id=1H5xaahs2SXPJwiVHCDiSbRUfxM68Qrhz&amp;authuser=jay.agg%40gmail.com&amp;usp=drive_fs</v>
      </c>
      <c r="B822" s="73" t="str">
        <f>IFERROR(__xludf.DUMMYFUNCTION("""COMPUTED_VALUE"""),"Daily Essential")</f>
        <v>Daily Essential</v>
      </c>
      <c r="C822" s="73" t="str">
        <f>IFERROR(__xludf.DUMMYFUNCTION("""COMPUTED_VALUE"""),"Comb")</f>
        <v>Comb</v>
      </c>
      <c r="D822" s="73" t="str">
        <f>IFERROR(__xludf.DUMMYFUNCTION("""COMPUTED_VALUE"""),"60*45*160 mm | 2.4*1.8*6.3 inch IL")</f>
        <v>60*45*160 mm | 2.4*1.8*6.3 inch IL</v>
      </c>
      <c r="E822" s="77">
        <f>IFERROR(__xludf.DUMMYFUNCTION("""COMPUTED_VALUE"""),4.0)</f>
        <v>4</v>
      </c>
      <c r="F822" s="77">
        <f>IFERROR(__xludf.DUMMYFUNCTION("""COMPUTED_VALUE"""),1926.0)</f>
        <v>1926</v>
      </c>
      <c r="G822" s="77">
        <f>IFERROR(__xludf.DUMMYFUNCTION("""COMPUTED_VALUE"""),18.0)</f>
        <v>18</v>
      </c>
      <c r="H822" s="77">
        <f>IFERROR(__xludf.DUMMYFUNCTION("""COMPUTED_VALUE"""),23.0)</f>
        <v>23</v>
      </c>
      <c r="I822" s="77">
        <f>IFERROR(__xludf.DUMMYFUNCTION("""COMPUTED_VALUE"""),100.0)</f>
        <v>100</v>
      </c>
      <c r="J822" s="73"/>
      <c r="K822" s="73"/>
      <c r="L822" s="73"/>
      <c r="M822" s="77">
        <f>IFERROR(__xludf.DUMMYFUNCTION("""COMPUTED_VALUE"""),0.1)</f>
        <v>0.1</v>
      </c>
      <c r="N822" s="77">
        <f>IFERROR(__xludf.DUMMYFUNCTION("""COMPUTED_VALUE"""),1.0)</f>
        <v>1</v>
      </c>
      <c r="O822" s="49"/>
      <c r="P822" s="49" t="str">
        <f>IFERROR(__xludf.DUMMYFUNCTION("""COMPUTED_VALUE"""),"Offset")</f>
        <v>Offset</v>
      </c>
      <c r="Q822" s="49" t="str">
        <f>IFERROR(__xludf.DUMMYFUNCTION("""COMPUTED_VALUE"""),"Packaging")</f>
        <v>Packaging</v>
      </c>
      <c r="R822" s="49" t="str">
        <f>IFERROR(__xludf.DUMMYFUNCTION("""COMPUTED_VALUE"""),"Daily Essential")</f>
        <v>Daily Essential</v>
      </c>
    </row>
    <row r="823">
      <c r="A823" s="156" t="str">
        <f>IFERROR(__xludf.DUMMYFUNCTION("""COMPUTED_VALUE"""),"https://drive.google.com/open?id=11FPnGUeGvaIX2wWazJHzexSvq9aRSY_i&amp;usp=drive_fs")</f>
        <v>https://drive.google.com/open?id=11FPnGUeGvaIX2wWazJHzexSvq9aRSY_i&amp;usp=drive_fs</v>
      </c>
      <c r="B823" s="73" t="str">
        <f>IFERROR(__xludf.DUMMYFUNCTION("""COMPUTED_VALUE"""),"Daily Essential")</f>
        <v>Daily Essential</v>
      </c>
      <c r="C823" s="73" t="str">
        <f>IFERROR(__xludf.DUMMYFUNCTION("""COMPUTED_VALUE"""),"Acne Patch")</f>
        <v>Acne Patch</v>
      </c>
      <c r="D823" s="73" t="str">
        <f>IFERROR(__xludf.DUMMYFUNCTION("""COMPUTED_VALUE"""),"100*20*125 mm | 3.9*0.8*4.9 inch")</f>
        <v>100*20*125 mm | 3.9*0.8*4.9 inch</v>
      </c>
      <c r="E823" s="77">
        <f>IFERROR(__xludf.DUMMYFUNCTION("""COMPUTED_VALUE"""),4.0)</f>
        <v>4</v>
      </c>
      <c r="F823" s="77">
        <f>IFERROR(__xludf.DUMMYFUNCTION("""COMPUTED_VALUE"""),1926.0)</f>
        <v>1926</v>
      </c>
      <c r="G823" s="77">
        <f>IFERROR(__xludf.DUMMYFUNCTION("""COMPUTED_VALUE"""),14.0)</f>
        <v>14</v>
      </c>
      <c r="H823" s="77">
        <f>IFERROR(__xludf.DUMMYFUNCTION("""COMPUTED_VALUE"""),22.0)</f>
        <v>22</v>
      </c>
      <c r="I823" s="77">
        <f>IFERROR(__xludf.DUMMYFUNCTION("""COMPUTED_VALUE"""),100.0)</f>
        <v>100</v>
      </c>
      <c r="J823" s="73"/>
      <c r="K823" s="73"/>
      <c r="L823" s="73"/>
      <c r="M823" s="77">
        <f>IFERROR(__xludf.DUMMYFUNCTION("""COMPUTED_VALUE"""),0.1)</f>
        <v>0.1</v>
      </c>
      <c r="N823" s="77">
        <f>IFERROR(__xludf.DUMMYFUNCTION("""COMPUTED_VALUE"""),1.0)</f>
        <v>1</v>
      </c>
      <c r="O823" s="49"/>
      <c r="P823" s="49" t="str">
        <f>IFERROR(__xludf.DUMMYFUNCTION("""COMPUTED_VALUE"""),"Offset")</f>
        <v>Offset</v>
      </c>
      <c r="Q823" s="49" t="str">
        <f>IFERROR(__xludf.DUMMYFUNCTION("""COMPUTED_VALUE"""),"Packaging")</f>
        <v>Packaging</v>
      </c>
      <c r="R823" s="49" t="str">
        <f>IFERROR(__xludf.DUMMYFUNCTION("""COMPUTED_VALUE"""),"Daily Essential")</f>
        <v>Daily Essential</v>
      </c>
    </row>
    <row r="824">
      <c r="A824" s="156" t="str">
        <f>IFERROR(__xludf.DUMMYFUNCTION("""COMPUTED_VALUE"""),"https://drive.google.com/open?id=11Fuw0h_fUr9B7_FwI89YV6GYrGApaX3k&amp;usp=drive_fs")</f>
        <v>https://drive.google.com/open?id=11Fuw0h_fUr9B7_FwI89YV6GYrGApaX3k&amp;usp=drive_fs</v>
      </c>
      <c r="B824" s="73" t="str">
        <f>IFERROR(__xludf.DUMMYFUNCTION("""COMPUTED_VALUE"""),"Daily Essential")</f>
        <v>Daily Essential</v>
      </c>
      <c r="C824" s="73" t="str">
        <f>IFERROR(__xludf.DUMMYFUNCTION("""COMPUTED_VALUE"""),"Acne Patch")</f>
        <v>Acne Patch</v>
      </c>
      <c r="D824" s="73" t="str">
        <f>IFERROR(__xludf.DUMMYFUNCTION("""COMPUTED_VALUE"""),"75*10*135 mm | 2.9*0.4*5.3 inch")</f>
        <v>75*10*135 mm | 2.9*0.4*5.3 inch</v>
      </c>
      <c r="E824" s="77">
        <f>IFERROR(__xludf.DUMMYFUNCTION("""COMPUTED_VALUE"""),8.0)</f>
        <v>8</v>
      </c>
      <c r="F824" s="77">
        <f>IFERROR(__xludf.DUMMYFUNCTION("""COMPUTED_VALUE"""),2029.0)</f>
        <v>2029</v>
      </c>
      <c r="G824" s="77">
        <f>IFERROR(__xludf.DUMMYFUNCTION("""COMPUTED_VALUE"""),19.0)</f>
        <v>19</v>
      </c>
      <c r="H824" s="77">
        <f>IFERROR(__xludf.DUMMYFUNCTION("""COMPUTED_VALUE"""),26.0)</f>
        <v>26</v>
      </c>
      <c r="I824" s="77">
        <f>IFERROR(__xludf.DUMMYFUNCTION("""COMPUTED_VALUE"""),100.0)</f>
        <v>100</v>
      </c>
      <c r="J824" s="73"/>
      <c r="K824" s="73"/>
      <c r="L824" s="73"/>
      <c r="M824" s="77">
        <f>IFERROR(__xludf.DUMMYFUNCTION("""COMPUTED_VALUE"""),0.1)</f>
        <v>0.1</v>
      </c>
      <c r="N824" s="77">
        <f>IFERROR(__xludf.DUMMYFUNCTION("""COMPUTED_VALUE"""),1.0)</f>
        <v>1</v>
      </c>
      <c r="O824" s="49"/>
      <c r="P824" s="49" t="str">
        <f>IFERROR(__xludf.DUMMYFUNCTION("""COMPUTED_VALUE"""),"Offset")</f>
        <v>Offset</v>
      </c>
      <c r="Q824" s="49" t="str">
        <f>IFERROR(__xludf.DUMMYFUNCTION("""COMPUTED_VALUE"""),"Packaging")</f>
        <v>Packaging</v>
      </c>
      <c r="R824" s="49" t="str">
        <f>IFERROR(__xludf.DUMMYFUNCTION("""COMPUTED_VALUE"""),"Daily Essential")</f>
        <v>Daily Essential</v>
      </c>
    </row>
    <row r="825">
      <c r="A825" s="156" t="str">
        <f>IFERROR(__xludf.DUMMYFUNCTION("""COMPUTED_VALUE"""),"https://drive.google.com/open?id=13Qw2UkSu7Dah-jec0_SRVyAOCI4bV_dg&amp;usp=drive_fs")</f>
        <v>https://drive.google.com/open?id=13Qw2UkSu7Dah-jec0_SRVyAOCI4bV_dg&amp;usp=drive_fs</v>
      </c>
      <c r="B825" s="73" t="str">
        <f>IFERROR(__xludf.DUMMYFUNCTION("""COMPUTED_VALUE"""),"Daily Essential")</f>
        <v>Daily Essential</v>
      </c>
      <c r="C825" s="73" t="str">
        <f>IFERROR(__xludf.DUMMYFUNCTION("""COMPUTED_VALUE"""),"Perfume")</f>
        <v>Perfume</v>
      </c>
      <c r="D825" s="73" t="str">
        <f>IFERROR(__xludf.DUMMYFUNCTION("""COMPUTED_VALUE"""),"60*40*110 mm |  2.3*1.6*4.3 inch")</f>
        <v>60*40*110 mm |  2.3*1.6*4.3 inch</v>
      </c>
      <c r="E825" s="77">
        <f>IFERROR(__xludf.DUMMYFUNCTION("""COMPUTED_VALUE"""),6.0)</f>
        <v>6</v>
      </c>
      <c r="F825" s="77">
        <f>IFERROR(__xludf.DUMMYFUNCTION("""COMPUTED_VALUE"""),1926.0)</f>
        <v>1926</v>
      </c>
      <c r="G825" s="77">
        <f>IFERROR(__xludf.DUMMYFUNCTION("""COMPUTED_VALUE"""),18.0)</f>
        <v>18</v>
      </c>
      <c r="H825" s="77">
        <f>IFERROR(__xludf.DUMMYFUNCTION("""COMPUTED_VALUE"""),23.0)</f>
        <v>23</v>
      </c>
      <c r="I825" s="77">
        <f>IFERROR(__xludf.DUMMYFUNCTION("""COMPUTED_VALUE"""),100.0)</f>
        <v>100</v>
      </c>
      <c r="J825" s="73"/>
      <c r="K825" s="73"/>
      <c r="L825" s="73"/>
      <c r="M825" s="77">
        <f>IFERROR(__xludf.DUMMYFUNCTION("""COMPUTED_VALUE"""),0.1)</f>
        <v>0.1</v>
      </c>
      <c r="N825" s="77">
        <f>IFERROR(__xludf.DUMMYFUNCTION("""COMPUTED_VALUE"""),1.0)</f>
        <v>1</v>
      </c>
      <c r="O825" s="49"/>
      <c r="P825" s="49" t="str">
        <f>IFERROR(__xludf.DUMMYFUNCTION("""COMPUTED_VALUE"""),"Offset")</f>
        <v>Offset</v>
      </c>
      <c r="Q825" s="49" t="str">
        <f>IFERROR(__xludf.DUMMYFUNCTION("""COMPUTED_VALUE"""),"Packaging")</f>
        <v>Packaging</v>
      </c>
      <c r="R825" s="49" t="str">
        <f>IFERROR(__xludf.DUMMYFUNCTION("""COMPUTED_VALUE"""),"Daily Essential")</f>
        <v>Daily Essential</v>
      </c>
    </row>
    <row r="826">
      <c r="A826" s="156" t="str">
        <f>IFERROR(__xludf.DUMMYFUNCTION("""COMPUTED_VALUE"""),"https://drive.google.com/open?id=13WgjlmaZ4EvFP-3oHy8Ktf6xnJCz0WO_&amp;usp=drive_fs")</f>
        <v>https://drive.google.com/open?id=13WgjlmaZ4EvFP-3oHy8Ktf6xnJCz0WO_&amp;usp=drive_fs</v>
      </c>
      <c r="B826" s="73" t="str">
        <f>IFERROR(__xludf.DUMMYFUNCTION("""COMPUTED_VALUE"""),"Daily Essential")</f>
        <v>Daily Essential</v>
      </c>
      <c r="C826" s="73" t="str">
        <f>IFERROR(__xludf.DUMMYFUNCTION("""COMPUTED_VALUE"""),"Tooth Brush")</f>
        <v>Tooth Brush</v>
      </c>
      <c r="D826" s="73" t="str">
        <f>IFERROR(__xludf.DUMMYFUNCTION("""COMPUTED_VALUE"""),"19*19*158 mm | 0.8*0.8*6.2 inch")</f>
        <v>19*19*158 mm | 0.8*0.8*6.2 inch</v>
      </c>
      <c r="E826" s="77">
        <f>IFERROR(__xludf.DUMMYFUNCTION("""COMPUTED_VALUE"""),12.0)</f>
        <v>12</v>
      </c>
      <c r="F826" s="77">
        <f>IFERROR(__xludf.DUMMYFUNCTION("""COMPUTED_VALUE"""),1926.0)</f>
        <v>1926</v>
      </c>
      <c r="G826" s="77">
        <f>IFERROR(__xludf.DUMMYFUNCTION("""COMPUTED_VALUE"""),18.0)</f>
        <v>18</v>
      </c>
      <c r="H826" s="77">
        <f>IFERROR(__xludf.DUMMYFUNCTION("""COMPUTED_VALUE"""),23.0)</f>
        <v>23</v>
      </c>
      <c r="I826" s="77">
        <f>IFERROR(__xludf.DUMMYFUNCTION("""COMPUTED_VALUE"""),100.0)</f>
        <v>100</v>
      </c>
      <c r="J826" s="73"/>
      <c r="K826" s="73"/>
      <c r="L826" s="73"/>
      <c r="M826" s="77">
        <f>IFERROR(__xludf.DUMMYFUNCTION("""COMPUTED_VALUE"""),0.1)</f>
        <v>0.1</v>
      </c>
      <c r="N826" s="77">
        <f>IFERROR(__xludf.DUMMYFUNCTION("""COMPUTED_VALUE"""),1.0)</f>
        <v>1</v>
      </c>
      <c r="O826" s="49"/>
      <c r="P826" s="49" t="str">
        <f>IFERROR(__xludf.DUMMYFUNCTION("""COMPUTED_VALUE"""),"Offset")</f>
        <v>Offset</v>
      </c>
      <c r="Q826" s="49" t="str">
        <f>IFERROR(__xludf.DUMMYFUNCTION("""COMPUTED_VALUE"""),"Packaging")</f>
        <v>Packaging</v>
      </c>
      <c r="R826" s="49" t="str">
        <f>IFERROR(__xludf.DUMMYFUNCTION("""COMPUTED_VALUE"""),"Daily Essential")</f>
        <v>Daily Essential</v>
      </c>
    </row>
    <row r="827">
      <c r="A827" s="156" t="str">
        <f>IFERROR(__xludf.DUMMYFUNCTION("""COMPUTED_VALUE"""),"https://drive.google.com/open?id=13XI0qkTGmD3iECelEKcI0QVooLem0D-d&amp;usp=drive_fs")</f>
        <v>https://drive.google.com/open?id=13XI0qkTGmD3iECelEKcI0QVooLem0D-d&amp;usp=drive_fs</v>
      </c>
      <c r="B827" s="73" t="str">
        <f>IFERROR(__xludf.DUMMYFUNCTION("""COMPUTED_VALUE"""),"Daily Essential")</f>
        <v>Daily Essential</v>
      </c>
      <c r="C827" s="73" t="str">
        <f>IFERROR(__xludf.DUMMYFUNCTION("""COMPUTED_VALUE"""),"Tooth Brush")</f>
        <v>Tooth Brush</v>
      </c>
      <c r="D827" s="73" t="str">
        <f>IFERROR(__xludf.DUMMYFUNCTION("""COMPUTED_VALUE"""),"20*20*200 mm | 0.8*0.8*7.9 inch")</f>
        <v>20*20*200 mm | 0.8*0.8*7.9 inch</v>
      </c>
      <c r="E827" s="77">
        <f>IFERROR(__xludf.DUMMYFUNCTION("""COMPUTED_VALUE"""),8.0)</f>
        <v>8</v>
      </c>
      <c r="F827" s="77">
        <f>IFERROR(__xludf.DUMMYFUNCTION("""COMPUTED_VALUE"""),1926.0)</f>
        <v>1926</v>
      </c>
      <c r="G827" s="77">
        <f>IFERROR(__xludf.DUMMYFUNCTION("""COMPUTED_VALUE"""),15.75)</f>
        <v>15.75</v>
      </c>
      <c r="H827" s="77">
        <f>IFERROR(__xludf.DUMMYFUNCTION("""COMPUTED_VALUE"""),20.75)</f>
        <v>20.75</v>
      </c>
      <c r="I827" s="77">
        <f>IFERROR(__xludf.DUMMYFUNCTION("""COMPUTED_VALUE"""),100.0)</f>
        <v>100</v>
      </c>
      <c r="J827" s="73"/>
      <c r="K827" s="73"/>
      <c r="L827" s="73"/>
      <c r="M827" s="77">
        <f>IFERROR(__xludf.DUMMYFUNCTION("""COMPUTED_VALUE"""),0.1)</f>
        <v>0.1</v>
      </c>
      <c r="N827" s="77">
        <f>IFERROR(__xludf.DUMMYFUNCTION("""COMPUTED_VALUE"""),1.0)</f>
        <v>1</v>
      </c>
      <c r="O827" s="49"/>
      <c r="P827" s="49" t="str">
        <f>IFERROR(__xludf.DUMMYFUNCTION("""COMPUTED_VALUE"""),"Offset")</f>
        <v>Offset</v>
      </c>
      <c r="Q827" s="49" t="str">
        <f>IFERROR(__xludf.DUMMYFUNCTION("""COMPUTED_VALUE"""),"Packaging")</f>
        <v>Packaging</v>
      </c>
      <c r="R827" s="49" t="str">
        <f>IFERROR(__xludf.DUMMYFUNCTION("""COMPUTED_VALUE"""),"Daily Essential")</f>
        <v>Daily Essential</v>
      </c>
    </row>
    <row r="828">
      <c r="A828" s="156" t="str">
        <f>IFERROR(__xludf.DUMMYFUNCTION("""COMPUTED_VALUE"""),"https://drive.google.com/open?id=1OaT1BOTmIUg29KGkPH4T432pQfb6cdEp&amp;usp=drive_fs")</f>
        <v>https://drive.google.com/open?id=1OaT1BOTmIUg29KGkPH4T432pQfb6cdEp&amp;usp=drive_fs</v>
      </c>
      <c r="B828" s="73" t="str">
        <f>IFERROR(__xludf.DUMMYFUNCTION("""COMPUTED_VALUE"""),"Daily Essential")</f>
        <v>Daily Essential</v>
      </c>
      <c r="C828" s="73" t="str">
        <f>IFERROR(__xludf.DUMMYFUNCTION("""COMPUTED_VALUE"""),"Nose Strip")</f>
        <v>Nose Strip</v>
      </c>
      <c r="D828" s="73" t="str">
        <f>IFERROR(__xludf.DUMMYFUNCTION("""COMPUTED_VALUE"""),"95*15*125 mm | 3.74*0.6*4.9 inch")</f>
        <v>95*15*125 mm | 3.74*0.6*4.9 inch</v>
      </c>
      <c r="E828" s="77">
        <f>IFERROR(__xludf.DUMMYFUNCTION("""COMPUTED_VALUE"""),4.0)</f>
        <v>4</v>
      </c>
      <c r="F828" s="77">
        <f>IFERROR(__xludf.DUMMYFUNCTION("""COMPUTED_VALUE"""),1926.0)</f>
        <v>1926</v>
      </c>
      <c r="G828" s="77">
        <f>IFERROR(__xludf.DUMMYFUNCTION("""COMPUTED_VALUE"""),14.0)</f>
        <v>14</v>
      </c>
      <c r="H828" s="77">
        <f>IFERROR(__xludf.DUMMYFUNCTION("""COMPUTED_VALUE"""),22.0)</f>
        <v>22</v>
      </c>
      <c r="I828" s="77">
        <f>IFERROR(__xludf.DUMMYFUNCTION("""COMPUTED_VALUE"""),100.0)</f>
        <v>100</v>
      </c>
      <c r="J828" s="73"/>
      <c r="K828" s="73"/>
      <c r="L828" s="73"/>
      <c r="M828" s="77">
        <f>IFERROR(__xludf.DUMMYFUNCTION("""COMPUTED_VALUE"""),0.1)</f>
        <v>0.1</v>
      </c>
      <c r="N828" s="77">
        <f>IFERROR(__xludf.DUMMYFUNCTION("""COMPUTED_VALUE"""),1.0)</f>
        <v>1</v>
      </c>
      <c r="O828" s="49"/>
      <c r="P828" s="49" t="str">
        <f>IFERROR(__xludf.DUMMYFUNCTION("""COMPUTED_VALUE"""),"Offset")</f>
        <v>Offset</v>
      </c>
      <c r="Q828" s="49" t="str">
        <f>IFERROR(__xludf.DUMMYFUNCTION("""COMPUTED_VALUE"""),"Packaging")</f>
        <v>Packaging</v>
      </c>
      <c r="R828" s="49" t="str">
        <f>IFERROR(__xludf.DUMMYFUNCTION("""COMPUTED_VALUE"""),"Daily Essential")</f>
        <v>Daily Essential</v>
      </c>
    </row>
    <row r="829">
      <c r="A829" s="156" t="str">
        <f>IFERROR(__xludf.DUMMYFUNCTION("""COMPUTED_VALUE"""),"https://drive.google.com/open?id=1PV-SUP0AEE4pi0VrbfCEazrfeNh2NYzo&amp;usp=drive_fs")</f>
        <v>https://drive.google.com/open?id=1PV-SUP0AEE4pi0VrbfCEazrfeNh2NYzo&amp;usp=drive_fs</v>
      </c>
      <c r="B829" s="73" t="str">
        <f>IFERROR(__xludf.DUMMYFUNCTION("""COMPUTED_VALUE"""),"Daily Essential")</f>
        <v>Daily Essential</v>
      </c>
      <c r="C829" s="73" t="str">
        <f>IFERROR(__xludf.DUMMYFUNCTION("""COMPUTED_VALUE"""),"Tissue Box")</f>
        <v>Tissue Box</v>
      </c>
      <c r="D829" s="73" t="str">
        <f>IFERROR(__xludf.DUMMYFUNCTION("""COMPUTED_VALUE"""),"115*115*115 mm | 4.5*4.5*4.5 inch")</f>
        <v>115*115*115 mm | 4.5*4.5*4.5 inch</v>
      </c>
      <c r="E829" s="77">
        <f>IFERROR(__xludf.DUMMYFUNCTION("""COMPUTED_VALUE"""),2.0)</f>
        <v>2</v>
      </c>
      <c r="F829" s="77">
        <f>IFERROR(__xludf.DUMMYFUNCTION("""COMPUTED_VALUE"""),1926.0)</f>
        <v>1926</v>
      </c>
      <c r="G829" s="77">
        <f>IFERROR(__xludf.DUMMYFUNCTION("""COMPUTED_VALUE"""),19.0)</f>
        <v>19</v>
      </c>
      <c r="H829" s="77">
        <f>IFERROR(__xludf.DUMMYFUNCTION("""COMPUTED_VALUE"""),26.0)</f>
        <v>26</v>
      </c>
      <c r="I829" s="77">
        <f>IFERROR(__xludf.DUMMYFUNCTION("""COMPUTED_VALUE"""),100.0)</f>
        <v>100</v>
      </c>
      <c r="J829" s="73"/>
      <c r="K829" s="73"/>
      <c r="L829" s="73"/>
      <c r="M829" s="77">
        <f>IFERROR(__xludf.DUMMYFUNCTION("""COMPUTED_VALUE"""),0.12)</f>
        <v>0.12</v>
      </c>
      <c r="N829" s="77">
        <f>IFERROR(__xludf.DUMMYFUNCTION("""COMPUTED_VALUE"""),1.0)</f>
        <v>1</v>
      </c>
      <c r="O829" s="49"/>
      <c r="P829" s="49" t="str">
        <f>IFERROR(__xludf.DUMMYFUNCTION("""COMPUTED_VALUE"""),"Offset")</f>
        <v>Offset</v>
      </c>
      <c r="Q829" s="49" t="str">
        <f>IFERROR(__xludf.DUMMYFUNCTION("""COMPUTED_VALUE"""),"Packaging")</f>
        <v>Packaging</v>
      </c>
      <c r="R829" s="49" t="str">
        <f>IFERROR(__xludf.DUMMYFUNCTION("""COMPUTED_VALUE"""),"Daily Essential")</f>
        <v>Daily Essential</v>
      </c>
    </row>
    <row r="830">
      <c r="A830" s="156" t="str">
        <f>IFERROR(__xludf.DUMMYFUNCTION("""COMPUTED_VALUE"""),"https://drive.google.com/open?id=1R4gJNBbumNBln4DLu26MKMqyh5WdS02l&amp;usp=drive_fs")</f>
        <v>https://drive.google.com/open?id=1R4gJNBbumNBln4DLu26MKMqyh5WdS02l&amp;usp=drive_fs</v>
      </c>
      <c r="B830" s="73" t="str">
        <f>IFERROR(__xludf.DUMMYFUNCTION("""COMPUTED_VALUE"""),"Daily Essential")</f>
        <v>Daily Essential</v>
      </c>
      <c r="C830" s="73" t="str">
        <f>IFERROR(__xludf.DUMMYFUNCTION("""COMPUTED_VALUE"""),"Soap Box")</f>
        <v>Soap Box</v>
      </c>
      <c r="D830" s="73" t="str">
        <f>IFERROR(__xludf.DUMMYFUNCTION("""COMPUTED_VALUE"""),"80*55*24 mm | 3.15*2.1*1 inch")</f>
        <v>80*55*24 mm | 3.15*2.1*1 inch</v>
      </c>
      <c r="E830" s="77">
        <f>IFERROR(__xludf.DUMMYFUNCTION("""COMPUTED_VALUE"""),9.0)</f>
        <v>9</v>
      </c>
      <c r="F830" s="77">
        <f>IFERROR(__xludf.DUMMYFUNCTION("""COMPUTED_VALUE"""),1926.0)</f>
        <v>1926</v>
      </c>
      <c r="G830" s="77">
        <f>IFERROR(__xludf.DUMMYFUNCTION("""COMPUTED_VALUE"""),18.0)</f>
        <v>18</v>
      </c>
      <c r="H830" s="77">
        <f>IFERROR(__xludf.DUMMYFUNCTION("""COMPUTED_VALUE"""),23.0)</f>
        <v>23</v>
      </c>
      <c r="I830" s="77">
        <f>IFERROR(__xludf.DUMMYFUNCTION("""COMPUTED_VALUE"""),100.0)</f>
        <v>100</v>
      </c>
      <c r="J830" s="73"/>
      <c r="K830" s="73"/>
      <c r="L830" s="73"/>
      <c r="M830" s="77">
        <f>IFERROR(__xludf.DUMMYFUNCTION("""COMPUTED_VALUE"""),0.1)</f>
        <v>0.1</v>
      </c>
      <c r="N830" s="77">
        <f>IFERROR(__xludf.DUMMYFUNCTION("""COMPUTED_VALUE"""),1.0)</f>
        <v>1</v>
      </c>
      <c r="O830" s="49"/>
      <c r="P830" s="49" t="str">
        <f>IFERROR(__xludf.DUMMYFUNCTION("""COMPUTED_VALUE"""),"Offset")</f>
        <v>Offset</v>
      </c>
      <c r="Q830" s="49" t="str">
        <f>IFERROR(__xludf.DUMMYFUNCTION("""COMPUTED_VALUE"""),"Packaging")</f>
        <v>Packaging</v>
      </c>
      <c r="R830" s="49" t="str">
        <f>IFERROR(__xludf.DUMMYFUNCTION("""COMPUTED_VALUE"""),"Daily Essential")</f>
        <v>Daily Essential</v>
      </c>
    </row>
    <row r="831">
      <c r="A831" s="156" t="str">
        <f>IFERROR(__xludf.DUMMYFUNCTION("""COMPUTED_VALUE"""),"https://drive.google.com/open?id=1HnqmdmgomlhPEKS9kyPw905EAKelou6q&amp;usp=drive_fs")</f>
        <v>https://drive.google.com/open?id=1HnqmdmgomlhPEKS9kyPw905EAKelou6q&amp;usp=drive_fs</v>
      </c>
      <c r="B831" s="73" t="str">
        <f>IFERROR(__xludf.DUMMYFUNCTION("""COMPUTED_VALUE"""),"Daily Essential")</f>
        <v>Daily Essential</v>
      </c>
      <c r="C831" s="73" t="str">
        <f>IFERROR(__xludf.DUMMYFUNCTION("""COMPUTED_VALUE"""),"Soap Table Top")</f>
        <v>Soap Table Top</v>
      </c>
      <c r="D831" s="73" t="str">
        <f>IFERROR(__xludf.DUMMYFUNCTION("""COMPUTED_VALUE"""),"215*140*140 mm | 8.5*5.5*5.5 inch")</f>
        <v>215*140*140 mm | 8.5*5.5*5.5 inch</v>
      </c>
      <c r="E831" s="77">
        <f>IFERROR(__xludf.DUMMYFUNCTION("""COMPUTED_VALUE"""),1.0)</f>
        <v>1</v>
      </c>
      <c r="F831" s="77">
        <f>IFERROR(__xludf.DUMMYFUNCTION("""COMPUTED_VALUE"""),2840.0)</f>
        <v>2840</v>
      </c>
      <c r="G831" s="77">
        <f>IFERROR(__xludf.DUMMYFUNCTION("""COMPUTED_VALUE"""),22.0)</f>
        <v>22</v>
      </c>
      <c r="H831" s="77">
        <f>IFERROR(__xludf.DUMMYFUNCTION("""COMPUTED_VALUE"""),32.0)</f>
        <v>32</v>
      </c>
      <c r="I831" s="77">
        <f>IFERROR(__xludf.DUMMYFUNCTION("""COMPUTED_VALUE"""),100.0)</f>
        <v>100</v>
      </c>
      <c r="J831" s="73"/>
      <c r="K831" s="73"/>
      <c r="L831" s="73"/>
      <c r="M831" s="77">
        <f>IFERROR(__xludf.DUMMYFUNCTION("""COMPUTED_VALUE"""),0.2)</f>
        <v>0.2</v>
      </c>
      <c r="N831" s="77">
        <f>IFERROR(__xludf.DUMMYFUNCTION("""COMPUTED_VALUE"""),1.0)</f>
        <v>1</v>
      </c>
      <c r="O831" s="49"/>
      <c r="P831" s="49" t="str">
        <f>IFERROR(__xludf.DUMMYFUNCTION("""COMPUTED_VALUE"""),"Offset")</f>
        <v>Offset</v>
      </c>
      <c r="Q831" s="49" t="str">
        <f>IFERROR(__xludf.DUMMYFUNCTION("""COMPUTED_VALUE"""),"Packaging")</f>
        <v>Packaging</v>
      </c>
      <c r="R831" s="49" t="str">
        <f>IFERROR(__xludf.DUMMYFUNCTION("""COMPUTED_VALUE"""),"Daily Essential")</f>
        <v>Daily Essential</v>
      </c>
    </row>
    <row r="832">
      <c r="A832" s="156" t="str">
        <f>IFERROR(__xludf.DUMMYFUNCTION("""COMPUTED_VALUE"""),"https://drive.google.com/open?id=1IgoX8JNq6QGoh9xKxe4v1ELMCpTFufIh&amp;usp=drive_fs")</f>
        <v>https://drive.google.com/open?id=1IgoX8JNq6QGoh9xKxe4v1ELMCpTFufIh&amp;usp=drive_fs</v>
      </c>
      <c r="B832" s="73" t="str">
        <f>IFERROR(__xludf.DUMMYFUNCTION("""COMPUTED_VALUE"""),"Daily Essential")</f>
        <v>Daily Essential</v>
      </c>
      <c r="C832" s="73" t="str">
        <f>IFERROR(__xludf.DUMMYFUNCTION("""COMPUTED_VALUE"""),"Cup")</f>
        <v>Cup</v>
      </c>
      <c r="D832" s="73" t="str">
        <f>IFERROR(__xludf.DUMMYFUNCTION("""COMPUTED_VALUE"""),"225*80*15 mm | 8.8*3.1*0.6 inch")</f>
        <v>225*80*15 mm | 8.8*3.1*0.6 inch</v>
      </c>
      <c r="E832" s="77">
        <f>IFERROR(__xludf.DUMMYFUNCTION("""COMPUTED_VALUE"""),1.0)</f>
        <v>1</v>
      </c>
      <c r="F832" s="77">
        <f>IFERROR(__xludf.DUMMYFUNCTION("""COMPUTED_VALUE"""),1926.0)</f>
        <v>1926</v>
      </c>
      <c r="G832" s="77">
        <f>IFERROR(__xludf.DUMMYFUNCTION("""COMPUTED_VALUE"""),12.0)</f>
        <v>12</v>
      </c>
      <c r="H832" s="77">
        <f>IFERROR(__xludf.DUMMYFUNCTION("""COMPUTED_VALUE"""),23.0)</f>
        <v>23</v>
      </c>
      <c r="I832" s="77">
        <f>IFERROR(__xludf.DUMMYFUNCTION("""COMPUTED_VALUE"""),100.0)</f>
        <v>100</v>
      </c>
      <c r="J832" s="73"/>
      <c r="K832" s="73"/>
      <c r="L832" s="73"/>
      <c r="M832" s="77">
        <f>IFERROR(__xludf.DUMMYFUNCTION("""COMPUTED_VALUE"""),0.4)</f>
        <v>0.4</v>
      </c>
      <c r="N832" s="77">
        <f>IFERROR(__xludf.DUMMYFUNCTION("""COMPUTED_VALUE"""),1.0)</f>
        <v>1</v>
      </c>
      <c r="O832" s="49"/>
      <c r="P832" s="49" t="str">
        <f>IFERROR(__xludf.DUMMYFUNCTION("""COMPUTED_VALUE"""),"Offset")</f>
        <v>Offset</v>
      </c>
      <c r="Q832" s="49" t="str">
        <f>IFERROR(__xludf.DUMMYFUNCTION("""COMPUTED_VALUE"""),"Packaging")</f>
        <v>Packaging</v>
      </c>
      <c r="R832" s="49" t="str">
        <f>IFERROR(__xludf.DUMMYFUNCTION("""COMPUTED_VALUE"""),"Daily Essential")</f>
        <v>Daily Essential</v>
      </c>
    </row>
    <row r="833">
      <c r="A833" s="156" t="str">
        <f>IFERROR(__xludf.DUMMYFUNCTION("""COMPUTED_VALUE"""),"https://drive.google.com/open?id=1Im--jK83imkopy4jN5FBa3_HeSQW_I1l&amp;usp=drive_fs")</f>
        <v>https://drive.google.com/open?id=1Im--jK83imkopy4jN5FBa3_HeSQW_I1l&amp;usp=drive_fs</v>
      </c>
      <c r="B833" s="73" t="str">
        <f>IFERROR(__xludf.DUMMYFUNCTION("""COMPUTED_VALUE"""),"Daily Essential")</f>
        <v>Daily Essential</v>
      </c>
      <c r="C833" s="73" t="str">
        <f>IFERROR(__xludf.DUMMYFUNCTION("""COMPUTED_VALUE"""),"Nose Strip")</f>
        <v>Nose Strip</v>
      </c>
      <c r="D833" s="73" t="str">
        <f>IFERROR(__xludf.DUMMYFUNCTION("""COMPUTED_VALUE"""),"70*15*130 mm | 2.7*0.6*5.1 inch")</f>
        <v>70*15*130 mm | 2.7*0.6*5.1 inch</v>
      </c>
      <c r="E833" s="77">
        <f>IFERROR(__xludf.DUMMYFUNCTION("""COMPUTED_VALUE"""),6.0)</f>
        <v>6</v>
      </c>
      <c r="F833" s="77">
        <f>IFERROR(__xludf.DUMMYFUNCTION("""COMPUTED_VALUE"""),1926.0)</f>
        <v>1926</v>
      </c>
      <c r="G833" s="77">
        <f>IFERROR(__xludf.DUMMYFUNCTION("""COMPUTED_VALUE"""),18.0)</f>
        <v>18</v>
      </c>
      <c r="H833" s="77">
        <f>IFERROR(__xludf.DUMMYFUNCTION("""COMPUTED_VALUE"""),23.0)</f>
        <v>23</v>
      </c>
      <c r="I833" s="77">
        <f>IFERROR(__xludf.DUMMYFUNCTION("""COMPUTED_VALUE"""),100.0)</f>
        <v>100</v>
      </c>
      <c r="J833" s="73"/>
      <c r="K833" s="73"/>
      <c r="L833" s="73"/>
      <c r="M833" s="77">
        <f>IFERROR(__xludf.DUMMYFUNCTION("""COMPUTED_VALUE"""),0.12)</f>
        <v>0.12</v>
      </c>
      <c r="N833" s="77">
        <f>IFERROR(__xludf.DUMMYFUNCTION("""COMPUTED_VALUE"""),1.0)</f>
        <v>1</v>
      </c>
      <c r="O833" s="49"/>
      <c r="P833" s="49" t="str">
        <f>IFERROR(__xludf.DUMMYFUNCTION("""COMPUTED_VALUE"""),"Offset")</f>
        <v>Offset</v>
      </c>
      <c r="Q833" s="49" t="str">
        <f>IFERROR(__xludf.DUMMYFUNCTION("""COMPUTED_VALUE"""),"Packaging")</f>
        <v>Packaging</v>
      </c>
      <c r="R833" s="49" t="str">
        <f>IFERROR(__xludf.DUMMYFUNCTION("""COMPUTED_VALUE"""),"Daily Essential")</f>
        <v>Daily Essential</v>
      </c>
    </row>
    <row r="834">
      <c r="A834" s="156" t="str">
        <f>IFERROR(__xludf.DUMMYFUNCTION("""COMPUTED_VALUE"""),"https://drive.google.com/open?id=1VyhXGubGLuGh2r142t-qJmvufwfEtO88&amp;usp=drive_fs")</f>
        <v>https://drive.google.com/open?id=1VyhXGubGLuGh2r142t-qJmvufwfEtO88&amp;usp=drive_fs</v>
      </c>
      <c r="B834" s="73" t="str">
        <f>IFERROR(__xludf.DUMMYFUNCTION("""COMPUTED_VALUE"""),"Daily Essential")</f>
        <v>Daily Essential</v>
      </c>
      <c r="C834" s="73" t="str">
        <f>IFERROR(__xludf.DUMMYFUNCTION("""COMPUTED_VALUE"""),"Soap Box")</f>
        <v>Soap Box</v>
      </c>
      <c r="D834" s="73" t="str">
        <f>IFERROR(__xludf.DUMMYFUNCTION("""COMPUTED_VALUE"""),"90*53*28 mm | 3.5*2*1.1 inch")</f>
        <v>90*53*28 mm | 3.5*2*1.1 inch</v>
      </c>
      <c r="E834" s="77">
        <f>IFERROR(__xludf.DUMMYFUNCTION("""COMPUTED_VALUE"""),9.0)</f>
        <v>9</v>
      </c>
      <c r="F834" s="77">
        <f>IFERROR(__xludf.DUMMYFUNCTION("""COMPUTED_VALUE"""),1926.0)</f>
        <v>1926</v>
      </c>
      <c r="G834" s="77">
        <f>IFERROR(__xludf.DUMMYFUNCTION("""COMPUTED_VALUE"""),18.0)</f>
        <v>18</v>
      </c>
      <c r="H834" s="77">
        <f>IFERROR(__xludf.DUMMYFUNCTION("""COMPUTED_VALUE"""),23.0)</f>
        <v>23</v>
      </c>
      <c r="I834" s="77">
        <f>IFERROR(__xludf.DUMMYFUNCTION("""COMPUTED_VALUE"""),100.0)</f>
        <v>100</v>
      </c>
      <c r="J834" s="73"/>
      <c r="K834" s="73"/>
      <c r="L834" s="73"/>
      <c r="M834" s="77">
        <f>IFERROR(__xludf.DUMMYFUNCTION("""COMPUTED_VALUE"""),0.1)</f>
        <v>0.1</v>
      </c>
      <c r="N834" s="77">
        <f>IFERROR(__xludf.DUMMYFUNCTION("""COMPUTED_VALUE"""),1.0)</f>
        <v>1</v>
      </c>
      <c r="O834" s="49"/>
      <c r="P834" s="49" t="str">
        <f>IFERROR(__xludf.DUMMYFUNCTION("""COMPUTED_VALUE"""),"Offset")</f>
        <v>Offset</v>
      </c>
      <c r="Q834" s="49" t="str">
        <f>IFERROR(__xludf.DUMMYFUNCTION("""COMPUTED_VALUE"""),"Packaging")</f>
        <v>Packaging</v>
      </c>
      <c r="R834" s="49" t="str">
        <f>IFERROR(__xludf.DUMMYFUNCTION("""COMPUTED_VALUE"""),"Daily Essential")</f>
        <v>Daily Essential</v>
      </c>
    </row>
    <row r="835">
      <c r="A835" s="156" t="str">
        <f>IFERROR(__xludf.DUMMYFUNCTION("""COMPUTED_VALUE"""),"https://drive.google.com/open?id=1OPKNPC4OVxibfnRmJk703L1WhF-J2fCF&amp;usp=drive_fs")</f>
        <v>https://drive.google.com/open?id=1OPKNPC4OVxibfnRmJk703L1WhF-J2fCF&amp;usp=drive_fs</v>
      </c>
      <c r="B835" s="73" t="str">
        <f>IFERROR(__xludf.DUMMYFUNCTION("""COMPUTED_VALUE"""),"Daily Essential")</f>
        <v>Daily Essential</v>
      </c>
      <c r="C835" s="73" t="str">
        <f>IFERROR(__xludf.DUMMYFUNCTION("""COMPUTED_VALUE"""),"Kit")</f>
        <v>Kit</v>
      </c>
      <c r="D835" s="73" t="str">
        <f>IFERROR(__xludf.DUMMYFUNCTION("""COMPUTED_VALUE"""),"240*190*35 mm | 9.4*7.5*1.4 inch")</f>
        <v>240*190*35 mm | 9.4*7.5*1.4 inch</v>
      </c>
      <c r="E835" s="77">
        <f>IFERROR(__xludf.DUMMYFUNCTION("""COMPUTED_VALUE"""),1.0)</f>
        <v>1</v>
      </c>
      <c r="F835" s="77">
        <f>IFERROR(__xludf.DUMMYFUNCTION("""COMPUTED_VALUE"""),1926.0)</f>
        <v>1926</v>
      </c>
      <c r="G835" s="77">
        <f>IFERROR(__xludf.DUMMYFUNCTION("""COMPUTED_VALUE"""),15.75)</f>
        <v>15.75</v>
      </c>
      <c r="H835" s="77">
        <f>IFERROR(__xludf.DUMMYFUNCTION("""COMPUTED_VALUE"""),20.75)</f>
        <v>20.75</v>
      </c>
      <c r="I835" s="77">
        <f>IFERROR(__xludf.DUMMYFUNCTION("""COMPUTED_VALUE"""),100.0)</f>
        <v>100</v>
      </c>
      <c r="J835" s="73"/>
      <c r="K835" s="73"/>
      <c r="L835" s="73">
        <f>IFERROR(__xludf.DUMMYFUNCTION("""COMPUTED_VALUE"""),6.0)</f>
        <v>6</v>
      </c>
      <c r="M835" s="77"/>
      <c r="N835" s="77">
        <f>IFERROR(__xludf.DUMMYFUNCTION("""COMPUTED_VALUE"""),1.0)</f>
        <v>1</v>
      </c>
      <c r="O835" s="49"/>
      <c r="P835" s="49" t="str">
        <f>IFERROR(__xludf.DUMMYFUNCTION("""COMPUTED_VALUE"""),"Offset")</f>
        <v>Offset</v>
      </c>
      <c r="Q835" s="49" t="str">
        <f>IFERROR(__xludf.DUMMYFUNCTION("""COMPUTED_VALUE"""),"Packaging")</f>
        <v>Packaging</v>
      </c>
      <c r="R835" s="49" t="str">
        <f>IFERROR(__xludf.DUMMYFUNCTION("""COMPUTED_VALUE"""),"Daily Essential")</f>
        <v>Daily Essential</v>
      </c>
    </row>
    <row r="836">
      <c r="A836" s="156" t="str">
        <f>IFERROR(__xludf.DUMMYFUNCTION("""COMPUTED_VALUE"""),"https://drive.google.com/open?id=1OeUU6Y1R5YuQlkzSVdIlruzY5ZvFY7wR&amp;usp=drive_fs")</f>
        <v>https://drive.google.com/open?id=1OeUU6Y1R5YuQlkzSVdIlruzY5ZvFY7wR&amp;usp=drive_fs</v>
      </c>
      <c r="B836" s="73" t="str">
        <f>IFERROR(__xludf.DUMMYFUNCTION("""COMPUTED_VALUE"""),"Daily Essential")</f>
        <v>Daily Essential</v>
      </c>
      <c r="C836" s="73" t="str">
        <f>IFERROR(__xludf.DUMMYFUNCTION("""COMPUTED_VALUE"""),"Misc")</f>
        <v>Misc</v>
      </c>
      <c r="D836" s="73" t="str">
        <f>IFERROR(__xludf.DUMMYFUNCTION("""COMPUTED_VALUE"""),"248*130*32 mm | 5.1*1.2*9.7 inch")</f>
        <v>248*130*32 mm | 5.1*1.2*9.7 inch</v>
      </c>
      <c r="E836" s="77">
        <f>IFERROR(__xludf.DUMMYFUNCTION("""COMPUTED_VALUE"""),2.0)</f>
        <v>2</v>
      </c>
      <c r="F836" s="77">
        <f>IFERROR(__xludf.DUMMYFUNCTION("""COMPUTED_VALUE"""),1926.0)</f>
        <v>1926</v>
      </c>
      <c r="G836" s="77">
        <f>IFERROR(__xludf.DUMMYFUNCTION("""COMPUTED_VALUE"""),15.0)</f>
        <v>15</v>
      </c>
      <c r="H836" s="77">
        <f>IFERROR(__xludf.DUMMYFUNCTION("""COMPUTED_VALUE"""),25.0)</f>
        <v>25</v>
      </c>
      <c r="I836" s="77">
        <f>IFERROR(__xludf.DUMMYFUNCTION("""COMPUTED_VALUE"""),100.0)</f>
        <v>100</v>
      </c>
      <c r="J836" s="73"/>
      <c r="K836" s="73"/>
      <c r="L836" s="73"/>
      <c r="M836" s="77">
        <f>IFERROR(__xludf.DUMMYFUNCTION("""COMPUTED_VALUE"""),0.12)</f>
        <v>0.12</v>
      </c>
      <c r="N836" s="77">
        <f>IFERROR(__xludf.DUMMYFUNCTION("""COMPUTED_VALUE"""),1.0)</f>
        <v>1</v>
      </c>
      <c r="O836" s="49"/>
      <c r="P836" s="49" t="str">
        <f>IFERROR(__xludf.DUMMYFUNCTION("""COMPUTED_VALUE"""),"Offset")</f>
        <v>Offset</v>
      </c>
      <c r="Q836" s="49" t="str">
        <f>IFERROR(__xludf.DUMMYFUNCTION("""COMPUTED_VALUE"""),"Packaging")</f>
        <v>Packaging</v>
      </c>
      <c r="R836" s="49" t="str">
        <f>IFERROR(__xludf.DUMMYFUNCTION("""COMPUTED_VALUE"""),"Daily Essential")</f>
        <v>Daily Essential</v>
      </c>
    </row>
    <row r="837">
      <c r="A837" s="156" t="str">
        <f>IFERROR(__xludf.DUMMYFUNCTION("""COMPUTED_VALUE"""),"https://drive.google.com/open?id=11QUEMfY6Teas1lV22_Szp_zVHOa0ceBo&amp;usp=drive_fs")</f>
        <v>https://drive.google.com/open?id=11QUEMfY6Teas1lV22_Szp_zVHOa0ceBo&amp;usp=drive_fs</v>
      </c>
      <c r="B837" s="73" t="str">
        <f>IFERROR(__xludf.DUMMYFUNCTION("""COMPUTED_VALUE"""),"Daily Essential")</f>
        <v>Daily Essential</v>
      </c>
      <c r="C837" s="73" t="str">
        <f>IFERROR(__xludf.DUMMYFUNCTION("""COMPUTED_VALUE"""),"Razor")</f>
        <v>Razor</v>
      </c>
      <c r="D837" s="73" t="str">
        <f>IFERROR(__xludf.DUMMYFUNCTION("""COMPUTED_VALUE"""),"55*15*160 mm | 2.1*0.6*6.3 inch")</f>
        <v>55*15*160 mm | 2.1*0.6*6.3 inch</v>
      </c>
      <c r="E837" s="77">
        <f>IFERROR(__xludf.DUMMYFUNCTION("""COMPUTED_VALUE"""),6.0)</f>
        <v>6</v>
      </c>
      <c r="F837" s="77">
        <f>IFERROR(__xludf.DUMMYFUNCTION("""COMPUTED_VALUE"""),2029.0)</f>
        <v>2029</v>
      </c>
      <c r="G837" s="77">
        <f>IFERROR(__xludf.DUMMYFUNCTION("""COMPUTED_VALUE"""),20.0)</f>
        <v>20</v>
      </c>
      <c r="H837" s="77">
        <f>IFERROR(__xludf.DUMMYFUNCTION("""COMPUTED_VALUE"""),28.0)</f>
        <v>28</v>
      </c>
      <c r="I837" s="77">
        <f>IFERROR(__xludf.DUMMYFUNCTION("""COMPUTED_VALUE"""),100.0)</f>
        <v>100</v>
      </c>
      <c r="J837" s="73"/>
      <c r="K837" s="73"/>
      <c r="L837" s="73"/>
      <c r="M837" s="77">
        <f>IFERROR(__xludf.DUMMYFUNCTION("""COMPUTED_VALUE"""),0.35)</f>
        <v>0.35</v>
      </c>
      <c r="N837" s="77">
        <f>IFERROR(__xludf.DUMMYFUNCTION("""COMPUTED_VALUE"""),1.0)</f>
        <v>1</v>
      </c>
      <c r="O837" s="49"/>
      <c r="P837" s="49" t="str">
        <f>IFERROR(__xludf.DUMMYFUNCTION("""COMPUTED_VALUE"""),"Offset")</f>
        <v>Offset</v>
      </c>
      <c r="Q837" s="49" t="str">
        <f>IFERROR(__xludf.DUMMYFUNCTION("""COMPUTED_VALUE"""),"Packaging")</f>
        <v>Packaging</v>
      </c>
      <c r="R837" s="49" t="str">
        <f>IFERROR(__xludf.DUMMYFUNCTION("""COMPUTED_VALUE"""),"Daily Essential")</f>
        <v>Daily Essential</v>
      </c>
    </row>
    <row r="838">
      <c r="A838" s="156" t="str">
        <f>IFERROR(__xludf.DUMMYFUNCTION("""COMPUTED_VALUE"""),"https://drive.google.com/open?id=1QpZBbjvP7VOh0U6u8D4Xe-BsVRsn0WlW&amp;usp=drive_fs")</f>
        <v>https://drive.google.com/open?id=1QpZBbjvP7VOh0U6u8D4Xe-BsVRsn0WlW&amp;usp=drive_fs</v>
      </c>
      <c r="B838" s="73" t="str">
        <f>IFERROR(__xludf.DUMMYFUNCTION("""COMPUTED_VALUE"""),"Daily Essential")</f>
        <v>Daily Essential</v>
      </c>
      <c r="C838" s="73" t="str">
        <f>IFERROR(__xludf.DUMMYFUNCTION("""COMPUTED_VALUE"""),"Shaving kit")</f>
        <v>Shaving kit</v>
      </c>
      <c r="D838" s="73" t="str">
        <f>IFERROR(__xludf.DUMMYFUNCTION("""COMPUTED_VALUE"""),"50*18*123 mm | 2*0.7*4.85 inch")</f>
        <v>50*18*123 mm | 2*0.7*4.85 inch</v>
      </c>
      <c r="E838" s="77">
        <f>IFERROR(__xludf.DUMMYFUNCTION("""COMPUTED_VALUE"""),12.0)</f>
        <v>12</v>
      </c>
      <c r="F838" s="77">
        <f>IFERROR(__xludf.DUMMYFUNCTION("""COMPUTED_VALUE"""),1926.0)</f>
        <v>1926</v>
      </c>
      <c r="G838" s="77">
        <f>IFERROR(__xludf.DUMMYFUNCTION("""COMPUTED_VALUE"""),18.0)</f>
        <v>18</v>
      </c>
      <c r="H838" s="77">
        <f>IFERROR(__xludf.DUMMYFUNCTION("""COMPUTED_VALUE"""),25.0)</f>
        <v>25</v>
      </c>
      <c r="I838" s="77">
        <f>IFERROR(__xludf.DUMMYFUNCTION("""COMPUTED_VALUE"""),100.0)</f>
        <v>100</v>
      </c>
      <c r="J838" s="73"/>
      <c r="K838" s="73"/>
      <c r="L838" s="73"/>
      <c r="M838" s="77">
        <f>IFERROR(__xludf.DUMMYFUNCTION("""COMPUTED_VALUE"""),0.1)</f>
        <v>0.1</v>
      </c>
      <c r="N838" s="77">
        <f>IFERROR(__xludf.DUMMYFUNCTION("""COMPUTED_VALUE"""),1.0)</f>
        <v>1</v>
      </c>
      <c r="O838" s="49"/>
      <c r="P838" s="49" t="str">
        <f>IFERROR(__xludf.DUMMYFUNCTION("""COMPUTED_VALUE"""),"Offset")</f>
        <v>Offset</v>
      </c>
      <c r="Q838" s="49" t="str">
        <f>IFERROR(__xludf.DUMMYFUNCTION("""COMPUTED_VALUE"""),"Packaging")</f>
        <v>Packaging</v>
      </c>
      <c r="R838" s="49" t="str">
        <f>IFERROR(__xludf.DUMMYFUNCTION("""COMPUTED_VALUE"""),"Daily Essential")</f>
        <v>Daily Essential</v>
      </c>
    </row>
    <row r="839">
      <c r="A839" s="156" t="str">
        <f>IFERROR(__xludf.DUMMYFUNCTION("""COMPUTED_VALUE"""),"https://drive.google.com/open?id=1Qq-jUTacwXeGE5UV5wU0qFIr-M4L5g2I&amp;usp=drive_fs")</f>
        <v>https://drive.google.com/open?id=1Qq-jUTacwXeGE5UV5wU0qFIr-M4L5g2I&amp;usp=drive_fs</v>
      </c>
      <c r="B839" s="73" t="str">
        <f>IFERROR(__xludf.DUMMYFUNCTION("""COMPUTED_VALUE"""),"Daily Essential")</f>
        <v>Daily Essential</v>
      </c>
      <c r="C839" s="73" t="str">
        <f>IFERROR(__xludf.DUMMYFUNCTION("""COMPUTED_VALUE"""),"Soap Box")</f>
        <v>Soap Box</v>
      </c>
      <c r="D839" s="73" t="str">
        <f>IFERROR(__xludf.DUMMYFUNCTION("""COMPUTED_VALUE"""),"51*13*51 mm | 2*0.5*2 inch")</f>
        <v>51*13*51 mm | 2*0.5*2 inch</v>
      </c>
      <c r="E839" s="77">
        <f>IFERROR(__xludf.DUMMYFUNCTION("""COMPUTED_VALUE"""),24.0)</f>
        <v>24</v>
      </c>
      <c r="F839" s="77">
        <f>IFERROR(__xludf.DUMMYFUNCTION("""COMPUTED_VALUE"""),1926.0)</f>
        <v>1926</v>
      </c>
      <c r="G839" s="77">
        <f>IFERROR(__xludf.DUMMYFUNCTION("""COMPUTED_VALUE"""),18.0)</f>
        <v>18</v>
      </c>
      <c r="H839" s="77">
        <f>IFERROR(__xludf.DUMMYFUNCTION("""COMPUTED_VALUE"""),25.0)</f>
        <v>25</v>
      </c>
      <c r="I839" s="77">
        <f>IFERROR(__xludf.DUMMYFUNCTION("""COMPUTED_VALUE"""),100.0)</f>
        <v>100</v>
      </c>
      <c r="J839" s="73"/>
      <c r="K839" s="73"/>
      <c r="L839" s="73"/>
      <c r="M839" s="77">
        <f>IFERROR(__xludf.DUMMYFUNCTION("""COMPUTED_VALUE"""),0.1)</f>
        <v>0.1</v>
      </c>
      <c r="N839" s="77">
        <f>IFERROR(__xludf.DUMMYFUNCTION("""COMPUTED_VALUE"""),1.0)</f>
        <v>1</v>
      </c>
      <c r="O839" s="49"/>
      <c r="P839" s="49" t="str">
        <f>IFERROR(__xludf.DUMMYFUNCTION("""COMPUTED_VALUE"""),"Offset")</f>
        <v>Offset</v>
      </c>
      <c r="Q839" s="49" t="str">
        <f>IFERROR(__xludf.DUMMYFUNCTION("""COMPUTED_VALUE"""),"Packaging")</f>
        <v>Packaging</v>
      </c>
      <c r="R839" s="49" t="str">
        <f>IFERROR(__xludf.DUMMYFUNCTION("""COMPUTED_VALUE"""),"Daily Essential")</f>
        <v>Daily Essential</v>
      </c>
    </row>
    <row r="840">
      <c r="A840" s="156" t="str">
        <f>IFERROR(__xludf.DUMMYFUNCTION("""COMPUTED_VALUE"""),"https://drive.google.com/open?id=1Qq1bxGCmy-TvaCurmGhITxCoQC-u3NSs&amp;usp=drive_fs")</f>
        <v>https://drive.google.com/open?id=1Qq1bxGCmy-TvaCurmGhITxCoQC-u3NSs&amp;usp=drive_fs</v>
      </c>
      <c r="B840" s="73" t="str">
        <f>IFERROR(__xludf.DUMMYFUNCTION("""COMPUTED_VALUE"""),"Daily Essential")</f>
        <v>Daily Essential</v>
      </c>
      <c r="C840" s="73" t="str">
        <f>IFERROR(__xludf.DUMMYFUNCTION("""COMPUTED_VALUE"""),"Vanity")</f>
        <v>Vanity</v>
      </c>
      <c r="D840" s="73" t="str">
        <f>IFERROR(__xludf.DUMMYFUNCTION("""COMPUTED_VALUE"""),"45*10*90 mm | 1.75*0.34*3.5 inch")</f>
        <v>45*10*90 mm | 1.75*0.34*3.5 inch</v>
      </c>
      <c r="E840" s="77">
        <f>IFERROR(__xludf.DUMMYFUNCTION("""COMPUTED_VALUE"""),20.0)</f>
        <v>20</v>
      </c>
      <c r="F840" s="77">
        <f>IFERROR(__xludf.DUMMYFUNCTION("""COMPUTED_VALUE"""),1926.0)</f>
        <v>1926</v>
      </c>
      <c r="G840" s="77">
        <f>IFERROR(__xludf.DUMMYFUNCTION("""COMPUTED_VALUE"""),19.5)</f>
        <v>19.5</v>
      </c>
      <c r="H840" s="77">
        <f>IFERROR(__xludf.DUMMYFUNCTION("""COMPUTED_VALUE"""),23.0)</f>
        <v>23</v>
      </c>
      <c r="I840" s="77">
        <f>IFERROR(__xludf.DUMMYFUNCTION("""COMPUTED_VALUE"""),100.0)</f>
        <v>100</v>
      </c>
      <c r="J840" s="73"/>
      <c r="K840" s="73"/>
      <c r="L840" s="73"/>
      <c r="M840" s="77">
        <f>IFERROR(__xludf.DUMMYFUNCTION("""COMPUTED_VALUE"""),0.1)</f>
        <v>0.1</v>
      </c>
      <c r="N840" s="77">
        <f>IFERROR(__xludf.DUMMYFUNCTION("""COMPUTED_VALUE"""),1.0)</f>
        <v>1</v>
      </c>
      <c r="O840" s="49"/>
      <c r="P840" s="49" t="str">
        <f>IFERROR(__xludf.DUMMYFUNCTION("""COMPUTED_VALUE"""),"Offset")</f>
        <v>Offset</v>
      </c>
      <c r="Q840" s="49" t="str">
        <f>IFERROR(__xludf.DUMMYFUNCTION("""COMPUTED_VALUE"""),"Packaging")</f>
        <v>Packaging</v>
      </c>
      <c r="R840" s="49" t="str">
        <f>IFERROR(__xludf.DUMMYFUNCTION("""COMPUTED_VALUE"""),"Daily Essential")</f>
        <v>Daily Essential</v>
      </c>
    </row>
    <row r="841">
      <c r="A841" s="156" t="str">
        <f>IFERROR(__xludf.DUMMYFUNCTION("""COMPUTED_VALUE"""),"https://drive.google.com/open?id=1QyDb3socqoMiO1j9MYzzRMOCxVSJQ_Ba&amp;usp=drive_fs")</f>
        <v>https://drive.google.com/open?id=1QyDb3socqoMiO1j9MYzzRMOCxVSJQ_Ba&amp;usp=drive_fs</v>
      </c>
      <c r="B841" s="73" t="str">
        <f>IFERROR(__xludf.DUMMYFUNCTION("""COMPUTED_VALUE"""),"Daily Essential")</f>
        <v>Daily Essential</v>
      </c>
      <c r="C841" s="73" t="str">
        <f>IFERROR(__xludf.DUMMYFUNCTION("""COMPUTED_VALUE"""),"Comb")</f>
        <v>Comb</v>
      </c>
      <c r="D841" s="73" t="str">
        <f>IFERROR(__xludf.DUMMYFUNCTION("""COMPUTED_VALUE"""),"38*12*187 mm | 1.5*0.4*7.35 inch")</f>
        <v>38*12*187 mm | 1.5*0.4*7.35 inch</v>
      </c>
      <c r="E841" s="77">
        <f>IFERROR(__xludf.DUMMYFUNCTION("""COMPUTED_VALUE"""),12.0)</f>
        <v>12</v>
      </c>
      <c r="F841" s="77">
        <f>IFERROR(__xludf.DUMMYFUNCTION("""COMPUTED_VALUE"""),1926.0)</f>
        <v>1926</v>
      </c>
      <c r="G841" s="77">
        <f>IFERROR(__xludf.DUMMYFUNCTION("""COMPUTED_VALUE"""),19.0)</f>
        <v>19</v>
      </c>
      <c r="H841" s="77">
        <f>IFERROR(__xludf.DUMMYFUNCTION("""COMPUTED_VALUE"""),26.0)</f>
        <v>26</v>
      </c>
      <c r="I841" s="77">
        <f>IFERROR(__xludf.DUMMYFUNCTION("""COMPUTED_VALUE"""),100.0)</f>
        <v>100</v>
      </c>
      <c r="J841" s="73"/>
      <c r="K841" s="73"/>
      <c r="L841" s="73"/>
      <c r="M841" s="77">
        <f>IFERROR(__xludf.DUMMYFUNCTION("""COMPUTED_VALUE"""),0.1)</f>
        <v>0.1</v>
      </c>
      <c r="N841" s="77">
        <f>IFERROR(__xludf.DUMMYFUNCTION("""COMPUTED_VALUE"""),1.0)</f>
        <v>1</v>
      </c>
      <c r="O841" s="49"/>
      <c r="P841" s="49" t="str">
        <f>IFERROR(__xludf.DUMMYFUNCTION("""COMPUTED_VALUE"""),"Offset")</f>
        <v>Offset</v>
      </c>
      <c r="Q841" s="49" t="str">
        <f>IFERROR(__xludf.DUMMYFUNCTION("""COMPUTED_VALUE"""),"Packaging")</f>
        <v>Packaging</v>
      </c>
      <c r="R841" s="49" t="str">
        <f>IFERROR(__xludf.DUMMYFUNCTION("""COMPUTED_VALUE"""),"Daily Essential")</f>
        <v>Daily Essential</v>
      </c>
    </row>
    <row r="842">
      <c r="A842" s="156" t="str">
        <f>IFERROR(__xludf.DUMMYFUNCTION("""COMPUTED_VALUE"""),"https://drive.google.com/open?id=1R-LVnWz1vUHwrZXcuMen6rWl3QWjQnGD&amp;usp=drive_fs")</f>
        <v>https://drive.google.com/open?id=1R-LVnWz1vUHwrZXcuMen6rWl3QWjQnGD&amp;usp=drive_fs</v>
      </c>
      <c r="B842" s="73" t="str">
        <f>IFERROR(__xludf.DUMMYFUNCTION("""COMPUTED_VALUE"""),"Daily Essential")</f>
        <v>Daily Essential</v>
      </c>
      <c r="C842" s="73" t="str">
        <f>IFERROR(__xludf.DUMMYFUNCTION("""COMPUTED_VALUE"""),"Dental Kit")</f>
        <v>Dental Kit</v>
      </c>
      <c r="D842" s="73" t="str">
        <f>IFERROR(__xludf.DUMMYFUNCTION("""COMPUTED_VALUE"""),"38*18*190 mm | 1.5*0.7*7.5 inch")</f>
        <v>38*18*190 mm | 1.5*0.7*7.5 inch</v>
      </c>
      <c r="E842" s="77">
        <f>IFERROR(__xludf.DUMMYFUNCTION("""COMPUTED_VALUE"""),10.0)</f>
        <v>10</v>
      </c>
      <c r="F842" s="77">
        <f>IFERROR(__xludf.DUMMYFUNCTION("""COMPUTED_VALUE"""),1926.0)</f>
        <v>1926</v>
      </c>
      <c r="G842" s="77">
        <f>IFERROR(__xludf.DUMMYFUNCTION("""COMPUTED_VALUE"""),19.0)</f>
        <v>19</v>
      </c>
      <c r="H842" s="77">
        <f>IFERROR(__xludf.DUMMYFUNCTION("""COMPUTED_VALUE"""),26.0)</f>
        <v>26</v>
      </c>
      <c r="I842" s="77">
        <f>IFERROR(__xludf.DUMMYFUNCTION("""COMPUTED_VALUE"""),100.0)</f>
        <v>100</v>
      </c>
      <c r="J842" s="73"/>
      <c r="K842" s="73"/>
      <c r="L842" s="73"/>
      <c r="M842" s="77">
        <f>IFERROR(__xludf.DUMMYFUNCTION("""COMPUTED_VALUE"""),0.1)</f>
        <v>0.1</v>
      </c>
      <c r="N842" s="77">
        <f>IFERROR(__xludf.DUMMYFUNCTION("""COMPUTED_VALUE"""),1.0)</f>
        <v>1</v>
      </c>
      <c r="O842" s="49"/>
      <c r="P842" s="49" t="str">
        <f>IFERROR(__xludf.DUMMYFUNCTION("""COMPUTED_VALUE"""),"Offset")</f>
        <v>Offset</v>
      </c>
      <c r="Q842" s="49" t="str">
        <f>IFERROR(__xludf.DUMMYFUNCTION("""COMPUTED_VALUE"""),"Packaging")</f>
        <v>Packaging</v>
      </c>
      <c r="R842" s="49" t="str">
        <f>IFERROR(__xludf.DUMMYFUNCTION("""COMPUTED_VALUE"""),"Daily Essential")</f>
        <v>Daily Essential</v>
      </c>
    </row>
    <row r="843">
      <c r="A843" s="156" t="str">
        <f>IFERROR(__xludf.DUMMYFUNCTION("""COMPUTED_VALUE"""),"https://drive.google.com/open?id=142b3by8nM5MN9Lf4AOGE_euFv6oX7lCi&amp;usp=drive_fs")</f>
        <v>https://drive.google.com/open?id=142b3by8nM5MN9Lf4AOGE_euFv6oX7lCi&amp;usp=drive_fs</v>
      </c>
      <c r="B843" s="73" t="str">
        <f>IFERROR(__xludf.DUMMYFUNCTION("""COMPUTED_VALUE"""),"Daily Essential")</f>
        <v>Daily Essential</v>
      </c>
      <c r="C843" s="73" t="str">
        <f>IFERROR(__xludf.DUMMYFUNCTION("""COMPUTED_VALUE"""),"Soap Box")</f>
        <v>Soap Box</v>
      </c>
      <c r="D843" s="73" t="str">
        <f>IFERROR(__xludf.DUMMYFUNCTION("""COMPUTED_VALUE"""),"79*52*25 mm | 3*2*1 inch")</f>
        <v>79*52*25 mm | 3*2*1 inch</v>
      </c>
      <c r="E843" s="77">
        <f>IFERROR(__xludf.DUMMYFUNCTION("""COMPUTED_VALUE"""),9.0)</f>
        <v>9</v>
      </c>
      <c r="F843" s="77">
        <f>IFERROR(__xludf.DUMMYFUNCTION("""COMPUTED_VALUE"""),1926.0)</f>
        <v>1926</v>
      </c>
      <c r="G843" s="77">
        <f>IFERROR(__xludf.DUMMYFUNCTION("""COMPUTED_VALUE"""),15.75)</f>
        <v>15.75</v>
      </c>
      <c r="H843" s="77">
        <f>IFERROR(__xludf.DUMMYFUNCTION("""COMPUTED_VALUE"""),20.75)</f>
        <v>20.75</v>
      </c>
      <c r="I843" s="77">
        <f>IFERROR(__xludf.DUMMYFUNCTION("""COMPUTED_VALUE"""),100.0)</f>
        <v>100</v>
      </c>
      <c r="J843" s="73"/>
      <c r="K843" s="73"/>
      <c r="L843" s="73"/>
      <c r="M843" s="77">
        <f>IFERROR(__xludf.DUMMYFUNCTION("""COMPUTED_VALUE"""),0.1)</f>
        <v>0.1</v>
      </c>
      <c r="N843" s="77">
        <f>IFERROR(__xludf.DUMMYFUNCTION("""COMPUTED_VALUE"""),1.0)</f>
        <v>1</v>
      </c>
      <c r="O843" s="49"/>
      <c r="P843" s="49" t="str">
        <f>IFERROR(__xludf.DUMMYFUNCTION("""COMPUTED_VALUE"""),"Offset")</f>
        <v>Offset</v>
      </c>
      <c r="Q843" s="49" t="str">
        <f>IFERROR(__xludf.DUMMYFUNCTION("""COMPUTED_VALUE"""),"Packaging")</f>
        <v>Packaging</v>
      </c>
      <c r="R843" s="49" t="str">
        <f>IFERROR(__xludf.DUMMYFUNCTION("""COMPUTED_VALUE"""),"Daily Essential")</f>
        <v>Daily Essential</v>
      </c>
    </row>
    <row r="844">
      <c r="A844" s="156" t="str">
        <f>IFERROR(__xludf.DUMMYFUNCTION("""COMPUTED_VALUE"""),"https://drive.google.com/open?id=1dVRZxM7lxt2wPm_DL_cbGEkma-9TJUwR&amp;usp=drive_fs")</f>
        <v>https://drive.google.com/open?id=1dVRZxM7lxt2wPm_DL_cbGEkma-9TJUwR&amp;usp=drive_fs</v>
      </c>
      <c r="B844" s="73" t="str">
        <f>IFERROR(__xludf.DUMMYFUNCTION("""COMPUTED_VALUE"""),"Daily Essential")</f>
        <v>Daily Essential</v>
      </c>
      <c r="C844" s="73" t="str">
        <f>IFERROR(__xludf.DUMMYFUNCTION("""COMPUTED_VALUE"""),"Comb")</f>
        <v>Comb</v>
      </c>
      <c r="D844" s="73" t="str">
        <f>IFERROR(__xludf.DUMMYFUNCTION("""COMPUTED_VALUE"""),"32*11*140 mm | 1.25*0.39*5.5 inch")</f>
        <v>32*11*140 mm | 1.25*0.39*5.5 inch</v>
      </c>
      <c r="E844" s="77">
        <f>IFERROR(__xludf.DUMMYFUNCTION("""COMPUTED_VALUE"""),12.0)</f>
        <v>12</v>
      </c>
      <c r="F844" s="77">
        <f>IFERROR(__xludf.DUMMYFUNCTION("""COMPUTED_VALUE"""),1926.0)</f>
        <v>1926</v>
      </c>
      <c r="G844" s="77">
        <f>IFERROR(__xludf.DUMMYFUNCTION("""COMPUTED_VALUE"""),15.75)</f>
        <v>15.75</v>
      </c>
      <c r="H844" s="77">
        <f>IFERROR(__xludf.DUMMYFUNCTION("""COMPUTED_VALUE"""),20.75)</f>
        <v>20.75</v>
      </c>
      <c r="I844" s="77">
        <f>IFERROR(__xludf.DUMMYFUNCTION("""COMPUTED_VALUE"""),100.0)</f>
        <v>100</v>
      </c>
      <c r="J844" s="73"/>
      <c r="K844" s="73"/>
      <c r="L844" s="73"/>
      <c r="M844" s="77">
        <f>IFERROR(__xludf.DUMMYFUNCTION("""COMPUTED_VALUE"""),0.1)</f>
        <v>0.1</v>
      </c>
      <c r="N844" s="77">
        <f>IFERROR(__xludf.DUMMYFUNCTION("""COMPUTED_VALUE"""),1.0)</f>
        <v>1</v>
      </c>
      <c r="O844" s="49"/>
      <c r="P844" s="49" t="str">
        <f>IFERROR(__xludf.DUMMYFUNCTION("""COMPUTED_VALUE"""),"Offset")</f>
        <v>Offset</v>
      </c>
      <c r="Q844" s="49" t="str">
        <f>IFERROR(__xludf.DUMMYFUNCTION("""COMPUTED_VALUE"""),"Packaging")</f>
        <v>Packaging</v>
      </c>
      <c r="R844" s="49" t="str">
        <f>IFERROR(__xludf.DUMMYFUNCTION("""COMPUTED_VALUE"""),"Daily Essential")</f>
        <v>Daily Essential</v>
      </c>
    </row>
    <row r="845">
      <c r="A845" s="156" t="str">
        <f>IFERROR(__xludf.DUMMYFUNCTION("""COMPUTED_VALUE"""),"https://drive.google.com/open?id=1dODNXq0simrmTDHxwDVVhFb59bkJa7X7&amp;usp=drive_fs")</f>
        <v>https://drive.google.com/open?id=1dODNXq0simrmTDHxwDVVhFb59bkJa7X7&amp;usp=drive_fs</v>
      </c>
      <c r="B845" s="73" t="str">
        <f>IFERROR(__xludf.DUMMYFUNCTION("""COMPUTED_VALUE"""),"Daily Essential")</f>
        <v>Daily Essential</v>
      </c>
      <c r="C845" s="73" t="str">
        <f>IFERROR(__xludf.DUMMYFUNCTION("""COMPUTED_VALUE"""),"Dental Kit")</f>
        <v>Dental Kit</v>
      </c>
      <c r="D845" s="73" t="str">
        <f>IFERROR(__xludf.DUMMYFUNCTION("""COMPUTED_VALUE"""),"33*18*190 mm | 1.3*0.7*7.5 inch")</f>
        <v>33*18*190 mm | 1.3*0.7*7.5 inch</v>
      </c>
      <c r="E845" s="77">
        <f>IFERROR(__xludf.DUMMYFUNCTION("""COMPUTED_VALUE"""),6.0)</f>
        <v>6</v>
      </c>
      <c r="F845" s="77">
        <f>IFERROR(__xludf.DUMMYFUNCTION("""COMPUTED_VALUE"""),1926.0)</f>
        <v>1926</v>
      </c>
      <c r="G845" s="77">
        <f>IFERROR(__xludf.DUMMYFUNCTION("""COMPUTED_VALUE"""),14.0)</f>
        <v>14</v>
      </c>
      <c r="H845" s="77">
        <f>IFERROR(__xludf.DUMMYFUNCTION("""COMPUTED_VALUE"""),22.0)</f>
        <v>22</v>
      </c>
      <c r="I845" s="77">
        <f>IFERROR(__xludf.DUMMYFUNCTION("""COMPUTED_VALUE"""),100.0)</f>
        <v>100</v>
      </c>
      <c r="J845" s="73"/>
      <c r="K845" s="73"/>
      <c r="L845" s="73"/>
      <c r="M845" s="77">
        <f>IFERROR(__xludf.DUMMYFUNCTION("""COMPUTED_VALUE"""),0.1)</f>
        <v>0.1</v>
      </c>
      <c r="N845" s="77">
        <f>IFERROR(__xludf.DUMMYFUNCTION("""COMPUTED_VALUE"""),1.0)</f>
        <v>1</v>
      </c>
      <c r="O845" s="49"/>
      <c r="P845" s="49" t="str">
        <f>IFERROR(__xludf.DUMMYFUNCTION("""COMPUTED_VALUE"""),"Offset")</f>
        <v>Offset</v>
      </c>
      <c r="Q845" s="49" t="str">
        <f>IFERROR(__xludf.DUMMYFUNCTION("""COMPUTED_VALUE"""),"Packaging")</f>
        <v>Packaging</v>
      </c>
      <c r="R845" s="49" t="str">
        <f>IFERROR(__xludf.DUMMYFUNCTION("""COMPUTED_VALUE"""),"Daily Essential")</f>
        <v>Daily Essential</v>
      </c>
    </row>
    <row r="846">
      <c r="A846" s="156" t="str">
        <f>IFERROR(__xludf.DUMMYFUNCTION("""COMPUTED_VALUE"""),"https://drive.google.com/open?id=1dMjJc6o7Ns1uD0UiVcktHKzwt-5cCGQx&amp;usp=drive_fs")</f>
        <v>https://drive.google.com/open?id=1dMjJc6o7Ns1uD0UiVcktHKzwt-5cCGQx&amp;usp=drive_fs</v>
      </c>
      <c r="B846" s="73" t="str">
        <f>IFERROR(__xludf.DUMMYFUNCTION("""COMPUTED_VALUE"""),"Daily Essential")</f>
        <v>Daily Essential</v>
      </c>
      <c r="C846" s="73" t="str">
        <f>IFERROR(__xludf.DUMMYFUNCTION("""COMPUTED_VALUE"""),"Sanitary Napkins")</f>
        <v>Sanitary Napkins</v>
      </c>
      <c r="D846" s="73" t="str">
        <f>IFERROR(__xludf.DUMMYFUNCTION("""COMPUTED_VALUE"""),"57*20*57 mm | 2.25*0.8*2.25 inch")</f>
        <v>57*20*57 mm | 2.25*0.8*2.25 inch</v>
      </c>
      <c r="E846" s="77">
        <f>IFERROR(__xludf.DUMMYFUNCTION("""COMPUTED_VALUE"""),12.0)</f>
        <v>12</v>
      </c>
      <c r="F846" s="77">
        <f>IFERROR(__xludf.DUMMYFUNCTION("""COMPUTED_VALUE"""),1926.0)</f>
        <v>1926</v>
      </c>
      <c r="G846" s="77">
        <f>IFERROR(__xludf.DUMMYFUNCTION("""COMPUTED_VALUE"""),15.75)</f>
        <v>15.75</v>
      </c>
      <c r="H846" s="77">
        <f>IFERROR(__xludf.DUMMYFUNCTION("""COMPUTED_VALUE"""),20.75)</f>
        <v>20.75</v>
      </c>
      <c r="I846" s="77">
        <f>IFERROR(__xludf.DUMMYFUNCTION("""COMPUTED_VALUE"""),100.0)</f>
        <v>100</v>
      </c>
      <c r="J846" s="73"/>
      <c r="K846" s="73"/>
      <c r="L846" s="73"/>
      <c r="M846" s="77">
        <f>IFERROR(__xludf.DUMMYFUNCTION("""COMPUTED_VALUE"""),0.1)</f>
        <v>0.1</v>
      </c>
      <c r="N846" s="77">
        <f>IFERROR(__xludf.DUMMYFUNCTION("""COMPUTED_VALUE"""),1.0)</f>
        <v>1</v>
      </c>
      <c r="O846" s="49"/>
      <c r="P846" s="49" t="str">
        <f>IFERROR(__xludf.DUMMYFUNCTION("""COMPUTED_VALUE"""),"Offset")</f>
        <v>Offset</v>
      </c>
      <c r="Q846" s="49" t="str">
        <f>IFERROR(__xludf.DUMMYFUNCTION("""COMPUTED_VALUE"""),"Packaging")</f>
        <v>Packaging</v>
      </c>
      <c r="R846" s="49" t="str">
        <f>IFERROR(__xludf.DUMMYFUNCTION("""COMPUTED_VALUE"""),"Daily Essential")</f>
        <v>Daily Essential</v>
      </c>
    </row>
    <row r="847">
      <c r="A847" s="156" t="str">
        <f>IFERROR(__xludf.DUMMYFUNCTION("""COMPUTED_VALUE"""),"https://drive.google.com/open?id=1dMfI38upa8bZq1F4Vvvx8j1bAhvIuru3&amp;usp=drive_fs")</f>
        <v>https://drive.google.com/open?id=1dMfI38upa8bZq1F4Vvvx8j1bAhvIuru3&amp;usp=drive_fs</v>
      </c>
      <c r="B847" s="73" t="str">
        <f>IFERROR(__xludf.DUMMYFUNCTION("""COMPUTED_VALUE"""),"Daily Essential")</f>
        <v>Daily Essential</v>
      </c>
      <c r="C847" s="73" t="str">
        <f>IFERROR(__xludf.DUMMYFUNCTION("""COMPUTED_VALUE"""),"Shower Cap")</f>
        <v>Shower Cap</v>
      </c>
      <c r="D847" s="73" t="str">
        <f>IFERROR(__xludf.DUMMYFUNCTION("""COMPUTED_VALUE"""),"51*13*64 mm | 2*0.8*2.5 inch")</f>
        <v>51*13*64 mm | 2*0.8*2.5 inch</v>
      </c>
      <c r="E847" s="77">
        <f>IFERROR(__xludf.DUMMYFUNCTION("""COMPUTED_VALUE"""),20.0)</f>
        <v>20</v>
      </c>
      <c r="F847" s="77">
        <f>IFERROR(__xludf.DUMMYFUNCTION("""COMPUTED_VALUE"""),1926.0)</f>
        <v>1926</v>
      </c>
      <c r="G847" s="77">
        <f>IFERROR(__xludf.DUMMYFUNCTION("""COMPUTED_VALUE"""),18.0)</f>
        <v>18</v>
      </c>
      <c r="H847" s="77">
        <f>IFERROR(__xludf.DUMMYFUNCTION("""COMPUTED_VALUE"""),23.0)</f>
        <v>23</v>
      </c>
      <c r="I847" s="77">
        <f>IFERROR(__xludf.DUMMYFUNCTION("""COMPUTED_VALUE"""),100.0)</f>
        <v>100</v>
      </c>
      <c r="J847" s="73"/>
      <c r="K847" s="73"/>
      <c r="L847" s="73"/>
      <c r="M847" s="77">
        <f>IFERROR(__xludf.DUMMYFUNCTION("""COMPUTED_VALUE"""),0.1)</f>
        <v>0.1</v>
      </c>
      <c r="N847" s="77">
        <f>IFERROR(__xludf.DUMMYFUNCTION("""COMPUTED_VALUE"""),1.0)</f>
        <v>1</v>
      </c>
      <c r="O847" s="49"/>
      <c r="P847" s="49" t="str">
        <f>IFERROR(__xludf.DUMMYFUNCTION("""COMPUTED_VALUE"""),"Offset")</f>
        <v>Offset</v>
      </c>
      <c r="Q847" s="49" t="str">
        <f>IFERROR(__xludf.DUMMYFUNCTION("""COMPUTED_VALUE"""),"Packaging")</f>
        <v>Packaging</v>
      </c>
      <c r="R847" s="49" t="str">
        <f>IFERROR(__xludf.DUMMYFUNCTION("""COMPUTED_VALUE"""),"Daily Essential")</f>
        <v>Daily Essential</v>
      </c>
    </row>
    <row r="848">
      <c r="A848" s="156" t="str">
        <f>IFERROR(__xludf.DUMMYFUNCTION("""COMPUTED_VALUE"""),"https://drive.google.com/open?id=1dFKywOXctIF-xF4cWRH9OerygdGtYOtU&amp;usp=drive_fs")</f>
        <v>https://drive.google.com/open?id=1dFKywOXctIF-xF4cWRH9OerygdGtYOtU&amp;usp=drive_fs</v>
      </c>
      <c r="B848" s="73" t="str">
        <f>IFERROR(__xludf.DUMMYFUNCTION("""COMPUTED_VALUE"""),"Daily Essential")</f>
        <v>Daily Essential</v>
      </c>
      <c r="C848" s="73" t="str">
        <f>IFERROR(__xludf.DUMMYFUNCTION("""COMPUTED_VALUE"""),"Soap Box")</f>
        <v>Soap Box</v>
      </c>
      <c r="D848" s="73" t="str">
        <f>IFERROR(__xludf.DUMMYFUNCTION("""COMPUTED_VALUE"""),"53*15*53 mm | 2.1*0.6*2.1 inch")</f>
        <v>53*15*53 mm | 2.1*0.6*2.1 inch</v>
      </c>
      <c r="E848" s="77">
        <f>IFERROR(__xludf.DUMMYFUNCTION("""COMPUTED_VALUE"""),20.0)</f>
        <v>20</v>
      </c>
      <c r="F848" s="77">
        <f>IFERROR(__xludf.DUMMYFUNCTION("""COMPUTED_VALUE"""),1926.0)</f>
        <v>1926</v>
      </c>
      <c r="G848" s="77">
        <f>IFERROR(__xludf.DUMMYFUNCTION("""COMPUTED_VALUE"""),18.0)</f>
        <v>18</v>
      </c>
      <c r="H848" s="77">
        <f>IFERROR(__xludf.DUMMYFUNCTION("""COMPUTED_VALUE"""),25.0)</f>
        <v>25</v>
      </c>
      <c r="I848" s="77">
        <f>IFERROR(__xludf.DUMMYFUNCTION("""COMPUTED_VALUE"""),100.0)</f>
        <v>100</v>
      </c>
      <c r="J848" s="73"/>
      <c r="K848" s="73"/>
      <c r="L848" s="73"/>
      <c r="M848" s="77">
        <f>IFERROR(__xludf.DUMMYFUNCTION("""COMPUTED_VALUE"""),0.1)</f>
        <v>0.1</v>
      </c>
      <c r="N848" s="77">
        <f>IFERROR(__xludf.DUMMYFUNCTION("""COMPUTED_VALUE"""),1.0)</f>
        <v>1</v>
      </c>
      <c r="O848" s="49"/>
      <c r="P848" s="49" t="str">
        <f>IFERROR(__xludf.DUMMYFUNCTION("""COMPUTED_VALUE"""),"Offset")</f>
        <v>Offset</v>
      </c>
      <c r="Q848" s="49" t="str">
        <f>IFERROR(__xludf.DUMMYFUNCTION("""COMPUTED_VALUE"""),"Packaging")</f>
        <v>Packaging</v>
      </c>
      <c r="R848" s="49" t="str">
        <f>IFERROR(__xludf.DUMMYFUNCTION("""COMPUTED_VALUE"""),"Daily Essential")</f>
        <v>Daily Essential</v>
      </c>
    </row>
    <row r="849">
      <c r="A849" s="156" t="str">
        <f>IFERROR(__xludf.DUMMYFUNCTION("""COMPUTED_VALUE"""),"https://drive.google.com/open?id=1dDQzZ8mnD9fcvHjxpMjZZCLFEjmLKwFk&amp;usp=drive_fs")</f>
        <v>https://drive.google.com/open?id=1dDQzZ8mnD9fcvHjxpMjZZCLFEjmLKwFk&amp;usp=drive_fs</v>
      </c>
      <c r="B849" s="73" t="str">
        <f>IFERROR(__xludf.DUMMYFUNCTION("""COMPUTED_VALUE"""),"Daily Essential")</f>
        <v>Daily Essential</v>
      </c>
      <c r="C849" s="73" t="str">
        <f>IFERROR(__xludf.DUMMYFUNCTION("""COMPUTED_VALUE"""),"Vanity")</f>
        <v>Vanity</v>
      </c>
      <c r="D849" s="73" t="str">
        <f>IFERROR(__xludf.DUMMYFUNCTION("""COMPUTED_VALUE"""),"51*13*86 mm | 2*0.5*3.4 inch")</f>
        <v>51*13*86 mm | 2*0.5*3.4 inch</v>
      </c>
      <c r="E849" s="77">
        <f>IFERROR(__xludf.DUMMYFUNCTION("""COMPUTED_VALUE"""),12.0)</f>
        <v>12</v>
      </c>
      <c r="F849" s="77">
        <f>IFERROR(__xludf.DUMMYFUNCTION("""COMPUTED_VALUE"""),1926.0)</f>
        <v>1926</v>
      </c>
      <c r="G849" s="77">
        <f>IFERROR(__xludf.DUMMYFUNCTION("""COMPUTED_VALUE"""),14.0)</f>
        <v>14</v>
      </c>
      <c r="H849" s="77">
        <f>IFERROR(__xludf.DUMMYFUNCTION("""COMPUTED_VALUE"""),22.0)</f>
        <v>22</v>
      </c>
      <c r="I849" s="77">
        <f>IFERROR(__xludf.DUMMYFUNCTION("""COMPUTED_VALUE"""),100.0)</f>
        <v>100</v>
      </c>
      <c r="J849" s="73"/>
      <c r="K849" s="73"/>
      <c r="L849" s="73"/>
      <c r="M849" s="77">
        <f>IFERROR(__xludf.DUMMYFUNCTION("""COMPUTED_VALUE"""),0.1)</f>
        <v>0.1</v>
      </c>
      <c r="N849" s="77">
        <f>IFERROR(__xludf.DUMMYFUNCTION("""COMPUTED_VALUE"""),1.0)</f>
        <v>1</v>
      </c>
      <c r="O849" s="49"/>
      <c r="P849" s="49" t="str">
        <f>IFERROR(__xludf.DUMMYFUNCTION("""COMPUTED_VALUE"""),"Offset")</f>
        <v>Offset</v>
      </c>
      <c r="Q849" s="49" t="str">
        <f>IFERROR(__xludf.DUMMYFUNCTION("""COMPUTED_VALUE"""),"Packaging")</f>
        <v>Packaging</v>
      </c>
      <c r="R849" s="49" t="str">
        <f>IFERROR(__xludf.DUMMYFUNCTION("""COMPUTED_VALUE"""),"Daily Essential")</f>
        <v>Daily Essential</v>
      </c>
    </row>
    <row r="850">
      <c r="A850" s="156" t="str">
        <f>IFERROR(__xludf.DUMMYFUNCTION("""COMPUTED_VALUE"""),"https://drive.google.com/open?id=1d_febLDJw0zk-BFmLYTthIhr6IClX6kS&amp;usp=drive_fs")</f>
        <v>https://drive.google.com/open?id=1d_febLDJw0zk-BFmLYTthIhr6IClX6kS&amp;usp=drive_fs</v>
      </c>
      <c r="B850" s="73" t="str">
        <f>IFERROR(__xludf.DUMMYFUNCTION("""COMPUTED_VALUE"""),"Daily Essential")</f>
        <v>Daily Essential</v>
      </c>
      <c r="C850" s="73" t="str">
        <f>IFERROR(__xludf.DUMMYFUNCTION("""COMPUTED_VALUE"""),"Kit")</f>
        <v>Kit</v>
      </c>
      <c r="D850" s="73" t="str">
        <f>IFERROR(__xludf.DUMMYFUNCTION("""COMPUTED_VALUE"""),"46*46*117 mm | 1.8*1.8*4.6 inch")</f>
        <v>46*46*117 mm | 1.8*1.8*4.6 inch</v>
      </c>
      <c r="E850" s="77">
        <f>IFERROR(__xludf.DUMMYFUNCTION("""COMPUTED_VALUE"""),6.0)</f>
        <v>6</v>
      </c>
      <c r="F850" s="77">
        <f>IFERROR(__xludf.DUMMYFUNCTION("""COMPUTED_VALUE"""),1926.0)</f>
        <v>1926</v>
      </c>
      <c r="G850" s="77">
        <f>IFERROR(__xludf.DUMMYFUNCTION("""COMPUTED_VALUE"""),18.0)</f>
        <v>18</v>
      </c>
      <c r="H850" s="77">
        <f>IFERROR(__xludf.DUMMYFUNCTION("""COMPUTED_VALUE"""),23.0)</f>
        <v>23</v>
      </c>
      <c r="I850" s="77">
        <f>IFERROR(__xludf.DUMMYFUNCTION("""COMPUTED_VALUE"""),100.0)</f>
        <v>100</v>
      </c>
      <c r="J850" s="73"/>
      <c r="K850" s="73"/>
      <c r="L850" s="73"/>
      <c r="M850" s="77">
        <f>IFERROR(__xludf.DUMMYFUNCTION("""COMPUTED_VALUE"""),0.1)</f>
        <v>0.1</v>
      </c>
      <c r="N850" s="77">
        <f>IFERROR(__xludf.DUMMYFUNCTION("""COMPUTED_VALUE"""),1.0)</f>
        <v>1</v>
      </c>
      <c r="O850" s="49"/>
      <c r="P850" s="49" t="str">
        <f>IFERROR(__xludf.DUMMYFUNCTION("""COMPUTED_VALUE"""),"Offset")</f>
        <v>Offset</v>
      </c>
      <c r="Q850" s="49" t="str">
        <f>IFERROR(__xludf.DUMMYFUNCTION("""COMPUTED_VALUE"""),"Packaging")</f>
        <v>Packaging</v>
      </c>
      <c r="R850" s="49" t="str">
        <f>IFERROR(__xludf.DUMMYFUNCTION("""COMPUTED_VALUE"""),"Daily Essential")</f>
        <v>Daily Essential</v>
      </c>
    </row>
    <row r="851">
      <c r="A851" s="156" t="str">
        <f>IFERROR(__xludf.DUMMYFUNCTION("""COMPUTED_VALUE"""),"https://drive.google.com/open?id=14gCz_4eIL-6jP7EvupbmIuJTldbKBS_t&amp;usp=drive_fs")</f>
        <v>https://drive.google.com/open?id=14gCz_4eIL-6jP7EvupbmIuJTldbKBS_t&amp;usp=drive_fs</v>
      </c>
      <c r="B851" s="73" t="str">
        <f>IFERROR(__xludf.DUMMYFUNCTION("""COMPUTED_VALUE"""),"Daily Essential")</f>
        <v>Daily Essential</v>
      </c>
      <c r="C851" s="73" t="str">
        <f>IFERROR(__xludf.DUMMYFUNCTION("""COMPUTED_VALUE"""),"Razor")</f>
        <v>Razor</v>
      </c>
      <c r="D851" s="73" t="str">
        <f>IFERROR(__xludf.DUMMYFUNCTION("""COMPUTED_VALUE"""),"55*15*160 mm | 2.1*0.6*6.3 inch W/o Hanger")</f>
        <v>55*15*160 mm | 2.1*0.6*6.3 inch W/o Hanger</v>
      </c>
      <c r="E851" s="77">
        <f>IFERROR(__xludf.DUMMYFUNCTION("""COMPUTED_VALUE"""),6.0)</f>
        <v>6</v>
      </c>
      <c r="F851" s="77">
        <f>IFERROR(__xludf.DUMMYFUNCTION("""COMPUTED_VALUE"""),1926.0)</f>
        <v>1926</v>
      </c>
      <c r="G851" s="77">
        <f>IFERROR(__xludf.DUMMYFUNCTION("""COMPUTED_VALUE"""),18.0)</f>
        <v>18</v>
      </c>
      <c r="H851" s="77">
        <f>IFERROR(__xludf.DUMMYFUNCTION("""COMPUTED_VALUE"""),25.0)</f>
        <v>25</v>
      </c>
      <c r="I851" s="77">
        <f>IFERROR(__xludf.DUMMYFUNCTION("""COMPUTED_VALUE"""),100.0)</f>
        <v>100</v>
      </c>
      <c r="J851" s="73"/>
      <c r="K851" s="73"/>
      <c r="L851" s="73"/>
      <c r="M851" s="77">
        <f>IFERROR(__xludf.DUMMYFUNCTION("""COMPUTED_VALUE"""),0.35)</f>
        <v>0.35</v>
      </c>
      <c r="N851" s="77">
        <f>IFERROR(__xludf.DUMMYFUNCTION("""COMPUTED_VALUE"""),1.0)</f>
        <v>1</v>
      </c>
      <c r="O851" s="49"/>
      <c r="P851" s="49" t="str">
        <f>IFERROR(__xludf.DUMMYFUNCTION("""COMPUTED_VALUE"""),"Offset")</f>
        <v>Offset</v>
      </c>
      <c r="Q851" s="49" t="str">
        <f>IFERROR(__xludf.DUMMYFUNCTION("""COMPUTED_VALUE"""),"Packaging")</f>
        <v>Packaging</v>
      </c>
      <c r="R851" s="49" t="str">
        <f>IFERROR(__xludf.DUMMYFUNCTION("""COMPUTED_VALUE"""),"Daily Essential")</f>
        <v>Daily Essential</v>
      </c>
    </row>
    <row r="852">
      <c r="A852" s="156" t="str">
        <f>IFERROR(__xludf.DUMMYFUNCTION("""COMPUTED_VALUE"""),"https://drive.google.com/open?id=1eE5b6h--PIBhsxWLWPmZZlFpskVVj6ti&amp;usp=drive_fs")</f>
        <v>https://drive.google.com/open?id=1eE5b6h--PIBhsxWLWPmZZlFpskVVj6ti&amp;usp=drive_fs</v>
      </c>
      <c r="B852" s="73" t="str">
        <f>IFERROR(__xludf.DUMMYFUNCTION("""COMPUTED_VALUE"""),"Daily Essential")</f>
        <v>Daily Essential</v>
      </c>
      <c r="C852" s="73" t="str">
        <f>IFERROR(__xludf.DUMMYFUNCTION("""COMPUTED_VALUE"""),"Kit")</f>
        <v>Kit</v>
      </c>
      <c r="D852" s="73" t="str">
        <f>IFERROR(__xludf.DUMMYFUNCTION("""COMPUTED_VALUE"""),"81*25*114 mm | 3.1*1*4.5 inch")</f>
        <v>81*25*114 mm | 3.1*1*4.5 inch</v>
      </c>
      <c r="E852" s="77">
        <f>IFERROR(__xludf.DUMMYFUNCTION("""COMPUTED_VALUE"""),6.0)</f>
        <v>6</v>
      </c>
      <c r="F852" s="77">
        <f>IFERROR(__xludf.DUMMYFUNCTION("""COMPUTED_VALUE"""),1926.0)</f>
        <v>1926</v>
      </c>
      <c r="G852" s="77">
        <f>IFERROR(__xludf.DUMMYFUNCTION("""COMPUTED_VALUE"""),18.0)</f>
        <v>18</v>
      </c>
      <c r="H852" s="77">
        <f>IFERROR(__xludf.DUMMYFUNCTION("""COMPUTED_VALUE"""),23.0)</f>
        <v>23</v>
      </c>
      <c r="I852" s="77">
        <f>IFERROR(__xludf.DUMMYFUNCTION("""COMPUTED_VALUE"""),100.0)</f>
        <v>100</v>
      </c>
      <c r="J852" s="73"/>
      <c r="K852" s="73"/>
      <c r="L852" s="73"/>
      <c r="M852" s="77">
        <f>IFERROR(__xludf.DUMMYFUNCTION("""COMPUTED_VALUE"""),0.1)</f>
        <v>0.1</v>
      </c>
      <c r="N852" s="77">
        <f>IFERROR(__xludf.DUMMYFUNCTION("""COMPUTED_VALUE"""),1.0)</f>
        <v>1</v>
      </c>
      <c r="O852" s="49"/>
      <c r="P852" s="49" t="str">
        <f>IFERROR(__xludf.DUMMYFUNCTION("""COMPUTED_VALUE"""),"Offset")</f>
        <v>Offset</v>
      </c>
      <c r="Q852" s="49" t="str">
        <f>IFERROR(__xludf.DUMMYFUNCTION("""COMPUTED_VALUE"""),"Packaging")</f>
        <v>Packaging</v>
      </c>
      <c r="R852" s="49" t="str">
        <f>IFERROR(__xludf.DUMMYFUNCTION("""COMPUTED_VALUE"""),"Daily Essential")</f>
        <v>Daily Essential</v>
      </c>
    </row>
    <row r="853">
      <c r="A853" s="156" t="str">
        <f>IFERROR(__xludf.DUMMYFUNCTION("""COMPUTED_VALUE"""),"https://drive.google.com/open?id=1em4BcQq2KfNyZyh2gUyPl44FXEPJg7Od&amp;usp=drive_fs")</f>
        <v>https://drive.google.com/open?id=1em4BcQq2KfNyZyh2gUyPl44FXEPJg7Od&amp;usp=drive_fs</v>
      </c>
      <c r="B853" s="73" t="str">
        <f>IFERROR(__xludf.DUMMYFUNCTION("""COMPUTED_VALUE"""),"Daily Essential")</f>
        <v>Daily Essential</v>
      </c>
      <c r="C853" s="73" t="str">
        <f>IFERROR(__xludf.DUMMYFUNCTION("""COMPUTED_VALUE"""),"Razor")</f>
        <v>Razor</v>
      </c>
      <c r="D853" s="73" t="str">
        <f>IFERROR(__xludf.DUMMYFUNCTION("""COMPUTED_VALUE"""),"70*30*105 mm | 2.7*1.2*4.1 inch")</f>
        <v>70*30*105 mm | 2.7*1.2*4.1 inch</v>
      </c>
      <c r="E853" s="77">
        <f>IFERROR(__xludf.DUMMYFUNCTION("""COMPUTED_VALUE"""),8.0)</f>
        <v>8</v>
      </c>
      <c r="F853" s="77">
        <f>IFERROR(__xludf.DUMMYFUNCTION("""COMPUTED_VALUE"""),1926.0)</f>
        <v>1926</v>
      </c>
      <c r="G853" s="77">
        <f>IFERROR(__xludf.DUMMYFUNCTION("""COMPUTED_VALUE"""),18.0)</f>
        <v>18</v>
      </c>
      <c r="H853" s="77">
        <f>IFERROR(__xludf.DUMMYFUNCTION("""COMPUTED_VALUE"""),25.0)</f>
        <v>25</v>
      </c>
      <c r="I853" s="77">
        <f>IFERROR(__xludf.DUMMYFUNCTION("""COMPUTED_VALUE"""),100.0)</f>
        <v>100</v>
      </c>
      <c r="J853" s="73"/>
      <c r="K853" s="73"/>
      <c r="L853" s="73"/>
      <c r="M853" s="77">
        <f>IFERROR(__xludf.DUMMYFUNCTION("""COMPUTED_VALUE"""),0.1)</f>
        <v>0.1</v>
      </c>
      <c r="N853" s="77">
        <f>IFERROR(__xludf.DUMMYFUNCTION("""COMPUTED_VALUE"""),1.0)</f>
        <v>1</v>
      </c>
      <c r="O853" s="49"/>
      <c r="P853" s="49" t="str">
        <f>IFERROR(__xludf.DUMMYFUNCTION("""COMPUTED_VALUE"""),"Offset")</f>
        <v>Offset</v>
      </c>
      <c r="Q853" s="49" t="str">
        <f>IFERROR(__xludf.DUMMYFUNCTION("""COMPUTED_VALUE"""),"Packaging")</f>
        <v>Packaging</v>
      </c>
      <c r="R853" s="49" t="str">
        <f>IFERROR(__xludf.DUMMYFUNCTION("""COMPUTED_VALUE"""),"Daily Essential")</f>
        <v>Daily Essential</v>
      </c>
    </row>
    <row r="854">
      <c r="A854" s="156" t="str">
        <f>IFERROR(__xludf.DUMMYFUNCTION("""COMPUTED_VALUE"""),"https://drive.google.com/open?id=1ftZEXeRpzEO1DV76oJkLuban_dszQw9o&amp;usp=drive_fs")</f>
        <v>https://drive.google.com/open?id=1ftZEXeRpzEO1DV76oJkLuban_dszQw9o&amp;usp=drive_fs</v>
      </c>
      <c r="B854" s="73" t="str">
        <f>IFERROR(__xludf.DUMMYFUNCTION("""COMPUTED_VALUE"""),"Daily Essential")</f>
        <v>Daily Essential</v>
      </c>
      <c r="C854" s="73" t="str">
        <f>IFERROR(__xludf.DUMMYFUNCTION("""COMPUTED_VALUE"""),"Soap Box")</f>
        <v>Soap Box</v>
      </c>
      <c r="D854" s="73" t="str">
        <f>IFERROR(__xludf.DUMMYFUNCTION("""COMPUTED_VALUE"""),"68*31*88 mm | 2.6*1.2*3.5 inch")</f>
        <v>68*31*88 mm | 2.6*1.2*3.5 inch</v>
      </c>
      <c r="E854" s="77">
        <f>IFERROR(__xludf.DUMMYFUNCTION("""COMPUTED_VALUE"""),8.0)</f>
        <v>8</v>
      </c>
      <c r="F854" s="77">
        <f>IFERROR(__xludf.DUMMYFUNCTION("""COMPUTED_VALUE"""),1926.0)</f>
        <v>1926</v>
      </c>
      <c r="G854" s="77">
        <f>IFERROR(__xludf.DUMMYFUNCTION("""COMPUTED_VALUE"""),18.0)</f>
        <v>18</v>
      </c>
      <c r="H854" s="77">
        <f>IFERROR(__xludf.DUMMYFUNCTION("""COMPUTED_VALUE"""),23.0)</f>
        <v>23</v>
      </c>
      <c r="I854" s="77">
        <f>IFERROR(__xludf.DUMMYFUNCTION("""COMPUTED_VALUE"""),100.0)</f>
        <v>100</v>
      </c>
      <c r="J854" s="73"/>
      <c r="K854" s="73"/>
      <c r="L854" s="73"/>
      <c r="M854" s="77">
        <f>IFERROR(__xludf.DUMMYFUNCTION("""COMPUTED_VALUE"""),0.1)</f>
        <v>0.1</v>
      </c>
      <c r="N854" s="77">
        <f>IFERROR(__xludf.DUMMYFUNCTION("""COMPUTED_VALUE"""),1.0)</f>
        <v>1</v>
      </c>
      <c r="O854" s="49"/>
      <c r="P854" s="49" t="str">
        <f>IFERROR(__xludf.DUMMYFUNCTION("""COMPUTED_VALUE"""),"Offset")</f>
        <v>Offset</v>
      </c>
      <c r="Q854" s="49" t="str">
        <f>IFERROR(__xludf.DUMMYFUNCTION("""COMPUTED_VALUE"""),"Packaging")</f>
        <v>Packaging</v>
      </c>
      <c r="R854" s="49" t="str">
        <f>IFERROR(__xludf.DUMMYFUNCTION("""COMPUTED_VALUE"""),"Daily Essential")</f>
        <v>Daily Essential</v>
      </c>
    </row>
    <row r="855">
      <c r="A855" s="156" t="str">
        <f>IFERROR(__xludf.DUMMYFUNCTION("""COMPUTED_VALUE"""),"https://drive.google.com/open?id=1fzVoi2d3f7ZtwSA1u6LUj3AV3QWD-GwV&amp;usp=drive_fs")</f>
        <v>https://drive.google.com/open?id=1fzVoi2d3f7ZtwSA1u6LUj3AV3QWD-GwV&amp;usp=drive_fs</v>
      </c>
      <c r="B855" s="73" t="str">
        <f>IFERROR(__xludf.DUMMYFUNCTION("""COMPUTED_VALUE"""),"Daily Essential")</f>
        <v>Daily Essential</v>
      </c>
      <c r="C855" s="73" t="str">
        <f>IFERROR(__xludf.DUMMYFUNCTION("""COMPUTED_VALUE"""),"Nose Strip")</f>
        <v>Nose Strip</v>
      </c>
      <c r="D855" s="73" t="str">
        <f>IFERROR(__xludf.DUMMYFUNCTION("""COMPUTED_VALUE"""),"95*15*125 mm | 3.7*0.6*4.9 inch with Hanger")</f>
        <v>95*15*125 mm | 3.7*0.6*4.9 inch with Hanger</v>
      </c>
      <c r="E855" s="77">
        <f>IFERROR(__xludf.DUMMYFUNCTION("""COMPUTED_VALUE"""),6.0)</f>
        <v>6</v>
      </c>
      <c r="F855" s="77">
        <f>IFERROR(__xludf.DUMMYFUNCTION("""COMPUTED_VALUE"""),2029.0)</f>
        <v>2029</v>
      </c>
      <c r="G855" s="77">
        <f>IFERROR(__xludf.DUMMYFUNCTION("""COMPUTED_VALUE"""),19.5)</f>
        <v>19.5</v>
      </c>
      <c r="H855" s="77">
        <f>IFERROR(__xludf.DUMMYFUNCTION("""COMPUTED_VALUE"""),23.0)</f>
        <v>23</v>
      </c>
      <c r="I855" s="77">
        <f>IFERROR(__xludf.DUMMYFUNCTION("""COMPUTED_VALUE"""),100.0)</f>
        <v>100</v>
      </c>
      <c r="J855" s="73"/>
      <c r="K855" s="73"/>
      <c r="L855" s="73"/>
      <c r="M855" s="77">
        <f>IFERROR(__xludf.DUMMYFUNCTION("""COMPUTED_VALUE"""),0.1)</f>
        <v>0.1</v>
      </c>
      <c r="N855" s="77">
        <f>IFERROR(__xludf.DUMMYFUNCTION("""COMPUTED_VALUE"""),1.0)</f>
        <v>1</v>
      </c>
      <c r="O855" s="49"/>
      <c r="P855" s="49" t="str">
        <f>IFERROR(__xludf.DUMMYFUNCTION("""COMPUTED_VALUE"""),"Offset")</f>
        <v>Offset</v>
      </c>
      <c r="Q855" s="49" t="str">
        <f>IFERROR(__xludf.DUMMYFUNCTION("""COMPUTED_VALUE"""),"Packaging")</f>
        <v>Packaging</v>
      </c>
      <c r="R855" s="49" t="str">
        <f>IFERROR(__xludf.DUMMYFUNCTION("""COMPUTED_VALUE"""),"Daily Essential")</f>
        <v>Daily Essential</v>
      </c>
    </row>
    <row r="856">
      <c r="A856" s="156" t="str">
        <f>IFERROR(__xludf.DUMMYFUNCTION("""COMPUTED_VALUE"""),"https://drive.google.com/open?id=15uhnVLtWsjNdwcPYWdNFeze8-eUDUavR&amp;usp=drive_fs")</f>
        <v>https://drive.google.com/open?id=15uhnVLtWsjNdwcPYWdNFeze8-eUDUavR&amp;usp=drive_fs</v>
      </c>
      <c r="B856" s="73" t="str">
        <f>IFERROR(__xludf.DUMMYFUNCTION("""COMPUTED_VALUE"""),"Daily Essential")</f>
        <v>Daily Essential</v>
      </c>
      <c r="C856" s="73" t="str">
        <f>IFERROR(__xludf.DUMMYFUNCTION("""COMPUTED_VALUE"""),"Condom")</f>
        <v>Condom</v>
      </c>
      <c r="D856" s="73" t="str">
        <f>IFERROR(__xludf.DUMMYFUNCTION("""COMPUTED_VALUE"""),"60*15*65 mm | 2.3*0.6*2.6 inch")</f>
        <v>60*15*65 mm | 2.3*0.6*2.6 inch</v>
      </c>
      <c r="E856" s="77">
        <f>IFERROR(__xludf.DUMMYFUNCTION("""COMPUTED_VALUE"""),12.0)</f>
        <v>12</v>
      </c>
      <c r="F856" s="77">
        <f>IFERROR(__xludf.DUMMYFUNCTION("""COMPUTED_VALUE"""),1926.0)</f>
        <v>1926</v>
      </c>
      <c r="G856" s="77">
        <f>IFERROR(__xludf.DUMMYFUNCTION("""COMPUTED_VALUE"""),15.75)</f>
        <v>15.75</v>
      </c>
      <c r="H856" s="77">
        <f>IFERROR(__xludf.DUMMYFUNCTION("""COMPUTED_VALUE"""),20.75)</f>
        <v>20.75</v>
      </c>
      <c r="I856" s="77">
        <f>IFERROR(__xludf.DUMMYFUNCTION("""COMPUTED_VALUE"""),100.0)</f>
        <v>100</v>
      </c>
      <c r="J856" s="73"/>
      <c r="K856" s="73"/>
      <c r="L856" s="73"/>
      <c r="M856" s="77">
        <f>IFERROR(__xludf.DUMMYFUNCTION("""COMPUTED_VALUE"""),0.1)</f>
        <v>0.1</v>
      </c>
      <c r="N856" s="77">
        <f>IFERROR(__xludf.DUMMYFUNCTION("""COMPUTED_VALUE"""),1.0)</f>
        <v>1</v>
      </c>
      <c r="O856" s="49"/>
      <c r="P856" s="49" t="str">
        <f>IFERROR(__xludf.DUMMYFUNCTION("""COMPUTED_VALUE"""),"Offset")</f>
        <v>Offset</v>
      </c>
      <c r="Q856" s="49" t="str">
        <f>IFERROR(__xludf.DUMMYFUNCTION("""COMPUTED_VALUE"""),"Packaging")</f>
        <v>Packaging</v>
      </c>
      <c r="R856" s="49" t="str">
        <f>IFERROR(__xludf.DUMMYFUNCTION("""COMPUTED_VALUE"""),"Daily Essential")</f>
        <v>Daily Essential</v>
      </c>
    </row>
    <row r="857">
      <c r="A857" s="156" t="str">
        <f>IFERROR(__xludf.DUMMYFUNCTION("""COMPUTED_VALUE"""),"https://drive.google.com/open?id=17b4U_3b1lWws8aAiVmlAbwZEUqU4PTBZ&amp;usp=drive_fs")</f>
        <v>https://drive.google.com/open?id=17b4U_3b1lWws8aAiVmlAbwZEUqU4PTBZ&amp;usp=drive_fs</v>
      </c>
      <c r="B857" s="73" t="str">
        <f>IFERROR(__xludf.DUMMYFUNCTION("""COMPUTED_VALUE"""),"Daily Essential")</f>
        <v>Daily Essential</v>
      </c>
      <c r="C857" s="73" t="str">
        <f>IFERROR(__xludf.DUMMYFUNCTION("""COMPUTED_VALUE"""),"Pimple Patch")</f>
        <v>Pimple Patch</v>
      </c>
      <c r="D857" s="73" t="str">
        <f>IFERROR(__xludf.DUMMYFUNCTION("""COMPUTED_VALUE"""),"75*18*126 mm | 2.9*0.7*4.9 inch")</f>
        <v>75*18*126 mm | 2.9*0.7*4.9 inch</v>
      </c>
      <c r="E857" s="77">
        <f>IFERROR(__xludf.DUMMYFUNCTION("""COMPUTED_VALUE"""),6.0)</f>
        <v>6</v>
      </c>
      <c r="F857" s="77">
        <f>IFERROR(__xludf.DUMMYFUNCTION("""COMPUTED_VALUE"""),1926.0)</f>
        <v>1926</v>
      </c>
      <c r="G857" s="77">
        <f>IFERROR(__xludf.DUMMYFUNCTION("""COMPUTED_VALUE"""),18.0)</f>
        <v>18</v>
      </c>
      <c r="H857" s="77">
        <f>IFERROR(__xludf.DUMMYFUNCTION("""COMPUTED_VALUE"""),23.0)</f>
        <v>23</v>
      </c>
      <c r="I857" s="77">
        <f>IFERROR(__xludf.DUMMYFUNCTION("""COMPUTED_VALUE"""),100.0)</f>
        <v>100</v>
      </c>
      <c r="J857" s="73"/>
      <c r="K857" s="73"/>
      <c r="L857" s="73"/>
      <c r="M857" s="77">
        <f>IFERROR(__xludf.DUMMYFUNCTION("""COMPUTED_VALUE"""),0.12)</f>
        <v>0.12</v>
      </c>
      <c r="N857" s="77">
        <f>IFERROR(__xludf.DUMMYFUNCTION("""COMPUTED_VALUE"""),1.0)</f>
        <v>1</v>
      </c>
      <c r="O857" s="49"/>
      <c r="P857" s="49" t="str">
        <f>IFERROR(__xludf.DUMMYFUNCTION("""COMPUTED_VALUE"""),"Offset")</f>
        <v>Offset</v>
      </c>
      <c r="Q857" s="49" t="str">
        <f>IFERROR(__xludf.DUMMYFUNCTION("""COMPUTED_VALUE"""),"Packaging")</f>
        <v>Packaging</v>
      </c>
      <c r="R857" s="49" t="str">
        <f>IFERROR(__xludf.DUMMYFUNCTION("""COMPUTED_VALUE"""),"Daily Essential")</f>
        <v>Daily Essential</v>
      </c>
    </row>
    <row r="858">
      <c r="A858" s="156" t="str">
        <f>IFERROR(__xludf.DUMMYFUNCTION("""COMPUTED_VALUE"""),"https://drive.google.com/open?id=1-mb6vYbjaMsRCAGb9cayjqKH-DfaRDup&amp;usp=drive_fs")</f>
        <v>https://drive.google.com/open?id=1-mb6vYbjaMsRCAGb9cayjqKH-DfaRDup&amp;usp=drive_fs</v>
      </c>
      <c r="B858" s="73" t="str">
        <f>IFERROR(__xludf.DUMMYFUNCTION("""COMPUTED_VALUE"""),"Daily Essential")</f>
        <v>Daily Essential</v>
      </c>
      <c r="C858" s="73" t="str">
        <f>IFERROR(__xludf.DUMMYFUNCTION("""COMPUTED_VALUE"""),"Soap")</f>
        <v>Soap</v>
      </c>
      <c r="D858" s="73" t="str">
        <f>IFERROR(__xludf.DUMMYFUNCTION("""COMPUTED_VALUE"""),"62*30*90 mm | 2.4*1.1*3.5 inch")</f>
        <v>62*30*90 mm | 2.4*1.1*3.5 inch</v>
      </c>
      <c r="E858" s="77">
        <f>IFERROR(__xludf.DUMMYFUNCTION("""COMPUTED_VALUE"""),8.0)</f>
        <v>8</v>
      </c>
      <c r="F858" s="77">
        <f>IFERROR(__xludf.DUMMYFUNCTION("""COMPUTED_VALUE"""),1926.0)</f>
        <v>1926</v>
      </c>
      <c r="G858" s="77">
        <f>IFERROR(__xludf.DUMMYFUNCTION("""COMPUTED_VALUE"""),18.0)</f>
        <v>18</v>
      </c>
      <c r="H858" s="77">
        <f>IFERROR(__xludf.DUMMYFUNCTION("""COMPUTED_VALUE"""),23.0)</f>
        <v>23</v>
      </c>
      <c r="I858" s="77">
        <f>IFERROR(__xludf.DUMMYFUNCTION("""COMPUTED_VALUE"""),100.0)</f>
        <v>100</v>
      </c>
      <c r="J858" s="73"/>
      <c r="K858" s="73"/>
      <c r="L858" s="73"/>
      <c r="M858" s="77">
        <f>IFERROR(__xludf.DUMMYFUNCTION("""COMPUTED_VALUE"""),0.1)</f>
        <v>0.1</v>
      </c>
      <c r="N858" s="77">
        <f>IFERROR(__xludf.DUMMYFUNCTION("""COMPUTED_VALUE"""),1.0)</f>
        <v>1</v>
      </c>
      <c r="O858" s="49"/>
      <c r="P858" s="49" t="str">
        <f>IFERROR(__xludf.DUMMYFUNCTION("""COMPUTED_VALUE"""),"Offset")</f>
        <v>Offset</v>
      </c>
      <c r="Q858" s="49" t="str">
        <f>IFERROR(__xludf.DUMMYFUNCTION("""COMPUTED_VALUE"""),"Packaging")</f>
        <v>Packaging</v>
      </c>
      <c r="R858" s="49" t="str">
        <f>IFERROR(__xludf.DUMMYFUNCTION("""COMPUTED_VALUE"""),"Daily Essential")</f>
        <v>Daily Essential</v>
      </c>
    </row>
    <row r="859">
      <c r="A859" s="156" t="str">
        <f>IFERROR(__xludf.DUMMYFUNCTION("""COMPUTED_VALUE"""),"https://drive.google.com/open?id=1-rhcS5gYM8iVCYnEVD1FWnJejIZCbqUH&amp;usp=drive_fs")</f>
        <v>https://drive.google.com/open?id=1-rhcS5gYM8iVCYnEVD1FWnJejIZCbqUH&amp;usp=drive_fs</v>
      </c>
      <c r="B859" s="73" t="str">
        <f>IFERROR(__xludf.DUMMYFUNCTION("""COMPUTED_VALUE"""),"Daily Essential")</f>
        <v>Daily Essential</v>
      </c>
      <c r="C859" s="73" t="str">
        <f>IFERROR(__xludf.DUMMYFUNCTION("""COMPUTED_VALUE"""),"Razor")</f>
        <v>Razor</v>
      </c>
      <c r="D859" s="73" t="str">
        <f>IFERROR(__xludf.DUMMYFUNCTION("""COMPUTED_VALUE"""),"55*14*160 mm | 2.1*0.5*6.3 inch")</f>
        <v>55*14*160 mm | 2.1*0.5*6.3 inch</v>
      </c>
      <c r="E859" s="77">
        <f>IFERROR(__xludf.DUMMYFUNCTION("""COMPUTED_VALUE"""),9.0)</f>
        <v>9</v>
      </c>
      <c r="F859" s="77">
        <f>IFERROR(__xludf.DUMMYFUNCTION("""COMPUTED_VALUE"""),1926.0)</f>
        <v>1926</v>
      </c>
      <c r="G859" s="77">
        <f>IFERROR(__xludf.DUMMYFUNCTION("""COMPUTED_VALUE"""),18.0)</f>
        <v>18</v>
      </c>
      <c r="H859" s="77">
        <f>IFERROR(__xludf.DUMMYFUNCTION("""COMPUTED_VALUE"""),23.0)</f>
        <v>23</v>
      </c>
      <c r="I859" s="77">
        <f>IFERROR(__xludf.DUMMYFUNCTION("""COMPUTED_VALUE"""),100.0)</f>
        <v>100</v>
      </c>
      <c r="J859" s="73"/>
      <c r="K859" s="73"/>
      <c r="L859" s="73"/>
      <c r="M859" s="77">
        <f>IFERROR(__xludf.DUMMYFUNCTION("""COMPUTED_VALUE"""),0.1)</f>
        <v>0.1</v>
      </c>
      <c r="N859" s="77">
        <f>IFERROR(__xludf.DUMMYFUNCTION("""COMPUTED_VALUE"""),1.0)</f>
        <v>1</v>
      </c>
      <c r="O859" s="49"/>
      <c r="P859" s="49" t="str">
        <f>IFERROR(__xludf.DUMMYFUNCTION("""COMPUTED_VALUE"""),"Offset")</f>
        <v>Offset</v>
      </c>
      <c r="Q859" s="49" t="str">
        <f>IFERROR(__xludf.DUMMYFUNCTION("""COMPUTED_VALUE"""),"Packaging")</f>
        <v>Packaging</v>
      </c>
      <c r="R859" s="49" t="str">
        <f>IFERROR(__xludf.DUMMYFUNCTION("""COMPUTED_VALUE"""),"Daily Essential")</f>
        <v>Daily Essential</v>
      </c>
    </row>
    <row r="860">
      <c r="A860" s="156" t="str">
        <f>IFERROR(__xludf.DUMMYFUNCTION("""COMPUTED_VALUE"""),"https://drive.google.com/open?id=1pcdQNWHucyMLJmo0R5GDo4c1Wfxh-S2x&amp;usp=drive_fs")</f>
        <v>https://drive.google.com/open?id=1pcdQNWHucyMLJmo0R5GDo4c1Wfxh-S2x&amp;usp=drive_fs</v>
      </c>
      <c r="B860" s="73" t="str">
        <f>IFERROR(__xludf.DUMMYFUNCTION("""COMPUTED_VALUE"""),"Daily Essential")</f>
        <v>Daily Essential</v>
      </c>
      <c r="C860" s="73" t="str">
        <f>IFERROR(__xludf.DUMMYFUNCTION("""COMPUTED_VALUE"""),"Facial Ice Roller")</f>
        <v>Facial Ice Roller</v>
      </c>
      <c r="D860" s="73" t="str">
        <f>IFERROR(__xludf.DUMMYFUNCTION("""COMPUTED_VALUE"""),"63*40*105 mm | 2.5*1.5*4.1 inch")</f>
        <v>63*40*105 mm | 2.5*1.5*4.1 inch</v>
      </c>
      <c r="E860" s="77">
        <f>IFERROR(__xludf.DUMMYFUNCTION("""COMPUTED_VALUE"""),4.0)</f>
        <v>4</v>
      </c>
      <c r="F860" s="77">
        <f>IFERROR(__xludf.DUMMYFUNCTION("""COMPUTED_VALUE"""),1926.0)</f>
        <v>1926</v>
      </c>
      <c r="G860" s="77">
        <f>IFERROR(__xludf.DUMMYFUNCTION("""COMPUTED_VALUE"""),15.75)</f>
        <v>15.75</v>
      </c>
      <c r="H860" s="77">
        <f>IFERROR(__xludf.DUMMYFUNCTION("""COMPUTED_VALUE"""),20.75)</f>
        <v>20.75</v>
      </c>
      <c r="I860" s="77">
        <f>IFERROR(__xludf.DUMMYFUNCTION("""COMPUTED_VALUE"""),100.0)</f>
        <v>100</v>
      </c>
      <c r="J860" s="73"/>
      <c r="K860" s="73"/>
      <c r="L860" s="73"/>
      <c r="M860" s="77">
        <f>IFERROR(__xludf.DUMMYFUNCTION("""COMPUTED_VALUE"""),0.1)</f>
        <v>0.1</v>
      </c>
      <c r="N860" s="77">
        <f>IFERROR(__xludf.DUMMYFUNCTION("""COMPUTED_VALUE"""),1.0)</f>
        <v>1</v>
      </c>
      <c r="O860" s="49"/>
      <c r="P860" s="49" t="str">
        <f>IFERROR(__xludf.DUMMYFUNCTION("""COMPUTED_VALUE"""),"Offset")</f>
        <v>Offset</v>
      </c>
      <c r="Q860" s="49" t="str">
        <f>IFERROR(__xludf.DUMMYFUNCTION("""COMPUTED_VALUE"""),"Packaging")</f>
        <v>Packaging</v>
      </c>
      <c r="R860" s="49" t="str">
        <f>IFERROR(__xludf.DUMMYFUNCTION("""COMPUTED_VALUE"""),"Daily Essential")</f>
        <v>Daily Essential</v>
      </c>
    </row>
    <row r="861">
      <c r="A861" s="156" t="str">
        <f>IFERROR(__xludf.DUMMYFUNCTION("""COMPUTED_VALUE"""),"https://drive.google.com/open?id=1QkfPGnpAWTpZ8MMPUHV7aL9g6N4HVtcM&amp;usp=drive_fs")</f>
        <v>https://drive.google.com/open?id=1QkfPGnpAWTpZ8MMPUHV7aL9g6N4HVtcM&amp;usp=drive_fs</v>
      </c>
      <c r="B861" s="73" t="str">
        <f>IFERROR(__xludf.DUMMYFUNCTION("""COMPUTED_VALUE"""),"Daily Essential")</f>
        <v>Daily Essential</v>
      </c>
      <c r="C861" s="73" t="str">
        <f>IFERROR(__xludf.DUMMYFUNCTION("""COMPUTED_VALUE"""),"3D Massager")</f>
        <v>3D Massager</v>
      </c>
      <c r="D861" s="73" t="str">
        <f>IFERROR(__xludf.DUMMYFUNCTION("""COMPUTED_VALUE"""),"103*50*173 mm | 4*2*6.8 inch")</f>
        <v>103*50*173 mm | 4*2*6.8 inch</v>
      </c>
      <c r="E861" s="77">
        <f>IFERROR(__xludf.DUMMYFUNCTION("""COMPUTED_VALUE"""),2.0)</f>
        <v>2</v>
      </c>
      <c r="F861" s="77">
        <f>IFERROR(__xludf.DUMMYFUNCTION("""COMPUTED_VALUE"""),1926.0)</f>
        <v>1926</v>
      </c>
      <c r="G861" s="77">
        <f>IFERROR(__xludf.DUMMYFUNCTION("""COMPUTED_VALUE"""),13.0)</f>
        <v>13</v>
      </c>
      <c r="H861" s="77">
        <f>IFERROR(__xludf.DUMMYFUNCTION("""COMPUTED_VALUE"""),23.0)</f>
        <v>23</v>
      </c>
      <c r="I861" s="77">
        <f>IFERROR(__xludf.DUMMYFUNCTION("""COMPUTED_VALUE"""),100.0)</f>
        <v>100</v>
      </c>
      <c r="J861" s="73"/>
      <c r="K861" s="73"/>
      <c r="L861" s="73"/>
      <c r="M861" s="77">
        <f>IFERROR(__xludf.DUMMYFUNCTION("""COMPUTED_VALUE"""),0.1)</f>
        <v>0.1</v>
      </c>
      <c r="N861" s="77">
        <f>IFERROR(__xludf.DUMMYFUNCTION("""COMPUTED_VALUE"""),1.0)</f>
        <v>1</v>
      </c>
      <c r="O861" s="49"/>
      <c r="P861" s="49" t="str">
        <f>IFERROR(__xludf.DUMMYFUNCTION("""COMPUTED_VALUE"""),"Offset")</f>
        <v>Offset</v>
      </c>
      <c r="Q861" s="49" t="str">
        <f>IFERROR(__xludf.DUMMYFUNCTION("""COMPUTED_VALUE"""),"Packaging")</f>
        <v>Packaging</v>
      </c>
      <c r="R861" s="49" t="str">
        <f>IFERROR(__xludf.DUMMYFUNCTION("""COMPUTED_VALUE"""),"Daily Essential")</f>
        <v>Daily Essential</v>
      </c>
    </row>
    <row r="862">
      <c r="A862" s="156" t="str">
        <f>IFERROR(__xludf.DUMMYFUNCTION("""COMPUTED_VALUE"""),"https://drive.google.com/open?id=1I-Jc6lIMaohQrrOzwPq286uI_nfrU7VO&amp;usp=drive_fs")</f>
        <v>https://drive.google.com/open?id=1I-Jc6lIMaohQrrOzwPq286uI_nfrU7VO&amp;usp=drive_fs</v>
      </c>
      <c r="B862" s="73" t="str">
        <f>IFERROR(__xludf.DUMMYFUNCTION("""COMPUTED_VALUE"""),"Daily Essential")</f>
        <v>Daily Essential</v>
      </c>
      <c r="C862" s="73" t="str">
        <f>IFERROR(__xludf.DUMMYFUNCTION("""COMPUTED_VALUE"""),"Knee Patch")</f>
        <v>Knee Patch</v>
      </c>
      <c r="D862" s="73" t="str">
        <f>IFERROR(__xludf.DUMMYFUNCTION("""COMPUTED_VALUE"""),"Pack of 2 107*15*145 mm | 4.2*0.6*5.7 inch")</f>
        <v>Pack of 2 107*15*145 mm | 4.2*0.6*5.7 inch</v>
      </c>
      <c r="E862" s="77">
        <f>IFERROR(__xludf.DUMMYFUNCTION("""COMPUTED_VALUE"""),4.0)</f>
        <v>4</v>
      </c>
      <c r="F862" s="77">
        <f>IFERROR(__xludf.DUMMYFUNCTION("""COMPUTED_VALUE"""),1926.0)</f>
        <v>1926</v>
      </c>
      <c r="G862" s="77">
        <f>IFERROR(__xludf.DUMMYFUNCTION("""COMPUTED_VALUE"""),15.75)</f>
        <v>15.75</v>
      </c>
      <c r="H862" s="77">
        <f>IFERROR(__xludf.DUMMYFUNCTION("""COMPUTED_VALUE"""),20.75)</f>
        <v>20.75</v>
      </c>
      <c r="I862" s="77">
        <f>IFERROR(__xludf.DUMMYFUNCTION("""COMPUTED_VALUE"""),100.0)</f>
        <v>100</v>
      </c>
      <c r="J862" s="73"/>
      <c r="K862" s="73"/>
      <c r="L862" s="73"/>
      <c r="M862" s="77">
        <f>IFERROR(__xludf.DUMMYFUNCTION("""COMPUTED_VALUE"""),0.1)</f>
        <v>0.1</v>
      </c>
      <c r="N862" s="77">
        <f>IFERROR(__xludf.DUMMYFUNCTION("""COMPUTED_VALUE"""),1.0)</f>
        <v>1</v>
      </c>
      <c r="O862" s="49"/>
      <c r="P862" s="49" t="str">
        <f>IFERROR(__xludf.DUMMYFUNCTION("""COMPUTED_VALUE"""),"Offset")</f>
        <v>Offset</v>
      </c>
      <c r="Q862" s="49" t="str">
        <f>IFERROR(__xludf.DUMMYFUNCTION("""COMPUTED_VALUE"""),"Packaging")</f>
        <v>Packaging</v>
      </c>
      <c r="R862" s="49" t="str">
        <f>IFERROR(__xludf.DUMMYFUNCTION("""COMPUTED_VALUE"""),"Daily Essential")</f>
        <v>Daily Essential</v>
      </c>
    </row>
    <row r="863">
      <c r="A863" s="156" t="str">
        <f>IFERROR(__xludf.DUMMYFUNCTION("""COMPUTED_VALUE"""),"https://drive.google.com/open?id=16Rz87-Ewz1l8y0qb7D0iNojws4wbigXV&amp;usp=drive_fs")</f>
        <v>https://drive.google.com/open?id=16Rz87-Ewz1l8y0qb7D0iNojws4wbigXV&amp;usp=drive_fs</v>
      </c>
      <c r="B863" s="73" t="str">
        <f>IFERROR(__xludf.DUMMYFUNCTION("""COMPUTED_VALUE"""),"Daily Essential")</f>
        <v>Daily Essential</v>
      </c>
      <c r="C863" s="73" t="str">
        <f>IFERROR(__xludf.DUMMYFUNCTION("""COMPUTED_VALUE"""),"Heena")</f>
        <v>Heena</v>
      </c>
      <c r="D863" s="73" t="str">
        <f>IFERROR(__xludf.DUMMYFUNCTION("""COMPUTED_VALUE"""),"100*38*180 mm | 481.5*7 inch")</f>
        <v>100*38*180 mm | 481.5*7 inch</v>
      </c>
      <c r="E863" s="77">
        <f>IFERROR(__xludf.DUMMYFUNCTION("""COMPUTED_VALUE"""),2.0)</f>
        <v>2</v>
      </c>
      <c r="F863" s="77">
        <f>IFERROR(__xludf.DUMMYFUNCTION("""COMPUTED_VALUE"""),1926.0)</f>
        <v>1926</v>
      </c>
      <c r="G863" s="77">
        <f>IFERROR(__xludf.DUMMYFUNCTION("""COMPUTED_VALUE"""),12.0)</f>
        <v>12</v>
      </c>
      <c r="H863" s="77">
        <f>IFERROR(__xludf.DUMMYFUNCTION("""COMPUTED_VALUE"""),23.0)</f>
        <v>23</v>
      </c>
      <c r="I863" s="77">
        <f>IFERROR(__xludf.DUMMYFUNCTION("""COMPUTED_VALUE"""),100.0)</f>
        <v>100</v>
      </c>
      <c r="J863" s="73"/>
      <c r="K863" s="73"/>
      <c r="L863" s="73"/>
      <c r="M863" s="77">
        <f>IFERROR(__xludf.DUMMYFUNCTION("""COMPUTED_VALUE"""),0.1)</f>
        <v>0.1</v>
      </c>
      <c r="N863" s="77">
        <f>IFERROR(__xludf.DUMMYFUNCTION("""COMPUTED_VALUE"""),1.0)</f>
        <v>1</v>
      </c>
      <c r="O863" s="49"/>
      <c r="P863" s="49" t="str">
        <f>IFERROR(__xludf.DUMMYFUNCTION("""COMPUTED_VALUE"""),"Offset")</f>
        <v>Offset</v>
      </c>
      <c r="Q863" s="49" t="str">
        <f>IFERROR(__xludf.DUMMYFUNCTION("""COMPUTED_VALUE"""),"Packaging")</f>
        <v>Packaging</v>
      </c>
      <c r="R863" s="49" t="str">
        <f>IFERROR(__xludf.DUMMYFUNCTION("""COMPUTED_VALUE"""),"Daily Essential")</f>
        <v>Daily Essential</v>
      </c>
    </row>
    <row r="864">
      <c r="A864" s="156" t="str">
        <f>IFERROR(__xludf.DUMMYFUNCTION("""COMPUTED_VALUE"""),"https://drive.google.com/open?id=1OQGCFmPSxZoOhWLHW9qH4eodZwrkwhIR&amp;authuser=jay.agg%40gmail.com&amp;usp=drive_fs")</f>
        <v>https://drive.google.com/open?id=1OQGCFmPSxZoOhWLHW9qH4eodZwrkwhIR&amp;authuser=jay.agg%40gmail.com&amp;usp=drive_fs</v>
      </c>
      <c r="B864" s="73" t="str">
        <f>IFERROR(__xludf.DUMMYFUNCTION("""COMPUTED_VALUE"""),"Electricity")</f>
        <v>Electricity</v>
      </c>
      <c r="C864" s="73" t="str">
        <f>IFERROR(__xludf.DUMMYFUNCTION("""COMPUTED_VALUE"""),"Misc")</f>
        <v>Misc</v>
      </c>
      <c r="D864" s="73" t="str">
        <f>IFERROR(__xludf.DUMMYFUNCTION("""COMPUTED_VALUE"""),"80x75x30 mm")</f>
        <v>80x75x30 mm</v>
      </c>
      <c r="E864" s="77">
        <f>IFERROR(__xludf.DUMMYFUNCTION("""COMPUTED_VALUE"""),10.0)</f>
        <v>10</v>
      </c>
      <c r="F864" s="77">
        <f>IFERROR(__xludf.DUMMYFUNCTION("""COMPUTED_VALUE"""),1926.0)</f>
        <v>1926</v>
      </c>
      <c r="G864" s="77">
        <f>IFERROR(__xludf.DUMMYFUNCTION("""COMPUTED_VALUE"""),20.0)</f>
        <v>20</v>
      </c>
      <c r="H864" s="77">
        <f>IFERROR(__xludf.DUMMYFUNCTION("""COMPUTED_VALUE"""),25.0)</f>
        <v>25</v>
      </c>
      <c r="I864" s="77">
        <f>IFERROR(__xludf.DUMMYFUNCTION("""COMPUTED_VALUE"""),100.0)</f>
        <v>100</v>
      </c>
      <c r="J864" s="73"/>
      <c r="K864" s="73"/>
      <c r="L864" s="73"/>
      <c r="M864" s="77">
        <f>IFERROR(__xludf.DUMMYFUNCTION("""COMPUTED_VALUE"""),0.1)</f>
        <v>0.1</v>
      </c>
      <c r="N864" s="77">
        <f>IFERROR(__xludf.DUMMYFUNCTION("""COMPUTED_VALUE"""),1.0)</f>
        <v>1</v>
      </c>
      <c r="O864" s="49"/>
      <c r="P864" s="49" t="str">
        <f>IFERROR(__xludf.DUMMYFUNCTION("""COMPUTED_VALUE"""),"Offset")</f>
        <v>Offset</v>
      </c>
      <c r="Q864" s="49" t="str">
        <f>IFERROR(__xludf.DUMMYFUNCTION("""COMPUTED_VALUE"""),"Packaging")</f>
        <v>Packaging</v>
      </c>
      <c r="R864" s="49" t="str">
        <f>IFERROR(__xludf.DUMMYFUNCTION("""COMPUTED_VALUE"""),"Electricity")</f>
        <v>Electricity</v>
      </c>
    </row>
    <row r="865">
      <c r="A865" s="156" t="str">
        <f>IFERROR(__xludf.DUMMYFUNCTION("""COMPUTED_VALUE"""),"https://drive.google.com/open?id=1NwNWmkGeLleoH3Z78NAZyLiN5TR7Et2e&amp;authuser=jay.agg%40gmail.com&amp;usp=drive_fs")</f>
        <v>https://drive.google.com/open?id=1NwNWmkGeLleoH3Z78NAZyLiN5TR7Et2e&amp;authuser=jay.agg%40gmail.com&amp;usp=drive_fs</v>
      </c>
      <c r="B865" s="73" t="str">
        <f>IFERROR(__xludf.DUMMYFUNCTION("""COMPUTED_VALUE"""),"Electricity")</f>
        <v>Electricity</v>
      </c>
      <c r="C865" s="73" t="str">
        <f>IFERROR(__xludf.DUMMYFUNCTION("""COMPUTED_VALUE"""),"Sound")</f>
        <v>Sound</v>
      </c>
      <c r="D865" s="73" t="str">
        <f>IFERROR(__xludf.DUMMYFUNCTION("""COMPUTED_VALUE"""),"6*6*10 inch LB")</f>
        <v>6*6*10 inch LB</v>
      </c>
      <c r="E865" s="77">
        <f>IFERROR(__xludf.DUMMYFUNCTION("""COMPUTED_VALUE"""),2.0)</f>
        <v>2</v>
      </c>
      <c r="F865" s="77">
        <f>IFERROR(__xludf.DUMMYFUNCTION("""COMPUTED_VALUE"""),2840.0)</f>
        <v>2840</v>
      </c>
      <c r="G865" s="77">
        <f>IFERROR(__xludf.DUMMYFUNCTION("""COMPUTED_VALUE"""),25.0)</f>
        <v>25</v>
      </c>
      <c r="H865" s="77">
        <f>IFERROR(__xludf.DUMMYFUNCTION("""COMPUTED_VALUE"""),40.0)</f>
        <v>40</v>
      </c>
      <c r="I865" s="77">
        <f>IFERROR(__xludf.DUMMYFUNCTION("""COMPUTED_VALUE"""),100.0)</f>
        <v>100</v>
      </c>
      <c r="J865" s="73"/>
      <c r="K865" s="73"/>
      <c r="L865" s="73"/>
      <c r="M865" s="77">
        <f>IFERROR(__xludf.DUMMYFUNCTION("""COMPUTED_VALUE"""),0.1)</f>
        <v>0.1</v>
      </c>
      <c r="N865" s="77">
        <f>IFERROR(__xludf.DUMMYFUNCTION("""COMPUTED_VALUE"""),1.0)</f>
        <v>1</v>
      </c>
      <c r="O865" s="49"/>
      <c r="P865" s="49" t="str">
        <f>IFERROR(__xludf.DUMMYFUNCTION("""COMPUTED_VALUE"""),"Offset")</f>
        <v>Offset</v>
      </c>
      <c r="Q865" s="49" t="str">
        <f>IFERROR(__xludf.DUMMYFUNCTION("""COMPUTED_VALUE"""),"Packaging")</f>
        <v>Packaging</v>
      </c>
      <c r="R865" s="49" t="str">
        <f>IFERROR(__xludf.DUMMYFUNCTION("""COMPUTED_VALUE"""),"Electricity")</f>
        <v>Electricity</v>
      </c>
    </row>
    <row r="866">
      <c r="A866" s="156" t="str">
        <f>IFERROR(__xludf.DUMMYFUNCTION("""COMPUTED_VALUE"""),"https://drive.google.com/open?id=1NwIsP_P9kushhCWr83PhkGQul_Dp1EU0&amp;authuser=jay.agg%40gmail.com&amp;usp=drive_fs")</f>
        <v>https://drive.google.com/open?id=1NwIsP_P9kushhCWr83PhkGQul_Dp1EU0&amp;authuser=jay.agg%40gmail.com&amp;usp=drive_fs</v>
      </c>
      <c r="B866" s="73" t="str">
        <f>IFERROR(__xludf.DUMMYFUNCTION("""COMPUTED_VALUE"""),"Electricity")</f>
        <v>Electricity</v>
      </c>
      <c r="C866" s="73" t="str">
        <f>IFERROR(__xludf.DUMMYFUNCTION("""COMPUTED_VALUE"""),"Adaptor")</f>
        <v>Adaptor</v>
      </c>
      <c r="D866" s="73" t="str">
        <f>IFERROR(__xludf.DUMMYFUNCTION("""COMPUTED_VALUE"""),"80*80*150 mm")</f>
        <v>80*80*150 mm</v>
      </c>
      <c r="E866" s="77">
        <f>IFERROR(__xludf.DUMMYFUNCTION("""COMPUTED_VALUE"""),2.0)</f>
        <v>2</v>
      </c>
      <c r="F866" s="77">
        <f>IFERROR(__xludf.DUMMYFUNCTION("""COMPUTED_VALUE"""),1926.0)</f>
        <v>1926</v>
      </c>
      <c r="G866" s="77">
        <f>IFERROR(__xludf.DUMMYFUNCTION("""COMPUTED_VALUE"""),20.0)</f>
        <v>20</v>
      </c>
      <c r="H866" s="77">
        <f>IFERROR(__xludf.DUMMYFUNCTION("""COMPUTED_VALUE"""),24.0)</f>
        <v>24</v>
      </c>
      <c r="I866" s="77">
        <f>IFERROR(__xludf.DUMMYFUNCTION("""COMPUTED_VALUE"""),100.0)</f>
        <v>100</v>
      </c>
      <c r="J866" s="73"/>
      <c r="K866" s="73"/>
      <c r="L866" s="73"/>
      <c r="M866" s="77">
        <f>IFERROR(__xludf.DUMMYFUNCTION("""COMPUTED_VALUE"""),0.1)</f>
        <v>0.1</v>
      </c>
      <c r="N866" s="77">
        <f>IFERROR(__xludf.DUMMYFUNCTION("""COMPUTED_VALUE"""),1.0)</f>
        <v>1</v>
      </c>
      <c r="O866" s="49"/>
      <c r="P866" s="49" t="str">
        <f>IFERROR(__xludf.DUMMYFUNCTION("""COMPUTED_VALUE"""),"Offset")</f>
        <v>Offset</v>
      </c>
      <c r="Q866" s="49" t="str">
        <f>IFERROR(__xludf.DUMMYFUNCTION("""COMPUTED_VALUE"""),"Packaging")</f>
        <v>Packaging</v>
      </c>
      <c r="R866" s="49" t="str">
        <f>IFERROR(__xludf.DUMMYFUNCTION("""COMPUTED_VALUE"""),"Electricity")</f>
        <v>Electricity</v>
      </c>
    </row>
    <row r="867">
      <c r="A867" s="156" t="str">
        <f>IFERROR(__xludf.DUMMYFUNCTION("""COMPUTED_VALUE"""),"https://drive.google.com/open?id=1NuEYa6izYjgh_i4oDqnymZzTwwyui_nd&amp;authuser=jay.agg%40gmail.com&amp;usp=drive_fs")</f>
        <v>https://drive.google.com/open?id=1NuEYa6izYjgh_i4oDqnymZzTwwyui_nd&amp;authuser=jay.agg%40gmail.com&amp;usp=drive_fs</v>
      </c>
      <c r="B867" s="73" t="str">
        <f>IFERROR(__xludf.DUMMYFUNCTION("""COMPUTED_VALUE"""),"Electricity")</f>
        <v>Electricity</v>
      </c>
      <c r="C867" s="73" t="str">
        <f>IFERROR(__xludf.DUMMYFUNCTION("""COMPUTED_VALUE"""),"Sensor")</f>
        <v>Sensor</v>
      </c>
      <c r="D867" s="73" t="str">
        <f>IFERROR(__xludf.DUMMYFUNCTION("""COMPUTED_VALUE"""),"40*90 mm")</f>
        <v>40*90 mm</v>
      </c>
      <c r="E867" s="77">
        <f>IFERROR(__xludf.DUMMYFUNCTION("""COMPUTED_VALUE"""),8.0)</f>
        <v>8</v>
      </c>
      <c r="F867" s="77">
        <f>IFERROR(__xludf.DUMMYFUNCTION("""COMPUTED_VALUE"""),1926.0)</f>
        <v>1926</v>
      </c>
      <c r="G867" s="77">
        <f>IFERROR(__xludf.DUMMYFUNCTION("""COMPUTED_VALUE"""),14.0)</f>
        <v>14</v>
      </c>
      <c r="H867" s="77">
        <f>IFERROR(__xludf.DUMMYFUNCTION("""COMPUTED_VALUE"""),26.0)</f>
        <v>26</v>
      </c>
      <c r="I867" s="77">
        <f>IFERROR(__xludf.DUMMYFUNCTION("""COMPUTED_VALUE"""),100.0)</f>
        <v>100</v>
      </c>
      <c r="J867" s="73"/>
      <c r="K867" s="73"/>
      <c r="L867" s="73"/>
      <c r="M867" s="77">
        <f>IFERROR(__xludf.DUMMYFUNCTION("""COMPUTED_VALUE"""),0.1)</f>
        <v>0.1</v>
      </c>
      <c r="N867" s="77">
        <f>IFERROR(__xludf.DUMMYFUNCTION("""COMPUTED_VALUE"""),1.0)</f>
        <v>1</v>
      </c>
      <c r="O867" s="49"/>
      <c r="P867" s="49" t="str">
        <f>IFERROR(__xludf.DUMMYFUNCTION("""COMPUTED_VALUE"""),"Offset")</f>
        <v>Offset</v>
      </c>
      <c r="Q867" s="49" t="str">
        <f>IFERROR(__xludf.DUMMYFUNCTION("""COMPUTED_VALUE"""),"Packaging")</f>
        <v>Packaging</v>
      </c>
      <c r="R867" s="49" t="str">
        <f>IFERROR(__xludf.DUMMYFUNCTION("""COMPUTED_VALUE"""),"Electricity")</f>
        <v>Electricity</v>
      </c>
    </row>
    <row r="868">
      <c r="A868" s="156" t="str">
        <f>IFERROR(__xludf.DUMMYFUNCTION("""COMPUTED_VALUE"""),"https://drive.google.com/open?id=1NomQr41znC6fQmCkVvpfpYeN_eaWYV7F&amp;authuser=jay.agg%40gmail.com&amp;usp=drive_fs")</f>
        <v>https://drive.google.com/open?id=1NomQr41znC6fQmCkVvpfpYeN_eaWYV7F&amp;authuser=jay.agg%40gmail.com&amp;usp=drive_fs</v>
      </c>
      <c r="B868" s="73" t="str">
        <f>IFERROR(__xludf.DUMMYFUNCTION("""COMPUTED_VALUE"""),"Electricity")</f>
        <v>Electricity</v>
      </c>
      <c r="C868" s="73" t="str">
        <f>IFERROR(__xludf.DUMMYFUNCTION("""COMPUTED_VALUE"""),"Misc")</f>
        <v>Misc</v>
      </c>
      <c r="D868" s="73" t="str">
        <f>IFERROR(__xludf.DUMMYFUNCTION("""COMPUTED_VALUE"""),"12.8*5.7*8.1 cm")</f>
        <v>12.8*5.7*8.1 cm</v>
      </c>
      <c r="E868" s="77">
        <f>IFERROR(__xludf.DUMMYFUNCTION("""COMPUTED_VALUE"""),4.0)</f>
        <v>4</v>
      </c>
      <c r="F868" s="77">
        <f>IFERROR(__xludf.DUMMYFUNCTION("""COMPUTED_VALUE"""),1926.0)</f>
        <v>1926</v>
      </c>
      <c r="G868" s="77">
        <f>IFERROR(__xludf.DUMMYFUNCTION("""COMPUTED_VALUE"""),19.5)</f>
        <v>19.5</v>
      </c>
      <c r="H868" s="77">
        <f>IFERROR(__xludf.DUMMYFUNCTION("""COMPUTED_VALUE"""),23.0)</f>
        <v>23</v>
      </c>
      <c r="I868" s="77">
        <f>IFERROR(__xludf.DUMMYFUNCTION("""COMPUTED_VALUE"""),100.0)</f>
        <v>100</v>
      </c>
      <c r="J868" s="73"/>
      <c r="K868" s="73"/>
      <c r="L868" s="73"/>
      <c r="M868" s="77">
        <f>IFERROR(__xludf.DUMMYFUNCTION("""COMPUTED_VALUE"""),0.1)</f>
        <v>0.1</v>
      </c>
      <c r="N868" s="77">
        <f>IFERROR(__xludf.DUMMYFUNCTION("""COMPUTED_VALUE"""),1.0)</f>
        <v>1</v>
      </c>
      <c r="O868" s="49"/>
      <c r="P868" s="49" t="str">
        <f>IFERROR(__xludf.DUMMYFUNCTION("""COMPUTED_VALUE"""),"Offset")</f>
        <v>Offset</v>
      </c>
      <c r="Q868" s="49" t="str">
        <f>IFERROR(__xludf.DUMMYFUNCTION("""COMPUTED_VALUE"""),"Packaging")</f>
        <v>Packaging</v>
      </c>
      <c r="R868" s="49" t="str">
        <f>IFERROR(__xludf.DUMMYFUNCTION("""COMPUTED_VALUE"""),"Electricity")</f>
        <v>Electricity</v>
      </c>
    </row>
    <row r="869">
      <c r="A869" s="156" t="str">
        <f>IFERROR(__xludf.DUMMYFUNCTION("""COMPUTED_VALUE"""),"https://drive.google.com/open?id=1Nk6H_vDlF5QmA_1GV_7_8MaLvb_Jzu5C&amp;authuser=jay.agg%40gmail.com&amp;usp=drive_fs")</f>
        <v>https://drive.google.com/open?id=1Nk6H_vDlF5QmA_1GV_7_8MaLvb_Jzu5C&amp;authuser=jay.agg%40gmail.com&amp;usp=drive_fs</v>
      </c>
      <c r="B869" s="73" t="str">
        <f>IFERROR(__xludf.DUMMYFUNCTION("""COMPUTED_VALUE"""),"Electricity")</f>
        <v>Electricity</v>
      </c>
      <c r="C869" s="73" t="str">
        <f>IFERROR(__xludf.DUMMYFUNCTION("""COMPUTED_VALUE"""),"Misc")</f>
        <v>Misc</v>
      </c>
      <c r="D869" s="73" t="str">
        <f>IFERROR(__xludf.DUMMYFUNCTION("""COMPUTED_VALUE"""),"12.2*4.6*7.8 cm")</f>
        <v>12.2*4.6*7.8 cm</v>
      </c>
      <c r="E869" s="77">
        <f>IFERROR(__xludf.DUMMYFUNCTION("""COMPUTED_VALUE"""),4.0)</f>
        <v>4</v>
      </c>
      <c r="F869" s="77">
        <f>IFERROR(__xludf.DUMMYFUNCTION("""COMPUTED_VALUE"""),1926.0)</f>
        <v>1926</v>
      </c>
      <c r="G869" s="77">
        <f>IFERROR(__xludf.DUMMYFUNCTION("""COMPUTED_VALUE"""),18.0)</f>
        <v>18</v>
      </c>
      <c r="H869" s="77">
        <f>IFERROR(__xludf.DUMMYFUNCTION("""COMPUTED_VALUE"""),21.0)</f>
        <v>21</v>
      </c>
      <c r="I869" s="77">
        <f>IFERROR(__xludf.DUMMYFUNCTION("""COMPUTED_VALUE"""),100.0)</f>
        <v>100</v>
      </c>
      <c r="J869" s="73"/>
      <c r="K869" s="73"/>
      <c r="L869" s="73"/>
      <c r="M869" s="77">
        <f>IFERROR(__xludf.DUMMYFUNCTION("""COMPUTED_VALUE"""),0.1)</f>
        <v>0.1</v>
      </c>
      <c r="N869" s="77">
        <f>IFERROR(__xludf.DUMMYFUNCTION("""COMPUTED_VALUE"""),1.0)</f>
        <v>1</v>
      </c>
      <c r="O869" s="49"/>
      <c r="P869" s="49" t="str">
        <f>IFERROR(__xludf.DUMMYFUNCTION("""COMPUTED_VALUE"""),"Offset")</f>
        <v>Offset</v>
      </c>
      <c r="Q869" s="49" t="str">
        <f>IFERROR(__xludf.DUMMYFUNCTION("""COMPUTED_VALUE"""),"Packaging")</f>
        <v>Packaging</v>
      </c>
      <c r="R869" s="49" t="str">
        <f>IFERROR(__xludf.DUMMYFUNCTION("""COMPUTED_VALUE"""),"Electricity")</f>
        <v>Electricity</v>
      </c>
    </row>
    <row r="870">
      <c r="A870" s="156" t="str">
        <f>IFERROR(__xludf.DUMMYFUNCTION("""COMPUTED_VALUE"""),"https://drive.google.com/open?id=1NdVETi5eMNJ3dtnRehVxYonod05uRFzC&amp;authuser=jay.agg%40gmail.com&amp;usp=drive_fs")</f>
        <v>https://drive.google.com/open?id=1NdVETi5eMNJ3dtnRehVxYonod05uRFzC&amp;authuser=jay.agg%40gmail.com&amp;usp=drive_fs</v>
      </c>
      <c r="B870" s="73" t="str">
        <f>IFERROR(__xludf.DUMMYFUNCTION("""COMPUTED_VALUE"""),"Electricity")</f>
        <v>Electricity</v>
      </c>
      <c r="C870" s="73" t="str">
        <f>IFERROR(__xludf.DUMMYFUNCTION("""COMPUTED_VALUE"""),"Junction Box")</f>
        <v>Junction Box</v>
      </c>
      <c r="D870" s="73" t="str">
        <f>IFERROR(__xludf.DUMMYFUNCTION("""COMPUTED_VALUE"""),"55*55*64 mm")</f>
        <v>55*55*64 mm</v>
      </c>
      <c r="E870" s="77">
        <f>IFERROR(__xludf.DUMMYFUNCTION("""COMPUTED_VALUE"""),6.0)</f>
        <v>6</v>
      </c>
      <c r="F870" s="77">
        <f>IFERROR(__xludf.DUMMYFUNCTION("""COMPUTED_VALUE"""),1926.0)</f>
        <v>1926</v>
      </c>
      <c r="G870" s="77">
        <f>IFERROR(__xludf.DUMMYFUNCTION("""COMPUTED_VALUE"""),20.0)</f>
        <v>20</v>
      </c>
      <c r="H870" s="77">
        <f>IFERROR(__xludf.DUMMYFUNCTION("""COMPUTED_VALUE"""),21.0)</f>
        <v>21</v>
      </c>
      <c r="I870" s="77">
        <f>IFERROR(__xludf.DUMMYFUNCTION("""COMPUTED_VALUE"""),100.0)</f>
        <v>100</v>
      </c>
      <c r="J870" s="73"/>
      <c r="K870" s="73"/>
      <c r="L870" s="73"/>
      <c r="M870" s="77">
        <f>IFERROR(__xludf.DUMMYFUNCTION("""COMPUTED_VALUE"""),0.1)</f>
        <v>0.1</v>
      </c>
      <c r="N870" s="77">
        <f>IFERROR(__xludf.DUMMYFUNCTION("""COMPUTED_VALUE"""),1.0)</f>
        <v>1</v>
      </c>
      <c r="O870" s="49"/>
      <c r="P870" s="49" t="str">
        <f>IFERROR(__xludf.DUMMYFUNCTION("""COMPUTED_VALUE"""),"Offset")</f>
        <v>Offset</v>
      </c>
      <c r="Q870" s="49" t="str">
        <f>IFERROR(__xludf.DUMMYFUNCTION("""COMPUTED_VALUE"""),"Packaging")</f>
        <v>Packaging</v>
      </c>
      <c r="R870" s="49" t="str">
        <f>IFERROR(__xludf.DUMMYFUNCTION("""COMPUTED_VALUE"""),"Electricity")</f>
        <v>Electricity</v>
      </c>
    </row>
    <row r="871">
      <c r="A871" s="156" t="str">
        <f>IFERROR(__xludf.DUMMYFUNCTION("""COMPUTED_VALUE"""),"https://drive.google.com/open?id=1NeGKY9a08I2WW_Z4zoq2dJDdhxw5zAdV&amp;authuser=jay.agg%40gmail.com&amp;usp=drive_fs")</f>
        <v>https://drive.google.com/open?id=1NeGKY9a08I2WW_Z4zoq2dJDdhxw5zAdV&amp;authuser=jay.agg%40gmail.com&amp;usp=drive_fs</v>
      </c>
      <c r="B871" s="73" t="str">
        <f>IFERROR(__xludf.DUMMYFUNCTION("""COMPUTED_VALUE"""),"Electricity")</f>
        <v>Electricity</v>
      </c>
      <c r="C871" s="73" t="str">
        <f>IFERROR(__xludf.DUMMYFUNCTION("""COMPUTED_VALUE"""),"Socket")</f>
        <v>Socket</v>
      </c>
      <c r="D871" s="73" t="str">
        <f>IFERROR(__xludf.DUMMYFUNCTION("""COMPUTED_VALUE"""),"5.5*4*2.5 inches | 102*140*64 mm ")</f>
        <v>5.5*4*2.5 inches | 102*140*64 mm </v>
      </c>
      <c r="E871" s="77">
        <f>IFERROR(__xludf.DUMMYFUNCTION("""COMPUTED_VALUE"""),2.0)</f>
        <v>2</v>
      </c>
      <c r="F871" s="77">
        <f>IFERROR(__xludf.DUMMYFUNCTION("""COMPUTED_VALUE"""),1926.0)</f>
        <v>1926</v>
      </c>
      <c r="G871" s="77">
        <f>IFERROR(__xludf.DUMMYFUNCTION("""COMPUTED_VALUE"""),15.5)</f>
        <v>15.5</v>
      </c>
      <c r="H871" s="77">
        <f>IFERROR(__xludf.DUMMYFUNCTION("""COMPUTED_VALUE"""),20.5)</f>
        <v>20.5</v>
      </c>
      <c r="I871" s="77">
        <f>IFERROR(__xludf.DUMMYFUNCTION("""COMPUTED_VALUE"""),100.0)</f>
        <v>100</v>
      </c>
      <c r="J871" s="73"/>
      <c r="K871" s="73"/>
      <c r="L871" s="73"/>
      <c r="M871" s="77">
        <f>IFERROR(__xludf.DUMMYFUNCTION("""COMPUTED_VALUE"""),0.1)</f>
        <v>0.1</v>
      </c>
      <c r="N871" s="77">
        <f>IFERROR(__xludf.DUMMYFUNCTION("""COMPUTED_VALUE"""),1.0)</f>
        <v>1</v>
      </c>
      <c r="O871" s="49"/>
      <c r="P871" s="49" t="str">
        <f>IFERROR(__xludf.DUMMYFUNCTION("""COMPUTED_VALUE"""),"Offset")</f>
        <v>Offset</v>
      </c>
      <c r="Q871" s="49" t="str">
        <f>IFERROR(__xludf.DUMMYFUNCTION("""COMPUTED_VALUE"""),"Packaging")</f>
        <v>Packaging</v>
      </c>
      <c r="R871" s="49" t="str">
        <f>IFERROR(__xludf.DUMMYFUNCTION("""COMPUTED_VALUE"""),"Electricity")</f>
        <v>Electricity</v>
      </c>
    </row>
    <row r="872">
      <c r="A872" s="156" t="str">
        <f>IFERROR(__xludf.DUMMYFUNCTION("""COMPUTED_VALUE"""),"https://drive.google.com/open?id=1NQBSJEkQNL7fEUS9Oka8Z2io4-o2Y4AJ&amp;authuser=jay.agg%40gmail.com&amp;usp=drive_fs")</f>
        <v>https://drive.google.com/open?id=1NQBSJEkQNL7fEUS9Oka8Z2io4-o2Y4AJ&amp;authuser=jay.agg%40gmail.com&amp;usp=drive_fs</v>
      </c>
      <c r="B872" s="73" t="str">
        <f>IFERROR(__xludf.DUMMYFUNCTION("""COMPUTED_VALUE"""),"Electricity")</f>
        <v>Electricity</v>
      </c>
      <c r="C872" s="73" t="str">
        <f>IFERROR(__xludf.DUMMYFUNCTION("""COMPUTED_VALUE"""),"Adaptor")</f>
        <v>Adaptor</v>
      </c>
      <c r="D872" s="73" t="str">
        <f>IFERROR(__xludf.DUMMYFUNCTION("""COMPUTED_VALUE"""),"80*55*60 mm")</f>
        <v>80*55*60 mm</v>
      </c>
      <c r="E872" s="77">
        <f>IFERROR(__xludf.DUMMYFUNCTION("""COMPUTED_VALUE"""),6.0)</f>
        <v>6</v>
      </c>
      <c r="F872" s="77">
        <f>IFERROR(__xludf.DUMMYFUNCTION("""COMPUTED_VALUE"""),1926.0)</f>
        <v>1926</v>
      </c>
      <c r="G872" s="77">
        <f>IFERROR(__xludf.DUMMYFUNCTION("""COMPUTED_VALUE"""),19.5)</f>
        <v>19.5</v>
      </c>
      <c r="H872" s="77">
        <f>IFERROR(__xludf.DUMMYFUNCTION("""COMPUTED_VALUE"""),23.0)</f>
        <v>23</v>
      </c>
      <c r="I872" s="77">
        <f>IFERROR(__xludf.DUMMYFUNCTION("""COMPUTED_VALUE"""),100.0)</f>
        <v>100</v>
      </c>
      <c r="J872" s="73"/>
      <c r="K872" s="73"/>
      <c r="L872" s="73"/>
      <c r="M872" s="77">
        <f>IFERROR(__xludf.DUMMYFUNCTION("""COMPUTED_VALUE"""),0.1)</f>
        <v>0.1</v>
      </c>
      <c r="N872" s="77">
        <f>IFERROR(__xludf.DUMMYFUNCTION("""COMPUTED_VALUE"""),1.0)</f>
        <v>1</v>
      </c>
      <c r="O872" s="49"/>
      <c r="P872" s="49" t="str">
        <f>IFERROR(__xludf.DUMMYFUNCTION("""COMPUTED_VALUE"""),"Offset")</f>
        <v>Offset</v>
      </c>
      <c r="Q872" s="49" t="str">
        <f>IFERROR(__xludf.DUMMYFUNCTION("""COMPUTED_VALUE"""),"Packaging")</f>
        <v>Packaging</v>
      </c>
      <c r="R872" s="49" t="str">
        <f>IFERROR(__xludf.DUMMYFUNCTION("""COMPUTED_VALUE"""),"Electricity")</f>
        <v>Electricity</v>
      </c>
    </row>
    <row r="873">
      <c r="A873" s="156" t="str">
        <f>IFERROR(__xludf.DUMMYFUNCTION("""COMPUTED_VALUE"""),"https://drive.google.com/open?id=1N_MVCEfsCWk6E8ztfAqCR-MSTbzOjDhC&amp;authuser=jay.agg%40gmail.com&amp;usp=drive_fs")</f>
        <v>https://drive.google.com/open?id=1N_MVCEfsCWk6E8ztfAqCR-MSTbzOjDhC&amp;authuser=jay.agg%40gmail.com&amp;usp=drive_fs</v>
      </c>
      <c r="B873" s="73" t="str">
        <f>IFERROR(__xludf.DUMMYFUNCTION("""COMPUTED_VALUE"""),"Electricity")</f>
        <v>Electricity</v>
      </c>
      <c r="C873" s="73" t="str">
        <f>IFERROR(__xludf.DUMMYFUNCTION("""COMPUTED_VALUE"""),"Adaptor")</f>
        <v>Adaptor</v>
      </c>
      <c r="D873" s="73" t="str">
        <f>IFERROR(__xludf.DUMMYFUNCTION("""COMPUTED_VALUE"""),"88*55*57 mm")</f>
        <v>88*55*57 mm</v>
      </c>
      <c r="E873" s="77">
        <f>IFERROR(__xludf.DUMMYFUNCTION("""COMPUTED_VALUE"""),6.0)</f>
        <v>6</v>
      </c>
      <c r="F873" s="77">
        <f>IFERROR(__xludf.DUMMYFUNCTION("""COMPUTED_VALUE"""),1926.0)</f>
        <v>1926</v>
      </c>
      <c r="G873" s="77">
        <f>IFERROR(__xludf.DUMMYFUNCTION("""COMPUTED_VALUE"""),18.0)</f>
        <v>18</v>
      </c>
      <c r="H873" s="77">
        <f>IFERROR(__xludf.DUMMYFUNCTION("""COMPUTED_VALUE"""),25.0)</f>
        <v>25</v>
      </c>
      <c r="I873" s="77">
        <f>IFERROR(__xludf.DUMMYFUNCTION("""COMPUTED_VALUE"""),100.0)</f>
        <v>100</v>
      </c>
      <c r="J873" s="73"/>
      <c r="K873" s="73"/>
      <c r="L873" s="73"/>
      <c r="M873" s="77">
        <f>IFERROR(__xludf.DUMMYFUNCTION("""COMPUTED_VALUE"""),0.1)</f>
        <v>0.1</v>
      </c>
      <c r="N873" s="77">
        <f>IFERROR(__xludf.DUMMYFUNCTION("""COMPUTED_VALUE"""),1.0)</f>
        <v>1</v>
      </c>
      <c r="O873" s="49"/>
      <c r="P873" s="49" t="str">
        <f>IFERROR(__xludf.DUMMYFUNCTION("""COMPUTED_VALUE"""),"Offset")</f>
        <v>Offset</v>
      </c>
      <c r="Q873" s="49" t="str">
        <f>IFERROR(__xludf.DUMMYFUNCTION("""COMPUTED_VALUE"""),"Packaging")</f>
        <v>Packaging</v>
      </c>
      <c r="R873" s="49" t="str">
        <f>IFERROR(__xludf.DUMMYFUNCTION("""COMPUTED_VALUE"""),"Electricity")</f>
        <v>Electricity</v>
      </c>
    </row>
    <row r="874">
      <c r="A874" s="156" t="str">
        <f>IFERROR(__xludf.DUMMYFUNCTION("""COMPUTED_VALUE"""),"https://drive.google.com/open?id=1NRETeZcBsx1ayFIyOeikauqJ3DZFUQ8K&amp;authuser=jay.agg%40gmail.com&amp;usp=drive_fs")</f>
        <v>https://drive.google.com/open?id=1NRETeZcBsx1ayFIyOeikauqJ3DZFUQ8K&amp;authuser=jay.agg%40gmail.com&amp;usp=drive_fs</v>
      </c>
      <c r="B874" s="73" t="str">
        <f>IFERROR(__xludf.DUMMYFUNCTION("""COMPUTED_VALUE"""),"Electricity")</f>
        <v>Electricity</v>
      </c>
      <c r="C874" s="73" t="str">
        <f>IFERROR(__xludf.DUMMYFUNCTION("""COMPUTED_VALUE"""),"Adaptor")</f>
        <v>Adaptor</v>
      </c>
      <c r="D874" s="73" t="str">
        <f>IFERROR(__xludf.DUMMYFUNCTION("""COMPUTED_VALUE"""),"Outer 10pcs 80*55*60 mm IL")</f>
        <v>Outer 10pcs 80*55*60 mm IL</v>
      </c>
      <c r="E874" s="77">
        <f>IFERROR(__xludf.DUMMYFUNCTION("""COMPUTED_VALUE"""),2.0)</f>
        <v>2</v>
      </c>
      <c r="F874" s="77">
        <f>IFERROR(__xludf.DUMMYFUNCTION("""COMPUTED_VALUE"""),1926.0)</f>
        <v>1926</v>
      </c>
      <c r="G874" s="77">
        <f>IFERROR(__xludf.DUMMYFUNCTION("""COMPUTED_VALUE"""),18.0)</f>
        <v>18</v>
      </c>
      <c r="H874" s="77">
        <f>IFERROR(__xludf.DUMMYFUNCTION("""COMPUTED_VALUE"""),23.0)</f>
        <v>23</v>
      </c>
      <c r="I874" s="77">
        <f>IFERROR(__xludf.DUMMYFUNCTION("""COMPUTED_VALUE"""),100.0)</f>
        <v>100</v>
      </c>
      <c r="J874" s="73"/>
      <c r="K874" s="73"/>
      <c r="L874" s="73"/>
      <c r="M874" s="77">
        <f>IFERROR(__xludf.DUMMYFUNCTION("""COMPUTED_VALUE"""),0.1)</f>
        <v>0.1</v>
      </c>
      <c r="N874" s="77">
        <f>IFERROR(__xludf.DUMMYFUNCTION("""COMPUTED_VALUE"""),1.0)</f>
        <v>1</v>
      </c>
      <c r="O874" s="49"/>
      <c r="P874" s="49" t="str">
        <f>IFERROR(__xludf.DUMMYFUNCTION("""COMPUTED_VALUE"""),"Offset")</f>
        <v>Offset</v>
      </c>
      <c r="Q874" s="49" t="str">
        <f>IFERROR(__xludf.DUMMYFUNCTION("""COMPUTED_VALUE"""),"Packaging")</f>
        <v>Packaging</v>
      </c>
      <c r="R874" s="49" t="str">
        <f>IFERROR(__xludf.DUMMYFUNCTION("""COMPUTED_VALUE"""),"Electricity")</f>
        <v>Electricity</v>
      </c>
    </row>
    <row r="875">
      <c r="A875" s="156" t="str">
        <f>IFERROR(__xludf.DUMMYFUNCTION("""COMPUTED_VALUE"""),"https://drive.google.com/open?id=1NcJdJOHci3HUDlwOpe78U1yYHXfeKt5r&amp;authuser=jay.agg%40gmail.com&amp;usp=drive_fs")</f>
        <v>https://drive.google.com/open?id=1NcJdJOHci3HUDlwOpe78U1yYHXfeKt5r&amp;authuser=jay.agg%40gmail.com&amp;usp=drive_fs</v>
      </c>
      <c r="B875" s="73" t="str">
        <f>IFERROR(__xludf.DUMMYFUNCTION("""COMPUTED_VALUE"""),"Electricity")</f>
        <v>Electricity</v>
      </c>
      <c r="C875" s="73" t="str">
        <f>IFERROR(__xludf.DUMMYFUNCTION("""COMPUTED_VALUE"""),"Adaptor")</f>
        <v>Adaptor</v>
      </c>
      <c r="D875" s="73" t="str">
        <f>IFERROR(__xludf.DUMMYFUNCTION("""COMPUTED_VALUE"""),"Outer 10pcs 88*55*57 mm IL")</f>
        <v>Outer 10pcs 88*55*57 mm IL</v>
      </c>
      <c r="E875" s="77">
        <f>IFERROR(__xludf.DUMMYFUNCTION("""COMPUTED_VALUE"""),2.0)</f>
        <v>2</v>
      </c>
      <c r="F875" s="77">
        <f>IFERROR(__xludf.DUMMYFUNCTION("""COMPUTED_VALUE"""),1926.0)</f>
        <v>1926</v>
      </c>
      <c r="G875" s="77">
        <f>IFERROR(__xludf.DUMMYFUNCTION("""COMPUTED_VALUE"""),18.0)</f>
        <v>18</v>
      </c>
      <c r="H875" s="77">
        <f>IFERROR(__xludf.DUMMYFUNCTION("""COMPUTED_VALUE"""),25.0)</f>
        <v>25</v>
      </c>
      <c r="I875" s="77">
        <f>IFERROR(__xludf.DUMMYFUNCTION("""COMPUTED_VALUE"""),100.0)</f>
        <v>100</v>
      </c>
      <c r="J875" s="73"/>
      <c r="K875" s="73"/>
      <c r="L875" s="73"/>
      <c r="M875" s="77">
        <f>IFERROR(__xludf.DUMMYFUNCTION("""COMPUTED_VALUE"""),0.1)</f>
        <v>0.1</v>
      </c>
      <c r="N875" s="77">
        <f>IFERROR(__xludf.DUMMYFUNCTION("""COMPUTED_VALUE"""),1.0)</f>
        <v>1</v>
      </c>
      <c r="O875" s="49"/>
      <c r="P875" s="49" t="str">
        <f>IFERROR(__xludf.DUMMYFUNCTION("""COMPUTED_VALUE"""),"Offset")</f>
        <v>Offset</v>
      </c>
      <c r="Q875" s="49" t="str">
        <f>IFERROR(__xludf.DUMMYFUNCTION("""COMPUTED_VALUE"""),"Packaging")</f>
        <v>Packaging</v>
      </c>
      <c r="R875" s="49" t="str">
        <f>IFERROR(__xludf.DUMMYFUNCTION("""COMPUTED_VALUE"""),"Electricity")</f>
        <v>Electricity</v>
      </c>
    </row>
    <row r="876">
      <c r="A876" s="156" t="str">
        <f>IFERROR(__xludf.DUMMYFUNCTION("""COMPUTED_VALUE"""),"https://drive.google.com/open?id=1NHTOAG_waX_ow3VVG_QpjUhGtcvR_CsP&amp;authuser=jay.agg%40gmail.com&amp;usp=drive_fs")</f>
        <v>https://drive.google.com/open?id=1NHTOAG_waX_ow3VVG_QpjUhGtcvR_CsP&amp;authuser=jay.agg%40gmail.com&amp;usp=drive_fs</v>
      </c>
      <c r="B876" s="73" t="str">
        <f>IFERROR(__xludf.DUMMYFUNCTION("""COMPUTED_VALUE"""),"Electricity")</f>
        <v>Electricity</v>
      </c>
      <c r="C876" s="73" t="str">
        <f>IFERROR(__xludf.DUMMYFUNCTION("""COMPUTED_VALUE"""),"Emergency Light")</f>
        <v>Emergency Light</v>
      </c>
      <c r="D876" s="73" t="str">
        <f>IFERROR(__xludf.DUMMYFUNCTION("""COMPUTED_VALUE"""),"50*50*130 mm")</f>
        <v>50*50*130 mm</v>
      </c>
      <c r="E876" s="77">
        <f>IFERROR(__xludf.DUMMYFUNCTION("""COMPUTED_VALUE"""),6.0)</f>
        <v>6</v>
      </c>
      <c r="F876" s="77">
        <f>IFERROR(__xludf.DUMMYFUNCTION("""COMPUTED_VALUE"""),1926.0)</f>
        <v>1926</v>
      </c>
      <c r="G876" s="77">
        <f>IFERROR(__xludf.DUMMYFUNCTION("""COMPUTED_VALUE"""),19.0)</f>
        <v>19</v>
      </c>
      <c r="H876" s="77">
        <f>IFERROR(__xludf.DUMMYFUNCTION("""COMPUTED_VALUE"""),26.0)</f>
        <v>26</v>
      </c>
      <c r="I876" s="77">
        <f>IFERROR(__xludf.DUMMYFUNCTION("""COMPUTED_VALUE"""),100.0)</f>
        <v>100</v>
      </c>
      <c r="J876" s="73"/>
      <c r="K876" s="73"/>
      <c r="L876" s="73"/>
      <c r="M876" s="77">
        <f>IFERROR(__xludf.DUMMYFUNCTION("""COMPUTED_VALUE"""),0.1)</f>
        <v>0.1</v>
      </c>
      <c r="N876" s="77">
        <f>IFERROR(__xludf.DUMMYFUNCTION("""COMPUTED_VALUE"""),1.0)</f>
        <v>1</v>
      </c>
      <c r="O876" s="49"/>
      <c r="P876" s="49" t="str">
        <f>IFERROR(__xludf.DUMMYFUNCTION("""COMPUTED_VALUE"""),"Offset")</f>
        <v>Offset</v>
      </c>
      <c r="Q876" s="49" t="str">
        <f>IFERROR(__xludf.DUMMYFUNCTION("""COMPUTED_VALUE"""),"Packaging")</f>
        <v>Packaging</v>
      </c>
      <c r="R876" s="49" t="str">
        <f>IFERROR(__xludf.DUMMYFUNCTION("""COMPUTED_VALUE"""),"Electricity")</f>
        <v>Electricity</v>
      </c>
    </row>
    <row r="877">
      <c r="A877" s="156" t="str">
        <f>IFERROR(__xludf.DUMMYFUNCTION("""COMPUTED_VALUE"""),"https://drive.google.com/open?id=1NI1nrKVMs9UoyMPEvIziGcfs4MKPc4xO&amp;authuser=jay.agg%40gmail.com&amp;usp=drive_fs")</f>
        <v>https://drive.google.com/open?id=1NI1nrKVMs9UoyMPEvIziGcfs4MKPc4xO&amp;authuser=jay.agg%40gmail.com&amp;usp=drive_fs</v>
      </c>
      <c r="B877" s="73" t="str">
        <f>IFERROR(__xludf.DUMMYFUNCTION("""COMPUTED_VALUE"""),"Electricity")</f>
        <v>Electricity</v>
      </c>
      <c r="C877" s="73" t="str">
        <f>IFERROR(__xludf.DUMMYFUNCTION("""COMPUTED_VALUE"""),"Adaptor")</f>
        <v>Adaptor</v>
      </c>
      <c r="D877" s="73" t="str">
        <f>IFERROR(__xludf.DUMMYFUNCTION("""COMPUTED_VALUE"""),"55*60*110 mm")</f>
        <v>55*60*110 mm</v>
      </c>
      <c r="E877" s="77">
        <f>IFERROR(__xludf.DUMMYFUNCTION("""COMPUTED_VALUE"""),4.0)</f>
        <v>4</v>
      </c>
      <c r="F877" s="77">
        <f>IFERROR(__xludf.DUMMYFUNCTION("""COMPUTED_VALUE"""),1926.0)</f>
        <v>1926</v>
      </c>
      <c r="G877" s="77">
        <f>IFERROR(__xludf.DUMMYFUNCTION("""COMPUTED_VALUE"""),18.0)</f>
        <v>18</v>
      </c>
      <c r="H877" s="77">
        <f>IFERROR(__xludf.DUMMYFUNCTION("""COMPUTED_VALUE"""),19.0)</f>
        <v>19</v>
      </c>
      <c r="I877" s="77">
        <f>IFERROR(__xludf.DUMMYFUNCTION("""COMPUTED_VALUE"""),100.0)</f>
        <v>100</v>
      </c>
      <c r="J877" s="73"/>
      <c r="K877" s="73"/>
      <c r="L877" s="73"/>
      <c r="M877" s="77">
        <f>IFERROR(__xludf.DUMMYFUNCTION("""COMPUTED_VALUE"""),0.1)</f>
        <v>0.1</v>
      </c>
      <c r="N877" s="77">
        <f>IFERROR(__xludf.DUMMYFUNCTION("""COMPUTED_VALUE"""),1.0)</f>
        <v>1</v>
      </c>
      <c r="O877" s="49"/>
      <c r="P877" s="49" t="str">
        <f>IFERROR(__xludf.DUMMYFUNCTION("""COMPUTED_VALUE"""),"Offset")</f>
        <v>Offset</v>
      </c>
      <c r="Q877" s="49" t="str">
        <f>IFERROR(__xludf.DUMMYFUNCTION("""COMPUTED_VALUE"""),"Packaging")</f>
        <v>Packaging</v>
      </c>
      <c r="R877" s="49" t="str">
        <f>IFERROR(__xludf.DUMMYFUNCTION("""COMPUTED_VALUE"""),"Electricity")</f>
        <v>Electricity</v>
      </c>
    </row>
    <row r="878">
      <c r="A878" s="156" t="str">
        <f>IFERROR(__xludf.DUMMYFUNCTION("""COMPUTED_VALUE"""),"https://drive.google.com/open?id=1NDeRTDLiV8Zd9jzJHs2MjnhDKGriWYoq&amp;authuser=jay.agg%40gmail.com&amp;usp=drive_fs")</f>
        <v>https://drive.google.com/open?id=1NDeRTDLiV8Zd9jzJHs2MjnhDKGriWYoq&amp;authuser=jay.agg%40gmail.com&amp;usp=drive_fs</v>
      </c>
      <c r="B878" s="73" t="str">
        <f>IFERROR(__xludf.DUMMYFUNCTION("""COMPUTED_VALUE"""),"Electricity")</f>
        <v>Electricity</v>
      </c>
      <c r="C878" s="73" t="str">
        <f>IFERROR(__xludf.DUMMYFUNCTION("""COMPUTED_VALUE"""),"Misc")</f>
        <v>Misc</v>
      </c>
      <c r="D878" s="73" t="str">
        <f>IFERROR(__xludf.DUMMYFUNCTION("""COMPUTED_VALUE"""),"38*15*70 mm")</f>
        <v>38*15*70 mm</v>
      </c>
      <c r="E878" s="77">
        <f>IFERROR(__xludf.DUMMYFUNCTION("""COMPUTED_VALUE"""),16.0)</f>
        <v>16</v>
      </c>
      <c r="F878" s="77">
        <f>IFERROR(__xludf.DUMMYFUNCTION("""COMPUTED_VALUE"""),1926.0)</f>
        <v>1926</v>
      </c>
      <c r="G878" s="77">
        <f>IFERROR(__xludf.DUMMYFUNCTION("""COMPUTED_VALUE"""),18.0)</f>
        <v>18</v>
      </c>
      <c r="H878" s="77">
        <f>IFERROR(__xludf.DUMMYFUNCTION("""COMPUTED_VALUE"""),19.0)</f>
        <v>19</v>
      </c>
      <c r="I878" s="77">
        <f>IFERROR(__xludf.DUMMYFUNCTION("""COMPUTED_VALUE"""),100.0)</f>
        <v>100</v>
      </c>
      <c r="J878" s="73"/>
      <c r="K878" s="73"/>
      <c r="L878" s="73"/>
      <c r="M878" s="77">
        <f>IFERROR(__xludf.DUMMYFUNCTION("""COMPUTED_VALUE"""),0.1)</f>
        <v>0.1</v>
      </c>
      <c r="N878" s="77">
        <f>IFERROR(__xludf.DUMMYFUNCTION("""COMPUTED_VALUE"""),1.0)</f>
        <v>1</v>
      </c>
      <c r="O878" s="49"/>
      <c r="P878" s="49" t="str">
        <f>IFERROR(__xludf.DUMMYFUNCTION("""COMPUTED_VALUE"""),"Offset")</f>
        <v>Offset</v>
      </c>
      <c r="Q878" s="49" t="str">
        <f>IFERROR(__xludf.DUMMYFUNCTION("""COMPUTED_VALUE"""),"Packaging")</f>
        <v>Packaging</v>
      </c>
      <c r="R878" s="49" t="str">
        <f>IFERROR(__xludf.DUMMYFUNCTION("""COMPUTED_VALUE"""),"Electricity")</f>
        <v>Electricity</v>
      </c>
    </row>
    <row r="879">
      <c r="A879" s="156" t="str">
        <f>IFERROR(__xludf.DUMMYFUNCTION("""COMPUTED_VALUE"""),"https://drive.google.com/open?id=1O0lQnoL4ivV39DGOMKUvCDDKk4T5sfq-&amp;authuser=jay.agg%40gmail.com&amp;usp=drive_fs")</f>
        <v>https://drive.google.com/open?id=1O0lQnoL4ivV39DGOMKUvCDDKk4T5sfq-&amp;authuser=jay.agg%40gmail.com&amp;usp=drive_fs</v>
      </c>
      <c r="B879" s="73" t="str">
        <f>IFERROR(__xludf.DUMMYFUNCTION("""COMPUTED_VALUE"""),"Electricity")</f>
        <v>Electricity</v>
      </c>
      <c r="C879" s="73" t="str">
        <f>IFERROR(__xludf.DUMMYFUNCTION("""COMPUTED_VALUE"""),"MCB")</f>
        <v>MCB</v>
      </c>
      <c r="D879" s="73" t="str">
        <f>IFERROR(__xludf.DUMMYFUNCTION("""COMPUTED_VALUE"""),"90x17x75 mm")</f>
        <v>90x17x75 mm</v>
      </c>
      <c r="E879" s="77">
        <f>IFERROR(__xludf.DUMMYFUNCTION("""COMPUTED_VALUE"""),10.0)</f>
        <v>10</v>
      </c>
      <c r="F879" s="77">
        <f>IFERROR(__xludf.DUMMYFUNCTION("""COMPUTED_VALUE"""),1926.0)</f>
        <v>1926</v>
      </c>
      <c r="G879" s="77">
        <f>IFERROR(__xludf.DUMMYFUNCTION("""COMPUTED_VALUE"""),18.0)</f>
        <v>18</v>
      </c>
      <c r="H879" s="77">
        <f>IFERROR(__xludf.DUMMYFUNCTION("""COMPUTED_VALUE"""),23.0)</f>
        <v>23</v>
      </c>
      <c r="I879" s="77">
        <f>IFERROR(__xludf.DUMMYFUNCTION("""COMPUTED_VALUE"""),100.0)</f>
        <v>100</v>
      </c>
      <c r="J879" s="73"/>
      <c r="K879" s="73"/>
      <c r="L879" s="73"/>
      <c r="M879" s="77">
        <f>IFERROR(__xludf.DUMMYFUNCTION("""COMPUTED_VALUE"""),0.1)</f>
        <v>0.1</v>
      </c>
      <c r="N879" s="77">
        <f>IFERROR(__xludf.DUMMYFUNCTION("""COMPUTED_VALUE"""),1.0)</f>
        <v>1</v>
      </c>
      <c r="O879" s="49"/>
      <c r="P879" s="49" t="str">
        <f>IFERROR(__xludf.DUMMYFUNCTION("""COMPUTED_VALUE"""),"Offset")</f>
        <v>Offset</v>
      </c>
      <c r="Q879" s="49" t="str">
        <f>IFERROR(__xludf.DUMMYFUNCTION("""COMPUTED_VALUE"""),"Packaging")</f>
        <v>Packaging</v>
      </c>
      <c r="R879" s="49" t="str">
        <f>IFERROR(__xludf.DUMMYFUNCTION("""COMPUTED_VALUE"""),"Electricity")</f>
        <v>Electricity</v>
      </c>
    </row>
    <row r="880">
      <c r="A880" s="156" t="str">
        <f>IFERROR(__xludf.DUMMYFUNCTION("""COMPUTED_VALUE"""),"https://drive.google.com/open?id=1O6fcvTmYevLEiCYDQy9NeNqbp2BCkBiT&amp;authuser=jay.agg%40gmail.com&amp;usp=drive_fs")</f>
        <v>https://drive.google.com/open?id=1O6fcvTmYevLEiCYDQy9NeNqbp2BCkBiT&amp;authuser=jay.agg%40gmail.com&amp;usp=drive_fs</v>
      </c>
      <c r="B880" s="73" t="str">
        <f>IFERROR(__xludf.DUMMYFUNCTION("""COMPUTED_VALUE"""),"Electricity")</f>
        <v>Electricity</v>
      </c>
      <c r="C880" s="73" t="str">
        <f>IFERROR(__xludf.DUMMYFUNCTION("""COMPUTED_VALUE"""),"Switch")</f>
        <v>Switch</v>
      </c>
      <c r="D880" s="73" t="str">
        <f>IFERROR(__xludf.DUMMYFUNCTION("""COMPUTED_VALUE"""),"148x15x155 mm")</f>
        <v>148x15x155 mm</v>
      </c>
      <c r="E880" s="77">
        <f>IFERROR(__xludf.DUMMYFUNCTION("""COMPUTED_VALUE"""),3.0)</f>
        <v>3</v>
      </c>
      <c r="F880" s="77">
        <f>IFERROR(__xludf.DUMMYFUNCTION("""COMPUTED_VALUE"""),1926.0)</f>
        <v>1926</v>
      </c>
      <c r="G880" s="77">
        <f>IFERROR(__xludf.DUMMYFUNCTION("""COMPUTED_VALUE"""),18.0)</f>
        <v>18</v>
      </c>
      <c r="H880" s="77">
        <f>IFERROR(__xludf.DUMMYFUNCTION("""COMPUTED_VALUE"""),23.0)</f>
        <v>23</v>
      </c>
      <c r="I880" s="77">
        <f>IFERROR(__xludf.DUMMYFUNCTION("""COMPUTED_VALUE"""),100.0)</f>
        <v>100</v>
      </c>
      <c r="J880" s="73"/>
      <c r="K880" s="73"/>
      <c r="L880" s="73"/>
      <c r="M880" s="77">
        <f>IFERROR(__xludf.DUMMYFUNCTION("""COMPUTED_VALUE"""),0.1)</f>
        <v>0.1</v>
      </c>
      <c r="N880" s="77">
        <f>IFERROR(__xludf.DUMMYFUNCTION("""COMPUTED_VALUE"""),1.0)</f>
        <v>1</v>
      </c>
      <c r="O880" s="49"/>
      <c r="P880" s="49" t="str">
        <f>IFERROR(__xludf.DUMMYFUNCTION("""COMPUTED_VALUE"""),"Offset")</f>
        <v>Offset</v>
      </c>
      <c r="Q880" s="49" t="str">
        <f>IFERROR(__xludf.DUMMYFUNCTION("""COMPUTED_VALUE"""),"Packaging")</f>
        <v>Packaging</v>
      </c>
      <c r="R880" s="49" t="str">
        <f>IFERROR(__xludf.DUMMYFUNCTION("""COMPUTED_VALUE"""),"Electricity")</f>
        <v>Electricity</v>
      </c>
    </row>
    <row r="881">
      <c r="A881" s="156" t="str">
        <f>IFERROR(__xludf.DUMMYFUNCTION("""COMPUTED_VALUE"""),"https://drive.google.com/open?id=1OCBgtn1i4DqusYwASpSbagkAaNXwSaHm&amp;authuser=jay.agg%40gmail.com&amp;usp=drive_fs")</f>
        <v>https://drive.google.com/open?id=1OCBgtn1i4DqusYwASpSbagkAaNXwSaHm&amp;authuser=jay.agg%40gmail.com&amp;usp=drive_fs</v>
      </c>
      <c r="B881" s="73" t="str">
        <f>IFERROR(__xludf.DUMMYFUNCTION("""COMPUTED_VALUE"""),"Electricity")</f>
        <v>Electricity</v>
      </c>
      <c r="C881" s="73" t="str">
        <f>IFERROR(__xludf.DUMMYFUNCTION("""COMPUTED_VALUE"""),"Bell")</f>
        <v>Bell</v>
      </c>
      <c r="D881" s="73" t="str">
        <f>IFERROR(__xludf.DUMMYFUNCTION("""COMPUTED_VALUE"""),"96x165x39 mm")</f>
        <v>96x165x39 mm</v>
      </c>
      <c r="E881" s="77">
        <f>IFERROR(__xludf.DUMMYFUNCTION("""COMPUTED_VALUE"""),2.0)</f>
        <v>2</v>
      </c>
      <c r="F881" s="77">
        <f>IFERROR(__xludf.DUMMYFUNCTION("""COMPUTED_VALUE"""),1926.0)</f>
        <v>1926</v>
      </c>
      <c r="G881" s="77">
        <f>IFERROR(__xludf.DUMMYFUNCTION("""COMPUTED_VALUE"""),12.0)</f>
        <v>12</v>
      </c>
      <c r="H881" s="77">
        <f>IFERROR(__xludf.DUMMYFUNCTION("""COMPUTED_VALUE"""),21.0)</f>
        <v>21</v>
      </c>
      <c r="I881" s="77">
        <f>IFERROR(__xludf.DUMMYFUNCTION("""COMPUTED_VALUE"""),100.0)</f>
        <v>100</v>
      </c>
      <c r="J881" s="73"/>
      <c r="K881" s="73"/>
      <c r="L881" s="73"/>
      <c r="M881" s="77">
        <f>IFERROR(__xludf.DUMMYFUNCTION("""COMPUTED_VALUE"""),0.1)</f>
        <v>0.1</v>
      </c>
      <c r="N881" s="77">
        <f>IFERROR(__xludf.DUMMYFUNCTION("""COMPUTED_VALUE"""),1.0)</f>
        <v>1</v>
      </c>
      <c r="O881" s="49"/>
      <c r="P881" s="49" t="str">
        <f>IFERROR(__xludf.DUMMYFUNCTION("""COMPUTED_VALUE"""),"Offset")</f>
        <v>Offset</v>
      </c>
      <c r="Q881" s="49" t="str">
        <f>IFERROR(__xludf.DUMMYFUNCTION("""COMPUTED_VALUE"""),"Packaging")</f>
        <v>Packaging</v>
      </c>
      <c r="R881" s="49" t="str">
        <f>IFERROR(__xludf.DUMMYFUNCTION("""COMPUTED_VALUE"""),"Electricity")</f>
        <v>Electricity</v>
      </c>
    </row>
    <row r="882">
      <c r="A882" s="156" t="str">
        <f>IFERROR(__xludf.DUMMYFUNCTION("""COMPUTED_VALUE"""),"https://drive.google.com/open?id=1OHdO8Q9jblNuX6pAm_ObpNciE7cPhKpV&amp;authuser=jay.agg%40gmail.com&amp;usp=drive_fs")</f>
        <v>https://drive.google.com/open?id=1OHdO8Q9jblNuX6pAm_ObpNciE7cPhKpV&amp;authuser=jay.agg%40gmail.com&amp;usp=drive_fs</v>
      </c>
      <c r="B882" s="73" t="str">
        <f>IFERROR(__xludf.DUMMYFUNCTION("""COMPUTED_VALUE"""),"Electricity")</f>
        <v>Electricity</v>
      </c>
      <c r="C882" s="73" t="str">
        <f>IFERROR(__xludf.DUMMYFUNCTION("""COMPUTED_VALUE"""),"Extension")</f>
        <v>Extension</v>
      </c>
      <c r="D882" s="73" t="str">
        <f>IFERROR(__xludf.DUMMYFUNCTION("""COMPUTED_VALUE"""),"172x53x202 mm")</f>
        <v>172x53x202 mm</v>
      </c>
      <c r="E882" s="77">
        <f>IFERROR(__xludf.DUMMYFUNCTION("""COMPUTED_VALUE"""),1.0)</f>
        <v>1</v>
      </c>
      <c r="F882" s="77">
        <f>IFERROR(__xludf.DUMMYFUNCTION("""COMPUTED_VALUE"""),1926.0)</f>
        <v>1926</v>
      </c>
      <c r="G882" s="77">
        <f>IFERROR(__xludf.DUMMYFUNCTION("""COMPUTED_VALUE"""),15.5)</f>
        <v>15.5</v>
      </c>
      <c r="H882" s="77">
        <f>IFERROR(__xludf.DUMMYFUNCTION("""COMPUTED_VALUE"""),20.5)</f>
        <v>20.5</v>
      </c>
      <c r="I882" s="77">
        <f>IFERROR(__xludf.DUMMYFUNCTION("""COMPUTED_VALUE"""),100.0)</f>
        <v>100</v>
      </c>
      <c r="J882" s="73"/>
      <c r="K882" s="73"/>
      <c r="L882" s="73"/>
      <c r="M882" s="77">
        <f>IFERROR(__xludf.DUMMYFUNCTION("""COMPUTED_VALUE"""),0.1)</f>
        <v>0.1</v>
      </c>
      <c r="N882" s="77">
        <f>IFERROR(__xludf.DUMMYFUNCTION("""COMPUTED_VALUE"""),1.0)</f>
        <v>1</v>
      </c>
      <c r="O882" s="49"/>
      <c r="P882" s="49" t="str">
        <f>IFERROR(__xludf.DUMMYFUNCTION("""COMPUTED_VALUE"""),"Offset")</f>
        <v>Offset</v>
      </c>
      <c r="Q882" s="49" t="str">
        <f>IFERROR(__xludf.DUMMYFUNCTION("""COMPUTED_VALUE"""),"Packaging")</f>
        <v>Packaging</v>
      </c>
      <c r="R882" s="49" t="str">
        <f>IFERROR(__xludf.DUMMYFUNCTION("""COMPUTED_VALUE"""),"Electricity")</f>
        <v>Electricity</v>
      </c>
    </row>
    <row r="883">
      <c r="A883" s="156" t="str">
        <f>IFERROR(__xludf.DUMMYFUNCTION("""COMPUTED_VALUE"""),"https://drive.google.com/open?id=1OMFA32LV4ws71sRTqsBJDqx91zlnZElx&amp;authuser=jay.agg%40gmail.com&amp;usp=drive_fs")</f>
        <v>https://drive.google.com/open?id=1OMFA32LV4ws71sRTqsBJDqx91zlnZElx&amp;authuser=jay.agg%40gmail.com&amp;usp=drive_fs</v>
      </c>
      <c r="B883" s="73" t="str">
        <f>IFERROR(__xludf.DUMMYFUNCTION("""COMPUTED_VALUE"""),"Electricity")</f>
        <v>Electricity</v>
      </c>
      <c r="C883" s="73" t="str">
        <f>IFERROR(__xludf.DUMMYFUNCTION("""COMPUTED_VALUE"""),"MCB")</f>
        <v>MCB</v>
      </c>
      <c r="D883" s="73" t="str">
        <f>IFERROR(__xludf.DUMMYFUNCTION("""COMPUTED_VALUE""")," Mini 56x23x60 mm")</f>
        <v> Mini 56x23x60 mm</v>
      </c>
      <c r="E883" s="77">
        <f>IFERROR(__xludf.DUMMYFUNCTION("""COMPUTED_VALUE"""),12.0)</f>
        <v>12</v>
      </c>
      <c r="F883" s="77">
        <f>IFERROR(__xludf.DUMMYFUNCTION("""COMPUTED_VALUE"""),1926.0)</f>
        <v>1926</v>
      </c>
      <c r="G883" s="77">
        <f>IFERROR(__xludf.DUMMYFUNCTION("""COMPUTED_VALUE"""),18.0)</f>
        <v>18</v>
      </c>
      <c r="H883" s="77">
        <f>IFERROR(__xludf.DUMMYFUNCTION("""COMPUTED_VALUE"""),21.0)</f>
        <v>21</v>
      </c>
      <c r="I883" s="77">
        <f>IFERROR(__xludf.DUMMYFUNCTION("""COMPUTED_VALUE"""),100.0)</f>
        <v>100</v>
      </c>
      <c r="J883" s="73"/>
      <c r="K883" s="73"/>
      <c r="L883" s="73"/>
      <c r="M883" s="77">
        <f>IFERROR(__xludf.DUMMYFUNCTION("""COMPUTED_VALUE"""),0.1)</f>
        <v>0.1</v>
      </c>
      <c r="N883" s="77">
        <f>IFERROR(__xludf.DUMMYFUNCTION("""COMPUTED_VALUE"""),1.0)</f>
        <v>1</v>
      </c>
      <c r="O883" s="49"/>
      <c r="P883" s="49" t="str">
        <f>IFERROR(__xludf.DUMMYFUNCTION("""COMPUTED_VALUE"""),"Offset")</f>
        <v>Offset</v>
      </c>
      <c r="Q883" s="49" t="str">
        <f>IFERROR(__xludf.DUMMYFUNCTION("""COMPUTED_VALUE"""),"Packaging")</f>
        <v>Packaging</v>
      </c>
      <c r="R883" s="49" t="str">
        <f>IFERROR(__xludf.DUMMYFUNCTION("""COMPUTED_VALUE"""),"Electricity")</f>
        <v>Electricity</v>
      </c>
    </row>
    <row r="884">
      <c r="A884" s="156" t="str">
        <f>IFERROR(__xludf.DUMMYFUNCTION("""COMPUTED_VALUE"""),"https://drive.google.com/open?id=1OMv4GJJo2f7Sqhd4qRouATGo_Ah0uCCW&amp;authuser=jay.agg%40gmail.com&amp;usp=drive_fs")</f>
        <v>https://drive.google.com/open?id=1OMv4GJJo2f7Sqhd4qRouATGo_Ah0uCCW&amp;authuser=jay.agg%40gmail.com&amp;usp=drive_fs</v>
      </c>
      <c r="B884" s="73" t="str">
        <f>IFERROR(__xludf.DUMMYFUNCTION("""COMPUTED_VALUE"""),"Electricity")</f>
        <v>Electricity</v>
      </c>
      <c r="C884" s="73" t="str">
        <f>IFERROR(__xludf.DUMMYFUNCTION("""COMPUTED_VALUE"""),"MCB")</f>
        <v>MCB</v>
      </c>
      <c r="D884" s="73" t="str">
        <f>IFERROR(__xludf.DUMMYFUNCTION("""COMPUTED_VALUE"""),"Outer 158x117x66 m")</f>
        <v>Outer 158x117x66 m</v>
      </c>
      <c r="E884" s="77">
        <f>IFERROR(__xludf.DUMMYFUNCTION("""COMPUTED_VALUE"""),1.0)</f>
        <v>1</v>
      </c>
      <c r="F884" s="77">
        <f>IFERROR(__xludf.DUMMYFUNCTION("""COMPUTED_VALUE"""),1926.0)</f>
        <v>1926</v>
      </c>
      <c r="G884" s="77">
        <f>IFERROR(__xludf.DUMMYFUNCTION("""COMPUTED_VALUE"""),13.0)</f>
        <v>13</v>
      </c>
      <c r="H884" s="77">
        <f>IFERROR(__xludf.DUMMYFUNCTION("""COMPUTED_VALUE"""),23.0)</f>
        <v>23</v>
      </c>
      <c r="I884" s="77">
        <f>IFERROR(__xludf.DUMMYFUNCTION("""COMPUTED_VALUE"""),100.0)</f>
        <v>100</v>
      </c>
      <c r="J884" s="73"/>
      <c r="K884" s="73"/>
      <c r="L884" s="73"/>
      <c r="M884" s="77">
        <f>IFERROR(__xludf.DUMMYFUNCTION("""COMPUTED_VALUE"""),0.1)</f>
        <v>0.1</v>
      </c>
      <c r="N884" s="77">
        <f>IFERROR(__xludf.DUMMYFUNCTION("""COMPUTED_VALUE"""),1.0)</f>
        <v>1</v>
      </c>
      <c r="O884" s="49"/>
      <c r="P884" s="49" t="str">
        <f>IFERROR(__xludf.DUMMYFUNCTION("""COMPUTED_VALUE"""),"Offset")</f>
        <v>Offset</v>
      </c>
      <c r="Q884" s="49" t="str">
        <f>IFERROR(__xludf.DUMMYFUNCTION("""COMPUTED_VALUE"""),"Packaging")</f>
        <v>Packaging</v>
      </c>
      <c r="R884" s="49" t="str">
        <f>IFERROR(__xludf.DUMMYFUNCTION("""COMPUTED_VALUE"""),"Electricity")</f>
        <v>Electricity</v>
      </c>
    </row>
    <row r="885">
      <c r="A885" s="156" t="str">
        <f>IFERROR(__xludf.DUMMYFUNCTION("""COMPUTED_VALUE"""),"https://drive.google.com/open?id=1OMyUUVCX0CAECmFeuake0qy32V_3AVWp&amp;authuser=jay.agg%40gmail.com&amp;usp=drive_fs")</f>
        <v>https://drive.google.com/open?id=1OMyUUVCX0CAECmFeuake0qy32V_3AVWp&amp;authuser=jay.agg%40gmail.com&amp;usp=drive_fs</v>
      </c>
      <c r="B885" s="73" t="str">
        <f>IFERROR(__xludf.DUMMYFUNCTION("""COMPUTED_VALUE"""),"Electricity")</f>
        <v>Electricity</v>
      </c>
      <c r="C885" s="73" t="str">
        <f>IFERROR(__xludf.DUMMYFUNCTION("""COMPUTED_VALUE"""),"Switch")</f>
        <v>Switch</v>
      </c>
      <c r="D885" s="73" t="str">
        <f>IFERROR(__xludf.DUMMYFUNCTION("""COMPUTED_VALUE""")," 62x30x52 mm")</f>
        <v> 62x30x52 mm</v>
      </c>
      <c r="E885" s="77">
        <f>IFERROR(__xludf.DUMMYFUNCTION("""COMPUTED_VALUE"""),12.0)</f>
        <v>12</v>
      </c>
      <c r="F885" s="77">
        <f>IFERROR(__xludf.DUMMYFUNCTION("""COMPUTED_VALUE"""),1926.0)</f>
        <v>1926</v>
      </c>
      <c r="G885" s="77">
        <f>IFERROR(__xludf.DUMMYFUNCTION("""COMPUTED_VALUE"""),18.0)</f>
        <v>18</v>
      </c>
      <c r="H885" s="77">
        <f>IFERROR(__xludf.DUMMYFUNCTION("""COMPUTED_VALUE"""),25.0)</f>
        <v>25</v>
      </c>
      <c r="I885" s="77">
        <f>IFERROR(__xludf.DUMMYFUNCTION("""COMPUTED_VALUE"""),100.0)</f>
        <v>100</v>
      </c>
      <c r="J885" s="73"/>
      <c r="K885" s="73"/>
      <c r="L885" s="73"/>
      <c r="M885" s="77">
        <f>IFERROR(__xludf.DUMMYFUNCTION("""COMPUTED_VALUE"""),0.1)</f>
        <v>0.1</v>
      </c>
      <c r="N885" s="77">
        <f>IFERROR(__xludf.DUMMYFUNCTION("""COMPUTED_VALUE"""),1.0)</f>
        <v>1</v>
      </c>
      <c r="O885" s="49"/>
      <c r="P885" s="49" t="str">
        <f>IFERROR(__xludf.DUMMYFUNCTION("""COMPUTED_VALUE"""),"Offset")</f>
        <v>Offset</v>
      </c>
      <c r="Q885" s="49" t="str">
        <f>IFERROR(__xludf.DUMMYFUNCTION("""COMPUTED_VALUE"""),"Packaging")</f>
        <v>Packaging</v>
      </c>
      <c r="R885" s="49" t="str">
        <f>IFERROR(__xludf.DUMMYFUNCTION("""COMPUTED_VALUE"""),"Electricity")</f>
        <v>Electricity</v>
      </c>
    </row>
    <row r="886">
      <c r="A886" s="156" t="str">
        <f>IFERROR(__xludf.DUMMYFUNCTION("""COMPUTED_VALUE"""),"https://drive.google.com/open?id=1OPvCgC0mpoDlokvspfu6iRMidi604EEG&amp;authuser=jay.agg%40gmail.com&amp;usp=drive_fs")</f>
        <v>https://drive.google.com/open?id=1OPvCgC0mpoDlokvspfu6iRMidi604EEG&amp;authuser=jay.agg%40gmail.com&amp;usp=drive_fs</v>
      </c>
      <c r="B886" s="73" t="str">
        <f>IFERROR(__xludf.DUMMYFUNCTION("""COMPUTED_VALUE"""),"Electricity")</f>
        <v>Electricity</v>
      </c>
      <c r="C886" s="73" t="str">
        <f>IFERROR(__xludf.DUMMYFUNCTION("""COMPUTED_VALUE"""),"Switch")</f>
        <v>Switch</v>
      </c>
      <c r="D886" s="73" t="str">
        <f>IFERROR(__xludf.DUMMYFUNCTION("""COMPUTED_VALUE"""),"Outer 160x135x60 mm")</f>
        <v>Outer 160x135x60 mm</v>
      </c>
      <c r="E886" s="77">
        <f>IFERROR(__xludf.DUMMYFUNCTION("""COMPUTED_VALUE"""),1.0)</f>
        <v>1</v>
      </c>
      <c r="F886" s="77">
        <f>IFERROR(__xludf.DUMMYFUNCTION("""COMPUTED_VALUE"""),1926.0)</f>
        <v>1926</v>
      </c>
      <c r="G886" s="77">
        <f>IFERROR(__xludf.DUMMYFUNCTION("""COMPUTED_VALUE"""),15.0)</f>
        <v>15</v>
      </c>
      <c r="H886" s="77">
        <f>IFERROR(__xludf.DUMMYFUNCTION("""COMPUTED_VALUE"""),25.0)</f>
        <v>25</v>
      </c>
      <c r="I886" s="77">
        <f>IFERROR(__xludf.DUMMYFUNCTION("""COMPUTED_VALUE"""),100.0)</f>
        <v>100</v>
      </c>
      <c r="J886" s="73"/>
      <c r="K886" s="73"/>
      <c r="L886" s="73"/>
      <c r="M886" s="77">
        <f>IFERROR(__xludf.DUMMYFUNCTION("""COMPUTED_VALUE"""),0.1)</f>
        <v>0.1</v>
      </c>
      <c r="N886" s="77">
        <f>IFERROR(__xludf.DUMMYFUNCTION("""COMPUTED_VALUE"""),1.0)</f>
        <v>1</v>
      </c>
      <c r="O886" s="49"/>
      <c r="P886" s="49" t="str">
        <f>IFERROR(__xludf.DUMMYFUNCTION("""COMPUTED_VALUE"""),"Offset")</f>
        <v>Offset</v>
      </c>
      <c r="Q886" s="49" t="str">
        <f>IFERROR(__xludf.DUMMYFUNCTION("""COMPUTED_VALUE"""),"Packaging")</f>
        <v>Packaging</v>
      </c>
      <c r="R886" s="49" t="str">
        <f>IFERROR(__xludf.DUMMYFUNCTION("""COMPUTED_VALUE"""),"Electricity")</f>
        <v>Electricity</v>
      </c>
    </row>
    <row r="887">
      <c r="A887" s="156" t="str">
        <f>IFERROR(__xludf.DUMMYFUNCTION("""COMPUTED_VALUE"""),"https://drive.google.com/open?id=1v9em8Kep7xmz_yOogZKUwAasKE9RjuOs&amp;authuser=jay.agg%40gmail.com&amp;usp=drive_fs")</f>
        <v>https://drive.google.com/open?id=1v9em8Kep7xmz_yOogZKUwAasKE9RjuOs&amp;authuser=jay.agg%40gmail.com&amp;usp=drive_fs</v>
      </c>
      <c r="B887" s="73" t="str">
        <f>IFERROR(__xludf.DUMMYFUNCTION("""COMPUTED_VALUE"""),"Electricity")</f>
        <v>Electricity</v>
      </c>
      <c r="C887" s="73" t="str">
        <f>IFERROR(__xludf.DUMMYFUNCTION("""COMPUTED_VALUE"""),"Solder")</f>
        <v>Solder</v>
      </c>
      <c r="D887" s="73" t="str">
        <f>IFERROR(__xludf.DUMMYFUNCTION("""COMPUTED_VALUE"""),"68*80 mm")</f>
        <v>68*80 mm</v>
      </c>
      <c r="E887" s="77">
        <f>IFERROR(__xludf.DUMMYFUNCTION("""COMPUTED_VALUE"""),14.0)</f>
        <v>14</v>
      </c>
      <c r="F887" s="77">
        <f>IFERROR(__xludf.DUMMYFUNCTION("""COMPUTED_VALUE"""),1926.0)</f>
        <v>1926</v>
      </c>
      <c r="G887" s="77">
        <f>IFERROR(__xludf.DUMMYFUNCTION("""COMPUTED_VALUE"""),18.0)</f>
        <v>18</v>
      </c>
      <c r="H887" s="77">
        <f>IFERROR(__xludf.DUMMYFUNCTION("""COMPUTED_VALUE"""),23.0)</f>
        <v>23</v>
      </c>
      <c r="I887" s="77">
        <f>IFERROR(__xludf.DUMMYFUNCTION("""COMPUTED_VALUE"""),100.0)</f>
        <v>100</v>
      </c>
      <c r="J887" s="73"/>
      <c r="K887" s="73"/>
      <c r="L887" s="73"/>
      <c r="M887" s="77">
        <f>IFERROR(__xludf.DUMMYFUNCTION("""COMPUTED_VALUE"""),0.25)</f>
        <v>0.25</v>
      </c>
      <c r="N887" s="77">
        <f>IFERROR(__xludf.DUMMYFUNCTION("""COMPUTED_VALUE"""),1.0)</f>
        <v>1</v>
      </c>
      <c r="O887" s="49"/>
      <c r="P887" s="49" t="str">
        <f>IFERROR(__xludf.DUMMYFUNCTION("""COMPUTED_VALUE"""),"Offset")</f>
        <v>Offset</v>
      </c>
      <c r="Q887" s="49" t="str">
        <f>IFERROR(__xludf.DUMMYFUNCTION("""COMPUTED_VALUE"""),"Packaging")</f>
        <v>Packaging</v>
      </c>
      <c r="R887" s="49" t="str">
        <f>IFERROR(__xludf.DUMMYFUNCTION("""COMPUTED_VALUE"""),"Electricity")</f>
        <v>Electricity</v>
      </c>
    </row>
    <row r="888">
      <c r="A888" s="156" t="str">
        <f>IFERROR(__xludf.DUMMYFUNCTION("""COMPUTED_VALUE"""),"https://drive.google.com/open?id=1vTKd5oE34N76Zr90KiGP3ONL6bSD03-d&amp;authuser=jay.agg%40gmail.com&amp;usp=drive_fs")</f>
        <v>https://drive.google.com/open?id=1vTKd5oE34N76Zr90KiGP3ONL6bSD03-d&amp;authuser=jay.agg%40gmail.com&amp;usp=drive_fs</v>
      </c>
      <c r="B888" s="73" t="str">
        <f>IFERROR(__xludf.DUMMYFUNCTION("""COMPUTED_VALUE"""),"Electricity")</f>
        <v>Electricity</v>
      </c>
      <c r="C888" s="73" t="str">
        <f>IFERROR(__xludf.DUMMYFUNCTION("""COMPUTED_VALUE"""),"Solder")</f>
        <v>Solder</v>
      </c>
      <c r="D888" s="73" t="str">
        <f>IFERROR(__xludf.DUMMYFUNCTION("""COMPUTED_VALUE"""),"35*35*30 mm")</f>
        <v>35*35*30 mm</v>
      </c>
      <c r="E888" s="77">
        <f>IFERROR(__xludf.DUMMYFUNCTION("""COMPUTED_VALUE"""),12.0)</f>
        <v>12</v>
      </c>
      <c r="F888" s="77">
        <f>IFERROR(__xludf.DUMMYFUNCTION("""COMPUTED_VALUE"""),1926.0)</f>
        <v>1926</v>
      </c>
      <c r="G888" s="77">
        <f>IFERROR(__xludf.DUMMYFUNCTION("""COMPUTED_VALUE"""),15.0)</f>
        <v>15</v>
      </c>
      <c r="H888" s="77">
        <f>IFERROR(__xludf.DUMMYFUNCTION("""COMPUTED_VALUE"""),20.0)</f>
        <v>20</v>
      </c>
      <c r="I888" s="77">
        <f>IFERROR(__xludf.DUMMYFUNCTION("""COMPUTED_VALUE"""),100.0)</f>
        <v>100</v>
      </c>
      <c r="J888" s="73"/>
      <c r="K888" s="73"/>
      <c r="L888" s="73"/>
      <c r="M888" s="77">
        <f>IFERROR(__xludf.DUMMYFUNCTION("""COMPUTED_VALUE"""),0.1)</f>
        <v>0.1</v>
      </c>
      <c r="N888" s="77">
        <f>IFERROR(__xludf.DUMMYFUNCTION("""COMPUTED_VALUE"""),1.0)</f>
        <v>1</v>
      </c>
      <c r="O888" s="49"/>
      <c r="P888" s="49" t="str">
        <f>IFERROR(__xludf.DUMMYFUNCTION("""COMPUTED_VALUE"""),"Offset")</f>
        <v>Offset</v>
      </c>
      <c r="Q888" s="49" t="str">
        <f>IFERROR(__xludf.DUMMYFUNCTION("""COMPUTED_VALUE"""),"Packaging")</f>
        <v>Packaging</v>
      </c>
      <c r="R888" s="49" t="str">
        <f>IFERROR(__xludf.DUMMYFUNCTION("""COMPUTED_VALUE"""),"Electricity")</f>
        <v>Electricity</v>
      </c>
    </row>
    <row r="889">
      <c r="A889" s="156" t="str">
        <f>IFERROR(__xludf.DUMMYFUNCTION("""COMPUTED_VALUE"""),"https://drive.google.com/open?id=10EEJB8b-g7Ny7JJPEKZwO92MOaDR0bJf&amp;authuser=jay.agg%40gmail.com&amp;usp=drive_fs")</f>
        <v>https://drive.google.com/open?id=10EEJB8b-g7Ny7JJPEKZwO92MOaDR0bJf&amp;authuser=jay.agg%40gmail.com&amp;usp=drive_fs</v>
      </c>
      <c r="B889" s="73" t="str">
        <f>IFERROR(__xludf.DUMMYFUNCTION("""COMPUTED_VALUE"""),"Electricity")</f>
        <v>Electricity</v>
      </c>
      <c r="C889" s="73" t="str">
        <f>IFERROR(__xludf.DUMMYFUNCTION("""COMPUTED_VALUE"""),"Adaptor")</f>
        <v>Adaptor</v>
      </c>
      <c r="D889" s="73" t="str">
        <f>IFERROR(__xludf.DUMMYFUNCTION("""COMPUTED_VALUE"""),"100*55*70 mm | 4*2.1*2.7 inch IL")</f>
        <v>100*55*70 mm | 4*2.1*2.7 inch IL</v>
      </c>
      <c r="E889" s="77">
        <f>IFERROR(__xludf.DUMMYFUNCTION("""COMPUTED_VALUE"""),4.0)</f>
        <v>4</v>
      </c>
      <c r="F889" s="77">
        <f>IFERROR(__xludf.DUMMYFUNCTION("""COMPUTED_VALUE"""),1926.0)</f>
        <v>1926</v>
      </c>
      <c r="G889" s="77">
        <f>IFERROR(__xludf.DUMMYFUNCTION("""COMPUTED_VALUE"""),13.5)</f>
        <v>13.5</v>
      </c>
      <c r="H889" s="77">
        <f>IFERROR(__xludf.DUMMYFUNCTION("""COMPUTED_VALUE"""),25.0)</f>
        <v>25</v>
      </c>
      <c r="I889" s="77">
        <f>IFERROR(__xludf.DUMMYFUNCTION("""COMPUTED_VALUE"""),100.0)</f>
        <v>100</v>
      </c>
      <c r="J889" s="73"/>
      <c r="K889" s="73"/>
      <c r="L889" s="73"/>
      <c r="M889" s="77">
        <f>IFERROR(__xludf.DUMMYFUNCTION("""COMPUTED_VALUE"""),0.1)</f>
        <v>0.1</v>
      </c>
      <c r="N889" s="77">
        <f>IFERROR(__xludf.DUMMYFUNCTION("""COMPUTED_VALUE"""),1.0)</f>
        <v>1</v>
      </c>
      <c r="O889" s="49"/>
      <c r="P889" s="49" t="str">
        <f>IFERROR(__xludf.DUMMYFUNCTION("""COMPUTED_VALUE"""),"Offset")</f>
        <v>Offset</v>
      </c>
      <c r="Q889" s="49" t="str">
        <f>IFERROR(__xludf.DUMMYFUNCTION("""COMPUTED_VALUE"""),"Packaging")</f>
        <v>Packaging</v>
      </c>
      <c r="R889" s="49" t="str">
        <f>IFERROR(__xludf.DUMMYFUNCTION("""COMPUTED_VALUE"""),"Electricity")</f>
        <v>Electricity</v>
      </c>
    </row>
    <row r="890">
      <c r="A890" s="156" t="str">
        <f>IFERROR(__xludf.DUMMYFUNCTION("""COMPUTED_VALUE"""),"https://drive.google.com/open?id=18eq8LAm_YKEYNTKSTPpXoxc1jRU5WibS&amp;authuser=jay.agg%40gmail.com&amp;usp=drive_fs")</f>
        <v>https://drive.google.com/open?id=18eq8LAm_YKEYNTKSTPpXoxc1jRU5WibS&amp;authuser=jay.agg%40gmail.com&amp;usp=drive_fs</v>
      </c>
      <c r="B890" s="73" t="str">
        <f>IFERROR(__xludf.DUMMYFUNCTION("""COMPUTED_VALUE"""),"Electricity")</f>
        <v>Electricity</v>
      </c>
      <c r="C890" s="73" t="str">
        <f>IFERROR(__xludf.DUMMYFUNCTION("""COMPUTED_VALUE"""),"Water Level")</f>
        <v>Water Level</v>
      </c>
      <c r="D890" s="73" t="str">
        <f>IFERROR(__xludf.DUMMYFUNCTION("""COMPUTED_VALUE"""),"86*52*130 mm IL")</f>
        <v>86*52*130 mm IL</v>
      </c>
      <c r="E890" s="77">
        <f>IFERROR(__xludf.DUMMYFUNCTION("""COMPUTED_VALUE"""),4.0)</f>
        <v>4</v>
      </c>
      <c r="F890" s="77">
        <f>IFERROR(__xludf.DUMMYFUNCTION("""COMPUTED_VALUE"""),1926.0)</f>
        <v>1926</v>
      </c>
      <c r="G890" s="77">
        <f>IFERROR(__xludf.DUMMYFUNCTION("""COMPUTED_VALUE"""),18.0)</f>
        <v>18</v>
      </c>
      <c r="H890" s="77">
        <f>IFERROR(__xludf.DUMMYFUNCTION("""COMPUTED_VALUE"""),23.0)</f>
        <v>23</v>
      </c>
      <c r="I890" s="77">
        <f>IFERROR(__xludf.DUMMYFUNCTION("""COMPUTED_VALUE"""),100.0)</f>
        <v>100</v>
      </c>
      <c r="J890" s="73"/>
      <c r="K890" s="73"/>
      <c r="L890" s="73"/>
      <c r="M890" s="77">
        <f>IFERROR(__xludf.DUMMYFUNCTION("""COMPUTED_VALUE"""),0.1)</f>
        <v>0.1</v>
      </c>
      <c r="N890" s="77">
        <f>IFERROR(__xludf.DUMMYFUNCTION("""COMPUTED_VALUE"""),1.0)</f>
        <v>1</v>
      </c>
      <c r="O890" s="49"/>
      <c r="P890" s="49" t="str">
        <f>IFERROR(__xludf.DUMMYFUNCTION("""COMPUTED_VALUE"""),"Offset")</f>
        <v>Offset</v>
      </c>
      <c r="Q890" s="49" t="str">
        <f>IFERROR(__xludf.DUMMYFUNCTION("""COMPUTED_VALUE"""),"Packaging")</f>
        <v>Packaging</v>
      </c>
      <c r="R890" s="49" t="str">
        <f>IFERROR(__xludf.DUMMYFUNCTION("""COMPUTED_VALUE"""),"Electricity")</f>
        <v>Electricity</v>
      </c>
    </row>
    <row r="891">
      <c r="A891" s="156" t="str">
        <f>IFERROR(__xludf.DUMMYFUNCTION("""COMPUTED_VALUE"""),"https://drive.google.com/open?id=19WgYuKpFuxqHjNCcdVN7IpvTBqaZrgDu&amp;authuser=jay.agg%40gmail.com&amp;usp=drive_fs")</f>
        <v>https://drive.google.com/open?id=19WgYuKpFuxqHjNCcdVN7IpvTBqaZrgDu&amp;authuser=jay.agg%40gmail.com&amp;usp=drive_fs</v>
      </c>
      <c r="B891" s="73" t="str">
        <f>IFERROR(__xludf.DUMMYFUNCTION("""COMPUTED_VALUE"""),"Electricity")</f>
        <v>Electricity</v>
      </c>
      <c r="C891" s="73" t="str">
        <f>IFERROR(__xludf.DUMMYFUNCTION("""COMPUTED_VALUE"""),"Delphi")</f>
        <v>Delphi</v>
      </c>
      <c r="D891" s="73" t="str">
        <f>IFERROR(__xludf.DUMMYFUNCTION("""COMPUTED_VALUE"""),"60*27*60 mm")</f>
        <v>60*27*60 mm</v>
      </c>
      <c r="E891" s="77">
        <f>IFERROR(__xludf.DUMMYFUNCTION("""COMPUTED_VALUE"""),12.0)</f>
        <v>12</v>
      </c>
      <c r="F891" s="77">
        <f>IFERROR(__xludf.DUMMYFUNCTION("""COMPUTED_VALUE"""),1926.0)</f>
        <v>1926</v>
      </c>
      <c r="G891" s="77">
        <f>IFERROR(__xludf.DUMMYFUNCTION("""COMPUTED_VALUE"""),18.0)</f>
        <v>18</v>
      </c>
      <c r="H891" s="77">
        <f>IFERROR(__xludf.DUMMYFUNCTION("""COMPUTED_VALUE"""),23.0)</f>
        <v>23</v>
      </c>
      <c r="I891" s="77">
        <f>IFERROR(__xludf.DUMMYFUNCTION("""COMPUTED_VALUE"""),100.0)</f>
        <v>100</v>
      </c>
      <c r="J891" s="73"/>
      <c r="K891" s="73"/>
      <c r="L891" s="73"/>
      <c r="M891" s="77">
        <f>IFERROR(__xludf.DUMMYFUNCTION("""COMPUTED_VALUE"""),0.1)</f>
        <v>0.1</v>
      </c>
      <c r="N891" s="77">
        <f>IFERROR(__xludf.DUMMYFUNCTION("""COMPUTED_VALUE"""),1.0)</f>
        <v>1</v>
      </c>
      <c r="O891" s="49"/>
      <c r="P891" s="49" t="str">
        <f>IFERROR(__xludf.DUMMYFUNCTION("""COMPUTED_VALUE"""),"Offset")</f>
        <v>Offset</v>
      </c>
      <c r="Q891" s="49" t="str">
        <f>IFERROR(__xludf.DUMMYFUNCTION("""COMPUTED_VALUE"""),"Packaging")</f>
        <v>Packaging</v>
      </c>
      <c r="R891" s="49" t="str">
        <f>IFERROR(__xludf.DUMMYFUNCTION("""COMPUTED_VALUE"""),"Electricity")</f>
        <v>Electricity</v>
      </c>
    </row>
    <row r="892">
      <c r="A892" s="156" t="str">
        <f>IFERROR(__xludf.DUMMYFUNCTION("""COMPUTED_VALUE"""),"https://drive.google.com/open?id=1HnoVc_WDgdU3_Yv5D33a-mtW7A-s2yrn&amp;authuser=jay.agg%40gmail.com&amp;usp=drive_fs")</f>
        <v>https://drive.google.com/open?id=1HnoVc_WDgdU3_Yv5D33a-mtW7A-s2yrn&amp;authuser=jay.agg%40gmail.com&amp;usp=drive_fs</v>
      </c>
      <c r="B892" s="73" t="str">
        <f>IFERROR(__xludf.DUMMYFUNCTION("""COMPUTED_VALUE"""),"Electricity")</f>
        <v>Electricity</v>
      </c>
      <c r="C892" s="73" t="str">
        <f>IFERROR(__xludf.DUMMYFUNCTION("""COMPUTED_VALUE"""),"Extension")</f>
        <v>Extension</v>
      </c>
      <c r="D892" s="73" t="str">
        <f>IFERROR(__xludf.DUMMYFUNCTION("""COMPUTED_VALUE"""),"110*40*320 mm | 4.3*1.5*12.6 inch W 2*9 inch")</f>
        <v>110*40*320 mm | 4.3*1.5*12.6 inch W 2*9 inch</v>
      </c>
      <c r="E892" s="77">
        <f>IFERROR(__xludf.DUMMYFUNCTION("""COMPUTED_VALUE"""),2.0)</f>
        <v>2</v>
      </c>
      <c r="F892" s="77">
        <f>IFERROR(__xludf.DUMMYFUNCTION("""COMPUTED_VALUE"""),1926.0)</f>
        <v>1926</v>
      </c>
      <c r="G892" s="77">
        <f>IFERROR(__xludf.DUMMYFUNCTION("""COMPUTED_VALUE"""),18.0)</f>
        <v>18</v>
      </c>
      <c r="H892" s="77">
        <f>IFERROR(__xludf.DUMMYFUNCTION("""COMPUTED_VALUE"""),25.0)</f>
        <v>25</v>
      </c>
      <c r="I892" s="77">
        <f>IFERROR(__xludf.DUMMYFUNCTION("""COMPUTED_VALUE"""),100.0)</f>
        <v>100</v>
      </c>
      <c r="J892" s="73"/>
      <c r="K892" s="73"/>
      <c r="L892" s="73">
        <f>IFERROR(__xludf.DUMMYFUNCTION("""COMPUTED_VALUE"""),3.0)</f>
        <v>3</v>
      </c>
      <c r="M892" s="77">
        <f>IFERROR(__xludf.DUMMYFUNCTION("""COMPUTED_VALUE"""),0.12)</f>
        <v>0.12</v>
      </c>
      <c r="N892" s="77">
        <f>IFERROR(__xludf.DUMMYFUNCTION("""COMPUTED_VALUE"""),1.0)</f>
        <v>1</v>
      </c>
      <c r="O892" s="49"/>
      <c r="P892" s="49" t="str">
        <f>IFERROR(__xludf.DUMMYFUNCTION("""COMPUTED_VALUE"""),"Offset")</f>
        <v>Offset</v>
      </c>
      <c r="Q892" s="49" t="str">
        <f>IFERROR(__xludf.DUMMYFUNCTION("""COMPUTED_VALUE"""),"Packaging")</f>
        <v>Packaging</v>
      </c>
      <c r="R892" s="49" t="str">
        <f>IFERROR(__xludf.DUMMYFUNCTION("""COMPUTED_VALUE"""),"Electricity")</f>
        <v>Electricity</v>
      </c>
    </row>
    <row r="893">
      <c r="A893" s="156" t="str">
        <f>IFERROR(__xludf.DUMMYFUNCTION("""COMPUTED_VALUE"""),"https://drive.google.com/open?id=1MexBpfN5PgVOXPpg_mlv1S0hOh5h79Tt&amp;authuser=jay.agg%40gmail.com&amp;usp=drive_fs")</f>
        <v>https://drive.google.com/open?id=1MexBpfN5PgVOXPpg_mlv1S0hOh5h79Tt&amp;authuser=jay.agg%40gmail.com&amp;usp=drive_fs</v>
      </c>
      <c r="B893" s="73" t="str">
        <f>IFERROR(__xludf.DUMMYFUNCTION("""COMPUTED_VALUE"""),"Electricity")</f>
        <v>Electricity</v>
      </c>
      <c r="C893" s="73" t="str">
        <f>IFERROR(__xludf.DUMMYFUNCTION("""COMPUTED_VALUE"""),"Switch")</f>
        <v>Switch</v>
      </c>
      <c r="D893" s="73" t="str">
        <f>IFERROR(__xludf.DUMMYFUNCTION("""COMPUTED_VALUE"""),"120*70*50 mm | 4.7*2.7*2 inch IL")</f>
        <v>120*70*50 mm | 4.7*2.7*2 inch IL</v>
      </c>
      <c r="E893" s="77">
        <f>IFERROR(__xludf.DUMMYFUNCTION("""COMPUTED_VALUE"""),4.0)</f>
        <v>4</v>
      </c>
      <c r="F893" s="77">
        <f>IFERROR(__xludf.DUMMYFUNCTION("""COMPUTED_VALUE"""),1926.0)</f>
        <v>1926</v>
      </c>
      <c r="G893" s="77">
        <f>IFERROR(__xludf.DUMMYFUNCTION("""COMPUTED_VALUE"""),18.0)</f>
        <v>18</v>
      </c>
      <c r="H893" s="77">
        <f>IFERROR(__xludf.DUMMYFUNCTION("""COMPUTED_VALUE"""),23.0)</f>
        <v>23</v>
      </c>
      <c r="I893" s="77">
        <f>IFERROR(__xludf.DUMMYFUNCTION("""COMPUTED_VALUE"""),100.0)</f>
        <v>100</v>
      </c>
      <c r="J893" s="73"/>
      <c r="K893" s="73"/>
      <c r="L893" s="73"/>
      <c r="M893" s="77">
        <f>IFERROR(__xludf.DUMMYFUNCTION("""COMPUTED_VALUE"""),0.1)</f>
        <v>0.1</v>
      </c>
      <c r="N893" s="77">
        <f>IFERROR(__xludf.DUMMYFUNCTION("""COMPUTED_VALUE"""),1.0)</f>
        <v>1</v>
      </c>
      <c r="O893" s="49"/>
      <c r="P893" s="49" t="str">
        <f>IFERROR(__xludf.DUMMYFUNCTION("""COMPUTED_VALUE"""),"Offset")</f>
        <v>Offset</v>
      </c>
      <c r="Q893" s="49" t="str">
        <f>IFERROR(__xludf.DUMMYFUNCTION("""COMPUTED_VALUE"""),"Packaging")</f>
        <v>Packaging</v>
      </c>
      <c r="R893" s="49" t="str">
        <f>IFERROR(__xludf.DUMMYFUNCTION("""COMPUTED_VALUE"""),"Electricity")</f>
        <v>Electricity</v>
      </c>
    </row>
    <row r="894">
      <c r="A894" s="156" t="str">
        <f>IFERROR(__xludf.DUMMYFUNCTION("""COMPUTED_VALUE"""),"https://drive.google.com/open?id=10pHCCW_7MpHpWHNJimjV-Mf0pKnbR3g2&amp;authuser=jay.agg%40gmail.com&amp;usp=drive_fs")</f>
        <v>https://drive.google.com/open?id=10pHCCW_7MpHpWHNJimjV-Mf0pKnbR3g2&amp;authuser=jay.agg%40gmail.com&amp;usp=drive_fs</v>
      </c>
      <c r="B894" s="73" t="str">
        <f>IFERROR(__xludf.DUMMYFUNCTION("""COMPUTED_VALUE"""),"Electricity")</f>
        <v>Electricity</v>
      </c>
      <c r="C894" s="73" t="str">
        <f>IFERROR(__xludf.DUMMYFUNCTION("""COMPUTED_VALUE"""),"Adaptor")</f>
        <v>Adaptor</v>
      </c>
      <c r="D894" s="73" t="str">
        <f>IFERROR(__xludf.DUMMYFUNCTION("""COMPUTED_VALUE"""),"73*51*86 mm | 2.8*2*3.4 inch")</f>
        <v>73*51*86 mm | 2.8*2*3.4 inch</v>
      </c>
      <c r="E894" s="77">
        <f>IFERROR(__xludf.DUMMYFUNCTION("""COMPUTED_VALUE"""),4.0)</f>
        <v>4</v>
      </c>
      <c r="F894" s="77">
        <f>IFERROR(__xludf.DUMMYFUNCTION("""COMPUTED_VALUE"""),1926.0)</f>
        <v>1926</v>
      </c>
      <c r="G894" s="77">
        <f>IFERROR(__xludf.DUMMYFUNCTION("""COMPUTED_VALUE"""),12.0)</f>
        <v>12</v>
      </c>
      <c r="H894" s="77">
        <f>IFERROR(__xludf.DUMMYFUNCTION("""COMPUTED_VALUE"""),21.0)</f>
        <v>21</v>
      </c>
      <c r="I894" s="77">
        <f>IFERROR(__xludf.DUMMYFUNCTION("""COMPUTED_VALUE"""),100.0)</f>
        <v>100</v>
      </c>
      <c r="J894" s="73"/>
      <c r="K894" s="73"/>
      <c r="L894" s="73"/>
      <c r="M894" s="77">
        <f>IFERROR(__xludf.DUMMYFUNCTION("""COMPUTED_VALUE"""),0.1)</f>
        <v>0.1</v>
      </c>
      <c r="N894" s="77">
        <f>IFERROR(__xludf.DUMMYFUNCTION("""COMPUTED_VALUE"""),1.0)</f>
        <v>1</v>
      </c>
      <c r="O894" s="49"/>
      <c r="P894" s="49" t="str">
        <f>IFERROR(__xludf.DUMMYFUNCTION("""COMPUTED_VALUE"""),"Offset")</f>
        <v>Offset</v>
      </c>
      <c r="Q894" s="49" t="str">
        <f>IFERROR(__xludf.DUMMYFUNCTION("""COMPUTED_VALUE"""),"Packaging")</f>
        <v>Packaging</v>
      </c>
      <c r="R894" s="49" t="str">
        <f>IFERROR(__xludf.DUMMYFUNCTION("""COMPUTED_VALUE"""),"Electricity")</f>
        <v>Electricity</v>
      </c>
    </row>
    <row r="895">
      <c r="A895" s="156" t="str">
        <f>IFERROR(__xludf.DUMMYFUNCTION("""COMPUTED_VALUE"""),"https://drive.google.com/open?id=1OADDGgraq7CGIT_kstPmExT6zx9UgSuW&amp;authuser=jay.agg%40gmail.com&amp;usp=drive_fs")</f>
        <v>https://drive.google.com/open?id=1OADDGgraq7CGIT_kstPmExT6zx9UgSuW&amp;authuser=jay.agg%40gmail.com&amp;usp=drive_fs</v>
      </c>
      <c r="B895" s="73" t="str">
        <f>IFERROR(__xludf.DUMMYFUNCTION("""COMPUTED_VALUE"""),"Electricity")</f>
        <v>Electricity</v>
      </c>
      <c r="C895" s="73" t="str">
        <f>IFERROR(__xludf.DUMMYFUNCTION("""COMPUTED_VALUE"""),"Misc")</f>
        <v>Misc</v>
      </c>
      <c r="D895" s="73" t="str">
        <f>IFERROR(__xludf.DUMMYFUNCTION("""COMPUTED_VALUE"""),"145*75*50 mm | 5.7*3*2 inch")</f>
        <v>145*75*50 mm | 5.7*3*2 inch</v>
      </c>
      <c r="E895" s="77">
        <f>IFERROR(__xludf.DUMMYFUNCTION("""COMPUTED_VALUE"""),2.0)</f>
        <v>2</v>
      </c>
      <c r="F895" s="77">
        <f>IFERROR(__xludf.DUMMYFUNCTION("""COMPUTED_VALUE"""),1926.0)</f>
        <v>1926</v>
      </c>
      <c r="G895" s="77">
        <f>IFERROR(__xludf.DUMMYFUNCTION("""COMPUTED_VALUE"""),15.0)</f>
        <v>15</v>
      </c>
      <c r="H895" s="77">
        <f>IFERROR(__xludf.DUMMYFUNCTION("""COMPUTED_VALUE"""),25.0)</f>
        <v>25</v>
      </c>
      <c r="I895" s="77">
        <f>IFERROR(__xludf.DUMMYFUNCTION("""COMPUTED_VALUE"""),100.0)</f>
        <v>100</v>
      </c>
      <c r="J895" s="73"/>
      <c r="K895" s="73"/>
      <c r="L895" s="73"/>
      <c r="M895" s="77">
        <f>IFERROR(__xludf.DUMMYFUNCTION("""COMPUTED_VALUE"""),0.1)</f>
        <v>0.1</v>
      </c>
      <c r="N895" s="77">
        <f>IFERROR(__xludf.DUMMYFUNCTION("""COMPUTED_VALUE"""),1.0)</f>
        <v>1</v>
      </c>
      <c r="O895" s="49"/>
      <c r="P895" s="49" t="str">
        <f>IFERROR(__xludf.DUMMYFUNCTION("""COMPUTED_VALUE"""),"Offset")</f>
        <v>Offset</v>
      </c>
      <c r="Q895" s="49" t="str">
        <f>IFERROR(__xludf.DUMMYFUNCTION("""COMPUTED_VALUE"""),"Packaging")</f>
        <v>Packaging</v>
      </c>
      <c r="R895" s="49" t="str">
        <f>IFERROR(__xludf.DUMMYFUNCTION("""COMPUTED_VALUE"""),"Electricity")</f>
        <v>Electricity</v>
      </c>
    </row>
    <row r="896">
      <c r="A896" s="156" t="str">
        <f>IFERROR(__xludf.DUMMYFUNCTION("""COMPUTED_VALUE"""),"https://drive.google.com/open?id=1Qop6n-HkVaNOBJeozfSeG2EhYb4W-dlz&amp;authuser=jay.agg%40gmail.com&amp;usp=drive_fs")</f>
        <v>https://drive.google.com/open?id=1Qop6n-HkVaNOBJeozfSeG2EhYb4W-dlz&amp;authuser=jay.agg%40gmail.com&amp;usp=drive_fs</v>
      </c>
      <c r="B896" s="73" t="str">
        <f>IFERROR(__xludf.DUMMYFUNCTION("""COMPUTED_VALUE"""),"Electricity")</f>
        <v>Electricity</v>
      </c>
      <c r="C896" s="73" t="str">
        <f>IFERROR(__xludf.DUMMYFUNCTION("""COMPUTED_VALUE"""),"Misc")</f>
        <v>Misc</v>
      </c>
      <c r="D896" s="73" t="str">
        <f>IFERROR(__xludf.DUMMYFUNCTION("""COMPUTED_VALUE"""),"122*78*132 mm | 4.8*3*5.2 inch")</f>
        <v>122*78*132 mm | 4.8*3*5.2 inch</v>
      </c>
      <c r="E896" s="77">
        <f>IFERROR(__xludf.DUMMYFUNCTION("""COMPUTED_VALUE"""),2.0)</f>
        <v>2</v>
      </c>
      <c r="F896" s="77">
        <f>IFERROR(__xludf.DUMMYFUNCTION("""COMPUTED_VALUE"""),2029.0)</f>
        <v>2029</v>
      </c>
      <c r="G896" s="77">
        <f>IFERROR(__xludf.DUMMYFUNCTION("""COMPUTED_VALUE"""),18.0)</f>
        <v>18</v>
      </c>
      <c r="H896" s="77">
        <f>IFERROR(__xludf.DUMMYFUNCTION("""COMPUTED_VALUE"""),23.0)</f>
        <v>23</v>
      </c>
      <c r="I896" s="77">
        <f>IFERROR(__xludf.DUMMYFUNCTION("""COMPUTED_VALUE"""),100.0)</f>
        <v>100</v>
      </c>
      <c r="J896" s="73"/>
      <c r="K896" s="73"/>
      <c r="L896" s="73"/>
      <c r="M896" s="77">
        <f>IFERROR(__xludf.DUMMYFUNCTION("""COMPUTED_VALUE"""),0.1)</f>
        <v>0.1</v>
      </c>
      <c r="N896" s="77">
        <f>IFERROR(__xludf.DUMMYFUNCTION("""COMPUTED_VALUE"""),1.0)</f>
        <v>1</v>
      </c>
      <c r="O896" s="49"/>
      <c r="P896" s="49" t="str">
        <f>IFERROR(__xludf.DUMMYFUNCTION("""COMPUTED_VALUE"""),"Offset")</f>
        <v>Offset</v>
      </c>
      <c r="Q896" s="49" t="str">
        <f>IFERROR(__xludf.DUMMYFUNCTION("""COMPUTED_VALUE"""),"Packaging")</f>
        <v>Packaging</v>
      </c>
      <c r="R896" s="49" t="str">
        <f>IFERROR(__xludf.DUMMYFUNCTION("""COMPUTED_VALUE"""),"Electricity")</f>
        <v>Electricity</v>
      </c>
    </row>
    <row r="897">
      <c r="A897" s="156" t="str">
        <f>IFERROR(__xludf.DUMMYFUNCTION("""COMPUTED_VALUE"""),"https://drive.google.com/open?id=1Ot_-ATzRT3FJHv4BKisDK6nvsTdNwgZS&amp;authuser=jay.agg%40gmail.com&amp;usp=drive_fs")</f>
        <v>https://drive.google.com/open?id=1Ot_-ATzRT3FJHv4BKisDK6nvsTdNwgZS&amp;authuser=jay.agg%40gmail.com&amp;usp=drive_fs</v>
      </c>
      <c r="B897" s="73" t="str">
        <f>IFERROR(__xludf.DUMMYFUNCTION("""COMPUTED_VALUE"""),"Electricity")</f>
        <v>Electricity</v>
      </c>
      <c r="C897" s="73" t="str">
        <f>IFERROR(__xludf.DUMMYFUNCTION("""COMPUTED_VALUE"""),"Misc")</f>
        <v>Misc</v>
      </c>
      <c r="D897" s="73" t="str">
        <f>IFERROR(__xludf.DUMMYFUNCTION("""COMPUTED_VALUE"""),"140*60*30 mm | 5.5*2.4*1.2 inch")</f>
        <v>140*60*30 mm | 5.5*2.4*1.2 inch</v>
      </c>
      <c r="E897" s="77">
        <f>IFERROR(__xludf.DUMMYFUNCTION("""COMPUTED_VALUE"""),4.0)</f>
        <v>4</v>
      </c>
      <c r="F897" s="77">
        <f>IFERROR(__xludf.DUMMYFUNCTION("""COMPUTED_VALUE"""),1926.0)</f>
        <v>1926</v>
      </c>
      <c r="G897" s="77">
        <f>IFERROR(__xludf.DUMMYFUNCTION("""COMPUTED_VALUE"""),18.0)</f>
        <v>18</v>
      </c>
      <c r="H897" s="77">
        <f>IFERROR(__xludf.DUMMYFUNCTION("""COMPUTED_VALUE"""),21.0)</f>
        <v>21</v>
      </c>
      <c r="I897" s="77">
        <f>IFERROR(__xludf.DUMMYFUNCTION("""COMPUTED_VALUE"""),100.0)</f>
        <v>100</v>
      </c>
      <c r="J897" s="73"/>
      <c r="K897" s="73"/>
      <c r="L897" s="73"/>
      <c r="M897" s="77">
        <f>IFERROR(__xludf.DUMMYFUNCTION("""COMPUTED_VALUE"""),0.1)</f>
        <v>0.1</v>
      </c>
      <c r="N897" s="77">
        <f>IFERROR(__xludf.DUMMYFUNCTION("""COMPUTED_VALUE"""),1.0)</f>
        <v>1</v>
      </c>
      <c r="O897" s="49"/>
      <c r="P897" s="49" t="str">
        <f>IFERROR(__xludf.DUMMYFUNCTION("""COMPUTED_VALUE"""),"Offset")</f>
        <v>Offset</v>
      </c>
      <c r="Q897" s="49" t="str">
        <f>IFERROR(__xludf.DUMMYFUNCTION("""COMPUTED_VALUE"""),"Packaging")</f>
        <v>Packaging</v>
      </c>
      <c r="R897" s="49" t="str">
        <f>IFERROR(__xludf.DUMMYFUNCTION("""COMPUTED_VALUE"""),"Electricity")</f>
        <v>Electricity</v>
      </c>
    </row>
    <row r="898">
      <c r="A898" s="156" t="str">
        <f>IFERROR(__xludf.DUMMYFUNCTION("""COMPUTED_VALUE"""),"https://drive.google.com/open?id=1f-Vki1JJlYNe3gOb0UevdG4EA4kqNue_&amp;authuser=jay.agg%40gmail.com&amp;usp=drive_fs")</f>
        <v>https://drive.google.com/open?id=1f-Vki1JJlYNe3gOb0UevdG4EA4kqNue_&amp;authuser=jay.agg%40gmail.com&amp;usp=drive_fs</v>
      </c>
      <c r="B898" s="73" t="str">
        <f>IFERROR(__xludf.DUMMYFUNCTION("""COMPUTED_VALUE"""),"Electricity")</f>
        <v>Electricity</v>
      </c>
      <c r="C898" s="73" t="str">
        <f>IFERROR(__xludf.DUMMYFUNCTION("""COMPUTED_VALUE"""),"Misc")</f>
        <v>Misc</v>
      </c>
      <c r="D898" s="73" t="str">
        <f>IFERROR(__xludf.DUMMYFUNCTION("""COMPUTED_VALUE"""),"102*25*102 mm | 4*4*1 inch")</f>
        <v>102*25*102 mm | 4*4*1 inch</v>
      </c>
      <c r="E898" s="77">
        <f>IFERROR(__xludf.DUMMYFUNCTION("""COMPUTED_VALUE"""),6.0)</f>
        <v>6</v>
      </c>
      <c r="F898" s="77">
        <f>IFERROR(__xludf.DUMMYFUNCTION("""COMPUTED_VALUE"""),1926.0)</f>
        <v>1926</v>
      </c>
      <c r="G898" s="77">
        <f>IFERROR(__xludf.DUMMYFUNCTION("""COMPUTED_VALUE"""),19.5)</f>
        <v>19.5</v>
      </c>
      <c r="H898" s="77">
        <f>IFERROR(__xludf.DUMMYFUNCTION("""COMPUTED_VALUE"""),23.0)</f>
        <v>23</v>
      </c>
      <c r="I898" s="77">
        <f>IFERROR(__xludf.DUMMYFUNCTION("""COMPUTED_VALUE"""),100.0)</f>
        <v>100</v>
      </c>
      <c r="J898" s="73"/>
      <c r="K898" s="73"/>
      <c r="L898" s="73"/>
      <c r="M898" s="77">
        <f>IFERROR(__xludf.DUMMYFUNCTION("""COMPUTED_VALUE"""),0.1)</f>
        <v>0.1</v>
      </c>
      <c r="N898" s="77">
        <f>IFERROR(__xludf.DUMMYFUNCTION("""COMPUTED_VALUE"""),1.0)</f>
        <v>1</v>
      </c>
      <c r="O898" s="49"/>
      <c r="P898" s="49" t="str">
        <f>IFERROR(__xludf.DUMMYFUNCTION("""COMPUTED_VALUE"""),"Offset")</f>
        <v>Offset</v>
      </c>
      <c r="Q898" s="49" t="str">
        <f>IFERROR(__xludf.DUMMYFUNCTION("""COMPUTED_VALUE"""),"Packaging")</f>
        <v>Packaging</v>
      </c>
      <c r="R898" s="49" t="str">
        <f>IFERROR(__xludf.DUMMYFUNCTION("""COMPUTED_VALUE"""),"Electricity")</f>
        <v>Electricity</v>
      </c>
    </row>
    <row r="899">
      <c r="A899" s="156" t="str">
        <f>IFERROR(__xludf.DUMMYFUNCTION("""COMPUTED_VALUE"""),"https://drive.google.com/open?id=1-wGF15oJssDghuF6VKkcy9NdDedVv1mj&amp;authuser=jay.agg%40gmail.com&amp;usp=drive_fs")</f>
        <v>https://drive.google.com/open?id=1-wGF15oJssDghuF6VKkcy9NdDedVv1mj&amp;authuser=jay.agg%40gmail.com&amp;usp=drive_fs</v>
      </c>
      <c r="B899" s="73" t="str">
        <f>IFERROR(__xludf.DUMMYFUNCTION("""COMPUTED_VALUE"""),"Electricity")</f>
        <v>Electricity</v>
      </c>
      <c r="C899" s="73" t="str">
        <f>IFERROR(__xludf.DUMMYFUNCTION("""COMPUTED_VALUE"""),"Misc")</f>
        <v>Misc</v>
      </c>
      <c r="D899" s="73" t="str">
        <f>IFERROR(__xludf.DUMMYFUNCTION("""COMPUTED_VALUE"""),"100*100*50 mm | 4*4*2 inch")</f>
        <v>100*100*50 mm | 4*4*2 inch</v>
      </c>
      <c r="E899" s="77">
        <f>IFERROR(__xludf.DUMMYFUNCTION("""COMPUTED_VALUE"""),3.0)</f>
        <v>3</v>
      </c>
      <c r="F899" s="77">
        <f>IFERROR(__xludf.DUMMYFUNCTION("""COMPUTED_VALUE"""),1926.0)</f>
        <v>1926</v>
      </c>
      <c r="G899" s="77">
        <f>IFERROR(__xludf.DUMMYFUNCTION("""COMPUTED_VALUE"""),18.0)</f>
        <v>18</v>
      </c>
      <c r="H899" s="77">
        <f>IFERROR(__xludf.DUMMYFUNCTION("""COMPUTED_VALUE"""),25.0)</f>
        <v>25</v>
      </c>
      <c r="I899" s="77">
        <f>IFERROR(__xludf.DUMMYFUNCTION("""COMPUTED_VALUE"""),100.0)</f>
        <v>100</v>
      </c>
      <c r="J899" s="73"/>
      <c r="K899" s="73"/>
      <c r="L899" s="73"/>
      <c r="M899" s="77">
        <f>IFERROR(__xludf.DUMMYFUNCTION("""COMPUTED_VALUE"""),0.1)</f>
        <v>0.1</v>
      </c>
      <c r="N899" s="77">
        <f>IFERROR(__xludf.DUMMYFUNCTION("""COMPUTED_VALUE"""),1.0)</f>
        <v>1</v>
      </c>
      <c r="O899" s="49"/>
      <c r="P899" s="49" t="str">
        <f>IFERROR(__xludf.DUMMYFUNCTION("""COMPUTED_VALUE"""),"Offset")</f>
        <v>Offset</v>
      </c>
      <c r="Q899" s="49" t="str">
        <f>IFERROR(__xludf.DUMMYFUNCTION("""COMPUTED_VALUE"""),"Packaging")</f>
        <v>Packaging</v>
      </c>
      <c r="R899" s="49" t="str">
        <f>IFERROR(__xludf.DUMMYFUNCTION("""COMPUTED_VALUE"""),"Electricity")</f>
        <v>Electricity</v>
      </c>
    </row>
    <row r="900">
      <c r="A900" s="156" t="str">
        <f>IFERROR(__xludf.DUMMYFUNCTION("""COMPUTED_VALUE"""),"https://drive.google.com/open?id=10qTwb-F5Ypf9kLLmChFUKbPzk7uBHOu0&amp;authuser=jay.agg%40gmail.com&amp;usp=drive_fs")</f>
        <v>https://drive.google.com/open?id=10qTwb-F5Ypf9kLLmChFUKbPzk7uBHOu0&amp;authuser=jay.agg%40gmail.com&amp;usp=drive_fs</v>
      </c>
      <c r="B900" s="73" t="str">
        <f>IFERROR(__xludf.DUMMYFUNCTION("""COMPUTED_VALUE"""),"HOB")</f>
        <v>HOB</v>
      </c>
      <c r="C900" s="73" t="str">
        <f>IFERROR(__xludf.DUMMYFUNCTION("""COMPUTED_VALUE"""),"Massager")</f>
        <v>Massager</v>
      </c>
      <c r="D900" s="73" t="str">
        <f>IFERROR(__xludf.DUMMYFUNCTION("""COMPUTED_VALUE"""),"70*35*170 mm | 2.7*1.4*6.7 inch")</f>
        <v>70*35*170 mm | 2.7*1.4*6.7 inch</v>
      </c>
      <c r="E900" s="77">
        <f>IFERROR(__xludf.DUMMYFUNCTION("""COMPUTED_VALUE"""),4.0)</f>
        <v>4</v>
      </c>
      <c r="F900" s="77">
        <f>IFERROR(__xludf.DUMMYFUNCTION("""COMPUTED_VALUE"""),1926.0)</f>
        <v>1926</v>
      </c>
      <c r="G900" s="77">
        <f>IFERROR(__xludf.DUMMYFUNCTION("""COMPUTED_VALUE"""),18.0)</f>
        <v>18</v>
      </c>
      <c r="H900" s="77">
        <f>IFERROR(__xludf.DUMMYFUNCTION("""COMPUTED_VALUE"""),23.0)</f>
        <v>23</v>
      </c>
      <c r="I900" s="77">
        <f>IFERROR(__xludf.DUMMYFUNCTION("""COMPUTED_VALUE"""),100.0)</f>
        <v>100</v>
      </c>
      <c r="J900" s="73"/>
      <c r="K900" s="73"/>
      <c r="L900" s="73">
        <f>IFERROR(__xludf.DUMMYFUNCTION("""COMPUTED_VALUE"""),1.0)</f>
        <v>1</v>
      </c>
      <c r="M900" s="77">
        <f>IFERROR(__xludf.DUMMYFUNCTION("""COMPUTED_VALUE"""),0.1)</f>
        <v>0.1</v>
      </c>
      <c r="N900" s="77">
        <f>IFERROR(__xludf.DUMMYFUNCTION("""COMPUTED_VALUE"""),1.0)</f>
        <v>1</v>
      </c>
      <c r="O900" s="49"/>
      <c r="P900" s="49" t="str">
        <f>IFERROR(__xludf.DUMMYFUNCTION("""COMPUTED_VALUE"""),"Offset")</f>
        <v>Offset</v>
      </c>
      <c r="Q900" s="49" t="str">
        <f>IFERROR(__xludf.DUMMYFUNCTION("""COMPUTED_VALUE"""),"Packaging")</f>
        <v>Packaging</v>
      </c>
      <c r="R900" s="49" t="str">
        <f>IFERROR(__xludf.DUMMYFUNCTION("""COMPUTED_VALUE"""),"HOB")</f>
        <v>HOB</v>
      </c>
    </row>
    <row r="901">
      <c r="A901" s="156" t="str">
        <f>IFERROR(__xludf.DUMMYFUNCTION("""COMPUTED_VALUE"""),"https://drive.google.com/open?id=13_7op81AASFcILjBUe3ntq1mHLBCwGh5&amp;usp=drive_fs")</f>
        <v>https://drive.google.com/open?id=13_7op81AASFcILjBUe3ntq1mHLBCwGh5&amp;usp=drive_fs</v>
      </c>
      <c r="B901" s="73" t="str">
        <f>IFERROR(__xludf.DUMMYFUNCTION("""COMPUTED_VALUE"""),"Electricity")</f>
        <v>Electricity</v>
      </c>
      <c r="C901" s="73" t="str">
        <f>IFERROR(__xludf.DUMMYFUNCTION("""COMPUTED_VALUE"""),"UPS")</f>
        <v>UPS</v>
      </c>
      <c r="D901" s="73" t="str">
        <f>IFERROR(__xludf.DUMMYFUNCTION("""COMPUTED_VALUE"""),"63*49*82 mm | 2.6*2*3.4 inch IL")</f>
        <v>63*49*82 mm | 2.6*2*3.4 inch IL</v>
      </c>
      <c r="E901" s="77">
        <f>IFERROR(__xludf.DUMMYFUNCTION("""COMPUTED_VALUE"""),4.0)</f>
        <v>4</v>
      </c>
      <c r="F901" s="77">
        <f>IFERROR(__xludf.DUMMYFUNCTION("""COMPUTED_VALUE"""),1926.0)</f>
        <v>1926</v>
      </c>
      <c r="G901" s="77">
        <f>IFERROR(__xludf.DUMMYFUNCTION("""COMPUTED_VALUE"""),15.75)</f>
        <v>15.75</v>
      </c>
      <c r="H901" s="77">
        <f>IFERROR(__xludf.DUMMYFUNCTION("""COMPUTED_VALUE"""),20.75)</f>
        <v>20.75</v>
      </c>
      <c r="I901" s="77">
        <f>IFERROR(__xludf.DUMMYFUNCTION("""COMPUTED_VALUE"""),100.0)</f>
        <v>100</v>
      </c>
      <c r="J901" s="73"/>
      <c r="K901" s="73"/>
      <c r="L901" s="73"/>
      <c r="M901" s="77">
        <f>IFERROR(__xludf.DUMMYFUNCTION("""COMPUTED_VALUE"""),0.1)</f>
        <v>0.1</v>
      </c>
      <c r="N901" s="77">
        <f>IFERROR(__xludf.DUMMYFUNCTION("""COMPUTED_VALUE"""),1.0)</f>
        <v>1</v>
      </c>
      <c r="O901" s="49"/>
      <c r="P901" s="49" t="str">
        <f>IFERROR(__xludf.DUMMYFUNCTION("""COMPUTED_VALUE"""),"Offset")</f>
        <v>Offset</v>
      </c>
      <c r="Q901" s="49" t="str">
        <f>IFERROR(__xludf.DUMMYFUNCTION("""COMPUTED_VALUE"""),"Packaging")</f>
        <v>Packaging</v>
      </c>
      <c r="R901" s="49" t="str">
        <f>IFERROR(__xludf.DUMMYFUNCTION("""COMPUTED_VALUE"""),"Electricity")</f>
        <v>Electricity</v>
      </c>
    </row>
    <row r="902">
      <c r="A902" s="156" t="str">
        <f>IFERROR(__xludf.DUMMYFUNCTION("""COMPUTED_VALUE"""),"https://drive.google.com/open?id=1RrfqkkFkbHFjpoXf2FvPV0gcRgmAR9rY&amp;usp=drive_fs")</f>
        <v>https://drive.google.com/open?id=1RrfqkkFkbHFjpoXf2FvPV0gcRgmAR9rY&amp;usp=drive_fs</v>
      </c>
      <c r="B902" s="73" t="str">
        <f>IFERROR(__xludf.DUMMYFUNCTION("""COMPUTED_VALUE"""),"Electricity")</f>
        <v>Electricity</v>
      </c>
      <c r="C902" s="73" t="str">
        <f>IFERROR(__xludf.DUMMYFUNCTION("""COMPUTED_VALUE"""),"Dimmer")</f>
        <v>Dimmer</v>
      </c>
      <c r="D902" s="73" t="str">
        <f>IFERROR(__xludf.DUMMYFUNCTION("""COMPUTED_VALUE"""),"90*67*55 mm | 3.5*2.6*2.2 inch LB")</f>
        <v>90*67*55 mm | 3.5*2.6*2.2 inch LB</v>
      </c>
      <c r="E902" s="77">
        <f>IFERROR(__xludf.DUMMYFUNCTION("""COMPUTED_VALUE"""),6.0)</f>
        <v>6</v>
      </c>
      <c r="F902" s="77">
        <f>IFERROR(__xludf.DUMMYFUNCTION("""COMPUTED_VALUE"""),1926.0)</f>
        <v>1926</v>
      </c>
      <c r="G902" s="77">
        <f>IFERROR(__xludf.DUMMYFUNCTION("""COMPUTED_VALUE"""),19.0)</f>
        <v>19</v>
      </c>
      <c r="H902" s="77">
        <f>IFERROR(__xludf.DUMMYFUNCTION("""COMPUTED_VALUE"""),26.0)</f>
        <v>26</v>
      </c>
      <c r="I902" s="77">
        <f>IFERROR(__xludf.DUMMYFUNCTION("""COMPUTED_VALUE"""),100.0)</f>
        <v>100</v>
      </c>
      <c r="J902" s="73"/>
      <c r="K902" s="73"/>
      <c r="L902" s="73"/>
      <c r="M902" s="77">
        <f>IFERROR(__xludf.DUMMYFUNCTION("""COMPUTED_VALUE"""),0.22)</f>
        <v>0.22</v>
      </c>
      <c r="N902" s="77">
        <f>IFERROR(__xludf.DUMMYFUNCTION("""COMPUTED_VALUE"""),1.0)</f>
        <v>1</v>
      </c>
      <c r="O902" s="49"/>
      <c r="P902" s="49" t="str">
        <f>IFERROR(__xludf.DUMMYFUNCTION("""COMPUTED_VALUE"""),"Offset")</f>
        <v>Offset</v>
      </c>
      <c r="Q902" s="49" t="str">
        <f>IFERROR(__xludf.DUMMYFUNCTION("""COMPUTED_VALUE"""),"Packaging")</f>
        <v>Packaging</v>
      </c>
      <c r="R902" s="49" t="str">
        <f>IFERROR(__xludf.DUMMYFUNCTION("""COMPUTED_VALUE"""),"Electricity")</f>
        <v>Electricity</v>
      </c>
    </row>
    <row r="903">
      <c r="A903" s="156" t="str">
        <f>IFERROR(__xludf.DUMMYFUNCTION("""COMPUTED_VALUE"""),"https://drive.google.com/open?id=1Rs-9sFnmtf-dXsZczfgDuj2I4ZR9B15L&amp;usp=drive_fs")</f>
        <v>https://drive.google.com/open?id=1Rs-9sFnmtf-dXsZczfgDuj2I4ZR9B15L&amp;usp=drive_fs</v>
      </c>
      <c r="B903" s="73" t="str">
        <f>IFERROR(__xludf.DUMMYFUNCTION("""COMPUTED_VALUE"""),"Electricity")</f>
        <v>Electricity</v>
      </c>
      <c r="C903" s="73" t="str">
        <f>IFERROR(__xludf.DUMMYFUNCTION("""COMPUTED_VALUE"""),"Switch")</f>
        <v>Switch</v>
      </c>
      <c r="D903" s="73" t="str">
        <f>IFERROR(__xludf.DUMMYFUNCTION("""COMPUTED_VALUE"""),"90*45*55 mm | 3.5*1.8*2.1 inch LB")</f>
        <v>90*45*55 mm | 3.5*1.8*2.1 inch LB</v>
      </c>
      <c r="E903" s="77">
        <f>IFERROR(__xludf.DUMMYFUNCTION("""COMPUTED_VALUE"""),8.0)</f>
        <v>8</v>
      </c>
      <c r="F903" s="77">
        <f>IFERROR(__xludf.DUMMYFUNCTION("""COMPUTED_VALUE"""),1926.0)</f>
        <v>1926</v>
      </c>
      <c r="G903" s="77">
        <f>IFERROR(__xludf.DUMMYFUNCTION("""COMPUTED_VALUE"""),19.5)</f>
        <v>19.5</v>
      </c>
      <c r="H903" s="77">
        <f>IFERROR(__xludf.DUMMYFUNCTION("""COMPUTED_VALUE"""),23.0)</f>
        <v>23</v>
      </c>
      <c r="I903" s="77">
        <f>IFERROR(__xludf.DUMMYFUNCTION("""COMPUTED_VALUE"""),100.0)</f>
        <v>100</v>
      </c>
      <c r="J903" s="73"/>
      <c r="K903" s="73"/>
      <c r="L903" s="73"/>
      <c r="M903" s="77">
        <f>IFERROR(__xludf.DUMMYFUNCTION("""COMPUTED_VALUE"""),0.22)</f>
        <v>0.22</v>
      </c>
      <c r="N903" s="77">
        <f>IFERROR(__xludf.DUMMYFUNCTION("""COMPUTED_VALUE"""),1.0)</f>
        <v>1</v>
      </c>
      <c r="O903" s="49"/>
      <c r="P903" s="49" t="str">
        <f>IFERROR(__xludf.DUMMYFUNCTION("""COMPUTED_VALUE"""),"Offset")</f>
        <v>Offset</v>
      </c>
      <c r="Q903" s="49" t="str">
        <f>IFERROR(__xludf.DUMMYFUNCTION("""COMPUTED_VALUE"""),"Packaging")</f>
        <v>Packaging</v>
      </c>
      <c r="R903" s="49" t="str">
        <f>IFERROR(__xludf.DUMMYFUNCTION("""COMPUTED_VALUE"""),"Electricity")</f>
        <v>Electricity</v>
      </c>
    </row>
    <row r="904">
      <c r="A904" s="156" t="str">
        <f>IFERROR(__xludf.DUMMYFUNCTION("""COMPUTED_VALUE"""),"https://drive.google.com/open?id=1Rs-_WjB0WhkdTKJ91s9d5cBi-JLVo1iJ&amp;usp=drive_fs")</f>
        <v>https://drive.google.com/open?id=1Rs-_WjB0WhkdTKJ91s9d5cBi-JLVo1iJ&amp;usp=drive_fs</v>
      </c>
      <c r="B904" s="73" t="str">
        <f>IFERROR(__xludf.DUMMYFUNCTION("""COMPUTED_VALUE"""),"Electricity")</f>
        <v>Electricity</v>
      </c>
      <c r="C904" s="73" t="str">
        <f>IFERROR(__xludf.DUMMYFUNCTION("""COMPUTED_VALUE"""),"Dimmer")</f>
        <v>Dimmer</v>
      </c>
      <c r="D904" s="73" t="str">
        <f>IFERROR(__xludf.DUMMYFUNCTION("""COMPUTED_VALUE"""),"340*95*60 mm | 13.4*3.7*2.4 inch LB")</f>
        <v>340*95*60 mm | 13.4*3.7*2.4 inch LB</v>
      </c>
      <c r="E904" s="77">
        <f>IFERROR(__xludf.DUMMYFUNCTION("""COMPUTED_VALUE"""),3.0)</f>
        <v>3</v>
      </c>
      <c r="F904" s="77">
        <f>IFERROR(__xludf.DUMMYFUNCTION("""COMPUTED_VALUE"""),2840.0)</f>
        <v>2840</v>
      </c>
      <c r="G904" s="77">
        <f>IFERROR(__xludf.DUMMYFUNCTION("""COMPUTED_VALUE"""),26.0)</f>
        <v>26</v>
      </c>
      <c r="H904" s="77">
        <f>IFERROR(__xludf.DUMMYFUNCTION("""COMPUTED_VALUE"""),38.0)</f>
        <v>38</v>
      </c>
      <c r="I904" s="77">
        <f>IFERROR(__xludf.DUMMYFUNCTION("""COMPUTED_VALUE"""),100.0)</f>
        <v>100</v>
      </c>
      <c r="J904" s="73"/>
      <c r="K904" s="73"/>
      <c r="L904" s="73"/>
      <c r="M904" s="77">
        <f>IFERROR(__xludf.DUMMYFUNCTION("""COMPUTED_VALUE"""),0.27)</f>
        <v>0.27</v>
      </c>
      <c r="N904" s="77">
        <f>IFERROR(__xludf.DUMMYFUNCTION("""COMPUTED_VALUE"""),1.0)</f>
        <v>1</v>
      </c>
      <c r="O904" s="49"/>
      <c r="P904" s="49" t="str">
        <f>IFERROR(__xludf.DUMMYFUNCTION("""COMPUTED_VALUE"""),"Offset")</f>
        <v>Offset</v>
      </c>
      <c r="Q904" s="49" t="str">
        <f>IFERROR(__xludf.DUMMYFUNCTION("""COMPUTED_VALUE"""),"Packaging")</f>
        <v>Packaging</v>
      </c>
      <c r="R904" s="49" t="str">
        <f>IFERROR(__xludf.DUMMYFUNCTION("""COMPUTED_VALUE"""),"Electricity")</f>
        <v>Electricity</v>
      </c>
    </row>
    <row r="905">
      <c r="A905" s="156" t="str">
        <f>IFERROR(__xludf.DUMMYFUNCTION("""COMPUTED_VALUE"""),"https://drive.google.com/open?id=1RsB1tP83fjMbHhbIQsUi5acZKYiTRESC&amp;usp=drive_fs")</f>
        <v>https://drive.google.com/open?id=1RsB1tP83fjMbHhbIQsUi5acZKYiTRESC&amp;usp=drive_fs</v>
      </c>
      <c r="B905" s="73" t="str">
        <f>IFERROR(__xludf.DUMMYFUNCTION("""COMPUTED_VALUE"""),"Electricity")</f>
        <v>Electricity</v>
      </c>
      <c r="C905" s="73" t="str">
        <f>IFERROR(__xludf.DUMMYFUNCTION("""COMPUTED_VALUE"""),"Switch")</f>
        <v>Switch</v>
      </c>
      <c r="D905" s="73" t="str">
        <f>IFERROR(__xludf.DUMMYFUNCTION("""COMPUTED_VALUE"""),"230*95*60 mm | 9*3.74*2.4 inch LB")</f>
        <v>230*95*60 mm | 9*3.74*2.4 inch LB</v>
      </c>
      <c r="E905" s="77">
        <f>IFERROR(__xludf.DUMMYFUNCTION("""COMPUTED_VALUE"""),3.0)</f>
        <v>3</v>
      </c>
      <c r="F905" s="77">
        <f>IFERROR(__xludf.DUMMYFUNCTION("""COMPUTED_VALUE"""),2840.0)</f>
        <v>2840</v>
      </c>
      <c r="G905" s="77">
        <f>IFERROR(__xludf.DUMMYFUNCTION("""COMPUTED_VALUE"""),25.0)</f>
        <v>25</v>
      </c>
      <c r="H905" s="77">
        <f>IFERROR(__xludf.DUMMYFUNCTION("""COMPUTED_VALUE"""),30.0)</f>
        <v>30</v>
      </c>
      <c r="I905" s="77">
        <f>IFERROR(__xludf.DUMMYFUNCTION("""COMPUTED_VALUE"""),100.0)</f>
        <v>100</v>
      </c>
      <c r="J905" s="73"/>
      <c r="K905" s="73"/>
      <c r="L905" s="73"/>
      <c r="M905" s="77">
        <f>IFERROR(__xludf.DUMMYFUNCTION("""COMPUTED_VALUE"""),0.27)</f>
        <v>0.27</v>
      </c>
      <c r="N905" s="77">
        <f>IFERROR(__xludf.DUMMYFUNCTION("""COMPUTED_VALUE"""),1.0)</f>
        <v>1</v>
      </c>
      <c r="O905" s="49"/>
      <c r="P905" s="49" t="str">
        <f>IFERROR(__xludf.DUMMYFUNCTION("""COMPUTED_VALUE"""),"Offset")</f>
        <v>Offset</v>
      </c>
      <c r="Q905" s="49" t="str">
        <f>IFERROR(__xludf.DUMMYFUNCTION("""COMPUTED_VALUE"""),"Packaging")</f>
        <v>Packaging</v>
      </c>
      <c r="R905" s="49" t="str">
        <f>IFERROR(__xludf.DUMMYFUNCTION("""COMPUTED_VALUE"""),"Electricity")</f>
        <v>Electricity</v>
      </c>
    </row>
    <row r="906">
      <c r="A906" s="156" t="str">
        <f>IFERROR(__xludf.DUMMYFUNCTION("""COMPUTED_VALUE"""),"https://drive.google.com/open?id=1S3gbjo6H7S_hvMv4SjJhqEvdI325SuWv&amp;usp=drive_fs")</f>
        <v>https://drive.google.com/open?id=1S3gbjo6H7S_hvMv4SjJhqEvdI325SuWv&amp;usp=drive_fs</v>
      </c>
      <c r="B906" s="73" t="str">
        <f>IFERROR(__xludf.DUMMYFUNCTION("""COMPUTED_VALUE"""),"Electricity")</f>
        <v>Electricity</v>
      </c>
      <c r="C906" s="73" t="str">
        <f>IFERROR(__xludf.DUMMYFUNCTION("""COMPUTED_VALUE"""),"Outer Box")</f>
        <v>Outer Box</v>
      </c>
      <c r="D906" s="73" t="str">
        <f>IFERROR(__xludf.DUMMYFUNCTION("""COMPUTED_VALUE"""),"18M 230*220*105 mm | 9*8.6*4.1 inch | 22*37")</f>
        <v>18M 230*220*105 mm | 9*8.6*4.1 inch | 22*37</v>
      </c>
      <c r="E906" s="77">
        <f>IFERROR(__xludf.DUMMYFUNCTION("""COMPUTED_VALUE"""),1.0)</f>
        <v>1</v>
      </c>
      <c r="F906" s="77">
        <f>IFERROR(__xludf.DUMMYFUNCTION("""COMPUTED_VALUE"""),2840.0)</f>
        <v>2840</v>
      </c>
      <c r="G906" s="77">
        <f>IFERROR(__xludf.DUMMYFUNCTION("""COMPUTED_VALUE"""),22.0)</f>
        <v>22</v>
      </c>
      <c r="H906" s="77">
        <f>IFERROR(__xludf.DUMMYFUNCTION("""COMPUTED_VALUE"""),37.0)</f>
        <v>37</v>
      </c>
      <c r="I906" s="77">
        <f>IFERROR(__xludf.DUMMYFUNCTION("""COMPUTED_VALUE"""),100.0)</f>
        <v>100</v>
      </c>
      <c r="J906" s="73"/>
      <c r="K906" s="73"/>
      <c r="L906" s="73"/>
      <c r="M906" s="77">
        <f>IFERROR(__xludf.DUMMYFUNCTION("""COMPUTED_VALUE"""),0.15)</f>
        <v>0.15</v>
      </c>
      <c r="N906" s="77">
        <f>IFERROR(__xludf.DUMMYFUNCTION("""COMPUTED_VALUE"""),1.0)</f>
        <v>1</v>
      </c>
      <c r="O906" s="49"/>
      <c r="P906" s="49" t="str">
        <f>IFERROR(__xludf.DUMMYFUNCTION("""COMPUTED_VALUE"""),"Offset")</f>
        <v>Offset</v>
      </c>
      <c r="Q906" s="49" t="str">
        <f>IFERROR(__xludf.DUMMYFUNCTION("""COMPUTED_VALUE"""),"Packaging")</f>
        <v>Packaging</v>
      </c>
      <c r="R906" s="49" t="str">
        <f>IFERROR(__xludf.DUMMYFUNCTION("""COMPUTED_VALUE"""),"Electricity")</f>
        <v>Electricity</v>
      </c>
    </row>
    <row r="907">
      <c r="A907" s="156" t="str">
        <f>IFERROR(__xludf.DUMMYFUNCTION("""COMPUTED_VALUE"""),"https://drive.google.com/open?id=1S4nzrjrqiOVoPsggpmtLxz4IGadZ4DCK&amp;usp=drive_fs")</f>
        <v>https://drive.google.com/open?id=1S4nzrjrqiOVoPsggpmtLxz4IGadZ4DCK&amp;usp=drive_fs</v>
      </c>
      <c r="B907" s="73" t="str">
        <f>IFERROR(__xludf.DUMMYFUNCTION("""COMPUTED_VALUE"""),"Electricity")</f>
        <v>Electricity</v>
      </c>
      <c r="C907" s="73" t="str">
        <f>IFERROR(__xludf.DUMMYFUNCTION("""COMPUTED_VALUE"""),"Outer Box")</f>
        <v>Outer Box</v>
      </c>
      <c r="D907" s="73" t="str">
        <f>IFERROR(__xludf.DUMMYFUNCTION("""COMPUTED_VALUE"""),"12M 230*165*105 mm | 9*6.5*4.1 inch | 26*32 ")</f>
        <v>12M 230*165*105 mm | 9*6.5*4.1 inch | 26*32 </v>
      </c>
      <c r="E907" s="77">
        <f>IFERROR(__xludf.DUMMYFUNCTION("""COMPUTED_VALUE"""),2.0)</f>
        <v>2</v>
      </c>
      <c r="F907" s="77">
        <f>IFERROR(__xludf.DUMMYFUNCTION("""COMPUTED_VALUE"""),2840.0)</f>
        <v>2840</v>
      </c>
      <c r="G907" s="77">
        <f>IFERROR(__xludf.DUMMYFUNCTION("""COMPUTED_VALUE"""),26.0)</f>
        <v>26</v>
      </c>
      <c r="H907" s="77">
        <f>IFERROR(__xludf.DUMMYFUNCTION("""COMPUTED_VALUE"""),32.0)</f>
        <v>32</v>
      </c>
      <c r="I907" s="77">
        <f>IFERROR(__xludf.DUMMYFUNCTION("""COMPUTED_VALUE"""),100.0)</f>
        <v>100</v>
      </c>
      <c r="J907" s="73"/>
      <c r="K907" s="73"/>
      <c r="L907" s="73"/>
      <c r="M907" s="77">
        <f>IFERROR(__xludf.DUMMYFUNCTION("""COMPUTED_VALUE"""),0.15)</f>
        <v>0.15</v>
      </c>
      <c r="N907" s="77">
        <f>IFERROR(__xludf.DUMMYFUNCTION("""COMPUTED_VALUE"""),1.0)</f>
        <v>1</v>
      </c>
      <c r="O907" s="49"/>
      <c r="P907" s="49" t="str">
        <f>IFERROR(__xludf.DUMMYFUNCTION("""COMPUTED_VALUE"""),"Offset")</f>
        <v>Offset</v>
      </c>
      <c r="Q907" s="49" t="str">
        <f>IFERROR(__xludf.DUMMYFUNCTION("""COMPUTED_VALUE"""),"Packaging")</f>
        <v>Packaging</v>
      </c>
      <c r="R907" s="49" t="str">
        <f>IFERROR(__xludf.DUMMYFUNCTION("""COMPUTED_VALUE"""),"Electricity")</f>
        <v>Electricity</v>
      </c>
    </row>
    <row r="908">
      <c r="A908" s="156" t="str">
        <f>IFERROR(__xludf.DUMMYFUNCTION("""COMPUTED_VALUE"""),"https://drive.google.com/open?id=1SA7pBKUOmHsbmdvYuSXg11A6__EUHbwV&amp;usp=drive_fs")</f>
        <v>https://drive.google.com/open?id=1SA7pBKUOmHsbmdvYuSXg11A6__EUHbwV&amp;usp=drive_fs</v>
      </c>
      <c r="B908" s="73" t="str">
        <f>IFERROR(__xludf.DUMMYFUNCTION("""COMPUTED_VALUE"""),"Electricity")</f>
        <v>Electricity</v>
      </c>
      <c r="C908" s="73" t="str">
        <f>IFERROR(__xludf.DUMMYFUNCTION("""COMPUTED_VALUE"""),"Outer Box")</f>
        <v>Outer Box</v>
      </c>
      <c r="D908" s="73" t="str">
        <f>IFERROR(__xludf.DUMMYFUNCTION("""COMPUTED_VALUE"""),"8M 270*105*100 mm | 10.6*4.1*4 inch | 22*32")</f>
        <v>8M 270*105*100 mm | 10.6*4.1*4 inch | 22*32</v>
      </c>
      <c r="E908" s="77">
        <f>IFERROR(__xludf.DUMMYFUNCTION("""COMPUTED_VALUE"""),2.0)</f>
        <v>2</v>
      </c>
      <c r="F908" s="77">
        <f>IFERROR(__xludf.DUMMYFUNCTION("""COMPUTED_VALUE"""),2840.0)</f>
        <v>2840</v>
      </c>
      <c r="G908" s="77">
        <f>IFERROR(__xludf.DUMMYFUNCTION("""COMPUTED_VALUE"""),22.0)</f>
        <v>22</v>
      </c>
      <c r="H908" s="77">
        <f>IFERROR(__xludf.DUMMYFUNCTION("""COMPUTED_VALUE"""),31.0)</f>
        <v>31</v>
      </c>
      <c r="I908" s="77">
        <f>IFERROR(__xludf.DUMMYFUNCTION("""COMPUTED_VALUE"""),100.0)</f>
        <v>100</v>
      </c>
      <c r="J908" s="73"/>
      <c r="K908" s="73"/>
      <c r="L908" s="73"/>
      <c r="M908" s="77">
        <f>IFERROR(__xludf.DUMMYFUNCTION("""COMPUTED_VALUE"""),0.15)</f>
        <v>0.15</v>
      </c>
      <c r="N908" s="77">
        <f>IFERROR(__xludf.DUMMYFUNCTION("""COMPUTED_VALUE"""),1.0)</f>
        <v>1</v>
      </c>
      <c r="O908" s="49"/>
      <c r="P908" s="49" t="str">
        <f>IFERROR(__xludf.DUMMYFUNCTION("""COMPUTED_VALUE"""),"Offset")</f>
        <v>Offset</v>
      </c>
      <c r="Q908" s="49" t="str">
        <f>IFERROR(__xludf.DUMMYFUNCTION("""COMPUTED_VALUE"""),"Packaging")</f>
        <v>Packaging</v>
      </c>
      <c r="R908" s="49" t="str">
        <f>IFERROR(__xludf.DUMMYFUNCTION("""COMPUTED_VALUE"""),"Electricity")</f>
        <v>Electricity</v>
      </c>
    </row>
    <row r="909">
      <c r="A909" s="156" t="str">
        <f>IFERROR(__xludf.DUMMYFUNCTION("""COMPUTED_VALUE"""),"https://drive.google.com/open?id=1SDJypEYfvIJSFlJ4vR6WsXAS5Pj5eAST&amp;usp=drive_fs")</f>
        <v>https://drive.google.com/open?id=1SDJypEYfvIJSFlJ4vR6WsXAS5Pj5eAST&amp;usp=drive_fs</v>
      </c>
      <c r="B909" s="73" t="str">
        <f>IFERROR(__xludf.DUMMYFUNCTION("""COMPUTED_VALUE"""),"Electricity")</f>
        <v>Electricity</v>
      </c>
      <c r="C909" s="73" t="str">
        <f>IFERROR(__xludf.DUMMYFUNCTION("""COMPUTED_VALUE"""),"Outer Box")</f>
        <v>Outer Box</v>
      </c>
      <c r="D909" s="73" t="str">
        <f>IFERROR(__xludf.DUMMYFUNCTION("""COMPUTED_VALUE"""),"6M 230*105*100 mm |  9*4.1*4 inch | 22*28")</f>
        <v>6M 230*105*100 mm |  9*4.1*4 inch | 22*28</v>
      </c>
      <c r="E909" s="77">
        <f>IFERROR(__xludf.DUMMYFUNCTION("""COMPUTED_VALUE"""),2.0)</f>
        <v>2</v>
      </c>
      <c r="F909" s="77">
        <f>IFERROR(__xludf.DUMMYFUNCTION("""COMPUTED_VALUE"""),2840.0)</f>
        <v>2840</v>
      </c>
      <c r="G909" s="77">
        <f>IFERROR(__xludf.DUMMYFUNCTION("""COMPUTED_VALUE"""),22.0)</f>
        <v>22</v>
      </c>
      <c r="H909" s="77">
        <f>IFERROR(__xludf.DUMMYFUNCTION("""COMPUTED_VALUE"""),28.0)</f>
        <v>28</v>
      </c>
      <c r="I909" s="77">
        <f>IFERROR(__xludf.DUMMYFUNCTION("""COMPUTED_VALUE"""),100.0)</f>
        <v>100</v>
      </c>
      <c r="J909" s="73"/>
      <c r="K909" s="73"/>
      <c r="L909" s="73"/>
      <c r="M909" s="77">
        <f>IFERROR(__xludf.DUMMYFUNCTION("""COMPUTED_VALUE"""),0.15)</f>
        <v>0.15</v>
      </c>
      <c r="N909" s="77">
        <f>IFERROR(__xludf.DUMMYFUNCTION("""COMPUTED_VALUE"""),1.0)</f>
        <v>1</v>
      </c>
      <c r="O909" s="49"/>
      <c r="P909" s="49" t="str">
        <f>IFERROR(__xludf.DUMMYFUNCTION("""COMPUTED_VALUE"""),"Offset")</f>
        <v>Offset</v>
      </c>
      <c r="Q909" s="49" t="str">
        <f>IFERROR(__xludf.DUMMYFUNCTION("""COMPUTED_VALUE"""),"Packaging")</f>
        <v>Packaging</v>
      </c>
      <c r="R909" s="49" t="str">
        <f>IFERROR(__xludf.DUMMYFUNCTION("""COMPUTED_VALUE"""),"Electricity")</f>
        <v>Electricity</v>
      </c>
    </row>
    <row r="910">
      <c r="A910" s="156" t="str">
        <f>IFERROR(__xludf.DUMMYFUNCTION("""COMPUTED_VALUE"""),"https://drive.google.com/open?id=1SFTmrq_nk6FAgnaHFIwvZrUp0IrljROy&amp;usp=drive_fs")</f>
        <v>https://drive.google.com/open?id=1SFTmrq_nk6FAgnaHFIwvZrUp0IrljROy&amp;usp=drive_fs</v>
      </c>
      <c r="B910" s="73" t="str">
        <f>IFERROR(__xludf.DUMMYFUNCTION("""COMPUTED_VALUE"""),"Electricity")</f>
        <v>Electricity</v>
      </c>
      <c r="C910" s="73" t="str">
        <f>IFERROR(__xludf.DUMMYFUNCTION("""COMPUTED_VALUE"""),"Outer Box")</f>
        <v>Outer Box</v>
      </c>
      <c r="D910" s="73" t="str">
        <f>IFERROR(__xludf.DUMMYFUNCTION("""COMPUTED_VALUE"""),"1&amp;2 M 105*105*100 mm |  4.1*4.1*4 inch | 22*1")</f>
        <v>1&amp;2 M 105*105*100 mm |  4.1*4.1*4 inch | 22*1</v>
      </c>
      <c r="E910" s="77">
        <f>IFERROR(__xludf.DUMMYFUNCTION("""COMPUTED_VALUE"""),2.0)</f>
        <v>2</v>
      </c>
      <c r="F910" s="77">
        <f>IFERROR(__xludf.DUMMYFUNCTION("""COMPUTED_VALUE"""),2840.0)</f>
        <v>2840</v>
      </c>
      <c r="G910" s="77">
        <f>IFERROR(__xludf.DUMMYFUNCTION("""COMPUTED_VALUE"""),22.0)</f>
        <v>22</v>
      </c>
      <c r="H910" s="77">
        <f>IFERROR(__xludf.DUMMYFUNCTION("""COMPUTED_VALUE"""),18.0)</f>
        <v>18</v>
      </c>
      <c r="I910" s="77">
        <f>IFERROR(__xludf.DUMMYFUNCTION("""COMPUTED_VALUE"""),100.0)</f>
        <v>100</v>
      </c>
      <c r="J910" s="73"/>
      <c r="K910" s="73"/>
      <c r="L910" s="73"/>
      <c r="M910" s="77">
        <f>IFERROR(__xludf.DUMMYFUNCTION("""COMPUTED_VALUE"""),0.15)</f>
        <v>0.15</v>
      </c>
      <c r="N910" s="77">
        <f>IFERROR(__xludf.DUMMYFUNCTION("""COMPUTED_VALUE"""),1.0)</f>
        <v>1</v>
      </c>
      <c r="O910" s="49"/>
      <c r="P910" s="49" t="str">
        <f>IFERROR(__xludf.DUMMYFUNCTION("""COMPUTED_VALUE"""),"Offset")</f>
        <v>Offset</v>
      </c>
      <c r="Q910" s="49" t="str">
        <f>IFERROR(__xludf.DUMMYFUNCTION("""COMPUTED_VALUE"""),"Packaging")</f>
        <v>Packaging</v>
      </c>
      <c r="R910" s="49" t="str">
        <f>IFERROR(__xludf.DUMMYFUNCTION("""COMPUTED_VALUE"""),"Electricity")</f>
        <v>Electricity</v>
      </c>
    </row>
    <row r="911">
      <c r="A911" s="156" t="str">
        <f>IFERROR(__xludf.DUMMYFUNCTION("""COMPUTED_VALUE"""),"https://drive.google.com/open?id=1cJwjEUbIvXy8cVkjf9mHhP9-zyvqhxzp&amp;usp=drive_fs")</f>
        <v>https://drive.google.com/open?id=1cJwjEUbIvXy8cVkjf9mHhP9-zyvqhxzp&amp;usp=drive_fs</v>
      </c>
      <c r="B911" s="73" t="str">
        <f>IFERROR(__xludf.DUMMYFUNCTION("""COMPUTED_VALUE"""),"Electricity")</f>
        <v>Electricity</v>
      </c>
      <c r="C911" s="73" t="str">
        <f>IFERROR(__xludf.DUMMYFUNCTION("""COMPUTED_VALUE"""),"Coolnut")</f>
        <v>Coolnut</v>
      </c>
      <c r="D911" s="73" t="str">
        <f>IFERROR(__xludf.DUMMYFUNCTION("""COMPUTED_VALUE"""),"95*50*182 mm | 3.7*2*7.1 inch IL")</f>
        <v>95*50*182 mm | 3.7*2*7.1 inch IL</v>
      </c>
      <c r="E911" s="77">
        <f>IFERROR(__xludf.DUMMYFUNCTION("""COMPUTED_VALUE"""),2.0)</f>
        <v>2</v>
      </c>
      <c r="F911" s="77">
        <f>IFERROR(__xludf.DUMMYFUNCTION("""COMPUTED_VALUE"""),1926.0)</f>
        <v>1926</v>
      </c>
      <c r="G911" s="77">
        <f>IFERROR(__xludf.DUMMYFUNCTION("""COMPUTED_VALUE"""),14.0)</f>
        <v>14</v>
      </c>
      <c r="H911" s="77">
        <f>IFERROR(__xludf.DUMMYFUNCTION("""COMPUTED_VALUE"""),22.0)</f>
        <v>22</v>
      </c>
      <c r="I911" s="77">
        <f>IFERROR(__xludf.DUMMYFUNCTION("""COMPUTED_VALUE"""),100.0)</f>
        <v>100</v>
      </c>
      <c r="J911" s="73"/>
      <c r="K911" s="73"/>
      <c r="L911" s="73"/>
      <c r="M911" s="77">
        <f>IFERROR(__xludf.DUMMYFUNCTION("""COMPUTED_VALUE"""),0.1)</f>
        <v>0.1</v>
      </c>
      <c r="N911" s="77">
        <f>IFERROR(__xludf.DUMMYFUNCTION("""COMPUTED_VALUE"""),1.0)</f>
        <v>1</v>
      </c>
      <c r="O911" s="49"/>
      <c r="P911" s="49" t="str">
        <f>IFERROR(__xludf.DUMMYFUNCTION("""COMPUTED_VALUE"""),"Offset")</f>
        <v>Offset</v>
      </c>
      <c r="Q911" s="49" t="str">
        <f>IFERROR(__xludf.DUMMYFUNCTION("""COMPUTED_VALUE"""),"Packaging")</f>
        <v>Packaging</v>
      </c>
      <c r="R911" s="49" t="str">
        <f>IFERROR(__xludf.DUMMYFUNCTION("""COMPUTED_VALUE"""),"Electricity")</f>
        <v>Electricity</v>
      </c>
    </row>
    <row r="912">
      <c r="A912" s="156" t="str">
        <f>IFERROR(__xludf.DUMMYFUNCTION("""COMPUTED_VALUE"""),"https://drive.google.com/open?id=1-HGkZFWVfEU28-aDIRnakrFbMJpUL1Jp&amp;usp=drive_fs")</f>
        <v>https://drive.google.com/open?id=1-HGkZFWVfEU28-aDIRnakrFbMJpUL1Jp&amp;usp=drive_fs</v>
      </c>
      <c r="B912" s="73" t="str">
        <f>IFERROR(__xludf.DUMMYFUNCTION("""COMPUTED_VALUE"""),"Electricity")</f>
        <v>Electricity</v>
      </c>
      <c r="C912" s="73" t="str">
        <f>IFERROR(__xludf.DUMMYFUNCTION("""COMPUTED_VALUE"""),"Misc")</f>
        <v>Misc</v>
      </c>
      <c r="D912" s="73" t="str">
        <f>IFERROR(__xludf.DUMMYFUNCTION("""COMPUTED_VALUE"""),"72*38*98 mm | 2.8*1.5*3.8 inch")</f>
        <v>72*38*98 mm | 2.8*1.5*3.8 inch</v>
      </c>
      <c r="E912" s="77">
        <f>IFERROR(__xludf.DUMMYFUNCTION("""COMPUTED_VALUE"""),4.0)</f>
        <v>4</v>
      </c>
      <c r="F912" s="77">
        <f>IFERROR(__xludf.DUMMYFUNCTION("""COMPUTED_VALUE"""),1926.0)</f>
        <v>1926</v>
      </c>
      <c r="G912" s="77">
        <f>IFERROR(__xludf.DUMMYFUNCTION("""COMPUTED_VALUE"""),14.0)</f>
        <v>14</v>
      </c>
      <c r="H912" s="77">
        <f>IFERROR(__xludf.DUMMYFUNCTION("""COMPUTED_VALUE"""),22.0)</f>
        <v>22</v>
      </c>
      <c r="I912" s="77">
        <f>IFERROR(__xludf.DUMMYFUNCTION("""COMPUTED_VALUE"""),100.0)</f>
        <v>100</v>
      </c>
      <c r="J912" s="73"/>
      <c r="K912" s="73"/>
      <c r="L912" s="73"/>
      <c r="M912" s="77">
        <f>IFERROR(__xludf.DUMMYFUNCTION("""COMPUTED_VALUE"""),0.1)</f>
        <v>0.1</v>
      </c>
      <c r="N912" s="77">
        <f>IFERROR(__xludf.DUMMYFUNCTION("""COMPUTED_VALUE"""),1.0)</f>
        <v>1</v>
      </c>
      <c r="O912" s="49"/>
      <c r="P912" s="49" t="str">
        <f>IFERROR(__xludf.DUMMYFUNCTION("""COMPUTED_VALUE"""),"Offset")</f>
        <v>Offset</v>
      </c>
      <c r="Q912" s="49" t="str">
        <f>IFERROR(__xludf.DUMMYFUNCTION("""COMPUTED_VALUE"""),"Packaging")</f>
        <v>Packaging</v>
      </c>
      <c r="R912" s="49" t="str">
        <f>IFERROR(__xludf.DUMMYFUNCTION("""COMPUTED_VALUE"""),"Electricity")</f>
        <v>Electricity</v>
      </c>
    </row>
    <row r="913">
      <c r="A913" s="156" t="str">
        <f>IFERROR(__xludf.DUMMYFUNCTION("""COMPUTED_VALUE"""),"https://drive.google.com/open?id=10d8qLayMZG95wa_WsckR0X9lFS1GS3yB&amp;usp=drive_fs")</f>
        <v>https://drive.google.com/open?id=10d8qLayMZG95wa_WsckR0X9lFS1GS3yB&amp;usp=drive_fs</v>
      </c>
      <c r="B913" s="73" t="str">
        <f>IFERROR(__xludf.DUMMYFUNCTION("""COMPUTED_VALUE"""),"Electricity")</f>
        <v>Electricity</v>
      </c>
      <c r="C913" s="73" t="str">
        <f>IFERROR(__xludf.DUMMYFUNCTION("""COMPUTED_VALUE"""),"Cable")</f>
        <v>Cable</v>
      </c>
      <c r="D913" s="73" t="str">
        <f>IFERROR(__xludf.DUMMYFUNCTION("""COMPUTED_VALUE"""),"78*18*118 mm | 3*0.7*4.6 inch")</f>
        <v>78*18*118 mm | 3*0.7*4.6 inch</v>
      </c>
      <c r="E913" s="77">
        <f>IFERROR(__xludf.DUMMYFUNCTION("""COMPUTED_VALUE"""),6.0)</f>
        <v>6</v>
      </c>
      <c r="F913" s="77">
        <f>IFERROR(__xludf.DUMMYFUNCTION("""COMPUTED_VALUE"""),1926.0)</f>
        <v>1926</v>
      </c>
      <c r="G913" s="77">
        <f>IFERROR(__xludf.DUMMYFUNCTION("""COMPUTED_VALUE"""),18.0)</f>
        <v>18</v>
      </c>
      <c r="H913" s="77">
        <f>IFERROR(__xludf.DUMMYFUNCTION("""COMPUTED_VALUE"""),23.0)</f>
        <v>23</v>
      </c>
      <c r="I913" s="77">
        <f>IFERROR(__xludf.DUMMYFUNCTION("""COMPUTED_VALUE"""),100.0)</f>
        <v>100</v>
      </c>
      <c r="J913" s="73"/>
      <c r="K913" s="73"/>
      <c r="L913" s="73"/>
      <c r="M913" s="77">
        <f>IFERROR(__xludf.DUMMYFUNCTION("""COMPUTED_VALUE"""),0.1)</f>
        <v>0.1</v>
      </c>
      <c r="N913" s="77">
        <f>IFERROR(__xludf.DUMMYFUNCTION("""COMPUTED_VALUE"""),1.0)</f>
        <v>1</v>
      </c>
      <c r="O913" s="49"/>
      <c r="P913" s="49" t="str">
        <f>IFERROR(__xludf.DUMMYFUNCTION("""COMPUTED_VALUE"""),"Offset")</f>
        <v>Offset</v>
      </c>
      <c r="Q913" s="49" t="str">
        <f>IFERROR(__xludf.DUMMYFUNCTION("""COMPUTED_VALUE"""),"Packaging")</f>
        <v>Packaging</v>
      </c>
      <c r="R913" s="49" t="str">
        <f>IFERROR(__xludf.DUMMYFUNCTION("""COMPUTED_VALUE"""),"Electricity")</f>
        <v>Electricity</v>
      </c>
    </row>
    <row r="914">
      <c r="A914" s="156" t="str">
        <f>IFERROR(__xludf.DUMMYFUNCTION("""COMPUTED_VALUE"""),"https://drive.google.com/open?id=10kkkbl0znzrEV69o7cR5beC4Xi4u0UJ-&amp;usp=drive_fs")</f>
        <v>https://drive.google.com/open?id=10kkkbl0znzrEV69o7cR5beC4Xi4u0UJ-&amp;usp=drive_fs</v>
      </c>
      <c r="B914" s="73" t="str">
        <f>IFERROR(__xludf.DUMMYFUNCTION("""COMPUTED_VALUE"""),"Electricity")</f>
        <v>Electricity</v>
      </c>
      <c r="C914" s="73" t="str">
        <f>IFERROR(__xludf.DUMMYFUNCTION("""COMPUTED_VALUE"""),"Cable")</f>
        <v>Cable</v>
      </c>
      <c r="D914" s="73" t="str">
        <f>IFERROR(__xludf.DUMMYFUNCTION("""COMPUTED_VALUE"""),"Outer 10pcs 78*18*118 mm | 3*0.7*4.6 inch")</f>
        <v>Outer 10pcs 78*18*118 mm | 3*0.7*4.6 inch</v>
      </c>
      <c r="E914" s="77">
        <f>IFERROR(__xludf.DUMMYFUNCTION("""COMPUTED_VALUE"""),2.0)</f>
        <v>2</v>
      </c>
      <c r="F914" s="77">
        <f>IFERROR(__xludf.DUMMYFUNCTION("""COMPUTED_VALUE"""),2029.0)</f>
        <v>2029</v>
      </c>
      <c r="G914" s="77">
        <f>IFERROR(__xludf.DUMMYFUNCTION("""COMPUTED_VALUE"""),20.0)</f>
        <v>20</v>
      </c>
      <c r="H914" s="77">
        <f>IFERROR(__xludf.DUMMYFUNCTION("""COMPUTED_VALUE"""),25.0)</f>
        <v>25</v>
      </c>
      <c r="I914" s="77">
        <f>IFERROR(__xludf.DUMMYFUNCTION("""COMPUTED_VALUE"""),100.0)</f>
        <v>100</v>
      </c>
      <c r="J914" s="73"/>
      <c r="K914" s="73"/>
      <c r="L914" s="73"/>
      <c r="M914" s="77">
        <f>IFERROR(__xludf.DUMMYFUNCTION("""COMPUTED_VALUE"""),0.14)</f>
        <v>0.14</v>
      </c>
      <c r="N914" s="77">
        <f>IFERROR(__xludf.DUMMYFUNCTION("""COMPUTED_VALUE"""),1.0)</f>
        <v>1</v>
      </c>
      <c r="O914" s="49"/>
      <c r="P914" s="49" t="str">
        <f>IFERROR(__xludf.DUMMYFUNCTION("""COMPUTED_VALUE"""),"Offset")</f>
        <v>Offset</v>
      </c>
      <c r="Q914" s="49" t="str">
        <f>IFERROR(__xludf.DUMMYFUNCTION("""COMPUTED_VALUE"""),"Packaging")</f>
        <v>Packaging</v>
      </c>
      <c r="R914" s="49" t="str">
        <f>IFERROR(__xludf.DUMMYFUNCTION("""COMPUTED_VALUE"""),"Electricity")</f>
        <v>Electricity</v>
      </c>
    </row>
    <row r="915">
      <c r="A915" s="156" t="str">
        <f>IFERROR(__xludf.DUMMYFUNCTION("""COMPUTED_VALUE"""),"https://drive.google.com/open?id=1Q96eByObfYzP3WFc2a7m7E_vhaIYua3C&amp;authuser=jay.agg%40gmail.com&amp;usp=drive_fs")</f>
        <v>https://drive.google.com/open?id=1Q96eByObfYzP3WFc2a7m7E_vhaIYua3C&amp;authuser=jay.agg%40gmail.com&amp;usp=drive_fs</v>
      </c>
      <c r="B915" s="73" t="str">
        <f>IFERROR(__xludf.DUMMYFUNCTION("""COMPUTED_VALUE"""),"FMCG")</f>
        <v>FMCG</v>
      </c>
      <c r="C915" s="73" t="str">
        <f>IFERROR(__xludf.DUMMYFUNCTION("""COMPUTED_VALUE"""),"Misc")</f>
        <v>Misc</v>
      </c>
      <c r="D915" s="73" t="str">
        <f>IFERROR(__xludf.DUMMYFUNCTION("""COMPUTED_VALUE"""),"6X7X2 inch")</f>
        <v>6X7X2 inch</v>
      </c>
      <c r="E915" s="77">
        <f>IFERROR(__xludf.DUMMYFUNCTION("""COMPUTED_VALUE"""),3.0)</f>
        <v>3</v>
      </c>
      <c r="F915" s="77">
        <f>IFERROR(__xludf.DUMMYFUNCTION("""COMPUTED_VALUE"""),2029.0)</f>
        <v>2029</v>
      </c>
      <c r="G915" s="77">
        <f>IFERROR(__xludf.DUMMYFUNCTION("""COMPUTED_VALUE"""),20.0)</f>
        <v>20</v>
      </c>
      <c r="H915" s="77">
        <f>IFERROR(__xludf.DUMMYFUNCTION("""COMPUTED_VALUE"""),28.0)</f>
        <v>28</v>
      </c>
      <c r="I915" s="77">
        <f>IFERROR(__xludf.DUMMYFUNCTION("""COMPUTED_VALUE"""),100.0)</f>
        <v>100</v>
      </c>
      <c r="J915" s="73"/>
      <c r="K915" s="73"/>
      <c r="L915" s="73"/>
      <c r="M915" s="77">
        <f>IFERROR(__xludf.DUMMYFUNCTION("""COMPUTED_VALUE"""),0.1)</f>
        <v>0.1</v>
      </c>
      <c r="N915" s="77">
        <f>IFERROR(__xludf.DUMMYFUNCTION("""COMPUTED_VALUE"""),1.0)</f>
        <v>1</v>
      </c>
      <c r="O915" s="49"/>
      <c r="P915" s="49" t="str">
        <f>IFERROR(__xludf.DUMMYFUNCTION("""COMPUTED_VALUE"""),"Offset")</f>
        <v>Offset</v>
      </c>
      <c r="Q915" s="49" t="str">
        <f>IFERROR(__xludf.DUMMYFUNCTION("""COMPUTED_VALUE"""),"Packaging")</f>
        <v>Packaging</v>
      </c>
      <c r="R915" s="49" t="str">
        <f>IFERROR(__xludf.DUMMYFUNCTION("""COMPUTED_VALUE"""),"FMCG")</f>
        <v>FMCG</v>
      </c>
    </row>
    <row r="916">
      <c r="A916" s="156" t="str">
        <f>IFERROR(__xludf.DUMMYFUNCTION("""COMPUTED_VALUE"""),"https://drive.google.com/open?id=1QD0jg_m-r75K3BU_DYlMHBvZaA05oB4C&amp;authuser=jay.agg%40gmail.com&amp;usp=drive_fs")</f>
        <v>https://drive.google.com/open?id=1QD0jg_m-r75K3BU_DYlMHBvZaA05oB4C&amp;authuser=jay.agg%40gmail.com&amp;usp=drive_fs</v>
      </c>
      <c r="B916" s="73" t="str">
        <f>IFERROR(__xludf.DUMMYFUNCTION("""COMPUTED_VALUE"""),"FMCG")</f>
        <v>FMCG</v>
      </c>
      <c r="C916" s="73" t="str">
        <f>IFERROR(__xludf.DUMMYFUNCTION("""COMPUTED_VALUE"""),"Ready to EAT")</f>
        <v>Ready to EAT</v>
      </c>
      <c r="D916" s="73" t="str">
        <f>IFERROR(__xludf.DUMMYFUNCTION("""COMPUTED_VALUE"""),"147*18.5*193 mm")</f>
        <v>147*18.5*193 mm</v>
      </c>
      <c r="E916" s="77">
        <f>IFERROR(__xludf.DUMMYFUNCTION("""COMPUTED_VALUE"""),2.0)</f>
        <v>2</v>
      </c>
      <c r="F916" s="77">
        <f>IFERROR(__xludf.DUMMYFUNCTION("""COMPUTED_VALUE"""),1926.0)</f>
        <v>1926</v>
      </c>
      <c r="G916" s="77">
        <f>IFERROR(__xludf.DUMMYFUNCTION("""COMPUTED_VALUE"""),14.0)</f>
        <v>14</v>
      </c>
      <c r="H916" s="77">
        <f>IFERROR(__xludf.DUMMYFUNCTION("""COMPUTED_VALUE"""),19.0)</f>
        <v>19</v>
      </c>
      <c r="I916" s="77">
        <f>IFERROR(__xludf.DUMMYFUNCTION("""COMPUTED_VALUE"""),100.0)</f>
        <v>100</v>
      </c>
      <c r="J916" s="73"/>
      <c r="K916" s="73"/>
      <c r="L916" s="73"/>
      <c r="M916" s="77">
        <f>IFERROR(__xludf.DUMMYFUNCTION("""COMPUTED_VALUE"""),0.1)</f>
        <v>0.1</v>
      </c>
      <c r="N916" s="77">
        <f>IFERROR(__xludf.DUMMYFUNCTION("""COMPUTED_VALUE"""),1.0)</f>
        <v>1</v>
      </c>
      <c r="O916" s="49"/>
      <c r="P916" s="49" t="str">
        <f>IFERROR(__xludf.DUMMYFUNCTION("""COMPUTED_VALUE"""),"Offset")</f>
        <v>Offset</v>
      </c>
      <c r="Q916" s="49" t="str">
        <f>IFERROR(__xludf.DUMMYFUNCTION("""COMPUTED_VALUE"""),"Packaging")</f>
        <v>Packaging</v>
      </c>
      <c r="R916" s="49" t="str">
        <f>IFERROR(__xludf.DUMMYFUNCTION("""COMPUTED_VALUE"""),"FMCG")</f>
        <v>FMCG</v>
      </c>
    </row>
    <row r="917">
      <c r="A917" s="156" t="str">
        <f>IFERROR(__xludf.DUMMYFUNCTION("""COMPUTED_VALUE"""),"https://drive.google.com/open?id=1QDY3zesdEh7HbNnGO5mDym9903dLvJeQ&amp;authuser=jay.agg%40gmail.com&amp;usp=drive_fs")</f>
        <v>https://drive.google.com/open?id=1QDY3zesdEh7HbNnGO5mDym9903dLvJeQ&amp;authuser=jay.agg%40gmail.com&amp;usp=drive_fs</v>
      </c>
      <c r="B917" s="73" t="str">
        <f>IFERROR(__xludf.DUMMYFUNCTION("""COMPUTED_VALUE"""),"FMCG")</f>
        <v>FMCG</v>
      </c>
      <c r="C917" s="73" t="str">
        <f>IFERROR(__xludf.DUMMYFUNCTION("""COMPUTED_VALUE"""),"Cream")</f>
        <v>Cream</v>
      </c>
      <c r="D917" s="73" t="str">
        <f>IFERROR(__xludf.DUMMYFUNCTION("""COMPUTED_VALUE"""),"52x52x62 mm")</f>
        <v>52x52x62 mm</v>
      </c>
      <c r="E917" s="77">
        <f>IFERROR(__xludf.DUMMYFUNCTION("""COMPUTED_VALUE"""),6.0)</f>
        <v>6</v>
      </c>
      <c r="F917" s="77">
        <f>IFERROR(__xludf.DUMMYFUNCTION("""COMPUTED_VALUE"""),1926.0)</f>
        <v>1926</v>
      </c>
      <c r="G917" s="77">
        <f>IFERROR(__xludf.DUMMYFUNCTION("""COMPUTED_VALUE"""),18.0)</f>
        <v>18</v>
      </c>
      <c r="H917" s="77">
        <f>IFERROR(__xludf.DUMMYFUNCTION("""COMPUTED_VALUE"""),21.0)</f>
        <v>21</v>
      </c>
      <c r="I917" s="77">
        <f>IFERROR(__xludf.DUMMYFUNCTION("""COMPUTED_VALUE"""),100.0)</f>
        <v>100</v>
      </c>
      <c r="J917" s="73"/>
      <c r="K917" s="73"/>
      <c r="L917" s="73"/>
      <c r="M917" s="77">
        <f>IFERROR(__xludf.DUMMYFUNCTION("""COMPUTED_VALUE"""),0.1)</f>
        <v>0.1</v>
      </c>
      <c r="N917" s="77">
        <f>IFERROR(__xludf.DUMMYFUNCTION("""COMPUTED_VALUE"""),1.0)</f>
        <v>1</v>
      </c>
      <c r="O917" s="49"/>
      <c r="P917" s="49" t="str">
        <f>IFERROR(__xludf.DUMMYFUNCTION("""COMPUTED_VALUE"""),"Offset")</f>
        <v>Offset</v>
      </c>
      <c r="Q917" s="49" t="str">
        <f>IFERROR(__xludf.DUMMYFUNCTION("""COMPUTED_VALUE"""),"Packaging")</f>
        <v>Packaging</v>
      </c>
      <c r="R917" s="49" t="str">
        <f>IFERROR(__xludf.DUMMYFUNCTION("""COMPUTED_VALUE"""),"FMCG")</f>
        <v>FMCG</v>
      </c>
    </row>
    <row r="918">
      <c r="A918" s="156" t="str">
        <f>IFERROR(__xludf.DUMMYFUNCTION("""COMPUTED_VALUE"""),"https://drive.google.com/open?id=1QGfHkimxnL39kvC50q3u19VqZdqa0o4c&amp;authuser=jay.agg%40gmail.com&amp;usp=drive_fs")</f>
        <v>https://drive.google.com/open?id=1QGfHkimxnL39kvC50q3u19VqZdqa0o4c&amp;authuser=jay.agg%40gmail.com&amp;usp=drive_fs</v>
      </c>
      <c r="B918" s="73" t="str">
        <f>IFERROR(__xludf.DUMMYFUNCTION("""COMPUTED_VALUE"""),"FMCG")</f>
        <v>FMCG</v>
      </c>
      <c r="C918" s="73" t="str">
        <f>IFERROR(__xludf.DUMMYFUNCTION("""COMPUTED_VALUE"""),"Diaper")</f>
        <v>Diaper</v>
      </c>
      <c r="D918" s="73" t="str">
        <f>IFERROR(__xludf.DUMMYFUNCTION("""COMPUTED_VALUE"""),"120x30X200 mm IL")</f>
        <v>120x30X200 mm IL</v>
      </c>
      <c r="E918" s="77">
        <f>IFERROR(__xludf.DUMMYFUNCTION("""COMPUTED_VALUE"""),2.0)</f>
        <v>2</v>
      </c>
      <c r="F918" s="77">
        <f>IFERROR(__xludf.DUMMYFUNCTION("""COMPUTED_VALUE"""),1926.0)</f>
        <v>1926</v>
      </c>
      <c r="G918" s="77">
        <f>IFERROR(__xludf.DUMMYFUNCTION("""COMPUTED_VALUE"""),13.0)</f>
        <v>13</v>
      </c>
      <c r="H918" s="77">
        <f>IFERROR(__xludf.DUMMYFUNCTION("""COMPUTED_VALUE"""),21.0)</f>
        <v>21</v>
      </c>
      <c r="I918" s="77">
        <f>IFERROR(__xludf.DUMMYFUNCTION("""COMPUTED_VALUE"""),100.0)</f>
        <v>100</v>
      </c>
      <c r="J918" s="73"/>
      <c r="K918" s="73"/>
      <c r="L918" s="73"/>
      <c r="M918" s="77">
        <f>IFERROR(__xludf.DUMMYFUNCTION("""COMPUTED_VALUE"""),0.1)</f>
        <v>0.1</v>
      </c>
      <c r="N918" s="77">
        <f>IFERROR(__xludf.DUMMYFUNCTION("""COMPUTED_VALUE"""),1.0)</f>
        <v>1</v>
      </c>
      <c r="O918" s="49"/>
      <c r="P918" s="49" t="str">
        <f>IFERROR(__xludf.DUMMYFUNCTION("""COMPUTED_VALUE"""),"Offset")</f>
        <v>Offset</v>
      </c>
      <c r="Q918" s="49" t="str">
        <f>IFERROR(__xludf.DUMMYFUNCTION("""COMPUTED_VALUE"""),"Packaging")</f>
        <v>Packaging</v>
      </c>
      <c r="R918" s="49" t="str">
        <f>IFERROR(__xludf.DUMMYFUNCTION("""COMPUTED_VALUE"""),"FMCG")</f>
        <v>FMCG</v>
      </c>
    </row>
    <row r="919">
      <c r="A919" s="156" t="str">
        <f>IFERROR(__xludf.DUMMYFUNCTION("""COMPUTED_VALUE"""),"https://drive.google.com/open?id=1QNrEJ7fKWqeakouRKXjvDbAD62uJma09&amp;authuser=jay.agg%40gmail.com&amp;usp=drive_fs")</f>
        <v>https://drive.google.com/open?id=1QNrEJ7fKWqeakouRKXjvDbAD62uJma09&amp;authuser=jay.agg%40gmail.com&amp;usp=drive_fs</v>
      </c>
      <c r="B919" s="73" t="str">
        <f>IFERROR(__xludf.DUMMYFUNCTION("""COMPUTED_VALUE"""),"FMCG")</f>
        <v>FMCG</v>
      </c>
      <c r="C919" s="73" t="str">
        <f>IFERROR(__xludf.DUMMYFUNCTION("""COMPUTED_VALUE"""),"Diaper")</f>
        <v>Diaper</v>
      </c>
      <c r="D919" s="73" t="str">
        <f>IFERROR(__xludf.DUMMYFUNCTION("""COMPUTED_VALUE"""),"120X120X60 mm IL")</f>
        <v>120X120X60 mm IL</v>
      </c>
      <c r="E919" s="77">
        <f>IFERROR(__xludf.DUMMYFUNCTION("""COMPUTED_VALUE"""),4.0)</f>
        <v>4</v>
      </c>
      <c r="F919" s="77">
        <f>IFERROR(__xludf.DUMMYFUNCTION("""COMPUTED_VALUE"""),2029.0)</f>
        <v>2029</v>
      </c>
      <c r="G919" s="77">
        <f>IFERROR(__xludf.DUMMYFUNCTION("""COMPUTED_VALUE"""),17.0)</f>
        <v>17</v>
      </c>
      <c r="H919" s="77">
        <f>IFERROR(__xludf.DUMMYFUNCTION("""COMPUTED_VALUE"""),32.0)</f>
        <v>32</v>
      </c>
      <c r="I919" s="77">
        <f>IFERROR(__xludf.DUMMYFUNCTION("""COMPUTED_VALUE"""),100.0)</f>
        <v>100</v>
      </c>
      <c r="J919" s="73"/>
      <c r="K919" s="73"/>
      <c r="L919" s="73"/>
      <c r="M919" s="77">
        <f>IFERROR(__xludf.DUMMYFUNCTION("""COMPUTED_VALUE"""),0.1)</f>
        <v>0.1</v>
      </c>
      <c r="N919" s="77">
        <f>IFERROR(__xludf.DUMMYFUNCTION("""COMPUTED_VALUE"""),1.0)</f>
        <v>1</v>
      </c>
      <c r="O919" s="49"/>
      <c r="P919" s="49" t="str">
        <f>IFERROR(__xludf.DUMMYFUNCTION("""COMPUTED_VALUE"""),"Offset")</f>
        <v>Offset</v>
      </c>
      <c r="Q919" s="49" t="str">
        <f>IFERROR(__xludf.DUMMYFUNCTION("""COMPUTED_VALUE"""),"Packaging")</f>
        <v>Packaging</v>
      </c>
      <c r="R919" s="49" t="str">
        <f>IFERROR(__xludf.DUMMYFUNCTION("""COMPUTED_VALUE"""),"FMCG")</f>
        <v>FMCG</v>
      </c>
    </row>
    <row r="920">
      <c r="A920" s="156" t="str">
        <f>IFERROR(__xludf.DUMMYFUNCTION("""COMPUTED_VALUE"""),"https://drive.google.com/open?id=1QIofikIJ52qj8DufiD7z-uRHQewhqVlm&amp;authuser=jay.agg%40gmail.com&amp;usp=drive_fs")</f>
        <v>https://drive.google.com/open?id=1QIofikIJ52qj8DufiD7z-uRHQewhqVlm&amp;authuser=jay.agg%40gmail.com&amp;usp=drive_fs</v>
      </c>
      <c r="B920" s="73" t="str">
        <f>IFERROR(__xludf.DUMMYFUNCTION("""COMPUTED_VALUE"""),"FMCG")</f>
        <v>FMCG</v>
      </c>
      <c r="C920" s="73" t="str">
        <f>IFERROR(__xludf.DUMMYFUNCTION("""COMPUTED_VALUE"""),"Diaper")</f>
        <v>Diaper</v>
      </c>
      <c r="D920" s="73" t="str">
        <f>IFERROR(__xludf.DUMMYFUNCTION("""COMPUTED_VALUE"""),"100*35*120 mm")</f>
        <v>100*35*120 mm</v>
      </c>
      <c r="E920" s="77">
        <f>IFERROR(__xludf.DUMMYFUNCTION("""COMPUTED_VALUE"""),4.0)</f>
        <v>4</v>
      </c>
      <c r="F920" s="77">
        <f>IFERROR(__xludf.DUMMYFUNCTION("""COMPUTED_VALUE"""),1926.0)</f>
        <v>1926</v>
      </c>
      <c r="G920" s="77">
        <f>IFERROR(__xludf.DUMMYFUNCTION("""COMPUTED_VALUE"""),18.0)</f>
        <v>18</v>
      </c>
      <c r="H920" s="77">
        <f>IFERROR(__xludf.DUMMYFUNCTION("""COMPUTED_VALUE"""),23.0)</f>
        <v>23</v>
      </c>
      <c r="I920" s="77">
        <f>IFERROR(__xludf.DUMMYFUNCTION("""COMPUTED_VALUE"""),100.0)</f>
        <v>100</v>
      </c>
      <c r="J920" s="73"/>
      <c r="K920" s="73"/>
      <c r="L920" s="73"/>
      <c r="M920" s="77">
        <f>IFERROR(__xludf.DUMMYFUNCTION("""COMPUTED_VALUE"""),0.1)</f>
        <v>0.1</v>
      </c>
      <c r="N920" s="77">
        <f>IFERROR(__xludf.DUMMYFUNCTION("""COMPUTED_VALUE"""),1.0)</f>
        <v>1</v>
      </c>
      <c r="O920" s="49"/>
      <c r="P920" s="49" t="str">
        <f>IFERROR(__xludf.DUMMYFUNCTION("""COMPUTED_VALUE"""),"Offset")</f>
        <v>Offset</v>
      </c>
      <c r="Q920" s="49" t="str">
        <f>IFERROR(__xludf.DUMMYFUNCTION("""COMPUTED_VALUE"""),"Packaging")</f>
        <v>Packaging</v>
      </c>
      <c r="R920" s="49" t="str">
        <f>IFERROR(__xludf.DUMMYFUNCTION("""COMPUTED_VALUE"""),"FMCG")</f>
        <v>FMCG</v>
      </c>
    </row>
    <row r="921">
      <c r="A921" s="156" t="str">
        <f>IFERROR(__xludf.DUMMYFUNCTION("""COMPUTED_VALUE"""),"https://drive.google.com/open?id=1PwtiLZP7yWspPxUAxWuL2_bo-bvfrtOd&amp;authuser=jay.agg%40gmail.com&amp;usp=drive_fs")</f>
        <v>https://drive.google.com/open?id=1PwtiLZP7yWspPxUAxWuL2_bo-bvfrtOd&amp;authuser=jay.agg%40gmail.com&amp;usp=drive_fs</v>
      </c>
      <c r="B921" s="73" t="str">
        <f>IFERROR(__xludf.DUMMYFUNCTION("""COMPUTED_VALUE"""),"FMCG")</f>
        <v>FMCG</v>
      </c>
      <c r="C921" s="73" t="str">
        <f>IFERROR(__xludf.DUMMYFUNCTION("""COMPUTED_VALUE"""),"Foil")</f>
        <v>Foil</v>
      </c>
      <c r="D921" s="73" t="str">
        <f>IFERROR(__xludf.DUMMYFUNCTION("""COMPUTED_VALUE"""),"9mtr 314*37 mm")</f>
        <v>9mtr 314*37 mm</v>
      </c>
      <c r="E921" s="77">
        <f>IFERROR(__xludf.DUMMYFUNCTION("""COMPUTED_VALUE"""),3.0)</f>
        <v>3</v>
      </c>
      <c r="F921" s="77">
        <f>IFERROR(__xludf.DUMMYFUNCTION("""COMPUTED_VALUE"""),1926.0)</f>
        <v>1926</v>
      </c>
      <c r="G921" s="77">
        <f>IFERROR(__xludf.DUMMYFUNCTION("""COMPUTED_VALUE"""),18.0)</f>
        <v>18</v>
      </c>
      <c r="H921" s="77">
        <f>IFERROR(__xludf.DUMMYFUNCTION("""COMPUTED_VALUE"""),23.0)</f>
        <v>23</v>
      </c>
      <c r="I921" s="77">
        <f>IFERROR(__xludf.DUMMYFUNCTION("""COMPUTED_VALUE"""),100.0)</f>
        <v>100</v>
      </c>
      <c r="J921" s="73"/>
      <c r="K921" s="73"/>
      <c r="L921" s="73"/>
      <c r="M921" s="77"/>
      <c r="N921" s="77">
        <f>IFERROR(__xludf.DUMMYFUNCTION("""COMPUTED_VALUE"""),1.0)</f>
        <v>1</v>
      </c>
      <c r="O921" s="49"/>
      <c r="P921" s="49" t="str">
        <f>IFERROR(__xludf.DUMMYFUNCTION("""COMPUTED_VALUE"""),"Offset")</f>
        <v>Offset</v>
      </c>
      <c r="Q921" s="49" t="str">
        <f>IFERROR(__xludf.DUMMYFUNCTION("""COMPUTED_VALUE"""),"Packaging")</f>
        <v>Packaging</v>
      </c>
      <c r="R921" s="49" t="str">
        <f>IFERROR(__xludf.DUMMYFUNCTION("""COMPUTED_VALUE"""),"FMCG")</f>
        <v>FMCG</v>
      </c>
    </row>
    <row r="922">
      <c r="A922" s="156" t="str">
        <f>IFERROR(__xludf.DUMMYFUNCTION("""COMPUTED_VALUE"""),"https://drive.google.com/open?id=1PfAJfYWPAGLSdyoGMgHDluxdnDEqddjW&amp;authuser=jay.agg%40gmail.com&amp;usp=drive_fs")</f>
        <v>https://drive.google.com/open?id=1PfAJfYWPAGLSdyoGMgHDluxdnDEqddjW&amp;authuser=jay.agg%40gmail.com&amp;usp=drive_fs</v>
      </c>
      <c r="B922" s="73" t="str">
        <f>IFERROR(__xludf.DUMMYFUNCTION("""COMPUTED_VALUE"""),"FMCG")</f>
        <v>FMCG</v>
      </c>
      <c r="C922" s="73" t="str">
        <f>IFERROR(__xludf.DUMMYFUNCTION("""COMPUTED_VALUE"""),"Rusk")</f>
        <v>Rusk</v>
      </c>
      <c r="D922" s="73" t="str">
        <f>IFERROR(__xludf.DUMMYFUNCTION("""COMPUTED_VALUE"""),"6*2.5*10 inch")</f>
        <v>6*2.5*10 inch</v>
      </c>
      <c r="E922" s="77">
        <f>IFERROR(__xludf.DUMMYFUNCTION("""COMPUTED_VALUE"""),1.0)</f>
        <v>1</v>
      </c>
      <c r="F922" s="77">
        <f>IFERROR(__xludf.DUMMYFUNCTION("""COMPUTED_VALUE"""),1926.0)</f>
        <v>1926</v>
      </c>
      <c r="G922" s="77">
        <f>IFERROR(__xludf.DUMMYFUNCTION("""COMPUTED_VALUE"""),17.0)</f>
        <v>17</v>
      </c>
      <c r="H922" s="77">
        <f>IFERROR(__xludf.DUMMYFUNCTION("""COMPUTED_VALUE"""),18.0)</f>
        <v>18</v>
      </c>
      <c r="I922" s="77">
        <f>IFERROR(__xludf.DUMMYFUNCTION("""COMPUTED_VALUE"""),100.0)</f>
        <v>100</v>
      </c>
      <c r="J922" s="73"/>
      <c r="K922" s="73"/>
      <c r="L922" s="73"/>
      <c r="M922" s="77">
        <f>IFERROR(__xludf.DUMMYFUNCTION("""COMPUTED_VALUE"""),0.1)</f>
        <v>0.1</v>
      </c>
      <c r="N922" s="77">
        <f>IFERROR(__xludf.DUMMYFUNCTION("""COMPUTED_VALUE"""),1.0)</f>
        <v>1</v>
      </c>
      <c r="O922" s="49"/>
      <c r="P922" s="49" t="str">
        <f>IFERROR(__xludf.DUMMYFUNCTION("""COMPUTED_VALUE"""),"Offset")</f>
        <v>Offset</v>
      </c>
      <c r="Q922" s="49" t="str">
        <f>IFERROR(__xludf.DUMMYFUNCTION("""COMPUTED_VALUE"""),"Packaging")</f>
        <v>Packaging</v>
      </c>
      <c r="R922" s="49" t="str">
        <f>IFERROR(__xludf.DUMMYFUNCTION("""COMPUTED_VALUE"""),"FMCG")</f>
        <v>FMCG</v>
      </c>
    </row>
    <row r="923">
      <c r="A923" s="156" t="str">
        <f>IFERROR(__xludf.DUMMYFUNCTION("""COMPUTED_VALUE"""),"https://drive.google.com/open?id=1PY1ku0Jl0qBW-wAUwMQ0Vo6lVbe0lLjO&amp;authuser=jay.agg%40gmail.com&amp;usp=drive_fs")</f>
        <v>https://drive.google.com/open?id=1PY1ku0Jl0qBW-wAUwMQ0Vo6lVbe0lLjO&amp;authuser=jay.agg%40gmail.com&amp;usp=drive_fs</v>
      </c>
      <c r="B923" s="73" t="str">
        <f>IFERROR(__xludf.DUMMYFUNCTION("""COMPUTED_VALUE"""),"FMCG")</f>
        <v>FMCG</v>
      </c>
      <c r="C923" s="73" t="str">
        <f>IFERROR(__xludf.DUMMYFUNCTION("""COMPUTED_VALUE"""),"Cookies")</f>
        <v>Cookies</v>
      </c>
      <c r="D923" s="73" t="str">
        <f>IFERROR(__xludf.DUMMYFUNCTION("""COMPUTED_VALUE"""),"16*9*2 inch")</f>
        <v>16*9*2 inch</v>
      </c>
      <c r="E923" s="77">
        <f>IFERROR(__xludf.DUMMYFUNCTION("""COMPUTED_VALUE"""),1.0)</f>
        <v>1</v>
      </c>
      <c r="F923" s="77">
        <f>IFERROR(__xludf.DUMMYFUNCTION("""COMPUTED_VALUE"""),1926.0)</f>
        <v>1926</v>
      </c>
      <c r="G923" s="77">
        <f>IFERROR(__xludf.DUMMYFUNCTION("""COMPUTED_VALUE"""),19.5)</f>
        <v>19.5</v>
      </c>
      <c r="H923" s="77">
        <f>IFERROR(__xludf.DUMMYFUNCTION("""COMPUTED_VALUE"""),23.0)</f>
        <v>23</v>
      </c>
      <c r="I923" s="77">
        <f>IFERROR(__xludf.DUMMYFUNCTION("""COMPUTED_VALUE"""),100.0)</f>
        <v>100</v>
      </c>
      <c r="J923" s="73"/>
      <c r="K923" s="73"/>
      <c r="L923" s="73"/>
      <c r="M923" s="77">
        <f>IFERROR(__xludf.DUMMYFUNCTION("""COMPUTED_VALUE"""),0.1)</f>
        <v>0.1</v>
      </c>
      <c r="N923" s="77">
        <f>IFERROR(__xludf.DUMMYFUNCTION("""COMPUTED_VALUE"""),1.0)</f>
        <v>1</v>
      </c>
      <c r="O923" s="49"/>
      <c r="P923" s="49" t="str">
        <f>IFERROR(__xludf.DUMMYFUNCTION("""COMPUTED_VALUE"""),"Offset")</f>
        <v>Offset</v>
      </c>
      <c r="Q923" s="49" t="str">
        <f>IFERROR(__xludf.DUMMYFUNCTION("""COMPUTED_VALUE"""),"Packaging")</f>
        <v>Packaging</v>
      </c>
      <c r="R923" s="49" t="str">
        <f>IFERROR(__xludf.DUMMYFUNCTION("""COMPUTED_VALUE"""),"FMCG")</f>
        <v>FMCG</v>
      </c>
    </row>
    <row r="924">
      <c r="A924" s="156" t="str">
        <f>IFERROR(__xludf.DUMMYFUNCTION("""COMPUTED_VALUE"""),"https://drive.google.com/open?id=1PSw0JUueJe6Td4Mtu9Z2M2RuAzejyH4N&amp;authuser=jay.agg%40gmail.com&amp;usp=drive_fs")</f>
        <v>https://drive.google.com/open?id=1PSw0JUueJe6Td4Mtu9Z2M2RuAzejyH4N&amp;authuser=jay.agg%40gmail.com&amp;usp=drive_fs</v>
      </c>
      <c r="B924" s="73" t="str">
        <f>IFERROR(__xludf.DUMMYFUNCTION("""COMPUTED_VALUE"""),"FMCG")</f>
        <v>FMCG</v>
      </c>
      <c r="C924" s="73" t="str">
        <f>IFERROR(__xludf.DUMMYFUNCTION("""COMPUTED_VALUE"""),"Cookies")</f>
        <v>Cookies</v>
      </c>
      <c r="D924" s="73" t="str">
        <f>IFERROR(__xludf.DUMMYFUNCTION("""COMPUTED_VALUE"""),"11.5*7*2 inch")</f>
        <v>11.5*7*2 inch</v>
      </c>
      <c r="E924" s="77">
        <f>IFERROR(__xludf.DUMMYFUNCTION("""COMPUTED_VALUE"""),2.0)</f>
        <v>2</v>
      </c>
      <c r="F924" s="77">
        <f>IFERROR(__xludf.DUMMYFUNCTION("""COMPUTED_VALUE"""),2029.0)</f>
        <v>2029</v>
      </c>
      <c r="G924" s="77">
        <f>IFERROR(__xludf.DUMMYFUNCTION("""COMPUTED_VALUE"""),19.0)</f>
        <v>19</v>
      </c>
      <c r="H924" s="77">
        <f>IFERROR(__xludf.DUMMYFUNCTION("""COMPUTED_VALUE"""),28.0)</f>
        <v>28</v>
      </c>
      <c r="I924" s="77">
        <f>IFERROR(__xludf.DUMMYFUNCTION("""COMPUTED_VALUE"""),100.0)</f>
        <v>100</v>
      </c>
      <c r="J924" s="73"/>
      <c r="K924" s="73"/>
      <c r="L924" s="73"/>
      <c r="M924" s="77">
        <f>IFERROR(__xludf.DUMMYFUNCTION("""COMPUTED_VALUE"""),0.1)</f>
        <v>0.1</v>
      </c>
      <c r="N924" s="77">
        <f>IFERROR(__xludf.DUMMYFUNCTION("""COMPUTED_VALUE"""),1.0)</f>
        <v>1</v>
      </c>
      <c r="O924" s="49"/>
      <c r="P924" s="49" t="str">
        <f>IFERROR(__xludf.DUMMYFUNCTION("""COMPUTED_VALUE"""),"Offset")</f>
        <v>Offset</v>
      </c>
      <c r="Q924" s="49" t="str">
        <f>IFERROR(__xludf.DUMMYFUNCTION("""COMPUTED_VALUE"""),"Packaging")</f>
        <v>Packaging</v>
      </c>
      <c r="R924" s="49" t="str">
        <f>IFERROR(__xludf.DUMMYFUNCTION("""COMPUTED_VALUE"""),"FMCG")</f>
        <v>FMCG</v>
      </c>
    </row>
    <row r="925">
      <c r="A925" s="156" t="str">
        <f>IFERROR(__xludf.DUMMYFUNCTION("""COMPUTED_VALUE"""),"https://drive.google.com/open?id=1PsNlyHFd63rxQjXHN7Q4YIsEFvnQ5OiX&amp;authuser=jay.agg%40gmail.com&amp;usp=drive_fs")</f>
        <v>https://drive.google.com/open?id=1PsNlyHFd63rxQjXHN7Q4YIsEFvnQ5OiX&amp;authuser=jay.agg%40gmail.com&amp;usp=drive_fs</v>
      </c>
      <c r="B925" s="73" t="str">
        <f>IFERROR(__xludf.DUMMYFUNCTION("""COMPUTED_VALUE"""),"FMCG")</f>
        <v>FMCG</v>
      </c>
      <c r="C925" s="73" t="str">
        <f>IFERROR(__xludf.DUMMYFUNCTION("""COMPUTED_VALUE"""),"Foil")</f>
        <v>Foil</v>
      </c>
      <c r="D925" s="73" t="str">
        <f>IFERROR(__xludf.DUMMYFUNCTION("""COMPUTED_VALUE"""),"25mtr 310*50 mm")</f>
        <v>25mtr 310*50 mm</v>
      </c>
      <c r="E925" s="77">
        <f>IFERROR(__xludf.DUMMYFUNCTION("""COMPUTED_VALUE"""),2.0)</f>
        <v>2</v>
      </c>
      <c r="F925" s="77">
        <f>IFERROR(__xludf.DUMMYFUNCTION("""COMPUTED_VALUE"""),2029.0)</f>
        <v>2029</v>
      </c>
      <c r="G925" s="77">
        <f>IFERROR(__xludf.DUMMYFUNCTION("""COMPUTED_VALUE"""),15.5)</f>
        <v>15.5</v>
      </c>
      <c r="H925" s="77">
        <f>IFERROR(__xludf.DUMMYFUNCTION("""COMPUTED_VALUE"""),20.5)</f>
        <v>20.5</v>
      </c>
      <c r="I925" s="77">
        <f>IFERROR(__xludf.DUMMYFUNCTION("""COMPUTED_VALUE"""),100.0)</f>
        <v>100</v>
      </c>
      <c r="J925" s="73"/>
      <c r="K925" s="73"/>
      <c r="L925" s="73"/>
      <c r="M925" s="77"/>
      <c r="N925" s="77">
        <f>IFERROR(__xludf.DUMMYFUNCTION("""COMPUTED_VALUE"""),1.0)</f>
        <v>1</v>
      </c>
      <c r="O925" s="49"/>
      <c r="P925" s="49" t="str">
        <f>IFERROR(__xludf.DUMMYFUNCTION("""COMPUTED_VALUE"""),"Offset")</f>
        <v>Offset</v>
      </c>
      <c r="Q925" s="49" t="str">
        <f>IFERROR(__xludf.DUMMYFUNCTION("""COMPUTED_VALUE"""),"Packaging")</f>
        <v>Packaging</v>
      </c>
      <c r="R925" s="49" t="str">
        <f>IFERROR(__xludf.DUMMYFUNCTION("""COMPUTED_VALUE"""),"FMCG")</f>
        <v>FMCG</v>
      </c>
    </row>
    <row r="926">
      <c r="A926" s="156" t="str">
        <f>IFERROR(__xludf.DUMMYFUNCTION("""COMPUTED_VALUE"""),"https://drive.google.com/open?id=1Q0HGuA4qggwog_aEXRxZQAzZrfK2TE9x&amp;authuser=jay.agg%40gmail.com&amp;usp=drive_fs")</f>
        <v>https://drive.google.com/open?id=1Q0HGuA4qggwog_aEXRxZQAzZrfK2TE9x&amp;authuser=jay.agg%40gmail.com&amp;usp=drive_fs</v>
      </c>
      <c r="B926" s="73" t="str">
        <f>IFERROR(__xludf.DUMMYFUNCTION("""COMPUTED_VALUE"""),"FMCG")</f>
        <v>FMCG</v>
      </c>
      <c r="C926" s="73" t="str">
        <f>IFERROR(__xludf.DUMMYFUNCTION("""COMPUTED_VALUE"""),"Foil")</f>
        <v>Foil</v>
      </c>
      <c r="D926" s="73" t="str">
        <f>IFERROR(__xludf.DUMMYFUNCTION("""COMPUTED_VALUE"""),"1kg | 72mtr 310*62 mm")</f>
        <v>1kg | 72mtr 310*62 mm</v>
      </c>
      <c r="E926" s="77">
        <f>IFERROR(__xludf.DUMMYFUNCTION("""COMPUTED_VALUE"""),2.0)</f>
        <v>2</v>
      </c>
      <c r="F926" s="77">
        <f>IFERROR(__xludf.DUMMYFUNCTION("""COMPUTED_VALUE"""),1926.0)</f>
        <v>1926</v>
      </c>
      <c r="G926" s="77">
        <f>IFERROR(__xludf.DUMMYFUNCTION("""COMPUTED_VALUE"""),18.0)</f>
        <v>18</v>
      </c>
      <c r="H926" s="77">
        <f>IFERROR(__xludf.DUMMYFUNCTION("""COMPUTED_VALUE"""),25.0)</f>
        <v>25</v>
      </c>
      <c r="I926" s="77">
        <f>IFERROR(__xludf.DUMMYFUNCTION("""COMPUTED_VALUE"""),100.0)</f>
        <v>100</v>
      </c>
      <c r="J926" s="73"/>
      <c r="K926" s="73"/>
      <c r="L926" s="73"/>
      <c r="M926" s="77"/>
      <c r="N926" s="77">
        <f>IFERROR(__xludf.DUMMYFUNCTION("""COMPUTED_VALUE"""),1.0)</f>
        <v>1</v>
      </c>
      <c r="O926" s="49"/>
      <c r="P926" s="49" t="str">
        <f>IFERROR(__xludf.DUMMYFUNCTION("""COMPUTED_VALUE"""),"Offset")</f>
        <v>Offset</v>
      </c>
      <c r="Q926" s="49" t="str">
        <f>IFERROR(__xludf.DUMMYFUNCTION("""COMPUTED_VALUE"""),"Packaging")</f>
        <v>Packaging</v>
      </c>
      <c r="R926" s="49" t="str">
        <f>IFERROR(__xludf.DUMMYFUNCTION("""COMPUTED_VALUE"""),"FMCG")</f>
        <v>FMCG</v>
      </c>
    </row>
    <row r="927">
      <c r="A927" s="156" t="str">
        <f>IFERROR(__xludf.DUMMYFUNCTION("""COMPUTED_VALUE"""),"https://drive.google.com/open?id=1PQK4nF_-GponoaAY-Xe8e2_7OtTTUAfR&amp;authuser=jay.agg%40gmail.com&amp;usp=drive_fs")</f>
        <v>https://drive.google.com/open?id=1PQK4nF_-GponoaAY-Xe8e2_7OtTTUAfR&amp;authuser=jay.agg%40gmail.com&amp;usp=drive_fs</v>
      </c>
      <c r="B927" s="73" t="str">
        <f>IFERROR(__xludf.DUMMYFUNCTION("""COMPUTED_VALUE"""),"FMCG")</f>
        <v>FMCG</v>
      </c>
      <c r="C927" s="73" t="str">
        <f>IFERROR(__xludf.DUMMYFUNCTION("""COMPUTED_VALUE"""),"Cookies")</f>
        <v>Cookies</v>
      </c>
      <c r="D927" s="73" t="str">
        <f>IFERROR(__xludf.DUMMYFUNCTION("""COMPUTED_VALUE"""),"8*6*2 inch")</f>
        <v>8*6*2 inch</v>
      </c>
      <c r="E927" s="77">
        <f>IFERROR(__xludf.DUMMYFUNCTION("""COMPUTED_VALUE"""),2.0)</f>
        <v>2</v>
      </c>
      <c r="F927" s="77">
        <f>IFERROR(__xludf.DUMMYFUNCTION("""COMPUTED_VALUE"""),1926.0)</f>
        <v>1926</v>
      </c>
      <c r="G927" s="77">
        <f>IFERROR(__xludf.DUMMYFUNCTION("""COMPUTED_VALUE"""),18.0)</f>
        <v>18</v>
      </c>
      <c r="H927" s="77">
        <f>IFERROR(__xludf.DUMMYFUNCTION("""COMPUTED_VALUE"""),23.0)</f>
        <v>23</v>
      </c>
      <c r="I927" s="77">
        <f>IFERROR(__xludf.DUMMYFUNCTION("""COMPUTED_VALUE"""),100.0)</f>
        <v>100</v>
      </c>
      <c r="J927" s="73"/>
      <c r="K927" s="73"/>
      <c r="L927" s="73"/>
      <c r="M927" s="77">
        <f>IFERROR(__xludf.DUMMYFUNCTION("""COMPUTED_VALUE"""),0.1)</f>
        <v>0.1</v>
      </c>
      <c r="N927" s="77">
        <f>IFERROR(__xludf.DUMMYFUNCTION("""COMPUTED_VALUE"""),1.0)</f>
        <v>1</v>
      </c>
      <c r="O927" s="49"/>
      <c r="P927" s="49" t="str">
        <f>IFERROR(__xludf.DUMMYFUNCTION("""COMPUTED_VALUE"""),"Offset")</f>
        <v>Offset</v>
      </c>
      <c r="Q927" s="49" t="str">
        <f>IFERROR(__xludf.DUMMYFUNCTION("""COMPUTED_VALUE"""),"Packaging")</f>
        <v>Packaging</v>
      </c>
      <c r="R927" s="49" t="str">
        <f>IFERROR(__xludf.DUMMYFUNCTION("""COMPUTED_VALUE"""),"FMCG")</f>
        <v>FMCG</v>
      </c>
    </row>
    <row r="928">
      <c r="A928" s="156" t="str">
        <f>IFERROR(__xludf.DUMMYFUNCTION("""COMPUTED_VALUE"""),"https://drive.google.com/open?id=1P20OEO6M7-Chneqrua5ANpJPKVta3c_Z&amp;authuser=jay.agg%40gmail.com&amp;usp=drive_fs")</f>
        <v>https://drive.google.com/open?id=1P20OEO6M7-Chneqrua5ANpJPKVta3c_Z&amp;authuser=jay.agg%40gmail.com&amp;usp=drive_fs</v>
      </c>
      <c r="B928" s="73" t="str">
        <f>IFERROR(__xludf.DUMMYFUNCTION("""COMPUTED_VALUE"""),"FMCG")</f>
        <v>FMCG</v>
      </c>
      <c r="C928" s="73" t="str">
        <f>IFERROR(__xludf.DUMMYFUNCTION("""COMPUTED_VALUE"""),"Detergent")</f>
        <v>Detergent</v>
      </c>
      <c r="D928" s="73" t="str">
        <f>IFERROR(__xludf.DUMMYFUNCTION("""COMPUTED_VALUE"""),"203*51*254 | 8*2*10 inch")</f>
        <v>203*51*254 | 8*2*10 inch</v>
      </c>
      <c r="E928" s="77">
        <f>IFERROR(__xludf.DUMMYFUNCTION("""COMPUTED_VALUE"""),1.0)</f>
        <v>1</v>
      </c>
      <c r="F928" s="77">
        <f>IFERROR(__xludf.DUMMYFUNCTION("""COMPUTED_VALUE"""),1926.0)</f>
        <v>1926</v>
      </c>
      <c r="G928" s="77">
        <f>IFERROR(__xludf.DUMMYFUNCTION("""COMPUTED_VALUE"""),18.0)</f>
        <v>18</v>
      </c>
      <c r="H928" s="77">
        <f>IFERROR(__xludf.DUMMYFUNCTION("""COMPUTED_VALUE"""),21.0)</f>
        <v>21</v>
      </c>
      <c r="I928" s="77">
        <f>IFERROR(__xludf.DUMMYFUNCTION("""COMPUTED_VALUE"""),100.0)</f>
        <v>100</v>
      </c>
      <c r="J928" s="73"/>
      <c r="K928" s="73"/>
      <c r="L928" s="73"/>
      <c r="M928" s="77">
        <f>IFERROR(__xludf.DUMMYFUNCTION("""COMPUTED_VALUE"""),0.1)</f>
        <v>0.1</v>
      </c>
      <c r="N928" s="77">
        <f>IFERROR(__xludf.DUMMYFUNCTION("""COMPUTED_VALUE"""),1.0)</f>
        <v>1</v>
      </c>
      <c r="O928" s="49"/>
      <c r="P928" s="49" t="str">
        <f>IFERROR(__xludf.DUMMYFUNCTION("""COMPUTED_VALUE"""),"Offset")</f>
        <v>Offset</v>
      </c>
      <c r="Q928" s="49" t="str">
        <f>IFERROR(__xludf.DUMMYFUNCTION("""COMPUTED_VALUE"""),"Packaging")</f>
        <v>Packaging</v>
      </c>
      <c r="R928" s="49" t="str">
        <f>IFERROR(__xludf.DUMMYFUNCTION("""COMPUTED_VALUE"""),"FMCG")</f>
        <v>FMCG</v>
      </c>
    </row>
    <row r="929">
      <c r="A929" s="156" t="str">
        <f>IFERROR(__xludf.DUMMYFUNCTION("""COMPUTED_VALUE"""),"https://drive.google.com/open?id=1PPYvNYUrFu3BV-ZPIr8GTPoxY9uIrQIe&amp;authuser=jay.agg%40gmail.com&amp;usp=drive_fs")</f>
        <v>https://drive.google.com/open?id=1PPYvNYUrFu3BV-ZPIr8GTPoxY9uIrQIe&amp;authuser=jay.agg%40gmail.com&amp;usp=drive_fs</v>
      </c>
      <c r="B929" s="73" t="str">
        <f>IFERROR(__xludf.DUMMYFUNCTION("""COMPUTED_VALUE"""),"FMCG")</f>
        <v>FMCG</v>
      </c>
      <c r="C929" s="73" t="str">
        <f>IFERROR(__xludf.DUMMYFUNCTION("""COMPUTED_VALUE"""),"Smoothie")</f>
        <v>Smoothie</v>
      </c>
      <c r="D929" s="73" t="str">
        <f>IFERROR(__xludf.DUMMYFUNCTION("""COMPUTED_VALUE"""),"101*19*152 mm | 4*0.75*6 inch")</f>
        <v>101*19*152 mm | 4*0.75*6 inch</v>
      </c>
      <c r="E929" s="77">
        <f>IFERROR(__xludf.DUMMYFUNCTION("""COMPUTED_VALUE"""),4.0)</f>
        <v>4</v>
      </c>
      <c r="F929" s="77">
        <f>IFERROR(__xludf.DUMMYFUNCTION("""COMPUTED_VALUE"""),1926.0)</f>
        <v>1926</v>
      </c>
      <c r="G929" s="77">
        <f>IFERROR(__xludf.DUMMYFUNCTION("""COMPUTED_VALUE"""),18.0)</f>
        <v>18</v>
      </c>
      <c r="H929" s="77">
        <f>IFERROR(__xludf.DUMMYFUNCTION("""COMPUTED_VALUE"""),21.0)</f>
        <v>21</v>
      </c>
      <c r="I929" s="77">
        <f>IFERROR(__xludf.DUMMYFUNCTION("""COMPUTED_VALUE"""),100.0)</f>
        <v>100</v>
      </c>
      <c r="J929" s="73"/>
      <c r="K929" s="73"/>
      <c r="L929" s="73"/>
      <c r="M929" s="77">
        <f>IFERROR(__xludf.DUMMYFUNCTION("""COMPUTED_VALUE"""),0.1)</f>
        <v>0.1</v>
      </c>
      <c r="N929" s="77">
        <f>IFERROR(__xludf.DUMMYFUNCTION("""COMPUTED_VALUE"""),1.0)</f>
        <v>1</v>
      </c>
      <c r="O929" s="49"/>
      <c r="P929" s="49" t="str">
        <f>IFERROR(__xludf.DUMMYFUNCTION("""COMPUTED_VALUE"""),"Offset")</f>
        <v>Offset</v>
      </c>
      <c r="Q929" s="49" t="str">
        <f>IFERROR(__xludf.DUMMYFUNCTION("""COMPUTED_VALUE"""),"Packaging")</f>
        <v>Packaging</v>
      </c>
      <c r="R929" s="49" t="str">
        <f>IFERROR(__xludf.DUMMYFUNCTION("""COMPUTED_VALUE"""),"FMCG")</f>
        <v>FMCG</v>
      </c>
    </row>
    <row r="930">
      <c r="A930" s="156" t="str">
        <f>IFERROR(__xludf.DUMMYFUNCTION("""COMPUTED_VALUE"""),"https://drive.google.com/open?id=1QOgw3nvLnrWrPLfHe9ER4SjeI21ghOSO&amp;authuser=jay.agg%40gmail.com&amp;usp=drive_fs")</f>
        <v>https://drive.google.com/open?id=1QOgw3nvLnrWrPLfHe9ER4SjeI21ghOSO&amp;authuser=jay.agg%40gmail.com&amp;usp=drive_fs</v>
      </c>
      <c r="B930" s="73" t="str">
        <f>IFERROR(__xludf.DUMMYFUNCTION("""COMPUTED_VALUE"""),"FMCG")</f>
        <v>FMCG</v>
      </c>
      <c r="C930" s="73" t="str">
        <f>IFERROR(__xludf.DUMMYFUNCTION("""COMPUTED_VALUE"""),"Diaper")</f>
        <v>Diaper</v>
      </c>
      <c r="D930" s="73" t="str">
        <f>IFERROR(__xludf.DUMMYFUNCTION("""COMPUTED_VALUE"""),"150*150*300 mm IL")</f>
        <v>150*150*300 mm IL</v>
      </c>
      <c r="E930" s="77">
        <f>IFERROR(__xludf.DUMMYFUNCTION("""COMPUTED_VALUE"""),2.0)</f>
        <v>2</v>
      </c>
      <c r="F930" s="77">
        <f>IFERROR(__xludf.DUMMYFUNCTION("""COMPUTED_VALUE"""),2840.0)</f>
        <v>2840</v>
      </c>
      <c r="G930" s="77">
        <f>IFERROR(__xludf.DUMMYFUNCTION("""COMPUTED_VALUE"""),24.0)</f>
        <v>24</v>
      </c>
      <c r="H930" s="77">
        <f>IFERROR(__xludf.DUMMYFUNCTION("""COMPUTED_VALUE"""),40.0)</f>
        <v>40</v>
      </c>
      <c r="I930" s="77">
        <f>IFERROR(__xludf.DUMMYFUNCTION("""COMPUTED_VALUE"""),100.0)</f>
        <v>100</v>
      </c>
      <c r="J930" s="73"/>
      <c r="K930" s="73"/>
      <c r="L930" s="73"/>
      <c r="M930" s="77">
        <f>IFERROR(__xludf.DUMMYFUNCTION("""COMPUTED_VALUE"""),0.1)</f>
        <v>0.1</v>
      </c>
      <c r="N930" s="77">
        <f>IFERROR(__xludf.DUMMYFUNCTION("""COMPUTED_VALUE"""),1.0)</f>
        <v>1</v>
      </c>
      <c r="O930" s="49"/>
      <c r="P930" s="49" t="str">
        <f>IFERROR(__xludf.DUMMYFUNCTION("""COMPUTED_VALUE"""),"Offset")</f>
        <v>Offset</v>
      </c>
      <c r="Q930" s="49" t="str">
        <f>IFERROR(__xludf.DUMMYFUNCTION("""COMPUTED_VALUE"""),"Packaging")</f>
        <v>Packaging</v>
      </c>
      <c r="R930" s="49" t="str">
        <f>IFERROR(__xludf.DUMMYFUNCTION("""COMPUTED_VALUE"""),"FMCG")</f>
        <v>FMCG</v>
      </c>
    </row>
    <row r="931">
      <c r="A931" s="156" t="str">
        <f>IFERROR(__xludf.DUMMYFUNCTION("""COMPUTED_VALUE"""),"https://drive.google.com/open?id=1PMle0vAOx5bo3sgb-9QyaRtpIUW23uR9&amp;authuser=jay.agg%40gmail.com&amp;usp=drive_fs")</f>
        <v>https://drive.google.com/open?id=1PMle0vAOx5bo3sgb-9QyaRtpIUW23uR9&amp;authuser=jay.agg%40gmail.com&amp;usp=drive_fs</v>
      </c>
      <c r="B931" s="73" t="str">
        <f>IFERROR(__xludf.DUMMYFUNCTION("""COMPUTED_VALUE"""),"FMCG")</f>
        <v>FMCG</v>
      </c>
      <c r="C931" s="73" t="str">
        <f>IFERROR(__xludf.DUMMYFUNCTION("""COMPUTED_VALUE"""),"Lip Balm")</f>
        <v>Lip Balm</v>
      </c>
      <c r="D931" s="73" t="str">
        <f>IFERROR(__xludf.DUMMYFUNCTION("""COMPUTED_VALUE"""),"35*25*85 mm")</f>
        <v>35*25*85 mm</v>
      </c>
      <c r="E931" s="77">
        <f>IFERROR(__xludf.DUMMYFUNCTION("""COMPUTED_VALUE"""),12.0)</f>
        <v>12</v>
      </c>
      <c r="F931" s="77">
        <f>IFERROR(__xludf.DUMMYFUNCTION("""COMPUTED_VALUE"""),1926.0)</f>
        <v>1926</v>
      </c>
      <c r="G931" s="77">
        <f>IFERROR(__xludf.DUMMYFUNCTION("""COMPUTED_VALUE"""),18.0)</f>
        <v>18</v>
      </c>
      <c r="H931" s="77">
        <f>IFERROR(__xludf.DUMMYFUNCTION("""COMPUTED_VALUE"""),21.0)</f>
        <v>21</v>
      </c>
      <c r="I931" s="77">
        <f>IFERROR(__xludf.DUMMYFUNCTION("""COMPUTED_VALUE"""),100.0)</f>
        <v>100</v>
      </c>
      <c r="J931" s="73"/>
      <c r="K931" s="73"/>
      <c r="L931" s="73"/>
      <c r="M931" s="77">
        <f>IFERROR(__xludf.DUMMYFUNCTION("""COMPUTED_VALUE"""),0.1)</f>
        <v>0.1</v>
      </c>
      <c r="N931" s="77">
        <f>IFERROR(__xludf.DUMMYFUNCTION("""COMPUTED_VALUE"""),1.0)</f>
        <v>1</v>
      </c>
      <c r="O931" s="49"/>
      <c r="P931" s="49" t="str">
        <f>IFERROR(__xludf.DUMMYFUNCTION("""COMPUTED_VALUE"""),"Offset")</f>
        <v>Offset</v>
      </c>
      <c r="Q931" s="49" t="str">
        <f>IFERROR(__xludf.DUMMYFUNCTION("""COMPUTED_VALUE"""),"Packaging")</f>
        <v>Packaging</v>
      </c>
      <c r="R931" s="49" t="str">
        <f>IFERROR(__xludf.DUMMYFUNCTION("""COMPUTED_VALUE"""),"FMCG")</f>
        <v>FMCG</v>
      </c>
    </row>
    <row r="932">
      <c r="A932" s="156" t="str">
        <f>IFERROR(__xludf.DUMMYFUNCTION("""COMPUTED_VALUE"""),"https://drive.google.com/open?id=1OfbalrPi3BHvWqJrpHbDnqRJwVzmCzLC&amp;authuser=jay.agg%40gmail.com&amp;usp=drive_fs")</f>
        <v>https://drive.google.com/open?id=1OfbalrPi3BHvWqJrpHbDnqRJwVzmCzLC&amp;authuser=jay.agg%40gmail.com&amp;usp=drive_fs</v>
      </c>
      <c r="B932" s="73" t="str">
        <f>IFERROR(__xludf.DUMMYFUNCTION("""COMPUTED_VALUE"""),"FMCG")</f>
        <v>FMCG</v>
      </c>
      <c r="C932" s="73" t="str">
        <f>IFERROR(__xludf.DUMMYFUNCTION("""COMPUTED_VALUE"""),"Naveda Food")</f>
        <v>Naveda Food</v>
      </c>
      <c r="D932" s="73" t="str">
        <f>IFERROR(__xludf.DUMMYFUNCTION("""COMPUTED_VALUE"""),"125*55*175 mm")</f>
        <v>125*55*175 mm</v>
      </c>
      <c r="E932" s="77">
        <f>IFERROR(__xludf.DUMMYFUNCTION("""COMPUTED_VALUE"""),2.0)</f>
        <v>2</v>
      </c>
      <c r="F932" s="77">
        <f>IFERROR(__xludf.DUMMYFUNCTION("""COMPUTED_VALUE"""),1926.0)</f>
        <v>1926</v>
      </c>
      <c r="G932" s="77">
        <f>IFERROR(__xludf.DUMMYFUNCTION("""COMPUTED_VALUE"""),15.0)</f>
        <v>15</v>
      </c>
      <c r="H932" s="77">
        <f>IFERROR(__xludf.DUMMYFUNCTION("""COMPUTED_VALUE"""),25.0)</f>
        <v>25</v>
      </c>
      <c r="I932" s="77">
        <f>IFERROR(__xludf.DUMMYFUNCTION("""COMPUTED_VALUE"""),100.0)</f>
        <v>100</v>
      </c>
      <c r="J932" s="73"/>
      <c r="K932" s="73"/>
      <c r="L932" s="73"/>
      <c r="M932" s="77">
        <f>IFERROR(__xludf.DUMMYFUNCTION("""COMPUTED_VALUE"""),0.1)</f>
        <v>0.1</v>
      </c>
      <c r="N932" s="77">
        <f>IFERROR(__xludf.DUMMYFUNCTION("""COMPUTED_VALUE"""),1.0)</f>
        <v>1</v>
      </c>
      <c r="O932" s="49"/>
      <c r="P932" s="49" t="str">
        <f>IFERROR(__xludf.DUMMYFUNCTION("""COMPUTED_VALUE"""),"Offset")</f>
        <v>Offset</v>
      </c>
      <c r="Q932" s="49" t="str">
        <f>IFERROR(__xludf.DUMMYFUNCTION("""COMPUTED_VALUE"""),"Packaging")</f>
        <v>Packaging</v>
      </c>
      <c r="R932" s="49" t="str">
        <f>IFERROR(__xludf.DUMMYFUNCTION("""COMPUTED_VALUE"""),"FMCG")</f>
        <v>FMCG</v>
      </c>
    </row>
    <row r="933">
      <c r="A933" s="156" t="str">
        <f>IFERROR(__xludf.DUMMYFUNCTION("""COMPUTED_VALUE"""),"https://drive.google.com/open?id=1OjnEnSRx3DqKa6lX3dBJup_dTh-MHEur&amp;authuser=jay.agg%40gmail.com&amp;usp=drive_fs")</f>
        <v>https://drive.google.com/open?id=1OjnEnSRx3DqKa6lX3dBJup_dTh-MHEur&amp;authuser=jay.agg%40gmail.com&amp;usp=drive_fs</v>
      </c>
      <c r="B933" s="73" t="str">
        <f>IFERROR(__xludf.DUMMYFUNCTION("""COMPUTED_VALUE"""),"FMCG")</f>
        <v>FMCG</v>
      </c>
      <c r="C933" s="73" t="str">
        <f>IFERROR(__xludf.DUMMYFUNCTION("""COMPUTED_VALUE"""),"Naveda Fresh")</f>
        <v>Naveda Fresh</v>
      </c>
      <c r="D933" s="73" t="str">
        <f>IFERROR(__xludf.DUMMYFUNCTION("""COMPUTED_VALUE"""),"70*15*70 mm")</f>
        <v>70*15*70 mm</v>
      </c>
      <c r="E933" s="77">
        <f>IFERROR(__xludf.DUMMYFUNCTION("""COMPUTED_VALUE"""),12.0)</f>
        <v>12</v>
      </c>
      <c r="F933" s="77">
        <f>IFERROR(__xludf.DUMMYFUNCTION("""COMPUTED_VALUE"""),1926.0)</f>
        <v>1926</v>
      </c>
      <c r="G933" s="77">
        <f>IFERROR(__xludf.DUMMYFUNCTION("""COMPUTED_VALUE"""),18.0)</f>
        <v>18</v>
      </c>
      <c r="H933" s="77">
        <f>IFERROR(__xludf.DUMMYFUNCTION("""COMPUTED_VALUE"""),23.0)</f>
        <v>23</v>
      </c>
      <c r="I933" s="77">
        <f>IFERROR(__xludf.DUMMYFUNCTION("""COMPUTED_VALUE"""),100.0)</f>
        <v>100</v>
      </c>
      <c r="J933" s="73"/>
      <c r="K933" s="73"/>
      <c r="L933" s="73"/>
      <c r="M933" s="77">
        <f>IFERROR(__xludf.DUMMYFUNCTION("""COMPUTED_VALUE"""),0.1)</f>
        <v>0.1</v>
      </c>
      <c r="N933" s="77">
        <f>IFERROR(__xludf.DUMMYFUNCTION("""COMPUTED_VALUE"""),1.0)</f>
        <v>1</v>
      </c>
      <c r="O933" s="49"/>
      <c r="P933" s="49" t="str">
        <f>IFERROR(__xludf.DUMMYFUNCTION("""COMPUTED_VALUE"""),"Offset")</f>
        <v>Offset</v>
      </c>
      <c r="Q933" s="49" t="str">
        <f>IFERROR(__xludf.DUMMYFUNCTION("""COMPUTED_VALUE"""),"Packaging")</f>
        <v>Packaging</v>
      </c>
      <c r="R933" s="49" t="str">
        <f>IFERROR(__xludf.DUMMYFUNCTION("""COMPUTED_VALUE"""),"FMCG")</f>
        <v>FMCG</v>
      </c>
    </row>
    <row r="934">
      <c r="A934" s="156" t="str">
        <f>IFERROR(__xludf.DUMMYFUNCTION("""COMPUTED_VALUE"""),"https://drive.google.com/open?id=1P04o4rAY55J7bsOidLzLWHms53X-h9ty&amp;authuser=jay.agg%40gmail.com&amp;usp=drive_fs")</f>
        <v>https://drive.google.com/open?id=1P04o4rAY55J7bsOidLzLWHms53X-h9ty&amp;authuser=jay.agg%40gmail.com&amp;usp=drive_fs</v>
      </c>
      <c r="B934" s="73" t="str">
        <f>IFERROR(__xludf.DUMMYFUNCTION("""COMPUTED_VALUE"""),"FMCG")</f>
        <v>FMCG</v>
      </c>
      <c r="C934" s="73" t="str">
        <f>IFERROR(__xludf.DUMMYFUNCTION("""COMPUTED_VALUE"""),"Naveda Fresh")</f>
        <v>Naveda Fresh</v>
      </c>
      <c r="D934" s="73" t="str">
        <f>IFERROR(__xludf.DUMMYFUNCTION("""COMPUTED_VALUE"""),"75*65*75 mm")</f>
        <v>75*65*75 mm</v>
      </c>
      <c r="E934" s="77">
        <f>IFERROR(__xludf.DUMMYFUNCTION("""COMPUTED_VALUE"""),4.0)</f>
        <v>4</v>
      </c>
      <c r="F934" s="77">
        <f>IFERROR(__xludf.DUMMYFUNCTION("""COMPUTED_VALUE"""),1926.0)</f>
        <v>1926</v>
      </c>
      <c r="G934" s="77">
        <f>IFERROR(__xludf.DUMMYFUNCTION("""COMPUTED_VALUE"""),18.0)</f>
        <v>18</v>
      </c>
      <c r="H934" s="77">
        <f>IFERROR(__xludf.DUMMYFUNCTION("""COMPUTED_VALUE"""),23.0)</f>
        <v>23</v>
      </c>
      <c r="I934" s="77">
        <f>IFERROR(__xludf.DUMMYFUNCTION("""COMPUTED_VALUE"""),100.0)</f>
        <v>100</v>
      </c>
      <c r="J934" s="73"/>
      <c r="K934" s="73"/>
      <c r="L934" s="73"/>
      <c r="M934" s="77">
        <f>IFERROR(__xludf.DUMMYFUNCTION("""COMPUTED_VALUE"""),0.1)</f>
        <v>0.1</v>
      </c>
      <c r="N934" s="77">
        <f>IFERROR(__xludf.DUMMYFUNCTION("""COMPUTED_VALUE"""),1.0)</f>
        <v>1</v>
      </c>
      <c r="O934" s="49"/>
      <c r="P934" s="49" t="str">
        <f>IFERROR(__xludf.DUMMYFUNCTION("""COMPUTED_VALUE"""),"Offset")</f>
        <v>Offset</v>
      </c>
      <c r="Q934" s="49" t="str">
        <f>IFERROR(__xludf.DUMMYFUNCTION("""COMPUTED_VALUE"""),"Packaging")</f>
        <v>Packaging</v>
      </c>
      <c r="R934" s="49" t="str">
        <f>IFERROR(__xludf.DUMMYFUNCTION("""COMPUTED_VALUE"""),"FMCG")</f>
        <v>FMCG</v>
      </c>
    </row>
    <row r="935">
      <c r="A935" s="156" t="str">
        <f>IFERROR(__xludf.DUMMYFUNCTION("""COMPUTED_VALUE"""),"https://drive.google.com/open?id=1Obfmq9xBQVyDJRcGzAOm9Gp9Gw4ilESi&amp;authuser=jay.agg%40gmail.com&amp;usp=drive_fs")</f>
        <v>https://drive.google.com/open?id=1Obfmq9xBQVyDJRcGzAOm9Gp9Gw4ilESi&amp;authuser=jay.agg%40gmail.com&amp;usp=drive_fs</v>
      </c>
      <c r="B935" s="73" t="str">
        <f>IFERROR(__xludf.DUMMYFUNCTION("""COMPUTED_VALUE"""),"FMCG")</f>
        <v>FMCG</v>
      </c>
      <c r="C935" s="73" t="str">
        <f>IFERROR(__xludf.DUMMYFUNCTION("""COMPUTED_VALUE"""),"Coffee Cubes")</f>
        <v>Coffee Cubes</v>
      </c>
      <c r="D935" s="73" t="str">
        <f>IFERROR(__xludf.DUMMYFUNCTION("""COMPUTED_VALUE"""),"85*80*160 mm")</f>
        <v>85*80*160 mm</v>
      </c>
      <c r="E935" s="77">
        <f>IFERROR(__xludf.DUMMYFUNCTION("""COMPUTED_VALUE"""),2.0)</f>
        <v>2</v>
      </c>
      <c r="F935" s="77">
        <f>IFERROR(__xludf.DUMMYFUNCTION("""COMPUTED_VALUE"""),1926.0)</f>
        <v>1926</v>
      </c>
      <c r="G935" s="77">
        <f>IFERROR(__xludf.DUMMYFUNCTION("""COMPUTED_VALUE"""),15.0)</f>
        <v>15</v>
      </c>
      <c r="H935" s="77">
        <f>IFERROR(__xludf.DUMMYFUNCTION("""COMPUTED_VALUE"""),25.0)</f>
        <v>25</v>
      </c>
      <c r="I935" s="77">
        <f>IFERROR(__xludf.DUMMYFUNCTION("""COMPUTED_VALUE"""),100.0)</f>
        <v>100</v>
      </c>
      <c r="J935" s="73"/>
      <c r="K935" s="73"/>
      <c r="L935" s="73"/>
      <c r="M935" s="77">
        <f>IFERROR(__xludf.DUMMYFUNCTION("""COMPUTED_VALUE"""),0.1)</f>
        <v>0.1</v>
      </c>
      <c r="N935" s="77">
        <f>IFERROR(__xludf.DUMMYFUNCTION("""COMPUTED_VALUE"""),1.0)</f>
        <v>1</v>
      </c>
      <c r="O935" s="49"/>
      <c r="P935" s="49" t="str">
        <f>IFERROR(__xludf.DUMMYFUNCTION("""COMPUTED_VALUE"""),"Offset")</f>
        <v>Offset</v>
      </c>
      <c r="Q935" s="49" t="str">
        <f>IFERROR(__xludf.DUMMYFUNCTION("""COMPUTED_VALUE"""),"Packaging")</f>
        <v>Packaging</v>
      </c>
      <c r="R935" s="49" t="str">
        <f>IFERROR(__xludf.DUMMYFUNCTION("""COMPUTED_VALUE"""),"FMCG")</f>
        <v>FMCG</v>
      </c>
    </row>
    <row r="936">
      <c r="A936" s="156" t="str">
        <f>IFERROR(__xludf.DUMMYFUNCTION("""COMPUTED_VALUE"""),"https://drive.google.com/open?id=1OeW9KKcX2n_QCtgWhJW9Df73VVOq1Nrd&amp;authuser=jay.agg%40gmail.com&amp;usp=drive_fs")</f>
        <v>https://drive.google.com/open?id=1OeW9KKcX2n_QCtgWhJW9Df73VVOq1Nrd&amp;authuser=jay.agg%40gmail.com&amp;usp=drive_fs</v>
      </c>
      <c r="B936" s="73" t="str">
        <f>IFERROR(__xludf.DUMMYFUNCTION("""COMPUTED_VALUE"""),"FMCG")</f>
        <v>FMCG</v>
      </c>
      <c r="C936" s="73" t="str">
        <f>IFERROR(__xludf.DUMMYFUNCTION("""COMPUTED_VALUE"""),"Coffee Cubes")</f>
        <v>Coffee Cubes</v>
      </c>
      <c r="D936" s="73" t="str">
        <f>IFERROR(__xludf.DUMMYFUNCTION("""COMPUTED_VALUE"""),"85*160*160 mm")</f>
        <v>85*160*160 mm</v>
      </c>
      <c r="E936" s="77">
        <f>IFERROR(__xludf.DUMMYFUNCTION("""COMPUTED_VALUE"""),1.0)</f>
        <v>1</v>
      </c>
      <c r="F936" s="77">
        <f>IFERROR(__xludf.DUMMYFUNCTION("""COMPUTED_VALUE"""),1926.0)</f>
        <v>1926</v>
      </c>
      <c r="G936" s="77">
        <f>IFERROR(__xludf.DUMMYFUNCTION("""COMPUTED_VALUE"""),15.0)</f>
        <v>15</v>
      </c>
      <c r="H936" s="77">
        <f>IFERROR(__xludf.DUMMYFUNCTION("""COMPUTED_VALUE"""),20.0)</f>
        <v>20</v>
      </c>
      <c r="I936" s="77">
        <f>IFERROR(__xludf.DUMMYFUNCTION("""COMPUTED_VALUE"""),100.0)</f>
        <v>100</v>
      </c>
      <c r="J936" s="73"/>
      <c r="K936" s="73"/>
      <c r="L936" s="73"/>
      <c r="M936" s="77">
        <f>IFERROR(__xludf.DUMMYFUNCTION("""COMPUTED_VALUE"""),0.1)</f>
        <v>0.1</v>
      </c>
      <c r="N936" s="77">
        <f>IFERROR(__xludf.DUMMYFUNCTION("""COMPUTED_VALUE"""),1.0)</f>
        <v>1</v>
      </c>
      <c r="O936" s="49"/>
      <c r="P936" s="49" t="str">
        <f>IFERROR(__xludf.DUMMYFUNCTION("""COMPUTED_VALUE"""),"Offset")</f>
        <v>Offset</v>
      </c>
      <c r="Q936" s="49" t="str">
        <f>IFERROR(__xludf.DUMMYFUNCTION("""COMPUTED_VALUE"""),"Packaging")</f>
        <v>Packaging</v>
      </c>
      <c r="R936" s="49" t="str">
        <f>IFERROR(__xludf.DUMMYFUNCTION("""COMPUTED_VALUE"""),"FMCG")</f>
        <v>FMCG</v>
      </c>
    </row>
    <row r="937">
      <c r="A937" s="156" t="str">
        <f>IFERROR(__xludf.DUMMYFUNCTION("""COMPUTED_VALUE"""),"https://drive.google.com/open?id=1P7II6393OPwxKUYIEej2VhlxLndSF_pR&amp;authuser=jay.agg%40gmail.com&amp;usp=drive_fs")</f>
        <v>https://drive.google.com/open?id=1P7II6393OPwxKUYIEej2VhlxLndSF_pR&amp;authuser=jay.agg%40gmail.com&amp;usp=drive_fs</v>
      </c>
      <c r="B937" s="73" t="str">
        <f>IFERROR(__xludf.DUMMYFUNCTION("""COMPUTED_VALUE"""),"FMCG")</f>
        <v>FMCG</v>
      </c>
      <c r="C937" s="73" t="str">
        <f>IFERROR(__xludf.DUMMYFUNCTION("""COMPUTED_VALUE"""),"Detergent")</f>
        <v>Detergent</v>
      </c>
      <c r="D937" s="73" t="str">
        <f>IFERROR(__xludf.DUMMYFUNCTION("""COMPUTED_VALUE"""),"150*60*200 mm")</f>
        <v>150*60*200 mm</v>
      </c>
      <c r="E937" s="77">
        <f>IFERROR(__xludf.DUMMYFUNCTION("""COMPUTED_VALUE"""),2.0)</f>
        <v>2</v>
      </c>
      <c r="F937" s="77">
        <f>IFERROR(__xludf.DUMMYFUNCTION("""COMPUTED_VALUE"""),1926.0)</f>
        <v>1926</v>
      </c>
      <c r="G937" s="77">
        <f>IFERROR(__xludf.DUMMYFUNCTION("""COMPUTED_VALUE"""),18.0)</f>
        <v>18</v>
      </c>
      <c r="H937" s="77">
        <f>IFERROR(__xludf.DUMMYFUNCTION("""COMPUTED_VALUE"""),25.0)</f>
        <v>25</v>
      </c>
      <c r="I937" s="77">
        <f>IFERROR(__xludf.DUMMYFUNCTION("""COMPUTED_VALUE"""),100.0)</f>
        <v>100</v>
      </c>
      <c r="J937" s="73"/>
      <c r="K937" s="73"/>
      <c r="L937" s="73"/>
      <c r="M937" s="77">
        <f>IFERROR(__xludf.DUMMYFUNCTION("""COMPUTED_VALUE"""),0.1)</f>
        <v>0.1</v>
      </c>
      <c r="N937" s="77">
        <f>IFERROR(__xludf.DUMMYFUNCTION("""COMPUTED_VALUE"""),1.0)</f>
        <v>1</v>
      </c>
      <c r="O937" s="49"/>
      <c r="P937" s="49" t="str">
        <f>IFERROR(__xludf.DUMMYFUNCTION("""COMPUTED_VALUE"""),"Offset")</f>
        <v>Offset</v>
      </c>
      <c r="Q937" s="49" t="str">
        <f>IFERROR(__xludf.DUMMYFUNCTION("""COMPUTED_VALUE"""),"Packaging")</f>
        <v>Packaging</v>
      </c>
      <c r="R937" s="49" t="str">
        <f>IFERROR(__xludf.DUMMYFUNCTION("""COMPUTED_VALUE"""),"FMCG")</f>
        <v>FMCG</v>
      </c>
    </row>
    <row r="938">
      <c r="A938" s="156" t="str">
        <f>IFERROR(__xludf.DUMMYFUNCTION("""COMPUTED_VALUE"""),"https://drive.google.com/open?id=1OZ42Nq8h_Rr0Km_shdjHPNAkUHSDwjSt&amp;authuser=jay.agg%40gmail.com&amp;usp=drive_fs")</f>
        <v>https://drive.google.com/open?id=1OZ42Nq8h_Rr0Km_shdjHPNAkUHSDwjSt&amp;authuser=jay.agg%40gmail.com&amp;usp=drive_fs</v>
      </c>
      <c r="B938" s="73" t="str">
        <f>IFERROR(__xludf.DUMMYFUNCTION("""COMPUTED_VALUE"""),"FMCG")</f>
        <v>FMCG</v>
      </c>
      <c r="C938" s="73" t="str">
        <f>IFERROR(__xludf.DUMMYFUNCTION("""COMPUTED_VALUE"""),"Ready to EAT")</f>
        <v>Ready to EAT</v>
      </c>
      <c r="D938" s="73" t="str">
        <f>IFERROR(__xludf.DUMMYFUNCTION("""COMPUTED_VALUE"""),"140*25*160 mm")</f>
        <v>140*25*160 mm</v>
      </c>
      <c r="E938" s="77">
        <f>IFERROR(__xludf.DUMMYFUNCTION("""COMPUTED_VALUE"""),2.0)</f>
        <v>2</v>
      </c>
      <c r="F938" s="77">
        <f>IFERROR(__xludf.DUMMYFUNCTION("""COMPUTED_VALUE"""),1926.0)</f>
        <v>1926</v>
      </c>
      <c r="G938" s="77">
        <f>IFERROR(__xludf.DUMMYFUNCTION("""COMPUTED_VALUE"""),14.0)</f>
        <v>14</v>
      </c>
      <c r="H938" s="77">
        <f>IFERROR(__xludf.DUMMYFUNCTION("""COMPUTED_VALUE"""),20.0)</f>
        <v>20</v>
      </c>
      <c r="I938" s="77">
        <f>IFERROR(__xludf.DUMMYFUNCTION("""COMPUTED_VALUE"""),100.0)</f>
        <v>100</v>
      </c>
      <c r="J938" s="73"/>
      <c r="K938" s="73"/>
      <c r="L938" s="73"/>
      <c r="M938" s="77">
        <f>IFERROR(__xludf.DUMMYFUNCTION("""COMPUTED_VALUE"""),0.1)</f>
        <v>0.1</v>
      </c>
      <c r="N938" s="77">
        <f>IFERROR(__xludf.DUMMYFUNCTION("""COMPUTED_VALUE"""),1.0)</f>
        <v>1</v>
      </c>
      <c r="O938" s="49"/>
      <c r="P938" s="49" t="str">
        <f>IFERROR(__xludf.DUMMYFUNCTION("""COMPUTED_VALUE"""),"Offset")</f>
        <v>Offset</v>
      </c>
      <c r="Q938" s="49" t="str">
        <f>IFERROR(__xludf.DUMMYFUNCTION("""COMPUTED_VALUE"""),"Packaging")</f>
        <v>Packaging</v>
      </c>
      <c r="R938" s="49" t="str">
        <f>IFERROR(__xludf.DUMMYFUNCTION("""COMPUTED_VALUE"""),"FMCG")</f>
        <v>FMCG</v>
      </c>
    </row>
    <row r="939">
      <c r="A939" s="156" t="str">
        <f>IFERROR(__xludf.DUMMYFUNCTION("""COMPUTED_VALUE"""),"https://drive.google.com/open?id=1Q02xEFu0u54IsdwnJR8W_VJp1TRzyirb&amp;authuser=jay.agg%40gmail.com&amp;usp=drive_fs")</f>
        <v>https://drive.google.com/open?id=1Q02xEFu0u54IsdwnJR8W_VJp1TRzyirb&amp;authuser=jay.agg%40gmail.com&amp;usp=drive_fs</v>
      </c>
      <c r="B939" s="73" t="str">
        <f>IFERROR(__xludf.DUMMYFUNCTION("""COMPUTED_VALUE"""),"FMCG")</f>
        <v>FMCG</v>
      </c>
      <c r="C939" s="73" t="str">
        <f>IFERROR(__xludf.DUMMYFUNCTION("""COMPUTED_VALUE"""),"Foil")</f>
        <v>Foil</v>
      </c>
      <c r="D939" s="73" t="str">
        <f>IFERROR(__xludf.DUMMYFUNCTION("""COMPUTED_VALUE"""),"9mtr 310*44 mm ZIPCUT")</f>
        <v>9mtr 310*44 mm ZIPCUT</v>
      </c>
      <c r="E939" s="77">
        <f>IFERROR(__xludf.DUMMYFUNCTION("""COMPUTED_VALUE"""),3.0)</f>
        <v>3</v>
      </c>
      <c r="F939" s="77">
        <f>IFERROR(__xludf.DUMMYFUNCTION("""COMPUTED_VALUE"""),1926.0)</f>
        <v>1926</v>
      </c>
      <c r="G939" s="77">
        <f>IFERROR(__xludf.DUMMYFUNCTION("""COMPUTED_VALUE"""),18.0)</f>
        <v>18</v>
      </c>
      <c r="H939" s="77">
        <f>IFERROR(__xludf.DUMMYFUNCTION("""COMPUTED_VALUE"""),25.0)</f>
        <v>25</v>
      </c>
      <c r="I939" s="77">
        <f>IFERROR(__xludf.DUMMYFUNCTION("""COMPUTED_VALUE"""),100.0)</f>
        <v>100</v>
      </c>
      <c r="J939" s="73"/>
      <c r="K939" s="73"/>
      <c r="L939" s="73"/>
      <c r="M939" s="77">
        <f>IFERROR(__xludf.DUMMYFUNCTION("""COMPUTED_VALUE"""),0.1)</f>
        <v>0.1</v>
      </c>
      <c r="N939" s="77">
        <f>IFERROR(__xludf.DUMMYFUNCTION("""COMPUTED_VALUE"""),1.0)</f>
        <v>1</v>
      </c>
      <c r="O939" s="49"/>
      <c r="P939" s="49" t="str">
        <f>IFERROR(__xludf.DUMMYFUNCTION("""COMPUTED_VALUE"""),"Offset")</f>
        <v>Offset</v>
      </c>
      <c r="Q939" s="49" t="str">
        <f>IFERROR(__xludf.DUMMYFUNCTION("""COMPUTED_VALUE"""),"Packaging")</f>
        <v>Packaging</v>
      </c>
      <c r="R939" s="49" t="str">
        <f>IFERROR(__xludf.DUMMYFUNCTION("""COMPUTED_VALUE"""),"FMCG")</f>
        <v>FMCG</v>
      </c>
    </row>
    <row r="940">
      <c r="A940" s="156" t="str">
        <f>IFERROR(__xludf.DUMMYFUNCTION("""COMPUTED_VALUE"""),"https://drive.google.com/open?id=1nn4LIuJwrbap4nFAmaTN3xy_VshZMcbi&amp;authuser=jay.agg%40gmail.com&amp;usp=drive_fs")</f>
        <v>https://drive.google.com/open?id=1nn4LIuJwrbap4nFAmaTN3xy_VshZMcbi&amp;authuser=jay.agg%40gmail.com&amp;usp=drive_fs</v>
      </c>
      <c r="B940" s="73" t="str">
        <f>IFERROR(__xludf.DUMMYFUNCTION("""COMPUTED_VALUE"""),"FMCG")</f>
        <v>FMCG</v>
      </c>
      <c r="C940" s="73" t="str">
        <f>IFERROR(__xludf.DUMMYFUNCTION("""COMPUTED_VALUE"""),"Cookies")</f>
        <v>Cookies</v>
      </c>
      <c r="D940" s="73" t="str">
        <f>IFERROR(__xludf.DUMMYFUNCTION("""COMPUTED_VALUE"""),"68*68*150 mm")</f>
        <v>68*68*150 mm</v>
      </c>
      <c r="E940" s="77">
        <f>IFERROR(__xludf.DUMMYFUNCTION("""COMPUTED_VALUE"""),2.0)</f>
        <v>2</v>
      </c>
      <c r="F940" s="77">
        <f>IFERROR(__xludf.DUMMYFUNCTION("""COMPUTED_VALUE"""),1926.0)</f>
        <v>1926</v>
      </c>
      <c r="G940" s="77">
        <f>IFERROR(__xludf.DUMMYFUNCTION("""COMPUTED_VALUE"""),13.0)</f>
        <v>13</v>
      </c>
      <c r="H940" s="77">
        <f>IFERROR(__xludf.DUMMYFUNCTION("""COMPUTED_VALUE"""),23.0)</f>
        <v>23</v>
      </c>
      <c r="I940" s="77">
        <f>IFERROR(__xludf.DUMMYFUNCTION("""COMPUTED_VALUE"""),100.0)</f>
        <v>100</v>
      </c>
      <c r="J940" s="73"/>
      <c r="K940" s="73"/>
      <c r="L940" s="73"/>
      <c r="M940" s="77">
        <f>IFERROR(__xludf.DUMMYFUNCTION("""COMPUTED_VALUE"""),0.1)</f>
        <v>0.1</v>
      </c>
      <c r="N940" s="77">
        <f>IFERROR(__xludf.DUMMYFUNCTION("""COMPUTED_VALUE"""),1.0)</f>
        <v>1</v>
      </c>
      <c r="O940" s="49"/>
      <c r="P940" s="49" t="str">
        <f>IFERROR(__xludf.DUMMYFUNCTION("""COMPUTED_VALUE"""),"Offset")</f>
        <v>Offset</v>
      </c>
      <c r="Q940" s="49" t="str">
        <f>IFERROR(__xludf.DUMMYFUNCTION("""COMPUTED_VALUE"""),"Packaging")</f>
        <v>Packaging</v>
      </c>
      <c r="R940" s="49" t="str">
        <f>IFERROR(__xludf.DUMMYFUNCTION("""COMPUTED_VALUE"""),"FMCG")</f>
        <v>FMCG</v>
      </c>
    </row>
    <row r="941">
      <c r="A941" s="156" t="str">
        <f>IFERROR(__xludf.DUMMYFUNCTION("""COMPUTED_VALUE"""),"https://drive.google.com/open?id=1niGZJZLc1lqmPQJRc13vkitT2o8NwNT2&amp;authuser=jay.agg%40gmail.com&amp;usp=drive_fs")</f>
        <v>https://drive.google.com/open?id=1niGZJZLc1lqmPQJRc13vkitT2o8NwNT2&amp;authuser=jay.agg%40gmail.com&amp;usp=drive_fs</v>
      </c>
      <c r="B941" s="73" t="str">
        <f>IFERROR(__xludf.DUMMYFUNCTION("""COMPUTED_VALUE"""),"FMCG")</f>
        <v>FMCG</v>
      </c>
      <c r="C941" s="73" t="str">
        <f>IFERROR(__xludf.DUMMYFUNCTION("""COMPUTED_VALUE"""),"Cookies")</f>
        <v>Cookies</v>
      </c>
      <c r="D941" s="73" t="str">
        <f>IFERROR(__xludf.DUMMYFUNCTION("""COMPUTED_VALUE"""),"68*68*115 mm")</f>
        <v>68*68*115 mm</v>
      </c>
      <c r="E941" s="77">
        <f>IFERROR(__xludf.DUMMYFUNCTION("""COMPUTED_VALUE"""),2.0)</f>
        <v>2</v>
      </c>
      <c r="F941" s="77">
        <f>IFERROR(__xludf.DUMMYFUNCTION("""COMPUTED_VALUE"""),1926.0)</f>
        <v>1926</v>
      </c>
      <c r="G941" s="77">
        <f>IFERROR(__xludf.DUMMYFUNCTION("""COMPUTED_VALUE"""),13.0)</f>
        <v>13</v>
      </c>
      <c r="H941" s="77">
        <f>IFERROR(__xludf.DUMMYFUNCTION("""COMPUTED_VALUE"""),19.5)</f>
        <v>19.5</v>
      </c>
      <c r="I941" s="77">
        <f>IFERROR(__xludf.DUMMYFUNCTION("""COMPUTED_VALUE"""),100.0)</f>
        <v>100</v>
      </c>
      <c r="J941" s="73"/>
      <c r="K941" s="73"/>
      <c r="L941" s="73"/>
      <c r="M941" s="77">
        <f>IFERROR(__xludf.DUMMYFUNCTION("""COMPUTED_VALUE"""),0.1)</f>
        <v>0.1</v>
      </c>
      <c r="N941" s="77">
        <f>IFERROR(__xludf.DUMMYFUNCTION("""COMPUTED_VALUE"""),1.0)</f>
        <v>1</v>
      </c>
      <c r="O941" s="49"/>
      <c r="P941" s="49" t="str">
        <f>IFERROR(__xludf.DUMMYFUNCTION("""COMPUTED_VALUE"""),"Offset")</f>
        <v>Offset</v>
      </c>
      <c r="Q941" s="49" t="str">
        <f>IFERROR(__xludf.DUMMYFUNCTION("""COMPUTED_VALUE"""),"Packaging")</f>
        <v>Packaging</v>
      </c>
      <c r="R941" s="49" t="str">
        <f>IFERROR(__xludf.DUMMYFUNCTION("""COMPUTED_VALUE"""),"FMCG")</f>
        <v>FMCG</v>
      </c>
    </row>
    <row r="942">
      <c r="A942" s="156" t="str">
        <f>IFERROR(__xludf.DUMMYFUNCTION("""COMPUTED_VALUE"""),"https://drive.google.com/open?id=1suG0BvUaNvjp8lkXGDcPSyTBhrQtZEFB&amp;authuser=jay.agg%40gmail.com&amp;usp=drive_fs")</f>
        <v>https://drive.google.com/open?id=1suG0BvUaNvjp8lkXGDcPSyTBhrQtZEFB&amp;authuser=jay.agg%40gmail.com&amp;usp=drive_fs</v>
      </c>
      <c r="B942" s="73" t="str">
        <f>IFERROR(__xludf.DUMMYFUNCTION("""COMPUTED_VALUE"""),"FMCG")</f>
        <v>FMCG</v>
      </c>
      <c r="C942" s="73" t="str">
        <f>IFERROR(__xludf.DUMMYFUNCTION("""COMPUTED_VALUE"""),"Tobacco")</f>
        <v>Tobacco</v>
      </c>
      <c r="D942" s="73" t="str">
        <f>IFERROR(__xludf.DUMMYFUNCTION("""COMPUTED_VALUE"""),"216*106*156 mm")</f>
        <v>216*106*156 mm</v>
      </c>
      <c r="E942" s="77">
        <f>IFERROR(__xludf.DUMMYFUNCTION("""COMPUTED_VALUE"""),1.0)</f>
        <v>1</v>
      </c>
      <c r="F942" s="77">
        <f>IFERROR(__xludf.DUMMYFUNCTION("""COMPUTED_VALUE"""),1926.0)</f>
        <v>1926</v>
      </c>
      <c r="G942" s="77">
        <f>IFERROR(__xludf.DUMMYFUNCTION("""COMPUTED_VALUE"""),21.0)</f>
        <v>21</v>
      </c>
      <c r="H942" s="77">
        <f>IFERROR(__xludf.DUMMYFUNCTION("""COMPUTED_VALUE"""),26.0)</f>
        <v>26</v>
      </c>
      <c r="I942" s="77">
        <f>IFERROR(__xludf.DUMMYFUNCTION("""COMPUTED_VALUE"""),100.0)</f>
        <v>100</v>
      </c>
      <c r="J942" s="73"/>
      <c r="K942" s="73"/>
      <c r="L942" s="73"/>
      <c r="M942" s="77">
        <f>IFERROR(__xludf.DUMMYFUNCTION("""COMPUTED_VALUE"""),0.16)</f>
        <v>0.16</v>
      </c>
      <c r="N942" s="77">
        <f>IFERROR(__xludf.DUMMYFUNCTION("""COMPUTED_VALUE"""),1.0)</f>
        <v>1</v>
      </c>
      <c r="O942" s="49"/>
      <c r="P942" s="49" t="str">
        <f>IFERROR(__xludf.DUMMYFUNCTION("""COMPUTED_VALUE"""),"Offset")</f>
        <v>Offset</v>
      </c>
      <c r="Q942" s="49" t="str">
        <f>IFERROR(__xludf.DUMMYFUNCTION("""COMPUTED_VALUE"""),"Packaging")</f>
        <v>Packaging</v>
      </c>
      <c r="R942" s="49" t="str">
        <f>IFERROR(__xludf.DUMMYFUNCTION("""COMPUTED_VALUE"""),"FMCG")</f>
        <v>FMCG</v>
      </c>
    </row>
    <row r="943">
      <c r="A943" s="156" t="str">
        <f>IFERROR(__xludf.DUMMYFUNCTION("""COMPUTED_VALUE"""),"https://drive.google.com/open?id=1Bistb2N3boPlvwT1QLLlmDhQ2JrQ_J1s&amp;authuser=jay.agg%40gmail.com&amp;usp=drive_fs")</f>
        <v>https://drive.google.com/open?id=1Bistb2N3boPlvwT1QLLlmDhQ2JrQ_J1s&amp;authuser=jay.agg%40gmail.com&amp;usp=drive_fs</v>
      </c>
      <c r="B943" s="73" t="str">
        <f>IFERROR(__xludf.DUMMYFUNCTION("""COMPUTED_VALUE"""),"FMCG")</f>
        <v>FMCG</v>
      </c>
      <c r="C943" s="73" t="str">
        <f>IFERROR(__xludf.DUMMYFUNCTION("""COMPUTED_VALUE"""),"Zip Pouch")</f>
        <v>Zip Pouch</v>
      </c>
      <c r="D943" s="73" t="str">
        <f>IFERROR(__xludf.DUMMYFUNCTION("""COMPUTED_VALUE"""),"305*102*76 mm | 12*4*3 inch")</f>
        <v>305*102*76 mm | 12*4*3 inch</v>
      </c>
      <c r="E943" s="77">
        <f>IFERROR(__xludf.DUMMYFUNCTION("""COMPUTED_VALUE"""),2.0)</f>
        <v>2</v>
      </c>
      <c r="F943" s="77">
        <f>IFERROR(__xludf.DUMMYFUNCTION("""COMPUTED_VALUE"""),2029.0)</f>
        <v>2029</v>
      </c>
      <c r="G943" s="77">
        <f>IFERROR(__xludf.DUMMYFUNCTION("""COMPUTED_VALUE"""),20.5)</f>
        <v>20.5</v>
      </c>
      <c r="H943" s="77">
        <f>IFERROR(__xludf.DUMMYFUNCTION("""COMPUTED_VALUE"""),30.5)</f>
        <v>30.5</v>
      </c>
      <c r="I943" s="77">
        <f>IFERROR(__xludf.DUMMYFUNCTION("""COMPUTED_VALUE"""),100.0)</f>
        <v>100</v>
      </c>
      <c r="J943" s="73"/>
      <c r="K943" s="73"/>
      <c r="L943" s="73"/>
      <c r="M943" s="77">
        <f>IFERROR(__xludf.DUMMYFUNCTION("""COMPUTED_VALUE"""),0.1)</f>
        <v>0.1</v>
      </c>
      <c r="N943" s="77">
        <f>IFERROR(__xludf.DUMMYFUNCTION("""COMPUTED_VALUE"""),1.0)</f>
        <v>1</v>
      </c>
      <c r="O943" s="49"/>
      <c r="P943" s="49" t="str">
        <f>IFERROR(__xludf.DUMMYFUNCTION("""COMPUTED_VALUE"""),"Offset")</f>
        <v>Offset</v>
      </c>
      <c r="Q943" s="49" t="str">
        <f>IFERROR(__xludf.DUMMYFUNCTION("""COMPUTED_VALUE"""),"Packaging")</f>
        <v>Packaging</v>
      </c>
      <c r="R943" s="49" t="str">
        <f>IFERROR(__xludf.DUMMYFUNCTION("""COMPUTED_VALUE"""),"FMCG")</f>
        <v>FMCG</v>
      </c>
    </row>
    <row r="944">
      <c r="A944" s="156" t="str">
        <f>IFERROR(__xludf.DUMMYFUNCTION("""COMPUTED_VALUE"""),"https://drive.google.com/open?id=1BjqNqY__bc62-fvDPGIB4XSD2ax_0hlu&amp;authuser=jay.agg%40gmail.com&amp;usp=drive_fs")</f>
        <v>https://drive.google.com/open?id=1BjqNqY__bc62-fvDPGIB4XSD2ax_0hlu&amp;authuser=jay.agg%40gmail.com&amp;usp=drive_fs</v>
      </c>
      <c r="B944" s="73" t="str">
        <f>IFERROR(__xludf.DUMMYFUNCTION("""COMPUTED_VALUE"""),"FMCG")</f>
        <v>FMCG</v>
      </c>
      <c r="C944" s="73" t="str">
        <f>IFERROR(__xludf.DUMMYFUNCTION("""COMPUTED_VALUE"""),"Diaper")</f>
        <v>Diaper</v>
      </c>
      <c r="D944" s="73" t="str">
        <f>IFERROR(__xludf.DUMMYFUNCTION("""COMPUTED_VALUE"""),"305*229*64 mm | 12*9*2.5 inch W 11*7")</f>
        <v>305*229*64 mm | 12*9*2.5 inch W 11*7</v>
      </c>
      <c r="E944" s="77">
        <f>IFERROR(__xludf.DUMMYFUNCTION("""COMPUTED_VALUE"""),1.0)</f>
        <v>1</v>
      </c>
      <c r="F944" s="77">
        <f>IFERROR(__xludf.DUMMYFUNCTION("""COMPUTED_VALUE"""),1926.0)</f>
        <v>1926</v>
      </c>
      <c r="G944" s="77">
        <f>IFERROR(__xludf.DUMMYFUNCTION("""COMPUTED_VALUE"""),18.0)</f>
        <v>18</v>
      </c>
      <c r="H944" s="77">
        <f>IFERROR(__xludf.DUMMYFUNCTION("""COMPUTED_VALUE"""),25.0)</f>
        <v>25</v>
      </c>
      <c r="I944" s="77">
        <f>IFERROR(__xludf.DUMMYFUNCTION("""COMPUTED_VALUE"""),100.0)</f>
        <v>100</v>
      </c>
      <c r="J944" s="73"/>
      <c r="K944" s="73"/>
      <c r="L944" s="73">
        <f>IFERROR(__xludf.DUMMYFUNCTION("""COMPUTED_VALUE"""),2.5)</f>
        <v>2.5</v>
      </c>
      <c r="M944" s="77">
        <f>IFERROR(__xludf.DUMMYFUNCTION("""COMPUTED_VALUE"""),0.12)</f>
        <v>0.12</v>
      </c>
      <c r="N944" s="77">
        <f>IFERROR(__xludf.DUMMYFUNCTION("""COMPUTED_VALUE"""),1.0)</f>
        <v>1</v>
      </c>
      <c r="O944" s="49"/>
      <c r="P944" s="49" t="str">
        <f>IFERROR(__xludf.DUMMYFUNCTION("""COMPUTED_VALUE"""),"Offset")</f>
        <v>Offset</v>
      </c>
      <c r="Q944" s="49" t="str">
        <f>IFERROR(__xludf.DUMMYFUNCTION("""COMPUTED_VALUE"""),"Packaging")</f>
        <v>Packaging</v>
      </c>
      <c r="R944" s="49" t="str">
        <f>IFERROR(__xludf.DUMMYFUNCTION("""COMPUTED_VALUE"""),"FMCG")</f>
        <v>FMCG</v>
      </c>
    </row>
    <row r="945">
      <c r="A945" s="156" t="str">
        <f>IFERROR(__xludf.DUMMYFUNCTION("""COMPUTED_VALUE"""),"https://drive.google.com/open?id=1BqAz4P1lqiGRfG58eM8N39U4aqGfBXjK&amp;authuser=jay.agg%40gmail.com&amp;usp=drive_fs")</f>
        <v>https://drive.google.com/open?id=1BqAz4P1lqiGRfG58eM8N39U4aqGfBXjK&amp;authuser=jay.agg%40gmail.com&amp;usp=drive_fs</v>
      </c>
      <c r="B945" s="73" t="str">
        <f>IFERROR(__xludf.DUMMYFUNCTION("""COMPUTED_VALUE"""),"FMCG")</f>
        <v>FMCG</v>
      </c>
      <c r="C945" s="73" t="str">
        <f>IFERROR(__xludf.DUMMYFUNCTION("""COMPUTED_VALUE"""),"Foil")</f>
        <v>Foil</v>
      </c>
      <c r="D945" s="73" t="str">
        <f>IFERROR(__xludf.DUMMYFUNCTION("""COMPUTED_VALUE"""),"318*50*50 mm | 12.5*2.5*2.5 inch")</f>
        <v>318*50*50 mm | 12.5*2.5*2.5 inch</v>
      </c>
      <c r="E945" s="77">
        <f>IFERROR(__xludf.DUMMYFUNCTION("""COMPUTED_VALUE"""),2.0)</f>
        <v>2</v>
      </c>
      <c r="F945" s="77">
        <f>IFERROR(__xludf.DUMMYFUNCTION("""COMPUTED_VALUE"""),1926.0)</f>
        <v>1926</v>
      </c>
      <c r="G945" s="77">
        <f>IFERROR(__xludf.DUMMYFUNCTION("""COMPUTED_VALUE"""),18.0)</f>
        <v>18</v>
      </c>
      <c r="H945" s="77">
        <f>IFERROR(__xludf.DUMMYFUNCTION("""COMPUTED_VALUE"""),20.0)</f>
        <v>20</v>
      </c>
      <c r="I945" s="77">
        <f>IFERROR(__xludf.DUMMYFUNCTION("""COMPUTED_VALUE"""),100.0)</f>
        <v>100</v>
      </c>
      <c r="J945" s="73"/>
      <c r="K945" s="73"/>
      <c r="L945" s="73"/>
      <c r="M945" s="77">
        <f>IFERROR(__xludf.DUMMYFUNCTION("""COMPUTED_VALUE"""),0.1)</f>
        <v>0.1</v>
      </c>
      <c r="N945" s="77">
        <f>IFERROR(__xludf.DUMMYFUNCTION("""COMPUTED_VALUE"""),1.0)</f>
        <v>1</v>
      </c>
      <c r="O945" s="49"/>
      <c r="P945" s="49" t="str">
        <f>IFERROR(__xludf.DUMMYFUNCTION("""COMPUTED_VALUE"""),"Offset")</f>
        <v>Offset</v>
      </c>
      <c r="Q945" s="49" t="str">
        <f>IFERROR(__xludf.DUMMYFUNCTION("""COMPUTED_VALUE"""),"Packaging")</f>
        <v>Packaging</v>
      </c>
      <c r="R945" s="49" t="str">
        <f>IFERROR(__xludf.DUMMYFUNCTION("""COMPUTED_VALUE"""),"FMCG")</f>
        <v>FMCG</v>
      </c>
    </row>
    <row r="946">
      <c r="A946" s="156" t="str">
        <f>IFERROR(__xludf.DUMMYFUNCTION("""COMPUTED_VALUE"""),"https://drive.google.com/open?id=1FfeiVDr8o26516PRoz2xmlK-abtDTJIh&amp;authuser=jay.agg%40gmail.com&amp;usp=drive_fs")</f>
        <v>https://drive.google.com/open?id=1FfeiVDr8o26516PRoz2xmlK-abtDTJIh&amp;authuser=jay.agg%40gmail.com&amp;usp=drive_fs</v>
      </c>
      <c r="B946" s="73" t="str">
        <f>IFERROR(__xludf.DUMMYFUNCTION("""COMPUTED_VALUE"""),"FMCG")</f>
        <v>FMCG</v>
      </c>
      <c r="C946" s="73" t="str">
        <f>IFERROR(__xludf.DUMMYFUNCTION("""COMPUTED_VALUE"""),"Bubble Gum")</f>
        <v>Bubble Gum</v>
      </c>
      <c r="D946" s="73" t="str">
        <f>IFERROR(__xludf.DUMMYFUNCTION("""COMPUTED_VALUE"""),"109*109*58 mm | 4.29*4.29*2.28 inch LB")</f>
        <v>109*109*58 mm | 4.29*4.29*2.28 inch LB</v>
      </c>
      <c r="E946" s="77">
        <f>IFERROR(__xludf.DUMMYFUNCTION("""COMPUTED_VALUE"""),3.0)</f>
        <v>3</v>
      </c>
      <c r="F946" s="77">
        <f>IFERROR(__xludf.DUMMYFUNCTION("""COMPUTED_VALUE"""),2029.0)</f>
        <v>2029</v>
      </c>
      <c r="G946" s="77">
        <f>IFERROR(__xludf.DUMMYFUNCTION("""COMPUTED_VALUE"""),18.0)</f>
        <v>18</v>
      </c>
      <c r="H946" s="77">
        <f>IFERROR(__xludf.DUMMYFUNCTION("""COMPUTED_VALUE"""),25.0)</f>
        <v>25</v>
      </c>
      <c r="I946" s="77">
        <f>IFERROR(__xludf.DUMMYFUNCTION("""COMPUTED_VALUE"""),100.0)</f>
        <v>100</v>
      </c>
      <c r="J946" s="73"/>
      <c r="K946" s="73"/>
      <c r="L946" s="73"/>
      <c r="M946" s="77">
        <f>IFERROR(__xludf.DUMMYFUNCTION("""COMPUTED_VALUE"""),0.16)</f>
        <v>0.16</v>
      </c>
      <c r="N946" s="77">
        <f>IFERROR(__xludf.DUMMYFUNCTION("""COMPUTED_VALUE"""),1.0)</f>
        <v>1</v>
      </c>
      <c r="O946" s="49"/>
      <c r="P946" s="49" t="str">
        <f>IFERROR(__xludf.DUMMYFUNCTION("""COMPUTED_VALUE"""),"Offset")</f>
        <v>Offset</v>
      </c>
      <c r="Q946" s="49" t="str">
        <f>IFERROR(__xludf.DUMMYFUNCTION("""COMPUTED_VALUE"""),"Packaging")</f>
        <v>Packaging</v>
      </c>
      <c r="R946" s="49" t="str">
        <f>IFERROR(__xludf.DUMMYFUNCTION("""COMPUTED_VALUE"""),"FMCG")</f>
        <v>FMCG</v>
      </c>
    </row>
    <row r="947">
      <c r="A947" s="156" t="str">
        <f>IFERROR(__xludf.DUMMYFUNCTION("""COMPUTED_VALUE"""),"https://drive.google.com/open?id=1FfeiVDr8o26516PRoz2xmlK-abtDTJIh&amp;authuser=jay.agg%40gmail.com&amp;usp=drive_fs")</f>
        <v>https://drive.google.com/open?id=1FfeiVDr8o26516PRoz2xmlK-abtDTJIh&amp;authuser=jay.agg%40gmail.com&amp;usp=drive_fs</v>
      </c>
      <c r="B947" s="73" t="str">
        <f>IFERROR(__xludf.DUMMYFUNCTION("""COMPUTED_VALUE"""),"FMCG")</f>
        <v>FMCG</v>
      </c>
      <c r="C947" s="73" t="str">
        <f>IFERROR(__xludf.DUMMYFUNCTION("""COMPUTED_VALUE"""),"Bubble Gum")</f>
        <v>Bubble Gum</v>
      </c>
      <c r="D947" s="73" t="str">
        <f>IFERROR(__xludf.DUMMYFUNCTION("""COMPUTED_VALUE"""),"109*109*58 mm | 4.29*4.29*2.28 inch LB New")</f>
        <v>109*109*58 mm | 4.29*4.29*2.28 inch LB New</v>
      </c>
      <c r="E947" s="77">
        <f>IFERROR(__xludf.DUMMYFUNCTION("""COMPUTED_VALUE"""),6.0)</f>
        <v>6</v>
      </c>
      <c r="F947" s="77">
        <f>IFERROR(__xludf.DUMMYFUNCTION("""COMPUTED_VALUE"""),2840.0)</f>
        <v>2840</v>
      </c>
      <c r="G947" s="77">
        <f>IFERROR(__xludf.DUMMYFUNCTION("""COMPUTED_VALUE"""),25.0)</f>
        <v>25</v>
      </c>
      <c r="H947" s="77">
        <f>IFERROR(__xludf.DUMMYFUNCTION("""COMPUTED_VALUE"""),36.0)</f>
        <v>36</v>
      </c>
      <c r="I947" s="77">
        <f>IFERROR(__xludf.DUMMYFUNCTION("""COMPUTED_VALUE"""),100.0)</f>
        <v>100</v>
      </c>
      <c r="J947" s="73"/>
      <c r="K947" s="73"/>
      <c r="L947" s="73"/>
      <c r="M947" s="77">
        <f>IFERROR(__xludf.DUMMYFUNCTION("""COMPUTED_VALUE"""),0.16)</f>
        <v>0.16</v>
      </c>
      <c r="N947" s="77">
        <f>IFERROR(__xludf.DUMMYFUNCTION("""COMPUTED_VALUE"""),1.0)</f>
        <v>1</v>
      </c>
      <c r="O947" s="49"/>
      <c r="P947" s="49" t="str">
        <f>IFERROR(__xludf.DUMMYFUNCTION("""COMPUTED_VALUE"""),"Offset")</f>
        <v>Offset</v>
      </c>
      <c r="Q947" s="49" t="str">
        <f>IFERROR(__xludf.DUMMYFUNCTION("""COMPUTED_VALUE"""),"Packaging")</f>
        <v>Packaging</v>
      </c>
      <c r="R947" s="49" t="str">
        <f>IFERROR(__xludf.DUMMYFUNCTION("""COMPUTED_VALUE"""),"FMCG")</f>
        <v>FMCG</v>
      </c>
    </row>
    <row r="948">
      <c r="A948" s="156" t="str">
        <f>IFERROR(__xludf.DUMMYFUNCTION("""COMPUTED_VALUE"""),"https://drive.google.com/open?id=1G5kwn2xszRpbabSW4dbdQd_N_SKkS8va&amp;authuser=jay.agg%40gmail.com&amp;usp=drive_fs")</f>
        <v>https://drive.google.com/open?id=1G5kwn2xszRpbabSW4dbdQd_N_SKkS8va&amp;authuser=jay.agg%40gmail.com&amp;usp=drive_fs</v>
      </c>
      <c r="B948" s="73" t="str">
        <f>IFERROR(__xludf.DUMMYFUNCTION("""COMPUTED_VALUE"""),"FMCG")</f>
        <v>FMCG</v>
      </c>
      <c r="C948" s="73" t="str">
        <f>IFERROR(__xludf.DUMMYFUNCTION("""COMPUTED_VALUE"""),"Tika")</f>
        <v>Tika</v>
      </c>
      <c r="D948" s="73" t="str">
        <f>IFERROR(__xludf.DUMMYFUNCTION("""COMPUTED_VALUE"""),"40*40*55 mm | 1.5*1.5*2.1 inch")</f>
        <v>40*40*55 mm | 1.5*1.5*2.1 inch</v>
      </c>
      <c r="E948" s="77">
        <f>IFERROR(__xludf.DUMMYFUNCTION("""COMPUTED_VALUE"""),9.0)</f>
        <v>9</v>
      </c>
      <c r="F948" s="77">
        <f>IFERROR(__xludf.DUMMYFUNCTION("""COMPUTED_VALUE"""),1926.0)</f>
        <v>1926</v>
      </c>
      <c r="G948" s="77">
        <f>IFERROR(__xludf.DUMMYFUNCTION("""COMPUTED_VALUE"""),15.75)</f>
        <v>15.75</v>
      </c>
      <c r="H948" s="77">
        <f>IFERROR(__xludf.DUMMYFUNCTION("""COMPUTED_VALUE"""),20.75)</f>
        <v>20.75</v>
      </c>
      <c r="I948" s="77">
        <f>IFERROR(__xludf.DUMMYFUNCTION("""COMPUTED_VALUE"""),100.0)</f>
        <v>100</v>
      </c>
      <c r="J948" s="73"/>
      <c r="K948" s="73"/>
      <c r="L948" s="73"/>
      <c r="M948" s="77">
        <f>IFERROR(__xludf.DUMMYFUNCTION("""COMPUTED_VALUE"""),0.1)</f>
        <v>0.1</v>
      </c>
      <c r="N948" s="77">
        <f>IFERROR(__xludf.DUMMYFUNCTION("""COMPUTED_VALUE"""),1.0)</f>
        <v>1</v>
      </c>
      <c r="O948" s="49"/>
      <c r="P948" s="49" t="str">
        <f>IFERROR(__xludf.DUMMYFUNCTION("""COMPUTED_VALUE"""),"Offset")</f>
        <v>Offset</v>
      </c>
      <c r="Q948" s="49" t="str">
        <f>IFERROR(__xludf.DUMMYFUNCTION("""COMPUTED_VALUE"""),"Packaging")</f>
        <v>Packaging</v>
      </c>
      <c r="R948" s="49" t="str">
        <f>IFERROR(__xludf.DUMMYFUNCTION("""COMPUTED_VALUE"""),"FMCG")</f>
        <v>FMCG</v>
      </c>
    </row>
    <row r="949">
      <c r="A949" s="156" t="str">
        <f>IFERROR(__xludf.DUMMYFUNCTION("""COMPUTED_VALUE"""),"https://drive.google.com/open?id=1KccqGAeApkeEEdKrvZID-LOur3jWMqPt&amp;authuser=jay.agg%40gmail.com&amp;usp=drive_fs")</f>
        <v>https://drive.google.com/open?id=1KccqGAeApkeEEdKrvZID-LOur3jWMqPt&amp;authuser=jay.agg%40gmail.com&amp;usp=drive_fs</v>
      </c>
      <c r="B949" s="73" t="str">
        <f>IFERROR(__xludf.DUMMYFUNCTION("""COMPUTED_VALUE"""),"FMCG")</f>
        <v>FMCG</v>
      </c>
      <c r="C949" s="73" t="str">
        <f>IFERROR(__xludf.DUMMYFUNCTION("""COMPUTED_VALUE"""),"Saffron")</f>
        <v>Saffron</v>
      </c>
      <c r="D949" s="73" t="str">
        <f>IFERROR(__xludf.DUMMYFUNCTION("""COMPUTED_VALUE"""),"102*102*76 mm | 4*4*3 inch")</f>
        <v>102*102*76 mm | 4*4*3 inch</v>
      </c>
      <c r="E949" s="77">
        <f>IFERROR(__xludf.DUMMYFUNCTION("""COMPUTED_VALUE"""),3.0)</f>
        <v>3</v>
      </c>
      <c r="F949" s="77">
        <f>IFERROR(__xludf.DUMMYFUNCTION("""COMPUTED_VALUE"""),1926.0)</f>
        <v>1926</v>
      </c>
      <c r="G949" s="77">
        <f>IFERROR(__xludf.DUMMYFUNCTION("""COMPUTED_VALUE"""),18.0)</f>
        <v>18</v>
      </c>
      <c r="H949" s="77">
        <f>IFERROR(__xludf.DUMMYFUNCTION("""COMPUTED_VALUE"""),25.0)</f>
        <v>25</v>
      </c>
      <c r="I949" s="77">
        <f>IFERROR(__xludf.DUMMYFUNCTION("""COMPUTED_VALUE"""),100.0)</f>
        <v>100</v>
      </c>
      <c r="J949" s="73"/>
      <c r="K949" s="73"/>
      <c r="L949" s="73"/>
      <c r="M949" s="77">
        <f>IFERROR(__xludf.DUMMYFUNCTION("""COMPUTED_VALUE"""),0.1)</f>
        <v>0.1</v>
      </c>
      <c r="N949" s="77">
        <f>IFERROR(__xludf.DUMMYFUNCTION("""COMPUTED_VALUE"""),1.0)</f>
        <v>1</v>
      </c>
      <c r="O949" s="49"/>
      <c r="P949" s="49" t="str">
        <f>IFERROR(__xludf.DUMMYFUNCTION("""COMPUTED_VALUE"""),"Offset")</f>
        <v>Offset</v>
      </c>
      <c r="Q949" s="49" t="str">
        <f>IFERROR(__xludf.DUMMYFUNCTION("""COMPUTED_VALUE"""),"Packaging")</f>
        <v>Packaging</v>
      </c>
      <c r="R949" s="49" t="str">
        <f>IFERROR(__xludf.DUMMYFUNCTION("""COMPUTED_VALUE"""),"FMCG")</f>
        <v>FMCG</v>
      </c>
    </row>
    <row r="950">
      <c r="A950" s="156" t="str">
        <f>IFERROR(__xludf.DUMMYFUNCTION("""COMPUTED_VALUE"""),"https://drive.google.com/open?id=1KvIiAxgBbDwtxsehYFRE_Zzi8a6YBT1H&amp;authuser=jay.agg%40gmail.com&amp;usp=drive_fs")</f>
        <v>https://drive.google.com/open?id=1KvIiAxgBbDwtxsehYFRE_Zzi8a6YBT1H&amp;authuser=jay.agg%40gmail.com&amp;usp=drive_fs</v>
      </c>
      <c r="B950" s="73" t="str">
        <f>IFERROR(__xludf.DUMMYFUNCTION("""COMPUTED_VALUE"""),"FMCG")</f>
        <v>FMCG</v>
      </c>
      <c r="C950" s="73" t="str">
        <f>IFERROR(__xludf.DUMMYFUNCTION("""COMPUTED_VALUE"""),"Saffron")</f>
        <v>Saffron</v>
      </c>
      <c r="D950" s="73" t="str">
        <f>IFERROR(__xludf.DUMMYFUNCTION("""COMPUTED_VALUE"""),"51*51*127 mm | 2*2*5 inch IL")</f>
        <v>51*51*127 mm | 2*2*5 inch IL</v>
      </c>
      <c r="E950" s="77">
        <f>IFERROR(__xludf.DUMMYFUNCTION("""COMPUTED_VALUE"""),6.0)</f>
        <v>6</v>
      </c>
      <c r="F950" s="77">
        <f>IFERROR(__xludf.DUMMYFUNCTION("""COMPUTED_VALUE"""),1926.0)</f>
        <v>1926</v>
      </c>
      <c r="G950" s="77">
        <f>IFERROR(__xludf.DUMMYFUNCTION("""COMPUTED_VALUE"""),18.0)</f>
        <v>18</v>
      </c>
      <c r="H950" s="77">
        <f>IFERROR(__xludf.DUMMYFUNCTION("""COMPUTED_VALUE"""),25.0)</f>
        <v>25</v>
      </c>
      <c r="I950" s="77">
        <f>IFERROR(__xludf.DUMMYFUNCTION("""COMPUTED_VALUE"""),100.0)</f>
        <v>100</v>
      </c>
      <c r="J950" s="73"/>
      <c r="K950" s="73"/>
      <c r="L950" s="73"/>
      <c r="M950" s="77">
        <f>IFERROR(__xludf.DUMMYFUNCTION("""COMPUTED_VALUE"""),0.1)</f>
        <v>0.1</v>
      </c>
      <c r="N950" s="77">
        <f>IFERROR(__xludf.DUMMYFUNCTION("""COMPUTED_VALUE"""),1.0)</f>
        <v>1</v>
      </c>
      <c r="O950" s="49"/>
      <c r="P950" s="49" t="str">
        <f>IFERROR(__xludf.DUMMYFUNCTION("""COMPUTED_VALUE"""),"Offset")</f>
        <v>Offset</v>
      </c>
      <c r="Q950" s="49" t="str">
        <f>IFERROR(__xludf.DUMMYFUNCTION("""COMPUTED_VALUE"""),"Packaging")</f>
        <v>Packaging</v>
      </c>
      <c r="R950" s="49" t="str">
        <f>IFERROR(__xludf.DUMMYFUNCTION("""COMPUTED_VALUE"""),"FMCG")</f>
        <v>FMCG</v>
      </c>
    </row>
    <row r="951">
      <c r="A951" s="156" t="str">
        <f>IFERROR(__xludf.DUMMYFUNCTION("""COMPUTED_VALUE"""),"https://drive.google.com/open?id=1VOXmj7AbaptFoiPvavhB-kouUScgwAcu&amp;authuser=jay.agg%40gmail.com&amp;usp=drive_fs")</f>
        <v>https://drive.google.com/open?id=1VOXmj7AbaptFoiPvavhB-kouUScgwAcu&amp;authuser=jay.agg%40gmail.com&amp;usp=drive_fs</v>
      </c>
      <c r="B951" s="73" t="str">
        <f>IFERROR(__xludf.DUMMYFUNCTION("""COMPUTED_VALUE"""),"FMCG")</f>
        <v>FMCG</v>
      </c>
      <c r="C951" s="73" t="str">
        <f>IFERROR(__xludf.DUMMYFUNCTION("""COMPUTED_VALUE"""),"Ghee 500ml")</f>
        <v>Ghee 500ml</v>
      </c>
      <c r="D951" s="73" t="str">
        <f>IFERROR(__xludf.DUMMYFUNCTION("""COMPUTED_VALUE"""),"90*62*100 mm | 3.5*2.5*4 inch")</f>
        <v>90*62*100 mm | 3.5*2.5*4 inch</v>
      </c>
      <c r="E951" s="77">
        <f>IFERROR(__xludf.DUMMYFUNCTION("""COMPUTED_VALUE"""),10.0)</f>
        <v>10</v>
      </c>
      <c r="F951" s="77">
        <f>IFERROR(__xludf.DUMMYFUNCTION("""COMPUTED_VALUE"""),2840.0)</f>
        <v>2840</v>
      </c>
      <c r="G951" s="77">
        <f>IFERROR(__xludf.DUMMYFUNCTION("""COMPUTED_VALUE"""),25.0)</f>
        <v>25</v>
      </c>
      <c r="H951" s="77">
        <f>IFERROR(__xludf.DUMMYFUNCTION("""COMPUTED_VALUE"""),40.0)</f>
        <v>40</v>
      </c>
      <c r="I951" s="77">
        <f>IFERROR(__xludf.DUMMYFUNCTION("""COMPUTED_VALUE"""),100.0)</f>
        <v>100</v>
      </c>
      <c r="J951" s="73"/>
      <c r="K951" s="73"/>
      <c r="L951" s="73"/>
      <c r="M951" s="77">
        <f>IFERROR(__xludf.DUMMYFUNCTION("""COMPUTED_VALUE"""),0.1)</f>
        <v>0.1</v>
      </c>
      <c r="N951" s="77">
        <f>IFERROR(__xludf.DUMMYFUNCTION("""COMPUTED_VALUE"""),1.0)</f>
        <v>1</v>
      </c>
      <c r="O951" s="49"/>
      <c r="P951" s="49" t="str">
        <f>IFERROR(__xludf.DUMMYFUNCTION("""COMPUTED_VALUE"""),"Offset")</f>
        <v>Offset</v>
      </c>
      <c r="Q951" s="49" t="str">
        <f>IFERROR(__xludf.DUMMYFUNCTION("""COMPUTED_VALUE"""),"Packaging")</f>
        <v>Packaging</v>
      </c>
      <c r="R951" s="49" t="str">
        <f>IFERROR(__xludf.DUMMYFUNCTION("""COMPUTED_VALUE"""),"FMCG")</f>
        <v>FMCG</v>
      </c>
    </row>
    <row r="952">
      <c r="A952" s="156" t="str">
        <f>IFERROR(__xludf.DUMMYFUNCTION("""COMPUTED_VALUE"""),"https://drive.google.com/open?id=1VRCAaf-S9TM8m-bCQn9aEl-UZTVXccSo&amp;authuser=jay.agg%40gmail.com&amp;usp=drive_fs")</f>
        <v>https://drive.google.com/open?id=1VRCAaf-S9TM8m-bCQn9aEl-UZTVXccSo&amp;authuser=jay.agg%40gmail.com&amp;usp=drive_fs</v>
      </c>
      <c r="B952" s="73" t="str">
        <f>IFERROR(__xludf.DUMMYFUNCTION("""COMPUTED_VALUE"""),"FMCG")</f>
        <v>FMCG</v>
      </c>
      <c r="C952" s="73" t="str">
        <f>IFERROR(__xludf.DUMMYFUNCTION("""COMPUTED_VALUE"""),"Ghee 1Ltr")</f>
        <v>Ghee 1Ltr</v>
      </c>
      <c r="D952" s="73" t="str">
        <f>IFERROR(__xludf.DUMMYFUNCTION("""COMPUTED_VALUE"""),"102*70*163 mm | 4*2.75*6.4 inch")</f>
        <v>102*70*163 mm | 4*2.75*6.4 inch</v>
      </c>
      <c r="E952" s="77">
        <f>IFERROR(__xludf.DUMMYFUNCTION("""COMPUTED_VALUE"""),6.0)</f>
        <v>6</v>
      </c>
      <c r="F952" s="77">
        <f>IFERROR(__xludf.DUMMYFUNCTION("""COMPUTED_VALUE"""),2840.0)</f>
        <v>2840</v>
      </c>
      <c r="G952" s="77">
        <f>IFERROR(__xludf.DUMMYFUNCTION("""COMPUTED_VALUE"""),28.0)</f>
        <v>28</v>
      </c>
      <c r="H952" s="77">
        <f>IFERROR(__xludf.DUMMYFUNCTION("""COMPUTED_VALUE"""),35.0)</f>
        <v>35</v>
      </c>
      <c r="I952" s="77">
        <f>IFERROR(__xludf.DUMMYFUNCTION("""COMPUTED_VALUE"""),100.0)</f>
        <v>100</v>
      </c>
      <c r="J952" s="73"/>
      <c r="K952" s="73"/>
      <c r="L952" s="73"/>
      <c r="M952" s="77">
        <f>IFERROR(__xludf.DUMMYFUNCTION("""COMPUTED_VALUE"""),0.1)</f>
        <v>0.1</v>
      </c>
      <c r="N952" s="77">
        <f>IFERROR(__xludf.DUMMYFUNCTION("""COMPUTED_VALUE"""),1.0)</f>
        <v>1</v>
      </c>
      <c r="O952" s="49"/>
      <c r="P952" s="49" t="str">
        <f>IFERROR(__xludf.DUMMYFUNCTION("""COMPUTED_VALUE"""),"Offset")</f>
        <v>Offset</v>
      </c>
      <c r="Q952" s="49" t="str">
        <f>IFERROR(__xludf.DUMMYFUNCTION("""COMPUTED_VALUE"""),"Packaging")</f>
        <v>Packaging</v>
      </c>
      <c r="R952" s="49" t="str">
        <f>IFERROR(__xludf.DUMMYFUNCTION("""COMPUTED_VALUE"""),"FMCG")</f>
        <v>FMCG</v>
      </c>
    </row>
    <row r="953">
      <c r="A953" s="156" t="str">
        <f>IFERROR(__xludf.DUMMYFUNCTION("""COMPUTED_VALUE"""),"https://drive.google.com/open?id=1T64KY6TrnoZZsgbwhvxDqHfxl__6F5-N&amp;authuser=jay.agg%40gmail.com&amp;usp=drive_fs")</f>
        <v>https://drive.google.com/open?id=1T64KY6TrnoZZsgbwhvxDqHfxl__6F5-N&amp;authuser=jay.agg%40gmail.com&amp;usp=drive_fs</v>
      </c>
      <c r="B953" s="73" t="str">
        <f>IFERROR(__xludf.DUMMYFUNCTION("""COMPUTED_VALUE"""),"FMCG")</f>
        <v>FMCG</v>
      </c>
      <c r="C953" s="73" t="str">
        <f>IFERROR(__xludf.DUMMYFUNCTION("""COMPUTED_VALUE"""),"Misc")</f>
        <v>Misc</v>
      </c>
      <c r="D953" s="73" t="str">
        <f>IFERROR(__xludf.DUMMYFUNCTION("""COMPUTED_VALUE"""),"178*63.5*241 mm | 7*2.5*9.5 inch")</f>
        <v>178*63.5*241 mm | 7*2.5*9.5 inch</v>
      </c>
      <c r="E953" s="77">
        <f>IFERROR(__xludf.DUMMYFUNCTION("""COMPUTED_VALUE"""),2.0)</f>
        <v>2</v>
      </c>
      <c r="F953" s="77">
        <f>IFERROR(__xludf.DUMMYFUNCTION("""COMPUTED_VALUE"""),2029.0)</f>
        <v>2029</v>
      </c>
      <c r="G953" s="77">
        <f>IFERROR(__xludf.DUMMYFUNCTION("""COMPUTED_VALUE"""),20.0)</f>
        <v>20</v>
      </c>
      <c r="H953" s="77">
        <f>IFERROR(__xludf.DUMMYFUNCTION("""COMPUTED_VALUE"""),28.0)</f>
        <v>28</v>
      </c>
      <c r="I953" s="77">
        <f>IFERROR(__xludf.DUMMYFUNCTION("""COMPUTED_VALUE"""),100.0)</f>
        <v>100</v>
      </c>
      <c r="J953" s="73"/>
      <c r="K953" s="73"/>
      <c r="L953" s="73"/>
      <c r="M953" s="77">
        <f>IFERROR(__xludf.DUMMYFUNCTION("""COMPUTED_VALUE"""),0.12)</f>
        <v>0.12</v>
      </c>
      <c r="N953" s="77">
        <f>IFERROR(__xludf.DUMMYFUNCTION("""COMPUTED_VALUE"""),1.0)</f>
        <v>1</v>
      </c>
      <c r="O953" s="49"/>
      <c r="P953" s="49" t="str">
        <f>IFERROR(__xludf.DUMMYFUNCTION("""COMPUTED_VALUE"""),"Offset")</f>
        <v>Offset</v>
      </c>
      <c r="Q953" s="49" t="str">
        <f>IFERROR(__xludf.DUMMYFUNCTION("""COMPUTED_VALUE"""),"Packaging")</f>
        <v>Packaging</v>
      </c>
      <c r="R953" s="49" t="str">
        <f>IFERROR(__xludf.DUMMYFUNCTION("""COMPUTED_VALUE"""),"FMCG")</f>
        <v>FMCG</v>
      </c>
    </row>
    <row r="954">
      <c r="A954" s="156" t="str">
        <f>IFERROR(__xludf.DUMMYFUNCTION("""COMPUTED_VALUE"""),"https://drive.google.com/open?id=1VhVQdiFWpd9YWXCbcuAc5nSXyXT7yMep&amp;authuser=jay.agg%40gmail.com&amp;usp=drive_fs")</f>
        <v>https://drive.google.com/open?id=1VhVQdiFWpd9YWXCbcuAc5nSXyXT7yMep&amp;authuser=jay.agg%40gmail.com&amp;usp=drive_fs</v>
      </c>
      <c r="B954" s="73" t="str">
        <f>IFERROR(__xludf.DUMMYFUNCTION("""COMPUTED_VALUE"""),"FMCG")</f>
        <v>FMCG</v>
      </c>
      <c r="C954" s="73" t="str">
        <f>IFERROR(__xludf.DUMMYFUNCTION("""COMPUTED_VALUE"""),"Foil")</f>
        <v>Foil</v>
      </c>
      <c r="D954" s="73" t="str">
        <f>IFERROR(__xludf.DUMMYFUNCTION("""COMPUTED_VALUE"""),"25mtr 322*50 mm")</f>
        <v>25mtr 322*50 mm</v>
      </c>
      <c r="E954" s="77">
        <f>IFERROR(__xludf.DUMMYFUNCTION("""COMPUTED_VALUE"""),2.0)</f>
        <v>2</v>
      </c>
      <c r="F954" s="77">
        <f>IFERROR(__xludf.DUMMYFUNCTION("""COMPUTED_VALUE"""),1926.0)</f>
        <v>1926</v>
      </c>
      <c r="G954" s="77">
        <f>IFERROR(__xludf.DUMMYFUNCTION("""COMPUTED_VALUE"""),19.0)</f>
        <v>19</v>
      </c>
      <c r="H954" s="77">
        <f>IFERROR(__xludf.DUMMYFUNCTION("""COMPUTED_VALUE"""),20.0)</f>
        <v>20</v>
      </c>
      <c r="I954" s="77">
        <f>IFERROR(__xludf.DUMMYFUNCTION("""COMPUTED_VALUE"""),100.0)</f>
        <v>100</v>
      </c>
      <c r="J954" s="73"/>
      <c r="K954" s="73"/>
      <c r="L954" s="73"/>
      <c r="M954" s="77">
        <f>IFERROR(__xludf.DUMMYFUNCTION("""COMPUTED_VALUE"""),0.1)</f>
        <v>0.1</v>
      </c>
      <c r="N954" s="77">
        <f>IFERROR(__xludf.DUMMYFUNCTION("""COMPUTED_VALUE"""),1.0)</f>
        <v>1</v>
      </c>
      <c r="O954" s="49"/>
      <c r="P954" s="49" t="str">
        <f>IFERROR(__xludf.DUMMYFUNCTION("""COMPUTED_VALUE"""),"Offset")</f>
        <v>Offset</v>
      </c>
      <c r="Q954" s="49" t="str">
        <f>IFERROR(__xludf.DUMMYFUNCTION("""COMPUTED_VALUE"""),"Packaging")</f>
        <v>Packaging</v>
      </c>
      <c r="R954" s="49" t="str">
        <f>IFERROR(__xludf.DUMMYFUNCTION("""COMPUTED_VALUE"""),"FMCG")</f>
        <v>FMCG</v>
      </c>
    </row>
    <row r="955">
      <c r="A955" s="156" t="str">
        <f>IFERROR(__xludf.DUMMYFUNCTION("""COMPUTED_VALUE"""),"https://drive.google.com/open?id=1VOXmj7AbaptFoiPvavhB-kouUScgwAcu&amp;authuser=jay.agg%40gmail.com&amp;usp=drive_fs")</f>
        <v>https://drive.google.com/open?id=1VOXmj7AbaptFoiPvavhB-kouUScgwAcu&amp;authuser=jay.agg%40gmail.com&amp;usp=drive_fs</v>
      </c>
      <c r="B955" s="73" t="str">
        <f>IFERROR(__xludf.DUMMYFUNCTION("""COMPUTED_VALUE"""),"FMCG")</f>
        <v>FMCG</v>
      </c>
      <c r="C955" s="73" t="str">
        <f>IFERROR(__xludf.DUMMYFUNCTION("""COMPUTED_VALUE"""),"Ghee 500ml")</f>
        <v>Ghee 500ml</v>
      </c>
      <c r="D955" s="73" t="str">
        <f>IFERROR(__xludf.DUMMYFUNCTION("""COMPUTED_VALUE"""),"90*62*100 mm | 3.5*2.5*4 inch SQ")</f>
        <v>90*62*100 mm | 3.5*2.5*4 inch SQ</v>
      </c>
      <c r="E955" s="77">
        <f>IFERROR(__xludf.DUMMYFUNCTION("""COMPUTED_VALUE"""),4.0)</f>
        <v>4</v>
      </c>
      <c r="F955" s="77">
        <f>IFERROR(__xludf.DUMMYFUNCTION("""COMPUTED_VALUE"""),1926.0)</f>
        <v>1926</v>
      </c>
      <c r="G955" s="77">
        <f>IFERROR(__xludf.DUMMYFUNCTION("""COMPUTED_VALUE"""),18.0)</f>
        <v>18</v>
      </c>
      <c r="H955" s="77">
        <f>IFERROR(__xludf.DUMMYFUNCTION("""COMPUTED_VALUE"""),25.0)</f>
        <v>25</v>
      </c>
      <c r="I955" s="77">
        <f>IFERROR(__xludf.DUMMYFUNCTION("""COMPUTED_VALUE"""),100.0)</f>
        <v>100</v>
      </c>
      <c r="J955" s="73"/>
      <c r="K955" s="73"/>
      <c r="L955" s="73"/>
      <c r="M955" s="77">
        <f>IFERROR(__xludf.DUMMYFUNCTION("""COMPUTED_VALUE"""),0.1)</f>
        <v>0.1</v>
      </c>
      <c r="N955" s="77">
        <f>IFERROR(__xludf.DUMMYFUNCTION("""COMPUTED_VALUE"""),1.0)</f>
        <v>1</v>
      </c>
      <c r="O955" s="49"/>
      <c r="P955" s="49" t="str">
        <f>IFERROR(__xludf.DUMMYFUNCTION("""COMPUTED_VALUE"""),"Offset")</f>
        <v>Offset</v>
      </c>
      <c r="Q955" s="49" t="str">
        <f>IFERROR(__xludf.DUMMYFUNCTION("""COMPUTED_VALUE"""),"Packaging")</f>
        <v>Packaging</v>
      </c>
      <c r="R955" s="49" t="str">
        <f>IFERROR(__xludf.DUMMYFUNCTION("""COMPUTED_VALUE"""),"FMCG")</f>
        <v>FMCG</v>
      </c>
    </row>
    <row r="956">
      <c r="A956" s="156" t="str">
        <f>IFERROR(__xludf.DUMMYFUNCTION("""COMPUTED_VALUE"""),"https://drive.google.com/open?id=1VRCAaf-S9TM8m-bCQn9aEl-UZTVXccSo&amp;authuser=jay.agg%40gmail.com&amp;usp=drive_fs")</f>
        <v>https://drive.google.com/open?id=1VRCAaf-S9TM8m-bCQn9aEl-UZTVXccSo&amp;authuser=jay.agg%40gmail.com&amp;usp=drive_fs</v>
      </c>
      <c r="B956" s="73" t="str">
        <f>IFERROR(__xludf.DUMMYFUNCTION("""COMPUTED_VALUE"""),"FMCG")</f>
        <v>FMCG</v>
      </c>
      <c r="C956" s="73" t="str">
        <f>IFERROR(__xludf.DUMMYFUNCTION("""COMPUTED_VALUE"""),"Ghee 1Ltr")</f>
        <v>Ghee 1Ltr</v>
      </c>
      <c r="D956" s="73" t="str">
        <f>IFERROR(__xludf.DUMMYFUNCTION("""COMPUTED_VALUE"""),"102*70*163 mm | 4*2.75*6.4 inch SQ")</f>
        <v>102*70*163 mm | 4*2.75*6.4 inch SQ</v>
      </c>
      <c r="E956" s="77">
        <f>IFERROR(__xludf.DUMMYFUNCTION("""COMPUTED_VALUE"""),2.0)</f>
        <v>2</v>
      </c>
      <c r="F956" s="77">
        <f>IFERROR(__xludf.DUMMYFUNCTION("""COMPUTED_VALUE"""),1926.0)</f>
        <v>1926</v>
      </c>
      <c r="G956" s="77">
        <f>IFERROR(__xludf.DUMMYFUNCTION("""COMPUTED_VALUE"""),18.0)</f>
        <v>18</v>
      </c>
      <c r="H956" s="77">
        <f>IFERROR(__xludf.DUMMYFUNCTION("""COMPUTED_VALUE"""),23.0)</f>
        <v>23</v>
      </c>
      <c r="I956" s="77">
        <f>IFERROR(__xludf.DUMMYFUNCTION("""COMPUTED_VALUE"""),100.0)</f>
        <v>100</v>
      </c>
      <c r="J956" s="73"/>
      <c r="K956" s="73"/>
      <c r="L956" s="73"/>
      <c r="M956" s="77">
        <f>IFERROR(__xludf.DUMMYFUNCTION("""COMPUTED_VALUE"""),0.1)</f>
        <v>0.1</v>
      </c>
      <c r="N956" s="77">
        <f>IFERROR(__xludf.DUMMYFUNCTION("""COMPUTED_VALUE"""),1.0)</f>
        <v>1</v>
      </c>
      <c r="O956" s="49"/>
      <c r="P956" s="49" t="str">
        <f>IFERROR(__xludf.DUMMYFUNCTION("""COMPUTED_VALUE"""),"Offset")</f>
        <v>Offset</v>
      </c>
      <c r="Q956" s="49" t="str">
        <f>IFERROR(__xludf.DUMMYFUNCTION("""COMPUTED_VALUE"""),"Packaging")</f>
        <v>Packaging</v>
      </c>
      <c r="R956" s="49" t="str">
        <f>IFERROR(__xludf.DUMMYFUNCTION("""COMPUTED_VALUE"""),"FMCG")</f>
        <v>FMCG</v>
      </c>
    </row>
    <row r="957">
      <c r="A957" s="156" t="str">
        <f>IFERROR(__xludf.DUMMYFUNCTION("""COMPUTED_VALUE"""),"https://drive.google.com/open?id=1CNKaDde2hyrmbRq2XhhXH4KQEGR6mBpi&amp;authuser=jay.agg%40gmail.com&amp;usp=drive_fs")</f>
        <v>https://drive.google.com/open?id=1CNKaDde2hyrmbRq2XhhXH4KQEGR6mBpi&amp;authuser=jay.agg%40gmail.com&amp;usp=drive_fs</v>
      </c>
      <c r="B957" s="73" t="str">
        <f>IFERROR(__xludf.DUMMYFUNCTION("""COMPUTED_VALUE"""),"FMCG")</f>
        <v>FMCG</v>
      </c>
      <c r="C957" s="73" t="str">
        <f>IFERROR(__xludf.DUMMYFUNCTION("""COMPUTED_VALUE"""),"Ice Cream")</f>
        <v>Ice Cream</v>
      </c>
      <c r="D957" s="73" t="str">
        <f>IFERROR(__xludf.DUMMYFUNCTION("""COMPUTED_VALUE"""),"50*20*130 mm | 2*0.8*5.1 inch")</f>
        <v>50*20*130 mm | 2*0.8*5.1 inch</v>
      </c>
      <c r="E957" s="77">
        <f>IFERROR(__xludf.DUMMYFUNCTION("""COMPUTED_VALUE"""),12.0)</f>
        <v>12</v>
      </c>
      <c r="F957" s="77">
        <f>IFERROR(__xludf.DUMMYFUNCTION("""COMPUTED_VALUE"""),2029.0)</f>
        <v>2029</v>
      </c>
      <c r="G957" s="77">
        <f>IFERROR(__xludf.DUMMYFUNCTION("""COMPUTED_VALUE"""),20.0)</f>
        <v>20</v>
      </c>
      <c r="H957" s="77">
        <f>IFERROR(__xludf.DUMMYFUNCTION("""COMPUTED_VALUE"""),28.0)</f>
        <v>28</v>
      </c>
      <c r="I957" s="77">
        <f>IFERROR(__xludf.DUMMYFUNCTION("""COMPUTED_VALUE"""),100.0)</f>
        <v>100</v>
      </c>
      <c r="J957" s="73"/>
      <c r="K957" s="73"/>
      <c r="L957" s="73"/>
      <c r="M957" s="77">
        <f>IFERROR(__xludf.DUMMYFUNCTION("""COMPUTED_VALUE"""),0.1)</f>
        <v>0.1</v>
      </c>
      <c r="N957" s="77">
        <f>IFERROR(__xludf.DUMMYFUNCTION("""COMPUTED_VALUE"""),1.0)</f>
        <v>1</v>
      </c>
      <c r="O957" s="49"/>
      <c r="P957" s="49" t="str">
        <f>IFERROR(__xludf.DUMMYFUNCTION("""COMPUTED_VALUE"""),"Offset")</f>
        <v>Offset</v>
      </c>
      <c r="Q957" s="49" t="str">
        <f>IFERROR(__xludf.DUMMYFUNCTION("""COMPUTED_VALUE"""),"Packaging")</f>
        <v>Packaging</v>
      </c>
      <c r="R957" s="49" t="str">
        <f>IFERROR(__xludf.DUMMYFUNCTION("""COMPUTED_VALUE"""),"FMCG")</f>
        <v>FMCG</v>
      </c>
    </row>
    <row r="958">
      <c r="A958" s="156" t="str">
        <f>IFERROR(__xludf.DUMMYFUNCTION("""COMPUTED_VALUE"""),"https://drive.google.com/open?id=1fPDHSEEgxm6cu__iL1BiCDwBTJMULsl5&amp;authuser=jay.agg%40gmail.com&amp;usp=drive_fs")</f>
        <v>https://drive.google.com/open?id=1fPDHSEEgxm6cu__iL1BiCDwBTJMULsl5&amp;authuser=jay.agg%40gmail.com&amp;usp=drive_fs</v>
      </c>
      <c r="B958" s="73" t="str">
        <f>IFERROR(__xludf.DUMMYFUNCTION("""COMPUTED_VALUE"""),"FMCG")</f>
        <v>FMCG</v>
      </c>
      <c r="C958" s="73" t="str">
        <f>IFERROR(__xludf.DUMMYFUNCTION("""COMPUTED_VALUE"""),"Ghee 1ltr")</f>
        <v>Ghee 1ltr</v>
      </c>
      <c r="D958" s="73" t="str">
        <f>IFERROR(__xludf.DUMMYFUNCTION("""COMPUTED_VALUE"""),"102*70*168 mm | 4*2.7*6.6 inch")</f>
        <v>102*70*168 mm | 4*2.7*6.6 inch</v>
      </c>
      <c r="E958" s="77">
        <f>IFERROR(__xludf.DUMMYFUNCTION("""COMPUTED_VALUE"""),2.0)</f>
        <v>2</v>
      </c>
      <c r="F958" s="77">
        <f>IFERROR(__xludf.DUMMYFUNCTION("""COMPUTED_VALUE"""),1926.0)</f>
        <v>1926</v>
      </c>
      <c r="G958" s="77">
        <f>IFERROR(__xludf.DUMMYFUNCTION("""COMPUTED_VALUE"""),15.0)</f>
        <v>15</v>
      </c>
      <c r="H958" s="77">
        <f>IFERROR(__xludf.DUMMYFUNCTION("""COMPUTED_VALUE"""),25.0)</f>
        <v>25</v>
      </c>
      <c r="I958" s="77">
        <f>IFERROR(__xludf.DUMMYFUNCTION("""COMPUTED_VALUE"""),100.0)</f>
        <v>100</v>
      </c>
      <c r="J958" s="73"/>
      <c r="K958" s="73"/>
      <c r="L958" s="73"/>
      <c r="M958" s="77">
        <f>IFERROR(__xludf.DUMMYFUNCTION("""COMPUTED_VALUE"""),0.1)</f>
        <v>0.1</v>
      </c>
      <c r="N958" s="77">
        <f>IFERROR(__xludf.DUMMYFUNCTION("""COMPUTED_VALUE"""),1.0)</f>
        <v>1</v>
      </c>
      <c r="O958" s="49"/>
      <c r="P958" s="49" t="str">
        <f>IFERROR(__xludf.DUMMYFUNCTION("""COMPUTED_VALUE"""),"Offset")</f>
        <v>Offset</v>
      </c>
      <c r="Q958" s="49" t="str">
        <f>IFERROR(__xludf.DUMMYFUNCTION("""COMPUTED_VALUE"""),"Packaging")</f>
        <v>Packaging</v>
      </c>
      <c r="R958" s="49" t="str">
        <f>IFERROR(__xludf.DUMMYFUNCTION("""COMPUTED_VALUE"""),"FMCG")</f>
        <v>FMCG</v>
      </c>
    </row>
    <row r="959">
      <c r="A959" s="156" t="str">
        <f>IFERROR(__xludf.DUMMYFUNCTION("""COMPUTED_VALUE"""),"https://drive.google.com/open?id=1fR6qIMQtWiERHUaNJL37KgKJW7ZR7dqd&amp;authuser=jay.agg%40gmail.com&amp;usp=drive_fs")</f>
        <v>https://drive.google.com/open?id=1fR6qIMQtWiERHUaNJL37KgKJW7ZR7dqd&amp;authuser=jay.agg%40gmail.com&amp;usp=drive_fs</v>
      </c>
      <c r="B959" s="73" t="str">
        <f>IFERROR(__xludf.DUMMYFUNCTION("""COMPUTED_VALUE"""),"FMCG")</f>
        <v>FMCG</v>
      </c>
      <c r="C959" s="73" t="str">
        <f>IFERROR(__xludf.DUMMYFUNCTION("""COMPUTED_VALUE"""),"Ghee 500ml")</f>
        <v>Ghee 500ml</v>
      </c>
      <c r="D959" s="73" t="str">
        <f>IFERROR(__xludf.DUMMYFUNCTION("""COMPUTED_VALUE"""),"85*60*115 mm | 3.4*2.3*4.5 inch")</f>
        <v>85*60*115 mm | 3.4*2.3*4.5 inch</v>
      </c>
      <c r="E959" s="77">
        <f>IFERROR(__xludf.DUMMYFUNCTION("""COMPUTED_VALUE"""),4.0)</f>
        <v>4</v>
      </c>
      <c r="F959" s="77">
        <f>IFERROR(__xludf.DUMMYFUNCTION("""COMPUTED_VALUE"""),1926.0)</f>
        <v>1926</v>
      </c>
      <c r="G959" s="77">
        <f>IFERROR(__xludf.DUMMYFUNCTION("""COMPUTED_VALUE"""),18.0)</f>
        <v>18</v>
      </c>
      <c r="H959" s="77">
        <f>IFERROR(__xludf.DUMMYFUNCTION("""COMPUTED_VALUE"""),24.0)</f>
        <v>24</v>
      </c>
      <c r="I959" s="77">
        <f>IFERROR(__xludf.DUMMYFUNCTION("""COMPUTED_VALUE"""),100.0)</f>
        <v>100</v>
      </c>
      <c r="J959" s="73"/>
      <c r="K959" s="73"/>
      <c r="L959" s="73"/>
      <c r="M959" s="77">
        <f>IFERROR(__xludf.DUMMYFUNCTION("""COMPUTED_VALUE"""),0.1)</f>
        <v>0.1</v>
      </c>
      <c r="N959" s="77">
        <f>IFERROR(__xludf.DUMMYFUNCTION("""COMPUTED_VALUE"""),1.0)</f>
        <v>1</v>
      </c>
      <c r="O959" s="49"/>
      <c r="P959" s="49" t="str">
        <f>IFERROR(__xludf.DUMMYFUNCTION("""COMPUTED_VALUE"""),"Offset")</f>
        <v>Offset</v>
      </c>
      <c r="Q959" s="49" t="str">
        <f>IFERROR(__xludf.DUMMYFUNCTION("""COMPUTED_VALUE"""),"Packaging")</f>
        <v>Packaging</v>
      </c>
      <c r="R959" s="49" t="str">
        <f>IFERROR(__xludf.DUMMYFUNCTION("""COMPUTED_VALUE"""),"FMCG")</f>
        <v>FMCG</v>
      </c>
    </row>
    <row r="960">
      <c r="A960" s="156" t="str">
        <f>IFERROR(__xludf.DUMMYFUNCTION("""COMPUTED_VALUE"""),"https://drive.google.com/open?id=1Dbong3UqqqJhKFbaeUGFLjmmC8EuYNXK&amp;authuser=jay.agg%40gmail.com&amp;usp=drive_fs")</f>
        <v>https://drive.google.com/open?id=1Dbong3UqqqJhKFbaeUGFLjmmC8EuYNXK&amp;authuser=jay.agg%40gmail.com&amp;usp=drive_fs</v>
      </c>
      <c r="B960" s="73" t="str">
        <f>IFERROR(__xludf.DUMMYFUNCTION("""COMPUTED_VALUE"""),"FMCG")</f>
        <v>FMCG</v>
      </c>
      <c r="C960" s="73" t="str">
        <f>IFERROR(__xludf.DUMMYFUNCTION("""COMPUTED_VALUE"""),"Sugar Cubes")</f>
        <v>Sugar Cubes</v>
      </c>
      <c r="D960" s="73" t="str">
        <f>IFERROR(__xludf.DUMMYFUNCTION("""COMPUTED_VALUE"""),"172*115*55 mm | 6.7*4.5*2.16 inch")</f>
        <v>172*115*55 mm | 6.7*4.5*2.16 inch</v>
      </c>
      <c r="E960" s="77">
        <f>IFERROR(__xludf.DUMMYFUNCTION("""COMPUTED_VALUE"""),3.0)</f>
        <v>3</v>
      </c>
      <c r="F960" s="77">
        <f>IFERROR(__xludf.DUMMYFUNCTION("""COMPUTED_VALUE"""),2840.0)</f>
        <v>2840</v>
      </c>
      <c r="G960" s="77">
        <f>IFERROR(__xludf.DUMMYFUNCTION("""COMPUTED_VALUE"""),25.0)</f>
        <v>25</v>
      </c>
      <c r="H960" s="77">
        <f>IFERROR(__xludf.DUMMYFUNCTION("""COMPUTED_VALUE"""),30.0)</f>
        <v>30</v>
      </c>
      <c r="I960" s="77">
        <f>IFERROR(__xludf.DUMMYFUNCTION("""COMPUTED_VALUE"""),100.0)</f>
        <v>100</v>
      </c>
      <c r="J960" s="73"/>
      <c r="K960" s="73"/>
      <c r="L960" s="73"/>
      <c r="M960" s="77">
        <f>IFERROR(__xludf.DUMMYFUNCTION("""COMPUTED_VALUE"""),0.1)</f>
        <v>0.1</v>
      </c>
      <c r="N960" s="77">
        <f>IFERROR(__xludf.DUMMYFUNCTION("""COMPUTED_VALUE"""),1.0)</f>
        <v>1</v>
      </c>
      <c r="O960" s="49"/>
      <c r="P960" s="49" t="str">
        <f>IFERROR(__xludf.DUMMYFUNCTION("""COMPUTED_VALUE"""),"Offset")</f>
        <v>Offset</v>
      </c>
      <c r="Q960" s="49" t="str">
        <f>IFERROR(__xludf.DUMMYFUNCTION("""COMPUTED_VALUE"""),"Packaging")</f>
        <v>Packaging</v>
      </c>
      <c r="R960" s="49" t="str">
        <f>IFERROR(__xludf.DUMMYFUNCTION("""COMPUTED_VALUE"""),"FMCG")</f>
        <v>FMCG</v>
      </c>
    </row>
    <row r="961">
      <c r="A961" s="156" t="str">
        <f>IFERROR(__xludf.DUMMYFUNCTION("""COMPUTED_VALUE"""),"https://drive.google.com/open?id=1W4zJeOM6U5H5syZL-CIBy2tFDQrxLESX&amp;authuser=jay.agg%40gmail.com&amp;usp=drive_fs")</f>
        <v>https://drive.google.com/open?id=1W4zJeOM6U5H5syZL-CIBy2tFDQrxLESX&amp;authuser=jay.agg%40gmail.com&amp;usp=drive_fs</v>
      </c>
      <c r="B961" s="73" t="str">
        <f>IFERROR(__xludf.DUMMYFUNCTION("""COMPUTED_VALUE"""),"FMCG")</f>
        <v>FMCG</v>
      </c>
      <c r="C961" s="73" t="str">
        <f>IFERROR(__xludf.DUMMYFUNCTION("""COMPUTED_VALUE"""),"Saffron")</f>
        <v>Saffron</v>
      </c>
      <c r="D961" s="73" t="str">
        <f>IFERROR(__xludf.DUMMYFUNCTION("""COMPUTED_VALUE"""),"40*40*22 mm | 1.6*1.6*0.9 inch")</f>
        <v>40*40*22 mm | 1.6*1.6*0.9 inch</v>
      </c>
      <c r="E961" s="77">
        <f>IFERROR(__xludf.DUMMYFUNCTION("""COMPUTED_VALUE"""),12.0)</f>
        <v>12</v>
      </c>
      <c r="F961" s="77">
        <f>IFERROR(__xludf.DUMMYFUNCTION("""COMPUTED_VALUE"""),1926.0)</f>
        <v>1926</v>
      </c>
      <c r="G961" s="77">
        <f>IFERROR(__xludf.DUMMYFUNCTION("""COMPUTED_VALUE"""),15.75)</f>
        <v>15.75</v>
      </c>
      <c r="H961" s="77">
        <f>IFERROR(__xludf.DUMMYFUNCTION("""COMPUTED_VALUE"""),20.75)</f>
        <v>20.75</v>
      </c>
      <c r="I961" s="77">
        <f>IFERROR(__xludf.DUMMYFUNCTION("""COMPUTED_VALUE"""),100.0)</f>
        <v>100</v>
      </c>
      <c r="J961" s="73"/>
      <c r="K961" s="73"/>
      <c r="L961" s="73"/>
      <c r="M961" s="77">
        <f>IFERROR(__xludf.DUMMYFUNCTION("""COMPUTED_VALUE"""),0.12)</f>
        <v>0.12</v>
      </c>
      <c r="N961" s="77">
        <f>IFERROR(__xludf.DUMMYFUNCTION("""COMPUTED_VALUE"""),1.0)</f>
        <v>1</v>
      </c>
      <c r="O961" s="49"/>
      <c r="P961" s="49" t="str">
        <f>IFERROR(__xludf.DUMMYFUNCTION("""COMPUTED_VALUE"""),"Offset")</f>
        <v>Offset</v>
      </c>
      <c r="Q961" s="49" t="str">
        <f>IFERROR(__xludf.DUMMYFUNCTION("""COMPUTED_VALUE"""),"Packaging")</f>
        <v>Packaging</v>
      </c>
      <c r="R961" s="49" t="str">
        <f>IFERROR(__xludf.DUMMYFUNCTION("""COMPUTED_VALUE"""),"FMCG")</f>
        <v>FMCG</v>
      </c>
    </row>
    <row r="962">
      <c r="A962" s="156" t="str">
        <f>IFERROR(__xludf.DUMMYFUNCTION("""COMPUTED_VALUE"""),"https://drive.google.com/open?id=1W85O5gA9lHW6Vj2M7SBBjoecG6YyzzfB&amp;authuser=jay.agg%40gmail.com&amp;usp=drive_fs")</f>
        <v>https://drive.google.com/open?id=1W85O5gA9lHW6Vj2M7SBBjoecG6YyzzfB&amp;authuser=jay.agg%40gmail.com&amp;usp=drive_fs</v>
      </c>
      <c r="B962" s="73" t="str">
        <f>IFERROR(__xludf.DUMMYFUNCTION("""COMPUTED_VALUE"""),"FMCG")</f>
        <v>FMCG</v>
      </c>
      <c r="C962" s="73" t="str">
        <f>IFERROR(__xludf.DUMMYFUNCTION("""COMPUTED_VALUE"""),"Saffron")</f>
        <v>Saffron</v>
      </c>
      <c r="D962" s="73" t="str">
        <f>IFERROR(__xludf.DUMMYFUNCTION("""COMPUTED_VALUE"""),"40*40*34 mm | 1.6*1.6*1.3 inch")</f>
        <v>40*40*34 mm | 1.6*1.6*1.3 inch</v>
      </c>
      <c r="E962" s="77">
        <f>IFERROR(__xludf.DUMMYFUNCTION("""COMPUTED_VALUE"""),10.0)</f>
        <v>10</v>
      </c>
      <c r="F962" s="77">
        <f>IFERROR(__xludf.DUMMYFUNCTION("""COMPUTED_VALUE"""),1926.0)</f>
        <v>1926</v>
      </c>
      <c r="G962" s="77">
        <f>IFERROR(__xludf.DUMMYFUNCTION("""COMPUTED_VALUE"""),15.75)</f>
        <v>15.75</v>
      </c>
      <c r="H962" s="77">
        <f>IFERROR(__xludf.DUMMYFUNCTION("""COMPUTED_VALUE"""),20.75)</f>
        <v>20.75</v>
      </c>
      <c r="I962" s="77">
        <f>IFERROR(__xludf.DUMMYFUNCTION("""COMPUTED_VALUE"""),100.0)</f>
        <v>100</v>
      </c>
      <c r="J962" s="73"/>
      <c r="K962" s="73"/>
      <c r="L962" s="73"/>
      <c r="M962" s="77">
        <f>IFERROR(__xludf.DUMMYFUNCTION("""COMPUTED_VALUE"""),0.12)</f>
        <v>0.12</v>
      </c>
      <c r="N962" s="77">
        <f>IFERROR(__xludf.DUMMYFUNCTION("""COMPUTED_VALUE"""),1.0)</f>
        <v>1</v>
      </c>
      <c r="O962" s="49"/>
      <c r="P962" s="49" t="str">
        <f>IFERROR(__xludf.DUMMYFUNCTION("""COMPUTED_VALUE"""),"Offset")</f>
        <v>Offset</v>
      </c>
      <c r="Q962" s="49" t="str">
        <f>IFERROR(__xludf.DUMMYFUNCTION("""COMPUTED_VALUE"""),"Packaging")</f>
        <v>Packaging</v>
      </c>
      <c r="R962" s="49" t="str">
        <f>IFERROR(__xludf.DUMMYFUNCTION("""COMPUTED_VALUE"""),"FMCG")</f>
        <v>FMCG</v>
      </c>
    </row>
    <row r="963">
      <c r="A963" s="156" t="str">
        <f>IFERROR(__xludf.DUMMYFUNCTION("""COMPUTED_VALUE"""),"https://drive.google.com/open?id=16BE0phGUKyPQm8rtBp3BWs9EhgsBhHa_&amp;usp=drive_fs")</f>
        <v>https://drive.google.com/open?id=16BE0phGUKyPQm8rtBp3BWs9EhgsBhHa_&amp;usp=drive_fs</v>
      </c>
      <c r="B963" s="73" t="str">
        <f>IFERROR(__xludf.DUMMYFUNCTION("""COMPUTED_VALUE"""),"FMCG")</f>
        <v>FMCG</v>
      </c>
      <c r="C963" s="73" t="str">
        <f>IFERROR(__xludf.DUMMYFUNCTION("""COMPUTED_VALUE"""),"Coffee")</f>
        <v>Coffee</v>
      </c>
      <c r="D963" s="73" t="str">
        <f>IFERROR(__xludf.DUMMYFUNCTION("""COMPUTED_VALUE"""),"120*50*140 mm | 4.7*2*5.5 inch LB")</f>
        <v>120*50*140 mm | 4.7*2*5.5 inch LB</v>
      </c>
      <c r="E963" s="77">
        <f>IFERROR(__xludf.DUMMYFUNCTION("""COMPUTED_VALUE"""),4.0)</f>
        <v>4</v>
      </c>
      <c r="F963" s="77">
        <f>IFERROR(__xludf.DUMMYFUNCTION("""COMPUTED_VALUE"""),2029.0)</f>
        <v>2029</v>
      </c>
      <c r="G963" s="77">
        <f>IFERROR(__xludf.DUMMYFUNCTION("""COMPUTED_VALUE"""),20.0)</f>
        <v>20</v>
      </c>
      <c r="H963" s="77">
        <f>IFERROR(__xludf.DUMMYFUNCTION("""COMPUTED_VALUE"""),28.0)</f>
        <v>28</v>
      </c>
      <c r="I963" s="77">
        <f>IFERROR(__xludf.DUMMYFUNCTION("""COMPUTED_VALUE"""),100.0)</f>
        <v>100</v>
      </c>
      <c r="J963" s="73"/>
      <c r="K963" s="73"/>
      <c r="L963" s="73"/>
      <c r="M963" s="77">
        <f>IFERROR(__xludf.DUMMYFUNCTION("""COMPUTED_VALUE"""),0.2)</f>
        <v>0.2</v>
      </c>
      <c r="N963" s="77">
        <f>IFERROR(__xludf.DUMMYFUNCTION("""COMPUTED_VALUE"""),1.0)</f>
        <v>1</v>
      </c>
      <c r="O963" s="49"/>
      <c r="P963" s="49" t="str">
        <f>IFERROR(__xludf.DUMMYFUNCTION("""COMPUTED_VALUE"""),"Offset")</f>
        <v>Offset</v>
      </c>
      <c r="Q963" s="49" t="str">
        <f>IFERROR(__xludf.DUMMYFUNCTION("""COMPUTED_VALUE"""),"Packaging")</f>
        <v>Packaging</v>
      </c>
      <c r="R963" s="49" t="str">
        <f>IFERROR(__xludf.DUMMYFUNCTION("""COMPUTED_VALUE"""),"FMCG")</f>
        <v>FMCG</v>
      </c>
    </row>
    <row r="964">
      <c r="A964" s="156" t="str">
        <f>IFERROR(__xludf.DUMMYFUNCTION("""COMPUTED_VALUE"""),"https://drive.google.com/open?id=16K89i-X8viZhEjAvh_APrkWkGgMZot_Q&amp;usp=drive_fs")</f>
        <v>https://drive.google.com/open?id=16K89i-X8viZhEjAvh_APrkWkGgMZot_Q&amp;usp=drive_fs</v>
      </c>
      <c r="B964" s="73" t="str">
        <f>IFERROR(__xludf.DUMMYFUNCTION("""COMPUTED_VALUE"""),"FMCG")</f>
        <v>FMCG</v>
      </c>
      <c r="C964" s="73" t="str">
        <f>IFERROR(__xludf.DUMMYFUNCTION("""COMPUTED_VALUE"""),"Saffron")</f>
        <v>Saffron</v>
      </c>
      <c r="D964" s="73" t="str">
        <f>IFERROR(__xludf.DUMMYFUNCTION("""COMPUTED_VALUE"""),"67*67*67 mm | 2.6*2.6*2.6 inch")</f>
        <v>67*67*67 mm | 2.6*2.6*2.6 inch</v>
      </c>
      <c r="E964" s="77">
        <f>IFERROR(__xludf.DUMMYFUNCTION("""COMPUTED_VALUE"""),4.0)</f>
        <v>4</v>
      </c>
      <c r="F964" s="77">
        <f>IFERROR(__xludf.DUMMYFUNCTION("""COMPUTED_VALUE"""),1926.0)</f>
        <v>1926</v>
      </c>
      <c r="G964" s="77">
        <f>IFERROR(__xludf.DUMMYFUNCTION("""COMPUTED_VALUE"""),18.0)</f>
        <v>18</v>
      </c>
      <c r="H964" s="77">
        <f>IFERROR(__xludf.DUMMYFUNCTION("""COMPUTED_VALUE"""),23.0)</f>
        <v>23</v>
      </c>
      <c r="I964" s="77">
        <f>IFERROR(__xludf.DUMMYFUNCTION("""COMPUTED_VALUE"""),100.0)</f>
        <v>100</v>
      </c>
      <c r="J964" s="73"/>
      <c r="K964" s="73"/>
      <c r="L964" s="73"/>
      <c r="M964" s="77">
        <f>IFERROR(__xludf.DUMMYFUNCTION("""COMPUTED_VALUE"""),0.1)</f>
        <v>0.1</v>
      </c>
      <c r="N964" s="77">
        <f>IFERROR(__xludf.DUMMYFUNCTION("""COMPUTED_VALUE"""),1.0)</f>
        <v>1</v>
      </c>
      <c r="O964" s="49"/>
      <c r="P964" s="49" t="str">
        <f>IFERROR(__xludf.DUMMYFUNCTION("""COMPUTED_VALUE"""),"Offset")</f>
        <v>Offset</v>
      </c>
      <c r="Q964" s="49" t="str">
        <f>IFERROR(__xludf.DUMMYFUNCTION("""COMPUTED_VALUE"""),"Packaging")</f>
        <v>Packaging</v>
      </c>
      <c r="R964" s="49" t="str">
        <f>IFERROR(__xludf.DUMMYFUNCTION("""COMPUTED_VALUE"""),"FMCG")</f>
        <v>FMCG</v>
      </c>
    </row>
    <row r="965">
      <c r="A965" s="156" t="str">
        <f>IFERROR(__xludf.DUMMYFUNCTION("""COMPUTED_VALUE"""),"https://drive.google.com/open?id=1Rqaz5ZUV6zamA-EJghQ_XXbVz7SZUiuh&amp;usp=drive_fs")</f>
        <v>https://drive.google.com/open?id=1Rqaz5ZUV6zamA-EJghQ_XXbVz7SZUiuh&amp;usp=drive_fs</v>
      </c>
      <c r="B965" s="73" t="str">
        <f>IFERROR(__xludf.DUMMYFUNCTION("""COMPUTED_VALUE"""),"FMCG")</f>
        <v>FMCG</v>
      </c>
      <c r="C965" s="73" t="str">
        <f>IFERROR(__xludf.DUMMYFUNCTION("""COMPUTED_VALUE"""),"Misc")</f>
        <v>Misc</v>
      </c>
      <c r="D965" s="73" t="str">
        <f>IFERROR(__xludf.DUMMYFUNCTION("""COMPUTED_VALUE"""),"74*74*130 mm | 2.9*2.9*5.1 inch")</f>
        <v>74*74*130 mm | 2.9*2.9*5.1 inch</v>
      </c>
      <c r="E965" s="77">
        <f>IFERROR(__xludf.DUMMYFUNCTION("""COMPUTED_VALUE"""),2.0)</f>
        <v>2</v>
      </c>
      <c r="F965" s="77">
        <f>IFERROR(__xludf.DUMMYFUNCTION("""COMPUTED_VALUE"""),1926.0)</f>
        <v>1926</v>
      </c>
      <c r="G965" s="77">
        <f>IFERROR(__xludf.DUMMYFUNCTION("""COMPUTED_VALUE"""),13.0)</f>
        <v>13</v>
      </c>
      <c r="H965" s="77">
        <f>IFERROR(__xludf.DUMMYFUNCTION("""COMPUTED_VALUE"""),23.0)</f>
        <v>23</v>
      </c>
      <c r="I965" s="77">
        <f>IFERROR(__xludf.DUMMYFUNCTION("""COMPUTED_VALUE"""),100.0)</f>
        <v>100</v>
      </c>
      <c r="J965" s="73"/>
      <c r="K965" s="73"/>
      <c r="L965" s="73"/>
      <c r="M965" s="77">
        <f>IFERROR(__xludf.DUMMYFUNCTION("""COMPUTED_VALUE"""),0.1)</f>
        <v>0.1</v>
      </c>
      <c r="N965" s="77">
        <f>IFERROR(__xludf.DUMMYFUNCTION("""COMPUTED_VALUE"""),1.0)</f>
        <v>1</v>
      </c>
      <c r="O965" s="49"/>
      <c r="P965" s="49" t="str">
        <f>IFERROR(__xludf.DUMMYFUNCTION("""COMPUTED_VALUE"""),"Offset")</f>
        <v>Offset</v>
      </c>
      <c r="Q965" s="49" t="str">
        <f>IFERROR(__xludf.DUMMYFUNCTION("""COMPUTED_VALUE"""),"Packaging")</f>
        <v>Packaging</v>
      </c>
      <c r="R965" s="49" t="str">
        <f>IFERROR(__xludf.DUMMYFUNCTION("""COMPUTED_VALUE"""),"FMCG")</f>
        <v>FMCG</v>
      </c>
    </row>
    <row r="966">
      <c r="A966" s="156" t="str">
        <f>IFERROR(__xludf.DUMMYFUNCTION("""COMPUTED_VALUE"""),"https://drive.google.com/open?id=11G-QG4nEld1KIBWmmxpSrsK6hLZJxsuq&amp;usp=drive_fs")</f>
        <v>https://drive.google.com/open?id=11G-QG4nEld1KIBWmmxpSrsK6hLZJxsuq&amp;usp=drive_fs</v>
      </c>
      <c r="B966" s="73" t="str">
        <f>IFERROR(__xludf.DUMMYFUNCTION("""COMPUTED_VALUE"""),"FMCG")</f>
        <v>FMCG</v>
      </c>
      <c r="C966" s="73" t="str">
        <f>IFERROR(__xludf.DUMMYFUNCTION("""COMPUTED_VALUE"""),"Candy")</f>
        <v>Candy</v>
      </c>
      <c r="D966" s="73" t="str">
        <f>IFERROR(__xludf.DUMMYFUNCTION("""COMPUTED_VALUE"""),"70*70*170 mm | 2.7*2.7*6.7 inch W 5.5*3.3 inch")</f>
        <v>70*70*170 mm | 2.7*2.7*6.7 inch W 5.5*3.3 inch</v>
      </c>
      <c r="E966" s="77">
        <f>IFERROR(__xludf.DUMMYFUNCTION("""COMPUTED_VALUE"""),2.0)</f>
        <v>2</v>
      </c>
      <c r="F966" s="77">
        <f>IFERROR(__xludf.DUMMYFUNCTION("""COMPUTED_VALUE"""),1926.0)</f>
        <v>1926</v>
      </c>
      <c r="G966" s="77">
        <f>IFERROR(__xludf.DUMMYFUNCTION("""COMPUTED_VALUE"""),12.0)</f>
        <v>12</v>
      </c>
      <c r="H966" s="77">
        <f>IFERROR(__xludf.DUMMYFUNCTION("""COMPUTED_VALUE"""),25.0)</f>
        <v>25</v>
      </c>
      <c r="I966" s="77">
        <f>IFERROR(__xludf.DUMMYFUNCTION("""COMPUTED_VALUE"""),100.0)</f>
        <v>100</v>
      </c>
      <c r="J966" s="73"/>
      <c r="K966" s="73"/>
      <c r="L966" s="73">
        <f>IFERROR(__xludf.DUMMYFUNCTION("""COMPUTED_VALUE"""),1.5)</f>
        <v>1.5</v>
      </c>
      <c r="M966" s="77">
        <f>IFERROR(__xludf.DUMMYFUNCTION("""COMPUTED_VALUE"""),0.18)</f>
        <v>0.18</v>
      </c>
      <c r="N966" s="77">
        <f>IFERROR(__xludf.DUMMYFUNCTION("""COMPUTED_VALUE"""),1.0)</f>
        <v>1</v>
      </c>
      <c r="O966" s="49"/>
      <c r="P966" s="49" t="str">
        <f>IFERROR(__xludf.DUMMYFUNCTION("""COMPUTED_VALUE"""),"Offset")</f>
        <v>Offset</v>
      </c>
      <c r="Q966" s="49" t="str">
        <f>IFERROR(__xludf.DUMMYFUNCTION("""COMPUTED_VALUE"""),"Packaging")</f>
        <v>Packaging</v>
      </c>
      <c r="R966" s="49" t="str">
        <f>IFERROR(__xludf.DUMMYFUNCTION("""COMPUTED_VALUE"""),"FMCG")</f>
        <v>FMCG</v>
      </c>
    </row>
    <row r="967">
      <c r="A967" s="156" t="str">
        <f>IFERROR(__xludf.DUMMYFUNCTION("""COMPUTED_VALUE"""),"https://drive.google.com/open?id=11bQ2idGe7Tk2-EYMdTYrVX7Z9H7JWKYt&amp;usp=drive_fs")</f>
        <v>https://drive.google.com/open?id=11bQ2idGe7Tk2-EYMdTYrVX7Z9H7JWKYt&amp;usp=drive_fs</v>
      </c>
      <c r="B967" s="73" t="str">
        <f>IFERROR(__xludf.DUMMYFUNCTION("""COMPUTED_VALUE"""),"FMCG")</f>
        <v>FMCG</v>
      </c>
      <c r="C967" s="73" t="str">
        <f>IFERROR(__xludf.DUMMYFUNCTION("""COMPUTED_VALUE"""),"Diya")</f>
        <v>Diya</v>
      </c>
      <c r="D967" s="73" t="str">
        <f>IFERROR(__xludf.DUMMYFUNCTION("""COMPUTED_VALUE"""),"58*58*50 mm | 2.3*2.3*2 inch")</f>
        <v>58*58*50 mm | 2.3*2.3*2 inch</v>
      </c>
      <c r="E967" s="77">
        <f>IFERROR(__xludf.DUMMYFUNCTION("""COMPUTED_VALUE"""),8.0)</f>
        <v>8</v>
      </c>
      <c r="F967" s="77">
        <f>IFERROR(__xludf.DUMMYFUNCTION("""COMPUTED_VALUE"""),1926.0)</f>
        <v>1926</v>
      </c>
      <c r="G967" s="77">
        <f>IFERROR(__xludf.DUMMYFUNCTION("""COMPUTED_VALUE"""),19.5)</f>
        <v>19.5</v>
      </c>
      <c r="H967" s="77">
        <f>IFERROR(__xludf.DUMMYFUNCTION("""COMPUTED_VALUE"""),23.0)</f>
        <v>23</v>
      </c>
      <c r="I967" s="77">
        <f>IFERROR(__xludf.DUMMYFUNCTION("""COMPUTED_VALUE"""),100.0)</f>
        <v>100</v>
      </c>
      <c r="J967" s="73"/>
      <c r="K967" s="73"/>
      <c r="L967" s="73"/>
      <c r="M967" s="77">
        <f>IFERROR(__xludf.DUMMYFUNCTION("""COMPUTED_VALUE"""),0.1)</f>
        <v>0.1</v>
      </c>
      <c r="N967" s="77">
        <f>IFERROR(__xludf.DUMMYFUNCTION("""COMPUTED_VALUE"""),1.0)</f>
        <v>1</v>
      </c>
      <c r="O967" s="49"/>
      <c r="P967" s="49" t="str">
        <f>IFERROR(__xludf.DUMMYFUNCTION("""COMPUTED_VALUE"""),"Offset")</f>
        <v>Offset</v>
      </c>
      <c r="Q967" s="49" t="str">
        <f>IFERROR(__xludf.DUMMYFUNCTION("""COMPUTED_VALUE"""),"Packaging")</f>
        <v>Packaging</v>
      </c>
      <c r="R967" s="49" t="str">
        <f>IFERROR(__xludf.DUMMYFUNCTION("""COMPUTED_VALUE"""),"FMCG")</f>
        <v>FMCG</v>
      </c>
    </row>
    <row r="968">
      <c r="A968" s="156" t="str">
        <f>IFERROR(__xludf.DUMMYFUNCTION("""COMPUTED_VALUE"""),"https://drive.google.com/open?id=1sYbn-91TcJ6k1qnExCutklm_E0zBCd66&amp;usp=drive_fs")</f>
        <v>https://drive.google.com/open?id=1sYbn-91TcJ6k1qnExCutklm_E0zBCd66&amp;usp=drive_fs</v>
      </c>
      <c r="B968" s="73" t="str">
        <f>IFERROR(__xludf.DUMMYFUNCTION("""COMPUTED_VALUE"""),"FMCG")</f>
        <v>FMCG</v>
      </c>
      <c r="C968" s="73" t="str">
        <f>IFERROR(__xludf.DUMMYFUNCTION("""COMPUTED_VALUE"""),"Henna")</f>
        <v>Henna</v>
      </c>
      <c r="D968" s="73" t="str">
        <f>IFERROR(__xludf.DUMMYFUNCTION("""COMPUTED_VALUE"""),"90*35*125 mm | 3.5*1.4*5 inch")</f>
        <v>90*35*125 mm | 3.5*1.4*5 inch</v>
      </c>
      <c r="E968" s="77">
        <f>IFERROR(__xludf.DUMMYFUNCTION("""COMPUTED_VALUE"""),4.0)</f>
        <v>4</v>
      </c>
      <c r="F968" s="77">
        <f>IFERROR(__xludf.DUMMYFUNCTION("""COMPUTED_VALUE"""),1926.0)</f>
        <v>1926</v>
      </c>
      <c r="G968" s="77">
        <f>IFERROR(__xludf.DUMMYFUNCTION("""COMPUTED_VALUE"""),18.0)</f>
        <v>18</v>
      </c>
      <c r="H968" s="77">
        <f>IFERROR(__xludf.DUMMYFUNCTION("""COMPUTED_VALUE"""),23.0)</f>
        <v>23</v>
      </c>
      <c r="I968" s="77">
        <f>IFERROR(__xludf.DUMMYFUNCTION("""COMPUTED_VALUE"""),100.0)</f>
        <v>100</v>
      </c>
      <c r="J968" s="73"/>
      <c r="K968" s="73"/>
      <c r="L968" s="73"/>
      <c r="M968" s="77">
        <f>IFERROR(__xludf.DUMMYFUNCTION("""COMPUTED_VALUE"""),0.1)</f>
        <v>0.1</v>
      </c>
      <c r="N968" s="77">
        <f>IFERROR(__xludf.DUMMYFUNCTION("""COMPUTED_VALUE"""),1.0)</f>
        <v>1</v>
      </c>
      <c r="O968" s="49"/>
      <c r="P968" s="49" t="str">
        <f>IFERROR(__xludf.DUMMYFUNCTION("""COMPUTED_VALUE"""),"Offset")</f>
        <v>Offset</v>
      </c>
      <c r="Q968" s="49" t="str">
        <f>IFERROR(__xludf.DUMMYFUNCTION("""COMPUTED_VALUE"""),"Packaging")</f>
        <v>Packaging</v>
      </c>
      <c r="R968" s="49" t="str">
        <f>IFERROR(__xludf.DUMMYFUNCTION("""COMPUTED_VALUE"""),"FMCG")</f>
        <v>FMCG</v>
      </c>
    </row>
    <row r="969">
      <c r="A969" s="156" t="str">
        <f>IFERROR(__xludf.DUMMYFUNCTION("""COMPUTED_VALUE"""),"https://drive.google.com/open?id=1aCEUR_6aUmRp26d0Su4BvT9rDrYzZwla&amp;usp=drive_fs")</f>
        <v>https://drive.google.com/open?id=1aCEUR_6aUmRp26d0Su4BvT9rDrYzZwla&amp;usp=drive_fs</v>
      </c>
      <c r="B969" s="73" t="str">
        <f>IFERROR(__xludf.DUMMYFUNCTION("""COMPUTED_VALUE"""),"FMCG")</f>
        <v>FMCG</v>
      </c>
      <c r="C969" s="73" t="str">
        <f>IFERROR(__xludf.DUMMYFUNCTION("""COMPUTED_VALUE"""),"Snore")</f>
        <v>Snore</v>
      </c>
      <c r="D969" s="73" t="str">
        <f>IFERROR(__xludf.DUMMYFUNCTION("""COMPUTED_VALUE"""),"60*20*60 mm | 2.3*.8*2.3 inch")</f>
        <v>60*20*60 mm | 2.3*.8*2.3 inch</v>
      </c>
      <c r="E969" s="77">
        <f>IFERROR(__xludf.DUMMYFUNCTION("""COMPUTED_VALUE"""),12.0)</f>
        <v>12</v>
      </c>
      <c r="F969" s="77">
        <f>IFERROR(__xludf.DUMMYFUNCTION("""COMPUTED_VALUE"""),1926.0)</f>
        <v>1926</v>
      </c>
      <c r="G969" s="77">
        <f>IFERROR(__xludf.DUMMYFUNCTION("""COMPUTED_VALUE"""),18.0)</f>
        <v>18</v>
      </c>
      <c r="H969" s="77">
        <f>IFERROR(__xludf.DUMMYFUNCTION("""COMPUTED_VALUE"""),23.0)</f>
        <v>23</v>
      </c>
      <c r="I969" s="77">
        <f>IFERROR(__xludf.DUMMYFUNCTION("""COMPUTED_VALUE"""),100.0)</f>
        <v>100</v>
      </c>
      <c r="J969" s="73"/>
      <c r="K969" s="73"/>
      <c r="L969" s="73"/>
      <c r="M969" s="77">
        <f>IFERROR(__xludf.DUMMYFUNCTION("""COMPUTED_VALUE"""),0.15)</f>
        <v>0.15</v>
      </c>
      <c r="N969" s="77">
        <f>IFERROR(__xludf.DUMMYFUNCTION("""COMPUTED_VALUE"""),1.0)</f>
        <v>1</v>
      </c>
      <c r="O969" s="49"/>
      <c r="P969" s="49" t="str">
        <f>IFERROR(__xludf.DUMMYFUNCTION("""COMPUTED_VALUE"""),"Offset")</f>
        <v>Offset</v>
      </c>
      <c r="Q969" s="49" t="str">
        <f>IFERROR(__xludf.DUMMYFUNCTION("""COMPUTED_VALUE"""),"Packaging")</f>
        <v>Packaging</v>
      </c>
      <c r="R969" s="49" t="str">
        <f>IFERROR(__xludf.DUMMYFUNCTION("""COMPUTED_VALUE"""),"FMCG")</f>
        <v>FMCG</v>
      </c>
    </row>
    <row r="970">
      <c r="A970" s="156" t="str">
        <f>IFERROR(__xludf.DUMMYFUNCTION("""COMPUTED_VALUE"""),"https://drive.google.com/open?id=1DIzuCfOgOoga4-tVukRBSgOSg9LbEkP2&amp;usp=drive_fs")</f>
        <v>https://drive.google.com/open?id=1DIzuCfOgOoga4-tVukRBSgOSg9LbEkP2&amp;usp=drive_fs</v>
      </c>
      <c r="B970" s="73" t="str">
        <f>IFERROR(__xludf.DUMMYFUNCTION("""COMPUTED_VALUE"""),"Henna Raj")</f>
        <v>Henna Raj</v>
      </c>
      <c r="C970" s="73" t="str">
        <f>IFERROR(__xludf.DUMMYFUNCTION("""COMPUTED_VALUE"""),"Multani")</f>
        <v>Multani</v>
      </c>
      <c r="D970" s="73" t="str">
        <f>IFERROR(__xludf.DUMMYFUNCTION("""COMPUTED_VALUE"""),"84*30*133.5 mm | 3.3*1.2*5.3 inch LB")</f>
        <v>84*30*133.5 mm | 3.3*1.2*5.3 inch LB</v>
      </c>
      <c r="E970" s="77">
        <f>IFERROR(__xludf.DUMMYFUNCTION("""COMPUTED_VALUE"""),6.0)</f>
        <v>6</v>
      </c>
      <c r="F970" s="77">
        <f>IFERROR(__xludf.DUMMYFUNCTION("""COMPUTED_VALUE"""),1926.0)</f>
        <v>1926</v>
      </c>
      <c r="G970" s="77">
        <f>IFERROR(__xludf.DUMMYFUNCTION("""COMPUTED_VALUE"""),19.5)</f>
        <v>19.5</v>
      </c>
      <c r="H970" s="77">
        <f>IFERROR(__xludf.DUMMYFUNCTION("""COMPUTED_VALUE"""),23.0)</f>
        <v>23</v>
      </c>
      <c r="I970" s="77">
        <f>IFERROR(__xludf.DUMMYFUNCTION("""COMPUTED_VALUE"""),100.0)</f>
        <v>100</v>
      </c>
      <c r="J970" s="73"/>
      <c r="K970" s="73"/>
      <c r="L970" s="73"/>
      <c r="M970" s="77">
        <f>IFERROR(__xludf.DUMMYFUNCTION("""COMPUTED_VALUE"""),0.18)</f>
        <v>0.18</v>
      </c>
      <c r="N970" s="77">
        <f>IFERROR(__xludf.DUMMYFUNCTION("""COMPUTED_VALUE"""),1.0)</f>
        <v>1</v>
      </c>
      <c r="O970" s="49"/>
      <c r="P970" s="49" t="str">
        <f>IFERROR(__xludf.DUMMYFUNCTION("""COMPUTED_VALUE"""),"Offset")</f>
        <v>Offset</v>
      </c>
      <c r="Q970" s="49" t="str">
        <f>IFERROR(__xludf.DUMMYFUNCTION("""COMPUTED_VALUE"""),"Packaging")</f>
        <v>Packaging</v>
      </c>
      <c r="R970" s="49" t="str">
        <f>IFERROR(__xludf.DUMMYFUNCTION("""COMPUTED_VALUE"""),"Henna Raj")</f>
        <v>Henna Raj</v>
      </c>
    </row>
    <row r="971">
      <c r="A971" s="156" t="str">
        <f>IFERROR(__xludf.DUMMYFUNCTION("""COMPUTED_VALUE"""),"https://drive.google.com/open?id=13EyUq2Rf8KdMjDakDiaIbNYiLJC0Brkf&amp;usp=drive_fs")</f>
        <v>https://drive.google.com/open?id=13EyUq2Rf8KdMjDakDiaIbNYiLJC0Brkf&amp;usp=drive_fs</v>
      </c>
      <c r="B971" s="73" t="str">
        <f>IFERROR(__xludf.DUMMYFUNCTION("""COMPUTED_VALUE"""),"FMCG")</f>
        <v>FMCG</v>
      </c>
      <c r="C971" s="73" t="str">
        <f>IFERROR(__xludf.DUMMYFUNCTION("""COMPUTED_VALUE"""),"Henna")</f>
        <v>Henna</v>
      </c>
      <c r="D971" s="73" t="str">
        <f>IFERROR(__xludf.DUMMYFUNCTION("""COMPUTED_VALUE"""),"95*55*125 mm | 3.7*2*4.9 inch")</f>
        <v>95*55*125 mm | 3.7*2*4.9 inch</v>
      </c>
      <c r="E971" s="77">
        <f>IFERROR(__xludf.DUMMYFUNCTION("""COMPUTED_VALUE"""),2.0)</f>
        <v>2</v>
      </c>
      <c r="F971" s="77">
        <f>IFERROR(__xludf.DUMMYFUNCTION("""COMPUTED_VALUE"""),1926.0)</f>
        <v>1926</v>
      </c>
      <c r="G971" s="77">
        <f>IFERROR(__xludf.DUMMYFUNCTION("""COMPUTED_VALUE"""),14.0)</f>
        <v>14</v>
      </c>
      <c r="H971" s="77">
        <f>IFERROR(__xludf.DUMMYFUNCTION("""COMPUTED_VALUE"""),22.0)</f>
        <v>22</v>
      </c>
      <c r="I971" s="77">
        <f>IFERROR(__xludf.DUMMYFUNCTION("""COMPUTED_VALUE"""),100.0)</f>
        <v>100</v>
      </c>
      <c r="J971" s="73"/>
      <c r="K971" s="73"/>
      <c r="L971" s="73"/>
      <c r="M971" s="77">
        <f>IFERROR(__xludf.DUMMYFUNCTION("""COMPUTED_VALUE"""),0.12)</f>
        <v>0.12</v>
      </c>
      <c r="N971" s="77">
        <f>IFERROR(__xludf.DUMMYFUNCTION("""COMPUTED_VALUE"""),1.0)</f>
        <v>1</v>
      </c>
      <c r="O971" s="49"/>
      <c r="P971" s="49" t="str">
        <f>IFERROR(__xludf.DUMMYFUNCTION("""COMPUTED_VALUE"""),"Offset")</f>
        <v>Offset</v>
      </c>
      <c r="Q971" s="49" t="str">
        <f>IFERROR(__xludf.DUMMYFUNCTION("""COMPUTED_VALUE"""),"Packaging")</f>
        <v>Packaging</v>
      </c>
      <c r="R971" s="49" t="str">
        <f>IFERROR(__xludf.DUMMYFUNCTION("""COMPUTED_VALUE"""),"FMCG")</f>
        <v>FMCG</v>
      </c>
    </row>
    <row r="972">
      <c r="A972" s="156" t="str">
        <f>IFERROR(__xludf.DUMMYFUNCTION("""COMPUTED_VALUE"""),"https://drive.google.com/open?id=13EyUq2Rf8KdMjDakDiaIbNYiLJC0Brkf&amp;usp=drive_fs")</f>
        <v>https://drive.google.com/open?id=13EyUq2Rf8KdMjDakDiaIbNYiLJC0Brkf&amp;usp=drive_fs</v>
      </c>
      <c r="B972" s="73" t="str">
        <f>IFERROR(__xludf.DUMMYFUNCTION("""COMPUTED_VALUE"""),"FMCG")</f>
        <v>FMCG</v>
      </c>
      <c r="C972" s="73" t="str">
        <f>IFERROR(__xludf.DUMMYFUNCTION("""COMPUTED_VALUE"""),"Henna")</f>
        <v>Henna</v>
      </c>
      <c r="D972" s="73" t="str">
        <f>IFERROR(__xludf.DUMMYFUNCTION("""COMPUTED_VALUE"""),"105*60*130 mm |  4.1*2.4*5 inch")</f>
        <v>105*60*130 mm |  4.1*2.4*5 inch</v>
      </c>
      <c r="E972" s="77">
        <f>IFERROR(__xludf.DUMMYFUNCTION("""COMPUTED_VALUE"""),2.0)</f>
        <v>2</v>
      </c>
      <c r="F972" s="77">
        <f>IFERROR(__xludf.DUMMYFUNCTION("""COMPUTED_VALUE"""),1926.0)</f>
        <v>1926</v>
      </c>
      <c r="G972" s="77">
        <f>IFERROR(__xludf.DUMMYFUNCTION("""COMPUTED_VALUE"""),15.75)</f>
        <v>15.75</v>
      </c>
      <c r="H972" s="77">
        <f>IFERROR(__xludf.DUMMYFUNCTION("""COMPUTED_VALUE"""),21.5)</f>
        <v>21.5</v>
      </c>
      <c r="I972" s="77">
        <f>IFERROR(__xludf.DUMMYFUNCTION("""COMPUTED_VALUE"""),100.0)</f>
        <v>100</v>
      </c>
      <c r="J972" s="73"/>
      <c r="K972" s="73"/>
      <c r="L972" s="73"/>
      <c r="M972" s="77">
        <f>IFERROR(__xludf.DUMMYFUNCTION("""COMPUTED_VALUE"""),0.12)</f>
        <v>0.12</v>
      </c>
      <c r="N972" s="77">
        <f>IFERROR(__xludf.DUMMYFUNCTION("""COMPUTED_VALUE"""),1.0)</f>
        <v>1</v>
      </c>
      <c r="O972" s="49"/>
      <c r="P972" s="49" t="str">
        <f>IFERROR(__xludf.DUMMYFUNCTION("""COMPUTED_VALUE"""),"Offset")</f>
        <v>Offset</v>
      </c>
      <c r="Q972" s="49" t="str">
        <f>IFERROR(__xludf.DUMMYFUNCTION("""COMPUTED_VALUE"""),"Packaging")</f>
        <v>Packaging</v>
      </c>
      <c r="R972" s="49" t="str">
        <f>IFERROR(__xludf.DUMMYFUNCTION("""COMPUTED_VALUE"""),"FMCG")</f>
        <v>FMCG</v>
      </c>
    </row>
    <row r="973">
      <c r="A973" s="156" t="str">
        <f>IFERROR(__xludf.DUMMYFUNCTION("""COMPUTED_VALUE"""),"https://drive.google.com/open?id=103eUaQW3TOopHbdy0GliRZ7gKva8MSsT&amp;usp=drive_fs")</f>
        <v>https://drive.google.com/open?id=103eUaQW3TOopHbdy0GliRZ7gKva8MSsT&amp;usp=drive_fs</v>
      </c>
      <c r="B973" s="73" t="str">
        <f>IFERROR(__xludf.DUMMYFUNCTION("""COMPUTED_VALUE"""),"FMCG")</f>
        <v>FMCG</v>
      </c>
      <c r="C973" s="73" t="str">
        <f>IFERROR(__xludf.DUMMYFUNCTION("""COMPUTED_VALUE"""),"Knee Patch")</f>
        <v>Knee Patch</v>
      </c>
      <c r="D973" s="73" t="str">
        <f>IFERROR(__xludf.DUMMYFUNCTION("""COMPUTED_VALUE"""),"130*10.6*170 mm | 5.1*0.4*6.7 inch")</f>
        <v>130*10.6*170 mm | 5.1*0.4*6.7 inch</v>
      </c>
      <c r="E973" s="77">
        <f>IFERROR(__xludf.DUMMYFUNCTION("""COMPUTED_VALUE"""),4.0)</f>
        <v>4</v>
      </c>
      <c r="F973" s="77">
        <f>IFERROR(__xludf.DUMMYFUNCTION("""COMPUTED_VALUE"""),1926.0)</f>
        <v>1926</v>
      </c>
      <c r="G973" s="77">
        <f>IFERROR(__xludf.DUMMYFUNCTION("""COMPUTED_VALUE"""),18.0)</f>
        <v>18</v>
      </c>
      <c r="H973" s="77">
        <f>IFERROR(__xludf.DUMMYFUNCTION("""COMPUTED_VALUE"""),23.0)</f>
        <v>23</v>
      </c>
      <c r="I973" s="77">
        <f>IFERROR(__xludf.DUMMYFUNCTION("""COMPUTED_VALUE"""),100.0)</f>
        <v>100</v>
      </c>
      <c r="J973" s="73"/>
      <c r="K973" s="73"/>
      <c r="L973" s="73"/>
      <c r="M973" s="77">
        <f>IFERROR(__xludf.DUMMYFUNCTION("""COMPUTED_VALUE"""),0.12)</f>
        <v>0.12</v>
      </c>
      <c r="N973" s="77">
        <f>IFERROR(__xludf.DUMMYFUNCTION("""COMPUTED_VALUE"""),1.0)</f>
        <v>1</v>
      </c>
      <c r="O973" s="49"/>
      <c r="P973" s="49" t="str">
        <f>IFERROR(__xludf.DUMMYFUNCTION("""COMPUTED_VALUE"""),"Offset")</f>
        <v>Offset</v>
      </c>
      <c r="Q973" s="49" t="str">
        <f>IFERROR(__xludf.DUMMYFUNCTION("""COMPUTED_VALUE"""),"Packaging")</f>
        <v>Packaging</v>
      </c>
      <c r="R973" s="49" t="str">
        <f>IFERROR(__xludf.DUMMYFUNCTION("""COMPUTED_VALUE"""),"FMCG")</f>
        <v>FMCG</v>
      </c>
    </row>
    <row r="974">
      <c r="A974" s="156" t="str">
        <f>IFERROR(__xludf.DUMMYFUNCTION("""COMPUTED_VALUE"""),"https://drive.google.com/open?id=1RI1_lqeRICB3J2rXl6svwx08H_tGe2wj&amp;usp=drive_fs")</f>
        <v>https://drive.google.com/open?id=1RI1_lqeRICB3J2rXl6svwx08H_tGe2wj&amp;usp=drive_fs</v>
      </c>
      <c r="B974" s="73" t="str">
        <f>IFERROR(__xludf.DUMMYFUNCTION("""COMPUTED_VALUE"""),"FMCG")</f>
        <v>FMCG</v>
      </c>
      <c r="C974" s="73" t="str">
        <f>IFERROR(__xludf.DUMMYFUNCTION("""COMPUTED_VALUE"""),"Knee Patch")</f>
        <v>Knee Patch</v>
      </c>
      <c r="D974" s="73" t="str">
        <f>IFERROR(__xludf.DUMMYFUNCTION("""COMPUTED_VALUE"""),"128*15*155 mm | 5*0.6*6.1 inch")</f>
        <v>128*15*155 mm | 5*0.6*6.1 inch</v>
      </c>
      <c r="E974" s="77">
        <f>IFERROR(__xludf.DUMMYFUNCTION("""COMPUTED_VALUE"""),4.0)</f>
        <v>4</v>
      </c>
      <c r="F974" s="77">
        <f>IFERROR(__xludf.DUMMYFUNCTION("""COMPUTED_VALUE"""),1926.0)</f>
        <v>1926</v>
      </c>
      <c r="G974" s="77">
        <f>IFERROR(__xludf.DUMMYFUNCTION("""COMPUTED_VALUE"""),18.0)</f>
        <v>18</v>
      </c>
      <c r="H974" s="77">
        <f>IFERROR(__xludf.DUMMYFUNCTION("""COMPUTED_VALUE"""),25.0)</f>
        <v>25</v>
      </c>
      <c r="I974" s="77">
        <f>IFERROR(__xludf.DUMMYFUNCTION("""COMPUTED_VALUE"""),100.0)</f>
        <v>100</v>
      </c>
      <c r="J974" s="73"/>
      <c r="K974" s="73"/>
      <c r="L974" s="73"/>
      <c r="M974" s="77">
        <f>IFERROR(__xludf.DUMMYFUNCTION("""COMPUTED_VALUE"""),0.12)</f>
        <v>0.12</v>
      </c>
      <c r="N974" s="77">
        <f>IFERROR(__xludf.DUMMYFUNCTION("""COMPUTED_VALUE"""),1.0)</f>
        <v>1</v>
      </c>
      <c r="O974" s="49"/>
      <c r="P974" s="49" t="str">
        <f>IFERROR(__xludf.DUMMYFUNCTION("""COMPUTED_VALUE"""),"Offset")</f>
        <v>Offset</v>
      </c>
      <c r="Q974" s="49" t="str">
        <f>IFERROR(__xludf.DUMMYFUNCTION("""COMPUTED_VALUE"""),"Packaging")</f>
        <v>Packaging</v>
      </c>
      <c r="R974" s="49" t="str">
        <f>IFERROR(__xludf.DUMMYFUNCTION("""COMPUTED_VALUE"""),"FMCG")</f>
        <v>FMCG</v>
      </c>
    </row>
    <row r="975">
      <c r="A975" s="156" t="str">
        <f>IFERROR(__xludf.DUMMYFUNCTION("""COMPUTED_VALUE"""),"https://drive.google.com/open?id=1OlfRZKTmd_ijgtSyMUHvacO-Nspi_jb5&amp;usp=drive_fs")</f>
        <v>https://drive.google.com/open?id=1OlfRZKTmd_ijgtSyMUHvacO-Nspi_jb5&amp;usp=drive_fs</v>
      </c>
      <c r="B975" s="73" t="str">
        <f>IFERROR(__xludf.DUMMYFUNCTION("""COMPUTED_VALUE"""),"FMCG")</f>
        <v>FMCG</v>
      </c>
      <c r="C975" s="73" t="str">
        <f>IFERROR(__xludf.DUMMYFUNCTION("""COMPUTED_VALUE"""),"Sweetner")</f>
        <v>Sweetner</v>
      </c>
      <c r="D975" s="73" t="str">
        <f>IFERROR(__xludf.DUMMYFUNCTION("""COMPUTED_VALUE"""),"58*23*109 mm | 2.3*0.9*4.3 inch")</f>
        <v>58*23*109 mm | 2.3*0.9*4.3 inch</v>
      </c>
      <c r="E975" s="77">
        <f>IFERROR(__xludf.DUMMYFUNCTION("""COMPUTED_VALUE"""),24.0)</f>
        <v>24</v>
      </c>
      <c r="F975" s="77">
        <f>IFERROR(__xludf.DUMMYFUNCTION("""COMPUTED_VALUE"""),2840.0)</f>
        <v>2840</v>
      </c>
      <c r="G975" s="77">
        <f>IFERROR(__xludf.DUMMYFUNCTION("""COMPUTED_VALUE"""),28.0)</f>
        <v>28</v>
      </c>
      <c r="H975" s="77">
        <f>IFERROR(__xludf.DUMMYFUNCTION("""COMPUTED_VALUE"""),38.0)</f>
        <v>38</v>
      </c>
      <c r="I975" s="77">
        <f>IFERROR(__xludf.DUMMYFUNCTION("""COMPUTED_VALUE"""),100.0)</f>
        <v>100</v>
      </c>
      <c r="J975" s="73"/>
      <c r="K975" s="73"/>
      <c r="L975" s="73"/>
      <c r="M975" s="77">
        <f>IFERROR(__xludf.DUMMYFUNCTION("""COMPUTED_VALUE"""),0.1)</f>
        <v>0.1</v>
      </c>
      <c r="N975" s="77">
        <f>IFERROR(__xludf.DUMMYFUNCTION("""COMPUTED_VALUE"""),1.0)</f>
        <v>1</v>
      </c>
      <c r="O975" s="49"/>
      <c r="P975" s="49" t="str">
        <f>IFERROR(__xludf.DUMMYFUNCTION("""COMPUTED_VALUE"""),"Offset")</f>
        <v>Offset</v>
      </c>
      <c r="Q975" s="49" t="str">
        <f>IFERROR(__xludf.DUMMYFUNCTION("""COMPUTED_VALUE"""),"Packaging")</f>
        <v>Packaging</v>
      </c>
      <c r="R975" s="49" t="str">
        <f>IFERROR(__xludf.DUMMYFUNCTION("""COMPUTED_VALUE"""),"FMCG")</f>
        <v>FMCG</v>
      </c>
    </row>
    <row r="976">
      <c r="A976" s="156" t="str">
        <f>IFERROR(__xludf.DUMMYFUNCTION("""COMPUTED_VALUE"""),"https://drive.google.com/open?id=1RCVTOA7UAiI06kh64ajGkxHXq7kK4A7v&amp;authuser=jay.agg%40gmail.com&amp;usp=drive_fs")</f>
        <v>https://drive.google.com/open?id=1RCVTOA7UAiI06kh64ajGkxHXq7kK4A7v&amp;authuser=jay.agg%40gmail.com&amp;usp=drive_fs</v>
      </c>
      <c r="B976" s="73" t="str">
        <f>IFERROR(__xludf.DUMMYFUNCTION("""COMPUTED_VALUE"""),"Food")</f>
        <v>Food</v>
      </c>
      <c r="C976" s="73" t="str">
        <f>IFERROR(__xludf.DUMMYFUNCTION("""COMPUTED_VALUE"""),"Wrap")</f>
        <v>Wrap</v>
      </c>
      <c r="D976" s="73" t="str">
        <f>IFERROR(__xludf.DUMMYFUNCTION("""COMPUTED_VALUE"""),"15*74*217 mm")</f>
        <v>15*74*217 mm</v>
      </c>
      <c r="E976" s="77">
        <f>IFERROR(__xludf.DUMMYFUNCTION("""COMPUTED_VALUE"""),4.0)</f>
        <v>4</v>
      </c>
      <c r="F976" s="77">
        <f>IFERROR(__xludf.DUMMYFUNCTION("""COMPUTED_VALUE"""),1926.0)</f>
        <v>1926</v>
      </c>
      <c r="G976" s="77">
        <f>IFERROR(__xludf.DUMMYFUNCTION("""COMPUTED_VALUE"""),18.0)</f>
        <v>18</v>
      </c>
      <c r="H976" s="77">
        <f>IFERROR(__xludf.DUMMYFUNCTION("""COMPUTED_VALUE"""),23.0)</f>
        <v>23</v>
      </c>
      <c r="I976" s="77">
        <f>IFERROR(__xludf.DUMMYFUNCTION("""COMPUTED_VALUE"""),100.0)</f>
        <v>100</v>
      </c>
      <c r="J976" s="73"/>
      <c r="K976" s="73"/>
      <c r="L976" s="73"/>
      <c r="M976" s="77">
        <f>IFERROR(__xludf.DUMMYFUNCTION("""COMPUTED_VALUE"""),0.1)</f>
        <v>0.1</v>
      </c>
      <c r="N976" s="77">
        <f>IFERROR(__xludf.DUMMYFUNCTION("""COMPUTED_VALUE"""),1.0)</f>
        <v>1</v>
      </c>
      <c r="O976" s="49"/>
      <c r="P976" s="49" t="str">
        <f>IFERROR(__xludf.DUMMYFUNCTION("""COMPUTED_VALUE"""),"Offset")</f>
        <v>Offset</v>
      </c>
      <c r="Q976" s="49" t="str">
        <f>IFERROR(__xludf.DUMMYFUNCTION("""COMPUTED_VALUE"""),"Packaging")</f>
        <v>Packaging</v>
      </c>
      <c r="R976" s="49" t="str">
        <f>IFERROR(__xludf.DUMMYFUNCTION("""COMPUTED_VALUE"""),"Food")</f>
        <v>Food</v>
      </c>
    </row>
    <row r="977">
      <c r="A977" s="156" t="str">
        <f>IFERROR(__xludf.DUMMYFUNCTION("""COMPUTED_VALUE"""),"https://drive.google.com/open?id=1RFhjQczaMAqJxxKHOOgWIUcetju9JHbB&amp;authuser=jay.agg%40gmail.com&amp;usp=drive_fs")</f>
        <v>https://drive.google.com/open?id=1RFhjQczaMAqJxxKHOOgWIUcetju9JHbB&amp;authuser=jay.agg%40gmail.com&amp;usp=drive_fs</v>
      </c>
      <c r="B977" s="73" t="str">
        <f>IFERROR(__xludf.DUMMYFUNCTION("""COMPUTED_VALUE"""),"Food")</f>
        <v>Food</v>
      </c>
      <c r="C977" s="73" t="str">
        <f>IFERROR(__xludf.DUMMYFUNCTION("""COMPUTED_VALUE"""),"Amla Candy")</f>
        <v>Amla Candy</v>
      </c>
      <c r="D977" s="73" t="str">
        <f>IFERROR(__xludf.DUMMYFUNCTION("""COMPUTED_VALUE"""),"2.5*4.2*4.9 inch LB")</f>
        <v>2.5*4.2*4.9 inch LB</v>
      </c>
      <c r="E977" s="77">
        <f>IFERROR(__xludf.DUMMYFUNCTION("""COMPUTED_VALUE"""),4.0)</f>
        <v>4</v>
      </c>
      <c r="F977" s="77">
        <f>IFERROR(__xludf.DUMMYFUNCTION("""COMPUTED_VALUE"""),2029.0)</f>
        <v>2029</v>
      </c>
      <c r="G977" s="77">
        <f>IFERROR(__xludf.DUMMYFUNCTION("""COMPUTED_VALUE"""),20.0)</f>
        <v>20</v>
      </c>
      <c r="H977" s="77">
        <f>IFERROR(__xludf.DUMMYFUNCTION("""COMPUTED_VALUE"""),28.0)</f>
        <v>28</v>
      </c>
      <c r="I977" s="77">
        <f>IFERROR(__xludf.DUMMYFUNCTION("""COMPUTED_VALUE"""),100.0)</f>
        <v>100</v>
      </c>
      <c r="J977" s="73"/>
      <c r="K977" s="73"/>
      <c r="L977" s="73"/>
      <c r="M977" s="77">
        <f>IFERROR(__xludf.DUMMYFUNCTION("""COMPUTED_VALUE"""),0.16)</f>
        <v>0.16</v>
      </c>
      <c r="N977" s="77">
        <f>IFERROR(__xludf.DUMMYFUNCTION("""COMPUTED_VALUE"""),1.0)</f>
        <v>1</v>
      </c>
      <c r="O977" s="49"/>
      <c r="P977" s="49" t="str">
        <f>IFERROR(__xludf.DUMMYFUNCTION("""COMPUTED_VALUE"""),"Offset")</f>
        <v>Offset</v>
      </c>
      <c r="Q977" s="49" t="str">
        <f>IFERROR(__xludf.DUMMYFUNCTION("""COMPUTED_VALUE"""),"Packaging")</f>
        <v>Packaging</v>
      </c>
      <c r="R977" s="49" t="str">
        <f>IFERROR(__xludf.DUMMYFUNCTION("""COMPUTED_VALUE"""),"Food")</f>
        <v>Food</v>
      </c>
    </row>
    <row r="978">
      <c r="A978" s="156" t="str">
        <f>IFERROR(__xludf.DUMMYFUNCTION("""COMPUTED_VALUE"""),"https://drive.google.com/open?id=1R-6x1155ykPUIHal2qHhsGUOhJ93l5nv&amp;authuser=jay.agg%40gmail.com&amp;usp=drive_fs")</f>
        <v>https://drive.google.com/open?id=1R-6x1155ykPUIHal2qHhsGUOhJ93l5nv&amp;authuser=jay.agg%40gmail.com&amp;usp=drive_fs</v>
      </c>
      <c r="B978" s="73" t="str">
        <f>IFERROR(__xludf.DUMMYFUNCTION("""COMPUTED_VALUE"""),"Food")</f>
        <v>Food</v>
      </c>
      <c r="C978" s="73" t="str">
        <f>IFERROR(__xludf.DUMMYFUNCTION("""COMPUTED_VALUE"""),"Dry Fruit")</f>
        <v>Dry Fruit</v>
      </c>
      <c r="D978" s="73" t="str">
        <f>IFERROR(__xludf.DUMMYFUNCTION("""COMPUTED_VALUE"""),"125*65*225 mm")</f>
        <v>125*65*225 mm</v>
      </c>
      <c r="E978" s="77">
        <f>IFERROR(__xludf.DUMMYFUNCTION("""COMPUTED_VALUE"""),2.0)</f>
        <v>2</v>
      </c>
      <c r="F978" s="77">
        <f>IFERROR(__xludf.DUMMYFUNCTION("""COMPUTED_VALUE"""),1926.0)</f>
        <v>1926</v>
      </c>
      <c r="G978" s="77">
        <f>IFERROR(__xludf.DUMMYFUNCTION("""COMPUTED_VALUE"""),18.0)</f>
        <v>18</v>
      </c>
      <c r="H978" s="77">
        <f>IFERROR(__xludf.DUMMYFUNCTION("""COMPUTED_VALUE"""),24.0)</f>
        <v>24</v>
      </c>
      <c r="I978" s="77">
        <f>IFERROR(__xludf.DUMMYFUNCTION("""COMPUTED_VALUE"""),100.0)</f>
        <v>100</v>
      </c>
      <c r="J978" s="73"/>
      <c r="K978" s="73"/>
      <c r="L978" s="73"/>
      <c r="M978" s="77">
        <f>IFERROR(__xludf.DUMMYFUNCTION("""COMPUTED_VALUE"""),0.16)</f>
        <v>0.16</v>
      </c>
      <c r="N978" s="77">
        <f>IFERROR(__xludf.DUMMYFUNCTION("""COMPUTED_VALUE"""),1.0)</f>
        <v>1</v>
      </c>
      <c r="O978" s="49"/>
      <c r="P978" s="49" t="str">
        <f>IFERROR(__xludf.DUMMYFUNCTION("""COMPUTED_VALUE"""),"Offset")</f>
        <v>Offset</v>
      </c>
      <c r="Q978" s="49" t="str">
        <f>IFERROR(__xludf.DUMMYFUNCTION("""COMPUTED_VALUE"""),"Packaging")</f>
        <v>Packaging</v>
      </c>
      <c r="R978" s="49" t="str">
        <f>IFERROR(__xludf.DUMMYFUNCTION("""COMPUTED_VALUE"""),"Food")</f>
        <v>Food</v>
      </c>
    </row>
    <row r="979">
      <c r="A979" s="156" t="str">
        <f>IFERROR(__xludf.DUMMYFUNCTION("""COMPUTED_VALUE"""),"https://drive.google.com/open?id=1QvJB9MhtDcXsNtKIflALdqXkVyq8VOgJ&amp;authuser=jay.agg%40gmail.com&amp;usp=drive_fs")</f>
        <v>https://drive.google.com/open?id=1QvJB9MhtDcXsNtKIflALdqXkVyq8VOgJ&amp;authuser=jay.agg%40gmail.com&amp;usp=drive_fs</v>
      </c>
      <c r="B979" s="73" t="str">
        <f>IFERROR(__xludf.DUMMYFUNCTION("""COMPUTED_VALUE"""),"Food")</f>
        <v>Food</v>
      </c>
      <c r="C979" s="73" t="str">
        <f>IFERROR(__xludf.DUMMYFUNCTION("""COMPUTED_VALUE"""),"Dry Fruit")</f>
        <v>Dry Fruit</v>
      </c>
      <c r="D979" s="73" t="str">
        <f>IFERROR(__xludf.DUMMYFUNCTION("""COMPUTED_VALUE"""),"102*38*152 | 4*6*1.5 inch LB")</f>
        <v>102*38*152 | 4*6*1.5 inch LB</v>
      </c>
      <c r="E979" s="77">
        <f>IFERROR(__xludf.DUMMYFUNCTION("""COMPUTED_VALUE"""),4.0)</f>
        <v>4</v>
      </c>
      <c r="F979" s="77">
        <f>IFERROR(__xludf.DUMMYFUNCTION("""COMPUTED_VALUE"""),1926.0)</f>
        <v>1926</v>
      </c>
      <c r="G979" s="77">
        <f>IFERROR(__xludf.DUMMYFUNCTION("""COMPUTED_VALUE"""),18.0)</f>
        <v>18</v>
      </c>
      <c r="H979" s="77">
        <f>IFERROR(__xludf.DUMMYFUNCTION("""COMPUTED_VALUE"""),23.0)</f>
        <v>23</v>
      </c>
      <c r="I979" s="77">
        <f>IFERROR(__xludf.DUMMYFUNCTION("""COMPUTED_VALUE"""),100.0)</f>
        <v>100</v>
      </c>
      <c r="J979" s="73"/>
      <c r="K979" s="73"/>
      <c r="L979" s="73"/>
      <c r="M979" s="77">
        <f>IFERROR(__xludf.DUMMYFUNCTION("""COMPUTED_VALUE"""),0.16)</f>
        <v>0.16</v>
      </c>
      <c r="N979" s="77">
        <f>IFERROR(__xludf.DUMMYFUNCTION("""COMPUTED_VALUE"""),1.0)</f>
        <v>1</v>
      </c>
      <c r="O979" s="49"/>
      <c r="P979" s="49" t="str">
        <f>IFERROR(__xludf.DUMMYFUNCTION("""COMPUTED_VALUE"""),"Offset")</f>
        <v>Offset</v>
      </c>
      <c r="Q979" s="49" t="str">
        <f>IFERROR(__xludf.DUMMYFUNCTION("""COMPUTED_VALUE"""),"Packaging")</f>
        <v>Packaging</v>
      </c>
      <c r="R979" s="49" t="str">
        <f>IFERROR(__xludf.DUMMYFUNCTION("""COMPUTED_VALUE"""),"Food")</f>
        <v>Food</v>
      </c>
    </row>
    <row r="980">
      <c r="A980" s="156" t="str">
        <f>IFERROR(__xludf.DUMMYFUNCTION("""COMPUTED_VALUE"""),"https://drive.google.com/open?id=1Qvbr4-fdTQ4l4YcjYooE-rNrrYyvW8zx&amp;authuser=jay.agg%40gmail.com&amp;usp=drive_fs")</f>
        <v>https://drive.google.com/open?id=1Qvbr4-fdTQ4l4YcjYooE-rNrrYyvW8zx&amp;authuser=jay.agg%40gmail.com&amp;usp=drive_fs</v>
      </c>
      <c r="B980" s="73" t="str">
        <f>IFERROR(__xludf.DUMMYFUNCTION("""COMPUTED_VALUE"""),"Food")</f>
        <v>Food</v>
      </c>
      <c r="C980" s="73" t="str">
        <f>IFERROR(__xludf.DUMMYFUNCTION("""COMPUTED_VALUE"""),"Dry Fruit")</f>
        <v>Dry Fruit</v>
      </c>
      <c r="D980" s="73" t="str">
        <f>IFERROR(__xludf.DUMMYFUNCTION("""COMPUTED_VALUE"""),"127*38*203 mm | 5*8*1.5 inch LB")</f>
        <v>127*38*203 mm | 5*8*1.5 inch LB</v>
      </c>
      <c r="E980" s="77">
        <f>IFERROR(__xludf.DUMMYFUNCTION("""COMPUTED_VALUE"""),2.0)</f>
        <v>2</v>
      </c>
      <c r="F980" s="77">
        <f>IFERROR(__xludf.DUMMYFUNCTION("""COMPUTED_VALUE"""),1926.0)</f>
        <v>1926</v>
      </c>
      <c r="G980" s="77">
        <f>IFERROR(__xludf.DUMMYFUNCTION("""COMPUTED_VALUE"""),14.0)</f>
        <v>14</v>
      </c>
      <c r="H980" s="77">
        <f>IFERROR(__xludf.DUMMYFUNCTION("""COMPUTED_VALUE"""),22.0)</f>
        <v>22</v>
      </c>
      <c r="I980" s="77">
        <f>IFERROR(__xludf.DUMMYFUNCTION("""COMPUTED_VALUE"""),100.0)</f>
        <v>100</v>
      </c>
      <c r="J980" s="73"/>
      <c r="K980" s="73"/>
      <c r="L980" s="73"/>
      <c r="M980" s="77">
        <f>IFERROR(__xludf.DUMMYFUNCTION("""COMPUTED_VALUE"""),0.16)</f>
        <v>0.16</v>
      </c>
      <c r="N980" s="77">
        <f>IFERROR(__xludf.DUMMYFUNCTION("""COMPUTED_VALUE"""),1.0)</f>
        <v>1</v>
      </c>
      <c r="O980" s="49"/>
      <c r="P980" s="49" t="str">
        <f>IFERROR(__xludf.DUMMYFUNCTION("""COMPUTED_VALUE"""),"Offset")</f>
        <v>Offset</v>
      </c>
      <c r="Q980" s="49" t="str">
        <f>IFERROR(__xludf.DUMMYFUNCTION("""COMPUTED_VALUE"""),"Packaging")</f>
        <v>Packaging</v>
      </c>
      <c r="R980" s="49" t="str">
        <f>IFERROR(__xludf.DUMMYFUNCTION("""COMPUTED_VALUE"""),"Food")</f>
        <v>Food</v>
      </c>
    </row>
    <row r="981">
      <c r="A981" s="156" t="str">
        <f>IFERROR(__xludf.DUMMYFUNCTION("""COMPUTED_VALUE"""),"https://drive.google.com/open?id=1Qwbp_CBztdhd4Oo6pQJ3VR0q6w7viL0j&amp;authuser=jay.agg%40gmail.com&amp;usp=drive_fs")</f>
        <v>https://drive.google.com/open?id=1Qwbp_CBztdhd4Oo6pQJ3VR0q6w7viL0j&amp;authuser=jay.agg%40gmail.com&amp;usp=drive_fs</v>
      </c>
      <c r="B981" s="73" t="str">
        <f>IFERROR(__xludf.DUMMYFUNCTION("""COMPUTED_VALUE"""),"Food")</f>
        <v>Food</v>
      </c>
      <c r="C981" s="73" t="str">
        <f>IFERROR(__xludf.DUMMYFUNCTION("""COMPUTED_VALUE"""),"Dry Fruit")</f>
        <v>Dry Fruit</v>
      </c>
      <c r="D981" s="73" t="str">
        <f>IFERROR(__xludf.DUMMYFUNCTION("""COMPUTED_VALUE"""),"140*38*216 mm | 5.5*8.5*1.5 inch LB")</f>
        <v>140*38*216 mm | 5.5*8.5*1.5 inch LB</v>
      </c>
      <c r="E981" s="77">
        <f>IFERROR(__xludf.DUMMYFUNCTION("""COMPUTED_VALUE"""),2.0)</f>
        <v>2</v>
      </c>
      <c r="F981" s="77">
        <f>IFERROR(__xludf.DUMMYFUNCTION("""COMPUTED_VALUE"""),1926.0)</f>
        <v>1926</v>
      </c>
      <c r="G981" s="77">
        <f>IFERROR(__xludf.DUMMYFUNCTION("""COMPUTED_VALUE"""),15.0)</f>
        <v>15</v>
      </c>
      <c r="H981" s="77">
        <f>IFERROR(__xludf.DUMMYFUNCTION("""COMPUTED_VALUE"""),25.0)</f>
        <v>25</v>
      </c>
      <c r="I981" s="77">
        <f>IFERROR(__xludf.DUMMYFUNCTION("""COMPUTED_VALUE"""),100.0)</f>
        <v>100</v>
      </c>
      <c r="J981" s="73"/>
      <c r="K981" s="73"/>
      <c r="L981" s="73"/>
      <c r="M981" s="77">
        <f>IFERROR(__xludf.DUMMYFUNCTION("""COMPUTED_VALUE"""),0.16)</f>
        <v>0.16</v>
      </c>
      <c r="N981" s="77">
        <f>IFERROR(__xludf.DUMMYFUNCTION("""COMPUTED_VALUE"""),1.0)</f>
        <v>1</v>
      </c>
      <c r="O981" s="49"/>
      <c r="P981" s="49" t="str">
        <f>IFERROR(__xludf.DUMMYFUNCTION("""COMPUTED_VALUE"""),"Offset")</f>
        <v>Offset</v>
      </c>
      <c r="Q981" s="49" t="str">
        <f>IFERROR(__xludf.DUMMYFUNCTION("""COMPUTED_VALUE"""),"Packaging")</f>
        <v>Packaging</v>
      </c>
      <c r="R981" s="49" t="str">
        <f>IFERROR(__xludf.DUMMYFUNCTION("""COMPUTED_VALUE"""),"Food")</f>
        <v>Food</v>
      </c>
    </row>
    <row r="982">
      <c r="A982" s="156" t="str">
        <f>IFERROR(__xludf.DUMMYFUNCTION("""COMPUTED_VALUE"""),"https://drive.google.com/open?id=1R0wA1QXQbAwYILUJUKO7z4Ci3IcHThXO&amp;authuser=jay.agg%40gmail.com&amp;usp=drive_fs")</f>
        <v>https://drive.google.com/open?id=1R0wA1QXQbAwYILUJUKO7z4Ci3IcHThXO&amp;authuser=jay.agg%40gmail.com&amp;usp=drive_fs</v>
      </c>
      <c r="B982" s="73" t="str">
        <f>IFERROR(__xludf.DUMMYFUNCTION("""COMPUTED_VALUE"""),"Food")</f>
        <v>Food</v>
      </c>
      <c r="C982" s="73" t="str">
        <f>IFERROR(__xludf.DUMMYFUNCTION("""COMPUTED_VALUE"""),"Dry Fruit")</f>
        <v>Dry Fruit</v>
      </c>
      <c r="D982" s="73" t="str">
        <f>IFERROR(__xludf.DUMMYFUNCTION("""COMPUTED_VALUE"""),"100gram 4*1.5*5 inch LB")</f>
        <v>100gram 4*1.5*5 inch LB</v>
      </c>
      <c r="E982" s="77">
        <f>IFERROR(__xludf.DUMMYFUNCTION("""COMPUTED_VALUE"""),4.0)</f>
        <v>4</v>
      </c>
      <c r="F982" s="77">
        <f>IFERROR(__xludf.DUMMYFUNCTION("""COMPUTED_VALUE"""),1926.0)</f>
        <v>1926</v>
      </c>
      <c r="G982" s="77">
        <f>IFERROR(__xludf.DUMMYFUNCTION("""COMPUTED_VALUE"""),15.0)</f>
        <v>15</v>
      </c>
      <c r="H982" s="77">
        <f>IFERROR(__xludf.DUMMYFUNCTION("""COMPUTED_VALUE"""),25.0)</f>
        <v>25</v>
      </c>
      <c r="I982" s="77">
        <f>IFERROR(__xludf.DUMMYFUNCTION("""COMPUTED_VALUE"""),100.0)</f>
        <v>100</v>
      </c>
      <c r="J982" s="73"/>
      <c r="K982" s="73"/>
      <c r="L982" s="73">
        <f>IFERROR(__xludf.DUMMYFUNCTION("""COMPUTED_VALUE"""),1.0)</f>
        <v>1</v>
      </c>
      <c r="M982" s="77">
        <f>IFERROR(__xludf.DUMMYFUNCTION("""COMPUTED_VALUE"""),0.16)</f>
        <v>0.16</v>
      </c>
      <c r="N982" s="77">
        <f>IFERROR(__xludf.DUMMYFUNCTION("""COMPUTED_VALUE"""),1.0)</f>
        <v>1</v>
      </c>
      <c r="O982" s="49"/>
      <c r="P982" s="49" t="str">
        <f>IFERROR(__xludf.DUMMYFUNCTION("""COMPUTED_VALUE"""),"Offset")</f>
        <v>Offset</v>
      </c>
      <c r="Q982" s="49" t="str">
        <f>IFERROR(__xludf.DUMMYFUNCTION("""COMPUTED_VALUE"""),"Packaging")</f>
        <v>Packaging</v>
      </c>
      <c r="R982" s="49" t="str">
        <f>IFERROR(__xludf.DUMMYFUNCTION("""COMPUTED_VALUE"""),"Food")</f>
        <v>Food</v>
      </c>
    </row>
    <row r="983">
      <c r="A983" s="156" t="str">
        <f>IFERROR(__xludf.DUMMYFUNCTION("""COMPUTED_VALUE"""),"https://drive.google.com/open?id=1R61V6cd_s3Pq01sfSW5K3t7WSGP_L0As&amp;authuser=jay.agg%40gmail.com&amp;usp=drive_fs")</f>
        <v>https://drive.google.com/open?id=1R61V6cd_s3Pq01sfSW5K3t7WSGP_L0As&amp;authuser=jay.agg%40gmail.com&amp;usp=drive_fs</v>
      </c>
      <c r="B983" s="73" t="str">
        <f>IFERROR(__xludf.DUMMYFUNCTION("""COMPUTED_VALUE"""),"Food")</f>
        <v>Food</v>
      </c>
      <c r="C983" s="73" t="str">
        <f>IFERROR(__xludf.DUMMYFUNCTION("""COMPUTED_VALUE"""),"Dry Fruit")</f>
        <v>Dry Fruit</v>
      </c>
      <c r="D983" s="73" t="str">
        <f>IFERROR(__xludf.DUMMYFUNCTION("""COMPUTED_VALUE"""),"200gram 4.5*1.5*7 inch LB")</f>
        <v>200gram 4.5*1.5*7 inch LB</v>
      </c>
      <c r="E983" s="77">
        <f>IFERROR(__xludf.DUMMYFUNCTION("""COMPUTED_VALUE"""),4.0)</f>
        <v>4</v>
      </c>
      <c r="F983" s="77">
        <f>IFERROR(__xludf.DUMMYFUNCTION("""COMPUTED_VALUE"""),1926.0)</f>
        <v>1926</v>
      </c>
      <c r="G983" s="77">
        <f>IFERROR(__xludf.DUMMYFUNCTION("""COMPUTED_VALUE"""),19.0)</f>
        <v>19</v>
      </c>
      <c r="H983" s="77">
        <f>IFERROR(__xludf.DUMMYFUNCTION("""COMPUTED_VALUE"""),26.0)</f>
        <v>26</v>
      </c>
      <c r="I983" s="77">
        <f>IFERROR(__xludf.DUMMYFUNCTION("""COMPUTED_VALUE"""),100.0)</f>
        <v>100</v>
      </c>
      <c r="J983" s="73"/>
      <c r="K983" s="73"/>
      <c r="L983" s="73">
        <f>IFERROR(__xludf.DUMMYFUNCTION("""COMPUTED_VALUE"""),1.0)</f>
        <v>1</v>
      </c>
      <c r="M983" s="77">
        <f>IFERROR(__xludf.DUMMYFUNCTION("""COMPUTED_VALUE"""),0.16)</f>
        <v>0.16</v>
      </c>
      <c r="N983" s="77">
        <f>IFERROR(__xludf.DUMMYFUNCTION("""COMPUTED_VALUE"""),1.0)</f>
        <v>1</v>
      </c>
      <c r="O983" s="49"/>
      <c r="P983" s="49" t="str">
        <f>IFERROR(__xludf.DUMMYFUNCTION("""COMPUTED_VALUE"""),"Offset")</f>
        <v>Offset</v>
      </c>
      <c r="Q983" s="49" t="str">
        <f>IFERROR(__xludf.DUMMYFUNCTION("""COMPUTED_VALUE"""),"Packaging")</f>
        <v>Packaging</v>
      </c>
      <c r="R983" s="49" t="str">
        <f>IFERROR(__xludf.DUMMYFUNCTION("""COMPUTED_VALUE"""),"Food")</f>
        <v>Food</v>
      </c>
    </row>
    <row r="984">
      <c r="A984" s="156" t="str">
        <f>IFERROR(__xludf.DUMMYFUNCTION("""COMPUTED_VALUE"""),"https://drive.google.com/open?id=1R69JTM091j0R6Hbk7JlIcmy1o0TJXQlC&amp;authuser=jay.agg%40gmail.com&amp;usp=drive_fs")</f>
        <v>https://drive.google.com/open?id=1R69JTM091j0R6Hbk7JlIcmy1o0TJXQlC&amp;authuser=jay.agg%40gmail.com&amp;usp=drive_fs</v>
      </c>
      <c r="B984" s="73" t="str">
        <f>IFERROR(__xludf.DUMMYFUNCTION("""COMPUTED_VALUE"""),"Food")</f>
        <v>Food</v>
      </c>
      <c r="C984" s="73" t="str">
        <f>IFERROR(__xludf.DUMMYFUNCTION("""COMPUTED_VALUE"""),"Dry Fruit")</f>
        <v>Dry Fruit</v>
      </c>
      <c r="D984" s="73" t="str">
        <f>IFERROR(__xludf.DUMMYFUNCTION("""COMPUTED_VALUE"""),"250gram 5*1.5*7 inch LB")</f>
        <v>250gram 5*1.5*7 inch LB</v>
      </c>
      <c r="E984" s="77">
        <f>IFERROR(__xludf.DUMMYFUNCTION("""COMPUTED_VALUE"""),2.0)</f>
        <v>2</v>
      </c>
      <c r="F984" s="77">
        <f>IFERROR(__xludf.DUMMYFUNCTION("""COMPUTED_VALUE"""),1926.0)</f>
        <v>1926</v>
      </c>
      <c r="G984" s="77">
        <f>IFERROR(__xludf.DUMMYFUNCTION("""COMPUTED_VALUE"""),14.0)</f>
        <v>14</v>
      </c>
      <c r="H984" s="77">
        <f>IFERROR(__xludf.DUMMYFUNCTION("""COMPUTED_VALUE"""),19.0)</f>
        <v>19</v>
      </c>
      <c r="I984" s="77">
        <f>IFERROR(__xludf.DUMMYFUNCTION("""COMPUTED_VALUE"""),100.0)</f>
        <v>100</v>
      </c>
      <c r="J984" s="73"/>
      <c r="K984" s="73"/>
      <c r="L984" s="73">
        <f>IFERROR(__xludf.DUMMYFUNCTION("""COMPUTED_VALUE"""),1.0)</f>
        <v>1</v>
      </c>
      <c r="M984" s="77">
        <f>IFERROR(__xludf.DUMMYFUNCTION("""COMPUTED_VALUE"""),0.16)</f>
        <v>0.16</v>
      </c>
      <c r="N984" s="77">
        <f>IFERROR(__xludf.DUMMYFUNCTION("""COMPUTED_VALUE"""),1.0)</f>
        <v>1</v>
      </c>
      <c r="O984" s="49"/>
      <c r="P984" s="49" t="str">
        <f>IFERROR(__xludf.DUMMYFUNCTION("""COMPUTED_VALUE"""),"Offset")</f>
        <v>Offset</v>
      </c>
      <c r="Q984" s="49" t="str">
        <f>IFERROR(__xludf.DUMMYFUNCTION("""COMPUTED_VALUE"""),"Packaging")</f>
        <v>Packaging</v>
      </c>
      <c r="R984" s="49" t="str">
        <f>IFERROR(__xludf.DUMMYFUNCTION("""COMPUTED_VALUE"""),"Food")</f>
        <v>Food</v>
      </c>
    </row>
    <row r="985">
      <c r="A985" s="156" t="str">
        <f>IFERROR(__xludf.DUMMYFUNCTION("""COMPUTED_VALUE"""),"https://drive.google.com/open?id=1QTWTuFZk9eNr_4lY0kX3TKgeYtsriRPs&amp;authuser=jay.agg%40gmail.com&amp;usp=drive_fs")</f>
        <v>https://drive.google.com/open?id=1QTWTuFZk9eNr_4lY0kX3TKgeYtsriRPs&amp;authuser=jay.agg%40gmail.com&amp;usp=drive_fs</v>
      </c>
      <c r="B985" s="73" t="str">
        <f>IFERROR(__xludf.DUMMYFUNCTION("""COMPUTED_VALUE"""),"Food")</f>
        <v>Food</v>
      </c>
      <c r="C985" s="73" t="str">
        <f>IFERROR(__xludf.DUMMYFUNCTION("""COMPUTED_VALUE"""),"Fast Food")</f>
        <v>Fast Food</v>
      </c>
      <c r="D985" s="73" t="str">
        <f>IFERROR(__xludf.DUMMYFUNCTION("""COMPUTED_VALUE"""),"8*7*2 inch")</f>
        <v>8*7*2 inch</v>
      </c>
      <c r="E985" s="77">
        <f>IFERROR(__xludf.DUMMYFUNCTION("""COMPUTED_VALUE"""),1.0)</f>
        <v>1</v>
      </c>
      <c r="F985" s="77">
        <f>IFERROR(__xludf.DUMMYFUNCTION("""COMPUTED_VALUE"""),1926.0)</f>
        <v>1926</v>
      </c>
      <c r="G985" s="77">
        <f>IFERROR(__xludf.DUMMYFUNCTION("""COMPUTED_VALUE"""),18.0)</f>
        <v>18</v>
      </c>
      <c r="H985" s="77">
        <f>IFERROR(__xludf.DUMMYFUNCTION("""COMPUTED_VALUE"""),19.0)</f>
        <v>19</v>
      </c>
      <c r="I985" s="77">
        <f>IFERROR(__xludf.DUMMYFUNCTION("""COMPUTED_VALUE"""),100.0)</f>
        <v>100</v>
      </c>
      <c r="J985" s="73"/>
      <c r="K985" s="73"/>
      <c r="L985" s="73"/>
      <c r="M985" s="77"/>
      <c r="N985" s="77">
        <f>IFERROR(__xludf.DUMMYFUNCTION("""COMPUTED_VALUE"""),1.0)</f>
        <v>1</v>
      </c>
      <c r="O985" s="49"/>
      <c r="P985" s="49" t="str">
        <f>IFERROR(__xludf.DUMMYFUNCTION("""COMPUTED_VALUE"""),"Offset")</f>
        <v>Offset</v>
      </c>
      <c r="Q985" s="49" t="str">
        <f>IFERROR(__xludf.DUMMYFUNCTION("""COMPUTED_VALUE"""),"Packaging")</f>
        <v>Packaging</v>
      </c>
      <c r="R985" s="49" t="str">
        <f>IFERROR(__xludf.DUMMYFUNCTION("""COMPUTED_VALUE"""),"Food")</f>
        <v>Food</v>
      </c>
    </row>
    <row r="986">
      <c r="A986" s="156" t="str">
        <f>IFERROR(__xludf.DUMMYFUNCTION("""COMPUTED_VALUE"""),"https://drive.google.com/open?id=1QhZ36zVV0AY4GNL7jcG9woN0_jfH4vH2&amp;authuser=jay.agg%40gmail.com&amp;usp=drive_fs")</f>
        <v>https://drive.google.com/open?id=1QhZ36zVV0AY4GNL7jcG9woN0_jfH4vH2&amp;authuser=jay.agg%40gmail.com&amp;usp=drive_fs</v>
      </c>
      <c r="B986" s="73" t="str">
        <f>IFERROR(__xludf.DUMMYFUNCTION("""COMPUTED_VALUE"""),"Food")</f>
        <v>Food</v>
      </c>
      <c r="C986" s="73" t="str">
        <f>IFERROR(__xludf.DUMMYFUNCTION("""COMPUTED_VALUE"""),"Fast Food")</f>
        <v>Fast Food</v>
      </c>
      <c r="D986" s="73" t="str">
        <f>IFERROR(__xludf.DUMMYFUNCTION("""COMPUTED_VALUE"""),"5*5*4.5 inch")</f>
        <v>5*5*4.5 inch</v>
      </c>
      <c r="E986" s="77">
        <f>IFERROR(__xludf.DUMMYFUNCTION("""COMPUTED_VALUE"""),2.0)</f>
        <v>2</v>
      </c>
      <c r="F986" s="77">
        <f>IFERROR(__xludf.DUMMYFUNCTION("""COMPUTED_VALUE"""),1926.0)</f>
        <v>1926</v>
      </c>
      <c r="G986" s="77">
        <f>IFERROR(__xludf.DUMMYFUNCTION("""COMPUTED_VALUE"""),19.5)</f>
        <v>19.5</v>
      </c>
      <c r="H986" s="77">
        <f>IFERROR(__xludf.DUMMYFUNCTION("""COMPUTED_VALUE"""),23.0)</f>
        <v>23</v>
      </c>
      <c r="I986" s="77">
        <f>IFERROR(__xludf.DUMMYFUNCTION("""COMPUTED_VALUE"""),100.0)</f>
        <v>100</v>
      </c>
      <c r="J986" s="73"/>
      <c r="K986" s="73"/>
      <c r="L986" s="73"/>
      <c r="M986" s="77"/>
      <c r="N986" s="77">
        <f>IFERROR(__xludf.DUMMYFUNCTION("""COMPUTED_VALUE"""),1.0)</f>
        <v>1</v>
      </c>
      <c r="O986" s="49"/>
      <c r="P986" s="49" t="str">
        <f>IFERROR(__xludf.DUMMYFUNCTION("""COMPUTED_VALUE"""),"Offset")</f>
        <v>Offset</v>
      </c>
      <c r="Q986" s="49" t="str">
        <f>IFERROR(__xludf.DUMMYFUNCTION("""COMPUTED_VALUE"""),"Packaging")</f>
        <v>Packaging</v>
      </c>
      <c r="R986" s="49" t="str">
        <f>IFERROR(__xludf.DUMMYFUNCTION("""COMPUTED_VALUE"""),"Food")</f>
        <v>Food</v>
      </c>
    </row>
    <row r="987">
      <c r="A987" s="156" t="str">
        <f>IFERROR(__xludf.DUMMYFUNCTION("""COMPUTED_VALUE"""),"https://drive.google.com/open?id=1Qhw5hCt6AslPxvpSURfZvOXwooNNK0lB&amp;authuser=jay.agg%40gmail.com&amp;usp=drive_fs")</f>
        <v>https://drive.google.com/open?id=1Qhw5hCt6AslPxvpSURfZvOXwooNNK0lB&amp;authuser=jay.agg%40gmail.com&amp;usp=drive_fs</v>
      </c>
      <c r="B987" s="73" t="str">
        <f>IFERROR(__xludf.DUMMYFUNCTION("""COMPUTED_VALUE"""),"Food")</f>
        <v>Food</v>
      </c>
      <c r="C987" s="73" t="str">
        <f>IFERROR(__xludf.DUMMYFUNCTION("""COMPUTED_VALUE"""),"Fast Food")</f>
        <v>Fast Food</v>
      </c>
      <c r="D987" s="73" t="str">
        <f>IFERROR(__xludf.DUMMYFUNCTION("""COMPUTED_VALUE"""),"100*150*45 mm")</f>
        <v>100*150*45 mm</v>
      </c>
      <c r="E987" s="77">
        <f>IFERROR(__xludf.DUMMYFUNCTION("""COMPUTED_VALUE"""),2.0)</f>
        <v>2</v>
      </c>
      <c r="F987" s="77">
        <f>IFERROR(__xludf.DUMMYFUNCTION("""COMPUTED_VALUE"""),1926.0)</f>
        <v>1926</v>
      </c>
      <c r="G987" s="77">
        <f>IFERROR(__xludf.DUMMYFUNCTION("""COMPUTED_VALUE"""),15.0)</f>
        <v>15</v>
      </c>
      <c r="H987" s="77">
        <f>IFERROR(__xludf.DUMMYFUNCTION("""COMPUTED_VALUE"""),20.0)</f>
        <v>20</v>
      </c>
      <c r="I987" s="77">
        <f>IFERROR(__xludf.DUMMYFUNCTION("""COMPUTED_VALUE"""),100.0)</f>
        <v>100</v>
      </c>
      <c r="J987" s="73"/>
      <c r="K987" s="73"/>
      <c r="L987" s="73"/>
      <c r="M987" s="77"/>
      <c r="N987" s="77">
        <f>IFERROR(__xludf.DUMMYFUNCTION("""COMPUTED_VALUE"""),1.0)</f>
        <v>1</v>
      </c>
      <c r="O987" s="49"/>
      <c r="P987" s="49" t="str">
        <f>IFERROR(__xludf.DUMMYFUNCTION("""COMPUTED_VALUE"""),"Offset")</f>
        <v>Offset</v>
      </c>
      <c r="Q987" s="49" t="str">
        <f>IFERROR(__xludf.DUMMYFUNCTION("""COMPUTED_VALUE"""),"Packaging")</f>
        <v>Packaging</v>
      </c>
      <c r="R987" s="49" t="str">
        <f>IFERROR(__xludf.DUMMYFUNCTION("""COMPUTED_VALUE"""),"Food")</f>
        <v>Food</v>
      </c>
    </row>
    <row r="988">
      <c r="A988" s="156" t="str">
        <f>IFERROR(__xludf.DUMMYFUNCTION("""COMPUTED_VALUE"""),"https://drive.google.com/open?id=1QUlYw3yWCJ5eG6Uy83i49XImWyIv8ly_&amp;authuser=jay.agg%40gmail.com&amp;usp=drive_fs")</f>
        <v>https://drive.google.com/open?id=1QUlYw3yWCJ5eG6Uy83i49XImWyIv8ly_&amp;authuser=jay.agg%40gmail.com&amp;usp=drive_fs</v>
      </c>
      <c r="B988" s="73" t="str">
        <f>IFERROR(__xludf.DUMMYFUNCTION("""COMPUTED_VALUE"""),"Food")</f>
        <v>Food</v>
      </c>
      <c r="C988" s="73" t="str">
        <f>IFERROR(__xludf.DUMMYFUNCTION("""COMPUTED_VALUE"""),"Khakra")</f>
        <v>Khakra</v>
      </c>
      <c r="D988" s="73" t="str">
        <f>IFERROR(__xludf.DUMMYFUNCTION("""COMPUTED_VALUE"""),"220*220*30 mm")</f>
        <v>220*220*30 mm</v>
      </c>
      <c r="E988" s="77">
        <f>IFERROR(__xludf.DUMMYFUNCTION("""COMPUTED_VALUE"""),1.0)</f>
        <v>1</v>
      </c>
      <c r="F988" s="77">
        <f>IFERROR(__xludf.DUMMYFUNCTION("""COMPUTED_VALUE"""),1926.0)</f>
        <v>1926</v>
      </c>
      <c r="G988" s="77">
        <f>IFERROR(__xludf.DUMMYFUNCTION("""COMPUTED_VALUE"""),13.0)</f>
        <v>13</v>
      </c>
      <c r="H988" s="77">
        <f>IFERROR(__xludf.DUMMYFUNCTION("""COMPUTED_VALUE"""),21.0)</f>
        <v>21</v>
      </c>
      <c r="I988" s="77">
        <f>IFERROR(__xludf.DUMMYFUNCTION("""COMPUTED_VALUE"""),100.0)</f>
        <v>100</v>
      </c>
      <c r="J988" s="73"/>
      <c r="K988" s="73"/>
      <c r="L988" s="73"/>
      <c r="M988" s="77">
        <f>IFERROR(__xludf.DUMMYFUNCTION("""COMPUTED_VALUE"""),0.1)</f>
        <v>0.1</v>
      </c>
      <c r="N988" s="77">
        <f>IFERROR(__xludf.DUMMYFUNCTION("""COMPUTED_VALUE"""),1.0)</f>
        <v>1</v>
      </c>
      <c r="O988" s="49"/>
      <c r="P988" s="49" t="str">
        <f>IFERROR(__xludf.DUMMYFUNCTION("""COMPUTED_VALUE"""),"Offset")</f>
        <v>Offset</v>
      </c>
      <c r="Q988" s="49" t="str">
        <f>IFERROR(__xludf.DUMMYFUNCTION("""COMPUTED_VALUE"""),"Packaging")</f>
        <v>Packaging</v>
      </c>
      <c r="R988" s="49" t="str">
        <f>IFERROR(__xludf.DUMMYFUNCTION("""COMPUTED_VALUE"""),"Food")</f>
        <v>Food</v>
      </c>
    </row>
    <row r="989">
      <c r="A989" s="156" t="str">
        <f>IFERROR(__xludf.DUMMYFUNCTION("""COMPUTED_VALUE"""),"https://drive.google.com/open?id=1QRiCFXEjTTmENEZKNbx8VjC2NioVX2p8&amp;authuser=jay.agg%40gmail.com&amp;usp=drive_fs")</f>
        <v>https://drive.google.com/open?id=1QRiCFXEjTTmENEZKNbx8VjC2NioVX2p8&amp;authuser=jay.agg%40gmail.com&amp;usp=drive_fs</v>
      </c>
      <c r="B989" s="73" t="str">
        <f>IFERROR(__xludf.DUMMYFUNCTION("""COMPUTED_VALUE"""),"Food")</f>
        <v>Food</v>
      </c>
      <c r="C989" s="73" t="str">
        <f>IFERROR(__xludf.DUMMYFUNCTION("""COMPUTED_VALUE"""),"Walnut")</f>
        <v>Walnut</v>
      </c>
      <c r="D989" s="73" t="str">
        <f>IFERROR(__xludf.DUMMYFUNCTION("""COMPUTED_VALUE"""),"24*46*161 mm")</f>
        <v>24*46*161 mm</v>
      </c>
      <c r="E989" s="77">
        <f>IFERROR(__xludf.DUMMYFUNCTION("""COMPUTED_VALUE"""),9.0)</f>
        <v>9</v>
      </c>
      <c r="F989" s="77">
        <f>IFERROR(__xludf.DUMMYFUNCTION("""COMPUTED_VALUE"""),1926.0)</f>
        <v>1926</v>
      </c>
      <c r="G989" s="77">
        <f>IFERROR(__xludf.DUMMYFUNCTION("""COMPUTED_VALUE"""),19.0)</f>
        <v>19</v>
      </c>
      <c r="H989" s="77">
        <f>IFERROR(__xludf.DUMMYFUNCTION("""COMPUTED_VALUE"""),26.0)</f>
        <v>26</v>
      </c>
      <c r="I989" s="77">
        <f>IFERROR(__xludf.DUMMYFUNCTION("""COMPUTED_VALUE"""),100.0)</f>
        <v>100</v>
      </c>
      <c r="J989" s="73"/>
      <c r="K989" s="73"/>
      <c r="L989" s="73"/>
      <c r="M989" s="77">
        <f>IFERROR(__xludf.DUMMYFUNCTION("""COMPUTED_VALUE"""),0.1)</f>
        <v>0.1</v>
      </c>
      <c r="N989" s="77">
        <f>IFERROR(__xludf.DUMMYFUNCTION("""COMPUTED_VALUE"""),1.0)</f>
        <v>1</v>
      </c>
      <c r="O989" s="49"/>
      <c r="P989" s="49" t="str">
        <f>IFERROR(__xludf.DUMMYFUNCTION("""COMPUTED_VALUE"""),"Offset")</f>
        <v>Offset</v>
      </c>
      <c r="Q989" s="49" t="str">
        <f>IFERROR(__xludf.DUMMYFUNCTION("""COMPUTED_VALUE"""),"Packaging")</f>
        <v>Packaging</v>
      </c>
      <c r="R989" s="49" t="str">
        <f>IFERROR(__xludf.DUMMYFUNCTION("""COMPUTED_VALUE"""),"Food")</f>
        <v>Food</v>
      </c>
    </row>
    <row r="990">
      <c r="A990" s="156" t="str">
        <f>IFERROR(__xludf.DUMMYFUNCTION("""COMPUTED_VALUE"""),"https://drive.google.com/open?id=1QQdUxmlDOPkf9Hsc7uKFwvH0Xou6f57E&amp;authuser=jay.agg%40gmail.com&amp;usp=drive_fs")</f>
        <v>https://drive.google.com/open?id=1QQdUxmlDOPkf9Hsc7uKFwvH0Xou6f57E&amp;authuser=jay.agg%40gmail.com&amp;usp=drive_fs</v>
      </c>
      <c r="B990" s="73" t="str">
        <f>IFERROR(__xludf.DUMMYFUNCTION("""COMPUTED_VALUE"""),"Food")</f>
        <v>Food</v>
      </c>
      <c r="C990" s="73" t="str">
        <f>IFERROR(__xludf.DUMMYFUNCTION("""COMPUTED_VALUE"""),"Chocolate")</f>
        <v>Chocolate</v>
      </c>
      <c r="D990" s="73" t="str">
        <f>IFERROR(__xludf.DUMMYFUNCTION("""COMPUTED_VALUE"""),"50*50*100 mm")</f>
        <v>50*50*100 mm</v>
      </c>
      <c r="E990" s="77">
        <f>IFERROR(__xludf.DUMMYFUNCTION("""COMPUTED_VALUE"""),6.0)</f>
        <v>6</v>
      </c>
      <c r="F990" s="77">
        <f>IFERROR(__xludf.DUMMYFUNCTION("""COMPUTED_VALUE"""),1926.0)</f>
        <v>1926</v>
      </c>
      <c r="G990" s="77">
        <f>IFERROR(__xludf.DUMMYFUNCTION("""COMPUTED_VALUE"""),18.0)</f>
        <v>18</v>
      </c>
      <c r="H990" s="77">
        <f>IFERROR(__xludf.DUMMYFUNCTION("""COMPUTED_VALUE"""),25.0)</f>
        <v>25</v>
      </c>
      <c r="I990" s="77">
        <f>IFERROR(__xludf.DUMMYFUNCTION("""COMPUTED_VALUE"""),100.0)</f>
        <v>100</v>
      </c>
      <c r="J990" s="73"/>
      <c r="K990" s="73"/>
      <c r="L990" s="73"/>
      <c r="M990" s="77">
        <f>IFERROR(__xludf.DUMMYFUNCTION("""COMPUTED_VALUE"""),0.1)</f>
        <v>0.1</v>
      </c>
      <c r="N990" s="77">
        <f>IFERROR(__xludf.DUMMYFUNCTION("""COMPUTED_VALUE"""),1.0)</f>
        <v>1</v>
      </c>
      <c r="O990" s="49"/>
      <c r="P990" s="49" t="str">
        <f>IFERROR(__xludf.DUMMYFUNCTION("""COMPUTED_VALUE"""),"Offset")</f>
        <v>Offset</v>
      </c>
      <c r="Q990" s="49" t="str">
        <f>IFERROR(__xludf.DUMMYFUNCTION("""COMPUTED_VALUE"""),"Packaging")</f>
        <v>Packaging</v>
      </c>
      <c r="R990" s="49" t="str">
        <f>IFERROR(__xludf.DUMMYFUNCTION("""COMPUTED_VALUE"""),"Food")</f>
        <v>Food</v>
      </c>
    </row>
    <row r="991">
      <c r="A991" s="156" t="str">
        <f>IFERROR(__xludf.DUMMYFUNCTION("""COMPUTED_VALUE"""),"https://drive.google.com/open?id=1QtXn0evE-9VW4-ZQJmVDufU_5NTVKUY6&amp;authuser=jay.agg%40gmail.com&amp;usp=drive_fs")</f>
        <v>https://drive.google.com/open?id=1QtXn0evE-9VW4-ZQJmVDufU_5NTVKUY6&amp;authuser=jay.agg%40gmail.com&amp;usp=drive_fs</v>
      </c>
      <c r="B991" s="73" t="str">
        <f>IFERROR(__xludf.DUMMYFUNCTION("""COMPUTED_VALUE"""),"Food")</f>
        <v>Food</v>
      </c>
      <c r="C991" s="73" t="str">
        <f>IFERROR(__xludf.DUMMYFUNCTION("""COMPUTED_VALUE"""),"Butter")</f>
        <v>Butter</v>
      </c>
      <c r="D991" s="73" t="str">
        <f>IFERROR(__xludf.DUMMYFUNCTION("""COMPUTED_VALUE"""),"70*63*130 mm")</f>
        <v>70*63*130 mm</v>
      </c>
      <c r="E991" s="77">
        <f>IFERROR(__xludf.DUMMYFUNCTION("""COMPUTED_VALUE"""),2.0)</f>
        <v>2</v>
      </c>
      <c r="F991" s="77">
        <f>IFERROR(__xludf.DUMMYFUNCTION("""COMPUTED_VALUE"""),1926.0)</f>
        <v>1926</v>
      </c>
      <c r="G991" s="77">
        <f>IFERROR(__xludf.DUMMYFUNCTION("""COMPUTED_VALUE"""),12.0)</f>
        <v>12</v>
      </c>
      <c r="H991" s="77">
        <f>IFERROR(__xludf.DUMMYFUNCTION("""COMPUTED_VALUE"""),21.0)</f>
        <v>21</v>
      </c>
      <c r="I991" s="77">
        <f>IFERROR(__xludf.DUMMYFUNCTION("""COMPUTED_VALUE"""),100.0)</f>
        <v>100</v>
      </c>
      <c r="J991" s="73"/>
      <c r="K991" s="73"/>
      <c r="L991" s="73"/>
      <c r="M991" s="77">
        <f>IFERROR(__xludf.DUMMYFUNCTION("""COMPUTED_VALUE"""),0.1)</f>
        <v>0.1</v>
      </c>
      <c r="N991" s="77">
        <f>IFERROR(__xludf.DUMMYFUNCTION("""COMPUTED_VALUE"""),1.0)</f>
        <v>1</v>
      </c>
      <c r="O991" s="49"/>
      <c r="P991" s="49" t="str">
        <f>IFERROR(__xludf.DUMMYFUNCTION("""COMPUTED_VALUE"""),"Offset")</f>
        <v>Offset</v>
      </c>
      <c r="Q991" s="49" t="str">
        <f>IFERROR(__xludf.DUMMYFUNCTION("""COMPUTED_VALUE"""),"Packaging")</f>
        <v>Packaging</v>
      </c>
      <c r="R991" s="49" t="str">
        <f>IFERROR(__xludf.DUMMYFUNCTION("""COMPUTED_VALUE"""),"Food")</f>
        <v>Food</v>
      </c>
    </row>
    <row r="992">
      <c r="A992" s="156" t="str">
        <f>IFERROR(__xludf.DUMMYFUNCTION("""COMPUTED_VALUE"""),"https://drive.google.com/open?id=1j2Ak7n2uIi0WIIJrDAWZ9xkRCHIeqUHe&amp;authuser=jay.agg%40gmail.com&amp;usp=drive_fs")</f>
        <v>https://drive.google.com/open?id=1j2Ak7n2uIi0WIIJrDAWZ9xkRCHIeqUHe&amp;authuser=jay.agg%40gmail.com&amp;usp=drive_fs</v>
      </c>
      <c r="B992" s="73" t="str">
        <f>IFERROR(__xludf.DUMMYFUNCTION("""COMPUTED_VALUE"""),"Food")</f>
        <v>Food</v>
      </c>
      <c r="C992" s="73" t="str">
        <f>IFERROR(__xludf.DUMMYFUNCTION("""COMPUTED_VALUE"""),"Fast Food")</f>
        <v>Fast Food</v>
      </c>
      <c r="D992" s="73" t="str">
        <f>IFERROR(__xludf.DUMMYFUNCTION("""COMPUTED_VALUE"""),"Sleeve 5.25*3.25*2.25 inch")</f>
        <v>Sleeve 5.25*3.25*2.25 inch</v>
      </c>
      <c r="E992" s="77">
        <f>IFERROR(__xludf.DUMMYFUNCTION("""COMPUTED_VALUE"""),6.0)</f>
        <v>6</v>
      </c>
      <c r="F992" s="77">
        <f>IFERROR(__xludf.DUMMYFUNCTION("""COMPUTED_VALUE"""),1926.0)</f>
        <v>1926</v>
      </c>
      <c r="G992" s="77">
        <f>IFERROR(__xludf.DUMMYFUNCTION("""COMPUTED_VALUE"""),18.0)</f>
        <v>18</v>
      </c>
      <c r="H992" s="77">
        <f>IFERROR(__xludf.DUMMYFUNCTION("""COMPUTED_VALUE"""),23.0)</f>
        <v>23</v>
      </c>
      <c r="I992" s="77">
        <f>IFERROR(__xludf.DUMMYFUNCTION("""COMPUTED_VALUE"""),100.0)</f>
        <v>100</v>
      </c>
      <c r="J992" s="73"/>
      <c r="K992" s="73"/>
      <c r="L992" s="73"/>
      <c r="M992" s="77">
        <f>IFERROR(__xludf.DUMMYFUNCTION("""COMPUTED_VALUE"""),0.1)</f>
        <v>0.1</v>
      </c>
      <c r="N992" s="77">
        <f>IFERROR(__xludf.DUMMYFUNCTION("""COMPUTED_VALUE"""),1.0)</f>
        <v>1</v>
      </c>
      <c r="O992" s="49"/>
      <c r="P992" s="49" t="str">
        <f>IFERROR(__xludf.DUMMYFUNCTION("""COMPUTED_VALUE"""),"Offset")</f>
        <v>Offset</v>
      </c>
      <c r="Q992" s="49" t="str">
        <f>IFERROR(__xludf.DUMMYFUNCTION("""COMPUTED_VALUE"""),"Packaging")</f>
        <v>Packaging</v>
      </c>
      <c r="R992" s="49" t="str">
        <f>IFERROR(__xludf.DUMMYFUNCTION("""COMPUTED_VALUE"""),"Food")</f>
        <v>Food</v>
      </c>
    </row>
    <row r="993">
      <c r="A993" s="156" t="str">
        <f>IFERROR(__xludf.DUMMYFUNCTION("""COMPUTED_VALUE"""),"https://drive.google.com/open?id=1jIKxVpMBt0sYXYuHJ9pjoEVFnOlIpxpb&amp;authuser=jay.agg%40gmail.com&amp;usp=drive_fs")</f>
        <v>https://drive.google.com/open?id=1jIKxVpMBt0sYXYuHJ9pjoEVFnOlIpxpb&amp;authuser=jay.agg%40gmail.com&amp;usp=drive_fs</v>
      </c>
      <c r="B993" s="73" t="str">
        <f>IFERROR(__xludf.DUMMYFUNCTION("""COMPUTED_VALUE"""),"Food")</f>
        <v>Food</v>
      </c>
      <c r="C993" s="73" t="str">
        <f>IFERROR(__xludf.DUMMYFUNCTION("""COMPUTED_VALUE"""),"Fast Food")</f>
        <v>Fast Food</v>
      </c>
      <c r="D993" s="73" t="str">
        <f>IFERROR(__xludf.DUMMYFUNCTION("""COMPUTED_VALUE"""),"9.375*3.75*2 inch")</f>
        <v>9.375*3.75*2 inch</v>
      </c>
      <c r="E993" s="77">
        <f>IFERROR(__xludf.DUMMYFUNCTION("""COMPUTED_VALUE"""),2.0)</f>
        <v>2</v>
      </c>
      <c r="F993" s="77">
        <f>IFERROR(__xludf.DUMMYFUNCTION("""COMPUTED_VALUE"""),1926.0)</f>
        <v>1926</v>
      </c>
      <c r="G993" s="77">
        <f>IFERROR(__xludf.DUMMYFUNCTION("""COMPUTED_VALUE"""),18.0)</f>
        <v>18</v>
      </c>
      <c r="H993" s="77">
        <f>IFERROR(__xludf.DUMMYFUNCTION("""COMPUTED_VALUE"""),25.0)</f>
        <v>25</v>
      </c>
      <c r="I993" s="77">
        <f>IFERROR(__xludf.DUMMYFUNCTION("""COMPUTED_VALUE"""),100.0)</f>
        <v>100</v>
      </c>
      <c r="J993" s="73"/>
      <c r="K993" s="73"/>
      <c r="L993" s="73"/>
      <c r="M993" s="77"/>
      <c r="N993" s="77">
        <f>IFERROR(__xludf.DUMMYFUNCTION("""COMPUTED_VALUE"""),1.0)</f>
        <v>1</v>
      </c>
      <c r="O993" s="49"/>
      <c r="P993" s="49" t="str">
        <f>IFERROR(__xludf.DUMMYFUNCTION("""COMPUTED_VALUE"""),"Offset")</f>
        <v>Offset</v>
      </c>
      <c r="Q993" s="49" t="str">
        <f>IFERROR(__xludf.DUMMYFUNCTION("""COMPUTED_VALUE"""),"Packaging")</f>
        <v>Packaging</v>
      </c>
      <c r="R993" s="49" t="str">
        <f>IFERROR(__xludf.DUMMYFUNCTION("""COMPUTED_VALUE"""),"Food")</f>
        <v>Food</v>
      </c>
    </row>
    <row r="994">
      <c r="A994" s="156" t="str">
        <f>IFERROR(__xludf.DUMMYFUNCTION("""COMPUTED_VALUE"""),"https://drive.google.com/open?id=1jPGlPvth33ow0BsuXPn_9Fd0aGa4tOR5&amp;authuser=jay.agg%40gmail.com&amp;usp=drive_fs")</f>
        <v>https://drive.google.com/open?id=1jPGlPvth33ow0BsuXPn_9Fd0aGa4tOR5&amp;authuser=jay.agg%40gmail.com&amp;usp=drive_fs</v>
      </c>
      <c r="B994" s="73" t="str">
        <f>IFERROR(__xludf.DUMMYFUNCTION("""COMPUTED_VALUE"""),"Food")</f>
        <v>Food</v>
      </c>
      <c r="C994" s="73" t="str">
        <f>IFERROR(__xludf.DUMMYFUNCTION("""COMPUTED_VALUE"""),"Fast Food")</f>
        <v>Fast Food</v>
      </c>
      <c r="D994" s="73" t="str">
        <f>IFERROR(__xludf.DUMMYFUNCTION("""COMPUTED_VALUE"""),"Momos 5.25*3.25*2.25 inch")</f>
        <v>Momos 5.25*3.25*2.25 inch</v>
      </c>
      <c r="E994" s="77">
        <f>IFERROR(__xludf.DUMMYFUNCTION("""COMPUTED_VALUE"""),2.0)</f>
        <v>2</v>
      </c>
      <c r="F994" s="77">
        <f>IFERROR(__xludf.DUMMYFUNCTION("""COMPUTED_VALUE"""),1926.0)</f>
        <v>1926</v>
      </c>
      <c r="G994" s="77">
        <f>IFERROR(__xludf.DUMMYFUNCTION("""COMPUTED_VALUE"""),15.0)</f>
        <v>15</v>
      </c>
      <c r="H994" s="77">
        <f>IFERROR(__xludf.DUMMYFUNCTION("""COMPUTED_VALUE"""),25.0)</f>
        <v>25</v>
      </c>
      <c r="I994" s="77">
        <f>IFERROR(__xludf.DUMMYFUNCTION("""COMPUTED_VALUE"""),100.0)</f>
        <v>100</v>
      </c>
      <c r="J994" s="73"/>
      <c r="K994" s="73"/>
      <c r="L994" s="73"/>
      <c r="M994" s="77"/>
      <c r="N994" s="77">
        <f>IFERROR(__xludf.DUMMYFUNCTION("""COMPUTED_VALUE"""),1.0)</f>
        <v>1</v>
      </c>
      <c r="O994" s="49"/>
      <c r="P994" s="49" t="str">
        <f>IFERROR(__xludf.DUMMYFUNCTION("""COMPUTED_VALUE"""),"Offset")</f>
        <v>Offset</v>
      </c>
      <c r="Q994" s="49" t="str">
        <f>IFERROR(__xludf.DUMMYFUNCTION("""COMPUTED_VALUE"""),"Packaging")</f>
        <v>Packaging</v>
      </c>
      <c r="R994" s="49" t="str">
        <f>IFERROR(__xludf.DUMMYFUNCTION("""COMPUTED_VALUE"""),"Food")</f>
        <v>Food</v>
      </c>
    </row>
    <row r="995">
      <c r="A995" s="156" t="str">
        <f>IFERROR(__xludf.DUMMYFUNCTION("""COMPUTED_VALUE"""),"https://drive.google.com/open?id=1jPSj61Xjqqhp0yAUgpJijU3oteatln8h&amp;authuser=jay.agg%40gmail.com&amp;usp=drive_fs")</f>
        <v>https://drive.google.com/open?id=1jPSj61Xjqqhp0yAUgpJijU3oteatln8h&amp;authuser=jay.agg%40gmail.com&amp;usp=drive_fs</v>
      </c>
      <c r="B995" s="73" t="str">
        <f>IFERROR(__xludf.DUMMYFUNCTION("""COMPUTED_VALUE"""),"Food")</f>
        <v>Food</v>
      </c>
      <c r="C995" s="73" t="str">
        <f>IFERROR(__xludf.DUMMYFUNCTION("""COMPUTED_VALUE"""),"Fast Food")</f>
        <v>Fast Food</v>
      </c>
      <c r="D995" s="73" t="str">
        <f>IFERROR(__xludf.DUMMYFUNCTION("""COMPUTED_VALUE"""),"Kathi Roll 55*55*230 mm LB")</f>
        <v>Kathi Roll 55*55*230 mm LB</v>
      </c>
      <c r="E995" s="77">
        <f>IFERROR(__xludf.DUMMYFUNCTION("""COMPUTED_VALUE"""),4.0)</f>
        <v>4</v>
      </c>
      <c r="F995" s="77">
        <f>IFERROR(__xludf.DUMMYFUNCTION("""COMPUTED_VALUE"""),1926.0)</f>
        <v>1926</v>
      </c>
      <c r="G995" s="77">
        <f>IFERROR(__xludf.DUMMYFUNCTION("""COMPUTED_VALUE"""),19.0)</f>
        <v>19</v>
      </c>
      <c r="H995" s="77">
        <f>IFERROR(__xludf.DUMMYFUNCTION("""COMPUTED_VALUE"""),26.0)</f>
        <v>26</v>
      </c>
      <c r="I995" s="77">
        <f>IFERROR(__xludf.DUMMYFUNCTION("""COMPUTED_VALUE"""),100.0)</f>
        <v>100</v>
      </c>
      <c r="J995" s="73"/>
      <c r="K995" s="73"/>
      <c r="L995" s="73"/>
      <c r="M995" s="77">
        <f>IFERROR(__xludf.DUMMYFUNCTION("""COMPUTED_VALUE"""),0.4)</f>
        <v>0.4</v>
      </c>
      <c r="N995" s="77">
        <f>IFERROR(__xludf.DUMMYFUNCTION("""COMPUTED_VALUE"""),1.0)</f>
        <v>1</v>
      </c>
      <c r="O995" s="49"/>
      <c r="P995" s="49" t="str">
        <f>IFERROR(__xludf.DUMMYFUNCTION("""COMPUTED_VALUE"""),"Offset")</f>
        <v>Offset</v>
      </c>
      <c r="Q995" s="49" t="str">
        <f>IFERROR(__xludf.DUMMYFUNCTION("""COMPUTED_VALUE"""),"Packaging")</f>
        <v>Packaging</v>
      </c>
      <c r="R995" s="49" t="str">
        <f>IFERROR(__xludf.DUMMYFUNCTION("""COMPUTED_VALUE"""),"Food")</f>
        <v>Food</v>
      </c>
    </row>
    <row r="996">
      <c r="A996" s="156" t="str">
        <f>IFERROR(__xludf.DUMMYFUNCTION("""COMPUTED_VALUE"""),"https://drive.google.com/open?id=1n4sM_hMizxMor4aS4-NffW1QEWkmmRaC&amp;authuser=jay.agg%40gmail.com&amp;usp=drive_fs")</f>
        <v>https://drive.google.com/open?id=1n4sM_hMizxMor4aS4-NffW1QEWkmmRaC&amp;authuser=jay.agg%40gmail.com&amp;usp=drive_fs</v>
      </c>
      <c r="B996" s="73" t="str">
        <f>IFERROR(__xludf.DUMMYFUNCTION("""COMPUTED_VALUE"""),"Food")</f>
        <v>Food</v>
      </c>
      <c r="C996" s="73" t="str">
        <f>IFERROR(__xludf.DUMMYFUNCTION("""COMPUTED_VALUE"""),"Dry Fruit")</f>
        <v>Dry Fruit</v>
      </c>
      <c r="D996" s="73" t="str">
        <f>IFERROR(__xludf.DUMMYFUNCTION("""COMPUTED_VALUE"""),"110*40*160 mm LB")</f>
        <v>110*40*160 mm LB</v>
      </c>
      <c r="E996" s="77">
        <f>IFERROR(__xludf.DUMMYFUNCTION("""COMPUTED_VALUE"""),4.0)</f>
        <v>4</v>
      </c>
      <c r="F996" s="77">
        <f>IFERROR(__xludf.DUMMYFUNCTION("""COMPUTED_VALUE"""),1926.0)</f>
        <v>1926</v>
      </c>
      <c r="G996" s="77">
        <f>IFERROR(__xludf.DUMMYFUNCTION("""COMPUTED_VALUE"""),18.0)</f>
        <v>18</v>
      </c>
      <c r="H996" s="77">
        <f>IFERROR(__xludf.DUMMYFUNCTION("""COMPUTED_VALUE"""),25.0)</f>
        <v>25</v>
      </c>
      <c r="I996" s="77">
        <f>IFERROR(__xludf.DUMMYFUNCTION("""COMPUTED_VALUE"""),100.0)</f>
        <v>100</v>
      </c>
      <c r="J996" s="73"/>
      <c r="K996" s="73"/>
      <c r="L996" s="73"/>
      <c r="M996" s="77">
        <f>IFERROR(__xludf.DUMMYFUNCTION("""COMPUTED_VALUE"""),0.16)</f>
        <v>0.16</v>
      </c>
      <c r="N996" s="77">
        <f>IFERROR(__xludf.DUMMYFUNCTION("""COMPUTED_VALUE"""),1.0)</f>
        <v>1</v>
      </c>
      <c r="O996" s="49"/>
      <c r="P996" s="49" t="str">
        <f>IFERROR(__xludf.DUMMYFUNCTION("""COMPUTED_VALUE"""),"Offset")</f>
        <v>Offset</v>
      </c>
      <c r="Q996" s="49" t="str">
        <f>IFERROR(__xludf.DUMMYFUNCTION("""COMPUTED_VALUE"""),"Packaging")</f>
        <v>Packaging</v>
      </c>
      <c r="R996" s="49" t="str">
        <f>IFERROR(__xludf.DUMMYFUNCTION("""COMPUTED_VALUE"""),"Food")</f>
        <v>Food</v>
      </c>
    </row>
    <row r="997">
      <c r="A997" s="156" t="str">
        <f>IFERROR(__xludf.DUMMYFUNCTION("""COMPUTED_VALUE"""),"https://drive.google.com/open?id=1pIykPqoOxble5EREsGAMRPdA1QccQ1AJ&amp;authuser=jay.agg%40gmail.com&amp;usp=drive_fs")</f>
        <v>https://drive.google.com/open?id=1pIykPqoOxble5EREsGAMRPdA1QccQ1AJ&amp;authuser=jay.agg%40gmail.com&amp;usp=drive_fs</v>
      </c>
      <c r="B997" s="73" t="str">
        <f>IFERROR(__xludf.DUMMYFUNCTION("""COMPUTED_VALUE"""),"Food")</f>
        <v>Food</v>
      </c>
      <c r="C997" s="73" t="str">
        <f>IFERROR(__xludf.DUMMYFUNCTION("""COMPUTED_VALUE"""),"Cake Mix 500g")</f>
        <v>Cake Mix 500g</v>
      </c>
      <c r="D997" s="73" t="str">
        <f>IFERROR(__xludf.DUMMYFUNCTION("""COMPUTED_VALUE"""),"140*45*180 mm")</f>
        <v>140*45*180 mm</v>
      </c>
      <c r="E997" s="77">
        <f>IFERROR(__xludf.DUMMYFUNCTION("""COMPUTED_VALUE"""),2.0)</f>
        <v>2</v>
      </c>
      <c r="F997" s="77">
        <f>IFERROR(__xludf.DUMMYFUNCTION("""COMPUTED_VALUE"""),1926.0)</f>
        <v>1926</v>
      </c>
      <c r="G997" s="77">
        <f>IFERROR(__xludf.DUMMYFUNCTION("""COMPUTED_VALUE"""),15.75)</f>
        <v>15.75</v>
      </c>
      <c r="H997" s="77">
        <f>IFERROR(__xludf.DUMMYFUNCTION("""COMPUTED_VALUE"""),20.75)</f>
        <v>20.75</v>
      </c>
      <c r="I997" s="77">
        <f>IFERROR(__xludf.DUMMYFUNCTION("""COMPUTED_VALUE"""),100.0)</f>
        <v>100</v>
      </c>
      <c r="J997" s="73"/>
      <c r="K997" s="73"/>
      <c r="L997" s="73"/>
      <c r="M997" s="77">
        <f>IFERROR(__xludf.DUMMYFUNCTION("""COMPUTED_VALUE"""),0.1)</f>
        <v>0.1</v>
      </c>
      <c r="N997" s="77">
        <f>IFERROR(__xludf.DUMMYFUNCTION("""COMPUTED_VALUE"""),1.0)</f>
        <v>1</v>
      </c>
      <c r="O997" s="49"/>
      <c r="P997" s="49" t="str">
        <f>IFERROR(__xludf.DUMMYFUNCTION("""COMPUTED_VALUE"""),"Offset")</f>
        <v>Offset</v>
      </c>
      <c r="Q997" s="49" t="str">
        <f>IFERROR(__xludf.DUMMYFUNCTION("""COMPUTED_VALUE"""),"Packaging")</f>
        <v>Packaging</v>
      </c>
      <c r="R997" s="49" t="str">
        <f>IFERROR(__xludf.DUMMYFUNCTION("""COMPUTED_VALUE"""),"Food")</f>
        <v>Food</v>
      </c>
    </row>
    <row r="998">
      <c r="A998" s="156" t="str">
        <f>IFERROR(__xludf.DUMMYFUNCTION("""COMPUTED_VALUE"""),"https://drive.google.com/open?id=1pOGW1xVCuMnUABRqNq-5cbJ_ByoO8G5w&amp;authuser=jay.agg%40gmail.com&amp;usp=drive_fs")</f>
        <v>https://drive.google.com/open?id=1pOGW1xVCuMnUABRqNq-5cbJ_ByoO8G5w&amp;authuser=jay.agg%40gmail.com&amp;usp=drive_fs</v>
      </c>
      <c r="B998" s="73" t="str">
        <f>IFERROR(__xludf.DUMMYFUNCTION("""COMPUTED_VALUE"""),"Food")</f>
        <v>Food</v>
      </c>
      <c r="C998" s="73" t="str">
        <f>IFERROR(__xludf.DUMMYFUNCTION("""COMPUTED_VALUE"""),"Cake Mix 1kg")</f>
        <v>Cake Mix 1kg</v>
      </c>
      <c r="D998" s="73" t="str">
        <f>IFERROR(__xludf.DUMMYFUNCTION("""COMPUTED_VALUE"""),"165*52*235 mm")</f>
        <v>165*52*235 mm</v>
      </c>
      <c r="E998" s="77">
        <f>IFERROR(__xludf.DUMMYFUNCTION("""COMPUTED_VALUE"""),2.0)</f>
        <v>2</v>
      </c>
      <c r="F998" s="77">
        <f>IFERROR(__xludf.DUMMYFUNCTION("""COMPUTED_VALUE"""),1926.0)</f>
        <v>1926</v>
      </c>
      <c r="G998" s="77">
        <f>IFERROR(__xludf.DUMMYFUNCTION("""COMPUTED_VALUE"""),19.0)</f>
        <v>19</v>
      </c>
      <c r="H998" s="77">
        <f>IFERROR(__xludf.DUMMYFUNCTION("""COMPUTED_VALUE"""),26.0)</f>
        <v>26</v>
      </c>
      <c r="I998" s="77">
        <f>IFERROR(__xludf.DUMMYFUNCTION("""COMPUTED_VALUE"""),100.0)</f>
        <v>100</v>
      </c>
      <c r="J998" s="73"/>
      <c r="K998" s="73"/>
      <c r="L998" s="73"/>
      <c r="M998" s="77">
        <f>IFERROR(__xludf.DUMMYFUNCTION("""COMPUTED_VALUE"""),0.1)</f>
        <v>0.1</v>
      </c>
      <c r="N998" s="77">
        <f>IFERROR(__xludf.DUMMYFUNCTION("""COMPUTED_VALUE"""),1.0)</f>
        <v>1</v>
      </c>
      <c r="O998" s="49"/>
      <c r="P998" s="49" t="str">
        <f>IFERROR(__xludf.DUMMYFUNCTION("""COMPUTED_VALUE"""),"Offset")</f>
        <v>Offset</v>
      </c>
      <c r="Q998" s="49" t="str">
        <f>IFERROR(__xludf.DUMMYFUNCTION("""COMPUTED_VALUE"""),"Packaging")</f>
        <v>Packaging</v>
      </c>
      <c r="R998" s="49" t="str">
        <f>IFERROR(__xludf.DUMMYFUNCTION("""COMPUTED_VALUE"""),"Food")</f>
        <v>Food</v>
      </c>
    </row>
    <row r="999">
      <c r="A999" s="156" t="str">
        <f>IFERROR(__xludf.DUMMYFUNCTION("""COMPUTED_VALUE"""),"https://drive.google.com/open?id=1w7snRg3lAxc0KM66W8RpVqDwD0jEOGQk&amp;authuser=jay.agg%40gmail.com&amp;usp=drive_fs")</f>
        <v>https://drive.google.com/open?id=1w7snRg3lAxc0KM66W8RpVqDwD0jEOGQk&amp;authuser=jay.agg%40gmail.com&amp;usp=drive_fs</v>
      </c>
      <c r="B999" s="73" t="str">
        <f>IFERROR(__xludf.DUMMYFUNCTION("""COMPUTED_VALUE"""),"Food")</f>
        <v>Food</v>
      </c>
      <c r="C999" s="73" t="str">
        <f>IFERROR(__xludf.DUMMYFUNCTION("""COMPUTED_VALUE"""),"Dog Food")</f>
        <v>Dog Food</v>
      </c>
      <c r="D999" s="73" t="str">
        <f>IFERROR(__xludf.DUMMYFUNCTION("""COMPUTED_VALUE"""),"180*75*240 mm")</f>
        <v>180*75*240 mm</v>
      </c>
      <c r="E999" s="77">
        <f>IFERROR(__xludf.DUMMYFUNCTION("""COMPUTED_VALUE"""),1.0)</f>
        <v>1</v>
      </c>
      <c r="F999" s="77">
        <f>IFERROR(__xludf.DUMMYFUNCTION("""COMPUTED_VALUE"""),1926.0)</f>
        <v>1926</v>
      </c>
      <c r="G999" s="77">
        <f>IFERROR(__xludf.DUMMYFUNCTION("""COMPUTED_VALUE"""),15.75)</f>
        <v>15.75</v>
      </c>
      <c r="H999" s="77">
        <f>IFERROR(__xludf.DUMMYFUNCTION("""COMPUTED_VALUE"""),20.75)</f>
        <v>20.75</v>
      </c>
      <c r="I999" s="77">
        <f>IFERROR(__xludf.DUMMYFUNCTION("""COMPUTED_VALUE"""),100.0)</f>
        <v>100</v>
      </c>
      <c r="J999" s="73"/>
      <c r="K999" s="73"/>
      <c r="L999" s="73"/>
      <c r="M999" s="77">
        <f>IFERROR(__xludf.DUMMYFUNCTION("""COMPUTED_VALUE"""),0.1)</f>
        <v>0.1</v>
      </c>
      <c r="N999" s="77">
        <f>IFERROR(__xludf.DUMMYFUNCTION("""COMPUTED_VALUE"""),1.0)</f>
        <v>1</v>
      </c>
      <c r="O999" s="49"/>
      <c r="P999" s="49" t="str">
        <f>IFERROR(__xludf.DUMMYFUNCTION("""COMPUTED_VALUE"""),"Offset")</f>
        <v>Offset</v>
      </c>
      <c r="Q999" s="49" t="str">
        <f>IFERROR(__xludf.DUMMYFUNCTION("""COMPUTED_VALUE"""),"Packaging")</f>
        <v>Packaging</v>
      </c>
      <c r="R999" s="49" t="str">
        <f>IFERROR(__xludf.DUMMYFUNCTION("""COMPUTED_VALUE"""),"Food")</f>
        <v>Food</v>
      </c>
    </row>
    <row r="1000">
      <c r="A1000" s="156" t="str">
        <f>IFERROR(__xludf.DUMMYFUNCTION("""COMPUTED_VALUE"""),"https://drive.google.com/open?id=1sp_9QJ74BN0EliJ8M8A64Pg3lvPXme-q&amp;authuser=jay.agg%40gmail.com&amp;usp=drive_fs")</f>
        <v>https://drive.google.com/open?id=1sp_9QJ74BN0EliJ8M8A64Pg3lvPXme-q&amp;authuser=jay.agg%40gmail.com&amp;usp=drive_fs</v>
      </c>
      <c r="B1000" s="73" t="str">
        <f>IFERROR(__xludf.DUMMYFUNCTION("""COMPUTED_VALUE"""),"Food")</f>
        <v>Food</v>
      </c>
      <c r="C1000" s="73" t="str">
        <f>IFERROR(__xludf.DUMMYFUNCTION("""COMPUTED_VALUE"""),"Gol Gappe")</f>
        <v>Gol Gappe</v>
      </c>
      <c r="D1000" s="73" t="str">
        <f>IFERROR(__xludf.DUMMYFUNCTION("""COMPUTED_VALUE"""),"178*127*52 mm | 7*5*2 inch")</f>
        <v>178*127*52 mm | 7*5*2 inch</v>
      </c>
      <c r="E1000" s="77">
        <f>IFERROR(__xludf.DUMMYFUNCTION("""COMPUTED_VALUE"""),2.0)</f>
        <v>2</v>
      </c>
      <c r="F1000" s="77">
        <f>IFERROR(__xludf.DUMMYFUNCTION("""COMPUTED_VALUE"""),1926.0)</f>
        <v>1926</v>
      </c>
      <c r="G1000" s="77">
        <f>IFERROR(__xludf.DUMMYFUNCTION("""COMPUTED_VALUE"""),15.0)</f>
        <v>15</v>
      </c>
      <c r="H1000" s="77">
        <f>IFERROR(__xludf.DUMMYFUNCTION("""COMPUTED_VALUE"""),25.0)</f>
        <v>25</v>
      </c>
      <c r="I1000" s="77">
        <f>IFERROR(__xludf.DUMMYFUNCTION("""COMPUTED_VALUE"""),100.0)</f>
        <v>100</v>
      </c>
      <c r="J1000" s="73"/>
      <c r="K1000" s="73"/>
      <c r="L1000" s="73"/>
      <c r="M1000" s="77"/>
      <c r="N1000" s="77">
        <f>IFERROR(__xludf.DUMMYFUNCTION("""COMPUTED_VALUE"""),1.0)</f>
        <v>1</v>
      </c>
      <c r="O1000" s="49"/>
      <c r="P1000" s="49" t="str">
        <f>IFERROR(__xludf.DUMMYFUNCTION("""COMPUTED_VALUE"""),"Offset")</f>
        <v>Offset</v>
      </c>
      <c r="Q1000" s="49" t="str">
        <f>IFERROR(__xludf.DUMMYFUNCTION("""COMPUTED_VALUE"""),"Packaging")</f>
        <v>Packaging</v>
      </c>
      <c r="R1000" s="49" t="str">
        <f>IFERROR(__xludf.DUMMYFUNCTION("""COMPUTED_VALUE"""),"Food")</f>
        <v>Food</v>
      </c>
    </row>
    <row r="1001">
      <c r="A1001" s="156" t="str">
        <f>IFERROR(__xludf.DUMMYFUNCTION("""COMPUTED_VALUE"""),"https://drive.google.com/open?id=1wtvYpY8aQ2dYsGMZNWZHepkN93W2bRIs&amp;authuser=jay.agg%40gmail.com&amp;usp=drive_fs")</f>
        <v>https://drive.google.com/open?id=1wtvYpY8aQ2dYsGMZNWZHepkN93W2bRIs&amp;authuser=jay.agg%40gmail.com&amp;usp=drive_fs</v>
      </c>
      <c r="B1001" s="73" t="str">
        <f>IFERROR(__xludf.DUMMYFUNCTION("""COMPUTED_VALUE"""),"Food")</f>
        <v>Food</v>
      </c>
      <c r="C1001" s="73" t="str">
        <f>IFERROR(__xludf.DUMMYFUNCTION("""COMPUTED_VALUE"""),"Egg Box")</f>
        <v>Egg Box</v>
      </c>
      <c r="D1001" s="73" t="str">
        <f>IFERROR(__xludf.DUMMYFUNCTION("""COMPUTED_VALUE"""),"178*81*81 mm | 7*3.2*3.2 inch")</f>
        <v>178*81*81 mm | 7*3.2*3.2 inch</v>
      </c>
      <c r="E1001" s="77">
        <f>IFERROR(__xludf.DUMMYFUNCTION("""COMPUTED_VALUE"""),3.0)</f>
        <v>3</v>
      </c>
      <c r="F1001" s="77">
        <f>IFERROR(__xludf.DUMMYFUNCTION("""COMPUTED_VALUE"""),1926.0)</f>
        <v>1926</v>
      </c>
      <c r="G1001" s="77">
        <f>IFERROR(__xludf.DUMMYFUNCTION("""COMPUTED_VALUE"""),14.0)</f>
        <v>14</v>
      </c>
      <c r="H1001" s="77">
        <f>IFERROR(__xludf.DUMMYFUNCTION("""COMPUTED_VALUE"""),22.0)</f>
        <v>22</v>
      </c>
      <c r="I1001" s="77">
        <f>IFERROR(__xludf.DUMMYFUNCTION("""COMPUTED_VALUE"""),100.0)</f>
        <v>100</v>
      </c>
      <c r="J1001" s="73"/>
      <c r="K1001" s="73"/>
      <c r="L1001" s="73"/>
      <c r="M1001" s="77">
        <f>IFERROR(__xludf.DUMMYFUNCTION("""COMPUTED_VALUE"""),0.1)</f>
        <v>0.1</v>
      </c>
      <c r="N1001" s="77">
        <f>IFERROR(__xludf.DUMMYFUNCTION("""COMPUTED_VALUE"""),1.0)</f>
        <v>1</v>
      </c>
      <c r="O1001" s="49"/>
      <c r="P1001" s="49" t="str">
        <f>IFERROR(__xludf.DUMMYFUNCTION("""COMPUTED_VALUE"""),"Offset")</f>
        <v>Offset</v>
      </c>
      <c r="Q1001" s="49" t="str">
        <f>IFERROR(__xludf.DUMMYFUNCTION("""COMPUTED_VALUE"""),"Packaging")</f>
        <v>Packaging</v>
      </c>
      <c r="R1001" s="49" t="str">
        <f>IFERROR(__xludf.DUMMYFUNCTION("""COMPUTED_VALUE"""),"Food")</f>
        <v>Food</v>
      </c>
    </row>
    <row r="1002">
      <c r="A1002" s="156" t="str">
        <f>IFERROR(__xludf.DUMMYFUNCTION("""COMPUTED_VALUE"""),"https://drive.google.com/open?id=1yW-6rS7DrydjnRfme_YMtpVLN0LPOEG3&amp;authuser=jay.agg%40gmail.com&amp;usp=drive_fs")</f>
        <v>https://drive.google.com/open?id=1yW-6rS7DrydjnRfme_YMtpVLN0LPOEG3&amp;authuser=jay.agg%40gmail.com&amp;usp=drive_fs</v>
      </c>
      <c r="B1002" s="73" t="str">
        <f>IFERROR(__xludf.DUMMYFUNCTION("""COMPUTED_VALUE"""),"Food")</f>
        <v>Food</v>
      </c>
      <c r="C1002" s="73" t="str">
        <f>IFERROR(__xludf.DUMMYFUNCTION("""COMPUTED_VALUE"""),"Chicken Envelop")</f>
        <v>Chicken Envelop</v>
      </c>
      <c r="D1002" s="73" t="str">
        <f>IFERROR(__xludf.DUMMYFUNCTION("""COMPUTED_VALUE"""),"165*240 mm | 6.5*9.5 inch W 4*6 inch")</f>
        <v>165*240 mm | 6.5*9.5 inch W 4*6 inch</v>
      </c>
      <c r="E1002" s="77">
        <f>IFERROR(__xludf.DUMMYFUNCTION("""COMPUTED_VALUE"""),2.0)</f>
        <v>2</v>
      </c>
      <c r="F1002" s="77">
        <f>IFERROR(__xludf.DUMMYFUNCTION("""COMPUTED_VALUE"""),1926.0)</f>
        <v>1926</v>
      </c>
      <c r="G1002" s="77">
        <f>IFERROR(__xludf.DUMMYFUNCTION("""COMPUTED_VALUE"""),15.0)</f>
        <v>15</v>
      </c>
      <c r="H1002" s="77">
        <f>IFERROR(__xludf.DUMMYFUNCTION("""COMPUTED_VALUE"""),25.0)</f>
        <v>25</v>
      </c>
      <c r="I1002" s="77">
        <f>IFERROR(__xludf.DUMMYFUNCTION("""COMPUTED_VALUE"""),100.0)</f>
        <v>100</v>
      </c>
      <c r="J1002" s="73"/>
      <c r="K1002" s="73"/>
      <c r="L1002" s="73">
        <f>IFERROR(__xludf.DUMMYFUNCTION("""COMPUTED_VALUE"""),2.0)</f>
        <v>2</v>
      </c>
      <c r="M1002" s="77">
        <f>IFERROR(__xludf.DUMMYFUNCTION("""COMPUTED_VALUE"""),0.2)</f>
        <v>0.2</v>
      </c>
      <c r="N1002" s="77">
        <f>IFERROR(__xludf.DUMMYFUNCTION("""COMPUTED_VALUE"""),1.0)</f>
        <v>1</v>
      </c>
      <c r="O1002" s="49"/>
      <c r="P1002" s="49" t="str">
        <f>IFERROR(__xludf.DUMMYFUNCTION("""COMPUTED_VALUE"""),"Offset")</f>
        <v>Offset</v>
      </c>
      <c r="Q1002" s="49" t="str">
        <f>IFERROR(__xludf.DUMMYFUNCTION("""COMPUTED_VALUE"""),"Packaging")</f>
        <v>Packaging</v>
      </c>
      <c r="R1002" s="49" t="str">
        <f>IFERROR(__xludf.DUMMYFUNCTION("""COMPUTED_VALUE"""),"Food")</f>
        <v>Food</v>
      </c>
    </row>
    <row r="1003">
      <c r="A1003" s="156" t="str">
        <f>IFERROR(__xludf.DUMMYFUNCTION("""COMPUTED_VALUE"""),"https://drive.google.com/open?id=16rGecGFRPqzZiav5oiujTYJBYkBawRPk&amp;authuser=jay.agg%40gmail.com&amp;usp=drive_fs")</f>
        <v>https://drive.google.com/open?id=16rGecGFRPqzZiav5oiujTYJBYkBawRPk&amp;authuser=jay.agg%40gmail.com&amp;usp=drive_fs</v>
      </c>
      <c r="B1003" s="73" t="str">
        <f>IFERROR(__xludf.DUMMYFUNCTION("""COMPUTED_VALUE"""),"Food")</f>
        <v>Food</v>
      </c>
      <c r="C1003" s="73" t="str">
        <f>IFERROR(__xludf.DUMMYFUNCTION("""COMPUTED_VALUE"""),"South Indian")</f>
        <v>South Indian</v>
      </c>
      <c r="D1003" s="73" t="str">
        <f>IFERROR(__xludf.DUMMYFUNCTION("""COMPUTED_VALUE"""),"Dosa 406*152*51 mm | 16*6*2 inch")</f>
        <v>Dosa 406*152*51 mm | 16*6*2 inch</v>
      </c>
      <c r="E1003" s="77">
        <f>IFERROR(__xludf.DUMMYFUNCTION("""COMPUTED_VALUE"""),1.0)</f>
        <v>1</v>
      </c>
      <c r="F1003" s="77">
        <f>IFERROR(__xludf.DUMMYFUNCTION("""COMPUTED_VALUE"""),1926.0)</f>
        <v>1926</v>
      </c>
      <c r="G1003" s="77">
        <f>IFERROR(__xludf.DUMMYFUNCTION("""COMPUTED_VALUE"""),18.0)</f>
        <v>18</v>
      </c>
      <c r="H1003" s="77">
        <f>IFERROR(__xludf.DUMMYFUNCTION("""COMPUTED_VALUE"""),21.0)</f>
        <v>21</v>
      </c>
      <c r="I1003" s="77">
        <f>IFERROR(__xludf.DUMMYFUNCTION("""COMPUTED_VALUE"""),100.0)</f>
        <v>100</v>
      </c>
      <c r="J1003" s="73"/>
      <c r="K1003" s="73"/>
      <c r="L1003" s="73"/>
      <c r="M1003" s="77"/>
      <c r="N1003" s="77">
        <f>IFERROR(__xludf.DUMMYFUNCTION("""COMPUTED_VALUE"""),1.0)</f>
        <v>1</v>
      </c>
      <c r="O1003" s="49"/>
      <c r="P1003" s="49" t="str">
        <f>IFERROR(__xludf.DUMMYFUNCTION("""COMPUTED_VALUE"""),"Offset")</f>
        <v>Offset</v>
      </c>
      <c r="Q1003" s="49" t="str">
        <f>IFERROR(__xludf.DUMMYFUNCTION("""COMPUTED_VALUE"""),"Packaging")</f>
        <v>Packaging</v>
      </c>
      <c r="R1003" s="49" t="str">
        <f>IFERROR(__xludf.DUMMYFUNCTION("""COMPUTED_VALUE"""),"Food")</f>
        <v>Food</v>
      </c>
    </row>
    <row r="1004">
      <c r="A1004" s="156" t="str">
        <f>IFERROR(__xludf.DUMMYFUNCTION("""COMPUTED_VALUE"""),"https://drive.google.com/open?id=1LnxmtJvvSGJY7VkJq3aAu_pl1Ts7X2OV&amp;authuser=jay.agg%40gmail.com&amp;usp=drive_fs")</f>
        <v>https://drive.google.com/open?id=1LnxmtJvvSGJY7VkJq3aAu_pl1Ts7X2OV&amp;authuser=jay.agg%40gmail.com&amp;usp=drive_fs</v>
      </c>
      <c r="B1004" s="73" t="str">
        <f>IFERROR(__xludf.DUMMYFUNCTION("""COMPUTED_VALUE"""),"Food")</f>
        <v>Food</v>
      </c>
      <c r="C1004" s="73" t="str">
        <f>IFERROR(__xludf.DUMMYFUNCTION("""COMPUTED_VALUE"""),"Flakes")</f>
        <v>Flakes</v>
      </c>
      <c r="D1004" s="73" t="str">
        <f>IFERROR(__xludf.DUMMYFUNCTION("""COMPUTED_VALUE"""),"140*38*190 mm | 5.5*1.5*7.5 inch")</f>
        <v>140*38*190 mm | 5.5*1.5*7.5 inch</v>
      </c>
      <c r="E1004" s="77">
        <f>IFERROR(__xludf.DUMMYFUNCTION("""COMPUTED_VALUE"""),2.0)</f>
        <v>2</v>
      </c>
      <c r="F1004" s="77">
        <f>IFERROR(__xludf.DUMMYFUNCTION("""COMPUTED_VALUE"""),1926.0)</f>
        <v>1926</v>
      </c>
      <c r="G1004" s="77">
        <f>IFERROR(__xludf.DUMMYFUNCTION("""COMPUTED_VALUE"""),15.75)</f>
        <v>15.75</v>
      </c>
      <c r="H1004" s="77">
        <f>IFERROR(__xludf.DUMMYFUNCTION("""COMPUTED_VALUE"""),20.75)</f>
        <v>20.75</v>
      </c>
      <c r="I1004" s="77">
        <f>IFERROR(__xludf.DUMMYFUNCTION("""COMPUTED_VALUE"""),100.0)</f>
        <v>100</v>
      </c>
      <c r="J1004" s="73"/>
      <c r="K1004" s="73"/>
      <c r="L1004" s="73"/>
      <c r="M1004" s="77">
        <f>IFERROR(__xludf.DUMMYFUNCTION("""COMPUTED_VALUE"""),0.1)</f>
        <v>0.1</v>
      </c>
      <c r="N1004" s="77">
        <f>IFERROR(__xludf.DUMMYFUNCTION("""COMPUTED_VALUE"""),1.0)</f>
        <v>1</v>
      </c>
      <c r="O1004" s="49"/>
      <c r="P1004" s="49" t="str">
        <f>IFERROR(__xludf.DUMMYFUNCTION("""COMPUTED_VALUE"""),"Offset")</f>
        <v>Offset</v>
      </c>
      <c r="Q1004" s="49" t="str">
        <f>IFERROR(__xludf.DUMMYFUNCTION("""COMPUTED_VALUE"""),"Packaging")</f>
        <v>Packaging</v>
      </c>
      <c r="R1004" s="49" t="str">
        <f>IFERROR(__xludf.DUMMYFUNCTION("""COMPUTED_VALUE"""),"Food")</f>
        <v>Food</v>
      </c>
    </row>
    <row r="1005">
      <c r="A1005" s="156" t="str">
        <f>IFERROR(__xludf.DUMMYFUNCTION("""COMPUTED_VALUE"""),"https://drive.google.com/open?id=1MM1rWUjsBimB1oEX-BTeoKxBdLPyBOd8&amp;authuser=jay.agg%40gmail.com&amp;usp=drive_fs")</f>
        <v>https://drive.google.com/open?id=1MM1rWUjsBimB1oEX-BTeoKxBdLPyBOd8&amp;authuser=jay.agg%40gmail.com&amp;usp=drive_fs</v>
      </c>
      <c r="B1005" s="73" t="str">
        <f>IFERROR(__xludf.DUMMYFUNCTION("""COMPUTED_VALUE"""),"Food")</f>
        <v>Food</v>
      </c>
      <c r="C1005" s="73" t="str">
        <f>IFERROR(__xludf.DUMMYFUNCTION("""COMPUTED_VALUE"""),"Gulab Jamun")</f>
        <v>Gulab Jamun</v>
      </c>
      <c r="D1005" s="73" t="str">
        <f>IFERROR(__xludf.DUMMYFUNCTION("""COMPUTED_VALUE"""),"146*40*190 mm | 5.7*1.5*7.5 inch")</f>
        <v>146*40*190 mm | 5.7*1.5*7.5 inch</v>
      </c>
      <c r="E1005" s="77">
        <f>IFERROR(__xludf.DUMMYFUNCTION("""COMPUTED_VALUE"""),2.0)</f>
        <v>2</v>
      </c>
      <c r="F1005" s="77">
        <f>IFERROR(__xludf.DUMMYFUNCTION("""COMPUTED_VALUE"""),1926.0)</f>
        <v>1926</v>
      </c>
      <c r="G1005" s="77">
        <f>IFERROR(__xludf.DUMMYFUNCTION("""COMPUTED_VALUE"""),15.75)</f>
        <v>15.75</v>
      </c>
      <c r="H1005" s="77">
        <f>IFERROR(__xludf.DUMMYFUNCTION("""COMPUTED_VALUE"""),20.75)</f>
        <v>20.75</v>
      </c>
      <c r="I1005" s="77">
        <f>IFERROR(__xludf.DUMMYFUNCTION("""COMPUTED_VALUE"""),100.0)</f>
        <v>100</v>
      </c>
      <c r="J1005" s="73"/>
      <c r="K1005" s="73"/>
      <c r="L1005" s="73"/>
      <c r="M1005" s="77">
        <f>IFERROR(__xludf.DUMMYFUNCTION("""COMPUTED_VALUE"""),0.1)</f>
        <v>0.1</v>
      </c>
      <c r="N1005" s="77">
        <f>IFERROR(__xludf.DUMMYFUNCTION("""COMPUTED_VALUE"""),1.0)</f>
        <v>1</v>
      </c>
      <c r="O1005" s="49"/>
      <c r="P1005" s="49" t="str">
        <f>IFERROR(__xludf.DUMMYFUNCTION("""COMPUTED_VALUE"""),"Offset")</f>
        <v>Offset</v>
      </c>
      <c r="Q1005" s="49" t="str">
        <f>IFERROR(__xludf.DUMMYFUNCTION("""COMPUTED_VALUE"""),"Packaging")</f>
        <v>Packaging</v>
      </c>
      <c r="R1005" s="49" t="str">
        <f>IFERROR(__xludf.DUMMYFUNCTION("""COMPUTED_VALUE"""),"Food")</f>
        <v>Food</v>
      </c>
    </row>
    <row r="1006">
      <c r="A1006" s="156" t="str">
        <f>IFERROR(__xludf.DUMMYFUNCTION("""COMPUTED_VALUE"""),"https://drive.google.com/open?id=18WtWUp82-bxe5E36yJ652kShQ0NBVp9t&amp;authuser=jay.agg%40gmail.com&amp;usp=drive_fs")</f>
        <v>https://drive.google.com/open?id=18WtWUp82-bxe5E36yJ652kShQ0NBVp9t&amp;authuser=jay.agg%40gmail.com&amp;usp=drive_fs</v>
      </c>
      <c r="B1006" s="73" t="str">
        <f>IFERROR(__xludf.DUMMYFUNCTION("""COMPUTED_VALUE"""),"Food")</f>
        <v>Food</v>
      </c>
      <c r="C1006" s="73" t="str">
        <f>IFERROR(__xludf.DUMMYFUNCTION("""COMPUTED_VALUE"""),"Cookies")</f>
        <v>Cookies</v>
      </c>
      <c r="D1006" s="73" t="str">
        <f>IFERROR(__xludf.DUMMYFUNCTION("""COMPUTED_VALUE"""),"140*55*190 mm")</f>
        <v>140*55*190 mm</v>
      </c>
      <c r="E1006" s="77">
        <f>IFERROR(__xludf.DUMMYFUNCTION("""COMPUTED_VALUE"""),2.0)</f>
        <v>2</v>
      </c>
      <c r="F1006" s="77">
        <f>IFERROR(__xludf.DUMMYFUNCTION("""COMPUTED_VALUE"""),1926.0)</f>
        <v>1926</v>
      </c>
      <c r="G1006" s="77">
        <f>IFERROR(__xludf.DUMMYFUNCTION("""COMPUTED_VALUE"""),18.0)</f>
        <v>18</v>
      </c>
      <c r="H1006" s="77">
        <f>IFERROR(__xludf.DUMMYFUNCTION("""COMPUTED_VALUE"""),23.0)</f>
        <v>23</v>
      </c>
      <c r="I1006" s="77">
        <f>IFERROR(__xludf.DUMMYFUNCTION("""COMPUTED_VALUE"""),100.0)</f>
        <v>100</v>
      </c>
      <c r="J1006" s="73"/>
      <c r="K1006" s="73"/>
      <c r="L1006" s="73"/>
      <c r="M1006" s="77">
        <f>IFERROR(__xludf.DUMMYFUNCTION("""COMPUTED_VALUE"""),0.1)</f>
        <v>0.1</v>
      </c>
      <c r="N1006" s="77">
        <f>IFERROR(__xludf.DUMMYFUNCTION("""COMPUTED_VALUE"""),1.0)</f>
        <v>1</v>
      </c>
      <c r="O1006" s="49"/>
      <c r="P1006" s="49" t="str">
        <f>IFERROR(__xludf.DUMMYFUNCTION("""COMPUTED_VALUE"""),"Offset")</f>
        <v>Offset</v>
      </c>
      <c r="Q1006" s="49" t="str">
        <f>IFERROR(__xludf.DUMMYFUNCTION("""COMPUTED_VALUE"""),"Packaging")</f>
        <v>Packaging</v>
      </c>
      <c r="R1006" s="49" t="str">
        <f>IFERROR(__xludf.DUMMYFUNCTION("""COMPUTED_VALUE"""),"Food")</f>
        <v>Food</v>
      </c>
    </row>
    <row r="1007">
      <c r="A1007" s="156" t="str">
        <f>IFERROR(__xludf.DUMMYFUNCTION("""COMPUTED_VALUE"""),"https://drive.google.com/open?id=1sJOiUA7Cg8Dnqu2sHtqanOPoz9thjI2G&amp;authuser=jay.agg%40gmail.com&amp;usp=drive_fs")</f>
        <v>https://drive.google.com/open?id=1sJOiUA7Cg8Dnqu2sHtqanOPoz9thjI2G&amp;authuser=jay.agg%40gmail.com&amp;usp=drive_fs</v>
      </c>
      <c r="B1007" s="73" t="str">
        <f>IFERROR(__xludf.DUMMYFUNCTION("""COMPUTED_VALUE"""),"Food")</f>
        <v>Food</v>
      </c>
      <c r="C1007" s="73" t="str">
        <f>IFERROR(__xludf.DUMMYFUNCTION("""COMPUTED_VALUE"""),"Cookies")</f>
        <v>Cookies</v>
      </c>
      <c r="D1007" s="73" t="str">
        <f>IFERROR(__xludf.DUMMYFUNCTION("""COMPUTED_VALUE"""),"165*76*330 mm")</f>
        <v>165*76*330 mm</v>
      </c>
      <c r="E1007" s="77">
        <f>IFERROR(__xludf.DUMMYFUNCTION("""COMPUTED_VALUE"""),1.0)</f>
        <v>1</v>
      </c>
      <c r="F1007" s="77">
        <f>IFERROR(__xludf.DUMMYFUNCTION("""COMPUTED_VALUE"""),1926.0)</f>
        <v>1926</v>
      </c>
      <c r="G1007" s="77">
        <f>IFERROR(__xludf.DUMMYFUNCTION("""COMPUTED_VALUE"""),19.0)</f>
        <v>19</v>
      </c>
      <c r="H1007" s="77">
        <f>IFERROR(__xludf.DUMMYFUNCTION("""COMPUTED_VALUE"""),20.0)</f>
        <v>20</v>
      </c>
      <c r="I1007" s="77">
        <f>IFERROR(__xludf.DUMMYFUNCTION("""COMPUTED_VALUE"""),100.0)</f>
        <v>100</v>
      </c>
      <c r="J1007" s="73"/>
      <c r="K1007" s="73"/>
      <c r="L1007" s="73"/>
      <c r="M1007" s="77">
        <f>IFERROR(__xludf.DUMMYFUNCTION("""COMPUTED_VALUE"""),0.1)</f>
        <v>0.1</v>
      </c>
      <c r="N1007" s="77">
        <f>IFERROR(__xludf.DUMMYFUNCTION("""COMPUTED_VALUE"""),1.0)</f>
        <v>1</v>
      </c>
      <c r="O1007" s="49"/>
      <c r="P1007" s="49" t="str">
        <f>IFERROR(__xludf.DUMMYFUNCTION("""COMPUTED_VALUE"""),"Offset")</f>
        <v>Offset</v>
      </c>
      <c r="Q1007" s="49" t="str">
        <f>IFERROR(__xludf.DUMMYFUNCTION("""COMPUTED_VALUE"""),"Packaging")</f>
        <v>Packaging</v>
      </c>
      <c r="R1007" s="49" t="str">
        <f>IFERROR(__xludf.DUMMYFUNCTION("""COMPUTED_VALUE"""),"Food")</f>
        <v>Food</v>
      </c>
    </row>
    <row r="1008">
      <c r="A1008" s="156" t="str">
        <f>IFERROR(__xludf.DUMMYFUNCTION("""COMPUTED_VALUE"""),"https://drive.google.com/open?id=1Mk8KwkQiUvbHItBUpcNASorFhKK9mzY3&amp;authuser=jay.agg%40gmail.com&amp;usp=drive_fs")</f>
        <v>https://drive.google.com/open?id=1Mk8KwkQiUvbHItBUpcNASorFhKK9mzY3&amp;authuser=jay.agg%40gmail.com&amp;usp=drive_fs</v>
      </c>
      <c r="B1008" s="73" t="str">
        <f>IFERROR(__xludf.DUMMYFUNCTION("""COMPUTED_VALUE"""),"Food")</f>
        <v>Food</v>
      </c>
      <c r="C1008" s="73" t="str">
        <f>IFERROR(__xludf.DUMMYFUNCTION("""COMPUTED_VALUE"""),"Soyabean")</f>
        <v>Soyabean</v>
      </c>
      <c r="D1008" s="73" t="str">
        <f>IFERROR(__xludf.DUMMYFUNCTION("""COMPUTED_VALUE"""),"125*55*195 mm | 5*2.1*7.7 inch")</f>
        <v>125*55*195 mm | 5*2.1*7.7 inch</v>
      </c>
      <c r="E1008" s="77">
        <f>IFERROR(__xludf.DUMMYFUNCTION("""COMPUTED_VALUE"""),2.0)</f>
        <v>2</v>
      </c>
      <c r="F1008" s="77">
        <f>IFERROR(__xludf.DUMMYFUNCTION("""COMPUTED_VALUE"""),1926.0)</f>
        <v>1926</v>
      </c>
      <c r="G1008" s="77">
        <f>IFERROR(__xludf.DUMMYFUNCTION("""COMPUTED_VALUE"""),15.0)</f>
        <v>15</v>
      </c>
      <c r="H1008" s="77">
        <f>IFERROR(__xludf.DUMMYFUNCTION("""COMPUTED_VALUE"""),25.0)</f>
        <v>25</v>
      </c>
      <c r="I1008" s="77">
        <f>IFERROR(__xludf.DUMMYFUNCTION("""COMPUTED_VALUE"""),100.0)</f>
        <v>100</v>
      </c>
      <c r="J1008" s="73"/>
      <c r="K1008" s="73"/>
      <c r="L1008" s="73"/>
      <c r="M1008" s="77">
        <f>IFERROR(__xludf.DUMMYFUNCTION("""COMPUTED_VALUE"""),0.1)</f>
        <v>0.1</v>
      </c>
      <c r="N1008" s="77">
        <f>IFERROR(__xludf.DUMMYFUNCTION("""COMPUTED_VALUE"""),1.0)</f>
        <v>1</v>
      </c>
      <c r="O1008" s="49"/>
      <c r="P1008" s="49" t="str">
        <f>IFERROR(__xludf.DUMMYFUNCTION("""COMPUTED_VALUE"""),"Offset")</f>
        <v>Offset</v>
      </c>
      <c r="Q1008" s="49" t="str">
        <f>IFERROR(__xludf.DUMMYFUNCTION("""COMPUTED_VALUE"""),"Packaging")</f>
        <v>Packaging</v>
      </c>
      <c r="R1008" s="49" t="str">
        <f>IFERROR(__xludf.DUMMYFUNCTION("""COMPUTED_VALUE"""),"Food")</f>
        <v>Food</v>
      </c>
    </row>
    <row r="1009">
      <c r="A1009" s="156" t="str">
        <f>IFERROR(__xludf.DUMMYFUNCTION("""COMPUTED_VALUE"""),"https://drive.google.com/open?id=1NmrEWzL0jccCY3gRhr0OT_AIXLqaAYOX&amp;authuser=jay.agg%40gmail.com&amp;usp=drive_fs")</f>
        <v>https://drive.google.com/open?id=1NmrEWzL0jccCY3gRhr0OT_AIXLqaAYOX&amp;authuser=jay.agg%40gmail.com&amp;usp=drive_fs</v>
      </c>
      <c r="B1009" s="73" t="str">
        <f>IFERROR(__xludf.DUMMYFUNCTION("""COMPUTED_VALUE"""),"Food")</f>
        <v>Food</v>
      </c>
      <c r="C1009" s="73" t="str">
        <f>IFERROR(__xludf.DUMMYFUNCTION("""COMPUTED_VALUE"""),"Misc")</f>
        <v>Misc</v>
      </c>
      <c r="D1009" s="73" t="str">
        <f>IFERROR(__xludf.DUMMYFUNCTION("""COMPUTED_VALUE"""),"127*51*203 mm | 5*2*8 inch")</f>
        <v>127*51*203 mm | 5*2*8 inch</v>
      </c>
      <c r="E1009" s="77">
        <f>IFERROR(__xludf.DUMMYFUNCTION("""COMPUTED_VALUE"""),2.0)</f>
        <v>2</v>
      </c>
      <c r="F1009" s="77">
        <f>IFERROR(__xludf.DUMMYFUNCTION("""COMPUTED_VALUE"""),1926.0)</f>
        <v>1926</v>
      </c>
      <c r="G1009" s="77">
        <f>IFERROR(__xludf.DUMMYFUNCTION("""COMPUTED_VALUE"""),15.0)</f>
        <v>15</v>
      </c>
      <c r="H1009" s="77">
        <f>IFERROR(__xludf.DUMMYFUNCTION("""COMPUTED_VALUE"""),25.0)</f>
        <v>25</v>
      </c>
      <c r="I1009" s="77">
        <f>IFERROR(__xludf.DUMMYFUNCTION("""COMPUTED_VALUE"""),100.0)</f>
        <v>100</v>
      </c>
      <c r="J1009" s="73"/>
      <c r="K1009" s="73"/>
      <c r="L1009" s="73"/>
      <c r="M1009" s="77">
        <f>IFERROR(__xludf.DUMMYFUNCTION("""COMPUTED_VALUE"""),0.1)</f>
        <v>0.1</v>
      </c>
      <c r="N1009" s="77">
        <f>IFERROR(__xludf.DUMMYFUNCTION("""COMPUTED_VALUE"""),1.0)</f>
        <v>1</v>
      </c>
      <c r="O1009" s="49"/>
      <c r="P1009" s="49" t="str">
        <f>IFERROR(__xludf.DUMMYFUNCTION("""COMPUTED_VALUE"""),"Offset")</f>
        <v>Offset</v>
      </c>
      <c r="Q1009" s="49" t="str">
        <f>IFERROR(__xludf.DUMMYFUNCTION("""COMPUTED_VALUE"""),"Packaging")</f>
        <v>Packaging</v>
      </c>
      <c r="R1009" s="49" t="str">
        <f>IFERROR(__xludf.DUMMYFUNCTION("""COMPUTED_VALUE"""),"Food")</f>
        <v>Food</v>
      </c>
    </row>
    <row r="1010">
      <c r="A1010" s="156" t="str">
        <f>IFERROR(__xludf.DUMMYFUNCTION("""COMPUTED_VALUE"""),"https://drive.google.com/open?id=1O3DBsUn3E9JvBhXZN8erEkDTKD49qVs-&amp;authuser=jay.agg%40gmail.com&amp;usp=drive_fs")</f>
        <v>https://drive.google.com/open?id=1O3DBsUn3E9JvBhXZN8erEkDTKD49qVs-&amp;authuser=jay.agg%40gmail.com&amp;usp=drive_fs</v>
      </c>
      <c r="B1010" s="73" t="str">
        <f>IFERROR(__xludf.DUMMYFUNCTION("""COMPUTED_VALUE"""),"Food")</f>
        <v>Food</v>
      </c>
      <c r="C1010" s="73" t="str">
        <f>IFERROR(__xludf.DUMMYFUNCTION("""COMPUTED_VALUE"""),"Cookies")</f>
        <v>Cookies</v>
      </c>
      <c r="D1010" s="73" t="str">
        <f>IFERROR(__xludf.DUMMYFUNCTION("""COMPUTED_VALUE"""),"60*60*150 mm | 2.3*2.3*5.9 inch")</f>
        <v>60*60*150 mm | 2.3*2.3*5.9 inch</v>
      </c>
      <c r="E1010" s="77">
        <f>IFERROR(__xludf.DUMMYFUNCTION("""COMPUTED_VALUE"""),4.0)</f>
        <v>4</v>
      </c>
      <c r="F1010" s="77">
        <f>IFERROR(__xludf.DUMMYFUNCTION("""COMPUTED_VALUE"""),2029.0)</f>
        <v>2029</v>
      </c>
      <c r="G1010" s="77">
        <f>IFERROR(__xludf.DUMMYFUNCTION("""COMPUTED_VALUE"""),20.0)</f>
        <v>20</v>
      </c>
      <c r="H1010" s="77">
        <f>IFERROR(__xludf.DUMMYFUNCTION("""COMPUTED_VALUE"""),28.0)</f>
        <v>28</v>
      </c>
      <c r="I1010" s="77">
        <f>IFERROR(__xludf.DUMMYFUNCTION("""COMPUTED_VALUE"""),100.0)</f>
        <v>100</v>
      </c>
      <c r="J1010" s="73"/>
      <c r="K1010" s="73"/>
      <c r="L1010" s="73"/>
      <c r="M1010" s="77">
        <f>IFERROR(__xludf.DUMMYFUNCTION("""COMPUTED_VALUE"""),0.1)</f>
        <v>0.1</v>
      </c>
      <c r="N1010" s="77">
        <f>IFERROR(__xludf.DUMMYFUNCTION("""COMPUTED_VALUE"""),1.0)</f>
        <v>1</v>
      </c>
      <c r="O1010" s="49"/>
      <c r="P1010" s="49" t="str">
        <f>IFERROR(__xludf.DUMMYFUNCTION("""COMPUTED_VALUE"""),"Offset")</f>
        <v>Offset</v>
      </c>
      <c r="Q1010" s="49" t="str">
        <f>IFERROR(__xludf.DUMMYFUNCTION("""COMPUTED_VALUE"""),"Packaging")</f>
        <v>Packaging</v>
      </c>
      <c r="R1010" s="49" t="str">
        <f>IFERROR(__xludf.DUMMYFUNCTION("""COMPUTED_VALUE"""),"Food")</f>
        <v>Food</v>
      </c>
    </row>
    <row r="1011">
      <c r="A1011" s="156" t="str">
        <f>IFERROR(__xludf.DUMMYFUNCTION("""COMPUTED_VALUE"""),"https://drive.google.com/open?id=1OChsXdmJLOGgS9j_u_FIIbtfxgE_RFPu&amp;authuser=jay.agg%40gmail.com&amp;usp=drive_fs")</f>
        <v>https://drive.google.com/open?id=1OChsXdmJLOGgS9j_u_FIIbtfxgE_RFPu&amp;authuser=jay.agg%40gmail.com&amp;usp=drive_fs</v>
      </c>
      <c r="B1011" s="73" t="str">
        <f>IFERROR(__xludf.DUMMYFUNCTION("""COMPUTED_VALUE"""),"Food")</f>
        <v>Food</v>
      </c>
      <c r="C1011" s="73" t="str">
        <f>IFERROR(__xludf.DUMMYFUNCTION("""COMPUTED_VALUE"""),"Frozen")</f>
        <v>Frozen</v>
      </c>
      <c r="D1011" s="73" t="str">
        <f>IFERROR(__xludf.DUMMYFUNCTION("""COMPUTED_VALUE"""),"190*140*51 mm | 7.5*5.5*2 inch")</f>
        <v>190*140*51 mm | 7.5*5.5*2 inch</v>
      </c>
      <c r="E1011" s="77">
        <f>IFERROR(__xludf.DUMMYFUNCTION("""COMPUTED_VALUE"""),3.0)</f>
        <v>3</v>
      </c>
      <c r="F1011" s="77">
        <f>IFERROR(__xludf.DUMMYFUNCTION("""COMPUTED_VALUE"""),1926.0)</f>
        <v>1926</v>
      </c>
      <c r="G1011" s="77">
        <f>IFERROR(__xludf.DUMMYFUNCTION("""COMPUTED_VALUE"""),18.0)</f>
        <v>18</v>
      </c>
      <c r="H1011" s="77">
        <f>IFERROR(__xludf.DUMMYFUNCTION("""COMPUTED_VALUE"""),23.0)</f>
        <v>23</v>
      </c>
      <c r="I1011" s="77">
        <f>IFERROR(__xludf.DUMMYFUNCTION("""COMPUTED_VALUE"""),100.0)</f>
        <v>100</v>
      </c>
      <c r="J1011" s="73"/>
      <c r="K1011" s="73"/>
      <c r="L1011" s="73"/>
      <c r="M1011" s="77">
        <f>IFERROR(__xludf.DUMMYFUNCTION("""COMPUTED_VALUE"""),0.1)</f>
        <v>0.1</v>
      </c>
      <c r="N1011" s="77">
        <f>IFERROR(__xludf.DUMMYFUNCTION("""COMPUTED_VALUE"""),1.0)</f>
        <v>1</v>
      </c>
      <c r="O1011" s="49"/>
      <c r="P1011" s="49" t="str">
        <f>IFERROR(__xludf.DUMMYFUNCTION("""COMPUTED_VALUE"""),"Offset")</f>
        <v>Offset</v>
      </c>
      <c r="Q1011" s="49" t="str">
        <f>IFERROR(__xludf.DUMMYFUNCTION("""COMPUTED_VALUE"""),"Packaging")</f>
        <v>Packaging</v>
      </c>
      <c r="R1011" s="49" t="str">
        <f>IFERROR(__xludf.DUMMYFUNCTION("""COMPUTED_VALUE"""),"Food")</f>
        <v>Food</v>
      </c>
    </row>
    <row r="1012">
      <c r="A1012" s="156" t="str">
        <f>IFERROR(__xludf.DUMMYFUNCTION("""COMPUTED_VALUE"""),"https://drive.google.com/open?id=1Bnsb0frEED9Anr-37j2jzpXfxbfcoGZE&amp;authuser=jay.agg%40gmail.com&amp;usp=drive_fs")</f>
        <v>https://drive.google.com/open?id=1Bnsb0frEED9Anr-37j2jzpXfxbfcoGZE&amp;authuser=jay.agg%40gmail.com&amp;usp=drive_fs</v>
      </c>
      <c r="B1012" s="73" t="str">
        <f>IFERROR(__xludf.DUMMYFUNCTION("""COMPUTED_VALUE"""),"Food")</f>
        <v>Food</v>
      </c>
      <c r="C1012" s="73" t="str">
        <f>IFERROR(__xludf.DUMMYFUNCTION("""COMPUTED_VALUE"""),"Rusk")</f>
        <v>Rusk</v>
      </c>
      <c r="D1012" s="73" t="str">
        <f>IFERROR(__xludf.DUMMYFUNCTION("""COMPUTED_VALUE"""),"130*80*155 mm | 5*3*6 inch")</f>
        <v>130*80*155 mm | 5*3*6 inch</v>
      </c>
      <c r="E1012" s="77">
        <f>IFERROR(__xludf.DUMMYFUNCTION("""COMPUTED_VALUE"""),2.0)</f>
        <v>2</v>
      </c>
      <c r="F1012" s="77">
        <f>IFERROR(__xludf.DUMMYFUNCTION("""COMPUTED_VALUE"""),1926.0)</f>
        <v>1926</v>
      </c>
      <c r="G1012" s="77">
        <f>IFERROR(__xludf.DUMMYFUNCTION("""COMPUTED_VALUE"""),18.0)</f>
        <v>18</v>
      </c>
      <c r="H1012" s="77">
        <f>IFERROR(__xludf.DUMMYFUNCTION("""COMPUTED_VALUE"""),25.0)</f>
        <v>25</v>
      </c>
      <c r="I1012" s="77">
        <f>IFERROR(__xludf.DUMMYFUNCTION("""COMPUTED_VALUE"""),100.0)</f>
        <v>100</v>
      </c>
      <c r="J1012" s="73"/>
      <c r="K1012" s="73"/>
      <c r="L1012" s="73"/>
      <c r="M1012" s="77">
        <f>IFERROR(__xludf.DUMMYFUNCTION("""COMPUTED_VALUE"""),0.1)</f>
        <v>0.1</v>
      </c>
      <c r="N1012" s="77">
        <f>IFERROR(__xludf.DUMMYFUNCTION("""COMPUTED_VALUE"""),1.0)</f>
        <v>1</v>
      </c>
      <c r="O1012" s="49"/>
      <c r="P1012" s="49" t="str">
        <f>IFERROR(__xludf.DUMMYFUNCTION("""COMPUTED_VALUE"""),"Offset")</f>
        <v>Offset</v>
      </c>
      <c r="Q1012" s="49" t="str">
        <f>IFERROR(__xludf.DUMMYFUNCTION("""COMPUTED_VALUE"""),"Packaging")</f>
        <v>Packaging</v>
      </c>
      <c r="R1012" s="49" t="str">
        <f>IFERROR(__xludf.DUMMYFUNCTION("""COMPUTED_VALUE"""),"Food")</f>
        <v>Food</v>
      </c>
    </row>
    <row r="1013">
      <c r="A1013" s="156" t="str">
        <f>IFERROR(__xludf.DUMMYFUNCTION("""COMPUTED_VALUE"""),"https://drive.google.com/open?id=1Brn9QCMkUjdGOnRuWsTH_LaeUOxtQZ9b&amp;authuser=jay.agg%40gmail.com&amp;usp=drive_fs")</f>
        <v>https://drive.google.com/open?id=1Brn9QCMkUjdGOnRuWsTH_LaeUOxtQZ9b&amp;authuser=jay.agg%40gmail.com&amp;usp=drive_fs</v>
      </c>
      <c r="B1013" s="73" t="str">
        <f>IFERROR(__xludf.DUMMYFUNCTION("""COMPUTED_VALUE"""),"Food")</f>
        <v>Food</v>
      </c>
      <c r="C1013" s="73" t="str">
        <f>IFERROR(__xludf.DUMMYFUNCTION("""COMPUTED_VALUE"""),"Burger Box")</f>
        <v>Burger Box</v>
      </c>
      <c r="D1013" s="73" t="str">
        <f>IFERROR(__xludf.DUMMYFUNCTION("""COMPUTED_VALUE"""),"125*125*53 mm | 5*5*2 inch")</f>
        <v>125*125*53 mm | 5*5*2 inch</v>
      </c>
      <c r="E1013" s="77">
        <f>IFERROR(__xludf.DUMMYFUNCTION("""COMPUTED_VALUE"""),3.0)</f>
        <v>3</v>
      </c>
      <c r="F1013" s="77">
        <f>IFERROR(__xludf.DUMMYFUNCTION("""COMPUTED_VALUE"""),2029.0)</f>
        <v>2029</v>
      </c>
      <c r="G1013" s="77">
        <f>IFERROR(__xludf.DUMMYFUNCTION("""COMPUTED_VALUE"""),20.0)</f>
        <v>20</v>
      </c>
      <c r="H1013" s="77">
        <f>IFERROR(__xludf.DUMMYFUNCTION("""COMPUTED_VALUE"""),28.0)</f>
        <v>28</v>
      </c>
      <c r="I1013" s="77">
        <f>IFERROR(__xludf.DUMMYFUNCTION("""COMPUTED_VALUE"""),100.0)</f>
        <v>100</v>
      </c>
      <c r="J1013" s="73"/>
      <c r="K1013" s="73"/>
      <c r="L1013" s="73"/>
      <c r="M1013" s="77">
        <f>IFERROR(__xludf.DUMMYFUNCTION("""COMPUTED_VALUE"""),1.0)</f>
        <v>1</v>
      </c>
      <c r="N1013" s="77">
        <f>IFERROR(__xludf.DUMMYFUNCTION("""COMPUTED_VALUE"""),1.0)</f>
        <v>1</v>
      </c>
      <c r="O1013" s="49"/>
      <c r="P1013" s="49" t="str">
        <f>IFERROR(__xludf.DUMMYFUNCTION("""COMPUTED_VALUE"""),"Offset")</f>
        <v>Offset</v>
      </c>
      <c r="Q1013" s="49" t="str">
        <f>IFERROR(__xludf.DUMMYFUNCTION("""COMPUTED_VALUE"""),"Packaging")</f>
        <v>Packaging</v>
      </c>
      <c r="R1013" s="49" t="str">
        <f>IFERROR(__xludf.DUMMYFUNCTION("""COMPUTED_VALUE"""),"Food")</f>
        <v>Food</v>
      </c>
    </row>
    <row r="1014">
      <c r="A1014" s="156" t="str">
        <f>IFERROR(__xludf.DUMMYFUNCTION("""COMPUTED_VALUE"""),"https://drive.google.com/open?id=1OQZ-ePtmH2eRW6YsfL_Pau-Vk4pj3Ge2&amp;authuser=jay.agg%40gmail.com&amp;usp=drive_fs")</f>
        <v>https://drive.google.com/open?id=1OQZ-ePtmH2eRW6YsfL_Pau-Vk4pj3Ge2&amp;authuser=jay.agg%40gmail.com&amp;usp=drive_fs</v>
      </c>
      <c r="B1014" s="73" t="str">
        <f>IFERROR(__xludf.DUMMYFUNCTION("""COMPUTED_VALUE"""),"Food")</f>
        <v>Food</v>
      </c>
      <c r="C1014" s="73" t="str">
        <f>IFERROR(__xludf.DUMMYFUNCTION("""COMPUTED_VALUE"""),"Corn Flakes")</f>
        <v>Corn Flakes</v>
      </c>
      <c r="D1014" s="73" t="str">
        <f>IFERROR(__xludf.DUMMYFUNCTION("""COMPUTED_VALUE"""),"230*70*295 mm | 9*2.7*11.6 inch")</f>
        <v>230*70*295 mm | 9*2.7*11.6 inch</v>
      </c>
      <c r="E1014" s="77">
        <f>IFERROR(__xludf.DUMMYFUNCTION("""COMPUTED_VALUE"""),1.0)</f>
        <v>1</v>
      </c>
      <c r="F1014" s="77">
        <f>IFERROR(__xludf.DUMMYFUNCTION("""COMPUTED_VALUE"""),1926.0)</f>
        <v>1926</v>
      </c>
      <c r="G1014" s="77">
        <f>IFERROR(__xludf.DUMMYFUNCTION("""COMPUTED_VALUE"""),18.0)</f>
        <v>18</v>
      </c>
      <c r="H1014" s="77">
        <f>IFERROR(__xludf.DUMMYFUNCTION("""COMPUTED_VALUE"""),25.0)</f>
        <v>25</v>
      </c>
      <c r="I1014" s="77">
        <f>IFERROR(__xludf.DUMMYFUNCTION("""COMPUTED_VALUE"""),100.0)</f>
        <v>100</v>
      </c>
      <c r="J1014" s="73"/>
      <c r="K1014" s="73"/>
      <c r="L1014" s="73"/>
      <c r="M1014" s="77">
        <f>IFERROR(__xludf.DUMMYFUNCTION("""COMPUTED_VALUE"""),0.1)</f>
        <v>0.1</v>
      </c>
      <c r="N1014" s="77">
        <f>IFERROR(__xludf.DUMMYFUNCTION("""COMPUTED_VALUE"""),1.0)</f>
        <v>1</v>
      </c>
      <c r="O1014" s="49"/>
      <c r="P1014" s="49" t="str">
        <f>IFERROR(__xludf.DUMMYFUNCTION("""COMPUTED_VALUE"""),"Offset")</f>
        <v>Offset</v>
      </c>
      <c r="Q1014" s="49" t="str">
        <f>IFERROR(__xludf.DUMMYFUNCTION("""COMPUTED_VALUE"""),"Packaging")</f>
        <v>Packaging</v>
      </c>
      <c r="R1014" s="49" t="str">
        <f>IFERROR(__xludf.DUMMYFUNCTION("""COMPUTED_VALUE"""),"Food")</f>
        <v>Food</v>
      </c>
    </row>
    <row r="1015">
      <c r="A1015" s="156" t="str">
        <f>IFERROR(__xludf.DUMMYFUNCTION("""COMPUTED_VALUE"""),"https://drive.google.com/open?id=1O_3sh0g_XSvMgDCFr3QaNGWrPCMmR6No&amp;authuser=jay.agg%40gmail.com&amp;usp=drive_fs")</f>
        <v>https://drive.google.com/open?id=1O_3sh0g_XSvMgDCFr3QaNGWrPCMmR6No&amp;authuser=jay.agg%40gmail.com&amp;usp=drive_fs</v>
      </c>
      <c r="B1015" s="73" t="str">
        <f>IFERROR(__xludf.DUMMYFUNCTION("""COMPUTED_VALUE"""),"Food")</f>
        <v>Food</v>
      </c>
      <c r="C1015" s="73" t="str">
        <f>IFERROR(__xludf.DUMMYFUNCTION("""COMPUTED_VALUE"""),"Corn Flakes")</f>
        <v>Corn Flakes</v>
      </c>
      <c r="D1015" s="73" t="str">
        <f>IFERROR(__xludf.DUMMYFUNCTION("""COMPUTED_VALUE"""),"245*90*350 mm | 9.6*3.5*13.8 inch")</f>
        <v>245*90*350 mm | 9.6*3.5*13.8 inch</v>
      </c>
      <c r="E1015" s="77">
        <f>IFERROR(__xludf.DUMMYFUNCTION("""COMPUTED_VALUE"""),1.0)</f>
        <v>1</v>
      </c>
      <c r="F1015" s="77">
        <f>IFERROR(__xludf.DUMMYFUNCTION("""COMPUTED_VALUE"""),2029.0)</f>
        <v>2029</v>
      </c>
      <c r="G1015" s="77">
        <f>IFERROR(__xludf.DUMMYFUNCTION("""COMPUTED_VALUE"""),20.0)</f>
        <v>20</v>
      </c>
      <c r="H1015" s="77">
        <f>IFERROR(__xludf.DUMMYFUNCTION("""COMPUTED_VALUE"""),28.0)</f>
        <v>28</v>
      </c>
      <c r="I1015" s="77">
        <f>IFERROR(__xludf.DUMMYFUNCTION("""COMPUTED_VALUE"""),100.0)</f>
        <v>100</v>
      </c>
      <c r="J1015" s="73"/>
      <c r="K1015" s="73"/>
      <c r="L1015" s="73"/>
      <c r="M1015" s="77">
        <f>IFERROR(__xludf.DUMMYFUNCTION("""COMPUTED_VALUE"""),0.1)</f>
        <v>0.1</v>
      </c>
      <c r="N1015" s="77">
        <f>IFERROR(__xludf.DUMMYFUNCTION("""COMPUTED_VALUE"""),1.0)</f>
        <v>1</v>
      </c>
      <c r="O1015" s="49"/>
      <c r="P1015" s="49" t="str">
        <f>IFERROR(__xludf.DUMMYFUNCTION("""COMPUTED_VALUE"""),"Offset")</f>
        <v>Offset</v>
      </c>
      <c r="Q1015" s="49" t="str">
        <f>IFERROR(__xludf.DUMMYFUNCTION("""COMPUTED_VALUE"""),"Packaging")</f>
        <v>Packaging</v>
      </c>
      <c r="R1015" s="49" t="str">
        <f>IFERROR(__xludf.DUMMYFUNCTION("""COMPUTED_VALUE"""),"Food")</f>
        <v>Food</v>
      </c>
    </row>
    <row r="1016">
      <c r="A1016" s="156" t="str">
        <f>IFERROR(__xludf.DUMMYFUNCTION("""COMPUTED_VALUE"""),"https://drive.google.com/open?id=1OzRhqM1WSTTxUyiXmK-uo6qHSLFo1J6W&amp;authuser=jay.agg%40gmail.com&amp;usp=drive_fs")</f>
        <v>https://drive.google.com/open?id=1OzRhqM1WSTTxUyiXmK-uo6qHSLFo1J6W&amp;authuser=jay.agg%40gmail.com&amp;usp=drive_fs</v>
      </c>
      <c r="B1016" s="73" t="str">
        <f>IFERROR(__xludf.DUMMYFUNCTION("""COMPUTED_VALUE"""),"Food")</f>
        <v>Food</v>
      </c>
      <c r="C1016" s="73" t="str">
        <f>IFERROR(__xludf.DUMMYFUNCTION("""COMPUTED_VALUE"""),"Cookies")</f>
        <v>Cookies</v>
      </c>
      <c r="D1016" s="73" t="str">
        <f>IFERROR(__xludf.DUMMYFUNCTION("""COMPUTED_VALUE"""),"60*60*130 mm | 2.3*2.3*5.1 inch")</f>
        <v>60*60*130 mm | 2.3*2.3*5.1 inch</v>
      </c>
      <c r="E1016" s="77">
        <f>IFERROR(__xludf.DUMMYFUNCTION("""COMPUTED_VALUE"""),6.0)</f>
        <v>6</v>
      </c>
      <c r="F1016" s="77">
        <f>IFERROR(__xludf.DUMMYFUNCTION("""COMPUTED_VALUE"""),2029.0)</f>
        <v>2029</v>
      </c>
      <c r="G1016" s="77">
        <f>IFERROR(__xludf.DUMMYFUNCTION("""COMPUTED_VALUE"""),20.0)</f>
        <v>20</v>
      </c>
      <c r="H1016" s="77">
        <f>IFERROR(__xludf.DUMMYFUNCTION("""COMPUTED_VALUE"""),28.0)</f>
        <v>28</v>
      </c>
      <c r="I1016" s="77">
        <f>IFERROR(__xludf.DUMMYFUNCTION("""COMPUTED_VALUE"""),100.0)</f>
        <v>100</v>
      </c>
      <c r="J1016" s="73"/>
      <c r="K1016" s="73"/>
      <c r="L1016" s="73"/>
      <c r="M1016" s="77">
        <f>IFERROR(__xludf.DUMMYFUNCTION("""COMPUTED_VALUE"""),0.1)</f>
        <v>0.1</v>
      </c>
      <c r="N1016" s="77">
        <f>IFERROR(__xludf.DUMMYFUNCTION("""COMPUTED_VALUE"""),1.0)</f>
        <v>1</v>
      </c>
      <c r="O1016" s="49"/>
      <c r="P1016" s="49" t="str">
        <f>IFERROR(__xludf.DUMMYFUNCTION("""COMPUTED_VALUE"""),"Offset")</f>
        <v>Offset</v>
      </c>
      <c r="Q1016" s="49" t="str">
        <f>IFERROR(__xludf.DUMMYFUNCTION("""COMPUTED_VALUE"""),"Packaging")</f>
        <v>Packaging</v>
      </c>
      <c r="R1016" s="49" t="str">
        <f>IFERROR(__xludf.DUMMYFUNCTION("""COMPUTED_VALUE"""),"Food")</f>
        <v>Food</v>
      </c>
    </row>
    <row r="1017">
      <c r="A1017" s="156" t="str">
        <f>IFERROR(__xludf.DUMMYFUNCTION("""COMPUTED_VALUE"""),"https://drive.google.com/open?id=1Oo0o_Uf6_P3cO3tp05t4Mu8X7X5OlgLf&amp;authuser=jay.agg%40gmail.com&amp;usp=drive_fs")</f>
        <v>https://drive.google.com/open?id=1Oo0o_Uf6_P3cO3tp05t4Mu8X7X5OlgLf&amp;authuser=jay.agg%40gmail.com&amp;usp=drive_fs</v>
      </c>
      <c r="B1017" s="73" t="str">
        <f>IFERROR(__xludf.DUMMYFUNCTION("""COMPUTED_VALUE"""),"Food")</f>
        <v>Food</v>
      </c>
      <c r="C1017" s="73" t="str">
        <f>IFERROR(__xludf.DUMMYFUNCTION("""COMPUTED_VALUE"""),"Chocolate")</f>
        <v>Chocolate</v>
      </c>
      <c r="D1017" s="73" t="str">
        <f>IFERROR(__xludf.DUMMYFUNCTION("""COMPUTED_VALUE"""),"230*230*60 mm | 9*9*2.3 inch")</f>
        <v>230*230*60 mm | 9*9*2.3 inch</v>
      </c>
      <c r="E1017" s="77">
        <f>IFERROR(__xludf.DUMMYFUNCTION("""COMPUTED_VALUE"""),1.0)</f>
        <v>1</v>
      </c>
      <c r="F1017" s="77">
        <f>IFERROR(__xludf.DUMMYFUNCTION("""COMPUTED_VALUE"""),1926.0)</f>
        <v>1926</v>
      </c>
      <c r="G1017" s="77">
        <f>IFERROR(__xludf.DUMMYFUNCTION("""COMPUTED_VALUE"""),15.0)</f>
        <v>15</v>
      </c>
      <c r="H1017" s="77">
        <f>IFERROR(__xludf.DUMMYFUNCTION("""COMPUTED_VALUE"""),25.0)</f>
        <v>25</v>
      </c>
      <c r="I1017" s="77">
        <f>IFERROR(__xludf.DUMMYFUNCTION("""COMPUTED_VALUE"""),100.0)</f>
        <v>100</v>
      </c>
      <c r="J1017" s="73"/>
      <c r="K1017" s="73"/>
      <c r="L1017" s="73"/>
      <c r="M1017" s="77">
        <f>IFERROR(__xludf.DUMMYFUNCTION("""COMPUTED_VALUE"""),0.12)</f>
        <v>0.12</v>
      </c>
      <c r="N1017" s="77">
        <f>IFERROR(__xludf.DUMMYFUNCTION("""COMPUTED_VALUE"""),1.0)</f>
        <v>1</v>
      </c>
      <c r="O1017" s="49"/>
      <c r="P1017" s="49" t="str">
        <f>IFERROR(__xludf.DUMMYFUNCTION("""COMPUTED_VALUE"""),"Offset")</f>
        <v>Offset</v>
      </c>
      <c r="Q1017" s="49" t="str">
        <f>IFERROR(__xludf.DUMMYFUNCTION("""COMPUTED_VALUE"""),"Packaging")</f>
        <v>Packaging</v>
      </c>
      <c r="R1017" s="49" t="str">
        <f>IFERROR(__xludf.DUMMYFUNCTION("""COMPUTED_VALUE"""),"Food")</f>
        <v>Food</v>
      </c>
    </row>
    <row r="1018">
      <c r="A1018" s="156" t="str">
        <f>IFERROR(__xludf.DUMMYFUNCTION("""COMPUTED_VALUE"""),"https://drive.google.com/open?id=1PI4Qj-_AjnweI9SrJuQ8sE4p2KI5ldj8&amp;authuser=jay.agg%40gmail.com&amp;usp=drive_fs")</f>
        <v>https://drive.google.com/open?id=1PI4Qj-_AjnweI9SrJuQ8sE4p2KI5ldj8&amp;authuser=jay.agg%40gmail.com&amp;usp=drive_fs</v>
      </c>
      <c r="B1018" s="73" t="str">
        <f>IFERROR(__xludf.DUMMYFUNCTION("""COMPUTED_VALUE"""),"Food")</f>
        <v>Food</v>
      </c>
      <c r="C1018" s="73" t="str">
        <f>IFERROR(__xludf.DUMMYFUNCTION("""COMPUTED_VALUE"""),"Misc")</f>
        <v>Misc</v>
      </c>
      <c r="D1018" s="73" t="str">
        <f>IFERROR(__xludf.DUMMYFUNCTION("""COMPUTED_VALUE"""),"140*55*215 mm | 5.5*2.1*8.5 inch")</f>
        <v>140*55*215 mm | 5.5*2.1*8.5 inch</v>
      </c>
      <c r="E1018" s="77">
        <f>IFERROR(__xludf.DUMMYFUNCTION("""COMPUTED_VALUE"""),2.0)</f>
        <v>2</v>
      </c>
      <c r="F1018" s="77">
        <f>IFERROR(__xludf.DUMMYFUNCTION("""COMPUTED_VALUE"""),1926.0)</f>
        <v>1926</v>
      </c>
      <c r="G1018" s="77">
        <f>IFERROR(__xludf.DUMMYFUNCTION("""COMPUTED_VALUE"""),18.0)</f>
        <v>18</v>
      </c>
      <c r="H1018" s="77">
        <f>IFERROR(__xludf.DUMMYFUNCTION("""COMPUTED_VALUE"""),23.0)</f>
        <v>23</v>
      </c>
      <c r="I1018" s="77">
        <f>IFERROR(__xludf.DUMMYFUNCTION("""COMPUTED_VALUE"""),100.0)</f>
        <v>100</v>
      </c>
      <c r="J1018" s="73"/>
      <c r="K1018" s="73"/>
      <c r="L1018" s="73"/>
      <c r="M1018" s="77">
        <f>IFERROR(__xludf.DUMMYFUNCTION("""COMPUTED_VALUE"""),0.1)</f>
        <v>0.1</v>
      </c>
      <c r="N1018" s="77">
        <f>IFERROR(__xludf.DUMMYFUNCTION("""COMPUTED_VALUE"""),1.0)</f>
        <v>1</v>
      </c>
      <c r="O1018" s="49"/>
      <c r="P1018" s="49" t="str">
        <f>IFERROR(__xludf.DUMMYFUNCTION("""COMPUTED_VALUE"""),"Offset")</f>
        <v>Offset</v>
      </c>
      <c r="Q1018" s="49" t="str">
        <f>IFERROR(__xludf.DUMMYFUNCTION("""COMPUTED_VALUE"""),"Packaging")</f>
        <v>Packaging</v>
      </c>
      <c r="R1018" s="49" t="str">
        <f>IFERROR(__xludf.DUMMYFUNCTION("""COMPUTED_VALUE"""),"Food")</f>
        <v>Food</v>
      </c>
    </row>
    <row r="1019">
      <c r="A1019" s="156" t="str">
        <f>IFERROR(__xludf.DUMMYFUNCTION("""COMPUTED_VALUE"""),"https://drive.google.com/open?id=1PP_neZsWA5cyLtoIgy7kH8o3NIYpT0kG&amp;authuser=jay.agg%40gmail.com&amp;usp=drive_fs")</f>
        <v>https://drive.google.com/open?id=1PP_neZsWA5cyLtoIgy7kH8o3NIYpT0kG&amp;authuser=jay.agg%40gmail.com&amp;usp=drive_fs</v>
      </c>
      <c r="B1019" s="73" t="str">
        <f>IFERROR(__xludf.DUMMYFUNCTION("""COMPUTED_VALUE"""),"Food")</f>
        <v>Food</v>
      </c>
      <c r="C1019" s="73" t="str">
        <f>IFERROR(__xludf.DUMMYFUNCTION("""COMPUTED_VALUE"""),"Misc")</f>
        <v>Misc</v>
      </c>
      <c r="D1019" s="73" t="str">
        <f>IFERROR(__xludf.DUMMYFUNCTION("""COMPUTED_VALUE"""),"115*55*180 mm | 4.5*2.1*7 inch")</f>
        <v>115*55*180 mm | 4.5*2.1*7 inch</v>
      </c>
      <c r="E1019" s="77">
        <f>IFERROR(__xludf.DUMMYFUNCTION("""COMPUTED_VALUE"""),2.0)</f>
        <v>2</v>
      </c>
      <c r="F1019" s="77">
        <f>IFERROR(__xludf.DUMMYFUNCTION("""COMPUTED_VALUE"""),1926.0)</f>
        <v>1926</v>
      </c>
      <c r="G1019" s="77">
        <f>IFERROR(__xludf.DUMMYFUNCTION("""COMPUTED_VALUE"""),14.0)</f>
        <v>14</v>
      </c>
      <c r="H1019" s="77">
        <f>IFERROR(__xludf.DUMMYFUNCTION("""COMPUTED_VALUE"""),22.0)</f>
        <v>22</v>
      </c>
      <c r="I1019" s="77">
        <f>IFERROR(__xludf.DUMMYFUNCTION("""COMPUTED_VALUE"""),100.0)</f>
        <v>100</v>
      </c>
      <c r="J1019" s="73"/>
      <c r="K1019" s="73"/>
      <c r="L1019" s="73"/>
      <c r="M1019" s="77">
        <f>IFERROR(__xludf.DUMMYFUNCTION("""COMPUTED_VALUE"""),0.1)</f>
        <v>0.1</v>
      </c>
      <c r="N1019" s="77">
        <f>IFERROR(__xludf.DUMMYFUNCTION("""COMPUTED_VALUE"""),1.0)</f>
        <v>1</v>
      </c>
      <c r="O1019" s="49"/>
      <c r="P1019" s="49" t="str">
        <f>IFERROR(__xludf.DUMMYFUNCTION("""COMPUTED_VALUE"""),"Offset")</f>
        <v>Offset</v>
      </c>
      <c r="Q1019" s="49" t="str">
        <f>IFERROR(__xludf.DUMMYFUNCTION("""COMPUTED_VALUE"""),"Packaging")</f>
        <v>Packaging</v>
      </c>
      <c r="R1019" s="49" t="str">
        <f>IFERROR(__xludf.DUMMYFUNCTION("""COMPUTED_VALUE"""),"Food")</f>
        <v>Food</v>
      </c>
    </row>
    <row r="1020">
      <c r="A1020" s="156" t="str">
        <f>IFERROR(__xludf.DUMMYFUNCTION("""COMPUTED_VALUE"""),"https://drive.google.com/open?id=1SB1fkOosvR_f90I2hjw3Mt7nTCrWfKpN&amp;authuser=jay.agg%40gmail.com&amp;usp=drive_fs")</f>
        <v>https://drive.google.com/open?id=1SB1fkOosvR_f90I2hjw3Mt7nTCrWfKpN&amp;authuser=jay.agg%40gmail.com&amp;usp=drive_fs</v>
      </c>
      <c r="B1020" s="73" t="str">
        <f>IFERROR(__xludf.DUMMYFUNCTION("""COMPUTED_VALUE"""),"Food")</f>
        <v>Food</v>
      </c>
      <c r="C1020" s="73" t="str">
        <f>IFERROR(__xludf.DUMMYFUNCTION("""COMPUTED_VALUE"""),"Pizza")</f>
        <v>Pizza</v>
      </c>
      <c r="D1020" s="73" t="str">
        <f>IFERROR(__xludf.DUMMYFUNCTION("""COMPUTED_VALUE"""),"67*35*100 mm | 2.6*1.4*3.9 inch")</f>
        <v>67*35*100 mm | 2.6*1.4*3.9 inch</v>
      </c>
      <c r="E1020" s="77">
        <f>IFERROR(__xludf.DUMMYFUNCTION("""COMPUTED_VALUE"""),8.0)</f>
        <v>8</v>
      </c>
      <c r="F1020" s="77">
        <f>IFERROR(__xludf.DUMMYFUNCTION("""COMPUTED_VALUE"""),2029.0)</f>
        <v>2029</v>
      </c>
      <c r="G1020" s="77">
        <f>IFERROR(__xludf.DUMMYFUNCTION("""COMPUTED_VALUE"""),19.0)</f>
        <v>19</v>
      </c>
      <c r="H1020" s="77">
        <f>IFERROR(__xludf.DUMMYFUNCTION("""COMPUTED_VALUE"""),26.0)</f>
        <v>26</v>
      </c>
      <c r="I1020" s="77">
        <f>IFERROR(__xludf.DUMMYFUNCTION("""COMPUTED_VALUE"""),100.0)</f>
        <v>100</v>
      </c>
      <c r="J1020" s="73"/>
      <c r="K1020" s="73"/>
      <c r="L1020" s="73"/>
      <c r="M1020" s="77">
        <f>IFERROR(__xludf.DUMMYFUNCTION("""COMPUTED_VALUE"""),0.1)</f>
        <v>0.1</v>
      </c>
      <c r="N1020" s="77">
        <f>IFERROR(__xludf.DUMMYFUNCTION("""COMPUTED_VALUE"""),1.0)</f>
        <v>1</v>
      </c>
      <c r="O1020" s="49"/>
      <c r="P1020" s="49" t="str">
        <f>IFERROR(__xludf.DUMMYFUNCTION("""COMPUTED_VALUE"""),"Offset")</f>
        <v>Offset</v>
      </c>
      <c r="Q1020" s="49" t="str">
        <f>IFERROR(__xludf.DUMMYFUNCTION("""COMPUTED_VALUE"""),"Packaging")</f>
        <v>Packaging</v>
      </c>
      <c r="R1020" s="49" t="str">
        <f>IFERROR(__xludf.DUMMYFUNCTION("""COMPUTED_VALUE"""),"Food")</f>
        <v>Food</v>
      </c>
    </row>
    <row r="1021">
      <c r="A1021" s="156" t="str">
        <f>IFERROR(__xludf.DUMMYFUNCTION("""COMPUTED_VALUE"""),"https://drive.google.com/open?id=1TKLWete5--55wBRFs3xveb5fDxiB-I4-&amp;authuser=jay.agg%40gmail.com&amp;usp=drive_fs")</f>
        <v>https://drive.google.com/open?id=1TKLWete5--55wBRFs3xveb5fDxiB-I4-&amp;authuser=jay.agg%40gmail.com&amp;usp=drive_fs</v>
      </c>
      <c r="B1021" s="73" t="str">
        <f>IFERROR(__xludf.DUMMYFUNCTION("""COMPUTED_VALUE"""),"Food")</f>
        <v>Food</v>
      </c>
      <c r="C1021" s="73" t="str">
        <f>IFERROR(__xludf.DUMMYFUNCTION("""COMPUTED_VALUE"""),"Misc")</f>
        <v>Misc</v>
      </c>
      <c r="D1021" s="73" t="str">
        <f>IFERROR(__xludf.DUMMYFUNCTION("""COMPUTED_VALUE"""),"127*38*165 mm | 5*1.5*6.5 inch")</f>
        <v>127*38*165 mm | 5*1.5*6.5 inch</v>
      </c>
      <c r="E1021" s="77">
        <f>IFERROR(__xludf.DUMMYFUNCTION("""COMPUTED_VALUE"""),2.0)</f>
        <v>2</v>
      </c>
      <c r="F1021" s="77">
        <f>IFERROR(__xludf.DUMMYFUNCTION("""COMPUTED_VALUE"""),1926.0)</f>
        <v>1926</v>
      </c>
      <c r="G1021" s="77">
        <f>IFERROR(__xludf.DUMMYFUNCTION("""COMPUTED_VALUE"""),14.0)</f>
        <v>14</v>
      </c>
      <c r="H1021" s="77">
        <f>IFERROR(__xludf.DUMMYFUNCTION("""COMPUTED_VALUE"""),19.0)</f>
        <v>19</v>
      </c>
      <c r="I1021" s="77">
        <f>IFERROR(__xludf.DUMMYFUNCTION("""COMPUTED_VALUE"""),100.0)</f>
        <v>100</v>
      </c>
      <c r="J1021" s="73"/>
      <c r="K1021" s="73"/>
      <c r="L1021" s="73"/>
      <c r="M1021" s="77">
        <f>IFERROR(__xludf.DUMMYFUNCTION("""COMPUTED_VALUE"""),0.1)</f>
        <v>0.1</v>
      </c>
      <c r="N1021" s="77">
        <f>IFERROR(__xludf.DUMMYFUNCTION("""COMPUTED_VALUE"""),1.0)</f>
        <v>1</v>
      </c>
      <c r="O1021" s="49"/>
      <c r="P1021" s="49" t="str">
        <f>IFERROR(__xludf.DUMMYFUNCTION("""COMPUTED_VALUE"""),"Offset")</f>
        <v>Offset</v>
      </c>
      <c r="Q1021" s="49" t="str">
        <f>IFERROR(__xludf.DUMMYFUNCTION("""COMPUTED_VALUE"""),"Packaging")</f>
        <v>Packaging</v>
      </c>
      <c r="R1021" s="49" t="str">
        <f>IFERROR(__xludf.DUMMYFUNCTION("""COMPUTED_VALUE"""),"Food")</f>
        <v>Food</v>
      </c>
    </row>
    <row r="1022">
      <c r="A1022" s="156" t="str">
        <f>IFERROR(__xludf.DUMMYFUNCTION("""COMPUTED_VALUE"""),"https://drive.google.com/open?id=1TQZw00wR5JvWtj5NG5OjZK3sXFWuSHo8&amp;authuser=jay.agg%40gmail.com&amp;usp=drive_fs")</f>
        <v>https://drive.google.com/open?id=1TQZw00wR5JvWtj5NG5OjZK3sXFWuSHo8&amp;authuser=jay.agg%40gmail.com&amp;usp=drive_fs</v>
      </c>
      <c r="B1022" s="73" t="str">
        <f>IFERROR(__xludf.DUMMYFUNCTION("""COMPUTED_VALUE"""),"Food")</f>
        <v>Food</v>
      </c>
      <c r="C1022" s="73" t="str">
        <f>IFERROR(__xludf.DUMMYFUNCTION("""COMPUTED_VALUE"""),"Misc")</f>
        <v>Misc</v>
      </c>
      <c r="D1022" s="73" t="str">
        <f>IFERROR(__xludf.DUMMYFUNCTION("""COMPUTED_VALUE"""),"Food 90*38*140 mm | 3.5*1.5*5.5 inch")</f>
        <v>Food 90*38*140 mm | 3.5*1.5*5.5 inch</v>
      </c>
      <c r="E1022" s="77">
        <f>IFERROR(__xludf.DUMMYFUNCTION("""COMPUTED_VALUE"""),4.0)</f>
        <v>4</v>
      </c>
      <c r="F1022" s="77">
        <f>IFERROR(__xludf.DUMMYFUNCTION("""COMPUTED_VALUE"""),1926.0)</f>
        <v>1926</v>
      </c>
      <c r="G1022" s="77">
        <f>IFERROR(__xludf.DUMMYFUNCTION("""COMPUTED_VALUE"""),18.0)</f>
        <v>18</v>
      </c>
      <c r="H1022" s="77">
        <f>IFERROR(__xludf.DUMMYFUNCTION("""COMPUTED_VALUE"""),23.0)</f>
        <v>23</v>
      </c>
      <c r="I1022" s="77">
        <f>IFERROR(__xludf.DUMMYFUNCTION("""COMPUTED_VALUE"""),100.0)</f>
        <v>100</v>
      </c>
      <c r="J1022" s="73"/>
      <c r="K1022" s="73"/>
      <c r="L1022" s="73"/>
      <c r="M1022" s="77">
        <f>IFERROR(__xludf.DUMMYFUNCTION("""COMPUTED_VALUE"""),0.1)</f>
        <v>0.1</v>
      </c>
      <c r="N1022" s="77">
        <f>IFERROR(__xludf.DUMMYFUNCTION("""COMPUTED_VALUE"""),1.0)</f>
        <v>1</v>
      </c>
      <c r="O1022" s="49"/>
      <c r="P1022" s="49" t="str">
        <f>IFERROR(__xludf.DUMMYFUNCTION("""COMPUTED_VALUE"""),"Offset")</f>
        <v>Offset</v>
      </c>
      <c r="Q1022" s="49" t="str">
        <f>IFERROR(__xludf.DUMMYFUNCTION("""COMPUTED_VALUE"""),"Packaging")</f>
        <v>Packaging</v>
      </c>
      <c r="R1022" s="49" t="str">
        <f>IFERROR(__xludf.DUMMYFUNCTION("""COMPUTED_VALUE"""),"Food")</f>
        <v>Food</v>
      </c>
    </row>
    <row r="1023">
      <c r="A1023" s="156" t="str">
        <f>IFERROR(__xludf.DUMMYFUNCTION("""COMPUTED_VALUE"""),"https://drive.google.com/open?id=1X5PjIAZXIE8xlRMRcdx9A7o928ykZfZe&amp;authuser=jay.agg%40gmail.com&amp;usp=drive_fs")</f>
        <v>https://drive.google.com/open?id=1X5PjIAZXIE8xlRMRcdx9A7o928ykZfZe&amp;authuser=jay.agg%40gmail.com&amp;usp=drive_fs</v>
      </c>
      <c r="B1023" s="73" t="str">
        <f>IFERROR(__xludf.DUMMYFUNCTION("""COMPUTED_VALUE"""),"Food")</f>
        <v>Food</v>
      </c>
      <c r="C1023" s="73" t="str">
        <f>IFERROR(__xludf.DUMMYFUNCTION("""COMPUTED_VALUE"""),"Dog Food")</f>
        <v>Dog Food</v>
      </c>
      <c r="D1023" s="73" t="str">
        <f>IFERROR(__xludf.DUMMYFUNCTION("""COMPUTED_VALUE"""),"178*76*254 mm | 7*3*10 inch")</f>
        <v>178*76*254 mm | 7*3*10 inch</v>
      </c>
      <c r="E1023" s="77">
        <f>IFERROR(__xludf.DUMMYFUNCTION("""COMPUTED_VALUE"""),1.0)</f>
        <v>1</v>
      </c>
      <c r="F1023" s="77">
        <f>IFERROR(__xludf.DUMMYFUNCTION("""COMPUTED_VALUE"""),1926.0)</f>
        <v>1926</v>
      </c>
      <c r="G1023" s="77">
        <f>IFERROR(__xludf.DUMMYFUNCTION("""COMPUTED_VALUE"""),15.75)</f>
        <v>15.75</v>
      </c>
      <c r="H1023" s="77">
        <f>IFERROR(__xludf.DUMMYFUNCTION("""COMPUTED_VALUE"""),20.75)</f>
        <v>20.75</v>
      </c>
      <c r="I1023" s="77">
        <f>IFERROR(__xludf.DUMMYFUNCTION("""COMPUTED_VALUE"""),100.0)</f>
        <v>100</v>
      </c>
      <c r="J1023" s="73"/>
      <c r="K1023" s="73"/>
      <c r="L1023" s="73"/>
      <c r="M1023" s="77">
        <f>IFERROR(__xludf.DUMMYFUNCTION("""COMPUTED_VALUE"""),0.1)</f>
        <v>0.1</v>
      </c>
      <c r="N1023" s="77">
        <f>IFERROR(__xludf.DUMMYFUNCTION("""COMPUTED_VALUE"""),1.0)</f>
        <v>1</v>
      </c>
      <c r="O1023" s="49"/>
      <c r="P1023" s="49" t="str">
        <f>IFERROR(__xludf.DUMMYFUNCTION("""COMPUTED_VALUE"""),"Offset")</f>
        <v>Offset</v>
      </c>
      <c r="Q1023" s="49" t="str">
        <f>IFERROR(__xludf.DUMMYFUNCTION("""COMPUTED_VALUE"""),"Packaging")</f>
        <v>Packaging</v>
      </c>
      <c r="R1023" s="49" t="str">
        <f>IFERROR(__xludf.DUMMYFUNCTION("""COMPUTED_VALUE"""),"Food")</f>
        <v>Food</v>
      </c>
    </row>
    <row r="1024">
      <c r="A1024" s="156" t="str">
        <f>IFERROR(__xludf.DUMMYFUNCTION("""COMPUTED_VALUE"""),"https://drive.google.com/open?id=1XRdxqvruzscLoyb9QY96v6kTiDz1KoV1&amp;authuser=jay.agg%40gmail.com&amp;usp=drive_fs")</f>
        <v>https://drive.google.com/open?id=1XRdxqvruzscLoyb9QY96v6kTiDz1KoV1&amp;authuser=jay.agg%40gmail.com&amp;usp=drive_fs</v>
      </c>
      <c r="B1024" s="73" t="str">
        <f>IFERROR(__xludf.DUMMYFUNCTION("""COMPUTED_VALUE"""),"Food")</f>
        <v>Food</v>
      </c>
      <c r="C1024" s="73" t="str">
        <f>IFERROR(__xludf.DUMMYFUNCTION("""COMPUTED_VALUE"""),"Dosa")</f>
        <v>Dosa</v>
      </c>
      <c r="D1024" s="73" t="str">
        <f>IFERROR(__xludf.DUMMYFUNCTION("""COMPUTED_VALUE"""),"Dosa 220*130*50 mm | 9*5.1*2 inch")</f>
        <v>Dosa 220*130*50 mm | 9*5.1*2 inch</v>
      </c>
      <c r="E1024" s="77">
        <f>IFERROR(__xludf.DUMMYFUNCTION("""COMPUTED_VALUE"""),1.0)</f>
        <v>1</v>
      </c>
      <c r="F1024" s="77">
        <f>IFERROR(__xludf.DUMMYFUNCTION("""COMPUTED_VALUE"""),1926.0)</f>
        <v>1926</v>
      </c>
      <c r="G1024" s="77">
        <f>IFERROR(__xludf.DUMMYFUNCTION("""COMPUTED_VALUE"""),13.7)</f>
        <v>13.7</v>
      </c>
      <c r="H1024" s="77">
        <f>IFERROR(__xludf.DUMMYFUNCTION("""COMPUTED_VALUE"""),15.75)</f>
        <v>15.75</v>
      </c>
      <c r="I1024" s="77">
        <f>IFERROR(__xludf.DUMMYFUNCTION("""COMPUTED_VALUE"""),100.0)</f>
        <v>100</v>
      </c>
      <c r="J1024" s="73"/>
      <c r="K1024" s="73"/>
      <c r="L1024" s="73"/>
      <c r="M1024" s="77">
        <f>IFERROR(__xludf.DUMMYFUNCTION("""COMPUTED_VALUE"""),0.1)</f>
        <v>0.1</v>
      </c>
      <c r="N1024" s="77">
        <f>IFERROR(__xludf.DUMMYFUNCTION("""COMPUTED_VALUE"""),1.0)</f>
        <v>1</v>
      </c>
      <c r="O1024" s="49"/>
      <c r="P1024" s="49" t="str">
        <f>IFERROR(__xludf.DUMMYFUNCTION("""COMPUTED_VALUE"""),"Offset")</f>
        <v>Offset</v>
      </c>
      <c r="Q1024" s="49" t="str">
        <f>IFERROR(__xludf.DUMMYFUNCTION("""COMPUTED_VALUE"""),"Packaging")</f>
        <v>Packaging</v>
      </c>
      <c r="R1024" s="49" t="str">
        <f>IFERROR(__xludf.DUMMYFUNCTION("""COMPUTED_VALUE"""),"Food")</f>
        <v>Food</v>
      </c>
    </row>
    <row r="1025">
      <c r="A1025" s="156" t="str">
        <f>IFERROR(__xludf.DUMMYFUNCTION("""COMPUTED_VALUE"""),"https://drive.google.com/open?id=1_aW6Kpq_ImJfWMyFKdVseB6BTAdKY3Mg&amp;authuser=jay.agg%40gmail.com&amp;usp=drive_fs")</f>
        <v>https://drive.google.com/open?id=1_aW6Kpq_ImJfWMyFKdVseB6BTAdKY3Mg&amp;authuser=jay.agg%40gmail.com&amp;usp=drive_fs</v>
      </c>
      <c r="B1025" s="73" t="str">
        <f>IFERROR(__xludf.DUMMYFUNCTION("""COMPUTED_VALUE"""),"Food")</f>
        <v>Food</v>
      </c>
      <c r="C1025" s="73" t="str">
        <f>IFERROR(__xludf.DUMMYFUNCTION("""COMPUTED_VALUE"""),"Butter")</f>
        <v>Butter</v>
      </c>
      <c r="D1025" s="73" t="str">
        <f>IFERROR(__xludf.DUMMYFUNCTION("""COMPUTED_VALUE"""),"1kg 115*90*165 mm | 4.5*3.5*6.5 inch")</f>
        <v>1kg 115*90*165 mm | 4.5*3.5*6.5 inch</v>
      </c>
      <c r="E1025" s="77">
        <f>IFERROR(__xludf.DUMMYFUNCTION("""COMPUTED_VALUE"""),2.0)</f>
        <v>2</v>
      </c>
      <c r="F1025" s="77">
        <f>IFERROR(__xludf.DUMMYFUNCTION("""COMPUTED_VALUE"""),1926.0)</f>
        <v>1926</v>
      </c>
      <c r="G1025" s="77">
        <f>IFERROR(__xludf.DUMMYFUNCTION("""COMPUTED_VALUE"""),19.0)</f>
        <v>19</v>
      </c>
      <c r="H1025" s="77">
        <f>IFERROR(__xludf.DUMMYFUNCTION("""COMPUTED_VALUE"""),26.0)</f>
        <v>26</v>
      </c>
      <c r="I1025" s="77">
        <f>IFERROR(__xludf.DUMMYFUNCTION("""COMPUTED_VALUE"""),100.0)</f>
        <v>100</v>
      </c>
      <c r="J1025" s="73"/>
      <c r="K1025" s="73"/>
      <c r="L1025" s="73"/>
      <c r="M1025" s="77">
        <f>IFERROR(__xludf.DUMMYFUNCTION("""COMPUTED_VALUE"""),0.1)</f>
        <v>0.1</v>
      </c>
      <c r="N1025" s="77">
        <f>IFERROR(__xludf.DUMMYFUNCTION("""COMPUTED_VALUE"""),1.0)</f>
        <v>1</v>
      </c>
      <c r="O1025" s="49"/>
      <c r="P1025" s="49" t="str">
        <f>IFERROR(__xludf.DUMMYFUNCTION("""COMPUTED_VALUE"""),"Offset")</f>
        <v>Offset</v>
      </c>
      <c r="Q1025" s="49" t="str">
        <f>IFERROR(__xludf.DUMMYFUNCTION("""COMPUTED_VALUE"""),"Packaging")</f>
        <v>Packaging</v>
      </c>
      <c r="R1025" s="49" t="str">
        <f>IFERROR(__xludf.DUMMYFUNCTION("""COMPUTED_VALUE"""),"Food")</f>
        <v>Food</v>
      </c>
    </row>
    <row r="1026">
      <c r="A1026" s="156" t="str">
        <f>IFERROR(__xludf.DUMMYFUNCTION("""COMPUTED_VALUE"""),"https://drive.google.com/open?id=12FIiLxoPpTrdQa5g9hjGPxPQQzXqY7NY&amp;authuser=jay.agg%40gmail.com&amp;usp=drive_fs")</f>
        <v>https://drive.google.com/open?id=12FIiLxoPpTrdQa5g9hjGPxPQQzXqY7NY&amp;authuser=jay.agg%40gmail.com&amp;usp=drive_fs</v>
      </c>
      <c r="B1026" s="73" t="str">
        <f>IFERROR(__xludf.DUMMYFUNCTION("""COMPUTED_VALUE"""),"Food")</f>
        <v>Food</v>
      </c>
      <c r="C1026" s="73" t="str">
        <f>IFERROR(__xludf.DUMMYFUNCTION("""COMPUTED_VALUE"""),"Fast Food")</f>
        <v>Fast Food</v>
      </c>
      <c r="D1026" s="73" t="str">
        <f>IFERROR(__xludf.DUMMYFUNCTION("""COMPUTED_VALUE"""),"Shawrama 115*115*420 mm | 4.5*4.5*16.5 inch")</f>
        <v>Shawrama 115*115*420 mm | 4.5*4.5*16.5 inch</v>
      </c>
      <c r="E1026" s="77">
        <f>IFERROR(__xludf.DUMMYFUNCTION("""COMPUTED_VALUE"""),1.0)</f>
        <v>1</v>
      </c>
      <c r="F1026" s="77">
        <f>IFERROR(__xludf.DUMMYFUNCTION("""COMPUTED_VALUE"""),2029.0)</f>
        <v>2029</v>
      </c>
      <c r="G1026" s="77">
        <f>IFERROR(__xludf.DUMMYFUNCTION("""COMPUTED_VALUE"""),19.0)</f>
        <v>19</v>
      </c>
      <c r="H1026" s="77">
        <f>IFERROR(__xludf.DUMMYFUNCTION("""COMPUTED_VALUE"""),28.0)</f>
        <v>28</v>
      </c>
      <c r="I1026" s="77">
        <f>IFERROR(__xludf.DUMMYFUNCTION("""COMPUTED_VALUE"""),100.0)</f>
        <v>100</v>
      </c>
      <c r="J1026" s="73"/>
      <c r="K1026" s="73"/>
      <c r="L1026" s="73"/>
      <c r="M1026" s="77">
        <f>IFERROR(__xludf.DUMMYFUNCTION("""COMPUTED_VALUE"""),0.1)</f>
        <v>0.1</v>
      </c>
      <c r="N1026" s="77">
        <f>IFERROR(__xludf.DUMMYFUNCTION("""COMPUTED_VALUE"""),1.0)</f>
        <v>1</v>
      </c>
      <c r="O1026" s="49"/>
      <c r="P1026" s="49" t="str">
        <f>IFERROR(__xludf.DUMMYFUNCTION("""COMPUTED_VALUE"""),"Offset")</f>
        <v>Offset</v>
      </c>
      <c r="Q1026" s="49" t="str">
        <f>IFERROR(__xludf.DUMMYFUNCTION("""COMPUTED_VALUE"""),"Packaging")</f>
        <v>Packaging</v>
      </c>
      <c r="R1026" s="49" t="str">
        <f>IFERROR(__xludf.DUMMYFUNCTION("""COMPUTED_VALUE"""),"Food")</f>
        <v>Food</v>
      </c>
    </row>
    <row r="1027">
      <c r="A1027" s="156" t="str">
        <f>IFERROR(__xludf.DUMMYFUNCTION("""COMPUTED_VALUE"""),"https://drive.google.com/open?id=17Cs2gXrf0bk_owVb5U8fSdi86T1r_Le4&amp;authuser=jay.agg%40gmail.com&amp;usp=drive_fs")</f>
        <v>https://drive.google.com/open?id=17Cs2gXrf0bk_owVb5U8fSdi86T1r_Le4&amp;authuser=jay.agg%40gmail.com&amp;usp=drive_fs</v>
      </c>
      <c r="B1027" s="73" t="str">
        <f>IFERROR(__xludf.DUMMYFUNCTION("""COMPUTED_VALUE"""),"Food")</f>
        <v>Food</v>
      </c>
      <c r="C1027" s="73" t="str">
        <f>IFERROR(__xludf.DUMMYFUNCTION("""COMPUTED_VALUE"""),"Rusk")</f>
        <v>Rusk</v>
      </c>
      <c r="D1027" s="73" t="str">
        <f>IFERROR(__xludf.DUMMYFUNCTION("""COMPUTED_VALUE"""),"170*116*270 mm | 6.7*4.6*10.6 inch")</f>
        <v>170*116*270 mm | 6.7*4.6*10.6 inch</v>
      </c>
      <c r="E1027" s="77">
        <f>IFERROR(__xludf.DUMMYFUNCTION("""COMPUTED_VALUE"""),1.0)</f>
        <v>1</v>
      </c>
      <c r="F1027" s="77">
        <f>IFERROR(__xludf.DUMMYFUNCTION("""COMPUTED_VALUE"""),2029.0)</f>
        <v>2029</v>
      </c>
      <c r="G1027" s="77">
        <f>IFERROR(__xludf.DUMMYFUNCTION("""COMPUTED_VALUE"""),19.5)</f>
        <v>19.5</v>
      </c>
      <c r="H1027" s="77">
        <f>IFERROR(__xludf.DUMMYFUNCTION("""COMPUTED_VALUE"""),23.0)</f>
        <v>23</v>
      </c>
      <c r="I1027" s="77">
        <f>IFERROR(__xludf.DUMMYFUNCTION("""COMPUTED_VALUE"""),100.0)</f>
        <v>100</v>
      </c>
      <c r="J1027" s="73"/>
      <c r="K1027" s="73"/>
      <c r="L1027" s="73"/>
      <c r="M1027" s="77">
        <f>IFERROR(__xludf.DUMMYFUNCTION("""COMPUTED_VALUE"""),0.1)</f>
        <v>0.1</v>
      </c>
      <c r="N1027" s="77">
        <f>IFERROR(__xludf.DUMMYFUNCTION("""COMPUTED_VALUE"""),1.0)</f>
        <v>1</v>
      </c>
      <c r="O1027" s="49"/>
      <c r="P1027" s="49" t="str">
        <f>IFERROR(__xludf.DUMMYFUNCTION("""COMPUTED_VALUE"""),"Offset")</f>
        <v>Offset</v>
      </c>
      <c r="Q1027" s="49" t="str">
        <f>IFERROR(__xludf.DUMMYFUNCTION("""COMPUTED_VALUE"""),"Packaging")</f>
        <v>Packaging</v>
      </c>
      <c r="R1027" s="49" t="str">
        <f>IFERROR(__xludf.DUMMYFUNCTION("""COMPUTED_VALUE"""),"Food")</f>
        <v>Food</v>
      </c>
    </row>
    <row r="1028">
      <c r="A1028" s="156" t="str">
        <f>IFERROR(__xludf.DUMMYFUNCTION("""COMPUTED_VALUE"""),"https://drive.google.com/open?id=1Crzlye474h-9wF00fQsxJwyCqlOGjSD8&amp;authuser=jay.agg%40gmail.com&amp;usp=drive_fs")</f>
        <v>https://drive.google.com/open?id=1Crzlye474h-9wF00fQsxJwyCqlOGjSD8&amp;authuser=jay.agg%40gmail.com&amp;usp=drive_fs</v>
      </c>
      <c r="B1028" s="73" t="str">
        <f>IFERROR(__xludf.DUMMYFUNCTION("""COMPUTED_VALUE"""),"Food")</f>
        <v>Food</v>
      </c>
      <c r="C1028" s="73" t="str">
        <f>IFERROR(__xludf.DUMMYFUNCTION("""COMPUTED_VALUE"""),"Misc")</f>
        <v>Misc</v>
      </c>
      <c r="D1028" s="73" t="str">
        <f>IFERROR(__xludf.DUMMYFUNCTION("""COMPUTED_VALUE"""),"127*25*203 mm | 5*1*8 inch")</f>
        <v>127*25*203 mm | 5*1*8 inch</v>
      </c>
      <c r="E1028" s="77">
        <f>IFERROR(__xludf.DUMMYFUNCTION("""COMPUTED_VALUE"""),4.0)</f>
        <v>4</v>
      </c>
      <c r="F1028" s="77">
        <f>IFERROR(__xludf.DUMMYFUNCTION("""COMPUTED_VALUE"""),2029.0)</f>
        <v>2029</v>
      </c>
      <c r="G1028" s="77">
        <f>IFERROR(__xludf.DUMMYFUNCTION("""COMPUTED_VALUE"""),20.0)</f>
        <v>20</v>
      </c>
      <c r="H1028" s="77">
        <f>IFERROR(__xludf.DUMMYFUNCTION("""COMPUTED_VALUE"""),28.0)</f>
        <v>28</v>
      </c>
      <c r="I1028" s="77">
        <f>IFERROR(__xludf.DUMMYFUNCTION("""COMPUTED_VALUE"""),100.0)</f>
        <v>100</v>
      </c>
      <c r="J1028" s="73"/>
      <c r="K1028" s="73"/>
      <c r="L1028" s="73"/>
      <c r="M1028" s="77">
        <f>IFERROR(__xludf.DUMMYFUNCTION("""COMPUTED_VALUE"""),0.1)</f>
        <v>0.1</v>
      </c>
      <c r="N1028" s="77">
        <f>IFERROR(__xludf.DUMMYFUNCTION("""COMPUTED_VALUE"""),1.0)</f>
        <v>1</v>
      </c>
      <c r="O1028" s="49"/>
      <c r="P1028" s="49" t="str">
        <f>IFERROR(__xludf.DUMMYFUNCTION("""COMPUTED_VALUE"""),"Offset")</f>
        <v>Offset</v>
      </c>
      <c r="Q1028" s="49" t="str">
        <f>IFERROR(__xludf.DUMMYFUNCTION("""COMPUTED_VALUE"""),"Packaging")</f>
        <v>Packaging</v>
      </c>
      <c r="R1028" s="49" t="str">
        <f>IFERROR(__xludf.DUMMYFUNCTION("""COMPUTED_VALUE"""),"Food")</f>
        <v>Food</v>
      </c>
    </row>
    <row r="1029">
      <c r="A1029" s="156" t="str">
        <f>IFERROR(__xludf.DUMMYFUNCTION("""COMPUTED_VALUE"""),"https://drive.google.com/open?id=1DDicBlFYcVtWEZF0YUdJ8f7l9y1UIKJw&amp;authuser=jay.agg%40gmail.com&amp;usp=drive_fs")</f>
        <v>https://drive.google.com/open?id=1DDicBlFYcVtWEZF0YUdJ8f7l9y1UIKJw&amp;authuser=jay.agg%40gmail.com&amp;usp=drive_fs</v>
      </c>
      <c r="B1029" s="73" t="str">
        <f>IFERROR(__xludf.DUMMYFUNCTION("""COMPUTED_VALUE"""),"Food")</f>
        <v>Food</v>
      </c>
      <c r="C1029" s="73" t="str">
        <f>IFERROR(__xludf.DUMMYFUNCTION("""COMPUTED_VALUE"""),"Dosa")</f>
        <v>Dosa</v>
      </c>
      <c r="D1029" s="73" t="str">
        <f>IFERROR(__xludf.DUMMYFUNCTION("""COMPUTED_VALUE"""),"Dosa 305*76*38 mm | 12*3*1.5 inch")</f>
        <v>Dosa 305*76*38 mm | 12*3*1.5 inch</v>
      </c>
      <c r="E1029" s="77">
        <f>IFERROR(__xludf.DUMMYFUNCTION("""COMPUTED_VALUE"""),2.0)</f>
        <v>2</v>
      </c>
      <c r="F1029" s="77">
        <f>IFERROR(__xludf.DUMMYFUNCTION("""COMPUTED_VALUE"""),1926.0)</f>
        <v>1926</v>
      </c>
      <c r="G1029" s="77">
        <f>IFERROR(__xludf.DUMMYFUNCTION("""COMPUTED_VALUE"""),15.75)</f>
        <v>15.75</v>
      </c>
      <c r="H1029" s="77">
        <f>IFERROR(__xludf.DUMMYFUNCTION("""COMPUTED_VALUE"""),20.75)</f>
        <v>20.75</v>
      </c>
      <c r="I1029" s="77">
        <f>IFERROR(__xludf.DUMMYFUNCTION("""COMPUTED_VALUE"""),100.0)</f>
        <v>100</v>
      </c>
      <c r="J1029" s="73"/>
      <c r="K1029" s="73"/>
      <c r="L1029" s="73"/>
      <c r="M1029" s="77">
        <f>IFERROR(__xludf.DUMMYFUNCTION("""COMPUTED_VALUE"""),0.1)</f>
        <v>0.1</v>
      </c>
      <c r="N1029" s="77">
        <f>IFERROR(__xludf.DUMMYFUNCTION("""COMPUTED_VALUE"""),1.0)</f>
        <v>1</v>
      </c>
      <c r="O1029" s="49"/>
      <c r="P1029" s="49" t="str">
        <f>IFERROR(__xludf.DUMMYFUNCTION("""COMPUTED_VALUE"""),"Offset")</f>
        <v>Offset</v>
      </c>
      <c r="Q1029" s="49" t="str">
        <f>IFERROR(__xludf.DUMMYFUNCTION("""COMPUTED_VALUE"""),"Packaging")</f>
        <v>Packaging</v>
      </c>
      <c r="R1029" s="49" t="str">
        <f>IFERROR(__xludf.DUMMYFUNCTION("""COMPUTED_VALUE"""),"Food")</f>
        <v>Food</v>
      </c>
    </row>
    <row r="1030">
      <c r="A1030" s="156" t="str">
        <f>IFERROR(__xludf.DUMMYFUNCTION("""COMPUTED_VALUE"""),"https://drive.google.com/open?id=1S0JoeVa-x8xAselnMXu64Vmh1ngS_Cud&amp;authuser=jay.agg%40gmail.com&amp;usp=drive_fs")</f>
        <v>https://drive.google.com/open?id=1S0JoeVa-x8xAselnMXu64Vmh1ngS_Cud&amp;authuser=jay.agg%40gmail.com&amp;usp=drive_fs</v>
      </c>
      <c r="B1030" s="73" t="str">
        <f>IFERROR(__xludf.DUMMYFUNCTION("""COMPUTED_VALUE"""),"Food")</f>
        <v>Food</v>
      </c>
      <c r="C1030" s="73" t="str">
        <f>IFERROR(__xludf.DUMMYFUNCTION("""COMPUTED_VALUE"""),"Wrap")</f>
        <v>Wrap</v>
      </c>
      <c r="D1030" s="73" t="str">
        <f>IFERROR(__xludf.DUMMYFUNCTION("""COMPUTED_VALUE"""),"97*255 mm | 3.8*10 inch")</f>
        <v>97*255 mm | 3.8*10 inch</v>
      </c>
      <c r="E1030" s="77">
        <f>IFERROR(__xludf.DUMMYFUNCTION("""COMPUTED_VALUE"""),4.0)</f>
        <v>4</v>
      </c>
      <c r="F1030" s="77">
        <f>IFERROR(__xludf.DUMMYFUNCTION("""COMPUTED_VALUE"""),2029.0)</f>
        <v>2029</v>
      </c>
      <c r="G1030" s="77">
        <f>IFERROR(__xludf.DUMMYFUNCTION("""COMPUTED_VALUE"""),18.0)</f>
        <v>18</v>
      </c>
      <c r="H1030" s="77">
        <f>IFERROR(__xludf.DUMMYFUNCTION("""COMPUTED_VALUE"""),25.0)</f>
        <v>25</v>
      </c>
      <c r="I1030" s="77">
        <f>IFERROR(__xludf.DUMMYFUNCTION("""COMPUTED_VALUE"""),100.0)</f>
        <v>100</v>
      </c>
      <c r="J1030" s="73"/>
      <c r="K1030" s="73"/>
      <c r="L1030" s="73"/>
      <c r="M1030" s="77">
        <f>IFERROR(__xludf.DUMMYFUNCTION("""COMPUTED_VALUE"""),0.12)</f>
        <v>0.12</v>
      </c>
      <c r="N1030" s="77">
        <f>IFERROR(__xludf.DUMMYFUNCTION("""COMPUTED_VALUE"""),1.0)</f>
        <v>1</v>
      </c>
      <c r="O1030" s="49"/>
      <c r="P1030" s="49" t="str">
        <f>IFERROR(__xludf.DUMMYFUNCTION("""COMPUTED_VALUE"""),"Offset")</f>
        <v>Offset</v>
      </c>
      <c r="Q1030" s="49" t="str">
        <f>IFERROR(__xludf.DUMMYFUNCTION("""COMPUTED_VALUE"""),"Packaging")</f>
        <v>Packaging</v>
      </c>
      <c r="R1030" s="49" t="str">
        <f>IFERROR(__xludf.DUMMYFUNCTION("""COMPUTED_VALUE"""),"Food")</f>
        <v>Food</v>
      </c>
    </row>
    <row r="1031">
      <c r="A1031" s="156" t="str">
        <f>IFERROR(__xludf.DUMMYFUNCTION("""COMPUTED_VALUE"""),"https://drive.google.com/open?id=1AUtF9453AsscwlYGhU2_slTjqLRIF5-J&amp;authuser=jay.agg%40gmail.com&amp;usp=drive_fs")</f>
        <v>https://drive.google.com/open?id=1AUtF9453AsscwlYGhU2_slTjqLRIF5-J&amp;authuser=jay.agg%40gmail.com&amp;usp=drive_fs</v>
      </c>
      <c r="B1031" s="73" t="str">
        <f>IFERROR(__xludf.DUMMYFUNCTION("""COMPUTED_VALUE"""),"Food")</f>
        <v>Food</v>
      </c>
      <c r="C1031" s="73" t="str">
        <f>IFERROR(__xludf.DUMMYFUNCTION("""COMPUTED_VALUE"""),"Chocolate")</f>
        <v>Chocolate</v>
      </c>
      <c r="D1031" s="73" t="str">
        <f>IFERROR(__xludf.DUMMYFUNCTION("""COMPUTED_VALUE"""),"200*100*40 mm | 7.8*3.9*1.6 inch W 2*3 inch")</f>
        <v>200*100*40 mm | 7.8*3.9*1.6 inch W 2*3 inch</v>
      </c>
      <c r="E1031" s="77">
        <f>IFERROR(__xludf.DUMMYFUNCTION("""COMPUTED_VALUE"""),2.0)</f>
        <v>2</v>
      </c>
      <c r="F1031" s="77">
        <f>IFERROR(__xludf.DUMMYFUNCTION("""COMPUTED_VALUE"""),2029.0)</f>
        <v>2029</v>
      </c>
      <c r="G1031" s="77">
        <f>IFERROR(__xludf.DUMMYFUNCTION("""COMPUTED_VALUE"""),19.0)</f>
        <v>19</v>
      </c>
      <c r="H1031" s="77">
        <f>IFERROR(__xludf.DUMMYFUNCTION("""COMPUTED_VALUE"""),26.0)</f>
        <v>26</v>
      </c>
      <c r="I1031" s="77">
        <f>IFERROR(__xludf.DUMMYFUNCTION("""COMPUTED_VALUE"""),100.0)</f>
        <v>100</v>
      </c>
      <c r="J1031" s="73"/>
      <c r="K1031" s="73"/>
      <c r="L1031" s="73">
        <f>IFERROR(__xludf.DUMMYFUNCTION("""COMPUTED_VALUE"""),1.2)</f>
        <v>1.2</v>
      </c>
      <c r="M1031" s="77">
        <f>IFERROR(__xludf.DUMMYFUNCTION("""COMPUTED_VALUE"""),0.16)</f>
        <v>0.16</v>
      </c>
      <c r="N1031" s="77">
        <f>IFERROR(__xludf.DUMMYFUNCTION("""COMPUTED_VALUE"""),1.0)</f>
        <v>1</v>
      </c>
      <c r="O1031" s="49"/>
      <c r="P1031" s="49" t="str">
        <f>IFERROR(__xludf.DUMMYFUNCTION("""COMPUTED_VALUE"""),"Offset")</f>
        <v>Offset</v>
      </c>
      <c r="Q1031" s="49" t="str">
        <f>IFERROR(__xludf.DUMMYFUNCTION("""COMPUTED_VALUE"""),"Packaging")</f>
        <v>Packaging</v>
      </c>
      <c r="R1031" s="49" t="str">
        <f>IFERROR(__xludf.DUMMYFUNCTION("""COMPUTED_VALUE"""),"Food")</f>
        <v>Food</v>
      </c>
    </row>
    <row r="1032">
      <c r="A1032" s="156" t="str">
        <f>IFERROR(__xludf.DUMMYFUNCTION("""COMPUTED_VALUE"""),"https://drive.google.com/open?id=1BAIIhR_t7CFMjNdm29pTFbTOYqLj8-1N&amp;authuser=jay.agg%40gmail.com&amp;usp=drive_fs")</f>
        <v>https://drive.google.com/open?id=1BAIIhR_t7CFMjNdm29pTFbTOYqLj8-1N&amp;authuser=jay.agg%40gmail.com&amp;usp=drive_fs</v>
      </c>
      <c r="B1032" s="73" t="str">
        <f>IFERROR(__xludf.DUMMYFUNCTION("""COMPUTED_VALUE"""),"Food")</f>
        <v>Food</v>
      </c>
      <c r="C1032" s="73" t="str">
        <f>IFERROR(__xludf.DUMMYFUNCTION("""COMPUTED_VALUE"""),"Misc")</f>
        <v>Misc</v>
      </c>
      <c r="D1032" s="73" t="str">
        <f>IFERROR(__xludf.DUMMYFUNCTION("""COMPUTED_VALUE"""),"90*90*90 mm | 3.5*3.5*3.5 inch")</f>
        <v>90*90*90 mm | 3.5*3.5*3.5 inch</v>
      </c>
      <c r="E1032" s="77">
        <f>IFERROR(__xludf.DUMMYFUNCTION("""COMPUTED_VALUE"""),2.0)</f>
        <v>2</v>
      </c>
      <c r="F1032" s="77">
        <f>IFERROR(__xludf.DUMMYFUNCTION("""COMPUTED_VALUE"""),2029.0)</f>
        <v>2029</v>
      </c>
      <c r="G1032" s="77">
        <f>IFERROR(__xludf.DUMMYFUNCTION("""COMPUTED_VALUE"""),15.75)</f>
        <v>15.75</v>
      </c>
      <c r="H1032" s="77">
        <f>IFERROR(__xludf.DUMMYFUNCTION("""COMPUTED_VALUE"""),20.75)</f>
        <v>20.75</v>
      </c>
      <c r="I1032" s="77">
        <f>IFERROR(__xludf.DUMMYFUNCTION("""COMPUTED_VALUE"""),100.0)</f>
        <v>100</v>
      </c>
      <c r="J1032" s="73"/>
      <c r="K1032" s="73"/>
      <c r="L1032" s="73"/>
      <c r="M1032" s="77">
        <f>IFERROR(__xludf.DUMMYFUNCTION("""COMPUTED_VALUE"""),0.1)</f>
        <v>0.1</v>
      </c>
      <c r="N1032" s="77">
        <f>IFERROR(__xludf.DUMMYFUNCTION("""COMPUTED_VALUE"""),1.0)</f>
        <v>1</v>
      </c>
      <c r="O1032" s="49"/>
      <c r="P1032" s="49" t="str">
        <f>IFERROR(__xludf.DUMMYFUNCTION("""COMPUTED_VALUE"""),"Offset")</f>
        <v>Offset</v>
      </c>
      <c r="Q1032" s="49" t="str">
        <f>IFERROR(__xludf.DUMMYFUNCTION("""COMPUTED_VALUE"""),"Packaging")</f>
        <v>Packaging</v>
      </c>
      <c r="R1032" s="49" t="str">
        <f>IFERROR(__xludf.DUMMYFUNCTION("""COMPUTED_VALUE"""),"Food")</f>
        <v>Food</v>
      </c>
    </row>
    <row r="1033">
      <c r="A1033" s="156" t="str">
        <f>IFERROR(__xludf.DUMMYFUNCTION("""COMPUTED_VALUE"""),"https://drive.google.com/open?id=1ByfbDMn70rz3SfUWd9dftPugVYPyZXSX&amp;authuser=jay.agg%40gmail.com&amp;usp=drive_fs")</f>
        <v>https://drive.google.com/open?id=1ByfbDMn70rz3SfUWd9dftPugVYPyZXSX&amp;authuser=jay.agg%40gmail.com&amp;usp=drive_fs</v>
      </c>
      <c r="B1033" s="73" t="str">
        <f>IFERROR(__xludf.DUMMYFUNCTION("""COMPUTED_VALUE"""),"Food")</f>
        <v>Food</v>
      </c>
      <c r="C1033" s="73" t="str">
        <f>IFERROR(__xludf.DUMMYFUNCTION("""COMPUTED_VALUE"""),"Misc")</f>
        <v>Misc</v>
      </c>
      <c r="D1033" s="73" t="str">
        <f>IFERROR(__xludf.DUMMYFUNCTION("""COMPUTED_VALUE"""),"73*30*70 mm | 2.8*1.2*2.75 inch")</f>
        <v>73*30*70 mm | 2.8*1.2*2.75 inch</v>
      </c>
      <c r="E1033" s="77">
        <f>IFERROR(__xludf.DUMMYFUNCTION("""COMPUTED_VALUE"""),10.0)</f>
        <v>10</v>
      </c>
      <c r="F1033" s="77">
        <f>IFERROR(__xludf.DUMMYFUNCTION("""COMPUTED_VALUE"""),2029.0)</f>
        <v>2029</v>
      </c>
      <c r="G1033" s="77">
        <f>IFERROR(__xludf.DUMMYFUNCTION("""COMPUTED_VALUE"""),18.0)</f>
        <v>18</v>
      </c>
      <c r="H1033" s="77">
        <f>IFERROR(__xludf.DUMMYFUNCTION("""COMPUTED_VALUE"""),23.0)</f>
        <v>23</v>
      </c>
      <c r="I1033" s="77">
        <f>IFERROR(__xludf.DUMMYFUNCTION("""COMPUTED_VALUE"""),100.0)</f>
        <v>100</v>
      </c>
      <c r="J1033" s="73"/>
      <c r="K1033" s="73"/>
      <c r="L1033" s="73"/>
      <c r="M1033" s="77">
        <f>IFERROR(__xludf.DUMMYFUNCTION("""COMPUTED_VALUE"""),0.1)</f>
        <v>0.1</v>
      </c>
      <c r="N1033" s="77">
        <f>IFERROR(__xludf.DUMMYFUNCTION("""COMPUTED_VALUE"""),1.0)</f>
        <v>1</v>
      </c>
      <c r="O1033" s="49"/>
      <c r="P1033" s="49" t="str">
        <f>IFERROR(__xludf.DUMMYFUNCTION("""COMPUTED_VALUE"""),"Offset")</f>
        <v>Offset</v>
      </c>
      <c r="Q1033" s="49" t="str">
        <f>IFERROR(__xludf.DUMMYFUNCTION("""COMPUTED_VALUE"""),"Packaging")</f>
        <v>Packaging</v>
      </c>
      <c r="R1033" s="49" t="str">
        <f>IFERROR(__xludf.DUMMYFUNCTION("""COMPUTED_VALUE"""),"Food")</f>
        <v>Food</v>
      </c>
    </row>
    <row r="1034">
      <c r="A1034" s="156" t="str">
        <f>IFERROR(__xludf.DUMMYFUNCTION("""COMPUTED_VALUE"""),"https://drive.google.com/open?id=1C22Fmp-iikp8lJHK8I3Zzh_qgIItIU1e&amp;authuser=jay.agg%40gmail.com&amp;usp=drive_fs")</f>
        <v>https://drive.google.com/open?id=1C22Fmp-iikp8lJHK8I3Zzh_qgIItIU1e&amp;authuser=jay.agg%40gmail.com&amp;usp=drive_fs</v>
      </c>
      <c r="B1034" s="73" t="str">
        <f>IFERROR(__xludf.DUMMYFUNCTION("""COMPUTED_VALUE"""),"Food")</f>
        <v>Food</v>
      </c>
      <c r="C1034" s="73" t="str">
        <f>IFERROR(__xludf.DUMMYFUNCTION("""COMPUTED_VALUE"""),"Misc")</f>
        <v>Misc</v>
      </c>
      <c r="D1034" s="73" t="str">
        <f>IFERROR(__xludf.DUMMYFUNCTION("""COMPUTED_VALUE"""),"168*84*220 mm | 6.6*3.3*8.6 inch")</f>
        <v>168*84*220 mm | 6.6*3.3*8.6 inch</v>
      </c>
      <c r="E1034" s="77">
        <f>IFERROR(__xludf.DUMMYFUNCTION("""COMPUTED_VALUE"""),1.0)</f>
        <v>1</v>
      </c>
      <c r="F1034" s="77">
        <f>IFERROR(__xludf.DUMMYFUNCTION("""COMPUTED_VALUE"""),2029.0)</f>
        <v>2029</v>
      </c>
      <c r="G1034" s="77">
        <f>IFERROR(__xludf.DUMMYFUNCTION("""COMPUTED_VALUE"""),15.75)</f>
        <v>15.75</v>
      </c>
      <c r="H1034" s="77">
        <f>IFERROR(__xludf.DUMMYFUNCTION("""COMPUTED_VALUE"""),20.75)</f>
        <v>20.75</v>
      </c>
      <c r="I1034" s="77">
        <f>IFERROR(__xludf.DUMMYFUNCTION("""COMPUTED_VALUE"""),100.0)</f>
        <v>100</v>
      </c>
      <c r="J1034" s="73"/>
      <c r="K1034" s="73"/>
      <c r="L1034" s="73"/>
      <c r="M1034" s="77">
        <f>IFERROR(__xludf.DUMMYFUNCTION("""COMPUTED_VALUE"""),0.1)</f>
        <v>0.1</v>
      </c>
      <c r="N1034" s="77">
        <f>IFERROR(__xludf.DUMMYFUNCTION("""COMPUTED_VALUE"""),1.0)</f>
        <v>1</v>
      </c>
      <c r="O1034" s="49"/>
      <c r="P1034" s="49" t="str">
        <f>IFERROR(__xludf.DUMMYFUNCTION("""COMPUTED_VALUE"""),"Offset")</f>
        <v>Offset</v>
      </c>
      <c r="Q1034" s="49" t="str">
        <f>IFERROR(__xludf.DUMMYFUNCTION("""COMPUTED_VALUE"""),"Packaging")</f>
        <v>Packaging</v>
      </c>
      <c r="R1034" s="49" t="str">
        <f>IFERROR(__xludf.DUMMYFUNCTION("""COMPUTED_VALUE"""),"Food")</f>
        <v>Food</v>
      </c>
    </row>
    <row r="1035">
      <c r="A1035" s="156" t="str">
        <f>IFERROR(__xludf.DUMMYFUNCTION("""COMPUTED_VALUE"""),"https://drive.google.com/open?id=1CKqQpvLGbMzH2O6QTTazvgUpvzQlllMB&amp;authuser=jay.agg%40gmail.com&amp;usp=drive_fs")</f>
        <v>https://drive.google.com/open?id=1CKqQpvLGbMzH2O6QTTazvgUpvzQlllMB&amp;authuser=jay.agg%40gmail.com&amp;usp=drive_fs</v>
      </c>
      <c r="B1035" s="73" t="str">
        <f>IFERROR(__xludf.DUMMYFUNCTION("""COMPUTED_VALUE"""),"Food")</f>
        <v>Food</v>
      </c>
      <c r="C1035" s="73" t="str">
        <f>IFERROR(__xludf.DUMMYFUNCTION("""COMPUTED_VALUE"""),"Millet")</f>
        <v>Millet</v>
      </c>
      <c r="D1035" s="73" t="str">
        <f>IFERROR(__xludf.DUMMYFUNCTION("""COMPUTED_VALUE"""),"1KG 165*65*210 mm | 6.5*2.6*8.3 inch")</f>
        <v>1KG 165*65*210 mm | 6.5*2.6*8.3 inch</v>
      </c>
      <c r="E1035" s="77">
        <f>IFERROR(__xludf.DUMMYFUNCTION("""COMPUTED_VALUE"""),2.0)</f>
        <v>2</v>
      </c>
      <c r="F1035" s="77">
        <f>IFERROR(__xludf.DUMMYFUNCTION("""COMPUTED_VALUE"""),2029.0)</f>
        <v>2029</v>
      </c>
      <c r="G1035" s="77">
        <f>IFERROR(__xludf.DUMMYFUNCTION("""COMPUTED_VALUE"""),19.0)</f>
        <v>19</v>
      </c>
      <c r="H1035" s="77">
        <f>IFERROR(__xludf.DUMMYFUNCTION("""COMPUTED_VALUE"""),26.0)</f>
        <v>26</v>
      </c>
      <c r="I1035" s="77">
        <f>IFERROR(__xludf.DUMMYFUNCTION("""COMPUTED_VALUE"""),100.0)</f>
        <v>100</v>
      </c>
      <c r="J1035" s="73"/>
      <c r="K1035" s="73"/>
      <c r="L1035" s="73"/>
      <c r="M1035" s="77">
        <f>IFERROR(__xludf.DUMMYFUNCTION("""COMPUTED_VALUE"""),0.1)</f>
        <v>0.1</v>
      </c>
      <c r="N1035" s="77">
        <f>IFERROR(__xludf.DUMMYFUNCTION("""COMPUTED_VALUE"""),1.0)</f>
        <v>1</v>
      </c>
      <c r="O1035" s="49"/>
      <c r="P1035" s="49" t="str">
        <f>IFERROR(__xludf.DUMMYFUNCTION("""COMPUTED_VALUE"""),"Offset")</f>
        <v>Offset</v>
      </c>
      <c r="Q1035" s="49" t="str">
        <f>IFERROR(__xludf.DUMMYFUNCTION("""COMPUTED_VALUE"""),"Packaging")</f>
        <v>Packaging</v>
      </c>
      <c r="R1035" s="49" t="str">
        <f>IFERROR(__xludf.DUMMYFUNCTION("""COMPUTED_VALUE"""),"Food")</f>
        <v>Food</v>
      </c>
    </row>
    <row r="1036">
      <c r="A1036" s="156" t="str">
        <f>IFERROR(__xludf.DUMMYFUNCTION("""COMPUTED_VALUE"""),"https://drive.google.com/open?id=1D5PrDkRh5NSfwGGrMo9-8-3--WX3L0Ft&amp;authuser=jay.agg%40gmail.com&amp;usp=drive_fs")</f>
        <v>https://drive.google.com/open?id=1D5PrDkRh5NSfwGGrMo9-8-3--WX3L0Ft&amp;authuser=jay.agg%40gmail.com&amp;usp=drive_fs</v>
      </c>
      <c r="B1036" s="73" t="str">
        <f>IFERROR(__xludf.DUMMYFUNCTION("""COMPUTED_VALUE"""),"Food")</f>
        <v>Food</v>
      </c>
      <c r="C1036" s="73" t="str">
        <f>IFERROR(__xludf.DUMMYFUNCTION("""COMPUTED_VALUE"""),"Millet")</f>
        <v>Millet</v>
      </c>
      <c r="D1036" s="73" t="str">
        <f>IFERROR(__xludf.DUMMYFUNCTION("""COMPUTED_VALUE"""),"500g145*64*160 mm | 5.7*2.5*6.3 inch")</f>
        <v>500g145*64*160 mm | 5.7*2.5*6.3 inch</v>
      </c>
      <c r="E1036" s="77">
        <f>IFERROR(__xludf.DUMMYFUNCTION("""COMPUTED_VALUE"""),2.0)</f>
        <v>2</v>
      </c>
      <c r="F1036" s="77">
        <f>IFERROR(__xludf.DUMMYFUNCTION("""COMPUTED_VALUE"""),2029.0)</f>
        <v>2029</v>
      </c>
      <c r="G1036" s="77">
        <f>IFERROR(__xludf.DUMMYFUNCTION("""COMPUTED_VALUE"""),18.0)</f>
        <v>18</v>
      </c>
      <c r="H1036" s="77">
        <f>IFERROR(__xludf.DUMMYFUNCTION("""COMPUTED_VALUE"""),23.0)</f>
        <v>23</v>
      </c>
      <c r="I1036" s="77">
        <f>IFERROR(__xludf.DUMMYFUNCTION("""COMPUTED_VALUE"""),100.0)</f>
        <v>100</v>
      </c>
      <c r="J1036" s="73"/>
      <c r="K1036" s="73"/>
      <c r="L1036" s="73"/>
      <c r="M1036" s="77">
        <f>IFERROR(__xludf.DUMMYFUNCTION("""COMPUTED_VALUE"""),0.1)</f>
        <v>0.1</v>
      </c>
      <c r="N1036" s="77">
        <f>IFERROR(__xludf.DUMMYFUNCTION("""COMPUTED_VALUE"""),1.0)</f>
        <v>1</v>
      </c>
      <c r="O1036" s="49"/>
      <c r="P1036" s="49" t="str">
        <f>IFERROR(__xludf.DUMMYFUNCTION("""COMPUTED_VALUE"""),"Offset")</f>
        <v>Offset</v>
      </c>
      <c r="Q1036" s="49" t="str">
        <f>IFERROR(__xludf.DUMMYFUNCTION("""COMPUTED_VALUE"""),"Packaging")</f>
        <v>Packaging</v>
      </c>
      <c r="R1036" s="49" t="str">
        <f>IFERROR(__xludf.DUMMYFUNCTION("""COMPUTED_VALUE"""),"Food")</f>
        <v>Food</v>
      </c>
    </row>
    <row r="1037">
      <c r="A1037" s="156" t="str">
        <f>IFERROR(__xludf.DUMMYFUNCTION("""COMPUTED_VALUE"""),"https://drive.google.com/open?id=1D6D48kO1Ul1ZLDDzrzde2t-VuNuOQ4v4&amp;authuser=jay.agg%40gmail.com&amp;usp=drive_fs")</f>
        <v>https://drive.google.com/open?id=1D6D48kO1Ul1ZLDDzrzde2t-VuNuOQ4v4&amp;authuser=jay.agg%40gmail.com&amp;usp=drive_fs</v>
      </c>
      <c r="B1037" s="73" t="str">
        <f>IFERROR(__xludf.DUMMYFUNCTION("""COMPUTED_VALUE"""),"Food")</f>
        <v>Food</v>
      </c>
      <c r="C1037" s="73" t="str">
        <f>IFERROR(__xludf.DUMMYFUNCTION("""COMPUTED_VALUE"""),"Peanut")</f>
        <v>Peanut</v>
      </c>
      <c r="D1037" s="73" t="str">
        <f>IFERROR(__xludf.DUMMYFUNCTION("""COMPUTED_VALUE"""),"120*120*160 mm | 4.7*4.7*6.3 inch")</f>
        <v>120*120*160 mm | 4.7*4.7*6.3 inch</v>
      </c>
      <c r="E1037" s="77">
        <f>IFERROR(__xludf.DUMMYFUNCTION("""COMPUTED_VALUE"""),2.0)</f>
        <v>2</v>
      </c>
      <c r="F1037" s="77">
        <f>IFERROR(__xludf.DUMMYFUNCTION("""COMPUTED_VALUE"""),2029.0)</f>
        <v>2029</v>
      </c>
      <c r="G1037" s="77">
        <f>IFERROR(__xludf.DUMMYFUNCTION("""COMPUTED_VALUE"""),20.0)</f>
        <v>20</v>
      </c>
      <c r="H1037" s="77">
        <f>IFERROR(__xludf.DUMMYFUNCTION("""COMPUTED_VALUE"""),28.0)</f>
        <v>28</v>
      </c>
      <c r="I1037" s="77">
        <f>IFERROR(__xludf.DUMMYFUNCTION("""COMPUTED_VALUE"""),100.0)</f>
        <v>100</v>
      </c>
      <c r="J1037" s="73"/>
      <c r="K1037" s="73"/>
      <c r="L1037" s="73"/>
      <c r="M1037" s="77">
        <f>IFERROR(__xludf.DUMMYFUNCTION("""COMPUTED_VALUE"""),0.1)</f>
        <v>0.1</v>
      </c>
      <c r="N1037" s="77">
        <f>IFERROR(__xludf.DUMMYFUNCTION("""COMPUTED_VALUE"""),1.0)</f>
        <v>1</v>
      </c>
      <c r="O1037" s="49"/>
      <c r="P1037" s="49" t="str">
        <f>IFERROR(__xludf.DUMMYFUNCTION("""COMPUTED_VALUE"""),"Offset")</f>
        <v>Offset</v>
      </c>
      <c r="Q1037" s="49" t="str">
        <f>IFERROR(__xludf.DUMMYFUNCTION("""COMPUTED_VALUE"""),"Packaging")</f>
        <v>Packaging</v>
      </c>
      <c r="R1037" s="49" t="str">
        <f>IFERROR(__xludf.DUMMYFUNCTION("""COMPUTED_VALUE"""),"Food")</f>
        <v>Food</v>
      </c>
    </row>
    <row r="1038">
      <c r="A1038" s="156" t="str">
        <f>IFERROR(__xludf.DUMMYFUNCTION("""COMPUTED_VALUE"""),"https://drive.google.com/open?id=1DH_jtAZrmS4oA_LljmC6xnetppeIi0w7&amp;authuser=jay.agg%40gmail.com&amp;usp=drive_fs")</f>
        <v>https://drive.google.com/open?id=1DH_jtAZrmS4oA_LljmC6xnetppeIi0w7&amp;authuser=jay.agg%40gmail.com&amp;usp=drive_fs</v>
      </c>
      <c r="B1038" s="73" t="str">
        <f>IFERROR(__xludf.DUMMYFUNCTION("""COMPUTED_VALUE"""),"Food")</f>
        <v>Food</v>
      </c>
      <c r="C1038" s="73" t="str">
        <f>IFERROR(__xludf.DUMMYFUNCTION("""COMPUTED_VALUE"""),"Chocolate")</f>
        <v>Chocolate</v>
      </c>
      <c r="D1038" s="73" t="str">
        <f>IFERROR(__xludf.DUMMYFUNCTION("""COMPUTED_VALUE"""),"85*8.5*155 mm | 3.3*0.3*6.1 inch")</f>
        <v>85*8.5*155 mm | 3.3*0.3*6.1 inch</v>
      </c>
      <c r="E1038" s="77">
        <f>IFERROR(__xludf.DUMMYFUNCTION("""COMPUTED_VALUE"""),6.0)</f>
        <v>6</v>
      </c>
      <c r="F1038" s="77">
        <f>IFERROR(__xludf.DUMMYFUNCTION("""COMPUTED_VALUE"""),2029.0)</f>
        <v>2029</v>
      </c>
      <c r="G1038" s="77">
        <f>IFERROR(__xludf.DUMMYFUNCTION("""COMPUTED_VALUE"""),18.0)</f>
        <v>18</v>
      </c>
      <c r="H1038" s="77">
        <f>IFERROR(__xludf.DUMMYFUNCTION("""COMPUTED_VALUE"""),23.0)</f>
        <v>23</v>
      </c>
      <c r="I1038" s="77">
        <f>IFERROR(__xludf.DUMMYFUNCTION("""COMPUTED_VALUE"""),100.0)</f>
        <v>100</v>
      </c>
      <c r="J1038" s="73"/>
      <c r="K1038" s="73"/>
      <c r="L1038" s="73"/>
      <c r="M1038" s="77">
        <f>IFERROR(__xludf.DUMMYFUNCTION("""COMPUTED_VALUE"""),0.12)</f>
        <v>0.12</v>
      </c>
      <c r="N1038" s="77">
        <f>IFERROR(__xludf.DUMMYFUNCTION("""COMPUTED_VALUE"""),1.0)</f>
        <v>1</v>
      </c>
      <c r="O1038" s="49"/>
      <c r="P1038" s="49" t="str">
        <f>IFERROR(__xludf.DUMMYFUNCTION("""COMPUTED_VALUE"""),"Offset")</f>
        <v>Offset</v>
      </c>
      <c r="Q1038" s="49" t="str">
        <f>IFERROR(__xludf.DUMMYFUNCTION("""COMPUTED_VALUE"""),"Packaging")</f>
        <v>Packaging</v>
      </c>
      <c r="R1038" s="49" t="str">
        <f>IFERROR(__xludf.DUMMYFUNCTION("""COMPUTED_VALUE"""),"Food")</f>
        <v>Food</v>
      </c>
    </row>
    <row r="1039">
      <c r="A1039" s="156" t="str">
        <f>IFERROR(__xludf.DUMMYFUNCTION("""COMPUTED_VALUE"""),"https://drive.google.com/open?id=1EDFHLal9OFKDcKtdrwzHrFcodX9TQmQF&amp;authuser=jay.agg%40gmail.com&amp;usp=drive_fs")</f>
        <v>https://drive.google.com/open?id=1EDFHLal9OFKDcKtdrwzHrFcodX9TQmQF&amp;authuser=jay.agg%40gmail.com&amp;usp=drive_fs</v>
      </c>
      <c r="B1039" s="73" t="str">
        <f>IFERROR(__xludf.DUMMYFUNCTION("""COMPUTED_VALUE"""),"Food")</f>
        <v>Food</v>
      </c>
      <c r="C1039" s="73" t="str">
        <f>IFERROR(__xludf.DUMMYFUNCTION("""COMPUTED_VALUE"""),"Sugar")</f>
        <v>Sugar</v>
      </c>
      <c r="D1039" s="73" t="str">
        <f>IFERROR(__xludf.DUMMYFUNCTION("""COMPUTED_VALUE"""),"65*30*80 mm | 2.5*1.2*3.1 inch")</f>
        <v>65*30*80 mm | 2.5*1.2*3.1 inch</v>
      </c>
      <c r="E1039" s="77">
        <f>IFERROR(__xludf.DUMMYFUNCTION("""COMPUTED_VALUE"""),8.0)</f>
        <v>8</v>
      </c>
      <c r="F1039" s="77">
        <f>IFERROR(__xludf.DUMMYFUNCTION("""COMPUTED_VALUE"""),2029.0)</f>
        <v>2029</v>
      </c>
      <c r="G1039" s="77">
        <f>IFERROR(__xludf.DUMMYFUNCTION("""COMPUTED_VALUE"""),18.0)</f>
        <v>18</v>
      </c>
      <c r="H1039" s="77">
        <f>IFERROR(__xludf.DUMMYFUNCTION("""COMPUTED_VALUE"""),23.0)</f>
        <v>23</v>
      </c>
      <c r="I1039" s="77">
        <f>IFERROR(__xludf.DUMMYFUNCTION("""COMPUTED_VALUE"""),100.0)</f>
        <v>100</v>
      </c>
      <c r="J1039" s="73"/>
      <c r="K1039" s="73"/>
      <c r="L1039" s="73"/>
      <c r="M1039" s="77">
        <f>IFERROR(__xludf.DUMMYFUNCTION("""COMPUTED_VALUE"""),0.1)</f>
        <v>0.1</v>
      </c>
      <c r="N1039" s="77">
        <f>IFERROR(__xludf.DUMMYFUNCTION("""COMPUTED_VALUE"""),1.0)</f>
        <v>1</v>
      </c>
      <c r="O1039" s="49"/>
      <c r="P1039" s="49" t="str">
        <f>IFERROR(__xludf.DUMMYFUNCTION("""COMPUTED_VALUE"""),"Offset")</f>
        <v>Offset</v>
      </c>
      <c r="Q1039" s="49" t="str">
        <f>IFERROR(__xludf.DUMMYFUNCTION("""COMPUTED_VALUE"""),"Packaging")</f>
        <v>Packaging</v>
      </c>
      <c r="R1039" s="49" t="str">
        <f>IFERROR(__xludf.DUMMYFUNCTION("""COMPUTED_VALUE"""),"Food")</f>
        <v>Food</v>
      </c>
    </row>
    <row r="1040">
      <c r="A1040" s="156" t="str">
        <f>IFERROR(__xludf.DUMMYFUNCTION("""COMPUTED_VALUE"""),"https://drive.google.com/open?id=1ECt9F1f6-PNDi3P7M8-WDLzuWoONz4Pm&amp;authuser=jay.agg%40gmail.com&amp;usp=drive_fs")</f>
        <v>https://drive.google.com/open?id=1ECt9F1f6-PNDi3P7M8-WDLzuWoONz4Pm&amp;authuser=jay.agg%40gmail.com&amp;usp=drive_fs</v>
      </c>
      <c r="B1040" s="73" t="str">
        <f>IFERROR(__xludf.DUMMYFUNCTION("""COMPUTED_VALUE"""),"Food")</f>
        <v>Food</v>
      </c>
      <c r="C1040" s="73" t="str">
        <f>IFERROR(__xludf.DUMMYFUNCTION("""COMPUTED_VALUE"""),"Sugar")</f>
        <v>Sugar</v>
      </c>
      <c r="D1040" s="73" t="str">
        <f>IFERROR(__xludf.DUMMYFUNCTION("""COMPUTED_VALUE"""),"60*60*70 mm | 2.3*2.3*2.75 inch")</f>
        <v>60*60*70 mm | 2.3*2.3*2.75 inch</v>
      </c>
      <c r="E1040" s="77">
        <f>IFERROR(__xludf.DUMMYFUNCTION("""COMPUTED_VALUE"""),8.0)</f>
        <v>8</v>
      </c>
      <c r="F1040" s="77">
        <f>IFERROR(__xludf.DUMMYFUNCTION("""COMPUTED_VALUE"""),2029.0)</f>
        <v>2029</v>
      </c>
      <c r="G1040" s="77">
        <f>IFERROR(__xludf.DUMMYFUNCTION("""COMPUTED_VALUE"""),20.0)</f>
        <v>20</v>
      </c>
      <c r="H1040" s="77">
        <f>IFERROR(__xludf.DUMMYFUNCTION("""COMPUTED_VALUE"""),28.0)</f>
        <v>28</v>
      </c>
      <c r="I1040" s="77">
        <f>IFERROR(__xludf.DUMMYFUNCTION("""COMPUTED_VALUE"""),100.0)</f>
        <v>100</v>
      </c>
      <c r="J1040" s="73"/>
      <c r="K1040" s="73"/>
      <c r="L1040" s="73"/>
      <c r="M1040" s="77">
        <f>IFERROR(__xludf.DUMMYFUNCTION("""COMPUTED_VALUE"""),0.1)</f>
        <v>0.1</v>
      </c>
      <c r="N1040" s="77">
        <f>IFERROR(__xludf.DUMMYFUNCTION("""COMPUTED_VALUE"""),1.0)</f>
        <v>1</v>
      </c>
      <c r="O1040" s="49"/>
      <c r="P1040" s="49" t="str">
        <f>IFERROR(__xludf.DUMMYFUNCTION("""COMPUTED_VALUE"""),"Offset")</f>
        <v>Offset</v>
      </c>
      <c r="Q1040" s="49" t="str">
        <f>IFERROR(__xludf.DUMMYFUNCTION("""COMPUTED_VALUE"""),"Packaging")</f>
        <v>Packaging</v>
      </c>
      <c r="R1040" s="49" t="str">
        <f>IFERROR(__xludf.DUMMYFUNCTION("""COMPUTED_VALUE"""),"Food")</f>
        <v>Food</v>
      </c>
    </row>
    <row r="1041">
      <c r="A1041" s="156" t="str">
        <f>IFERROR(__xludf.DUMMYFUNCTION("""COMPUTED_VALUE"""),"https://drive.google.com/open?id=1VnjDLGsZHYLMpIHTAPBXgjAaWeFFe8Co&amp;authuser=jay.agg%40gmail.com&amp;usp=drive_fs")</f>
        <v>https://drive.google.com/open?id=1VnjDLGsZHYLMpIHTAPBXgjAaWeFFe8Co&amp;authuser=jay.agg%40gmail.com&amp;usp=drive_fs</v>
      </c>
      <c r="B1041" s="73" t="str">
        <f>IFERROR(__xludf.DUMMYFUNCTION("""COMPUTED_VALUE"""),"Food")</f>
        <v>Food</v>
      </c>
      <c r="C1041" s="73" t="str">
        <f>IFERROR(__xludf.DUMMYFUNCTION("""COMPUTED_VALUE"""),"Misc")</f>
        <v>Misc</v>
      </c>
      <c r="D1041" s="73" t="str">
        <f>IFERROR(__xludf.DUMMYFUNCTION("""COMPUTED_VALUE"""),"267*267*20 mm | 10.5*10.5*0.75 inch W 7*7 inch")</f>
        <v>267*267*20 mm | 10.5*10.5*0.75 inch W 7*7 inch</v>
      </c>
      <c r="E1041" s="77">
        <f>IFERROR(__xludf.DUMMYFUNCTION("""COMPUTED_VALUE"""),1.0)</f>
        <v>1</v>
      </c>
      <c r="F1041" s="77">
        <f>IFERROR(__xludf.DUMMYFUNCTION("""COMPUTED_VALUE"""),1926.0)</f>
        <v>1926</v>
      </c>
      <c r="G1041" s="77">
        <f>IFERROR(__xludf.DUMMYFUNCTION("""COMPUTED_VALUE"""),15.0)</f>
        <v>15</v>
      </c>
      <c r="H1041" s="77">
        <f>IFERROR(__xludf.DUMMYFUNCTION("""COMPUTED_VALUE"""),25.0)</f>
        <v>25</v>
      </c>
      <c r="I1041" s="77">
        <f>IFERROR(__xludf.DUMMYFUNCTION("""COMPUTED_VALUE"""),100.0)</f>
        <v>100</v>
      </c>
      <c r="J1041" s="73"/>
      <c r="K1041" s="73"/>
      <c r="L1041" s="73">
        <f>IFERROR(__xludf.DUMMYFUNCTION("""COMPUTED_VALUE"""),2.0)</f>
        <v>2</v>
      </c>
      <c r="M1041" s="77">
        <f>IFERROR(__xludf.DUMMYFUNCTION("""COMPUTED_VALUE"""),0.1)</f>
        <v>0.1</v>
      </c>
      <c r="N1041" s="77">
        <f>IFERROR(__xludf.DUMMYFUNCTION("""COMPUTED_VALUE"""),1.0)</f>
        <v>1</v>
      </c>
      <c r="O1041" s="49"/>
      <c r="P1041" s="49" t="str">
        <f>IFERROR(__xludf.DUMMYFUNCTION("""COMPUTED_VALUE"""),"Offset")</f>
        <v>Offset</v>
      </c>
      <c r="Q1041" s="49" t="str">
        <f>IFERROR(__xludf.DUMMYFUNCTION("""COMPUTED_VALUE"""),"Packaging")</f>
        <v>Packaging</v>
      </c>
      <c r="R1041" s="49" t="str">
        <f>IFERROR(__xludf.DUMMYFUNCTION("""COMPUTED_VALUE"""),"Food")</f>
        <v>Food</v>
      </c>
    </row>
    <row r="1042">
      <c r="A1042" s="156" t="str">
        <f>IFERROR(__xludf.DUMMYFUNCTION("""COMPUTED_VALUE"""),"https://drive.google.com/open?id=1W8K3LGsxJqHIDtIbqdtppHLaxRx4D66i&amp;authuser=jay.agg%40gmail.com&amp;usp=drive_fs")</f>
        <v>https://drive.google.com/open?id=1W8K3LGsxJqHIDtIbqdtppHLaxRx4D66i&amp;authuser=jay.agg%40gmail.com&amp;usp=drive_fs</v>
      </c>
      <c r="B1042" s="73" t="str">
        <f>IFERROR(__xludf.DUMMYFUNCTION("""COMPUTED_VALUE"""),"Food")</f>
        <v>Food</v>
      </c>
      <c r="C1042" s="73" t="str">
        <f>IFERROR(__xludf.DUMMYFUNCTION("""COMPUTED_VALUE"""),"Sugar Free")</f>
        <v>Sugar Free</v>
      </c>
      <c r="D1042" s="73" t="str">
        <f>IFERROR(__xludf.DUMMYFUNCTION("""COMPUTED_VALUE"""),"127*127*76 mm | 5*5*3 inch Flap")</f>
        <v>127*127*76 mm | 5*5*3 inch Flap</v>
      </c>
      <c r="E1042" s="77">
        <f>IFERROR(__xludf.DUMMYFUNCTION("""COMPUTED_VALUE"""),2.0)</f>
        <v>2</v>
      </c>
      <c r="F1042" s="77">
        <f>IFERROR(__xludf.DUMMYFUNCTION("""COMPUTED_VALUE"""),2029.0)</f>
        <v>2029</v>
      </c>
      <c r="G1042" s="77">
        <f>IFERROR(__xludf.DUMMYFUNCTION("""COMPUTED_VALUE"""),18.0)</f>
        <v>18</v>
      </c>
      <c r="H1042" s="77">
        <f>IFERROR(__xludf.DUMMYFUNCTION("""COMPUTED_VALUE"""),23.0)</f>
        <v>23</v>
      </c>
      <c r="I1042" s="77">
        <f>IFERROR(__xludf.DUMMYFUNCTION("""COMPUTED_VALUE"""),100.0)</f>
        <v>100</v>
      </c>
      <c r="J1042" s="73"/>
      <c r="K1042" s="73"/>
      <c r="L1042" s="73"/>
      <c r="M1042" s="77">
        <f>IFERROR(__xludf.DUMMYFUNCTION("""COMPUTED_VALUE"""),0.1)</f>
        <v>0.1</v>
      </c>
      <c r="N1042" s="77">
        <f>IFERROR(__xludf.DUMMYFUNCTION("""COMPUTED_VALUE"""),1.0)</f>
        <v>1</v>
      </c>
      <c r="O1042" s="49"/>
      <c r="P1042" s="49" t="str">
        <f>IFERROR(__xludf.DUMMYFUNCTION("""COMPUTED_VALUE"""),"Offset")</f>
        <v>Offset</v>
      </c>
      <c r="Q1042" s="49" t="str">
        <f>IFERROR(__xludf.DUMMYFUNCTION("""COMPUTED_VALUE"""),"Packaging")</f>
        <v>Packaging</v>
      </c>
      <c r="R1042" s="49" t="str">
        <f>IFERROR(__xludf.DUMMYFUNCTION("""COMPUTED_VALUE"""),"Food")</f>
        <v>Food</v>
      </c>
    </row>
    <row r="1043">
      <c r="A1043" s="156" t="str">
        <f>IFERROR(__xludf.DUMMYFUNCTION("""COMPUTED_VALUE"""),"https://drive.google.com/open?id=1MZcgRJR6eRn0bLxw4dJgnt1Z8c1PCcAl&amp;authuser=jay.agg%40gmail.com&amp;usp=drive_fs")</f>
        <v>https://drive.google.com/open?id=1MZcgRJR6eRn0bLxw4dJgnt1Z8c1PCcAl&amp;authuser=jay.agg%40gmail.com&amp;usp=drive_fs</v>
      </c>
      <c r="B1043" s="73" t="str">
        <f>IFERROR(__xludf.DUMMYFUNCTION("""COMPUTED_VALUE"""),"Food")</f>
        <v>Food</v>
      </c>
      <c r="C1043" s="73" t="str">
        <f>IFERROR(__xludf.DUMMYFUNCTION("""COMPUTED_VALUE"""),"Misc")</f>
        <v>Misc</v>
      </c>
      <c r="D1043" s="73" t="str">
        <f>IFERROR(__xludf.DUMMYFUNCTION("""COMPUTED_VALUE"""),"102*51*152 mm | 4*2*6 inch")</f>
        <v>102*51*152 mm | 4*2*6 inch</v>
      </c>
      <c r="E1043" s="77">
        <f>IFERROR(__xludf.DUMMYFUNCTION("""COMPUTED_VALUE"""),4.0)</f>
        <v>4</v>
      </c>
      <c r="F1043" s="77">
        <f>IFERROR(__xludf.DUMMYFUNCTION("""COMPUTED_VALUE"""),2029.0)</f>
        <v>2029</v>
      </c>
      <c r="G1043" s="77">
        <f>IFERROR(__xludf.DUMMYFUNCTION("""COMPUTED_VALUE"""),19.0)</f>
        <v>19</v>
      </c>
      <c r="H1043" s="77">
        <f>IFERROR(__xludf.DUMMYFUNCTION("""COMPUTED_VALUE"""),26.0)</f>
        <v>26</v>
      </c>
      <c r="I1043" s="77">
        <f>IFERROR(__xludf.DUMMYFUNCTION("""COMPUTED_VALUE"""),100.0)</f>
        <v>100</v>
      </c>
      <c r="J1043" s="73"/>
      <c r="K1043" s="73"/>
      <c r="L1043" s="73"/>
      <c r="M1043" s="77">
        <f>IFERROR(__xludf.DUMMYFUNCTION("""COMPUTED_VALUE"""),0.1)</f>
        <v>0.1</v>
      </c>
      <c r="N1043" s="77">
        <f>IFERROR(__xludf.DUMMYFUNCTION("""COMPUTED_VALUE"""),1.0)</f>
        <v>1</v>
      </c>
      <c r="O1043" s="49"/>
      <c r="P1043" s="49" t="str">
        <f>IFERROR(__xludf.DUMMYFUNCTION("""COMPUTED_VALUE"""),"Offset")</f>
        <v>Offset</v>
      </c>
      <c r="Q1043" s="49" t="str">
        <f>IFERROR(__xludf.DUMMYFUNCTION("""COMPUTED_VALUE"""),"Packaging")</f>
        <v>Packaging</v>
      </c>
      <c r="R1043" s="49" t="str">
        <f>IFERROR(__xludf.DUMMYFUNCTION("""COMPUTED_VALUE"""),"Food")</f>
        <v>Food</v>
      </c>
    </row>
    <row r="1044">
      <c r="A1044" s="156" t="str">
        <f>IFERROR(__xludf.DUMMYFUNCTION("""COMPUTED_VALUE"""),"https://drive.google.com/open?id=1MfcBn_GQd5c1R_1f3A6p3lcJJN1Ro3F6&amp;authuser=jay.agg%40gmail.com&amp;usp=drive_fs")</f>
        <v>https://drive.google.com/open?id=1MfcBn_GQd5c1R_1f3A6p3lcJJN1Ro3F6&amp;authuser=jay.agg%40gmail.com&amp;usp=drive_fs</v>
      </c>
      <c r="B1044" s="73" t="str">
        <f>IFERROR(__xludf.DUMMYFUNCTION("""COMPUTED_VALUE"""),"Food")</f>
        <v>Food</v>
      </c>
      <c r="C1044" s="73" t="str">
        <f>IFERROR(__xludf.DUMMYFUNCTION("""COMPUTED_VALUE"""),"Misc")</f>
        <v>Misc</v>
      </c>
      <c r="D1044" s="73" t="str">
        <f>IFERROR(__xludf.DUMMYFUNCTION("""COMPUTED_VALUE"""),"140*35*195 mm | 5.5*1.4*7.6 inch LB")</f>
        <v>140*35*195 mm | 5.5*1.4*7.6 inch LB</v>
      </c>
      <c r="E1044" s="77">
        <f>IFERROR(__xludf.DUMMYFUNCTION("""COMPUTED_VALUE"""),8.0)</f>
        <v>8</v>
      </c>
      <c r="F1044" s="77">
        <f>IFERROR(__xludf.DUMMYFUNCTION("""COMPUTED_VALUE"""),2840.0)</f>
        <v>2840</v>
      </c>
      <c r="G1044" s="77">
        <f>IFERROR(__xludf.DUMMYFUNCTION("""COMPUTED_VALUE"""),31.5)</f>
        <v>31.5</v>
      </c>
      <c r="H1044" s="77">
        <f>IFERROR(__xludf.DUMMYFUNCTION("""COMPUTED_VALUE"""),41.5)</f>
        <v>41.5</v>
      </c>
      <c r="I1044" s="77">
        <f>IFERROR(__xludf.DUMMYFUNCTION("""COMPUTED_VALUE"""),100.0)</f>
        <v>100</v>
      </c>
      <c r="J1044" s="73"/>
      <c r="K1044" s="73"/>
      <c r="L1044" s="73"/>
      <c r="M1044" s="77">
        <f>IFERROR(__xludf.DUMMYFUNCTION("""COMPUTED_VALUE"""),0.24)</f>
        <v>0.24</v>
      </c>
      <c r="N1044" s="77">
        <f>IFERROR(__xludf.DUMMYFUNCTION("""COMPUTED_VALUE"""),1.0)</f>
        <v>1</v>
      </c>
      <c r="O1044" s="49"/>
      <c r="P1044" s="49" t="str">
        <f>IFERROR(__xludf.DUMMYFUNCTION("""COMPUTED_VALUE"""),"Offset")</f>
        <v>Offset</v>
      </c>
      <c r="Q1044" s="49" t="str">
        <f>IFERROR(__xludf.DUMMYFUNCTION("""COMPUTED_VALUE"""),"Packaging")</f>
        <v>Packaging</v>
      </c>
      <c r="R1044" s="49" t="str">
        <f>IFERROR(__xludf.DUMMYFUNCTION("""COMPUTED_VALUE"""),"Food")</f>
        <v>Food</v>
      </c>
    </row>
    <row r="1045">
      <c r="A1045" s="156" t="str">
        <f>IFERROR(__xludf.DUMMYFUNCTION("""COMPUTED_VALUE"""),"https://drive.google.com/open?id=1XbuBMiGIeJeLMlNdqinMKyIq2LAVN3Vo&amp;authuser=jay.agg%40gmail.com&amp;usp=drive_fs")</f>
        <v>https://drive.google.com/open?id=1XbuBMiGIeJeLMlNdqinMKyIq2LAVN3Vo&amp;authuser=jay.agg%40gmail.com&amp;usp=drive_fs</v>
      </c>
      <c r="B1045" s="73" t="str">
        <f>IFERROR(__xludf.DUMMYFUNCTION("""COMPUTED_VALUE"""),"Food")</f>
        <v>Food</v>
      </c>
      <c r="C1045" s="73" t="str">
        <f>IFERROR(__xludf.DUMMYFUNCTION("""COMPUTED_VALUE"""),"Cookies")</f>
        <v>Cookies</v>
      </c>
      <c r="D1045" s="73" t="str">
        <f>IFERROR(__xludf.DUMMYFUNCTION("""COMPUTED_VALUE"""),"160*50*85 mm | 6.3*2*3.3 inch")</f>
        <v>160*50*85 mm | 6.3*2*3.3 inch</v>
      </c>
      <c r="E1045" s="77">
        <f>IFERROR(__xludf.DUMMYFUNCTION("""COMPUTED_VALUE"""),4.0)</f>
        <v>4</v>
      </c>
      <c r="F1045" s="77">
        <f>IFERROR(__xludf.DUMMYFUNCTION("""COMPUTED_VALUE"""),2029.0)</f>
        <v>2029</v>
      </c>
      <c r="G1045" s="77">
        <f>IFERROR(__xludf.DUMMYFUNCTION("""COMPUTED_VALUE"""),20.0)</f>
        <v>20</v>
      </c>
      <c r="H1045" s="77">
        <f>IFERROR(__xludf.DUMMYFUNCTION("""COMPUTED_VALUE"""),23.0)</f>
        <v>23</v>
      </c>
      <c r="I1045" s="77">
        <f>IFERROR(__xludf.DUMMYFUNCTION("""COMPUTED_VALUE"""),100.0)</f>
        <v>100</v>
      </c>
      <c r="J1045" s="73"/>
      <c r="K1045" s="73"/>
      <c r="L1045" s="73"/>
      <c r="M1045" s="77">
        <f>IFERROR(__xludf.DUMMYFUNCTION("""COMPUTED_VALUE"""),0.1)</f>
        <v>0.1</v>
      </c>
      <c r="N1045" s="77">
        <f>IFERROR(__xludf.DUMMYFUNCTION("""COMPUTED_VALUE"""),1.0)</f>
        <v>1</v>
      </c>
      <c r="O1045" s="49"/>
      <c r="P1045" s="49" t="str">
        <f>IFERROR(__xludf.DUMMYFUNCTION("""COMPUTED_VALUE"""),"Offset")</f>
        <v>Offset</v>
      </c>
      <c r="Q1045" s="49" t="str">
        <f>IFERROR(__xludf.DUMMYFUNCTION("""COMPUTED_VALUE"""),"Packaging")</f>
        <v>Packaging</v>
      </c>
      <c r="R1045" s="49" t="str">
        <f>IFERROR(__xludf.DUMMYFUNCTION("""COMPUTED_VALUE"""),"Food")</f>
        <v>Food</v>
      </c>
    </row>
    <row r="1046">
      <c r="A1046" s="156" t="str">
        <f>IFERROR(__xludf.DUMMYFUNCTION("""COMPUTED_VALUE"""),"https://drive.google.com/open?id=1Zs1KOwwl0A7lPwcA-lFX7Uz5eZHgcnOh&amp;authuser=jay.agg%40gmail.com&amp;usp=drive_fs")</f>
        <v>https://drive.google.com/open?id=1Zs1KOwwl0A7lPwcA-lFX7Uz5eZHgcnOh&amp;authuser=jay.agg%40gmail.com&amp;usp=drive_fs</v>
      </c>
      <c r="B1046" s="73" t="str">
        <f>IFERROR(__xludf.DUMMYFUNCTION("""COMPUTED_VALUE"""),"Food")</f>
        <v>Food</v>
      </c>
      <c r="C1046" s="73" t="str">
        <f>IFERROR(__xludf.DUMMYFUNCTION("""COMPUTED_VALUE"""),"Chocolate")</f>
        <v>Chocolate</v>
      </c>
      <c r="D1046" s="73" t="str">
        <f>IFERROR(__xludf.DUMMYFUNCTION("""COMPUTED_VALUE"""),"75*15*150 mm | 2.9*0.6*5.9 inch")</f>
        <v>75*15*150 mm | 2.9*0.6*5.9 inch</v>
      </c>
      <c r="E1046" s="77">
        <f>IFERROR(__xludf.DUMMYFUNCTION("""COMPUTED_VALUE"""),6.0)</f>
        <v>6</v>
      </c>
      <c r="F1046" s="77">
        <f>IFERROR(__xludf.DUMMYFUNCTION("""COMPUTED_VALUE"""),1926.0)</f>
        <v>1926</v>
      </c>
      <c r="G1046" s="77">
        <f>IFERROR(__xludf.DUMMYFUNCTION("""COMPUTED_VALUE"""),18.0)</f>
        <v>18</v>
      </c>
      <c r="H1046" s="77">
        <f>IFERROR(__xludf.DUMMYFUNCTION("""COMPUTED_VALUE"""),23.0)</f>
        <v>23</v>
      </c>
      <c r="I1046" s="77">
        <f>IFERROR(__xludf.DUMMYFUNCTION("""COMPUTED_VALUE"""),100.0)</f>
        <v>100</v>
      </c>
      <c r="J1046" s="73"/>
      <c r="K1046" s="73"/>
      <c r="L1046" s="73"/>
      <c r="M1046" s="77">
        <f>IFERROR(__xludf.DUMMYFUNCTION("""COMPUTED_VALUE"""),0.1)</f>
        <v>0.1</v>
      </c>
      <c r="N1046" s="77">
        <f>IFERROR(__xludf.DUMMYFUNCTION("""COMPUTED_VALUE"""),1.0)</f>
        <v>1</v>
      </c>
      <c r="O1046" s="49"/>
      <c r="P1046" s="49" t="str">
        <f>IFERROR(__xludf.DUMMYFUNCTION("""COMPUTED_VALUE"""),"Offset")</f>
        <v>Offset</v>
      </c>
      <c r="Q1046" s="49" t="str">
        <f>IFERROR(__xludf.DUMMYFUNCTION("""COMPUTED_VALUE"""),"Packaging")</f>
        <v>Packaging</v>
      </c>
      <c r="R1046" s="49" t="str">
        <f>IFERROR(__xludf.DUMMYFUNCTION("""COMPUTED_VALUE"""),"Food")</f>
        <v>Food</v>
      </c>
    </row>
    <row r="1047">
      <c r="A1047" s="156" t="str">
        <f>IFERROR(__xludf.DUMMYFUNCTION("""COMPUTED_VALUE"""),"https://drive.google.com/open?id=1OUeI1hjrKsYImhu02Q5Rv64yicLMPFRa&amp;authuser=jay.agg%40gmail.com&amp;usp=drive_fs")</f>
        <v>https://drive.google.com/open?id=1OUeI1hjrKsYImhu02Q5Rv64yicLMPFRa&amp;authuser=jay.agg%40gmail.com&amp;usp=drive_fs</v>
      </c>
      <c r="B1047" s="73" t="str">
        <f>IFERROR(__xludf.DUMMYFUNCTION("""COMPUTED_VALUE"""),"Food")</f>
        <v>Food</v>
      </c>
      <c r="C1047" s="73" t="str">
        <f>IFERROR(__xludf.DUMMYFUNCTION("""COMPUTED_VALUE"""),"Chocolate")</f>
        <v>Chocolate</v>
      </c>
      <c r="D1047" s="73" t="str">
        <f>IFERROR(__xludf.DUMMYFUNCTION("""COMPUTED_VALUE"""),"75*15*150 mm | 2.9*0.6*5.9 inch Flat")</f>
        <v>75*15*150 mm | 2.9*0.6*5.9 inch Flat</v>
      </c>
      <c r="E1047" s="77">
        <f>IFERROR(__xludf.DUMMYFUNCTION("""COMPUTED_VALUE"""),4.0)</f>
        <v>4</v>
      </c>
      <c r="F1047" s="77">
        <f>IFERROR(__xludf.DUMMYFUNCTION("""COMPUTED_VALUE"""),2029.0)</f>
        <v>2029</v>
      </c>
      <c r="G1047" s="77">
        <f>IFERROR(__xludf.DUMMYFUNCTION("""COMPUTED_VALUE"""),20.0)</f>
        <v>20</v>
      </c>
      <c r="H1047" s="77">
        <f>IFERROR(__xludf.DUMMYFUNCTION("""COMPUTED_VALUE"""),21.0)</f>
        <v>21</v>
      </c>
      <c r="I1047" s="77">
        <f>IFERROR(__xludf.DUMMYFUNCTION("""COMPUTED_VALUE"""),100.0)</f>
        <v>100</v>
      </c>
      <c r="J1047" s="73"/>
      <c r="K1047" s="73"/>
      <c r="L1047" s="73"/>
      <c r="M1047" s="77"/>
      <c r="N1047" s="77">
        <f>IFERROR(__xludf.DUMMYFUNCTION("""COMPUTED_VALUE"""),1.0)</f>
        <v>1</v>
      </c>
      <c r="O1047" s="49"/>
      <c r="P1047" s="49" t="str">
        <f>IFERROR(__xludf.DUMMYFUNCTION("""COMPUTED_VALUE"""),"Offset")</f>
        <v>Offset</v>
      </c>
      <c r="Q1047" s="49" t="str">
        <f>IFERROR(__xludf.DUMMYFUNCTION("""COMPUTED_VALUE"""),"Packaging")</f>
        <v>Packaging</v>
      </c>
      <c r="R1047" s="49" t="str">
        <f>IFERROR(__xludf.DUMMYFUNCTION("""COMPUTED_VALUE"""),"Food")</f>
        <v>Food</v>
      </c>
    </row>
    <row r="1048">
      <c r="A1048" s="156" t="str">
        <f>IFERROR(__xludf.DUMMYFUNCTION("""COMPUTED_VALUE"""),"https://drive.google.com/open?id=1RbVA9G0GfOooAXiRtSrF3W27xwr7sRW5&amp;authuser=jay.agg%40gmail.com&amp;usp=drive_fs")</f>
        <v>https://drive.google.com/open?id=1RbVA9G0GfOooAXiRtSrF3W27xwr7sRW5&amp;authuser=jay.agg%40gmail.com&amp;usp=drive_fs</v>
      </c>
      <c r="B1048" s="73" t="str">
        <f>IFERROR(__xludf.DUMMYFUNCTION("""COMPUTED_VALUE"""),"Food")</f>
        <v>Food</v>
      </c>
      <c r="C1048" s="73" t="str">
        <f>IFERROR(__xludf.DUMMYFUNCTION("""COMPUTED_VALUE"""),"Chocolate")</f>
        <v>Chocolate</v>
      </c>
      <c r="D1048" s="73" t="str">
        <f>IFERROR(__xludf.DUMMYFUNCTION("""COMPUTED_VALUE"""),"80*15*175 mm | 3.15*0.6*6.9 inch")</f>
        <v>80*15*175 mm | 3.15*0.6*6.9 inch</v>
      </c>
      <c r="E1048" s="77">
        <f>IFERROR(__xludf.DUMMYFUNCTION("""COMPUTED_VALUE"""),6.0)</f>
        <v>6</v>
      </c>
      <c r="F1048" s="77">
        <f>IFERROR(__xludf.DUMMYFUNCTION("""COMPUTED_VALUE"""),1926.0)</f>
        <v>1926</v>
      </c>
      <c r="G1048" s="77">
        <f>IFERROR(__xludf.DUMMYFUNCTION("""COMPUTED_VALUE"""),18.0)</f>
        <v>18</v>
      </c>
      <c r="H1048" s="77">
        <f>IFERROR(__xludf.DUMMYFUNCTION("""COMPUTED_VALUE"""),25.0)</f>
        <v>25</v>
      </c>
      <c r="I1048" s="77">
        <f>IFERROR(__xludf.DUMMYFUNCTION("""COMPUTED_VALUE"""),100.0)</f>
        <v>100</v>
      </c>
      <c r="J1048" s="73"/>
      <c r="K1048" s="73"/>
      <c r="L1048" s="73"/>
      <c r="M1048" s="77">
        <f>IFERROR(__xludf.DUMMYFUNCTION("""COMPUTED_VALUE"""),0.1)</f>
        <v>0.1</v>
      </c>
      <c r="N1048" s="77">
        <f>IFERROR(__xludf.DUMMYFUNCTION("""COMPUTED_VALUE"""),1.0)</f>
        <v>1</v>
      </c>
      <c r="O1048" s="49"/>
      <c r="P1048" s="49" t="str">
        <f>IFERROR(__xludf.DUMMYFUNCTION("""COMPUTED_VALUE"""),"Offset")</f>
        <v>Offset</v>
      </c>
      <c r="Q1048" s="49" t="str">
        <f>IFERROR(__xludf.DUMMYFUNCTION("""COMPUTED_VALUE"""),"Packaging")</f>
        <v>Packaging</v>
      </c>
      <c r="R1048" s="49" t="str">
        <f>IFERROR(__xludf.DUMMYFUNCTION("""COMPUTED_VALUE"""),"Food")</f>
        <v>Food</v>
      </c>
    </row>
    <row r="1049">
      <c r="A1049" s="156" t="str">
        <f>IFERROR(__xludf.DUMMYFUNCTION("""COMPUTED_VALUE"""),"https://drive.google.com/open?id=1SBLkVNmqnX4OYK4aJO7joLQzUcHSj3tX&amp;authuser=jay.agg%40gmail.com&amp;usp=drive_fs")</f>
        <v>https://drive.google.com/open?id=1SBLkVNmqnX4OYK4aJO7joLQzUcHSj3tX&amp;authuser=jay.agg%40gmail.com&amp;usp=drive_fs</v>
      </c>
      <c r="B1049" s="73" t="str">
        <f>IFERROR(__xludf.DUMMYFUNCTION("""COMPUTED_VALUE"""),"Food")</f>
        <v>Food</v>
      </c>
      <c r="C1049" s="73" t="str">
        <f>IFERROR(__xludf.DUMMYFUNCTION("""COMPUTED_VALUE"""),"Dog Food")</f>
        <v>Dog Food</v>
      </c>
      <c r="D1049" s="73" t="str">
        <f>IFERROR(__xludf.DUMMYFUNCTION("""COMPUTED_VALUE"""),"127*15*178 mm | 5*0.6*7 inch")</f>
        <v>127*15*178 mm | 5*0.6*7 inch</v>
      </c>
      <c r="E1049" s="77">
        <f>IFERROR(__xludf.DUMMYFUNCTION("""COMPUTED_VALUE"""),4.0)</f>
        <v>4</v>
      </c>
      <c r="F1049" s="77">
        <f>IFERROR(__xludf.DUMMYFUNCTION("""COMPUTED_VALUE"""),1926.0)</f>
        <v>1926</v>
      </c>
      <c r="G1049" s="77">
        <f>IFERROR(__xludf.DUMMYFUNCTION("""COMPUTED_VALUE"""),18.0)</f>
        <v>18</v>
      </c>
      <c r="H1049" s="77">
        <f>IFERROR(__xludf.DUMMYFUNCTION("""COMPUTED_VALUE"""),25.0)</f>
        <v>25</v>
      </c>
      <c r="I1049" s="77">
        <f>IFERROR(__xludf.DUMMYFUNCTION("""COMPUTED_VALUE"""),100.0)</f>
        <v>100</v>
      </c>
      <c r="J1049" s="73"/>
      <c r="K1049" s="73"/>
      <c r="L1049" s="73"/>
      <c r="M1049" s="77">
        <f>IFERROR(__xludf.DUMMYFUNCTION("""COMPUTED_VALUE"""),0.1)</f>
        <v>0.1</v>
      </c>
      <c r="N1049" s="77">
        <f>IFERROR(__xludf.DUMMYFUNCTION("""COMPUTED_VALUE"""),1.0)</f>
        <v>1</v>
      </c>
      <c r="O1049" s="49"/>
      <c r="P1049" s="49" t="str">
        <f>IFERROR(__xludf.DUMMYFUNCTION("""COMPUTED_VALUE"""),"Offset")</f>
        <v>Offset</v>
      </c>
      <c r="Q1049" s="49" t="str">
        <f>IFERROR(__xludf.DUMMYFUNCTION("""COMPUTED_VALUE"""),"Packaging")</f>
        <v>Packaging</v>
      </c>
      <c r="R1049" s="49" t="str">
        <f>IFERROR(__xludf.DUMMYFUNCTION("""COMPUTED_VALUE"""),"Food")</f>
        <v>Food</v>
      </c>
    </row>
    <row r="1050">
      <c r="A1050" s="156" t="str">
        <f>IFERROR(__xludf.DUMMYFUNCTION("""COMPUTED_VALUE"""),"https://drive.google.com/open?id=1bZ1xCuANVfYF3FIC18rTJsMQhSFLnJNm&amp;authuser=jay.agg%40gmail.com&amp;usp=drive_fs")</f>
        <v>https://drive.google.com/open?id=1bZ1xCuANVfYF3FIC18rTJsMQhSFLnJNm&amp;authuser=jay.agg%40gmail.com&amp;usp=drive_fs</v>
      </c>
      <c r="B1050" s="73" t="str">
        <f>IFERROR(__xludf.DUMMYFUNCTION("""COMPUTED_VALUE"""),"Food")</f>
        <v>Food</v>
      </c>
      <c r="C1050" s="73" t="str">
        <f>IFERROR(__xludf.DUMMYFUNCTION("""COMPUTED_VALUE"""),"Chocolate")</f>
        <v>Chocolate</v>
      </c>
      <c r="D1050" s="73" t="str">
        <f>IFERROR(__xludf.DUMMYFUNCTION("""COMPUTED_VALUE"""),"45*13*45 mm | 1.75*0.5*1.75 inch")</f>
        <v>45*13*45 mm | 1.75*0.5*1.75 inch</v>
      </c>
      <c r="E1050" s="77">
        <f>IFERROR(__xludf.DUMMYFUNCTION("""COMPUTED_VALUE"""),20.0)</f>
        <v>20</v>
      </c>
      <c r="F1050" s="77">
        <f>IFERROR(__xludf.DUMMYFUNCTION("""COMPUTED_VALUE"""),1926.0)</f>
        <v>1926</v>
      </c>
      <c r="G1050" s="77">
        <f>IFERROR(__xludf.DUMMYFUNCTION("""COMPUTED_VALUE"""),15.75)</f>
        <v>15.75</v>
      </c>
      <c r="H1050" s="77">
        <f>IFERROR(__xludf.DUMMYFUNCTION("""COMPUTED_VALUE"""),20.75)</f>
        <v>20.75</v>
      </c>
      <c r="I1050" s="77">
        <f>IFERROR(__xludf.DUMMYFUNCTION("""COMPUTED_VALUE"""),100.0)</f>
        <v>100</v>
      </c>
      <c r="J1050" s="73"/>
      <c r="K1050" s="73"/>
      <c r="L1050" s="73"/>
      <c r="M1050" s="77">
        <f>IFERROR(__xludf.DUMMYFUNCTION("""COMPUTED_VALUE"""),0.1)</f>
        <v>0.1</v>
      </c>
      <c r="N1050" s="77">
        <f>IFERROR(__xludf.DUMMYFUNCTION("""COMPUTED_VALUE"""),1.0)</f>
        <v>1</v>
      </c>
      <c r="O1050" s="49"/>
      <c r="P1050" s="49" t="str">
        <f>IFERROR(__xludf.DUMMYFUNCTION("""COMPUTED_VALUE"""),"Offset")</f>
        <v>Offset</v>
      </c>
      <c r="Q1050" s="49" t="str">
        <f>IFERROR(__xludf.DUMMYFUNCTION("""COMPUTED_VALUE"""),"Packaging")</f>
        <v>Packaging</v>
      </c>
      <c r="R1050" s="49" t="str">
        <f>IFERROR(__xludf.DUMMYFUNCTION("""COMPUTED_VALUE"""),"Food")</f>
        <v>Food</v>
      </c>
    </row>
    <row r="1051">
      <c r="A1051" s="156" t="str">
        <f>IFERROR(__xludf.DUMMYFUNCTION("""COMPUTED_VALUE"""),"https://drive.google.com/open?id=1bcZpGfPoMXDPTbSxzxMxjn7Rxt7adn7l&amp;authuser=jay.agg%40gmail.com&amp;usp=drive_fs")</f>
        <v>https://drive.google.com/open?id=1bcZpGfPoMXDPTbSxzxMxjn7Rxt7adn7l&amp;authuser=jay.agg%40gmail.com&amp;usp=drive_fs</v>
      </c>
      <c r="B1051" s="73" t="str">
        <f>IFERROR(__xludf.DUMMYFUNCTION("""COMPUTED_VALUE"""),"Food")</f>
        <v>Food</v>
      </c>
      <c r="C1051" s="73" t="str">
        <f>IFERROR(__xludf.DUMMYFUNCTION("""COMPUTED_VALUE"""),"Chocolate")</f>
        <v>Chocolate</v>
      </c>
      <c r="D1051" s="73" t="str">
        <f>IFERROR(__xludf.DUMMYFUNCTION("""COMPUTED_VALUE"""),"46*19*46 mm | 1.8*0.75*1.8 inch")</f>
        <v>46*19*46 mm | 1.8*0.75*1.8 inch</v>
      </c>
      <c r="E1051" s="77">
        <f>IFERROR(__xludf.DUMMYFUNCTION("""COMPUTED_VALUE"""),20.0)</f>
        <v>20</v>
      </c>
      <c r="F1051" s="77">
        <f>IFERROR(__xludf.DUMMYFUNCTION("""COMPUTED_VALUE"""),1926.0)</f>
        <v>1926</v>
      </c>
      <c r="G1051" s="77">
        <f>IFERROR(__xludf.DUMMYFUNCTION("""COMPUTED_VALUE"""),18.0)</f>
        <v>18</v>
      </c>
      <c r="H1051" s="77">
        <f>IFERROR(__xludf.DUMMYFUNCTION("""COMPUTED_VALUE"""),23.0)</f>
        <v>23</v>
      </c>
      <c r="I1051" s="77">
        <f>IFERROR(__xludf.DUMMYFUNCTION("""COMPUTED_VALUE"""),100.0)</f>
        <v>100</v>
      </c>
      <c r="J1051" s="73"/>
      <c r="K1051" s="73"/>
      <c r="L1051" s="73"/>
      <c r="M1051" s="77">
        <f>IFERROR(__xludf.DUMMYFUNCTION("""COMPUTED_VALUE"""),0.1)</f>
        <v>0.1</v>
      </c>
      <c r="N1051" s="77">
        <f>IFERROR(__xludf.DUMMYFUNCTION("""COMPUTED_VALUE"""),1.0)</f>
        <v>1</v>
      </c>
      <c r="O1051" s="49"/>
      <c r="P1051" s="49" t="str">
        <f>IFERROR(__xludf.DUMMYFUNCTION("""COMPUTED_VALUE"""),"Offset")</f>
        <v>Offset</v>
      </c>
      <c r="Q1051" s="49" t="str">
        <f>IFERROR(__xludf.DUMMYFUNCTION("""COMPUTED_VALUE"""),"Packaging")</f>
        <v>Packaging</v>
      </c>
      <c r="R1051" s="49" t="str">
        <f>IFERROR(__xludf.DUMMYFUNCTION("""COMPUTED_VALUE"""),"Food")</f>
        <v>Food</v>
      </c>
    </row>
    <row r="1052">
      <c r="A1052" s="156" t="str">
        <f>IFERROR(__xludf.DUMMYFUNCTION("""COMPUTED_VALUE"""),"https://drive.google.com/open?id=1TdHmVW8TpujDIJ9hmo96hi9fIYAhzrOL&amp;authuser=jay.agg%40gmail.com&amp;usp=drive_fs")</f>
        <v>https://drive.google.com/open?id=1TdHmVW8TpujDIJ9hmo96hi9fIYAhzrOL&amp;authuser=jay.agg%40gmail.com&amp;usp=drive_fs</v>
      </c>
      <c r="B1052" s="73" t="str">
        <f>IFERROR(__xludf.DUMMYFUNCTION("""COMPUTED_VALUE"""),"Food")</f>
        <v>Food</v>
      </c>
      <c r="C1052" s="73" t="str">
        <f>IFERROR(__xludf.DUMMYFUNCTION("""COMPUTED_VALUE"""),"Chocolate")</f>
        <v>Chocolate</v>
      </c>
      <c r="D1052" s="73" t="str">
        <f>IFERROR(__xludf.DUMMYFUNCTION("""COMPUTED_VALUE"""),"110*33*65 mm | 4.3*1.2*2.4 inch")</f>
        <v>110*33*65 mm | 4.3*1.2*2.4 inch</v>
      </c>
      <c r="E1052" s="77">
        <f>IFERROR(__xludf.DUMMYFUNCTION("""COMPUTED_VALUE"""),6.0)</f>
        <v>6</v>
      </c>
      <c r="F1052" s="77">
        <f>IFERROR(__xludf.DUMMYFUNCTION("""COMPUTED_VALUE"""),2029.0)</f>
        <v>2029</v>
      </c>
      <c r="G1052" s="77">
        <f>IFERROR(__xludf.DUMMYFUNCTION("""COMPUTED_VALUE"""),20.0)</f>
        <v>20</v>
      </c>
      <c r="H1052" s="77">
        <f>IFERROR(__xludf.DUMMYFUNCTION("""COMPUTED_VALUE"""),28.0)</f>
        <v>28</v>
      </c>
      <c r="I1052" s="77">
        <f>IFERROR(__xludf.DUMMYFUNCTION("""COMPUTED_VALUE"""),100.0)</f>
        <v>100</v>
      </c>
      <c r="J1052" s="73"/>
      <c r="K1052" s="73"/>
      <c r="L1052" s="73"/>
      <c r="M1052" s="77">
        <f>IFERROR(__xludf.DUMMYFUNCTION("""COMPUTED_VALUE"""),0.16)</f>
        <v>0.16</v>
      </c>
      <c r="N1052" s="77">
        <f>IFERROR(__xludf.DUMMYFUNCTION("""COMPUTED_VALUE"""),1.0)</f>
        <v>1</v>
      </c>
      <c r="O1052" s="49"/>
      <c r="P1052" s="49" t="str">
        <f>IFERROR(__xludf.DUMMYFUNCTION("""COMPUTED_VALUE"""),"Offset")</f>
        <v>Offset</v>
      </c>
      <c r="Q1052" s="49" t="str">
        <f>IFERROR(__xludf.DUMMYFUNCTION("""COMPUTED_VALUE"""),"Packaging")</f>
        <v>Packaging</v>
      </c>
      <c r="R1052" s="49" t="str">
        <f>IFERROR(__xludf.DUMMYFUNCTION("""COMPUTED_VALUE"""),"Food")</f>
        <v>Food</v>
      </c>
    </row>
    <row r="1053">
      <c r="A1053" s="156" t="str">
        <f>IFERROR(__xludf.DUMMYFUNCTION("""COMPUTED_VALUE"""),"https://drive.google.com/open?id=1TeYHEy8TxqYIbPsxfxDa3-2Cc7CS_8AY&amp;authuser=jay.agg%40gmail.com&amp;usp=drive_fs")</f>
        <v>https://drive.google.com/open?id=1TeYHEy8TxqYIbPsxfxDa3-2Cc7CS_8AY&amp;authuser=jay.agg%40gmail.com&amp;usp=drive_fs</v>
      </c>
      <c r="B1053" s="73" t="str">
        <f>IFERROR(__xludf.DUMMYFUNCTION("""COMPUTED_VALUE"""),"Food")</f>
        <v>Food</v>
      </c>
      <c r="C1053" s="73" t="str">
        <f>IFERROR(__xludf.DUMMYFUNCTION("""COMPUTED_VALUE"""),"Chocolate")</f>
        <v>Chocolate</v>
      </c>
      <c r="D1053" s="73" t="str">
        <f>IFERROR(__xludf.DUMMYFUNCTION("""COMPUTED_VALUE"""),"230*90*42 mm | 9*3.5*1.6 inch")</f>
        <v>230*90*42 mm | 9*3.5*1.6 inch</v>
      </c>
      <c r="E1053" s="77">
        <f>IFERROR(__xludf.DUMMYFUNCTION("""COMPUTED_VALUE"""),2.0)</f>
        <v>2</v>
      </c>
      <c r="F1053" s="77">
        <f>IFERROR(__xludf.DUMMYFUNCTION("""COMPUTED_VALUE"""),1926.0)</f>
        <v>1926</v>
      </c>
      <c r="G1053" s="77">
        <f>IFERROR(__xludf.DUMMYFUNCTION("""COMPUTED_VALUE"""),18.0)</f>
        <v>18</v>
      </c>
      <c r="H1053" s="77">
        <f>IFERROR(__xludf.DUMMYFUNCTION("""COMPUTED_VALUE"""),25.0)</f>
        <v>25</v>
      </c>
      <c r="I1053" s="77">
        <f>IFERROR(__xludf.DUMMYFUNCTION("""COMPUTED_VALUE"""),100.0)</f>
        <v>100</v>
      </c>
      <c r="J1053" s="73"/>
      <c r="K1053" s="73"/>
      <c r="L1053" s="73"/>
      <c r="M1053" s="77">
        <f>IFERROR(__xludf.DUMMYFUNCTION("""COMPUTED_VALUE"""),0.12)</f>
        <v>0.12</v>
      </c>
      <c r="N1053" s="77">
        <f>IFERROR(__xludf.DUMMYFUNCTION("""COMPUTED_VALUE"""),1.0)</f>
        <v>1</v>
      </c>
      <c r="O1053" s="49"/>
      <c r="P1053" s="49" t="str">
        <f>IFERROR(__xludf.DUMMYFUNCTION("""COMPUTED_VALUE"""),"Offset")</f>
        <v>Offset</v>
      </c>
      <c r="Q1053" s="49" t="str">
        <f>IFERROR(__xludf.DUMMYFUNCTION("""COMPUTED_VALUE"""),"Packaging")</f>
        <v>Packaging</v>
      </c>
      <c r="R1053" s="49" t="str">
        <f>IFERROR(__xludf.DUMMYFUNCTION("""COMPUTED_VALUE"""),"Food")</f>
        <v>Food</v>
      </c>
    </row>
    <row r="1054">
      <c r="A1054" s="156" t="str">
        <f>IFERROR(__xludf.DUMMYFUNCTION("""COMPUTED_VALUE"""),"https://drive.google.com/open?id=1br_Bmmo5BouaDD0ySdIBxeB0Zho9elM9&amp;authuser=jay.agg%40gmail.com&amp;usp=drive_fs")</f>
        <v>https://drive.google.com/open?id=1br_Bmmo5BouaDD0ySdIBxeB0Zho9elM9&amp;authuser=jay.agg%40gmail.com&amp;usp=drive_fs</v>
      </c>
      <c r="B1054" s="73" t="str">
        <f>IFERROR(__xludf.DUMMYFUNCTION("""COMPUTED_VALUE"""),"Food")</f>
        <v>Food</v>
      </c>
      <c r="C1054" s="73" t="str">
        <f>IFERROR(__xludf.DUMMYFUNCTION("""COMPUTED_VALUE"""),"Chocolate")</f>
        <v>Chocolate</v>
      </c>
      <c r="D1054" s="73" t="str">
        <f>IFERROR(__xludf.DUMMYFUNCTION("""COMPUTED_VALUE"""),"110*45*165 mm | 4.3*1.7*6.5 inch")</f>
        <v>110*45*165 mm | 4.3*1.7*6.5 inch</v>
      </c>
      <c r="E1054" s="77">
        <f>IFERROR(__xludf.DUMMYFUNCTION("""COMPUTED_VALUE"""),4.0)</f>
        <v>4</v>
      </c>
      <c r="F1054" s="77">
        <f>IFERROR(__xludf.DUMMYFUNCTION("""COMPUTED_VALUE"""),2029.0)</f>
        <v>2029</v>
      </c>
      <c r="G1054" s="77">
        <f>IFERROR(__xludf.DUMMYFUNCTION("""COMPUTED_VALUE"""),20.0)</f>
        <v>20</v>
      </c>
      <c r="H1054" s="77">
        <f>IFERROR(__xludf.DUMMYFUNCTION("""COMPUTED_VALUE"""),28.0)</f>
        <v>28</v>
      </c>
      <c r="I1054" s="77">
        <f>IFERROR(__xludf.DUMMYFUNCTION("""COMPUTED_VALUE"""),100.0)</f>
        <v>100</v>
      </c>
      <c r="J1054" s="73"/>
      <c r="K1054" s="73"/>
      <c r="L1054" s="73"/>
      <c r="M1054" s="77">
        <f>IFERROR(__xludf.DUMMYFUNCTION("""COMPUTED_VALUE"""),0.1)</f>
        <v>0.1</v>
      </c>
      <c r="N1054" s="77">
        <f>IFERROR(__xludf.DUMMYFUNCTION("""COMPUTED_VALUE"""),1.0)</f>
        <v>1</v>
      </c>
      <c r="O1054" s="49"/>
      <c r="P1054" s="49" t="str">
        <f>IFERROR(__xludf.DUMMYFUNCTION("""COMPUTED_VALUE"""),"Offset")</f>
        <v>Offset</v>
      </c>
      <c r="Q1054" s="49" t="str">
        <f>IFERROR(__xludf.DUMMYFUNCTION("""COMPUTED_VALUE"""),"Packaging")</f>
        <v>Packaging</v>
      </c>
      <c r="R1054" s="49" t="str">
        <f>IFERROR(__xludf.DUMMYFUNCTION("""COMPUTED_VALUE"""),"Food")</f>
        <v>Food</v>
      </c>
    </row>
    <row r="1055">
      <c r="A1055" s="156" t="str">
        <f>IFERROR(__xludf.DUMMYFUNCTION("""COMPUTED_VALUE"""),"https://drive.google.com/open?id=1btVQf7Al07HEYIVxn9NCb5ooWJnS6fi0&amp;authuser=jay.agg%40gmail.com&amp;usp=drive_fs")</f>
        <v>https://drive.google.com/open?id=1btVQf7Al07HEYIVxn9NCb5ooWJnS6fi0&amp;authuser=jay.agg%40gmail.com&amp;usp=drive_fs</v>
      </c>
      <c r="B1055" s="73" t="str">
        <f>IFERROR(__xludf.DUMMYFUNCTION("""COMPUTED_VALUE"""),"Food")</f>
        <v>Food</v>
      </c>
      <c r="C1055" s="73" t="str">
        <f>IFERROR(__xludf.DUMMYFUNCTION("""COMPUTED_VALUE"""),"Chocolate")</f>
        <v>Chocolate</v>
      </c>
      <c r="D1055" s="73" t="str">
        <f>IFERROR(__xludf.DUMMYFUNCTION("""COMPUTED_VALUE"""),"67*53*190 mm | 2.6*2*7.5 inch")</f>
        <v>67*53*190 mm | 2.6*2*7.5 inch</v>
      </c>
      <c r="E1055" s="77">
        <f>IFERROR(__xludf.DUMMYFUNCTION("""COMPUTED_VALUE"""),4.0)</f>
        <v>4</v>
      </c>
      <c r="F1055" s="77">
        <f>IFERROR(__xludf.DUMMYFUNCTION("""COMPUTED_VALUE"""),2029.0)</f>
        <v>2029</v>
      </c>
      <c r="G1055" s="77">
        <f>IFERROR(__xludf.DUMMYFUNCTION("""COMPUTED_VALUE"""),20.0)</f>
        <v>20</v>
      </c>
      <c r="H1055" s="77">
        <f>IFERROR(__xludf.DUMMYFUNCTION("""COMPUTED_VALUE"""),25.0)</f>
        <v>25</v>
      </c>
      <c r="I1055" s="77">
        <f>IFERROR(__xludf.DUMMYFUNCTION("""COMPUTED_VALUE"""),100.0)</f>
        <v>100</v>
      </c>
      <c r="J1055" s="73"/>
      <c r="K1055" s="73"/>
      <c r="L1055" s="73"/>
      <c r="M1055" s="77">
        <f>IFERROR(__xludf.DUMMYFUNCTION("""COMPUTED_VALUE"""),0.1)</f>
        <v>0.1</v>
      </c>
      <c r="N1055" s="77">
        <f>IFERROR(__xludf.DUMMYFUNCTION("""COMPUTED_VALUE"""),1.0)</f>
        <v>1</v>
      </c>
      <c r="O1055" s="49"/>
      <c r="P1055" s="49" t="str">
        <f>IFERROR(__xludf.DUMMYFUNCTION("""COMPUTED_VALUE"""),"Offset")</f>
        <v>Offset</v>
      </c>
      <c r="Q1055" s="49" t="str">
        <f>IFERROR(__xludf.DUMMYFUNCTION("""COMPUTED_VALUE"""),"Packaging")</f>
        <v>Packaging</v>
      </c>
      <c r="R1055" s="49" t="str">
        <f>IFERROR(__xludf.DUMMYFUNCTION("""COMPUTED_VALUE"""),"Food")</f>
        <v>Food</v>
      </c>
    </row>
    <row r="1056">
      <c r="A1056" s="156" t="str">
        <f>IFERROR(__xludf.DUMMYFUNCTION("""COMPUTED_VALUE"""),"https://drive.google.com/open?id=1bu696xsT3kcj5Rq3y0z5VaE0FRBzU4hJ&amp;authuser=jay.agg%40gmail.com&amp;usp=drive_fs")</f>
        <v>https://drive.google.com/open?id=1bu696xsT3kcj5Rq3y0z5VaE0FRBzU4hJ&amp;authuser=jay.agg%40gmail.com&amp;usp=drive_fs</v>
      </c>
      <c r="B1056" s="73" t="str">
        <f>IFERROR(__xludf.DUMMYFUNCTION("""COMPUTED_VALUE"""),"Food")</f>
        <v>Food</v>
      </c>
      <c r="C1056" s="73" t="str">
        <f>IFERROR(__xludf.DUMMYFUNCTION("""COMPUTED_VALUE"""),"Chocolate")</f>
        <v>Chocolate</v>
      </c>
      <c r="D1056" s="73" t="str">
        <f>IFERROR(__xludf.DUMMYFUNCTION("""COMPUTED_VALUE"""),"100*60*198 mm | 3.9*2.4*7.8 inch")</f>
        <v>100*60*198 mm | 3.9*2.4*7.8 inch</v>
      </c>
      <c r="E1056" s="77">
        <f>IFERROR(__xludf.DUMMYFUNCTION("""COMPUTED_VALUE"""),2.0)</f>
        <v>2</v>
      </c>
      <c r="F1056" s="77">
        <f>IFERROR(__xludf.DUMMYFUNCTION("""COMPUTED_VALUE"""),1926.0)</f>
        <v>1926</v>
      </c>
      <c r="G1056" s="77">
        <f>IFERROR(__xludf.DUMMYFUNCTION("""COMPUTED_VALUE"""),15.0)</f>
        <v>15</v>
      </c>
      <c r="H1056" s="77">
        <f>IFERROR(__xludf.DUMMYFUNCTION("""COMPUTED_VALUE"""),25.0)</f>
        <v>25</v>
      </c>
      <c r="I1056" s="77">
        <f>IFERROR(__xludf.DUMMYFUNCTION("""COMPUTED_VALUE"""),100.0)</f>
        <v>100</v>
      </c>
      <c r="J1056" s="73"/>
      <c r="K1056" s="73"/>
      <c r="L1056" s="73"/>
      <c r="M1056" s="77">
        <f>IFERROR(__xludf.DUMMYFUNCTION("""COMPUTED_VALUE"""),0.1)</f>
        <v>0.1</v>
      </c>
      <c r="N1056" s="77">
        <f>IFERROR(__xludf.DUMMYFUNCTION("""COMPUTED_VALUE"""),1.0)</f>
        <v>1</v>
      </c>
      <c r="O1056" s="49"/>
      <c r="P1056" s="49" t="str">
        <f>IFERROR(__xludf.DUMMYFUNCTION("""COMPUTED_VALUE"""),"Offset")</f>
        <v>Offset</v>
      </c>
      <c r="Q1056" s="49" t="str">
        <f>IFERROR(__xludf.DUMMYFUNCTION("""COMPUTED_VALUE"""),"Packaging")</f>
        <v>Packaging</v>
      </c>
      <c r="R1056" s="49" t="str">
        <f>IFERROR(__xludf.DUMMYFUNCTION("""COMPUTED_VALUE"""),"Food")</f>
        <v>Food</v>
      </c>
    </row>
    <row r="1057">
      <c r="A1057" s="156" t="str">
        <f>IFERROR(__xludf.DUMMYFUNCTION("""COMPUTED_VALUE"""),"https://drive.google.com/open?id=1cQZ1nLDZbcrBAbbuejJB5gYu4UDh2ip4&amp;authuser=jay.agg%40gmail.com&amp;usp=drive_fs")</f>
        <v>https://drive.google.com/open?id=1cQZ1nLDZbcrBAbbuejJB5gYu4UDh2ip4&amp;authuser=jay.agg%40gmail.com&amp;usp=drive_fs</v>
      </c>
      <c r="B1057" s="73" t="str">
        <f>IFERROR(__xludf.DUMMYFUNCTION("""COMPUTED_VALUE"""),"Food")</f>
        <v>Food</v>
      </c>
      <c r="C1057" s="73" t="str">
        <f>IFERROR(__xludf.DUMMYFUNCTION("""COMPUTED_VALUE"""),"Pop Corn")</f>
        <v>Pop Corn</v>
      </c>
      <c r="D1057" s="73" t="str">
        <f>IFERROR(__xludf.DUMMYFUNCTION("""COMPUTED_VALUE"""),"90*90*200 mm | 3.5*3.5*7.8 inch IL")</f>
        <v>90*90*200 mm | 3.5*3.5*7.8 inch IL</v>
      </c>
      <c r="E1057" s="77">
        <f>IFERROR(__xludf.DUMMYFUNCTION("""COMPUTED_VALUE"""),2.0)</f>
        <v>2</v>
      </c>
      <c r="F1057" s="77">
        <f>IFERROR(__xludf.DUMMYFUNCTION("""COMPUTED_VALUE"""),1926.0)</f>
        <v>1926</v>
      </c>
      <c r="G1057" s="77">
        <f>IFERROR(__xludf.DUMMYFUNCTION("""COMPUTED_VALUE"""),18.0)</f>
        <v>18</v>
      </c>
      <c r="H1057" s="77">
        <f>IFERROR(__xludf.DUMMYFUNCTION("""COMPUTED_VALUE"""),23.0)</f>
        <v>23</v>
      </c>
      <c r="I1057" s="77">
        <f>IFERROR(__xludf.DUMMYFUNCTION("""COMPUTED_VALUE"""),100.0)</f>
        <v>100</v>
      </c>
      <c r="J1057" s="73"/>
      <c r="K1057" s="73"/>
      <c r="L1057" s="73"/>
      <c r="M1057" s="77">
        <f>IFERROR(__xludf.DUMMYFUNCTION("""COMPUTED_VALUE"""),0.23)</f>
        <v>0.23</v>
      </c>
      <c r="N1057" s="77">
        <f>IFERROR(__xludf.DUMMYFUNCTION("""COMPUTED_VALUE"""),1.0)</f>
        <v>1</v>
      </c>
      <c r="O1057" s="49"/>
      <c r="P1057" s="49" t="str">
        <f>IFERROR(__xludf.DUMMYFUNCTION("""COMPUTED_VALUE"""),"Offset")</f>
        <v>Offset</v>
      </c>
      <c r="Q1057" s="49" t="str">
        <f>IFERROR(__xludf.DUMMYFUNCTION("""COMPUTED_VALUE"""),"Packaging")</f>
        <v>Packaging</v>
      </c>
      <c r="R1057" s="49" t="str">
        <f>IFERROR(__xludf.DUMMYFUNCTION("""COMPUTED_VALUE"""),"Food")</f>
        <v>Food</v>
      </c>
    </row>
    <row r="1058">
      <c r="A1058" s="156" t="str">
        <f>IFERROR(__xludf.DUMMYFUNCTION("""COMPUTED_VALUE"""),"https://drive.google.com/open?id=1cU17WcKhUy0IEwwgaJbbKg6a20l_eH8x&amp;authuser=jay.agg%40gmail.com&amp;usp=drive_fs")</f>
        <v>https://drive.google.com/open?id=1cU17WcKhUy0IEwwgaJbbKg6a20l_eH8x&amp;authuser=jay.agg%40gmail.com&amp;usp=drive_fs</v>
      </c>
      <c r="B1058" s="73" t="str">
        <f>IFERROR(__xludf.DUMMYFUNCTION("""COMPUTED_VALUE"""),"Food")</f>
        <v>Food</v>
      </c>
      <c r="C1058" s="73" t="str">
        <f>IFERROR(__xludf.DUMMYFUNCTION("""COMPUTED_VALUE"""),"Burger Box")</f>
        <v>Burger Box</v>
      </c>
      <c r="D1058" s="73" t="str">
        <f>IFERROR(__xludf.DUMMYFUNCTION("""COMPUTED_VALUE"""),"105*105*48 mm 4*4*2 inch")</f>
        <v>105*105*48 mm 4*4*2 inch</v>
      </c>
      <c r="E1058" s="77">
        <f>IFERROR(__xludf.DUMMYFUNCTION("""COMPUTED_VALUE"""),3.0)</f>
        <v>3</v>
      </c>
      <c r="F1058" s="77">
        <f>IFERROR(__xludf.DUMMYFUNCTION("""COMPUTED_VALUE"""),1926.0)</f>
        <v>1926</v>
      </c>
      <c r="G1058" s="77">
        <f>IFERROR(__xludf.DUMMYFUNCTION("""COMPUTED_VALUE"""),19.0)</f>
        <v>19</v>
      </c>
      <c r="H1058" s="77">
        <f>IFERROR(__xludf.DUMMYFUNCTION("""COMPUTED_VALUE"""),26.0)</f>
        <v>26</v>
      </c>
      <c r="I1058" s="77">
        <f>IFERROR(__xludf.DUMMYFUNCTION("""COMPUTED_VALUE"""),100.0)</f>
        <v>100</v>
      </c>
      <c r="J1058" s="73"/>
      <c r="K1058" s="73"/>
      <c r="L1058" s="73"/>
      <c r="M1058" s="77">
        <f>IFERROR(__xludf.DUMMYFUNCTION("""COMPUTED_VALUE"""),1.0)</f>
        <v>1</v>
      </c>
      <c r="N1058" s="77">
        <f>IFERROR(__xludf.DUMMYFUNCTION("""COMPUTED_VALUE"""),1.0)</f>
        <v>1</v>
      </c>
      <c r="O1058" s="49"/>
      <c r="P1058" s="49" t="str">
        <f>IFERROR(__xludf.DUMMYFUNCTION("""COMPUTED_VALUE"""),"Offset")</f>
        <v>Offset</v>
      </c>
      <c r="Q1058" s="49" t="str">
        <f>IFERROR(__xludf.DUMMYFUNCTION("""COMPUTED_VALUE"""),"Packaging")</f>
        <v>Packaging</v>
      </c>
      <c r="R1058" s="49" t="str">
        <f>IFERROR(__xludf.DUMMYFUNCTION("""COMPUTED_VALUE"""),"Food")</f>
        <v>Food</v>
      </c>
    </row>
    <row r="1059">
      <c r="A1059" s="156" t="str">
        <f>IFERROR(__xludf.DUMMYFUNCTION("""COMPUTED_VALUE"""),"https://drive.google.com/open?id=1cVGC95lD8FILuv7GIGTUPf3N-ZfRx8MG&amp;authuser=jay.agg%40gmail.com&amp;usp=drive_fs")</f>
        <v>https://drive.google.com/open?id=1cVGC95lD8FILuv7GIGTUPf3N-ZfRx8MG&amp;authuser=jay.agg%40gmail.com&amp;usp=drive_fs</v>
      </c>
      <c r="B1059" s="73" t="str">
        <f>IFERROR(__xludf.DUMMYFUNCTION("""COMPUTED_VALUE"""),"Food")</f>
        <v>Food</v>
      </c>
      <c r="C1059" s="73" t="str">
        <f>IFERROR(__xludf.DUMMYFUNCTION("""COMPUTED_VALUE"""),"Burger Box")</f>
        <v>Burger Box</v>
      </c>
      <c r="D1059" s="73" t="str">
        <f>IFERROR(__xludf.DUMMYFUNCTION("""COMPUTED_VALUE"""),"81*81*24 mm | 3.2*3.2*0.8 inch")</f>
        <v>81*81*24 mm | 3.2*3.2*0.8 inch</v>
      </c>
      <c r="E1059" s="77">
        <f>IFERROR(__xludf.DUMMYFUNCTION("""COMPUTED_VALUE"""),6.0)</f>
        <v>6</v>
      </c>
      <c r="F1059" s="77">
        <f>IFERROR(__xludf.DUMMYFUNCTION("""COMPUTED_VALUE"""),1926.0)</f>
        <v>1926</v>
      </c>
      <c r="G1059" s="77">
        <f>IFERROR(__xludf.DUMMYFUNCTION("""COMPUTED_VALUE"""),18.0)</f>
        <v>18</v>
      </c>
      <c r="H1059" s="77">
        <f>IFERROR(__xludf.DUMMYFUNCTION("""COMPUTED_VALUE"""),21.0)</f>
        <v>21</v>
      </c>
      <c r="I1059" s="77">
        <f>IFERROR(__xludf.DUMMYFUNCTION("""COMPUTED_VALUE"""),100.0)</f>
        <v>100</v>
      </c>
      <c r="J1059" s="73"/>
      <c r="K1059" s="73"/>
      <c r="L1059" s="73"/>
      <c r="M1059" s="77">
        <f>IFERROR(__xludf.DUMMYFUNCTION("""COMPUTED_VALUE"""),1.0)</f>
        <v>1</v>
      </c>
      <c r="N1059" s="77">
        <f>IFERROR(__xludf.DUMMYFUNCTION("""COMPUTED_VALUE"""),1.0)</f>
        <v>1</v>
      </c>
      <c r="O1059" s="49"/>
      <c r="P1059" s="49" t="str">
        <f>IFERROR(__xludf.DUMMYFUNCTION("""COMPUTED_VALUE"""),"Offset")</f>
        <v>Offset</v>
      </c>
      <c r="Q1059" s="49" t="str">
        <f>IFERROR(__xludf.DUMMYFUNCTION("""COMPUTED_VALUE"""),"Packaging")</f>
        <v>Packaging</v>
      </c>
      <c r="R1059" s="49" t="str">
        <f>IFERROR(__xludf.DUMMYFUNCTION("""COMPUTED_VALUE"""),"Food")</f>
        <v>Food</v>
      </c>
    </row>
    <row r="1060">
      <c r="A1060" s="156" t="str">
        <f>IFERROR(__xludf.DUMMYFUNCTION("""COMPUTED_VALUE"""),"https://drive.google.com/open?id=1c_uTwy3Lwk3r1OGpaY2ETWXZ6pjESZx3&amp;authuser=jay.agg%40gmail.com&amp;usp=drive_fs")</f>
        <v>https://drive.google.com/open?id=1c_uTwy3Lwk3r1OGpaY2ETWXZ6pjESZx3&amp;authuser=jay.agg%40gmail.com&amp;usp=drive_fs</v>
      </c>
      <c r="B1060" s="73" t="str">
        <f>IFERROR(__xludf.DUMMYFUNCTION("""COMPUTED_VALUE"""),"Food")</f>
        <v>Food</v>
      </c>
      <c r="C1060" s="73" t="str">
        <f>IFERROR(__xludf.DUMMYFUNCTION("""COMPUTED_VALUE"""),"Momo Box")</f>
        <v>Momo Box</v>
      </c>
      <c r="D1060" s="73" t="str">
        <f>IFERROR(__xludf.DUMMYFUNCTION("""COMPUTED_VALUE"""),"150*90*35 mm | 5.9*3.5*1.4 inch")</f>
        <v>150*90*35 mm | 5.9*3.5*1.4 inch</v>
      </c>
      <c r="E1060" s="77">
        <f>IFERROR(__xludf.DUMMYFUNCTION("""COMPUTED_VALUE"""),4.0)</f>
        <v>4</v>
      </c>
      <c r="F1060" s="77">
        <f>IFERROR(__xludf.DUMMYFUNCTION("""COMPUTED_VALUE"""),2029.0)</f>
        <v>2029</v>
      </c>
      <c r="G1060" s="77">
        <f>IFERROR(__xludf.DUMMYFUNCTION("""COMPUTED_VALUE"""),19.5)</f>
        <v>19.5</v>
      </c>
      <c r="H1060" s="77">
        <f>IFERROR(__xludf.DUMMYFUNCTION("""COMPUTED_VALUE"""),23.0)</f>
        <v>23</v>
      </c>
      <c r="I1060" s="77">
        <f>IFERROR(__xludf.DUMMYFUNCTION("""COMPUTED_VALUE"""),100.0)</f>
        <v>100</v>
      </c>
      <c r="J1060" s="73"/>
      <c r="K1060" s="73"/>
      <c r="L1060" s="73"/>
      <c r="M1060" s="77">
        <f>IFERROR(__xludf.DUMMYFUNCTION("""COMPUTED_VALUE"""),1.0)</f>
        <v>1</v>
      </c>
      <c r="N1060" s="77">
        <f>IFERROR(__xludf.DUMMYFUNCTION("""COMPUTED_VALUE"""),1.0)</f>
        <v>1</v>
      </c>
      <c r="O1060" s="49"/>
      <c r="P1060" s="49" t="str">
        <f>IFERROR(__xludf.DUMMYFUNCTION("""COMPUTED_VALUE"""),"Offset")</f>
        <v>Offset</v>
      </c>
      <c r="Q1060" s="49" t="str">
        <f>IFERROR(__xludf.DUMMYFUNCTION("""COMPUTED_VALUE"""),"Packaging")</f>
        <v>Packaging</v>
      </c>
      <c r="R1060" s="49" t="str">
        <f>IFERROR(__xludf.DUMMYFUNCTION("""COMPUTED_VALUE"""),"Food")</f>
        <v>Food</v>
      </c>
    </row>
    <row r="1061">
      <c r="A1061" s="156" t="str">
        <f>IFERROR(__xludf.DUMMYFUNCTION("""COMPUTED_VALUE"""),"https://drive.google.com/open?id=1cgh9z4ORVO42yzGP_A6xeqwU5VG2yogo&amp;authuser=jay.agg%40gmail.com&amp;usp=drive_fs")</f>
        <v>https://drive.google.com/open?id=1cgh9z4ORVO42yzGP_A6xeqwU5VG2yogo&amp;authuser=jay.agg%40gmail.com&amp;usp=drive_fs</v>
      </c>
      <c r="B1061" s="73" t="str">
        <f>IFERROR(__xludf.DUMMYFUNCTION("""COMPUTED_VALUE"""),"Food")</f>
        <v>Food</v>
      </c>
      <c r="C1061" s="73" t="str">
        <f>IFERROR(__xludf.DUMMYFUNCTION("""COMPUTED_VALUE"""),"Fries")</f>
        <v>Fries</v>
      </c>
      <c r="D1061" s="73" t="str">
        <f>IFERROR(__xludf.DUMMYFUNCTION("""COMPUTED_VALUE"""),"75*100 mm | 3*3.5 inch")</f>
        <v>75*100 mm | 3*3.5 inch</v>
      </c>
      <c r="E1061" s="77">
        <f>IFERROR(__xludf.DUMMYFUNCTION("""COMPUTED_VALUE"""),6.0)</f>
        <v>6</v>
      </c>
      <c r="F1061" s="77">
        <f>IFERROR(__xludf.DUMMYFUNCTION("""COMPUTED_VALUE"""),2029.0)</f>
        <v>2029</v>
      </c>
      <c r="G1061" s="77">
        <f>IFERROR(__xludf.DUMMYFUNCTION("""COMPUTED_VALUE"""),19.5)</f>
        <v>19.5</v>
      </c>
      <c r="H1061" s="77">
        <f>IFERROR(__xludf.DUMMYFUNCTION("""COMPUTED_VALUE"""),23.0)</f>
        <v>23</v>
      </c>
      <c r="I1061" s="77">
        <f>IFERROR(__xludf.DUMMYFUNCTION("""COMPUTED_VALUE"""),100.0)</f>
        <v>100</v>
      </c>
      <c r="J1061" s="73"/>
      <c r="K1061" s="73"/>
      <c r="L1061" s="73"/>
      <c r="M1061" s="77">
        <f>IFERROR(__xludf.DUMMYFUNCTION("""COMPUTED_VALUE"""),0.2)</f>
        <v>0.2</v>
      </c>
      <c r="N1061" s="77">
        <f>IFERROR(__xludf.DUMMYFUNCTION("""COMPUTED_VALUE"""),1.0)</f>
        <v>1</v>
      </c>
      <c r="O1061" s="49"/>
      <c r="P1061" s="49" t="str">
        <f>IFERROR(__xludf.DUMMYFUNCTION("""COMPUTED_VALUE"""),"Offset")</f>
        <v>Offset</v>
      </c>
      <c r="Q1061" s="49" t="str">
        <f>IFERROR(__xludf.DUMMYFUNCTION("""COMPUTED_VALUE"""),"Packaging")</f>
        <v>Packaging</v>
      </c>
      <c r="R1061" s="49" t="str">
        <f>IFERROR(__xludf.DUMMYFUNCTION("""COMPUTED_VALUE"""),"Food")</f>
        <v>Food</v>
      </c>
    </row>
    <row r="1062">
      <c r="A1062" s="156" t="str">
        <f>IFERROR(__xludf.DUMMYFUNCTION("""COMPUTED_VALUE"""),"https://drive.google.com/open?id=1cheXIZj8gZYGfo0JH9ikCDkEiWzD2B8d&amp;authuser=jay.agg%40gmail.com&amp;usp=drive_fs")</f>
        <v>https://drive.google.com/open?id=1cheXIZj8gZYGfo0JH9ikCDkEiWzD2B8d&amp;authuser=jay.agg%40gmail.com&amp;usp=drive_fs</v>
      </c>
      <c r="B1062" s="73" t="str">
        <f>IFERROR(__xludf.DUMMYFUNCTION("""COMPUTED_VALUE"""),"Food")</f>
        <v>Food</v>
      </c>
      <c r="C1062" s="73" t="str">
        <f>IFERROR(__xludf.DUMMYFUNCTION("""COMPUTED_VALUE"""),"Pop Corn")</f>
        <v>Pop Corn</v>
      </c>
      <c r="D1062" s="73" t="str">
        <f>IFERROR(__xludf.DUMMYFUNCTION("""COMPUTED_VALUE"""),"80*90*130 mm | 3.15*3.5*5.2 inch")</f>
        <v>80*90*130 mm | 3.15*3.5*5.2 inch</v>
      </c>
      <c r="E1062" s="77">
        <f>IFERROR(__xludf.DUMMYFUNCTION("""COMPUTED_VALUE"""),4.0)</f>
        <v>4</v>
      </c>
      <c r="F1062" s="77">
        <f>IFERROR(__xludf.DUMMYFUNCTION("""COMPUTED_VALUE"""),1926.0)</f>
        <v>1926</v>
      </c>
      <c r="G1062" s="77">
        <f>IFERROR(__xludf.DUMMYFUNCTION("""COMPUTED_VALUE"""),19.0)</f>
        <v>19</v>
      </c>
      <c r="H1062" s="77">
        <f>IFERROR(__xludf.DUMMYFUNCTION("""COMPUTED_VALUE"""),26.0)</f>
        <v>26</v>
      </c>
      <c r="I1062" s="77">
        <f>IFERROR(__xludf.DUMMYFUNCTION("""COMPUTED_VALUE"""),100.0)</f>
        <v>100</v>
      </c>
      <c r="J1062" s="73"/>
      <c r="K1062" s="73"/>
      <c r="L1062" s="73"/>
      <c r="M1062" s="77">
        <f>IFERROR(__xludf.DUMMYFUNCTION("""COMPUTED_VALUE"""),0.23)</f>
        <v>0.23</v>
      </c>
      <c r="N1062" s="77">
        <f>IFERROR(__xludf.DUMMYFUNCTION("""COMPUTED_VALUE"""),1.0)</f>
        <v>1</v>
      </c>
      <c r="O1062" s="49"/>
      <c r="P1062" s="49" t="str">
        <f>IFERROR(__xludf.DUMMYFUNCTION("""COMPUTED_VALUE"""),"Offset")</f>
        <v>Offset</v>
      </c>
      <c r="Q1062" s="49" t="str">
        <f>IFERROR(__xludf.DUMMYFUNCTION("""COMPUTED_VALUE"""),"Packaging")</f>
        <v>Packaging</v>
      </c>
      <c r="R1062" s="49" t="str">
        <f>IFERROR(__xludf.DUMMYFUNCTION("""COMPUTED_VALUE"""),"Food")</f>
        <v>Food</v>
      </c>
    </row>
    <row r="1063">
      <c r="A1063" s="156" t="str">
        <f>IFERROR(__xludf.DUMMYFUNCTION("""COMPUTED_VALUE"""),"https://drive.google.com/open?id=1coqzoSuTK3JrsByZL_VB8IvNQUgZ51b9&amp;authuser=jay.agg%40gmail.com&amp;usp=drive_fs")</f>
        <v>https://drive.google.com/open?id=1coqzoSuTK3JrsByZL_VB8IvNQUgZ51b9&amp;authuser=jay.agg%40gmail.com&amp;usp=drive_fs</v>
      </c>
      <c r="B1063" s="73" t="str">
        <f>IFERROR(__xludf.DUMMYFUNCTION("""COMPUTED_VALUE"""),"Food")</f>
        <v>Food</v>
      </c>
      <c r="C1063" s="73" t="str">
        <f>IFERROR(__xludf.DUMMYFUNCTION("""COMPUTED_VALUE"""),"Cookies")</f>
        <v>Cookies</v>
      </c>
      <c r="D1063" s="73" t="str">
        <f>IFERROR(__xludf.DUMMYFUNCTION("""COMPUTED_VALUE"""),"160*42*230 mm | 6.3*1.6*9 inch")</f>
        <v>160*42*230 mm | 6.3*1.6*9 inch</v>
      </c>
      <c r="E1063" s="77">
        <f>IFERROR(__xludf.DUMMYFUNCTION("""COMPUTED_VALUE"""),2.0)</f>
        <v>2</v>
      </c>
      <c r="F1063" s="77">
        <f>IFERROR(__xludf.DUMMYFUNCTION("""COMPUTED_VALUE"""),2029.0)</f>
        <v>2029</v>
      </c>
      <c r="G1063" s="77">
        <f>IFERROR(__xludf.DUMMYFUNCTION("""COMPUTED_VALUE"""),19.0)</f>
        <v>19</v>
      </c>
      <c r="H1063" s="77">
        <f>IFERROR(__xludf.DUMMYFUNCTION("""COMPUTED_VALUE"""),26.0)</f>
        <v>26</v>
      </c>
      <c r="I1063" s="77">
        <f>IFERROR(__xludf.DUMMYFUNCTION("""COMPUTED_VALUE"""),100.0)</f>
        <v>100</v>
      </c>
      <c r="J1063" s="73"/>
      <c r="K1063" s="73"/>
      <c r="L1063" s="73"/>
      <c r="M1063" s="77">
        <f>IFERROR(__xludf.DUMMYFUNCTION("""COMPUTED_VALUE"""),0.1)</f>
        <v>0.1</v>
      </c>
      <c r="N1063" s="77">
        <f>IFERROR(__xludf.DUMMYFUNCTION("""COMPUTED_VALUE"""),1.0)</f>
        <v>1</v>
      </c>
      <c r="O1063" s="49"/>
      <c r="P1063" s="49" t="str">
        <f>IFERROR(__xludf.DUMMYFUNCTION("""COMPUTED_VALUE"""),"Offset")</f>
        <v>Offset</v>
      </c>
      <c r="Q1063" s="49" t="str">
        <f>IFERROR(__xludf.DUMMYFUNCTION("""COMPUTED_VALUE"""),"Packaging")</f>
        <v>Packaging</v>
      </c>
      <c r="R1063" s="49" t="str">
        <f>IFERROR(__xludf.DUMMYFUNCTION("""COMPUTED_VALUE"""),"Food")</f>
        <v>Food</v>
      </c>
    </row>
    <row r="1064">
      <c r="A1064" s="156" t="str">
        <f>IFERROR(__xludf.DUMMYFUNCTION("""COMPUTED_VALUE"""),"https://drive.google.com/open?id=1cvpcbF5qwI-PPHoARgSOxhXTkP9Gm6eJ&amp;authuser=jay.agg%40gmail.com&amp;usp=drive_fs")</f>
        <v>https://drive.google.com/open?id=1cvpcbF5qwI-PPHoARgSOxhXTkP9Gm6eJ&amp;authuser=jay.agg%40gmail.com&amp;usp=drive_fs</v>
      </c>
      <c r="B1064" s="73" t="str">
        <f>IFERROR(__xludf.DUMMYFUNCTION("""COMPUTED_VALUE"""),"Food")</f>
        <v>Food</v>
      </c>
      <c r="C1064" s="73" t="str">
        <f>IFERROR(__xludf.DUMMYFUNCTION("""COMPUTED_VALUE"""),"Cookies")</f>
        <v>Cookies</v>
      </c>
      <c r="D1064" s="73" t="str">
        <f>IFERROR(__xludf.DUMMYFUNCTION("""COMPUTED_VALUE"""),"145*64*195 mm | 5.7*2.5*7.6 inch")</f>
        <v>145*64*195 mm | 5.7*2.5*7.6 inch</v>
      </c>
      <c r="E1064" s="77">
        <f>IFERROR(__xludf.DUMMYFUNCTION("""COMPUTED_VALUE"""),2.0)</f>
        <v>2</v>
      </c>
      <c r="F1064" s="77">
        <f>IFERROR(__xludf.DUMMYFUNCTION("""COMPUTED_VALUE"""),2029.0)</f>
        <v>2029</v>
      </c>
      <c r="G1064" s="77">
        <f>IFERROR(__xludf.DUMMYFUNCTION("""COMPUTED_VALUE"""),19.0)</f>
        <v>19</v>
      </c>
      <c r="H1064" s="77">
        <f>IFERROR(__xludf.DUMMYFUNCTION("""COMPUTED_VALUE"""),26.0)</f>
        <v>26</v>
      </c>
      <c r="I1064" s="77">
        <f>IFERROR(__xludf.DUMMYFUNCTION("""COMPUTED_VALUE"""),100.0)</f>
        <v>100</v>
      </c>
      <c r="J1064" s="73"/>
      <c r="K1064" s="73"/>
      <c r="L1064" s="73"/>
      <c r="M1064" s="77">
        <f>IFERROR(__xludf.DUMMYFUNCTION("""COMPUTED_VALUE"""),0.1)</f>
        <v>0.1</v>
      </c>
      <c r="N1064" s="77">
        <f>IFERROR(__xludf.DUMMYFUNCTION("""COMPUTED_VALUE"""),1.0)</f>
        <v>1</v>
      </c>
      <c r="O1064" s="49"/>
      <c r="P1064" s="49" t="str">
        <f>IFERROR(__xludf.DUMMYFUNCTION("""COMPUTED_VALUE"""),"Offset")</f>
        <v>Offset</v>
      </c>
      <c r="Q1064" s="49" t="str">
        <f>IFERROR(__xludf.DUMMYFUNCTION("""COMPUTED_VALUE"""),"Packaging")</f>
        <v>Packaging</v>
      </c>
      <c r="R1064" s="49" t="str">
        <f>IFERROR(__xludf.DUMMYFUNCTION("""COMPUTED_VALUE"""),"Food")</f>
        <v>Food</v>
      </c>
    </row>
    <row r="1065">
      <c r="A1065" s="156" t="str">
        <f>IFERROR(__xludf.DUMMYFUNCTION("""COMPUTED_VALUE"""),"https://drive.google.com/open?id=1cyGTlU0pHNOmNXVGjaNvbDo0aCMS1vZM&amp;authuser=jay.agg%40gmail.com&amp;usp=drive_fs")</f>
        <v>https://drive.google.com/open?id=1cyGTlU0pHNOmNXVGjaNvbDo0aCMS1vZM&amp;authuser=jay.agg%40gmail.com&amp;usp=drive_fs</v>
      </c>
      <c r="B1065" s="73" t="str">
        <f>IFERROR(__xludf.DUMMYFUNCTION("""COMPUTED_VALUE"""),"Food")</f>
        <v>Food</v>
      </c>
      <c r="C1065" s="73" t="str">
        <f>IFERROR(__xludf.DUMMYFUNCTION("""COMPUTED_VALUE"""),"Boat Tray")</f>
        <v>Boat Tray</v>
      </c>
      <c r="D1065" s="73" t="str">
        <f>IFERROR(__xludf.DUMMYFUNCTION("""COMPUTED_VALUE"""),"85*100*40 mm | 3.9*3.3*1.5 inch")</f>
        <v>85*100*40 mm | 3.9*3.3*1.5 inch</v>
      </c>
      <c r="E1065" s="77">
        <f>IFERROR(__xludf.DUMMYFUNCTION("""COMPUTED_VALUE"""),6.0)</f>
        <v>6</v>
      </c>
      <c r="F1065" s="77">
        <f>IFERROR(__xludf.DUMMYFUNCTION("""COMPUTED_VALUE"""),1926.0)</f>
        <v>1926</v>
      </c>
      <c r="G1065" s="77">
        <f>IFERROR(__xludf.DUMMYFUNCTION("""COMPUTED_VALUE"""),15.75)</f>
        <v>15.75</v>
      </c>
      <c r="H1065" s="77">
        <f>IFERROR(__xludf.DUMMYFUNCTION("""COMPUTED_VALUE"""),20.75)</f>
        <v>20.75</v>
      </c>
      <c r="I1065" s="77">
        <f>IFERROR(__xludf.DUMMYFUNCTION("""COMPUTED_VALUE"""),100.0)</f>
        <v>100</v>
      </c>
      <c r="J1065" s="73"/>
      <c r="K1065" s="73"/>
      <c r="L1065" s="73"/>
      <c r="M1065" s="77">
        <f>IFERROR(__xludf.DUMMYFUNCTION("""COMPUTED_VALUE"""),0.4)</f>
        <v>0.4</v>
      </c>
      <c r="N1065" s="77">
        <f>IFERROR(__xludf.DUMMYFUNCTION("""COMPUTED_VALUE"""),1.0)</f>
        <v>1</v>
      </c>
      <c r="O1065" s="49"/>
      <c r="P1065" s="49" t="str">
        <f>IFERROR(__xludf.DUMMYFUNCTION("""COMPUTED_VALUE"""),"Offset")</f>
        <v>Offset</v>
      </c>
      <c r="Q1065" s="49" t="str">
        <f>IFERROR(__xludf.DUMMYFUNCTION("""COMPUTED_VALUE"""),"Packaging")</f>
        <v>Packaging</v>
      </c>
      <c r="R1065" s="49" t="str">
        <f>IFERROR(__xludf.DUMMYFUNCTION("""COMPUTED_VALUE"""),"Food")</f>
        <v>Food</v>
      </c>
    </row>
    <row r="1066">
      <c r="A1066" s="156" t="str">
        <f>IFERROR(__xludf.DUMMYFUNCTION("""COMPUTED_VALUE"""),"https://drive.google.com/open?id=1cyZ_XiAZLhYagFb1bazRwtzuWOf1UXXW&amp;authuser=jay.agg%40gmail.com&amp;usp=drive_fs")</f>
        <v>https://drive.google.com/open?id=1cyZ_XiAZLhYagFb1bazRwtzuWOf1UXXW&amp;authuser=jay.agg%40gmail.com&amp;usp=drive_fs</v>
      </c>
      <c r="B1066" s="73" t="str">
        <f>IFERROR(__xludf.DUMMYFUNCTION("""COMPUTED_VALUE"""),"Food")</f>
        <v>Food</v>
      </c>
      <c r="C1066" s="73" t="str">
        <f>IFERROR(__xludf.DUMMYFUNCTION("""COMPUTED_VALUE"""),"Boat Tray")</f>
        <v>Boat Tray</v>
      </c>
      <c r="D1066" s="73" t="str">
        <f>IFERROR(__xludf.DUMMYFUNCTION("""COMPUTED_VALUE"""),"89*140*50 mm | 5.5*3.5*2 inch")</f>
        <v>89*140*50 mm | 5.5*3.5*2 inch</v>
      </c>
      <c r="E1066" s="77">
        <f>IFERROR(__xludf.DUMMYFUNCTION("""COMPUTED_VALUE"""),4.0)</f>
        <v>4</v>
      </c>
      <c r="F1066" s="77">
        <f>IFERROR(__xludf.DUMMYFUNCTION("""COMPUTED_VALUE"""),1926.0)</f>
        <v>1926</v>
      </c>
      <c r="G1066" s="77">
        <f>IFERROR(__xludf.DUMMYFUNCTION("""COMPUTED_VALUE"""),15.75)</f>
        <v>15.75</v>
      </c>
      <c r="H1066" s="77">
        <f>IFERROR(__xludf.DUMMYFUNCTION("""COMPUTED_VALUE"""),20.75)</f>
        <v>20.75</v>
      </c>
      <c r="I1066" s="77">
        <f>IFERROR(__xludf.DUMMYFUNCTION("""COMPUTED_VALUE"""),100.0)</f>
        <v>100</v>
      </c>
      <c r="J1066" s="73"/>
      <c r="K1066" s="73"/>
      <c r="L1066" s="73"/>
      <c r="M1066" s="77">
        <f>IFERROR(__xludf.DUMMYFUNCTION("""COMPUTED_VALUE"""),0.4)</f>
        <v>0.4</v>
      </c>
      <c r="N1066" s="77">
        <f>IFERROR(__xludf.DUMMYFUNCTION("""COMPUTED_VALUE"""),1.0)</f>
        <v>1</v>
      </c>
      <c r="O1066" s="49"/>
      <c r="P1066" s="49" t="str">
        <f>IFERROR(__xludf.DUMMYFUNCTION("""COMPUTED_VALUE"""),"Offset")</f>
        <v>Offset</v>
      </c>
      <c r="Q1066" s="49" t="str">
        <f>IFERROR(__xludf.DUMMYFUNCTION("""COMPUTED_VALUE"""),"Packaging")</f>
        <v>Packaging</v>
      </c>
      <c r="R1066" s="49" t="str">
        <f>IFERROR(__xludf.DUMMYFUNCTION("""COMPUTED_VALUE"""),"Food")</f>
        <v>Food</v>
      </c>
    </row>
    <row r="1067">
      <c r="A1067" s="156" t="str">
        <f>IFERROR(__xludf.DUMMYFUNCTION("""COMPUTED_VALUE"""),"https://drive.google.com/open?id=1d3eYz3LAr7hLrax7XlafVMCJHT3RpwI2&amp;authuser=jay.agg%40gmail.com&amp;usp=drive_fs")</f>
        <v>https://drive.google.com/open?id=1d3eYz3LAr7hLrax7XlafVMCJHT3RpwI2&amp;authuser=jay.agg%40gmail.com&amp;usp=drive_fs</v>
      </c>
      <c r="B1067" s="73" t="str">
        <f>IFERROR(__xludf.DUMMYFUNCTION("""COMPUTED_VALUE"""),"Food")</f>
        <v>Food</v>
      </c>
      <c r="C1067" s="73" t="str">
        <f>IFERROR(__xludf.DUMMYFUNCTION("""COMPUTED_VALUE"""),"Meal Box")</f>
        <v>Meal Box</v>
      </c>
      <c r="D1067" s="73" t="str">
        <f>IFERROR(__xludf.DUMMYFUNCTION("""COMPUTED_VALUE"""),"208*130*47 mm | 8.2*5.1*1.8 inch")</f>
        <v>208*130*47 mm | 8.2*5.1*1.8 inch</v>
      </c>
      <c r="E1067" s="77">
        <f>IFERROR(__xludf.DUMMYFUNCTION("""COMPUTED_VALUE"""),2.0)</f>
        <v>2</v>
      </c>
      <c r="F1067" s="77">
        <f>IFERROR(__xludf.DUMMYFUNCTION("""COMPUTED_VALUE"""),1926.0)</f>
        <v>1926</v>
      </c>
      <c r="G1067" s="77">
        <f>IFERROR(__xludf.DUMMYFUNCTION("""COMPUTED_VALUE"""),15.0)</f>
        <v>15</v>
      </c>
      <c r="H1067" s="77">
        <f>IFERROR(__xludf.DUMMYFUNCTION("""COMPUTED_VALUE"""),25.0)</f>
        <v>25</v>
      </c>
      <c r="I1067" s="77">
        <f>IFERROR(__xludf.DUMMYFUNCTION("""COMPUTED_VALUE"""),100.0)</f>
        <v>100</v>
      </c>
      <c r="J1067" s="73"/>
      <c r="K1067" s="73"/>
      <c r="L1067" s="73"/>
      <c r="M1067" s="77">
        <f>IFERROR(__xludf.DUMMYFUNCTION("""COMPUTED_VALUE"""),1.0)</f>
        <v>1</v>
      </c>
      <c r="N1067" s="77">
        <f>IFERROR(__xludf.DUMMYFUNCTION("""COMPUTED_VALUE"""),1.0)</f>
        <v>1</v>
      </c>
      <c r="O1067" s="49"/>
      <c r="P1067" s="49" t="str">
        <f>IFERROR(__xludf.DUMMYFUNCTION("""COMPUTED_VALUE"""),"Offset")</f>
        <v>Offset</v>
      </c>
      <c r="Q1067" s="49" t="str">
        <f>IFERROR(__xludf.DUMMYFUNCTION("""COMPUTED_VALUE"""),"Packaging")</f>
        <v>Packaging</v>
      </c>
      <c r="R1067" s="49" t="str">
        <f>IFERROR(__xludf.DUMMYFUNCTION("""COMPUTED_VALUE"""),"Food")</f>
        <v>Food</v>
      </c>
    </row>
    <row r="1068">
      <c r="A1068" s="156" t="str">
        <f>IFERROR(__xludf.DUMMYFUNCTION("""COMPUTED_VALUE"""),"https://drive.google.com/open?id=1dVKLg_YohjAIv0buvuZM9lKt8Z6cwiYQ&amp;authuser=jay.agg%40gmail.com&amp;usp=drive_fs")</f>
        <v>https://drive.google.com/open?id=1dVKLg_YohjAIv0buvuZM9lKt8Z6cwiYQ&amp;authuser=jay.agg%40gmail.com&amp;usp=drive_fs</v>
      </c>
      <c r="B1068" s="73" t="str">
        <f>IFERROR(__xludf.DUMMYFUNCTION("""COMPUTED_VALUE"""),"Food")</f>
        <v>Food</v>
      </c>
      <c r="C1068" s="73" t="str">
        <f>IFERROR(__xludf.DUMMYFUNCTION("""COMPUTED_VALUE"""),"Chokidhani")</f>
        <v>Chokidhani</v>
      </c>
      <c r="D1068" s="73" t="str">
        <f>IFERROR(__xludf.DUMMYFUNCTION("""COMPUTED_VALUE"""),"150*20*190 mm | 5.9*0.8*7.5 inch")</f>
        <v>150*20*190 mm | 5.9*0.8*7.5 inch</v>
      </c>
      <c r="E1068" s="77">
        <f>IFERROR(__xludf.DUMMYFUNCTION("""COMPUTED_VALUE"""),4.0)</f>
        <v>4</v>
      </c>
      <c r="F1068" s="77">
        <f>IFERROR(__xludf.DUMMYFUNCTION("""COMPUTED_VALUE"""),2029.0)</f>
        <v>2029</v>
      </c>
      <c r="G1068" s="77">
        <f>IFERROR(__xludf.DUMMYFUNCTION("""COMPUTED_VALUE"""),20.0)</f>
        <v>20</v>
      </c>
      <c r="H1068" s="77">
        <f>IFERROR(__xludf.DUMMYFUNCTION("""COMPUTED_VALUE"""),28.0)</f>
        <v>28</v>
      </c>
      <c r="I1068" s="77">
        <f>IFERROR(__xludf.DUMMYFUNCTION("""COMPUTED_VALUE"""),100.0)</f>
        <v>100</v>
      </c>
      <c r="J1068" s="73"/>
      <c r="K1068" s="73"/>
      <c r="L1068" s="73"/>
      <c r="M1068" s="77">
        <f>IFERROR(__xludf.DUMMYFUNCTION("""COMPUTED_VALUE"""),0.1)</f>
        <v>0.1</v>
      </c>
      <c r="N1068" s="77">
        <f>IFERROR(__xludf.DUMMYFUNCTION("""COMPUTED_VALUE"""),1.0)</f>
        <v>1</v>
      </c>
      <c r="O1068" s="49"/>
      <c r="P1068" s="49" t="str">
        <f>IFERROR(__xludf.DUMMYFUNCTION("""COMPUTED_VALUE"""),"Offset")</f>
        <v>Offset</v>
      </c>
      <c r="Q1068" s="49" t="str">
        <f>IFERROR(__xludf.DUMMYFUNCTION("""COMPUTED_VALUE"""),"Packaging")</f>
        <v>Packaging</v>
      </c>
      <c r="R1068" s="49" t="str">
        <f>IFERROR(__xludf.DUMMYFUNCTION("""COMPUTED_VALUE"""),"Food")</f>
        <v>Food</v>
      </c>
    </row>
    <row r="1069">
      <c r="A1069" s="156" t="str">
        <f>IFERROR(__xludf.DUMMYFUNCTION("""COMPUTED_VALUE"""),"https://drive.google.com/open?id=1dX3m8TvTFH5qpp5dMUIvG7gQBbLd6vBv&amp;authuser=jay.agg%40gmail.com&amp;usp=drive_fs")</f>
        <v>https://drive.google.com/open?id=1dX3m8TvTFH5qpp5dMUIvG7gQBbLd6vBv&amp;authuser=jay.agg%40gmail.com&amp;usp=drive_fs</v>
      </c>
      <c r="B1069" s="73" t="str">
        <f>IFERROR(__xludf.DUMMYFUNCTION("""COMPUTED_VALUE"""),"Food")</f>
        <v>Food</v>
      </c>
      <c r="C1069" s="73" t="str">
        <f>IFERROR(__xludf.DUMMYFUNCTION("""COMPUTED_VALUE"""),"Chokidhani")</f>
        <v>Chokidhani</v>
      </c>
      <c r="D1069" s="73" t="str">
        <f>IFERROR(__xludf.DUMMYFUNCTION("""COMPUTED_VALUE"""),"150*30*200 mm | 5.9*1.2*7.9 inch")</f>
        <v>150*30*200 mm | 5.9*1.2*7.9 inch</v>
      </c>
      <c r="E1069" s="77">
        <f>IFERROR(__xludf.DUMMYFUNCTION("""COMPUTED_VALUE"""),4.0)</f>
        <v>4</v>
      </c>
      <c r="F1069" s="77">
        <f>IFERROR(__xludf.DUMMYFUNCTION("""COMPUTED_VALUE"""),2029.0)</f>
        <v>2029</v>
      </c>
      <c r="G1069" s="77">
        <f>IFERROR(__xludf.DUMMYFUNCTION("""COMPUTED_VALUE"""),20.75)</f>
        <v>20.75</v>
      </c>
      <c r="H1069" s="77">
        <f>IFERROR(__xludf.DUMMYFUNCTION("""COMPUTED_VALUE"""),31.5)</f>
        <v>31.5</v>
      </c>
      <c r="I1069" s="77">
        <f>IFERROR(__xludf.DUMMYFUNCTION("""COMPUTED_VALUE"""),100.0)</f>
        <v>100</v>
      </c>
      <c r="J1069" s="73"/>
      <c r="K1069" s="73"/>
      <c r="L1069" s="73"/>
      <c r="M1069" s="77">
        <f>IFERROR(__xludf.DUMMYFUNCTION("""COMPUTED_VALUE"""),0.1)</f>
        <v>0.1</v>
      </c>
      <c r="N1069" s="77">
        <f>IFERROR(__xludf.DUMMYFUNCTION("""COMPUTED_VALUE"""),1.0)</f>
        <v>1</v>
      </c>
      <c r="O1069" s="49"/>
      <c r="P1069" s="49" t="str">
        <f>IFERROR(__xludf.DUMMYFUNCTION("""COMPUTED_VALUE"""),"Offset")</f>
        <v>Offset</v>
      </c>
      <c r="Q1069" s="49" t="str">
        <f>IFERROR(__xludf.DUMMYFUNCTION("""COMPUTED_VALUE"""),"Packaging")</f>
        <v>Packaging</v>
      </c>
      <c r="R1069" s="49" t="str">
        <f>IFERROR(__xludf.DUMMYFUNCTION("""COMPUTED_VALUE"""),"Food")</f>
        <v>Food</v>
      </c>
    </row>
    <row r="1070">
      <c r="A1070" s="156" t="str">
        <f>IFERROR(__xludf.DUMMYFUNCTION("""COMPUTED_VALUE"""),"https://drive.google.com/open?id=1dYlC4gKu8fQYz-OomaO_kO_e0KKD_YSt&amp;authuser=jay.agg%40gmail.com&amp;usp=drive_fs")</f>
        <v>https://drive.google.com/open?id=1dYlC4gKu8fQYz-OomaO_kO_e0KKD_YSt&amp;authuser=jay.agg%40gmail.com&amp;usp=drive_fs</v>
      </c>
      <c r="B1070" s="73" t="str">
        <f>IFERROR(__xludf.DUMMYFUNCTION("""COMPUTED_VALUE"""),"Food")</f>
        <v>Food</v>
      </c>
      <c r="C1070" s="73" t="str">
        <f>IFERROR(__xludf.DUMMYFUNCTION("""COMPUTED_VALUE"""),"Chokidhani")</f>
        <v>Chokidhani</v>
      </c>
      <c r="D1070" s="73" t="str">
        <f>IFERROR(__xludf.DUMMYFUNCTION("""COMPUTED_VALUE"""),"140*60*180 mm | 5.5*2.3*7 inch")</f>
        <v>140*60*180 mm | 5.5*2.3*7 inch</v>
      </c>
      <c r="E1070" s="77">
        <f>IFERROR(__xludf.DUMMYFUNCTION("""COMPUTED_VALUE"""),2.0)</f>
        <v>2</v>
      </c>
      <c r="F1070" s="77">
        <f>IFERROR(__xludf.DUMMYFUNCTION("""COMPUTED_VALUE"""),1926.0)</f>
        <v>1926</v>
      </c>
      <c r="G1070" s="77">
        <f>IFERROR(__xludf.DUMMYFUNCTION("""COMPUTED_VALUE"""),18.0)</f>
        <v>18</v>
      </c>
      <c r="H1070" s="77">
        <f>IFERROR(__xludf.DUMMYFUNCTION("""COMPUTED_VALUE"""),25.0)</f>
        <v>25</v>
      </c>
      <c r="I1070" s="77">
        <f>IFERROR(__xludf.DUMMYFUNCTION("""COMPUTED_VALUE"""),100.0)</f>
        <v>100</v>
      </c>
      <c r="J1070" s="73"/>
      <c r="K1070" s="73"/>
      <c r="L1070" s="73"/>
      <c r="M1070" s="77">
        <f>IFERROR(__xludf.DUMMYFUNCTION("""COMPUTED_VALUE"""),0.1)</f>
        <v>0.1</v>
      </c>
      <c r="N1070" s="77">
        <f>IFERROR(__xludf.DUMMYFUNCTION("""COMPUTED_VALUE"""),1.0)</f>
        <v>1</v>
      </c>
      <c r="O1070" s="49"/>
      <c r="P1070" s="49" t="str">
        <f>IFERROR(__xludf.DUMMYFUNCTION("""COMPUTED_VALUE"""),"Offset")</f>
        <v>Offset</v>
      </c>
      <c r="Q1070" s="49" t="str">
        <f>IFERROR(__xludf.DUMMYFUNCTION("""COMPUTED_VALUE"""),"Packaging")</f>
        <v>Packaging</v>
      </c>
      <c r="R1070" s="49" t="str">
        <f>IFERROR(__xludf.DUMMYFUNCTION("""COMPUTED_VALUE"""),"Food")</f>
        <v>Food</v>
      </c>
    </row>
    <row r="1071">
      <c r="A1071" s="156" t="str">
        <f>IFERROR(__xludf.DUMMYFUNCTION("""COMPUTED_VALUE"""),"https://drive.google.com/open?id=1dj9J53lqqgX_yfNnMrzokWQVJ8a_QmSH&amp;authuser=jay.agg%40gmail.com&amp;usp=drive_fs")</f>
        <v>https://drive.google.com/open?id=1dj9J53lqqgX_yfNnMrzokWQVJ8a_QmSH&amp;authuser=jay.agg%40gmail.com&amp;usp=drive_fs</v>
      </c>
      <c r="B1071" s="73" t="str">
        <f>IFERROR(__xludf.DUMMYFUNCTION("""COMPUTED_VALUE"""),"Food")</f>
        <v>Food</v>
      </c>
      <c r="C1071" s="73" t="str">
        <f>IFERROR(__xludf.DUMMYFUNCTION("""COMPUTED_VALUE"""),"Chokidhani")</f>
        <v>Chokidhani</v>
      </c>
      <c r="D1071" s="73" t="str">
        <f>IFERROR(__xludf.DUMMYFUNCTION("""COMPUTED_VALUE"""),"146.05*42*190.5 mm | 5.75*1.65*7.5 inch")</f>
        <v>146.05*42*190.5 mm | 5.75*1.65*7.5 inch</v>
      </c>
      <c r="E1071" s="77">
        <f>IFERROR(__xludf.DUMMYFUNCTION("""COMPUTED_VALUE"""),2.0)</f>
        <v>2</v>
      </c>
      <c r="F1071" s="77">
        <f>IFERROR(__xludf.DUMMYFUNCTION("""COMPUTED_VALUE"""),1926.0)</f>
        <v>1926</v>
      </c>
      <c r="G1071" s="77">
        <f>IFERROR(__xludf.DUMMYFUNCTION("""COMPUTED_VALUE"""),18.0)</f>
        <v>18</v>
      </c>
      <c r="H1071" s="77">
        <f>IFERROR(__xludf.DUMMYFUNCTION("""COMPUTED_VALUE"""),25.0)</f>
        <v>25</v>
      </c>
      <c r="I1071" s="77">
        <f>IFERROR(__xludf.DUMMYFUNCTION("""COMPUTED_VALUE"""),100.0)</f>
        <v>100</v>
      </c>
      <c r="J1071" s="73"/>
      <c r="K1071" s="73"/>
      <c r="L1071" s="73"/>
      <c r="M1071" s="77">
        <f>IFERROR(__xludf.DUMMYFUNCTION("""COMPUTED_VALUE"""),0.1)</f>
        <v>0.1</v>
      </c>
      <c r="N1071" s="77">
        <f>IFERROR(__xludf.DUMMYFUNCTION("""COMPUTED_VALUE"""),1.0)</f>
        <v>1</v>
      </c>
      <c r="O1071" s="49"/>
      <c r="P1071" s="49" t="str">
        <f>IFERROR(__xludf.DUMMYFUNCTION("""COMPUTED_VALUE"""),"Offset")</f>
        <v>Offset</v>
      </c>
      <c r="Q1071" s="49" t="str">
        <f>IFERROR(__xludf.DUMMYFUNCTION("""COMPUTED_VALUE"""),"Packaging")</f>
        <v>Packaging</v>
      </c>
      <c r="R1071" s="49" t="str">
        <f>IFERROR(__xludf.DUMMYFUNCTION("""COMPUTED_VALUE"""),"Food")</f>
        <v>Food</v>
      </c>
    </row>
    <row r="1072">
      <c r="A1072" s="156" t="str">
        <f>IFERROR(__xludf.DUMMYFUNCTION("""COMPUTED_VALUE"""),"https://drive.google.com/open?id=1dnD7qOP87fN098haHaUJfOFg2W3SStM7&amp;authuser=jay.agg%40gmail.com&amp;usp=drive_fs")</f>
        <v>https://drive.google.com/open?id=1dnD7qOP87fN098haHaUJfOFg2W3SStM7&amp;authuser=jay.agg%40gmail.com&amp;usp=drive_fs</v>
      </c>
      <c r="B1072" s="73" t="str">
        <f>IFERROR(__xludf.DUMMYFUNCTION("""COMPUTED_VALUE"""),"Food")</f>
        <v>Food</v>
      </c>
      <c r="C1072" s="73" t="str">
        <f>IFERROR(__xludf.DUMMYFUNCTION("""COMPUTED_VALUE"""),"Chokidhani")</f>
        <v>Chokidhani</v>
      </c>
      <c r="D1072" s="73" t="str">
        <f>IFERROR(__xludf.DUMMYFUNCTION("""COMPUTED_VALUE"""),"145*100*110 mm | 5.7*3.9*4.3 inch LB")</f>
        <v>145*100*110 mm | 5.7*3.9*4.3 inch LB</v>
      </c>
      <c r="E1072" s="77">
        <f>IFERROR(__xludf.DUMMYFUNCTION("""COMPUTED_VALUE"""),2.0)</f>
        <v>2</v>
      </c>
      <c r="F1072" s="77">
        <f>IFERROR(__xludf.DUMMYFUNCTION("""COMPUTED_VALUE"""),2029.0)</f>
        <v>2029</v>
      </c>
      <c r="G1072" s="77">
        <f>IFERROR(__xludf.DUMMYFUNCTION("""COMPUTED_VALUE"""),20.0)</f>
        <v>20</v>
      </c>
      <c r="H1072" s="77">
        <f>IFERROR(__xludf.DUMMYFUNCTION("""COMPUTED_VALUE"""),21.0)</f>
        <v>21</v>
      </c>
      <c r="I1072" s="77">
        <f>IFERROR(__xludf.DUMMYFUNCTION("""COMPUTED_VALUE"""),100.0)</f>
        <v>100</v>
      </c>
      <c r="J1072" s="73"/>
      <c r="K1072" s="73"/>
      <c r="L1072" s="73"/>
      <c r="M1072" s="77">
        <f>IFERROR(__xludf.DUMMYFUNCTION("""COMPUTED_VALUE"""),0.18)</f>
        <v>0.18</v>
      </c>
      <c r="N1072" s="77">
        <f>IFERROR(__xludf.DUMMYFUNCTION("""COMPUTED_VALUE"""),1.0)</f>
        <v>1</v>
      </c>
      <c r="O1072" s="49"/>
      <c r="P1072" s="49" t="str">
        <f>IFERROR(__xludf.DUMMYFUNCTION("""COMPUTED_VALUE"""),"Offset")</f>
        <v>Offset</v>
      </c>
      <c r="Q1072" s="49" t="str">
        <f>IFERROR(__xludf.DUMMYFUNCTION("""COMPUTED_VALUE"""),"Packaging")</f>
        <v>Packaging</v>
      </c>
      <c r="R1072" s="49" t="str">
        <f>IFERROR(__xludf.DUMMYFUNCTION("""COMPUTED_VALUE"""),"Food")</f>
        <v>Food</v>
      </c>
    </row>
    <row r="1073">
      <c r="A1073" s="156" t="str">
        <f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073" s="73" t="str">
        <f>IFERROR(__xludf.DUMMYFUNCTION("""COMPUTED_VALUE"""),"Food")</f>
        <v>Food</v>
      </c>
      <c r="C1073" s="73" t="str">
        <f>IFERROR(__xludf.DUMMYFUNCTION("""COMPUTED_VALUE"""),"Chocolate")</f>
        <v>Chocolate</v>
      </c>
      <c r="D1073" s="73" t="str">
        <f>IFERROR(__xludf.DUMMYFUNCTION("""COMPUTED_VALUE"""),"325*225*30 mm | 12.8*8.9*1.2 inch Sleeve")</f>
        <v>325*225*30 mm | 12.8*8.9*1.2 inch Sleeve</v>
      </c>
      <c r="E1073" s="77">
        <f>IFERROR(__xludf.DUMMYFUNCTION("""COMPUTED_VALUE"""),2.0)</f>
        <v>2</v>
      </c>
      <c r="F1073" s="77">
        <f>IFERROR(__xludf.DUMMYFUNCTION("""COMPUTED_VALUE"""),2840.0)</f>
        <v>2840</v>
      </c>
      <c r="G1073" s="77">
        <f>IFERROR(__xludf.DUMMYFUNCTION("""COMPUTED_VALUE"""),28.0)</f>
        <v>28</v>
      </c>
      <c r="H1073" s="77">
        <f>IFERROR(__xludf.DUMMYFUNCTION("""COMPUTED_VALUE"""),40.0)</f>
        <v>40</v>
      </c>
      <c r="I1073" s="77">
        <f>IFERROR(__xludf.DUMMYFUNCTION("""COMPUTED_VALUE"""),100.0)</f>
        <v>100</v>
      </c>
      <c r="J1073" s="73"/>
      <c r="K1073" s="73"/>
      <c r="L1073" s="73"/>
      <c r="M1073" s="77">
        <f>IFERROR(__xludf.DUMMYFUNCTION("""COMPUTED_VALUE"""),6.0)</f>
        <v>6</v>
      </c>
      <c r="N1073" s="77">
        <f>IFERROR(__xludf.DUMMYFUNCTION("""COMPUTED_VALUE"""),1.0)</f>
        <v>1</v>
      </c>
      <c r="O1073" s="49"/>
      <c r="P1073" s="49" t="str">
        <f>IFERROR(__xludf.DUMMYFUNCTION("""COMPUTED_VALUE"""),"Offset")</f>
        <v>Offset</v>
      </c>
      <c r="Q1073" s="49" t="str">
        <f>IFERROR(__xludf.DUMMYFUNCTION("""COMPUTED_VALUE"""),"Packaging")</f>
        <v>Packaging</v>
      </c>
      <c r="R1073" s="49" t="str">
        <f>IFERROR(__xludf.DUMMYFUNCTION("""COMPUTED_VALUE"""),"Food")</f>
        <v>Food</v>
      </c>
    </row>
    <row r="1074">
      <c r="A1074" s="156" t="str">
        <f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074" s="73" t="str">
        <f>IFERROR(__xludf.DUMMYFUNCTION("""COMPUTED_VALUE"""),"Food")</f>
        <v>Food</v>
      </c>
      <c r="C1074" s="73" t="str">
        <f>IFERROR(__xludf.DUMMYFUNCTION("""COMPUTED_VALUE"""),"Chocolate")</f>
        <v>Chocolate</v>
      </c>
      <c r="D1074" s="73" t="str">
        <f>IFERROR(__xludf.DUMMYFUNCTION("""COMPUTED_VALUE"""),"325*225*30 mm | 12.8*8.9*1.2 inch  Tray")</f>
        <v>325*225*30 mm | 12.8*8.9*1.2 inch  Tray</v>
      </c>
      <c r="E1074" s="77">
        <f>IFERROR(__xludf.DUMMYFUNCTION("""COMPUTED_VALUE"""),1.0)</f>
        <v>1</v>
      </c>
      <c r="F1074" s="77">
        <f>IFERROR(__xludf.DUMMYFUNCTION("""COMPUTED_VALUE"""),1926.0)</f>
        <v>1926</v>
      </c>
      <c r="G1074" s="77">
        <f>IFERROR(__xludf.DUMMYFUNCTION("""COMPUTED_VALUE"""),16.0)</f>
        <v>16</v>
      </c>
      <c r="H1074" s="77">
        <f>IFERROR(__xludf.DUMMYFUNCTION("""COMPUTED_VALUE"""),21.0)</f>
        <v>21</v>
      </c>
      <c r="I1074" s="77">
        <f>IFERROR(__xludf.DUMMYFUNCTION("""COMPUTED_VALUE"""),100.0)</f>
        <v>100</v>
      </c>
      <c r="J1074" s="73"/>
      <c r="K1074" s="73"/>
      <c r="L1074" s="73"/>
      <c r="M1074" s="77"/>
      <c r="N1074" s="77">
        <f>IFERROR(__xludf.DUMMYFUNCTION("""COMPUTED_VALUE"""),1.0)</f>
        <v>1</v>
      </c>
      <c r="O1074" s="49"/>
      <c r="P1074" s="49" t="str">
        <f>IFERROR(__xludf.DUMMYFUNCTION("""COMPUTED_VALUE"""),"Offset")</f>
        <v>Offset</v>
      </c>
      <c r="Q1074" s="49" t="str">
        <f>IFERROR(__xludf.DUMMYFUNCTION("""COMPUTED_VALUE"""),"Packaging")</f>
        <v>Packaging</v>
      </c>
      <c r="R1074" s="49" t="str">
        <f>IFERROR(__xludf.DUMMYFUNCTION("""COMPUTED_VALUE"""),"Food")</f>
        <v>Food</v>
      </c>
    </row>
    <row r="1075">
      <c r="A1075" s="156" t="str">
        <f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075" s="73" t="str">
        <f>IFERROR(__xludf.DUMMYFUNCTION("""COMPUTED_VALUE"""),"Food")</f>
        <v>Food</v>
      </c>
      <c r="C1075" s="73" t="str">
        <f>IFERROR(__xludf.DUMMYFUNCTION("""COMPUTED_VALUE"""),"Chocolate")</f>
        <v>Chocolate</v>
      </c>
      <c r="D1075" s="73" t="str">
        <f>IFERROR(__xludf.DUMMYFUNCTION("""COMPUTED_VALUE"""),"322*180*32 mm | 12.6*7*1.2 inch Sleeve")</f>
        <v>322*180*32 mm | 12.6*7*1.2 inch Sleeve</v>
      </c>
      <c r="E1075" s="77">
        <f>IFERROR(__xludf.DUMMYFUNCTION("""COMPUTED_VALUE"""),2.0)</f>
        <v>2</v>
      </c>
      <c r="F1075" s="77">
        <f>IFERROR(__xludf.DUMMYFUNCTION("""COMPUTED_VALUE"""),2840.0)</f>
        <v>2840</v>
      </c>
      <c r="G1075" s="77">
        <f>IFERROR(__xludf.DUMMYFUNCTION("""COMPUTED_VALUE"""),26.0)</f>
        <v>26</v>
      </c>
      <c r="H1075" s="77">
        <f>IFERROR(__xludf.DUMMYFUNCTION("""COMPUTED_VALUE"""),38.0)</f>
        <v>38</v>
      </c>
      <c r="I1075" s="77">
        <f>IFERROR(__xludf.DUMMYFUNCTION("""COMPUTED_VALUE"""),100.0)</f>
        <v>100</v>
      </c>
      <c r="J1075" s="73"/>
      <c r="K1075" s="73"/>
      <c r="L1075" s="73"/>
      <c r="M1075" s="77">
        <f>IFERROR(__xludf.DUMMYFUNCTION("""COMPUTED_VALUE"""),6.0)</f>
        <v>6</v>
      </c>
      <c r="N1075" s="77">
        <f>IFERROR(__xludf.DUMMYFUNCTION("""COMPUTED_VALUE"""),1.0)</f>
        <v>1</v>
      </c>
      <c r="O1075" s="49"/>
      <c r="P1075" s="49" t="str">
        <f>IFERROR(__xludf.DUMMYFUNCTION("""COMPUTED_VALUE"""),"Offset")</f>
        <v>Offset</v>
      </c>
      <c r="Q1075" s="49" t="str">
        <f>IFERROR(__xludf.DUMMYFUNCTION("""COMPUTED_VALUE"""),"Packaging")</f>
        <v>Packaging</v>
      </c>
      <c r="R1075" s="49" t="str">
        <f>IFERROR(__xludf.DUMMYFUNCTION("""COMPUTED_VALUE"""),"Food")</f>
        <v>Food</v>
      </c>
    </row>
    <row r="1076">
      <c r="A1076" s="156" t="str">
        <f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076" s="73" t="str">
        <f>IFERROR(__xludf.DUMMYFUNCTION("""COMPUTED_VALUE"""),"Food")</f>
        <v>Food</v>
      </c>
      <c r="C1076" s="73" t="str">
        <f>IFERROR(__xludf.DUMMYFUNCTION("""COMPUTED_VALUE"""),"Chocolate")</f>
        <v>Chocolate</v>
      </c>
      <c r="D1076" s="73" t="str">
        <f>IFERROR(__xludf.DUMMYFUNCTION("""COMPUTED_VALUE"""),"322*180*32 mm | 12.6*7*1.2 inch Tray")</f>
        <v>322*180*32 mm | 12.6*7*1.2 inch Tray</v>
      </c>
      <c r="E1076" s="77">
        <f>IFERROR(__xludf.DUMMYFUNCTION("""COMPUTED_VALUE"""),1.0)</f>
        <v>1</v>
      </c>
      <c r="F1076" s="77">
        <f>IFERROR(__xludf.DUMMYFUNCTION("""COMPUTED_VALUE"""),1926.0)</f>
        <v>1926</v>
      </c>
      <c r="G1076" s="77">
        <f>IFERROR(__xludf.DUMMYFUNCTION("""COMPUTED_VALUE"""),15.75)</f>
        <v>15.75</v>
      </c>
      <c r="H1076" s="77">
        <f>IFERROR(__xludf.DUMMYFUNCTION("""COMPUTED_VALUE"""),20.75)</f>
        <v>20.75</v>
      </c>
      <c r="I1076" s="77">
        <f>IFERROR(__xludf.DUMMYFUNCTION("""COMPUTED_VALUE"""),100.0)</f>
        <v>100</v>
      </c>
      <c r="J1076" s="73"/>
      <c r="K1076" s="73"/>
      <c r="L1076" s="73"/>
      <c r="M1076" s="77"/>
      <c r="N1076" s="77">
        <f>IFERROR(__xludf.DUMMYFUNCTION("""COMPUTED_VALUE"""),1.0)</f>
        <v>1</v>
      </c>
      <c r="O1076" s="49"/>
      <c r="P1076" s="49" t="str">
        <f>IFERROR(__xludf.DUMMYFUNCTION("""COMPUTED_VALUE"""),"Offset")</f>
        <v>Offset</v>
      </c>
      <c r="Q1076" s="49" t="str">
        <f>IFERROR(__xludf.DUMMYFUNCTION("""COMPUTED_VALUE"""),"Packaging")</f>
        <v>Packaging</v>
      </c>
      <c r="R1076" s="49" t="str">
        <f>IFERROR(__xludf.DUMMYFUNCTION("""COMPUTED_VALUE"""),"Food")</f>
        <v>Food</v>
      </c>
    </row>
    <row r="1077">
      <c r="A1077" s="156" t="str">
        <f>IFERROR(__xludf.DUMMYFUNCTION("""COMPUTED_VALUE"""),"https://drive.google.com/open?id=1Zl-XEursFIe2qATwpKH2i0nMA27x05hp&amp;authuser=jay.agg%40gmail.com&amp;usp=drive_fs")</f>
        <v>https://drive.google.com/open?id=1Zl-XEursFIe2qATwpKH2i0nMA27x05hp&amp;authuser=jay.agg%40gmail.com&amp;usp=drive_fs</v>
      </c>
      <c r="B1077" s="73" t="str">
        <f>IFERROR(__xludf.DUMMYFUNCTION("""COMPUTED_VALUE"""),"Food")</f>
        <v>Food</v>
      </c>
      <c r="C1077" s="73" t="str">
        <f>IFERROR(__xludf.DUMMYFUNCTION("""COMPUTED_VALUE"""),"Chocolate")</f>
        <v>Chocolate</v>
      </c>
      <c r="D1077" s="73" t="str">
        <f>IFERROR(__xludf.DUMMYFUNCTION("""COMPUTED_VALUE"""),"175*100*178 mm | 6.9*7*3.9 inch")</f>
        <v>175*100*178 mm | 6.9*7*3.9 inch</v>
      </c>
      <c r="E1077" s="77">
        <f>IFERROR(__xludf.DUMMYFUNCTION("""COMPUTED_VALUE"""),1.0)</f>
        <v>1</v>
      </c>
      <c r="F1077" s="77">
        <f>IFERROR(__xludf.DUMMYFUNCTION("""COMPUTED_VALUE"""),1926.0)</f>
        <v>1926</v>
      </c>
      <c r="G1077" s="77">
        <f>IFERROR(__xludf.DUMMYFUNCTION("""COMPUTED_VALUE"""),18.0)</f>
        <v>18</v>
      </c>
      <c r="H1077" s="77">
        <f>IFERROR(__xludf.DUMMYFUNCTION("""COMPUTED_VALUE"""),23.0)</f>
        <v>23</v>
      </c>
      <c r="I1077" s="77">
        <f>IFERROR(__xludf.DUMMYFUNCTION("""COMPUTED_VALUE"""),100.0)</f>
        <v>100</v>
      </c>
      <c r="J1077" s="73"/>
      <c r="K1077" s="73"/>
      <c r="L1077" s="73"/>
      <c r="M1077" s="77">
        <f>IFERROR(__xludf.DUMMYFUNCTION("""COMPUTED_VALUE"""),0.1)</f>
        <v>0.1</v>
      </c>
      <c r="N1077" s="77">
        <f>IFERROR(__xludf.DUMMYFUNCTION("""COMPUTED_VALUE"""),1.0)</f>
        <v>1</v>
      </c>
      <c r="O1077" s="49"/>
      <c r="P1077" s="49" t="str">
        <f>IFERROR(__xludf.DUMMYFUNCTION("""COMPUTED_VALUE"""),"Offset")</f>
        <v>Offset</v>
      </c>
      <c r="Q1077" s="49" t="str">
        <f>IFERROR(__xludf.DUMMYFUNCTION("""COMPUTED_VALUE"""),"Packaging")</f>
        <v>Packaging</v>
      </c>
      <c r="R1077" s="49" t="str">
        <f>IFERROR(__xludf.DUMMYFUNCTION("""COMPUTED_VALUE"""),"Food")</f>
        <v>Food</v>
      </c>
    </row>
    <row r="1078">
      <c r="A1078" s="156" t="str">
        <f>IFERROR(__xludf.DUMMYFUNCTION("""COMPUTED_VALUE"""),"https://drive.google.com/open?id=1_BYrh5PiI1PUa-jQ8mSQ_IwsCp6wLaef&amp;authuser=jay.agg%40gmail.com&amp;usp=drive_fs")</f>
        <v>https://drive.google.com/open?id=1_BYrh5PiI1PUa-jQ8mSQ_IwsCp6wLaef&amp;authuser=jay.agg%40gmail.com&amp;usp=drive_fs</v>
      </c>
      <c r="B1078" s="73" t="str">
        <f>IFERROR(__xludf.DUMMYFUNCTION("""COMPUTED_VALUE"""),"Food")</f>
        <v>Food</v>
      </c>
      <c r="C1078" s="73" t="str">
        <f>IFERROR(__xludf.DUMMYFUNCTION("""COMPUTED_VALUE"""),"Chocolate")</f>
        <v>Chocolate</v>
      </c>
      <c r="D1078" s="73" t="str">
        <f>IFERROR(__xludf.DUMMYFUNCTION("""COMPUTED_VALUE"""),"255*175*90 mm | 10*6.9*3.5 inch IL")</f>
        <v>255*175*90 mm | 10*6.9*3.5 inch IL</v>
      </c>
      <c r="E1078" s="77">
        <f>IFERROR(__xludf.DUMMYFUNCTION("""COMPUTED_VALUE"""),1.0)</f>
        <v>1</v>
      </c>
      <c r="F1078" s="77">
        <f>IFERROR(__xludf.DUMMYFUNCTION("""COMPUTED_VALUE"""),2029.0)</f>
        <v>2029</v>
      </c>
      <c r="G1078" s="77">
        <f>IFERROR(__xludf.DUMMYFUNCTION("""COMPUTED_VALUE"""),19.0)</f>
        <v>19</v>
      </c>
      <c r="H1078" s="77">
        <f>IFERROR(__xludf.DUMMYFUNCTION("""COMPUTED_VALUE"""),26.0)</f>
        <v>26</v>
      </c>
      <c r="I1078" s="77">
        <f>IFERROR(__xludf.DUMMYFUNCTION("""COMPUTED_VALUE"""),100.0)</f>
        <v>100</v>
      </c>
      <c r="J1078" s="73"/>
      <c r="K1078" s="73"/>
      <c r="L1078" s="73"/>
      <c r="M1078" s="77">
        <f>IFERROR(__xludf.DUMMYFUNCTION("""COMPUTED_VALUE"""),0.32)</f>
        <v>0.32</v>
      </c>
      <c r="N1078" s="77">
        <f>IFERROR(__xludf.DUMMYFUNCTION("""COMPUTED_VALUE"""),1.0)</f>
        <v>1</v>
      </c>
      <c r="O1078" s="49"/>
      <c r="P1078" s="49" t="str">
        <f>IFERROR(__xludf.DUMMYFUNCTION("""COMPUTED_VALUE"""),"Offset")</f>
        <v>Offset</v>
      </c>
      <c r="Q1078" s="49" t="str">
        <f>IFERROR(__xludf.DUMMYFUNCTION("""COMPUTED_VALUE"""),"Packaging")</f>
        <v>Packaging</v>
      </c>
      <c r="R1078" s="49" t="str">
        <f>IFERROR(__xludf.DUMMYFUNCTION("""COMPUTED_VALUE"""),"Food")</f>
        <v>Food</v>
      </c>
    </row>
    <row r="1079">
      <c r="A1079" s="156" t="str">
        <f>IFERROR(__xludf.DUMMYFUNCTION("""COMPUTED_VALUE"""),"https://drive.google.com/open?id=1eQDLnmfEu_9K-BBzTK_pYkvtd57_WSjW&amp;authuser=jay.agg%40gmail.com&amp;usp=drive_fs")</f>
        <v>https://drive.google.com/open?id=1eQDLnmfEu_9K-BBzTK_pYkvtd57_WSjW&amp;authuser=jay.agg%40gmail.com&amp;usp=drive_fs</v>
      </c>
      <c r="B1079" s="73" t="str">
        <f>IFERROR(__xludf.DUMMYFUNCTION("""COMPUTED_VALUE"""),"Food")</f>
        <v>Food</v>
      </c>
      <c r="C1079" s="73" t="str">
        <f>IFERROR(__xludf.DUMMYFUNCTION("""COMPUTED_VALUE"""),"Misc")</f>
        <v>Misc</v>
      </c>
      <c r="D1079" s="73" t="str">
        <f>IFERROR(__xludf.DUMMYFUNCTION("""COMPUTED_VALUE"""),"128*52*177 mm | 5*2*7 inch")</f>
        <v>128*52*177 mm | 5*2*7 inch</v>
      </c>
      <c r="E1079" s="77">
        <f>IFERROR(__xludf.DUMMYFUNCTION("""COMPUTED_VALUE"""),2.0)</f>
        <v>2</v>
      </c>
      <c r="F1079" s="77">
        <f>IFERROR(__xludf.DUMMYFUNCTION("""COMPUTED_VALUE"""),2029.0)</f>
        <v>2029</v>
      </c>
      <c r="G1079" s="77">
        <f>IFERROR(__xludf.DUMMYFUNCTION("""COMPUTED_VALUE"""),18.0)</f>
        <v>18</v>
      </c>
      <c r="H1079" s="77">
        <f>IFERROR(__xludf.DUMMYFUNCTION("""COMPUTED_VALUE"""),23.0)</f>
        <v>23</v>
      </c>
      <c r="I1079" s="77">
        <f>IFERROR(__xludf.DUMMYFUNCTION("""COMPUTED_VALUE"""),100.0)</f>
        <v>100</v>
      </c>
      <c r="J1079" s="73"/>
      <c r="K1079" s="73"/>
      <c r="L1079" s="73"/>
      <c r="M1079" s="77">
        <f>IFERROR(__xludf.DUMMYFUNCTION("""COMPUTED_VALUE"""),0.1)</f>
        <v>0.1</v>
      </c>
      <c r="N1079" s="77">
        <f>IFERROR(__xludf.DUMMYFUNCTION("""COMPUTED_VALUE"""),1.0)</f>
        <v>1</v>
      </c>
      <c r="O1079" s="49"/>
      <c r="P1079" s="49" t="str">
        <f>IFERROR(__xludf.DUMMYFUNCTION("""COMPUTED_VALUE"""),"Offset")</f>
        <v>Offset</v>
      </c>
      <c r="Q1079" s="49" t="str">
        <f>IFERROR(__xludf.DUMMYFUNCTION("""COMPUTED_VALUE"""),"Packaging")</f>
        <v>Packaging</v>
      </c>
      <c r="R1079" s="49" t="str">
        <f>IFERROR(__xludf.DUMMYFUNCTION("""COMPUTED_VALUE"""),"Food")</f>
        <v>Food</v>
      </c>
    </row>
    <row r="1080">
      <c r="A1080" s="156" t="str">
        <f>IFERROR(__xludf.DUMMYFUNCTION("""COMPUTED_VALUE"""),"https://drive.google.com/open?id=1eRLAo9d8DiVbvwNiRDComuYzDcqiCWJp&amp;authuser=jay.agg%40gmail.com&amp;usp=drive_fs")</f>
        <v>https://drive.google.com/open?id=1eRLAo9d8DiVbvwNiRDComuYzDcqiCWJp&amp;authuser=jay.agg%40gmail.com&amp;usp=drive_fs</v>
      </c>
      <c r="B1080" s="73" t="str">
        <f>IFERROR(__xludf.DUMMYFUNCTION("""COMPUTED_VALUE"""),"Food")</f>
        <v>Food</v>
      </c>
      <c r="C1080" s="73" t="str">
        <f>IFERROR(__xludf.DUMMYFUNCTION("""COMPUTED_VALUE"""),"Chocolate")</f>
        <v>Chocolate</v>
      </c>
      <c r="D1080" s="73" t="str">
        <f>IFERROR(__xludf.DUMMYFUNCTION("""COMPUTED_VALUE"""),"82*14*161 mm | 3.2*0.5*6.3 inch")</f>
        <v>82*14*161 mm | 3.2*0.5*6.3 inch</v>
      </c>
      <c r="E1080" s="77">
        <f>IFERROR(__xludf.DUMMYFUNCTION("""COMPUTED_VALUE"""),6.0)</f>
        <v>6</v>
      </c>
      <c r="F1080" s="77">
        <f>IFERROR(__xludf.DUMMYFUNCTION("""COMPUTED_VALUE"""),1926.0)</f>
        <v>1926</v>
      </c>
      <c r="G1080" s="77">
        <f>IFERROR(__xludf.DUMMYFUNCTION("""COMPUTED_VALUE"""),18.0)</f>
        <v>18</v>
      </c>
      <c r="H1080" s="77">
        <f>IFERROR(__xludf.DUMMYFUNCTION("""COMPUTED_VALUE"""),25.0)</f>
        <v>25</v>
      </c>
      <c r="I1080" s="77">
        <f>IFERROR(__xludf.DUMMYFUNCTION("""COMPUTED_VALUE"""),100.0)</f>
        <v>100</v>
      </c>
      <c r="J1080" s="73"/>
      <c r="K1080" s="73"/>
      <c r="L1080" s="73"/>
      <c r="M1080" s="77">
        <f>IFERROR(__xludf.DUMMYFUNCTION("""COMPUTED_VALUE"""),0.1)</f>
        <v>0.1</v>
      </c>
      <c r="N1080" s="77">
        <f>IFERROR(__xludf.DUMMYFUNCTION("""COMPUTED_VALUE"""),1.0)</f>
        <v>1</v>
      </c>
      <c r="O1080" s="49"/>
      <c r="P1080" s="49" t="str">
        <f>IFERROR(__xludf.DUMMYFUNCTION("""COMPUTED_VALUE"""),"Offset")</f>
        <v>Offset</v>
      </c>
      <c r="Q1080" s="49" t="str">
        <f>IFERROR(__xludf.DUMMYFUNCTION("""COMPUTED_VALUE"""),"Packaging")</f>
        <v>Packaging</v>
      </c>
      <c r="R1080" s="49" t="str">
        <f>IFERROR(__xludf.DUMMYFUNCTION("""COMPUTED_VALUE"""),"Food")</f>
        <v>Food</v>
      </c>
    </row>
    <row r="1081">
      <c r="A1081" s="156" t="str">
        <f>IFERROR(__xludf.DUMMYFUNCTION("""COMPUTED_VALUE"""),"https://drive.google.com/open?id=1azlb0WzLVLWI56A9ao925_NavPqzLPO_&amp;authuser=jay.agg%40gmail.com&amp;usp=drive_fs")</f>
        <v>https://drive.google.com/open?id=1azlb0WzLVLWI56A9ao925_NavPqzLPO_&amp;authuser=jay.agg%40gmail.com&amp;usp=drive_fs</v>
      </c>
      <c r="B1081" s="73" t="str">
        <f>IFERROR(__xludf.DUMMYFUNCTION("""COMPUTED_VALUE"""),"Food")</f>
        <v>Food</v>
      </c>
      <c r="C1081" s="73" t="str">
        <f>IFERROR(__xludf.DUMMYFUNCTION("""COMPUTED_VALUE"""),"Colour")</f>
        <v>Colour</v>
      </c>
      <c r="D1081" s="73" t="str">
        <f>IFERROR(__xludf.DUMMYFUNCTION("""COMPUTED_VALUE"""),"140*51*90 mm | 5.5*3.5*2 inch")</f>
        <v>140*51*90 mm | 5.5*3.5*2 inch</v>
      </c>
      <c r="E1081" s="77">
        <f>IFERROR(__xludf.DUMMYFUNCTION("""COMPUTED_VALUE"""),3.0)</f>
        <v>3</v>
      </c>
      <c r="F1081" s="77">
        <f>IFERROR(__xludf.DUMMYFUNCTION("""COMPUTED_VALUE"""),1926.0)</f>
        <v>1926</v>
      </c>
      <c r="G1081" s="77">
        <f>IFERROR(__xludf.DUMMYFUNCTION("""COMPUTED_VALUE"""),18.0)</f>
        <v>18</v>
      </c>
      <c r="H1081" s="77">
        <f>IFERROR(__xludf.DUMMYFUNCTION("""COMPUTED_VALUE"""),23.0)</f>
        <v>23</v>
      </c>
      <c r="I1081" s="77">
        <f>IFERROR(__xludf.DUMMYFUNCTION("""COMPUTED_VALUE"""),100.0)</f>
        <v>100</v>
      </c>
      <c r="J1081" s="73"/>
      <c r="K1081" s="73"/>
      <c r="L1081" s="73"/>
      <c r="M1081" s="77">
        <f>IFERROR(__xludf.DUMMYFUNCTION("""COMPUTED_VALUE"""),0.1)</f>
        <v>0.1</v>
      </c>
      <c r="N1081" s="77">
        <f>IFERROR(__xludf.DUMMYFUNCTION("""COMPUTED_VALUE"""),1.0)</f>
        <v>1</v>
      </c>
      <c r="O1081" s="49"/>
      <c r="P1081" s="49" t="str">
        <f>IFERROR(__xludf.DUMMYFUNCTION("""COMPUTED_VALUE"""),"Offset")</f>
        <v>Offset</v>
      </c>
      <c r="Q1081" s="49" t="str">
        <f>IFERROR(__xludf.DUMMYFUNCTION("""COMPUTED_VALUE"""),"Packaging")</f>
        <v>Packaging</v>
      </c>
      <c r="R1081" s="49" t="str">
        <f>IFERROR(__xludf.DUMMYFUNCTION("""COMPUTED_VALUE"""),"Food")</f>
        <v>Food</v>
      </c>
    </row>
    <row r="1082">
      <c r="A1082" s="156" t="str">
        <f>IFERROR(__xludf.DUMMYFUNCTION("""COMPUTED_VALUE"""),"https://drive.google.com/open?id=1gxqH9e07wdipxz5OxnfZfQHphLFA559y&amp;authuser=jay.agg%40gmail.com&amp;usp=drive_fs")</f>
        <v>https://drive.google.com/open?id=1gxqH9e07wdipxz5OxnfZfQHphLFA559y&amp;authuser=jay.agg%40gmail.com&amp;usp=drive_fs</v>
      </c>
      <c r="B1082" s="73" t="str">
        <f>IFERROR(__xludf.DUMMYFUNCTION("""COMPUTED_VALUE"""),"Food")</f>
        <v>Food</v>
      </c>
      <c r="C1082" s="73" t="str">
        <f>IFERROR(__xludf.DUMMYFUNCTION("""COMPUTED_VALUE"""),"Chokidhani")</f>
        <v>Chokidhani</v>
      </c>
      <c r="D1082" s="73" t="str">
        <f>IFERROR(__xludf.DUMMYFUNCTION("""COMPUTED_VALUE"""),"165*90*245 mm | 6.5*3.5*9.6 inch LB")</f>
        <v>165*90*245 mm | 6.5*3.5*9.6 inch LB</v>
      </c>
      <c r="E1082" s="77">
        <f>IFERROR(__xludf.DUMMYFUNCTION("""COMPUTED_VALUE"""),1.0)</f>
        <v>1</v>
      </c>
      <c r="F1082" s="77">
        <f>IFERROR(__xludf.DUMMYFUNCTION("""COMPUTED_VALUE"""),1926.0)</f>
        <v>1926</v>
      </c>
      <c r="G1082" s="77">
        <f>IFERROR(__xludf.DUMMYFUNCTION("""COMPUTED_VALUE"""),18.0)</f>
        <v>18</v>
      </c>
      <c r="H1082" s="77">
        <f>IFERROR(__xludf.DUMMYFUNCTION("""COMPUTED_VALUE"""),23.0)</f>
        <v>23</v>
      </c>
      <c r="I1082" s="77">
        <f>IFERROR(__xludf.DUMMYFUNCTION("""COMPUTED_VALUE"""),100.0)</f>
        <v>100</v>
      </c>
      <c r="J1082" s="73"/>
      <c r="K1082" s="73"/>
      <c r="L1082" s="73"/>
      <c r="M1082" s="77">
        <f>IFERROR(__xludf.DUMMYFUNCTION("""COMPUTED_VALUE"""),0.18)</f>
        <v>0.18</v>
      </c>
      <c r="N1082" s="77">
        <f>IFERROR(__xludf.DUMMYFUNCTION("""COMPUTED_VALUE"""),1.0)</f>
        <v>1</v>
      </c>
      <c r="O1082" s="49"/>
      <c r="P1082" s="49" t="str">
        <f>IFERROR(__xludf.DUMMYFUNCTION("""COMPUTED_VALUE"""),"Offset")</f>
        <v>Offset</v>
      </c>
      <c r="Q1082" s="49" t="str">
        <f>IFERROR(__xludf.DUMMYFUNCTION("""COMPUTED_VALUE"""),"Packaging")</f>
        <v>Packaging</v>
      </c>
      <c r="R1082" s="49" t="str">
        <f>IFERROR(__xludf.DUMMYFUNCTION("""COMPUTED_VALUE"""),"Food")</f>
        <v>Food</v>
      </c>
    </row>
    <row r="1083">
      <c r="A1083" s="156" t="str">
        <f>IFERROR(__xludf.DUMMYFUNCTION("""COMPUTED_VALUE"""),"https://drive.google.com/open?id=1h1gMwsvCLe3Q3bOBRNVUEyzn8SVrFjon&amp;authuser=jay.agg%40gmail.com&amp;usp=drive_fs")</f>
        <v>https://drive.google.com/open?id=1h1gMwsvCLe3Q3bOBRNVUEyzn8SVrFjon&amp;authuser=jay.agg%40gmail.com&amp;usp=drive_fs</v>
      </c>
      <c r="B1083" s="73" t="str">
        <f>IFERROR(__xludf.DUMMYFUNCTION("""COMPUTED_VALUE"""),"Food")</f>
        <v>Food</v>
      </c>
      <c r="C1083" s="73" t="str">
        <f>IFERROR(__xludf.DUMMYFUNCTION("""COMPUTED_VALUE"""),"Chokidhani")</f>
        <v>Chokidhani</v>
      </c>
      <c r="D1083" s="73" t="str">
        <f>IFERROR(__xludf.DUMMYFUNCTION("""COMPUTED_VALUE"""),"140*60*195 mm | 5.5*2.3*7.6 inch")</f>
        <v>140*60*195 mm | 5.5*2.3*7.6 inch</v>
      </c>
      <c r="E1083" s="77">
        <f>IFERROR(__xludf.DUMMYFUNCTION("""COMPUTED_VALUE"""),2.0)</f>
        <v>2</v>
      </c>
      <c r="F1083" s="77">
        <f>IFERROR(__xludf.DUMMYFUNCTION("""COMPUTED_VALUE"""),1926.0)</f>
        <v>1926</v>
      </c>
      <c r="G1083" s="77">
        <f>IFERROR(__xludf.DUMMYFUNCTION("""COMPUTED_VALUE"""),18.0)</f>
        <v>18</v>
      </c>
      <c r="H1083" s="77">
        <f>IFERROR(__xludf.DUMMYFUNCTION("""COMPUTED_VALUE"""),25.0)</f>
        <v>25</v>
      </c>
      <c r="I1083" s="77">
        <f>IFERROR(__xludf.DUMMYFUNCTION("""COMPUTED_VALUE"""),100.0)</f>
        <v>100</v>
      </c>
      <c r="J1083" s="73"/>
      <c r="K1083" s="73"/>
      <c r="L1083" s="73"/>
      <c r="M1083" s="77">
        <f>IFERROR(__xludf.DUMMYFUNCTION("""COMPUTED_VALUE"""),0.1)</f>
        <v>0.1</v>
      </c>
      <c r="N1083" s="77">
        <f>IFERROR(__xludf.DUMMYFUNCTION("""COMPUTED_VALUE"""),1.0)</f>
        <v>1</v>
      </c>
      <c r="O1083" s="49"/>
      <c r="P1083" s="49" t="str">
        <f>IFERROR(__xludf.DUMMYFUNCTION("""COMPUTED_VALUE"""),"Offset")</f>
        <v>Offset</v>
      </c>
      <c r="Q1083" s="49" t="str">
        <f>IFERROR(__xludf.DUMMYFUNCTION("""COMPUTED_VALUE"""),"Packaging")</f>
        <v>Packaging</v>
      </c>
      <c r="R1083" s="49" t="str">
        <f>IFERROR(__xludf.DUMMYFUNCTION("""COMPUTED_VALUE"""),"Food")</f>
        <v>Food</v>
      </c>
    </row>
    <row r="1084">
      <c r="A1084" s="156" t="str">
        <f>IFERROR(__xludf.DUMMYFUNCTION("""COMPUTED_VALUE"""),"https://drive.google.com/open?id=13JCSvpcyTWuEqioltHSap6PCWyZifsCV&amp;authuser=jay.agg%40gmail.com&amp;usp=drive_fs")</f>
        <v>https://drive.google.com/open?id=13JCSvpcyTWuEqioltHSap6PCWyZifsCV&amp;authuser=jay.agg%40gmail.com&amp;usp=drive_fs</v>
      </c>
      <c r="B1084" s="73" t="str">
        <f>IFERROR(__xludf.DUMMYFUNCTION("""COMPUTED_VALUE"""),"Food")</f>
        <v>Food</v>
      </c>
      <c r="C1084" s="73" t="str">
        <f>IFERROR(__xludf.DUMMYFUNCTION("""COMPUTED_VALUE"""),"Chocolate")</f>
        <v>Chocolate</v>
      </c>
      <c r="D1084" s="73" t="str">
        <f>IFERROR(__xludf.DUMMYFUNCTION("""COMPUTED_VALUE"""),"150*115*91 mm | 5.9*4.5*3.5 inch LB")</f>
        <v>150*115*91 mm | 5.9*4.5*3.5 inch LB</v>
      </c>
      <c r="E1084" s="77">
        <f>IFERROR(__xludf.DUMMYFUNCTION("""COMPUTED_VALUE"""),1.0)</f>
        <v>1</v>
      </c>
      <c r="F1084" s="77">
        <f>IFERROR(__xludf.DUMMYFUNCTION("""COMPUTED_VALUE"""),1926.0)</f>
        <v>1926</v>
      </c>
      <c r="G1084" s="77">
        <f>IFERROR(__xludf.DUMMYFUNCTION("""COMPUTED_VALUE"""),18.0)</f>
        <v>18</v>
      </c>
      <c r="H1084" s="77">
        <f>IFERROR(__xludf.DUMMYFUNCTION("""COMPUTED_VALUE"""),23.0)</f>
        <v>23</v>
      </c>
      <c r="I1084" s="77">
        <f>IFERROR(__xludf.DUMMYFUNCTION("""COMPUTED_VALUE"""),100.0)</f>
        <v>100</v>
      </c>
      <c r="J1084" s="73"/>
      <c r="K1084" s="73"/>
      <c r="L1084" s="73"/>
      <c r="M1084" s="77">
        <f>IFERROR(__xludf.DUMMYFUNCTION("""COMPUTED_VALUE"""),0.18)</f>
        <v>0.18</v>
      </c>
      <c r="N1084" s="77">
        <f>IFERROR(__xludf.DUMMYFUNCTION("""COMPUTED_VALUE"""),1.0)</f>
        <v>1</v>
      </c>
      <c r="O1084" s="49"/>
      <c r="P1084" s="49" t="str">
        <f>IFERROR(__xludf.DUMMYFUNCTION("""COMPUTED_VALUE"""),"Offset")</f>
        <v>Offset</v>
      </c>
      <c r="Q1084" s="49" t="str">
        <f>IFERROR(__xludf.DUMMYFUNCTION("""COMPUTED_VALUE"""),"Packaging")</f>
        <v>Packaging</v>
      </c>
      <c r="R1084" s="49" t="str">
        <f>IFERROR(__xludf.DUMMYFUNCTION("""COMPUTED_VALUE"""),"Food")</f>
        <v>Food</v>
      </c>
    </row>
    <row r="1085">
      <c r="A1085" s="156" t="str">
        <f>IFERROR(__xludf.DUMMYFUNCTION("""COMPUTED_VALUE"""),"https://drive.google.com/open?id=13qseTC_P8kAqW7SosbkH3_BCEOUoHD0I&amp;authuser=jay.agg%40gmail.com&amp;usp=drive_fs")</f>
        <v>https://drive.google.com/open?id=13qseTC_P8kAqW7SosbkH3_BCEOUoHD0I&amp;authuser=jay.agg%40gmail.com&amp;usp=drive_fs</v>
      </c>
      <c r="B1085" s="73" t="str">
        <f>IFERROR(__xludf.DUMMYFUNCTION("""COMPUTED_VALUE"""),"Food")</f>
        <v>Food</v>
      </c>
      <c r="C1085" s="73" t="str">
        <f>IFERROR(__xludf.DUMMYFUNCTION("""COMPUTED_VALUE"""),"Paan")</f>
        <v>Paan</v>
      </c>
      <c r="D1085" s="73" t="str">
        <f>IFERROR(__xludf.DUMMYFUNCTION("""COMPUTED_VALUE"""),"95*76*32 mm | 3.7*3*1.3 inch")</f>
        <v>95*76*32 mm | 3.7*3*1.3 inch</v>
      </c>
      <c r="E1085" s="77">
        <f>IFERROR(__xludf.DUMMYFUNCTION("""COMPUTED_VALUE"""),4.0)</f>
        <v>4</v>
      </c>
      <c r="F1085" s="77">
        <f>IFERROR(__xludf.DUMMYFUNCTION("""COMPUTED_VALUE"""),1926.0)</f>
        <v>1926</v>
      </c>
      <c r="G1085" s="77">
        <f>IFERROR(__xludf.DUMMYFUNCTION("""COMPUTED_VALUE"""),15.75)</f>
        <v>15.75</v>
      </c>
      <c r="H1085" s="77">
        <f>IFERROR(__xludf.DUMMYFUNCTION("""COMPUTED_VALUE"""),20.75)</f>
        <v>20.75</v>
      </c>
      <c r="I1085" s="77">
        <f>IFERROR(__xludf.DUMMYFUNCTION("""COMPUTED_VALUE"""),100.0)</f>
        <v>100</v>
      </c>
      <c r="J1085" s="73"/>
      <c r="K1085" s="73"/>
      <c r="L1085" s="73"/>
      <c r="M1085" s="77"/>
      <c r="N1085" s="77">
        <f>IFERROR(__xludf.DUMMYFUNCTION("""COMPUTED_VALUE"""),1.0)</f>
        <v>1</v>
      </c>
      <c r="O1085" s="49"/>
      <c r="P1085" s="49" t="str">
        <f>IFERROR(__xludf.DUMMYFUNCTION("""COMPUTED_VALUE"""),"Offset")</f>
        <v>Offset</v>
      </c>
      <c r="Q1085" s="49" t="str">
        <f>IFERROR(__xludf.DUMMYFUNCTION("""COMPUTED_VALUE"""),"Packaging")</f>
        <v>Packaging</v>
      </c>
      <c r="R1085" s="49" t="str">
        <f>IFERROR(__xludf.DUMMYFUNCTION("""COMPUTED_VALUE"""),"Food")</f>
        <v>Food</v>
      </c>
    </row>
    <row r="1086">
      <c r="A1086" s="156" t="str">
        <f>IFERROR(__xludf.DUMMYFUNCTION("""COMPUTED_VALUE"""),"https://drive.google.com/open?id=13sR1vnoNslQcY5qDCrD-_m_VrXyaCWj2&amp;authuser=jay.agg%40gmail.com&amp;usp=drive_fs")</f>
        <v>https://drive.google.com/open?id=13sR1vnoNslQcY5qDCrD-_m_VrXyaCWj2&amp;authuser=jay.agg%40gmail.com&amp;usp=drive_fs</v>
      </c>
      <c r="B1086" s="73" t="str">
        <f>IFERROR(__xludf.DUMMYFUNCTION("""COMPUTED_VALUE"""),"Food")</f>
        <v>Food</v>
      </c>
      <c r="C1086" s="73" t="str">
        <f>IFERROR(__xludf.DUMMYFUNCTION("""COMPUTED_VALUE"""),"Paan")</f>
        <v>Paan</v>
      </c>
      <c r="D1086" s="73" t="str">
        <f>IFERROR(__xludf.DUMMYFUNCTION("""COMPUTED_VALUE"""),"75*60*35 mm | 3*2.4*1.4 inch")</f>
        <v>75*60*35 mm | 3*2.4*1.4 inch</v>
      </c>
      <c r="E1086" s="77">
        <f>IFERROR(__xludf.DUMMYFUNCTION("""COMPUTED_VALUE"""),8.0)</f>
        <v>8</v>
      </c>
      <c r="F1086" s="77">
        <f>IFERROR(__xludf.DUMMYFUNCTION("""COMPUTED_VALUE"""),1926.0)</f>
        <v>1926</v>
      </c>
      <c r="G1086" s="77">
        <f>IFERROR(__xludf.DUMMYFUNCTION("""COMPUTED_VALUE"""),18.0)</f>
        <v>18</v>
      </c>
      <c r="H1086" s="77">
        <f>IFERROR(__xludf.DUMMYFUNCTION("""COMPUTED_VALUE"""),23.0)</f>
        <v>23</v>
      </c>
      <c r="I1086" s="77">
        <f>IFERROR(__xludf.DUMMYFUNCTION("""COMPUTED_VALUE"""),100.0)</f>
        <v>100</v>
      </c>
      <c r="J1086" s="73"/>
      <c r="K1086" s="73"/>
      <c r="L1086" s="73"/>
      <c r="M1086" s="77"/>
      <c r="N1086" s="77">
        <f>IFERROR(__xludf.DUMMYFUNCTION("""COMPUTED_VALUE"""),1.0)</f>
        <v>1</v>
      </c>
      <c r="O1086" s="49"/>
      <c r="P1086" s="49" t="str">
        <f>IFERROR(__xludf.DUMMYFUNCTION("""COMPUTED_VALUE"""),"Offset")</f>
        <v>Offset</v>
      </c>
      <c r="Q1086" s="49" t="str">
        <f>IFERROR(__xludf.DUMMYFUNCTION("""COMPUTED_VALUE"""),"Packaging")</f>
        <v>Packaging</v>
      </c>
      <c r="R1086" s="49" t="str">
        <f>IFERROR(__xludf.DUMMYFUNCTION("""COMPUTED_VALUE"""),"Food")</f>
        <v>Food</v>
      </c>
    </row>
    <row r="1087">
      <c r="A1087" s="156" t="str">
        <f>IFERROR(__xludf.DUMMYFUNCTION("""COMPUTED_VALUE"""),"https://drive.google.com/open?id=167g4JlzR0We72-s-rJEFYsXfsoureruK&amp;authuser=jay.agg%40gmail.com&amp;usp=drive_fs")</f>
        <v>https://drive.google.com/open?id=167g4JlzR0We72-s-rJEFYsXfsoureruK&amp;authuser=jay.agg%40gmail.com&amp;usp=drive_fs</v>
      </c>
      <c r="B1087" s="73" t="str">
        <f>IFERROR(__xludf.DUMMYFUNCTION("""COMPUTED_VALUE"""),"Food")</f>
        <v>Food</v>
      </c>
      <c r="C1087" s="73" t="str">
        <f>IFERROR(__xludf.DUMMYFUNCTION("""COMPUTED_VALUE"""),"Pasta")</f>
        <v>Pasta</v>
      </c>
      <c r="D1087" s="73" t="str">
        <f>IFERROR(__xludf.DUMMYFUNCTION("""COMPUTED_VALUE"""),"138*62*173 mm | 5.4*2.4*6.8 inch")</f>
        <v>138*62*173 mm | 5.4*2.4*6.8 inch</v>
      </c>
      <c r="E1087" s="77">
        <f>IFERROR(__xludf.DUMMYFUNCTION("""COMPUTED_VALUE"""),2.0)</f>
        <v>2</v>
      </c>
      <c r="F1087" s="77">
        <f>IFERROR(__xludf.DUMMYFUNCTION("""COMPUTED_VALUE"""),1926.0)</f>
        <v>1926</v>
      </c>
      <c r="G1087" s="77">
        <f>IFERROR(__xludf.DUMMYFUNCTION("""COMPUTED_VALUE"""),18.0)</f>
        <v>18</v>
      </c>
      <c r="H1087" s="77">
        <f>IFERROR(__xludf.DUMMYFUNCTION("""COMPUTED_VALUE"""),23.0)</f>
        <v>23</v>
      </c>
      <c r="I1087" s="77">
        <f>IFERROR(__xludf.DUMMYFUNCTION("""COMPUTED_VALUE"""),100.0)</f>
        <v>100</v>
      </c>
      <c r="J1087" s="73"/>
      <c r="K1087" s="73"/>
      <c r="L1087" s="73"/>
      <c r="M1087" s="77">
        <f>IFERROR(__xludf.DUMMYFUNCTION("""COMPUTED_VALUE"""),0.1)</f>
        <v>0.1</v>
      </c>
      <c r="N1087" s="77">
        <f>IFERROR(__xludf.DUMMYFUNCTION("""COMPUTED_VALUE"""),1.0)</f>
        <v>1</v>
      </c>
      <c r="O1087" s="49"/>
      <c r="P1087" s="49" t="str">
        <f>IFERROR(__xludf.DUMMYFUNCTION("""COMPUTED_VALUE"""),"Offset")</f>
        <v>Offset</v>
      </c>
      <c r="Q1087" s="49" t="str">
        <f>IFERROR(__xludf.DUMMYFUNCTION("""COMPUTED_VALUE"""),"Packaging")</f>
        <v>Packaging</v>
      </c>
      <c r="R1087" s="49" t="str">
        <f>IFERROR(__xludf.DUMMYFUNCTION("""COMPUTED_VALUE"""),"Food")</f>
        <v>Food</v>
      </c>
    </row>
    <row r="1088">
      <c r="A1088" s="156" t="str">
        <f>IFERROR(__xludf.DUMMYFUNCTION("""COMPUTED_VALUE"""),"https://drive.google.com/open?id=1ojxccNs17sS_hpoy0kJLnvahIDc5Ojpo&amp;authuser=jay.agg%40gmail.com&amp;usp=drive_fs")</f>
        <v>https://drive.google.com/open?id=1ojxccNs17sS_hpoy0kJLnvahIDc5Ojpo&amp;authuser=jay.agg%40gmail.com&amp;usp=drive_fs</v>
      </c>
      <c r="B1088" s="73" t="str">
        <f>IFERROR(__xludf.DUMMYFUNCTION("""COMPUTED_VALUE"""),"Food")</f>
        <v>Food</v>
      </c>
      <c r="C1088" s="73" t="str">
        <f>IFERROR(__xludf.DUMMYFUNCTION("""COMPUTED_VALUE"""),"Chocolate")</f>
        <v>Chocolate</v>
      </c>
      <c r="D1088" s="73" t="str">
        <f>IFERROR(__xludf.DUMMYFUNCTION("""COMPUTED_VALUE"""),"42*12*89 mm | 1.6*0.5*3.5 inch")</f>
        <v>42*12*89 mm | 1.6*0.5*3.5 inch</v>
      </c>
      <c r="E1088" s="77">
        <f>IFERROR(__xludf.DUMMYFUNCTION("""COMPUTED_VALUE"""),12.0)</f>
        <v>12</v>
      </c>
      <c r="F1088" s="77">
        <f>IFERROR(__xludf.DUMMYFUNCTION("""COMPUTED_VALUE"""),1926.0)</f>
        <v>1926</v>
      </c>
      <c r="G1088" s="77">
        <f>IFERROR(__xludf.DUMMYFUNCTION("""COMPUTED_VALUE"""),15.75)</f>
        <v>15.75</v>
      </c>
      <c r="H1088" s="77">
        <f>IFERROR(__xludf.DUMMYFUNCTION("""COMPUTED_VALUE"""),20.75)</f>
        <v>20.75</v>
      </c>
      <c r="I1088" s="77">
        <f>IFERROR(__xludf.DUMMYFUNCTION("""COMPUTED_VALUE"""),100.0)</f>
        <v>100</v>
      </c>
      <c r="J1088" s="73"/>
      <c r="K1088" s="73"/>
      <c r="L1088" s="73"/>
      <c r="M1088" s="77">
        <f>IFERROR(__xludf.DUMMYFUNCTION("""COMPUTED_VALUE"""),0.1)</f>
        <v>0.1</v>
      </c>
      <c r="N1088" s="77">
        <f>IFERROR(__xludf.DUMMYFUNCTION("""COMPUTED_VALUE"""),1.0)</f>
        <v>1</v>
      </c>
      <c r="O1088" s="49"/>
      <c r="P1088" s="49" t="str">
        <f>IFERROR(__xludf.DUMMYFUNCTION("""COMPUTED_VALUE"""),"Offset")</f>
        <v>Offset</v>
      </c>
      <c r="Q1088" s="49" t="str">
        <f>IFERROR(__xludf.DUMMYFUNCTION("""COMPUTED_VALUE"""),"Packaging")</f>
        <v>Packaging</v>
      </c>
      <c r="R1088" s="49" t="str">
        <f>IFERROR(__xludf.DUMMYFUNCTION("""COMPUTED_VALUE"""),"Food")</f>
        <v>Food</v>
      </c>
    </row>
    <row r="1089">
      <c r="A1089" s="156" t="str">
        <f>IFERROR(__xludf.DUMMYFUNCTION("""COMPUTED_VALUE"""),"https://drive.google.com/open?id=1oroVxcUDNujmzKUqTL-wwmQSNBTee668&amp;authuser=jay.agg%40gmail.com&amp;usp=drive_fs")</f>
        <v>https://drive.google.com/open?id=1oroVxcUDNujmzKUqTL-wwmQSNBTee668&amp;authuser=jay.agg%40gmail.com&amp;usp=drive_fs</v>
      </c>
      <c r="B1089" s="73" t="str">
        <f>IFERROR(__xludf.DUMMYFUNCTION("""COMPUTED_VALUE"""),"Food")</f>
        <v>Food</v>
      </c>
      <c r="C1089" s="73" t="str">
        <f>IFERROR(__xludf.DUMMYFUNCTION("""COMPUTED_VALUE"""),"Chocolate")</f>
        <v>Chocolate</v>
      </c>
      <c r="D1089" s="73" t="str">
        <f>IFERROR(__xludf.DUMMYFUNCTION("""COMPUTED_VALUE"""),"86*12*166 mm | 3.3*0.5*6.5 inch")</f>
        <v>86*12*166 mm | 3.3*0.5*6.5 inch</v>
      </c>
      <c r="E1089" s="77">
        <f>IFERROR(__xludf.DUMMYFUNCTION("""COMPUTED_VALUE"""),6.0)</f>
        <v>6</v>
      </c>
      <c r="F1089" s="77">
        <f>IFERROR(__xludf.DUMMYFUNCTION("""COMPUTED_VALUE"""),1926.0)</f>
        <v>1926</v>
      </c>
      <c r="G1089" s="77">
        <f>IFERROR(__xludf.DUMMYFUNCTION("""COMPUTED_VALUE"""),18.0)</f>
        <v>18</v>
      </c>
      <c r="H1089" s="77">
        <f>IFERROR(__xludf.DUMMYFUNCTION("""COMPUTED_VALUE"""),25.0)</f>
        <v>25</v>
      </c>
      <c r="I1089" s="77">
        <f>IFERROR(__xludf.DUMMYFUNCTION("""COMPUTED_VALUE"""),100.0)</f>
        <v>100</v>
      </c>
      <c r="J1089" s="73"/>
      <c r="K1089" s="73"/>
      <c r="L1089" s="73"/>
      <c r="M1089" s="77">
        <f>IFERROR(__xludf.DUMMYFUNCTION("""COMPUTED_VALUE"""),0.1)</f>
        <v>0.1</v>
      </c>
      <c r="N1089" s="77">
        <f>IFERROR(__xludf.DUMMYFUNCTION("""COMPUTED_VALUE"""),1.0)</f>
        <v>1</v>
      </c>
      <c r="O1089" s="49"/>
      <c r="P1089" s="49" t="str">
        <f>IFERROR(__xludf.DUMMYFUNCTION("""COMPUTED_VALUE"""),"Offset")</f>
        <v>Offset</v>
      </c>
      <c r="Q1089" s="49" t="str">
        <f>IFERROR(__xludf.DUMMYFUNCTION("""COMPUTED_VALUE"""),"Packaging")</f>
        <v>Packaging</v>
      </c>
      <c r="R1089" s="49" t="str">
        <f>IFERROR(__xludf.DUMMYFUNCTION("""COMPUTED_VALUE"""),"Food")</f>
        <v>Food</v>
      </c>
    </row>
    <row r="1090">
      <c r="A1090" s="156" t="str">
        <f>IFERROR(__xludf.DUMMYFUNCTION("""COMPUTED_VALUE"""),"https://drive.google.com/open?id=16JOlO9uJegkjlMHtkKbhnsDk3TfXug_s&amp;authuser=jay.agg%40gmail.com&amp;usp=drive_fs")</f>
        <v>https://drive.google.com/open?id=16JOlO9uJegkjlMHtkKbhnsDk3TfXug_s&amp;authuser=jay.agg%40gmail.com&amp;usp=drive_fs</v>
      </c>
      <c r="B1090" s="73" t="str">
        <f>IFERROR(__xludf.DUMMYFUNCTION("""COMPUTED_VALUE"""),"Food")</f>
        <v>Food</v>
      </c>
      <c r="C1090" s="73" t="str">
        <f>IFERROR(__xludf.DUMMYFUNCTION("""COMPUTED_VALUE"""),"Chokidhani")</f>
        <v>Chokidhani</v>
      </c>
      <c r="D1090" s="73" t="str">
        <f>IFERROR(__xludf.DUMMYFUNCTION("""COMPUTED_VALUE"""),"140*45*210 mm | 5.5*1.7*8.2 inch")</f>
        <v>140*45*210 mm | 5.5*1.7*8.2 inch</v>
      </c>
      <c r="E1090" s="77">
        <f>IFERROR(__xludf.DUMMYFUNCTION("""COMPUTED_VALUE"""),2.0)</f>
        <v>2</v>
      </c>
      <c r="F1090" s="77">
        <f>IFERROR(__xludf.DUMMYFUNCTION("""COMPUTED_VALUE"""),1926.0)</f>
        <v>1926</v>
      </c>
      <c r="G1090" s="77">
        <f>IFERROR(__xludf.DUMMYFUNCTION("""COMPUTED_VALUE"""),18.0)</f>
        <v>18</v>
      </c>
      <c r="H1090" s="77">
        <f>IFERROR(__xludf.DUMMYFUNCTION("""COMPUTED_VALUE"""),25.0)</f>
        <v>25</v>
      </c>
      <c r="I1090" s="77">
        <f>IFERROR(__xludf.DUMMYFUNCTION("""COMPUTED_VALUE"""),100.0)</f>
        <v>100</v>
      </c>
      <c r="J1090" s="73"/>
      <c r="K1090" s="73"/>
      <c r="L1090" s="73"/>
      <c r="M1090" s="77">
        <f>IFERROR(__xludf.DUMMYFUNCTION("""COMPUTED_VALUE"""),0.1)</f>
        <v>0.1</v>
      </c>
      <c r="N1090" s="77">
        <f>IFERROR(__xludf.DUMMYFUNCTION("""COMPUTED_VALUE"""),1.0)</f>
        <v>1</v>
      </c>
      <c r="O1090" s="49"/>
      <c r="P1090" s="49" t="str">
        <f>IFERROR(__xludf.DUMMYFUNCTION("""COMPUTED_VALUE"""),"Offset")</f>
        <v>Offset</v>
      </c>
      <c r="Q1090" s="49" t="str">
        <f>IFERROR(__xludf.DUMMYFUNCTION("""COMPUTED_VALUE"""),"Packaging")</f>
        <v>Packaging</v>
      </c>
      <c r="R1090" s="49" t="str">
        <f>IFERROR(__xludf.DUMMYFUNCTION("""COMPUTED_VALUE"""),"Food")</f>
        <v>Food</v>
      </c>
    </row>
    <row r="1091">
      <c r="A1091" s="156" t="str">
        <f>IFERROR(__xludf.DUMMYFUNCTION("""COMPUTED_VALUE"""),"https://drive.google.com/open?id=185JJStzmKnmq6iEa5gsiDbI5gcwueh6H&amp;authuser=jay.agg%40gmail.com&amp;usp=drive_fs")</f>
        <v>https://drive.google.com/open?id=185JJStzmKnmq6iEa5gsiDbI5gcwueh6H&amp;authuser=jay.agg%40gmail.com&amp;usp=drive_fs</v>
      </c>
      <c r="B1091" s="73" t="str">
        <f>IFERROR(__xludf.DUMMYFUNCTION("""COMPUTED_VALUE"""),"Food")</f>
        <v>Food</v>
      </c>
      <c r="C1091" s="73" t="str">
        <f>IFERROR(__xludf.DUMMYFUNCTION("""COMPUTED_VALUE"""),"Dates")</f>
        <v>Dates</v>
      </c>
      <c r="D1091" s="73" t="str">
        <f>IFERROR(__xludf.DUMMYFUNCTION("""COMPUTED_VALUE"""),"242*145*50 mm | 9.5*5.7*2 inch")</f>
        <v>242*145*50 mm | 9.5*5.7*2 inch</v>
      </c>
      <c r="E1091" s="77">
        <f>IFERROR(__xludf.DUMMYFUNCTION("""COMPUTED_VALUE"""),2.0)</f>
        <v>2</v>
      </c>
      <c r="F1091" s="77">
        <f>IFERROR(__xludf.DUMMYFUNCTION("""COMPUTED_VALUE"""),1926.0)</f>
        <v>1926</v>
      </c>
      <c r="G1091" s="77">
        <f>IFERROR(__xludf.DUMMYFUNCTION("""COMPUTED_VALUE"""),15.75)</f>
        <v>15.75</v>
      </c>
      <c r="H1091" s="77">
        <f>IFERROR(__xludf.DUMMYFUNCTION("""COMPUTED_VALUE"""),20.75)</f>
        <v>20.75</v>
      </c>
      <c r="I1091" s="77">
        <f>IFERROR(__xludf.DUMMYFUNCTION("""COMPUTED_VALUE"""),100.0)</f>
        <v>100</v>
      </c>
      <c r="J1091" s="73"/>
      <c r="K1091" s="73"/>
      <c r="L1091" s="73">
        <f>IFERROR(__xludf.DUMMYFUNCTION("""COMPUTED_VALUE"""),1.5)</f>
        <v>1.5</v>
      </c>
      <c r="M1091" s="77"/>
      <c r="N1091" s="77">
        <f>IFERROR(__xludf.DUMMYFUNCTION("""COMPUTED_VALUE"""),1.0)</f>
        <v>1</v>
      </c>
      <c r="O1091" s="49"/>
      <c r="P1091" s="49" t="str">
        <f>IFERROR(__xludf.DUMMYFUNCTION("""COMPUTED_VALUE"""),"Offset")</f>
        <v>Offset</v>
      </c>
      <c r="Q1091" s="49" t="str">
        <f>IFERROR(__xludf.DUMMYFUNCTION("""COMPUTED_VALUE"""),"Packaging")</f>
        <v>Packaging</v>
      </c>
      <c r="R1091" s="49" t="str">
        <f>IFERROR(__xludf.DUMMYFUNCTION("""COMPUTED_VALUE"""),"Food")</f>
        <v>Food</v>
      </c>
    </row>
    <row r="1092">
      <c r="A1092" s="156" t="str">
        <f>IFERROR(__xludf.DUMMYFUNCTION("""COMPUTED_VALUE"""),"https://drive.google.com/open?id=183Ob4cvJ9MHnezNeWn4my_m7xG5y_0kP&amp;authuser=jay.agg%40gmail.com&amp;usp=drive_fs")</f>
        <v>https://drive.google.com/open?id=183Ob4cvJ9MHnezNeWn4my_m7xG5y_0kP&amp;authuser=jay.agg%40gmail.com&amp;usp=drive_fs</v>
      </c>
      <c r="B1092" s="73" t="str">
        <f>IFERROR(__xludf.DUMMYFUNCTION("""COMPUTED_VALUE"""),"Food")</f>
        <v>Food</v>
      </c>
      <c r="C1092" s="73" t="str">
        <f>IFERROR(__xludf.DUMMYFUNCTION("""COMPUTED_VALUE"""),"Dates")</f>
        <v>Dates</v>
      </c>
      <c r="D1092" s="73" t="str">
        <f>IFERROR(__xludf.DUMMYFUNCTION("""COMPUTED_VALUE"""),"Bottom 242*145*50 mm | 9.5*5.7*2 inch | 30*19")</f>
        <v>Bottom 242*145*50 mm | 9.5*5.7*2 inch | 30*19</v>
      </c>
      <c r="E1092" s="77">
        <f>IFERROR(__xludf.DUMMYFUNCTION("""COMPUTED_VALUE"""),3.0)</f>
        <v>3</v>
      </c>
      <c r="F1092" s="77">
        <f>IFERROR(__xludf.DUMMYFUNCTION("""COMPUTED_VALUE"""),2029.0)</f>
        <v>2029</v>
      </c>
      <c r="G1092" s="77">
        <f>IFERROR(__xludf.DUMMYFUNCTION("""COMPUTED_VALUE"""),20.5)</f>
        <v>20.5</v>
      </c>
      <c r="H1092" s="77">
        <f>IFERROR(__xludf.DUMMYFUNCTION("""COMPUTED_VALUE"""),31.0)</f>
        <v>31</v>
      </c>
      <c r="I1092" s="77">
        <f>IFERROR(__xludf.DUMMYFUNCTION("""COMPUTED_VALUE"""),100.0)</f>
        <v>100</v>
      </c>
      <c r="J1092" s="73"/>
      <c r="K1092" s="73"/>
      <c r="L1092" s="73"/>
      <c r="M1092" s="77"/>
      <c r="N1092" s="77">
        <f>IFERROR(__xludf.DUMMYFUNCTION("""COMPUTED_VALUE"""),1.0)</f>
        <v>1</v>
      </c>
      <c r="O1092" s="49"/>
      <c r="P1092" s="49" t="str">
        <f>IFERROR(__xludf.DUMMYFUNCTION("""COMPUTED_VALUE"""),"Offset")</f>
        <v>Offset</v>
      </c>
      <c r="Q1092" s="49" t="str">
        <f>IFERROR(__xludf.DUMMYFUNCTION("""COMPUTED_VALUE"""),"Packaging")</f>
        <v>Packaging</v>
      </c>
      <c r="R1092" s="49" t="str">
        <f>IFERROR(__xludf.DUMMYFUNCTION("""COMPUTED_VALUE"""),"Food")</f>
        <v>Food</v>
      </c>
    </row>
    <row r="1093">
      <c r="A1093" s="156" t="str">
        <f>IFERROR(__xludf.DUMMYFUNCTION("""COMPUTED_VALUE"""),"https://drive.google.com/open?id=1-fjyTecvivYJ7Pn-ktlhKoMzHFP0Nxdk&amp;authuser=jay.agg%40gmail.com&amp;usp=drive_fs")</f>
        <v>https://drive.google.com/open?id=1-fjyTecvivYJ7Pn-ktlhKoMzHFP0Nxdk&amp;authuser=jay.agg%40gmail.com&amp;usp=drive_fs</v>
      </c>
      <c r="B1093" s="73" t="str">
        <f>IFERROR(__xludf.DUMMYFUNCTION("""COMPUTED_VALUE"""),"Food")</f>
        <v>Food</v>
      </c>
      <c r="C1093" s="73" t="str">
        <f>IFERROR(__xludf.DUMMYFUNCTION("""COMPUTED_VALUE"""),"Pizza")</f>
        <v>Pizza</v>
      </c>
      <c r="D1093" s="73" t="str">
        <f>IFERROR(__xludf.DUMMYFUNCTION("""COMPUTED_VALUE"""),"175*175*38 mm | 6.9*6.9*1.5 inch | 20*30")</f>
        <v>175*175*38 mm | 6.9*6.9*1.5 inch | 20*30</v>
      </c>
      <c r="E1093" s="77">
        <f>IFERROR(__xludf.DUMMYFUNCTION("""COMPUTED_VALUE"""),3.0)</f>
        <v>3</v>
      </c>
      <c r="F1093" s="77">
        <f>IFERROR(__xludf.DUMMYFUNCTION("""COMPUTED_VALUE"""),2029.0)</f>
        <v>2029</v>
      </c>
      <c r="G1093" s="77">
        <f>IFERROR(__xludf.DUMMYFUNCTION("""COMPUTED_VALUE"""),20.75)</f>
        <v>20.75</v>
      </c>
      <c r="H1093" s="77">
        <f>IFERROR(__xludf.DUMMYFUNCTION("""COMPUTED_VALUE"""),31.5)</f>
        <v>31.5</v>
      </c>
      <c r="I1093" s="77">
        <f>IFERROR(__xludf.DUMMYFUNCTION("""COMPUTED_VALUE"""),100.0)</f>
        <v>100</v>
      </c>
      <c r="J1093" s="73"/>
      <c r="K1093" s="73"/>
      <c r="L1093" s="73"/>
      <c r="M1093" s="77"/>
      <c r="N1093" s="77">
        <f>IFERROR(__xludf.DUMMYFUNCTION("""COMPUTED_VALUE"""),1.0)</f>
        <v>1</v>
      </c>
      <c r="O1093" s="49"/>
      <c r="P1093" s="49" t="str">
        <f>IFERROR(__xludf.DUMMYFUNCTION("""COMPUTED_VALUE"""),"Offset")</f>
        <v>Offset</v>
      </c>
      <c r="Q1093" s="49" t="str">
        <f>IFERROR(__xludf.DUMMYFUNCTION("""COMPUTED_VALUE"""),"Packaging")</f>
        <v>Packaging</v>
      </c>
      <c r="R1093" s="49" t="str">
        <f>IFERROR(__xludf.DUMMYFUNCTION("""COMPUTED_VALUE"""),"Food")</f>
        <v>Food</v>
      </c>
    </row>
    <row r="1094">
      <c r="A1094" s="156" t="str">
        <f>IFERROR(__xludf.DUMMYFUNCTION("""COMPUTED_VALUE"""),"https://drive.google.com/open?id=1-gJxWqC7qaIkNPtpzz6EhY1EBbwwMB8M&amp;authuser=jay.agg%40gmail.com&amp;usp=drive_fs")</f>
        <v>https://drive.google.com/open?id=1-gJxWqC7qaIkNPtpzz6EhY1EBbwwMB8M&amp;authuser=jay.agg%40gmail.com&amp;usp=drive_fs</v>
      </c>
      <c r="B1094" s="73" t="str">
        <f>IFERROR(__xludf.DUMMYFUNCTION("""COMPUTED_VALUE"""),"Food")</f>
        <v>Food</v>
      </c>
      <c r="C1094" s="73" t="str">
        <f>IFERROR(__xludf.DUMMYFUNCTION("""COMPUTED_VALUE"""),"Pizza")</f>
        <v>Pizza</v>
      </c>
      <c r="D1094" s="73" t="str">
        <f>IFERROR(__xludf.DUMMYFUNCTION("""COMPUTED_VALUE"""),"225*225*40 mm | 8.9*8.9*1.5 inch | 24*36")</f>
        <v>225*225*40 mm | 8.9*8.9*1.5 inch | 24*36</v>
      </c>
      <c r="E1094" s="77">
        <f>IFERROR(__xludf.DUMMYFUNCTION("""COMPUTED_VALUE"""),3.0)</f>
        <v>3</v>
      </c>
      <c r="F1094" s="77">
        <f>IFERROR(__xludf.DUMMYFUNCTION("""COMPUTED_VALUE"""),2840.0)</f>
        <v>2840</v>
      </c>
      <c r="G1094" s="77">
        <f>IFERROR(__xludf.DUMMYFUNCTION("""COMPUTED_VALUE"""),25.0)</f>
        <v>25</v>
      </c>
      <c r="H1094" s="77">
        <f>IFERROR(__xludf.DUMMYFUNCTION("""COMPUTED_VALUE"""),36.0)</f>
        <v>36</v>
      </c>
      <c r="I1094" s="77">
        <f>IFERROR(__xludf.DUMMYFUNCTION("""COMPUTED_VALUE"""),100.0)</f>
        <v>100</v>
      </c>
      <c r="J1094" s="73"/>
      <c r="K1094" s="73"/>
      <c r="L1094" s="73"/>
      <c r="M1094" s="77"/>
      <c r="N1094" s="77">
        <f>IFERROR(__xludf.DUMMYFUNCTION("""COMPUTED_VALUE"""),1.0)</f>
        <v>1</v>
      </c>
      <c r="O1094" s="49"/>
      <c r="P1094" s="49" t="str">
        <f>IFERROR(__xludf.DUMMYFUNCTION("""COMPUTED_VALUE"""),"Offset")</f>
        <v>Offset</v>
      </c>
      <c r="Q1094" s="49" t="str">
        <f>IFERROR(__xludf.DUMMYFUNCTION("""COMPUTED_VALUE"""),"Packaging")</f>
        <v>Packaging</v>
      </c>
      <c r="R1094" s="49" t="str">
        <f>IFERROR(__xludf.DUMMYFUNCTION("""COMPUTED_VALUE"""),"Food")</f>
        <v>Food</v>
      </c>
    </row>
    <row r="1095">
      <c r="A1095" s="156" t="str">
        <f>IFERROR(__xludf.DUMMYFUNCTION("""COMPUTED_VALUE"""),"https://drive.google.com/open?id=19h_15EmyfzpSmK6eV00bAGEnKJIE7ZYY&amp;authuser=jay.agg%40gmail.com&amp;usp=drive_fs")</f>
        <v>https://drive.google.com/open?id=19h_15EmyfzpSmK6eV00bAGEnKJIE7ZYY&amp;authuser=jay.agg%40gmail.com&amp;usp=drive_fs</v>
      </c>
      <c r="B1095" s="73" t="str">
        <f>IFERROR(__xludf.DUMMYFUNCTION("""COMPUTED_VALUE"""),"Food")</f>
        <v>Food</v>
      </c>
      <c r="C1095" s="73" t="str">
        <f>IFERROR(__xludf.DUMMYFUNCTION("""COMPUTED_VALUE"""),"Rusk")</f>
        <v>Rusk</v>
      </c>
      <c r="D1095" s="73" t="str">
        <f>IFERROR(__xludf.DUMMYFUNCTION("""COMPUTED_VALUE"""),"Tray 130*80*155 mm | 5*3*6 inch")</f>
        <v>Tray 130*80*155 mm | 5*3*6 inch</v>
      </c>
      <c r="E1095" s="77">
        <f>IFERROR(__xludf.DUMMYFUNCTION("""COMPUTED_VALUE"""),1.0)</f>
        <v>1</v>
      </c>
      <c r="F1095" s="77">
        <f>IFERROR(__xludf.DUMMYFUNCTION("""COMPUTED_VALUE"""),1926.0)</f>
        <v>1926</v>
      </c>
      <c r="G1095" s="77">
        <f>IFERROR(__xludf.DUMMYFUNCTION("""COMPUTED_VALUE"""),19.5)</f>
        <v>19.5</v>
      </c>
      <c r="H1095" s="77">
        <f>IFERROR(__xludf.DUMMYFUNCTION("""COMPUTED_VALUE"""),23.0)</f>
        <v>23</v>
      </c>
      <c r="I1095" s="77">
        <f>IFERROR(__xludf.DUMMYFUNCTION("""COMPUTED_VALUE"""),100.0)</f>
        <v>100</v>
      </c>
      <c r="J1095" s="73"/>
      <c r="K1095" s="73"/>
      <c r="L1095" s="73"/>
      <c r="M1095" s="77"/>
      <c r="N1095" s="77">
        <f>IFERROR(__xludf.DUMMYFUNCTION("""COMPUTED_VALUE"""),1.0)</f>
        <v>1</v>
      </c>
      <c r="O1095" s="49"/>
      <c r="P1095" s="49" t="str">
        <f>IFERROR(__xludf.DUMMYFUNCTION("""COMPUTED_VALUE"""),"Offset")</f>
        <v>Offset</v>
      </c>
      <c r="Q1095" s="49" t="str">
        <f>IFERROR(__xludf.DUMMYFUNCTION("""COMPUTED_VALUE"""),"Packaging")</f>
        <v>Packaging</v>
      </c>
      <c r="R1095" s="49" t="str">
        <f>IFERROR(__xludf.DUMMYFUNCTION("""COMPUTED_VALUE"""),"Food")</f>
        <v>Food</v>
      </c>
    </row>
    <row r="1096">
      <c r="A1096" s="156" t="str">
        <f>IFERROR(__xludf.DUMMYFUNCTION("""COMPUTED_VALUE"""),"https://drive.google.com/open?id=1-o8oI24Lqp8Fz_8I-wHi1aJ4e6WLRF04&amp;authuser=jay.agg%40gmail.com&amp;usp=drive_fs")</f>
        <v>https://drive.google.com/open?id=1-o8oI24Lqp8Fz_8I-wHi1aJ4e6WLRF04&amp;authuser=jay.agg%40gmail.com&amp;usp=drive_fs</v>
      </c>
      <c r="B1096" s="73" t="str">
        <f>IFERROR(__xludf.DUMMYFUNCTION("""COMPUTED_VALUE"""),"Food")</f>
        <v>Food</v>
      </c>
      <c r="C1096" s="73" t="str">
        <f>IFERROR(__xludf.DUMMYFUNCTION("""COMPUTED_VALUE"""),"Rusk")</f>
        <v>Rusk</v>
      </c>
      <c r="D1096" s="73" t="str">
        <f>IFERROR(__xludf.DUMMYFUNCTION("""COMPUTED_VALUE"""),"162*44*232 mm | 6.4*1.7*9.1 inch")</f>
        <v>162*44*232 mm | 6.4*1.7*9.1 inch</v>
      </c>
      <c r="E1096" s="77">
        <f>IFERROR(__xludf.DUMMYFUNCTION("""COMPUTED_VALUE"""),2.0)</f>
        <v>2</v>
      </c>
      <c r="F1096" s="77">
        <f>IFERROR(__xludf.DUMMYFUNCTION("""COMPUTED_VALUE"""),1926.0)</f>
        <v>1926</v>
      </c>
      <c r="G1096" s="77">
        <f>IFERROR(__xludf.DUMMYFUNCTION("""COMPUTED_VALUE"""),19.0)</f>
        <v>19</v>
      </c>
      <c r="H1096" s="77">
        <f>IFERROR(__xludf.DUMMYFUNCTION("""COMPUTED_VALUE"""),26.0)</f>
        <v>26</v>
      </c>
      <c r="I1096" s="77">
        <f>IFERROR(__xludf.DUMMYFUNCTION("""COMPUTED_VALUE"""),100.0)</f>
        <v>100</v>
      </c>
      <c r="J1096" s="73"/>
      <c r="K1096" s="73"/>
      <c r="L1096" s="73"/>
      <c r="M1096" s="77">
        <f>IFERROR(__xludf.DUMMYFUNCTION("""COMPUTED_VALUE"""),0.1)</f>
        <v>0.1</v>
      </c>
      <c r="N1096" s="77">
        <f>IFERROR(__xludf.DUMMYFUNCTION("""COMPUTED_VALUE"""),1.0)</f>
        <v>1</v>
      </c>
      <c r="O1096" s="49"/>
      <c r="P1096" s="49" t="str">
        <f>IFERROR(__xludf.DUMMYFUNCTION("""COMPUTED_VALUE"""),"Offset")</f>
        <v>Offset</v>
      </c>
      <c r="Q1096" s="49" t="str">
        <f>IFERROR(__xludf.DUMMYFUNCTION("""COMPUTED_VALUE"""),"Packaging")</f>
        <v>Packaging</v>
      </c>
      <c r="R1096" s="49" t="str">
        <f>IFERROR(__xludf.DUMMYFUNCTION("""COMPUTED_VALUE"""),"Food")</f>
        <v>Food</v>
      </c>
    </row>
    <row r="1097">
      <c r="A1097" s="156" t="str">
        <f>IFERROR(__xludf.DUMMYFUNCTION("""COMPUTED_VALUE"""),"https://drive.google.com/open?id=1-oT6y8vhavi5PpfM4kP-BHY6_Ngd9_gI&amp;authuser=jay.agg%40gmail.com&amp;usp=drive_fs")</f>
        <v>https://drive.google.com/open?id=1-oT6y8vhavi5PpfM4kP-BHY6_Ngd9_gI&amp;authuser=jay.agg%40gmail.com&amp;usp=drive_fs</v>
      </c>
      <c r="B1097" s="73" t="str">
        <f>IFERROR(__xludf.DUMMYFUNCTION("""COMPUTED_VALUE"""),"Food")</f>
        <v>Food</v>
      </c>
      <c r="C1097" s="73" t="str">
        <f>IFERROR(__xludf.DUMMYFUNCTION("""COMPUTED_VALUE"""),"Cookies")</f>
        <v>Cookies</v>
      </c>
      <c r="D1097" s="73" t="str">
        <f>IFERROR(__xludf.DUMMYFUNCTION("""COMPUTED_VALUE"""),"142*65*197 mm | 5.6*1.7*7.8 inch")</f>
        <v>142*65*197 mm | 5.6*1.7*7.8 inch</v>
      </c>
      <c r="E1097" s="77">
        <f>IFERROR(__xludf.DUMMYFUNCTION("""COMPUTED_VALUE"""),2.0)</f>
        <v>2</v>
      </c>
      <c r="F1097" s="77">
        <f>IFERROR(__xludf.DUMMYFUNCTION("""COMPUTED_VALUE"""),1926.0)</f>
        <v>1926</v>
      </c>
      <c r="G1097" s="77">
        <f>IFERROR(__xludf.DUMMYFUNCTION("""COMPUTED_VALUE"""),18.0)</f>
        <v>18</v>
      </c>
      <c r="H1097" s="77">
        <f>IFERROR(__xludf.DUMMYFUNCTION("""COMPUTED_VALUE"""),23.0)</f>
        <v>23</v>
      </c>
      <c r="I1097" s="77">
        <f>IFERROR(__xludf.DUMMYFUNCTION("""COMPUTED_VALUE"""),100.0)</f>
        <v>100</v>
      </c>
      <c r="J1097" s="73"/>
      <c r="K1097" s="73"/>
      <c r="L1097" s="73"/>
      <c r="M1097" s="77">
        <f>IFERROR(__xludf.DUMMYFUNCTION("""COMPUTED_VALUE"""),0.1)</f>
        <v>0.1</v>
      </c>
      <c r="N1097" s="77">
        <f>IFERROR(__xludf.DUMMYFUNCTION("""COMPUTED_VALUE"""),1.0)</f>
        <v>1</v>
      </c>
      <c r="O1097" s="49"/>
      <c r="P1097" s="49" t="str">
        <f>IFERROR(__xludf.DUMMYFUNCTION("""COMPUTED_VALUE"""),"Offset")</f>
        <v>Offset</v>
      </c>
      <c r="Q1097" s="49" t="str">
        <f>IFERROR(__xludf.DUMMYFUNCTION("""COMPUTED_VALUE"""),"Packaging")</f>
        <v>Packaging</v>
      </c>
      <c r="R1097" s="49" t="str">
        <f>IFERROR(__xludf.DUMMYFUNCTION("""COMPUTED_VALUE"""),"Food")</f>
        <v>Food</v>
      </c>
    </row>
    <row r="1098">
      <c r="A1098" s="156" t="str">
        <f>IFERROR(__xludf.DUMMYFUNCTION("""COMPUTED_VALUE"""),"https://drive.google.com/open?id=1AdqBigX6Pn_sAWYBwXiFcHUaw_tiHWuF&amp;authuser=jay.agg%40gmail.com&amp;usp=drive_fs")</f>
        <v>https://drive.google.com/open?id=1AdqBigX6Pn_sAWYBwXiFcHUaw_tiHWuF&amp;authuser=jay.agg%40gmail.com&amp;usp=drive_fs</v>
      </c>
      <c r="B1098" s="73" t="str">
        <f>IFERROR(__xludf.DUMMYFUNCTION("""COMPUTED_VALUE"""),"Food")</f>
        <v>Food</v>
      </c>
      <c r="C1098" s="73" t="str">
        <f>IFERROR(__xludf.DUMMYFUNCTION("""COMPUTED_VALUE"""),"Cake")</f>
        <v>Cake</v>
      </c>
      <c r="D1098" s="73" t="str">
        <f>IFERROR(__xludf.DUMMYFUNCTION("""COMPUTED_VALUE"""),"102*76*178 mm | 4*3*7 inch")</f>
        <v>102*76*178 mm | 4*3*7 inch</v>
      </c>
      <c r="E1098" s="77">
        <f>IFERROR(__xludf.DUMMYFUNCTION("""COMPUTED_VALUE"""),2.0)</f>
        <v>2</v>
      </c>
      <c r="F1098" s="77">
        <f>IFERROR(__xludf.DUMMYFUNCTION("""COMPUTED_VALUE"""),1926.0)</f>
        <v>1926</v>
      </c>
      <c r="G1098" s="77">
        <f>IFERROR(__xludf.DUMMYFUNCTION("""COMPUTED_VALUE"""),19.0)</f>
        <v>19</v>
      </c>
      <c r="H1098" s="77">
        <f>IFERROR(__xludf.DUMMYFUNCTION("""COMPUTED_VALUE"""),26.0)</f>
        <v>26</v>
      </c>
      <c r="I1098" s="77">
        <f>IFERROR(__xludf.DUMMYFUNCTION("""COMPUTED_VALUE"""),100.0)</f>
        <v>100</v>
      </c>
      <c r="J1098" s="73"/>
      <c r="K1098" s="73"/>
      <c r="L1098" s="73"/>
      <c r="M1098" s="77">
        <f>IFERROR(__xludf.DUMMYFUNCTION("""COMPUTED_VALUE"""),0.1)</f>
        <v>0.1</v>
      </c>
      <c r="N1098" s="77">
        <f>IFERROR(__xludf.DUMMYFUNCTION("""COMPUTED_VALUE"""),1.0)</f>
        <v>1</v>
      </c>
      <c r="O1098" s="49"/>
      <c r="P1098" s="49" t="str">
        <f>IFERROR(__xludf.DUMMYFUNCTION("""COMPUTED_VALUE"""),"Offset")</f>
        <v>Offset</v>
      </c>
      <c r="Q1098" s="49" t="str">
        <f>IFERROR(__xludf.DUMMYFUNCTION("""COMPUTED_VALUE"""),"Packaging")</f>
        <v>Packaging</v>
      </c>
      <c r="R1098" s="49" t="str">
        <f>IFERROR(__xludf.DUMMYFUNCTION("""COMPUTED_VALUE"""),"Food")</f>
        <v>Food</v>
      </c>
    </row>
    <row r="1099">
      <c r="A1099" s="156" t="str">
        <f>IFERROR(__xludf.DUMMYFUNCTION("""COMPUTED_VALUE"""),"https://drive.google.com/open?id=1BYi6RVT0eoWigrpRqRCPROnVYKmhXiec&amp;authuser=jay.agg%40gmail.com&amp;usp=drive_fs")</f>
        <v>https://drive.google.com/open?id=1BYi6RVT0eoWigrpRqRCPROnVYKmhXiec&amp;authuser=jay.agg%40gmail.com&amp;usp=drive_fs</v>
      </c>
      <c r="B1099" s="73" t="str">
        <f>IFERROR(__xludf.DUMMYFUNCTION("""COMPUTED_VALUE"""),"Food")</f>
        <v>Food</v>
      </c>
      <c r="C1099" s="73" t="str">
        <f>IFERROR(__xludf.DUMMYFUNCTION("""COMPUTED_VALUE"""),"Cookies")</f>
        <v>Cookies</v>
      </c>
      <c r="D1099" s="73" t="str">
        <f>IFERROR(__xludf.DUMMYFUNCTION("""COMPUTED_VALUE"""),"155*155*70 mm | 6.1*6.1*2.75 inch")</f>
        <v>155*155*70 mm | 6.1*6.1*2.75 inch</v>
      </c>
      <c r="E1099" s="77">
        <f>IFERROR(__xludf.DUMMYFUNCTION("""COMPUTED_VALUE"""),2.0)</f>
        <v>2</v>
      </c>
      <c r="F1099" s="77">
        <f>IFERROR(__xludf.DUMMYFUNCTION("""COMPUTED_VALUE"""),1926.0)</f>
        <v>1926</v>
      </c>
      <c r="G1099" s="77">
        <f>IFERROR(__xludf.DUMMYFUNCTION("""COMPUTED_VALUE"""),19.5)</f>
        <v>19.5</v>
      </c>
      <c r="H1099" s="77">
        <f>IFERROR(__xludf.DUMMYFUNCTION("""COMPUTED_VALUE"""),23.0)</f>
        <v>23</v>
      </c>
      <c r="I1099" s="77">
        <f>IFERROR(__xludf.DUMMYFUNCTION("""COMPUTED_VALUE"""),100.0)</f>
        <v>100</v>
      </c>
      <c r="J1099" s="73"/>
      <c r="K1099" s="73"/>
      <c r="L1099" s="73"/>
      <c r="M1099" s="77">
        <f>IFERROR(__xludf.DUMMYFUNCTION("""COMPUTED_VALUE"""),0.1)</f>
        <v>0.1</v>
      </c>
      <c r="N1099" s="77">
        <f>IFERROR(__xludf.DUMMYFUNCTION("""COMPUTED_VALUE"""),1.0)</f>
        <v>1</v>
      </c>
      <c r="O1099" s="49"/>
      <c r="P1099" s="49" t="str">
        <f>IFERROR(__xludf.DUMMYFUNCTION("""COMPUTED_VALUE"""),"Offset")</f>
        <v>Offset</v>
      </c>
      <c r="Q1099" s="49" t="str">
        <f>IFERROR(__xludf.DUMMYFUNCTION("""COMPUTED_VALUE"""),"Packaging")</f>
        <v>Packaging</v>
      </c>
      <c r="R1099" s="49" t="str">
        <f>IFERROR(__xludf.DUMMYFUNCTION("""COMPUTED_VALUE"""),"Food")</f>
        <v>Food</v>
      </c>
    </row>
    <row r="1100">
      <c r="A1100" s="156" t="str">
        <f>IFERROR(__xludf.DUMMYFUNCTION("""COMPUTED_VALUE"""),"https://drive.google.com/open?id=1B_xNu6ohe1QHqVncNRMjW5w6ogYyczx9&amp;authuser=jay.agg%40gmail.com&amp;usp=drive_fs")</f>
        <v>https://drive.google.com/open?id=1B_xNu6ohe1QHqVncNRMjW5w6ogYyczx9&amp;authuser=jay.agg%40gmail.com&amp;usp=drive_fs</v>
      </c>
      <c r="B1100" s="73" t="str">
        <f>IFERROR(__xludf.DUMMYFUNCTION("""COMPUTED_VALUE"""),"Food")</f>
        <v>Food</v>
      </c>
      <c r="C1100" s="73" t="str">
        <f>IFERROR(__xludf.DUMMYFUNCTION("""COMPUTED_VALUE"""),"Cookies")</f>
        <v>Cookies</v>
      </c>
      <c r="D1100" s="73" t="str">
        <f>IFERROR(__xludf.DUMMYFUNCTION("""COMPUTED_VALUE"""),"Tray 155*155*70 mm | 6.1*6.1*2.75 inch")</f>
        <v>Tray 155*155*70 mm | 6.1*6.1*2.75 inch</v>
      </c>
      <c r="E1100" s="77">
        <f>IFERROR(__xludf.DUMMYFUNCTION("""COMPUTED_VALUE"""),1.0)</f>
        <v>1</v>
      </c>
      <c r="F1100" s="77">
        <f>IFERROR(__xludf.DUMMYFUNCTION("""COMPUTED_VALUE"""),1926.0)</f>
        <v>1926</v>
      </c>
      <c r="G1100" s="77">
        <f>IFERROR(__xludf.DUMMYFUNCTION("""COMPUTED_VALUE"""),19.0)</f>
        <v>19</v>
      </c>
      <c r="H1100" s="77">
        <f>IFERROR(__xludf.DUMMYFUNCTION("""COMPUTED_VALUE"""),20.0)</f>
        <v>20</v>
      </c>
      <c r="I1100" s="77">
        <f>IFERROR(__xludf.DUMMYFUNCTION("""COMPUTED_VALUE"""),100.0)</f>
        <v>100</v>
      </c>
      <c r="J1100" s="73"/>
      <c r="K1100" s="73"/>
      <c r="L1100" s="73"/>
      <c r="M1100" s="77"/>
      <c r="N1100" s="77">
        <f>IFERROR(__xludf.DUMMYFUNCTION("""COMPUTED_VALUE"""),1.0)</f>
        <v>1</v>
      </c>
      <c r="O1100" s="49"/>
      <c r="P1100" s="49" t="str">
        <f>IFERROR(__xludf.DUMMYFUNCTION("""COMPUTED_VALUE"""),"Offset")</f>
        <v>Offset</v>
      </c>
      <c r="Q1100" s="49" t="str">
        <f>IFERROR(__xludf.DUMMYFUNCTION("""COMPUTED_VALUE"""),"Packaging")</f>
        <v>Packaging</v>
      </c>
      <c r="R1100" s="49" t="str">
        <f>IFERROR(__xludf.DUMMYFUNCTION("""COMPUTED_VALUE"""),"Food")</f>
        <v>Food</v>
      </c>
    </row>
    <row r="1101">
      <c r="A1101" s="156" t="str">
        <f>IFERROR(__xludf.DUMMYFUNCTION("""COMPUTED_VALUE"""),"https://drive.google.com/open?id=1BxDmiNEIPSwpW9_10C_5j9fFG9Yo7vmz&amp;authuser=jay.agg%40gmail.com&amp;usp=drive_fs")</f>
        <v>https://drive.google.com/open?id=1BxDmiNEIPSwpW9_10C_5j9fFG9Yo7vmz&amp;authuser=jay.agg%40gmail.com&amp;usp=drive_fs</v>
      </c>
      <c r="B1101" s="73" t="str">
        <f>IFERROR(__xludf.DUMMYFUNCTION("""COMPUTED_VALUE"""),"Food")</f>
        <v>Food</v>
      </c>
      <c r="C1101" s="73" t="str">
        <f>IFERROR(__xludf.DUMMYFUNCTION("""COMPUTED_VALUE"""),"Chocolate")</f>
        <v>Chocolate</v>
      </c>
      <c r="D1101" s="73" t="str">
        <f>IFERROR(__xludf.DUMMYFUNCTION("""COMPUTED_VALUE"""),"55*10*100 mm | 2.1*0.4*4 inch")</f>
        <v>55*10*100 mm | 2.1*0.4*4 inch</v>
      </c>
      <c r="E1101" s="77">
        <f>IFERROR(__xludf.DUMMYFUNCTION("""COMPUTED_VALUE"""),12.0)</f>
        <v>12</v>
      </c>
      <c r="F1101" s="77">
        <f>IFERROR(__xludf.DUMMYFUNCTION("""COMPUTED_VALUE"""),1926.0)</f>
        <v>1926</v>
      </c>
      <c r="G1101" s="77">
        <f>IFERROR(__xludf.DUMMYFUNCTION("""COMPUTED_VALUE"""),18.0)</f>
        <v>18</v>
      </c>
      <c r="H1101" s="77">
        <f>IFERROR(__xludf.DUMMYFUNCTION("""COMPUTED_VALUE"""),23.0)</f>
        <v>23</v>
      </c>
      <c r="I1101" s="77">
        <f>IFERROR(__xludf.DUMMYFUNCTION("""COMPUTED_VALUE"""),100.0)</f>
        <v>100</v>
      </c>
      <c r="J1101" s="73"/>
      <c r="K1101" s="73"/>
      <c r="L1101" s="73"/>
      <c r="M1101" s="77">
        <f>IFERROR(__xludf.DUMMYFUNCTION("""COMPUTED_VALUE"""),0.1)</f>
        <v>0.1</v>
      </c>
      <c r="N1101" s="77">
        <f>IFERROR(__xludf.DUMMYFUNCTION("""COMPUTED_VALUE"""),1.0)</f>
        <v>1</v>
      </c>
      <c r="O1101" s="49"/>
      <c r="P1101" s="49" t="str">
        <f>IFERROR(__xludf.DUMMYFUNCTION("""COMPUTED_VALUE"""),"Offset")</f>
        <v>Offset</v>
      </c>
      <c r="Q1101" s="49" t="str">
        <f>IFERROR(__xludf.DUMMYFUNCTION("""COMPUTED_VALUE"""),"Packaging")</f>
        <v>Packaging</v>
      </c>
      <c r="R1101" s="49" t="str">
        <f>IFERROR(__xludf.DUMMYFUNCTION("""COMPUTED_VALUE"""),"Food")</f>
        <v>Food</v>
      </c>
    </row>
    <row r="1102">
      <c r="A1102" s="156" t="str">
        <f>IFERROR(__xludf.DUMMYFUNCTION("""COMPUTED_VALUE"""),"https://drive.google.com/open?id=1Bz4sUWWZOHATSdDMf6kCEQpB_dsTmHMM&amp;authuser=jay.agg%40gmail.com&amp;usp=drive_fs")</f>
        <v>https://drive.google.com/open?id=1Bz4sUWWZOHATSdDMf6kCEQpB_dsTmHMM&amp;authuser=jay.agg%40gmail.com&amp;usp=drive_fs</v>
      </c>
      <c r="B1102" s="73" t="str">
        <f>IFERROR(__xludf.DUMMYFUNCTION("""COMPUTED_VALUE"""),"Food")</f>
        <v>Food</v>
      </c>
      <c r="C1102" s="73" t="str">
        <f>IFERROR(__xludf.DUMMYFUNCTION("""COMPUTED_VALUE"""),"Chocolate")</f>
        <v>Chocolate</v>
      </c>
      <c r="D1102" s="73" t="str">
        <f>IFERROR(__xludf.DUMMYFUNCTION("""COMPUTED_VALUE"""),"33*12*65 mm | 1.2*0.5*2.6 inch")</f>
        <v>33*12*65 mm | 1.2*0.5*2.6 inch</v>
      </c>
      <c r="E1102" s="77">
        <f>IFERROR(__xludf.DUMMYFUNCTION("""COMPUTED_VALUE"""),24.0)</f>
        <v>24</v>
      </c>
      <c r="F1102" s="77">
        <f>IFERROR(__xludf.DUMMYFUNCTION("""COMPUTED_VALUE"""),1926.0)</f>
        <v>1926</v>
      </c>
      <c r="G1102" s="77">
        <f>IFERROR(__xludf.DUMMYFUNCTION("""COMPUTED_VALUE"""),15.0)</f>
        <v>15</v>
      </c>
      <c r="H1102" s="77">
        <f>IFERROR(__xludf.DUMMYFUNCTION("""COMPUTED_VALUE"""),25.0)</f>
        <v>25</v>
      </c>
      <c r="I1102" s="77">
        <f>IFERROR(__xludf.DUMMYFUNCTION("""COMPUTED_VALUE"""),100.0)</f>
        <v>100</v>
      </c>
      <c r="J1102" s="73"/>
      <c r="K1102" s="73"/>
      <c r="L1102" s="73"/>
      <c r="M1102" s="77">
        <f>IFERROR(__xludf.DUMMYFUNCTION("""COMPUTED_VALUE"""),0.1)</f>
        <v>0.1</v>
      </c>
      <c r="N1102" s="77">
        <f>IFERROR(__xludf.DUMMYFUNCTION("""COMPUTED_VALUE"""),1.0)</f>
        <v>1</v>
      </c>
      <c r="O1102" s="49"/>
      <c r="P1102" s="49" t="str">
        <f>IFERROR(__xludf.DUMMYFUNCTION("""COMPUTED_VALUE"""),"Offset")</f>
        <v>Offset</v>
      </c>
      <c r="Q1102" s="49" t="str">
        <f>IFERROR(__xludf.DUMMYFUNCTION("""COMPUTED_VALUE"""),"Packaging")</f>
        <v>Packaging</v>
      </c>
      <c r="R1102" s="49" t="str">
        <f>IFERROR(__xludf.DUMMYFUNCTION("""COMPUTED_VALUE"""),"Food")</f>
        <v>Food</v>
      </c>
    </row>
    <row r="1103">
      <c r="A1103" s="156" t="str">
        <f>IFERROR(__xludf.DUMMYFUNCTION("""COMPUTED_VALUE"""),"https://drive.google.com/open?id=1C-CRZiDnbDfI4lGQzqIferHB26ea_TYM&amp;authuser=jay.agg%40gmail.com&amp;usp=drive_fs")</f>
        <v>https://drive.google.com/open?id=1C-CRZiDnbDfI4lGQzqIferHB26ea_TYM&amp;authuser=jay.agg%40gmail.com&amp;usp=drive_fs</v>
      </c>
      <c r="B1103" s="73" t="str">
        <f>IFERROR(__xludf.DUMMYFUNCTION("""COMPUTED_VALUE"""),"Food")</f>
        <v>Food</v>
      </c>
      <c r="C1103" s="73" t="str">
        <f>IFERROR(__xludf.DUMMYFUNCTION("""COMPUTED_VALUE"""),"Chocolate")</f>
        <v>Chocolate</v>
      </c>
      <c r="D1103" s="73" t="str">
        <f>IFERROR(__xludf.DUMMYFUNCTION("""COMPUTED_VALUE"""),"Tray 33*12*65 mm | 1.2*0.5*2.6 inch")</f>
        <v>Tray 33*12*65 mm | 1.2*0.5*2.6 inch</v>
      </c>
      <c r="E1103" s="77">
        <f>IFERROR(__xludf.DUMMYFUNCTION("""COMPUTED_VALUE"""),84.0)</f>
        <v>84</v>
      </c>
      <c r="F1103" s="77">
        <f>IFERROR(__xludf.DUMMYFUNCTION("""COMPUTED_VALUE"""),1926.0)</f>
        <v>1926</v>
      </c>
      <c r="G1103" s="77">
        <f>IFERROR(__xludf.DUMMYFUNCTION("""COMPUTED_VALUE"""),18.0)</f>
        <v>18</v>
      </c>
      <c r="H1103" s="77">
        <f>IFERROR(__xludf.DUMMYFUNCTION("""COMPUTED_VALUE"""),23.0)</f>
        <v>23</v>
      </c>
      <c r="I1103" s="77">
        <f>IFERROR(__xludf.DUMMYFUNCTION("""COMPUTED_VALUE"""),100.0)</f>
        <v>100</v>
      </c>
      <c r="J1103" s="73"/>
      <c r="K1103" s="73"/>
      <c r="L1103" s="73"/>
      <c r="M1103" s="77"/>
      <c r="N1103" s="77">
        <f>IFERROR(__xludf.DUMMYFUNCTION("""COMPUTED_VALUE"""),1.0)</f>
        <v>1</v>
      </c>
      <c r="O1103" s="49"/>
      <c r="P1103" s="49" t="str">
        <f>IFERROR(__xludf.DUMMYFUNCTION("""COMPUTED_VALUE"""),"Offset")</f>
        <v>Offset</v>
      </c>
      <c r="Q1103" s="49" t="str">
        <f>IFERROR(__xludf.DUMMYFUNCTION("""COMPUTED_VALUE"""),"Packaging")</f>
        <v>Packaging</v>
      </c>
      <c r="R1103" s="49" t="str">
        <f>IFERROR(__xludf.DUMMYFUNCTION("""COMPUTED_VALUE"""),"Food")</f>
        <v>Food</v>
      </c>
    </row>
    <row r="1104">
      <c r="A1104" s="156" t="str">
        <f>IFERROR(__xludf.DUMMYFUNCTION("""COMPUTED_VALUE"""),"https://drive.google.com/open?id=1C-hPAU7lZGI54aBv2jnwvWxEGtK8YQKH&amp;authuser=jay.agg%40gmail.com&amp;usp=drive_fs")</f>
        <v>https://drive.google.com/open?id=1C-hPAU7lZGI54aBv2jnwvWxEGtK8YQKH&amp;authuser=jay.agg%40gmail.com&amp;usp=drive_fs</v>
      </c>
      <c r="B1104" s="73" t="str">
        <f>IFERROR(__xludf.DUMMYFUNCTION("""COMPUTED_VALUE"""),"Food")</f>
        <v>Food</v>
      </c>
      <c r="C1104" s="73" t="str">
        <f>IFERROR(__xludf.DUMMYFUNCTION("""COMPUTED_VALUE"""),"Chocolate")</f>
        <v>Chocolate</v>
      </c>
      <c r="D1104" s="73" t="str">
        <f>IFERROR(__xludf.DUMMYFUNCTION("""COMPUTED_VALUE"""),"Slider 33*12*65 mm | 1.2*0.5*2.6 inch")</f>
        <v>Slider 33*12*65 mm | 1.2*0.5*2.6 inch</v>
      </c>
      <c r="E1104" s="77">
        <f>IFERROR(__xludf.DUMMYFUNCTION("""COMPUTED_VALUE"""),30.0)</f>
        <v>30</v>
      </c>
      <c r="F1104" s="77">
        <f>IFERROR(__xludf.DUMMYFUNCTION("""COMPUTED_VALUE"""),1926.0)</f>
        <v>1926</v>
      </c>
      <c r="G1104" s="77">
        <f>IFERROR(__xludf.DUMMYFUNCTION("""COMPUTED_VALUE"""),15.75)</f>
        <v>15.75</v>
      </c>
      <c r="H1104" s="77">
        <f>IFERROR(__xludf.DUMMYFUNCTION("""COMPUTED_VALUE"""),20.75)</f>
        <v>20.75</v>
      </c>
      <c r="I1104" s="77">
        <f>IFERROR(__xludf.DUMMYFUNCTION("""COMPUTED_VALUE"""),100.0)</f>
        <v>100</v>
      </c>
      <c r="J1104" s="73"/>
      <c r="K1104" s="73"/>
      <c r="L1104" s="73"/>
      <c r="M1104" s="77">
        <f>IFERROR(__xludf.DUMMYFUNCTION("""COMPUTED_VALUE"""),0.1)</f>
        <v>0.1</v>
      </c>
      <c r="N1104" s="77">
        <f>IFERROR(__xludf.DUMMYFUNCTION("""COMPUTED_VALUE"""),1.0)</f>
        <v>1</v>
      </c>
      <c r="O1104" s="49"/>
      <c r="P1104" s="49" t="str">
        <f>IFERROR(__xludf.DUMMYFUNCTION("""COMPUTED_VALUE"""),"Offset")</f>
        <v>Offset</v>
      </c>
      <c r="Q1104" s="49" t="str">
        <f>IFERROR(__xludf.DUMMYFUNCTION("""COMPUTED_VALUE"""),"Packaging")</f>
        <v>Packaging</v>
      </c>
      <c r="R1104" s="49" t="str">
        <f>IFERROR(__xludf.DUMMYFUNCTION("""COMPUTED_VALUE"""),"Food")</f>
        <v>Food</v>
      </c>
    </row>
    <row r="1105">
      <c r="A1105" s="156" t="str">
        <f>IFERROR(__xludf.DUMMYFUNCTION("""COMPUTED_VALUE"""),"https://drive.google.com/open?id=1C1V8mEwIFOpLLkCO4rRHQP5zjhpBvFK1&amp;authuser=jay.agg%40gmail.com&amp;usp=drive_fs")</f>
        <v>https://drive.google.com/open?id=1C1V8mEwIFOpLLkCO4rRHQP5zjhpBvFK1&amp;authuser=jay.agg%40gmail.com&amp;usp=drive_fs</v>
      </c>
      <c r="B1105" s="73" t="str">
        <f>IFERROR(__xludf.DUMMYFUNCTION("""COMPUTED_VALUE"""),"Food")</f>
        <v>Food</v>
      </c>
      <c r="C1105" s="73" t="str">
        <f>IFERROR(__xludf.DUMMYFUNCTION("""COMPUTED_VALUE"""),"Chocolate")</f>
        <v>Chocolate</v>
      </c>
      <c r="D1105" s="73" t="str">
        <f>IFERROR(__xludf.DUMMYFUNCTION("""COMPUTED_VALUE"""),"Slider Tray 33*12*65 mm | 1.2*0.5*2.6 inch")</f>
        <v>Slider Tray 33*12*65 mm | 1.2*0.5*2.6 inch</v>
      </c>
      <c r="E1105" s="77">
        <f>IFERROR(__xludf.DUMMYFUNCTION("""COMPUTED_VALUE"""),20.0)</f>
        <v>20</v>
      </c>
      <c r="F1105" s="77">
        <f>IFERROR(__xludf.DUMMYFUNCTION("""COMPUTED_VALUE"""),1926.0)</f>
        <v>1926</v>
      </c>
      <c r="G1105" s="77">
        <f>IFERROR(__xludf.DUMMYFUNCTION("""COMPUTED_VALUE"""),12.0)</f>
        <v>12</v>
      </c>
      <c r="H1105" s="77">
        <f>IFERROR(__xludf.DUMMYFUNCTION("""COMPUTED_VALUE"""),18.0)</f>
        <v>18</v>
      </c>
      <c r="I1105" s="77">
        <f>IFERROR(__xludf.DUMMYFUNCTION("""COMPUTED_VALUE"""),100.0)</f>
        <v>100</v>
      </c>
      <c r="J1105" s="73"/>
      <c r="K1105" s="73"/>
      <c r="L1105" s="73"/>
      <c r="M1105" s="77"/>
      <c r="N1105" s="77">
        <f>IFERROR(__xludf.DUMMYFUNCTION("""COMPUTED_VALUE"""),1.0)</f>
        <v>1</v>
      </c>
      <c r="O1105" s="49"/>
      <c r="P1105" s="49" t="str">
        <f>IFERROR(__xludf.DUMMYFUNCTION("""COMPUTED_VALUE"""),"Offset")</f>
        <v>Offset</v>
      </c>
      <c r="Q1105" s="49" t="str">
        <f>IFERROR(__xludf.DUMMYFUNCTION("""COMPUTED_VALUE"""),"Packaging")</f>
        <v>Packaging</v>
      </c>
      <c r="R1105" s="49" t="str">
        <f>IFERROR(__xludf.DUMMYFUNCTION("""COMPUTED_VALUE"""),"Food")</f>
        <v>Food</v>
      </c>
    </row>
    <row r="1106">
      <c r="A1106" s="156" t="str">
        <f>IFERROR(__xludf.DUMMYFUNCTION("""COMPUTED_VALUE"""),"https://drive.google.com/open?id=1CK8J3ZrX4YL__ZcN-JufPFpUUDftle7d&amp;authuser=jay.agg%40gmail.com&amp;usp=drive_fs")</f>
        <v>https://drive.google.com/open?id=1CK8J3ZrX4YL__ZcN-JufPFpUUDftle7d&amp;authuser=jay.agg%40gmail.com&amp;usp=drive_fs</v>
      </c>
      <c r="B1106" s="73" t="str">
        <f>IFERROR(__xludf.DUMMYFUNCTION("""COMPUTED_VALUE"""),"Food")</f>
        <v>Food</v>
      </c>
      <c r="C1106" s="73" t="str">
        <f>IFERROR(__xludf.DUMMYFUNCTION("""COMPUTED_VALUE"""),"Misc")</f>
        <v>Misc</v>
      </c>
      <c r="D1106" s="73" t="str">
        <f>IFERROR(__xludf.DUMMYFUNCTION("""COMPUTED_VALUE"""),"178*76*260 mm | 7*3*10.25 inch LB")</f>
        <v>178*76*260 mm | 7*3*10.25 inch LB</v>
      </c>
      <c r="E1106" s="77">
        <f>IFERROR(__xludf.DUMMYFUNCTION("""COMPUTED_VALUE"""),1.0)</f>
        <v>1</v>
      </c>
      <c r="F1106" s="77">
        <f>IFERROR(__xludf.DUMMYFUNCTION("""COMPUTED_VALUE"""),1926.0)</f>
        <v>1926</v>
      </c>
      <c r="G1106" s="77">
        <f>IFERROR(__xludf.DUMMYFUNCTION("""COMPUTED_VALUE"""),15.75)</f>
        <v>15.75</v>
      </c>
      <c r="H1106" s="77">
        <f>IFERROR(__xludf.DUMMYFUNCTION("""COMPUTED_VALUE"""),20.75)</f>
        <v>20.75</v>
      </c>
      <c r="I1106" s="77">
        <f>IFERROR(__xludf.DUMMYFUNCTION("""COMPUTED_VALUE"""),100.0)</f>
        <v>100</v>
      </c>
      <c r="J1106" s="73"/>
      <c r="K1106" s="73"/>
      <c r="L1106" s="73"/>
      <c r="M1106" s="77">
        <f>IFERROR(__xludf.DUMMYFUNCTION("""COMPUTED_VALUE"""),0.2)</f>
        <v>0.2</v>
      </c>
      <c r="N1106" s="77">
        <f>IFERROR(__xludf.DUMMYFUNCTION("""COMPUTED_VALUE"""),1.0)</f>
        <v>1</v>
      </c>
      <c r="O1106" s="49"/>
      <c r="P1106" s="49" t="str">
        <f>IFERROR(__xludf.DUMMYFUNCTION("""COMPUTED_VALUE"""),"Offset")</f>
        <v>Offset</v>
      </c>
      <c r="Q1106" s="49" t="str">
        <f>IFERROR(__xludf.DUMMYFUNCTION("""COMPUTED_VALUE"""),"Packaging")</f>
        <v>Packaging</v>
      </c>
      <c r="R1106" s="49" t="str">
        <f>IFERROR(__xludf.DUMMYFUNCTION("""COMPUTED_VALUE"""),"Food")</f>
        <v>Food</v>
      </c>
    </row>
    <row r="1107">
      <c r="A1107" s="156" t="str">
        <f>IFERROR(__xludf.DUMMYFUNCTION("""COMPUTED_VALUE"""),"https://drive.google.com/open?id=1CMWjxufnzEIEc6MuQ-UB75qlK_zbJtdC&amp;authuser=jay.agg%40gmail.com&amp;usp=drive_fs")</f>
        <v>https://drive.google.com/open?id=1CMWjxufnzEIEc6MuQ-UB75qlK_zbJtdC&amp;authuser=jay.agg%40gmail.com&amp;usp=drive_fs</v>
      </c>
      <c r="B1107" s="73" t="str">
        <f>IFERROR(__xludf.DUMMYFUNCTION("""COMPUTED_VALUE"""),"Food")</f>
        <v>Food</v>
      </c>
      <c r="C1107" s="73" t="str">
        <f>IFERROR(__xludf.DUMMYFUNCTION("""COMPUTED_VALUE"""),"Misc")</f>
        <v>Misc</v>
      </c>
      <c r="D1107" s="73" t="str">
        <f>IFERROR(__xludf.DUMMYFUNCTION("""COMPUTED_VALUE"""),"209*31*228 mm | 8.25*1.25*9 inch")</f>
        <v>209*31*228 mm | 8.25*1.25*9 inch</v>
      </c>
      <c r="E1107" s="77">
        <f>IFERROR(__xludf.DUMMYFUNCTION("""COMPUTED_VALUE"""),2.0)</f>
        <v>2</v>
      </c>
      <c r="F1107" s="77">
        <f>IFERROR(__xludf.DUMMYFUNCTION("""COMPUTED_VALUE"""),1926.0)</f>
        <v>1926</v>
      </c>
      <c r="G1107" s="77">
        <f>IFERROR(__xludf.DUMMYFUNCTION("""COMPUTED_VALUE"""),19.5)</f>
        <v>19.5</v>
      </c>
      <c r="H1107" s="77">
        <f>IFERROR(__xludf.DUMMYFUNCTION("""COMPUTED_VALUE"""),23.0)</f>
        <v>23</v>
      </c>
      <c r="I1107" s="77">
        <f>IFERROR(__xludf.DUMMYFUNCTION("""COMPUTED_VALUE"""),100.0)</f>
        <v>100</v>
      </c>
      <c r="J1107" s="73"/>
      <c r="K1107" s="73"/>
      <c r="L1107" s="73"/>
      <c r="M1107" s="77">
        <f>IFERROR(__xludf.DUMMYFUNCTION("""COMPUTED_VALUE"""),0.1)</f>
        <v>0.1</v>
      </c>
      <c r="N1107" s="77">
        <f>IFERROR(__xludf.DUMMYFUNCTION("""COMPUTED_VALUE"""),1.0)</f>
        <v>1</v>
      </c>
      <c r="O1107" s="49"/>
      <c r="P1107" s="49" t="str">
        <f>IFERROR(__xludf.DUMMYFUNCTION("""COMPUTED_VALUE"""),"Offset")</f>
        <v>Offset</v>
      </c>
      <c r="Q1107" s="49" t="str">
        <f>IFERROR(__xludf.DUMMYFUNCTION("""COMPUTED_VALUE"""),"Packaging")</f>
        <v>Packaging</v>
      </c>
      <c r="R1107" s="49" t="str">
        <f>IFERROR(__xludf.DUMMYFUNCTION("""COMPUTED_VALUE"""),"Food")</f>
        <v>Food</v>
      </c>
    </row>
    <row r="1108">
      <c r="A1108" s="156" t="str">
        <f>IFERROR(__xludf.DUMMYFUNCTION("""COMPUTED_VALUE"""),"https://drive.google.com/open?id=1CkZHA61S0kTLlqGA6hbNyHiOe8-WoNKw&amp;authuser=jay.agg%40gmail.com&amp;usp=drive_fs")</f>
        <v>https://drive.google.com/open?id=1CkZHA61S0kTLlqGA6hbNyHiOe8-WoNKw&amp;authuser=jay.agg%40gmail.com&amp;usp=drive_fs</v>
      </c>
      <c r="B1108" s="73" t="str">
        <f>IFERROR(__xludf.DUMMYFUNCTION("""COMPUTED_VALUE"""),"Food")</f>
        <v>Food</v>
      </c>
      <c r="C1108" s="73" t="str">
        <f>IFERROR(__xludf.DUMMYFUNCTION("""COMPUTED_VALUE"""),"Chocolate")</f>
        <v>Chocolate</v>
      </c>
      <c r="D1108" s="73" t="str">
        <f>IFERROR(__xludf.DUMMYFUNCTION("""COMPUTED_VALUE"""),"225*120*40 mm | 8.9*4.7*1.6 inch")</f>
        <v>225*120*40 mm | 8.9*4.7*1.6 inch</v>
      </c>
      <c r="E1108" s="77">
        <f>IFERROR(__xludf.DUMMYFUNCTION("""COMPUTED_VALUE"""),2.0)</f>
        <v>2</v>
      </c>
      <c r="F1108" s="77">
        <f>IFERROR(__xludf.DUMMYFUNCTION("""COMPUTED_VALUE"""),2029.0)</f>
        <v>2029</v>
      </c>
      <c r="G1108" s="77">
        <f>IFERROR(__xludf.DUMMYFUNCTION("""COMPUTED_VALUE"""),20.0)</f>
        <v>20</v>
      </c>
      <c r="H1108" s="77">
        <f>IFERROR(__xludf.DUMMYFUNCTION("""COMPUTED_VALUE"""),28.0)</f>
        <v>28</v>
      </c>
      <c r="I1108" s="77">
        <f>IFERROR(__xludf.DUMMYFUNCTION("""COMPUTED_VALUE"""),100.0)</f>
        <v>100</v>
      </c>
      <c r="J1108" s="73"/>
      <c r="K1108" s="73"/>
      <c r="L1108" s="73"/>
      <c r="M1108" s="77">
        <f>IFERROR(__xludf.DUMMYFUNCTION("""COMPUTED_VALUE"""),0.24)</f>
        <v>0.24</v>
      </c>
      <c r="N1108" s="77">
        <f>IFERROR(__xludf.DUMMYFUNCTION("""COMPUTED_VALUE"""),1.0)</f>
        <v>1</v>
      </c>
      <c r="O1108" s="49"/>
      <c r="P1108" s="49" t="str">
        <f>IFERROR(__xludf.DUMMYFUNCTION("""COMPUTED_VALUE"""),"Offset")</f>
        <v>Offset</v>
      </c>
      <c r="Q1108" s="49" t="str">
        <f>IFERROR(__xludf.DUMMYFUNCTION("""COMPUTED_VALUE"""),"Packaging")</f>
        <v>Packaging</v>
      </c>
      <c r="R1108" s="49" t="str">
        <f>IFERROR(__xludf.DUMMYFUNCTION("""COMPUTED_VALUE"""),"Food")</f>
        <v>Food</v>
      </c>
    </row>
    <row r="1109">
      <c r="A1109" s="156" t="str">
        <f>IFERROR(__xludf.DUMMYFUNCTION("""COMPUTED_VALUE"""),"https://drive.google.com/open?id=10A4X1h2gJ16Jz3LA0SJ8drkzDJjnvHDX&amp;authuser=jay.agg%40gmail.com&amp;usp=drive_fs")</f>
        <v>https://drive.google.com/open?id=10A4X1h2gJ16Jz3LA0SJ8drkzDJjnvHDX&amp;authuser=jay.agg%40gmail.com&amp;usp=drive_fs</v>
      </c>
      <c r="B1109" s="73" t="str">
        <f>IFERROR(__xludf.DUMMYFUNCTION("""COMPUTED_VALUE"""),"Food")</f>
        <v>Food</v>
      </c>
      <c r="C1109" s="73" t="str">
        <f>IFERROR(__xludf.DUMMYFUNCTION("""COMPUTED_VALUE"""),"Pizza")</f>
        <v>Pizza</v>
      </c>
      <c r="D1109" s="73" t="str">
        <f>IFERROR(__xludf.DUMMYFUNCTION("""COMPUTED_VALUE"""),"155*155*38 mm | 6*6*1.5 inch | 28*19")</f>
        <v>155*155*38 mm | 6*6*1.5 inch | 28*19</v>
      </c>
      <c r="E1109" s="77">
        <f>IFERROR(__xludf.DUMMYFUNCTION("""COMPUTED_VALUE"""),3.0)</f>
        <v>3</v>
      </c>
      <c r="F1109" s="77">
        <f>IFERROR(__xludf.DUMMYFUNCTION("""COMPUTED_VALUE"""),2029.0)</f>
        <v>2029</v>
      </c>
      <c r="G1109" s="77">
        <f>IFERROR(__xludf.DUMMYFUNCTION("""COMPUTED_VALUE"""),20.0)</f>
        <v>20</v>
      </c>
      <c r="H1109" s="77">
        <f>IFERROR(__xludf.DUMMYFUNCTION("""COMPUTED_VALUE"""),28.0)</f>
        <v>28</v>
      </c>
      <c r="I1109" s="77">
        <f>IFERROR(__xludf.DUMMYFUNCTION("""COMPUTED_VALUE"""),100.0)</f>
        <v>100</v>
      </c>
      <c r="J1109" s="73"/>
      <c r="K1109" s="73"/>
      <c r="L1109" s="73"/>
      <c r="M1109" s="77"/>
      <c r="N1109" s="77">
        <f>IFERROR(__xludf.DUMMYFUNCTION("""COMPUTED_VALUE"""),1.0)</f>
        <v>1</v>
      </c>
      <c r="O1109" s="49"/>
      <c r="P1109" s="49" t="str">
        <f>IFERROR(__xludf.DUMMYFUNCTION("""COMPUTED_VALUE"""),"Offset")</f>
        <v>Offset</v>
      </c>
      <c r="Q1109" s="49" t="str">
        <f>IFERROR(__xludf.DUMMYFUNCTION("""COMPUTED_VALUE"""),"Packaging")</f>
        <v>Packaging</v>
      </c>
      <c r="R1109" s="49" t="str">
        <f>IFERROR(__xludf.DUMMYFUNCTION("""COMPUTED_VALUE"""),"Food")</f>
        <v>Food</v>
      </c>
    </row>
    <row r="1110">
      <c r="A1110" s="156" t="str">
        <f>IFERROR(__xludf.DUMMYFUNCTION("""COMPUTED_VALUE"""),"https://drive.google.com/open?id=10A2WDSt2n4x8BmP8y_I_U99z0kqyKa9w&amp;authuser=jay.agg%40gmail.com&amp;usp=drive_fs")</f>
        <v>https://drive.google.com/open?id=10A2WDSt2n4x8BmP8y_I_U99z0kqyKa9w&amp;authuser=jay.agg%40gmail.com&amp;usp=drive_fs</v>
      </c>
      <c r="B1110" s="73" t="str">
        <f>IFERROR(__xludf.DUMMYFUNCTION("""COMPUTED_VALUE"""),"Food")</f>
        <v>Food</v>
      </c>
      <c r="C1110" s="73" t="str">
        <f>IFERROR(__xludf.DUMMYFUNCTION("""COMPUTED_VALUE"""),"Pizza")</f>
        <v>Pizza</v>
      </c>
      <c r="D1110" s="73" t="str">
        <f>IFERROR(__xludf.DUMMYFUNCTION("""COMPUTED_VALUE"""),"105*105*38 mm | 4.5*4.5*1.5 inch | 28*15")</f>
        <v>105*105*38 mm | 4.5*4.5*1.5 inch | 28*15</v>
      </c>
      <c r="E1110" s="77">
        <f>IFERROR(__xludf.DUMMYFUNCTION("""COMPUTED_VALUE"""),4.0)</f>
        <v>4</v>
      </c>
      <c r="F1110" s="77">
        <f>IFERROR(__xludf.DUMMYFUNCTION("""COMPUTED_VALUE"""),2029.0)</f>
        <v>2029</v>
      </c>
      <c r="G1110" s="77">
        <f>IFERROR(__xludf.DUMMYFUNCTION("""COMPUTED_VALUE"""),15.0)</f>
        <v>15</v>
      </c>
      <c r="H1110" s="77">
        <f>IFERROR(__xludf.DUMMYFUNCTION("""COMPUTED_VALUE"""),28.0)</f>
        <v>28</v>
      </c>
      <c r="I1110" s="77">
        <f>IFERROR(__xludf.DUMMYFUNCTION("""COMPUTED_VALUE"""),100.0)</f>
        <v>100</v>
      </c>
      <c r="J1110" s="73"/>
      <c r="K1110" s="73"/>
      <c r="L1110" s="73"/>
      <c r="M1110" s="77"/>
      <c r="N1110" s="77">
        <f>IFERROR(__xludf.DUMMYFUNCTION("""COMPUTED_VALUE"""),1.0)</f>
        <v>1</v>
      </c>
      <c r="O1110" s="49"/>
      <c r="P1110" s="49" t="str">
        <f>IFERROR(__xludf.DUMMYFUNCTION("""COMPUTED_VALUE"""),"Offset")</f>
        <v>Offset</v>
      </c>
      <c r="Q1110" s="49" t="str">
        <f>IFERROR(__xludf.DUMMYFUNCTION("""COMPUTED_VALUE"""),"Packaging")</f>
        <v>Packaging</v>
      </c>
      <c r="R1110" s="49" t="str">
        <f>IFERROR(__xludf.DUMMYFUNCTION("""COMPUTED_VALUE"""),"Food")</f>
        <v>Food</v>
      </c>
    </row>
    <row r="1111">
      <c r="A1111" s="156" t="str">
        <f>IFERROR(__xludf.DUMMYFUNCTION("""COMPUTED_VALUE"""),"https://drive.google.com/open?id=109_tJWIB9rGPhzUrkGJj1s7wwUjYpEyX&amp;authuser=jay.agg%40gmail.com&amp;usp=drive_fs")</f>
        <v>https://drive.google.com/open?id=109_tJWIB9rGPhzUrkGJj1s7wwUjYpEyX&amp;authuser=jay.agg%40gmail.com&amp;usp=drive_fs</v>
      </c>
      <c r="B1111" s="73" t="str">
        <f>IFERROR(__xludf.DUMMYFUNCTION("""COMPUTED_VALUE"""),"Food")</f>
        <v>Food</v>
      </c>
      <c r="C1111" s="73" t="str">
        <f>IFERROR(__xludf.DUMMYFUNCTION("""COMPUTED_VALUE"""),"Pizza")</f>
        <v>Pizza</v>
      </c>
      <c r="D1111" s="73" t="str">
        <f>IFERROR(__xludf.DUMMYFUNCTION("""COMPUTED_VALUE"""),"308*308*38 mm | 12*12*1.5 inch | 32*16")</f>
        <v>308*308*38 mm | 12*12*1.5 inch | 32*16</v>
      </c>
      <c r="E1111" s="77">
        <f>IFERROR(__xludf.DUMMYFUNCTION("""COMPUTED_VALUE"""),1.0)</f>
        <v>1</v>
      </c>
      <c r="F1111" s="77">
        <f>IFERROR(__xludf.DUMMYFUNCTION("""COMPUTED_VALUE"""),2840.0)</f>
        <v>2840</v>
      </c>
      <c r="G1111" s="77">
        <f>IFERROR(__xludf.DUMMYFUNCTION("""COMPUTED_VALUE"""),16.0)</f>
        <v>16</v>
      </c>
      <c r="H1111" s="77">
        <f>IFERROR(__xludf.DUMMYFUNCTION("""COMPUTED_VALUE"""),32.0)</f>
        <v>32</v>
      </c>
      <c r="I1111" s="77">
        <f>IFERROR(__xludf.DUMMYFUNCTION("""COMPUTED_VALUE"""),100.0)</f>
        <v>100</v>
      </c>
      <c r="J1111" s="73"/>
      <c r="K1111" s="73"/>
      <c r="L1111" s="73"/>
      <c r="M1111" s="77"/>
      <c r="N1111" s="77">
        <f>IFERROR(__xludf.DUMMYFUNCTION("""COMPUTED_VALUE"""),1.0)</f>
        <v>1</v>
      </c>
      <c r="O1111" s="49"/>
      <c r="P1111" s="49" t="str">
        <f>IFERROR(__xludf.DUMMYFUNCTION("""COMPUTED_VALUE"""),"Offset")</f>
        <v>Offset</v>
      </c>
      <c r="Q1111" s="49" t="str">
        <f>IFERROR(__xludf.DUMMYFUNCTION("""COMPUTED_VALUE"""),"Packaging")</f>
        <v>Packaging</v>
      </c>
      <c r="R1111" s="49" t="str">
        <f>IFERROR(__xludf.DUMMYFUNCTION("""COMPUTED_VALUE"""),"Food")</f>
        <v>Food</v>
      </c>
    </row>
    <row r="1112">
      <c r="A1112" s="156" t="str">
        <f>IFERROR(__xludf.DUMMYFUNCTION("""COMPUTED_VALUE"""),"https://drive.google.com/open?id=10DWOfQFgNO7twHPpeQFD8uJC_bYu_fDO&amp;authuser=jay.agg%40gmail.com&amp;usp=drive_fs")</f>
        <v>https://drive.google.com/open?id=10DWOfQFgNO7twHPpeQFD8uJC_bYu_fDO&amp;authuser=jay.agg%40gmail.com&amp;usp=drive_fs</v>
      </c>
      <c r="B1112" s="73" t="str">
        <f>IFERROR(__xludf.DUMMYFUNCTION("""COMPUTED_VALUE"""),"Food")</f>
        <v>Food</v>
      </c>
      <c r="C1112" s="73" t="str">
        <f>IFERROR(__xludf.DUMMYFUNCTION("""COMPUTED_VALUE"""),"Chocolate")</f>
        <v>Chocolate</v>
      </c>
      <c r="D1112" s="73" t="str">
        <f>IFERROR(__xludf.DUMMYFUNCTION("""COMPUTED_VALUE"""),"140*120*40 mm | 5.5*4.7*1.6 inch")</f>
        <v>140*120*40 mm | 5.5*4.7*1.6 inch</v>
      </c>
      <c r="E1112" s="77">
        <f>IFERROR(__xludf.DUMMYFUNCTION("""COMPUTED_VALUE"""),2.0)</f>
        <v>2</v>
      </c>
      <c r="F1112" s="77">
        <f>IFERROR(__xludf.DUMMYFUNCTION("""COMPUTED_VALUE"""),1926.0)</f>
        <v>1926</v>
      </c>
      <c r="G1112" s="77">
        <f>IFERROR(__xludf.DUMMYFUNCTION("""COMPUTED_VALUE"""),20.0)</f>
        <v>20</v>
      </c>
      <c r="H1112" s="77">
        <f>IFERROR(__xludf.DUMMYFUNCTION("""COMPUTED_VALUE"""),21.0)</f>
        <v>21</v>
      </c>
      <c r="I1112" s="77">
        <f>IFERROR(__xludf.DUMMYFUNCTION("""COMPUTED_VALUE"""),100.0)</f>
        <v>100</v>
      </c>
      <c r="J1112" s="73"/>
      <c r="K1112" s="73"/>
      <c r="L1112" s="73"/>
      <c r="M1112" s="77">
        <f>IFERROR(__xludf.DUMMYFUNCTION("""COMPUTED_VALUE"""),0.24)</f>
        <v>0.24</v>
      </c>
      <c r="N1112" s="77">
        <f>IFERROR(__xludf.DUMMYFUNCTION("""COMPUTED_VALUE"""),1.0)</f>
        <v>1</v>
      </c>
      <c r="O1112" s="49"/>
      <c r="P1112" s="49" t="str">
        <f>IFERROR(__xludf.DUMMYFUNCTION("""COMPUTED_VALUE"""),"Offset")</f>
        <v>Offset</v>
      </c>
      <c r="Q1112" s="49" t="str">
        <f>IFERROR(__xludf.DUMMYFUNCTION("""COMPUTED_VALUE"""),"Packaging")</f>
        <v>Packaging</v>
      </c>
      <c r="R1112" s="49" t="str">
        <f>IFERROR(__xludf.DUMMYFUNCTION("""COMPUTED_VALUE"""),"Food")</f>
        <v>Food</v>
      </c>
    </row>
    <row r="1113">
      <c r="A1113" s="156" t="str">
        <f>IFERROR(__xludf.DUMMYFUNCTION("""COMPUTED_VALUE"""),"https://drive.google.com/open?id=1D88rBIIrHVq4Ky7DjmXeB-X-2I47xUeM&amp;authuser=jay.agg%40gmail.com&amp;usp=drive_fs")</f>
        <v>https://drive.google.com/open?id=1D88rBIIrHVq4Ky7DjmXeB-X-2I47xUeM&amp;authuser=jay.agg%40gmail.com&amp;usp=drive_fs</v>
      </c>
      <c r="B1113" s="73" t="str">
        <f>IFERROR(__xludf.DUMMYFUNCTION("""COMPUTED_VALUE"""),"Food")</f>
        <v>Food</v>
      </c>
      <c r="C1113" s="73" t="str">
        <f>IFERROR(__xludf.DUMMYFUNCTION("""COMPUTED_VALUE"""),"Chocolate")</f>
        <v>Chocolate</v>
      </c>
      <c r="D1113" s="73" t="str">
        <f>IFERROR(__xludf.DUMMYFUNCTION("""COMPUTED_VALUE""")," 80*40*20 mm | 3.15*1.5*0.8 inch")</f>
        <v> 80*40*20 mm | 3.15*1.5*0.8 inch</v>
      </c>
      <c r="E1113" s="77">
        <f>IFERROR(__xludf.DUMMYFUNCTION("""COMPUTED_VALUE"""),8.0)</f>
        <v>8</v>
      </c>
      <c r="F1113" s="77">
        <f>IFERROR(__xludf.DUMMYFUNCTION("""COMPUTED_VALUE"""),1926.0)</f>
        <v>1926</v>
      </c>
      <c r="G1113" s="77">
        <f>IFERROR(__xludf.DUMMYFUNCTION("""COMPUTED_VALUE"""),14.0)</f>
        <v>14</v>
      </c>
      <c r="H1113" s="77">
        <f>IFERROR(__xludf.DUMMYFUNCTION("""COMPUTED_VALUE"""),22.0)</f>
        <v>22</v>
      </c>
      <c r="I1113" s="77">
        <f>IFERROR(__xludf.DUMMYFUNCTION("""COMPUTED_VALUE"""),100.0)</f>
        <v>100</v>
      </c>
      <c r="J1113" s="73"/>
      <c r="K1113" s="73"/>
      <c r="L1113" s="73"/>
      <c r="M1113" s="77">
        <f>IFERROR(__xludf.DUMMYFUNCTION("""COMPUTED_VALUE"""),0.18)</f>
        <v>0.18</v>
      </c>
      <c r="N1113" s="77">
        <f>IFERROR(__xludf.DUMMYFUNCTION("""COMPUTED_VALUE"""),1.0)</f>
        <v>1</v>
      </c>
      <c r="O1113" s="49"/>
      <c r="P1113" s="49" t="str">
        <f>IFERROR(__xludf.DUMMYFUNCTION("""COMPUTED_VALUE"""),"Offset")</f>
        <v>Offset</v>
      </c>
      <c r="Q1113" s="49" t="str">
        <f>IFERROR(__xludf.DUMMYFUNCTION("""COMPUTED_VALUE"""),"Packaging")</f>
        <v>Packaging</v>
      </c>
      <c r="R1113" s="49" t="str">
        <f>IFERROR(__xludf.DUMMYFUNCTION("""COMPUTED_VALUE"""),"Food")</f>
        <v>Food</v>
      </c>
    </row>
    <row r="1114">
      <c r="A1114" s="156" t="str">
        <f>IFERROR(__xludf.DUMMYFUNCTION("""COMPUTED_VALUE"""),"https://drive.google.com/open?id=1DhrExbNS8AvSeGQo5qvKtthB-kzJQdq3&amp;authuser=jay.agg%40gmail.com&amp;usp=drive_fs")</f>
        <v>https://drive.google.com/open?id=1DhrExbNS8AvSeGQo5qvKtthB-kzJQdq3&amp;authuser=jay.agg%40gmail.com&amp;usp=drive_fs</v>
      </c>
      <c r="B1114" s="73" t="str">
        <f>IFERROR(__xludf.DUMMYFUNCTION("""COMPUTED_VALUE"""),"Food")</f>
        <v>Food</v>
      </c>
      <c r="C1114" s="73" t="str">
        <f>IFERROR(__xludf.DUMMYFUNCTION("""COMPUTED_VALUE"""),"Pizza")</f>
        <v>Pizza</v>
      </c>
      <c r="D1114" s="73" t="str">
        <f>IFERROR(__xludf.DUMMYFUNCTION("""COMPUTED_VALUE"""),"203*203*39 mm | 8*8*1.5 inch | 34*23")</f>
        <v>203*203*39 mm | 8*8*1.5 inch | 34*23</v>
      </c>
      <c r="E1114" s="77">
        <f>IFERROR(__xludf.DUMMYFUNCTION("""COMPUTED_VALUE"""),3.0)</f>
        <v>3</v>
      </c>
      <c r="F1114" s="77">
        <f>IFERROR(__xludf.DUMMYFUNCTION("""COMPUTED_VALUE"""),2840.0)</f>
        <v>2840</v>
      </c>
      <c r="G1114" s="77">
        <f>IFERROR(__xludf.DUMMYFUNCTION("""COMPUTED_VALUE"""),34.0)</f>
        <v>34</v>
      </c>
      <c r="H1114" s="77">
        <f>IFERROR(__xludf.DUMMYFUNCTION("""COMPUTED_VALUE"""),23.0)</f>
        <v>23</v>
      </c>
      <c r="I1114" s="77">
        <f>IFERROR(__xludf.DUMMYFUNCTION("""COMPUTED_VALUE"""),100.0)</f>
        <v>100</v>
      </c>
      <c r="J1114" s="73"/>
      <c r="K1114" s="73"/>
      <c r="L1114" s="73"/>
      <c r="M1114" s="77"/>
      <c r="N1114" s="77">
        <f>IFERROR(__xludf.DUMMYFUNCTION("""COMPUTED_VALUE"""),1.0)</f>
        <v>1</v>
      </c>
      <c r="O1114" s="49"/>
      <c r="P1114" s="49" t="str">
        <f>IFERROR(__xludf.DUMMYFUNCTION("""COMPUTED_VALUE"""),"Offset")</f>
        <v>Offset</v>
      </c>
      <c r="Q1114" s="49" t="str">
        <f>IFERROR(__xludf.DUMMYFUNCTION("""COMPUTED_VALUE"""),"Packaging")</f>
        <v>Packaging</v>
      </c>
      <c r="R1114" s="49" t="str">
        <f>IFERROR(__xludf.DUMMYFUNCTION("""COMPUTED_VALUE"""),"Food")</f>
        <v>Food</v>
      </c>
    </row>
    <row r="1115">
      <c r="A1115" s="156" t="str">
        <f>IFERROR(__xludf.DUMMYFUNCTION("""COMPUTED_VALUE"""),"https://drive.google.com/open?id=1Dk55LI1DwN4UeS2nebqj1Z6iQs6z78Qo&amp;authuser=jay.agg%40gmail.com&amp;usp=drive_fs")</f>
        <v>https://drive.google.com/open?id=1Dk55LI1DwN4UeS2nebqj1Z6iQs6z78Qo&amp;authuser=jay.agg%40gmail.com&amp;usp=drive_fs</v>
      </c>
      <c r="B1115" s="73" t="str">
        <f>IFERROR(__xludf.DUMMYFUNCTION("""COMPUTED_VALUE"""),"Food")</f>
        <v>Food</v>
      </c>
      <c r="C1115" s="73" t="str">
        <f>IFERROR(__xludf.DUMMYFUNCTION("""COMPUTED_VALUE"""),"Pizza")</f>
        <v>Pizza</v>
      </c>
      <c r="D1115" s="73" t="str">
        <f>IFERROR(__xludf.DUMMYFUNCTION("""COMPUTED_VALUE"""),"254*254*40 mm | 10*10*1.5 inch | 28*40")</f>
        <v>254*254*40 mm | 10*10*1.5 inch | 28*40</v>
      </c>
      <c r="E1115" s="77">
        <f>IFERROR(__xludf.DUMMYFUNCTION("""COMPUTED_VALUE"""),3.0)</f>
        <v>3</v>
      </c>
      <c r="F1115" s="77">
        <f>IFERROR(__xludf.DUMMYFUNCTION("""COMPUTED_VALUE"""),2840.0)</f>
        <v>2840</v>
      </c>
      <c r="G1115" s="77">
        <f>IFERROR(__xludf.DUMMYFUNCTION("""COMPUTED_VALUE"""),28.0)</f>
        <v>28</v>
      </c>
      <c r="H1115" s="77">
        <f>IFERROR(__xludf.DUMMYFUNCTION("""COMPUTED_VALUE"""),40.0)</f>
        <v>40</v>
      </c>
      <c r="I1115" s="77">
        <f>IFERROR(__xludf.DUMMYFUNCTION("""COMPUTED_VALUE"""),100.0)</f>
        <v>100</v>
      </c>
      <c r="J1115" s="73"/>
      <c r="K1115" s="73"/>
      <c r="L1115" s="73"/>
      <c r="M1115" s="77"/>
      <c r="N1115" s="77">
        <f>IFERROR(__xludf.DUMMYFUNCTION("""COMPUTED_VALUE"""),1.0)</f>
        <v>1</v>
      </c>
      <c r="O1115" s="49"/>
      <c r="P1115" s="49" t="str">
        <f>IFERROR(__xludf.DUMMYFUNCTION("""COMPUTED_VALUE"""),"Offset")</f>
        <v>Offset</v>
      </c>
      <c r="Q1115" s="49" t="str">
        <f>IFERROR(__xludf.DUMMYFUNCTION("""COMPUTED_VALUE"""),"Packaging")</f>
        <v>Packaging</v>
      </c>
      <c r="R1115" s="49" t="str">
        <f>IFERROR(__xludf.DUMMYFUNCTION("""COMPUTED_VALUE"""),"Food")</f>
        <v>Food</v>
      </c>
    </row>
    <row r="1116">
      <c r="A1116" s="156" t="str">
        <f>IFERROR(__xludf.DUMMYFUNCTION("""COMPUTED_VALUE"""),"https://drive.google.com/open?id=10jigd_uY9YVzFCB8NG_UWKI39OS2O90Q&amp;authuser=jay.agg%40gmail.com&amp;usp=drive_fs")</f>
        <v>https://drive.google.com/open?id=10jigd_uY9YVzFCB8NG_UWKI39OS2O90Q&amp;authuser=jay.agg%40gmail.com&amp;usp=drive_fs</v>
      </c>
      <c r="B1116" s="73" t="str">
        <f>IFERROR(__xludf.DUMMYFUNCTION("""COMPUTED_VALUE"""),"Food")</f>
        <v>Food</v>
      </c>
      <c r="C1116" s="73" t="str">
        <f>IFERROR(__xludf.DUMMYFUNCTION("""COMPUTED_VALUE"""),"Food")</f>
        <v>Food</v>
      </c>
      <c r="D1116" s="73" t="str">
        <f>IFERROR(__xludf.DUMMYFUNCTION("""COMPUTED_VALUE"""),"102*102*89 mm | 4*4*3.5 inch")</f>
        <v>102*102*89 mm | 4*4*3.5 inch</v>
      </c>
      <c r="E1116" s="77">
        <f>IFERROR(__xludf.DUMMYFUNCTION("""COMPUTED_VALUE"""),2.0)</f>
        <v>2</v>
      </c>
      <c r="F1116" s="77">
        <f>IFERROR(__xludf.DUMMYFUNCTION("""COMPUTED_VALUE"""),1926.0)</f>
        <v>1926</v>
      </c>
      <c r="G1116" s="77">
        <f>IFERROR(__xludf.DUMMYFUNCTION("""COMPUTED_VALUE"""),15.75)</f>
        <v>15.75</v>
      </c>
      <c r="H1116" s="77">
        <f>IFERROR(__xludf.DUMMYFUNCTION("""COMPUTED_VALUE"""),20.75)</f>
        <v>20.75</v>
      </c>
      <c r="I1116" s="77">
        <f>IFERROR(__xludf.DUMMYFUNCTION("""COMPUTED_VALUE"""),100.0)</f>
        <v>100</v>
      </c>
      <c r="J1116" s="73"/>
      <c r="K1116" s="73"/>
      <c r="L1116" s="73"/>
      <c r="M1116" s="77"/>
      <c r="N1116" s="77">
        <f>IFERROR(__xludf.DUMMYFUNCTION("""COMPUTED_VALUE"""),1.0)</f>
        <v>1</v>
      </c>
      <c r="O1116" s="49"/>
      <c r="P1116" s="49" t="str">
        <f>IFERROR(__xludf.DUMMYFUNCTION("""COMPUTED_VALUE"""),"Offset")</f>
        <v>Offset</v>
      </c>
      <c r="Q1116" s="49" t="str">
        <f>IFERROR(__xludf.DUMMYFUNCTION("""COMPUTED_VALUE"""),"Packaging")</f>
        <v>Packaging</v>
      </c>
      <c r="R1116" s="49" t="str">
        <f>IFERROR(__xludf.DUMMYFUNCTION("""COMPUTED_VALUE"""),"Food")</f>
        <v>Food</v>
      </c>
    </row>
    <row r="1117">
      <c r="A1117" s="156" t="str">
        <f>IFERROR(__xludf.DUMMYFUNCTION("""COMPUTED_VALUE"""),"https://drive.google.com/open?id=1Jy0IGyE8jXMI5kkXDu2ihZKU4bQc5Eix&amp;authuser=jay.agg%40gmail.com&amp;usp=drive_fs")</f>
        <v>https://drive.google.com/open?id=1Jy0IGyE8jXMI5kkXDu2ihZKU4bQc5Eix&amp;authuser=jay.agg%40gmail.com&amp;usp=drive_fs</v>
      </c>
      <c r="B1117" s="73" t="str">
        <f>IFERROR(__xludf.DUMMYFUNCTION("""COMPUTED_VALUE"""),"Food")</f>
        <v>Food</v>
      </c>
      <c r="C1117" s="73" t="str">
        <f>IFERROR(__xludf.DUMMYFUNCTION("""COMPUTED_VALUE"""),"Food")</f>
        <v>Food</v>
      </c>
      <c r="D1117" s="73" t="str">
        <f>IFERROR(__xludf.DUMMYFUNCTION("""COMPUTED_VALUE"""),"280*140*83 mm |  11*5.5*3.25 inch W 9.5*2.75 inch")</f>
        <v>280*140*83 mm |  11*5.5*3.25 inch W 9.5*2.75 inch</v>
      </c>
      <c r="E1117" s="77">
        <f>IFERROR(__xludf.DUMMYFUNCTION("""COMPUTED_VALUE"""),1.0)</f>
        <v>1</v>
      </c>
      <c r="F1117" s="77">
        <f>IFERROR(__xludf.DUMMYFUNCTION("""COMPUTED_VALUE"""),1926.0)</f>
        <v>1926</v>
      </c>
      <c r="G1117" s="77">
        <f>IFERROR(__xludf.DUMMYFUNCTION("""COMPUTED_VALUE"""),18.0)</f>
        <v>18</v>
      </c>
      <c r="H1117" s="77">
        <f>IFERROR(__xludf.DUMMYFUNCTION("""COMPUTED_VALUE"""),23.0)</f>
        <v>23</v>
      </c>
      <c r="I1117" s="77">
        <f>IFERROR(__xludf.DUMMYFUNCTION("""COMPUTED_VALUE"""),100.0)</f>
        <v>100</v>
      </c>
      <c r="J1117" s="73"/>
      <c r="K1117" s="73"/>
      <c r="L1117" s="73">
        <f>IFERROR(__xludf.DUMMYFUNCTION("""COMPUTED_VALUE"""),1.5)</f>
        <v>1.5</v>
      </c>
      <c r="M1117" s="77">
        <f>IFERROR(__xludf.DUMMYFUNCTION("""COMPUTED_VALUE"""),0.14)</f>
        <v>0.14</v>
      </c>
      <c r="N1117" s="77">
        <f>IFERROR(__xludf.DUMMYFUNCTION("""COMPUTED_VALUE"""),1.0)</f>
        <v>1</v>
      </c>
      <c r="O1117" s="49"/>
      <c r="P1117" s="49" t="str">
        <f>IFERROR(__xludf.DUMMYFUNCTION("""COMPUTED_VALUE"""),"Offset")</f>
        <v>Offset</v>
      </c>
      <c r="Q1117" s="49" t="str">
        <f>IFERROR(__xludf.DUMMYFUNCTION("""COMPUTED_VALUE"""),"Packaging")</f>
        <v>Packaging</v>
      </c>
      <c r="R1117" s="49" t="str">
        <f>IFERROR(__xludf.DUMMYFUNCTION("""COMPUTED_VALUE"""),"Food")</f>
        <v>Food</v>
      </c>
    </row>
    <row r="1118">
      <c r="A1118" s="156" t="str">
        <f>IFERROR(__xludf.DUMMYFUNCTION("""COMPUTED_VALUE"""),"https://drive.google.com/open?id=1KVTCi5VQjWZR6035WK4CRodcaIefGoQL&amp;authuser=jay.agg%40gmail.com&amp;usp=drive_fs")</f>
        <v>https://drive.google.com/open?id=1KVTCi5VQjWZR6035WK4CRodcaIefGoQL&amp;authuser=jay.agg%40gmail.com&amp;usp=drive_fs</v>
      </c>
      <c r="B1118" s="73" t="str">
        <f>IFERROR(__xludf.DUMMYFUNCTION("""COMPUTED_VALUE"""),"Food")</f>
        <v>Food</v>
      </c>
      <c r="C1118" s="73" t="str">
        <f>IFERROR(__xludf.DUMMYFUNCTION("""COMPUTED_VALUE"""),"Food")</f>
        <v>Food</v>
      </c>
      <c r="D1118" s="73" t="str">
        <f>IFERROR(__xludf.DUMMYFUNCTION("""COMPUTED_VALUE"""),"114*114*127 mm | 4.5*4.5*5 inch IL | 22*19")</f>
        <v>114*114*127 mm | 4.5*4.5*5 inch IL | 22*19</v>
      </c>
      <c r="E1118" s="77">
        <f>IFERROR(__xludf.DUMMYFUNCTION("""COMPUTED_VALUE"""),2.0)</f>
        <v>2</v>
      </c>
      <c r="F1118" s="77">
        <f>IFERROR(__xludf.DUMMYFUNCTION("""COMPUTED_VALUE"""),1926.0)</f>
        <v>1926</v>
      </c>
      <c r="G1118" s="77">
        <f>IFERROR(__xludf.DUMMYFUNCTION("""COMPUTED_VALUE"""),19.5)</f>
        <v>19.5</v>
      </c>
      <c r="H1118" s="77">
        <f>IFERROR(__xludf.DUMMYFUNCTION("""COMPUTED_VALUE"""),23.0)</f>
        <v>23</v>
      </c>
      <c r="I1118" s="77">
        <f>IFERROR(__xludf.DUMMYFUNCTION("""COMPUTED_VALUE"""),100.0)</f>
        <v>100</v>
      </c>
      <c r="J1118" s="73"/>
      <c r="K1118" s="73"/>
      <c r="L1118" s="73"/>
      <c r="M1118" s="77"/>
      <c r="N1118" s="77">
        <f>IFERROR(__xludf.DUMMYFUNCTION("""COMPUTED_VALUE"""),1.0)</f>
        <v>1</v>
      </c>
      <c r="O1118" s="49"/>
      <c r="P1118" s="49" t="str">
        <f>IFERROR(__xludf.DUMMYFUNCTION("""COMPUTED_VALUE"""),"Offset")</f>
        <v>Offset</v>
      </c>
      <c r="Q1118" s="49" t="str">
        <f>IFERROR(__xludf.DUMMYFUNCTION("""COMPUTED_VALUE"""),"Packaging")</f>
        <v>Packaging</v>
      </c>
      <c r="R1118" s="49" t="str">
        <f>IFERROR(__xludf.DUMMYFUNCTION("""COMPUTED_VALUE"""),"Food")</f>
        <v>Food</v>
      </c>
    </row>
    <row r="1119">
      <c r="A1119" s="156" t="str">
        <f>IFERROR(__xludf.DUMMYFUNCTION("""COMPUTED_VALUE"""),"https://drive.google.com/open?id=1LePyOCyeOrtyssU-5qPjC4ID7YN--4e9&amp;authuser=jay.agg%40gmail.com&amp;usp=drive_fs")</f>
        <v>https://drive.google.com/open?id=1LePyOCyeOrtyssU-5qPjC4ID7YN--4e9&amp;authuser=jay.agg%40gmail.com&amp;usp=drive_fs</v>
      </c>
      <c r="B1119" s="73" t="str">
        <f>IFERROR(__xludf.DUMMYFUNCTION("""COMPUTED_VALUE"""),"Food")</f>
        <v>Food</v>
      </c>
      <c r="C1119" s="73" t="str">
        <f>IFERROR(__xludf.DUMMYFUNCTION("""COMPUTED_VALUE"""),"Dhaba")</f>
        <v>Dhaba</v>
      </c>
      <c r="D1119" s="73" t="str">
        <f>IFERROR(__xludf.DUMMYFUNCTION("""COMPUTED_VALUE"""),"95*31*137 mm | 3.74*1.22*5.4 inch")</f>
        <v>95*31*137 mm | 3.74*1.22*5.4 inch</v>
      </c>
      <c r="E1119" s="77">
        <f>IFERROR(__xludf.DUMMYFUNCTION("""COMPUTED_VALUE"""),4.0)</f>
        <v>4</v>
      </c>
      <c r="F1119" s="77">
        <f>IFERROR(__xludf.DUMMYFUNCTION("""COMPUTED_VALUE"""),1926.0)</f>
        <v>1926</v>
      </c>
      <c r="G1119" s="77">
        <f>IFERROR(__xludf.DUMMYFUNCTION("""COMPUTED_VALUE"""),18.0)</f>
        <v>18</v>
      </c>
      <c r="H1119" s="77">
        <f>IFERROR(__xludf.DUMMYFUNCTION("""COMPUTED_VALUE"""),23.0)</f>
        <v>23</v>
      </c>
      <c r="I1119" s="77">
        <f>IFERROR(__xludf.DUMMYFUNCTION("""COMPUTED_VALUE"""),100.0)</f>
        <v>100</v>
      </c>
      <c r="J1119" s="73"/>
      <c r="K1119" s="73"/>
      <c r="L1119" s="73"/>
      <c r="M1119" s="77">
        <f>IFERROR(__xludf.DUMMYFUNCTION("""COMPUTED_VALUE"""),0.1)</f>
        <v>0.1</v>
      </c>
      <c r="N1119" s="77">
        <f>IFERROR(__xludf.DUMMYFUNCTION("""COMPUTED_VALUE"""),1.0)</f>
        <v>1</v>
      </c>
      <c r="O1119" s="49"/>
      <c r="P1119" s="49" t="str">
        <f>IFERROR(__xludf.DUMMYFUNCTION("""COMPUTED_VALUE"""),"Offset")</f>
        <v>Offset</v>
      </c>
      <c r="Q1119" s="49" t="str">
        <f>IFERROR(__xludf.DUMMYFUNCTION("""COMPUTED_VALUE"""),"Packaging")</f>
        <v>Packaging</v>
      </c>
      <c r="R1119" s="49" t="str">
        <f>IFERROR(__xludf.DUMMYFUNCTION("""COMPUTED_VALUE"""),"Food")</f>
        <v>Food</v>
      </c>
    </row>
    <row r="1120">
      <c r="A1120" s="156" t="str">
        <f>IFERROR(__xludf.DUMMYFUNCTION("""COMPUTED_VALUE"""),"https://drive.google.com/open?id=113wK8dUd60uG8PzOUXaeRqAXPkRfcpy6&amp;authuser=jay.agg%40gmail.com&amp;usp=drive_fs")</f>
        <v>https://drive.google.com/open?id=113wK8dUd60uG8PzOUXaeRqAXPkRfcpy6&amp;authuser=jay.agg%40gmail.com&amp;usp=drive_fs</v>
      </c>
      <c r="B1120" s="73" t="str">
        <f>IFERROR(__xludf.DUMMYFUNCTION("""COMPUTED_VALUE"""),"Food")</f>
        <v>Food</v>
      </c>
      <c r="C1120" s="73" t="str">
        <f>IFERROR(__xludf.DUMMYFUNCTION("""COMPUTED_VALUE"""),"Dry Fruit")</f>
        <v>Dry Fruit</v>
      </c>
      <c r="D1120" s="73" t="str">
        <f>IFERROR(__xludf.DUMMYFUNCTION("""COMPUTED_VALUE"""),"127*51*178 mm | 5*2*7 inch LB")</f>
        <v>127*51*178 mm | 5*2*7 inch LB</v>
      </c>
      <c r="E1120" s="77">
        <f>IFERROR(__xludf.DUMMYFUNCTION("""COMPUTED_VALUE"""),2.0)</f>
        <v>2</v>
      </c>
      <c r="F1120" s="77">
        <f>IFERROR(__xludf.DUMMYFUNCTION("""COMPUTED_VALUE"""),1926.0)</f>
        <v>1926</v>
      </c>
      <c r="G1120" s="77">
        <f>IFERROR(__xludf.DUMMYFUNCTION("""COMPUTED_VALUE"""),15.75)</f>
        <v>15.75</v>
      </c>
      <c r="H1120" s="77">
        <f>IFERROR(__xludf.DUMMYFUNCTION("""COMPUTED_VALUE"""),20.75)</f>
        <v>20.75</v>
      </c>
      <c r="I1120" s="77">
        <f>IFERROR(__xludf.DUMMYFUNCTION("""COMPUTED_VALUE"""),100.0)</f>
        <v>100</v>
      </c>
      <c r="J1120" s="73"/>
      <c r="K1120" s="73"/>
      <c r="L1120" s="73"/>
      <c r="M1120" s="77">
        <f>IFERROR(__xludf.DUMMYFUNCTION("""COMPUTED_VALUE"""),0.18)</f>
        <v>0.18</v>
      </c>
      <c r="N1120" s="77">
        <f>IFERROR(__xludf.DUMMYFUNCTION("""COMPUTED_VALUE"""),1.0)</f>
        <v>1</v>
      </c>
      <c r="O1120" s="49"/>
      <c r="P1120" s="49" t="str">
        <f>IFERROR(__xludf.DUMMYFUNCTION("""COMPUTED_VALUE"""),"Offset")</f>
        <v>Offset</v>
      </c>
      <c r="Q1120" s="49" t="str">
        <f>IFERROR(__xludf.DUMMYFUNCTION("""COMPUTED_VALUE"""),"Packaging")</f>
        <v>Packaging</v>
      </c>
      <c r="R1120" s="49" t="str">
        <f>IFERROR(__xludf.DUMMYFUNCTION("""COMPUTED_VALUE"""),"Food")</f>
        <v>Food</v>
      </c>
    </row>
    <row r="1121">
      <c r="A1121" s="156" t="str">
        <f>IFERROR(__xludf.DUMMYFUNCTION("""COMPUTED_VALUE"""),"https://drive.google.com/open?id=1McKTHyNWoXxF0G8hIHpHO7egFGvmlqg4&amp;authuser=jay.agg%40gmail.com&amp;usp=drive_fs")</f>
        <v>https://drive.google.com/open?id=1McKTHyNWoXxF0G8hIHpHO7egFGvmlqg4&amp;authuser=jay.agg%40gmail.com&amp;usp=drive_fs</v>
      </c>
      <c r="B1121" s="73" t="str">
        <f>IFERROR(__xludf.DUMMYFUNCTION("""COMPUTED_VALUE"""),"Food")</f>
        <v>Food</v>
      </c>
      <c r="C1121" s="73" t="str">
        <f>IFERROR(__xludf.DUMMYFUNCTION("""COMPUTED_VALUE"""),"Dry Fruit")</f>
        <v>Dry Fruit</v>
      </c>
      <c r="D1121" s="73" t="str">
        <f>IFERROR(__xludf.DUMMYFUNCTION("""COMPUTED_VALUE"""),"125*40*190 mm | 4.9*1.5*7.5 inch")</f>
        <v>125*40*190 mm | 4.9*1.5*7.5 inch</v>
      </c>
      <c r="E1121" s="77">
        <f>IFERROR(__xludf.DUMMYFUNCTION("""COMPUTED_VALUE"""),2.0)</f>
        <v>2</v>
      </c>
      <c r="F1121" s="77">
        <f>IFERROR(__xludf.DUMMYFUNCTION("""COMPUTED_VALUE"""),1926.0)</f>
        <v>1926</v>
      </c>
      <c r="G1121" s="77">
        <f>IFERROR(__xludf.DUMMYFUNCTION("""COMPUTED_VALUE"""),15.75)</f>
        <v>15.75</v>
      </c>
      <c r="H1121" s="77">
        <f>IFERROR(__xludf.DUMMYFUNCTION("""COMPUTED_VALUE"""),20.75)</f>
        <v>20.75</v>
      </c>
      <c r="I1121" s="77">
        <f>IFERROR(__xludf.DUMMYFUNCTION("""COMPUTED_VALUE"""),100.0)</f>
        <v>100</v>
      </c>
      <c r="J1121" s="73"/>
      <c r="K1121" s="73"/>
      <c r="L1121" s="73"/>
      <c r="M1121" s="77">
        <f>IFERROR(__xludf.DUMMYFUNCTION("""COMPUTED_VALUE"""),0.1)</f>
        <v>0.1</v>
      </c>
      <c r="N1121" s="77">
        <f>IFERROR(__xludf.DUMMYFUNCTION("""COMPUTED_VALUE"""),1.0)</f>
        <v>1</v>
      </c>
      <c r="O1121" s="49"/>
      <c r="P1121" s="49" t="str">
        <f>IFERROR(__xludf.DUMMYFUNCTION("""COMPUTED_VALUE"""),"Offset")</f>
        <v>Offset</v>
      </c>
      <c r="Q1121" s="49" t="str">
        <f>IFERROR(__xludf.DUMMYFUNCTION("""COMPUTED_VALUE"""),"Packaging")</f>
        <v>Packaging</v>
      </c>
      <c r="R1121" s="49" t="str">
        <f>IFERROR(__xludf.DUMMYFUNCTION("""COMPUTED_VALUE"""),"Food")</f>
        <v>Food</v>
      </c>
    </row>
    <row r="1122">
      <c r="A1122" s="156" t="str">
        <f>IFERROR(__xludf.DUMMYFUNCTION("""COMPUTED_VALUE"""),"https://drive.google.com/open?id=1Me9FQd1ys1KeHQ0A1Jx7KZH2JDdcTkiS&amp;authuser=jay.agg%40gmail.com&amp;usp=drive_fs")</f>
        <v>https://drive.google.com/open?id=1Me9FQd1ys1KeHQ0A1Jx7KZH2JDdcTkiS&amp;authuser=jay.agg%40gmail.com&amp;usp=drive_fs</v>
      </c>
      <c r="B1122" s="73" t="str">
        <f>IFERROR(__xludf.DUMMYFUNCTION("""COMPUTED_VALUE"""),"Food")</f>
        <v>Food</v>
      </c>
      <c r="C1122" s="73" t="str">
        <f>IFERROR(__xludf.DUMMYFUNCTION("""COMPUTED_VALUE"""),"Chocolate")</f>
        <v>Chocolate</v>
      </c>
      <c r="D1122" s="73" t="str">
        <f>IFERROR(__xludf.DUMMYFUNCTION("""COMPUTED_VALUE"""),"186*94*30 mm | 7.3*3.7*1.2 inch")</f>
        <v>186*94*30 mm | 7.3*3.7*1.2 inch</v>
      </c>
      <c r="E1122" s="77">
        <f>IFERROR(__xludf.DUMMYFUNCTION("""COMPUTED_VALUE"""),1.0)</f>
        <v>1</v>
      </c>
      <c r="F1122" s="77">
        <f>IFERROR(__xludf.DUMMYFUNCTION("""COMPUTED_VALUE"""),1926.0)</f>
        <v>1926</v>
      </c>
      <c r="G1122" s="77">
        <f>IFERROR(__xludf.DUMMYFUNCTION("""COMPUTED_VALUE"""),18.0)</f>
        <v>18</v>
      </c>
      <c r="H1122" s="77">
        <f>IFERROR(__xludf.DUMMYFUNCTION("""COMPUTED_VALUE"""),23.0)</f>
        <v>23</v>
      </c>
      <c r="I1122" s="77">
        <f>IFERROR(__xludf.DUMMYFUNCTION("""COMPUTED_VALUE"""),100.0)</f>
        <v>100</v>
      </c>
      <c r="J1122" s="73"/>
      <c r="K1122" s="73"/>
      <c r="L1122" s="73"/>
      <c r="M1122" s="77">
        <f>IFERROR(__xludf.DUMMYFUNCTION("""COMPUTED_VALUE"""),0.18)</f>
        <v>0.18</v>
      </c>
      <c r="N1122" s="77">
        <f>IFERROR(__xludf.DUMMYFUNCTION("""COMPUTED_VALUE"""),1.0)</f>
        <v>1</v>
      </c>
      <c r="O1122" s="49"/>
      <c r="P1122" s="49" t="str">
        <f>IFERROR(__xludf.DUMMYFUNCTION("""COMPUTED_VALUE"""),"Offset")</f>
        <v>Offset</v>
      </c>
      <c r="Q1122" s="49" t="str">
        <f>IFERROR(__xludf.DUMMYFUNCTION("""COMPUTED_VALUE"""),"Packaging")</f>
        <v>Packaging</v>
      </c>
      <c r="R1122" s="49" t="str">
        <f>IFERROR(__xludf.DUMMYFUNCTION("""COMPUTED_VALUE"""),"Food")</f>
        <v>Food</v>
      </c>
    </row>
    <row r="1123">
      <c r="A1123" s="156" t="str">
        <f>IFERROR(__xludf.DUMMYFUNCTION("""COMPUTED_VALUE"""),"https://drive.google.com/open?id=1O-W2xh1yhrWCisjwnh9_upXi7VCecSHh&amp;authuser=jay.agg%40gmail.com&amp;usp=drive_fs")</f>
        <v>https://drive.google.com/open?id=1O-W2xh1yhrWCisjwnh9_upXi7VCecSHh&amp;authuser=jay.agg%40gmail.com&amp;usp=drive_fs</v>
      </c>
      <c r="B1123" s="73" t="str">
        <f>IFERROR(__xludf.DUMMYFUNCTION("""COMPUTED_VALUE"""),"Food")</f>
        <v>Food</v>
      </c>
      <c r="C1123" s="73" t="str">
        <f>IFERROR(__xludf.DUMMYFUNCTION("""COMPUTED_VALUE"""),"Chocolate")</f>
        <v>Chocolate</v>
      </c>
      <c r="D1123" s="73" t="str">
        <f>IFERROR(__xludf.DUMMYFUNCTION("""COMPUTED_VALUE"""),"Tray 330*185*35 mm | 13*7.2*1.4 inch")</f>
        <v>Tray 330*185*35 mm | 13*7.2*1.4 inch</v>
      </c>
      <c r="E1123" s="77">
        <f>IFERROR(__xludf.DUMMYFUNCTION("""COMPUTED_VALUE"""),1.0)</f>
        <v>1</v>
      </c>
      <c r="F1123" s="77">
        <f>IFERROR(__xludf.DUMMYFUNCTION("""COMPUTED_VALUE"""),1926.0)</f>
        <v>1926</v>
      </c>
      <c r="G1123" s="77">
        <f>IFERROR(__xludf.DUMMYFUNCTION("""COMPUTED_VALUE"""),18.0)</f>
        <v>18</v>
      </c>
      <c r="H1123" s="77">
        <f>IFERROR(__xludf.DUMMYFUNCTION("""COMPUTED_VALUE"""),25.0)</f>
        <v>25</v>
      </c>
      <c r="I1123" s="77">
        <f>IFERROR(__xludf.DUMMYFUNCTION("""COMPUTED_VALUE"""),100.0)</f>
        <v>100</v>
      </c>
      <c r="J1123" s="73"/>
      <c r="K1123" s="73"/>
      <c r="L1123" s="73"/>
      <c r="M1123" s="77"/>
      <c r="N1123" s="77">
        <f>IFERROR(__xludf.DUMMYFUNCTION("""COMPUTED_VALUE"""),1.0)</f>
        <v>1</v>
      </c>
      <c r="O1123" s="49"/>
      <c r="P1123" s="49" t="str">
        <f>IFERROR(__xludf.DUMMYFUNCTION("""COMPUTED_VALUE"""),"Offset")</f>
        <v>Offset</v>
      </c>
      <c r="Q1123" s="49" t="str">
        <f>IFERROR(__xludf.DUMMYFUNCTION("""COMPUTED_VALUE"""),"Packaging")</f>
        <v>Packaging</v>
      </c>
      <c r="R1123" s="49" t="str">
        <f>IFERROR(__xludf.DUMMYFUNCTION("""COMPUTED_VALUE"""),"Food")</f>
        <v>Food</v>
      </c>
    </row>
    <row r="1124">
      <c r="A1124" s="156" t="str">
        <f>IFERROR(__xludf.DUMMYFUNCTION("""COMPUTED_VALUE"""),"https://drive.google.com/open?id=1Nz3utm_QH5ZDA8upBnLT9hUAljy1zUEo&amp;authuser=jay.agg%40gmail.com&amp;usp=drive_fs")</f>
        <v>https://drive.google.com/open?id=1Nz3utm_QH5ZDA8upBnLT9hUAljy1zUEo&amp;authuser=jay.agg%40gmail.com&amp;usp=drive_fs</v>
      </c>
      <c r="B1124" s="73" t="str">
        <f>IFERROR(__xludf.DUMMYFUNCTION("""COMPUTED_VALUE"""),"Food")</f>
        <v>Food</v>
      </c>
      <c r="C1124" s="73" t="str">
        <f>IFERROR(__xludf.DUMMYFUNCTION("""COMPUTED_VALUE"""),"Chocolate")</f>
        <v>Chocolate</v>
      </c>
      <c r="D1124" s="73" t="str">
        <f>IFERROR(__xludf.DUMMYFUNCTION("""COMPUTED_VALUE"""),"Sleeve 330*185*35 mm | 13*7.2*1.4 inch")</f>
        <v>Sleeve 330*185*35 mm | 13*7.2*1.4 inch</v>
      </c>
      <c r="E1124" s="77">
        <f>IFERROR(__xludf.DUMMYFUNCTION("""COMPUTED_VALUE"""),1.0)</f>
        <v>1</v>
      </c>
      <c r="F1124" s="77">
        <f>IFERROR(__xludf.DUMMYFUNCTION("""COMPUTED_VALUE"""),1926.0)</f>
        <v>1926</v>
      </c>
      <c r="G1124" s="77">
        <f>IFERROR(__xludf.DUMMYFUNCTION("""COMPUTED_VALUE"""),18.0)</f>
        <v>18</v>
      </c>
      <c r="H1124" s="77">
        <f>IFERROR(__xludf.DUMMYFUNCTION("""COMPUTED_VALUE"""),23.0)</f>
        <v>23</v>
      </c>
      <c r="I1124" s="77">
        <f>IFERROR(__xludf.DUMMYFUNCTION("""COMPUTED_VALUE"""),100.0)</f>
        <v>100</v>
      </c>
      <c r="J1124" s="73"/>
      <c r="K1124" s="73"/>
      <c r="L1124" s="73">
        <f>IFERROR(__xludf.DUMMYFUNCTION("""COMPUTED_VALUE"""),2.0)</f>
        <v>2</v>
      </c>
      <c r="M1124" s="77">
        <f>IFERROR(__xludf.DUMMYFUNCTION("""COMPUTED_VALUE"""),0.14)</f>
        <v>0.14</v>
      </c>
      <c r="N1124" s="77">
        <f>IFERROR(__xludf.DUMMYFUNCTION("""COMPUTED_VALUE"""),1.0)</f>
        <v>1</v>
      </c>
      <c r="O1124" s="49"/>
      <c r="P1124" s="49" t="str">
        <f>IFERROR(__xludf.DUMMYFUNCTION("""COMPUTED_VALUE"""),"Offset")</f>
        <v>Offset</v>
      </c>
      <c r="Q1124" s="49" t="str">
        <f>IFERROR(__xludf.DUMMYFUNCTION("""COMPUTED_VALUE"""),"Packaging")</f>
        <v>Packaging</v>
      </c>
      <c r="R1124" s="49" t="str">
        <f>IFERROR(__xludf.DUMMYFUNCTION("""COMPUTED_VALUE"""),"Food")</f>
        <v>Food</v>
      </c>
    </row>
    <row r="1125">
      <c r="A1125" s="156" t="str">
        <f>IFERROR(__xludf.DUMMYFUNCTION("""COMPUTED_VALUE"""),"https://drive.google.com/open?id=1OcBosxL0fggx1qyLgXXE4tDQ8PF9N-iv&amp;authuser=jay.agg%40gmail.com&amp;usp=drive_fs")</f>
        <v>https://drive.google.com/open?id=1OcBosxL0fggx1qyLgXXE4tDQ8PF9N-iv&amp;authuser=jay.agg%40gmail.com&amp;usp=drive_fs</v>
      </c>
      <c r="B1125" s="73" t="str">
        <f>IFERROR(__xludf.DUMMYFUNCTION("""COMPUTED_VALUE"""),"Food")</f>
        <v>Food</v>
      </c>
      <c r="C1125" s="73" t="str">
        <f>IFERROR(__xludf.DUMMYFUNCTION("""COMPUTED_VALUE"""),"Cookies")</f>
        <v>Cookies</v>
      </c>
      <c r="D1125" s="73" t="str">
        <f>IFERROR(__xludf.DUMMYFUNCTION("""COMPUTED_VALUE"""),"160*50*60 mm | 2.3*2*6.3 inch")</f>
        <v>160*50*60 mm | 2.3*2*6.3 inch</v>
      </c>
      <c r="E1125" s="77">
        <f>IFERROR(__xludf.DUMMYFUNCTION("""COMPUTED_VALUE"""),4.0)</f>
        <v>4</v>
      </c>
      <c r="F1125" s="77">
        <f>IFERROR(__xludf.DUMMYFUNCTION("""COMPUTED_VALUE"""),1926.0)</f>
        <v>1926</v>
      </c>
      <c r="G1125" s="77">
        <f>IFERROR(__xludf.DUMMYFUNCTION("""COMPUTED_VALUE"""),19.5)</f>
        <v>19.5</v>
      </c>
      <c r="H1125" s="77">
        <f>IFERROR(__xludf.DUMMYFUNCTION("""COMPUTED_VALUE"""),23.0)</f>
        <v>23</v>
      </c>
      <c r="I1125" s="77">
        <f>IFERROR(__xludf.DUMMYFUNCTION("""COMPUTED_VALUE"""),100.0)</f>
        <v>100</v>
      </c>
      <c r="J1125" s="73"/>
      <c r="K1125" s="73"/>
      <c r="L1125" s="73"/>
      <c r="M1125" s="77">
        <f>IFERROR(__xludf.DUMMYFUNCTION("""COMPUTED_VALUE"""),0.1)</f>
        <v>0.1</v>
      </c>
      <c r="N1125" s="77">
        <f>IFERROR(__xludf.DUMMYFUNCTION("""COMPUTED_VALUE"""),1.0)</f>
        <v>1</v>
      </c>
      <c r="O1125" s="49"/>
      <c r="P1125" s="49" t="str">
        <f>IFERROR(__xludf.DUMMYFUNCTION("""COMPUTED_VALUE"""),"Offset")</f>
        <v>Offset</v>
      </c>
      <c r="Q1125" s="49" t="str">
        <f>IFERROR(__xludf.DUMMYFUNCTION("""COMPUTED_VALUE"""),"Packaging")</f>
        <v>Packaging</v>
      </c>
      <c r="R1125" s="49" t="str">
        <f>IFERROR(__xludf.DUMMYFUNCTION("""COMPUTED_VALUE"""),"Food")</f>
        <v>Food</v>
      </c>
    </row>
    <row r="1126">
      <c r="A1126" s="156" t="str">
        <f>IFERROR(__xludf.DUMMYFUNCTION("""COMPUTED_VALUE"""),"https://drive.google.com/open?id=1QtJky2CoK2viBm-q9JnI2yzxDyOa34yI&amp;authuser=jay.agg%40gmail.com&amp;usp=drive_fs")</f>
        <v>https://drive.google.com/open?id=1QtJky2CoK2viBm-q9JnI2yzxDyOa34yI&amp;authuser=jay.agg%40gmail.com&amp;usp=drive_fs</v>
      </c>
      <c r="B1126" s="73" t="str">
        <f>IFERROR(__xludf.DUMMYFUNCTION("""COMPUTED_VALUE"""),"Food")</f>
        <v>Food</v>
      </c>
      <c r="C1126" s="73" t="str">
        <f>IFERROR(__xludf.DUMMYFUNCTION("""COMPUTED_VALUE"""),"Chocolate")</f>
        <v>Chocolate</v>
      </c>
      <c r="D1126" s="73" t="str">
        <f>IFERROR(__xludf.DUMMYFUNCTION("""COMPUTED_VALUE"""),"4 pcs 103*35*138 mm | 4*1.5*5.5 inch")</f>
        <v>4 pcs 103*35*138 mm | 4*1.5*5.5 inch</v>
      </c>
      <c r="E1126" s="77">
        <f>IFERROR(__xludf.DUMMYFUNCTION("""COMPUTED_VALUE"""),1.0)</f>
        <v>1</v>
      </c>
      <c r="F1126" s="77">
        <f>IFERROR(__xludf.DUMMYFUNCTION("""COMPUTED_VALUE"""),1926.0)</f>
        <v>1926</v>
      </c>
      <c r="G1126" s="77">
        <f>IFERROR(__xludf.DUMMYFUNCTION("""COMPUTED_VALUE"""),15.75)</f>
        <v>15.75</v>
      </c>
      <c r="H1126" s="77">
        <f>IFERROR(__xludf.DUMMYFUNCTION("""COMPUTED_VALUE"""),20.75)</f>
        <v>20.75</v>
      </c>
      <c r="I1126" s="77">
        <f>IFERROR(__xludf.DUMMYFUNCTION("""COMPUTED_VALUE"""),100.0)</f>
        <v>100</v>
      </c>
      <c r="J1126" s="73"/>
      <c r="K1126" s="73"/>
      <c r="L1126" s="73"/>
      <c r="M1126" s="77">
        <f>IFERROR(__xludf.DUMMYFUNCTION("""COMPUTED_VALUE"""),0.1)</f>
        <v>0.1</v>
      </c>
      <c r="N1126" s="77">
        <f>IFERROR(__xludf.DUMMYFUNCTION("""COMPUTED_VALUE"""),1.0)</f>
        <v>1</v>
      </c>
      <c r="O1126" s="49"/>
      <c r="P1126" s="49" t="str">
        <f>IFERROR(__xludf.DUMMYFUNCTION("""COMPUTED_VALUE"""),"Offset")</f>
        <v>Offset</v>
      </c>
      <c r="Q1126" s="49" t="str">
        <f>IFERROR(__xludf.DUMMYFUNCTION("""COMPUTED_VALUE"""),"Packaging")</f>
        <v>Packaging</v>
      </c>
      <c r="R1126" s="49" t="str">
        <f>IFERROR(__xludf.DUMMYFUNCTION("""COMPUTED_VALUE"""),"Food")</f>
        <v>Food</v>
      </c>
    </row>
    <row r="1127">
      <c r="A1127" s="156" t="str">
        <f>IFERROR(__xludf.DUMMYFUNCTION("""COMPUTED_VALUE"""),"https://drive.google.com/open?id=1Qu8ubF-2d1gbzCam5dOxqLYJi0vaDiX-&amp;authuser=jay.agg%40gmail.com&amp;usp=drive_fs")</f>
        <v>https://drive.google.com/open?id=1Qu8ubF-2d1gbzCam5dOxqLYJi0vaDiX-&amp;authuser=jay.agg%40gmail.com&amp;usp=drive_fs</v>
      </c>
      <c r="B1127" s="73" t="str">
        <f>IFERROR(__xludf.DUMMYFUNCTION("""COMPUTED_VALUE"""),"Food")</f>
        <v>Food</v>
      </c>
      <c r="C1127" s="73" t="str">
        <f>IFERROR(__xludf.DUMMYFUNCTION("""COMPUTED_VALUE"""),"Chocolate")</f>
        <v>Chocolate</v>
      </c>
      <c r="D1127" s="73" t="str">
        <f>IFERROR(__xludf.DUMMYFUNCTION("""COMPUTED_VALUE"""),"8pcs 215*121*32 mm | 4.8*1.3*8.5 inch")</f>
        <v>8pcs 215*121*32 mm | 4.8*1.3*8.5 inch</v>
      </c>
      <c r="E1127" s="77">
        <f>IFERROR(__xludf.DUMMYFUNCTION("""COMPUTED_VALUE"""),1.0)</f>
        <v>1</v>
      </c>
      <c r="F1127" s="77">
        <f>IFERROR(__xludf.DUMMYFUNCTION("""COMPUTED_VALUE"""),2029.0)</f>
        <v>2029</v>
      </c>
      <c r="G1127" s="77">
        <f>IFERROR(__xludf.DUMMYFUNCTION("""COMPUTED_VALUE"""),18.0)</f>
        <v>18</v>
      </c>
      <c r="H1127" s="77">
        <f>IFERROR(__xludf.DUMMYFUNCTION("""COMPUTED_VALUE"""),25.0)</f>
        <v>25</v>
      </c>
      <c r="I1127" s="77">
        <f>IFERROR(__xludf.DUMMYFUNCTION("""COMPUTED_VALUE"""),100.0)</f>
        <v>100</v>
      </c>
      <c r="J1127" s="73"/>
      <c r="K1127" s="73"/>
      <c r="L1127" s="73"/>
      <c r="M1127" s="77">
        <f>IFERROR(__xludf.DUMMYFUNCTION("""COMPUTED_VALUE"""),0.1)</f>
        <v>0.1</v>
      </c>
      <c r="N1127" s="77">
        <f>IFERROR(__xludf.DUMMYFUNCTION("""COMPUTED_VALUE"""),1.0)</f>
        <v>1</v>
      </c>
      <c r="O1127" s="49"/>
      <c r="P1127" s="49" t="str">
        <f>IFERROR(__xludf.DUMMYFUNCTION("""COMPUTED_VALUE"""),"Offset")</f>
        <v>Offset</v>
      </c>
      <c r="Q1127" s="49" t="str">
        <f>IFERROR(__xludf.DUMMYFUNCTION("""COMPUTED_VALUE"""),"Packaging")</f>
        <v>Packaging</v>
      </c>
      <c r="R1127" s="49" t="str">
        <f>IFERROR(__xludf.DUMMYFUNCTION("""COMPUTED_VALUE"""),"Food")</f>
        <v>Food</v>
      </c>
    </row>
    <row r="1128">
      <c r="A1128" s="156" t="str">
        <f>IFERROR(__xludf.DUMMYFUNCTION("""COMPUTED_VALUE"""),"https://drive.google.com/open?id=1T4472d4EPtR_7r6q3g95g8WQTId21WGn&amp;authuser=jay.agg%40gmail.com&amp;usp=drive_fs")</f>
        <v>https://drive.google.com/open?id=1T4472d4EPtR_7r6q3g95g8WQTId21WGn&amp;authuser=jay.agg%40gmail.com&amp;usp=drive_fs</v>
      </c>
      <c r="B1128" s="73" t="str">
        <f>IFERROR(__xludf.DUMMYFUNCTION("""COMPUTED_VALUE"""),"Food")</f>
        <v>Food</v>
      </c>
      <c r="C1128" s="73" t="str">
        <f>IFERROR(__xludf.DUMMYFUNCTION("""COMPUTED_VALUE"""),"Dry Fruit")</f>
        <v>Dry Fruit</v>
      </c>
      <c r="D1128" s="73" t="str">
        <f>IFERROR(__xludf.DUMMYFUNCTION("""COMPUTED_VALUE"""),"115*42*150 mm |  4.5*1.6*5.9 inch")</f>
        <v>115*42*150 mm |  4.5*1.6*5.9 inch</v>
      </c>
      <c r="E1128" s="77">
        <f>IFERROR(__xludf.DUMMYFUNCTION("""COMPUTED_VALUE"""),4.0)</f>
        <v>4</v>
      </c>
      <c r="F1128" s="77">
        <f>IFERROR(__xludf.DUMMYFUNCTION("""COMPUTED_VALUE"""),2029.0)</f>
        <v>2029</v>
      </c>
      <c r="G1128" s="77">
        <f>IFERROR(__xludf.DUMMYFUNCTION("""COMPUTED_VALUE"""),20.0)</f>
        <v>20</v>
      </c>
      <c r="H1128" s="77">
        <f>IFERROR(__xludf.DUMMYFUNCTION("""COMPUTED_VALUE"""),28.0)</f>
        <v>28</v>
      </c>
      <c r="I1128" s="77">
        <f>IFERROR(__xludf.DUMMYFUNCTION("""COMPUTED_VALUE"""),100.0)</f>
        <v>100</v>
      </c>
      <c r="J1128" s="73"/>
      <c r="K1128" s="73"/>
      <c r="L1128" s="73"/>
      <c r="M1128" s="77">
        <f>IFERROR(__xludf.DUMMYFUNCTION("""COMPUTED_VALUE"""),0.1)</f>
        <v>0.1</v>
      </c>
      <c r="N1128" s="77">
        <f>IFERROR(__xludf.DUMMYFUNCTION("""COMPUTED_VALUE"""),1.0)</f>
        <v>1</v>
      </c>
      <c r="O1128" s="49"/>
      <c r="P1128" s="49" t="str">
        <f>IFERROR(__xludf.DUMMYFUNCTION("""COMPUTED_VALUE"""),"Offset")</f>
        <v>Offset</v>
      </c>
      <c r="Q1128" s="49" t="str">
        <f>IFERROR(__xludf.DUMMYFUNCTION("""COMPUTED_VALUE"""),"Packaging")</f>
        <v>Packaging</v>
      </c>
      <c r="R1128" s="49" t="str">
        <f>IFERROR(__xludf.DUMMYFUNCTION("""COMPUTED_VALUE"""),"Food")</f>
        <v>Food</v>
      </c>
    </row>
    <row r="1129">
      <c r="A1129" s="156" t="str">
        <f>IFERROR(__xludf.DUMMYFUNCTION("""COMPUTED_VALUE"""),"https://drive.google.com/open?id=1Tdo-O3f-fQtFix5vjW5eC61G1X3QOUAO&amp;authuser=jay.agg%40gmail.com&amp;usp=drive_fs")</f>
        <v>https://drive.google.com/open?id=1Tdo-O3f-fQtFix5vjW5eC61G1X3QOUAO&amp;authuser=jay.agg%40gmail.com&amp;usp=drive_fs</v>
      </c>
      <c r="B1129" s="73" t="str">
        <f>IFERROR(__xludf.DUMMYFUNCTION("""COMPUTED_VALUE"""),"Food")</f>
        <v>Food</v>
      </c>
      <c r="C1129" s="73" t="str">
        <f>IFERROR(__xludf.DUMMYFUNCTION("""COMPUTED_VALUE"""),"Chocolate")</f>
        <v>Chocolate</v>
      </c>
      <c r="D1129" s="73" t="str">
        <f>IFERROR(__xludf.DUMMYFUNCTION("""COMPUTED_VALUE"""),"16 pcs Sleeve 214*214*32 mm | 8.4*8.4*1.2 inch")</f>
        <v>16 pcs Sleeve 214*214*32 mm | 8.4*8.4*1.2 inch</v>
      </c>
      <c r="E1129" s="77">
        <f>IFERROR(__xludf.DUMMYFUNCTION("""COMPUTED_VALUE"""),1.0)</f>
        <v>1</v>
      </c>
      <c r="F1129" s="77">
        <f>IFERROR(__xludf.DUMMYFUNCTION("""COMPUTED_VALUE"""),1926.0)</f>
        <v>1926</v>
      </c>
      <c r="G1129" s="77">
        <f>IFERROR(__xludf.DUMMYFUNCTION("""COMPUTED_VALUE"""),14.0)</f>
        <v>14</v>
      </c>
      <c r="H1129" s="77">
        <f>IFERROR(__xludf.DUMMYFUNCTION("""COMPUTED_VALUE"""),22.0)</f>
        <v>22</v>
      </c>
      <c r="I1129" s="77">
        <f>IFERROR(__xludf.DUMMYFUNCTION("""COMPUTED_VALUE"""),100.0)</f>
        <v>100</v>
      </c>
      <c r="J1129" s="73"/>
      <c r="K1129" s="73"/>
      <c r="L1129" s="73"/>
      <c r="M1129" s="77">
        <f>IFERROR(__xludf.DUMMYFUNCTION("""COMPUTED_VALUE"""),0.1)</f>
        <v>0.1</v>
      </c>
      <c r="N1129" s="77">
        <f>IFERROR(__xludf.DUMMYFUNCTION("""COMPUTED_VALUE"""),1.0)</f>
        <v>1</v>
      </c>
      <c r="O1129" s="49"/>
      <c r="P1129" s="49" t="str">
        <f>IFERROR(__xludf.DUMMYFUNCTION("""COMPUTED_VALUE"""),"Offset")</f>
        <v>Offset</v>
      </c>
      <c r="Q1129" s="49" t="str">
        <f>IFERROR(__xludf.DUMMYFUNCTION("""COMPUTED_VALUE"""),"Packaging")</f>
        <v>Packaging</v>
      </c>
      <c r="R1129" s="49" t="str">
        <f>IFERROR(__xludf.DUMMYFUNCTION("""COMPUTED_VALUE"""),"Food")</f>
        <v>Food</v>
      </c>
    </row>
    <row r="1130">
      <c r="A1130" s="156" t="str">
        <f>IFERROR(__xludf.DUMMYFUNCTION("""COMPUTED_VALUE"""),"https://drive.google.com/open?id=1TbqT-0UAqm3f3AdE7H4MZOvOs0QV4nJL&amp;authuser=jay.agg%40gmail.com&amp;usp=drive_fs")</f>
        <v>https://drive.google.com/open?id=1TbqT-0UAqm3f3AdE7H4MZOvOs0QV4nJL&amp;authuser=jay.agg%40gmail.com&amp;usp=drive_fs</v>
      </c>
      <c r="B1130" s="73" t="str">
        <f>IFERROR(__xludf.DUMMYFUNCTION("""COMPUTED_VALUE"""),"Food")</f>
        <v>Food</v>
      </c>
      <c r="C1130" s="73" t="str">
        <f>IFERROR(__xludf.DUMMYFUNCTION("""COMPUTED_VALUE"""),"Chocolate")</f>
        <v>Chocolate</v>
      </c>
      <c r="D1130" s="73" t="str">
        <f>IFERROR(__xludf.DUMMYFUNCTION("""COMPUTED_VALUE"""),"16 pcs Tray 214*214*32 mm | 8.4*8.4*1.2 inch")</f>
        <v>16 pcs Tray 214*214*32 mm | 8.4*8.4*1.2 inch</v>
      </c>
      <c r="E1130" s="77">
        <f>IFERROR(__xludf.DUMMYFUNCTION("""COMPUTED_VALUE"""),1.0)</f>
        <v>1</v>
      </c>
      <c r="F1130" s="77">
        <f>IFERROR(__xludf.DUMMYFUNCTION("""COMPUTED_VALUE"""),1926.0)</f>
        <v>1926</v>
      </c>
      <c r="G1130" s="77">
        <f>IFERROR(__xludf.DUMMYFUNCTION("""COMPUTED_VALUE"""),18.0)</f>
        <v>18</v>
      </c>
      <c r="H1130" s="77">
        <f>IFERROR(__xludf.DUMMYFUNCTION("""COMPUTED_VALUE"""),19.0)</f>
        <v>19</v>
      </c>
      <c r="I1130" s="77">
        <f>IFERROR(__xludf.DUMMYFUNCTION("""COMPUTED_VALUE"""),100.0)</f>
        <v>100</v>
      </c>
      <c r="J1130" s="73"/>
      <c r="K1130" s="73"/>
      <c r="L1130" s="73"/>
      <c r="M1130" s="77"/>
      <c r="N1130" s="77">
        <f>IFERROR(__xludf.DUMMYFUNCTION("""COMPUTED_VALUE"""),1.0)</f>
        <v>1</v>
      </c>
      <c r="O1130" s="49"/>
      <c r="P1130" s="49" t="str">
        <f>IFERROR(__xludf.DUMMYFUNCTION("""COMPUTED_VALUE"""),"Offset")</f>
        <v>Offset</v>
      </c>
      <c r="Q1130" s="49" t="str">
        <f>IFERROR(__xludf.DUMMYFUNCTION("""COMPUTED_VALUE"""),"Packaging")</f>
        <v>Packaging</v>
      </c>
      <c r="R1130" s="49" t="str">
        <f>IFERROR(__xludf.DUMMYFUNCTION("""COMPUTED_VALUE"""),"Food")</f>
        <v>Food</v>
      </c>
    </row>
    <row r="1131">
      <c r="A1131" s="156" t="str">
        <f>IFERROR(__xludf.DUMMYFUNCTION("""COMPUTED_VALUE"""),"https://drive.google.com/open?id=11jYZmuAyNiyAARBjkGEIqU8WM_NykyMj&amp;authuser=jay.agg%40gmail.com&amp;usp=drive_fs")</f>
        <v>https://drive.google.com/open?id=11jYZmuAyNiyAARBjkGEIqU8WM_NykyMj&amp;authuser=jay.agg%40gmail.com&amp;usp=drive_fs</v>
      </c>
      <c r="B1131" s="73" t="str">
        <f>IFERROR(__xludf.DUMMYFUNCTION("""COMPUTED_VALUE"""),"Food")</f>
        <v>Food</v>
      </c>
      <c r="C1131" s="73" t="str">
        <f>IFERROR(__xludf.DUMMYFUNCTION("""COMPUTED_VALUE"""),"Dates")</f>
        <v>Dates</v>
      </c>
      <c r="D1131" s="73" t="str">
        <f>IFERROR(__xludf.DUMMYFUNCTION("""COMPUTED_VALUE"""),"Top 160*130*50 mm | 6.3*5.1*2 inch")</f>
        <v>Top 160*130*50 mm | 6.3*5.1*2 inch</v>
      </c>
      <c r="E1131" s="77">
        <f>IFERROR(__xludf.DUMMYFUNCTION("""COMPUTED_VALUE"""),4.0)</f>
        <v>4</v>
      </c>
      <c r="F1131" s="77">
        <f>IFERROR(__xludf.DUMMYFUNCTION("""COMPUTED_VALUE"""),2029.0)</f>
        <v>2029</v>
      </c>
      <c r="G1131" s="77">
        <f>IFERROR(__xludf.DUMMYFUNCTION("""COMPUTED_VALUE"""),19.5)</f>
        <v>19.5</v>
      </c>
      <c r="H1131" s="77">
        <f>IFERROR(__xludf.DUMMYFUNCTION("""COMPUTED_VALUE"""),23.0)</f>
        <v>23</v>
      </c>
      <c r="I1131" s="77">
        <f>IFERROR(__xludf.DUMMYFUNCTION("""COMPUTED_VALUE"""),100.0)</f>
        <v>100</v>
      </c>
      <c r="J1131" s="73"/>
      <c r="K1131" s="73"/>
      <c r="L1131" s="73">
        <f>IFERROR(__xludf.DUMMYFUNCTION("""COMPUTED_VALUE"""),1.25)</f>
        <v>1.25</v>
      </c>
      <c r="M1131" s="77"/>
      <c r="N1131" s="77">
        <f>IFERROR(__xludf.DUMMYFUNCTION("""COMPUTED_VALUE"""),1.0)</f>
        <v>1</v>
      </c>
      <c r="O1131" s="49"/>
      <c r="P1131" s="49" t="str">
        <f>IFERROR(__xludf.DUMMYFUNCTION("""COMPUTED_VALUE"""),"Offset")</f>
        <v>Offset</v>
      </c>
      <c r="Q1131" s="49" t="str">
        <f>IFERROR(__xludf.DUMMYFUNCTION("""COMPUTED_VALUE"""),"Packaging")</f>
        <v>Packaging</v>
      </c>
      <c r="R1131" s="49" t="str">
        <f>IFERROR(__xludf.DUMMYFUNCTION("""COMPUTED_VALUE"""),"Food")</f>
        <v>Food</v>
      </c>
    </row>
    <row r="1132">
      <c r="A1132" s="156" t="str">
        <f>IFERROR(__xludf.DUMMYFUNCTION("""COMPUTED_VALUE"""),"https://drive.google.com/open?id=11kDeF-pXyau2Akghg6wU4Wp7VJTKno76&amp;authuser=jay.agg%40gmail.com&amp;usp=drive_fs")</f>
        <v>https://drive.google.com/open?id=11kDeF-pXyau2Akghg6wU4Wp7VJTKno76&amp;authuser=jay.agg%40gmail.com&amp;usp=drive_fs</v>
      </c>
      <c r="B1132" s="73" t="str">
        <f>IFERROR(__xludf.DUMMYFUNCTION("""COMPUTED_VALUE"""),"Food")</f>
        <v>Food</v>
      </c>
      <c r="C1132" s="73" t="str">
        <f>IFERROR(__xludf.DUMMYFUNCTION("""COMPUTED_VALUE"""),"Dates")</f>
        <v>Dates</v>
      </c>
      <c r="D1132" s="73" t="str">
        <f>IFERROR(__xludf.DUMMYFUNCTION("""COMPUTED_VALUE"""),"Bottom 160*130*50 mm | 6.3*5.1*2 inch | 30*19")</f>
        <v>Bottom 160*130*50 mm | 6.3*5.1*2 inch | 30*19</v>
      </c>
      <c r="E1132" s="77">
        <f>IFERROR(__xludf.DUMMYFUNCTION("""COMPUTED_VALUE"""),4.0)</f>
        <v>4</v>
      </c>
      <c r="F1132" s="77">
        <f>IFERROR(__xludf.DUMMYFUNCTION("""COMPUTED_VALUE"""),2840.0)</f>
        <v>2840</v>
      </c>
      <c r="G1132" s="77">
        <f>IFERROR(__xludf.DUMMYFUNCTION("""COMPUTED_VALUE"""),20.0)</f>
        <v>20</v>
      </c>
      <c r="H1132" s="77">
        <f>IFERROR(__xludf.DUMMYFUNCTION("""COMPUTED_VALUE"""),30.0)</f>
        <v>30</v>
      </c>
      <c r="I1132" s="77">
        <f>IFERROR(__xludf.DUMMYFUNCTION("""COMPUTED_VALUE"""),100.0)</f>
        <v>100</v>
      </c>
      <c r="J1132" s="73"/>
      <c r="K1132" s="73"/>
      <c r="L1132" s="73"/>
      <c r="M1132" s="77"/>
      <c r="N1132" s="77">
        <f>IFERROR(__xludf.DUMMYFUNCTION("""COMPUTED_VALUE"""),1.0)</f>
        <v>1</v>
      </c>
      <c r="O1132" s="49"/>
      <c r="P1132" s="49" t="str">
        <f>IFERROR(__xludf.DUMMYFUNCTION("""COMPUTED_VALUE"""),"Offset")</f>
        <v>Offset</v>
      </c>
      <c r="Q1132" s="49" t="str">
        <f>IFERROR(__xludf.DUMMYFUNCTION("""COMPUTED_VALUE"""),"Packaging")</f>
        <v>Packaging</v>
      </c>
      <c r="R1132" s="49" t="str">
        <f>IFERROR(__xludf.DUMMYFUNCTION("""COMPUTED_VALUE"""),"Food")</f>
        <v>Food</v>
      </c>
    </row>
    <row r="1133">
      <c r="A1133" s="156" t="str">
        <f>IFERROR(__xludf.DUMMYFUNCTION("""COMPUTED_VALUE"""),"https://drive.google.com/open?id=1UXq4aYbOvZBtHFfL1uV-0Y9CRhvlg0lM&amp;authuser=jay.agg%40gmail.com&amp;usp=drive_fs")</f>
        <v>https://drive.google.com/open?id=1UXq4aYbOvZBtHFfL1uV-0Y9CRhvlg0lM&amp;authuser=jay.agg%40gmail.com&amp;usp=drive_fs</v>
      </c>
      <c r="B1133" s="73" t="str">
        <f>IFERROR(__xludf.DUMMYFUNCTION("""COMPUTED_VALUE"""),"Food")</f>
        <v>Food</v>
      </c>
      <c r="C1133" s="73" t="str">
        <f>IFERROR(__xludf.DUMMYFUNCTION("""COMPUTED_VALUE"""),"Chocolate")</f>
        <v>Chocolate</v>
      </c>
      <c r="D1133" s="73" t="str">
        <f>IFERROR(__xludf.DUMMYFUNCTION("""COMPUTED_VALUE"""),"Sleeve 335*185*35 mm | 13.2*7.3*1.4 inch")</f>
        <v>Sleeve 335*185*35 mm | 13.2*7.3*1.4 inch</v>
      </c>
      <c r="E1133" s="77">
        <f>IFERROR(__xludf.DUMMYFUNCTION("""COMPUTED_VALUE"""),2.0)</f>
        <v>2</v>
      </c>
      <c r="F1133" s="77">
        <f>IFERROR(__xludf.DUMMYFUNCTION("""COMPUTED_VALUE"""),2029.0)</f>
        <v>2029</v>
      </c>
      <c r="G1133" s="77">
        <f>IFERROR(__xludf.DUMMYFUNCTION("""COMPUTED_VALUE"""),20.0)</f>
        <v>20</v>
      </c>
      <c r="H1133" s="77">
        <f>IFERROR(__xludf.DUMMYFUNCTION("""COMPUTED_VALUE"""),28.0)</f>
        <v>28</v>
      </c>
      <c r="I1133" s="77">
        <f>IFERROR(__xludf.DUMMYFUNCTION("""COMPUTED_VALUE"""),100.0)</f>
        <v>100</v>
      </c>
      <c r="J1133" s="73"/>
      <c r="K1133" s="73"/>
      <c r="L1133" s="73">
        <f>IFERROR(__xludf.DUMMYFUNCTION("""COMPUTED_VALUE"""),2.75)</f>
        <v>2.75</v>
      </c>
      <c r="M1133" s="77">
        <f>IFERROR(__xludf.DUMMYFUNCTION("""COMPUTED_VALUE"""),0.5)</f>
        <v>0.5</v>
      </c>
      <c r="N1133" s="77">
        <f>IFERROR(__xludf.DUMMYFUNCTION("""COMPUTED_VALUE"""),1.0)</f>
        <v>1</v>
      </c>
      <c r="O1133" s="49"/>
      <c r="P1133" s="49" t="str">
        <f>IFERROR(__xludf.DUMMYFUNCTION("""COMPUTED_VALUE"""),"Offset")</f>
        <v>Offset</v>
      </c>
      <c r="Q1133" s="49" t="str">
        <f>IFERROR(__xludf.DUMMYFUNCTION("""COMPUTED_VALUE"""),"Packaging")</f>
        <v>Packaging</v>
      </c>
      <c r="R1133" s="49" t="str">
        <f>IFERROR(__xludf.DUMMYFUNCTION("""COMPUTED_VALUE"""),"Food")</f>
        <v>Food</v>
      </c>
    </row>
    <row r="1134">
      <c r="A1134" s="156" t="str">
        <f>IFERROR(__xludf.DUMMYFUNCTION("""COMPUTED_VALUE"""),"https://drive.google.com/open?id=11ufCv9M6ujNVks21kFmWgNRtFiYJJKWp&amp;authuser=jay.agg%40gmail.com&amp;usp=drive_fs")</f>
        <v>https://drive.google.com/open?id=11ufCv9M6ujNVks21kFmWgNRtFiYJJKWp&amp;authuser=jay.agg%40gmail.com&amp;usp=drive_fs</v>
      </c>
      <c r="B1134" s="73" t="str">
        <f>IFERROR(__xludf.DUMMYFUNCTION("""COMPUTED_VALUE"""),"Food")</f>
        <v>Food</v>
      </c>
      <c r="C1134" s="73" t="str">
        <f>IFERROR(__xludf.DUMMYFUNCTION("""COMPUTED_VALUE"""),"Cerelac")</f>
        <v>Cerelac</v>
      </c>
      <c r="D1134" s="73" t="str">
        <f>IFERROR(__xludf.DUMMYFUNCTION("""COMPUTED_VALUE"""),"155*45*190 mm | 6.1*1.8*7.5 inch")</f>
        <v>155*45*190 mm | 6.1*1.8*7.5 inch</v>
      </c>
      <c r="E1134" s="77">
        <f>IFERROR(__xludf.DUMMYFUNCTION("""COMPUTED_VALUE"""),2.0)</f>
        <v>2</v>
      </c>
      <c r="F1134" s="77">
        <f>IFERROR(__xludf.DUMMYFUNCTION("""COMPUTED_VALUE"""),2029.0)</f>
        <v>2029</v>
      </c>
      <c r="G1134" s="77">
        <f>IFERROR(__xludf.DUMMYFUNCTION("""COMPUTED_VALUE"""),18.0)</f>
        <v>18</v>
      </c>
      <c r="H1134" s="77">
        <f>IFERROR(__xludf.DUMMYFUNCTION("""COMPUTED_VALUE"""),23.0)</f>
        <v>23</v>
      </c>
      <c r="I1134" s="77">
        <f>IFERROR(__xludf.DUMMYFUNCTION("""COMPUTED_VALUE"""),100.0)</f>
        <v>100</v>
      </c>
      <c r="J1134" s="73"/>
      <c r="K1134" s="73"/>
      <c r="L1134" s="73"/>
      <c r="M1134" s="77">
        <f>IFERROR(__xludf.DUMMYFUNCTION("""COMPUTED_VALUE"""),0.1)</f>
        <v>0.1</v>
      </c>
      <c r="N1134" s="77">
        <f>IFERROR(__xludf.DUMMYFUNCTION("""COMPUTED_VALUE"""),1.0)</f>
        <v>1</v>
      </c>
      <c r="O1134" s="49"/>
      <c r="P1134" s="49" t="str">
        <f>IFERROR(__xludf.DUMMYFUNCTION("""COMPUTED_VALUE"""),"Offset")</f>
        <v>Offset</v>
      </c>
      <c r="Q1134" s="49" t="str">
        <f>IFERROR(__xludf.DUMMYFUNCTION("""COMPUTED_VALUE"""),"Packaging")</f>
        <v>Packaging</v>
      </c>
      <c r="R1134" s="49" t="str">
        <f>IFERROR(__xludf.DUMMYFUNCTION("""COMPUTED_VALUE"""),"Food")</f>
        <v>Food</v>
      </c>
    </row>
    <row r="1135">
      <c r="A1135" s="156" t="str">
        <f>IFERROR(__xludf.DUMMYFUNCTION("""COMPUTED_VALUE"""),"https://drive.google.com/open?id=1Us1ElEj4PonyN7j71xJf_f61UC8csGlv&amp;authuser=jay.agg%40gmail.com&amp;usp=drive_fs")</f>
        <v>https://drive.google.com/open?id=1Us1ElEj4PonyN7j71xJf_f61UC8csGlv&amp;authuser=jay.agg%40gmail.com&amp;usp=drive_fs</v>
      </c>
      <c r="B1135" s="73" t="str">
        <f>IFERROR(__xludf.DUMMYFUNCTION("""COMPUTED_VALUE"""),"Food")</f>
        <v>Food</v>
      </c>
      <c r="C1135" s="73" t="str">
        <f>IFERROR(__xludf.DUMMYFUNCTION("""COMPUTED_VALUE"""),"Chocolate")</f>
        <v>Chocolate</v>
      </c>
      <c r="D1135" s="73" t="str">
        <f>IFERROR(__xludf.DUMMYFUNCTION("""COMPUTED_VALUE"""),"Tray 335*185*35 mm | 13.2*7.3*1.4 inch")</f>
        <v>Tray 335*185*35 mm | 13.2*7.3*1.4 inch</v>
      </c>
      <c r="E1135" s="77">
        <f>IFERROR(__xludf.DUMMYFUNCTION("""COMPUTED_VALUE"""),1.0)</f>
        <v>1</v>
      </c>
      <c r="F1135" s="77">
        <f>IFERROR(__xludf.DUMMYFUNCTION("""COMPUTED_VALUE"""),2029.0)</f>
        <v>2029</v>
      </c>
      <c r="G1135" s="77">
        <f>IFERROR(__xludf.DUMMYFUNCTION("""COMPUTED_VALUE"""),20.0)</f>
        <v>20</v>
      </c>
      <c r="H1135" s="77">
        <f>IFERROR(__xludf.DUMMYFUNCTION("""COMPUTED_VALUE"""),28.0)</f>
        <v>28</v>
      </c>
      <c r="I1135" s="77">
        <f>IFERROR(__xludf.DUMMYFUNCTION("""COMPUTED_VALUE"""),100.0)</f>
        <v>100</v>
      </c>
      <c r="J1135" s="73"/>
      <c r="K1135" s="73"/>
      <c r="L1135" s="73"/>
      <c r="M1135" s="77"/>
      <c r="N1135" s="77">
        <f>IFERROR(__xludf.DUMMYFUNCTION("""COMPUTED_VALUE"""),1.0)</f>
        <v>1</v>
      </c>
      <c r="O1135" s="49"/>
      <c r="P1135" s="49" t="str">
        <f>IFERROR(__xludf.DUMMYFUNCTION("""COMPUTED_VALUE"""),"Offset")</f>
        <v>Offset</v>
      </c>
      <c r="Q1135" s="49" t="str">
        <f>IFERROR(__xludf.DUMMYFUNCTION("""COMPUTED_VALUE"""),"Packaging")</f>
        <v>Packaging</v>
      </c>
      <c r="R1135" s="49" t="str">
        <f>IFERROR(__xludf.DUMMYFUNCTION("""COMPUTED_VALUE"""),"Food")</f>
        <v>Food</v>
      </c>
    </row>
    <row r="1136">
      <c r="A1136" s="156" t="str">
        <f>IFERROR(__xludf.DUMMYFUNCTION("""COMPUTED_VALUE"""),"https://drive.google.com/open?id=11z7nb5UTvxnWAHYOT3zsexzEJQtwjMIf&amp;authuser=jay.agg%40gmail.com&amp;usp=drive_fs")</f>
        <v>https://drive.google.com/open?id=11z7nb5UTvxnWAHYOT3zsexzEJQtwjMIf&amp;authuser=jay.agg%40gmail.com&amp;usp=drive_fs</v>
      </c>
      <c r="B1136" s="73" t="str">
        <f>IFERROR(__xludf.DUMMYFUNCTION("""COMPUTED_VALUE"""),"Food")</f>
        <v>Food</v>
      </c>
      <c r="C1136" s="73" t="str">
        <f>IFERROR(__xludf.DUMMYFUNCTION("""COMPUTED_VALUE"""),"Cerelac")</f>
        <v>Cerelac</v>
      </c>
      <c r="D1136" s="73" t="str">
        <f>IFERROR(__xludf.DUMMYFUNCTION("""COMPUTED_VALUE"""),"160*35*200 mm | 6.3*1.4*7.9 inch")</f>
        <v>160*35*200 mm | 6.3*1.4*7.9 inch</v>
      </c>
      <c r="E1136" s="77">
        <f>IFERROR(__xludf.DUMMYFUNCTION("""COMPUTED_VALUE"""),2.0)</f>
        <v>2</v>
      </c>
      <c r="F1136" s="77">
        <f>IFERROR(__xludf.DUMMYFUNCTION("""COMPUTED_VALUE"""),1926.0)</f>
        <v>1926</v>
      </c>
      <c r="G1136" s="77">
        <f>IFERROR(__xludf.DUMMYFUNCTION("""COMPUTED_VALUE"""),18.0)</f>
        <v>18</v>
      </c>
      <c r="H1136" s="77">
        <f>IFERROR(__xludf.DUMMYFUNCTION("""COMPUTED_VALUE"""),23.0)</f>
        <v>23</v>
      </c>
      <c r="I1136" s="77">
        <f>IFERROR(__xludf.DUMMYFUNCTION("""COMPUTED_VALUE"""),100.0)</f>
        <v>100</v>
      </c>
      <c r="J1136" s="73"/>
      <c r="K1136" s="73"/>
      <c r="L1136" s="73"/>
      <c r="M1136" s="77">
        <f>IFERROR(__xludf.DUMMYFUNCTION("""COMPUTED_VALUE"""),0.1)</f>
        <v>0.1</v>
      </c>
      <c r="N1136" s="77">
        <f>IFERROR(__xludf.DUMMYFUNCTION("""COMPUTED_VALUE"""),1.0)</f>
        <v>1</v>
      </c>
      <c r="O1136" s="49"/>
      <c r="P1136" s="49" t="str">
        <f>IFERROR(__xludf.DUMMYFUNCTION("""COMPUTED_VALUE"""),"Offset")</f>
        <v>Offset</v>
      </c>
      <c r="Q1136" s="49" t="str">
        <f>IFERROR(__xludf.DUMMYFUNCTION("""COMPUTED_VALUE"""),"Packaging")</f>
        <v>Packaging</v>
      </c>
      <c r="R1136" s="49" t="str">
        <f>IFERROR(__xludf.DUMMYFUNCTION("""COMPUTED_VALUE"""),"Food")</f>
        <v>Food</v>
      </c>
    </row>
    <row r="1137">
      <c r="A1137" s="156" t="str">
        <f>IFERROR(__xludf.DUMMYFUNCTION("""COMPUTED_VALUE"""),"https://drive.google.com/open?id=1VMl9jjOG0y0CEXPVIbbJYqnllpYngwd5&amp;authuser=jay.agg%40gmail.com&amp;usp=drive_fs")</f>
        <v>https://drive.google.com/open?id=1VMl9jjOG0y0CEXPVIbbJYqnllpYngwd5&amp;authuser=jay.agg%40gmail.com&amp;usp=drive_fs</v>
      </c>
      <c r="B1137" s="73" t="str">
        <f>IFERROR(__xludf.DUMMYFUNCTION("""COMPUTED_VALUE"""),"Food")</f>
        <v>Food</v>
      </c>
      <c r="C1137" s="73" t="str">
        <f>IFERROR(__xludf.DUMMYFUNCTION("""COMPUTED_VALUE"""),"Dates")</f>
        <v>Dates</v>
      </c>
      <c r="D1137" s="73" t="str">
        <f>IFERROR(__xludf.DUMMYFUNCTION("""COMPUTED_VALUE"""),"80*58*200 mm | 3.1*2.3*7.9 inch LB")</f>
        <v>80*58*200 mm | 3.1*2.3*7.9 inch LB</v>
      </c>
      <c r="E1137" s="77">
        <f>IFERROR(__xludf.DUMMYFUNCTION("""COMPUTED_VALUE"""),2.0)</f>
        <v>2</v>
      </c>
      <c r="F1137" s="77">
        <f>IFERROR(__xludf.DUMMYFUNCTION("""COMPUTED_VALUE"""),1926.0)</f>
        <v>1926</v>
      </c>
      <c r="G1137" s="77">
        <f>IFERROR(__xludf.DUMMYFUNCTION("""COMPUTED_VALUE"""),13.0)</f>
        <v>13</v>
      </c>
      <c r="H1137" s="77">
        <f>IFERROR(__xludf.DUMMYFUNCTION("""COMPUTED_VALUE"""),23.0)</f>
        <v>23</v>
      </c>
      <c r="I1137" s="77">
        <f>IFERROR(__xludf.DUMMYFUNCTION("""COMPUTED_VALUE"""),100.0)</f>
        <v>100</v>
      </c>
      <c r="J1137" s="73"/>
      <c r="K1137" s="73"/>
      <c r="L1137" s="73">
        <f>IFERROR(__xludf.DUMMYFUNCTION("""COMPUTED_VALUE"""),2.4)</f>
        <v>2.4</v>
      </c>
      <c r="M1137" s="77">
        <f>IFERROR(__xludf.DUMMYFUNCTION("""COMPUTED_VALUE"""),0.24)</f>
        <v>0.24</v>
      </c>
      <c r="N1137" s="77">
        <f>IFERROR(__xludf.DUMMYFUNCTION("""COMPUTED_VALUE"""),1.0)</f>
        <v>1</v>
      </c>
      <c r="O1137" s="49"/>
      <c r="P1137" s="49" t="str">
        <f>IFERROR(__xludf.DUMMYFUNCTION("""COMPUTED_VALUE"""),"Offset")</f>
        <v>Offset</v>
      </c>
      <c r="Q1137" s="49" t="str">
        <f>IFERROR(__xludf.DUMMYFUNCTION("""COMPUTED_VALUE"""),"Packaging")</f>
        <v>Packaging</v>
      </c>
      <c r="R1137" s="49" t="str">
        <f>IFERROR(__xludf.DUMMYFUNCTION("""COMPUTED_VALUE"""),"Food")</f>
        <v>Food</v>
      </c>
    </row>
    <row r="1138">
      <c r="A1138" s="156" t="str">
        <f>IFERROR(__xludf.DUMMYFUNCTION("""COMPUTED_VALUE"""),"https://drive.google.com/open?id=1VV6-_xXxlfUNALNcR6FpeQW3DbsiAdi4&amp;authuser=jay.agg%40gmail.com&amp;usp=drive_fs")</f>
        <v>https://drive.google.com/open?id=1VV6-_xXxlfUNALNcR6FpeQW3DbsiAdi4&amp;authuser=jay.agg%40gmail.com&amp;usp=drive_fs</v>
      </c>
      <c r="B1138" s="73" t="str">
        <f>IFERROR(__xludf.DUMMYFUNCTION("""COMPUTED_VALUE"""),"Food")</f>
        <v>Food</v>
      </c>
      <c r="C1138" s="73" t="str">
        <f>IFERROR(__xludf.DUMMYFUNCTION("""COMPUTED_VALUE"""),"Pink Harvest")</f>
        <v>Pink Harvest</v>
      </c>
      <c r="D1138" s="73" t="str">
        <f>IFERROR(__xludf.DUMMYFUNCTION("""COMPUTED_VALUE"""),"130*52*180 mm | 5.1*2*7 inch IL")</f>
        <v>130*52*180 mm | 5.1*2*7 inch IL</v>
      </c>
      <c r="E1138" s="77">
        <f>IFERROR(__xludf.DUMMYFUNCTION("""COMPUTED_VALUE"""),2.0)</f>
        <v>2</v>
      </c>
      <c r="F1138" s="77">
        <f>IFERROR(__xludf.DUMMYFUNCTION("""COMPUTED_VALUE"""),1926.0)</f>
        <v>1926</v>
      </c>
      <c r="G1138" s="77">
        <f>IFERROR(__xludf.DUMMYFUNCTION("""COMPUTED_VALUE"""),18.0)</f>
        <v>18</v>
      </c>
      <c r="H1138" s="77">
        <f>IFERROR(__xludf.DUMMYFUNCTION("""COMPUTED_VALUE"""),23.0)</f>
        <v>23</v>
      </c>
      <c r="I1138" s="77">
        <f>IFERROR(__xludf.DUMMYFUNCTION("""COMPUTED_VALUE"""),100.0)</f>
        <v>100</v>
      </c>
      <c r="J1138" s="73"/>
      <c r="K1138" s="73"/>
      <c r="L1138" s="73"/>
      <c r="M1138" s="77">
        <f>IFERROR(__xludf.DUMMYFUNCTION("""COMPUTED_VALUE"""),0.1)</f>
        <v>0.1</v>
      </c>
      <c r="N1138" s="77">
        <f>IFERROR(__xludf.DUMMYFUNCTION("""COMPUTED_VALUE"""),1.0)</f>
        <v>1</v>
      </c>
      <c r="O1138" s="49"/>
      <c r="P1138" s="49" t="str">
        <f>IFERROR(__xludf.DUMMYFUNCTION("""COMPUTED_VALUE"""),"Offset")</f>
        <v>Offset</v>
      </c>
      <c r="Q1138" s="49" t="str">
        <f>IFERROR(__xludf.DUMMYFUNCTION("""COMPUTED_VALUE"""),"Packaging")</f>
        <v>Packaging</v>
      </c>
      <c r="R1138" s="49" t="str">
        <f>IFERROR(__xludf.DUMMYFUNCTION("""COMPUTED_VALUE"""),"Food")</f>
        <v>Food</v>
      </c>
    </row>
    <row r="1139">
      <c r="A1139" s="156" t="str">
        <f>IFERROR(__xludf.DUMMYFUNCTION("""COMPUTED_VALUE"""),"https://drive.google.com/open?id=12AbeDa6erfPhtfJ9kOKWsBpFapsdq6ND&amp;authuser=jay.agg%40gmail.com&amp;usp=drive_fs")</f>
        <v>https://drive.google.com/open?id=12AbeDa6erfPhtfJ9kOKWsBpFapsdq6ND&amp;authuser=jay.agg%40gmail.com&amp;usp=drive_fs</v>
      </c>
      <c r="B1139" s="73" t="str">
        <f>IFERROR(__xludf.DUMMYFUNCTION("""COMPUTED_VALUE"""),"Food")</f>
        <v>Food</v>
      </c>
      <c r="C1139" s="73" t="str">
        <f>IFERROR(__xludf.DUMMYFUNCTION("""COMPUTED_VALUE"""),"Dosa")</f>
        <v>Dosa</v>
      </c>
      <c r="D1139" s="73" t="str">
        <f>IFERROR(__xludf.DUMMYFUNCTION("""COMPUTED_VALUE"""),"305*89*76 mm | 12*3.5*3 inch")</f>
        <v>305*89*76 mm | 12*3.5*3 inch</v>
      </c>
      <c r="E1139" s="77">
        <f>IFERROR(__xludf.DUMMYFUNCTION("""COMPUTED_VALUE"""),2.0)</f>
        <v>2</v>
      </c>
      <c r="F1139" s="77">
        <f>IFERROR(__xludf.DUMMYFUNCTION("""COMPUTED_VALUE"""),2029.0)</f>
        <v>2029</v>
      </c>
      <c r="G1139" s="77">
        <f>IFERROR(__xludf.DUMMYFUNCTION("""COMPUTED_VALUE"""),20.0)</f>
        <v>20</v>
      </c>
      <c r="H1139" s="77">
        <f>IFERROR(__xludf.DUMMYFUNCTION("""COMPUTED_VALUE"""),28.0)</f>
        <v>28</v>
      </c>
      <c r="I1139" s="77">
        <f>IFERROR(__xludf.DUMMYFUNCTION("""COMPUTED_VALUE"""),100.0)</f>
        <v>100</v>
      </c>
      <c r="J1139" s="73"/>
      <c r="K1139" s="73"/>
      <c r="L1139" s="73"/>
      <c r="M1139" s="77"/>
      <c r="N1139" s="77">
        <f>IFERROR(__xludf.DUMMYFUNCTION("""COMPUTED_VALUE"""),1.0)</f>
        <v>1</v>
      </c>
      <c r="O1139" s="49"/>
      <c r="P1139" s="49" t="str">
        <f>IFERROR(__xludf.DUMMYFUNCTION("""COMPUTED_VALUE"""),"Offset")</f>
        <v>Offset</v>
      </c>
      <c r="Q1139" s="49" t="str">
        <f>IFERROR(__xludf.DUMMYFUNCTION("""COMPUTED_VALUE"""),"Packaging")</f>
        <v>Packaging</v>
      </c>
      <c r="R1139" s="49" t="str">
        <f>IFERROR(__xludf.DUMMYFUNCTION("""COMPUTED_VALUE"""),"Food")</f>
        <v>Food</v>
      </c>
    </row>
    <row r="1140">
      <c r="A1140" s="156" t="str">
        <f>IFERROR(__xludf.DUMMYFUNCTION("""COMPUTED_VALUE"""),"https://drive.google.com/open?id=12AmYyGgvcGTgd6E6GsA7YzY0Cn0TbuoR&amp;authuser=jay.agg%40gmail.com&amp;usp=drive_fs")</f>
        <v>https://drive.google.com/open?id=12AmYyGgvcGTgd6E6GsA7YzY0Cn0TbuoR&amp;authuser=jay.agg%40gmail.com&amp;usp=drive_fs</v>
      </c>
      <c r="B1140" s="73" t="str">
        <f>IFERROR(__xludf.DUMMYFUNCTION("""COMPUTED_VALUE"""),"Food")</f>
        <v>Food</v>
      </c>
      <c r="C1140" s="73" t="str">
        <f>IFERROR(__xludf.DUMMYFUNCTION("""COMPUTED_VALUE"""),"Dosa")</f>
        <v>Dosa</v>
      </c>
      <c r="D1140" s="73" t="str">
        <f>IFERROR(__xludf.DUMMYFUNCTION("""COMPUTED_VALUE"""),"216*76*68 mm | 8.5*2.7*3 inch")</f>
        <v>216*76*68 mm | 8.5*2.7*3 inch</v>
      </c>
      <c r="E1140" s="77">
        <f>IFERROR(__xludf.DUMMYFUNCTION("""COMPUTED_VALUE"""),2.0)</f>
        <v>2</v>
      </c>
      <c r="F1140" s="77">
        <f>IFERROR(__xludf.DUMMYFUNCTION("""COMPUTED_VALUE"""),1926.0)</f>
        <v>1926</v>
      </c>
      <c r="G1140" s="77">
        <f>IFERROR(__xludf.DUMMYFUNCTION("""COMPUTED_VALUE"""),15.0)</f>
        <v>15</v>
      </c>
      <c r="H1140" s="77">
        <f>IFERROR(__xludf.DUMMYFUNCTION("""COMPUTED_VALUE"""),25.0)</f>
        <v>25</v>
      </c>
      <c r="I1140" s="77">
        <f>IFERROR(__xludf.DUMMYFUNCTION("""COMPUTED_VALUE"""),100.0)</f>
        <v>100</v>
      </c>
      <c r="J1140" s="73"/>
      <c r="K1140" s="73"/>
      <c r="L1140" s="73"/>
      <c r="M1140" s="77"/>
      <c r="N1140" s="77">
        <f>IFERROR(__xludf.DUMMYFUNCTION("""COMPUTED_VALUE"""),1.0)</f>
        <v>1</v>
      </c>
      <c r="O1140" s="49"/>
      <c r="P1140" s="49" t="str">
        <f>IFERROR(__xludf.DUMMYFUNCTION("""COMPUTED_VALUE"""),"Offset")</f>
        <v>Offset</v>
      </c>
      <c r="Q1140" s="49" t="str">
        <f>IFERROR(__xludf.DUMMYFUNCTION("""COMPUTED_VALUE"""),"Packaging")</f>
        <v>Packaging</v>
      </c>
      <c r="R1140" s="49" t="str">
        <f>IFERROR(__xludf.DUMMYFUNCTION("""COMPUTED_VALUE"""),"Food")</f>
        <v>Food</v>
      </c>
    </row>
    <row r="1141">
      <c r="A1141" s="156" t="str">
        <f>IFERROR(__xludf.DUMMYFUNCTION("""COMPUTED_VALUE"""),"https://drive.google.com/open?id=1WtkhXZajw8MnRT7b89jNmX4llkq0a5Rl&amp;authuser=jay.agg%40gmail.com&amp;usp=drive_fs")</f>
        <v>https://drive.google.com/open?id=1WtkhXZajw8MnRT7b89jNmX4llkq0a5Rl&amp;authuser=jay.agg%40gmail.com&amp;usp=drive_fs</v>
      </c>
      <c r="B1141" s="73" t="str">
        <f>IFERROR(__xludf.DUMMYFUNCTION("""COMPUTED_VALUE"""),"Food")</f>
        <v>Food</v>
      </c>
      <c r="C1141" s="73" t="str">
        <f>IFERROR(__xludf.DUMMYFUNCTION("""COMPUTED_VALUE"""),"Dates")</f>
        <v>Dates</v>
      </c>
      <c r="D1141" s="73" t="str">
        <f>IFERROR(__xludf.DUMMYFUNCTION("""COMPUTED_VALUE"""),"158*58*254 mm | 6.2*2.3*10 inch LB")</f>
        <v>158*58*254 mm | 6.2*2.3*10 inch LB</v>
      </c>
      <c r="E1141" s="77">
        <f>IFERROR(__xludf.DUMMYFUNCTION("""COMPUTED_VALUE"""),1.0)</f>
        <v>1</v>
      </c>
      <c r="F1141" s="77">
        <f>IFERROR(__xludf.DUMMYFUNCTION("""COMPUTED_VALUE"""),1926.0)</f>
        <v>1926</v>
      </c>
      <c r="G1141" s="77">
        <f>IFERROR(__xludf.DUMMYFUNCTION("""COMPUTED_VALUE"""),15.75)</f>
        <v>15.75</v>
      </c>
      <c r="H1141" s="77">
        <f>IFERROR(__xludf.DUMMYFUNCTION("""COMPUTED_VALUE"""),20.75)</f>
        <v>20.75</v>
      </c>
      <c r="I1141" s="77">
        <f>IFERROR(__xludf.DUMMYFUNCTION("""COMPUTED_VALUE"""),100.0)</f>
        <v>100</v>
      </c>
      <c r="J1141" s="73"/>
      <c r="K1141" s="73"/>
      <c r="L1141" s="73">
        <f>IFERROR(__xludf.DUMMYFUNCTION("""COMPUTED_VALUE"""),2.4)</f>
        <v>2.4</v>
      </c>
      <c r="M1141" s="77">
        <f>IFERROR(__xludf.DUMMYFUNCTION("""COMPUTED_VALUE"""),0.24)</f>
        <v>0.24</v>
      </c>
      <c r="N1141" s="77">
        <f>IFERROR(__xludf.DUMMYFUNCTION("""COMPUTED_VALUE"""),1.0)</f>
        <v>1</v>
      </c>
      <c r="O1141" s="49"/>
      <c r="P1141" s="49" t="str">
        <f>IFERROR(__xludf.DUMMYFUNCTION("""COMPUTED_VALUE"""),"Offset")</f>
        <v>Offset</v>
      </c>
      <c r="Q1141" s="49" t="str">
        <f>IFERROR(__xludf.DUMMYFUNCTION("""COMPUTED_VALUE"""),"Packaging")</f>
        <v>Packaging</v>
      </c>
      <c r="R1141" s="49" t="str">
        <f>IFERROR(__xludf.DUMMYFUNCTION("""COMPUTED_VALUE"""),"Food")</f>
        <v>Food</v>
      </c>
    </row>
    <row r="1142">
      <c r="A1142" s="156" t="str">
        <f>IFERROR(__xludf.DUMMYFUNCTION("""COMPUTED_VALUE"""),"https://drive.google.com/open?id=1Y-rhez72TWoWfZBDirF-IZVtMudYCA91&amp;authuser=jay.agg%40gmail.com&amp;usp=drive_fs")</f>
        <v>https://drive.google.com/open?id=1Y-rhez72TWoWfZBDirF-IZVtMudYCA91&amp;authuser=jay.agg%40gmail.com&amp;usp=drive_fs</v>
      </c>
      <c r="B1142" s="73" t="str">
        <f>IFERROR(__xludf.DUMMYFUNCTION("""COMPUTED_VALUE"""),"Food")</f>
        <v>Food</v>
      </c>
      <c r="C1142" s="73" t="str">
        <f>IFERROR(__xludf.DUMMYFUNCTION("""COMPUTED_VALUE"""),"Butter")</f>
        <v>Butter</v>
      </c>
      <c r="D1142" s="73" t="str">
        <f>IFERROR(__xludf.DUMMYFUNCTION("""COMPUTED_VALUE"""),"88*64*95 mm | 3.5*2.5*3.75 inch IL")</f>
        <v>88*64*95 mm | 3.5*2.5*3.75 inch IL</v>
      </c>
      <c r="E1142" s="77">
        <f>IFERROR(__xludf.DUMMYFUNCTION("""COMPUTED_VALUE"""),12.0)</f>
        <v>12</v>
      </c>
      <c r="F1142" s="77">
        <f>IFERROR(__xludf.DUMMYFUNCTION("""COMPUTED_VALUE"""),2840.0)</f>
        <v>2840</v>
      </c>
      <c r="G1142" s="77">
        <f>IFERROR(__xludf.DUMMYFUNCTION("""COMPUTED_VALUE"""),28.0)</f>
        <v>28</v>
      </c>
      <c r="H1142" s="77">
        <f>IFERROR(__xludf.DUMMYFUNCTION("""COMPUTED_VALUE"""),40.0)</f>
        <v>40</v>
      </c>
      <c r="I1142" s="77">
        <f>IFERROR(__xludf.DUMMYFUNCTION("""COMPUTED_VALUE"""),100.0)</f>
        <v>100</v>
      </c>
      <c r="J1142" s="73"/>
      <c r="K1142" s="73"/>
      <c r="L1142" s="73"/>
      <c r="M1142" s="77">
        <f>IFERROR(__xludf.DUMMYFUNCTION("""COMPUTED_VALUE"""),0.1)</f>
        <v>0.1</v>
      </c>
      <c r="N1142" s="77">
        <f>IFERROR(__xludf.DUMMYFUNCTION("""COMPUTED_VALUE"""),1.0)</f>
        <v>1</v>
      </c>
      <c r="O1142" s="49"/>
      <c r="P1142" s="49" t="str">
        <f>IFERROR(__xludf.DUMMYFUNCTION("""COMPUTED_VALUE"""),"Offset")</f>
        <v>Offset</v>
      </c>
      <c r="Q1142" s="49" t="str">
        <f>IFERROR(__xludf.DUMMYFUNCTION("""COMPUTED_VALUE"""),"Packaging")</f>
        <v>Packaging</v>
      </c>
      <c r="R1142" s="49" t="str">
        <f>IFERROR(__xludf.DUMMYFUNCTION("""COMPUTED_VALUE"""),"Food")</f>
        <v>Food</v>
      </c>
    </row>
    <row r="1143">
      <c r="A1143" s="156" t="str">
        <f>IFERROR(__xludf.DUMMYFUNCTION("""COMPUTED_VALUE"""),"https://drive.google.com/open?id=1YO2XZhcwTKKHcGDJ7IJJr_usHDUwe1ys&amp;authuser=jay.agg%40gmail.com&amp;usp=drive_fs")</f>
        <v>https://drive.google.com/open?id=1YO2XZhcwTKKHcGDJ7IJJr_usHDUwe1ys&amp;authuser=jay.agg%40gmail.com&amp;usp=drive_fs</v>
      </c>
      <c r="B1143" s="73" t="str">
        <f>IFERROR(__xludf.DUMMYFUNCTION("""COMPUTED_VALUE"""),"Food")</f>
        <v>Food</v>
      </c>
      <c r="C1143" s="73" t="str">
        <f>IFERROR(__xludf.DUMMYFUNCTION("""COMPUTED_VALUE"""),"Misc")</f>
        <v>Misc</v>
      </c>
      <c r="D1143" s="73" t="str">
        <f>IFERROR(__xludf.DUMMYFUNCTION("""COMPUTED_VALUE"""),"140*25*180 mm | 5.5*1*7 inch")</f>
        <v>140*25*180 mm | 5.5*1*7 inch</v>
      </c>
      <c r="E1143" s="77">
        <f>IFERROR(__xludf.DUMMYFUNCTION("""COMPUTED_VALUE"""),4.0)</f>
        <v>4</v>
      </c>
      <c r="F1143" s="77">
        <f>IFERROR(__xludf.DUMMYFUNCTION("""COMPUTED_VALUE"""),2029.0)</f>
        <v>2029</v>
      </c>
      <c r="G1143" s="77">
        <f>IFERROR(__xludf.DUMMYFUNCTION("""COMPUTED_VALUE"""),20.0)</f>
        <v>20</v>
      </c>
      <c r="H1143" s="77">
        <f>IFERROR(__xludf.DUMMYFUNCTION("""COMPUTED_VALUE"""),28.0)</f>
        <v>28</v>
      </c>
      <c r="I1143" s="77">
        <f>IFERROR(__xludf.DUMMYFUNCTION("""COMPUTED_VALUE"""),100.0)</f>
        <v>100</v>
      </c>
      <c r="J1143" s="73"/>
      <c r="K1143" s="73"/>
      <c r="L1143" s="73"/>
      <c r="M1143" s="77">
        <f>IFERROR(__xludf.DUMMYFUNCTION("""COMPUTED_VALUE"""),0.1)</f>
        <v>0.1</v>
      </c>
      <c r="N1143" s="77">
        <f>IFERROR(__xludf.DUMMYFUNCTION("""COMPUTED_VALUE"""),1.0)</f>
        <v>1</v>
      </c>
      <c r="O1143" s="49"/>
      <c r="P1143" s="49" t="str">
        <f>IFERROR(__xludf.DUMMYFUNCTION("""COMPUTED_VALUE"""),"Offset")</f>
        <v>Offset</v>
      </c>
      <c r="Q1143" s="49" t="str">
        <f>IFERROR(__xludf.DUMMYFUNCTION("""COMPUTED_VALUE"""),"Packaging")</f>
        <v>Packaging</v>
      </c>
      <c r="R1143" s="49" t="str">
        <f>IFERROR(__xludf.DUMMYFUNCTION("""COMPUTED_VALUE"""),"Food")</f>
        <v>Food</v>
      </c>
    </row>
    <row r="1144">
      <c r="A1144" s="156" t="str">
        <f>IFERROR(__xludf.DUMMYFUNCTION("""COMPUTED_VALUE"""),"https://drive.google.com/open?id=1YRjWSq0GBSuWENEWOH_TB2uYNJg-tnLj&amp;authuser=jay.agg%40gmail.com&amp;usp=drive_fs")</f>
        <v>https://drive.google.com/open?id=1YRjWSq0GBSuWENEWOH_TB2uYNJg-tnLj&amp;authuser=jay.agg%40gmail.com&amp;usp=drive_fs</v>
      </c>
      <c r="B1144" s="73" t="str">
        <f>IFERROR(__xludf.DUMMYFUNCTION("""COMPUTED_VALUE"""),"Food")</f>
        <v>Food</v>
      </c>
      <c r="C1144" s="73" t="str">
        <f>IFERROR(__xludf.DUMMYFUNCTION("""COMPUTED_VALUE"""),"Creme")</f>
        <v>Creme</v>
      </c>
      <c r="D1144" s="73" t="str">
        <f>IFERROR(__xludf.DUMMYFUNCTION("""COMPUTED_VALUE"""),"100*70*203 mm | 4*2.75*8 inch IL | 24*15")</f>
        <v>100*70*203 mm | 4*2.75*8 inch IL | 24*15</v>
      </c>
      <c r="E1144" s="77">
        <f>IFERROR(__xludf.DUMMYFUNCTION("""COMPUTED_VALUE"""),2.0)</f>
        <v>2</v>
      </c>
      <c r="F1144" s="77">
        <f>IFERROR(__xludf.DUMMYFUNCTION("""COMPUTED_VALUE"""),1926.0)</f>
        <v>1926</v>
      </c>
      <c r="G1144" s="77">
        <f>IFERROR(__xludf.DUMMYFUNCTION("""COMPUTED_VALUE"""),15.0)</f>
        <v>15</v>
      </c>
      <c r="H1144" s="77">
        <f>IFERROR(__xludf.DUMMYFUNCTION("""COMPUTED_VALUE"""),25.0)</f>
        <v>25</v>
      </c>
      <c r="I1144" s="77">
        <f>IFERROR(__xludf.DUMMYFUNCTION("""COMPUTED_VALUE"""),100.0)</f>
        <v>100</v>
      </c>
      <c r="J1144" s="73"/>
      <c r="K1144" s="73"/>
      <c r="L1144" s="73"/>
      <c r="M1144" s="77">
        <f>IFERROR(__xludf.DUMMYFUNCTION("""COMPUTED_VALUE"""),0.1)</f>
        <v>0.1</v>
      </c>
      <c r="N1144" s="77">
        <f>IFERROR(__xludf.DUMMYFUNCTION("""COMPUTED_VALUE"""),1.0)</f>
        <v>1</v>
      </c>
      <c r="O1144" s="49"/>
      <c r="P1144" s="49" t="str">
        <f>IFERROR(__xludf.DUMMYFUNCTION("""COMPUTED_VALUE"""),"Offset")</f>
        <v>Offset</v>
      </c>
      <c r="Q1144" s="49" t="str">
        <f>IFERROR(__xludf.DUMMYFUNCTION("""COMPUTED_VALUE"""),"Packaging")</f>
        <v>Packaging</v>
      </c>
      <c r="R1144" s="49" t="str">
        <f>IFERROR(__xludf.DUMMYFUNCTION("""COMPUTED_VALUE"""),"Food")</f>
        <v>Food</v>
      </c>
    </row>
    <row r="1145">
      <c r="A1145" s="156" t="str">
        <f>IFERROR(__xludf.DUMMYFUNCTION("""COMPUTED_VALUE"""),"https://drive.google.com/open?id=16VbhqNAZCEmxcSqUdLZMo8kJ07F4D0dx&amp;authuser=jay.agg%40gmail.com&amp;usp=drive_fs")</f>
        <v>https://drive.google.com/open?id=16VbhqNAZCEmxcSqUdLZMo8kJ07F4D0dx&amp;authuser=jay.agg%40gmail.com&amp;usp=drive_fs</v>
      </c>
      <c r="B1145" s="73" t="str">
        <f>IFERROR(__xludf.DUMMYFUNCTION("""COMPUTED_VALUE"""),"Food")</f>
        <v>Food</v>
      </c>
      <c r="C1145" s="73" t="str">
        <f>IFERROR(__xludf.DUMMYFUNCTION("""COMPUTED_VALUE"""),"Misc")</f>
        <v>Misc</v>
      </c>
      <c r="D1145" s="73" t="str">
        <f>IFERROR(__xludf.DUMMYFUNCTION("""COMPUTED_VALUE"""),"170*50*240 mm | 6.7*2*9.5 inch")</f>
        <v>170*50*240 mm | 6.7*2*9.5 inch</v>
      </c>
      <c r="E1145" s="77">
        <f>IFERROR(__xludf.DUMMYFUNCTION("""COMPUTED_VALUE"""),2.0)</f>
        <v>2</v>
      </c>
      <c r="F1145" s="77">
        <f>IFERROR(__xludf.DUMMYFUNCTION("""COMPUTED_VALUE"""),2029.0)</f>
        <v>2029</v>
      </c>
      <c r="G1145" s="77">
        <f>IFERROR(__xludf.DUMMYFUNCTION("""COMPUTED_VALUE"""),19.0)</f>
        <v>19</v>
      </c>
      <c r="H1145" s="77">
        <f>IFERROR(__xludf.DUMMYFUNCTION("""COMPUTED_VALUE"""),26.0)</f>
        <v>26</v>
      </c>
      <c r="I1145" s="77">
        <f>IFERROR(__xludf.DUMMYFUNCTION("""COMPUTED_VALUE"""),100.0)</f>
        <v>100</v>
      </c>
      <c r="J1145" s="73"/>
      <c r="K1145" s="73"/>
      <c r="L1145" s="73"/>
      <c r="M1145" s="77">
        <f>IFERROR(__xludf.DUMMYFUNCTION("""COMPUTED_VALUE"""),0.1)</f>
        <v>0.1</v>
      </c>
      <c r="N1145" s="77">
        <f>IFERROR(__xludf.DUMMYFUNCTION("""COMPUTED_VALUE"""),1.0)</f>
        <v>1</v>
      </c>
      <c r="O1145" s="49"/>
      <c r="P1145" s="49" t="str">
        <f>IFERROR(__xludf.DUMMYFUNCTION("""COMPUTED_VALUE"""),"Offset")</f>
        <v>Offset</v>
      </c>
      <c r="Q1145" s="49" t="str">
        <f>IFERROR(__xludf.DUMMYFUNCTION("""COMPUTED_VALUE"""),"Packaging")</f>
        <v>Packaging</v>
      </c>
      <c r="R1145" s="49" t="str">
        <f>IFERROR(__xludf.DUMMYFUNCTION("""COMPUTED_VALUE"""),"Food")</f>
        <v>Food</v>
      </c>
    </row>
    <row r="1146">
      <c r="A1146" s="156" t="str">
        <f>IFERROR(__xludf.DUMMYFUNCTION("""COMPUTED_VALUE"""),"https://drive.google.com/open?id=178ZR2LM7Wd0FhqR84Cx7gA2nv-UyQIf8&amp;authuser=jay.agg%40gmail.com&amp;usp=drive_fs")</f>
        <v>https://drive.google.com/open?id=178ZR2LM7Wd0FhqR84Cx7gA2nv-UyQIf8&amp;authuser=jay.agg%40gmail.com&amp;usp=drive_fs</v>
      </c>
      <c r="B1146" s="73" t="str">
        <f>IFERROR(__xludf.DUMMYFUNCTION("""COMPUTED_VALUE"""),"Food")</f>
        <v>Food</v>
      </c>
      <c r="C1146" s="73" t="str">
        <f>IFERROR(__xludf.DUMMYFUNCTION("""COMPUTED_VALUE"""),"Coffee")</f>
        <v>Coffee</v>
      </c>
      <c r="D1146" s="73" t="str">
        <f>IFERROR(__xludf.DUMMYFUNCTION("""COMPUTED_VALUE"""),"78*24*155 mm | 3*1*6.1 inch")</f>
        <v>78*24*155 mm | 3*1*6.1 inch</v>
      </c>
      <c r="E1146" s="77">
        <f>IFERROR(__xludf.DUMMYFUNCTION("""COMPUTED_VALUE"""),6.0)</f>
        <v>6</v>
      </c>
      <c r="F1146" s="77">
        <f>IFERROR(__xludf.DUMMYFUNCTION("""COMPUTED_VALUE"""),1926.0)</f>
        <v>1926</v>
      </c>
      <c r="G1146" s="77">
        <f>IFERROR(__xludf.DUMMYFUNCTION("""COMPUTED_VALUE"""),18.0)</f>
        <v>18</v>
      </c>
      <c r="H1146" s="77">
        <f>IFERROR(__xludf.DUMMYFUNCTION("""COMPUTED_VALUE"""),23.0)</f>
        <v>23</v>
      </c>
      <c r="I1146" s="77">
        <f>IFERROR(__xludf.DUMMYFUNCTION("""COMPUTED_VALUE"""),100.0)</f>
        <v>100</v>
      </c>
      <c r="J1146" s="73"/>
      <c r="K1146" s="73"/>
      <c r="L1146" s="73"/>
      <c r="M1146" s="77">
        <f>IFERROR(__xludf.DUMMYFUNCTION("""COMPUTED_VALUE"""),0.1)</f>
        <v>0.1</v>
      </c>
      <c r="N1146" s="77">
        <f>IFERROR(__xludf.DUMMYFUNCTION("""COMPUTED_VALUE"""),1.0)</f>
        <v>1</v>
      </c>
      <c r="O1146" s="49"/>
      <c r="P1146" s="49" t="str">
        <f>IFERROR(__xludf.DUMMYFUNCTION("""COMPUTED_VALUE"""),"Offset")</f>
        <v>Offset</v>
      </c>
      <c r="Q1146" s="49" t="str">
        <f>IFERROR(__xludf.DUMMYFUNCTION("""COMPUTED_VALUE"""),"Packaging")</f>
        <v>Packaging</v>
      </c>
      <c r="R1146" s="49" t="str">
        <f>IFERROR(__xludf.DUMMYFUNCTION("""COMPUTED_VALUE"""),"Food")</f>
        <v>Food</v>
      </c>
    </row>
    <row r="1147">
      <c r="A1147" s="156" t="str">
        <f>IFERROR(__xludf.DUMMYFUNCTION("""COMPUTED_VALUE"""),"https://drive.google.com/open?id=17BGlK5WNvxgl2D7j-sH5Y4C4eS5MVXcb&amp;authuser=jay.agg%40gmail.com&amp;usp=drive_fs")</f>
        <v>https://drive.google.com/open?id=17BGlK5WNvxgl2D7j-sH5Y4C4eS5MVXcb&amp;authuser=jay.agg%40gmail.com&amp;usp=drive_fs</v>
      </c>
      <c r="B1147" s="73" t="str">
        <f>IFERROR(__xludf.DUMMYFUNCTION("""COMPUTED_VALUE"""),"Food")</f>
        <v>Food</v>
      </c>
      <c r="C1147" s="73" t="str">
        <f>IFERROR(__xludf.DUMMYFUNCTION("""COMPUTED_VALUE"""),"Coffee")</f>
        <v>Coffee</v>
      </c>
      <c r="D1147" s="73" t="str">
        <f>IFERROR(__xludf.DUMMYFUNCTION("""COMPUTED_VALUE"""),"100*34*190 mm | 3.9*1.4*7.5 inch")</f>
        <v>100*34*190 mm | 3.9*1.4*7.5 inch</v>
      </c>
      <c r="E1147" s="77">
        <f>IFERROR(__xludf.DUMMYFUNCTION("""COMPUTED_VALUE"""),2.0)</f>
        <v>2</v>
      </c>
      <c r="F1147" s="77">
        <f>IFERROR(__xludf.DUMMYFUNCTION("""COMPUTED_VALUE"""),1926.0)</f>
        <v>1926</v>
      </c>
      <c r="G1147" s="77">
        <f>IFERROR(__xludf.DUMMYFUNCTION("""COMPUTED_VALUE"""),12.0)</f>
        <v>12</v>
      </c>
      <c r="H1147" s="77">
        <f>IFERROR(__xludf.DUMMYFUNCTION("""COMPUTED_VALUE"""),23.0)</f>
        <v>23</v>
      </c>
      <c r="I1147" s="77">
        <f>IFERROR(__xludf.DUMMYFUNCTION("""COMPUTED_VALUE"""),100.0)</f>
        <v>100</v>
      </c>
      <c r="J1147" s="73"/>
      <c r="K1147" s="73"/>
      <c r="L1147" s="73"/>
      <c r="M1147" s="77">
        <f>IFERROR(__xludf.DUMMYFUNCTION("""COMPUTED_VALUE"""),0.1)</f>
        <v>0.1</v>
      </c>
      <c r="N1147" s="77">
        <f>IFERROR(__xludf.DUMMYFUNCTION("""COMPUTED_VALUE"""),1.0)</f>
        <v>1</v>
      </c>
      <c r="O1147" s="49"/>
      <c r="P1147" s="49" t="str">
        <f>IFERROR(__xludf.DUMMYFUNCTION("""COMPUTED_VALUE"""),"Offset")</f>
        <v>Offset</v>
      </c>
      <c r="Q1147" s="49" t="str">
        <f>IFERROR(__xludf.DUMMYFUNCTION("""COMPUTED_VALUE"""),"Packaging")</f>
        <v>Packaging</v>
      </c>
      <c r="R1147" s="49" t="str">
        <f>IFERROR(__xludf.DUMMYFUNCTION("""COMPUTED_VALUE"""),"Food")</f>
        <v>Food</v>
      </c>
    </row>
    <row r="1148">
      <c r="A1148" s="156" t="str">
        <f>IFERROR(__xludf.DUMMYFUNCTION("""COMPUTED_VALUE"""),"https://drive.google.com/open?id=17DOlrTtJpAnMh9wurUpiomk0CBIXkTQ3&amp;authuser=jay.agg%40gmail.com&amp;usp=drive_fs")</f>
        <v>https://drive.google.com/open?id=17DOlrTtJpAnMh9wurUpiomk0CBIXkTQ3&amp;authuser=jay.agg%40gmail.com&amp;usp=drive_fs</v>
      </c>
      <c r="B1148" s="73" t="str">
        <f>IFERROR(__xludf.DUMMYFUNCTION("""COMPUTED_VALUE"""),"Food")</f>
        <v>Food</v>
      </c>
      <c r="C1148" s="73" t="str">
        <f>IFERROR(__xludf.DUMMYFUNCTION("""COMPUTED_VALUE"""),"Coffee")</f>
        <v>Coffee</v>
      </c>
      <c r="D1148" s="73" t="str">
        <f>IFERROR(__xludf.DUMMYFUNCTION("""COMPUTED_VALUE"""),"100*64*235 mm | 4*2.5*9.25 inch")</f>
        <v>100*64*235 mm | 4*2.5*9.25 inch</v>
      </c>
      <c r="E1148" s="77">
        <f>IFERROR(__xludf.DUMMYFUNCTION("""COMPUTED_VALUE"""),2.0)</f>
        <v>2</v>
      </c>
      <c r="F1148" s="77">
        <f>IFERROR(__xludf.DUMMYFUNCTION("""COMPUTED_VALUE"""),2029.0)</f>
        <v>2029</v>
      </c>
      <c r="G1148" s="77">
        <f>IFERROR(__xludf.DUMMYFUNCTION("""COMPUTED_VALUE"""),20.0)</f>
        <v>20</v>
      </c>
      <c r="H1148" s="77">
        <f>IFERROR(__xludf.DUMMYFUNCTION("""COMPUTED_VALUE"""),28.0)</f>
        <v>28</v>
      </c>
      <c r="I1148" s="77">
        <f>IFERROR(__xludf.DUMMYFUNCTION("""COMPUTED_VALUE"""),100.0)</f>
        <v>100</v>
      </c>
      <c r="J1148" s="73"/>
      <c r="K1148" s="73"/>
      <c r="L1148" s="73"/>
      <c r="M1148" s="77">
        <f>IFERROR(__xludf.DUMMYFUNCTION("""COMPUTED_VALUE"""),0.1)</f>
        <v>0.1</v>
      </c>
      <c r="N1148" s="77">
        <f>IFERROR(__xludf.DUMMYFUNCTION("""COMPUTED_VALUE"""),1.0)</f>
        <v>1</v>
      </c>
      <c r="O1148" s="49"/>
      <c r="P1148" s="49" t="str">
        <f>IFERROR(__xludf.DUMMYFUNCTION("""COMPUTED_VALUE"""),"Offset")</f>
        <v>Offset</v>
      </c>
      <c r="Q1148" s="49" t="str">
        <f>IFERROR(__xludf.DUMMYFUNCTION("""COMPUTED_VALUE"""),"Packaging")</f>
        <v>Packaging</v>
      </c>
      <c r="R1148" s="49" t="str">
        <f>IFERROR(__xludf.DUMMYFUNCTION("""COMPUTED_VALUE"""),"Food")</f>
        <v>Food</v>
      </c>
    </row>
    <row r="1149">
      <c r="A1149" s="156" t="str">
        <f>IFERROR(__xludf.DUMMYFUNCTION("""COMPUTED_VALUE"""),"https://drive.google.com/open?id=1d4LH8thoMWnrJlwLXN7kuC9mMxrUBnkU&amp;authuser=jay.agg%40gmail.com&amp;usp=drive_fs")</f>
        <v>https://drive.google.com/open?id=1d4LH8thoMWnrJlwLXN7kuC9mMxrUBnkU&amp;authuser=jay.agg%40gmail.com&amp;usp=drive_fs</v>
      </c>
      <c r="B1149" s="73" t="str">
        <f>IFERROR(__xludf.DUMMYFUNCTION("""COMPUTED_VALUE"""),"Food")</f>
        <v>Food</v>
      </c>
      <c r="C1149" s="73" t="str">
        <f>IFERROR(__xludf.DUMMYFUNCTION("""COMPUTED_VALUE"""),"Misc")</f>
        <v>Misc</v>
      </c>
      <c r="D1149" s="73" t="str">
        <f>IFERROR(__xludf.DUMMYFUNCTION("""COMPUTED_VALUE"""),"148*80*175 mm | 5.8*3.1*6.9 inch")</f>
        <v>148*80*175 mm | 5.8*3.1*6.9 inch</v>
      </c>
      <c r="E1149" s="77">
        <f>IFERROR(__xludf.DUMMYFUNCTION("""COMPUTED_VALUE"""),2.0)</f>
        <v>2</v>
      </c>
      <c r="F1149" s="77">
        <f>IFERROR(__xludf.DUMMYFUNCTION("""COMPUTED_VALUE"""),1926.0)</f>
        <v>1926</v>
      </c>
      <c r="G1149" s="77">
        <f>IFERROR(__xludf.DUMMYFUNCTION("""COMPUTED_VALUE"""),19.0)</f>
        <v>19</v>
      </c>
      <c r="H1149" s="77">
        <f>IFERROR(__xludf.DUMMYFUNCTION("""COMPUTED_VALUE"""),26.0)</f>
        <v>26</v>
      </c>
      <c r="I1149" s="77">
        <f>IFERROR(__xludf.DUMMYFUNCTION("""COMPUTED_VALUE"""),100.0)</f>
        <v>100</v>
      </c>
      <c r="J1149" s="73"/>
      <c r="K1149" s="73"/>
      <c r="L1149" s="73"/>
      <c r="M1149" s="77">
        <f>IFERROR(__xludf.DUMMYFUNCTION("""COMPUTED_VALUE"""),0.1)</f>
        <v>0.1</v>
      </c>
      <c r="N1149" s="77">
        <f>IFERROR(__xludf.DUMMYFUNCTION("""COMPUTED_VALUE"""),1.0)</f>
        <v>1</v>
      </c>
      <c r="O1149" s="49"/>
      <c r="P1149" s="49" t="str">
        <f>IFERROR(__xludf.DUMMYFUNCTION("""COMPUTED_VALUE"""),"Offset")</f>
        <v>Offset</v>
      </c>
      <c r="Q1149" s="49" t="str">
        <f>IFERROR(__xludf.DUMMYFUNCTION("""COMPUTED_VALUE"""),"Packaging")</f>
        <v>Packaging</v>
      </c>
      <c r="R1149" s="49" t="str">
        <f>IFERROR(__xludf.DUMMYFUNCTION("""COMPUTED_VALUE"""),"Food")</f>
        <v>Food</v>
      </c>
    </row>
    <row r="1150">
      <c r="A1150" s="156" t="str">
        <f>IFERROR(__xludf.DUMMYFUNCTION("""COMPUTED_VALUE"""),"https://drive.google.com/open?id=1ekFCXf4uF2EOTPUCm-oziHk6Qedd-FgN&amp;authuser=jay.agg%40gmail.com&amp;usp=drive_fs")</f>
        <v>https://drive.google.com/open?id=1ekFCXf4uF2EOTPUCm-oziHk6Qedd-FgN&amp;authuser=jay.agg%40gmail.com&amp;usp=drive_fs</v>
      </c>
      <c r="B1150" s="73" t="str">
        <f>IFERROR(__xludf.DUMMYFUNCTION("""COMPUTED_VALUE"""),"Food")</f>
        <v>Food</v>
      </c>
      <c r="C1150" s="73" t="str">
        <f>IFERROR(__xludf.DUMMYFUNCTION("""COMPUTED_VALUE"""),"Dry Fruit")</f>
        <v>Dry Fruit</v>
      </c>
      <c r="D1150" s="73" t="str">
        <f>IFERROR(__xludf.DUMMYFUNCTION("""COMPUTED_VALUE"""),"110*48*152 mm | 4.3*1.9*6 inch IL")</f>
        <v>110*48*152 mm | 4.3*1.9*6 inch IL</v>
      </c>
      <c r="E1150" s="77">
        <f>IFERROR(__xludf.DUMMYFUNCTION("""COMPUTED_VALUE"""),4.0)</f>
        <v>4</v>
      </c>
      <c r="F1150" s="77">
        <f>IFERROR(__xludf.DUMMYFUNCTION("""COMPUTED_VALUE"""),2029.0)</f>
        <v>2029</v>
      </c>
      <c r="G1150" s="77">
        <f>IFERROR(__xludf.DUMMYFUNCTION("""COMPUTED_VALUE"""),19.0)</f>
        <v>19</v>
      </c>
      <c r="H1150" s="77">
        <f>IFERROR(__xludf.DUMMYFUNCTION("""COMPUTED_VALUE"""),26.0)</f>
        <v>26</v>
      </c>
      <c r="I1150" s="77">
        <f>IFERROR(__xludf.DUMMYFUNCTION("""COMPUTED_VALUE"""),100.0)</f>
        <v>100</v>
      </c>
      <c r="J1150" s="73"/>
      <c r="K1150" s="73"/>
      <c r="L1150" s="73"/>
      <c r="M1150" s="77">
        <f>IFERROR(__xludf.DUMMYFUNCTION("""COMPUTED_VALUE"""),0.1)</f>
        <v>0.1</v>
      </c>
      <c r="N1150" s="77">
        <f>IFERROR(__xludf.DUMMYFUNCTION("""COMPUTED_VALUE"""),1.0)</f>
        <v>1</v>
      </c>
      <c r="O1150" s="49"/>
      <c r="P1150" s="49" t="str">
        <f>IFERROR(__xludf.DUMMYFUNCTION("""COMPUTED_VALUE"""),"Offset")</f>
        <v>Offset</v>
      </c>
      <c r="Q1150" s="49" t="str">
        <f>IFERROR(__xludf.DUMMYFUNCTION("""COMPUTED_VALUE"""),"Packaging")</f>
        <v>Packaging</v>
      </c>
      <c r="R1150" s="49" t="str">
        <f>IFERROR(__xludf.DUMMYFUNCTION("""COMPUTED_VALUE"""),"Food")</f>
        <v>Food</v>
      </c>
    </row>
    <row r="1151">
      <c r="A1151" s="156" t="str">
        <f>IFERROR(__xludf.DUMMYFUNCTION("""COMPUTED_VALUE"""),"https://drive.google.com/open?id=1DahvWI_S0KPujPMDEft9OYzMQHr5bBC2&amp;authuser=jay.agg%40gmail.com&amp;usp=drive_fs")</f>
        <v>https://drive.google.com/open?id=1DahvWI_S0KPujPMDEft9OYzMQHr5bBC2&amp;authuser=jay.agg%40gmail.com&amp;usp=drive_fs</v>
      </c>
      <c r="B1151" s="73" t="str">
        <f>IFERROR(__xludf.DUMMYFUNCTION("""COMPUTED_VALUE"""),"Food")</f>
        <v>Food</v>
      </c>
      <c r="C1151" s="73" t="str">
        <f>IFERROR(__xludf.DUMMYFUNCTION("""COMPUTED_VALUE"""),"Ice Cream")</f>
        <v>Ice Cream</v>
      </c>
      <c r="D1151" s="73" t="str">
        <f>IFERROR(__xludf.DUMMYFUNCTION("""COMPUTED_VALUE"""),"35*35*130 mm | 1.4*1.4*5.1 inch")</f>
        <v>35*35*130 mm | 1.4*1.4*5.1 inch</v>
      </c>
      <c r="E1151" s="77">
        <f>IFERROR(__xludf.DUMMYFUNCTION("""COMPUTED_VALUE"""),8.0)</f>
        <v>8</v>
      </c>
      <c r="F1151" s="77">
        <f>IFERROR(__xludf.DUMMYFUNCTION("""COMPUTED_VALUE"""),1926.0)</f>
        <v>1926</v>
      </c>
      <c r="G1151" s="77">
        <f>IFERROR(__xludf.DUMMYFUNCTION("""COMPUTED_VALUE"""),18.0)</f>
        <v>18</v>
      </c>
      <c r="H1151" s="77">
        <f>IFERROR(__xludf.DUMMYFUNCTION("""COMPUTED_VALUE"""),25.0)</f>
        <v>25</v>
      </c>
      <c r="I1151" s="77">
        <f>IFERROR(__xludf.DUMMYFUNCTION("""COMPUTED_VALUE"""),100.0)</f>
        <v>100</v>
      </c>
      <c r="J1151" s="73"/>
      <c r="K1151" s="73"/>
      <c r="L1151" s="73"/>
      <c r="M1151" s="77">
        <f>IFERROR(__xludf.DUMMYFUNCTION("""COMPUTED_VALUE"""),0.1)</f>
        <v>0.1</v>
      </c>
      <c r="N1151" s="77">
        <f>IFERROR(__xludf.DUMMYFUNCTION("""COMPUTED_VALUE"""),1.0)</f>
        <v>1</v>
      </c>
      <c r="O1151" s="49"/>
      <c r="P1151" s="49" t="str">
        <f>IFERROR(__xludf.DUMMYFUNCTION("""COMPUTED_VALUE"""),"Offset")</f>
        <v>Offset</v>
      </c>
      <c r="Q1151" s="49" t="str">
        <f>IFERROR(__xludf.DUMMYFUNCTION("""COMPUTED_VALUE"""),"Packaging")</f>
        <v>Packaging</v>
      </c>
      <c r="R1151" s="49" t="str">
        <f>IFERROR(__xludf.DUMMYFUNCTION("""COMPUTED_VALUE"""),"Food")</f>
        <v>Food</v>
      </c>
    </row>
    <row r="1152">
      <c r="A1152" s="156" t="str">
        <f>IFERROR(__xludf.DUMMYFUNCTION("""COMPUTED_VALUE"""),"https://drive.google.com/open?id=1-LL_YnjOk-IwXLlRYhmC95bTW-RLah6x&amp;authuser=jay.agg%40gmail.com&amp;usp=drive_fs")</f>
        <v>https://drive.google.com/open?id=1-LL_YnjOk-IwXLlRYhmC95bTW-RLah6x&amp;authuser=jay.agg%40gmail.com&amp;usp=drive_fs</v>
      </c>
      <c r="B1152" s="73" t="str">
        <f>IFERROR(__xludf.DUMMYFUNCTION("""COMPUTED_VALUE"""),"Food")</f>
        <v>Food</v>
      </c>
      <c r="C1152" s="73" t="str">
        <f>IFERROR(__xludf.DUMMYFUNCTION("""COMPUTED_VALUE"""),"Cookies")</f>
        <v>Cookies</v>
      </c>
      <c r="D1152" s="73" t="str">
        <f>IFERROR(__xludf.DUMMYFUNCTION("""COMPUTED_VALUE"""),"200*150*55 mm | 5.9*2.1*7.9 inch")</f>
        <v>200*150*55 mm | 5.9*2.1*7.9 inch</v>
      </c>
      <c r="E1152" s="77">
        <f>IFERROR(__xludf.DUMMYFUNCTION("""COMPUTED_VALUE"""),2.0)</f>
        <v>2</v>
      </c>
      <c r="F1152" s="77">
        <f>IFERROR(__xludf.DUMMYFUNCTION("""COMPUTED_VALUE"""),1926.0)</f>
        <v>1926</v>
      </c>
      <c r="G1152" s="77">
        <f>IFERROR(__xludf.DUMMYFUNCTION("""COMPUTED_VALUE"""),18.0)</f>
        <v>18</v>
      </c>
      <c r="H1152" s="77">
        <f>IFERROR(__xludf.DUMMYFUNCTION("""COMPUTED_VALUE"""),25.0)</f>
        <v>25</v>
      </c>
      <c r="I1152" s="77">
        <f>IFERROR(__xludf.DUMMYFUNCTION("""COMPUTED_VALUE"""),100.0)</f>
        <v>100</v>
      </c>
      <c r="J1152" s="73"/>
      <c r="K1152" s="73"/>
      <c r="L1152" s="73"/>
      <c r="M1152" s="77">
        <f>IFERROR(__xludf.DUMMYFUNCTION("""COMPUTED_VALUE"""),0.1)</f>
        <v>0.1</v>
      </c>
      <c r="N1152" s="77">
        <f>IFERROR(__xludf.DUMMYFUNCTION("""COMPUTED_VALUE"""),1.0)</f>
        <v>1</v>
      </c>
      <c r="O1152" s="49"/>
      <c r="P1152" s="49" t="str">
        <f>IFERROR(__xludf.DUMMYFUNCTION("""COMPUTED_VALUE"""),"Offset")</f>
        <v>Offset</v>
      </c>
      <c r="Q1152" s="49" t="str">
        <f>IFERROR(__xludf.DUMMYFUNCTION("""COMPUTED_VALUE"""),"Packaging")</f>
        <v>Packaging</v>
      </c>
      <c r="R1152" s="49" t="str">
        <f>IFERROR(__xludf.DUMMYFUNCTION("""COMPUTED_VALUE"""),"Food")</f>
        <v>Food</v>
      </c>
    </row>
    <row r="1153">
      <c r="A1153" s="156" t="str">
        <f>IFERROR(__xludf.DUMMYFUNCTION("""COMPUTED_VALUE"""),"https://drive.google.com/open?id=1H98Dr42-xGZpIY9CPjKuPJ4gxZthXnp6&amp;authuser=jay.agg%40gmail.com&amp;usp=drive_fs")</f>
        <v>https://drive.google.com/open?id=1H98Dr42-xGZpIY9CPjKuPJ4gxZthXnp6&amp;authuser=jay.agg%40gmail.com&amp;usp=drive_fs</v>
      </c>
      <c r="B1153" s="73" t="str">
        <f>IFERROR(__xludf.DUMMYFUNCTION("""COMPUTED_VALUE"""),"Food")</f>
        <v>Food</v>
      </c>
      <c r="C1153" s="73" t="str">
        <f>IFERROR(__xludf.DUMMYFUNCTION("""COMPUTED_VALUE"""),"Ice Cream")</f>
        <v>Ice Cream</v>
      </c>
      <c r="D1153" s="73" t="str">
        <f>IFERROR(__xludf.DUMMYFUNCTION("""COMPUTED_VALUE"""),"102*67*264 mm | 4*2.62*10.37 inch")</f>
        <v>102*67*264 mm | 4*2.62*10.37 inch</v>
      </c>
      <c r="E1153" s="77">
        <f>IFERROR(__xludf.DUMMYFUNCTION("""COMPUTED_VALUE"""),2.0)</f>
        <v>2</v>
      </c>
      <c r="F1153" s="77">
        <f>IFERROR(__xludf.DUMMYFUNCTION("""COMPUTED_VALUE"""),2029.0)</f>
        <v>2029</v>
      </c>
      <c r="G1153" s="77">
        <f>IFERROR(__xludf.DUMMYFUNCTION("""COMPUTED_VALUE"""),20.0)</f>
        <v>20</v>
      </c>
      <c r="H1153" s="77">
        <f>IFERROR(__xludf.DUMMYFUNCTION("""COMPUTED_VALUE"""),28.0)</f>
        <v>28</v>
      </c>
      <c r="I1153" s="77">
        <f>IFERROR(__xludf.DUMMYFUNCTION("""COMPUTED_VALUE"""),100.0)</f>
        <v>100</v>
      </c>
      <c r="J1153" s="73"/>
      <c r="K1153" s="73"/>
      <c r="L1153" s="73"/>
      <c r="M1153" s="77">
        <f>IFERROR(__xludf.DUMMYFUNCTION("""COMPUTED_VALUE"""),0.1)</f>
        <v>0.1</v>
      </c>
      <c r="N1153" s="77">
        <f>IFERROR(__xludf.DUMMYFUNCTION("""COMPUTED_VALUE"""),1.0)</f>
        <v>1</v>
      </c>
      <c r="O1153" s="49"/>
      <c r="P1153" s="49" t="str">
        <f>IFERROR(__xludf.DUMMYFUNCTION("""COMPUTED_VALUE"""),"Offset")</f>
        <v>Offset</v>
      </c>
      <c r="Q1153" s="49" t="str">
        <f>IFERROR(__xludf.DUMMYFUNCTION("""COMPUTED_VALUE"""),"Packaging")</f>
        <v>Packaging</v>
      </c>
      <c r="R1153" s="49" t="str">
        <f>IFERROR(__xludf.DUMMYFUNCTION("""COMPUTED_VALUE"""),"Food")</f>
        <v>Food</v>
      </c>
    </row>
    <row r="1154">
      <c r="A1154" s="156" t="str">
        <f>IFERROR(__xludf.DUMMYFUNCTION("""COMPUTED_VALUE"""),"https://drive.google.com/open?id=1-Q7O4YHcnZBMcNpBb_F605zC5VlEkgCN&amp;usp=drive_fs")</f>
        <v>https://drive.google.com/open?id=1-Q7O4YHcnZBMcNpBb_F605zC5VlEkgCN&amp;usp=drive_fs</v>
      </c>
      <c r="B1154" s="73" t="str">
        <f>IFERROR(__xludf.DUMMYFUNCTION("""COMPUTED_VALUE"""),"Food")</f>
        <v>Food</v>
      </c>
      <c r="C1154" s="73" t="str">
        <f>IFERROR(__xludf.DUMMYFUNCTION("""COMPUTED_VALUE"""),"Misc")</f>
        <v>Misc</v>
      </c>
      <c r="D1154" s="73" t="str">
        <f>IFERROR(__xludf.DUMMYFUNCTION("""COMPUTED_VALUE"""),"90*90*45 mm | 3.5*3.5*1.75 inch | 24*15")</f>
        <v>90*90*45 mm | 3.5*3.5*1.75 inch | 24*15</v>
      </c>
      <c r="E1154" s="77">
        <f>IFERROR(__xludf.DUMMYFUNCTION("""COMPUTED_VALUE"""),4.0)</f>
        <v>4</v>
      </c>
      <c r="F1154" s="77">
        <f>IFERROR(__xludf.DUMMYFUNCTION("""COMPUTED_VALUE"""),1926.0)</f>
        <v>1926</v>
      </c>
      <c r="G1154" s="77">
        <f>IFERROR(__xludf.DUMMYFUNCTION("""COMPUTED_VALUE"""),15.0)</f>
        <v>15</v>
      </c>
      <c r="H1154" s="77">
        <f>IFERROR(__xludf.DUMMYFUNCTION("""COMPUTED_VALUE"""),25.0)</f>
        <v>25</v>
      </c>
      <c r="I1154" s="77">
        <f>IFERROR(__xludf.DUMMYFUNCTION("""COMPUTED_VALUE"""),100.0)</f>
        <v>100</v>
      </c>
      <c r="J1154" s="73"/>
      <c r="K1154" s="73"/>
      <c r="L1154" s="73"/>
      <c r="M1154" s="77">
        <f>IFERROR(__xludf.DUMMYFUNCTION("""COMPUTED_VALUE"""),0.12)</f>
        <v>0.12</v>
      </c>
      <c r="N1154" s="77">
        <f>IFERROR(__xludf.DUMMYFUNCTION("""COMPUTED_VALUE"""),1.0)</f>
        <v>1</v>
      </c>
      <c r="O1154" s="49"/>
      <c r="P1154" s="49" t="str">
        <f>IFERROR(__xludf.DUMMYFUNCTION("""COMPUTED_VALUE"""),"Offset")</f>
        <v>Offset</v>
      </c>
      <c r="Q1154" s="49" t="str">
        <f>IFERROR(__xludf.DUMMYFUNCTION("""COMPUTED_VALUE"""),"Packaging")</f>
        <v>Packaging</v>
      </c>
      <c r="R1154" s="49" t="str">
        <f>IFERROR(__xludf.DUMMYFUNCTION("""COMPUTED_VALUE"""),"Food")</f>
        <v>Food</v>
      </c>
    </row>
    <row r="1155">
      <c r="A1155" s="156" t="str">
        <f>IFERROR(__xludf.DUMMYFUNCTION("""COMPUTED_VALUE"""),"https://drive.google.com/open?id=1-dnkaE3JqGRCoaXhHXd-SsVffqLLplpu&amp;usp=drive_fs")</f>
        <v>https://drive.google.com/open?id=1-dnkaE3JqGRCoaXhHXd-SsVffqLLplpu&amp;usp=drive_fs</v>
      </c>
      <c r="B1155" s="73" t="str">
        <f>IFERROR(__xludf.DUMMYFUNCTION("""COMPUTED_VALUE"""),"Food")</f>
        <v>Food</v>
      </c>
      <c r="C1155" s="73" t="str">
        <f>IFERROR(__xludf.DUMMYFUNCTION("""COMPUTED_VALUE"""),"Misc")</f>
        <v>Misc</v>
      </c>
      <c r="D1155" s="73" t="str">
        <f>IFERROR(__xludf.DUMMYFUNCTION("""COMPUTED_VALUE"""),"102*25*152 mm | 4*1*6 inch | W 2*4.5 inch | 24*18")</f>
        <v>102*25*152 mm | 4*1*6 inch | W 2*4.5 inch | 24*18</v>
      </c>
      <c r="E1155" s="77">
        <f>IFERROR(__xludf.DUMMYFUNCTION("""COMPUTED_VALUE"""),4.0)</f>
        <v>4</v>
      </c>
      <c r="F1155" s="77">
        <f>IFERROR(__xludf.DUMMYFUNCTION("""COMPUTED_VALUE"""),1926.0)</f>
        <v>1926</v>
      </c>
      <c r="G1155" s="77">
        <f>IFERROR(__xludf.DUMMYFUNCTION("""COMPUTED_VALUE"""),18.0)</f>
        <v>18</v>
      </c>
      <c r="H1155" s="77">
        <f>IFERROR(__xludf.DUMMYFUNCTION("""COMPUTED_VALUE"""),23.0)</f>
        <v>23</v>
      </c>
      <c r="I1155" s="77">
        <f>IFERROR(__xludf.DUMMYFUNCTION("""COMPUTED_VALUE"""),100.0)</f>
        <v>100</v>
      </c>
      <c r="J1155" s="73"/>
      <c r="K1155" s="73"/>
      <c r="L1155" s="73">
        <f>IFERROR(__xludf.DUMMYFUNCTION("""COMPUTED_VALUE"""),1.0)</f>
        <v>1</v>
      </c>
      <c r="M1155" s="77">
        <f>IFERROR(__xludf.DUMMYFUNCTION("""COMPUTED_VALUE"""),0.12)</f>
        <v>0.12</v>
      </c>
      <c r="N1155" s="77">
        <f>IFERROR(__xludf.DUMMYFUNCTION("""COMPUTED_VALUE"""),1.0)</f>
        <v>1</v>
      </c>
      <c r="O1155" s="49"/>
      <c r="P1155" s="49" t="str">
        <f>IFERROR(__xludf.DUMMYFUNCTION("""COMPUTED_VALUE"""),"Offset")</f>
        <v>Offset</v>
      </c>
      <c r="Q1155" s="49" t="str">
        <f>IFERROR(__xludf.DUMMYFUNCTION("""COMPUTED_VALUE"""),"Packaging")</f>
        <v>Packaging</v>
      </c>
      <c r="R1155" s="49" t="str">
        <f>IFERROR(__xludf.DUMMYFUNCTION("""COMPUTED_VALUE"""),"Food")</f>
        <v>Food</v>
      </c>
    </row>
    <row r="1156">
      <c r="A1156" s="156" t="str">
        <f>IFERROR(__xludf.DUMMYFUNCTION("""COMPUTED_VALUE"""),"https://drive.google.com/open?id=160nMxST03MeYTvCOCyVror80KMBQeeR2&amp;usp=drive_fs")</f>
        <v>https://drive.google.com/open?id=160nMxST03MeYTvCOCyVror80KMBQeeR2&amp;usp=drive_fs</v>
      </c>
      <c r="B1156" s="73" t="str">
        <f>IFERROR(__xludf.DUMMYFUNCTION("""COMPUTED_VALUE"""),"Food")</f>
        <v>Food</v>
      </c>
      <c r="C1156" s="73" t="str">
        <f>IFERROR(__xludf.DUMMYFUNCTION("""COMPUTED_VALUE"""),"Dates")</f>
        <v>Dates</v>
      </c>
      <c r="D1156" s="73" t="str">
        <f>IFERROR(__xludf.DUMMYFUNCTION("""COMPUTED_VALUE"""),"Top 340*220*65 mm | 14*9*2.75 inch | 26*15")</f>
        <v>Top 340*220*65 mm | 14*9*2.75 inch | 26*15</v>
      </c>
      <c r="E1156" s="77">
        <f>IFERROR(__xludf.DUMMYFUNCTION("""COMPUTED_VALUE"""),1.0)</f>
        <v>1</v>
      </c>
      <c r="F1156" s="77">
        <f>IFERROR(__xludf.DUMMYFUNCTION("""COMPUTED_VALUE"""),2029.0)</f>
        <v>2029</v>
      </c>
      <c r="G1156" s="77">
        <f>IFERROR(__xludf.DUMMYFUNCTION("""COMPUTED_VALUE"""),16.0)</f>
        <v>16</v>
      </c>
      <c r="H1156" s="77">
        <f>IFERROR(__xludf.DUMMYFUNCTION("""COMPUTED_VALUE"""),26.0)</f>
        <v>26</v>
      </c>
      <c r="I1156" s="77">
        <f>IFERROR(__xludf.DUMMYFUNCTION("""COMPUTED_VALUE"""),100.0)</f>
        <v>100</v>
      </c>
      <c r="J1156" s="73"/>
      <c r="K1156" s="73"/>
      <c r="L1156" s="73"/>
      <c r="M1156" s="77"/>
      <c r="N1156" s="77">
        <f>IFERROR(__xludf.DUMMYFUNCTION("""COMPUTED_VALUE"""),1.0)</f>
        <v>1</v>
      </c>
      <c r="O1156" s="49"/>
      <c r="P1156" s="49" t="str">
        <f>IFERROR(__xludf.DUMMYFUNCTION("""COMPUTED_VALUE"""),"Offset")</f>
        <v>Offset</v>
      </c>
      <c r="Q1156" s="49" t="str">
        <f>IFERROR(__xludf.DUMMYFUNCTION("""COMPUTED_VALUE"""),"Packaging")</f>
        <v>Packaging</v>
      </c>
      <c r="R1156" s="49" t="str">
        <f>IFERROR(__xludf.DUMMYFUNCTION("""COMPUTED_VALUE"""),"Food")</f>
        <v>Food</v>
      </c>
    </row>
    <row r="1157">
      <c r="A1157" s="156" t="str">
        <f>IFERROR(__xludf.DUMMYFUNCTION("""COMPUTED_VALUE"""),"https://drive.google.com/open?id=163DP4gNBjXvtp1PIwgI-x12dSCihcgMB&amp;usp=drive_fs")</f>
        <v>https://drive.google.com/open?id=163DP4gNBjXvtp1PIwgI-x12dSCihcgMB&amp;usp=drive_fs</v>
      </c>
      <c r="B1157" s="73" t="str">
        <f>IFERROR(__xludf.DUMMYFUNCTION("""COMPUTED_VALUE"""),"Food")</f>
        <v>Food</v>
      </c>
      <c r="C1157" s="73" t="str">
        <f>IFERROR(__xludf.DUMMYFUNCTION("""COMPUTED_VALUE"""),"Dates")</f>
        <v>Dates</v>
      </c>
      <c r="D1157" s="73" t="str">
        <f>IFERROR(__xludf.DUMMYFUNCTION("""COMPUTED_VALUE"""),"Bottom 340*220*65 mm | 14*9*2.75 inch | 26*14")</f>
        <v>Bottom 340*220*65 mm | 14*9*2.75 inch | 26*14</v>
      </c>
      <c r="E1157" s="77">
        <f>IFERROR(__xludf.DUMMYFUNCTION("""COMPUTED_VALUE"""),1.0)</f>
        <v>1</v>
      </c>
      <c r="F1157" s="77">
        <f>IFERROR(__xludf.DUMMYFUNCTION("""COMPUTED_VALUE"""),2029.0)</f>
        <v>2029</v>
      </c>
      <c r="G1157" s="77">
        <f>IFERROR(__xludf.DUMMYFUNCTION("""COMPUTED_VALUE"""),26.0)</f>
        <v>26</v>
      </c>
      <c r="H1157" s="77">
        <f>IFERROR(__xludf.DUMMYFUNCTION("""COMPUTED_VALUE"""),14.0)</f>
        <v>14</v>
      </c>
      <c r="I1157" s="77">
        <f>IFERROR(__xludf.DUMMYFUNCTION("""COMPUTED_VALUE"""),100.0)</f>
        <v>100</v>
      </c>
      <c r="J1157" s="73"/>
      <c r="K1157" s="73"/>
      <c r="L1157" s="73"/>
      <c r="M1157" s="77"/>
      <c r="N1157" s="77">
        <f>IFERROR(__xludf.DUMMYFUNCTION("""COMPUTED_VALUE"""),1.0)</f>
        <v>1</v>
      </c>
      <c r="O1157" s="49"/>
      <c r="P1157" s="49" t="str">
        <f>IFERROR(__xludf.DUMMYFUNCTION("""COMPUTED_VALUE"""),"Offset")</f>
        <v>Offset</v>
      </c>
      <c r="Q1157" s="49" t="str">
        <f>IFERROR(__xludf.DUMMYFUNCTION("""COMPUTED_VALUE"""),"Packaging")</f>
        <v>Packaging</v>
      </c>
      <c r="R1157" s="49" t="str">
        <f>IFERROR(__xludf.DUMMYFUNCTION("""COMPUTED_VALUE"""),"Food")</f>
        <v>Food</v>
      </c>
    </row>
    <row r="1158">
      <c r="A1158" s="156" t="str">
        <f>IFERROR(__xludf.DUMMYFUNCTION("""COMPUTED_VALUE"""),"https://drive.google.com/open?id=1OiBMBd6pWhGa6xIf_fNu5zGQo7s1CCLF&amp;usp=drive_fs")</f>
        <v>https://drive.google.com/open?id=1OiBMBd6pWhGa6xIf_fNu5zGQo7s1CCLF&amp;usp=drive_fs</v>
      </c>
      <c r="B1158" s="73" t="str">
        <f>IFERROR(__xludf.DUMMYFUNCTION("""COMPUTED_VALUE"""),"Food")</f>
        <v>Food</v>
      </c>
      <c r="C1158" s="73" t="str">
        <f>IFERROR(__xludf.DUMMYFUNCTION("""COMPUTED_VALUE"""),"Chocolate")</f>
        <v>Chocolate</v>
      </c>
      <c r="D1158" s="73" t="str">
        <f>IFERROR(__xludf.DUMMYFUNCTION("""COMPUTED_VALUE"""),"180*109*56 mm | 7*4.3*2.2 inch IL")</f>
        <v>180*109*56 mm | 7*4.3*2.2 inch IL</v>
      </c>
      <c r="E1158" s="77">
        <f>IFERROR(__xludf.DUMMYFUNCTION("""COMPUTED_VALUE"""),2.0)</f>
        <v>2</v>
      </c>
      <c r="F1158" s="77">
        <f>IFERROR(__xludf.DUMMYFUNCTION("""COMPUTED_VALUE"""),1926.0)</f>
        <v>1926</v>
      </c>
      <c r="G1158" s="77">
        <f>IFERROR(__xludf.DUMMYFUNCTION("""COMPUTED_VALUE"""),18.0)</f>
        <v>18</v>
      </c>
      <c r="H1158" s="77">
        <f>IFERROR(__xludf.DUMMYFUNCTION("""COMPUTED_VALUE"""),25.0)</f>
        <v>25</v>
      </c>
      <c r="I1158" s="77">
        <f>IFERROR(__xludf.DUMMYFUNCTION("""COMPUTED_VALUE"""),100.0)</f>
        <v>100</v>
      </c>
      <c r="J1158" s="73"/>
      <c r="K1158" s="73"/>
      <c r="L1158" s="73"/>
      <c r="M1158" s="77">
        <f>IFERROR(__xludf.DUMMYFUNCTION("""COMPUTED_VALUE"""),0.1)</f>
        <v>0.1</v>
      </c>
      <c r="N1158" s="77">
        <f>IFERROR(__xludf.DUMMYFUNCTION("""COMPUTED_VALUE"""),1.0)</f>
        <v>1</v>
      </c>
      <c r="O1158" s="49"/>
      <c r="P1158" s="49" t="str">
        <f>IFERROR(__xludf.DUMMYFUNCTION("""COMPUTED_VALUE"""),"Offset")</f>
        <v>Offset</v>
      </c>
      <c r="Q1158" s="49" t="str">
        <f>IFERROR(__xludf.DUMMYFUNCTION("""COMPUTED_VALUE"""),"Packaging")</f>
        <v>Packaging</v>
      </c>
      <c r="R1158" s="49" t="str">
        <f>IFERROR(__xludf.DUMMYFUNCTION("""COMPUTED_VALUE"""),"Food")</f>
        <v>Food</v>
      </c>
    </row>
    <row r="1159">
      <c r="A1159" s="156" t="str">
        <f>IFERROR(__xludf.DUMMYFUNCTION("""COMPUTED_VALUE"""),"https://drive.google.com/open?id=1P-GuKFaajpLVtPs_ZqCl5l79jYnLZt0Y&amp;usp=drive_fs")</f>
        <v>https://drive.google.com/open?id=1P-GuKFaajpLVtPs_ZqCl5l79jYnLZt0Y&amp;usp=drive_fs</v>
      </c>
      <c r="B1159" s="73" t="str">
        <f>IFERROR(__xludf.DUMMYFUNCTION("""COMPUTED_VALUE"""),"Food")</f>
        <v>Food</v>
      </c>
      <c r="C1159" s="73" t="str">
        <f>IFERROR(__xludf.DUMMYFUNCTION("""COMPUTED_VALUE"""),"Dates")</f>
        <v>Dates</v>
      </c>
      <c r="D1159" s="73" t="str">
        <f>IFERROR(__xludf.DUMMYFUNCTION("""COMPUTED_VALUE"""),"210*148*40 mm | 8.3*5.8*1.6 inch")</f>
        <v>210*148*40 mm | 8.3*5.8*1.6 inch</v>
      </c>
      <c r="E1159" s="77">
        <f>IFERROR(__xludf.DUMMYFUNCTION("""COMPUTED_VALUE"""),1.0)</f>
        <v>1</v>
      </c>
      <c r="F1159" s="77">
        <f>IFERROR(__xludf.DUMMYFUNCTION("""COMPUTED_VALUE"""),1926.0)</f>
        <v>1926</v>
      </c>
      <c r="G1159" s="77">
        <f>IFERROR(__xludf.DUMMYFUNCTION("""COMPUTED_VALUE"""),18.0)</f>
        <v>18</v>
      </c>
      <c r="H1159" s="77">
        <f>IFERROR(__xludf.DUMMYFUNCTION("""COMPUTED_VALUE"""),23.0)</f>
        <v>23</v>
      </c>
      <c r="I1159" s="77">
        <f>IFERROR(__xludf.DUMMYFUNCTION("""COMPUTED_VALUE"""),100.0)</f>
        <v>100</v>
      </c>
      <c r="J1159" s="73"/>
      <c r="K1159" s="73"/>
      <c r="L1159" s="73">
        <f>IFERROR(__xludf.DUMMYFUNCTION("""COMPUTED_VALUE"""),1.5)</f>
        <v>1.5</v>
      </c>
      <c r="M1159" s="77">
        <f>IFERROR(__xludf.DUMMYFUNCTION("""COMPUTED_VALUE"""),0.1)</f>
        <v>0.1</v>
      </c>
      <c r="N1159" s="77">
        <f>IFERROR(__xludf.DUMMYFUNCTION("""COMPUTED_VALUE"""),1.0)</f>
        <v>1</v>
      </c>
      <c r="O1159" s="49"/>
      <c r="P1159" s="49" t="str">
        <f>IFERROR(__xludf.DUMMYFUNCTION("""COMPUTED_VALUE"""),"Offset")</f>
        <v>Offset</v>
      </c>
      <c r="Q1159" s="49" t="str">
        <f>IFERROR(__xludf.DUMMYFUNCTION("""COMPUTED_VALUE"""),"Packaging")</f>
        <v>Packaging</v>
      </c>
      <c r="R1159" s="49" t="str">
        <f>IFERROR(__xludf.DUMMYFUNCTION("""COMPUTED_VALUE"""),"Food")</f>
        <v>Food</v>
      </c>
    </row>
    <row r="1160">
      <c r="A1160" s="156" t="str">
        <f>IFERROR(__xludf.DUMMYFUNCTION("""COMPUTED_VALUE"""),"https://drive.google.com/open?id=18Ma5SHED7b_vXPW8I4nplHA3s3zCJ3zo&amp;usp=drive_fs")</f>
        <v>https://drive.google.com/open?id=18Ma5SHED7b_vXPW8I4nplHA3s3zCJ3zo&amp;usp=drive_fs</v>
      </c>
      <c r="B1160" s="73" t="str">
        <f>IFERROR(__xludf.DUMMYFUNCTION("""COMPUTED_VALUE"""),"Food")</f>
        <v>Food</v>
      </c>
      <c r="C1160" s="73" t="str">
        <f>IFERROR(__xludf.DUMMYFUNCTION("""COMPUTED_VALUE"""),"Chocolate")</f>
        <v>Chocolate</v>
      </c>
      <c r="D1160" s="73" t="str">
        <f>IFERROR(__xludf.DUMMYFUNCTION("""COMPUTED_VALUE"""),"100*10*170 mm | 3.9*0.4*6.7 inch")</f>
        <v>100*10*170 mm | 3.9*0.4*6.7 inch</v>
      </c>
      <c r="E1160" s="77">
        <f>IFERROR(__xludf.DUMMYFUNCTION("""COMPUTED_VALUE"""),6.0)</f>
        <v>6</v>
      </c>
      <c r="F1160" s="77">
        <f>IFERROR(__xludf.DUMMYFUNCTION("""COMPUTED_VALUE"""),1926.0)</f>
        <v>1926</v>
      </c>
      <c r="G1160" s="77">
        <f>IFERROR(__xludf.DUMMYFUNCTION("""COMPUTED_VALUE"""),19.0)</f>
        <v>19</v>
      </c>
      <c r="H1160" s="77">
        <f>IFERROR(__xludf.DUMMYFUNCTION("""COMPUTED_VALUE"""),26.0)</f>
        <v>26</v>
      </c>
      <c r="I1160" s="77">
        <f>IFERROR(__xludf.DUMMYFUNCTION("""COMPUTED_VALUE"""),100.0)</f>
        <v>100</v>
      </c>
      <c r="J1160" s="73"/>
      <c r="K1160" s="73"/>
      <c r="L1160" s="73"/>
      <c r="M1160" s="77">
        <f>IFERROR(__xludf.DUMMYFUNCTION("""COMPUTED_VALUE"""),0.11)</f>
        <v>0.11</v>
      </c>
      <c r="N1160" s="77">
        <f>IFERROR(__xludf.DUMMYFUNCTION("""COMPUTED_VALUE"""),1.0)</f>
        <v>1</v>
      </c>
      <c r="O1160" s="49"/>
      <c r="P1160" s="49" t="str">
        <f>IFERROR(__xludf.DUMMYFUNCTION("""COMPUTED_VALUE"""),"Offset")</f>
        <v>Offset</v>
      </c>
      <c r="Q1160" s="49" t="str">
        <f>IFERROR(__xludf.DUMMYFUNCTION("""COMPUTED_VALUE"""),"Packaging")</f>
        <v>Packaging</v>
      </c>
      <c r="R1160" s="49" t="str">
        <f>IFERROR(__xludf.DUMMYFUNCTION("""COMPUTED_VALUE"""),"Food")</f>
        <v>Food</v>
      </c>
    </row>
    <row r="1161">
      <c r="A1161" s="156" t="str">
        <f>IFERROR(__xludf.DUMMYFUNCTION("""COMPUTED_VALUE"""),"https://drive.google.com/open?id=18iEGCjSalqmRpvU1Y7mkHW3XFLZy9Se4&amp;usp=drive_fs")</f>
        <v>https://drive.google.com/open?id=18iEGCjSalqmRpvU1Y7mkHW3XFLZy9Se4&amp;usp=drive_fs</v>
      </c>
      <c r="B1161" s="73" t="str">
        <f>IFERROR(__xludf.DUMMYFUNCTION("""COMPUTED_VALUE"""),"Food")</f>
        <v>Food</v>
      </c>
      <c r="C1161" s="73" t="str">
        <f>IFERROR(__xludf.DUMMYFUNCTION("""COMPUTED_VALUE"""),"Dates")</f>
        <v>Dates</v>
      </c>
      <c r="D1161" s="73" t="str">
        <f>IFERROR(__xludf.DUMMYFUNCTION("""COMPUTED_VALUE"""),"1kg 310*182*40 mm | 12.2*7.1*1.6 inch | 22*20")</f>
        <v>1kg 310*182*40 mm | 12.2*7.1*1.6 inch | 22*20</v>
      </c>
      <c r="E1161" s="77">
        <f>IFERROR(__xludf.DUMMYFUNCTION("""COMPUTED_VALUE"""),1.0)</f>
        <v>1</v>
      </c>
      <c r="F1161" s="77">
        <f>IFERROR(__xludf.DUMMYFUNCTION("""COMPUTED_VALUE"""),1926.0)</f>
        <v>1926</v>
      </c>
      <c r="G1161" s="77">
        <f>IFERROR(__xludf.DUMMYFUNCTION("""COMPUTED_VALUE"""),20.0)</f>
        <v>20</v>
      </c>
      <c r="H1161" s="77">
        <f>IFERROR(__xludf.DUMMYFUNCTION("""COMPUTED_VALUE"""),22.0)</f>
        <v>22</v>
      </c>
      <c r="I1161" s="77">
        <f>IFERROR(__xludf.DUMMYFUNCTION("""COMPUTED_VALUE"""),100.0)</f>
        <v>100</v>
      </c>
      <c r="J1161" s="73"/>
      <c r="K1161" s="73"/>
      <c r="L1161" s="73"/>
      <c r="M1161" s="77"/>
      <c r="N1161" s="77">
        <f>IFERROR(__xludf.DUMMYFUNCTION("""COMPUTED_VALUE"""),1.0)</f>
        <v>1</v>
      </c>
      <c r="O1161" s="49"/>
      <c r="P1161" s="49" t="str">
        <f>IFERROR(__xludf.DUMMYFUNCTION("""COMPUTED_VALUE"""),"Offset")</f>
        <v>Offset</v>
      </c>
      <c r="Q1161" s="49" t="str">
        <f>IFERROR(__xludf.DUMMYFUNCTION("""COMPUTED_VALUE"""),"Packaging")</f>
        <v>Packaging</v>
      </c>
      <c r="R1161" s="49" t="str">
        <f>IFERROR(__xludf.DUMMYFUNCTION("""COMPUTED_VALUE"""),"Food")</f>
        <v>Food</v>
      </c>
    </row>
    <row r="1162">
      <c r="A1162" s="156" t="str">
        <f>IFERROR(__xludf.DUMMYFUNCTION("""COMPUTED_VALUE"""),"https://drive.google.com/open?id=18prqDHDovH5hRQGsnysleHbFmVLs25rI&amp;usp=drive_fs")</f>
        <v>https://drive.google.com/open?id=18prqDHDovH5hRQGsnysleHbFmVLs25rI&amp;usp=drive_fs</v>
      </c>
      <c r="B1162" s="73" t="str">
        <f>IFERROR(__xludf.DUMMYFUNCTION("""COMPUTED_VALUE"""),"Food")</f>
        <v>Food</v>
      </c>
      <c r="C1162" s="73" t="str">
        <f>IFERROR(__xludf.DUMMYFUNCTION("""COMPUTED_VALUE"""),"Dates")</f>
        <v>Dates</v>
      </c>
      <c r="D1162" s="73" t="str">
        <f>IFERROR(__xludf.DUMMYFUNCTION("""COMPUTED_VALUE"""),"500g 240*150*40 mm | 9.5*6*1.6 inch |  22*17")</f>
        <v>500g 240*150*40 mm | 9.5*6*1.6 inch |  22*17</v>
      </c>
      <c r="E1162" s="77">
        <f>IFERROR(__xludf.DUMMYFUNCTION("""COMPUTED_VALUE"""),1.0)</f>
        <v>1</v>
      </c>
      <c r="F1162" s="77">
        <f>IFERROR(__xludf.DUMMYFUNCTION("""COMPUTED_VALUE"""),1926.0)</f>
        <v>1926</v>
      </c>
      <c r="G1162" s="77">
        <f>IFERROR(__xludf.DUMMYFUNCTION("""COMPUTED_VALUE"""),17.0)</f>
        <v>17</v>
      </c>
      <c r="H1162" s="77">
        <f>IFERROR(__xludf.DUMMYFUNCTION("""COMPUTED_VALUE"""),18.0)</f>
        <v>18</v>
      </c>
      <c r="I1162" s="77">
        <f>IFERROR(__xludf.DUMMYFUNCTION("""COMPUTED_VALUE"""),100.0)</f>
        <v>100</v>
      </c>
      <c r="J1162" s="73"/>
      <c r="K1162" s="73"/>
      <c r="L1162" s="73"/>
      <c r="M1162" s="77"/>
      <c r="N1162" s="77">
        <f>IFERROR(__xludf.DUMMYFUNCTION("""COMPUTED_VALUE"""),1.0)</f>
        <v>1</v>
      </c>
      <c r="O1162" s="49"/>
      <c r="P1162" s="49" t="str">
        <f>IFERROR(__xludf.DUMMYFUNCTION("""COMPUTED_VALUE"""),"Offset")</f>
        <v>Offset</v>
      </c>
      <c r="Q1162" s="49" t="str">
        <f>IFERROR(__xludf.DUMMYFUNCTION("""COMPUTED_VALUE"""),"Packaging")</f>
        <v>Packaging</v>
      </c>
      <c r="R1162" s="49" t="str">
        <f>IFERROR(__xludf.DUMMYFUNCTION("""COMPUTED_VALUE"""),"Food")</f>
        <v>Food</v>
      </c>
    </row>
    <row r="1163">
      <c r="A1163" s="156" t="str">
        <f>IFERROR(__xludf.DUMMYFUNCTION("""COMPUTED_VALUE"""),"https://drive.google.com/open?id=1QgXRVjAYlCNjeZLpw4F1-6rKvuLi6TdH&amp;usp=drive_fs")</f>
        <v>https://drive.google.com/open?id=1QgXRVjAYlCNjeZLpw4F1-6rKvuLi6TdH&amp;usp=drive_fs</v>
      </c>
      <c r="B1163" s="73" t="str">
        <f>IFERROR(__xludf.DUMMYFUNCTION("""COMPUTED_VALUE"""),"Food")</f>
        <v>Food</v>
      </c>
      <c r="C1163" s="73" t="str">
        <f>IFERROR(__xludf.DUMMYFUNCTION("""COMPUTED_VALUE"""),"Dog Food")</f>
        <v>Dog Food</v>
      </c>
      <c r="D1163" s="73" t="str">
        <f>IFERROR(__xludf.DUMMYFUNCTION("""COMPUTED_VALUE"""),"102*27*160 mm | 4*1*6.3 inch")</f>
        <v>102*27*160 mm | 4*1*6.3 inch</v>
      </c>
      <c r="E1163" s="77">
        <f>IFERROR(__xludf.DUMMYFUNCTION("""COMPUTED_VALUE"""),4.0)</f>
        <v>4</v>
      </c>
      <c r="F1163" s="77">
        <f>IFERROR(__xludf.DUMMYFUNCTION("""COMPUTED_VALUE"""),1926.0)</f>
        <v>1926</v>
      </c>
      <c r="G1163" s="77">
        <f>IFERROR(__xludf.DUMMYFUNCTION("""COMPUTED_VALUE"""),18.0)</f>
        <v>18</v>
      </c>
      <c r="H1163" s="77">
        <f>IFERROR(__xludf.DUMMYFUNCTION("""COMPUTED_VALUE"""),23.0)</f>
        <v>23</v>
      </c>
      <c r="I1163" s="77">
        <f>IFERROR(__xludf.DUMMYFUNCTION("""COMPUTED_VALUE"""),100.0)</f>
        <v>100</v>
      </c>
      <c r="J1163" s="73"/>
      <c r="K1163" s="73"/>
      <c r="L1163" s="73"/>
      <c r="M1163" s="77">
        <f>IFERROR(__xludf.DUMMYFUNCTION("""COMPUTED_VALUE"""),0.12)</f>
        <v>0.12</v>
      </c>
      <c r="N1163" s="77">
        <f>IFERROR(__xludf.DUMMYFUNCTION("""COMPUTED_VALUE"""),1.0)</f>
        <v>1</v>
      </c>
      <c r="O1163" s="49"/>
      <c r="P1163" s="49" t="str">
        <f>IFERROR(__xludf.DUMMYFUNCTION("""COMPUTED_VALUE"""),"Offset")</f>
        <v>Offset</v>
      </c>
      <c r="Q1163" s="49" t="str">
        <f>IFERROR(__xludf.DUMMYFUNCTION("""COMPUTED_VALUE"""),"Packaging")</f>
        <v>Packaging</v>
      </c>
      <c r="R1163" s="49" t="str">
        <f>IFERROR(__xludf.DUMMYFUNCTION("""COMPUTED_VALUE"""),"Food")</f>
        <v>Food</v>
      </c>
    </row>
    <row r="1164">
      <c r="A1164" s="156" t="str">
        <f>IFERROR(__xludf.DUMMYFUNCTION("""COMPUTED_VALUE"""),"https://drive.google.com/open?id=196iwhfptVeDMjR7bnMOEjTzEVh1Wx8bE&amp;usp=drive_fs")</f>
        <v>https://drive.google.com/open?id=196iwhfptVeDMjR7bnMOEjTzEVh1Wx8bE&amp;usp=drive_fs</v>
      </c>
      <c r="B1164" s="73" t="str">
        <f>IFERROR(__xludf.DUMMYFUNCTION("""COMPUTED_VALUE"""),"Food")</f>
        <v>Food</v>
      </c>
      <c r="C1164" s="73" t="str">
        <f>IFERROR(__xludf.DUMMYFUNCTION("""COMPUTED_VALUE"""),"Chocolate")</f>
        <v>Chocolate</v>
      </c>
      <c r="D1164" s="73" t="str">
        <f>IFERROR(__xludf.DUMMYFUNCTION("""COMPUTED_VALUE"""),"225*184*28 mm | 8.9*7.3*1.2 inch")</f>
        <v>225*184*28 mm | 8.9*7.3*1.2 inch</v>
      </c>
      <c r="E1164" s="77">
        <f>IFERROR(__xludf.DUMMYFUNCTION("""COMPUTED_VALUE"""),1.0)</f>
        <v>1</v>
      </c>
      <c r="F1164" s="77">
        <f>IFERROR(__xludf.DUMMYFUNCTION("""COMPUTED_VALUE"""),2029.0)</f>
        <v>2029</v>
      </c>
      <c r="G1164" s="77">
        <f>IFERROR(__xludf.DUMMYFUNCTION("""COMPUTED_VALUE"""),18.0)</f>
        <v>18</v>
      </c>
      <c r="H1164" s="77">
        <f>IFERROR(__xludf.DUMMYFUNCTION("""COMPUTED_VALUE"""),25.0)</f>
        <v>25</v>
      </c>
      <c r="I1164" s="77">
        <f>IFERROR(__xludf.DUMMYFUNCTION("""COMPUTED_VALUE"""),100.0)</f>
        <v>100</v>
      </c>
      <c r="J1164" s="73"/>
      <c r="K1164" s="73"/>
      <c r="L1164" s="73">
        <f>IFERROR(__xludf.DUMMYFUNCTION("""COMPUTED_VALUE"""),1.5)</f>
        <v>1.5</v>
      </c>
      <c r="M1164" s="77">
        <f>IFERROR(__xludf.DUMMYFUNCTION("""COMPUTED_VALUE"""),0.15)</f>
        <v>0.15</v>
      </c>
      <c r="N1164" s="77">
        <f>IFERROR(__xludf.DUMMYFUNCTION("""COMPUTED_VALUE"""),1.0)</f>
        <v>1</v>
      </c>
      <c r="O1164" s="49"/>
      <c r="P1164" s="49" t="str">
        <f>IFERROR(__xludf.DUMMYFUNCTION("""COMPUTED_VALUE"""),"Offset")</f>
        <v>Offset</v>
      </c>
      <c r="Q1164" s="49" t="str">
        <f>IFERROR(__xludf.DUMMYFUNCTION("""COMPUTED_VALUE"""),"Packaging")</f>
        <v>Packaging</v>
      </c>
      <c r="R1164" s="49" t="str">
        <f>IFERROR(__xludf.DUMMYFUNCTION("""COMPUTED_VALUE"""),"Food")</f>
        <v>Food</v>
      </c>
    </row>
    <row r="1165">
      <c r="A1165" s="156" t="str">
        <f>IFERROR(__xludf.DUMMYFUNCTION("""COMPUTED_VALUE"""),"https://drive.google.com/open?id=1CK-CrDZ7SlWu1RDyIdTKgOn1eXU5e_cg&amp;usp=drive_fs")</f>
        <v>https://drive.google.com/open?id=1CK-CrDZ7SlWu1RDyIdTKgOn1eXU5e_cg&amp;usp=drive_fs</v>
      </c>
      <c r="B1165" s="73" t="str">
        <f>IFERROR(__xludf.DUMMYFUNCTION("""COMPUTED_VALUE"""),"Food")</f>
        <v>Food</v>
      </c>
      <c r="C1165" s="73" t="str">
        <f>IFERROR(__xludf.DUMMYFUNCTION("""COMPUTED_VALUE"""),"Chocolate")</f>
        <v>Chocolate</v>
      </c>
      <c r="D1165" s="73" t="str">
        <f>IFERROR(__xludf.DUMMYFUNCTION("""COMPUTED_VALUE"""),"65*10*135 mm | 2.5*0.4*5.3 inch")</f>
        <v>65*10*135 mm | 2.5*0.4*5.3 inch</v>
      </c>
      <c r="E1165" s="77">
        <f>IFERROR(__xludf.DUMMYFUNCTION("""COMPUTED_VALUE"""),6.0)</f>
        <v>6</v>
      </c>
      <c r="F1165" s="77">
        <f>IFERROR(__xludf.DUMMYFUNCTION("""COMPUTED_VALUE"""),1926.0)</f>
        <v>1926</v>
      </c>
      <c r="G1165" s="77">
        <f>IFERROR(__xludf.DUMMYFUNCTION("""COMPUTED_VALUE"""),14.0)</f>
        <v>14</v>
      </c>
      <c r="H1165" s="77">
        <f>IFERROR(__xludf.DUMMYFUNCTION("""COMPUTED_VALUE"""),22.0)</f>
        <v>22</v>
      </c>
      <c r="I1165" s="77">
        <f>IFERROR(__xludf.DUMMYFUNCTION("""COMPUTED_VALUE"""),100.0)</f>
        <v>100</v>
      </c>
      <c r="J1165" s="73"/>
      <c r="K1165" s="73"/>
      <c r="L1165" s="73"/>
      <c r="M1165" s="77">
        <f>IFERROR(__xludf.DUMMYFUNCTION("""COMPUTED_VALUE"""),0.1)</f>
        <v>0.1</v>
      </c>
      <c r="N1165" s="77">
        <f>IFERROR(__xludf.DUMMYFUNCTION("""COMPUTED_VALUE"""),1.0)</f>
        <v>1</v>
      </c>
      <c r="O1165" s="49"/>
      <c r="P1165" s="49" t="str">
        <f>IFERROR(__xludf.DUMMYFUNCTION("""COMPUTED_VALUE"""),"Offset")</f>
        <v>Offset</v>
      </c>
      <c r="Q1165" s="49" t="str">
        <f>IFERROR(__xludf.DUMMYFUNCTION("""COMPUTED_VALUE"""),"Packaging")</f>
        <v>Packaging</v>
      </c>
      <c r="R1165" s="49" t="str">
        <f>IFERROR(__xludf.DUMMYFUNCTION("""COMPUTED_VALUE"""),"Food")</f>
        <v>Food</v>
      </c>
    </row>
    <row r="1166">
      <c r="A1166" s="156" t="str">
        <f>IFERROR(__xludf.DUMMYFUNCTION("""COMPUTED_VALUE"""),"https://drive.google.com/open?id=1HF-0qCi2yykJ81PPp-XWVC4NEQz38xps&amp;usp=drive_fs")</f>
        <v>https://drive.google.com/open?id=1HF-0qCi2yykJ81PPp-XWVC4NEQz38xps&amp;usp=drive_fs</v>
      </c>
      <c r="B1166" s="73" t="str">
        <f>IFERROR(__xludf.DUMMYFUNCTION("""COMPUTED_VALUE"""),"Food")</f>
        <v>Food</v>
      </c>
      <c r="C1166" s="73" t="str">
        <f>IFERROR(__xludf.DUMMYFUNCTION("""COMPUTED_VALUE"""),"Chocolate")</f>
        <v>Chocolate</v>
      </c>
      <c r="D1166" s="73" t="str">
        <f>IFERROR(__xludf.DUMMYFUNCTION("""COMPUTED_VALUE"""),"65*10*140 mm | 2.5*0.4*5.5 inch")</f>
        <v>65*10*140 mm | 2.5*0.4*5.5 inch</v>
      </c>
      <c r="E1166" s="77">
        <f>IFERROR(__xludf.DUMMYFUNCTION("""COMPUTED_VALUE"""),12.0)</f>
        <v>12</v>
      </c>
      <c r="F1166" s="77">
        <f>IFERROR(__xludf.DUMMYFUNCTION("""COMPUTED_VALUE"""),2029.0)</f>
        <v>2029</v>
      </c>
      <c r="G1166" s="77">
        <f>IFERROR(__xludf.DUMMYFUNCTION("""COMPUTED_VALUE"""),20.0)</f>
        <v>20</v>
      </c>
      <c r="H1166" s="77">
        <f>IFERROR(__xludf.DUMMYFUNCTION("""COMPUTED_VALUE"""),28.0)</f>
        <v>28</v>
      </c>
      <c r="I1166" s="77">
        <f>IFERROR(__xludf.DUMMYFUNCTION("""COMPUTED_VALUE"""),100.0)</f>
        <v>100</v>
      </c>
      <c r="J1166" s="73"/>
      <c r="K1166" s="73"/>
      <c r="L1166" s="73"/>
      <c r="M1166" s="77">
        <f>IFERROR(__xludf.DUMMYFUNCTION("""COMPUTED_VALUE"""),0.1)</f>
        <v>0.1</v>
      </c>
      <c r="N1166" s="77">
        <f>IFERROR(__xludf.DUMMYFUNCTION("""COMPUTED_VALUE"""),1.0)</f>
        <v>1</v>
      </c>
      <c r="O1166" s="49"/>
      <c r="P1166" s="49" t="str">
        <f>IFERROR(__xludf.DUMMYFUNCTION("""COMPUTED_VALUE"""),"Offset")</f>
        <v>Offset</v>
      </c>
      <c r="Q1166" s="49" t="str">
        <f>IFERROR(__xludf.DUMMYFUNCTION("""COMPUTED_VALUE"""),"Packaging")</f>
        <v>Packaging</v>
      </c>
      <c r="R1166" s="49" t="str">
        <f>IFERROR(__xludf.DUMMYFUNCTION("""COMPUTED_VALUE"""),"Food")</f>
        <v>Food</v>
      </c>
    </row>
    <row r="1167">
      <c r="A1167" s="156" t="str">
        <f>IFERROR(__xludf.DUMMYFUNCTION("""COMPUTED_VALUE"""),"https://drive.google.com/open?id=1T7HzJHssetYB7zg4wp6q_AlMMqt2bKqd&amp;usp=drive_fs")</f>
        <v>https://drive.google.com/open?id=1T7HzJHssetYB7zg4wp6q_AlMMqt2bKqd&amp;usp=drive_fs</v>
      </c>
      <c r="B1167" s="73" t="str">
        <f>IFERROR(__xludf.DUMMYFUNCTION("""COMPUTED_VALUE"""),"Food")</f>
        <v>Food</v>
      </c>
      <c r="C1167" s="73" t="str">
        <f>IFERROR(__xludf.DUMMYFUNCTION("""COMPUTED_VALUE"""),"Chocolate")</f>
        <v>Chocolate</v>
      </c>
      <c r="D1167" s="73" t="str">
        <f>IFERROR(__xludf.DUMMYFUNCTION("""COMPUTED_VALUE"""),"142*91.5*28 mm | 5.6*3.6*1.1 inch")</f>
        <v>142*91.5*28 mm | 5.6*3.6*1.1 inch</v>
      </c>
      <c r="E1167" s="77">
        <f>IFERROR(__xludf.DUMMYFUNCTION("""COMPUTED_VALUE"""),2.0)</f>
        <v>2</v>
      </c>
      <c r="F1167" s="77">
        <f>IFERROR(__xludf.DUMMYFUNCTION("""COMPUTED_VALUE"""),1926.0)</f>
        <v>1926</v>
      </c>
      <c r="G1167" s="77">
        <f>IFERROR(__xludf.DUMMYFUNCTION("""COMPUTED_VALUE"""),18.0)</f>
        <v>18</v>
      </c>
      <c r="H1167" s="77">
        <f>IFERROR(__xludf.DUMMYFUNCTION("""COMPUTED_VALUE"""),25.0)</f>
        <v>25</v>
      </c>
      <c r="I1167" s="77">
        <f>IFERROR(__xludf.DUMMYFUNCTION("""COMPUTED_VALUE"""),100.0)</f>
        <v>100</v>
      </c>
      <c r="J1167" s="73"/>
      <c r="K1167" s="73"/>
      <c r="L1167" s="73"/>
      <c r="M1167" s="77">
        <f>IFERROR(__xludf.DUMMYFUNCTION("""COMPUTED_VALUE"""),0.15)</f>
        <v>0.15</v>
      </c>
      <c r="N1167" s="77">
        <f>IFERROR(__xludf.DUMMYFUNCTION("""COMPUTED_VALUE"""),1.0)</f>
        <v>1</v>
      </c>
      <c r="O1167" s="49"/>
      <c r="P1167" s="49" t="str">
        <f>IFERROR(__xludf.DUMMYFUNCTION("""COMPUTED_VALUE"""),"Offset")</f>
        <v>Offset</v>
      </c>
      <c r="Q1167" s="49" t="str">
        <f>IFERROR(__xludf.DUMMYFUNCTION("""COMPUTED_VALUE"""),"Packaging")</f>
        <v>Packaging</v>
      </c>
      <c r="R1167" s="49" t="str">
        <f>IFERROR(__xludf.DUMMYFUNCTION("""COMPUTED_VALUE"""),"Food")</f>
        <v>Food</v>
      </c>
    </row>
    <row r="1168">
      <c r="A1168" s="156" t="str">
        <f>IFERROR(__xludf.DUMMYFUNCTION("""COMPUTED_VALUE"""),"https://drive.google.com/open?id=1TBZ3bH_2LByQpoUh-4q1lZHVYmkK7MCE&amp;usp=drive_fs")</f>
        <v>https://drive.google.com/open?id=1TBZ3bH_2LByQpoUh-4q1lZHVYmkK7MCE&amp;usp=drive_fs</v>
      </c>
      <c r="B1168" s="73" t="str">
        <f>IFERROR(__xludf.DUMMYFUNCTION("""COMPUTED_VALUE"""),"Food")</f>
        <v>Food</v>
      </c>
      <c r="C1168" s="73" t="str">
        <f>IFERROR(__xludf.DUMMYFUNCTION("""COMPUTED_VALUE"""),"Chocolate")</f>
        <v>Chocolate</v>
      </c>
      <c r="D1168" s="73" t="str">
        <f>IFERROR(__xludf.DUMMYFUNCTION("""COMPUTED_VALUE"""),"185*145*30 mm | 7.2*5.7*1.2 inch")</f>
        <v>185*145*30 mm | 7.2*5.7*1.2 inch</v>
      </c>
      <c r="E1168" s="77">
        <f>IFERROR(__xludf.DUMMYFUNCTION("""COMPUTED_VALUE"""),2.0)</f>
        <v>2</v>
      </c>
      <c r="F1168" s="77">
        <f>IFERROR(__xludf.DUMMYFUNCTION("""COMPUTED_VALUE"""),2029.0)</f>
        <v>2029</v>
      </c>
      <c r="G1168" s="77">
        <f>IFERROR(__xludf.DUMMYFUNCTION("""COMPUTED_VALUE"""),20.0)</f>
        <v>20</v>
      </c>
      <c r="H1168" s="77">
        <f>IFERROR(__xludf.DUMMYFUNCTION("""COMPUTED_VALUE"""),28.0)</f>
        <v>28</v>
      </c>
      <c r="I1168" s="77">
        <f>IFERROR(__xludf.DUMMYFUNCTION("""COMPUTED_VALUE"""),100.0)</f>
        <v>100</v>
      </c>
      <c r="J1168" s="73"/>
      <c r="K1168" s="73"/>
      <c r="L1168" s="73"/>
      <c r="M1168" s="77">
        <f>IFERROR(__xludf.DUMMYFUNCTION("""COMPUTED_VALUE"""),0.35)</f>
        <v>0.35</v>
      </c>
      <c r="N1168" s="77">
        <f>IFERROR(__xludf.DUMMYFUNCTION("""COMPUTED_VALUE"""),1.0)</f>
        <v>1</v>
      </c>
      <c r="O1168" s="49"/>
      <c r="P1168" s="49" t="str">
        <f>IFERROR(__xludf.DUMMYFUNCTION("""COMPUTED_VALUE"""),"Offset")</f>
        <v>Offset</v>
      </c>
      <c r="Q1168" s="49" t="str">
        <f>IFERROR(__xludf.DUMMYFUNCTION("""COMPUTED_VALUE"""),"Packaging")</f>
        <v>Packaging</v>
      </c>
      <c r="R1168" s="49" t="str">
        <f>IFERROR(__xludf.DUMMYFUNCTION("""COMPUTED_VALUE"""),"Food")</f>
        <v>Food</v>
      </c>
    </row>
    <row r="1169">
      <c r="A1169" s="156" t="str">
        <f>IFERROR(__xludf.DUMMYFUNCTION("""COMPUTED_VALUE"""),"https://drive.google.com/open?id=1TZZ2hHKKC59-SZn3f6kQmLr2dpcNuO3d&amp;usp=drive_fs")</f>
        <v>https://drive.google.com/open?id=1TZZ2hHKKC59-SZn3f6kQmLr2dpcNuO3d&amp;usp=drive_fs</v>
      </c>
      <c r="B1169" s="73" t="str">
        <f>IFERROR(__xludf.DUMMYFUNCTION("""COMPUTED_VALUE"""),"Food")</f>
        <v>Food</v>
      </c>
      <c r="C1169" s="73" t="str">
        <f>IFERROR(__xludf.DUMMYFUNCTION("""COMPUTED_VALUE"""),"Chocolate")</f>
        <v>Chocolate</v>
      </c>
      <c r="D1169" s="73" t="str">
        <f>IFERROR(__xludf.DUMMYFUNCTION("""COMPUTED_VALUE"""),"88*12*165 mm | 3.5*0.5*6.5 inch")</f>
        <v>88*12*165 mm | 3.5*0.5*6.5 inch</v>
      </c>
      <c r="E1169" s="77">
        <f>IFERROR(__xludf.DUMMYFUNCTION("""COMPUTED_VALUE"""),4.0)</f>
        <v>4</v>
      </c>
      <c r="F1169" s="77">
        <f>IFERROR(__xludf.DUMMYFUNCTION("""COMPUTED_VALUE"""),1926.0)</f>
        <v>1926</v>
      </c>
      <c r="G1169" s="77">
        <f>IFERROR(__xludf.DUMMYFUNCTION("""COMPUTED_VALUE"""),19.5)</f>
        <v>19.5</v>
      </c>
      <c r="H1169" s="77">
        <f>IFERROR(__xludf.DUMMYFUNCTION("""COMPUTED_VALUE"""),23.0)</f>
        <v>23</v>
      </c>
      <c r="I1169" s="77">
        <f>IFERROR(__xludf.DUMMYFUNCTION("""COMPUTED_VALUE"""),100.0)</f>
        <v>100</v>
      </c>
      <c r="J1169" s="73"/>
      <c r="K1169" s="73"/>
      <c r="L1169" s="73"/>
      <c r="M1169" s="77"/>
      <c r="N1169" s="77">
        <f>IFERROR(__xludf.DUMMYFUNCTION("""COMPUTED_VALUE"""),1.0)</f>
        <v>1</v>
      </c>
      <c r="O1169" s="49"/>
      <c r="P1169" s="49" t="str">
        <f>IFERROR(__xludf.DUMMYFUNCTION("""COMPUTED_VALUE"""),"Offset")</f>
        <v>Offset</v>
      </c>
      <c r="Q1169" s="49" t="str">
        <f>IFERROR(__xludf.DUMMYFUNCTION("""COMPUTED_VALUE"""),"Packaging")</f>
        <v>Packaging</v>
      </c>
      <c r="R1169" s="49" t="str">
        <f>IFERROR(__xludf.DUMMYFUNCTION("""COMPUTED_VALUE"""),"Food")</f>
        <v>Food</v>
      </c>
    </row>
    <row r="1170">
      <c r="A1170" s="156" t="str">
        <f>IFERROR(__xludf.DUMMYFUNCTION("""COMPUTED_VALUE"""),"https://drive.google.com/open?id=1KkeFiNYg6uqGgov5SB0woAVKHAHI2hc5&amp;usp=drive_fs")</f>
        <v>https://drive.google.com/open?id=1KkeFiNYg6uqGgov5SB0woAVKHAHI2hc5&amp;usp=drive_fs</v>
      </c>
      <c r="B1170" s="73" t="str">
        <f>IFERROR(__xludf.DUMMYFUNCTION("""COMPUTED_VALUE"""),"Food")</f>
        <v>Food</v>
      </c>
      <c r="C1170" s="73" t="str">
        <f>IFERROR(__xludf.DUMMYFUNCTION("""COMPUTED_VALUE"""),"Dates")</f>
        <v>Dates</v>
      </c>
      <c r="D1170" s="73" t="str">
        <f>IFERROR(__xludf.DUMMYFUNCTION("""COMPUTED_VALUE"""),"240*150*40 mm | 9.5*6*1.5 inch")</f>
        <v>240*150*40 mm | 9.5*6*1.5 inch</v>
      </c>
      <c r="E1170" s="77">
        <f>IFERROR(__xludf.DUMMYFUNCTION("""COMPUTED_VALUE"""),1.0)</f>
        <v>1</v>
      </c>
      <c r="F1170" s="77">
        <f>IFERROR(__xludf.DUMMYFUNCTION("""COMPUTED_VALUE"""),1926.0)</f>
        <v>1926</v>
      </c>
      <c r="G1170" s="77">
        <f>IFERROR(__xludf.DUMMYFUNCTION("""COMPUTED_VALUE"""),19.0)</f>
        <v>19</v>
      </c>
      <c r="H1170" s="77">
        <f>IFERROR(__xludf.DUMMYFUNCTION("""COMPUTED_VALUE"""),26.0)</f>
        <v>26</v>
      </c>
      <c r="I1170" s="77">
        <f>IFERROR(__xludf.DUMMYFUNCTION("""COMPUTED_VALUE"""),100.0)</f>
        <v>100</v>
      </c>
      <c r="J1170" s="73"/>
      <c r="K1170" s="73"/>
      <c r="L1170" s="73">
        <f>IFERROR(__xludf.DUMMYFUNCTION("""COMPUTED_VALUE"""),1.5)</f>
        <v>1.5</v>
      </c>
      <c r="M1170" s="77">
        <f>IFERROR(__xludf.DUMMYFUNCTION("""COMPUTED_VALUE"""),0.15)</f>
        <v>0.15</v>
      </c>
      <c r="N1170" s="77">
        <f>IFERROR(__xludf.DUMMYFUNCTION("""COMPUTED_VALUE"""),1.0)</f>
        <v>1</v>
      </c>
      <c r="O1170" s="49"/>
      <c r="P1170" s="49" t="str">
        <f>IFERROR(__xludf.DUMMYFUNCTION("""COMPUTED_VALUE"""),"Offset")</f>
        <v>Offset</v>
      </c>
      <c r="Q1170" s="49" t="str">
        <f>IFERROR(__xludf.DUMMYFUNCTION("""COMPUTED_VALUE"""),"Packaging")</f>
        <v>Packaging</v>
      </c>
      <c r="R1170" s="49" t="str">
        <f>IFERROR(__xludf.DUMMYFUNCTION("""COMPUTED_VALUE"""),"Food")</f>
        <v>Food</v>
      </c>
    </row>
    <row r="1171">
      <c r="A1171" s="156" t="str">
        <f>IFERROR(__xludf.DUMMYFUNCTION("""COMPUTED_VALUE"""),"https://drive.google.com/open?id=1Kv597v7WsF3ZgMrFsLEHGe31_66-i-2H&amp;usp=drive_fs")</f>
        <v>https://drive.google.com/open?id=1Kv597v7WsF3ZgMrFsLEHGe31_66-i-2H&amp;usp=drive_fs</v>
      </c>
      <c r="B1171" s="73" t="str">
        <f>IFERROR(__xludf.DUMMYFUNCTION("""COMPUTED_VALUE"""),"Food")</f>
        <v>Food</v>
      </c>
      <c r="C1171" s="73" t="str">
        <f>IFERROR(__xludf.DUMMYFUNCTION("""COMPUTED_VALUE"""),"Dates")</f>
        <v>Dates</v>
      </c>
      <c r="D1171" s="73" t="str">
        <f>IFERROR(__xludf.DUMMYFUNCTION("""COMPUTED_VALUE"""),"322*188*40 mm | 12.6*7.4*1.5 inch")</f>
        <v>322*188*40 mm | 12.6*7.4*1.5 inch</v>
      </c>
      <c r="E1171" s="77">
        <f>IFERROR(__xludf.DUMMYFUNCTION("""COMPUTED_VALUE"""),1.0)</f>
        <v>1</v>
      </c>
      <c r="F1171" s="77">
        <f>IFERROR(__xludf.DUMMYFUNCTION("""COMPUTED_VALUE"""),2840.0)</f>
        <v>2840</v>
      </c>
      <c r="G1171" s="77">
        <f>IFERROR(__xludf.DUMMYFUNCTION("""COMPUTED_VALUE"""),25.0)</f>
        <v>25</v>
      </c>
      <c r="H1171" s="77">
        <f>IFERROR(__xludf.DUMMYFUNCTION("""COMPUTED_VALUE"""),30.0)</f>
        <v>30</v>
      </c>
      <c r="I1171" s="77">
        <f>IFERROR(__xludf.DUMMYFUNCTION("""COMPUTED_VALUE"""),100.0)</f>
        <v>100</v>
      </c>
      <c r="J1171" s="73"/>
      <c r="K1171" s="73"/>
      <c r="L1171" s="73">
        <f>IFERROR(__xludf.DUMMYFUNCTION("""COMPUTED_VALUE"""),2.0)</f>
        <v>2</v>
      </c>
      <c r="M1171" s="77">
        <f>IFERROR(__xludf.DUMMYFUNCTION("""COMPUTED_VALUE"""),0.18)</f>
        <v>0.18</v>
      </c>
      <c r="N1171" s="77">
        <f>IFERROR(__xludf.DUMMYFUNCTION("""COMPUTED_VALUE"""),1.0)</f>
        <v>1</v>
      </c>
      <c r="O1171" s="49"/>
      <c r="P1171" s="49" t="str">
        <f>IFERROR(__xludf.DUMMYFUNCTION("""COMPUTED_VALUE"""),"Offset")</f>
        <v>Offset</v>
      </c>
      <c r="Q1171" s="49" t="str">
        <f>IFERROR(__xludf.DUMMYFUNCTION("""COMPUTED_VALUE"""),"Packaging")</f>
        <v>Packaging</v>
      </c>
      <c r="R1171" s="49" t="str">
        <f>IFERROR(__xludf.DUMMYFUNCTION("""COMPUTED_VALUE"""),"Food")</f>
        <v>Food</v>
      </c>
    </row>
    <row r="1172">
      <c r="A1172" s="156" t="str">
        <f>IFERROR(__xludf.DUMMYFUNCTION("""COMPUTED_VALUE"""),"https://drive.google.com/open?id=1-tYOanmmgWUQeAjR5yhb4mufS1Up8igb&amp;usp=drive_fs")</f>
        <v>https://drive.google.com/open?id=1-tYOanmmgWUQeAjR5yhb4mufS1Up8igb&amp;usp=drive_fs</v>
      </c>
      <c r="B1172" s="73" t="str">
        <f>IFERROR(__xludf.DUMMYFUNCTION("""COMPUTED_VALUE"""),"Food")</f>
        <v>Food</v>
      </c>
      <c r="C1172" s="73" t="str">
        <f>IFERROR(__xludf.DUMMYFUNCTION("""COMPUTED_VALUE"""),"Cookies")</f>
        <v>Cookies</v>
      </c>
      <c r="D1172" s="73" t="str">
        <f>IFERROR(__xludf.DUMMYFUNCTION("""COMPUTED_VALUE"""),"145*45*195 mm | 5.7*1.7*7.7 inch")</f>
        <v>145*45*195 mm | 5.7*1.7*7.7 inch</v>
      </c>
      <c r="E1172" s="77">
        <f>IFERROR(__xludf.DUMMYFUNCTION("""COMPUTED_VALUE"""),2.0)</f>
        <v>2</v>
      </c>
      <c r="F1172" s="77">
        <f>IFERROR(__xludf.DUMMYFUNCTION("""COMPUTED_VALUE"""),1926.0)</f>
        <v>1926</v>
      </c>
      <c r="G1172" s="77">
        <f>IFERROR(__xludf.DUMMYFUNCTION("""COMPUTED_VALUE"""),18.0)</f>
        <v>18</v>
      </c>
      <c r="H1172" s="77">
        <f>IFERROR(__xludf.DUMMYFUNCTION("""COMPUTED_VALUE"""),23.0)</f>
        <v>23</v>
      </c>
      <c r="I1172" s="77">
        <f>IFERROR(__xludf.DUMMYFUNCTION("""COMPUTED_VALUE"""),100.0)</f>
        <v>100</v>
      </c>
      <c r="J1172" s="73"/>
      <c r="K1172" s="73"/>
      <c r="L1172" s="73"/>
      <c r="M1172" s="77">
        <f>IFERROR(__xludf.DUMMYFUNCTION("""COMPUTED_VALUE"""),0.1)</f>
        <v>0.1</v>
      </c>
      <c r="N1172" s="77">
        <f>IFERROR(__xludf.DUMMYFUNCTION("""COMPUTED_VALUE"""),1.0)</f>
        <v>1</v>
      </c>
      <c r="O1172" s="49"/>
      <c r="P1172" s="49" t="str">
        <f>IFERROR(__xludf.DUMMYFUNCTION("""COMPUTED_VALUE"""),"Offset")</f>
        <v>Offset</v>
      </c>
      <c r="Q1172" s="49" t="str">
        <f>IFERROR(__xludf.DUMMYFUNCTION("""COMPUTED_VALUE"""),"Packaging")</f>
        <v>Packaging</v>
      </c>
      <c r="R1172" s="49" t="str">
        <f>IFERROR(__xludf.DUMMYFUNCTION("""COMPUTED_VALUE"""),"Food")</f>
        <v>Food</v>
      </c>
    </row>
    <row r="1173">
      <c r="A1173" s="156" t="str">
        <f>IFERROR(__xludf.DUMMYFUNCTION("""COMPUTED_VALUE"""),"https://drive.google.com/open?id=13KbV0afuPYgDjMP1RAdPJfZ8H3Sisl_p&amp;usp=drive_fs")</f>
        <v>https://drive.google.com/open?id=13KbV0afuPYgDjMP1RAdPJfZ8H3Sisl_p&amp;usp=drive_fs</v>
      </c>
      <c r="B1173" s="73" t="str">
        <f>IFERROR(__xludf.DUMMYFUNCTION("""COMPUTED_VALUE"""),"Food")</f>
        <v>Food</v>
      </c>
      <c r="C1173" s="73" t="str">
        <f>IFERROR(__xludf.DUMMYFUNCTION("""COMPUTED_VALUE"""),"Dates")</f>
        <v>Dates</v>
      </c>
      <c r="D1173" s="73" t="str">
        <f>IFERROR(__xludf.DUMMYFUNCTION("""COMPUTED_VALUE"""),"280*203*64 mm | 11*8*2.5 inch")</f>
        <v>280*203*64 mm | 11*8*2.5 inch</v>
      </c>
      <c r="E1173" s="77">
        <f>IFERROR(__xludf.DUMMYFUNCTION("""COMPUTED_VALUE"""),2.0)</f>
        <v>2</v>
      </c>
      <c r="F1173" s="77">
        <f>IFERROR(__xludf.DUMMYFUNCTION("""COMPUTED_VALUE"""),2029.0)</f>
        <v>2029</v>
      </c>
      <c r="G1173" s="77">
        <f>IFERROR(__xludf.DUMMYFUNCTION("""COMPUTED_VALUE"""),20.0)</f>
        <v>20</v>
      </c>
      <c r="H1173" s="77">
        <f>IFERROR(__xludf.DUMMYFUNCTION("""COMPUTED_VALUE"""),28.0)</f>
        <v>28</v>
      </c>
      <c r="I1173" s="77">
        <f>IFERROR(__xludf.DUMMYFUNCTION("""COMPUTED_VALUE"""),100.0)</f>
        <v>100</v>
      </c>
      <c r="J1173" s="73"/>
      <c r="K1173" s="73"/>
      <c r="L1173" s="73">
        <f>IFERROR(__xludf.DUMMYFUNCTION("""COMPUTED_VALUE"""),1.0)</f>
        <v>1</v>
      </c>
      <c r="M1173" s="77"/>
      <c r="N1173" s="77">
        <f>IFERROR(__xludf.DUMMYFUNCTION("""COMPUTED_VALUE"""),1.0)</f>
        <v>1</v>
      </c>
      <c r="O1173" s="49"/>
      <c r="P1173" s="49" t="str">
        <f>IFERROR(__xludf.DUMMYFUNCTION("""COMPUTED_VALUE"""),"Offset")</f>
        <v>Offset</v>
      </c>
      <c r="Q1173" s="49" t="str">
        <f>IFERROR(__xludf.DUMMYFUNCTION("""COMPUTED_VALUE"""),"Packaging")</f>
        <v>Packaging</v>
      </c>
      <c r="R1173" s="49" t="str">
        <f>IFERROR(__xludf.DUMMYFUNCTION("""COMPUTED_VALUE"""),"Food")</f>
        <v>Food</v>
      </c>
    </row>
    <row r="1174">
      <c r="A1174" s="156" t="str">
        <f>IFERROR(__xludf.DUMMYFUNCTION("""COMPUTED_VALUE"""),"https://drive.google.com/open?id=13KbV0afuPYgDjMP1RAdPJfZ8H3Sisl_p&amp;usp=drive_fs")</f>
        <v>https://drive.google.com/open?id=13KbV0afuPYgDjMP1RAdPJfZ8H3Sisl_p&amp;usp=drive_fs</v>
      </c>
      <c r="B1174" s="73" t="str">
        <f>IFERROR(__xludf.DUMMYFUNCTION("""COMPUTED_VALUE"""),"Food")</f>
        <v>Food</v>
      </c>
      <c r="C1174" s="73" t="str">
        <f>IFERROR(__xludf.DUMMYFUNCTION("""COMPUTED_VALUE"""),"Dates")</f>
        <v>Dates</v>
      </c>
      <c r="D1174" s="73" t="str">
        <f>IFERROR(__xludf.DUMMYFUNCTION("""COMPUTED_VALUE"""),"280*203*64 mm | 11*8*2.5 inch | 22*14")</f>
        <v>280*203*64 mm | 11*8*2.5 inch | 22*14</v>
      </c>
      <c r="E1174" s="77">
        <f>IFERROR(__xludf.DUMMYFUNCTION("""COMPUTED_VALUE"""),1.0)</f>
        <v>1</v>
      </c>
      <c r="F1174" s="77">
        <f>IFERROR(__xludf.DUMMYFUNCTION("""COMPUTED_VALUE"""),1926.0)</f>
        <v>1926</v>
      </c>
      <c r="G1174" s="77">
        <f>IFERROR(__xludf.DUMMYFUNCTION("""COMPUTED_VALUE"""),14.0)</f>
        <v>14</v>
      </c>
      <c r="H1174" s="77">
        <f>IFERROR(__xludf.DUMMYFUNCTION("""COMPUTED_VALUE"""),22.0)</f>
        <v>22</v>
      </c>
      <c r="I1174" s="77">
        <f>IFERROR(__xludf.DUMMYFUNCTION("""COMPUTED_VALUE"""),100.0)</f>
        <v>100</v>
      </c>
      <c r="J1174" s="73"/>
      <c r="K1174" s="73"/>
      <c r="L1174" s="73"/>
      <c r="M1174" s="77"/>
      <c r="N1174" s="77">
        <f>IFERROR(__xludf.DUMMYFUNCTION("""COMPUTED_VALUE"""),1.0)</f>
        <v>1</v>
      </c>
      <c r="O1174" s="49"/>
      <c r="P1174" s="49" t="str">
        <f>IFERROR(__xludf.DUMMYFUNCTION("""COMPUTED_VALUE"""),"Offset")</f>
        <v>Offset</v>
      </c>
      <c r="Q1174" s="49" t="str">
        <f>IFERROR(__xludf.DUMMYFUNCTION("""COMPUTED_VALUE"""),"Packaging")</f>
        <v>Packaging</v>
      </c>
      <c r="R1174" s="49" t="str">
        <f>IFERROR(__xludf.DUMMYFUNCTION("""COMPUTED_VALUE"""),"Food")</f>
        <v>Food</v>
      </c>
    </row>
    <row r="1175">
      <c r="A1175" s="156" t="str">
        <f>IFERROR(__xludf.DUMMYFUNCTION("""COMPUTED_VALUE"""),"https://drive.google.com/open?id=1a9gsZC63HaCI-X3ih2w00s-7DUIMJJBe&amp;usp=drive_fs")</f>
        <v>https://drive.google.com/open?id=1a9gsZC63HaCI-X3ih2w00s-7DUIMJJBe&amp;usp=drive_fs</v>
      </c>
      <c r="B1175" s="73" t="str">
        <f>IFERROR(__xludf.DUMMYFUNCTION("""COMPUTED_VALUE"""),"Food")</f>
        <v>Food</v>
      </c>
      <c r="C1175" s="73" t="str">
        <f>IFERROR(__xludf.DUMMYFUNCTION("""COMPUTED_VALUE"""),"Cookies")</f>
        <v>Cookies</v>
      </c>
      <c r="D1175" s="73" t="str">
        <f>IFERROR(__xludf.DUMMYFUNCTION("""COMPUTED_VALUE"""),"120*50*200 mm | 5*2*8 inch")</f>
        <v>120*50*200 mm | 5*2*8 inch</v>
      </c>
      <c r="E1175" s="77">
        <f>IFERROR(__xludf.DUMMYFUNCTION("""COMPUTED_VALUE"""),2.0)</f>
        <v>2</v>
      </c>
      <c r="F1175" s="77">
        <f>IFERROR(__xludf.DUMMYFUNCTION("""COMPUTED_VALUE"""),1926.0)</f>
        <v>1926</v>
      </c>
      <c r="G1175" s="77">
        <f>IFERROR(__xludf.DUMMYFUNCTION("""COMPUTED_VALUE"""),15.0)</f>
        <v>15</v>
      </c>
      <c r="H1175" s="77">
        <f>IFERROR(__xludf.DUMMYFUNCTION("""COMPUTED_VALUE"""),25.0)</f>
        <v>25</v>
      </c>
      <c r="I1175" s="77">
        <f>IFERROR(__xludf.DUMMYFUNCTION("""COMPUTED_VALUE"""),100.0)</f>
        <v>100</v>
      </c>
      <c r="J1175" s="73"/>
      <c r="K1175" s="73"/>
      <c r="L1175" s="73"/>
      <c r="M1175" s="77">
        <f>IFERROR(__xludf.DUMMYFUNCTION("""COMPUTED_VALUE"""),0.1)</f>
        <v>0.1</v>
      </c>
      <c r="N1175" s="77">
        <f>IFERROR(__xludf.DUMMYFUNCTION("""COMPUTED_VALUE"""),1.0)</f>
        <v>1</v>
      </c>
      <c r="O1175" s="49"/>
      <c r="P1175" s="49" t="str">
        <f>IFERROR(__xludf.DUMMYFUNCTION("""COMPUTED_VALUE"""),"Offset")</f>
        <v>Offset</v>
      </c>
      <c r="Q1175" s="49" t="str">
        <f>IFERROR(__xludf.DUMMYFUNCTION("""COMPUTED_VALUE"""),"Packaging")</f>
        <v>Packaging</v>
      </c>
      <c r="R1175" s="49" t="str">
        <f>IFERROR(__xludf.DUMMYFUNCTION("""COMPUTED_VALUE"""),"Food")</f>
        <v>Food</v>
      </c>
    </row>
    <row r="1176">
      <c r="A1176" s="156" t="str">
        <f>IFERROR(__xludf.DUMMYFUNCTION("""COMPUTED_VALUE"""),"https://drive.google.com/open?id=1bk7ngFpS_OMyhaj5M4fAEytb26akAKZV&amp;usp=drive_fs")</f>
        <v>https://drive.google.com/open?id=1bk7ngFpS_OMyhaj5M4fAEytb26akAKZV&amp;usp=drive_fs</v>
      </c>
      <c r="B1176" s="73" t="str">
        <f>IFERROR(__xludf.DUMMYFUNCTION("""COMPUTED_VALUE"""),"Food")</f>
        <v>Food</v>
      </c>
      <c r="C1176" s="73" t="str">
        <f>IFERROR(__xludf.DUMMYFUNCTION("""COMPUTED_VALUE"""),"Chocolate")</f>
        <v>Chocolate</v>
      </c>
      <c r="D1176" s="73" t="str">
        <f>IFERROR(__xludf.DUMMYFUNCTION("""COMPUTED_VALUE"""),"183*134*28 mm | 7.2*5.2*1.1 inch")</f>
        <v>183*134*28 mm | 7.2*5.2*1.1 inch</v>
      </c>
      <c r="E1176" s="77">
        <f>IFERROR(__xludf.DUMMYFUNCTION("""COMPUTED_VALUE"""),1.0)</f>
        <v>1</v>
      </c>
      <c r="F1176" s="77">
        <f>IFERROR(__xludf.DUMMYFUNCTION("""COMPUTED_VALUE"""),2029.0)</f>
        <v>2029</v>
      </c>
      <c r="G1176" s="77">
        <f>IFERROR(__xludf.DUMMYFUNCTION("""COMPUTED_VALUE"""),15.75)</f>
        <v>15.75</v>
      </c>
      <c r="H1176" s="77">
        <f>IFERROR(__xludf.DUMMYFUNCTION("""COMPUTED_VALUE"""),20.75)</f>
        <v>20.75</v>
      </c>
      <c r="I1176" s="77">
        <f>IFERROR(__xludf.DUMMYFUNCTION("""COMPUTED_VALUE"""),100.0)</f>
        <v>100</v>
      </c>
      <c r="J1176" s="73"/>
      <c r="K1176" s="73"/>
      <c r="L1176" s="73">
        <f>IFERROR(__xludf.DUMMYFUNCTION("""COMPUTED_VALUE"""),0.95)</f>
        <v>0.95</v>
      </c>
      <c r="M1176" s="77">
        <f>IFERROR(__xludf.DUMMYFUNCTION("""COMPUTED_VALUE"""),0.1)</f>
        <v>0.1</v>
      </c>
      <c r="N1176" s="77">
        <f>IFERROR(__xludf.DUMMYFUNCTION("""COMPUTED_VALUE"""),1.0)</f>
        <v>1</v>
      </c>
      <c r="O1176" s="49"/>
      <c r="P1176" s="49" t="str">
        <f>IFERROR(__xludf.DUMMYFUNCTION("""COMPUTED_VALUE"""),"Offset")</f>
        <v>Offset</v>
      </c>
      <c r="Q1176" s="49" t="str">
        <f>IFERROR(__xludf.DUMMYFUNCTION("""COMPUTED_VALUE"""),"Packaging")</f>
        <v>Packaging</v>
      </c>
      <c r="R1176" s="49" t="str">
        <f>IFERROR(__xludf.DUMMYFUNCTION("""COMPUTED_VALUE"""),"Food")</f>
        <v>Food</v>
      </c>
    </row>
    <row r="1177">
      <c r="A1177" s="156" t="str">
        <f>IFERROR(__xludf.DUMMYFUNCTION("""COMPUTED_VALUE"""),"https://drive.google.com/open?id=1KkeFiNYg6uqGgov5SB0woAVKHAHI2hc5&amp;usp=drive_fs")</f>
        <v>https://drive.google.com/open?id=1KkeFiNYg6uqGgov5SB0woAVKHAHI2hc5&amp;usp=drive_fs</v>
      </c>
      <c r="B1177" s="73" t="str">
        <f>IFERROR(__xludf.DUMMYFUNCTION("""COMPUTED_VALUE"""),"Food")</f>
        <v>Food</v>
      </c>
      <c r="C1177" s="73" t="str">
        <f>IFERROR(__xludf.DUMMYFUNCTION("""COMPUTED_VALUE"""),"Dates")</f>
        <v>Dates</v>
      </c>
      <c r="D1177" s="73" t="str">
        <f>IFERROR(__xludf.DUMMYFUNCTION("""COMPUTED_VALUE"""),"220*150*40 mm | 8.5*6*1.5 inch")</f>
        <v>220*150*40 mm | 8.5*6*1.5 inch</v>
      </c>
      <c r="E1177" s="77">
        <f>IFERROR(__xludf.DUMMYFUNCTION("""COMPUTED_VALUE"""),3.0)</f>
        <v>3</v>
      </c>
      <c r="F1177" s="77">
        <f>IFERROR(__xludf.DUMMYFUNCTION("""COMPUTED_VALUE"""),2029.0)</f>
        <v>2029</v>
      </c>
      <c r="G1177" s="77">
        <f>IFERROR(__xludf.DUMMYFUNCTION("""COMPUTED_VALUE"""),20.0)</f>
        <v>20</v>
      </c>
      <c r="H1177" s="77">
        <f>IFERROR(__xludf.DUMMYFUNCTION("""COMPUTED_VALUE"""),28.0)</f>
        <v>28</v>
      </c>
      <c r="I1177" s="77">
        <f>IFERROR(__xludf.DUMMYFUNCTION("""COMPUTED_VALUE"""),100.0)</f>
        <v>100</v>
      </c>
      <c r="J1177" s="73"/>
      <c r="K1177" s="73"/>
      <c r="L1177" s="73"/>
      <c r="M1177" s="77">
        <f>IFERROR(__xludf.DUMMYFUNCTION("""COMPUTED_VALUE"""),0.15)</f>
        <v>0.15</v>
      </c>
      <c r="N1177" s="77">
        <f>IFERROR(__xludf.DUMMYFUNCTION("""COMPUTED_VALUE"""),1.0)</f>
        <v>1</v>
      </c>
      <c r="O1177" s="49"/>
      <c r="P1177" s="49" t="str">
        <f>IFERROR(__xludf.DUMMYFUNCTION("""COMPUTED_VALUE"""),"Offset")</f>
        <v>Offset</v>
      </c>
      <c r="Q1177" s="49" t="str">
        <f>IFERROR(__xludf.DUMMYFUNCTION("""COMPUTED_VALUE"""),"Packaging")</f>
        <v>Packaging</v>
      </c>
      <c r="R1177" s="49" t="str">
        <f>IFERROR(__xludf.DUMMYFUNCTION("""COMPUTED_VALUE"""),"Food")</f>
        <v>Food</v>
      </c>
    </row>
    <row r="1178">
      <c r="A1178" s="73"/>
      <c r="B1178" s="73" t="str">
        <f>IFERROR(__xludf.DUMMYFUNCTION("""COMPUTED_VALUE"""),"Food")</f>
        <v>Food</v>
      </c>
      <c r="C1178" s="73" t="str">
        <f>IFERROR(__xludf.DUMMYFUNCTION("""COMPUTED_VALUE"""),"Dates")</f>
        <v>Dates</v>
      </c>
      <c r="D1178" s="73" t="str">
        <f>IFERROR(__xludf.DUMMYFUNCTION("""COMPUTED_VALUE"""),"Tray 220*150*40 mm | 8.5*6*1.5 inch")</f>
        <v>Tray 220*150*40 mm | 8.5*6*1.5 inch</v>
      </c>
      <c r="E1178" s="77">
        <f>IFERROR(__xludf.DUMMYFUNCTION("""COMPUTED_VALUE"""),1.0)</f>
        <v>1</v>
      </c>
      <c r="F1178" s="77">
        <f>IFERROR(__xludf.DUMMYFUNCTION("""COMPUTED_VALUE"""),1926.0)</f>
        <v>1926</v>
      </c>
      <c r="G1178" s="77">
        <f>IFERROR(__xludf.DUMMYFUNCTION("""COMPUTED_VALUE"""),15.75)</f>
        <v>15.75</v>
      </c>
      <c r="H1178" s="77">
        <f>IFERROR(__xludf.DUMMYFUNCTION("""COMPUTED_VALUE"""),20.75)</f>
        <v>20.75</v>
      </c>
      <c r="I1178" s="77">
        <f>IFERROR(__xludf.DUMMYFUNCTION("""COMPUTED_VALUE"""),100.0)</f>
        <v>100</v>
      </c>
      <c r="J1178" s="73"/>
      <c r="K1178" s="73"/>
      <c r="L1178" s="73"/>
      <c r="M1178" s="77"/>
      <c r="N1178" s="77">
        <f>IFERROR(__xludf.DUMMYFUNCTION("""COMPUTED_VALUE"""),1.0)</f>
        <v>1</v>
      </c>
      <c r="O1178" s="49"/>
      <c r="P1178" s="49" t="str">
        <f>IFERROR(__xludf.DUMMYFUNCTION("""COMPUTED_VALUE"""),"Offset")</f>
        <v>Offset</v>
      </c>
      <c r="Q1178" s="49" t="str">
        <f>IFERROR(__xludf.DUMMYFUNCTION("""COMPUTED_VALUE"""),"Packaging")</f>
        <v>Packaging</v>
      </c>
      <c r="R1178" s="49" t="str">
        <f>IFERROR(__xludf.DUMMYFUNCTION("""COMPUTED_VALUE"""),"Food")</f>
        <v>Food</v>
      </c>
    </row>
    <row r="1179">
      <c r="A1179" s="156" t="str">
        <f>IFERROR(__xludf.DUMMYFUNCTION("""COMPUTED_VALUE"""),"https://drive.google.com/open?id=14i9hRmI4QzF0Jyn5nV1HE0o21AsR7gO9&amp;usp=drive_fs")</f>
        <v>https://drive.google.com/open?id=14i9hRmI4QzF0Jyn5nV1HE0o21AsR7gO9&amp;usp=drive_fs</v>
      </c>
      <c r="B1179" s="73" t="str">
        <f>IFERROR(__xludf.DUMMYFUNCTION("""COMPUTED_VALUE"""),"Food")</f>
        <v>Food</v>
      </c>
      <c r="C1179" s="73" t="str">
        <f>IFERROR(__xludf.DUMMYFUNCTION("""COMPUTED_VALUE"""),"Dates")</f>
        <v>Dates</v>
      </c>
      <c r="D1179" s="73" t="str">
        <f>IFERROR(__xludf.DUMMYFUNCTION("""COMPUTED_VALUE"""),"110*50*120 mm | 4.3*1.9*4.7 inch")</f>
        <v>110*50*120 mm | 4.3*1.9*4.7 inch</v>
      </c>
      <c r="E1179" s="77">
        <f>IFERROR(__xludf.DUMMYFUNCTION("""COMPUTED_VALUE"""),4.0)</f>
        <v>4</v>
      </c>
      <c r="F1179" s="77">
        <f>IFERROR(__xludf.DUMMYFUNCTION("""COMPUTED_VALUE"""),2029.0)</f>
        <v>2029</v>
      </c>
      <c r="G1179" s="77">
        <f>IFERROR(__xludf.DUMMYFUNCTION("""COMPUTED_VALUE"""),20.0)</f>
        <v>20</v>
      </c>
      <c r="H1179" s="77">
        <f>IFERROR(__xludf.DUMMYFUNCTION("""COMPUTED_VALUE"""),28.0)</f>
        <v>28</v>
      </c>
      <c r="I1179" s="77">
        <f>IFERROR(__xludf.DUMMYFUNCTION("""COMPUTED_VALUE"""),100.0)</f>
        <v>100</v>
      </c>
      <c r="J1179" s="73"/>
      <c r="K1179" s="73"/>
      <c r="L1179" s="73"/>
      <c r="M1179" s="77">
        <f>IFERROR(__xludf.DUMMYFUNCTION("""COMPUTED_VALUE"""),0.1)</f>
        <v>0.1</v>
      </c>
      <c r="N1179" s="77">
        <f>IFERROR(__xludf.DUMMYFUNCTION("""COMPUTED_VALUE"""),1.0)</f>
        <v>1</v>
      </c>
      <c r="O1179" s="49"/>
      <c r="P1179" s="49" t="str">
        <f>IFERROR(__xludf.DUMMYFUNCTION("""COMPUTED_VALUE"""),"Offset")</f>
        <v>Offset</v>
      </c>
      <c r="Q1179" s="49" t="str">
        <f>IFERROR(__xludf.DUMMYFUNCTION("""COMPUTED_VALUE"""),"Packaging")</f>
        <v>Packaging</v>
      </c>
      <c r="R1179" s="49" t="str">
        <f>IFERROR(__xludf.DUMMYFUNCTION("""COMPUTED_VALUE"""),"Food")</f>
        <v>Food</v>
      </c>
    </row>
    <row r="1180">
      <c r="A1180" s="73"/>
      <c r="B1180" s="73" t="str">
        <f>IFERROR(__xludf.DUMMYFUNCTION("""COMPUTED_VALUE"""),"Food")</f>
        <v>Food</v>
      </c>
      <c r="C1180" s="73" t="str">
        <f>IFERROR(__xludf.DUMMYFUNCTION("""COMPUTED_VALUE"""),"Dry Fruit")</f>
        <v>Dry Fruit</v>
      </c>
      <c r="D1180" s="73" t="str">
        <f>IFERROR(__xludf.DUMMYFUNCTION("""COMPUTED_VALUE"""),"246*276*50 mm | 9.6*10.9*2 inch")</f>
        <v>246*276*50 mm | 9.6*10.9*2 inch</v>
      </c>
      <c r="E1180" s="77">
        <f>IFERROR(__xludf.DUMMYFUNCTION("""COMPUTED_VALUE"""),1.0)</f>
        <v>1</v>
      </c>
      <c r="F1180" s="77">
        <f>IFERROR(__xludf.DUMMYFUNCTION("""COMPUTED_VALUE"""),2029.0)</f>
        <v>2029</v>
      </c>
      <c r="G1180" s="77">
        <f>IFERROR(__xludf.DUMMYFUNCTION("""COMPUTED_VALUE"""),20.75)</f>
        <v>20.75</v>
      </c>
      <c r="H1180" s="77">
        <f>IFERROR(__xludf.DUMMYFUNCTION("""COMPUTED_VALUE"""),31.5)</f>
        <v>31.5</v>
      </c>
      <c r="I1180" s="77">
        <f>IFERROR(__xludf.DUMMYFUNCTION("""COMPUTED_VALUE"""),100.0)</f>
        <v>100</v>
      </c>
      <c r="J1180" s="73"/>
      <c r="K1180" s="73"/>
      <c r="L1180" s="73"/>
      <c r="M1180" s="77">
        <f>IFERROR(__xludf.DUMMYFUNCTION("""COMPUTED_VALUE"""),2.0)</f>
        <v>2</v>
      </c>
      <c r="N1180" s="77">
        <f>IFERROR(__xludf.DUMMYFUNCTION("""COMPUTED_VALUE"""),1.0)</f>
        <v>1</v>
      </c>
      <c r="O1180" s="49"/>
      <c r="P1180" s="49" t="str">
        <f>IFERROR(__xludf.DUMMYFUNCTION("""COMPUTED_VALUE"""),"Offset")</f>
        <v>Offset</v>
      </c>
      <c r="Q1180" s="49" t="str">
        <f>IFERROR(__xludf.DUMMYFUNCTION("""COMPUTED_VALUE"""),"Packaging")</f>
        <v>Packaging</v>
      </c>
      <c r="R1180" s="49" t="str">
        <f>IFERROR(__xludf.DUMMYFUNCTION("""COMPUTED_VALUE"""),"Food")</f>
        <v>Food</v>
      </c>
    </row>
    <row r="1181">
      <c r="A1181" s="73"/>
      <c r="B1181" s="73" t="str">
        <f>IFERROR(__xludf.DUMMYFUNCTION("""COMPUTED_VALUE"""),"Food")</f>
        <v>Food</v>
      </c>
      <c r="C1181" s="73" t="str">
        <f>IFERROR(__xludf.DUMMYFUNCTION("""COMPUTED_VALUE"""),"Dry Fruit")</f>
        <v>Dry Fruit</v>
      </c>
      <c r="D1181" s="73" t="str">
        <f>IFERROR(__xludf.DUMMYFUNCTION("""COMPUTED_VALUE"""),"105*47*120 mm | 4.1*1.8*4.7 inch")</f>
        <v>105*47*120 mm | 4.1*1.8*4.7 inch</v>
      </c>
      <c r="E1181" s="77">
        <f>IFERROR(__xludf.DUMMYFUNCTION("""COMPUTED_VALUE"""),4.0)</f>
        <v>4</v>
      </c>
      <c r="F1181" s="77">
        <f>IFERROR(__xludf.DUMMYFUNCTION("""COMPUTED_VALUE"""),1926.0)</f>
        <v>1926</v>
      </c>
      <c r="G1181" s="77">
        <f>IFERROR(__xludf.DUMMYFUNCTION("""COMPUTED_VALUE"""),18.0)</f>
        <v>18</v>
      </c>
      <c r="H1181" s="77">
        <f>IFERROR(__xludf.DUMMYFUNCTION("""COMPUTED_VALUE"""),25.0)</f>
        <v>25</v>
      </c>
      <c r="I1181" s="77">
        <f>IFERROR(__xludf.DUMMYFUNCTION("""COMPUTED_VALUE"""),100.0)</f>
        <v>100</v>
      </c>
      <c r="J1181" s="73"/>
      <c r="K1181" s="73"/>
      <c r="L1181" s="73"/>
      <c r="M1181" s="77">
        <f>IFERROR(__xludf.DUMMYFUNCTION("""COMPUTED_VALUE"""),0.1)</f>
        <v>0.1</v>
      </c>
      <c r="N1181" s="77">
        <f>IFERROR(__xludf.DUMMYFUNCTION("""COMPUTED_VALUE"""),1.0)</f>
        <v>1</v>
      </c>
      <c r="O1181" s="49"/>
      <c r="P1181" s="49" t="str">
        <f>IFERROR(__xludf.DUMMYFUNCTION("""COMPUTED_VALUE"""),"Offset")</f>
        <v>Offset</v>
      </c>
      <c r="Q1181" s="49" t="str">
        <f>IFERROR(__xludf.DUMMYFUNCTION("""COMPUTED_VALUE"""),"Packaging")</f>
        <v>Packaging</v>
      </c>
      <c r="R1181" s="49" t="str">
        <f>IFERROR(__xludf.DUMMYFUNCTION("""COMPUTED_VALUE"""),"Food")</f>
        <v>Food</v>
      </c>
    </row>
    <row r="1182">
      <c r="A1182" s="73"/>
      <c r="B1182" s="73" t="str">
        <f>IFERROR(__xludf.DUMMYFUNCTION("""COMPUTED_VALUE"""),"Food")</f>
        <v>Food</v>
      </c>
      <c r="C1182" s="73" t="str">
        <f>IFERROR(__xludf.DUMMYFUNCTION("""COMPUTED_VALUE"""),"Dry Fruit")</f>
        <v>Dry Fruit</v>
      </c>
      <c r="D1182" s="73" t="str">
        <f>IFERROR(__xludf.DUMMYFUNCTION("""COMPUTED_VALUE"""),"175*40*385 mm | 6.9*1.7*15.2 inch")</f>
        <v>175*40*385 mm | 6.9*1.7*15.2 inch</v>
      </c>
      <c r="E1182" s="77">
        <f>IFERROR(__xludf.DUMMYFUNCTION("""COMPUTED_VALUE"""),1.0)</f>
        <v>1</v>
      </c>
      <c r="F1182" s="77">
        <f>IFERROR(__xludf.DUMMYFUNCTION("""COMPUTED_VALUE"""),1926.0)</f>
        <v>1926</v>
      </c>
      <c r="G1182" s="77">
        <f>IFERROR(__xludf.DUMMYFUNCTION("""COMPUTED_VALUE"""),23.0)</f>
        <v>23</v>
      </c>
      <c r="H1182" s="77">
        <f>IFERROR(__xludf.DUMMYFUNCTION("""COMPUTED_VALUE"""),18.0)</f>
        <v>18</v>
      </c>
      <c r="I1182" s="77">
        <f>IFERROR(__xludf.DUMMYFUNCTION("""COMPUTED_VALUE"""),100.0)</f>
        <v>100</v>
      </c>
      <c r="J1182" s="73"/>
      <c r="K1182" s="73"/>
      <c r="L1182" s="73"/>
      <c r="M1182" s="77">
        <f>IFERROR(__xludf.DUMMYFUNCTION("""COMPUTED_VALUE"""),0.2)</f>
        <v>0.2</v>
      </c>
      <c r="N1182" s="77">
        <f>IFERROR(__xludf.DUMMYFUNCTION("""COMPUTED_VALUE"""),1.0)</f>
        <v>1</v>
      </c>
      <c r="O1182" s="49"/>
      <c r="P1182" s="49" t="str">
        <f>IFERROR(__xludf.DUMMYFUNCTION("""COMPUTED_VALUE"""),"Offset")</f>
        <v>Offset</v>
      </c>
      <c r="Q1182" s="49" t="str">
        <f>IFERROR(__xludf.DUMMYFUNCTION("""COMPUTED_VALUE"""),"Packaging")</f>
        <v>Packaging</v>
      </c>
      <c r="R1182" s="49" t="str">
        <f>IFERROR(__xludf.DUMMYFUNCTION("""COMPUTED_VALUE"""),"Food")</f>
        <v>Food</v>
      </c>
    </row>
    <row r="1183">
      <c r="A1183" s="73"/>
      <c r="B1183" s="73" t="str">
        <f>IFERROR(__xludf.DUMMYFUNCTION("""COMPUTED_VALUE"""),"Food")</f>
        <v>Food</v>
      </c>
      <c r="C1183" s="73" t="str">
        <f>IFERROR(__xludf.DUMMYFUNCTION("""COMPUTED_VALUE"""),"Dry Fruit")</f>
        <v>Dry Fruit</v>
      </c>
      <c r="D1183" s="73" t="str">
        <f>IFERROR(__xludf.DUMMYFUNCTION("""COMPUTED_VALUE"""),"90*40*130 mm | 3.5*1.5*5.2 inch")</f>
        <v>90*40*130 mm | 3.5*1.5*5.2 inch</v>
      </c>
      <c r="E1183" s="77">
        <f>IFERROR(__xludf.DUMMYFUNCTION("""COMPUTED_VALUE"""),3.0)</f>
        <v>3</v>
      </c>
      <c r="F1183" s="77">
        <f>IFERROR(__xludf.DUMMYFUNCTION("""COMPUTED_VALUE"""),1926.0)</f>
        <v>1926</v>
      </c>
      <c r="G1183" s="77">
        <f>IFERROR(__xludf.DUMMYFUNCTION("""COMPUTED_VALUE"""),15.0)</f>
        <v>15</v>
      </c>
      <c r="H1183" s="77">
        <f>IFERROR(__xludf.DUMMYFUNCTION("""COMPUTED_VALUE"""),25.0)</f>
        <v>25</v>
      </c>
      <c r="I1183" s="77">
        <f>IFERROR(__xludf.DUMMYFUNCTION("""COMPUTED_VALUE"""),100.0)</f>
        <v>100</v>
      </c>
      <c r="J1183" s="73"/>
      <c r="K1183" s="73"/>
      <c r="L1183" s="73"/>
      <c r="M1183" s="77">
        <f>IFERROR(__xludf.DUMMYFUNCTION("""COMPUTED_VALUE"""),0.1)</f>
        <v>0.1</v>
      </c>
      <c r="N1183" s="77">
        <f>IFERROR(__xludf.DUMMYFUNCTION("""COMPUTED_VALUE"""),1.0)</f>
        <v>1</v>
      </c>
      <c r="O1183" s="49"/>
      <c r="P1183" s="49" t="str">
        <f>IFERROR(__xludf.DUMMYFUNCTION("""COMPUTED_VALUE"""),"Offset")</f>
        <v>Offset</v>
      </c>
      <c r="Q1183" s="49" t="str">
        <f>IFERROR(__xludf.DUMMYFUNCTION("""COMPUTED_VALUE"""),"Packaging")</f>
        <v>Packaging</v>
      </c>
      <c r="R1183" s="49" t="str">
        <f>IFERROR(__xludf.DUMMYFUNCTION("""COMPUTED_VALUE"""),"Food")</f>
        <v>Food</v>
      </c>
    </row>
    <row r="1184">
      <c r="A1184" s="156" t="str">
        <f>IFERROR(__xludf.DUMMYFUNCTION("""COMPUTED_VALUE"""),"https://drive.google.com/open?id=1-16c5viRDTAozDTnHrPsfgXdZhFQ6nyf&amp;usp=drive_fs")</f>
        <v>https://drive.google.com/open?id=1-16c5viRDTAozDTnHrPsfgXdZhFQ6nyf&amp;usp=drive_fs</v>
      </c>
      <c r="B1184" s="73" t="str">
        <f>IFERROR(__xludf.DUMMYFUNCTION("""COMPUTED_VALUE"""),"Food")</f>
        <v>Food</v>
      </c>
      <c r="C1184" s="73" t="str">
        <f>IFERROR(__xludf.DUMMYFUNCTION("""COMPUTED_VALUE"""),"Dry Fruit")</f>
        <v>Dry Fruit</v>
      </c>
      <c r="D1184" s="73" t="str">
        <f>IFERROR(__xludf.DUMMYFUNCTION("""COMPUTED_VALUE"""),"75*38*129 mm | 2.9*1.5*5 inch")</f>
        <v>75*38*129 mm | 2.9*1.5*5 inch</v>
      </c>
      <c r="E1184" s="77">
        <f>IFERROR(__xludf.DUMMYFUNCTION("""COMPUTED_VALUE"""),3.0)</f>
        <v>3</v>
      </c>
      <c r="F1184" s="77">
        <f>IFERROR(__xludf.DUMMYFUNCTION("""COMPUTED_VALUE"""),1926.0)</f>
        <v>1926</v>
      </c>
      <c r="G1184" s="77">
        <f>IFERROR(__xludf.DUMMYFUNCTION("""COMPUTED_VALUE"""),12.0)</f>
        <v>12</v>
      </c>
      <c r="H1184" s="77">
        <f>IFERROR(__xludf.DUMMYFUNCTION("""COMPUTED_VALUE"""),25.0)</f>
        <v>25</v>
      </c>
      <c r="I1184" s="77">
        <f>IFERROR(__xludf.DUMMYFUNCTION("""COMPUTED_VALUE"""),100.0)</f>
        <v>100</v>
      </c>
      <c r="J1184" s="73"/>
      <c r="K1184" s="73"/>
      <c r="L1184" s="73"/>
      <c r="M1184" s="77">
        <f>IFERROR(__xludf.DUMMYFUNCTION("""COMPUTED_VALUE"""),0.1)</f>
        <v>0.1</v>
      </c>
      <c r="N1184" s="77">
        <f>IFERROR(__xludf.DUMMYFUNCTION("""COMPUTED_VALUE"""),1.0)</f>
        <v>1</v>
      </c>
      <c r="O1184" s="49"/>
      <c r="P1184" s="49" t="str">
        <f>IFERROR(__xludf.DUMMYFUNCTION("""COMPUTED_VALUE"""),"Offset")</f>
        <v>Offset</v>
      </c>
      <c r="Q1184" s="49" t="str">
        <f>IFERROR(__xludf.DUMMYFUNCTION("""COMPUTED_VALUE"""),"Packaging")</f>
        <v>Packaging</v>
      </c>
      <c r="R1184" s="49" t="str">
        <f>IFERROR(__xludf.DUMMYFUNCTION("""COMPUTED_VALUE"""),"Food")</f>
        <v>Food</v>
      </c>
    </row>
    <row r="1185">
      <c r="A1185" s="73"/>
      <c r="B1185" s="73" t="str">
        <f>IFERROR(__xludf.DUMMYFUNCTION("""COMPUTED_VALUE"""),"Food")</f>
        <v>Food</v>
      </c>
      <c r="C1185" s="73" t="str">
        <f>IFERROR(__xludf.DUMMYFUNCTION("""COMPUTED_VALUE"""),"Dry Fruit")</f>
        <v>Dry Fruit</v>
      </c>
      <c r="D1185" s="73" t="str">
        <f>IFERROR(__xludf.DUMMYFUNCTION("""COMPUTED_VALUE"""),"319*177*40 mm | 12.5*6.9*1.5 inch")</f>
        <v>319*177*40 mm | 12.5*6.9*1.5 inch</v>
      </c>
      <c r="E1185" s="77">
        <f>IFERROR(__xludf.DUMMYFUNCTION("""COMPUTED_VALUE"""),1.0)</f>
        <v>1</v>
      </c>
      <c r="F1185" s="77">
        <f>IFERROR(__xludf.DUMMYFUNCTION("""COMPUTED_VALUE"""),1926.0)</f>
        <v>1926</v>
      </c>
      <c r="G1185" s="77">
        <f>IFERROR(__xludf.DUMMYFUNCTION("""COMPUTED_VALUE"""),18.0)</f>
        <v>18</v>
      </c>
      <c r="H1185" s="77">
        <f>IFERROR(__xludf.DUMMYFUNCTION("""COMPUTED_VALUE"""),23.0)</f>
        <v>23</v>
      </c>
      <c r="I1185" s="77">
        <f>IFERROR(__xludf.DUMMYFUNCTION("""COMPUTED_VALUE"""),100.0)</f>
        <v>100</v>
      </c>
      <c r="J1185" s="73"/>
      <c r="K1185" s="73"/>
      <c r="L1185" s="73"/>
      <c r="M1185" s="77">
        <f>IFERROR(__xludf.DUMMYFUNCTION("""COMPUTED_VALUE"""),0.2)</f>
        <v>0.2</v>
      </c>
      <c r="N1185" s="77">
        <f>IFERROR(__xludf.DUMMYFUNCTION("""COMPUTED_VALUE"""),1.0)</f>
        <v>1</v>
      </c>
      <c r="O1185" s="49"/>
      <c r="P1185" s="49" t="str">
        <f>IFERROR(__xludf.DUMMYFUNCTION("""COMPUTED_VALUE"""),"Offset")</f>
        <v>Offset</v>
      </c>
      <c r="Q1185" s="49" t="str">
        <f>IFERROR(__xludf.DUMMYFUNCTION("""COMPUTED_VALUE"""),"Packaging")</f>
        <v>Packaging</v>
      </c>
      <c r="R1185" s="49" t="str">
        <f>IFERROR(__xludf.DUMMYFUNCTION("""COMPUTED_VALUE"""),"Food")</f>
        <v>Food</v>
      </c>
    </row>
    <row r="1186">
      <c r="A1186" s="73"/>
      <c r="B1186" s="73" t="str">
        <f>IFERROR(__xludf.DUMMYFUNCTION("""COMPUTED_VALUE"""),"Food")</f>
        <v>Food</v>
      </c>
      <c r="C1186" s="73" t="str">
        <f>IFERROR(__xludf.DUMMYFUNCTION("""COMPUTED_VALUE"""),"Dates")</f>
        <v>Dates</v>
      </c>
      <c r="D1186" s="73" t="str">
        <f>IFERROR(__xludf.DUMMYFUNCTION("""COMPUTED_VALUE""")," Sleeve 160*95*40mm | 6.8*4.4*1.6 inch")</f>
        <v> Sleeve 160*95*40mm | 6.8*4.4*1.6 inch</v>
      </c>
      <c r="E1186" s="77">
        <f>IFERROR(__xludf.DUMMYFUNCTION("""COMPUTED_VALUE"""),3.0)</f>
        <v>3</v>
      </c>
      <c r="F1186" s="77">
        <f>IFERROR(__xludf.DUMMYFUNCTION("""COMPUTED_VALUE"""),1926.0)</f>
        <v>1926</v>
      </c>
      <c r="G1186" s="77">
        <f>IFERROR(__xludf.DUMMYFUNCTION("""COMPUTED_VALUE"""),13.0)</f>
        <v>13</v>
      </c>
      <c r="H1186" s="77">
        <f>IFERROR(__xludf.DUMMYFUNCTION("""COMPUTED_VALUE"""),19.0)</f>
        <v>19</v>
      </c>
      <c r="I1186" s="77">
        <f>IFERROR(__xludf.DUMMYFUNCTION("""COMPUTED_VALUE"""),100.0)</f>
        <v>100</v>
      </c>
      <c r="J1186" s="73"/>
      <c r="K1186" s="73"/>
      <c r="L1186" s="73"/>
      <c r="M1186" s="77">
        <f>IFERROR(__xludf.DUMMYFUNCTION("""COMPUTED_VALUE"""),0.13)</f>
        <v>0.13</v>
      </c>
      <c r="N1186" s="77">
        <f>IFERROR(__xludf.DUMMYFUNCTION("""COMPUTED_VALUE"""),1.0)</f>
        <v>1</v>
      </c>
      <c r="O1186" s="49"/>
      <c r="P1186" s="49" t="str">
        <f>IFERROR(__xludf.DUMMYFUNCTION("""COMPUTED_VALUE"""),"Offset")</f>
        <v>Offset</v>
      </c>
      <c r="Q1186" s="49" t="str">
        <f>IFERROR(__xludf.DUMMYFUNCTION("""COMPUTED_VALUE"""),"Packaging")</f>
        <v>Packaging</v>
      </c>
      <c r="R1186" s="49" t="str">
        <f>IFERROR(__xludf.DUMMYFUNCTION("""COMPUTED_VALUE"""),"Food")</f>
        <v>Food</v>
      </c>
    </row>
    <row r="1187">
      <c r="A1187" s="73"/>
      <c r="B1187" s="73" t="str">
        <f>IFERROR(__xludf.DUMMYFUNCTION("""COMPUTED_VALUE"""),"Food")</f>
        <v>Food</v>
      </c>
      <c r="C1187" s="73" t="str">
        <f>IFERROR(__xludf.DUMMYFUNCTION("""COMPUTED_VALUE"""),"Dates")</f>
        <v>Dates</v>
      </c>
      <c r="D1187" s="73" t="str">
        <f>IFERROR(__xludf.DUMMYFUNCTION("""COMPUTED_VALUE"""),"Tray 160*95*40mm | 6.8*4.4*1.6 inch")</f>
        <v>Tray 160*95*40mm | 6.8*4.4*1.6 inch</v>
      </c>
      <c r="E1187" s="77">
        <f>IFERROR(__xludf.DUMMYFUNCTION("""COMPUTED_VALUE"""),2.0)</f>
        <v>2</v>
      </c>
      <c r="F1187" s="77">
        <f>IFERROR(__xludf.DUMMYFUNCTION("""COMPUTED_VALUE"""),1926.0)</f>
        <v>1926</v>
      </c>
      <c r="G1187" s="77">
        <f>IFERROR(__xludf.DUMMYFUNCTION("""COMPUTED_VALUE"""),15.0)</f>
        <v>15</v>
      </c>
      <c r="H1187" s="77">
        <f>IFERROR(__xludf.DUMMYFUNCTION("""COMPUTED_VALUE"""),25.0)</f>
        <v>25</v>
      </c>
      <c r="I1187" s="77">
        <f>IFERROR(__xludf.DUMMYFUNCTION("""COMPUTED_VALUE"""),100.0)</f>
        <v>100</v>
      </c>
      <c r="J1187" s="73"/>
      <c r="K1187" s="73"/>
      <c r="L1187" s="73"/>
      <c r="M1187" s="77"/>
      <c r="N1187" s="77">
        <f>IFERROR(__xludf.DUMMYFUNCTION("""COMPUTED_VALUE"""),1.0)</f>
        <v>1</v>
      </c>
      <c r="O1187" s="49"/>
      <c r="P1187" s="49" t="str">
        <f>IFERROR(__xludf.DUMMYFUNCTION("""COMPUTED_VALUE"""),"Offset")</f>
        <v>Offset</v>
      </c>
      <c r="Q1187" s="49" t="str">
        <f>IFERROR(__xludf.DUMMYFUNCTION("""COMPUTED_VALUE"""),"Packaging")</f>
        <v>Packaging</v>
      </c>
      <c r="R1187" s="49" t="str">
        <f>IFERROR(__xludf.DUMMYFUNCTION("""COMPUTED_VALUE"""),"Food")</f>
        <v>Food</v>
      </c>
    </row>
    <row r="1188">
      <c r="A1188" s="73"/>
      <c r="B1188" s="73" t="str">
        <f>IFERROR(__xludf.DUMMYFUNCTION("""COMPUTED_VALUE"""),"Food")</f>
        <v>Food</v>
      </c>
      <c r="C1188" s="73" t="str">
        <f>IFERROR(__xludf.DUMMYFUNCTION("""COMPUTED_VALUE"""),"Sugar Drop")</f>
        <v>Sugar Drop</v>
      </c>
      <c r="D1188" s="73" t="str">
        <f>IFERROR(__xludf.DUMMYFUNCTION("""COMPUTED_VALUE"""),"85*40*105 mm | 3.3*1.5*4.2 inch | 22*15")</f>
        <v>85*40*105 mm | 3.3*1.5*4.2 inch | 22*15</v>
      </c>
      <c r="E1188" s="77">
        <f>IFERROR(__xludf.DUMMYFUNCTION("""COMPUTED_VALUE"""),4.0)</f>
        <v>4</v>
      </c>
      <c r="F1188" s="77">
        <f>IFERROR(__xludf.DUMMYFUNCTION("""COMPUTED_VALUE"""),1926.0)</f>
        <v>1926</v>
      </c>
      <c r="G1188" s="77">
        <f>IFERROR(__xludf.DUMMYFUNCTION("""COMPUTED_VALUE"""),18.0)</f>
        <v>18</v>
      </c>
      <c r="H1188" s="77">
        <f>IFERROR(__xludf.DUMMYFUNCTION("""COMPUTED_VALUE"""),23.0)</f>
        <v>23</v>
      </c>
      <c r="I1188" s="77">
        <f>IFERROR(__xludf.DUMMYFUNCTION("""COMPUTED_VALUE"""),100.0)</f>
        <v>100</v>
      </c>
      <c r="J1188" s="73"/>
      <c r="K1188" s="73"/>
      <c r="L1188" s="73"/>
      <c r="M1188" s="77">
        <f>IFERROR(__xludf.DUMMYFUNCTION("""COMPUTED_VALUE"""),0.15)</f>
        <v>0.15</v>
      </c>
      <c r="N1188" s="77">
        <f>IFERROR(__xludf.DUMMYFUNCTION("""COMPUTED_VALUE"""),1.0)</f>
        <v>1</v>
      </c>
      <c r="O1188" s="49"/>
      <c r="P1188" s="49" t="str">
        <f>IFERROR(__xludf.DUMMYFUNCTION("""COMPUTED_VALUE"""),"Offset")</f>
        <v>Offset</v>
      </c>
      <c r="Q1188" s="49" t="str">
        <f>IFERROR(__xludf.DUMMYFUNCTION("""COMPUTED_VALUE"""),"Packaging")</f>
        <v>Packaging</v>
      </c>
      <c r="R1188" s="49" t="str">
        <f>IFERROR(__xludf.DUMMYFUNCTION("""COMPUTED_VALUE"""),"Food")</f>
        <v>Food</v>
      </c>
    </row>
    <row r="1189">
      <c r="A1189" s="156" t="str">
        <f>IFERROR(__xludf.DUMMYFUNCTION("""COMPUTED_VALUE"""),"https://drive.google.com/open?id=10TdVob68TA08qHvPOTrFUTFm1J7USNBq&amp;usp=drive_fs")</f>
        <v>https://drive.google.com/open?id=10TdVob68TA08qHvPOTrFUTFm1J7USNBq&amp;usp=drive_fs</v>
      </c>
      <c r="B1189" s="73" t="str">
        <f>IFERROR(__xludf.DUMMYFUNCTION("""COMPUTED_VALUE"""),"Food")</f>
        <v>Food</v>
      </c>
      <c r="C1189" s="73" t="str">
        <f>IFERROR(__xludf.DUMMYFUNCTION("""COMPUTED_VALUE"""),"Chilgoza")</f>
        <v>Chilgoza</v>
      </c>
      <c r="D1189" s="73" t="str">
        <f>IFERROR(__xludf.DUMMYFUNCTION("""COMPUTED_VALUE"""),"120*40*165 mm | 4.7*1.7*6.5 inch")</f>
        <v>120*40*165 mm | 4.7*1.7*6.5 inch</v>
      </c>
      <c r="E1189" s="77">
        <f>IFERROR(__xludf.DUMMYFUNCTION("""COMPUTED_VALUE"""),4.0)</f>
        <v>4</v>
      </c>
      <c r="F1189" s="77">
        <f>IFERROR(__xludf.DUMMYFUNCTION("""COMPUTED_VALUE"""),2029.0)</f>
        <v>2029</v>
      </c>
      <c r="G1189" s="77">
        <f>IFERROR(__xludf.DUMMYFUNCTION("""COMPUTED_VALUE"""),20.0)</f>
        <v>20</v>
      </c>
      <c r="H1189" s="77">
        <f>IFERROR(__xludf.DUMMYFUNCTION("""COMPUTED_VALUE"""),28.0)</f>
        <v>28</v>
      </c>
      <c r="I1189" s="77">
        <f>IFERROR(__xludf.DUMMYFUNCTION("""COMPUTED_VALUE"""),100.0)</f>
        <v>100</v>
      </c>
      <c r="J1189" s="73"/>
      <c r="K1189" s="73"/>
      <c r="L1189" s="73"/>
      <c r="M1189" s="77">
        <f>IFERROR(__xludf.DUMMYFUNCTION("""COMPUTED_VALUE"""),0.1)</f>
        <v>0.1</v>
      </c>
      <c r="N1189" s="77">
        <f>IFERROR(__xludf.DUMMYFUNCTION("""COMPUTED_VALUE"""),1.0)</f>
        <v>1</v>
      </c>
      <c r="O1189" s="49"/>
      <c r="P1189" s="49" t="str">
        <f>IFERROR(__xludf.DUMMYFUNCTION("""COMPUTED_VALUE"""),"Offset")</f>
        <v>Offset</v>
      </c>
      <c r="Q1189" s="49" t="str">
        <f>IFERROR(__xludf.DUMMYFUNCTION("""COMPUTED_VALUE"""),"Packaging")</f>
        <v>Packaging</v>
      </c>
      <c r="R1189" s="49" t="str">
        <f>IFERROR(__xludf.DUMMYFUNCTION("""COMPUTED_VALUE"""),"Food")</f>
        <v>Food</v>
      </c>
    </row>
    <row r="1190">
      <c r="A1190" s="156" t="str">
        <f>IFERROR(__xludf.DUMMYFUNCTION("""COMPUTED_VALUE"""),"https://drive.google.com/open?id=10hz4BWKLk-weRC6GND1qwbz0WSrKMB5i&amp;usp=drive_fs")</f>
        <v>https://drive.google.com/open?id=10hz4BWKLk-weRC6GND1qwbz0WSrKMB5i&amp;usp=drive_fs</v>
      </c>
      <c r="B1190" s="73" t="str">
        <f>IFERROR(__xludf.DUMMYFUNCTION("""COMPUTED_VALUE"""),"Food")</f>
        <v>Food</v>
      </c>
      <c r="C1190" s="73" t="str">
        <f>IFERROR(__xludf.DUMMYFUNCTION("""COMPUTED_VALUE"""),"Patasa")</f>
        <v>Patasa</v>
      </c>
      <c r="D1190" s="73" t="str">
        <f>IFERROR(__xludf.DUMMYFUNCTION("""COMPUTED_VALUE"""),"120*45*120 mm | 4.7*1.7*4.7 inch | 22*28")</f>
        <v>120*45*120 mm | 4.7*1.7*4.7 inch | 22*28</v>
      </c>
      <c r="E1190" s="77">
        <f>IFERROR(__xludf.DUMMYFUNCTION("""COMPUTED_VALUE"""),4.0)</f>
        <v>4</v>
      </c>
      <c r="F1190" s="77">
        <f>IFERROR(__xludf.DUMMYFUNCTION("""COMPUTED_VALUE"""),2029.0)</f>
        <v>2029</v>
      </c>
      <c r="G1190" s="77">
        <f>IFERROR(__xludf.DUMMYFUNCTION("""COMPUTED_VALUE"""),20.0)</f>
        <v>20</v>
      </c>
      <c r="H1190" s="77">
        <f>IFERROR(__xludf.DUMMYFUNCTION("""COMPUTED_VALUE"""),28.0)</f>
        <v>28</v>
      </c>
      <c r="I1190" s="77">
        <f>IFERROR(__xludf.DUMMYFUNCTION("""COMPUTED_VALUE"""),100.0)</f>
        <v>100</v>
      </c>
      <c r="J1190" s="73"/>
      <c r="K1190" s="73"/>
      <c r="L1190" s="73"/>
      <c r="M1190" s="77">
        <f>IFERROR(__xludf.DUMMYFUNCTION("""COMPUTED_VALUE"""),0.1)</f>
        <v>0.1</v>
      </c>
      <c r="N1190" s="77">
        <f>IFERROR(__xludf.DUMMYFUNCTION("""COMPUTED_VALUE"""),1.0)</f>
        <v>1</v>
      </c>
      <c r="O1190" s="49"/>
      <c r="P1190" s="49" t="str">
        <f>IFERROR(__xludf.DUMMYFUNCTION("""COMPUTED_VALUE"""),"Offset")</f>
        <v>Offset</v>
      </c>
      <c r="Q1190" s="49" t="str">
        <f>IFERROR(__xludf.DUMMYFUNCTION("""COMPUTED_VALUE"""),"Packaging")</f>
        <v>Packaging</v>
      </c>
      <c r="R1190" s="49" t="str">
        <f>IFERROR(__xludf.DUMMYFUNCTION("""COMPUTED_VALUE"""),"Food")</f>
        <v>Food</v>
      </c>
    </row>
    <row r="1191">
      <c r="A1191" s="156" t="str">
        <f>IFERROR(__xludf.DUMMYFUNCTION("""COMPUTED_VALUE"""),"https://drive.google.com/open?id=10oPuzGTFkTPT4jhRFCWOBwtCuMO0XTMV&amp;usp=drive_fs")</f>
        <v>https://drive.google.com/open?id=10oPuzGTFkTPT4jhRFCWOBwtCuMO0XTMV&amp;usp=drive_fs</v>
      </c>
      <c r="B1191" s="73" t="str">
        <f>IFERROR(__xludf.DUMMYFUNCTION("""COMPUTED_VALUE"""),"Food")</f>
        <v>Food</v>
      </c>
      <c r="C1191" s="73" t="str">
        <f>IFERROR(__xludf.DUMMYFUNCTION("""COMPUTED_VALUE"""),"Roll")</f>
        <v>Roll</v>
      </c>
      <c r="D1191" s="73" t="str">
        <f>IFERROR(__xludf.DUMMYFUNCTION("""COMPUTED_VALUE"""),"280*280*76 mm | 11*11*3 inch")</f>
        <v>280*280*76 mm | 11*11*3 inch</v>
      </c>
      <c r="E1191" s="77">
        <f>IFERROR(__xludf.DUMMYFUNCTION("""COMPUTED_VALUE"""),2.0)</f>
        <v>2</v>
      </c>
      <c r="F1191" s="77">
        <f>IFERROR(__xludf.DUMMYFUNCTION("""COMPUTED_VALUE"""),2029.0)</f>
        <v>2029</v>
      </c>
      <c r="G1191" s="77">
        <f>IFERROR(__xludf.DUMMYFUNCTION("""COMPUTED_VALUE"""),19.0)</f>
        <v>19</v>
      </c>
      <c r="H1191" s="77">
        <f>IFERROR(__xludf.DUMMYFUNCTION("""COMPUTED_VALUE"""),26.0)</f>
        <v>26</v>
      </c>
      <c r="I1191" s="77">
        <f>IFERROR(__xludf.DUMMYFUNCTION("""COMPUTED_VALUE"""),100.0)</f>
        <v>100</v>
      </c>
      <c r="J1191" s="73"/>
      <c r="K1191" s="73"/>
      <c r="L1191" s="73"/>
      <c r="M1191" s="77"/>
      <c r="N1191" s="77">
        <f>IFERROR(__xludf.DUMMYFUNCTION("""COMPUTED_VALUE"""),1.0)</f>
        <v>1</v>
      </c>
      <c r="O1191" s="49"/>
      <c r="P1191" s="49" t="str">
        <f>IFERROR(__xludf.DUMMYFUNCTION("""COMPUTED_VALUE"""),"Offset")</f>
        <v>Offset</v>
      </c>
      <c r="Q1191" s="49" t="str">
        <f>IFERROR(__xludf.DUMMYFUNCTION("""COMPUTED_VALUE"""),"Packaging")</f>
        <v>Packaging</v>
      </c>
      <c r="R1191" s="49" t="str">
        <f>IFERROR(__xludf.DUMMYFUNCTION("""COMPUTED_VALUE"""),"Food")</f>
        <v>Food</v>
      </c>
    </row>
    <row r="1192">
      <c r="A1192" s="73"/>
      <c r="B1192" s="73" t="str">
        <f>IFERROR(__xludf.DUMMYFUNCTION("""COMPUTED_VALUE"""),"Food")</f>
        <v>Food</v>
      </c>
      <c r="C1192" s="73" t="str">
        <f>IFERROR(__xludf.DUMMYFUNCTION("""COMPUTED_VALUE"""),"Iipsita")</f>
        <v>Iipsita</v>
      </c>
      <c r="D1192" s="73" t="str">
        <f>IFERROR(__xludf.DUMMYFUNCTION("""COMPUTED_VALUE"""),"Coockie 152*97*97 mm | 6*3.8*3.8 inch ")</f>
        <v>Coockie 152*97*97 mm | 6*3.8*3.8 inch </v>
      </c>
      <c r="E1192" s="77">
        <f>IFERROR(__xludf.DUMMYFUNCTION("""COMPUTED_VALUE"""),1.0)</f>
        <v>1</v>
      </c>
      <c r="F1192" s="77">
        <f>IFERROR(__xludf.DUMMYFUNCTION("""COMPUTED_VALUE"""),1926.0)</f>
        <v>1926</v>
      </c>
      <c r="G1192" s="77">
        <f>IFERROR(__xludf.DUMMYFUNCTION("""COMPUTED_VALUE"""),19.5)</f>
        <v>19.5</v>
      </c>
      <c r="H1192" s="77">
        <f>IFERROR(__xludf.DUMMYFUNCTION("""COMPUTED_VALUE"""),23.0)</f>
        <v>23</v>
      </c>
      <c r="I1192" s="77">
        <f>IFERROR(__xludf.DUMMYFUNCTION("""COMPUTED_VALUE"""),100.0)</f>
        <v>100</v>
      </c>
      <c r="J1192" s="73"/>
      <c r="K1192" s="73"/>
      <c r="L1192" s="73"/>
      <c r="M1192" s="77"/>
      <c r="N1192" s="77">
        <f>IFERROR(__xludf.DUMMYFUNCTION("""COMPUTED_VALUE"""),1.0)</f>
        <v>1</v>
      </c>
      <c r="O1192" s="49"/>
      <c r="P1192" s="49" t="str">
        <f>IFERROR(__xludf.DUMMYFUNCTION("""COMPUTED_VALUE"""),"Offset")</f>
        <v>Offset</v>
      </c>
      <c r="Q1192" s="49" t="str">
        <f>IFERROR(__xludf.DUMMYFUNCTION("""COMPUTED_VALUE"""),"Packaging")</f>
        <v>Packaging</v>
      </c>
      <c r="R1192" s="49" t="str">
        <f>IFERROR(__xludf.DUMMYFUNCTION("""COMPUTED_VALUE"""),"Food")</f>
        <v>Food</v>
      </c>
    </row>
    <row r="1193">
      <c r="A1193" s="156" t="str">
        <f>IFERROR(__xludf.DUMMYFUNCTION("""COMPUTED_VALUE"""),"https://drive.google.com/open?id=1d_mDqe4Y6-QGkTSvZyKD_DApDIqvX1Vu&amp;usp=drive_fs")</f>
        <v>https://drive.google.com/open?id=1d_mDqe4Y6-QGkTSvZyKD_DApDIqvX1Vu&amp;usp=drive_fs</v>
      </c>
      <c r="B1193" s="73" t="str">
        <f>IFERROR(__xludf.DUMMYFUNCTION("""COMPUTED_VALUE"""),"Food")</f>
        <v>Food</v>
      </c>
      <c r="C1193" s="73" t="str">
        <f>IFERROR(__xludf.DUMMYFUNCTION("""COMPUTED_VALUE"""),"Dates")</f>
        <v>Dates</v>
      </c>
      <c r="D1193" s="73" t="str">
        <f>IFERROR(__xludf.DUMMYFUNCTION("""COMPUTED_VALUE"""),"TMI KIMIA 190*145*42 mm | 5.7*1.6*7.5 inch")</f>
        <v>TMI KIMIA 190*145*42 mm | 5.7*1.6*7.5 inch</v>
      </c>
      <c r="E1193" s="77">
        <f>IFERROR(__xludf.DUMMYFUNCTION("""COMPUTED_VALUE"""),2.0)</f>
        <v>2</v>
      </c>
      <c r="F1193" s="77">
        <f>IFERROR(__xludf.DUMMYFUNCTION("""COMPUTED_VALUE"""),1926.0)</f>
        <v>1926</v>
      </c>
      <c r="G1193" s="77">
        <f>IFERROR(__xludf.DUMMYFUNCTION("""COMPUTED_VALUE"""),18.0)</f>
        <v>18</v>
      </c>
      <c r="H1193" s="77">
        <f>IFERROR(__xludf.DUMMYFUNCTION("""COMPUTED_VALUE"""),23.0)</f>
        <v>23</v>
      </c>
      <c r="I1193" s="77">
        <f>IFERROR(__xludf.DUMMYFUNCTION("""COMPUTED_VALUE"""),100.0)</f>
        <v>100</v>
      </c>
      <c r="J1193" s="73"/>
      <c r="K1193" s="73"/>
      <c r="L1193" s="73"/>
      <c r="M1193" s="77">
        <f>IFERROR(__xludf.DUMMYFUNCTION("""COMPUTED_VALUE"""),0.15)</f>
        <v>0.15</v>
      </c>
      <c r="N1193" s="77">
        <f>IFERROR(__xludf.DUMMYFUNCTION("""COMPUTED_VALUE"""),1.0)</f>
        <v>1</v>
      </c>
      <c r="O1193" s="49"/>
      <c r="P1193" s="49" t="str">
        <f>IFERROR(__xludf.DUMMYFUNCTION("""COMPUTED_VALUE"""),"Offset")</f>
        <v>Offset</v>
      </c>
      <c r="Q1193" s="49" t="str">
        <f>IFERROR(__xludf.DUMMYFUNCTION("""COMPUTED_VALUE"""),"Packaging")</f>
        <v>Packaging</v>
      </c>
      <c r="R1193" s="49" t="str">
        <f>IFERROR(__xludf.DUMMYFUNCTION("""COMPUTED_VALUE"""),"Food")</f>
        <v>Food</v>
      </c>
    </row>
    <row r="1194">
      <c r="A1194" s="156" t="str">
        <f>IFERROR(__xludf.DUMMYFUNCTION("""COMPUTED_VALUE"""),"https://drive.google.com/open?id=1hXYsZDpW2jiQGmuawjFB_viq2zn_XJEe&amp;usp=drive_fs")</f>
        <v>https://drive.google.com/open?id=1hXYsZDpW2jiQGmuawjFB_viq2zn_XJEe&amp;usp=drive_fs</v>
      </c>
      <c r="B1194" s="73" t="str">
        <f>IFERROR(__xludf.DUMMYFUNCTION("""COMPUTED_VALUE"""),"Food")</f>
        <v>Food</v>
      </c>
      <c r="C1194" s="73" t="str">
        <f>IFERROR(__xludf.DUMMYFUNCTION("""COMPUTED_VALUE"""),"Dosa")</f>
        <v>Dosa</v>
      </c>
      <c r="D1194" s="73" t="str">
        <f>IFERROR(__xludf.DUMMYFUNCTION("""COMPUTED_VALUE"""),"89*51*343 mm | 13.5*3.5*2 inch")</f>
        <v>89*51*343 mm | 13.5*3.5*2 inch</v>
      </c>
      <c r="E1194" s="77">
        <f>IFERROR(__xludf.DUMMYFUNCTION("""COMPUTED_VALUE"""),2.0)</f>
        <v>2</v>
      </c>
      <c r="F1194" s="77">
        <f>IFERROR(__xludf.DUMMYFUNCTION("""COMPUTED_VALUE"""),1926.0)</f>
        <v>1926</v>
      </c>
      <c r="G1194" s="77">
        <f>IFERROR(__xludf.DUMMYFUNCTION("""COMPUTED_VALUE"""),19.0)</f>
        <v>19</v>
      </c>
      <c r="H1194" s="77">
        <f>IFERROR(__xludf.DUMMYFUNCTION("""COMPUTED_VALUE"""),26.0)</f>
        <v>26</v>
      </c>
      <c r="I1194" s="77">
        <f>IFERROR(__xludf.DUMMYFUNCTION("""COMPUTED_VALUE"""),100.0)</f>
        <v>100</v>
      </c>
      <c r="J1194" s="73"/>
      <c r="K1194" s="73"/>
      <c r="L1194" s="73"/>
      <c r="M1194" s="77">
        <f>IFERROR(__xludf.DUMMYFUNCTION("""COMPUTED_VALUE"""),0.2)</f>
        <v>0.2</v>
      </c>
      <c r="N1194" s="77">
        <f>IFERROR(__xludf.DUMMYFUNCTION("""COMPUTED_VALUE"""),1.0)</f>
        <v>1</v>
      </c>
      <c r="O1194" s="49"/>
      <c r="P1194" s="49" t="str">
        <f>IFERROR(__xludf.DUMMYFUNCTION("""COMPUTED_VALUE"""),"Offset")</f>
        <v>Offset</v>
      </c>
      <c r="Q1194" s="49" t="str">
        <f>IFERROR(__xludf.DUMMYFUNCTION("""COMPUTED_VALUE"""),"Packaging")</f>
        <v>Packaging</v>
      </c>
      <c r="R1194" s="49" t="str">
        <f>IFERROR(__xludf.DUMMYFUNCTION("""COMPUTED_VALUE"""),"Food")</f>
        <v>Food</v>
      </c>
    </row>
    <row r="1195">
      <c r="A1195" s="156" t="str">
        <f>IFERROR(__xludf.DUMMYFUNCTION("""COMPUTED_VALUE"""),"https://drive.google.com/open?id=1ElNmuZgjfXk_oQuxqKo6JsAGQr3toI8J&amp;usp=drive_fs")</f>
        <v>https://drive.google.com/open?id=1ElNmuZgjfXk_oQuxqKo6JsAGQr3toI8J&amp;usp=drive_fs</v>
      </c>
      <c r="B1195" s="73" t="str">
        <f>IFERROR(__xludf.DUMMYFUNCTION("""COMPUTED_VALUE"""),"Food")</f>
        <v>Food</v>
      </c>
      <c r="C1195" s="73" t="str">
        <f>IFERROR(__xludf.DUMMYFUNCTION("""COMPUTED_VALUE"""),"Kamil")</f>
        <v>Kamil</v>
      </c>
      <c r="D1195" s="73" t="str">
        <f>IFERROR(__xludf.DUMMYFUNCTION("""COMPUTED_VALUE"""),"Chicken Roll 145*57*195 mm | 5.7*2.2*7.6 inch")</f>
        <v>Chicken Roll 145*57*195 mm | 5.7*2.2*7.6 inch</v>
      </c>
      <c r="E1195" s="77">
        <f>IFERROR(__xludf.DUMMYFUNCTION("""COMPUTED_VALUE"""),2.0)</f>
        <v>2</v>
      </c>
      <c r="F1195" s="77">
        <f>IFERROR(__xludf.DUMMYFUNCTION("""COMPUTED_VALUE"""),1926.0)</f>
        <v>1926</v>
      </c>
      <c r="G1195" s="77">
        <f>IFERROR(__xludf.DUMMYFUNCTION("""COMPUTED_VALUE"""),18.0)</f>
        <v>18</v>
      </c>
      <c r="H1195" s="77">
        <f>IFERROR(__xludf.DUMMYFUNCTION("""COMPUTED_VALUE"""),23.0)</f>
        <v>23</v>
      </c>
      <c r="I1195" s="77">
        <f>IFERROR(__xludf.DUMMYFUNCTION("""COMPUTED_VALUE"""),100.0)</f>
        <v>100</v>
      </c>
      <c r="J1195" s="73"/>
      <c r="K1195" s="73"/>
      <c r="L1195" s="73"/>
      <c r="M1195" s="77">
        <f>IFERROR(__xludf.DUMMYFUNCTION("""COMPUTED_VALUE"""),0.14)</f>
        <v>0.14</v>
      </c>
      <c r="N1195" s="77">
        <f>IFERROR(__xludf.DUMMYFUNCTION("""COMPUTED_VALUE"""),1.0)</f>
        <v>1</v>
      </c>
      <c r="O1195" s="49"/>
      <c r="P1195" s="49" t="str">
        <f>IFERROR(__xludf.DUMMYFUNCTION("""COMPUTED_VALUE"""),"Offset")</f>
        <v>Offset</v>
      </c>
      <c r="Q1195" s="49" t="str">
        <f>IFERROR(__xludf.DUMMYFUNCTION("""COMPUTED_VALUE"""),"Packaging")</f>
        <v>Packaging</v>
      </c>
      <c r="R1195" s="49" t="str">
        <f>IFERROR(__xludf.DUMMYFUNCTION("""COMPUTED_VALUE"""),"Food")</f>
        <v>Food</v>
      </c>
    </row>
    <row r="1196">
      <c r="A1196" s="156" t="str">
        <f>IFERROR(__xludf.DUMMYFUNCTION("""COMPUTED_VALUE"""),"https://drive.google.com/open?id=1MQCRYtSibVOLlKv41Vuxod0ajQq3Rzpq&amp;authuser=jay.agg%40gmail.com&amp;usp=drive_fs")</f>
        <v>https://drive.google.com/open?id=1MQCRYtSibVOLlKv41Vuxod0ajQq3Rzpq&amp;authuser=jay.agg%40gmail.com&amp;usp=drive_fs</v>
      </c>
      <c r="B1196" s="73" t="str">
        <f>IFERROR(__xludf.DUMMYFUNCTION("""COMPUTED_VALUE"""),"Games")</f>
        <v>Games</v>
      </c>
      <c r="C1196" s="73" t="str">
        <f>IFERROR(__xludf.DUMMYFUNCTION("""COMPUTED_VALUE"""),"Puzzle")</f>
        <v>Puzzle</v>
      </c>
      <c r="D1196" s="73" t="str">
        <f>IFERROR(__xludf.DUMMYFUNCTION("""COMPUTED_VALUE"""),"6*6*1.5 inch Bottom")</f>
        <v>6*6*1.5 inch Bottom</v>
      </c>
      <c r="E1196" s="77">
        <f>IFERROR(__xludf.DUMMYFUNCTION("""COMPUTED_VALUE"""),2.0)</f>
        <v>2</v>
      </c>
      <c r="F1196" s="77">
        <f>IFERROR(__xludf.DUMMYFUNCTION("""COMPUTED_VALUE"""),1926.0)</f>
        <v>1926</v>
      </c>
      <c r="G1196" s="77">
        <f>IFERROR(__xludf.DUMMYFUNCTION("""COMPUTED_VALUE"""),14.0)</f>
        <v>14</v>
      </c>
      <c r="H1196" s="77">
        <f>IFERROR(__xludf.DUMMYFUNCTION("""COMPUTED_VALUE"""),26.0)</f>
        <v>26</v>
      </c>
      <c r="I1196" s="77">
        <f>IFERROR(__xludf.DUMMYFUNCTION("""COMPUTED_VALUE"""),100.0)</f>
        <v>100</v>
      </c>
      <c r="J1196" s="73"/>
      <c r="K1196" s="73"/>
      <c r="L1196" s="73"/>
      <c r="M1196" s="77"/>
      <c r="N1196" s="77">
        <f>IFERROR(__xludf.DUMMYFUNCTION("""COMPUTED_VALUE"""),1.0)</f>
        <v>1</v>
      </c>
      <c r="O1196" s="49"/>
      <c r="P1196" s="49" t="str">
        <f>IFERROR(__xludf.DUMMYFUNCTION("""COMPUTED_VALUE"""),"Offset")</f>
        <v>Offset</v>
      </c>
      <c r="Q1196" s="49" t="str">
        <f>IFERROR(__xludf.DUMMYFUNCTION("""COMPUTED_VALUE"""),"Packaging")</f>
        <v>Packaging</v>
      </c>
      <c r="R1196" s="49" t="str">
        <f>IFERROR(__xludf.DUMMYFUNCTION("""COMPUTED_VALUE"""),"Games")</f>
        <v>Games</v>
      </c>
    </row>
    <row r="1197">
      <c r="A1197" s="156" t="str">
        <f>IFERROR(__xludf.DUMMYFUNCTION("""COMPUTED_VALUE"""),"https://drive.google.com/open?id=1MVv3zUN31g-DlY1zt5Dfd9aCDM6EJyfp&amp;authuser=jay.agg%40gmail.com&amp;usp=drive_fs")</f>
        <v>https://drive.google.com/open?id=1MVv3zUN31g-DlY1zt5Dfd9aCDM6EJyfp&amp;authuser=jay.agg%40gmail.com&amp;usp=drive_fs</v>
      </c>
      <c r="B1197" s="73" t="str">
        <f>IFERROR(__xludf.DUMMYFUNCTION("""COMPUTED_VALUE"""),"Games")</f>
        <v>Games</v>
      </c>
      <c r="C1197" s="73" t="str">
        <f>IFERROR(__xludf.DUMMYFUNCTION("""COMPUTED_VALUE"""),"Puzzle")</f>
        <v>Puzzle</v>
      </c>
      <c r="D1197" s="73" t="str">
        <f>IFERROR(__xludf.DUMMYFUNCTION("""COMPUTED_VALUE"""),"6*6*1.5 inch Top")</f>
        <v>6*6*1.5 inch Top</v>
      </c>
      <c r="E1197" s="77">
        <f>IFERROR(__xludf.DUMMYFUNCTION("""COMPUTED_VALUE"""),2.0)</f>
        <v>2</v>
      </c>
      <c r="F1197" s="77">
        <f>IFERROR(__xludf.DUMMYFUNCTION("""COMPUTED_VALUE"""),1926.0)</f>
        <v>1926</v>
      </c>
      <c r="G1197" s="77">
        <f>IFERROR(__xludf.DUMMYFUNCTION("""COMPUTED_VALUE"""),14.0)</f>
        <v>14</v>
      </c>
      <c r="H1197" s="77">
        <f>IFERROR(__xludf.DUMMYFUNCTION("""COMPUTED_VALUE"""),26.0)</f>
        <v>26</v>
      </c>
      <c r="I1197" s="77">
        <f>IFERROR(__xludf.DUMMYFUNCTION("""COMPUTED_VALUE"""),100.0)</f>
        <v>100</v>
      </c>
      <c r="J1197" s="73"/>
      <c r="K1197" s="73"/>
      <c r="L1197" s="73"/>
      <c r="M1197" s="77"/>
      <c r="N1197" s="77">
        <f>IFERROR(__xludf.DUMMYFUNCTION("""COMPUTED_VALUE"""),1.0)</f>
        <v>1</v>
      </c>
      <c r="O1197" s="49"/>
      <c r="P1197" s="49" t="str">
        <f>IFERROR(__xludf.DUMMYFUNCTION("""COMPUTED_VALUE"""),"Offset")</f>
        <v>Offset</v>
      </c>
      <c r="Q1197" s="49" t="str">
        <f>IFERROR(__xludf.DUMMYFUNCTION("""COMPUTED_VALUE"""),"Packaging")</f>
        <v>Packaging</v>
      </c>
      <c r="R1197" s="49" t="str">
        <f>IFERROR(__xludf.DUMMYFUNCTION("""COMPUTED_VALUE"""),"Games")</f>
        <v>Games</v>
      </c>
    </row>
    <row r="1198">
      <c r="A1198" s="156" t="str">
        <f>IFERROR(__xludf.DUMMYFUNCTION("""COMPUTED_VALUE"""),"https://drive.google.com/open?id=1XsvL0sW8bfLftSRiQluO4aaIWEmzYt48&amp;authuser=jay.agg%40gmail.com&amp;usp=drive_fs")</f>
        <v>https://drive.google.com/open?id=1XsvL0sW8bfLftSRiQluO4aaIWEmzYt48&amp;authuser=jay.agg%40gmail.com&amp;usp=drive_fs</v>
      </c>
      <c r="B1198" s="73" t="str">
        <f>IFERROR(__xludf.DUMMYFUNCTION("""COMPUTED_VALUE"""),"Games")</f>
        <v>Games</v>
      </c>
      <c r="C1198" s="73" t="str">
        <f>IFERROR(__xludf.DUMMYFUNCTION("""COMPUTED_VALUE"""),"Puzzle")</f>
        <v>Puzzle</v>
      </c>
      <c r="D1198" s="73" t="str">
        <f>IFERROR(__xludf.DUMMYFUNCTION("""COMPUTED_VALUE"""),"6*6*2 inch Bottom")</f>
        <v>6*6*2 inch Bottom</v>
      </c>
      <c r="E1198" s="77">
        <f>IFERROR(__xludf.DUMMYFUNCTION("""COMPUTED_VALUE"""),2.0)</f>
        <v>2</v>
      </c>
      <c r="F1198" s="77">
        <f>IFERROR(__xludf.DUMMYFUNCTION("""COMPUTED_VALUE"""),2029.0)</f>
        <v>2029</v>
      </c>
      <c r="G1198" s="77">
        <f>IFERROR(__xludf.DUMMYFUNCTION("""COMPUTED_VALUE"""),21.0)</f>
        <v>21</v>
      </c>
      <c r="H1198" s="77">
        <f>IFERROR(__xludf.DUMMYFUNCTION("""COMPUTED_VALUE"""),31.0)</f>
        <v>31</v>
      </c>
      <c r="I1198" s="77">
        <f>IFERROR(__xludf.DUMMYFUNCTION("""COMPUTED_VALUE"""),100.0)</f>
        <v>100</v>
      </c>
      <c r="J1198" s="73"/>
      <c r="K1198" s="73"/>
      <c r="L1198" s="73"/>
      <c r="M1198" s="77"/>
      <c r="N1198" s="77">
        <f>IFERROR(__xludf.DUMMYFUNCTION("""COMPUTED_VALUE"""),1.0)</f>
        <v>1</v>
      </c>
      <c r="O1198" s="49"/>
      <c r="P1198" s="49" t="str">
        <f>IFERROR(__xludf.DUMMYFUNCTION("""COMPUTED_VALUE"""),"Offset")</f>
        <v>Offset</v>
      </c>
      <c r="Q1198" s="49" t="str">
        <f>IFERROR(__xludf.DUMMYFUNCTION("""COMPUTED_VALUE"""),"Packaging")</f>
        <v>Packaging</v>
      </c>
      <c r="R1198" s="49" t="str">
        <f>IFERROR(__xludf.DUMMYFUNCTION("""COMPUTED_VALUE"""),"Games")</f>
        <v>Games</v>
      </c>
    </row>
    <row r="1199">
      <c r="A1199" s="156" t="str">
        <f>IFERROR(__xludf.DUMMYFUNCTION("""COMPUTED_VALUE"""),"https://drive.google.com/open?id=1XnYOYuxtwHDxkf2c_6R4dOR0f0wH2jWr&amp;authuser=jay.agg%40gmail.com&amp;usp=drive_fs")</f>
        <v>https://drive.google.com/open?id=1XnYOYuxtwHDxkf2c_6R4dOR0f0wH2jWr&amp;authuser=jay.agg%40gmail.com&amp;usp=drive_fs</v>
      </c>
      <c r="B1199" s="73" t="str">
        <f>IFERROR(__xludf.DUMMYFUNCTION("""COMPUTED_VALUE"""),"Games")</f>
        <v>Games</v>
      </c>
      <c r="C1199" s="73" t="str">
        <f>IFERROR(__xludf.DUMMYFUNCTION("""COMPUTED_VALUE"""),"Puzzle")</f>
        <v>Puzzle</v>
      </c>
      <c r="D1199" s="73" t="str">
        <f>IFERROR(__xludf.DUMMYFUNCTION("""COMPUTED_VALUE"""),"6*6*2 inch Top")</f>
        <v>6*6*2 inch Top</v>
      </c>
      <c r="E1199" s="77">
        <f>IFERROR(__xludf.DUMMYFUNCTION("""COMPUTED_VALUE"""),2.0)</f>
        <v>2</v>
      </c>
      <c r="F1199" s="77">
        <f>IFERROR(__xludf.DUMMYFUNCTION("""COMPUTED_VALUE"""),2029.0)</f>
        <v>2029</v>
      </c>
      <c r="G1199" s="77">
        <f>IFERROR(__xludf.DUMMYFUNCTION("""COMPUTED_VALUE"""),21.0)</f>
        <v>21</v>
      </c>
      <c r="H1199" s="77">
        <f>IFERROR(__xludf.DUMMYFUNCTION("""COMPUTED_VALUE"""),31.0)</f>
        <v>31</v>
      </c>
      <c r="I1199" s="77">
        <f>IFERROR(__xludf.DUMMYFUNCTION("""COMPUTED_VALUE"""),100.0)</f>
        <v>100</v>
      </c>
      <c r="J1199" s="73"/>
      <c r="K1199" s="73"/>
      <c r="L1199" s="73"/>
      <c r="M1199" s="77"/>
      <c r="N1199" s="77">
        <f>IFERROR(__xludf.DUMMYFUNCTION("""COMPUTED_VALUE"""),1.0)</f>
        <v>1</v>
      </c>
      <c r="O1199" s="49"/>
      <c r="P1199" s="49" t="str">
        <f>IFERROR(__xludf.DUMMYFUNCTION("""COMPUTED_VALUE"""),"Offset")</f>
        <v>Offset</v>
      </c>
      <c r="Q1199" s="49" t="str">
        <f>IFERROR(__xludf.DUMMYFUNCTION("""COMPUTED_VALUE"""),"Packaging")</f>
        <v>Packaging</v>
      </c>
      <c r="R1199" s="49" t="str">
        <f>IFERROR(__xludf.DUMMYFUNCTION("""COMPUTED_VALUE"""),"Games")</f>
        <v>Games</v>
      </c>
    </row>
    <row r="1200">
      <c r="A1200" s="156" t="str">
        <f>IFERROR(__xludf.DUMMYFUNCTION("""COMPUTED_VALUE"""),"https://drive.google.com/open?id=1ucWiMYWr_mmLlCZd-016Gh_IeMaI_hbW&amp;authuser=jay.agg%40gmail.com&amp;usp=drive_fs")</f>
        <v>https://drive.google.com/open?id=1ucWiMYWr_mmLlCZd-016Gh_IeMaI_hbW&amp;authuser=jay.agg%40gmail.com&amp;usp=drive_fs</v>
      </c>
      <c r="B1200" s="73" t="str">
        <f>IFERROR(__xludf.DUMMYFUNCTION("""COMPUTED_VALUE"""),"Games")</f>
        <v>Games</v>
      </c>
      <c r="C1200" s="73" t="str">
        <f>IFERROR(__xludf.DUMMYFUNCTION("""COMPUTED_VALUE"""),"Puzzle")</f>
        <v>Puzzle</v>
      </c>
      <c r="D1200" s="73" t="str">
        <f>IFERROR(__xludf.DUMMYFUNCTION("""COMPUTED_VALUE"""),"7*7*2 inch Top")</f>
        <v>7*7*2 inch Top</v>
      </c>
      <c r="E1200" s="77">
        <f>IFERROR(__xludf.DUMMYFUNCTION("""COMPUTED_VALUE"""),1.0)</f>
        <v>1</v>
      </c>
      <c r="F1200" s="77">
        <f>IFERROR(__xludf.DUMMYFUNCTION("""COMPUTED_VALUE"""),1926.0)</f>
        <v>1926</v>
      </c>
      <c r="G1200" s="77">
        <f>IFERROR(__xludf.DUMMYFUNCTION("""COMPUTED_VALUE"""),17.0)</f>
        <v>17</v>
      </c>
      <c r="H1200" s="77">
        <f>IFERROR(__xludf.DUMMYFUNCTION("""COMPUTED_VALUE"""),18.0)</f>
        <v>18</v>
      </c>
      <c r="I1200" s="77">
        <f>IFERROR(__xludf.DUMMYFUNCTION("""COMPUTED_VALUE"""),100.0)</f>
        <v>100</v>
      </c>
      <c r="J1200" s="73"/>
      <c r="K1200" s="73"/>
      <c r="L1200" s="73"/>
      <c r="M1200" s="77"/>
      <c r="N1200" s="77">
        <f>IFERROR(__xludf.DUMMYFUNCTION("""COMPUTED_VALUE"""),1.0)</f>
        <v>1</v>
      </c>
      <c r="O1200" s="49"/>
      <c r="P1200" s="49" t="str">
        <f>IFERROR(__xludf.DUMMYFUNCTION("""COMPUTED_VALUE"""),"Offset")</f>
        <v>Offset</v>
      </c>
      <c r="Q1200" s="49" t="str">
        <f>IFERROR(__xludf.DUMMYFUNCTION("""COMPUTED_VALUE"""),"Packaging")</f>
        <v>Packaging</v>
      </c>
      <c r="R1200" s="49" t="str">
        <f>IFERROR(__xludf.DUMMYFUNCTION("""COMPUTED_VALUE"""),"Games")</f>
        <v>Games</v>
      </c>
    </row>
    <row r="1201">
      <c r="A1201" s="156" t="str">
        <f>IFERROR(__xludf.DUMMYFUNCTION("""COMPUTED_VALUE"""),"https://drive.google.com/open?id=1uce8EPMQnla54Pd2-t7qqiCsvTkNvd5j&amp;authuser=jay.agg%40gmail.com&amp;usp=drive_fs")</f>
        <v>https://drive.google.com/open?id=1uce8EPMQnla54Pd2-t7qqiCsvTkNvd5j&amp;authuser=jay.agg%40gmail.com&amp;usp=drive_fs</v>
      </c>
      <c r="B1201" s="73" t="str">
        <f>IFERROR(__xludf.DUMMYFUNCTION("""COMPUTED_VALUE"""),"Games")</f>
        <v>Games</v>
      </c>
      <c r="C1201" s="73" t="str">
        <f>IFERROR(__xludf.DUMMYFUNCTION("""COMPUTED_VALUE"""),"Puzzle")</f>
        <v>Puzzle</v>
      </c>
      <c r="D1201" s="73" t="str">
        <f>IFERROR(__xludf.DUMMYFUNCTION("""COMPUTED_VALUE"""),"7*7*2 inch Bottom")</f>
        <v>7*7*2 inch Bottom</v>
      </c>
      <c r="E1201" s="77">
        <f>IFERROR(__xludf.DUMMYFUNCTION("""COMPUTED_VALUE"""),1.0)</f>
        <v>1</v>
      </c>
      <c r="F1201" s="77">
        <f>IFERROR(__xludf.DUMMYFUNCTION("""COMPUTED_VALUE"""),1926.0)</f>
        <v>1926</v>
      </c>
      <c r="G1201" s="77">
        <f>IFERROR(__xludf.DUMMYFUNCTION("""COMPUTED_VALUE"""),17.0)</f>
        <v>17</v>
      </c>
      <c r="H1201" s="77">
        <f>IFERROR(__xludf.DUMMYFUNCTION("""COMPUTED_VALUE"""),18.0)</f>
        <v>18</v>
      </c>
      <c r="I1201" s="77">
        <f>IFERROR(__xludf.DUMMYFUNCTION("""COMPUTED_VALUE"""),100.0)</f>
        <v>100</v>
      </c>
      <c r="J1201" s="73"/>
      <c r="K1201" s="73"/>
      <c r="L1201" s="73"/>
      <c r="M1201" s="77"/>
      <c r="N1201" s="77">
        <f>IFERROR(__xludf.DUMMYFUNCTION("""COMPUTED_VALUE"""),1.0)</f>
        <v>1</v>
      </c>
      <c r="O1201" s="49"/>
      <c r="P1201" s="49" t="str">
        <f>IFERROR(__xludf.DUMMYFUNCTION("""COMPUTED_VALUE"""),"Offset")</f>
        <v>Offset</v>
      </c>
      <c r="Q1201" s="49" t="str">
        <f>IFERROR(__xludf.DUMMYFUNCTION("""COMPUTED_VALUE"""),"Packaging")</f>
        <v>Packaging</v>
      </c>
      <c r="R1201" s="49" t="str">
        <f>IFERROR(__xludf.DUMMYFUNCTION("""COMPUTED_VALUE"""),"Games")</f>
        <v>Games</v>
      </c>
    </row>
    <row r="1202">
      <c r="A1202" s="156" t="str">
        <f>IFERROR(__xludf.DUMMYFUNCTION("""COMPUTED_VALUE"""),"https://drive.google.com/open?id=1LAdBjKHaQIlc1sPglFlkHbBdGXnlxrjE&amp;authuser=jay.agg%40gmail.com&amp;usp=drive_fs")</f>
        <v>https://drive.google.com/open?id=1LAdBjKHaQIlc1sPglFlkHbBdGXnlxrjE&amp;authuser=jay.agg%40gmail.com&amp;usp=drive_fs</v>
      </c>
      <c r="B1202" s="73" t="str">
        <f>IFERROR(__xludf.DUMMYFUNCTION("""COMPUTED_VALUE"""),"Games")</f>
        <v>Games</v>
      </c>
      <c r="C1202" s="73" t="str">
        <f>IFERROR(__xludf.DUMMYFUNCTION("""COMPUTED_VALUE"""),"Misc")</f>
        <v>Misc</v>
      </c>
      <c r="D1202" s="73" t="str">
        <f>IFERROR(__xludf.DUMMYFUNCTION("""COMPUTED_VALUE"""),"15*9*1.7 Top")</f>
        <v>15*9*1.7 Top</v>
      </c>
      <c r="E1202" s="77">
        <f>IFERROR(__xludf.DUMMYFUNCTION("""COMPUTED_VALUE"""),1.0)</f>
        <v>1</v>
      </c>
      <c r="F1202" s="77">
        <f>IFERROR(__xludf.DUMMYFUNCTION("""COMPUTED_VALUE"""),1926.0)</f>
        <v>1926</v>
      </c>
      <c r="G1202" s="77">
        <f>IFERROR(__xludf.DUMMYFUNCTION("""COMPUTED_VALUE"""),18.0)</f>
        <v>18</v>
      </c>
      <c r="H1202" s="77">
        <f>IFERROR(__xludf.DUMMYFUNCTION("""COMPUTED_VALUE"""),23.0)</f>
        <v>23</v>
      </c>
      <c r="I1202" s="77">
        <f>IFERROR(__xludf.DUMMYFUNCTION("""COMPUTED_VALUE"""),100.0)</f>
        <v>100</v>
      </c>
      <c r="J1202" s="73"/>
      <c r="K1202" s="73"/>
      <c r="L1202" s="73"/>
      <c r="M1202" s="77"/>
      <c r="N1202" s="77">
        <f>IFERROR(__xludf.DUMMYFUNCTION("""COMPUTED_VALUE"""),1.0)</f>
        <v>1</v>
      </c>
      <c r="O1202" s="49"/>
      <c r="P1202" s="49" t="str">
        <f>IFERROR(__xludf.DUMMYFUNCTION("""COMPUTED_VALUE"""),"Offset")</f>
        <v>Offset</v>
      </c>
      <c r="Q1202" s="49" t="str">
        <f>IFERROR(__xludf.DUMMYFUNCTION("""COMPUTED_VALUE"""),"Packaging")</f>
        <v>Packaging</v>
      </c>
      <c r="R1202" s="49" t="str">
        <f>IFERROR(__xludf.DUMMYFUNCTION("""COMPUTED_VALUE"""),"Games")</f>
        <v>Games</v>
      </c>
    </row>
    <row r="1203">
      <c r="A1203" s="156" t="str">
        <f>IFERROR(__xludf.DUMMYFUNCTION("""COMPUTED_VALUE"""),"https://drive.google.com/open?id=1LAdBjKHaQIlc1sPglFlkHbBdGXnlxrjE&amp;authuser=jay.agg%40gmail.com&amp;usp=drive_fs")</f>
        <v>https://drive.google.com/open?id=1LAdBjKHaQIlc1sPglFlkHbBdGXnlxrjE&amp;authuser=jay.agg%40gmail.com&amp;usp=drive_fs</v>
      </c>
      <c r="B1203" s="73" t="str">
        <f>IFERROR(__xludf.DUMMYFUNCTION("""COMPUTED_VALUE"""),"Games")</f>
        <v>Games</v>
      </c>
      <c r="C1203" s="73" t="str">
        <f>IFERROR(__xludf.DUMMYFUNCTION("""COMPUTED_VALUE"""),"Misc")</f>
        <v>Misc</v>
      </c>
      <c r="D1203" s="73" t="str">
        <f>IFERROR(__xludf.DUMMYFUNCTION("""COMPUTED_VALUE"""),"15*9*1.7 Bottom")</f>
        <v>15*9*1.7 Bottom</v>
      </c>
      <c r="E1203" s="77">
        <f>IFERROR(__xludf.DUMMYFUNCTION("""COMPUTED_VALUE"""),1.0)</f>
        <v>1</v>
      </c>
      <c r="F1203" s="77">
        <f>IFERROR(__xludf.DUMMYFUNCTION("""COMPUTED_VALUE"""),1926.0)</f>
        <v>1926</v>
      </c>
      <c r="G1203" s="77">
        <f>IFERROR(__xludf.DUMMYFUNCTION("""COMPUTED_VALUE"""),18.0)</f>
        <v>18</v>
      </c>
      <c r="H1203" s="77">
        <f>IFERROR(__xludf.DUMMYFUNCTION("""COMPUTED_VALUE"""),23.0)</f>
        <v>23</v>
      </c>
      <c r="I1203" s="77">
        <f>IFERROR(__xludf.DUMMYFUNCTION("""COMPUTED_VALUE"""),100.0)</f>
        <v>100</v>
      </c>
      <c r="J1203" s="73"/>
      <c r="K1203" s="73"/>
      <c r="L1203" s="73"/>
      <c r="M1203" s="77"/>
      <c r="N1203" s="77">
        <f>IFERROR(__xludf.DUMMYFUNCTION("""COMPUTED_VALUE"""),1.0)</f>
        <v>1</v>
      </c>
      <c r="O1203" s="49"/>
      <c r="P1203" s="49" t="str">
        <f>IFERROR(__xludf.DUMMYFUNCTION("""COMPUTED_VALUE"""),"Offset")</f>
        <v>Offset</v>
      </c>
      <c r="Q1203" s="49" t="str">
        <f>IFERROR(__xludf.DUMMYFUNCTION("""COMPUTED_VALUE"""),"Packaging")</f>
        <v>Packaging</v>
      </c>
      <c r="R1203" s="49" t="str">
        <f>IFERROR(__xludf.DUMMYFUNCTION("""COMPUTED_VALUE"""),"Games")</f>
        <v>Games</v>
      </c>
    </row>
    <row r="1204">
      <c r="A1204" s="156" t="str">
        <f>IFERROR(__xludf.DUMMYFUNCTION("""COMPUTED_VALUE"""),"https://drive.google.com/open?id=1V8y_N3GAYGSBodz97XAGbXOO4etDpgut&amp;authuser=jay.agg%40gmail.com&amp;usp=drive_fs")</f>
        <v>https://drive.google.com/open?id=1V8y_N3GAYGSBodz97XAGbXOO4etDpgut&amp;authuser=jay.agg%40gmail.com&amp;usp=drive_fs</v>
      </c>
      <c r="B1204" s="73" t="str">
        <f>IFERROR(__xludf.DUMMYFUNCTION("""COMPUTED_VALUE"""),"Games")</f>
        <v>Games</v>
      </c>
      <c r="C1204" s="73" t="str">
        <f>IFERROR(__xludf.DUMMYFUNCTION("""COMPUTED_VALUE"""),"Cube")</f>
        <v>Cube</v>
      </c>
      <c r="D1204" s="73" t="str">
        <f>IFERROR(__xludf.DUMMYFUNCTION("""COMPUTED_VALUE"""),"70*70*70 mm | 2.75*2.75*2.75 inch")</f>
        <v>70*70*70 mm | 2.75*2.75*2.75 inch</v>
      </c>
      <c r="E1204" s="77">
        <f>IFERROR(__xludf.DUMMYFUNCTION("""COMPUTED_VALUE"""),4.0)</f>
        <v>4</v>
      </c>
      <c r="F1204" s="77">
        <f>IFERROR(__xludf.DUMMYFUNCTION("""COMPUTED_VALUE"""),1926.0)</f>
        <v>1926</v>
      </c>
      <c r="G1204" s="77">
        <f>IFERROR(__xludf.DUMMYFUNCTION("""COMPUTED_VALUE"""),18.0)</f>
        <v>18</v>
      </c>
      <c r="H1204" s="77">
        <f>IFERROR(__xludf.DUMMYFUNCTION("""COMPUTED_VALUE"""),23.0)</f>
        <v>23</v>
      </c>
      <c r="I1204" s="77">
        <f>IFERROR(__xludf.DUMMYFUNCTION("""COMPUTED_VALUE"""),100.0)</f>
        <v>100</v>
      </c>
      <c r="J1204" s="73"/>
      <c r="K1204" s="73"/>
      <c r="L1204" s="73"/>
      <c r="M1204" s="77">
        <f>IFERROR(__xludf.DUMMYFUNCTION("""COMPUTED_VALUE"""),0.1)</f>
        <v>0.1</v>
      </c>
      <c r="N1204" s="77">
        <f>IFERROR(__xludf.DUMMYFUNCTION("""COMPUTED_VALUE"""),1.0)</f>
        <v>1</v>
      </c>
      <c r="O1204" s="49"/>
      <c r="P1204" s="49" t="str">
        <f>IFERROR(__xludf.DUMMYFUNCTION("""COMPUTED_VALUE"""),"Offset")</f>
        <v>Offset</v>
      </c>
      <c r="Q1204" s="49" t="str">
        <f>IFERROR(__xludf.DUMMYFUNCTION("""COMPUTED_VALUE"""),"Packaging")</f>
        <v>Packaging</v>
      </c>
      <c r="R1204" s="49" t="str">
        <f>IFERROR(__xludf.DUMMYFUNCTION("""COMPUTED_VALUE"""),"Games")</f>
        <v>Games</v>
      </c>
    </row>
    <row r="1205">
      <c r="A1205" s="156" t="str">
        <f>IFERROR(__xludf.DUMMYFUNCTION("""COMPUTED_VALUE"""),"https://drive.google.com/open?id=1VB_sDmRhMLUMMpiQ-7NIn-CVOUOKhlip&amp;authuser=jay.agg%40gmail.com&amp;usp=drive_fs")</f>
        <v>https://drive.google.com/open?id=1VB_sDmRhMLUMMpiQ-7NIn-CVOUOKhlip&amp;authuser=jay.agg%40gmail.com&amp;usp=drive_fs</v>
      </c>
      <c r="B1205" s="73" t="str">
        <f>IFERROR(__xludf.DUMMYFUNCTION("""COMPUTED_VALUE"""),"Games")</f>
        <v>Games</v>
      </c>
      <c r="C1205" s="73" t="str">
        <f>IFERROR(__xludf.DUMMYFUNCTION("""COMPUTED_VALUE"""),"Cube")</f>
        <v>Cube</v>
      </c>
      <c r="D1205" s="73" t="str">
        <f>IFERROR(__xludf.DUMMYFUNCTION("""COMPUTED_VALUE"""),"50*50*50 mm | 2*2*2 inch")</f>
        <v>50*50*50 mm | 2*2*2 inch</v>
      </c>
      <c r="E1205" s="77">
        <f>IFERROR(__xludf.DUMMYFUNCTION("""COMPUTED_VALUE"""),8.0)</f>
        <v>8</v>
      </c>
      <c r="F1205" s="77">
        <f>IFERROR(__xludf.DUMMYFUNCTION("""COMPUTED_VALUE"""),1926.0)</f>
        <v>1926</v>
      </c>
      <c r="G1205" s="77">
        <f>IFERROR(__xludf.DUMMYFUNCTION("""COMPUTED_VALUE"""),18.0)</f>
        <v>18</v>
      </c>
      <c r="H1205" s="77">
        <f>IFERROR(__xludf.DUMMYFUNCTION("""COMPUTED_VALUE"""),25.0)</f>
        <v>25</v>
      </c>
      <c r="I1205" s="77">
        <f>IFERROR(__xludf.DUMMYFUNCTION("""COMPUTED_VALUE"""),100.0)</f>
        <v>100</v>
      </c>
      <c r="J1205" s="73"/>
      <c r="K1205" s="73"/>
      <c r="L1205" s="73"/>
      <c r="M1205" s="77">
        <f>IFERROR(__xludf.DUMMYFUNCTION("""COMPUTED_VALUE"""),0.1)</f>
        <v>0.1</v>
      </c>
      <c r="N1205" s="77">
        <f>IFERROR(__xludf.DUMMYFUNCTION("""COMPUTED_VALUE"""),1.0)</f>
        <v>1</v>
      </c>
      <c r="O1205" s="49"/>
      <c r="P1205" s="49" t="str">
        <f>IFERROR(__xludf.DUMMYFUNCTION("""COMPUTED_VALUE"""),"Offset")</f>
        <v>Offset</v>
      </c>
      <c r="Q1205" s="49" t="str">
        <f>IFERROR(__xludf.DUMMYFUNCTION("""COMPUTED_VALUE"""),"Packaging")</f>
        <v>Packaging</v>
      </c>
      <c r="R1205" s="49" t="str">
        <f>IFERROR(__xludf.DUMMYFUNCTION("""COMPUTED_VALUE"""),"Games")</f>
        <v>Games</v>
      </c>
    </row>
    <row r="1206">
      <c r="A1206" s="156" t="str">
        <f>IFERROR(__xludf.DUMMYFUNCTION("""COMPUTED_VALUE"""),"https://drive.google.com/open?id=1bEXMrQuBmwS5wMpb3nK1aZOFV21mDnmB&amp;authuser=jay.agg%40gmail.com&amp;usp=drive_fs")</f>
        <v>https://drive.google.com/open?id=1bEXMrQuBmwS5wMpb3nK1aZOFV21mDnmB&amp;authuser=jay.agg%40gmail.com&amp;usp=drive_fs</v>
      </c>
      <c r="B1206" s="73" t="str">
        <f>IFERROR(__xludf.DUMMYFUNCTION("""COMPUTED_VALUE"""),"Games")</f>
        <v>Games</v>
      </c>
      <c r="C1206" s="73" t="str">
        <f>IFERROR(__xludf.DUMMYFUNCTION("""COMPUTED_VALUE"""),"Cube")</f>
        <v>Cube</v>
      </c>
      <c r="D1206" s="73" t="str">
        <f>IFERROR(__xludf.DUMMYFUNCTION("""COMPUTED_VALUE"""),"57*57*57 mm | 2.25*2.25*2.25 inch")</f>
        <v>57*57*57 mm | 2.25*2.25*2.25 inch</v>
      </c>
      <c r="E1206" s="77">
        <f>IFERROR(__xludf.DUMMYFUNCTION("""COMPUTED_VALUE"""),8.0)</f>
        <v>8</v>
      </c>
      <c r="F1206" s="77">
        <f>IFERROR(__xludf.DUMMYFUNCTION("""COMPUTED_VALUE"""),2029.0)</f>
        <v>2029</v>
      </c>
      <c r="G1206" s="77">
        <f>IFERROR(__xludf.DUMMYFUNCTION("""COMPUTED_VALUE"""),19.5)</f>
        <v>19.5</v>
      </c>
      <c r="H1206" s="77">
        <f>IFERROR(__xludf.DUMMYFUNCTION("""COMPUTED_VALUE"""),23.0)</f>
        <v>23</v>
      </c>
      <c r="I1206" s="77">
        <f>IFERROR(__xludf.DUMMYFUNCTION("""COMPUTED_VALUE"""),100.0)</f>
        <v>100</v>
      </c>
      <c r="J1206" s="73"/>
      <c r="K1206" s="73"/>
      <c r="L1206" s="73"/>
      <c r="M1206" s="77">
        <f>IFERROR(__xludf.DUMMYFUNCTION("""COMPUTED_VALUE"""),0.1)</f>
        <v>0.1</v>
      </c>
      <c r="N1206" s="77">
        <f>IFERROR(__xludf.DUMMYFUNCTION("""COMPUTED_VALUE"""),1.0)</f>
        <v>1</v>
      </c>
      <c r="O1206" s="49"/>
      <c r="P1206" s="49" t="str">
        <f>IFERROR(__xludf.DUMMYFUNCTION("""COMPUTED_VALUE"""),"Offset")</f>
        <v>Offset</v>
      </c>
      <c r="Q1206" s="49" t="str">
        <f>IFERROR(__xludf.DUMMYFUNCTION("""COMPUTED_VALUE"""),"Packaging")</f>
        <v>Packaging</v>
      </c>
      <c r="R1206" s="49" t="str">
        <f>IFERROR(__xludf.DUMMYFUNCTION("""COMPUTED_VALUE"""),"Games")</f>
        <v>Games</v>
      </c>
    </row>
    <row r="1207">
      <c r="A1207" s="156" t="str">
        <f>IFERROR(__xludf.DUMMYFUNCTION("""COMPUTED_VALUE"""),"https://drive.google.com/open?id=16DOHyXOSxt-3_1uStMtO1rpwoLPVqnjv&amp;authuser=jay.agg%40gmail.com&amp;usp=drive_fs")</f>
        <v>https://drive.google.com/open?id=16DOHyXOSxt-3_1uStMtO1rpwoLPVqnjv&amp;authuser=jay.agg%40gmail.com&amp;usp=drive_fs</v>
      </c>
      <c r="B1207" s="73" t="str">
        <f>IFERROR(__xludf.DUMMYFUNCTION("""COMPUTED_VALUE"""),"Games")</f>
        <v>Games</v>
      </c>
      <c r="C1207" s="73" t="str">
        <f>IFERROR(__xludf.DUMMYFUNCTION("""COMPUTED_VALUE"""),"Misc")</f>
        <v>Misc</v>
      </c>
      <c r="D1207" s="73" t="str">
        <f>IFERROR(__xludf.DUMMYFUNCTION("""COMPUTED_VALUE"""),"35*25*70 mm | 1.4*1*2.7 inch")</f>
        <v>35*25*70 mm | 1.4*1*2.7 inch</v>
      </c>
      <c r="E1207" s="77">
        <f>IFERROR(__xludf.DUMMYFUNCTION("""COMPUTED_VALUE"""),12.0)</f>
        <v>12</v>
      </c>
      <c r="F1207" s="77">
        <f>IFERROR(__xludf.DUMMYFUNCTION("""COMPUTED_VALUE"""),1926.0)</f>
        <v>1926</v>
      </c>
      <c r="G1207" s="77">
        <f>IFERROR(__xludf.DUMMYFUNCTION("""COMPUTED_VALUE"""),15.75)</f>
        <v>15.75</v>
      </c>
      <c r="H1207" s="77">
        <f>IFERROR(__xludf.DUMMYFUNCTION("""COMPUTED_VALUE"""),20.75)</f>
        <v>20.75</v>
      </c>
      <c r="I1207" s="77">
        <f>IFERROR(__xludf.DUMMYFUNCTION("""COMPUTED_VALUE"""),100.0)</f>
        <v>100</v>
      </c>
      <c r="J1207" s="73"/>
      <c r="K1207" s="73"/>
      <c r="L1207" s="73"/>
      <c r="M1207" s="77">
        <f>IFERROR(__xludf.DUMMYFUNCTION("""COMPUTED_VALUE"""),0.1)</f>
        <v>0.1</v>
      </c>
      <c r="N1207" s="77">
        <f>IFERROR(__xludf.DUMMYFUNCTION("""COMPUTED_VALUE"""),1.0)</f>
        <v>1</v>
      </c>
      <c r="O1207" s="49"/>
      <c r="P1207" s="49" t="str">
        <f>IFERROR(__xludf.DUMMYFUNCTION("""COMPUTED_VALUE"""),"Offset")</f>
        <v>Offset</v>
      </c>
      <c r="Q1207" s="49" t="str">
        <f>IFERROR(__xludf.DUMMYFUNCTION("""COMPUTED_VALUE"""),"Packaging")</f>
        <v>Packaging</v>
      </c>
      <c r="R1207" s="49" t="str">
        <f>IFERROR(__xludf.DUMMYFUNCTION("""COMPUTED_VALUE"""),"Games")</f>
        <v>Games</v>
      </c>
    </row>
    <row r="1208">
      <c r="A1208" s="156" t="str">
        <f>IFERROR(__xludf.DUMMYFUNCTION("""COMPUTED_VALUE"""),"https://drive.google.com/open?id=1-sRDVUAsurfp1z68qsvNq88bS9xHEH8n&amp;authuser=jay.agg%40gmail.com&amp;usp=drive_fs")</f>
        <v>https://drive.google.com/open?id=1-sRDVUAsurfp1z68qsvNq88bS9xHEH8n&amp;authuser=jay.agg%40gmail.com&amp;usp=drive_fs</v>
      </c>
      <c r="B1208" s="73" t="str">
        <f>IFERROR(__xludf.DUMMYFUNCTION("""COMPUTED_VALUE"""),"Games")</f>
        <v>Games</v>
      </c>
      <c r="C1208" s="73" t="str">
        <f>IFERROR(__xludf.DUMMYFUNCTION("""COMPUTED_VALUE"""),"Misc")</f>
        <v>Misc</v>
      </c>
      <c r="D1208" s="73" t="str">
        <f>IFERROR(__xludf.DUMMYFUNCTION("""COMPUTED_VALUE"""),"102*32*152 mm | 4*1.25*6 inch | 2023")</f>
        <v>102*32*152 mm | 4*1.25*6 inch | 2023</v>
      </c>
      <c r="E1208" s="77">
        <f>IFERROR(__xludf.DUMMYFUNCTION("""COMPUTED_VALUE"""),4.0)</f>
        <v>4</v>
      </c>
      <c r="F1208" s="77">
        <f>IFERROR(__xludf.DUMMYFUNCTION("""COMPUTED_VALUE"""),1926.0)</f>
        <v>1926</v>
      </c>
      <c r="G1208" s="77">
        <f>IFERROR(__xludf.DUMMYFUNCTION("""COMPUTED_VALUE"""),18.0)</f>
        <v>18</v>
      </c>
      <c r="H1208" s="77">
        <f>IFERROR(__xludf.DUMMYFUNCTION("""COMPUTED_VALUE"""),23.0)</f>
        <v>23</v>
      </c>
      <c r="I1208" s="77">
        <f>IFERROR(__xludf.DUMMYFUNCTION("""COMPUTED_VALUE"""),100.0)</f>
        <v>100</v>
      </c>
      <c r="J1208" s="73"/>
      <c r="K1208" s="73"/>
      <c r="L1208" s="73"/>
      <c r="M1208" s="77">
        <f>IFERROR(__xludf.DUMMYFUNCTION("""COMPUTED_VALUE"""),0.1)</f>
        <v>0.1</v>
      </c>
      <c r="N1208" s="77">
        <f>IFERROR(__xludf.DUMMYFUNCTION("""COMPUTED_VALUE"""),1.0)</f>
        <v>1</v>
      </c>
      <c r="O1208" s="49"/>
      <c r="P1208" s="49" t="str">
        <f>IFERROR(__xludf.DUMMYFUNCTION("""COMPUTED_VALUE"""),"Offset")</f>
        <v>Offset</v>
      </c>
      <c r="Q1208" s="49" t="str">
        <f>IFERROR(__xludf.DUMMYFUNCTION("""COMPUTED_VALUE"""),"Packaging")</f>
        <v>Packaging</v>
      </c>
      <c r="R1208" s="49" t="str">
        <f>IFERROR(__xludf.DUMMYFUNCTION("""COMPUTED_VALUE"""),"Games")</f>
        <v>Games</v>
      </c>
    </row>
    <row r="1209">
      <c r="A1209" s="156" t="str">
        <f>IFERROR(__xludf.DUMMYFUNCTION("""COMPUTED_VALUE"""),"https://drive.google.com/open?id=10ncXLWaN-FH0Wijq1vXo0Gzb5KgUCtKF&amp;authuser=jay.agg%40gmail.com&amp;usp=drive_fs")</f>
        <v>https://drive.google.com/open?id=10ncXLWaN-FH0Wijq1vXo0Gzb5KgUCtKF&amp;authuser=jay.agg%40gmail.com&amp;usp=drive_fs</v>
      </c>
      <c r="B1209" s="73" t="str">
        <f>IFERROR(__xludf.DUMMYFUNCTION("""COMPUTED_VALUE"""),"MFM")</f>
        <v>MFM</v>
      </c>
      <c r="C1209" s="73" t="str">
        <f>IFERROR(__xludf.DUMMYFUNCTION("""COMPUTED_VALUE"""),"Misc")</f>
        <v>Misc</v>
      </c>
      <c r="D1209" s="73" t="str">
        <f>IFERROR(__xludf.DUMMYFUNCTION("""COMPUTED_VALUE"""),"104*35*155 mm | 4*1.4*6.1 inch | 24*19")</f>
        <v>104*35*155 mm | 4*1.4*6.1 inch | 24*19</v>
      </c>
      <c r="E1209" s="77">
        <f>IFERROR(__xludf.DUMMYFUNCTION("""COMPUTED_VALUE"""),4.0)</f>
        <v>4</v>
      </c>
      <c r="F1209" s="77">
        <f>IFERROR(__xludf.DUMMYFUNCTION("""COMPUTED_VALUE"""),1926.0)</f>
        <v>1926</v>
      </c>
      <c r="G1209" s="77">
        <f>IFERROR(__xludf.DUMMYFUNCTION("""COMPUTED_VALUE"""),20.0)</f>
        <v>20</v>
      </c>
      <c r="H1209" s="77">
        <f>IFERROR(__xludf.DUMMYFUNCTION("""COMPUTED_VALUE"""),25.0)</f>
        <v>25</v>
      </c>
      <c r="I1209" s="77">
        <f>IFERROR(__xludf.DUMMYFUNCTION("""COMPUTED_VALUE"""),100.0)</f>
        <v>100</v>
      </c>
      <c r="J1209" s="73"/>
      <c r="K1209" s="73"/>
      <c r="L1209" s="73"/>
      <c r="M1209" s="77">
        <f>IFERROR(__xludf.DUMMYFUNCTION("""COMPUTED_VALUE"""),0.12)</f>
        <v>0.12</v>
      </c>
      <c r="N1209" s="77">
        <f>IFERROR(__xludf.DUMMYFUNCTION("""COMPUTED_VALUE"""),1.0)</f>
        <v>1</v>
      </c>
      <c r="O1209" s="49"/>
      <c r="P1209" s="49" t="str">
        <f>IFERROR(__xludf.DUMMYFUNCTION("""COMPUTED_VALUE"""),"Offset")</f>
        <v>Offset</v>
      </c>
      <c r="Q1209" s="49" t="str">
        <f>IFERROR(__xludf.DUMMYFUNCTION("""COMPUTED_VALUE"""),"Packaging")</f>
        <v>Packaging</v>
      </c>
      <c r="R1209" s="49" t="str">
        <f>IFERROR(__xludf.DUMMYFUNCTION("""COMPUTED_VALUE"""),"MFM")</f>
        <v>MFM</v>
      </c>
    </row>
    <row r="1210">
      <c r="A1210" s="156" t="str">
        <f>IFERROR(__xludf.DUMMYFUNCTION("""COMPUTED_VALUE"""),"https://drive.google.com/open?id=1UsJ_jRsmsJxNbRL4cSf6PCv_XjsbVDjZ&amp;authuser=jay.agg%40gmail.com&amp;usp=drive_fs")</f>
        <v>https://drive.google.com/open?id=1UsJ_jRsmsJxNbRL4cSf6PCv_XjsbVDjZ&amp;authuser=jay.agg%40gmail.com&amp;usp=drive_fs</v>
      </c>
      <c r="B1210" s="73" t="str">
        <f>IFERROR(__xludf.DUMMYFUNCTION("""COMPUTED_VALUE"""),"Tent Card")</f>
        <v>Tent Card</v>
      </c>
      <c r="C1210" s="73" t="str">
        <f>IFERROR(__xludf.DUMMYFUNCTION("""COMPUTED_VALUE"""),"A4")</f>
        <v>A4</v>
      </c>
      <c r="D1210" s="73" t="str">
        <f>IFERROR(__xludf.DUMMYFUNCTION("""COMPUTED_VALUE"""),"A4 Size 210*(65+300+240) mm")</f>
        <v>A4 Size 210*(65+300+240) mm</v>
      </c>
      <c r="E1210" s="77">
        <f>IFERROR(__xludf.DUMMYFUNCTION("""COMPUTED_VALUE"""),16.0)</f>
        <v>16</v>
      </c>
      <c r="F1210" s="77">
        <f>IFERROR(__xludf.DUMMYFUNCTION("""COMPUTED_VALUE"""),1005.0)</f>
        <v>1005</v>
      </c>
      <c r="G1210" s="77">
        <f>IFERROR(__xludf.DUMMYFUNCTION("""COMPUTED_VALUE"""),48.0)</f>
        <v>48</v>
      </c>
      <c r="H1210" s="77">
        <f>IFERROR(__xludf.DUMMYFUNCTION("""COMPUTED_VALUE"""),72.0)</f>
        <v>72</v>
      </c>
      <c r="I1210" s="77">
        <f>IFERROR(__xludf.DUMMYFUNCTION("""COMPUTED_VALUE"""),100.0)</f>
        <v>100</v>
      </c>
      <c r="J1210" s="73">
        <f>IFERROR(__xludf.DUMMYFUNCTION("""COMPUTED_VALUE"""),4.0)</f>
        <v>4</v>
      </c>
      <c r="K1210" s="73">
        <f>IFERROR(__xludf.DUMMYFUNCTION("""COMPUTED_VALUE"""),4.5)</f>
        <v>4.5</v>
      </c>
      <c r="L1210" s="73">
        <f>IFERROR(__xludf.DUMMYFUNCTION("""COMPUTED_VALUE"""),70.0)</f>
        <v>70</v>
      </c>
      <c r="M1210" s="77">
        <f>IFERROR(__xludf.DUMMYFUNCTION("""COMPUTED_VALUE"""),2.0)</f>
        <v>2</v>
      </c>
      <c r="N1210" s="77"/>
      <c r="O1210" s="49"/>
      <c r="P1210" s="49" t="str">
        <f>IFERROR(__xludf.DUMMYFUNCTION("""COMPUTED_VALUE"""),"Flexible")</f>
        <v>Flexible</v>
      </c>
      <c r="Q1210" s="49" t="str">
        <f>IFERROR(__xludf.DUMMYFUNCTION("""COMPUTED_VALUE"""),"Hand Made")</f>
        <v>Hand Made</v>
      </c>
      <c r="R1210" s="49" t="str">
        <f>IFERROR(__xludf.DUMMYFUNCTION("""COMPUTED_VALUE"""),"Tent Card")</f>
        <v>Tent Card</v>
      </c>
    </row>
    <row r="1211">
      <c r="A1211" s="156" t="str">
        <f>IFERROR(__xludf.DUMMYFUNCTION("""COMPUTED_VALUE"""),"https://drive.google.com/open?id=1UtuWirvgvbqa9z_rB9pCG60cZLHA8RKB&amp;authuser=jay.agg%40gmail.com&amp;usp=drive_fs")</f>
        <v>https://drive.google.com/open?id=1UtuWirvgvbqa9z_rB9pCG60cZLHA8RKB&amp;authuser=jay.agg%40gmail.com&amp;usp=drive_fs</v>
      </c>
      <c r="B1211" s="73" t="str">
        <f>IFERROR(__xludf.DUMMYFUNCTION("""COMPUTED_VALUE"""),"Tent Card")</f>
        <v>Tent Card</v>
      </c>
      <c r="C1211" s="73" t="str">
        <f>IFERROR(__xludf.DUMMYFUNCTION("""COMPUTED_VALUE"""),"A4")</f>
        <v>A4</v>
      </c>
      <c r="D1211" s="73" t="str">
        <f>IFERROR(__xludf.DUMMYFUNCTION("""COMPUTED_VALUE"""),"A4 Size 210*(38+300+300+38) mm")</f>
        <v>A4 Size 210*(38+300+300+38) mm</v>
      </c>
      <c r="E1211" s="77">
        <f>IFERROR(__xludf.DUMMYFUNCTION("""COMPUTED_VALUE"""),12.0)</f>
        <v>12</v>
      </c>
      <c r="F1211" s="77">
        <f>IFERROR(__xludf.DUMMYFUNCTION("""COMPUTED_VALUE"""),1005.0)</f>
        <v>1005</v>
      </c>
      <c r="G1211" s="77">
        <f>IFERROR(__xludf.DUMMYFUNCTION("""COMPUTED_VALUE"""),48.0)</f>
        <v>48</v>
      </c>
      <c r="H1211" s="77">
        <f>IFERROR(__xludf.DUMMYFUNCTION("""COMPUTED_VALUE"""),72.0)</f>
        <v>72</v>
      </c>
      <c r="I1211" s="77">
        <f>IFERROR(__xludf.DUMMYFUNCTION("""COMPUTED_VALUE"""),100.0)</f>
        <v>100</v>
      </c>
      <c r="J1211" s="73">
        <f>IFERROR(__xludf.DUMMYFUNCTION("""COMPUTED_VALUE"""),5.0)</f>
        <v>5</v>
      </c>
      <c r="K1211" s="73">
        <f>IFERROR(__xludf.DUMMYFUNCTION("""COMPUTED_VALUE"""),6.0)</f>
        <v>6</v>
      </c>
      <c r="L1211" s="73">
        <f>IFERROR(__xludf.DUMMYFUNCTION("""COMPUTED_VALUE"""),65.0)</f>
        <v>65</v>
      </c>
      <c r="M1211" s="77">
        <f>IFERROR(__xludf.DUMMYFUNCTION("""COMPUTED_VALUE"""),2.0)</f>
        <v>2</v>
      </c>
      <c r="N1211" s="77"/>
      <c r="O1211" s="49"/>
      <c r="P1211" s="49" t="str">
        <f>IFERROR(__xludf.DUMMYFUNCTION("""COMPUTED_VALUE"""),"Flexible")</f>
        <v>Flexible</v>
      </c>
      <c r="Q1211" s="49" t="str">
        <f>IFERROR(__xludf.DUMMYFUNCTION("""COMPUTED_VALUE"""),"Hand Made")</f>
        <v>Hand Made</v>
      </c>
      <c r="R1211" s="49" t="str">
        <f>IFERROR(__xludf.DUMMYFUNCTION("""COMPUTED_VALUE"""),"Tent Card")</f>
        <v>Tent Card</v>
      </c>
    </row>
    <row r="1212">
      <c r="A1212" s="156" t="str">
        <f>IFERROR(__xludf.DUMMYFUNCTION("""COMPUTED_VALUE"""),"https://drive.google.com/open?id=1UwpFIJftj8RuUkmFCZHn1pw-Rhy401kP&amp;authuser=jay.agg%40gmail.com&amp;usp=drive_fs")</f>
        <v>https://drive.google.com/open?id=1UwpFIJftj8RuUkmFCZHn1pw-Rhy401kP&amp;authuser=jay.agg%40gmail.com&amp;usp=drive_fs</v>
      </c>
      <c r="B1212" s="73" t="str">
        <f>IFERROR(__xludf.DUMMYFUNCTION("""COMPUTED_VALUE"""),"Tent Card")</f>
        <v>Tent Card</v>
      </c>
      <c r="C1212" s="73" t="str">
        <f>IFERROR(__xludf.DUMMYFUNCTION("""COMPUTED_VALUE"""),"5*8")</f>
        <v>5*8</v>
      </c>
      <c r="D1212" s="73" t="str">
        <f>IFERROR(__xludf.DUMMYFUNCTION("""COMPUTED_VALUE"""),"5*8 inches 130*(38+208+208+38) mm")</f>
        <v>5*8 inches 130*(38+208+208+38) mm</v>
      </c>
      <c r="E1212" s="77">
        <f>IFERROR(__xludf.DUMMYFUNCTION("""COMPUTED_VALUE"""),31.0)</f>
        <v>31</v>
      </c>
      <c r="F1212" s="77">
        <f>IFERROR(__xludf.DUMMYFUNCTION("""COMPUTED_VALUE"""),1005.0)</f>
        <v>1005</v>
      </c>
      <c r="G1212" s="77">
        <f>IFERROR(__xludf.DUMMYFUNCTION("""COMPUTED_VALUE"""),48.0)</f>
        <v>48</v>
      </c>
      <c r="H1212" s="77">
        <f>IFERROR(__xludf.DUMMYFUNCTION("""COMPUTED_VALUE"""),72.0)</f>
        <v>72</v>
      </c>
      <c r="I1212" s="77">
        <f>IFERROR(__xludf.DUMMYFUNCTION("""COMPUTED_VALUE"""),100.0)</f>
        <v>100</v>
      </c>
      <c r="J1212" s="73">
        <f>IFERROR(__xludf.DUMMYFUNCTION("""COMPUTED_VALUE"""),4.0)</f>
        <v>4</v>
      </c>
      <c r="K1212" s="73">
        <f>IFERROR(__xludf.DUMMYFUNCTION("""COMPUTED_VALUE"""),6.0)</f>
        <v>6</v>
      </c>
      <c r="L1212" s="73">
        <f>IFERROR(__xludf.DUMMYFUNCTION("""COMPUTED_VALUE"""),100.0)</f>
        <v>100</v>
      </c>
      <c r="M1212" s="77">
        <f>IFERROR(__xludf.DUMMYFUNCTION("""COMPUTED_VALUE"""),2.0)</f>
        <v>2</v>
      </c>
      <c r="N1212" s="77"/>
      <c r="O1212" s="49"/>
      <c r="P1212" s="49" t="str">
        <f>IFERROR(__xludf.DUMMYFUNCTION("""COMPUTED_VALUE"""),"Flexible")</f>
        <v>Flexible</v>
      </c>
      <c r="Q1212" s="49" t="str">
        <f>IFERROR(__xludf.DUMMYFUNCTION("""COMPUTED_VALUE"""),"Hand Made")</f>
        <v>Hand Made</v>
      </c>
      <c r="R1212" s="49" t="str">
        <f>IFERROR(__xludf.DUMMYFUNCTION("""COMPUTED_VALUE"""),"Tent Card")</f>
        <v>Tent Card</v>
      </c>
    </row>
    <row r="1213">
      <c r="A1213" s="156" t="str">
        <f>IFERROR(__xludf.DUMMYFUNCTION("""COMPUTED_VALUE"""),"https://drive.google.com/open?id=1UyuhrlzKPrrBVaEb2AqkfwZQdFczO0aq&amp;authuser=jay.agg%40gmail.com&amp;usp=drive_fs")</f>
        <v>https://drive.google.com/open?id=1UyuhrlzKPrrBVaEb2AqkfwZQdFczO0aq&amp;authuser=jay.agg%40gmail.com&amp;usp=drive_fs</v>
      </c>
      <c r="B1213" s="73" t="str">
        <f>IFERROR(__xludf.DUMMYFUNCTION("""COMPUTED_VALUE"""),"Tent Card")</f>
        <v>Tent Card</v>
      </c>
      <c r="C1213" s="73" t="str">
        <f>IFERROR(__xludf.DUMMYFUNCTION("""COMPUTED_VALUE"""),"A5")</f>
        <v>A5</v>
      </c>
      <c r="D1213" s="73" t="str">
        <f>IFERROR(__xludf.DUMMYFUNCTION("""COMPUTED_VALUE"""),"148*(38+210+210+38)")</f>
        <v>148*(38+210+210+38)</v>
      </c>
      <c r="E1213" s="77">
        <f>IFERROR(__xludf.DUMMYFUNCTION("""COMPUTED_VALUE"""),28.0)</f>
        <v>28</v>
      </c>
      <c r="F1213" s="77">
        <f>IFERROR(__xludf.DUMMYFUNCTION("""COMPUTED_VALUE"""),1005.0)</f>
        <v>1005</v>
      </c>
      <c r="G1213" s="77">
        <f>IFERROR(__xludf.DUMMYFUNCTION("""COMPUTED_VALUE"""),48.0)</f>
        <v>48</v>
      </c>
      <c r="H1213" s="77">
        <f>IFERROR(__xludf.DUMMYFUNCTION("""COMPUTED_VALUE"""),72.0)</f>
        <v>72</v>
      </c>
      <c r="I1213" s="77">
        <f>IFERROR(__xludf.DUMMYFUNCTION("""COMPUTED_VALUE"""),100.0)</f>
        <v>100</v>
      </c>
      <c r="J1213" s="73">
        <f>IFERROR(__xludf.DUMMYFUNCTION("""COMPUTED_VALUE"""),4.0)</f>
        <v>4</v>
      </c>
      <c r="K1213" s="73">
        <f>IFERROR(__xludf.DUMMYFUNCTION("""COMPUTED_VALUE"""),6.0)</f>
        <v>6</v>
      </c>
      <c r="L1213" s="73">
        <f>IFERROR(__xludf.DUMMYFUNCTION("""COMPUTED_VALUE"""),90.0)</f>
        <v>90</v>
      </c>
      <c r="M1213" s="77">
        <f>IFERROR(__xludf.DUMMYFUNCTION("""COMPUTED_VALUE"""),2.0)</f>
        <v>2</v>
      </c>
      <c r="N1213" s="77"/>
      <c r="O1213" s="49"/>
      <c r="P1213" s="49" t="str">
        <f>IFERROR(__xludf.DUMMYFUNCTION("""COMPUTED_VALUE"""),"Flexible")</f>
        <v>Flexible</v>
      </c>
      <c r="Q1213" s="49" t="str">
        <f>IFERROR(__xludf.DUMMYFUNCTION("""COMPUTED_VALUE"""),"Hand Made")</f>
        <v>Hand Made</v>
      </c>
      <c r="R1213" s="49" t="str">
        <f>IFERROR(__xludf.DUMMYFUNCTION("""COMPUTED_VALUE"""),"Tent Card")</f>
        <v>Tent Card</v>
      </c>
    </row>
    <row r="1214">
      <c r="A1214" s="156" t="str">
        <f>IFERROR(__xludf.DUMMYFUNCTION("""COMPUTED_VALUE"""),"https://drive.google.com/open?id=1UzQGaq0zWfLAl-tKyK4lAyunLxwuTRHx&amp;authuser=jay.agg%40gmail.com&amp;usp=drive_fs")</f>
        <v>https://drive.google.com/open?id=1UzQGaq0zWfLAl-tKyK4lAyunLxwuTRHx&amp;authuser=jay.agg%40gmail.com&amp;usp=drive_fs</v>
      </c>
      <c r="B1214" s="73" t="str">
        <f>IFERROR(__xludf.DUMMYFUNCTION("""COMPUTED_VALUE"""),"Tent Card")</f>
        <v>Tent Card</v>
      </c>
      <c r="C1214" s="73" t="str">
        <f>IFERROR(__xludf.DUMMYFUNCTION("""COMPUTED_VALUE"""),"A5")</f>
        <v>A5</v>
      </c>
      <c r="D1214" s="73" t="str">
        <f>IFERROR(__xludf.DUMMYFUNCTION("""COMPUTED_VALUE"""),"148*(64+210+140)")</f>
        <v>148*(64+210+140)</v>
      </c>
      <c r="E1214" s="77">
        <f>IFERROR(__xludf.DUMMYFUNCTION("""COMPUTED_VALUE"""),35.0)</f>
        <v>35</v>
      </c>
      <c r="F1214" s="77">
        <f>IFERROR(__xludf.DUMMYFUNCTION("""COMPUTED_VALUE"""),1005.0)</f>
        <v>1005</v>
      </c>
      <c r="G1214" s="77">
        <f>IFERROR(__xludf.DUMMYFUNCTION("""COMPUTED_VALUE"""),48.0)</f>
        <v>48</v>
      </c>
      <c r="H1214" s="77">
        <f>IFERROR(__xludf.DUMMYFUNCTION("""COMPUTED_VALUE"""),72.0)</f>
        <v>72</v>
      </c>
      <c r="I1214" s="77">
        <f>IFERROR(__xludf.DUMMYFUNCTION("""COMPUTED_VALUE"""),100.0)</f>
        <v>100</v>
      </c>
      <c r="J1214" s="73">
        <f>IFERROR(__xludf.DUMMYFUNCTION("""COMPUTED_VALUE"""),4.0)</f>
        <v>4</v>
      </c>
      <c r="K1214" s="73">
        <f>IFERROR(__xludf.DUMMYFUNCTION("""COMPUTED_VALUE"""),4.5)</f>
        <v>4.5</v>
      </c>
      <c r="L1214" s="73">
        <f>IFERROR(__xludf.DUMMYFUNCTION("""COMPUTED_VALUE"""),95.0)</f>
        <v>95</v>
      </c>
      <c r="M1214" s="77">
        <f>IFERROR(__xludf.DUMMYFUNCTION("""COMPUTED_VALUE"""),2.0)</f>
        <v>2</v>
      </c>
      <c r="N1214" s="77"/>
      <c r="O1214" s="49"/>
      <c r="P1214" s="49" t="str">
        <f>IFERROR(__xludf.DUMMYFUNCTION("""COMPUTED_VALUE"""),"Flexible")</f>
        <v>Flexible</v>
      </c>
      <c r="Q1214" s="49" t="str">
        <f>IFERROR(__xludf.DUMMYFUNCTION("""COMPUTED_VALUE"""),"Hand Made")</f>
        <v>Hand Made</v>
      </c>
      <c r="R1214" s="49" t="str">
        <f>IFERROR(__xludf.DUMMYFUNCTION("""COMPUTED_VALUE"""),"Tent Card")</f>
        <v>Tent Card</v>
      </c>
    </row>
    <row r="1215">
      <c r="A1215" s="156" t="str">
        <f>IFERROR(__xludf.DUMMYFUNCTION("""COMPUTED_VALUE"""),"https://drive.google.com/open?id=1VF-8dpQdWAmaSPY9w5XC3eFXPHOdTPHF&amp;authuser=jay.agg%40gmail.com&amp;usp=drive_fs")</f>
        <v>https://drive.google.com/open?id=1VF-8dpQdWAmaSPY9w5XC3eFXPHOdTPHF&amp;authuser=jay.agg%40gmail.com&amp;usp=drive_fs</v>
      </c>
      <c r="B1215" s="73" t="str">
        <f>IFERROR(__xludf.DUMMYFUNCTION("""COMPUTED_VALUE"""),"Tent Card")</f>
        <v>Tent Card</v>
      </c>
      <c r="C1215" s="73" t="str">
        <f>IFERROR(__xludf.DUMMYFUNCTION("""COMPUTED_VALUE"""),"A5")</f>
        <v>A5</v>
      </c>
      <c r="D1215" s="73" t="str">
        <f>IFERROR(__xludf.DUMMYFUNCTION("""COMPUTED_VALUE"""),"148*(35+76+38+210+210)")</f>
        <v>148*(35+76+38+210+210)</v>
      </c>
      <c r="E1215" s="77">
        <f>IFERROR(__xludf.DUMMYFUNCTION("""COMPUTED_VALUE"""),24.0)</f>
        <v>24</v>
      </c>
      <c r="F1215" s="77">
        <f>IFERROR(__xludf.DUMMYFUNCTION("""COMPUTED_VALUE"""),1005.0)</f>
        <v>1005</v>
      </c>
      <c r="G1215" s="77">
        <f>IFERROR(__xludf.DUMMYFUNCTION("""COMPUTED_VALUE"""),48.0)</f>
        <v>48</v>
      </c>
      <c r="H1215" s="77">
        <f>IFERROR(__xludf.DUMMYFUNCTION("""COMPUTED_VALUE"""),72.0)</f>
        <v>72</v>
      </c>
      <c r="I1215" s="77">
        <f>IFERROR(__xludf.DUMMYFUNCTION("""COMPUTED_VALUE"""),100.0)</f>
        <v>100</v>
      </c>
      <c r="J1215" s="73">
        <f>IFERROR(__xludf.DUMMYFUNCTION("""COMPUTED_VALUE"""),4.0)</f>
        <v>4</v>
      </c>
      <c r="K1215" s="73">
        <f>IFERROR(__xludf.DUMMYFUNCTION("""COMPUTED_VALUE"""),7.5)</f>
        <v>7.5</v>
      </c>
      <c r="L1215" s="73">
        <f>IFERROR(__xludf.DUMMYFUNCTION("""COMPUTED_VALUE"""),80.0)</f>
        <v>80</v>
      </c>
      <c r="M1215" s="77">
        <f>IFERROR(__xludf.DUMMYFUNCTION("""COMPUTED_VALUE"""),2.0)</f>
        <v>2</v>
      </c>
      <c r="N1215" s="77"/>
      <c r="O1215" s="49"/>
      <c r="P1215" s="49" t="str">
        <f>IFERROR(__xludf.DUMMYFUNCTION("""COMPUTED_VALUE"""),"Flexible")</f>
        <v>Flexible</v>
      </c>
      <c r="Q1215" s="49" t="str">
        <f>IFERROR(__xludf.DUMMYFUNCTION("""COMPUTED_VALUE"""),"Hand Made")</f>
        <v>Hand Made</v>
      </c>
      <c r="R1215" s="49" t="str">
        <f>IFERROR(__xludf.DUMMYFUNCTION("""COMPUTED_VALUE"""),"Tent Card")</f>
        <v>Tent Card</v>
      </c>
    </row>
    <row r="1216">
      <c r="A1216" s="156" t="str">
        <f>IFERROR(__xludf.DUMMYFUNCTION("""COMPUTED_VALUE"""),"https://drive.google.com/open?id=1VEyoZV9A5qhFQOc_bXkpriTUOqxTYzLN&amp;authuser=jay.agg%40gmail.com&amp;usp=drive_fs")</f>
        <v>https://drive.google.com/open?id=1VEyoZV9A5qhFQOc_bXkpriTUOqxTYzLN&amp;authuser=jay.agg%40gmail.com&amp;usp=drive_fs</v>
      </c>
      <c r="B1216" s="73" t="str">
        <f>IFERROR(__xludf.DUMMYFUNCTION("""COMPUTED_VALUE"""),"Tent Card")</f>
        <v>Tent Card</v>
      </c>
      <c r="C1216" s="73" t="str">
        <f>IFERROR(__xludf.DUMMYFUNCTION("""COMPUTED_VALUE"""),"A5")</f>
        <v>A5</v>
      </c>
      <c r="D1216" s="73" t="str">
        <f>IFERROR(__xludf.DUMMYFUNCTION("""COMPUTED_VALUE"""),"148*(44+44+44+210+208)")</f>
        <v>148*(44+44+44+210+208)</v>
      </c>
      <c r="E1216" s="77">
        <f>IFERROR(__xludf.DUMMYFUNCTION("""COMPUTED_VALUE"""),26.0)</f>
        <v>26</v>
      </c>
      <c r="F1216" s="77">
        <f>IFERROR(__xludf.DUMMYFUNCTION("""COMPUTED_VALUE"""),1005.0)</f>
        <v>1005</v>
      </c>
      <c r="G1216" s="77">
        <f>IFERROR(__xludf.DUMMYFUNCTION("""COMPUTED_VALUE"""),48.0)</f>
        <v>48</v>
      </c>
      <c r="H1216" s="77">
        <f>IFERROR(__xludf.DUMMYFUNCTION("""COMPUTED_VALUE"""),72.0)</f>
        <v>72</v>
      </c>
      <c r="I1216" s="77">
        <f>IFERROR(__xludf.DUMMYFUNCTION("""COMPUTED_VALUE"""),100.0)</f>
        <v>100</v>
      </c>
      <c r="J1216" s="73">
        <f>IFERROR(__xludf.DUMMYFUNCTION("""COMPUTED_VALUE"""),4.0)</f>
        <v>4</v>
      </c>
      <c r="K1216" s="73">
        <f>IFERROR(__xludf.DUMMYFUNCTION("""COMPUTED_VALUE"""),7.5)</f>
        <v>7.5</v>
      </c>
      <c r="L1216" s="73">
        <f>IFERROR(__xludf.DUMMYFUNCTION("""COMPUTED_VALUE"""),85.0)</f>
        <v>85</v>
      </c>
      <c r="M1216" s="77">
        <f>IFERROR(__xludf.DUMMYFUNCTION("""COMPUTED_VALUE"""),2.0)</f>
        <v>2</v>
      </c>
      <c r="N1216" s="77"/>
      <c r="O1216" s="49"/>
      <c r="P1216" s="49" t="str">
        <f>IFERROR(__xludf.DUMMYFUNCTION("""COMPUTED_VALUE"""),"Flexible")</f>
        <v>Flexible</v>
      </c>
      <c r="Q1216" s="49" t="str">
        <f>IFERROR(__xludf.DUMMYFUNCTION("""COMPUTED_VALUE"""),"Hand Made")</f>
        <v>Hand Made</v>
      </c>
      <c r="R1216" s="49" t="str">
        <f>IFERROR(__xludf.DUMMYFUNCTION("""COMPUTED_VALUE"""),"Tent Card")</f>
        <v>Tent Card</v>
      </c>
    </row>
    <row r="1217">
      <c r="A1217" s="156" t="str">
        <f>IFERROR(__xludf.DUMMYFUNCTION("""COMPUTED_VALUE"""),"https://drive.google.com/open?id=1VIpVwW_ZgeuKgeyotzi4HqWLtuTfQBOp&amp;authuser=jay.agg%40gmail.com&amp;usp=drive_fs")</f>
        <v>https://drive.google.com/open?id=1VIpVwW_ZgeuKgeyotzi4HqWLtuTfQBOp&amp;authuser=jay.agg%40gmail.com&amp;usp=drive_fs</v>
      </c>
      <c r="B1217" s="73" t="str">
        <f>IFERROR(__xludf.DUMMYFUNCTION("""COMPUTED_VALUE"""),"Tent Card")</f>
        <v>Tent Card</v>
      </c>
      <c r="C1217" s="73" t="str">
        <f>IFERROR(__xludf.DUMMYFUNCTION("""COMPUTED_VALUE"""),"A6")</f>
        <v>A6</v>
      </c>
      <c r="D1217" s="73" t="str">
        <f>IFERROR(__xludf.DUMMYFUNCTION("""COMPUTED_VALUE"""),"102*(32+63+32+152+152)")</f>
        <v>102*(32+63+32+152+152)</v>
      </c>
      <c r="E1217" s="77">
        <f>IFERROR(__xludf.DUMMYFUNCTION("""COMPUTED_VALUE"""),44.0)</f>
        <v>44</v>
      </c>
      <c r="F1217" s="77">
        <f>IFERROR(__xludf.DUMMYFUNCTION("""COMPUTED_VALUE"""),1005.0)</f>
        <v>1005</v>
      </c>
      <c r="G1217" s="77">
        <f>IFERROR(__xludf.DUMMYFUNCTION("""COMPUTED_VALUE"""),48.0)</f>
        <v>48</v>
      </c>
      <c r="H1217" s="77">
        <f>IFERROR(__xludf.DUMMYFUNCTION("""COMPUTED_VALUE"""),72.0)</f>
        <v>72</v>
      </c>
      <c r="I1217" s="77">
        <f>IFERROR(__xludf.DUMMYFUNCTION("""COMPUTED_VALUE"""),100.0)</f>
        <v>100</v>
      </c>
      <c r="J1217" s="73">
        <f>IFERROR(__xludf.DUMMYFUNCTION("""COMPUTED_VALUE"""),4.0)</f>
        <v>4</v>
      </c>
      <c r="K1217" s="73">
        <f>IFERROR(__xludf.DUMMYFUNCTION("""COMPUTED_VALUE"""),7.5)</f>
        <v>7.5</v>
      </c>
      <c r="L1217" s="73">
        <f>IFERROR(__xludf.DUMMYFUNCTION("""COMPUTED_VALUE"""),90.0)</f>
        <v>90</v>
      </c>
      <c r="M1217" s="77">
        <f>IFERROR(__xludf.DUMMYFUNCTION("""COMPUTED_VALUE"""),2.0)</f>
        <v>2</v>
      </c>
      <c r="N1217" s="77"/>
      <c r="O1217" s="49"/>
      <c r="P1217" s="49" t="str">
        <f>IFERROR(__xludf.DUMMYFUNCTION("""COMPUTED_VALUE"""),"Flexible")</f>
        <v>Flexible</v>
      </c>
      <c r="Q1217" s="49" t="str">
        <f>IFERROR(__xludf.DUMMYFUNCTION("""COMPUTED_VALUE"""),"Hand Made")</f>
        <v>Hand Made</v>
      </c>
      <c r="R1217" s="49" t="str">
        <f>IFERROR(__xludf.DUMMYFUNCTION("""COMPUTED_VALUE"""),"Tent Card")</f>
        <v>Tent Card</v>
      </c>
    </row>
    <row r="1218">
      <c r="A1218" s="156" t="str">
        <f>IFERROR(__xludf.DUMMYFUNCTION("""COMPUTED_VALUE"""),"https://drive.google.com/open?id=1VKGMoXrTkgLyo3ES8tESi-lMYrXaXO3t&amp;authuser=jay.agg%40gmail.com&amp;usp=drive_fs")</f>
        <v>https://drive.google.com/open?id=1VKGMoXrTkgLyo3ES8tESi-lMYrXaXO3t&amp;authuser=jay.agg%40gmail.com&amp;usp=drive_fs</v>
      </c>
      <c r="B1218" s="73" t="str">
        <f>IFERROR(__xludf.DUMMYFUNCTION("""COMPUTED_VALUE"""),"Tent Card")</f>
        <v>Tent Card</v>
      </c>
      <c r="C1218" s="73" t="str">
        <f>IFERROR(__xludf.DUMMYFUNCTION("""COMPUTED_VALUE"""),"A6")</f>
        <v>A6</v>
      </c>
      <c r="D1218" s="73" t="str">
        <f>IFERROR(__xludf.DUMMYFUNCTION("""COMPUTED_VALUE"""),"102*(32+152+152+32)")</f>
        <v>102*(32+152+152+32)</v>
      </c>
      <c r="E1218" s="77">
        <f>IFERROR(__xludf.DUMMYFUNCTION("""COMPUTED_VALUE"""),51.0)</f>
        <v>51</v>
      </c>
      <c r="F1218" s="77">
        <f>IFERROR(__xludf.DUMMYFUNCTION("""COMPUTED_VALUE"""),1005.0)</f>
        <v>1005</v>
      </c>
      <c r="G1218" s="77">
        <f>IFERROR(__xludf.DUMMYFUNCTION("""COMPUTED_VALUE"""),48.0)</f>
        <v>48</v>
      </c>
      <c r="H1218" s="77">
        <f>IFERROR(__xludf.DUMMYFUNCTION("""COMPUTED_VALUE"""),72.0)</f>
        <v>72</v>
      </c>
      <c r="I1218" s="77">
        <f>IFERROR(__xludf.DUMMYFUNCTION("""COMPUTED_VALUE"""),100.0)</f>
        <v>100</v>
      </c>
      <c r="J1218" s="73">
        <f>IFERROR(__xludf.DUMMYFUNCTION("""COMPUTED_VALUE"""),2.0)</f>
        <v>2</v>
      </c>
      <c r="K1218" s="73">
        <f>IFERROR(__xludf.DUMMYFUNCTION("""COMPUTED_VALUE"""),4.5)</f>
        <v>4.5</v>
      </c>
      <c r="L1218" s="73">
        <f>IFERROR(__xludf.DUMMYFUNCTION("""COMPUTED_VALUE"""),110.0)</f>
        <v>110</v>
      </c>
      <c r="M1218" s="77">
        <f>IFERROR(__xludf.DUMMYFUNCTION("""COMPUTED_VALUE"""),2.0)</f>
        <v>2</v>
      </c>
      <c r="N1218" s="77"/>
      <c r="O1218" s="49"/>
      <c r="P1218" s="49" t="str">
        <f>IFERROR(__xludf.DUMMYFUNCTION("""COMPUTED_VALUE"""),"Flexible")</f>
        <v>Flexible</v>
      </c>
      <c r="Q1218" s="49" t="str">
        <f>IFERROR(__xludf.DUMMYFUNCTION("""COMPUTED_VALUE"""),"Hand Made")</f>
        <v>Hand Made</v>
      </c>
      <c r="R1218" s="49" t="str">
        <f>IFERROR(__xludf.DUMMYFUNCTION("""COMPUTED_VALUE"""),"Tent Card")</f>
        <v>Tent Card</v>
      </c>
    </row>
    <row r="1219">
      <c r="A1219" s="156" t="str">
        <f>IFERROR(__xludf.DUMMYFUNCTION("""COMPUTED_VALUE"""),"https://drive.google.com/open?id=1VLY6ck-ImzYvb9d3zRM95dLIti8ZKSbY&amp;authuser=jay.agg%40gmail.com&amp;usp=drive_fs")</f>
        <v>https://drive.google.com/open?id=1VLY6ck-ImzYvb9d3zRM95dLIti8ZKSbY&amp;authuser=jay.agg%40gmail.com&amp;usp=drive_fs</v>
      </c>
      <c r="B1219" s="73" t="str">
        <f>IFERROR(__xludf.DUMMYFUNCTION("""COMPUTED_VALUE"""),"Tent Card")</f>
        <v>Tent Card</v>
      </c>
      <c r="C1219" s="73" t="str">
        <f>IFERROR(__xludf.DUMMYFUNCTION("""COMPUTED_VALUE"""),"A6")</f>
        <v>A6</v>
      </c>
      <c r="D1219" s="73" t="str">
        <f>IFERROR(__xludf.DUMMYFUNCTION("""COMPUTED_VALUE"""),"102*(51+189+152)")</f>
        <v>102*(51+189+152)</v>
      </c>
      <c r="E1219" s="77">
        <f>IFERROR(__xludf.DUMMYFUNCTION("""COMPUTED_VALUE"""),66.0)</f>
        <v>66</v>
      </c>
      <c r="F1219" s="77">
        <f>IFERROR(__xludf.DUMMYFUNCTION("""COMPUTED_VALUE"""),1005.0)</f>
        <v>1005</v>
      </c>
      <c r="G1219" s="77">
        <f>IFERROR(__xludf.DUMMYFUNCTION("""COMPUTED_VALUE"""),48.0)</f>
        <v>48</v>
      </c>
      <c r="H1219" s="77">
        <f>IFERROR(__xludf.DUMMYFUNCTION("""COMPUTED_VALUE"""),72.0)</f>
        <v>72</v>
      </c>
      <c r="I1219" s="77">
        <f>IFERROR(__xludf.DUMMYFUNCTION("""COMPUTED_VALUE"""),100.0)</f>
        <v>100</v>
      </c>
      <c r="J1219" s="73">
        <f>IFERROR(__xludf.DUMMYFUNCTION("""COMPUTED_VALUE"""),2.0)</f>
        <v>2</v>
      </c>
      <c r="K1219" s="73">
        <f>IFERROR(__xludf.DUMMYFUNCTION("""COMPUTED_VALUE"""),3.0)</f>
        <v>3</v>
      </c>
      <c r="L1219" s="73">
        <f>IFERROR(__xludf.DUMMYFUNCTION("""COMPUTED_VALUE"""),115.0)</f>
        <v>115</v>
      </c>
      <c r="M1219" s="77">
        <f>IFERROR(__xludf.DUMMYFUNCTION("""COMPUTED_VALUE"""),2.0)</f>
        <v>2</v>
      </c>
      <c r="N1219" s="77"/>
      <c r="O1219" s="49"/>
      <c r="P1219" s="49" t="str">
        <f>IFERROR(__xludf.DUMMYFUNCTION("""COMPUTED_VALUE"""),"Flexible")</f>
        <v>Flexible</v>
      </c>
      <c r="Q1219" s="49" t="str">
        <f>IFERROR(__xludf.DUMMYFUNCTION("""COMPUTED_VALUE"""),"Hand Made")</f>
        <v>Hand Made</v>
      </c>
      <c r="R1219" s="49" t="str">
        <f>IFERROR(__xludf.DUMMYFUNCTION("""COMPUTED_VALUE"""),"Tent Card")</f>
        <v>Tent Card</v>
      </c>
    </row>
    <row r="1220">
      <c r="A1220" s="156" t="str">
        <f>IFERROR(__xludf.DUMMYFUNCTION("""COMPUTED_VALUE"""),"https://drive.google.com/open?id=1VLupmqgbBjy4Y0BeibjqJEEbTjFwX0qe&amp;authuser=jay.agg%40gmail.com&amp;usp=drive_fs")</f>
        <v>https://drive.google.com/open?id=1VLupmqgbBjy4Y0BeibjqJEEbTjFwX0qe&amp;authuser=jay.agg%40gmail.com&amp;usp=drive_fs</v>
      </c>
      <c r="B1220" s="73" t="str">
        <f>IFERROR(__xludf.DUMMYFUNCTION("""COMPUTED_VALUE"""),"Tent Card")</f>
        <v>Tent Card</v>
      </c>
      <c r="C1220" s="73" t="str">
        <f>IFERROR(__xludf.DUMMYFUNCTION("""COMPUTED_VALUE"""),"A6")</f>
        <v>A6</v>
      </c>
      <c r="D1220" s="73" t="str">
        <f>IFERROR(__xludf.DUMMYFUNCTION("""COMPUTED_VALUE"""),"102*(32+32+32+152+150)")</f>
        <v>102*(32+32+32+152+150)</v>
      </c>
      <c r="E1220" s="77">
        <f>IFERROR(__xludf.DUMMYFUNCTION("""COMPUTED_VALUE"""),50.0)</f>
        <v>50</v>
      </c>
      <c r="F1220" s="77">
        <f>IFERROR(__xludf.DUMMYFUNCTION("""COMPUTED_VALUE"""),1005.0)</f>
        <v>1005</v>
      </c>
      <c r="G1220" s="77">
        <f>IFERROR(__xludf.DUMMYFUNCTION("""COMPUTED_VALUE"""),48.0)</f>
        <v>48</v>
      </c>
      <c r="H1220" s="77">
        <f>IFERROR(__xludf.DUMMYFUNCTION("""COMPUTED_VALUE"""),72.0)</f>
        <v>72</v>
      </c>
      <c r="I1220" s="77">
        <f>IFERROR(__xludf.DUMMYFUNCTION("""COMPUTED_VALUE"""),100.0)</f>
        <v>100</v>
      </c>
      <c r="J1220" s="73">
        <f>IFERROR(__xludf.DUMMYFUNCTION("""COMPUTED_VALUE"""),2.0)</f>
        <v>2</v>
      </c>
      <c r="K1220" s="73">
        <f>IFERROR(__xludf.DUMMYFUNCTION("""COMPUTED_VALUE"""),6.0)</f>
        <v>6</v>
      </c>
      <c r="L1220" s="73">
        <f>IFERROR(__xludf.DUMMYFUNCTION("""COMPUTED_VALUE"""),90.0)</f>
        <v>90</v>
      </c>
      <c r="M1220" s="77">
        <f>IFERROR(__xludf.DUMMYFUNCTION("""COMPUTED_VALUE"""),2.0)</f>
        <v>2</v>
      </c>
      <c r="N1220" s="77"/>
      <c r="O1220" s="49"/>
      <c r="P1220" s="49" t="str">
        <f>IFERROR(__xludf.DUMMYFUNCTION("""COMPUTED_VALUE"""),"Flexible")</f>
        <v>Flexible</v>
      </c>
      <c r="Q1220" s="49" t="str">
        <f>IFERROR(__xludf.DUMMYFUNCTION("""COMPUTED_VALUE"""),"Hand Made")</f>
        <v>Hand Made</v>
      </c>
      <c r="R1220" s="49" t="str">
        <f>IFERROR(__xludf.DUMMYFUNCTION("""COMPUTED_VALUE"""),"Tent Card")</f>
        <v>Tent Card</v>
      </c>
    </row>
    <row r="1221">
      <c r="A1221" s="156" t="str">
        <f>IFERROR(__xludf.DUMMYFUNCTION("""COMPUTED_VALUE"""),"https://drive.google.com/open?id=1VOSyAuZn8Ew3AzWLgWUMxF5uHddDGzSs&amp;authuser=jay.agg%40gmail.com&amp;usp=drive_fs")</f>
        <v>https://drive.google.com/open?id=1VOSyAuZn8Ew3AzWLgWUMxF5uHddDGzSs&amp;authuser=jay.agg%40gmail.com&amp;usp=drive_fs</v>
      </c>
      <c r="B1221" s="73" t="str">
        <f>IFERROR(__xludf.DUMMYFUNCTION("""COMPUTED_VALUE"""),"Tent Card")</f>
        <v>Tent Card</v>
      </c>
      <c r="C1221" s="73" t="str">
        <f>IFERROR(__xludf.DUMMYFUNCTION("""COMPUTED_VALUE"""),"A6")</f>
        <v>A6</v>
      </c>
      <c r="D1221" s="73" t="str">
        <f>IFERROR(__xludf.DUMMYFUNCTION("""COMPUTED_VALUE"""),"102*(51+152)")</f>
        <v>102*(51+152)</v>
      </c>
      <c r="E1221" s="77">
        <f>IFERROR(__xludf.DUMMYFUNCTION("""COMPUTED_VALUE"""),93.0)</f>
        <v>93</v>
      </c>
      <c r="F1221" s="77">
        <f>IFERROR(__xludf.DUMMYFUNCTION("""COMPUTED_VALUE"""),1005.0)</f>
        <v>1005</v>
      </c>
      <c r="G1221" s="77">
        <f>IFERROR(__xludf.DUMMYFUNCTION("""COMPUTED_VALUE"""),48.0)</f>
        <v>48</v>
      </c>
      <c r="H1221" s="77">
        <f>IFERROR(__xludf.DUMMYFUNCTION("""COMPUTED_VALUE"""),72.0)</f>
        <v>72</v>
      </c>
      <c r="I1221" s="77">
        <f>IFERROR(__xludf.DUMMYFUNCTION("""COMPUTED_VALUE"""),100.0)</f>
        <v>100</v>
      </c>
      <c r="J1221" s="73">
        <f>IFERROR(__xludf.DUMMYFUNCTION("""COMPUTED_VALUE"""),2.0)</f>
        <v>2</v>
      </c>
      <c r="K1221" s="73">
        <f>IFERROR(__xludf.DUMMYFUNCTION("""COMPUTED_VALUE"""),2.0)</f>
        <v>2</v>
      </c>
      <c r="L1221" s="73">
        <f>IFERROR(__xludf.DUMMYFUNCTION("""COMPUTED_VALUE"""),140.0)</f>
        <v>140</v>
      </c>
      <c r="M1221" s="77">
        <f>IFERROR(__xludf.DUMMYFUNCTION("""COMPUTED_VALUE"""),2.0)</f>
        <v>2</v>
      </c>
      <c r="N1221" s="77"/>
      <c r="O1221" s="49"/>
      <c r="P1221" s="49" t="str">
        <f>IFERROR(__xludf.DUMMYFUNCTION("""COMPUTED_VALUE"""),"Flexible")</f>
        <v>Flexible</v>
      </c>
      <c r="Q1221" s="49" t="str">
        <f>IFERROR(__xludf.DUMMYFUNCTION("""COMPUTED_VALUE"""),"Hand Made")</f>
        <v>Hand Made</v>
      </c>
      <c r="R1221" s="49" t="str">
        <f>IFERROR(__xludf.DUMMYFUNCTION("""COMPUTED_VALUE"""),"Tent Card")</f>
        <v>Tent Card</v>
      </c>
    </row>
    <row r="1222">
      <c r="A1222" s="156" t="str">
        <f>IFERROR(__xludf.DUMMYFUNCTION("""COMPUTED_VALUE"""),"https://drive.google.com/open?id=1VXyvllD1qv3s9Wq9HM-ioYhThRSguORG&amp;authuser=jay.agg%40gmail.com&amp;usp=drive_fs")</f>
        <v>https://drive.google.com/open?id=1VXyvllD1qv3s9Wq9HM-ioYhThRSguORG&amp;authuser=jay.agg%40gmail.com&amp;usp=drive_fs</v>
      </c>
      <c r="B1222" s="73" t="str">
        <f>IFERROR(__xludf.DUMMYFUNCTION("""COMPUTED_VALUE"""),"Tent Card")</f>
        <v>Tent Card</v>
      </c>
      <c r="C1222" s="73" t="str">
        <f>IFERROR(__xludf.DUMMYFUNCTION("""COMPUTED_VALUE"""),"A5")</f>
        <v>A5</v>
      </c>
      <c r="D1222" s="73" t="str">
        <f>IFERROR(__xludf.DUMMYFUNCTION("""COMPUTED_VALUE"""),"148*(53+210)")</f>
        <v>148*(53+210)</v>
      </c>
      <c r="E1222" s="77">
        <f>IFERROR(__xludf.DUMMYFUNCTION("""COMPUTED_VALUE"""),52.0)</f>
        <v>52</v>
      </c>
      <c r="F1222" s="77">
        <f>IFERROR(__xludf.DUMMYFUNCTION("""COMPUTED_VALUE"""),1005.0)</f>
        <v>1005</v>
      </c>
      <c r="G1222" s="77">
        <f>IFERROR(__xludf.DUMMYFUNCTION("""COMPUTED_VALUE"""),48.0)</f>
        <v>48</v>
      </c>
      <c r="H1222" s="77">
        <f>IFERROR(__xludf.DUMMYFUNCTION("""COMPUTED_VALUE"""),72.0)</f>
        <v>72</v>
      </c>
      <c r="I1222" s="77">
        <f>IFERROR(__xludf.DUMMYFUNCTION("""COMPUTED_VALUE"""),100.0)</f>
        <v>100</v>
      </c>
      <c r="J1222" s="73">
        <f>IFERROR(__xludf.DUMMYFUNCTION("""COMPUTED_VALUE"""),4.0)</f>
        <v>4</v>
      </c>
      <c r="K1222" s="73">
        <f>IFERROR(__xludf.DUMMYFUNCTION("""COMPUTED_VALUE"""),2.0)</f>
        <v>2</v>
      </c>
      <c r="L1222" s="73">
        <f>IFERROR(__xludf.DUMMYFUNCTION("""COMPUTED_VALUE"""),120.0)</f>
        <v>120</v>
      </c>
      <c r="M1222" s="77">
        <f>IFERROR(__xludf.DUMMYFUNCTION("""COMPUTED_VALUE"""),2.0)</f>
        <v>2</v>
      </c>
      <c r="N1222" s="77"/>
      <c r="O1222" s="49"/>
      <c r="P1222" s="49" t="str">
        <f>IFERROR(__xludf.DUMMYFUNCTION("""COMPUTED_VALUE"""),"Flexible")</f>
        <v>Flexible</v>
      </c>
      <c r="Q1222" s="49" t="str">
        <f>IFERROR(__xludf.DUMMYFUNCTION("""COMPUTED_VALUE"""),"Hand Made")</f>
        <v>Hand Made</v>
      </c>
      <c r="R1222" s="49" t="str">
        <f>IFERROR(__xludf.DUMMYFUNCTION("""COMPUTED_VALUE"""),"Tent Card")</f>
        <v>Tent Card</v>
      </c>
    </row>
    <row r="1223">
      <c r="A1223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3" s="73" t="str">
        <f>IFERROR(__xludf.DUMMYFUNCTION("""COMPUTED_VALUE"""),"Hard Bound")</f>
        <v>Hard Bound</v>
      </c>
      <c r="C1223" s="73" t="str">
        <f>IFERROR(__xludf.DUMMYFUNCTION("""COMPUTED_VALUE"""),"Normal 1.5 mm")</f>
        <v>Normal 1.5 mm</v>
      </c>
      <c r="D1223" s="73"/>
      <c r="E1223" s="77"/>
      <c r="F1223" s="77"/>
      <c r="G1223" s="77"/>
      <c r="H1223" s="77"/>
      <c r="I1223" s="77"/>
      <c r="J1223" s="73"/>
      <c r="K1223" s="73"/>
      <c r="L1223" s="73"/>
      <c r="M1223" s="77"/>
      <c r="N1223" s="77"/>
      <c r="O1223" s="49"/>
      <c r="P1223" s="49" t="str">
        <f>IFERROR(__xludf.DUMMYFUNCTION("""COMPUTED_VALUE"""),"Offset")</f>
        <v>Offset</v>
      </c>
      <c r="Q1223" s="49" t="str">
        <f>IFERROR(__xludf.DUMMYFUNCTION("""COMPUTED_VALUE"""),"Commercial")</f>
        <v>Commercial</v>
      </c>
      <c r="R1223" s="49" t="str">
        <f>IFERROR(__xludf.DUMMYFUNCTION("""COMPUTED_VALUE"""),"Hard Bound")</f>
        <v>Hard Bound</v>
      </c>
    </row>
    <row r="1224">
      <c r="A1224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4" s="73" t="str">
        <f>IFERROR(__xludf.DUMMYFUNCTION("""COMPUTED_VALUE"""),"Hard Bound")</f>
        <v>Hard Bound</v>
      </c>
      <c r="C1224" s="73" t="str">
        <f>IFERROR(__xludf.DUMMYFUNCTION("""COMPUTED_VALUE"""),"Normal 1.7 mm")</f>
        <v>Normal 1.7 mm</v>
      </c>
      <c r="D1224" s="73"/>
      <c r="E1224" s="77"/>
      <c r="F1224" s="77"/>
      <c r="G1224" s="77"/>
      <c r="H1224" s="77"/>
      <c r="I1224" s="77"/>
      <c r="J1224" s="73"/>
      <c r="K1224" s="73"/>
      <c r="L1224" s="73"/>
      <c r="M1224" s="77"/>
      <c r="N1224" s="77"/>
      <c r="O1224" s="49"/>
      <c r="P1224" s="49" t="str">
        <f>IFERROR(__xludf.DUMMYFUNCTION("""COMPUTED_VALUE"""),"Offset")</f>
        <v>Offset</v>
      </c>
      <c r="Q1224" s="49" t="str">
        <f>IFERROR(__xludf.DUMMYFUNCTION("""COMPUTED_VALUE"""),"Commercial")</f>
        <v>Commercial</v>
      </c>
      <c r="R1224" s="49" t="str">
        <f>IFERROR(__xludf.DUMMYFUNCTION("""COMPUTED_VALUE"""),"Hard Bound")</f>
        <v>Hard Bound</v>
      </c>
    </row>
    <row r="1225">
      <c r="A1225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5" s="73" t="str">
        <f>IFERROR(__xludf.DUMMYFUNCTION("""COMPUTED_VALUE"""),"Hard Bound")</f>
        <v>Hard Bound</v>
      </c>
      <c r="C1225" s="73" t="str">
        <f>IFERROR(__xludf.DUMMYFUNCTION("""COMPUTED_VALUE"""),"Normal 2.15 mm")</f>
        <v>Normal 2.15 mm</v>
      </c>
      <c r="D1225" s="73"/>
      <c r="E1225" s="77"/>
      <c r="F1225" s="77"/>
      <c r="G1225" s="77"/>
      <c r="H1225" s="77"/>
      <c r="I1225" s="77"/>
      <c r="J1225" s="73"/>
      <c r="K1225" s="73"/>
      <c r="L1225" s="73"/>
      <c r="M1225" s="77"/>
      <c r="N1225" s="77"/>
      <c r="O1225" s="49"/>
      <c r="P1225" s="49" t="str">
        <f>IFERROR(__xludf.DUMMYFUNCTION("""COMPUTED_VALUE"""),"Offset")</f>
        <v>Offset</v>
      </c>
      <c r="Q1225" s="49" t="str">
        <f>IFERROR(__xludf.DUMMYFUNCTION("""COMPUTED_VALUE"""),"Commercial")</f>
        <v>Commercial</v>
      </c>
      <c r="R1225" s="49" t="str">
        <f>IFERROR(__xludf.DUMMYFUNCTION("""COMPUTED_VALUE"""),"Hard Bound")</f>
        <v>Hard Bound</v>
      </c>
    </row>
    <row r="1226">
      <c r="A1226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6" s="73" t="str">
        <f>IFERROR(__xludf.DUMMYFUNCTION("""COMPUTED_VALUE"""),"Hard Bound")</f>
        <v>Hard Bound</v>
      </c>
      <c r="C1226" s="73" t="str">
        <f>IFERROR(__xludf.DUMMYFUNCTION("""COMPUTED_VALUE"""),"Star 1.5 mm")</f>
        <v>Star 1.5 mm</v>
      </c>
      <c r="D1226" s="73"/>
      <c r="E1226" s="77"/>
      <c r="F1226" s="77"/>
      <c r="G1226" s="77"/>
      <c r="H1226" s="77"/>
      <c r="I1226" s="77"/>
      <c r="J1226" s="73"/>
      <c r="K1226" s="73"/>
      <c r="L1226" s="73"/>
      <c r="M1226" s="77"/>
      <c r="N1226" s="77"/>
      <c r="O1226" s="49"/>
      <c r="P1226" s="49" t="str">
        <f>IFERROR(__xludf.DUMMYFUNCTION("""COMPUTED_VALUE"""),"Offset")</f>
        <v>Offset</v>
      </c>
      <c r="Q1226" s="49" t="str">
        <f>IFERROR(__xludf.DUMMYFUNCTION("""COMPUTED_VALUE"""),"Commercial")</f>
        <v>Commercial</v>
      </c>
      <c r="R1226" s="49" t="str">
        <f>IFERROR(__xludf.DUMMYFUNCTION("""COMPUTED_VALUE"""),"Hard Bound")</f>
        <v>Hard Bound</v>
      </c>
    </row>
    <row r="1227">
      <c r="A1227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7" s="73" t="str">
        <f>IFERROR(__xludf.DUMMYFUNCTION("""COMPUTED_VALUE"""),"Hard Bound")</f>
        <v>Hard Bound</v>
      </c>
      <c r="C1227" s="73" t="str">
        <f>IFERROR(__xludf.DUMMYFUNCTION("""COMPUTED_VALUE"""),"Star 3 mm")</f>
        <v>Star 3 mm</v>
      </c>
      <c r="D1227" s="73"/>
      <c r="E1227" s="77"/>
      <c r="F1227" s="77"/>
      <c r="G1227" s="77"/>
      <c r="H1227" s="77"/>
      <c r="I1227" s="77"/>
      <c r="J1227" s="73"/>
      <c r="K1227" s="73"/>
      <c r="L1227" s="73"/>
      <c r="M1227" s="77"/>
      <c r="N1227" s="77"/>
      <c r="O1227" s="49"/>
      <c r="P1227" s="49" t="str">
        <f>IFERROR(__xludf.DUMMYFUNCTION("""COMPUTED_VALUE"""),"Offset")</f>
        <v>Offset</v>
      </c>
      <c r="Q1227" s="49" t="str">
        <f>IFERROR(__xludf.DUMMYFUNCTION("""COMPUTED_VALUE"""),"Commercial")</f>
        <v>Commercial</v>
      </c>
      <c r="R1227" s="49" t="str">
        <f>IFERROR(__xludf.DUMMYFUNCTION("""COMPUTED_VALUE"""),"Hard Bound")</f>
        <v>Hard Bound</v>
      </c>
    </row>
    <row r="1228">
      <c r="A1228" s="156" t="str">
        <f>IFERROR(__xludf.DUMMYFUNCTION("""COMPUTED_VALUE"""),"https://drive.google.com/open?id=1RJ8kBYWBSZCOsfikzFTQDA4CWZxt8ssy&amp;authuser=jay.agg%40gmail.com&amp;usp=drive_fs")</f>
        <v>https://drive.google.com/open?id=1RJ8kBYWBSZCOsfikzFTQDA4CWZxt8ssy&amp;authuser=jay.agg%40gmail.com&amp;usp=drive_fs</v>
      </c>
      <c r="B1228" s="73" t="str">
        <f>IFERROR(__xludf.DUMMYFUNCTION("""COMPUTED_VALUE"""),"Sanitary")</f>
        <v>Sanitary</v>
      </c>
      <c r="C1228" s="73" t="str">
        <f>IFERROR(__xludf.DUMMYFUNCTION("""COMPUTED_VALUE"""),"Putti Fumers")</f>
        <v>Putti Fumers</v>
      </c>
      <c r="D1228" s="73" t="str">
        <f>IFERROR(__xludf.DUMMYFUNCTION("""COMPUTED_VALUE"""),"2*4*0.5 inch | 51*13*102 mm")</f>
        <v>2*4*0.5 inch | 51*13*102 mm</v>
      </c>
      <c r="E1228" s="77">
        <f>IFERROR(__xludf.DUMMYFUNCTION("""COMPUTED_VALUE"""),12.0)</f>
        <v>12</v>
      </c>
      <c r="F1228" s="77">
        <f>IFERROR(__xludf.DUMMYFUNCTION("""COMPUTED_VALUE"""),1926.0)</f>
        <v>1926</v>
      </c>
      <c r="G1228" s="77">
        <f>IFERROR(__xludf.DUMMYFUNCTION("""COMPUTED_VALUE"""),18.0)</f>
        <v>18</v>
      </c>
      <c r="H1228" s="77">
        <f>IFERROR(__xludf.DUMMYFUNCTION("""COMPUTED_VALUE"""),21.0)</f>
        <v>21</v>
      </c>
      <c r="I1228" s="77">
        <f>IFERROR(__xludf.DUMMYFUNCTION("""COMPUTED_VALUE"""),100.0)</f>
        <v>100</v>
      </c>
      <c r="J1228" s="73"/>
      <c r="K1228" s="73"/>
      <c r="L1228" s="73"/>
      <c r="M1228" s="77">
        <f>IFERROR(__xludf.DUMMYFUNCTION("""COMPUTED_VALUE"""),0.1)</f>
        <v>0.1</v>
      </c>
      <c r="N1228" s="77">
        <f>IFERROR(__xludf.DUMMYFUNCTION("""COMPUTED_VALUE"""),1.0)</f>
        <v>1</v>
      </c>
      <c r="O1228" s="49"/>
      <c r="P1228" s="49" t="str">
        <f>IFERROR(__xludf.DUMMYFUNCTION("""COMPUTED_VALUE"""),"Offset")</f>
        <v>Offset</v>
      </c>
      <c r="Q1228" s="49" t="str">
        <f>IFERROR(__xludf.DUMMYFUNCTION("""COMPUTED_VALUE"""),"Packaging")</f>
        <v>Packaging</v>
      </c>
      <c r="R1228" s="49" t="str">
        <f>IFERROR(__xludf.DUMMYFUNCTION("""COMPUTED_VALUE"""),"Sanitary")</f>
        <v>Sanitary</v>
      </c>
    </row>
    <row r="1229">
      <c r="A1229" s="156" t="str">
        <f>IFERROR(__xludf.DUMMYFUNCTION("""COMPUTED_VALUE"""),"https://drive.google.com/open?id=1ROYRR5i9Sx7oIyaBfIcKY7Q60DQBgEc8&amp;authuser=jay.agg%40gmail.com&amp;usp=drive_fs")</f>
        <v>https://drive.google.com/open?id=1ROYRR5i9Sx7oIyaBfIcKY7Q60DQBgEc8&amp;authuser=jay.agg%40gmail.com&amp;usp=drive_fs</v>
      </c>
      <c r="B1229" s="73" t="str">
        <f>IFERROR(__xludf.DUMMYFUNCTION("""COMPUTED_VALUE"""),"Sanitary")</f>
        <v>Sanitary</v>
      </c>
      <c r="C1229" s="73" t="str">
        <f>IFERROR(__xludf.DUMMYFUNCTION("""COMPUTED_VALUE"""),"Putti Fumers")</f>
        <v>Putti Fumers</v>
      </c>
      <c r="D1229" s="73" t="str">
        <f>IFERROR(__xludf.DUMMYFUNCTION("""COMPUTED_VALUE"""),"3*4*0.5 inch | 76*13*102 mm")</f>
        <v>3*4*0.5 inch | 76*13*102 mm</v>
      </c>
      <c r="E1229" s="77">
        <f>IFERROR(__xludf.DUMMYFUNCTION("""COMPUTED_VALUE"""),9.0)</f>
        <v>9</v>
      </c>
      <c r="F1229" s="77">
        <f>IFERROR(__xludf.DUMMYFUNCTION("""COMPUTED_VALUE"""),1926.0)</f>
        <v>1926</v>
      </c>
      <c r="G1229" s="77">
        <f>IFERROR(__xludf.DUMMYFUNCTION("""COMPUTED_VALUE"""),18.0)</f>
        <v>18</v>
      </c>
      <c r="H1229" s="77">
        <f>IFERROR(__xludf.DUMMYFUNCTION("""COMPUTED_VALUE"""),23.0)</f>
        <v>23</v>
      </c>
      <c r="I1229" s="77">
        <f>IFERROR(__xludf.DUMMYFUNCTION("""COMPUTED_VALUE"""),100.0)</f>
        <v>100</v>
      </c>
      <c r="J1229" s="73"/>
      <c r="K1229" s="73"/>
      <c r="L1229" s="73"/>
      <c r="M1229" s="77">
        <f>IFERROR(__xludf.DUMMYFUNCTION("""COMPUTED_VALUE"""),0.1)</f>
        <v>0.1</v>
      </c>
      <c r="N1229" s="77">
        <f>IFERROR(__xludf.DUMMYFUNCTION("""COMPUTED_VALUE"""),1.0)</f>
        <v>1</v>
      </c>
      <c r="O1229" s="49"/>
      <c r="P1229" s="49" t="str">
        <f>IFERROR(__xludf.DUMMYFUNCTION("""COMPUTED_VALUE"""),"Offset")</f>
        <v>Offset</v>
      </c>
      <c r="Q1229" s="49" t="str">
        <f>IFERROR(__xludf.DUMMYFUNCTION("""COMPUTED_VALUE"""),"Packaging")</f>
        <v>Packaging</v>
      </c>
      <c r="R1229" s="49" t="str">
        <f>IFERROR(__xludf.DUMMYFUNCTION("""COMPUTED_VALUE"""),"Sanitary")</f>
        <v>Sanitary</v>
      </c>
    </row>
    <row r="1230">
      <c r="A1230" s="156" t="str">
        <f>IFERROR(__xludf.DUMMYFUNCTION("""COMPUTED_VALUE"""),"https://drive.google.com/open?id=1RTszxpUDLCVhCVdPNHpYSdhjXFciCtTe&amp;authuser=jay.agg%40gmail.com&amp;usp=drive_fs")</f>
        <v>https://drive.google.com/open?id=1RTszxpUDLCVhCVdPNHpYSdhjXFciCtTe&amp;authuser=jay.agg%40gmail.com&amp;usp=drive_fs</v>
      </c>
      <c r="B1230" s="73" t="str">
        <f>IFERROR(__xludf.DUMMYFUNCTION("""COMPUTED_VALUE"""),"Sanitary")</f>
        <v>Sanitary</v>
      </c>
      <c r="C1230" s="73" t="str">
        <f>IFERROR(__xludf.DUMMYFUNCTION("""COMPUTED_VALUE"""),"Putti Fumers")</f>
        <v>Putti Fumers</v>
      </c>
      <c r="D1230" s="73" t="str">
        <f>IFERROR(__xludf.DUMMYFUNCTION("""COMPUTED_VALUE"""),"4*4*0.5 inch | 102*13*102 mm")</f>
        <v>4*4*0.5 inch | 102*13*102 mm</v>
      </c>
      <c r="E1230" s="77">
        <f>IFERROR(__xludf.DUMMYFUNCTION("""COMPUTED_VALUE"""),8.0)</f>
        <v>8</v>
      </c>
      <c r="F1230" s="77">
        <f>IFERROR(__xludf.DUMMYFUNCTION("""COMPUTED_VALUE"""),1926.0)</f>
        <v>1926</v>
      </c>
      <c r="G1230" s="77">
        <f>IFERROR(__xludf.DUMMYFUNCTION("""COMPUTED_VALUE"""),19.5)</f>
        <v>19.5</v>
      </c>
      <c r="H1230" s="77">
        <f>IFERROR(__xludf.DUMMYFUNCTION("""COMPUTED_VALUE"""),23.0)</f>
        <v>23</v>
      </c>
      <c r="I1230" s="77">
        <f>IFERROR(__xludf.DUMMYFUNCTION("""COMPUTED_VALUE"""),100.0)</f>
        <v>100</v>
      </c>
      <c r="J1230" s="73"/>
      <c r="K1230" s="73"/>
      <c r="L1230" s="73"/>
      <c r="M1230" s="77">
        <f>IFERROR(__xludf.DUMMYFUNCTION("""COMPUTED_VALUE"""),0.1)</f>
        <v>0.1</v>
      </c>
      <c r="N1230" s="77">
        <f>IFERROR(__xludf.DUMMYFUNCTION("""COMPUTED_VALUE"""),1.0)</f>
        <v>1</v>
      </c>
      <c r="O1230" s="49"/>
      <c r="P1230" s="49" t="str">
        <f>IFERROR(__xludf.DUMMYFUNCTION("""COMPUTED_VALUE"""),"Offset")</f>
        <v>Offset</v>
      </c>
      <c r="Q1230" s="49" t="str">
        <f>IFERROR(__xludf.DUMMYFUNCTION("""COMPUTED_VALUE"""),"Packaging")</f>
        <v>Packaging</v>
      </c>
      <c r="R1230" s="49" t="str">
        <f>IFERROR(__xludf.DUMMYFUNCTION("""COMPUTED_VALUE"""),"Sanitary")</f>
        <v>Sanitary</v>
      </c>
    </row>
    <row r="1231">
      <c r="A1231" s="156" t="str">
        <f>IFERROR(__xludf.DUMMYFUNCTION("""COMPUTED_VALUE"""),"https://drive.google.com/open?id=1RU3JrSJqD1wVjUS1rycxLHWxsZR0pIVE&amp;authuser=jay.agg%40gmail.com&amp;usp=drive_fs")</f>
        <v>https://drive.google.com/open?id=1RU3JrSJqD1wVjUS1rycxLHWxsZR0pIVE&amp;authuser=jay.agg%40gmail.com&amp;usp=drive_fs</v>
      </c>
      <c r="B1231" s="73" t="str">
        <f>IFERROR(__xludf.DUMMYFUNCTION("""COMPUTED_VALUE"""),"Sanitary")</f>
        <v>Sanitary</v>
      </c>
      <c r="C1231" s="73" t="str">
        <f>IFERROR(__xludf.DUMMYFUNCTION("""COMPUTED_VALUE"""),"Putti Fumers")</f>
        <v>Putti Fumers</v>
      </c>
      <c r="D1231" s="73" t="str">
        <f>IFERROR(__xludf.DUMMYFUNCTION("""COMPUTED_VALUE"""),"6*4*0.5 inch | 152*13*102 mm")</f>
        <v>6*4*0.5 inch | 152*13*102 mm</v>
      </c>
      <c r="E1231" s="77">
        <f>IFERROR(__xludf.DUMMYFUNCTION("""COMPUTED_VALUE"""),4.0)</f>
        <v>4</v>
      </c>
      <c r="F1231" s="77">
        <f>IFERROR(__xludf.DUMMYFUNCTION("""COMPUTED_VALUE"""),1926.0)</f>
        <v>1926</v>
      </c>
      <c r="G1231" s="77">
        <f>IFERROR(__xludf.DUMMYFUNCTION("""COMPUTED_VALUE"""),14.0)</f>
        <v>14</v>
      </c>
      <c r="H1231" s="77">
        <f>IFERROR(__xludf.DUMMYFUNCTION("""COMPUTED_VALUE"""),22.0)</f>
        <v>22</v>
      </c>
      <c r="I1231" s="77">
        <f>IFERROR(__xludf.DUMMYFUNCTION("""COMPUTED_VALUE"""),100.0)</f>
        <v>100</v>
      </c>
      <c r="J1231" s="73"/>
      <c r="K1231" s="73"/>
      <c r="L1231" s="73"/>
      <c r="M1231" s="77">
        <f>IFERROR(__xludf.DUMMYFUNCTION("""COMPUTED_VALUE"""),0.1)</f>
        <v>0.1</v>
      </c>
      <c r="N1231" s="77">
        <f>IFERROR(__xludf.DUMMYFUNCTION("""COMPUTED_VALUE"""),1.0)</f>
        <v>1</v>
      </c>
      <c r="O1231" s="49"/>
      <c r="P1231" s="49" t="str">
        <f>IFERROR(__xludf.DUMMYFUNCTION("""COMPUTED_VALUE"""),"Offset")</f>
        <v>Offset</v>
      </c>
      <c r="Q1231" s="49" t="str">
        <f>IFERROR(__xludf.DUMMYFUNCTION("""COMPUTED_VALUE"""),"Packaging")</f>
        <v>Packaging</v>
      </c>
      <c r="R1231" s="49" t="str">
        <f>IFERROR(__xludf.DUMMYFUNCTION("""COMPUTED_VALUE"""),"Sanitary")</f>
        <v>Sanitary</v>
      </c>
    </row>
    <row r="1232">
      <c r="A1232" s="156" t="str">
        <f>IFERROR(__xludf.DUMMYFUNCTION("""COMPUTED_VALUE"""),"https://drive.google.com/open?id=1RV0GLPJ_uU-GCaMQS1sX31oYwdgMCLGS&amp;authuser=jay.agg%40gmail.com&amp;usp=drive_fs")</f>
        <v>https://drive.google.com/open?id=1RV0GLPJ_uU-GCaMQS1sX31oYwdgMCLGS&amp;authuser=jay.agg%40gmail.com&amp;usp=drive_fs</v>
      </c>
      <c r="B1232" s="73" t="str">
        <f>IFERROR(__xludf.DUMMYFUNCTION("""COMPUTED_VALUE"""),"Sanitary")</f>
        <v>Sanitary</v>
      </c>
      <c r="C1232" s="73" t="str">
        <f>IFERROR(__xludf.DUMMYFUNCTION("""COMPUTED_VALUE"""),"Putti Fumers")</f>
        <v>Putti Fumers</v>
      </c>
      <c r="D1232" s="73" t="str">
        <f>IFERROR(__xludf.DUMMYFUNCTION("""COMPUTED_VALUE"""),"8*4*0.5 inch | 203*13*102 mm")</f>
        <v>8*4*0.5 inch | 203*13*102 mm</v>
      </c>
      <c r="E1232" s="77">
        <f>IFERROR(__xludf.DUMMYFUNCTION("""COMPUTED_VALUE"""),4.0)</f>
        <v>4</v>
      </c>
      <c r="F1232" s="77">
        <f>IFERROR(__xludf.DUMMYFUNCTION("""COMPUTED_VALUE"""),1926.0)</f>
        <v>1926</v>
      </c>
      <c r="G1232" s="77">
        <f>IFERROR(__xludf.DUMMYFUNCTION("""COMPUTED_VALUE"""),18.0)</f>
        <v>18</v>
      </c>
      <c r="H1232" s="77">
        <f>IFERROR(__xludf.DUMMYFUNCTION("""COMPUTED_VALUE"""),21.0)</f>
        <v>21</v>
      </c>
      <c r="I1232" s="77">
        <f>IFERROR(__xludf.DUMMYFUNCTION("""COMPUTED_VALUE"""),100.0)</f>
        <v>100</v>
      </c>
      <c r="J1232" s="73"/>
      <c r="K1232" s="73"/>
      <c r="L1232" s="73"/>
      <c r="M1232" s="77">
        <f>IFERROR(__xludf.DUMMYFUNCTION("""COMPUTED_VALUE"""),0.1)</f>
        <v>0.1</v>
      </c>
      <c r="N1232" s="77">
        <f>IFERROR(__xludf.DUMMYFUNCTION("""COMPUTED_VALUE"""),1.0)</f>
        <v>1</v>
      </c>
      <c r="O1232" s="49"/>
      <c r="P1232" s="49" t="str">
        <f>IFERROR(__xludf.DUMMYFUNCTION("""COMPUTED_VALUE"""),"Offset")</f>
        <v>Offset</v>
      </c>
      <c r="Q1232" s="49" t="str">
        <f>IFERROR(__xludf.DUMMYFUNCTION("""COMPUTED_VALUE"""),"Packaging")</f>
        <v>Packaging</v>
      </c>
      <c r="R1232" s="49" t="str">
        <f>IFERROR(__xludf.DUMMYFUNCTION("""COMPUTED_VALUE"""),"Sanitary")</f>
        <v>Sanitary</v>
      </c>
    </row>
    <row r="1233">
      <c r="A1233" s="156" t="str">
        <f>IFERROR(__xludf.DUMMYFUNCTION("""COMPUTED_VALUE"""),"https://drive.google.com/open?id=1RZUWcRcv3wMcaYpqIDvVAPkdiFxwqYK7&amp;authuser=jay.agg%40gmail.com&amp;usp=drive_fs")</f>
        <v>https://drive.google.com/open?id=1RZUWcRcv3wMcaYpqIDvVAPkdiFxwqYK7&amp;authuser=jay.agg%40gmail.com&amp;usp=drive_fs</v>
      </c>
      <c r="B1233" s="73" t="str">
        <f>IFERROR(__xludf.DUMMYFUNCTION("""COMPUTED_VALUE"""),"Sanitary")</f>
        <v>Sanitary</v>
      </c>
      <c r="C1233" s="73" t="str">
        <f>IFERROR(__xludf.DUMMYFUNCTION("""COMPUTED_VALUE"""),"Putti Fumers")</f>
        <v>Putti Fumers</v>
      </c>
      <c r="D1233" s="73" t="str">
        <f>IFERROR(__xludf.DUMMYFUNCTION("""COMPUTED_VALUE"""),"10*4*0.5 inch | 254*13*102 mm")</f>
        <v>10*4*0.5 inch | 254*13*102 mm</v>
      </c>
      <c r="E1233" s="77">
        <f>IFERROR(__xludf.DUMMYFUNCTION("""COMPUTED_VALUE"""),3.0)</f>
        <v>3</v>
      </c>
      <c r="F1233" s="77">
        <f>IFERROR(__xludf.DUMMYFUNCTION("""COMPUTED_VALUE"""),1926.0)</f>
        <v>1926</v>
      </c>
      <c r="G1233" s="77">
        <f>IFERROR(__xludf.DUMMYFUNCTION("""COMPUTED_VALUE"""),18.0)</f>
        <v>18</v>
      </c>
      <c r="H1233" s="77">
        <f>IFERROR(__xludf.DUMMYFUNCTION("""COMPUTED_VALUE"""),23.0)</f>
        <v>23</v>
      </c>
      <c r="I1233" s="77">
        <f>IFERROR(__xludf.DUMMYFUNCTION("""COMPUTED_VALUE"""),100.0)</f>
        <v>100</v>
      </c>
      <c r="J1233" s="73"/>
      <c r="K1233" s="73"/>
      <c r="L1233" s="73"/>
      <c r="M1233" s="77">
        <f>IFERROR(__xludf.DUMMYFUNCTION("""COMPUTED_VALUE"""),0.1)</f>
        <v>0.1</v>
      </c>
      <c r="N1233" s="77">
        <f>IFERROR(__xludf.DUMMYFUNCTION("""COMPUTED_VALUE"""),1.0)</f>
        <v>1</v>
      </c>
      <c r="O1233" s="49"/>
      <c r="P1233" s="49" t="str">
        <f>IFERROR(__xludf.DUMMYFUNCTION("""COMPUTED_VALUE"""),"Offset")</f>
        <v>Offset</v>
      </c>
      <c r="Q1233" s="49" t="str">
        <f>IFERROR(__xludf.DUMMYFUNCTION("""COMPUTED_VALUE"""),"Packaging")</f>
        <v>Packaging</v>
      </c>
      <c r="R1233" s="49" t="str">
        <f>IFERROR(__xludf.DUMMYFUNCTION("""COMPUTED_VALUE"""),"Sanitary")</f>
        <v>Sanitary</v>
      </c>
    </row>
    <row r="1234">
      <c r="A1234" s="156" t="str">
        <f>IFERROR(__xludf.DUMMYFUNCTION("""COMPUTED_VALUE"""),"https://drive.google.com/open?id=1RIk5WaB4-CQi9WvSa2Xln9GCBTr2gPDY&amp;authuser=jay.agg%40gmail.com&amp;usp=drive_fs")</f>
        <v>https://drive.google.com/open?id=1RIk5WaB4-CQi9WvSa2Xln9GCBTr2gPDY&amp;authuser=jay.agg%40gmail.com&amp;usp=drive_fs</v>
      </c>
      <c r="B1234" s="73" t="str">
        <f>IFERROR(__xludf.DUMMYFUNCTION("""COMPUTED_VALUE"""),"Sanitary")</f>
        <v>Sanitary</v>
      </c>
      <c r="C1234" s="73" t="str">
        <f>IFERROR(__xludf.DUMMYFUNCTION("""COMPUTED_VALUE"""),"Tuti")</f>
        <v>Tuti</v>
      </c>
      <c r="D1234" s="73" t="str">
        <f>IFERROR(__xludf.DUMMYFUNCTION("""COMPUTED_VALUE"""),"160x63x109 mm")</f>
        <v>160x63x109 mm</v>
      </c>
      <c r="E1234" s="77">
        <f>IFERROR(__xludf.DUMMYFUNCTION("""COMPUTED_VALUE"""),3.0)</f>
        <v>3</v>
      </c>
      <c r="F1234" s="77">
        <f>IFERROR(__xludf.DUMMYFUNCTION("""COMPUTED_VALUE"""),1926.0)</f>
        <v>1926</v>
      </c>
      <c r="G1234" s="77">
        <f>IFERROR(__xludf.DUMMYFUNCTION("""COMPUTED_VALUE"""),18.0)</f>
        <v>18</v>
      </c>
      <c r="H1234" s="77">
        <f>IFERROR(__xludf.DUMMYFUNCTION("""COMPUTED_VALUE"""),25.0)</f>
        <v>25</v>
      </c>
      <c r="I1234" s="77">
        <f>IFERROR(__xludf.DUMMYFUNCTION("""COMPUTED_VALUE"""),100.0)</f>
        <v>100</v>
      </c>
      <c r="J1234" s="73"/>
      <c r="K1234" s="73"/>
      <c r="L1234" s="73"/>
      <c r="M1234" s="77">
        <f>IFERROR(__xludf.DUMMYFUNCTION("""COMPUTED_VALUE"""),0.1)</f>
        <v>0.1</v>
      </c>
      <c r="N1234" s="77">
        <f>IFERROR(__xludf.DUMMYFUNCTION("""COMPUTED_VALUE"""),1.0)</f>
        <v>1</v>
      </c>
      <c r="O1234" s="49"/>
      <c r="P1234" s="49" t="str">
        <f>IFERROR(__xludf.DUMMYFUNCTION("""COMPUTED_VALUE"""),"Offset")</f>
        <v>Offset</v>
      </c>
      <c r="Q1234" s="49" t="str">
        <f>IFERROR(__xludf.DUMMYFUNCTION("""COMPUTED_VALUE"""),"Packaging")</f>
        <v>Packaging</v>
      </c>
      <c r="R1234" s="49" t="str">
        <f>IFERROR(__xludf.DUMMYFUNCTION("""COMPUTED_VALUE"""),"Sanitary")</f>
        <v>Sanitary</v>
      </c>
    </row>
    <row r="1235">
      <c r="A1235" s="156" t="str">
        <f>IFERROR(__xludf.DUMMYFUNCTION("""COMPUTED_VALUE"""),"https://drive.google.com/open?id=1M7Mwh-CsOJ38szMTbYx1FnvxgH8L7wrE&amp;authuser=jay.agg%40gmail.com&amp;usp=drive_fs")</f>
        <v>https://drive.google.com/open?id=1M7Mwh-CsOJ38szMTbYx1FnvxgH8L7wrE&amp;authuser=jay.agg%40gmail.com&amp;usp=drive_fs</v>
      </c>
      <c r="B1235" s="73" t="str">
        <f>IFERROR(__xludf.DUMMYFUNCTION("""COMPUTED_VALUE"""),"Sanitary")</f>
        <v>Sanitary</v>
      </c>
      <c r="C1235" s="73" t="str">
        <f>IFERROR(__xludf.DUMMYFUNCTION("""COMPUTED_VALUE"""),"Faucet")</f>
        <v>Faucet</v>
      </c>
      <c r="D1235" s="73" t="str">
        <f>IFERROR(__xludf.DUMMYFUNCTION("""COMPUTED_VALUE"""),"152*152*50 mm with Hanger")</f>
        <v>152*152*50 mm with Hanger</v>
      </c>
      <c r="E1235" s="77">
        <f>IFERROR(__xludf.DUMMYFUNCTION("""COMPUTED_VALUE"""),2.0)</f>
        <v>2</v>
      </c>
      <c r="F1235" s="77">
        <f>IFERROR(__xludf.DUMMYFUNCTION("""COMPUTED_VALUE"""),1926.0)</f>
        <v>1926</v>
      </c>
      <c r="G1235" s="77">
        <f>IFERROR(__xludf.DUMMYFUNCTION("""COMPUTED_VALUE"""),18.0)</f>
        <v>18</v>
      </c>
      <c r="H1235" s="77">
        <f>IFERROR(__xludf.DUMMYFUNCTION("""COMPUTED_VALUE"""),21.0)</f>
        <v>21</v>
      </c>
      <c r="I1235" s="77">
        <f>IFERROR(__xludf.DUMMYFUNCTION("""COMPUTED_VALUE"""),100.0)</f>
        <v>100</v>
      </c>
      <c r="J1235" s="73"/>
      <c r="K1235" s="73"/>
      <c r="L1235" s="73"/>
      <c r="M1235" s="77">
        <f>IFERROR(__xludf.DUMMYFUNCTION("""COMPUTED_VALUE"""),0.1)</f>
        <v>0.1</v>
      </c>
      <c r="N1235" s="77">
        <f>IFERROR(__xludf.DUMMYFUNCTION("""COMPUTED_VALUE"""),1.0)</f>
        <v>1</v>
      </c>
      <c r="O1235" s="49"/>
      <c r="P1235" s="49" t="str">
        <f>IFERROR(__xludf.DUMMYFUNCTION("""COMPUTED_VALUE"""),"Offset")</f>
        <v>Offset</v>
      </c>
      <c r="Q1235" s="49" t="str">
        <f>IFERROR(__xludf.DUMMYFUNCTION("""COMPUTED_VALUE"""),"Packaging")</f>
        <v>Packaging</v>
      </c>
      <c r="R1235" s="49" t="str">
        <f>IFERROR(__xludf.DUMMYFUNCTION("""COMPUTED_VALUE"""),"Sanitary")</f>
        <v>Sanitary</v>
      </c>
    </row>
    <row r="1236">
      <c r="A1236" s="156" t="str">
        <f>IFERROR(__xludf.DUMMYFUNCTION("""COMPUTED_VALUE"""),"https://drive.google.com/open?id=1ZuFmstbuApSfgZ9ENxSylcu_GnonRKeW&amp;authuser=jay.agg%40gmail.com&amp;usp=drive_fs")</f>
        <v>https://drive.google.com/open?id=1ZuFmstbuApSfgZ9ENxSylcu_GnonRKeW&amp;authuser=jay.agg%40gmail.com&amp;usp=drive_fs</v>
      </c>
      <c r="B1236" s="73" t="str">
        <f>IFERROR(__xludf.DUMMYFUNCTION("""COMPUTED_VALUE"""),"Hardware")</f>
        <v>Hardware</v>
      </c>
      <c r="C1236" s="73" t="str">
        <f>IFERROR(__xludf.DUMMYFUNCTION("""COMPUTED_VALUE"""),"Nail Box")</f>
        <v>Nail Box</v>
      </c>
      <c r="D1236" s="73" t="str">
        <f>IFERROR(__xludf.DUMMYFUNCTION("""COMPUTED_VALUE"""),"165*89*102 mm | 6.5*3.5*4 inch")</f>
        <v>165*89*102 mm | 6.5*3.5*4 inch</v>
      </c>
      <c r="E1236" s="77">
        <f>IFERROR(__xludf.DUMMYFUNCTION("""COMPUTED_VALUE"""),1.0)</f>
        <v>1</v>
      </c>
      <c r="F1236" s="77">
        <f>IFERROR(__xludf.DUMMYFUNCTION("""COMPUTED_VALUE"""),1926.0)</f>
        <v>1926</v>
      </c>
      <c r="G1236" s="77">
        <f>IFERROR(__xludf.DUMMYFUNCTION("""COMPUTED_VALUE"""),15.75)</f>
        <v>15.75</v>
      </c>
      <c r="H1236" s="77">
        <f>IFERROR(__xludf.DUMMYFUNCTION("""COMPUTED_VALUE"""),20.75)</f>
        <v>20.75</v>
      </c>
      <c r="I1236" s="77">
        <f>IFERROR(__xludf.DUMMYFUNCTION("""COMPUTED_VALUE"""),100.0)</f>
        <v>100</v>
      </c>
      <c r="J1236" s="73"/>
      <c r="K1236" s="73"/>
      <c r="L1236" s="73"/>
      <c r="M1236" s="77">
        <f>IFERROR(__xludf.DUMMYFUNCTION("""COMPUTED_VALUE"""),0.1)</f>
        <v>0.1</v>
      </c>
      <c r="N1236" s="77">
        <f>IFERROR(__xludf.DUMMYFUNCTION("""COMPUTED_VALUE"""),1.0)</f>
        <v>1</v>
      </c>
      <c r="O1236" s="49"/>
      <c r="P1236" s="49" t="str">
        <f>IFERROR(__xludf.DUMMYFUNCTION("""COMPUTED_VALUE"""),"Offset")</f>
        <v>Offset</v>
      </c>
      <c r="Q1236" s="49" t="str">
        <f>IFERROR(__xludf.DUMMYFUNCTION("""COMPUTED_VALUE"""),"Packaging")</f>
        <v>Packaging</v>
      </c>
      <c r="R1236" s="49" t="str">
        <f>IFERROR(__xludf.DUMMYFUNCTION("""COMPUTED_VALUE"""),"Hardware")</f>
        <v>Hardware</v>
      </c>
    </row>
    <row r="1237">
      <c r="A1237" s="156" t="str">
        <f>IFERROR(__xludf.DUMMYFUNCTION("""COMPUTED_VALUE"""),"https://drive.google.com/open?id=10_m9KyQtMIDFm-RPQ2eSkc_kH_QYuPIP&amp;authuser=jay.agg%40gmail.com&amp;usp=drive_fs")</f>
        <v>https://drive.google.com/open?id=10_m9KyQtMIDFm-RPQ2eSkc_kH_QYuPIP&amp;authuser=jay.agg%40gmail.com&amp;usp=drive_fs</v>
      </c>
      <c r="B1237" s="73" t="str">
        <f>IFERROR(__xludf.DUMMYFUNCTION("""COMPUTED_VALUE"""),"Sanitary")</f>
        <v>Sanitary</v>
      </c>
      <c r="C1237" s="73" t="str">
        <f>IFERROR(__xludf.DUMMYFUNCTION("""COMPUTED_VALUE"""),"Tap")</f>
        <v>Tap</v>
      </c>
      <c r="D1237" s="73" t="str">
        <f>IFERROR(__xludf.DUMMYFUNCTION("""COMPUTED_VALUE"""),"106*43*108 mm | 4.2*1.7*4.3 inch | 24*13")</f>
        <v>106*43*108 mm | 4.2*1.7*4.3 inch | 24*13</v>
      </c>
      <c r="E1237" s="77">
        <f>IFERROR(__xludf.DUMMYFUNCTION("""COMPUTED_VALUE"""),3.0)</f>
        <v>3</v>
      </c>
      <c r="F1237" s="77">
        <f>IFERROR(__xludf.DUMMYFUNCTION("""COMPUTED_VALUE"""),1926.0)</f>
        <v>1926</v>
      </c>
      <c r="G1237" s="77">
        <f>IFERROR(__xludf.DUMMYFUNCTION("""COMPUTED_VALUE"""),14.0)</f>
        <v>14</v>
      </c>
      <c r="H1237" s="77">
        <f>IFERROR(__xludf.DUMMYFUNCTION("""COMPUTED_VALUE"""),22.0)</f>
        <v>22</v>
      </c>
      <c r="I1237" s="77">
        <f>IFERROR(__xludf.DUMMYFUNCTION("""COMPUTED_VALUE"""),100.0)</f>
        <v>100</v>
      </c>
      <c r="J1237" s="73"/>
      <c r="K1237" s="73"/>
      <c r="L1237" s="73"/>
      <c r="M1237" s="77"/>
      <c r="N1237" s="77">
        <f>IFERROR(__xludf.DUMMYFUNCTION("""COMPUTED_VALUE"""),1.0)</f>
        <v>1</v>
      </c>
      <c r="O1237" s="49"/>
      <c r="P1237" s="49" t="str">
        <f>IFERROR(__xludf.DUMMYFUNCTION("""COMPUTED_VALUE"""),"Offset")</f>
        <v>Offset</v>
      </c>
      <c r="Q1237" s="49" t="str">
        <f>IFERROR(__xludf.DUMMYFUNCTION("""COMPUTED_VALUE"""),"Packaging")</f>
        <v>Packaging</v>
      </c>
      <c r="R1237" s="49" t="str">
        <f>IFERROR(__xludf.DUMMYFUNCTION("""COMPUTED_VALUE"""),"Sanitary")</f>
        <v>Sanitary</v>
      </c>
    </row>
    <row r="1238">
      <c r="A1238" s="156" t="str">
        <f>IFERROR(__xludf.DUMMYFUNCTION("""COMPUTED_VALUE"""),"https://drive.google.com/open?id=1OVCrvnYi5r0uur_n6aswt33pZOP8OS74&amp;authuser=jay.agg%40gmail.com&amp;usp=drive_fs")</f>
        <v>https://drive.google.com/open?id=1OVCrvnYi5r0uur_n6aswt33pZOP8OS74&amp;authuser=jay.agg%40gmail.com&amp;usp=drive_fs</v>
      </c>
      <c r="B1238" s="73" t="str">
        <f>IFERROR(__xludf.DUMMYFUNCTION("""COMPUTED_VALUE"""),"Sanitary")</f>
        <v>Sanitary</v>
      </c>
      <c r="C1238" s="73" t="str">
        <f>IFERROR(__xludf.DUMMYFUNCTION("""COMPUTED_VALUE"""),"Misc")</f>
        <v>Misc</v>
      </c>
      <c r="D1238" s="73" t="str">
        <f>IFERROR(__xludf.DUMMYFUNCTION("""COMPUTED_VALUE"""),"25*25*90 mm | 1*1*3.5 inch")</f>
        <v>25*25*90 mm | 1*1*3.5 inch</v>
      </c>
      <c r="E1238" s="77">
        <f>IFERROR(__xludf.DUMMYFUNCTION("""COMPUTED_VALUE"""),16.0)</f>
        <v>16</v>
      </c>
      <c r="F1238" s="77">
        <f>IFERROR(__xludf.DUMMYFUNCTION("""COMPUTED_VALUE"""),1926.0)</f>
        <v>1926</v>
      </c>
      <c r="G1238" s="77">
        <f>IFERROR(__xludf.DUMMYFUNCTION("""COMPUTED_VALUE"""),18.0)</f>
        <v>18</v>
      </c>
      <c r="H1238" s="77">
        <f>IFERROR(__xludf.DUMMYFUNCTION("""COMPUTED_VALUE"""),23.0)</f>
        <v>23</v>
      </c>
      <c r="I1238" s="77">
        <f>IFERROR(__xludf.DUMMYFUNCTION("""COMPUTED_VALUE"""),100.0)</f>
        <v>100</v>
      </c>
      <c r="J1238" s="73"/>
      <c r="K1238" s="73"/>
      <c r="L1238" s="73"/>
      <c r="M1238" s="77">
        <f>IFERROR(__xludf.DUMMYFUNCTION("""COMPUTED_VALUE"""),0.1)</f>
        <v>0.1</v>
      </c>
      <c r="N1238" s="77">
        <f>IFERROR(__xludf.DUMMYFUNCTION("""COMPUTED_VALUE"""),1.0)</f>
        <v>1</v>
      </c>
      <c r="O1238" s="49"/>
      <c r="P1238" s="49" t="str">
        <f>IFERROR(__xludf.DUMMYFUNCTION("""COMPUTED_VALUE"""),"Offset")</f>
        <v>Offset</v>
      </c>
      <c r="Q1238" s="49" t="str">
        <f>IFERROR(__xludf.DUMMYFUNCTION("""COMPUTED_VALUE"""),"Packaging")</f>
        <v>Packaging</v>
      </c>
      <c r="R1238" s="49" t="str">
        <f>IFERROR(__xludf.DUMMYFUNCTION("""COMPUTED_VALUE"""),"Sanitary")</f>
        <v>Sanitary</v>
      </c>
    </row>
    <row r="1239">
      <c r="A1239" s="156" t="str">
        <f>IFERROR(__xludf.DUMMYFUNCTION("""COMPUTED_VALUE"""),"https://drive.google.com/open?id=11hJ5oJzzbENXFJ9naAN4V6EX3f-nnEkB&amp;authuser=jay.agg%40gmail.com&amp;usp=drive_fs")</f>
        <v>https://drive.google.com/open?id=11hJ5oJzzbENXFJ9naAN4V6EX3f-nnEkB&amp;authuser=jay.agg%40gmail.com&amp;usp=drive_fs</v>
      </c>
      <c r="B1239" s="73" t="str">
        <f>IFERROR(__xludf.DUMMYFUNCTION("""COMPUTED_VALUE"""),"Hardware")</f>
        <v>Hardware</v>
      </c>
      <c r="C1239" s="73" t="str">
        <f>IFERROR(__xludf.DUMMYFUNCTION("""COMPUTED_VALUE"""),"Insulation Box")</f>
        <v>Insulation Box</v>
      </c>
      <c r="D1239" s="73" t="str">
        <f>IFERROR(__xludf.DUMMYFUNCTION("""COMPUTED_VALUE"""),"115*115*80 mm | 4.5*4.5*3.1 inch | 32*21")</f>
        <v>115*115*80 mm | 4.5*4.5*3.1 inch | 32*21</v>
      </c>
      <c r="E1239" s="77">
        <f>IFERROR(__xludf.DUMMYFUNCTION("""COMPUTED_VALUE"""),2.0)</f>
        <v>2</v>
      </c>
      <c r="F1239" s="77">
        <f>IFERROR(__xludf.DUMMYFUNCTION("""COMPUTED_VALUE"""),2840.0)</f>
        <v>2840</v>
      </c>
      <c r="G1239" s="77">
        <f>IFERROR(__xludf.DUMMYFUNCTION("""COMPUTED_VALUE"""),22.0)</f>
        <v>22</v>
      </c>
      <c r="H1239" s="77">
        <f>IFERROR(__xludf.DUMMYFUNCTION("""COMPUTED_VALUE"""),32.0)</f>
        <v>32</v>
      </c>
      <c r="I1239" s="77">
        <f>IFERROR(__xludf.DUMMYFUNCTION("""COMPUTED_VALUE"""),100.0)</f>
        <v>100</v>
      </c>
      <c r="J1239" s="73"/>
      <c r="K1239" s="73"/>
      <c r="L1239" s="73"/>
      <c r="M1239" s="77"/>
      <c r="N1239" s="77">
        <f>IFERROR(__xludf.DUMMYFUNCTION("""COMPUTED_VALUE"""),1.0)</f>
        <v>1</v>
      </c>
      <c r="O1239" s="49"/>
      <c r="P1239" s="49" t="str">
        <f>IFERROR(__xludf.DUMMYFUNCTION("""COMPUTED_VALUE"""),"Offset")</f>
        <v>Offset</v>
      </c>
      <c r="Q1239" s="49" t="str">
        <f>IFERROR(__xludf.DUMMYFUNCTION("""COMPUTED_VALUE"""),"Packaging")</f>
        <v>Packaging</v>
      </c>
      <c r="R1239" s="49" t="str">
        <f>IFERROR(__xludf.DUMMYFUNCTION("""COMPUTED_VALUE"""),"Hardware")</f>
        <v>Hardware</v>
      </c>
    </row>
    <row r="1240">
      <c r="A1240" s="156" t="str">
        <f>IFERROR(__xludf.DUMMYFUNCTION("""COMPUTED_VALUE"""),"https://drive.google.com/open?id=11g_3s8agsDHiWYIM0SilTKUTbAedTExc&amp;authuser=jay.agg%40gmail.com&amp;usp=drive_fs")</f>
        <v>https://drive.google.com/open?id=11g_3s8agsDHiWYIM0SilTKUTbAedTExc&amp;authuser=jay.agg%40gmail.com&amp;usp=drive_fs</v>
      </c>
      <c r="B1240" s="73" t="str">
        <f>IFERROR(__xludf.DUMMYFUNCTION("""COMPUTED_VALUE"""),"Hardware")</f>
        <v>Hardware</v>
      </c>
      <c r="C1240" s="73" t="str">
        <f>IFERROR(__xludf.DUMMYFUNCTION("""COMPUTED_VALUE"""),"Insulation Box")</f>
        <v>Insulation Box</v>
      </c>
      <c r="D1240" s="73" t="str">
        <f>IFERROR(__xludf.DUMMYFUNCTION("""COMPUTED_VALUE"""),"250*110*80 mm | 9.8*4.3*3.1 inch | 22*20")</f>
        <v>250*110*80 mm | 9.8*4.3*3.1 inch | 22*20</v>
      </c>
      <c r="E1240" s="77">
        <f>IFERROR(__xludf.DUMMYFUNCTION("""COMPUTED_VALUE"""),1.0)</f>
        <v>1</v>
      </c>
      <c r="F1240" s="77">
        <f>IFERROR(__xludf.DUMMYFUNCTION("""COMPUTED_VALUE"""),2029.0)</f>
        <v>2029</v>
      </c>
      <c r="G1240" s="77">
        <f>IFERROR(__xludf.DUMMYFUNCTION("""COMPUTED_VALUE"""),22.0)</f>
        <v>22</v>
      </c>
      <c r="H1240" s="77">
        <f>IFERROR(__xludf.DUMMYFUNCTION("""COMPUTED_VALUE"""),20.0)</f>
        <v>20</v>
      </c>
      <c r="I1240" s="77">
        <f>IFERROR(__xludf.DUMMYFUNCTION("""COMPUTED_VALUE"""),100.0)</f>
        <v>100</v>
      </c>
      <c r="J1240" s="73"/>
      <c r="K1240" s="73"/>
      <c r="L1240" s="73"/>
      <c r="M1240" s="77"/>
      <c r="N1240" s="77">
        <f>IFERROR(__xludf.DUMMYFUNCTION("""COMPUTED_VALUE"""),1.0)</f>
        <v>1</v>
      </c>
      <c r="O1240" s="49"/>
      <c r="P1240" s="49" t="str">
        <f>IFERROR(__xludf.DUMMYFUNCTION("""COMPUTED_VALUE"""),"Offset")</f>
        <v>Offset</v>
      </c>
      <c r="Q1240" s="49" t="str">
        <f>IFERROR(__xludf.DUMMYFUNCTION("""COMPUTED_VALUE"""),"Packaging")</f>
        <v>Packaging</v>
      </c>
      <c r="R1240" s="49" t="str">
        <f>IFERROR(__xludf.DUMMYFUNCTION("""COMPUTED_VALUE"""),"Hardware")</f>
        <v>Hardware</v>
      </c>
    </row>
    <row r="1241">
      <c r="A1241" s="156" t="str">
        <f>IFERROR(__xludf.DUMMYFUNCTION("""COMPUTED_VALUE"""),"https://drive.google.com/open?id=11gVaj9yympk3bP-kGA36Q7ZVF-crnV1l&amp;authuser=jay.agg%40gmail.com&amp;usp=drive_fs")</f>
        <v>https://drive.google.com/open?id=11gVaj9yympk3bP-kGA36Q7ZVF-crnV1l&amp;authuser=jay.agg%40gmail.com&amp;usp=drive_fs</v>
      </c>
      <c r="B1241" s="73" t="str">
        <f>IFERROR(__xludf.DUMMYFUNCTION("""COMPUTED_VALUE"""),"Hardware")</f>
        <v>Hardware</v>
      </c>
      <c r="C1241" s="73" t="str">
        <f>IFERROR(__xludf.DUMMYFUNCTION("""COMPUTED_VALUE"""),"Insulation Box")</f>
        <v>Insulation Box</v>
      </c>
      <c r="D1241" s="73" t="str">
        <f>IFERROR(__xludf.DUMMYFUNCTION("""COMPUTED_VALUE"""),"250*150*150 mm | 9.8*5.9*5.8 inch | 32*25")</f>
        <v>250*150*150 mm | 9.8*5.9*5.8 inch | 32*25</v>
      </c>
      <c r="E1241" s="77">
        <f>IFERROR(__xludf.DUMMYFUNCTION("""COMPUTED_VALUE"""),1.0)</f>
        <v>1</v>
      </c>
      <c r="F1241" s="77">
        <f>IFERROR(__xludf.DUMMYFUNCTION("""COMPUTED_VALUE"""),2840.0)</f>
        <v>2840</v>
      </c>
      <c r="G1241" s="77">
        <f>IFERROR(__xludf.DUMMYFUNCTION("""COMPUTED_VALUE"""),26.0)</f>
        <v>26</v>
      </c>
      <c r="H1241" s="77">
        <f>IFERROR(__xludf.DUMMYFUNCTION("""COMPUTED_VALUE"""),32.0)</f>
        <v>32</v>
      </c>
      <c r="I1241" s="77">
        <f>IFERROR(__xludf.DUMMYFUNCTION("""COMPUTED_VALUE"""),100.0)</f>
        <v>100</v>
      </c>
      <c r="J1241" s="73"/>
      <c r="K1241" s="73"/>
      <c r="L1241" s="73"/>
      <c r="M1241" s="77"/>
      <c r="N1241" s="77">
        <f>IFERROR(__xludf.DUMMYFUNCTION("""COMPUTED_VALUE"""),1.0)</f>
        <v>1</v>
      </c>
      <c r="O1241" s="49"/>
      <c r="P1241" s="49" t="str">
        <f>IFERROR(__xludf.DUMMYFUNCTION("""COMPUTED_VALUE"""),"Offset")</f>
        <v>Offset</v>
      </c>
      <c r="Q1241" s="49" t="str">
        <f>IFERROR(__xludf.DUMMYFUNCTION("""COMPUTED_VALUE"""),"Packaging")</f>
        <v>Packaging</v>
      </c>
      <c r="R1241" s="49" t="str">
        <f>IFERROR(__xludf.DUMMYFUNCTION("""COMPUTED_VALUE"""),"Hardware")</f>
        <v>Hardware</v>
      </c>
    </row>
    <row r="1242">
      <c r="A1242" s="156" t="str">
        <f>IFERROR(__xludf.DUMMYFUNCTION("""COMPUTED_VALUE"""),"https://drive.google.com/open?id=1S17Hw-2E5A05j0NQu7IixYjPSuAcYbbI&amp;authuser=jay.agg%40gmail.com&amp;usp=drive_fs")</f>
        <v>https://drive.google.com/open?id=1S17Hw-2E5A05j0NQu7IixYjPSuAcYbbI&amp;authuser=jay.agg%40gmail.com&amp;usp=drive_fs</v>
      </c>
      <c r="B1242" s="73" t="str">
        <f>IFERROR(__xludf.DUMMYFUNCTION("""COMPUTED_VALUE"""),"Jwellery")</f>
        <v>Jwellery</v>
      </c>
      <c r="C1242" s="73" t="str">
        <f>IFERROR(__xludf.DUMMYFUNCTION("""COMPUTED_VALUE"""),"Accessories")</f>
        <v>Accessories</v>
      </c>
      <c r="D1242" s="73" t="str">
        <f>IFERROR(__xludf.DUMMYFUNCTION("""COMPUTED_VALUE"""),"4*2.5*1 inches")</f>
        <v>4*2.5*1 inches</v>
      </c>
      <c r="E1242" s="77">
        <f>IFERROR(__xludf.DUMMYFUNCTION("""COMPUTED_VALUE"""),12.0)</f>
        <v>12</v>
      </c>
      <c r="F1242" s="77">
        <f>IFERROR(__xludf.DUMMYFUNCTION("""COMPUTED_VALUE"""),1926.0)</f>
        <v>1926</v>
      </c>
      <c r="G1242" s="77">
        <f>IFERROR(__xludf.DUMMYFUNCTION("""COMPUTED_VALUE"""),18.0)</f>
        <v>18</v>
      </c>
      <c r="H1242" s="77">
        <f>IFERROR(__xludf.DUMMYFUNCTION("""COMPUTED_VALUE"""),23.0)</f>
        <v>23</v>
      </c>
      <c r="I1242" s="77">
        <f>IFERROR(__xludf.DUMMYFUNCTION("""COMPUTED_VALUE"""),100.0)</f>
        <v>100</v>
      </c>
      <c r="J1242" s="73"/>
      <c r="K1242" s="73"/>
      <c r="L1242" s="73"/>
      <c r="M1242" s="77">
        <f>IFERROR(__xludf.DUMMYFUNCTION("""COMPUTED_VALUE"""),0.1)</f>
        <v>0.1</v>
      </c>
      <c r="N1242" s="77">
        <f>IFERROR(__xludf.DUMMYFUNCTION("""COMPUTED_VALUE"""),1.0)</f>
        <v>1</v>
      </c>
      <c r="O1242" s="49"/>
      <c r="P1242" s="49" t="str">
        <f>IFERROR(__xludf.DUMMYFUNCTION("""COMPUTED_VALUE"""),"Offset")</f>
        <v>Offset</v>
      </c>
      <c r="Q1242" s="49" t="str">
        <f>IFERROR(__xludf.DUMMYFUNCTION("""COMPUTED_VALUE"""),"Packaging")</f>
        <v>Packaging</v>
      </c>
      <c r="R1242" s="49" t="str">
        <f>IFERROR(__xludf.DUMMYFUNCTION("""COMPUTED_VALUE"""),"Jwellery")</f>
        <v>Jwellery</v>
      </c>
    </row>
    <row r="1243">
      <c r="A1243" s="156" t="str">
        <f>IFERROR(__xludf.DUMMYFUNCTION("""COMPUTED_VALUE"""),"https://drive.google.com/open?id=1S3FbCts2sPXVKQkJJPRokw5m2r97vDAG&amp;authuser=jay.agg%40gmail.com&amp;usp=drive_fs")</f>
        <v>https://drive.google.com/open?id=1S3FbCts2sPXVKQkJJPRokw5m2r97vDAG&amp;authuser=jay.agg%40gmail.com&amp;usp=drive_fs</v>
      </c>
      <c r="B1243" s="73" t="str">
        <f>IFERROR(__xludf.DUMMYFUNCTION("""COMPUTED_VALUE"""),"Jwellery")</f>
        <v>Jwellery</v>
      </c>
      <c r="C1243" s="73" t="str">
        <f>IFERROR(__xludf.DUMMYFUNCTION("""COMPUTED_VALUE"""),"Accessories")</f>
        <v>Accessories</v>
      </c>
      <c r="D1243" s="73" t="str">
        <f>IFERROR(__xludf.DUMMYFUNCTION("""COMPUTED_VALUE"""),"4*2.5*1 inches Tray ")</f>
        <v>4*2.5*1 inches Tray </v>
      </c>
      <c r="E1243" s="77">
        <f>IFERROR(__xludf.DUMMYFUNCTION("""COMPUTED_VALUE"""),6.0)</f>
        <v>6</v>
      </c>
      <c r="F1243" s="77">
        <f>IFERROR(__xludf.DUMMYFUNCTION("""COMPUTED_VALUE"""),1926.0)</f>
        <v>1926</v>
      </c>
      <c r="G1243" s="77">
        <f>IFERROR(__xludf.DUMMYFUNCTION("""COMPUTED_VALUE"""),20.0)</f>
        <v>20</v>
      </c>
      <c r="H1243" s="77">
        <f>IFERROR(__xludf.DUMMYFUNCTION("""COMPUTED_VALUE"""),21.0)</f>
        <v>21</v>
      </c>
      <c r="I1243" s="77">
        <f>IFERROR(__xludf.DUMMYFUNCTION("""COMPUTED_VALUE"""),100.0)</f>
        <v>100</v>
      </c>
      <c r="J1243" s="73"/>
      <c r="K1243" s="73"/>
      <c r="L1243" s="73"/>
      <c r="M1243" s="77"/>
      <c r="N1243" s="77">
        <f>IFERROR(__xludf.DUMMYFUNCTION("""COMPUTED_VALUE"""),1.0)</f>
        <v>1</v>
      </c>
      <c r="O1243" s="49"/>
      <c r="P1243" s="49" t="str">
        <f>IFERROR(__xludf.DUMMYFUNCTION("""COMPUTED_VALUE"""),"Offset")</f>
        <v>Offset</v>
      </c>
      <c r="Q1243" s="49" t="str">
        <f>IFERROR(__xludf.DUMMYFUNCTION("""COMPUTED_VALUE"""),"Packaging")</f>
        <v>Packaging</v>
      </c>
      <c r="R1243" s="49" t="str">
        <f>IFERROR(__xludf.DUMMYFUNCTION("""COMPUTED_VALUE"""),"Jwellery")</f>
        <v>Jwellery</v>
      </c>
    </row>
    <row r="1244">
      <c r="A1244" s="156" t="str">
        <f>IFERROR(__xludf.DUMMYFUNCTION("""COMPUTED_VALUE"""),"https://drive.google.com/open?id=1RktzYMGAFP55SVALXVayb6O9v_QAiVdb&amp;authuser=jay.agg%40gmail.com&amp;usp=drive_fs")</f>
        <v>https://drive.google.com/open?id=1RktzYMGAFP55SVALXVayb6O9v_QAiVdb&amp;authuser=jay.agg%40gmail.com&amp;usp=drive_fs</v>
      </c>
      <c r="B1244" s="73" t="str">
        <f>IFERROR(__xludf.DUMMYFUNCTION("""COMPUTED_VALUE"""),"Jwellery")</f>
        <v>Jwellery</v>
      </c>
      <c r="C1244" s="73" t="str">
        <f>IFERROR(__xludf.DUMMYFUNCTION("""COMPUTED_VALUE"""),"Accessories")</f>
        <v>Accessories</v>
      </c>
      <c r="D1244" s="73" t="str">
        <f>IFERROR(__xludf.DUMMYFUNCTION("""COMPUTED_VALUE"""),"Stone 95*17*120 mm ""w 22*22"" ""w 84*54""")</f>
        <v>Stone 95*17*120 mm "w 22*22" "w 84*54"</v>
      </c>
      <c r="E1244" s="77">
        <f>IFERROR(__xludf.DUMMYFUNCTION("""COMPUTED_VALUE"""),6.0)</f>
        <v>6</v>
      </c>
      <c r="F1244" s="77">
        <f>IFERROR(__xludf.DUMMYFUNCTION("""COMPUTED_VALUE"""),1926.0)</f>
        <v>1926</v>
      </c>
      <c r="G1244" s="77">
        <f>IFERROR(__xludf.DUMMYFUNCTION("""COMPUTED_VALUE"""),18.0)</f>
        <v>18</v>
      </c>
      <c r="H1244" s="77">
        <f>IFERROR(__xludf.DUMMYFUNCTION("""COMPUTED_VALUE"""),23.0)</f>
        <v>23</v>
      </c>
      <c r="I1244" s="77">
        <f>IFERROR(__xludf.DUMMYFUNCTION("""COMPUTED_VALUE"""),100.0)</f>
        <v>100</v>
      </c>
      <c r="J1244" s="73"/>
      <c r="K1244" s="73">
        <f>IFERROR(__xludf.DUMMYFUNCTION("""COMPUTED_VALUE"""),0.7)</f>
        <v>0.7</v>
      </c>
      <c r="L1244" s="73">
        <f>IFERROR(__xludf.DUMMYFUNCTION("""COMPUTED_VALUE"""),3.1)</f>
        <v>3.1</v>
      </c>
      <c r="M1244" s="77">
        <f>IFERROR(__xludf.DUMMYFUNCTION("""COMPUTED_VALUE"""),0.1)</f>
        <v>0.1</v>
      </c>
      <c r="N1244" s="77">
        <f>IFERROR(__xludf.DUMMYFUNCTION("""COMPUTED_VALUE"""),1.0)</f>
        <v>1</v>
      </c>
      <c r="O1244" s="49"/>
      <c r="P1244" s="49" t="str">
        <f>IFERROR(__xludf.DUMMYFUNCTION("""COMPUTED_VALUE"""),"Offset")</f>
        <v>Offset</v>
      </c>
      <c r="Q1244" s="49" t="str">
        <f>IFERROR(__xludf.DUMMYFUNCTION("""COMPUTED_VALUE"""),"Packaging")</f>
        <v>Packaging</v>
      </c>
      <c r="R1244" s="49" t="str">
        <f>IFERROR(__xludf.DUMMYFUNCTION("""COMPUTED_VALUE"""),"Jwellery")</f>
        <v>Jwellery</v>
      </c>
    </row>
    <row r="1245">
      <c r="A1245" s="156" t="str">
        <f>IFERROR(__xludf.DUMMYFUNCTION("""COMPUTED_VALUE"""),"https://drive.google.com/open?id=1RsIG-rgth_gAsuwcltszIL0lkmMPMbfl&amp;authuser=jay.agg%40gmail.com&amp;usp=drive_fs")</f>
        <v>https://drive.google.com/open?id=1RsIG-rgth_gAsuwcltszIL0lkmMPMbfl&amp;authuser=jay.agg%40gmail.com&amp;usp=drive_fs</v>
      </c>
      <c r="B1245" s="73" t="str">
        <f>IFERROR(__xludf.DUMMYFUNCTION("""COMPUTED_VALUE"""),"Jwellery")</f>
        <v>Jwellery</v>
      </c>
      <c r="C1245" s="73" t="str">
        <f>IFERROR(__xludf.DUMMYFUNCTION("""COMPUTED_VALUE"""),"Accessories")</f>
        <v>Accessories</v>
      </c>
      <c r="D1245" s="73" t="str">
        <f>IFERROR(__xludf.DUMMYFUNCTION("""COMPUTED_VALUE"""),"Tray 95*17*120 mm")</f>
        <v>Tray 95*17*120 mm</v>
      </c>
      <c r="E1245" s="77">
        <f>IFERROR(__xludf.DUMMYFUNCTION("""COMPUTED_VALUE"""),10.0)</f>
        <v>10</v>
      </c>
      <c r="F1245" s="77">
        <f>IFERROR(__xludf.DUMMYFUNCTION("""COMPUTED_VALUE"""),1926.0)</f>
        <v>1926</v>
      </c>
      <c r="G1245" s="77">
        <f>IFERROR(__xludf.DUMMYFUNCTION("""COMPUTED_VALUE"""),18.0)</f>
        <v>18</v>
      </c>
      <c r="H1245" s="77">
        <f>IFERROR(__xludf.DUMMYFUNCTION("""COMPUTED_VALUE"""),25.0)</f>
        <v>25</v>
      </c>
      <c r="I1245" s="77">
        <f>IFERROR(__xludf.DUMMYFUNCTION("""COMPUTED_VALUE"""),100.0)</f>
        <v>100</v>
      </c>
      <c r="J1245" s="73"/>
      <c r="K1245" s="73"/>
      <c r="L1245" s="73"/>
      <c r="M1245" s="77">
        <f>IFERROR(__xludf.DUMMYFUNCTION("""COMPUTED_VALUE"""),0.1)</f>
        <v>0.1</v>
      </c>
      <c r="N1245" s="77">
        <f>IFERROR(__xludf.DUMMYFUNCTION("""COMPUTED_VALUE"""),1.0)</f>
        <v>1</v>
      </c>
      <c r="O1245" s="49"/>
      <c r="P1245" s="49" t="str">
        <f>IFERROR(__xludf.DUMMYFUNCTION("""COMPUTED_VALUE"""),"Offset")</f>
        <v>Offset</v>
      </c>
      <c r="Q1245" s="49" t="str">
        <f>IFERROR(__xludf.DUMMYFUNCTION("""COMPUTED_VALUE"""),"Packaging")</f>
        <v>Packaging</v>
      </c>
      <c r="R1245" s="49" t="str">
        <f>IFERROR(__xludf.DUMMYFUNCTION("""COMPUTED_VALUE"""),"Jwellery")</f>
        <v>Jwellery</v>
      </c>
    </row>
    <row r="1246">
      <c r="A1246" s="156" t="str">
        <f>IFERROR(__xludf.DUMMYFUNCTION("""COMPUTED_VALUE"""),"https://drive.google.com/open?id=1zcmatLRnsQIbVDaPIHG487WBXVNufEy0&amp;authuser=jay.agg%40gmail.com&amp;usp=drive_fs")</f>
        <v>https://drive.google.com/open?id=1zcmatLRnsQIbVDaPIHG487WBXVNufEy0&amp;authuser=jay.agg%40gmail.com&amp;usp=drive_fs</v>
      </c>
      <c r="B1246" s="73" t="str">
        <f>IFERROR(__xludf.DUMMYFUNCTION("""COMPUTED_VALUE"""),"Jwellery")</f>
        <v>Jwellery</v>
      </c>
      <c r="C1246" s="73" t="str">
        <f>IFERROR(__xludf.DUMMYFUNCTION("""COMPUTED_VALUE"""),"Accessories")</f>
        <v>Accessories</v>
      </c>
      <c r="D1246" s="73" t="str">
        <f>IFERROR(__xludf.DUMMYFUNCTION("""COMPUTED_VALUE"""),"100*100*40 mm")</f>
        <v>100*100*40 mm</v>
      </c>
      <c r="E1246" s="77">
        <f>IFERROR(__xludf.DUMMYFUNCTION("""COMPUTED_VALUE"""),8.0)</f>
        <v>8</v>
      </c>
      <c r="F1246" s="77">
        <f>IFERROR(__xludf.DUMMYFUNCTION("""COMPUTED_VALUE"""),1926.0)</f>
        <v>1926</v>
      </c>
      <c r="G1246" s="77">
        <f>IFERROR(__xludf.DUMMYFUNCTION("""COMPUTED_VALUE"""),18.0)</f>
        <v>18</v>
      </c>
      <c r="H1246" s="77">
        <f>IFERROR(__xludf.DUMMYFUNCTION("""COMPUTED_VALUE"""),23.0)</f>
        <v>23</v>
      </c>
      <c r="I1246" s="77">
        <f>IFERROR(__xludf.DUMMYFUNCTION("""COMPUTED_VALUE"""),100.0)</f>
        <v>100</v>
      </c>
      <c r="J1246" s="73"/>
      <c r="K1246" s="73"/>
      <c r="L1246" s="73"/>
      <c r="M1246" s="77">
        <f>IFERROR(__xludf.DUMMYFUNCTION("""COMPUTED_VALUE"""),0.1)</f>
        <v>0.1</v>
      </c>
      <c r="N1246" s="77">
        <f>IFERROR(__xludf.DUMMYFUNCTION("""COMPUTED_VALUE"""),1.0)</f>
        <v>1</v>
      </c>
      <c r="O1246" s="49"/>
      <c r="P1246" s="49" t="str">
        <f>IFERROR(__xludf.DUMMYFUNCTION("""COMPUTED_VALUE"""),"Offset")</f>
        <v>Offset</v>
      </c>
      <c r="Q1246" s="49" t="str">
        <f>IFERROR(__xludf.DUMMYFUNCTION("""COMPUTED_VALUE"""),"Packaging")</f>
        <v>Packaging</v>
      </c>
      <c r="R1246" s="49" t="str">
        <f>IFERROR(__xludf.DUMMYFUNCTION("""COMPUTED_VALUE"""),"Jwellery")</f>
        <v>Jwellery</v>
      </c>
    </row>
    <row r="1247">
      <c r="A1247" s="156" t="str">
        <f>IFERROR(__xludf.DUMMYFUNCTION("""COMPUTED_VALUE"""),"https://drive.google.com/open?id=1zeifprY3cnO3DCX5_aXQVHZc51nhIm6s&amp;authuser=jay.agg%40gmail.com&amp;usp=drive_fs")</f>
        <v>https://drive.google.com/open?id=1zeifprY3cnO3DCX5_aXQVHZc51nhIm6s&amp;authuser=jay.agg%40gmail.com&amp;usp=drive_fs</v>
      </c>
      <c r="B1247" s="73" t="str">
        <f>IFERROR(__xludf.DUMMYFUNCTION("""COMPUTED_VALUE"""),"Jwellery")</f>
        <v>Jwellery</v>
      </c>
      <c r="C1247" s="73" t="str">
        <f>IFERROR(__xludf.DUMMYFUNCTION("""COMPUTED_VALUE"""),"Accessories")</f>
        <v>Accessories</v>
      </c>
      <c r="D1247" s="73" t="str">
        <f>IFERROR(__xludf.DUMMYFUNCTION("""COMPUTED_VALUE"""),"100*100*40 mm Tray")</f>
        <v>100*100*40 mm Tray</v>
      </c>
      <c r="E1247" s="77">
        <f>IFERROR(__xludf.DUMMYFUNCTION("""COMPUTED_VALUE"""),2.0)</f>
        <v>2</v>
      </c>
      <c r="F1247" s="77">
        <f>IFERROR(__xludf.DUMMYFUNCTION("""COMPUTED_VALUE"""),1926.0)</f>
        <v>1926</v>
      </c>
      <c r="G1247" s="77">
        <f>IFERROR(__xludf.DUMMYFUNCTION("""COMPUTED_VALUE"""),12.0)</f>
        <v>12</v>
      </c>
      <c r="H1247" s="77">
        <f>IFERROR(__xludf.DUMMYFUNCTION("""COMPUTED_VALUE"""),23.0)</f>
        <v>23</v>
      </c>
      <c r="I1247" s="77">
        <f>IFERROR(__xludf.DUMMYFUNCTION("""COMPUTED_VALUE"""),100.0)</f>
        <v>100</v>
      </c>
      <c r="J1247" s="73"/>
      <c r="K1247" s="73"/>
      <c r="L1247" s="73"/>
      <c r="M1247" s="77">
        <f>IFERROR(__xludf.DUMMYFUNCTION("""COMPUTED_VALUE"""),0.25)</f>
        <v>0.25</v>
      </c>
      <c r="N1247" s="77">
        <f>IFERROR(__xludf.DUMMYFUNCTION("""COMPUTED_VALUE"""),1.0)</f>
        <v>1</v>
      </c>
      <c r="O1247" s="49"/>
      <c r="P1247" s="49" t="str">
        <f>IFERROR(__xludf.DUMMYFUNCTION("""COMPUTED_VALUE"""),"Offset")</f>
        <v>Offset</v>
      </c>
      <c r="Q1247" s="49" t="str">
        <f>IFERROR(__xludf.DUMMYFUNCTION("""COMPUTED_VALUE"""),"Packaging")</f>
        <v>Packaging</v>
      </c>
      <c r="R1247" s="49" t="str">
        <f>IFERROR(__xludf.DUMMYFUNCTION("""COMPUTED_VALUE"""),"Jwellery")</f>
        <v>Jwellery</v>
      </c>
    </row>
    <row r="1248">
      <c r="A1248" s="156" t="str">
        <f>IFERROR(__xludf.DUMMYFUNCTION("""COMPUTED_VALUE"""),"https://drive.google.com/open?id=1-pAmYkxEtoOgcKUcPdd87nHSZw08o-1i&amp;usp=drive_fs")</f>
        <v>https://drive.google.com/open?id=1-pAmYkxEtoOgcKUcPdd87nHSZw08o-1i&amp;usp=drive_fs</v>
      </c>
      <c r="B1248" s="73" t="str">
        <f>IFERROR(__xludf.DUMMYFUNCTION("""COMPUTED_VALUE"""),"Everstylish")</f>
        <v>Everstylish</v>
      </c>
      <c r="C1248" s="73" t="str">
        <f>IFERROR(__xludf.DUMMYFUNCTION("""COMPUTED_VALUE"""),"Accessories")</f>
        <v>Accessories</v>
      </c>
      <c r="D1248" s="73" t="str">
        <f>IFERROR(__xludf.DUMMYFUNCTION("""COMPUTED_VALUE"""),"95*115*25 mm | 3.7*4.5*1 inch Leaf No Border")</f>
        <v>95*115*25 mm | 3.7*4.5*1 inch Leaf No Border</v>
      </c>
      <c r="E1248" s="77">
        <f>IFERROR(__xludf.DUMMYFUNCTION("""COMPUTED_VALUE"""),16.0)</f>
        <v>16</v>
      </c>
      <c r="F1248" s="77">
        <f>IFERROR(__xludf.DUMMYFUNCTION("""COMPUTED_VALUE"""),1926.0)</f>
        <v>1926</v>
      </c>
      <c r="G1248" s="77">
        <f>IFERROR(__xludf.DUMMYFUNCTION("""COMPUTED_VALUE"""),15.75)</f>
        <v>15.75</v>
      </c>
      <c r="H1248" s="77">
        <f>IFERROR(__xludf.DUMMYFUNCTION("""COMPUTED_VALUE"""),20.75)</f>
        <v>20.75</v>
      </c>
      <c r="I1248" s="77">
        <f>IFERROR(__xludf.DUMMYFUNCTION("""COMPUTED_VALUE"""),100.0)</f>
        <v>100</v>
      </c>
      <c r="J1248" s="73"/>
      <c r="K1248" s="73"/>
      <c r="L1248" s="73"/>
      <c r="M1248" s="77"/>
      <c r="N1248" s="77">
        <f>IFERROR(__xludf.DUMMYFUNCTION("""COMPUTED_VALUE"""),1.0)</f>
        <v>1</v>
      </c>
      <c r="O1248" s="49"/>
      <c r="P1248" s="49" t="str">
        <f>IFERROR(__xludf.DUMMYFUNCTION("""COMPUTED_VALUE"""),"Offset")</f>
        <v>Offset</v>
      </c>
      <c r="Q1248" s="49" t="str">
        <f>IFERROR(__xludf.DUMMYFUNCTION("""COMPUTED_VALUE"""),"Packaging")</f>
        <v>Packaging</v>
      </c>
      <c r="R1248" s="49" t="str">
        <f>IFERROR(__xludf.DUMMYFUNCTION("""COMPUTED_VALUE"""),"Everstylish")</f>
        <v>Everstylish</v>
      </c>
    </row>
    <row r="1249">
      <c r="A1249" s="156" t="str">
        <f>IFERROR(__xludf.DUMMYFUNCTION("""COMPUTED_VALUE"""),"https://drive.google.com/open?id=1-l6730m73Ogl-R8tplJ7-v0iQCZRddmg&amp;usp=drive_fs")</f>
        <v>https://drive.google.com/open?id=1-l6730m73Ogl-R8tplJ7-v0iQCZRddmg&amp;usp=drive_fs</v>
      </c>
      <c r="B1249" s="73" t="str">
        <f>IFERROR(__xludf.DUMMYFUNCTION("""COMPUTED_VALUE"""),"Everstylish")</f>
        <v>Everstylish</v>
      </c>
      <c r="C1249" s="73" t="str">
        <f>IFERROR(__xludf.DUMMYFUNCTION("""COMPUTED_VALUE"""),"Accessories")</f>
        <v>Accessories</v>
      </c>
      <c r="D1249" s="73" t="str">
        <f>IFERROR(__xludf.DUMMYFUNCTION("""COMPUTED_VALUE"""),"95*115*25 mm | 3.7*4.5*1 inch")</f>
        <v>95*115*25 mm | 3.7*4.5*1 inch</v>
      </c>
      <c r="E1249" s="77">
        <f>IFERROR(__xludf.DUMMYFUNCTION("""COMPUTED_VALUE"""),3.0)</f>
        <v>3</v>
      </c>
      <c r="F1249" s="77">
        <f>IFERROR(__xludf.DUMMYFUNCTION("""COMPUTED_VALUE"""),1926.0)</f>
        <v>1926</v>
      </c>
      <c r="G1249" s="77">
        <f>IFERROR(__xludf.DUMMYFUNCTION("""COMPUTED_VALUE"""),14.0)</f>
        <v>14</v>
      </c>
      <c r="H1249" s="77">
        <f>IFERROR(__xludf.DUMMYFUNCTION("""COMPUTED_VALUE"""),22.0)</f>
        <v>22</v>
      </c>
      <c r="I1249" s="77">
        <f>IFERROR(__xludf.DUMMYFUNCTION("""COMPUTED_VALUE"""),100.0)</f>
        <v>100</v>
      </c>
      <c r="J1249" s="73"/>
      <c r="K1249" s="73"/>
      <c r="L1249" s="73"/>
      <c r="M1249" s="77"/>
      <c r="N1249" s="77">
        <f>IFERROR(__xludf.DUMMYFUNCTION("""COMPUTED_VALUE"""),1.0)</f>
        <v>1</v>
      </c>
      <c r="O1249" s="49"/>
      <c r="P1249" s="49" t="str">
        <f>IFERROR(__xludf.DUMMYFUNCTION("""COMPUTED_VALUE"""),"Offset")</f>
        <v>Offset</v>
      </c>
      <c r="Q1249" s="49" t="str">
        <f>IFERROR(__xludf.DUMMYFUNCTION("""COMPUTED_VALUE"""),"Packaging")</f>
        <v>Packaging</v>
      </c>
      <c r="R1249" s="49" t="str">
        <f>IFERROR(__xludf.DUMMYFUNCTION("""COMPUTED_VALUE"""),"Everstylish")</f>
        <v>Everstylish</v>
      </c>
    </row>
    <row r="1250">
      <c r="A1250" s="156" t="str">
        <f>IFERROR(__xludf.DUMMYFUNCTION("""COMPUTED_VALUE"""),"https://drive.google.com/open?id=1-pAmYkxEtoOgcKUcPdd87nHSZw08o-1i&amp;usp=drive_fs")</f>
        <v>https://drive.google.com/open?id=1-pAmYkxEtoOgcKUcPdd87nHSZw08o-1i&amp;usp=drive_fs</v>
      </c>
      <c r="B1250" s="73" t="str">
        <f>IFERROR(__xludf.DUMMYFUNCTION("""COMPUTED_VALUE"""),"Everstylish")</f>
        <v>Everstylish</v>
      </c>
      <c r="C1250" s="73" t="str">
        <f>IFERROR(__xludf.DUMMYFUNCTION("""COMPUTED_VALUE"""),"Accessories")</f>
        <v>Accessories</v>
      </c>
      <c r="D1250" s="73" t="str">
        <f>IFERROR(__xludf.DUMMYFUNCTION("""COMPUTED_VALUE"""),"95*115*15 mm | 3.7*4.5*0.6 inch Leaf")</f>
        <v>95*115*15 mm | 3.7*4.5*0.6 inch Leaf</v>
      </c>
      <c r="E1250" s="77">
        <f>IFERROR(__xludf.DUMMYFUNCTION("""COMPUTED_VALUE"""),12.0)</f>
        <v>12</v>
      </c>
      <c r="F1250" s="77">
        <f>IFERROR(__xludf.DUMMYFUNCTION("""COMPUTED_VALUE"""),1926.0)</f>
        <v>1926</v>
      </c>
      <c r="G1250" s="77">
        <f>IFERROR(__xludf.DUMMYFUNCTION("""COMPUTED_VALUE"""),18.0)</f>
        <v>18</v>
      </c>
      <c r="H1250" s="77">
        <f>IFERROR(__xludf.DUMMYFUNCTION("""COMPUTED_VALUE"""),23.0)</f>
        <v>23</v>
      </c>
      <c r="I1250" s="77">
        <f>IFERROR(__xludf.DUMMYFUNCTION("""COMPUTED_VALUE"""),100.0)</f>
        <v>100</v>
      </c>
      <c r="J1250" s="73"/>
      <c r="K1250" s="73"/>
      <c r="L1250" s="73"/>
      <c r="M1250" s="77"/>
      <c r="N1250" s="77">
        <f>IFERROR(__xludf.DUMMYFUNCTION("""COMPUTED_VALUE"""),1.0)</f>
        <v>1</v>
      </c>
      <c r="O1250" s="49"/>
      <c r="P1250" s="49" t="str">
        <f>IFERROR(__xludf.DUMMYFUNCTION("""COMPUTED_VALUE"""),"Offset")</f>
        <v>Offset</v>
      </c>
      <c r="Q1250" s="49" t="str">
        <f>IFERROR(__xludf.DUMMYFUNCTION("""COMPUTED_VALUE"""),"Packaging")</f>
        <v>Packaging</v>
      </c>
      <c r="R1250" s="49" t="str">
        <f>IFERROR(__xludf.DUMMYFUNCTION("""COMPUTED_VALUE"""),"Everstylish")</f>
        <v>Everstylish</v>
      </c>
    </row>
    <row r="1251">
      <c r="A1251" s="156" t="str">
        <f>IFERROR(__xludf.DUMMYFUNCTION("""COMPUTED_VALUE"""),"https://drive.google.com/open?id=19-K-9pdzMvviTiUJ5HKn-tTqyQFsWTyL&amp;usp=drive_fs")</f>
        <v>https://drive.google.com/open?id=19-K-9pdzMvviTiUJ5HKn-tTqyQFsWTyL&amp;usp=drive_fs</v>
      </c>
      <c r="B1251" s="73" t="str">
        <f>IFERROR(__xludf.DUMMYFUNCTION("""COMPUTED_VALUE"""),"Everstylish")</f>
        <v>Everstylish</v>
      </c>
      <c r="C1251" s="73" t="str">
        <f>IFERROR(__xludf.DUMMYFUNCTION("""COMPUTED_VALUE"""),"Accessories")</f>
        <v>Accessories</v>
      </c>
      <c r="D1251" s="73" t="str">
        <f>IFERROR(__xludf.DUMMYFUNCTION("""COMPUTED_VALUE"""),"76*76*20 mm | 3*3*0.8 inch")</f>
        <v>76*76*20 mm | 3*3*0.8 inch</v>
      </c>
      <c r="E1251" s="77">
        <f>IFERROR(__xludf.DUMMYFUNCTION("""COMPUTED_VALUE"""),6.0)</f>
        <v>6</v>
      </c>
      <c r="F1251" s="77">
        <f>IFERROR(__xludf.DUMMYFUNCTION("""COMPUTED_VALUE"""),1926.0)</f>
        <v>1926</v>
      </c>
      <c r="G1251" s="77">
        <f>IFERROR(__xludf.DUMMYFUNCTION("""COMPUTED_VALUE"""),18.0)</f>
        <v>18</v>
      </c>
      <c r="H1251" s="77">
        <f>IFERROR(__xludf.DUMMYFUNCTION("""COMPUTED_VALUE"""),23.0)</f>
        <v>23</v>
      </c>
      <c r="I1251" s="77">
        <f>IFERROR(__xludf.DUMMYFUNCTION("""COMPUTED_VALUE"""),100.0)</f>
        <v>100</v>
      </c>
      <c r="J1251" s="73"/>
      <c r="K1251" s="73"/>
      <c r="L1251" s="73"/>
      <c r="M1251" s="77"/>
      <c r="N1251" s="77">
        <f>IFERROR(__xludf.DUMMYFUNCTION("""COMPUTED_VALUE"""),1.0)</f>
        <v>1</v>
      </c>
      <c r="O1251" s="49"/>
      <c r="P1251" s="49" t="str">
        <f>IFERROR(__xludf.DUMMYFUNCTION("""COMPUTED_VALUE"""),"Offset")</f>
        <v>Offset</v>
      </c>
      <c r="Q1251" s="49" t="str">
        <f>IFERROR(__xludf.DUMMYFUNCTION("""COMPUTED_VALUE"""),"Packaging")</f>
        <v>Packaging</v>
      </c>
      <c r="R1251" s="49" t="str">
        <f>IFERROR(__xludf.DUMMYFUNCTION("""COMPUTED_VALUE"""),"Everstylish")</f>
        <v>Everstylish</v>
      </c>
    </row>
    <row r="1252">
      <c r="A1252" s="156" t="str">
        <f>IFERROR(__xludf.DUMMYFUNCTION("""COMPUTED_VALUE"""),"https://drive.google.com/open?id=1BpV6DlCK3aKv1D19vchav_jnQDPt_Xfv&amp;usp=drive_fs")</f>
        <v>https://drive.google.com/open?id=1BpV6DlCK3aKv1D19vchav_jnQDPt_Xfv&amp;usp=drive_fs</v>
      </c>
      <c r="B1252" s="73" t="str">
        <f>IFERROR(__xludf.DUMMYFUNCTION("""COMPUTED_VALUE"""),"Everstylish")</f>
        <v>Everstylish</v>
      </c>
      <c r="C1252" s="73" t="str">
        <f>IFERROR(__xludf.DUMMYFUNCTION("""COMPUTED_VALUE"""),"Accessories")</f>
        <v>Accessories</v>
      </c>
      <c r="D1252" s="73" t="str">
        <f>IFERROR(__xludf.DUMMYFUNCTION("""COMPUTED_VALUE"""),"76*64*20 mm | 3*2.5*0.8 inch")</f>
        <v>76*64*20 mm | 3*2.5*0.8 inch</v>
      </c>
      <c r="E1252" s="77">
        <f>IFERROR(__xludf.DUMMYFUNCTION("""COMPUTED_VALUE"""),9.0)</f>
        <v>9</v>
      </c>
      <c r="F1252" s="77">
        <f>IFERROR(__xludf.DUMMYFUNCTION("""COMPUTED_VALUE"""),1926.0)</f>
        <v>1926</v>
      </c>
      <c r="G1252" s="77">
        <f>IFERROR(__xludf.DUMMYFUNCTION("""COMPUTED_VALUE"""),18.0)</f>
        <v>18</v>
      </c>
      <c r="H1252" s="77">
        <f>IFERROR(__xludf.DUMMYFUNCTION("""COMPUTED_VALUE"""),23.0)</f>
        <v>23</v>
      </c>
      <c r="I1252" s="77">
        <f>IFERROR(__xludf.DUMMYFUNCTION("""COMPUTED_VALUE"""),100.0)</f>
        <v>100</v>
      </c>
      <c r="J1252" s="73"/>
      <c r="K1252" s="73"/>
      <c r="L1252" s="73"/>
      <c r="M1252" s="77"/>
      <c r="N1252" s="77">
        <f>IFERROR(__xludf.DUMMYFUNCTION("""COMPUTED_VALUE"""),1.0)</f>
        <v>1</v>
      </c>
      <c r="O1252" s="49"/>
      <c r="P1252" s="49" t="str">
        <f>IFERROR(__xludf.DUMMYFUNCTION("""COMPUTED_VALUE"""),"Offset")</f>
        <v>Offset</v>
      </c>
      <c r="Q1252" s="49" t="str">
        <f>IFERROR(__xludf.DUMMYFUNCTION("""COMPUTED_VALUE"""),"Packaging")</f>
        <v>Packaging</v>
      </c>
      <c r="R1252" s="49" t="str">
        <f>IFERROR(__xludf.DUMMYFUNCTION("""COMPUTED_VALUE"""),"Everstylish")</f>
        <v>Everstylish</v>
      </c>
    </row>
    <row r="1253">
      <c r="A1253" s="156" t="str">
        <f>IFERROR(__xludf.DUMMYFUNCTION("""COMPUTED_VALUE"""),"https://drive.google.com/open?id=19-K-9pdzMvviTiUJ5HKn-tTqyQFsWTyL&amp;usp=drive_fs")</f>
        <v>https://drive.google.com/open?id=19-K-9pdzMvviTiUJ5HKn-tTqyQFsWTyL&amp;usp=drive_fs</v>
      </c>
      <c r="B1253" s="73" t="str">
        <f>IFERROR(__xludf.DUMMYFUNCTION("""COMPUTED_VALUE"""),"Everstylish")</f>
        <v>Everstylish</v>
      </c>
      <c r="C1253" s="73" t="str">
        <f>IFERROR(__xludf.DUMMYFUNCTION("""COMPUTED_VALUE"""),"Accessories")</f>
        <v>Accessories</v>
      </c>
      <c r="D1253" s="73" t="str">
        <f>IFERROR(__xludf.DUMMYFUNCTION("""COMPUTED_VALUE"""),"76*76*20 mm | 3*3*0.8 inch Leaf")</f>
        <v>76*76*20 mm | 3*3*0.8 inch Leaf</v>
      </c>
      <c r="E1253" s="77">
        <f>IFERROR(__xludf.DUMMYFUNCTION("""COMPUTED_VALUE"""),24.0)</f>
        <v>24</v>
      </c>
      <c r="F1253" s="77">
        <f>IFERROR(__xludf.DUMMYFUNCTION("""COMPUTED_VALUE"""),1926.0)</f>
        <v>1926</v>
      </c>
      <c r="G1253" s="77">
        <f>IFERROR(__xludf.DUMMYFUNCTION("""COMPUTED_VALUE"""),13.0)</f>
        <v>13</v>
      </c>
      <c r="H1253" s="77">
        <f>IFERROR(__xludf.DUMMYFUNCTION("""COMPUTED_VALUE"""),19.0)</f>
        <v>19</v>
      </c>
      <c r="I1253" s="77">
        <f>IFERROR(__xludf.DUMMYFUNCTION("""COMPUTED_VALUE"""),100.0)</f>
        <v>100</v>
      </c>
      <c r="J1253" s="73"/>
      <c r="K1253" s="73"/>
      <c r="L1253" s="73"/>
      <c r="M1253" s="77"/>
      <c r="N1253" s="77">
        <f>IFERROR(__xludf.DUMMYFUNCTION("""COMPUTED_VALUE"""),1.0)</f>
        <v>1</v>
      </c>
      <c r="O1253" s="49"/>
      <c r="P1253" s="49" t="str">
        <f>IFERROR(__xludf.DUMMYFUNCTION("""COMPUTED_VALUE"""),"Offset")</f>
        <v>Offset</v>
      </c>
      <c r="Q1253" s="49" t="str">
        <f>IFERROR(__xludf.DUMMYFUNCTION("""COMPUTED_VALUE"""),"Packaging")</f>
        <v>Packaging</v>
      </c>
      <c r="R1253" s="49" t="str">
        <f>IFERROR(__xludf.DUMMYFUNCTION("""COMPUTED_VALUE"""),"Everstylish")</f>
        <v>Everstylish</v>
      </c>
    </row>
    <row r="1254">
      <c r="A1254" s="156" t="str">
        <f>IFERROR(__xludf.DUMMYFUNCTION("""COMPUTED_VALUE"""),"https://drive.google.com/open?id=1Z-thwm9XkM7GKY05LgBT7222yxyLFG8j&amp;authuser=jay.agg%40gmail.com&amp;usp=drive_fs")</f>
        <v>https://drive.google.com/open?id=1Z-thwm9XkM7GKY05LgBT7222yxyLFG8j&amp;authuser=jay.agg%40gmail.com&amp;usp=drive_fs</v>
      </c>
      <c r="B1254" s="73" t="str">
        <f>IFERROR(__xludf.DUMMYFUNCTION("""COMPUTED_VALUE"""),"Led")</f>
        <v>Led</v>
      </c>
      <c r="C1254" s="73" t="str">
        <f>IFERROR(__xludf.DUMMYFUNCTION("""COMPUTED_VALUE"""),"Led Bulb")</f>
        <v>Led Bulb</v>
      </c>
      <c r="D1254" s="73" t="str">
        <f>IFERROR(__xludf.DUMMYFUNCTION("""COMPUTED_VALUE"""),"55*55*102 | 2.16*2.164 inch IL")</f>
        <v>55*55*102 | 2.16*2.164 inch IL</v>
      </c>
      <c r="E1254" s="77">
        <f>IFERROR(__xludf.DUMMYFUNCTION("""COMPUTED_VALUE"""),6.0)</f>
        <v>6</v>
      </c>
      <c r="F1254" s="77">
        <f>IFERROR(__xludf.DUMMYFUNCTION("""COMPUTED_VALUE"""),1926.0)</f>
        <v>1926</v>
      </c>
      <c r="G1254" s="77">
        <f>IFERROR(__xludf.DUMMYFUNCTION("""COMPUTED_VALUE"""),19.5)</f>
        <v>19.5</v>
      </c>
      <c r="H1254" s="77">
        <f>IFERROR(__xludf.DUMMYFUNCTION("""COMPUTED_VALUE"""),23.0)</f>
        <v>23</v>
      </c>
      <c r="I1254" s="77">
        <f>IFERROR(__xludf.DUMMYFUNCTION("""COMPUTED_VALUE"""),100.0)</f>
        <v>100</v>
      </c>
      <c r="J1254" s="73"/>
      <c r="K1254" s="73"/>
      <c r="L1254" s="73"/>
      <c r="M1254" s="77">
        <f>IFERROR(__xludf.DUMMYFUNCTION("""COMPUTED_VALUE"""),0.06)</f>
        <v>0.06</v>
      </c>
      <c r="N1254" s="77">
        <f>IFERROR(__xludf.DUMMYFUNCTION("""COMPUTED_VALUE"""),1.0)</f>
        <v>1</v>
      </c>
      <c r="O1254" s="49">
        <f>IFERROR(__xludf.DUMMYFUNCTION("""COMPUTED_VALUE"""),10.0)</f>
        <v>10</v>
      </c>
      <c r="P1254" s="49" t="str">
        <f>IFERROR(__xludf.DUMMYFUNCTION("""COMPUTED_VALUE"""),"Offset")</f>
        <v>Offset</v>
      </c>
      <c r="Q1254" s="49" t="str">
        <f>IFERROR(__xludf.DUMMYFUNCTION("""COMPUTED_VALUE"""),"Packaging")</f>
        <v>Packaging</v>
      </c>
      <c r="R1254" s="49" t="str">
        <f>IFERROR(__xludf.DUMMYFUNCTION("""COMPUTED_VALUE"""),"Led")</f>
        <v>Led</v>
      </c>
    </row>
    <row r="1255">
      <c r="A1255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55" s="73" t="str">
        <f>IFERROR(__xludf.DUMMYFUNCTION("""COMPUTED_VALUE"""),"Led")</f>
        <v>Led</v>
      </c>
      <c r="C1255" s="73" t="str">
        <f>IFERROR(__xludf.DUMMYFUNCTION("""COMPUTED_VALUE"""),"Outer 12Pcs")</f>
        <v>Outer 12Pcs</v>
      </c>
      <c r="D1255" s="73" t="str">
        <f>IFERROR(__xludf.DUMMYFUNCTION("""COMPUTED_VALUE"""),"Outer 55*55*102mm")</f>
        <v>Outer 55*55*102mm</v>
      </c>
      <c r="E1255" s="77">
        <f>IFERROR(__xludf.DUMMYFUNCTION("""COMPUTED_VALUE"""),1.0)</f>
        <v>1</v>
      </c>
      <c r="F1255" s="77">
        <f>IFERROR(__xludf.DUMMYFUNCTION("""COMPUTED_VALUE"""),1926.0)</f>
        <v>1926</v>
      </c>
      <c r="G1255" s="77">
        <f>IFERROR(__xludf.DUMMYFUNCTION("""COMPUTED_VALUE"""),18.0)</f>
        <v>18</v>
      </c>
      <c r="H1255" s="77">
        <f>IFERROR(__xludf.DUMMYFUNCTION("""COMPUTED_VALUE"""),19.0)</f>
        <v>19</v>
      </c>
      <c r="I1255" s="77">
        <f>IFERROR(__xludf.DUMMYFUNCTION("""COMPUTED_VALUE"""),100.0)</f>
        <v>100</v>
      </c>
      <c r="J1255" s="73"/>
      <c r="K1255" s="73"/>
      <c r="L1255" s="73"/>
      <c r="M1255" s="77">
        <f>IFERROR(__xludf.DUMMYFUNCTION("""COMPUTED_VALUE"""),0.06)</f>
        <v>0.06</v>
      </c>
      <c r="N1255" s="77">
        <f>IFERROR(__xludf.DUMMYFUNCTION("""COMPUTED_VALUE"""),1.0)</f>
        <v>1</v>
      </c>
      <c r="O1255" s="49"/>
      <c r="P1255" s="49" t="str">
        <f>IFERROR(__xludf.DUMMYFUNCTION("""COMPUTED_VALUE"""),"Offset")</f>
        <v>Offset</v>
      </c>
      <c r="Q1255" s="49" t="str">
        <f>IFERROR(__xludf.DUMMYFUNCTION("""COMPUTED_VALUE"""),"Packaging")</f>
        <v>Packaging</v>
      </c>
      <c r="R1255" s="49" t="str">
        <f>IFERROR(__xludf.DUMMYFUNCTION("""COMPUTED_VALUE"""),"Led")</f>
        <v>Led</v>
      </c>
    </row>
    <row r="1256">
      <c r="A1256" s="156" t="str">
        <f>IFERROR(__xludf.DUMMYFUNCTION("""COMPUTED_VALUE"""),"https://drive.google.com/open?id=1ZUq25Sf77UB1gch5Yh1EJOpDvrpTutcD&amp;authuser=jay.agg%40gmail.com&amp;usp=drive_fs")</f>
        <v>https://drive.google.com/open?id=1ZUq25Sf77UB1gch5Yh1EJOpDvrpTutcD&amp;authuser=jay.agg%40gmail.com&amp;usp=drive_fs</v>
      </c>
      <c r="B1256" s="73" t="str">
        <f>IFERROR(__xludf.DUMMYFUNCTION("""COMPUTED_VALUE"""),"Led")</f>
        <v>Led</v>
      </c>
      <c r="C1256" s="73" t="str">
        <f>IFERROR(__xludf.DUMMYFUNCTION("""COMPUTED_VALUE"""),"Led Bulb")</f>
        <v>Led Bulb</v>
      </c>
      <c r="D1256" s="73" t="str">
        <f>IFERROR(__xludf.DUMMYFUNCTION("""COMPUTED_VALUE"""),"68*68*140 | 2.67*2.67*5.5 inch IL")</f>
        <v>68*68*140 | 2.67*2.67*5.5 inch IL</v>
      </c>
      <c r="E1256" s="77">
        <f>IFERROR(__xludf.DUMMYFUNCTION("""COMPUTED_VALUE"""),4.0)</f>
        <v>4</v>
      </c>
      <c r="F1256" s="77">
        <f>IFERROR(__xludf.DUMMYFUNCTION("""COMPUTED_VALUE"""),1926.0)</f>
        <v>1926</v>
      </c>
      <c r="G1256" s="77">
        <f>IFERROR(__xludf.DUMMYFUNCTION("""COMPUTED_VALUE"""),19.5)</f>
        <v>19.5</v>
      </c>
      <c r="H1256" s="77">
        <f>IFERROR(__xludf.DUMMYFUNCTION("""COMPUTED_VALUE"""),23.0)</f>
        <v>23</v>
      </c>
      <c r="I1256" s="77">
        <f>IFERROR(__xludf.DUMMYFUNCTION("""COMPUTED_VALUE"""),100.0)</f>
        <v>100</v>
      </c>
      <c r="J1256" s="73"/>
      <c r="K1256" s="73"/>
      <c r="L1256" s="73"/>
      <c r="M1256" s="77">
        <f>IFERROR(__xludf.DUMMYFUNCTION("""COMPUTED_VALUE"""),0.06)</f>
        <v>0.06</v>
      </c>
      <c r="N1256" s="77">
        <f>IFERROR(__xludf.DUMMYFUNCTION("""COMPUTED_VALUE"""),1.0)</f>
        <v>1</v>
      </c>
      <c r="O1256" s="49"/>
      <c r="P1256" s="49" t="str">
        <f>IFERROR(__xludf.DUMMYFUNCTION("""COMPUTED_VALUE"""),"Offset")</f>
        <v>Offset</v>
      </c>
      <c r="Q1256" s="49" t="str">
        <f>IFERROR(__xludf.DUMMYFUNCTION("""COMPUTED_VALUE"""),"Packaging")</f>
        <v>Packaging</v>
      </c>
      <c r="R1256" s="49" t="str">
        <f>IFERROR(__xludf.DUMMYFUNCTION("""COMPUTED_VALUE"""),"Led")</f>
        <v>Led</v>
      </c>
    </row>
    <row r="1257">
      <c r="A1257" s="156" t="str">
        <f>IFERROR(__xludf.DUMMYFUNCTION("""COMPUTED_VALUE"""),"https://drive.google.com/open?id=1Yvj8znXzt8543TGAMVrTY-vuVosjRZ2M&amp;authuser=jay.agg%40gmail.com&amp;usp=drive_fs")</f>
        <v>https://drive.google.com/open?id=1Yvj8znXzt8543TGAMVrTY-vuVosjRZ2M&amp;authuser=jay.agg%40gmail.com&amp;usp=drive_fs</v>
      </c>
      <c r="B1257" s="73" t="str">
        <f>IFERROR(__xludf.DUMMYFUNCTION("""COMPUTED_VALUE"""),"Led")</f>
        <v>Led</v>
      </c>
      <c r="C1257" s="73" t="str">
        <f>IFERROR(__xludf.DUMMYFUNCTION("""COMPUTED_VALUE"""),"Led Bulb")</f>
        <v>Led Bulb</v>
      </c>
      <c r="D1257" s="73" t="str">
        <f>IFERROR(__xludf.DUMMYFUNCTION("""COMPUTED_VALUE"""),"45*45*72 | 1.8*1.8*2.8 inch")</f>
        <v>45*45*72 | 1.8*1.8*2.8 inch</v>
      </c>
      <c r="E1257" s="77">
        <f>IFERROR(__xludf.DUMMYFUNCTION("""COMPUTED_VALUE"""),8.0)</f>
        <v>8</v>
      </c>
      <c r="F1257" s="77">
        <f>IFERROR(__xludf.DUMMYFUNCTION("""COMPUTED_VALUE"""),1926.0)</f>
        <v>1926</v>
      </c>
      <c r="G1257" s="77">
        <f>IFERROR(__xludf.DUMMYFUNCTION("""COMPUTED_VALUE"""),18.0)</f>
        <v>18</v>
      </c>
      <c r="H1257" s="77">
        <f>IFERROR(__xludf.DUMMYFUNCTION("""COMPUTED_VALUE"""),23.0)</f>
        <v>23</v>
      </c>
      <c r="I1257" s="77">
        <f>IFERROR(__xludf.DUMMYFUNCTION("""COMPUTED_VALUE"""),100.0)</f>
        <v>100</v>
      </c>
      <c r="J1257" s="73"/>
      <c r="K1257" s="73"/>
      <c r="L1257" s="73"/>
      <c r="M1257" s="77">
        <f>IFERROR(__xludf.DUMMYFUNCTION("""COMPUTED_VALUE"""),0.06)</f>
        <v>0.06</v>
      </c>
      <c r="N1257" s="77">
        <f>IFERROR(__xludf.DUMMYFUNCTION("""COMPUTED_VALUE"""),1.0)</f>
        <v>1</v>
      </c>
      <c r="O1257" s="49"/>
      <c r="P1257" s="49" t="str">
        <f>IFERROR(__xludf.DUMMYFUNCTION("""COMPUTED_VALUE"""),"Offset")</f>
        <v>Offset</v>
      </c>
      <c r="Q1257" s="49" t="str">
        <f>IFERROR(__xludf.DUMMYFUNCTION("""COMPUTED_VALUE"""),"Packaging")</f>
        <v>Packaging</v>
      </c>
      <c r="R1257" s="49" t="str">
        <f>IFERROR(__xludf.DUMMYFUNCTION("""COMPUTED_VALUE"""),"Led")</f>
        <v>Led</v>
      </c>
    </row>
    <row r="1258">
      <c r="A1258" s="156" t="str">
        <f>IFERROR(__xludf.DUMMYFUNCTION("""COMPUTED_VALUE"""),"https://drive.google.com/open?id=1irJ57BIzMH4zSkzj-o5_6-uV3tP5g6Qb&amp;authuser=jay.agg%40gmail.com&amp;usp=drive_fs")</f>
        <v>https://drive.google.com/open?id=1irJ57BIzMH4zSkzj-o5_6-uV3tP5g6Qb&amp;authuser=jay.agg%40gmail.com&amp;usp=drive_fs</v>
      </c>
      <c r="B1258" s="73" t="str">
        <f>IFERROR(__xludf.DUMMYFUNCTION("""COMPUTED_VALUE"""),"Led")</f>
        <v>Led</v>
      </c>
      <c r="C1258" s="73" t="str">
        <f>IFERROR(__xludf.DUMMYFUNCTION("""COMPUTED_VALUE"""),"Spot Light")</f>
        <v>Spot Light</v>
      </c>
      <c r="D1258" s="73" t="str">
        <f>IFERROR(__xludf.DUMMYFUNCTION("""COMPUTED_VALUE"""),"50*50*40 mm IL")</f>
        <v>50*50*40 mm IL</v>
      </c>
      <c r="E1258" s="77">
        <f>IFERROR(__xludf.DUMMYFUNCTION("""COMPUTED_VALUE"""),12.0)</f>
        <v>12</v>
      </c>
      <c r="F1258" s="77">
        <f>IFERROR(__xludf.DUMMYFUNCTION("""COMPUTED_VALUE"""),1926.0)</f>
        <v>1926</v>
      </c>
      <c r="G1258" s="77">
        <f>IFERROR(__xludf.DUMMYFUNCTION("""COMPUTED_VALUE"""),19.0)</f>
        <v>19</v>
      </c>
      <c r="H1258" s="77">
        <f>IFERROR(__xludf.DUMMYFUNCTION("""COMPUTED_VALUE"""),26.0)</f>
        <v>26</v>
      </c>
      <c r="I1258" s="77">
        <f>IFERROR(__xludf.DUMMYFUNCTION("""COMPUTED_VALUE"""),100.0)</f>
        <v>100</v>
      </c>
      <c r="J1258" s="73"/>
      <c r="K1258" s="73"/>
      <c r="L1258" s="73"/>
      <c r="M1258" s="77">
        <f>IFERROR(__xludf.DUMMYFUNCTION("""COMPUTED_VALUE"""),0.06)</f>
        <v>0.06</v>
      </c>
      <c r="N1258" s="77">
        <f>IFERROR(__xludf.DUMMYFUNCTION("""COMPUTED_VALUE"""),1.0)</f>
        <v>1</v>
      </c>
      <c r="O1258" s="49"/>
      <c r="P1258" s="49" t="str">
        <f>IFERROR(__xludf.DUMMYFUNCTION("""COMPUTED_VALUE"""),"Offset")</f>
        <v>Offset</v>
      </c>
      <c r="Q1258" s="49" t="str">
        <f>IFERROR(__xludf.DUMMYFUNCTION("""COMPUTED_VALUE"""),"Packaging")</f>
        <v>Packaging</v>
      </c>
      <c r="R1258" s="49" t="str">
        <f>IFERROR(__xludf.DUMMYFUNCTION("""COMPUTED_VALUE"""),"Led")</f>
        <v>Led</v>
      </c>
    </row>
    <row r="1259">
      <c r="A1259" s="156" t="str">
        <f>IFERROR(__xludf.DUMMYFUNCTION("""COMPUTED_VALUE"""),"https://drive.google.com/open?id=1Zy1ErltPTUHMw07xPSmsxXAU2lwtwzvG&amp;authuser=jay.agg%40gmail.com&amp;usp=drive_fs")</f>
        <v>https://drive.google.com/open?id=1Zy1ErltPTUHMw07xPSmsxXAU2lwtwzvG&amp;authuser=jay.agg%40gmail.com&amp;usp=drive_fs</v>
      </c>
      <c r="B1259" s="73" t="str">
        <f>IFERROR(__xludf.DUMMYFUNCTION("""COMPUTED_VALUE"""),"Led")</f>
        <v>Led</v>
      </c>
      <c r="C1259" s="73" t="str">
        <f>IFERROR(__xludf.DUMMYFUNCTION("""COMPUTED_VALUE"""),"Led Bulb")</f>
        <v>Led Bulb</v>
      </c>
      <c r="D1259" s="73" t="str">
        <f>IFERROR(__xludf.DUMMYFUNCTION("""COMPUTED_VALUE"""),"80*80*150 mm IL")</f>
        <v>80*80*150 mm IL</v>
      </c>
      <c r="E1259" s="77">
        <f>IFERROR(__xludf.DUMMYFUNCTION("""COMPUTED_VALUE"""),4.0)</f>
        <v>4</v>
      </c>
      <c r="F1259" s="77">
        <f>IFERROR(__xludf.DUMMYFUNCTION("""COMPUTED_VALUE"""),1926.0)</f>
        <v>1926</v>
      </c>
      <c r="G1259" s="77">
        <f>IFERROR(__xludf.DUMMYFUNCTION("""COMPUTED_VALUE"""),22.0)</f>
        <v>22</v>
      </c>
      <c r="H1259" s="77">
        <f>IFERROR(__xludf.DUMMYFUNCTION("""COMPUTED_VALUE"""),28.0)</f>
        <v>28</v>
      </c>
      <c r="I1259" s="77">
        <f>IFERROR(__xludf.DUMMYFUNCTION("""COMPUTED_VALUE"""),100.0)</f>
        <v>100</v>
      </c>
      <c r="J1259" s="73"/>
      <c r="K1259" s="73"/>
      <c r="L1259" s="73"/>
      <c r="M1259" s="77">
        <f>IFERROR(__xludf.DUMMYFUNCTION("""COMPUTED_VALUE"""),0.06)</f>
        <v>0.06</v>
      </c>
      <c r="N1259" s="77">
        <f>IFERROR(__xludf.DUMMYFUNCTION("""COMPUTED_VALUE"""),1.0)</f>
        <v>1</v>
      </c>
      <c r="O1259" s="49"/>
      <c r="P1259" s="49" t="str">
        <f>IFERROR(__xludf.DUMMYFUNCTION("""COMPUTED_VALUE"""),"Offset")</f>
        <v>Offset</v>
      </c>
      <c r="Q1259" s="49" t="str">
        <f>IFERROR(__xludf.DUMMYFUNCTION("""COMPUTED_VALUE"""),"Packaging")</f>
        <v>Packaging</v>
      </c>
      <c r="R1259" s="49" t="str">
        <f>IFERROR(__xludf.DUMMYFUNCTION("""COMPUTED_VALUE"""),"Led")</f>
        <v>Led</v>
      </c>
    </row>
    <row r="1260">
      <c r="A1260" s="156" t="str">
        <f>IFERROR(__xludf.DUMMYFUNCTION("""COMPUTED_VALUE"""),"https://drive.google.com/open?id=1ZyXjherW0rVrZyb7GYJ9saoVfbCMq9Dk&amp;authuser=jay.agg%40gmail.com&amp;usp=drive_fs")</f>
        <v>https://drive.google.com/open?id=1ZyXjherW0rVrZyb7GYJ9saoVfbCMq9Dk&amp;authuser=jay.agg%40gmail.com&amp;usp=drive_fs</v>
      </c>
      <c r="B1260" s="73" t="str">
        <f>IFERROR(__xludf.DUMMYFUNCTION("""COMPUTED_VALUE"""),"Led")</f>
        <v>Led</v>
      </c>
      <c r="C1260" s="73" t="str">
        <f>IFERROR(__xludf.DUMMYFUNCTION("""COMPUTED_VALUE"""),"Led Bulb")</f>
        <v>Led Bulb</v>
      </c>
      <c r="D1260" s="73" t="str">
        <f>IFERROR(__xludf.DUMMYFUNCTION("""COMPUTED_VALUE"""),"70*70*125 mm IL")</f>
        <v>70*70*125 mm IL</v>
      </c>
      <c r="E1260" s="77">
        <f>IFERROR(__xludf.DUMMYFUNCTION("""COMPUTED_VALUE"""),4.0)</f>
        <v>4</v>
      </c>
      <c r="F1260" s="77">
        <f>IFERROR(__xludf.DUMMYFUNCTION("""COMPUTED_VALUE"""),1926.0)</f>
        <v>1926</v>
      </c>
      <c r="G1260" s="77">
        <f>IFERROR(__xludf.DUMMYFUNCTION("""COMPUTED_VALUE"""),19.5)</f>
        <v>19.5</v>
      </c>
      <c r="H1260" s="77">
        <f>IFERROR(__xludf.DUMMYFUNCTION("""COMPUTED_VALUE"""),23.0)</f>
        <v>23</v>
      </c>
      <c r="I1260" s="77">
        <f>IFERROR(__xludf.DUMMYFUNCTION("""COMPUTED_VALUE"""),100.0)</f>
        <v>100</v>
      </c>
      <c r="J1260" s="73"/>
      <c r="K1260" s="73"/>
      <c r="L1260" s="73"/>
      <c r="M1260" s="77">
        <f>IFERROR(__xludf.DUMMYFUNCTION("""COMPUTED_VALUE"""),0.06)</f>
        <v>0.06</v>
      </c>
      <c r="N1260" s="77">
        <f>IFERROR(__xludf.DUMMYFUNCTION("""COMPUTED_VALUE"""),1.0)</f>
        <v>1</v>
      </c>
      <c r="O1260" s="49"/>
      <c r="P1260" s="49" t="str">
        <f>IFERROR(__xludf.DUMMYFUNCTION("""COMPUTED_VALUE"""),"Offset")</f>
        <v>Offset</v>
      </c>
      <c r="Q1260" s="49" t="str">
        <f>IFERROR(__xludf.DUMMYFUNCTION("""COMPUTED_VALUE"""),"Packaging")</f>
        <v>Packaging</v>
      </c>
      <c r="R1260" s="49" t="str">
        <f>IFERROR(__xludf.DUMMYFUNCTION("""COMPUTED_VALUE"""),"Led")</f>
        <v>Led</v>
      </c>
    </row>
    <row r="1261">
      <c r="A1261" s="156" t="str">
        <f>IFERROR(__xludf.DUMMYFUNCTION("""COMPUTED_VALUE"""),"https://drive.google.com/open?id=1ZnGi8lepE6aAv4wEM_zOVZpspVa-it3n&amp;authuser=jay.agg%40gmail.com&amp;usp=drive_fs")</f>
        <v>https://drive.google.com/open?id=1ZnGi8lepE6aAv4wEM_zOVZpspVa-it3n&amp;authuser=jay.agg%40gmail.com&amp;usp=drive_fs</v>
      </c>
      <c r="B1261" s="73" t="str">
        <f>IFERROR(__xludf.DUMMYFUNCTION("""COMPUTED_VALUE"""),"Led")</f>
        <v>Led</v>
      </c>
      <c r="C1261" s="73" t="str">
        <f>IFERROR(__xludf.DUMMYFUNCTION("""COMPUTED_VALUE"""),"Led Bulb")</f>
        <v>Led Bulb</v>
      </c>
      <c r="D1261" s="73" t="str">
        <f>IFERROR(__xludf.DUMMYFUNCTION("""COMPUTED_VALUE"""),"57*57*118 mm IL")</f>
        <v>57*57*118 mm IL</v>
      </c>
      <c r="E1261" s="77">
        <f>IFERROR(__xludf.DUMMYFUNCTION("""COMPUTED_VALUE"""),6.0)</f>
        <v>6</v>
      </c>
      <c r="F1261" s="77">
        <f>IFERROR(__xludf.DUMMYFUNCTION("""COMPUTED_VALUE"""),1926.0)</f>
        <v>1926</v>
      </c>
      <c r="G1261" s="77">
        <f>IFERROR(__xludf.DUMMYFUNCTION("""COMPUTED_VALUE"""),19.0)</f>
        <v>19</v>
      </c>
      <c r="H1261" s="77">
        <f>IFERROR(__xludf.DUMMYFUNCTION("""COMPUTED_VALUE"""),25.0)</f>
        <v>25</v>
      </c>
      <c r="I1261" s="77">
        <f>IFERROR(__xludf.DUMMYFUNCTION("""COMPUTED_VALUE"""),100.0)</f>
        <v>100</v>
      </c>
      <c r="J1261" s="73"/>
      <c r="K1261" s="73"/>
      <c r="L1261" s="73"/>
      <c r="M1261" s="77">
        <f>IFERROR(__xludf.DUMMYFUNCTION("""COMPUTED_VALUE"""),0.06)</f>
        <v>0.06</v>
      </c>
      <c r="N1261" s="77">
        <f>IFERROR(__xludf.DUMMYFUNCTION("""COMPUTED_VALUE"""),1.0)</f>
        <v>1</v>
      </c>
      <c r="O1261" s="49"/>
      <c r="P1261" s="49" t="str">
        <f>IFERROR(__xludf.DUMMYFUNCTION("""COMPUTED_VALUE"""),"Offset")</f>
        <v>Offset</v>
      </c>
      <c r="Q1261" s="49" t="str">
        <f>IFERROR(__xludf.DUMMYFUNCTION("""COMPUTED_VALUE"""),"Packaging")</f>
        <v>Packaging</v>
      </c>
      <c r="R1261" s="49" t="str">
        <f>IFERROR(__xludf.DUMMYFUNCTION("""COMPUTED_VALUE"""),"Led")</f>
        <v>Led</v>
      </c>
    </row>
    <row r="1262">
      <c r="A1262" s="156" t="str">
        <f>IFERROR(__xludf.DUMMYFUNCTION("""COMPUTED_VALUE"""),"https://drive.google.com/open?id=1Zn1bpozERkvLev3o7E6u6DPsXvkjUvRS&amp;authuser=jay.agg%40gmail.com&amp;usp=drive_fs")</f>
        <v>https://drive.google.com/open?id=1Zn1bpozERkvLev3o7E6u6DPsXvkjUvRS&amp;authuser=jay.agg%40gmail.com&amp;usp=drive_fs</v>
      </c>
      <c r="B1262" s="73" t="str">
        <f>IFERROR(__xludf.DUMMYFUNCTION("""COMPUTED_VALUE"""),"Led")</f>
        <v>Led</v>
      </c>
      <c r="C1262" s="73" t="str">
        <f>IFERROR(__xludf.DUMMYFUNCTION("""COMPUTED_VALUE"""),"Led Bulb")</f>
        <v>Led Bulb</v>
      </c>
      <c r="D1262" s="73" t="str">
        <f>IFERROR(__xludf.DUMMYFUNCTION("""COMPUTED_VALUE"""),"72*72*146 mm IL")</f>
        <v>72*72*146 mm IL</v>
      </c>
      <c r="E1262" s="77">
        <f>IFERROR(__xludf.DUMMYFUNCTION("""COMPUTED_VALUE"""),4.0)</f>
        <v>4</v>
      </c>
      <c r="F1262" s="77">
        <f>IFERROR(__xludf.DUMMYFUNCTION("""COMPUTED_VALUE"""),2029.0)</f>
        <v>2029</v>
      </c>
      <c r="G1262" s="77">
        <f>IFERROR(__xludf.DUMMYFUNCTION("""COMPUTED_VALUE"""),20.0)</f>
        <v>20</v>
      </c>
      <c r="H1262" s="77">
        <f>IFERROR(__xludf.DUMMYFUNCTION("""COMPUTED_VALUE"""),24.0)</f>
        <v>24</v>
      </c>
      <c r="I1262" s="77">
        <f>IFERROR(__xludf.DUMMYFUNCTION("""COMPUTED_VALUE"""),100.0)</f>
        <v>100</v>
      </c>
      <c r="J1262" s="73"/>
      <c r="K1262" s="73"/>
      <c r="L1262" s="73"/>
      <c r="M1262" s="77">
        <f>IFERROR(__xludf.DUMMYFUNCTION("""COMPUTED_VALUE"""),0.06)</f>
        <v>0.06</v>
      </c>
      <c r="N1262" s="77">
        <f>IFERROR(__xludf.DUMMYFUNCTION("""COMPUTED_VALUE"""),1.0)</f>
        <v>1</v>
      </c>
      <c r="O1262" s="49"/>
      <c r="P1262" s="49" t="str">
        <f>IFERROR(__xludf.DUMMYFUNCTION("""COMPUTED_VALUE"""),"Offset")</f>
        <v>Offset</v>
      </c>
      <c r="Q1262" s="49" t="str">
        <f>IFERROR(__xludf.DUMMYFUNCTION("""COMPUTED_VALUE"""),"Packaging")</f>
        <v>Packaging</v>
      </c>
      <c r="R1262" s="49" t="str">
        <f>IFERROR(__xludf.DUMMYFUNCTION("""COMPUTED_VALUE"""),"Led")</f>
        <v>Led</v>
      </c>
    </row>
    <row r="1263">
      <c r="A1263" s="156" t="str">
        <f>IFERROR(__xludf.DUMMYFUNCTION("""COMPUTED_VALUE"""),"https://drive.google.com/open?id=1ioHWFlrGONBsfRf4tggzyzKF5UpjJovt&amp;authuser=jay.agg%40gmail.com&amp;usp=drive_fs")</f>
        <v>https://drive.google.com/open?id=1ioHWFlrGONBsfRf4tggzyzKF5UpjJovt&amp;authuser=jay.agg%40gmail.com&amp;usp=drive_fs</v>
      </c>
      <c r="B1263" s="73" t="str">
        <f>IFERROR(__xludf.DUMMYFUNCTION("""COMPUTED_VALUE"""),"Led")</f>
        <v>Led</v>
      </c>
      <c r="C1263" s="73" t="str">
        <f>IFERROR(__xludf.DUMMYFUNCTION("""COMPUTED_VALUE"""),"Striker")</f>
        <v>Striker</v>
      </c>
      <c r="D1263" s="73" t="str">
        <f>IFERROR(__xludf.DUMMYFUNCTION("""COMPUTED_VALUE"""),"70*70*20 mm")</f>
        <v>70*70*20 mm</v>
      </c>
      <c r="E1263" s="77">
        <f>IFERROR(__xludf.DUMMYFUNCTION("""COMPUTED_VALUE"""),12.0)</f>
        <v>12</v>
      </c>
      <c r="F1263" s="77">
        <f>IFERROR(__xludf.DUMMYFUNCTION("""COMPUTED_VALUE"""),1926.0)</f>
        <v>1926</v>
      </c>
      <c r="G1263" s="77">
        <f>IFERROR(__xludf.DUMMYFUNCTION("""COMPUTED_VALUE"""),18.0)</f>
        <v>18</v>
      </c>
      <c r="H1263" s="77">
        <f>IFERROR(__xludf.DUMMYFUNCTION("""COMPUTED_VALUE"""),23.0)</f>
        <v>23</v>
      </c>
      <c r="I1263" s="77">
        <f>IFERROR(__xludf.DUMMYFUNCTION("""COMPUTED_VALUE"""),100.0)</f>
        <v>100</v>
      </c>
      <c r="J1263" s="73"/>
      <c r="K1263" s="73"/>
      <c r="L1263" s="73"/>
      <c r="M1263" s="77">
        <f>IFERROR(__xludf.DUMMYFUNCTION("""COMPUTED_VALUE"""),0.06)</f>
        <v>0.06</v>
      </c>
      <c r="N1263" s="77">
        <f>IFERROR(__xludf.DUMMYFUNCTION("""COMPUTED_VALUE"""),1.0)</f>
        <v>1</v>
      </c>
      <c r="O1263" s="49"/>
      <c r="P1263" s="49" t="str">
        <f>IFERROR(__xludf.DUMMYFUNCTION("""COMPUTED_VALUE"""),"Offset")</f>
        <v>Offset</v>
      </c>
      <c r="Q1263" s="49" t="str">
        <f>IFERROR(__xludf.DUMMYFUNCTION("""COMPUTED_VALUE"""),"Packaging")</f>
        <v>Packaging</v>
      </c>
      <c r="R1263" s="49" t="str">
        <f>IFERROR(__xludf.DUMMYFUNCTION("""COMPUTED_VALUE"""),"Led")</f>
        <v>Led</v>
      </c>
    </row>
    <row r="1264">
      <c r="A1264" s="156" t="str">
        <f>IFERROR(__xludf.DUMMYFUNCTION("""COMPUTED_VALUE"""),"https://drive.google.com/open?id=1_Ka1WzdPdTEnoWa29IPVjKGxsdfFuqwN&amp;authuser=jay.agg%40gmail.com&amp;usp=drive_fs")</f>
        <v>https://drive.google.com/open?id=1_Ka1WzdPdTEnoWa29IPVjKGxsdfFuqwN&amp;authuser=jay.agg%40gmail.com&amp;usp=drive_fs</v>
      </c>
      <c r="B1264" s="73" t="str">
        <f>IFERROR(__xludf.DUMMYFUNCTION("""COMPUTED_VALUE"""),"Led")</f>
        <v>Led</v>
      </c>
      <c r="C1264" s="73" t="str">
        <f>IFERROR(__xludf.DUMMYFUNCTION("""COMPUTED_VALUE"""),"Conceal")</f>
        <v>Conceal</v>
      </c>
      <c r="D1264" s="73" t="str">
        <f>IFERROR(__xludf.DUMMYFUNCTION("""COMPUTED_VALUE"""),"100*100*40 mm")</f>
        <v>100*100*40 mm</v>
      </c>
      <c r="E1264" s="77">
        <f>IFERROR(__xludf.DUMMYFUNCTION("""COMPUTED_VALUE"""),4.0)</f>
        <v>4</v>
      </c>
      <c r="F1264" s="77">
        <f>IFERROR(__xludf.DUMMYFUNCTION("""COMPUTED_VALUE"""),1926.0)</f>
        <v>1926</v>
      </c>
      <c r="G1264" s="77">
        <f>IFERROR(__xludf.DUMMYFUNCTION("""COMPUTED_VALUE"""),18.0)</f>
        <v>18</v>
      </c>
      <c r="H1264" s="77">
        <f>IFERROR(__xludf.DUMMYFUNCTION("""COMPUTED_VALUE"""),23.0)</f>
        <v>23</v>
      </c>
      <c r="I1264" s="77">
        <f>IFERROR(__xludf.DUMMYFUNCTION("""COMPUTED_VALUE"""),100.0)</f>
        <v>100</v>
      </c>
      <c r="J1264" s="73"/>
      <c r="K1264" s="73"/>
      <c r="L1264" s="73"/>
      <c r="M1264" s="77">
        <f>IFERROR(__xludf.DUMMYFUNCTION("""COMPUTED_VALUE"""),0.06)</f>
        <v>0.06</v>
      </c>
      <c r="N1264" s="77">
        <f>IFERROR(__xludf.DUMMYFUNCTION("""COMPUTED_VALUE"""),1.0)</f>
        <v>1</v>
      </c>
      <c r="O1264" s="49"/>
      <c r="P1264" s="49" t="str">
        <f>IFERROR(__xludf.DUMMYFUNCTION("""COMPUTED_VALUE"""),"Offset")</f>
        <v>Offset</v>
      </c>
      <c r="Q1264" s="49" t="str">
        <f>IFERROR(__xludf.DUMMYFUNCTION("""COMPUTED_VALUE"""),"Packaging")</f>
        <v>Packaging</v>
      </c>
      <c r="R1264" s="49" t="str">
        <f>IFERROR(__xludf.DUMMYFUNCTION("""COMPUTED_VALUE"""),"Led")</f>
        <v>Led</v>
      </c>
    </row>
    <row r="1265">
      <c r="A1265" s="156" t="str">
        <f>IFERROR(__xludf.DUMMYFUNCTION("""COMPUTED_VALUE"""),"https://drive.google.com/open?id=1_R3p3FSjGJ_1Xu3xHQTag1eWg6qsa3Qm&amp;authuser=jay.agg%40gmail.com&amp;usp=drive_fs")</f>
        <v>https://drive.google.com/open?id=1_R3p3FSjGJ_1Xu3xHQTag1eWg6qsa3Qm&amp;authuser=jay.agg%40gmail.com&amp;usp=drive_fs</v>
      </c>
      <c r="B1265" s="73" t="str">
        <f>IFERROR(__xludf.DUMMYFUNCTION("""COMPUTED_VALUE"""),"Led")</f>
        <v>Led</v>
      </c>
      <c r="C1265" s="73" t="str">
        <f>IFERROR(__xludf.DUMMYFUNCTION("""COMPUTED_VALUE"""),"Conceal")</f>
        <v>Conceal</v>
      </c>
      <c r="D1265" s="73" t="str">
        <f>IFERROR(__xludf.DUMMYFUNCTION("""COMPUTED_VALUE"""),"130*130*40 mm")</f>
        <v>130*130*40 mm</v>
      </c>
      <c r="E1265" s="77">
        <f>IFERROR(__xludf.DUMMYFUNCTION("""COMPUTED_VALUE"""),3.0)</f>
        <v>3</v>
      </c>
      <c r="F1265" s="77">
        <f>IFERROR(__xludf.DUMMYFUNCTION("""COMPUTED_VALUE"""),1926.0)</f>
        <v>1926</v>
      </c>
      <c r="G1265" s="77">
        <f>IFERROR(__xludf.DUMMYFUNCTION("""COMPUTED_VALUE"""),15.0)</f>
        <v>15</v>
      </c>
      <c r="H1265" s="77">
        <f>IFERROR(__xludf.DUMMYFUNCTION("""COMPUTED_VALUE"""),25.0)</f>
        <v>25</v>
      </c>
      <c r="I1265" s="77">
        <f>IFERROR(__xludf.DUMMYFUNCTION("""COMPUTED_VALUE"""),100.0)</f>
        <v>100</v>
      </c>
      <c r="J1265" s="73"/>
      <c r="K1265" s="73"/>
      <c r="L1265" s="73"/>
      <c r="M1265" s="77">
        <f>IFERROR(__xludf.DUMMYFUNCTION("""COMPUTED_VALUE"""),0.06)</f>
        <v>0.06</v>
      </c>
      <c r="N1265" s="77">
        <f>IFERROR(__xludf.DUMMYFUNCTION("""COMPUTED_VALUE"""),1.0)</f>
        <v>1</v>
      </c>
      <c r="O1265" s="49"/>
      <c r="P1265" s="49" t="str">
        <f>IFERROR(__xludf.DUMMYFUNCTION("""COMPUTED_VALUE"""),"Offset")</f>
        <v>Offset</v>
      </c>
      <c r="Q1265" s="49" t="str">
        <f>IFERROR(__xludf.DUMMYFUNCTION("""COMPUTED_VALUE"""),"Packaging")</f>
        <v>Packaging</v>
      </c>
      <c r="R1265" s="49" t="str">
        <f>IFERROR(__xludf.DUMMYFUNCTION("""COMPUTED_VALUE"""),"Led")</f>
        <v>Led</v>
      </c>
    </row>
    <row r="1266">
      <c r="A1266" s="156" t="str">
        <f>IFERROR(__xludf.DUMMYFUNCTION("""COMPUTED_VALUE"""),"https://drive.google.com/open?id=1_T71sjiytXKkjTlhie6SshfROAtG1uwh&amp;authuser=jay.agg%40gmail.com&amp;usp=drive_fs")</f>
        <v>https://drive.google.com/open?id=1_T71sjiytXKkjTlhie6SshfROAtG1uwh&amp;authuser=jay.agg%40gmail.com&amp;usp=drive_fs</v>
      </c>
      <c r="B1266" s="73" t="str">
        <f>IFERROR(__xludf.DUMMYFUNCTION("""COMPUTED_VALUE"""),"Led")</f>
        <v>Led</v>
      </c>
      <c r="C1266" s="73" t="str">
        <f>IFERROR(__xludf.DUMMYFUNCTION("""COMPUTED_VALUE"""),"Conceal")</f>
        <v>Conceal</v>
      </c>
      <c r="D1266" s="73" t="str">
        <f>IFERROR(__xludf.DUMMYFUNCTION("""COMPUTED_VALUE"""),"180*180*40 mm")</f>
        <v>180*180*40 mm</v>
      </c>
      <c r="E1266" s="77">
        <f>IFERROR(__xludf.DUMMYFUNCTION("""COMPUTED_VALUE"""),2.0)</f>
        <v>2</v>
      </c>
      <c r="F1266" s="77">
        <f>IFERROR(__xludf.DUMMYFUNCTION("""COMPUTED_VALUE"""),1926.0)</f>
        <v>1926</v>
      </c>
      <c r="G1266" s="77">
        <f>IFERROR(__xludf.DUMMYFUNCTION("""COMPUTED_VALUE"""),18.0)</f>
        <v>18</v>
      </c>
      <c r="H1266" s="77">
        <f>IFERROR(__xludf.DUMMYFUNCTION("""COMPUTED_VALUE"""),23.0)</f>
        <v>23</v>
      </c>
      <c r="I1266" s="77">
        <f>IFERROR(__xludf.DUMMYFUNCTION("""COMPUTED_VALUE"""),100.0)</f>
        <v>100</v>
      </c>
      <c r="J1266" s="73"/>
      <c r="K1266" s="73"/>
      <c r="L1266" s="73"/>
      <c r="M1266" s="77">
        <f>IFERROR(__xludf.DUMMYFUNCTION("""COMPUTED_VALUE"""),0.06)</f>
        <v>0.06</v>
      </c>
      <c r="N1266" s="77">
        <f>IFERROR(__xludf.DUMMYFUNCTION("""COMPUTED_VALUE"""),1.0)</f>
        <v>1</v>
      </c>
      <c r="O1266" s="49"/>
      <c r="P1266" s="49" t="str">
        <f>IFERROR(__xludf.DUMMYFUNCTION("""COMPUTED_VALUE"""),"Offset")</f>
        <v>Offset</v>
      </c>
      <c r="Q1266" s="49" t="str">
        <f>IFERROR(__xludf.DUMMYFUNCTION("""COMPUTED_VALUE"""),"Packaging")</f>
        <v>Packaging</v>
      </c>
      <c r="R1266" s="49" t="str">
        <f>IFERROR(__xludf.DUMMYFUNCTION("""COMPUTED_VALUE"""),"Led")</f>
        <v>Led</v>
      </c>
    </row>
    <row r="1267">
      <c r="A1267" s="156" t="str">
        <f>IFERROR(__xludf.DUMMYFUNCTION("""COMPUTED_VALUE"""),"https://drive.google.com/open?id=1Z0gikjNW39FRkYSCnMg62yiaiUF7w0MD&amp;authuser=jay.agg%40gmail.com&amp;usp=drive_fs")</f>
        <v>https://drive.google.com/open?id=1Z0gikjNW39FRkYSCnMg62yiaiUF7w0MD&amp;authuser=jay.agg%40gmail.com&amp;usp=drive_fs</v>
      </c>
      <c r="B1267" s="73" t="str">
        <f>IFERROR(__xludf.DUMMYFUNCTION("""COMPUTED_VALUE"""),"Led")</f>
        <v>Led</v>
      </c>
      <c r="C1267" s="73" t="str">
        <f>IFERROR(__xludf.DUMMYFUNCTION("""COMPUTED_VALUE"""),"Patta")</f>
        <v>Patta</v>
      </c>
      <c r="D1267" s="73" t="str">
        <f>IFERROR(__xludf.DUMMYFUNCTION("""COMPUTED_VALUE"""),"160*293 mm")</f>
        <v>160*293 mm</v>
      </c>
      <c r="E1267" s="77">
        <f>IFERROR(__xludf.DUMMYFUNCTION("""COMPUTED_VALUE"""),6.0)</f>
        <v>6</v>
      </c>
      <c r="F1267" s="77">
        <f>IFERROR(__xludf.DUMMYFUNCTION("""COMPUTED_VALUE"""),1926.0)</f>
        <v>1926</v>
      </c>
      <c r="G1267" s="77">
        <f>IFERROR(__xludf.DUMMYFUNCTION("""COMPUTED_VALUE"""),19.5)</f>
        <v>19.5</v>
      </c>
      <c r="H1267" s="77">
        <f>IFERROR(__xludf.DUMMYFUNCTION("""COMPUTED_VALUE"""),23.0)</f>
        <v>23</v>
      </c>
      <c r="I1267" s="77">
        <f>IFERROR(__xludf.DUMMYFUNCTION("""COMPUTED_VALUE"""),100.0)</f>
        <v>100</v>
      </c>
      <c r="J1267" s="73"/>
      <c r="K1267" s="73"/>
      <c r="L1267" s="73"/>
      <c r="M1267" s="77">
        <f>IFERROR(__xludf.DUMMYFUNCTION("""COMPUTED_VALUE"""),0.06)</f>
        <v>0.06</v>
      </c>
      <c r="N1267" s="77">
        <f>IFERROR(__xludf.DUMMYFUNCTION("""COMPUTED_VALUE"""),1.0)</f>
        <v>1</v>
      </c>
      <c r="O1267" s="49"/>
      <c r="P1267" s="49" t="str">
        <f>IFERROR(__xludf.DUMMYFUNCTION("""COMPUTED_VALUE"""),"Offset")</f>
        <v>Offset</v>
      </c>
      <c r="Q1267" s="49" t="str">
        <f>IFERROR(__xludf.DUMMYFUNCTION("""COMPUTED_VALUE"""),"Packaging")</f>
        <v>Packaging</v>
      </c>
      <c r="R1267" s="49" t="str">
        <f>IFERROR(__xludf.DUMMYFUNCTION("""COMPUTED_VALUE"""),"Led")</f>
        <v>Led</v>
      </c>
    </row>
    <row r="1268">
      <c r="A1268" s="156" t="str">
        <f>IFERROR(__xludf.DUMMYFUNCTION("""COMPUTED_VALUE"""),"https://drive.google.com/open?id=1ZT2S3_0yGi4A8cjuuPMPSORiGqG3KqUB&amp;authuser=jay.agg%40gmail.com&amp;usp=drive_fs")</f>
        <v>https://drive.google.com/open?id=1ZT2S3_0yGi4A8cjuuPMPSORiGqG3KqUB&amp;authuser=jay.agg%40gmail.com&amp;usp=drive_fs</v>
      </c>
      <c r="B1268" s="73" t="str">
        <f>IFERROR(__xludf.DUMMYFUNCTION("""COMPUTED_VALUE"""),"Led")</f>
        <v>Led</v>
      </c>
      <c r="C1268" s="73" t="str">
        <f>IFERROR(__xludf.DUMMYFUNCTION("""COMPUTED_VALUE"""),"Led Bulb")</f>
        <v>Led Bulb</v>
      </c>
      <c r="D1268" s="73" t="str">
        <f>IFERROR(__xludf.DUMMYFUNCTION("""COMPUTED_VALUE"""),"58*58*108 mm IL")</f>
        <v>58*58*108 mm IL</v>
      </c>
      <c r="E1268" s="77">
        <f>IFERROR(__xludf.DUMMYFUNCTION("""COMPUTED_VALUE"""),6.0)</f>
        <v>6</v>
      </c>
      <c r="F1268" s="77">
        <f>IFERROR(__xludf.DUMMYFUNCTION("""COMPUTED_VALUE"""),1926.0)</f>
        <v>1926</v>
      </c>
      <c r="G1268" s="77">
        <f>IFERROR(__xludf.DUMMYFUNCTION("""COMPUTED_VALUE"""),20.0)</f>
        <v>20</v>
      </c>
      <c r="H1268" s="77">
        <f>IFERROR(__xludf.DUMMYFUNCTION("""COMPUTED_VALUE"""),24.0)</f>
        <v>24</v>
      </c>
      <c r="I1268" s="77">
        <f>IFERROR(__xludf.DUMMYFUNCTION("""COMPUTED_VALUE"""),100.0)</f>
        <v>100</v>
      </c>
      <c r="J1268" s="73"/>
      <c r="K1268" s="73"/>
      <c r="L1268" s="73"/>
      <c r="M1268" s="77">
        <f>IFERROR(__xludf.DUMMYFUNCTION("""COMPUTED_VALUE"""),0.06)</f>
        <v>0.06</v>
      </c>
      <c r="N1268" s="77">
        <f>IFERROR(__xludf.DUMMYFUNCTION("""COMPUTED_VALUE"""),1.0)</f>
        <v>1</v>
      </c>
      <c r="O1268" s="49"/>
      <c r="P1268" s="49" t="str">
        <f>IFERROR(__xludf.DUMMYFUNCTION("""COMPUTED_VALUE"""),"Offset")</f>
        <v>Offset</v>
      </c>
      <c r="Q1268" s="49" t="str">
        <f>IFERROR(__xludf.DUMMYFUNCTION("""COMPUTED_VALUE"""),"Packaging")</f>
        <v>Packaging</v>
      </c>
      <c r="R1268" s="49" t="str">
        <f>IFERROR(__xludf.DUMMYFUNCTION("""COMPUTED_VALUE"""),"Led")</f>
        <v>Led</v>
      </c>
    </row>
    <row r="1269">
      <c r="A1269" s="156" t="str">
        <f>IFERROR(__xludf.DUMMYFUNCTION("""COMPUTED_VALUE"""),"https://drive.google.com/open?id=1Yq-hrEjFe-XIi1V0UEZd-SFoC275GTAy&amp;authuser=jay.agg%40gmail.com&amp;usp=drive_fs")</f>
        <v>https://drive.google.com/open?id=1Yq-hrEjFe-XIi1V0UEZd-SFoC275GTAy&amp;authuser=jay.agg%40gmail.com&amp;usp=drive_fs</v>
      </c>
      <c r="B1269" s="73" t="str">
        <f>IFERROR(__xludf.DUMMYFUNCTION("""COMPUTED_VALUE"""),"Led")</f>
        <v>Led</v>
      </c>
      <c r="C1269" s="73" t="str">
        <f>IFERROR(__xludf.DUMMYFUNCTION("""COMPUTED_VALUE"""),"Sleeve")</f>
        <v>Sleeve</v>
      </c>
      <c r="D1269" s="73" t="str">
        <f>IFERROR(__xludf.DUMMYFUNCTION("""COMPUTED_VALUE"""),"40*25*170 mm")</f>
        <v>40*25*170 mm</v>
      </c>
      <c r="E1269" s="77">
        <f>IFERROR(__xludf.DUMMYFUNCTION("""COMPUTED_VALUE"""),9.0)</f>
        <v>9</v>
      </c>
      <c r="F1269" s="77">
        <f>IFERROR(__xludf.DUMMYFUNCTION("""COMPUTED_VALUE"""),1926.0)</f>
        <v>1926</v>
      </c>
      <c r="G1269" s="77">
        <f>IFERROR(__xludf.DUMMYFUNCTION("""COMPUTED_VALUE"""),18.0)</f>
        <v>18</v>
      </c>
      <c r="H1269" s="77">
        <f>IFERROR(__xludf.DUMMYFUNCTION("""COMPUTED_VALUE"""),23.0)</f>
        <v>23</v>
      </c>
      <c r="I1269" s="77">
        <f>IFERROR(__xludf.DUMMYFUNCTION("""COMPUTED_VALUE"""),100.0)</f>
        <v>100</v>
      </c>
      <c r="J1269" s="73"/>
      <c r="K1269" s="73"/>
      <c r="L1269" s="73"/>
      <c r="M1269" s="77">
        <f>IFERROR(__xludf.DUMMYFUNCTION("""COMPUTED_VALUE"""),0.06)</f>
        <v>0.06</v>
      </c>
      <c r="N1269" s="77">
        <f>IFERROR(__xludf.DUMMYFUNCTION("""COMPUTED_VALUE"""),1.0)</f>
        <v>1</v>
      </c>
      <c r="O1269" s="49"/>
      <c r="P1269" s="49" t="str">
        <f>IFERROR(__xludf.DUMMYFUNCTION("""COMPUTED_VALUE"""),"Offset")</f>
        <v>Offset</v>
      </c>
      <c r="Q1269" s="49" t="str">
        <f>IFERROR(__xludf.DUMMYFUNCTION("""COMPUTED_VALUE"""),"Packaging")</f>
        <v>Packaging</v>
      </c>
      <c r="R1269" s="49" t="str">
        <f>IFERROR(__xludf.DUMMYFUNCTION("""COMPUTED_VALUE"""),"Led")</f>
        <v>Led</v>
      </c>
    </row>
    <row r="1270">
      <c r="A1270" s="156" t="str">
        <f>IFERROR(__xludf.DUMMYFUNCTION("""COMPUTED_VALUE"""),"https://drive.google.com/open?id=1_AWwlBI8LuPzDTIjMnnyKRGt9Mng8sJb&amp;authuser=jay.agg%40gmail.com&amp;usp=drive_fs")</f>
        <v>https://drive.google.com/open?id=1_AWwlBI8LuPzDTIjMnnyKRGt9Mng8sJb&amp;authuser=jay.agg%40gmail.com&amp;usp=drive_fs</v>
      </c>
      <c r="B1270" s="73" t="str">
        <f>IFERROR(__xludf.DUMMYFUNCTION("""COMPUTED_VALUE"""),"Led")</f>
        <v>Led</v>
      </c>
      <c r="C1270" s="73" t="str">
        <f>IFERROR(__xludf.DUMMYFUNCTION("""COMPUTED_VALUE"""),"Led Bulb")</f>
        <v>Led Bulb</v>
      </c>
      <c r="D1270" s="73" t="str">
        <f>IFERROR(__xludf.DUMMYFUNCTION("""COMPUTED_VALUE"""),"71*71*145 mm")</f>
        <v>71*71*145 mm</v>
      </c>
      <c r="E1270" s="77">
        <f>IFERROR(__xludf.DUMMYFUNCTION("""COMPUTED_VALUE"""),2.0)</f>
        <v>2</v>
      </c>
      <c r="F1270" s="77">
        <f>IFERROR(__xludf.DUMMYFUNCTION("""COMPUTED_VALUE"""),1926.0)</f>
        <v>1926</v>
      </c>
      <c r="G1270" s="77">
        <f>IFERROR(__xludf.DUMMYFUNCTION("""COMPUTED_VALUE"""),15.0)</f>
        <v>15</v>
      </c>
      <c r="H1270" s="77">
        <f>IFERROR(__xludf.DUMMYFUNCTION("""COMPUTED_VALUE"""),25.0)</f>
        <v>25</v>
      </c>
      <c r="I1270" s="77">
        <f>IFERROR(__xludf.DUMMYFUNCTION("""COMPUTED_VALUE"""),100.0)</f>
        <v>100</v>
      </c>
      <c r="J1270" s="73"/>
      <c r="K1270" s="73"/>
      <c r="L1270" s="73"/>
      <c r="M1270" s="77">
        <f>IFERROR(__xludf.DUMMYFUNCTION("""COMPUTED_VALUE"""),0.06)</f>
        <v>0.06</v>
      </c>
      <c r="N1270" s="77">
        <f>IFERROR(__xludf.DUMMYFUNCTION("""COMPUTED_VALUE"""),1.0)</f>
        <v>1</v>
      </c>
      <c r="O1270" s="49"/>
      <c r="P1270" s="49" t="str">
        <f>IFERROR(__xludf.DUMMYFUNCTION("""COMPUTED_VALUE"""),"Offset")</f>
        <v>Offset</v>
      </c>
      <c r="Q1270" s="49" t="str">
        <f>IFERROR(__xludf.DUMMYFUNCTION("""COMPUTED_VALUE"""),"Packaging")</f>
        <v>Packaging</v>
      </c>
      <c r="R1270" s="49" t="str">
        <f>IFERROR(__xludf.DUMMYFUNCTION("""COMPUTED_VALUE"""),"Led")</f>
        <v>Led</v>
      </c>
    </row>
    <row r="1271">
      <c r="A1271" s="156" t="str">
        <f>IFERROR(__xludf.DUMMYFUNCTION("""COMPUTED_VALUE"""),"https://drive.google.com/open?id=1__BV3XbF_qq0tDy49EpzUi0BsPmJO0E3&amp;authuser=jay.agg%40gmail.com&amp;usp=drive_fs")</f>
        <v>https://drive.google.com/open?id=1__BV3XbF_qq0tDy49EpzUi0BsPmJO0E3&amp;authuser=jay.agg%40gmail.com&amp;usp=drive_fs</v>
      </c>
      <c r="B1271" s="73" t="str">
        <f>IFERROR(__xludf.DUMMYFUNCTION("""COMPUTED_VALUE"""),"Led")</f>
        <v>Led</v>
      </c>
      <c r="C1271" s="73" t="str">
        <f>IFERROR(__xludf.DUMMYFUNCTION("""COMPUTED_VALUE"""),"Conceal")</f>
        <v>Conceal</v>
      </c>
      <c r="D1271" s="73" t="str">
        <f>IFERROR(__xludf.DUMMYFUNCTION("""COMPUTED_VALUE"""),"125*125*45 mm")</f>
        <v>125*125*45 mm</v>
      </c>
      <c r="E1271" s="77">
        <f>IFERROR(__xludf.DUMMYFUNCTION("""COMPUTED_VALUE"""),4.0)</f>
        <v>4</v>
      </c>
      <c r="F1271" s="77">
        <f>IFERROR(__xludf.DUMMYFUNCTION("""COMPUTED_VALUE"""),2029.0)</f>
        <v>2029</v>
      </c>
      <c r="G1271" s="77">
        <f>IFERROR(__xludf.DUMMYFUNCTION("""COMPUTED_VALUE"""),17.5)</f>
        <v>17.5</v>
      </c>
      <c r="H1271" s="77">
        <f>IFERROR(__xludf.DUMMYFUNCTION("""COMPUTED_VALUE"""),28.0)</f>
        <v>28</v>
      </c>
      <c r="I1271" s="77">
        <f>IFERROR(__xludf.DUMMYFUNCTION("""COMPUTED_VALUE"""),100.0)</f>
        <v>100</v>
      </c>
      <c r="J1271" s="73"/>
      <c r="K1271" s="73"/>
      <c r="L1271" s="73"/>
      <c r="M1271" s="77">
        <f>IFERROR(__xludf.DUMMYFUNCTION("""COMPUTED_VALUE"""),0.06)</f>
        <v>0.06</v>
      </c>
      <c r="N1271" s="77">
        <f>IFERROR(__xludf.DUMMYFUNCTION("""COMPUTED_VALUE"""),1.0)</f>
        <v>1</v>
      </c>
      <c r="O1271" s="49"/>
      <c r="P1271" s="49" t="str">
        <f>IFERROR(__xludf.DUMMYFUNCTION("""COMPUTED_VALUE"""),"Offset")</f>
        <v>Offset</v>
      </c>
      <c r="Q1271" s="49" t="str">
        <f>IFERROR(__xludf.DUMMYFUNCTION("""COMPUTED_VALUE"""),"Packaging")</f>
        <v>Packaging</v>
      </c>
      <c r="R1271" s="49" t="str">
        <f>IFERROR(__xludf.DUMMYFUNCTION("""COMPUTED_VALUE"""),"Led")</f>
        <v>Led</v>
      </c>
    </row>
    <row r="1272">
      <c r="A1272" s="156" t="str">
        <f>IFERROR(__xludf.DUMMYFUNCTION("""COMPUTED_VALUE"""),"https://drive.google.com/open?id=1_elbvOGnKzMwb05H4V47vGDf_rwgR1EB&amp;authuser=jay.agg%40gmail.com&amp;usp=drive_fs")</f>
        <v>https://drive.google.com/open?id=1_elbvOGnKzMwb05H4V47vGDf_rwgR1EB&amp;authuser=jay.agg%40gmail.com&amp;usp=drive_fs</v>
      </c>
      <c r="B1272" s="73" t="str">
        <f>IFERROR(__xludf.DUMMYFUNCTION("""COMPUTED_VALUE"""),"Led")</f>
        <v>Led</v>
      </c>
      <c r="C1272" s="73" t="str">
        <f>IFERROR(__xludf.DUMMYFUNCTION("""COMPUTED_VALUE"""),"Conceal")</f>
        <v>Conceal</v>
      </c>
      <c r="D1272" s="73" t="str">
        <f>IFERROR(__xludf.DUMMYFUNCTION("""COMPUTED_VALUE"""),"115*115*55 mm")</f>
        <v>115*115*55 mm</v>
      </c>
      <c r="E1272" s="77">
        <f>IFERROR(__xludf.DUMMYFUNCTION("""COMPUTED_VALUE"""),4.0)</f>
        <v>4</v>
      </c>
      <c r="F1272" s="77">
        <f>IFERROR(__xludf.DUMMYFUNCTION("""COMPUTED_VALUE"""),2029.0)</f>
        <v>2029</v>
      </c>
      <c r="G1272" s="77">
        <f>IFERROR(__xludf.DUMMYFUNCTION("""COMPUTED_VALUE"""),17.5)</f>
        <v>17.5</v>
      </c>
      <c r="H1272" s="77">
        <f>IFERROR(__xludf.DUMMYFUNCTION("""COMPUTED_VALUE"""),28.0)</f>
        <v>28</v>
      </c>
      <c r="I1272" s="77">
        <f>IFERROR(__xludf.DUMMYFUNCTION("""COMPUTED_VALUE"""),100.0)</f>
        <v>100</v>
      </c>
      <c r="J1272" s="73"/>
      <c r="K1272" s="73"/>
      <c r="L1272" s="73"/>
      <c r="M1272" s="77">
        <f>IFERROR(__xludf.DUMMYFUNCTION("""COMPUTED_VALUE"""),0.06)</f>
        <v>0.06</v>
      </c>
      <c r="N1272" s="77">
        <f>IFERROR(__xludf.DUMMYFUNCTION("""COMPUTED_VALUE"""),1.0)</f>
        <v>1</v>
      </c>
      <c r="O1272" s="49"/>
      <c r="P1272" s="49" t="str">
        <f>IFERROR(__xludf.DUMMYFUNCTION("""COMPUTED_VALUE"""),"Offset")</f>
        <v>Offset</v>
      </c>
      <c r="Q1272" s="49" t="str">
        <f>IFERROR(__xludf.DUMMYFUNCTION("""COMPUTED_VALUE"""),"Packaging")</f>
        <v>Packaging</v>
      </c>
      <c r="R1272" s="49" t="str">
        <f>IFERROR(__xludf.DUMMYFUNCTION("""COMPUTED_VALUE"""),"Led")</f>
        <v>Led</v>
      </c>
    </row>
    <row r="1273">
      <c r="A1273" s="156" t="str">
        <f>IFERROR(__xludf.DUMMYFUNCTION("""COMPUTED_VALUE"""),"https://drive.google.com/open?id=1_h46tSikSHieyaC6MU82IqxzLfzLRVmB&amp;authuser=jay.agg%40gmail.com&amp;usp=drive_fs")</f>
        <v>https://drive.google.com/open?id=1_h46tSikSHieyaC6MU82IqxzLfzLRVmB&amp;authuser=jay.agg%40gmail.com&amp;usp=drive_fs</v>
      </c>
      <c r="B1273" s="73" t="str">
        <f>IFERROR(__xludf.DUMMYFUNCTION("""COMPUTED_VALUE"""),"Led")</f>
        <v>Led</v>
      </c>
      <c r="C1273" s="73" t="str">
        <f>IFERROR(__xludf.DUMMYFUNCTION("""COMPUTED_VALUE"""),"Conceal")</f>
        <v>Conceal</v>
      </c>
      <c r="D1273" s="73" t="str">
        <f>IFERROR(__xludf.DUMMYFUNCTION("""COMPUTED_VALUE"""),"127*170*30 mm")</f>
        <v>127*170*30 mm</v>
      </c>
      <c r="E1273" s="77">
        <f>IFERROR(__xludf.DUMMYFUNCTION("""COMPUTED_VALUE"""),4.0)</f>
        <v>4</v>
      </c>
      <c r="F1273" s="77">
        <f>IFERROR(__xludf.DUMMYFUNCTION("""COMPUTED_VALUE"""),1926.0)</f>
        <v>1926</v>
      </c>
      <c r="G1273" s="77">
        <f>IFERROR(__xludf.DUMMYFUNCTION("""COMPUTED_VALUE"""),21.0)</f>
        <v>21</v>
      </c>
      <c r="H1273" s="77">
        <f>IFERROR(__xludf.DUMMYFUNCTION("""COMPUTED_VALUE"""),26.0)</f>
        <v>26</v>
      </c>
      <c r="I1273" s="77">
        <f>IFERROR(__xludf.DUMMYFUNCTION("""COMPUTED_VALUE"""),100.0)</f>
        <v>100</v>
      </c>
      <c r="J1273" s="73"/>
      <c r="K1273" s="73"/>
      <c r="L1273" s="73"/>
      <c r="M1273" s="77">
        <f>IFERROR(__xludf.DUMMYFUNCTION("""COMPUTED_VALUE"""),0.06)</f>
        <v>0.06</v>
      </c>
      <c r="N1273" s="77">
        <f>IFERROR(__xludf.DUMMYFUNCTION("""COMPUTED_VALUE"""),1.0)</f>
        <v>1</v>
      </c>
      <c r="O1273" s="49"/>
      <c r="P1273" s="49" t="str">
        <f>IFERROR(__xludf.DUMMYFUNCTION("""COMPUTED_VALUE"""),"Offset")</f>
        <v>Offset</v>
      </c>
      <c r="Q1273" s="49" t="str">
        <f>IFERROR(__xludf.DUMMYFUNCTION("""COMPUTED_VALUE"""),"Packaging")</f>
        <v>Packaging</v>
      </c>
      <c r="R1273" s="49" t="str">
        <f>IFERROR(__xludf.DUMMYFUNCTION("""COMPUTED_VALUE"""),"Led")</f>
        <v>Led</v>
      </c>
    </row>
    <row r="1274">
      <c r="A1274" s="156" t="str">
        <f>IFERROR(__xludf.DUMMYFUNCTION("""COMPUTED_VALUE"""),"https://drive.google.com/open?id=1_tt6Z4igFefQiydqOB8eFcN4mD68a68h&amp;authuser=jay.agg%40gmail.com&amp;usp=drive_fs")</f>
        <v>https://drive.google.com/open?id=1_tt6Z4igFefQiydqOB8eFcN4mD68a68h&amp;authuser=jay.agg%40gmail.com&amp;usp=drive_fs</v>
      </c>
      <c r="B1274" s="73" t="str">
        <f>IFERROR(__xludf.DUMMYFUNCTION("""COMPUTED_VALUE"""),"Led")</f>
        <v>Led</v>
      </c>
      <c r="C1274" s="73" t="str">
        <f>IFERROR(__xludf.DUMMYFUNCTION("""COMPUTED_VALUE"""),"Conceal")</f>
        <v>Conceal</v>
      </c>
      <c r="D1274" s="73" t="str">
        <f>IFERROR(__xludf.DUMMYFUNCTION("""COMPUTED_VALUE"""),"165*205*30 mm")</f>
        <v>165*205*30 mm</v>
      </c>
      <c r="E1274" s="77">
        <f>IFERROR(__xludf.DUMMYFUNCTION("""COMPUTED_VALUE"""),2.0)</f>
        <v>2</v>
      </c>
      <c r="F1274" s="77">
        <f>IFERROR(__xludf.DUMMYFUNCTION("""COMPUTED_VALUE"""),1926.0)</f>
        <v>1926</v>
      </c>
      <c r="G1274" s="77">
        <f>IFERROR(__xludf.DUMMYFUNCTION("""COMPUTED_VALUE"""),18.0)</f>
        <v>18</v>
      </c>
      <c r="H1274" s="77">
        <f>IFERROR(__xludf.DUMMYFUNCTION("""COMPUTED_VALUE"""),23.0)</f>
        <v>23</v>
      </c>
      <c r="I1274" s="77">
        <f>IFERROR(__xludf.DUMMYFUNCTION("""COMPUTED_VALUE"""),100.0)</f>
        <v>100</v>
      </c>
      <c r="J1274" s="73"/>
      <c r="K1274" s="73"/>
      <c r="L1274" s="73"/>
      <c r="M1274" s="77">
        <f>IFERROR(__xludf.DUMMYFUNCTION("""COMPUTED_VALUE"""),0.06)</f>
        <v>0.06</v>
      </c>
      <c r="N1274" s="77">
        <f>IFERROR(__xludf.DUMMYFUNCTION("""COMPUTED_VALUE"""),1.0)</f>
        <v>1</v>
      </c>
      <c r="O1274" s="49"/>
      <c r="P1274" s="49" t="str">
        <f>IFERROR(__xludf.DUMMYFUNCTION("""COMPUTED_VALUE"""),"Offset")</f>
        <v>Offset</v>
      </c>
      <c r="Q1274" s="49" t="str">
        <f>IFERROR(__xludf.DUMMYFUNCTION("""COMPUTED_VALUE"""),"Packaging")</f>
        <v>Packaging</v>
      </c>
      <c r="R1274" s="49" t="str">
        <f>IFERROR(__xludf.DUMMYFUNCTION("""COMPUTED_VALUE"""),"Led")</f>
        <v>Led</v>
      </c>
    </row>
    <row r="1275">
      <c r="A1275" s="156" t="str">
        <f>IFERROR(__xludf.DUMMYFUNCTION("""COMPUTED_VALUE"""),"https://drive.google.com/open?id=1Yn4c9YB52LP9uvlU9t-TomZUXeGPs-4O&amp;authuser=jay.agg%40gmail.com&amp;usp=drive_fs")</f>
        <v>https://drive.google.com/open?id=1Yn4c9YB52LP9uvlU9t-TomZUXeGPs-4O&amp;authuser=jay.agg%40gmail.com&amp;usp=drive_fs</v>
      </c>
      <c r="B1275" s="73" t="str">
        <f>IFERROR(__xludf.DUMMYFUNCTION("""COMPUTED_VALUE"""),"Led")</f>
        <v>Led</v>
      </c>
      <c r="C1275" s="73" t="str">
        <f>IFERROR(__xludf.DUMMYFUNCTION("""COMPUTED_VALUE"""),"Conceal")</f>
        <v>Conceal</v>
      </c>
      <c r="D1275" s="73" t="str">
        <f>IFERROR(__xludf.DUMMYFUNCTION("""COMPUTED_VALUE"""),"51*184*184 | 2*7.25*7.25 inch")</f>
        <v>51*184*184 | 2*7.25*7.25 inch</v>
      </c>
      <c r="E1275" s="77">
        <f>IFERROR(__xludf.DUMMYFUNCTION("""COMPUTED_VALUE"""),2.0)</f>
        <v>2</v>
      </c>
      <c r="F1275" s="77">
        <f>IFERROR(__xludf.DUMMYFUNCTION("""COMPUTED_VALUE"""),1926.0)</f>
        <v>1926</v>
      </c>
      <c r="G1275" s="77">
        <f>IFERROR(__xludf.DUMMYFUNCTION("""COMPUTED_VALUE"""),19.5)</f>
        <v>19.5</v>
      </c>
      <c r="H1275" s="77">
        <f>IFERROR(__xludf.DUMMYFUNCTION("""COMPUTED_VALUE"""),23.0)</f>
        <v>23</v>
      </c>
      <c r="I1275" s="77">
        <f>IFERROR(__xludf.DUMMYFUNCTION("""COMPUTED_VALUE"""),100.0)</f>
        <v>100</v>
      </c>
      <c r="J1275" s="73"/>
      <c r="K1275" s="73"/>
      <c r="L1275" s="73"/>
      <c r="M1275" s="77">
        <f>IFERROR(__xludf.DUMMYFUNCTION("""COMPUTED_VALUE"""),0.06)</f>
        <v>0.06</v>
      </c>
      <c r="N1275" s="77">
        <f>IFERROR(__xludf.DUMMYFUNCTION("""COMPUTED_VALUE"""),1.0)</f>
        <v>1</v>
      </c>
      <c r="O1275" s="49"/>
      <c r="P1275" s="49" t="str">
        <f>IFERROR(__xludf.DUMMYFUNCTION("""COMPUTED_VALUE"""),"Offset")</f>
        <v>Offset</v>
      </c>
      <c r="Q1275" s="49" t="str">
        <f>IFERROR(__xludf.DUMMYFUNCTION("""COMPUTED_VALUE"""),"Packaging")</f>
        <v>Packaging</v>
      </c>
      <c r="R1275" s="49" t="str">
        <f>IFERROR(__xludf.DUMMYFUNCTION("""COMPUTED_VALUE"""),"Led")</f>
        <v>Led</v>
      </c>
    </row>
    <row r="1276">
      <c r="A1276" s="156" t="str">
        <f>IFERROR(__xludf.DUMMYFUNCTION("""COMPUTED_VALUE"""),"https://drive.google.com/open?id=1YUlhLQONnN3oBPtAVM4w3yKzCUsMlDr8&amp;authuser=jay.agg%40gmail.com&amp;usp=drive_fs")</f>
        <v>https://drive.google.com/open?id=1YUlhLQONnN3oBPtAVM4w3yKzCUsMlDr8&amp;authuser=jay.agg%40gmail.com&amp;usp=drive_fs</v>
      </c>
      <c r="B1276" s="73" t="str">
        <f>IFERROR(__xludf.DUMMYFUNCTION("""COMPUTED_VALUE"""),"Led")</f>
        <v>Led</v>
      </c>
      <c r="C1276" s="73" t="str">
        <f>IFERROR(__xludf.DUMMYFUNCTION("""COMPUTED_VALUE"""),"Panel")</f>
        <v>Panel</v>
      </c>
      <c r="D1276" s="73" t="str">
        <f>IFERROR(__xludf.DUMMYFUNCTION("""COMPUTED_VALUE"""),"150*45*125 mm ")</f>
        <v>150*45*125 mm </v>
      </c>
      <c r="E1276" s="77">
        <f>IFERROR(__xludf.DUMMYFUNCTION("""COMPUTED_VALUE"""),3.0)</f>
        <v>3</v>
      </c>
      <c r="F1276" s="77">
        <f>IFERROR(__xludf.DUMMYFUNCTION("""COMPUTED_VALUE"""),1926.0)</f>
        <v>1926</v>
      </c>
      <c r="G1276" s="77">
        <f>IFERROR(__xludf.DUMMYFUNCTION("""COMPUTED_VALUE"""),18.0)</f>
        <v>18</v>
      </c>
      <c r="H1276" s="77">
        <f>IFERROR(__xludf.DUMMYFUNCTION("""COMPUTED_VALUE"""),24.0)</f>
        <v>24</v>
      </c>
      <c r="I1276" s="77">
        <f>IFERROR(__xludf.DUMMYFUNCTION("""COMPUTED_VALUE"""),100.0)</f>
        <v>100</v>
      </c>
      <c r="J1276" s="73"/>
      <c r="K1276" s="73"/>
      <c r="L1276" s="73"/>
      <c r="M1276" s="77">
        <f>IFERROR(__xludf.DUMMYFUNCTION("""COMPUTED_VALUE"""),0.06)</f>
        <v>0.06</v>
      </c>
      <c r="N1276" s="77">
        <f>IFERROR(__xludf.DUMMYFUNCTION("""COMPUTED_VALUE"""),1.0)</f>
        <v>1</v>
      </c>
      <c r="O1276" s="49"/>
      <c r="P1276" s="49" t="str">
        <f>IFERROR(__xludf.DUMMYFUNCTION("""COMPUTED_VALUE"""),"Offset")</f>
        <v>Offset</v>
      </c>
      <c r="Q1276" s="49" t="str">
        <f>IFERROR(__xludf.DUMMYFUNCTION("""COMPUTED_VALUE"""),"Packaging")</f>
        <v>Packaging</v>
      </c>
      <c r="R1276" s="49" t="str">
        <f>IFERROR(__xludf.DUMMYFUNCTION("""COMPUTED_VALUE"""),"Led")</f>
        <v>Led</v>
      </c>
    </row>
    <row r="1277">
      <c r="A1277" s="156" t="str">
        <f>IFERROR(__xludf.DUMMYFUNCTION("""COMPUTED_VALUE"""),"https://drive.google.com/open?id=1YjHvIruwVfg_H8pqLP1kkfF3FafmFgBz&amp;authuser=jay.agg%40gmail.com&amp;usp=drive_fs")</f>
        <v>https://drive.google.com/open?id=1YjHvIruwVfg_H8pqLP1kkfF3FafmFgBz&amp;authuser=jay.agg%40gmail.com&amp;usp=drive_fs</v>
      </c>
      <c r="B1277" s="73" t="str">
        <f>IFERROR(__xludf.DUMMYFUNCTION("""COMPUTED_VALUE"""),"Led")</f>
        <v>Led</v>
      </c>
      <c r="C1277" s="73" t="str">
        <f>IFERROR(__xludf.DUMMYFUNCTION("""COMPUTED_VALUE"""),"Panel")</f>
        <v>Panel</v>
      </c>
      <c r="D1277" s="73" t="str">
        <f>IFERROR(__xludf.DUMMYFUNCTION("""COMPUTED_VALUE"""),"205*45*175 mm")</f>
        <v>205*45*175 mm</v>
      </c>
      <c r="E1277" s="77">
        <f>IFERROR(__xludf.DUMMYFUNCTION("""COMPUTED_VALUE"""),1.0)</f>
        <v>1</v>
      </c>
      <c r="F1277" s="77">
        <f>IFERROR(__xludf.DUMMYFUNCTION("""COMPUTED_VALUE"""),1926.0)</f>
        <v>1926</v>
      </c>
      <c r="G1277" s="77">
        <f>IFERROR(__xludf.DUMMYFUNCTION("""COMPUTED_VALUE"""),12.0)</f>
        <v>12</v>
      </c>
      <c r="H1277" s="77">
        <f>IFERROR(__xludf.DUMMYFUNCTION("""COMPUTED_VALUE"""),21.0)</f>
        <v>21</v>
      </c>
      <c r="I1277" s="77">
        <f>IFERROR(__xludf.DUMMYFUNCTION("""COMPUTED_VALUE"""),100.0)</f>
        <v>100</v>
      </c>
      <c r="J1277" s="73"/>
      <c r="K1277" s="73"/>
      <c r="L1277" s="73"/>
      <c r="M1277" s="77">
        <f>IFERROR(__xludf.DUMMYFUNCTION("""COMPUTED_VALUE"""),0.06)</f>
        <v>0.06</v>
      </c>
      <c r="N1277" s="77">
        <f>IFERROR(__xludf.DUMMYFUNCTION("""COMPUTED_VALUE"""),1.0)</f>
        <v>1</v>
      </c>
      <c r="O1277" s="49"/>
      <c r="P1277" s="49" t="str">
        <f>IFERROR(__xludf.DUMMYFUNCTION("""COMPUTED_VALUE"""),"Offset")</f>
        <v>Offset</v>
      </c>
      <c r="Q1277" s="49" t="str">
        <f>IFERROR(__xludf.DUMMYFUNCTION("""COMPUTED_VALUE"""),"Packaging")</f>
        <v>Packaging</v>
      </c>
      <c r="R1277" s="49" t="str">
        <f>IFERROR(__xludf.DUMMYFUNCTION("""COMPUTED_VALUE"""),"Led")</f>
        <v>Led</v>
      </c>
    </row>
    <row r="1278">
      <c r="A1278" s="156" t="str">
        <f>IFERROR(__xludf.DUMMYFUNCTION("""COMPUTED_VALUE"""),"https://drive.google.com/open?id=1YWyUV_3Q8yPaZ907JeUOoH41yW4MiB5z&amp;authuser=jay.agg%40gmail.com&amp;usp=drive_fs")</f>
        <v>https://drive.google.com/open?id=1YWyUV_3Q8yPaZ907JeUOoH41yW4MiB5z&amp;authuser=jay.agg%40gmail.com&amp;usp=drive_fs</v>
      </c>
      <c r="B1278" s="73" t="str">
        <f>IFERROR(__xludf.DUMMYFUNCTION("""COMPUTED_VALUE"""),"Led")</f>
        <v>Led</v>
      </c>
      <c r="C1278" s="73" t="str">
        <f>IFERROR(__xludf.DUMMYFUNCTION("""COMPUTED_VALUE"""),"Led Bulb")</f>
        <v>Led Bulb</v>
      </c>
      <c r="D1278" s="73" t="str">
        <f>IFERROR(__xludf.DUMMYFUNCTION("""COMPUTED_VALUE"""),"74*74*135 mm")</f>
        <v>74*74*135 mm</v>
      </c>
      <c r="E1278" s="77">
        <f>IFERROR(__xludf.DUMMYFUNCTION("""COMPUTED_VALUE"""),2.0)</f>
        <v>2</v>
      </c>
      <c r="F1278" s="77">
        <f>IFERROR(__xludf.DUMMYFUNCTION("""COMPUTED_VALUE"""),1926.0)</f>
        <v>1926</v>
      </c>
      <c r="G1278" s="77">
        <f>IFERROR(__xludf.DUMMYFUNCTION("""COMPUTED_VALUE"""),15.0)</f>
        <v>15</v>
      </c>
      <c r="H1278" s="77">
        <f>IFERROR(__xludf.DUMMYFUNCTION("""COMPUTED_VALUE"""),25.0)</f>
        <v>25</v>
      </c>
      <c r="I1278" s="77">
        <f>IFERROR(__xludf.DUMMYFUNCTION("""COMPUTED_VALUE"""),100.0)</f>
        <v>100</v>
      </c>
      <c r="J1278" s="73"/>
      <c r="K1278" s="73"/>
      <c r="L1278" s="73"/>
      <c r="M1278" s="77">
        <f>IFERROR(__xludf.DUMMYFUNCTION("""COMPUTED_VALUE"""),0.06)</f>
        <v>0.06</v>
      </c>
      <c r="N1278" s="77">
        <f>IFERROR(__xludf.DUMMYFUNCTION("""COMPUTED_VALUE"""),1.0)</f>
        <v>1</v>
      </c>
      <c r="O1278" s="49"/>
      <c r="P1278" s="49" t="str">
        <f>IFERROR(__xludf.DUMMYFUNCTION("""COMPUTED_VALUE"""),"Offset")</f>
        <v>Offset</v>
      </c>
      <c r="Q1278" s="49" t="str">
        <f>IFERROR(__xludf.DUMMYFUNCTION("""COMPUTED_VALUE"""),"Packaging")</f>
        <v>Packaging</v>
      </c>
      <c r="R1278" s="49" t="str">
        <f>IFERROR(__xludf.DUMMYFUNCTION("""COMPUTED_VALUE"""),"Led")</f>
        <v>Led</v>
      </c>
    </row>
    <row r="1279">
      <c r="A1279" s="156" t="str">
        <f>IFERROR(__xludf.DUMMYFUNCTION("""COMPUTED_VALUE"""),"https://drive.google.com/open?id=1_wFpgnTX4Ksj-g67Sr1-AF3D12fUtL9p&amp;authuser=jay.agg%40gmail.com&amp;usp=drive_fs")</f>
        <v>https://drive.google.com/open?id=1_wFpgnTX4Ksj-g67Sr1-AF3D12fUtL9p&amp;authuser=jay.agg%40gmail.com&amp;usp=drive_fs</v>
      </c>
      <c r="B1279" s="73" t="str">
        <f>IFERROR(__xludf.DUMMYFUNCTION("""COMPUTED_VALUE"""),"Led")</f>
        <v>Led</v>
      </c>
      <c r="C1279" s="73" t="str">
        <f>IFERROR(__xludf.DUMMYFUNCTION("""COMPUTED_VALUE"""),"Conceal")</f>
        <v>Conceal</v>
      </c>
      <c r="D1279" s="73" t="str">
        <f>IFERROR(__xludf.DUMMYFUNCTION("""COMPUTED_VALUE"""),"228*228*38 mm")</f>
        <v>228*228*38 mm</v>
      </c>
      <c r="E1279" s="77">
        <f>IFERROR(__xludf.DUMMYFUNCTION("""COMPUTED_VALUE"""),1.0)</f>
        <v>1</v>
      </c>
      <c r="F1279" s="77">
        <f>IFERROR(__xludf.DUMMYFUNCTION("""COMPUTED_VALUE"""),1926.0)</f>
        <v>1926</v>
      </c>
      <c r="G1279" s="77">
        <f>IFERROR(__xludf.DUMMYFUNCTION("""COMPUTED_VALUE"""),14.0)</f>
        <v>14</v>
      </c>
      <c r="H1279" s="77">
        <f>IFERROR(__xludf.DUMMYFUNCTION("""COMPUTED_VALUE"""),22.0)</f>
        <v>22</v>
      </c>
      <c r="I1279" s="77">
        <f>IFERROR(__xludf.DUMMYFUNCTION("""COMPUTED_VALUE"""),100.0)</f>
        <v>100</v>
      </c>
      <c r="J1279" s="73"/>
      <c r="K1279" s="73"/>
      <c r="L1279" s="73"/>
      <c r="M1279" s="77">
        <f>IFERROR(__xludf.DUMMYFUNCTION("""COMPUTED_VALUE"""),0.1)</f>
        <v>0.1</v>
      </c>
      <c r="N1279" s="77">
        <f>IFERROR(__xludf.DUMMYFUNCTION("""COMPUTED_VALUE"""),1.0)</f>
        <v>1</v>
      </c>
      <c r="O1279" s="49"/>
      <c r="P1279" s="49" t="str">
        <f>IFERROR(__xludf.DUMMYFUNCTION("""COMPUTED_VALUE"""),"Offset")</f>
        <v>Offset</v>
      </c>
      <c r="Q1279" s="49" t="str">
        <f>IFERROR(__xludf.DUMMYFUNCTION("""COMPUTED_VALUE"""),"Packaging")</f>
        <v>Packaging</v>
      </c>
      <c r="R1279" s="49" t="str">
        <f>IFERROR(__xludf.DUMMYFUNCTION("""COMPUTED_VALUE"""),"Led")</f>
        <v>Led</v>
      </c>
    </row>
    <row r="1280">
      <c r="A1280" s="156" t="str">
        <f>IFERROR(__xludf.DUMMYFUNCTION("""COMPUTED_VALUE"""),"https://drive.google.com/open?id=1YKVA-U_oqNlt19wgurE6i4_9nmcs7l8T&amp;authuser=jay.agg%40gmail.com&amp;usp=drive_fs")</f>
        <v>https://drive.google.com/open?id=1YKVA-U_oqNlt19wgurE6i4_9nmcs7l8T&amp;authuser=jay.agg%40gmail.com&amp;usp=drive_fs</v>
      </c>
      <c r="B1280" s="73" t="str">
        <f>IFERROR(__xludf.DUMMYFUNCTION("""COMPUTED_VALUE"""),"Led")</f>
        <v>Led</v>
      </c>
      <c r="C1280" s="73" t="str">
        <f>IFERROR(__xludf.DUMMYFUNCTION("""COMPUTED_VALUE"""),"Conceal")</f>
        <v>Conceal</v>
      </c>
      <c r="D1280" s="73" t="str">
        <f>IFERROR(__xludf.DUMMYFUNCTION("""COMPUTED_VALUE"""),"115*75*115 mm")</f>
        <v>115*75*115 mm</v>
      </c>
      <c r="E1280" s="77">
        <f>IFERROR(__xludf.DUMMYFUNCTION("""COMPUTED_VALUE"""),2.0)</f>
        <v>2</v>
      </c>
      <c r="F1280" s="77">
        <f>IFERROR(__xludf.DUMMYFUNCTION("""COMPUTED_VALUE"""),1926.0)</f>
        <v>1926</v>
      </c>
      <c r="G1280" s="77">
        <f>IFERROR(__xludf.DUMMYFUNCTION("""COMPUTED_VALUE"""),16.0)</f>
        <v>16</v>
      </c>
      <c r="H1280" s="77">
        <f>IFERROR(__xludf.DUMMYFUNCTION("""COMPUTED_VALUE"""),17.0)</f>
        <v>17</v>
      </c>
      <c r="I1280" s="77">
        <f>IFERROR(__xludf.DUMMYFUNCTION("""COMPUTED_VALUE"""),100.0)</f>
        <v>100</v>
      </c>
      <c r="J1280" s="73"/>
      <c r="K1280" s="73"/>
      <c r="L1280" s="73"/>
      <c r="M1280" s="77">
        <f>IFERROR(__xludf.DUMMYFUNCTION("""COMPUTED_VALUE"""),0.1)</f>
        <v>0.1</v>
      </c>
      <c r="N1280" s="77">
        <f>IFERROR(__xludf.DUMMYFUNCTION("""COMPUTED_VALUE"""),1.0)</f>
        <v>1</v>
      </c>
      <c r="O1280" s="49"/>
      <c r="P1280" s="49" t="str">
        <f>IFERROR(__xludf.DUMMYFUNCTION("""COMPUTED_VALUE"""),"Offset")</f>
        <v>Offset</v>
      </c>
      <c r="Q1280" s="49" t="str">
        <f>IFERROR(__xludf.DUMMYFUNCTION("""COMPUTED_VALUE"""),"Packaging")</f>
        <v>Packaging</v>
      </c>
      <c r="R1280" s="49" t="str">
        <f>IFERROR(__xludf.DUMMYFUNCTION("""COMPUTED_VALUE"""),"Led")</f>
        <v>Led</v>
      </c>
    </row>
    <row r="1281">
      <c r="A1281" s="156" t="str">
        <f>IFERROR(__xludf.DUMMYFUNCTION("""COMPUTED_VALUE"""),"https://drive.google.com/open?id=1YLqPET4lvJZtMujnW5b57W_BY3q-qHTB&amp;authuser=jay.agg%40gmail.com&amp;usp=drive_fs")</f>
        <v>https://drive.google.com/open?id=1YLqPET4lvJZtMujnW5b57W_BY3q-qHTB&amp;authuser=jay.agg%40gmail.com&amp;usp=drive_fs</v>
      </c>
      <c r="B1281" s="73" t="str">
        <f>IFERROR(__xludf.DUMMYFUNCTION("""COMPUTED_VALUE"""),"Led")</f>
        <v>Led</v>
      </c>
      <c r="C1281" s="73" t="str">
        <f>IFERROR(__xludf.DUMMYFUNCTION("""COMPUTED_VALUE"""),"Conceal")</f>
        <v>Conceal</v>
      </c>
      <c r="D1281" s="73" t="str">
        <f>IFERROR(__xludf.DUMMYFUNCTION("""COMPUTED_VALUE"""),"85*67*90 mm IL")</f>
        <v>85*67*90 mm IL</v>
      </c>
      <c r="E1281" s="77">
        <f>IFERROR(__xludf.DUMMYFUNCTION("""COMPUTED_VALUE"""),4.0)</f>
        <v>4</v>
      </c>
      <c r="F1281" s="77">
        <f>IFERROR(__xludf.DUMMYFUNCTION("""COMPUTED_VALUE"""),1926.0)</f>
        <v>1926</v>
      </c>
      <c r="G1281" s="77">
        <f>IFERROR(__xludf.DUMMYFUNCTION("""COMPUTED_VALUE"""),15.0)</f>
        <v>15</v>
      </c>
      <c r="H1281" s="77">
        <f>IFERROR(__xludf.DUMMYFUNCTION("""COMPUTED_VALUE"""),25.0)</f>
        <v>25</v>
      </c>
      <c r="I1281" s="77">
        <f>IFERROR(__xludf.DUMMYFUNCTION("""COMPUTED_VALUE"""),100.0)</f>
        <v>100</v>
      </c>
      <c r="J1281" s="73"/>
      <c r="K1281" s="73"/>
      <c r="L1281" s="73"/>
      <c r="M1281" s="77">
        <f>IFERROR(__xludf.DUMMYFUNCTION("""COMPUTED_VALUE"""),0.1)</f>
        <v>0.1</v>
      </c>
      <c r="N1281" s="77">
        <f>IFERROR(__xludf.DUMMYFUNCTION("""COMPUTED_VALUE"""),1.0)</f>
        <v>1</v>
      </c>
      <c r="O1281" s="49"/>
      <c r="P1281" s="49" t="str">
        <f>IFERROR(__xludf.DUMMYFUNCTION("""COMPUTED_VALUE"""),"Offset")</f>
        <v>Offset</v>
      </c>
      <c r="Q1281" s="49" t="str">
        <f>IFERROR(__xludf.DUMMYFUNCTION("""COMPUTED_VALUE"""),"Packaging")</f>
        <v>Packaging</v>
      </c>
      <c r="R1281" s="49" t="str">
        <f>IFERROR(__xludf.DUMMYFUNCTION("""COMPUTED_VALUE"""),"Led")</f>
        <v>Led</v>
      </c>
    </row>
    <row r="1282">
      <c r="A1282" s="156" t="str">
        <f>IFERROR(__xludf.DUMMYFUNCTION("""COMPUTED_VALUE"""),"https://drive.google.com/open?id=1YModxDDaYFJ3CWSaplz_hWjKWxqDHYky&amp;authuser=jay.agg%40gmail.com&amp;usp=drive_fs")</f>
        <v>https://drive.google.com/open?id=1YModxDDaYFJ3CWSaplz_hWjKWxqDHYky&amp;authuser=jay.agg%40gmail.com&amp;usp=drive_fs</v>
      </c>
      <c r="B1282" s="73" t="str">
        <f>IFERROR(__xludf.DUMMYFUNCTION("""COMPUTED_VALUE"""),"Led")</f>
        <v>Led</v>
      </c>
      <c r="C1282" s="73" t="str">
        <f>IFERROR(__xludf.DUMMYFUNCTION("""COMPUTED_VALUE"""),"Conceal")</f>
        <v>Conceal</v>
      </c>
      <c r="D1282" s="73" t="str">
        <f>IFERROR(__xludf.DUMMYFUNCTION("""COMPUTED_VALUE"""),"155*70*155 mm IL")</f>
        <v>155*70*155 mm IL</v>
      </c>
      <c r="E1282" s="77">
        <f>IFERROR(__xludf.DUMMYFUNCTION("""COMPUTED_VALUE"""),2.0)</f>
        <v>2</v>
      </c>
      <c r="F1282" s="77">
        <f>IFERROR(__xludf.DUMMYFUNCTION("""COMPUTED_VALUE"""),1926.0)</f>
        <v>1926</v>
      </c>
      <c r="G1282" s="77">
        <f>IFERROR(__xludf.DUMMYFUNCTION("""COMPUTED_VALUE"""),20.0)</f>
        <v>20</v>
      </c>
      <c r="H1282" s="77">
        <f>IFERROR(__xludf.DUMMYFUNCTION("""COMPUTED_VALUE"""),21.0)</f>
        <v>21</v>
      </c>
      <c r="I1282" s="77">
        <f>IFERROR(__xludf.DUMMYFUNCTION("""COMPUTED_VALUE"""),100.0)</f>
        <v>100</v>
      </c>
      <c r="J1282" s="73"/>
      <c r="K1282" s="73"/>
      <c r="L1282" s="73"/>
      <c r="M1282" s="77">
        <f>IFERROR(__xludf.DUMMYFUNCTION("""COMPUTED_VALUE"""),0.1)</f>
        <v>0.1</v>
      </c>
      <c r="N1282" s="77">
        <f>IFERROR(__xludf.DUMMYFUNCTION("""COMPUTED_VALUE"""),1.0)</f>
        <v>1</v>
      </c>
      <c r="O1282" s="49"/>
      <c r="P1282" s="49" t="str">
        <f>IFERROR(__xludf.DUMMYFUNCTION("""COMPUTED_VALUE"""),"Offset")</f>
        <v>Offset</v>
      </c>
      <c r="Q1282" s="49" t="str">
        <f>IFERROR(__xludf.DUMMYFUNCTION("""COMPUTED_VALUE"""),"Packaging")</f>
        <v>Packaging</v>
      </c>
      <c r="R1282" s="49" t="str">
        <f>IFERROR(__xludf.DUMMYFUNCTION("""COMPUTED_VALUE"""),"Led")</f>
        <v>Led</v>
      </c>
    </row>
    <row r="1283">
      <c r="A1283" s="156" t="str">
        <f>IFERROR(__xludf.DUMMYFUNCTION("""COMPUTED_VALUE"""),"https://drive.google.com/open?id=1YTaq9nHT9gMNgFiktQ2gsVP0tfv2lbi3&amp;authuser=jay.agg%40gmail.com&amp;usp=drive_fs")</f>
        <v>https://drive.google.com/open?id=1YTaq9nHT9gMNgFiktQ2gsVP0tfv2lbi3&amp;authuser=jay.agg%40gmail.com&amp;usp=drive_fs</v>
      </c>
      <c r="B1283" s="73" t="str">
        <f>IFERROR(__xludf.DUMMYFUNCTION("""COMPUTED_VALUE"""),"Led")</f>
        <v>Led</v>
      </c>
      <c r="C1283" s="73" t="str">
        <f>IFERROR(__xludf.DUMMYFUNCTION("""COMPUTED_VALUE"""),"Conceal")</f>
        <v>Conceal</v>
      </c>
      <c r="D1283" s="73" t="str">
        <f>IFERROR(__xludf.DUMMYFUNCTION("""COMPUTED_VALUE"""),"105*60*105 mm IL")</f>
        <v>105*60*105 mm IL</v>
      </c>
      <c r="E1283" s="77">
        <f>IFERROR(__xludf.DUMMYFUNCTION("""COMPUTED_VALUE"""),4.0)</f>
        <v>4</v>
      </c>
      <c r="F1283" s="77">
        <f>IFERROR(__xludf.DUMMYFUNCTION("""COMPUTED_VALUE"""),2029.0)</f>
        <v>2029</v>
      </c>
      <c r="G1283" s="77">
        <f>IFERROR(__xludf.DUMMYFUNCTION("""COMPUTED_VALUE"""),17.5)</f>
        <v>17.5</v>
      </c>
      <c r="H1283" s="77">
        <f>IFERROR(__xludf.DUMMYFUNCTION("""COMPUTED_VALUE"""),28.0)</f>
        <v>28</v>
      </c>
      <c r="I1283" s="77">
        <f>IFERROR(__xludf.DUMMYFUNCTION("""COMPUTED_VALUE"""),100.0)</f>
        <v>100</v>
      </c>
      <c r="J1283" s="73"/>
      <c r="K1283" s="73"/>
      <c r="L1283" s="73"/>
      <c r="M1283" s="77">
        <f>IFERROR(__xludf.DUMMYFUNCTION("""COMPUTED_VALUE"""),0.1)</f>
        <v>0.1</v>
      </c>
      <c r="N1283" s="77">
        <f>IFERROR(__xludf.DUMMYFUNCTION("""COMPUTED_VALUE"""),1.0)</f>
        <v>1</v>
      </c>
      <c r="O1283" s="49"/>
      <c r="P1283" s="49" t="str">
        <f>IFERROR(__xludf.DUMMYFUNCTION("""COMPUTED_VALUE"""),"Offset")</f>
        <v>Offset</v>
      </c>
      <c r="Q1283" s="49" t="str">
        <f>IFERROR(__xludf.DUMMYFUNCTION("""COMPUTED_VALUE"""),"Packaging")</f>
        <v>Packaging</v>
      </c>
      <c r="R1283" s="49" t="str">
        <f>IFERROR(__xludf.DUMMYFUNCTION("""COMPUTED_VALUE"""),"Led")</f>
        <v>Led</v>
      </c>
    </row>
    <row r="1284">
      <c r="A1284" s="156" t="str">
        <f>IFERROR(__xludf.DUMMYFUNCTION("""COMPUTED_VALUE"""),"https://drive.google.com/open?id=1_1bkwJfvvXKOZ7gkez59jFow9rVWUjtV&amp;authuser=jay.agg%40gmail.com&amp;usp=drive_fs")</f>
        <v>https://drive.google.com/open?id=1_1bkwJfvvXKOZ7gkez59jFow9rVWUjtV&amp;authuser=jay.agg%40gmail.com&amp;usp=drive_fs</v>
      </c>
      <c r="B1284" s="73" t="str">
        <f>IFERROR(__xludf.DUMMYFUNCTION("""COMPUTED_VALUE"""),"Led")</f>
        <v>Led</v>
      </c>
      <c r="C1284" s="73" t="str">
        <f>IFERROR(__xludf.DUMMYFUNCTION("""COMPUTED_VALUE"""),"T Bulb")</f>
        <v>T Bulb</v>
      </c>
      <c r="D1284" s="73" t="str">
        <f>IFERROR(__xludf.DUMMYFUNCTION("""COMPUTED_VALUE"""),"T BULB 282*30*113 mm")</f>
        <v>T BULB 282*30*113 mm</v>
      </c>
      <c r="E1284" s="77">
        <f>IFERROR(__xludf.DUMMYFUNCTION("""COMPUTED_VALUE"""),2.0)</f>
        <v>2</v>
      </c>
      <c r="F1284" s="77">
        <f>IFERROR(__xludf.DUMMYFUNCTION("""COMPUTED_VALUE"""),1926.0)</f>
        <v>1926</v>
      </c>
      <c r="G1284" s="77">
        <f>IFERROR(__xludf.DUMMYFUNCTION("""COMPUTED_VALUE"""),15.0)</f>
        <v>15</v>
      </c>
      <c r="H1284" s="77">
        <f>IFERROR(__xludf.DUMMYFUNCTION("""COMPUTED_VALUE"""),25.0)</f>
        <v>25</v>
      </c>
      <c r="I1284" s="77">
        <f>IFERROR(__xludf.DUMMYFUNCTION("""COMPUTED_VALUE"""),100.0)</f>
        <v>100</v>
      </c>
      <c r="J1284" s="73"/>
      <c r="K1284" s="73"/>
      <c r="L1284" s="73"/>
      <c r="M1284" s="77">
        <f>IFERROR(__xludf.DUMMYFUNCTION("""COMPUTED_VALUE"""),0.1)</f>
        <v>0.1</v>
      </c>
      <c r="N1284" s="77">
        <f>IFERROR(__xludf.DUMMYFUNCTION("""COMPUTED_VALUE"""),1.0)</f>
        <v>1</v>
      </c>
      <c r="O1284" s="49"/>
      <c r="P1284" s="49" t="str">
        <f>IFERROR(__xludf.DUMMYFUNCTION("""COMPUTED_VALUE"""),"Offset")</f>
        <v>Offset</v>
      </c>
      <c r="Q1284" s="49" t="str">
        <f>IFERROR(__xludf.DUMMYFUNCTION("""COMPUTED_VALUE"""),"Packaging")</f>
        <v>Packaging</v>
      </c>
      <c r="R1284" s="49" t="str">
        <f>IFERROR(__xludf.DUMMYFUNCTION("""COMPUTED_VALUE"""),"Led")</f>
        <v>Led</v>
      </c>
    </row>
    <row r="1285">
      <c r="A1285" s="156" t="str">
        <f>IFERROR(__xludf.DUMMYFUNCTION("""COMPUTED_VALUE"""),"https://drive.google.com/open?id=1_ChbYSnFIXai7VRMu-5N6Il1Eg_fMLjp&amp;authuser=jay.agg%40gmail.com&amp;usp=drive_fs")</f>
        <v>https://drive.google.com/open?id=1_ChbYSnFIXai7VRMu-5N6Il1Eg_fMLjp&amp;authuser=jay.agg%40gmail.com&amp;usp=drive_fs</v>
      </c>
      <c r="B1285" s="73" t="str">
        <f>IFERROR(__xludf.DUMMYFUNCTION("""COMPUTED_VALUE"""),"Led")</f>
        <v>Led</v>
      </c>
      <c r="C1285" s="73" t="str">
        <f>IFERROR(__xludf.DUMMYFUNCTION("""COMPUTED_VALUE"""),"Conceal")</f>
        <v>Conceal</v>
      </c>
      <c r="D1285" s="73" t="str">
        <f>IFERROR(__xludf.DUMMYFUNCTION("""COMPUTED_VALUE"""),"118*60*118 mm IL")</f>
        <v>118*60*118 mm IL</v>
      </c>
      <c r="E1285" s="77">
        <f>IFERROR(__xludf.DUMMYFUNCTION("""COMPUTED_VALUE"""),2.0)</f>
        <v>2</v>
      </c>
      <c r="F1285" s="77">
        <f>IFERROR(__xludf.DUMMYFUNCTION("""COMPUTED_VALUE"""),1926.0)</f>
        <v>1926</v>
      </c>
      <c r="G1285" s="77">
        <f>IFERROR(__xludf.DUMMYFUNCTION("""COMPUTED_VALUE"""),15.0)</f>
        <v>15</v>
      </c>
      <c r="H1285" s="77">
        <f>IFERROR(__xludf.DUMMYFUNCTION("""COMPUTED_VALUE"""),20.0)</f>
        <v>20</v>
      </c>
      <c r="I1285" s="77">
        <f>IFERROR(__xludf.DUMMYFUNCTION("""COMPUTED_VALUE"""),100.0)</f>
        <v>100</v>
      </c>
      <c r="J1285" s="73"/>
      <c r="K1285" s="73"/>
      <c r="L1285" s="73"/>
      <c r="M1285" s="77">
        <f>IFERROR(__xludf.DUMMYFUNCTION("""COMPUTED_VALUE"""),0.1)</f>
        <v>0.1</v>
      </c>
      <c r="N1285" s="77">
        <f>IFERROR(__xludf.DUMMYFUNCTION("""COMPUTED_VALUE"""),1.0)</f>
        <v>1</v>
      </c>
      <c r="O1285" s="49"/>
      <c r="P1285" s="49" t="str">
        <f>IFERROR(__xludf.DUMMYFUNCTION("""COMPUTED_VALUE"""),"Offset")</f>
        <v>Offset</v>
      </c>
      <c r="Q1285" s="49" t="str">
        <f>IFERROR(__xludf.DUMMYFUNCTION("""COMPUTED_VALUE"""),"Packaging")</f>
        <v>Packaging</v>
      </c>
      <c r="R1285" s="49" t="str">
        <f>IFERROR(__xludf.DUMMYFUNCTION("""COMPUTED_VALUE"""),"Led")</f>
        <v>Led</v>
      </c>
    </row>
    <row r="1286">
      <c r="A1286" s="156" t="str">
        <f>IFERROR(__xludf.DUMMYFUNCTION("""COMPUTED_VALUE"""),"https://drive.google.com/open?id=1YFCgc_BWabEvGjWs_0b6l3d8aEn1xxgY&amp;authuser=jay.agg%40gmail.com&amp;usp=drive_fs")</f>
        <v>https://drive.google.com/open?id=1YFCgc_BWabEvGjWs_0b6l3d8aEn1xxgY&amp;authuser=jay.agg%40gmail.com&amp;usp=drive_fs</v>
      </c>
      <c r="B1286" s="73" t="str">
        <f>IFERROR(__xludf.DUMMYFUNCTION("""COMPUTED_VALUE"""),"Led")</f>
        <v>Led</v>
      </c>
      <c r="C1286" s="73" t="str">
        <f>IFERROR(__xludf.DUMMYFUNCTION("""COMPUTED_VALUE"""),"Conceal")</f>
        <v>Conceal</v>
      </c>
      <c r="D1286" s="73" t="str">
        <f>IFERROR(__xludf.DUMMYFUNCTION("""COMPUTED_VALUE"""),"235*45*190 mm")</f>
        <v>235*45*190 mm</v>
      </c>
      <c r="E1286" s="77">
        <f>IFERROR(__xludf.DUMMYFUNCTION("""COMPUTED_VALUE"""),1.0)</f>
        <v>1</v>
      </c>
      <c r="F1286" s="77">
        <f>IFERROR(__xludf.DUMMYFUNCTION("""COMPUTED_VALUE"""),1926.0)</f>
        <v>1926</v>
      </c>
      <c r="G1286" s="77">
        <f>IFERROR(__xludf.DUMMYFUNCTION("""COMPUTED_VALUE"""),13.0)</f>
        <v>13</v>
      </c>
      <c r="H1286" s="77">
        <f>IFERROR(__xludf.DUMMYFUNCTION("""COMPUTED_VALUE"""),23.0)</f>
        <v>23</v>
      </c>
      <c r="I1286" s="77">
        <f>IFERROR(__xludf.DUMMYFUNCTION("""COMPUTED_VALUE"""),100.0)</f>
        <v>100</v>
      </c>
      <c r="J1286" s="73"/>
      <c r="K1286" s="73"/>
      <c r="L1286" s="73"/>
      <c r="M1286" s="77">
        <f>IFERROR(__xludf.DUMMYFUNCTION("""COMPUTED_VALUE"""),0.1)</f>
        <v>0.1</v>
      </c>
      <c r="N1286" s="77">
        <f>IFERROR(__xludf.DUMMYFUNCTION("""COMPUTED_VALUE"""),1.0)</f>
        <v>1</v>
      </c>
      <c r="O1286" s="49"/>
      <c r="P1286" s="49" t="str">
        <f>IFERROR(__xludf.DUMMYFUNCTION("""COMPUTED_VALUE"""),"Offset")</f>
        <v>Offset</v>
      </c>
      <c r="Q1286" s="49" t="str">
        <f>IFERROR(__xludf.DUMMYFUNCTION("""COMPUTED_VALUE"""),"Packaging")</f>
        <v>Packaging</v>
      </c>
      <c r="R1286" s="49" t="str">
        <f>IFERROR(__xludf.DUMMYFUNCTION("""COMPUTED_VALUE"""),"Led")</f>
        <v>Led</v>
      </c>
    </row>
    <row r="1287">
      <c r="A1287" s="156" t="str">
        <f>IFERROR(__xludf.DUMMYFUNCTION("""COMPUTED_VALUE"""),"https://drive.google.com/open?id=1ZBMC_jae-XNLK_NSe0ayTfFuAUZkBaqp&amp;authuser=jay.agg%40gmail.com&amp;usp=drive_fs")</f>
        <v>https://drive.google.com/open?id=1ZBMC_jae-XNLK_NSe0ayTfFuAUZkBaqp&amp;authuser=jay.agg%40gmail.com&amp;usp=drive_fs</v>
      </c>
      <c r="B1287" s="73" t="str">
        <f>IFERROR(__xludf.DUMMYFUNCTION("""COMPUTED_VALUE"""),"Led")</f>
        <v>Led</v>
      </c>
      <c r="C1287" s="73" t="str">
        <f>IFERROR(__xludf.DUMMYFUNCTION("""COMPUTED_VALUE"""),"Led Bulb")</f>
        <v>Led Bulb</v>
      </c>
      <c r="D1287" s="73" t="str">
        <f>IFERROR(__xludf.DUMMYFUNCTION("""COMPUTED_VALUE"""),"57*57*105 mm WH IL")</f>
        <v>57*57*105 mm WH IL</v>
      </c>
      <c r="E1287" s="77">
        <f>IFERROR(__xludf.DUMMYFUNCTION("""COMPUTED_VALUE"""),6.0)</f>
        <v>6</v>
      </c>
      <c r="F1287" s="77">
        <f>IFERROR(__xludf.DUMMYFUNCTION("""COMPUTED_VALUE"""),1926.0)</f>
        <v>1926</v>
      </c>
      <c r="G1287" s="77">
        <f>IFERROR(__xludf.DUMMYFUNCTION("""COMPUTED_VALUE"""),19.5)</f>
        <v>19.5</v>
      </c>
      <c r="H1287" s="77">
        <f>IFERROR(__xludf.DUMMYFUNCTION("""COMPUTED_VALUE"""),23.0)</f>
        <v>23</v>
      </c>
      <c r="I1287" s="77">
        <f>IFERROR(__xludf.DUMMYFUNCTION("""COMPUTED_VALUE"""),100.0)</f>
        <v>100</v>
      </c>
      <c r="J1287" s="73"/>
      <c r="K1287" s="73"/>
      <c r="L1287" s="73"/>
      <c r="M1287" s="77">
        <f>IFERROR(__xludf.DUMMYFUNCTION("""COMPUTED_VALUE"""),0.1)</f>
        <v>0.1</v>
      </c>
      <c r="N1287" s="77">
        <f>IFERROR(__xludf.DUMMYFUNCTION("""COMPUTED_VALUE"""),1.0)</f>
        <v>1</v>
      </c>
      <c r="O1287" s="49"/>
      <c r="P1287" s="49" t="str">
        <f>IFERROR(__xludf.DUMMYFUNCTION("""COMPUTED_VALUE"""),"Offset")</f>
        <v>Offset</v>
      </c>
      <c r="Q1287" s="49" t="str">
        <f>IFERROR(__xludf.DUMMYFUNCTION("""COMPUTED_VALUE"""),"Packaging")</f>
        <v>Packaging</v>
      </c>
      <c r="R1287" s="49" t="str">
        <f>IFERROR(__xludf.DUMMYFUNCTION("""COMPUTED_VALUE"""),"Led")</f>
        <v>Led</v>
      </c>
    </row>
    <row r="1288">
      <c r="A1288" s="156" t="str">
        <f>IFERROR(__xludf.DUMMYFUNCTION("""COMPUTED_VALUE"""),"https://drive.google.com/open?id=1ZR2NVn81JdyS6hQXJPzTlFXNyVy39F5A&amp;authuser=jay.agg%40gmail.com&amp;usp=drive_fs")</f>
        <v>https://drive.google.com/open?id=1ZR2NVn81JdyS6hQXJPzTlFXNyVy39F5A&amp;authuser=jay.agg%40gmail.com&amp;usp=drive_fs</v>
      </c>
      <c r="B1288" s="73" t="str">
        <f>IFERROR(__xludf.DUMMYFUNCTION("""COMPUTED_VALUE"""),"Led")</f>
        <v>Led</v>
      </c>
      <c r="C1288" s="73" t="str">
        <f>IFERROR(__xludf.DUMMYFUNCTION("""COMPUTED_VALUE"""),"Led Bulb")</f>
        <v>Led Bulb</v>
      </c>
      <c r="D1288" s="73" t="str">
        <f>IFERROR(__xludf.DUMMYFUNCTION("""COMPUTED_VALUE"""),"60*60*115 mm WH IL")</f>
        <v>60*60*115 mm WH IL</v>
      </c>
      <c r="E1288" s="77">
        <f>IFERROR(__xludf.DUMMYFUNCTION("""COMPUTED_VALUE"""),4.0)</f>
        <v>4</v>
      </c>
      <c r="F1288" s="77">
        <f>IFERROR(__xludf.DUMMYFUNCTION("""COMPUTED_VALUE"""),1926.0)</f>
        <v>1926</v>
      </c>
      <c r="G1288" s="77">
        <f>IFERROR(__xludf.DUMMYFUNCTION("""COMPUTED_VALUE"""),15.0)</f>
        <v>15</v>
      </c>
      <c r="H1288" s="77">
        <f>IFERROR(__xludf.DUMMYFUNCTION("""COMPUTED_VALUE"""),20.0)</f>
        <v>20</v>
      </c>
      <c r="I1288" s="77">
        <f>IFERROR(__xludf.DUMMYFUNCTION("""COMPUTED_VALUE"""),100.0)</f>
        <v>100</v>
      </c>
      <c r="J1288" s="73"/>
      <c r="K1288" s="73"/>
      <c r="L1288" s="73"/>
      <c r="M1288" s="77">
        <f>IFERROR(__xludf.DUMMYFUNCTION("""COMPUTED_VALUE"""),0.1)</f>
        <v>0.1</v>
      </c>
      <c r="N1288" s="77">
        <f>IFERROR(__xludf.DUMMYFUNCTION("""COMPUTED_VALUE"""),1.0)</f>
        <v>1</v>
      </c>
      <c r="O1288" s="49"/>
      <c r="P1288" s="49" t="str">
        <f>IFERROR(__xludf.DUMMYFUNCTION("""COMPUTED_VALUE"""),"Offset")</f>
        <v>Offset</v>
      </c>
      <c r="Q1288" s="49" t="str">
        <f>IFERROR(__xludf.DUMMYFUNCTION("""COMPUTED_VALUE"""),"Packaging")</f>
        <v>Packaging</v>
      </c>
      <c r="R1288" s="49" t="str">
        <f>IFERROR(__xludf.DUMMYFUNCTION("""COMPUTED_VALUE"""),"Led")</f>
        <v>Led</v>
      </c>
    </row>
    <row r="1289">
      <c r="A1289" s="156" t="str">
        <f>IFERROR(__xludf.DUMMYFUNCTION("""COMPUTED_VALUE"""),"https://drive.google.com/open?id=1ZOgPzEakhpotGXkpBwaqHxKC0uRTRTPw&amp;authuser=jay.agg%40gmail.com&amp;usp=drive_fs")</f>
        <v>https://drive.google.com/open?id=1ZOgPzEakhpotGXkpBwaqHxKC0uRTRTPw&amp;authuser=jay.agg%40gmail.com&amp;usp=drive_fs</v>
      </c>
      <c r="B1289" s="73" t="str">
        <f>IFERROR(__xludf.DUMMYFUNCTION("""COMPUTED_VALUE"""),"Led")</f>
        <v>Led</v>
      </c>
      <c r="C1289" s="73" t="str">
        <f>IFERROR(__xludf.DUMMYFUNCTION("""COMPUTED_VALUE"""),"Led Bulb")</f>
        <v>Led Bulb</v>
      </c>
      <c r="D1289" s="73" t="str">
        <f>IFERROR(__xludf.DUMMYFUNCTION("""COMPUTED_VALUE"""),"81*81*145 mm WH IL")</f>
        <v>81*81*145 mm WH IL</v>
      </c>
      <c r="E1289" s="77">
        <f>IFERROR(__xludf.DUMMYFUNCTION("""COMPUTED_VALUE"""),4.0)</f>
        <v>4</v>
      </c>
      <c r="F1289" s="77">
        <f>IFERROR(__xludf.DUMMYFUNCTION("""COMPUTED_VALUE"""),2029.0)</f>
        <v>2029</v>
      </c>
      <c r="G1289" s="77">
        <f>IFERROR(__xludf.DUMMYFUNCTION("""COMPUTED_VALUE"""),20.0)</f>
        <v>20</v>
      </c>
      <c r="H1289" s="77">
        <f>IFERROR(__xludf.DUMMYFUNCTION("""COMPUTED_VALUE"""),28.0)</f>
        <v>28</v>
      </c>
      <c r="I1289" s="77">
        <f>IFERROR(__xludf.DUMMYFUNCTION("""COMPUTED_VALUE"""),100.0)</f>
        <v>100</v>
      </c>
      <c r="J1289" s="73"/>
      <c r="K1289" s="73"/>
      <c r="L1289" s="73"/>
      <c r="M1289" s="77">
        <f>IFERROR(__xludf.DUMMYFUNCTION("""COMPUTED_VALUE"""),0.1)</f>
        <v>0.1</v>
      </c>
      <c r="N1289" s="77">
        <f>IFERROR(__xludf.DUMMYFUNCTION("""COMPUTED_VALUE"""),1.0)</f>
        <v>1</v>
      </c>
      <c r="O1289" s="49"/>
      <c r="P1289" s="49" t="str">
        <f>IFERROR(__xludf.DUMMYFUNCTION("""COMPUTED_VALUE"""),"Offset")</f>
        <v>Offset</v>
      </c>
      <c r="Q1289" s="49" t="str">
        <f>IFERROR(__xludf.DUMMYFUNCTION("""COMPUTED_VALUE"""),"Packaging")</f>
        <v>Packaging</v>
      </c>
      <c r="R1289" s="49" t="str">
        <f>IFERROR(__xludf.DUMMYFUNCTION("""COMPUTED_VALUE"""),"Led")</f>
        <v>Led</v>
      </c>
    </row>
    <row r="1290">
      <c r="A1290" s="156" t="str">
        <f>IFERROR(__xludf.DUMMYFUNCTION("""COMPUTED_VALUE"""),"https://drive.google.com/open?id=1ZLQjRwMjHl4R3HsQmovRrlzchK4rzv0y&amp;authuser=jay.agg%40gmail.com&amp;usp=drive_fs")</f>
        <v>https://drive.google.com/open?id=1ZLQjRwMjHl4R3HsQmovRrlzchK4rzv0y&amp;authuser=jay.agg%40gmail.com&amp;usp=drive_fs</v>
      </c>
      <c r="B1290" s="73" t="str">
        <f>IFERROR(__xludf.DUMMYFUNCTION("""COMPUTED_VALUE"""),"Led")</f>
        <v>Led</v>
      </c>
      <c r="C1290" s="73" t="str">
        <f>IFERROR(__xludf.DUMMYFUNCTION("""COMPUTED_VALUE"""),"Led Bulb")</f>
        <v>Led Bulb</v>
      </c>
      <c r="D1290" s="73" t="str">
        <f>IFERROR(__xludf.DUMMYFUNCTION("""COMPUTED_VALUE"""),"72*72*136 mm WH IL")</f>
        <v>72*72*136 mm WH IL</v>
      </c>
      <c r="E1290" s="77">
        <f>IFERROR(__xludf.DUMMYFUNCTION("""COMPUTED_VALUE"""),4.0)</f>
        <v>4</v>
      </c>
      <c r="F1290" s="77">
        <f>IFERROR(__xludf.DUMMYFUNCTION("""COMPUTED_VALUE"""),1926.0)</f>
        <v>1926</v>
      </c>
      <c r="G1290" s="77">
        <f>IFERROR(__xludf.DUMMYFUNCTION("""COMPUTED_VALUE"""),18.0)</f>
        <v>18</v>
      </c>
      <c r="H1290" s="77">
        <f>IFERROR(__xludf.DUMMYFUNCTION("""COMPUTED_VALUE"""),24.0)</f>
        <v>24</v>
      </c>
      <c r="I1290" s="77">
        <f>IFERROR(__xludf.DUMMYFUNCTION("""COMPUTED_VALUE"""),100.0)</f>
        <v>100</v>
      </c>
      <c r="J1290" s="73"/>
      <c r="K1290" s="73"/>
      <c r="L1290" s="73"/>
      <c r="M1290" s="77">
        <f>IFERROR(__xludf.DUMMYFUNCTION("""COMPUTED_VALUE"""),0.1)</f>
        <v>0.1</v>
      </c>
      <c r="N1290" s="77">
        <f>IFERROR(__xludf.DUMMYFUNCTION("""COMPUTED_VALUE"""),1.0)</f>
        <v>1</v>
      </c>
      <c r="O1290" s="49"/>
      <c r="P1290" s="49" t="str">
        <f>IFERROR(__xludf.DUMMYFUNCTION("""COMPUTED_VALUE"""),"Offset")</f>
        <v>Offset</v>
      </c>
      <c r="Q1290" s="49" t="str">
        <f>IFERROR(__xludf.DUMMYFUNCTION("""COMPUTED_VALUE"""),"Packaging")</f>
        <v>Packaging</v>
      </c>
      <c r="R1290" s="49" t="str">
        <f>IFERROR(__xludf.DUMMYFUNCTION("""COMPUTED_VALUE"""),"Led")</f>
        <v>Led</v>
      </c>
    </row>
    <row r="1291">
      <c r="A1291" s="156" t="str">
        <f>IFERROR(__xludf.DUMMYFUNCTION("""COMPUTED_VALUE"""),"https://drive.google.com/open?id=1ZIFnyNVkUmCGe7-apfnF8-oeRg9Bkqsv&amp;authuser=jay.agg%40gmail.com&amp;usp=drive_fs")</f>
        <v>https://drive.google.com/open?id=1ZIFnyNVkUmCGe7-apfnF8-oeRg9Bkqsv&amp;authuser=jay.agg%40gmail.com&amp;usp=drive_fs</v>
      </c>
      <c r="B1291" s="73" t="str">
        <f>IFERROR(__xludf.DUMMYFUNCTION("""COMPUTED_VALUE"""),"Led")</f>
        <v>Led</v>
      </c>
      <c r="C1291" s="73" t="str">
        <f>IFERROR(__xludf.DUMMYFUNCTION("""COMPUTED_VALUE"""),"Led Bulb")</f>
        <v>Led Bulb</v>
      </c>
      <c r="D1291" s="73" t="str">
        <f>IFERROR(__xludf.DUMMYFUNCTION("""COMPUTED_VALUE"""),"65*65*125 mm WH IL")</f>
        <v>65*65*125 mm WH IL</v>
      </c>
      <c r="E1291" s="77">
        <f>IFERROR(__xludf.DUMMYFUNCTION("""COMPUTED_VALUE"""),4.0)</f>
        <v>4</v>
      </c>
      <c r="F1291" s="77">
        <f>IFERROR(__xludf.DUMMYFUNCTION("""COMPUTED_VALUE"""),1926.0)</f>
        <v>1926</v>
      </c>
      <c r="G1291" s="77">
        <f>IFERROR(__xludf.DUMMYFUNCTION("""COMPUTED_VALUE"""),18.0)</f>
        <v>18</v>
      </c>
      <c r="H1291" s="77">
        <f>IFERROR(__xludf.DUMMYFUNCTION("""COMPUTED_VALUE"""),23.0)</f>
        <v>23</v>
      </c>
      <c r="I1291" s="77">
        <f>IFERROR(__xludf.DUMMYFUNCTION("""COMPUTED_VALUE"""),100.0)</f>
        <v>100</v>
      </c>
      <c r="J1291" s="73"/>
      <c r="K1291" s="73"/>
      <c r="L1291" s="73"/>
      <c r="M1291" s="77">
        <f>IFERROR(__xludf.DUMMYFUNCTION("""COMPUTED_VALUE"""),0.1)</f>
        <v>0.1</v>
      </c>
      <c r="N1291" s="77">
        <f>IFERROR(__xludf.DUMMYFUNCTION("""COMPUTED_VALUE"""),1.0)</f>
        <v>1</v>
      </c>
      <c r="O1291" s="49"/>
      <c r="P1291" s="49" t="str">
        <f>IFERROR(__xludf.DUMMYFUNCTION("""COMPUTED_VALUE"""),"Offset")</f>
        <v>Offset</v>
      </c>
      <c r="Q1291" s="49" t="str">
        <f>IFERROR(__xludf.DUMMYFUNCTION("""COMPUTED_VALUE"""),"Packaging")</f>
        <v>Packaging</v>
      </c>
      <c r="R1291" s="49" t="str">
        <f>IFERROR(__xludf.DUMMYFUNCTION("""COMPUTED_VALUE"""),"Led")</f>
        <v>Led</v>
      </c>
    </row>
    <row r="1292">
      <c r="A1292" s="156" t="str">
        <f>IFERROR(__xludf.DUMMYFUNCTION("""COMPUTED_VALUE"""),"https://drive.google.com/open?id=1ZESplArTHnRcuqJDczmjSbve1AVfrWTr&amp;authuser=jay.agg%40gmail.com&amp;usp=drive_fs")</f>
        <v>https://drive.google.com/open?id=1ZESplArTHnRcuqJDczmjSbve1AVfrWTr&amp;authuser=jay.agg%40gmail.com&amp;usp=drive_fs</v>
      </c>
      <c r="B1292" s="73" t="str">
        <f>IFERROR(__xludf.DUMMYFUNCTION("""COMPUTED_VALUE"""),"Led")</f>
        <v>Led</v>
      </c>
      <c r="C1292" s="73" t="str">
        <f>IFERROR(__xludf.DUMMYFUNCTION("""COMPUTED_VALUE"""),"Led Bulb")</f>
        <v>Led Bulb</v>
      </c>
      <c r="D1292" s="73" t="str">
        <f>IFERROR(__xludf.DUMMYFUNCTION("""COMPUTED_VALUE"""),"60*60*109 mm WH IL")</f>
        <v>60*60*109 mm WH IL</v>
      </c>
      <c r="E1292" s="77">
        <f>IFERROR(__xludf.DUMMYFUNCTION("""COMPUTED_VALUE"""),4.0)</f>
        <v>4</v>
      </c>
      <c r="F1292" s="77">
        <f>IFERROR(__xludf.DUMMYFUNCTION("""COMPUTED_VALUE"""),1926.0)</f>
        <v>1926</v>
      </c>
      <c r="G1292" s="77">
        <f>IFERROR(__xludf.DUMMYFUNCTION("""COMPUTED_VALUE"""),15.0)</f>
        <v>15</v>
      </c>
      <c r="H1292" s="77">
        <f>IFERROR(__xludf.DUMMYFUNCTION("""COMPUTED_VALUE"""),20.0)</f>
        <v>20</v>
      </c>
      <c r="I1292" s="77">
        <f>IFERROR(__xludf.DUMMYFUNCTION("""COMPUTED_VALUE"""),100.0)</f>
        <v>100</v>
      </c>
      <c r="J1292" s="73"/>
      <c r="K1292" s="73"/>
      <c r="L1292" s="73"/>
      <c r="M1292" s="77">
        <f>IFERROR(__xludf.DUMMYFUNCTION("""COMPUTED_VALUE"""),0.1)</f>
        <v>0.1</v>
      </c>
      <c r="N1292" s="77">
        <f>IFERROR(__xludf.DUMMYFUNCTION("""COMPUTED_VALUE"""),1.0)</f>
        <v>1</v>
      </c>
      <c r="O1292" s="49"/>
      <c r="P1292" s="49" t="str">
        <f>IFERROR(__xludf.DUMMYFUNCTION("""COMPUTED_VALUE"""),"Offset")</f>
        <v>Offset</v>
      </c>
      <c r="Q1292" s="49" t="str">
        <f>IFERROR(__xludf.DUMMYFUNCTION("""COMPUTED_VALUE"""),"Packaging")</f>
        <v>Packaging</v>
      </c>
      <c r="R1292" s="49" t="str">
        <f>IFERROR(__xludf.DUMMYFUNCTION("""COMPUTED_VALUE"""),"Led")</f>
        <v>Led</v>
      </c>
    </row>
    <row r="1293">
      <c r="A1293" s="156" t="str">
        <f>IFERROR(__xludf.DUMMYFUNCTION("""COMPUTED_VALUE"""),"https://drive.google.com/open?id=1ZEFBloZVR9FSCNUtDeDZhsN9bVfSJ7iL&amp;authuser=jay.agg%40gmail.com&amp;usp=drive_fs")</f>
        <v>https://drive.google.com/open?id=1ZEFBloZVR9FSCNUtDeDZhsN9bVfSJ7iL&amp;authuser=jay.agg%40gmail.com&amp;usp=drive_fs</v>
      </c>
      <c r="B1293" s="73" t="str">
        <f>IFERROR(__xludf.DUMMYFUNCTION("""COMPUTED_VALUE"""),"Led")</f>
        <v>Led</v>
      </c>
      <c r="C1293" s="73" t="str">
        <f>IFERROR(__xludf.DUMMYFUNCTION("""COMPUTED_VALUE"""),"Led Bulb")</f>
        <v>Led Bulb</v>
      </c>
      <c r="D1293" s="73" t="str">
        <f>IFERROR(__xludf.DUMMYFUNCTION("""COMPUTED_VALUE"""),"55*55*102 mm WH IL")</f>
        <v>55*55*102 mm WH IL</v>
      </c>
      <c r="E1293" s="77">
        <f>IFERROR(__xludf.DUMMYFUNCTION("""COMPUTED_VALUE"""),8.0)</f>
        <v>8</v>
      </c>
      <c r="F1293" s="77">
        <f>IFERROR(__xludf.DUMMYFUNCTION("""COMPUTED_VALUE"""),2029.0)</f>
        <v>2029</v>
      </c>
      <c r="G1293" s="77">
        <f>IFERROR(__xludf.DUMMYFUNCTION("""COMPUTED_VALUE"""),19.0)</f>
        <v>19</v>
      </c>
      <c r="H1293" s="77">
        <f>IFERROR(__xludf.DUMMYFUNCTION("""COMPUTED_VALUE"""),28.0)</f>
        <v>28</v>
      </c>
      <c r="I1293" s="77">
        <f>IFERROR(__xludf.DUMMYFUNCTION("""COMPUTED_VALUE"""),100.0)</f>
        <v>100</v>
      </c>
      <c r="J1293" s="73"/>
      <c r="K1293" s="73"/>
      <c r="L1293" s="73"/>
      <c r="M1293" s="77">
        <f>IFERROR(__xludf.DUMMYFUNCTION("""COMPUTED_VALUE"""),0.1)</f>
        <v>0.1</v>
      </c>
      <c r="N1293" s="77">
        <f>IFERROR(__xludf.DUMMYFUNCTION("""COMPUTED_VALUE"""),1.0)</f>
        <v>1</v>
      </c>
      <c r="O1293" s="49"/>
      <c r="P1293" s="49" t="str">
        <f>IFERROR(__xludf.DUMMYFUNCTION("""COMPUTED_VALUE"""),"Offset")</f>
        <v>Offset</v>
      </c>
      <c r="Q1293" s="49" t="str">
        <f>IFERROR(__xludf.DUMMYFUNCTION("""COMPUTED_VALUE"""),"Packaging")</f>
        <v>Packaging</v>
      </c>
      <c r="R1293" s="49" t="str">
        <f>IFERROR(__xludf.DUMMYFUNCTION("""COMPUTED_VALUE"""),"Led")</f>
        <v>Led</v>
      </c>
    </row>
    <row r="1294">
      <c r="A1294" s="156" t="str">
        <f>IFERROR(__xludf.DUMMYFUNCTION("""COMPUTED_VALUE"""),"https://drive.google.com/open?id=1ZE0zSvD8INLgl9lkx1PKQ65mmou_WrXX&amp;authuser=jay.agg%40gmail.com&amp;usp=drive_fs")</f>
        <v>https://drive.google.com/open?id=1ZE0zSvD8INLgl9lkx1PKQ65mmou_WrXX&amp;authuser=jay.agg%40gmail.com&amp;usp=drive_fs</v>
      </c>
      <c r="B1294" s="73" t="str">
        <f>IFERROR(__xludf.DUMMYFUNCTION("""COMPUTED_VALUE"""),"Led")</f>
        <v>Led</v>
      </c>
      <c r="C1294" s="73" t="str">
        <f>IFERROR(__xludf.DUMMYFUNCTION("""COMPUTED_VALUE"""),"Led Bulb")</f>
        <v>Led Bulb</v>
      </c>
      <c r="D1294" s="73" t="str">
        <f>IFERROR(__xludf.DUMMYFUNCTION("""COMPUTED_VALUE"""),"51*51*86 mm WH IL")</f>
        <v>51*51*86 mm WH IL</v>
      </c>
      <c r="E1294" s="77">
        <f>IFERROR(__xludf.DUMMYFUNCTION("""COMPUTED_VALUE"""),8.0)</f>
        <v>8</v>
      </c>
      <c r="F1294" s="77">
        <f>IFERROR(__xludf.DUMMYFUNCTION("""COMPUTED_VALUE"""),1926.0)</f>
        <v>1926</v>
      </c>
      <c r="G1294" s="77">
        <f>IFERROR(__xludf.DUMMYFUNCTION("""COMPUTED_VALUE"""),18.0)</f>
        <v>18</v>
      </c>
      <c r="H1294" s="77">
        <f>IFERROR(__xludf.DUMMYFUNCTION("""COMPUTED_VALUE"""),24.0)</f>
        <v>24</v>
      </c>
      <c r="I1294" s="77">
        <f>IFERROR(__xludf.DUMMYFUNCTION("""COMPUTED_VALUE"""),100.0)</f>
        <v>100</v>
      </c>
      <c r="J1294" s="73"/>
      <c r="K1294" s="73"/>
      <c r="L1294" s="73"/>
      <c r="M1294" s="77">
        <f>IFERROR(__xludf.DUMMYFUNCTION("""COMPUTED_VALUE"""),0.1)</f>
        <v>0.1</v>
      </c>
      <c r="N1294" s="77">
        <f>IFERROR(__xludf.DUMMYFUNCTION("""COMPUTED_VALUE"""),1.0)</f>
        <v>1</v>
      </c>
      <c r="O1294" s="49"/>
      <c r="P1294" s="49" t="str">
        <f>IFERROR(__xludf.DUMMYFUNCTION("""COMPUTED_VALUE"""),"Offset")</f>
        <v>Offset</v>
      </c>
      <c r="Q1294" s="49" t="str">
        <f>IFERROR(__xludf.DUMMYFUNCTION("""COMPUTED_VALUE"""),"Packaging")</f>
        <v>Packaging</v>
      </c>
      <c r="R1294" s="49" t="str">
        <f>IFERROR(__xludf.DUMMYFUNCTION("""COMPUTED_VALUE"""),"Led")</f>
        <v>Led</v>
      </c>
    </row>
    <row r="1295">
      <c r="A1295" s="156" t="str">
        <f>IFERROR(__xludf.DUMMYFUNCTION("""COMPUTED_VALUE"""),"https://drive.google.com/open?id=1YJ987P1ghhODb38W-O1JJlWXtE9gQay9&amp;authuser=jay.agg%40gmail.com&amp;usp=drive_fs")</f>
        <v>https://drive.google.com/open?id=1YJ987P1ghhODb38W-O1JJlWXtE9gQay9&amp;authuser=jay.agg%40gmail.com&amp;usp=drive_fs</v>
      </c>
      <c r="B1295" s="73" t="str">
        <f>IFERROR(__xludf.DUMMYFUNCTION("""COMPUTED_VALUE"""),"Led")</f>
        <v>Led</v>
      </c>
      <c r="C1295" s="73" t="str">
        <f>IFERROR(__xludf.DUMMYFUNCTION("""COMPUTED_VALUE"""),"Spot Light")</f>
        <v>Spot Light</v>
      </c>
      <c r="D1295" s="73" t="str">
        <f>IFERROR(__xludf.DUMMYFUNCTION("""COMPUTED_VALUE"""),"64*56*75 mm")</f>
        <v>64*56*75 mm</v>
      </c>
      <c r="E1295" s="77">
        <f>IFERROR(__xludf.DUMMYFUNCTION("""COMPUTED_VALUE"""),4.0)</f>
        <v>4</v>
      </c>
      <c r="F1295" s="77">
        <f>IFERROR(__xludf.DUMMYFUNCTION("""COMPUTED_VALUE"""),1926.0)</f>
        <v>1926</v>
      </c>
      <c r="G1295" s="77">
        <f>IFERROR(__xludf.DUMMYFUNCTION("""COMPUTED_VALUE"""),15.0)</f>
        <v>15</v>
      </c>
      <c r="H1295" s="77">
        <f>IFERROR(__xludf.DUMMYFUNCTION("""COMPUTED_VALUE"""),20.0)</f>
        <v>20</v>
      </c>
      <c r="I1295" s="77">
        <f>IFERROR(__xludf.DUMMYFUNCTION("""COMPUTED_VALUE"""),100.0)</f>
        <v>100</v>
      </c>
      <c r="J1295" s="73"/>
      <c r="K1295" s="73"/>
      <c r="L1295" s="73"/>
      <c r="M1295" s="77">
        <f>IFERROR(__xludf.DUMMYFUNCTION("""COMPUTED_VALUE"""),0.1)</f>
        <v>0.1</v>
      </c>
      <c r="N1295" s="77">
        <f>IFERROR(__xludf.DUMMYFUNCTION("""COMPUTED_VALUE"""),1.0)</f>
        <v>1</v>
      </c>
      <c r="O1295" s="49"/>
      <c r="P1295" s="49" t="str">
        <f>IFERROR(__xludf.DUMMYFUNCTION("""COMPUTED_VALUE"""),"Offset")</f>
        <v>Offset</v>
      </c>
      <c r="Q1295" s="49" t="str">
        <f>IFERROR(__xludf.DUMMYFUNCTION("""COMPUTED_VALUE"""),"Packaging")</f>
        <v>Packaging</v>
      </c>
      <c r="R1295" s="49" t="str">
        <f>IFERROR(__xludf.DUMMYFUNCTION("""COMPUTED_VALUE"""),"Led")</f>
        <v>Led</v>
      </c>
    </row>
    <row r="1296">
      <c r="A1296" s="156" t="str">
        <f>IFERROR(__xludf.DUMMYFUNCTION("""COMPUTED_VALUE"""),"https://drive.google.com/open?id=1Y4PlaxbKDhrcm5e4Z37IJu-rcdYJES6B&amp;authuser=jay.agg%40gmail.com&amp;usp=drive_fs")</f>
        <v>https://drive.google.com/open?id=1Y4PlaxbKDhrcm5e4Z37IJu-rcdYJES6B&amp;authuser=jay.agg%40gmail.com&amp;usp=drive_fs</v>
      </c>
      <c r="B1296" s="73" t="str">
        <f>IFERROR(__xludf.DUMMYFUNCTION("""COMPUTED_VALUE"""),"Led")</f>
        <v>Led</v>
      </c>
      <c r="C1296" s="73" t="str">
        <f>IFERROR(__xludf.DUMMYFUNCTION("""COMPUTED_VALUE"""),"Led Bulb")</f>
        <v>Led Bulb</v>
      </c>
      <c r="D1296" s="73" t="str">
        <f>IFERROR(__xludf.DUMMYFUNCTION("""COMPUTED_VALUE"""),"57*57*105 mm BH ")</f>
        <v>57*57*105 mm BH </v>
      </c>
      <c r="E1296" s="77">
        <f>IFERROR(__xludf.DUMMYFUNCTION("""COMPUTED_VALUE"""),4.0)</f>
        <v>4</v>
      </c>
      <c r="F1296" s="77">
        <f>IFERROR(__xludf.DUMMYFUNCTION("""COMPUTED_VALUE"""),1926.0)</f>
        <v>1926</v>
      </c>
      <c r="G1296" s="77">
        <f>IFERROR(__xludf.DUMMYFUNCTION("""COMPUTED_VALUE"""),20.0)</f>
        <v>20</v>
      </c>
      <c r="H1296" s="77">
        <f>IFERROR(__xludf.DUMMYFUNCTION("""COMPUTED_VALUE"""),21.0)</f>
        <v>21</v>
      </c>
      <c r="I1296" s="77">
        <f>IFERROR(__xludf.DUMMYFUNCTION("""COMPUTED_VALUE"""),100.0)</f>
        <v>100</v>
      </c>
      <c r="J1296" s="73"/>
      <c r="K1296" s="73"/>
      <c r="L1296" s="73"/>
      <c r="M1296" s="77">
        <f>IFERROR(__xludf.DUMMYFUNCTION("""COMPUTED_VALUE"""),0.1)</f>
        <v>0.1</v>
      </c>
      <c r="N1296" s="77">
        <f>IFERROR(__xludf.DUMMYFUNCTION("""COMPUTED_VALUE"""),1.0)</f>
        <v>1</v>
      </c>
      <c r="O1296" s="49"/>
      <c r="P1296" s="49" t="str">
        <f>IFERROR(__xludf.DUMMYFUNCTION("""COMPUTED_VALUE"""),"Offset")</f>
        <v>Offset</v>
      </c>
      <c r="Q1296" s="49" t="str">
        <f>IFERROR(__xludf.DUMMYFUNCTION("""COMPUTED_VALUE"""),"Packaging")</f>
        <v>Packaging</v>
      </c>
      <c r="R1296" s="49" t="str">
        <f>IFERROR(__xludf.DUMMYFUNCTION("""COMPUTED_VALUE"""),"Led")</f>
        <v>Led</v>
      </c>
    </row>
    <row r="1297">
      <c r="A1297" s="156" t="str">
        <f>IFERROR(__xludf.DUMMYFUNCTION("""COMPUTED_VALUE"""),"https://drive.google.com/open?id=1Y65vGCAddvGE85yyjyBL_OFxJaTVylhE&amp;authuser=jay.agg%40gmail.com&amp;usp=drive_fs")</f>
        <v>https://drive.google.com/open?id=1Y65vGCAddvGE85yyjyBL_OFxJaTVylhE&amp;authuser=jay.agg%40gmail.com&amp;usp=drive_fs</v>
      </c>
      <c r="B1297" s="73" t="str">
        <f>IFERROR(__xludf.DUMMYFUNCTION("""COMPUTED_VALUE"""),"Led")</f>
        <v>Led</v>
      </c>
      <c r="C1297" s="73" t="str">
        <f>IFERROR(__xludf.DUMMYFUNCTION("""COMPUTED_VALUE"""),"Tube Light")</f>
        <v>Tube Light</v>
      </c>
      <c r="D1297" s="73" t="str">
        <f>IFERROR(__xludf.DUMMYFUNCTION("""COMPUTED_VALUE"""),"120*4*3cm | 1200*40*30 mm")</f>
        <v>120*4*3cm | 1200*40*30 mm</v>
      </c>
      <c r="E1297" s="77">
        <f>IFERROR(__xludf.DUMMYFUNCTION("""COMPUTED_VALUE"""),1.0)</f>
        <v>1</v>
      </c>
      <c r="F1297" s="77">
        <f>IFERROR(__xludf.DUMMYFUNCTION("""COMPUTED_VALUE"""),1926.0)</f>
        <v>1926</v>
      </c>
      <c r="G1297" s="77">
        <f>IFERROR(__xludf.DUMMYFUNCTION("""COMPUTED_VALUE"""),12.7)</f>
        <v>12.7</v>
      </c>
      <c r="H1297" s="77">
        <f>IFERROR(__xludf.DUMMYFUNCTION("""COMPUTED_VALUE"""),28.0)</f>
        <v>28</v>
      </c>
      <c r="I1297" s="77">
        <f>IFERROR(__xludf.DUMMYFUNCTION("""COMPUTED_VALUE"""),100.0)</f>
        <v>100</v>
      </c>
      <c r="J1297" s="73"/>
      <c r="K1297" s="73"/>
      <c r="L1297" s="73"/>
      <c r="M1297" s="77">
        <f>IFERROR(__xludf.DUMMYFUNCTION("""COMPUTED_VALUE"""),0.3)</f>
        <v>0.3</v>
      </c>
      <c r="N1297" s="77">
        <f>IFERROR(__xludf.DUMMYFUNCTION("""COMPUTED_VALUE"""),1.0)</f>
        <v>1</v>
      </c>
      <c r="O1297" s="49"/>
      <c r="P1297" s="49" t="str">
        <f>IFERROR(__xludf.DUMMYFUNCTION("""COMPUTED_VALUE"""),"Offset")</f>
        <v>Offset</v>
      </c>
      <c r="Q1297" s="49" t="str">
        <f>IFERROR(__xludf.DUMMYFUNCTION("""COMPUTED_VALUE"""),"Packaging")</f>
        <v>Packaging</v>
      </c>
      <c r="R1297" s="49" t="str">
        <f>IFERROR(__xludf.DUMMYFUNCTION("""COMPUTED_VALUE"""),"Led")</f>
        <v>Led</v>
      </c>
    </row>
    <row r="1298">
      <c r="A1298" s="156" t="str">
        <f>IFERROR(__xludf.DUMMYFUNCTION("""COMPUTED_VALUE"""),"https://drive.google.com/open?id=1Y6jFhLce0ZYe2GxI6zZHiSqcyZlepi-M&amp;authuser=jay.agg%40gmail.com&amp;usp=drive_fs")</f>
        <v>https://drive.google.com/open?id=1Y6jFhLce0ZYe2GxI6zZHiSqcyZlepi-M&amp;authuser=jay.agg%40gmail.com&amp;usp=drive_fs</v>
      </c>
      <c r="B1298" s="73" t="str">
        <f>IFERROR(__xludf.DUMMYFUNCTION("""COMPUTED_VALUE"""),"Led")</f>
        <v>Led</v>
      </c>
      <c r="C1298" s="73" t="str">
        <f>IFERROR(__xludf.DUMMYFUNCTION("""COMPUTED_VALUE"""),"Tube Light")</f>
        <v>Tube Light</v>
      </c>
      <c r="D1298" s="73" t="str">
        <f>IFERROR(__xludf.DUMMYFUNCTION("""COMPUTED_VALUE"""),"30*4*3 cm | 300*40*30 mm TB")</f>
        <v>30*4*3 cm | 300*40*30 mm TB</v>
      </c>
      <c r="E1298" s="77">
        <f>IFERROR(__xludf.DUMMYFUNCTION("""COMPUTED_VALUE"""),2.0)</f>
        <v>2</v>
      </c>
      <c r="F1298" s="77">
        <f>IFERROR(__xludf.DUMMYFUNCTION("""COMPUTED_VALUE"""),1926.0)</f>
        <v>1926</v>
      </c>
      <c r="G1298" s="77">
        <f>IFERROR(__xludf.DUMMYFUNCTION("""COMPUTED_VALUE"""),25.0)</f>
        <v>25</v>
      </c>
      <c r="H1298" s="77">
        <f>IFERROR(__xludf.DUMMYFUNCTION("""COMPUTED_VALUE"""),30.0)</f>
        <v>30</v>
      </c>
      <c r="I1298" s="77">
        <f>IFERROR(__xludf.DUMMYFUNCTION("""COMPUTED_VALUE"""),100.0)</f>
        <v>100</v>
      </c>
      <c r="J1298" s="73"/>
      <c r="K1298" s="73"/>
      <c r="L1298" s="73"/>
      <c r="M1298" s="77">
        <f>IFERROR(__xludf.DUMMYFUNCTION("""COMPUTED_VALUE"""),0.16)</f>
        <v>0.16</v>
      </c>
      <c r="N1298" s="77">
        <f>IFERROR(__xludf.DUMMYFUNCTION("""COMPUTED_VALUE"""),1.0)</f>
        <v>1</v>
      </c>
      <c r="O1298" s="49"/>
      <c r="P1298" s="49" t="str">
        <f>IFERROR(__xludf.DUMMYFUNCTION("""COMPUTED_VALUE"""),"Offset")</f>
        <v>Offset</v>
      </c>
      <c r="Q1298" s="49" t="str">
        <f>IFERROR(__xludf.DUMMYFUNCTION("""COMPUTED_VALUE"""),"Packaging")</f>
        <v>Packaging</v>
      </c>
      <c r="R1298" s="49" t="str">
        <f>IFERROR(__xludf.DUMMYFUNCTION("""COMPUTED_VALUE"""),"Led")</f>
        <v>Led</v>
      </c>
    </row>
    <row r="1299">
      <c r="A1299" s="156" t="str">
        <f>IFERROR(__xludf.DUMMYFUNCTION("""COMPUTED_VALUE"""),"https://drive.google.com/open?id=1XzWUNO3U6jbwadXYr_jlw16jgt7w0awu&amp;authuser=jay.agg%40gmail.com&amp;usp=drive_fs")</f>
        <v>https://drive.google.com/open?id=1XzWUNO3U6jbwadXYr_jlw16jgt7w0awu&amp;authuser=jay.agg%40gmail.com&amp;usp=drive_fs</v>
      </c>
      <c r="B1299" s="73" t="str">
        <f>IFERROR(__xludf.DUMMYFUNCTION("""COMPUTED_VALUE"""),"Led")</f>
        <v>Led</v>
      </c>
      <c r="C1299" s="73" t="str">
        <f>IFERROR(__xludf.DUMMYFUNCTION("""COMPUTED_VALUE"""),"Conceal")</f>
        <v>Conceal</v>
      </c>
      <c r="D1299" s="73" t="str">
        <f>IFERROR(__xludf.DUMMYFUNCTION("""COMPUTED_VALUE"""),"115*65*115 mm IL")</f>
        <v>115*65*115 mm IL</v>
      </c>
      <c r="E1299" s="77">
        <f>IFERROR(__xludf.DUMMYFUNCTION("""COMPUTED_VALUE"""),3.0)</f>
        <v>3</v>
      </c>
      <c r="F1299" s="77">
        <f>IFERROR(__xludf.DUMMYFUNCTION("""COMPUTED_VALUE"""),1926.0)</f>
        <v>1926</v>
      </c>
      <c r="G1299" s="77">
        <f>IFERROR(__xludf.DUMMYFUNCTION("""COMPUTED_VALUE"""),19.0)</f>
        <v>19</v>
      </c>
      <c r="H1299" s="77">
        <f>IFERROR(__xludf.DUMMYFUNCTION("""COMPUTED_VALUE"""),26.0)</f>
        <v>26</v>
      </c>
      <c r="I1299" s="77">
        <f>IFERROR(__xludf.DUMMYFUNCTION("""COMPUTED_VALUE"""),100.0)</f>
        <v>100</v>
      </c>
      <c r="J1299" s="73"/>
      <c r="K1299" s="73"/>
      <c r="L1299" s="73"/>
      <c r="M1299" s="77">
        <f>IFERROR(__xludf.DUMMYFUNCTION("""COMPUTED_VALUE"""),0.1)</f>
        <v>0.1</v>
      </c>
      <c r="N1299" s="77">
        <f>IFERROR(__xludf.DUMMYFUNCTION("""COMPUTED_VALUE"""),1.0)</f>
        <v>1</v>
      </c>
      <c r="O1299" s="49"/>
      <c r="P1299" s="49" t="str">
        <f>IFERROR(__xludf.DUMMYFUNCTION("""COMPUTED_VALUE"""),"Offset")</f>
        <v>Offset</v>
      </c>
      <c r="Q1299" s="49" t="str">
        <f>IFERROR(__xludf.DUMMYFUNCTION("""COMPUTED_VALUE"""),"Packaging")</f>
        <v>Packaging</v>
      </c>
      <c r="R1299" s="49" t="str">
        <f>IFERROR(__xludf.DUMMYFUNCTION("""COMPUTED_VALUE"""),"Led")</f>
        <v>Led</v>
      </c>
    </row>
    <row r="1300">
      <c r="A1300" s="156" t="str">
        <f>IFERROR(__xludf.DUMMYFUNCTION("""COMPUTED_VALUE"""),"https://drive.google.com/open?id=1Y2pS_2bi5dOZzhozxjL_DTZyjRYS8p3Z&amp;authuser=jay.agg%40gmail.com&amp;usp=drive_fs")</f>
        <v>https://drive.google.com/open?id=1Y2pS_2bi5dOZzhozxjL_DTZyjRYS8p3Z&amp;authuser=jay.agg%40gmail.com&amp;usp=drive_fs</v>
      </c>
      <c r="B1300" s="73" t="str">
        <f>IFERROR(__xludf.DUMMYFUNCTION("""COMPUTED_VALUE"""),"Led")</f>
        <v>Led</v>
      </c>
      <c r="C1300" s="73" t="str">
        <f>IFERROR(__xludf.DUMMYFUNCTION("""COMPUTED_VALUE"""),"Conceal")</f>
        <v>Conceal</v>
      </c>
      <c r="D1300" s="73" t="str">
        <f>IFERROR(__xludf.DUMMYFUNCTION("""COMPUTED_VALUE"""),"180*180*60 mm")</f>
        <v>180*180*60 mm</v>
      </c>
      <c r="E1300" s="77">
        <f>IFERROR(__xludf.DUMMYFUNCTION("""COMPUTED_VALUE"""),2.0)</f>
        <v>2</v>
      </c>
      <c r="F1300" s="77">
        <f>IFERROR(__xludf.DUMMYFUNCTION("""COMPUTED_VALUE"""),1926.0)</f>
        <v>1926</v>
      </c>
      <c r="G1300" s="77">
        <f>IFERROR(__xludf.DUMMYFUNCTION("""COMPUTED_VALUE"""),19.5)</f>
        <v>19.5</v>
      </c>
      <c r="H1300" s="77">
        <f>IFERROR(__xludf.DUMMYFUNCTION("""COMPUTED_VALUE"""),23.0)</f>
        <v>23</v>
      </c>
      <c r="I1300" s="77">
        <f>IFERROR(__xludf.DUMMYFUNCTION("""COMPUTED_VALUE"""),100.0)</f>
        <v>100</v>
      </c>
      <c r="J1300" s="73"/>
      <c r="K1300" s="73"/>
      <c r="L1300" s="73"/>
      <c r="M1300" s="77">
        <f>IFERROR(__xludf.DUMMYFUNCTION("""COMPUTED_VALUE"""),0.1)</f>
        <v>0.1</v>
      </c>
      <c r="N1300" s="77">
        <f>IFERROR(__xludf.DUMMYFUNCTION("""COMPUTED_VALUE"""),1.0)</f>
        <v>1</v>
      </c>
      <c r="O1300" s="49"/>
      <c r="P1300" s="49" t="str">
        <f>IFERROR(__xludf.DUMMYFUNCTION("""COMPUTED_VALUE"""),"Offset")</f>
        <v>Offset</v>
      </c>
      <c r="Q1300" s="49" t="str">
        <f>IFERROR(__xludf.DUMMYFUNCTION("""COMPUTED_VALUE"""),"Packaging")</f>
        <v>Packaging</v>
      </c>
      <c r="R1300" s="49" t="str">
        <f>IFERROR(__xludf.DUMMYFUNCTION("""COMPUTED_VALUE"""),"Led")</f>
        <v>Led</v>
      </c>
    </row>
    <row r="1301">
      <c r="A1301" s="156" t="str">
        <f>IFERROR(__xludf.DUMMYFUNCTION("""COMPUTED_VALUE"""),"https://drive.google.com/open?id=1XwDEEqnP0anMCcrt-3qDHDgETY4XxP8U&amp;authuser=jay.agg%40gmail.com&amp;usp=drive_fs")</f>
        <v>https://drive.google.com/open?id=1XwDEEqnP0anMCcrt-3qDHDgETY4XxP8U&amp;authuser=jay.agg%40gmail.com&amp;usp=drive_fs</v>
      </c>
      <c r="B1301" s="73" t="str">
        <f>IFERROR(__xludf.DUMMYFUNCTION("""COMPUTED_VALUE"""),"Led")</f>
        <v>Led</v>
      </c>
      <c r="C1301" s="73" t="str">
        <f>IFERROR(__xludf.DUMMYFUNCTION("""COMPUTED_VALUE"""),"Led Bulb")</f>
        <v>Led Bulb</v>
      </c>
      <c r="D1301" s="73" t="str">
        <f>IFERROR(__xludf.DUMMYFUNCTION("""COMPUTED_VALUE"""),"58*58*105 mm")</f>
        <v>58*58*105 mm</v>
      </c>
      <c r="E1301" s="77">
        <f>IFERROR(__xludf.DUMMYFUNCTION("""COMPUTED_VALUE"""),4.0)</f>
        <v>4</v>
      </c>
      <c r="F1301" s="77">
        <f>IFERROR(__xludf.DUMMYFUNCTION("""COMPUTED_VALUE"""),1926.0)</f>
        <v>1926</v>
      </c>
      <c r="G1301" s="77">
        <f>IFERROR(__xludf.DUMMYFUNCTION("""COMPUTED_VALUE"""),15.5)</f>
        <v>15.5</v>
      </c>
      <c r="H1301" s="77">
        <f>IFERROR(__xludf.DUMMYFUNCTION("""COMPUTED_VALUE"""),20.5)</f>
        <v>20.5</v>
      </c>
      <c r="I1301" s="77">
        <f>IFERROR(__xludf.DUMMYFUNCTION("""COMPUTED_VALUE"""),100.0)</f>
        <v>100</v>
      </c>
      <c r="J1301" s="73"/>
      <c r="K1301" s="73"/>
      <c r="L1301" s="73"/>
      <c r="M1301" s="77">
        <f>IFERROR(__xludf.DUMMYFUNCTION("""COMPUTED_VALUE"""),0.1)</f>
        <v>0.1</v>
      </c>
      <c r="N1301" s="77">
        <f>IFERROR(__xludf.DUMMYFUNCTION("""COMPUTED_VALUE"""),1.0)</f>
        <v>1</v>
      </c>
      <c r="O1301" s="49"/>
      <c r="P1301" s="49" t="str">
        <f>IFERROR(__xludf.DUMMYFUNCTION("""COMPUTED_VALUE"""),"Offset")</f>
        <v>Offset</v>
      </c>
      <c r="Q1301" s="49" t="str">
        <f>IFERROR(__xludf.DUMMYFUNCTION("""COMPUTED_VALUE"""),"Packaging")</f>
        <v>Packaging</v>
      </c>
      <c r="R1301" s="49" t="str">
        <f>IFERROR(__xludf.DUMMYFUNCTION("""COMPUTED_VALUE"""),"Led")</f>
        <v>Led</v>
      </c>
    </row>
    <row r="1302">
      <c r="A1302" s="156" t="str">
        <f>IFERROR(__xludf.DUMMYFUNCTION("""COMPUTED_VALUE"""),"https://drive.google.com/open?id=1XyBV623jaFoQbuKbphomjEHX2qxWv0O-&amp;authuser=jay.agg%40gmail.com&amp;usp=drive_fs")</f>
        <v>https://drive.google.com/open?id=1XyBV623jaFoQbuKbphomjEHX2qxWv0O-&amp;authuser=jay.agg%40gmail.com&amp;usp=drive_fs</v>
      </c>
      <c r="B1302" s="73" t="str">
        <f>IFERROR(__xludf.DUMMYFUNCTION("""COMPUTED_VALUE"""),"Led")</f>
        <v>Led</v>
      </c>
      <c r="C1302" s="73" t="str">
        <f>IFERROR(__xludf.DUMMYFUNCTION("""COMPUTED_VALUE"""),"Led Bulb")</f>
        <v>Led Bulb</v>
      </c>
      <c r="D1302" s="73" t="str">
        <f>IFERROR(__xludf.DUMMYFUNCTION("""COMPUTED_VALUE"""),"84*84*152 mm IL")</f>
        <v>84*84*152 mm IL</v>
      </c>
      <c r="E1302" s="77">
        <f>IFERROR(__xludf.DUMMYFUNCTION("""COMPUTED_VALUE"""),2.0)</f>
        <v>2</v>
      </c>
      <c r="F1302" s="77">
        <f>IFERROR(__xludf.DUMMYFUNCTION("""COMPUTED_VALUE"""),1926.0)</f>
        <v>1926</v>
      </c>
      <c r="G1302" s="77">
        <f>IFERROR(__xludf.DUMMYFUNCTION("""COMPUTED_VALUE"""),15.0)</f>
        <v>15</v>
      </c>
      <c r="H1302" s="77">
        <f>IFERROR(__xludf.DUMMYFUNCTION("""COMPUTED_VALUE"""),25.0)</f>
        <v>25</v>
      </c>
      <c r="I1302" s="77">
        <f>IFERROR(__xludf.DUMMYFUNCTION("""COMPUTED_VALUE"""),100.0)</f>
        <v>100</v>
      </c>
      <c r="J1302" s="73"/>
      <c r="K1302" s="73"/>
      <c r="L1302" s="73"/>
      <c r="M1302" s="77">
        <f>IFERROR(__xludf.DUMMYFUNCTION("""COMPUTED_VALUE"""),0.1)</f>
        <v>0.1</v>
      </c>
      <c r="N1302" s="77">
        <f>IFERROR(__xludf.DUMMYFUNCTION("""COMPUTED_VALUE"""),1.0)</f>
        <v>1</v>
      </c>
      <c r="O1302" s="49"/>
      <c r="P1302" s="49" t="str">
        <f>IFERROR(__xludf.DUMMYFUNCTION("""COMPUTED_VALUE"""),"Offset")</f>
        <v>Offset</v>
      </c>
      <c r="Q1302" s="49" t="str">
        <f>IFERROR(__xludf.DUMMYFUNCTION("""COMPUTED_VALUE"""),"Packaging")</f>
        <v>Packaging</v>
      </c>
      <c r="R1302" s="49" t="str">
        <f>IFERROR(__xludf.DUMMYFUNCTION("""COMPUTED_VALUE"""),"Led")</f>
        <v>Led</v>
      </c>
    </row>
    <row r="1303">
      <c r="A1303" s="156" t="str">
        <f>IFERROR(__xludf.DUMMYFUNCTION("""COMPUTED_VALUE"""),"https://drive.google.com/open?id=1AWoNdBQY3h-qI7Ekib_A_JlD2peru43R&amp;authuser=jay.agg%40gmail.com&amp;usp=drive_fs")</f>
        <v>https://drive.google.com/open?id=1AWoNdBQY3h-qI7Ekib_A_JlD2peru43R&amp;authuser=jay.agg%40gmail.com&amp;usp=drive_fs</v>
      </c>
      <c r="B1303" s="73" t="str">
        <f>IFERROR(__xludf.DUMMYFUNCTION("""COMPUTED_VALUE"""),"Led")</f>
        <v>Led</v>
      </c>
      <c r="C1303" s="73" t="str">
        <f>IFERROR(__xludf.DUMMYFUNCTION("""COMPUTED_VALUE"""),"Led Bulb")</f>
        <v>Led Bulb</v>
      </c>
      <c r="D1303" s="73" t="str">
        <f>IFERROR(__xludf.DUMMYFUNCTION("""COMPUTED_VALUE"""),"101*101*188 mm")</f>
        <v>101*101*188 mm</v>
      </c>
      <c r="E1303" s="77">
        <f>IFERROR(__xludf.DUMMYFUNCTION("""COMPUTED_VALUE"""),1.0)</f>
        <v>1</v>
      </c>
      <c r="F1303" s="77">
        <f>IFERROR(__xludf.DUMMYFUNCTION("""COMPUTED_VALUE"""),1926.0)</f>
        <v>1926</v>
      </c>
      <c r="G1303" s="77">
        <f>IFERROR(__xludf.DUMMYFUNCTION("""COMPUTED_VALUE"""),19.0)</f>
        <v>19</v>
      </c>
      <c r="H1303" s="77">
        <f>IFERROR(__xludf.DUMMYFUNCTION("""COMPUTED_VALUE"""),20.0)</f>
        <v>20</v>
      </c>
      <c r="I1303" s="77">
        <f>IFERROR(__xludf.DUMMYFUNCTION("""COMPUTED_VALUE"""),100.0)</f>
        <v>100</v>
      </c>
      <c r="J1303" s="73"/>
      <c r="K1303" s="73"/>
      <c r="L1303" s="73"/>
      <c r="M1303" s="77">
        <f>IFERROR(__xludf.DUMMYFUNCTION("""COMPUTED_VALUE"""),0.1)</f>
        <v>0.1</v>
      </c>
      <c r="N1303" s="77">
        <f>IFERROR(__xludf.DUMMYFUNCTION("""COMPUTED_VALUE"""),1.0)</f>
        <v>1</v>
      </c>
      <c r="O1303" s="49"/>
      <c r="P1303" s="49" t="str">
        <f>IFERROR(__xludf.DUMMYFUNCTION("""COMPUTED_VALUE"""),"Offset")</f>
        <v>Offset</v>
      </c>
      <c r="Q1303" s="49" t="str">
        <f>IFERROR(__xludf.DUMMYFUNCTION("""COMPUTED_VALUE"""),"Packaging")</f>
        <v>Packaging</v>
      </c>
      <c r="R1303" s="49" t="str">
        <f>IFERROR(__xludf.DUMMYFUNCTION("""COMPUTED_VALUE"""),"Led")</f>
        <v>Led</v>
      </c>
    </row>
    <row r="1304">
      <c r="A1304" s="156" t="str">
        <f>IFERROR(__xludf.DUMMYFUNCTION("""COMPUTED_VALUE"""),"https://drive.google.com/open?id=1itKMTr__Zf31FsmZllR3qjJjXaR_Zk2N&amp;authuser=jay.agg%40gmail.com&amp;usp=drive_fs")</f>
        <v>https://drive.google.com/open?id=1itKMTr__Zf31FsmZllR3qjJjXaR_Zk2N&amp;authuser=jay.agg%40gmail.com&amp;usp=drive_fs</v>
      </c>
      <c r="B1304" s="73" t="str">
        <f>IFERROR(__xludf.DUMMYFUNCTION("""COMPUTED_VALUE"""),"Led")</f>
        <v>Led</v>
      </c>
      <c r="C1304" s="73" t="str">
        <f>IFERROR(__xludf.DUMMYFUNCTION("""COMPUTED_VALUE"""),"Conceal")</f>
        <v>Conceal</v>
      </c>
      <c r="D1304" s="73" t="str">
        <f>IFERROR(__xludf.DUMMYFUNCTION("""COMPUTED_VALUE"""),"115*55*115 mm IL")</f>
        <v>115*55*115 mm IL</v>
      </c>
      <c r="E1304" s="77">
        <f>IFERROR(__xludf.DUMMYFUNCTION("""COMPUTED_VALUE"""),3.0)</f>
        <v>3</v>
      </c>
      <c r="F1304" s="77">
        <f>IFERROR(__xludf.DUMMYFUNCTION("""COMPUTED_VALUE"""),1926.0)</f>
        <v>1926</v>
      </c>
      <c r="G1304" s="77">
        <f>IFERROR(__xludf.DUMMYFUNCTION("""COMPUTED_VALUE"""),15.0)</f>
        <v>15</v>
      </c>
      <c r="H1304" s="77">
        <f>IFERROR(__xludf.DUMMYFUNCTION("""COMPUTED_VALUE"""),25.0)</f>
        <v>25</v>
      </c>
      <c r="I1304" s="77">
        <f>IFERROR(__xludf.DUMMYFUNCTION("""COMPUTED_VALUE"""),100.0)</f>
        <v>100</v>
      </c>
      <c r="J1304" s="73"/>
      <c r="K1304" s="73"/>
      <c r="L1304" s="73"/>
      <c r="M1304" s="77">
        <f>IFERROR(__xludf.DUMMYFUNCTION("""COMPUTED_VALUE"""),0.1)</f>
        <v>0.1</v>
      </c>
      <c r="N1304" s="77">
        <f>IFERROR(__xludf.DUMMYFUNCTION("""COMPUTED_VALUE"""),1.0)</f>
        <v>1</v>
      </c>
      <c r="O1304" s="49"/>
      <c r="P1304" s="49" t="str">
        <f>IFERROR(__xludf.DUMMYFUNCTION("""COMPUTED_VALUE"""),"Offset")</f>
        <v>Offset</v>
      </c>
      <c r="Q1304" s="49" t="str">
        <f>IFERROR(__xludf.DUMMYFUNCTION("""COMPUTED_VALUE"""),"Packaging")</f>
        <v>Packaging</v>
      </c>
      <c r="R1304" s="49" t="str">
        <f>IFERROR(__xludf.DUMMYFUNCTION("""COMPUTED_VALUE"""),"Led")</f>
        <v>Led</v>
      </c>
    </row>
    <row r="1305">
      <c r="A1305" s="156" t="str">
        <f>IFERROR(__xludf.DUMMYFUNCTION("""COMPUTED_VALUE"""),"https://drive.google.com/open?id=1izjCpxAax81B8OM-wwqbhOLKDqM8wXbz&amp;authuser=jay.agg%40gmail.com&amp;usp=drive_fs")</f>
        <v>https://drive.google.com/open?id=1izjCpxAax81B8OM-wwqbhOLKDqM8wXbz&amp;authuser=jay.agg%40gmail.com&amp;usp=drive_fs</v>
      </c>
      <c r="B1305" s="73" t="str">
        <f>IFERROR(__xludf.DUMMYFUNCTION("""COMPUTED_VALUE"""),"Led")</f>
        <v>Led</v>
      </c>
      <c r="C1305" s="73" t="str">
        <f>IFERROR(__xludf.DUMMYFUNCTION("""COMPUTED_VALUE"""),"Spot Light")</f>
        <v>Spot Light</v>
      </c>
      <c r="D1305" s="73" t="str">
        <f>IFERROR(__xludf.DUMMYFUNCTION("""COMPUTED_VALUE"""),"45*45*20 mm")</f>
        <v>45*45*20 mm</v>
      </c>
      <c r="E1305" s="77">
        <f>IFERROR(__xludf.DUMMYFUNCTION("""COMPUTED_VALUE"""),18.0)</f>
        <v>18</v>
      </c>
      <c r="F1305" s="77">
        <f>IFERROR(__xludf.DUMMYFUNCTION("""COMPUTED_VALUE"""),1926.0)</f>
        <v>1926</v>
      </c>
      <c r="G1305" s="77">
        <f>IFERROR(__xludf.DUMMYFUNCTION("""COMPUTED_VALUE"""),18.0)</f>
        <v>18</v>
      </c>
      <c r="H1305" s="77">
        <f>IFERROR(__xludf.DUMMYFUNCTION("""COMPUTED_VALUE"""),21.0)</f>
        <v>21</v>
      </c>
      <c r="I1305" s="77">
        <f>IFERROR(__xludf.DUMMYFUNCTION("""COMPUTED_VALUE"""),100.0)</f>
        <v>100</v>
      </c>
      <c r="J1305" s="73"/>
      <c r="K1305" s="73"/>
      <c r="L1305" s="73"/>
      <c r="M1305" s="77">
        <f>IFERROR(__xludf.DUMMYFUNCTION("""COMPUTED_VALUE"""),0.1)</f>
        <v>0.1</v>
      </c>
      <c r="N1305" s="77">
        <f>IFERROR(__xludf.DUMMYFUNCTION("""COMPUTED_VALUE"""),1.0)</f>
        <v>1</v>
      </c>
      <c r="O1305" s="49"/>
      <c r="P1305" s="49" t="str">
        <f>IFERROR(__xludf.DUMMYFUNCTION("""COMPUTED_VALUE"""),"Offset")</f>
        <v>Offset</v>
      </c>
      <c r="Q1305" s="49" t="str">
        <f>IFERROR(__xludf.DUMMYFUNCTION("""COMPUTED_VALUE"""),"Packaging")</f>
        <v>Packaging</v>
      </c>
      <c r="R1305" s="49" t="str">
        <f>IFERROR(__xludf.DUMMYFUNCTION("""COMPUTED_VALUE"""),"Led")</f>
        <v>Led</v>
      </c>
    </row>
    <row r="1306">
      <c r="A1306" s="156" t="str">
        <f>IFERROR(__xludf.DUMMYFUNCTION("""COMPUTED_VALUE"""),"https://drive.google.com/open?id=1juETAHW9fP62G4lr5T2vJ8YSjYGfSP3j&amp;authuser=jay.agg%40gmail.com&amp;usp=drive_fs")</f>
        <v>https://drive.google.com/open?id=1juETAHW9fP62G4lr5T2vJ8YSjYGfSP3j&amp;authuser=jay.agg%40gmail.com&amp;usp=drive_fs</v>
      </c>
      <c r="B1306" s="73" t="str">
        <f>IFERROR(__xludf.DUMMYFUNCTION("""COMPUTED_VALUE"""),"Led")</f>
        <v>Led</v>
      </c>
      <c r="C1306" s="73" t="str">
        <f>IFERROR(__xludf.DUMMYFUNCTION("""COMPUTED_VALUE"""),"Deep Light")</f>
        <v>Deep Light</v>
      </c>
      <c r="D1306" s="73" t="str">
        <f>IFERROR(__xludf.DUMMYFUNCTION("""COMPUTED_VALUE"""),"110*48*110 mm IL")</f>
        <v>110*48*110 mm IL</v>
      </c>
      <c r="E1306" s="77">
        <f>IFERROR(__xludf.DUMMYFUNCTION("""COMPUTED_VALUE"""),3.0)</f>
        <v>3</v>
      </c>
      <c r="F1306" s="77">
        <f>IFERROR(__xludf.DUMMYFUNCTION("""COMPUTED_VALUE"""),1926.0)</f>
        <v>1926</v>
      </c>
      <c r="G1306" s="77">
        <f>IFERROR(__xludf.DUMMYFUNCTION("""COMPUTED_VALUE"""),13.0)</f>
        <v>13</v>
      </c>
      <c r="H1306" s="77">
        <f>IFERROR(__xludf.DUMMYFUNCTION("""COMPUTED_VALUE"""),23.0)</f>
        <v>23</v>
      </c>
      <c r="I1306" s="77">
        <f>IFERROR(__xludf.DUMMYFUNCTION("""COMPUTED_VALUE"""),100.0)</f>
        <v>100</v>
      </c>
      <c r="J1306" s="73"/>
      <c r="K1306" s="73"/>
      <c r="L1306" s="73"/>
      <c r="M1306" s="77">
        <f>IFERROR(__xludf.DUMMYFUNCTION("""COMPUTED_VALUE"""),0.1)</f>
        <v>0.1</v>
      </c>
      <c r="N1306" s="77">
        <f>IFERROR(__xludf.DUMMYFUNCTION("""COMPUTED_VALUE"""),1.0)</f>
        <v>1</v>
      </c>
      <c r="O1306" s="49"/>
      <c r="P1306" s="49" t="str">
        <f>IFERROR(__xludf.DUMMYFUNCTION("""COMPUTED_VALUE"""),"Offset")</f>
        <v>Offset</v>
      </c>
      <c r="Q1306" s="49" t="str">
        <f>IFERROR(__xludf.DUMMYFUNCTION("""COMPUTED_VALUE"""),"Packaging")</f>
        <v>Packaging</v>
      </c>
      <c r="R1306" s="49" t="str">
        <f>IFERROR(__xludf.DUMMYFUNCTION("""COMPUTED_VALUE"""),"Led")</f>
        <v>Led</v>
      </c>
    </row>
    <row r="1307">
      <c r="A1307" s="156" t="str">
        <f>IFERROR(__xludf.DUMMYFUNCTION("""COMPUTED_VALUE"""),"https://drive.google.com/open?id=1lKTu8QVEUOueINv0RRIGrNwVD6J52e-6&amp;authuser=jay.agg%40gmail.com&amp;usp=drive_fs")</f>
        <v>https://drive.google.com/open?id=1lKTu8QVEUOueINv0RRIGrNwVD6J52e-6&amp;authuser=jay.agg%40gmail.com&amp;usp=drive_fs</v>
      </c>
      <c r="B1307" s="73" t="str">
        <f>IFERROR(__xludf.DUMMYFUNCTION("""COMPUTED_VALUE"""),"Led")</f>
        <v>Led</v>
      </c>
      <c r="C1307" s="73" t="str">
        <f>IFERROR(__xludf.DUMMYFUNCTION("""COMPUTED_VALUE"""),"Conceal")</f>
        <v>Conceal</v>
      </c>
      <c r="D1307" s="73" t="str">
        <f>IFERROR(__xludf.DUMMYFUNCTION("""COMPUTED_VALUE"""),"85*85*50 mm")</f>
        <v>85*85*50 mm</v>
      </c>
      <c r="E1307" s="77">
        <f>IFERROR(__xludf.DUMMYFUNCTION("""COMPUTED_VALUE"""),4.0)</f>
        <v>4</v>
      </c>
      <c r="F1307" s="77">
        <f>IFERROR(__xludf.DUMMYFUNCTION("""COMPUTED_VALUE"""),1926.0)</f>
        <v>1926</v>
      </c>
      <c r="G1307" s="77">
        <f>IFERROR(__xludf.DUMMYFUNCTION("""COMPUTED_VALUE"""),13.0)</f>
        <v>13</v>
      </c>
      <c r="H1307" s="77">
        <f>IFERROR(__xludf.DUMMYFUNCTION("""COMPUTED_VALUE"""),23.0)</f>
        <v>23</v>
      </c>
      <c r="I1307" s="77">
        <f>IFERROR(__xludf.DUMMYFUNCTION("""COMPUTED_VALUE"""),100.0)</f>
        <v>100</v>
      </c>
      <c r="J1307" s="73"/>
      <c r="K1307" s="73"/>
      <c r="L1307" s="73"/>
      <c r="M1307" s="77">
        <f>IFERROR(__xludf.DUMMYFUNCTION("""COMPUTED_VALUE"""),0.1)</f>
        <v>0.1</v>
      </c>
      <c r="N1307" s="77">
        <f>IFERROR(__xludf.DUMMYFUNCTION("""COMPUTED_VALUE"""),1.0)</f>
        <v>1</v>
      </c>
      <c r="O1307" s="49"/>
      <c r="P1307" s="49" t="str">
        <f>IFERROR(__xludf.DUMMYFUNCTION("""COMPUTED_VALUE"""),"Offset")</f>
        <v>Offset</v>
      </c>
      <c r="Q1307" s="49" t="str">
        <f>IFERROR(__xludf.DUMMYFUNCTION("""COMPUTED_VALUE"""),"Packaging")</f>
        <v>Packaging</v>
      </c>
      <c r="R1307" s="49" t="str">
        <f>IFERROR(__xludf.DUMMYFUNCTION("""COMPUTED_VALUE"""),"Led")</f>
        <v>Led</v>
      </c>
    </row>
    <row r="1308">
      <c r="A1308" s="156" t="str">
        <f>IFERROR(__xludf.DUMMYFUNCTION("""COMPUTED_VALUE"""),"https://drive.google.com/open?id=1toz0hXzFTCzofS5tY8Nw0n37jbL1AgUC&amp;authuser=jay.agg%40gmail.com&amp;usp=drive_fs")</f>
        <v>https://drive.google.com/open?id=1toz0hXzFTCzofS5tY8Nw0n37jbL1AgUC&amp;authuser=jay.agg%40gmail.com&amp;usp=drive_fs</v>
      </c>
      <c r="B1308" s="73" t="str">
        <f>IFERROR(__xludf.DUMMYFUNCTION("""COMPUTED_VALUE"""),"Led")</f>
        <v>Led</v>
      </c>
      <c r="C1308" s="73" t="str">
        <f>IFERROR(__xludf.DUMMYFUNCTION("""COMPUTED_VALUE"""),"Led Bulb")</f>
        <v>Led Bulb</v>
      </c>
      <c r="D1308" s="73" t="str">
        <f>IFERROR(__xludf.DUMMYFUNCTION("""COMPUTED_VALUE"""),"45*45*68 mm")</f>
        <v>45*45*68 mm</v>
      </c>
      <c r="E1308" s="77">
        <f>IFERROR(__xludf.DUMMYFUNCTION("""COMPUTED_VALUE"""),9.0)</f>
        <v>9</v>
      </c>
      <c r="F1308" s="77">
        <f>IFERROR(__xludf.DUMMYFUNCTION("""COMPUTED_VALUE"""),1926.0)</f>
        <v>1926</v>
      </c>
      <c r="G1308" s="77">
        <f>IFERROR(__xludf.DUMMYFUNCTION("""COMPUTED_VALUE"""),18.0)</f>
        <v>18</v>
      </c>
      <c r="H1308" s="77">
        <f>IFERROR(__xludf.DUMMYFUNCTION("""COMPUTED_VALUE"""),23.0)</f>
        <v>23</v>
      </c>
      <c r="I1308" s="77">
        <f>IFERROR(__xludf.DUMMYFUNCTION("""COMPUTED_VALUE"""),100.0)</f>
        <v>100</v>
      </c>
      <c r="J1308" s="73"/>
      <c r="K1308" s="73"/>
      <c r="L1308" s="73"/>
      <c r="M1308" s="77">
        <f>IFERROR(__xludf.DUMMYFUNCTION("""COMPUTED_VALUE"""),0.1)</f>
        <v>0.1</v>
      </c>
      <c r="N1308" s="77">
        <f>IFERROR(__xludf.DUMMYFUNCTION("""COMPUTED_VALUE"""),1.0)</f>
        <v>1</v>
      </c>
      <c r="O1308" s="49"/>
      <c r="P1308" s="49" t="str">
        <f>IFERROR(__xludf.DUMMYFUNCTION("""COMPUTED_VALUE"""),"Offset")</f>
        <v>Offset</v>
      </c>
      <c r="Q1308" s="49" t="str">
        <f>IFERROR(__xludf.DUMMYFUNCTION("""COMPUTED_VALUE"""),"Packaging")</f>
        <v>Packaging</v>
      </c>
      <c r="R1308" s="49" t="str">
        <f>IFERROR(__xludf.DUMMYFUNCTION("""COMPUTED_VALUE"""),"Led")</f>
        <v>Led</v>
      </c>
    </row>
    <row r="1309">
      <c r="A1309" s="156" t="str">
        <f>IFERROR(__xludf.DUMMYFUNCTION("""COMPUTED_VALUE"""),"https://drive.google.com/open?id=1tqCw1FKRgv6Wn_cNPjvHP_eojax1clDj&amp;authuser=jay.agg%40gmail.com&amp;usp=drive_fs")</f>
        <v>https://drive.google.com/open?id=1tqCw1FKRgv6Wn_cNPjvHP_eojax1clDj&amp;authuser=jay.agg%40gmail.com&amp;usp=drive_fs</v>
      </c>
      <c r="B1309" s="73" t="str">
        <f>IFERROR(__xludf.DUMMYFUNCTION("""COMPUTED_VALUE"""),"Led")</f>
        <v>Led</v>
      </c>
      <c r="C1309" s="73" t="str">
        <f>IFERROR(__xludf.DUMMYFUNCTION("""COMPUTED_VALUE"""),"Led Bulb")</f>
        <v>Led Bulb</v>
      </c>
      <c r="D1309" s="73" t="str">
        <f>IFERROR(__xludf.DUMMYFUNCTION("""COMPUTED_VALUE"""),"55*55*96 mm IL")</f>
        <v>55*55*96 mm IL</v>
      </c>
      <c r="E1309" s="77">
        <f>IFERROR(__xludf.DUMMYFUNCTION("""COMPUTED_VALUE"""),6.0)</f>
        <v>6</v>
      </c>
      <c r="F1309" s="77">
        <f>IFERROR(__xludf.DUMMYFUNCTION("""COMPUTED_VALUE"""),1926.0)</f>
        <v>1926</v>
      </c>
      <c r="G1309" s="77">
        <f>IFERROR(__xludf.DUMMYFUNCTION("""COMPUTED_VALUE"""),19.5)</f>
        <v>19.5</v>
      </c>
      <c r="H1309" s="77">
        <f>IFERROR(__xludf.DUMMYFUNCTION("""COMPUTED_VALUE"""),23.0)</f>
        <v>23</v>
      </c>
      <c r="I1309" s="77">
        <f>IFERROR(__xludf.DUMMYFUNCTION("""COMPUTED_VALUE"""),100.0)</f>
        <v>100</v>
      </c>
      <c r="J1309" s="73"/>
      <c r="K1309" s="73"/>
      <c r="L1309" s="73"/>
      <c r="M1309" s="77">
        <f>IFERROR(__xludf.DUMMYFUNCTION("""COMPUTED_VALUE"""),0.1)</f>
        <v>0.1</v>
      </c>
      <c r="N1309" s="77">
        <f>IFERROR(__xludf.DUMMYFUNCTION("""COMPUTED_VALUE"""),1.0)</f>
        <v>1</v>
      </c>
      <c r="O1309" s="49"/>
      <c r="P1309" s="49" t="str">
        <f>IFERROR(__xludf.DUMMYFUNCTION("""COMPUTED_VALUE"""),"Offset")</f>
        <v>Offset</v>
      </c>
      <c r="Q1309" s="49" t="str">
        <f>IFERROR(__xludf.DUMMYFUNCTION("""COMPUTED_VALUE"""),"Packaging")</f>
        <v>Packaging</v>
      </c>
      <c r="R1309" s="49" t="str">
        <f>IFERROR(__xludf.DUMMYFUNCTION("""COMPUTED_VALUE"""),"Led")</f>
        <v>Led</v>
      </c>
    </row>
    <row r="1310">
      <c r="A1310" s="156" t="str">
        <f>IFERROR(__xludf.DUMMYFUNCTION("""COMPUTED_VALUE"""),"https://drive.google.com/open?id=1ttfeQvpRzuMwCXP8orC_fxUzJbrINPnW&amp;authuser=jay.agg%40gmail.com&amp;usp=drive_fs")</f>
        <v>https://drive.google.com/open?id=1ttfeQvpRzuMwCXP8orC_fxUzJbrINPnW&amp;authuser=jay.agg%40gmail.com&amp;usp=drive_fs</v>
      </c>
      <c r="B1310" s="73" t="str">
        <f>IFERROR(__xludf.DUMMYFUNCTION("""COMPUTED_VALUE"""),"Led")</f>
        <v>Led</v>
      </c>
      <c r="C1310" s="73" t="str">
        <f>IFERROR(__xludf.DUMMYFUNCTION("""COMPUTED_VALUE"""),"Led Bulb")</f>
        <v>Led Bulb</v>
      </c>
      <c r="D1310" s="73" t="str">
        <f>IFERROR(__xludf.DUMMYFUNCTION("""COMPUTED_VALUE"""),"65*65*126 mm IL")</f>
        <v>65*65*126 mm IL</v>
      </c>
      <c r="E1310" s="77">
        <f>IFERROR(__xludf.DUMMYFUNCTION("""COMPUTED_VALUE"""),4.0)</f>
        <v>4</v>
      </c>
      <c r="F1310" s="77">
        <f>IFERROR(__xludf.DUMMYFUNCTION("""COMPUTED_VALUE"""),1926.0)</f>
        <v>1926</v>
      </c>
      <c r="G1310" s="77">
        <f>IFERROR(__xludf.DUMMYFUNCTION("""COMPUTED_VALUE"""),18.0)</f>
        <v>18</v>
      </c>
      <c r="H1310" s="77">
        <f>IFERROR(__xludf.DUMMYFUNCTION("""COMPUTED_VALUE"""),23.0)</f>
        <v>23</v>
      </c>
      <c r="I1310" s="77">
        <f>IFERROR(__xludf.DUMMYFUNCTION("""COMPUTED_VALUE"""),100.0)</f>
        <v>100</v>
      </c>
      <c r="J1310" s="73"/>
      <c r="K1310" s="73"/>
      <c r="L1310" s="73"/>
      <c r="M1310" s="77">
        <f>IFERROR(__xludf.DUMMYFUNCTION("""COMPUTED_VALUE"""),0.1)</f>
        <v>0.1</v>
      </c>
      <c r="N1310" s="77">
        <f>IFERROR(__xludf.DUMMYFUNCTION("""COMPUTED_VALUE"""),1.0)</f>
        <v>1</v>
      </c>
      <c r="O1310" s="49"/>
      <c r="P1310" s="49" t="str">
        <f>IFERROR(__xludf.DUMMYFUNCTION("""COMPUTED_VALUE"""),"Offset")</f>
        <v>Offset</v>
      </c>
      <c r="Q1310" s="49" t="str">
        <f>IFERROR(__xludf.DUMMYFUNCTION("""COMPUTED_VALUE"""),"Packaging")</f>
        <v>Packaging</v>
      </c>
      <c r="R1310" s="49" t="str">
        <f>IFERROR(__xludf.DUMMYFUNCTION("""COMPUTED_VALUE"""),"Led")</f>
        <v>Led</v>
      </c>
    </row>
    <row r="1311">
      <c r="A1311" s="156" t="str">
        <f>IFERROR(__xludf.DUMMYFUNCTION("""COMPUTED_VALUE"""),"https://drive.google.com/open?id=1tx53preCAUIY3JjRLhoCBY5Rvd67lxYP&amp;authuser=jay.agg%40gmail.com&amp;usp=drive_fs")</f>
        <v>https://drive.google.com/open?id=1tx53preCAUIY3JjRLhoCBY5Rvd67lxYP&amp;authuser=jay.agg%40gmail.com&amp;usp=drive_fs</v>
      </c>
      <c r="B1311" s="73" t="str">
        <f>IFERROR(__xludf.DUMMYFUNCTION("""COMPUTED_VALUE"""),"Led")</f>
        <v>Led</v>
      </c>
      <c r="C1311" s="73" t="str">
        <f>IFERROR(__xludf.DUMMYFUNCTION("""COMPUTED_VALUE"""),"Led Bulb")</f>
        <v>Led Bulb</v>
      </c>
      <c r="D1311" s="73" t="str">
        <f>IFERROR(__xludf.DUMMYFUNCTION("""COMPUTED_VALUE"""),"75*75*136 mm IL")</f>
        <v>75*75*136 mm IL</v>
      </c>
      <c r="E1311" s="77">
        <f>IFERROR(__xludf.DUMMYFUNCTION("""COMPUTED_VALUE"""),2.0)</f>
        <v>2</v>
      </c>
      <c r="F1311" s="77">
        <f>IFERROR(__xludf.DUMMYFUNCTION("""COMPUTED_VALUE"""),1926.0)</f>
        <v>1926</v>
      </c>
      <c r="G1311" s="77">
        <f>IFERROR(__xludf.DUMMYFUNCTION("""COMPUTED_VALUE"""),14.0)</f>
        <v>14</v>
      </c>
      <c r="H1311" s="77">
        <f>IFERROR(__xludf.DUMMYFUNCTION("""COMPUTED_VALUE"""),22.0)</f>
        <v>22</v>
      </c>
      <c r="I1311" s="77">
        <f>IFERROR(__xludf.DUMMYFUNCTION("""COMPUTED_VALUE"""),100.0)</f>
        <v>100</v>
      </c>
      <c r="J1311" s="73"/>
      <c r="K1311" s="73"/>
      <c r="L1311" s="73"/>
      <c r="M1311" s="77">
        <f>IFERROR(__xludf.DUMMYFUNCTION("""COMPUTED_VALUE"""),0.1)</f>
        <v>0.1</v>
      </c>
      <c r="N1311" s="77">
        <f>IFERROR(__xludf.DUMMYFUNCTION("""COMPUTED_VALUE"""),1.0)</f>
        <v>1</v>
      </c>
      <c r="O1311" s="49"/>
      <c r="P1311" s="49" t="str">
        <f>IFERROR(__xludf.DUMMYFUNCTION("""COMPUTED_VALUE"""),"Offset")</f>
        <v>Offset</v>
      </c>
      <c r="Q1311" s="49" t="str">
        <f>IFERROR(__xludf.DUMMYFUNCTION("""COMPUTED_VALUE"""),"Packaging")</f>
        <v>Packaging</v>
      </c>
      <c r="R1311" s="49" t="str">
        <f>IFERROR(__xludf.DUMMYFUNCTION("""COMPUTED_VALUE"""),"Led")</f>
        <v>Led</v>
      </c>
    </row>
    <row r="1312">
      <c r="A1312" s="156" t="str">
        <f>IFERROR(__xludf.DUMMYFUNCTION("""COMPUTED_VALUE"""),"https://drive.google.com/open?id=1u3jKPLKjjzsPbjk62ICXBSJp4SqP8BXa&amp;authuser=jay.agg%40gmail.com&amp;usp=drive_fs")</f>
        <v>https://drive.google.com/open?id=1u3jKPLKjjzsPbjk62ICXBSJp4SqP8BXa&amp;authuser=jay.agg%40gmail.com&amp;usp=drive_fs</v>
      </c>
      <c r="B1312" s="73" t="str">
        <f>IFERROR(__xludf.DUMMYFUNCTION("""COMPUTED_VALUE"""),"Led")</f>
        <v>Led</v>
      </c>
      <c r="C1312" s="73" t="str">
        <f>IFERROR(__xludf.DUMMYFUNCTION("""COMPUTED_VALUE"""),"Led Bulb")</f>
        <v>Led Bulb</v>
      </c>
      <c r="D1312" s="73" t="str">
        <f>IFERROR(__xludf.DUMMYFUNCTION("""COMPUTED_VALUE"""),"70*70*140 mm IL | 2.7*2.7*5.5 inch IL")</f>
        <v>70*70*140 mm IL | 2.7*2.7*5.5 inch IL</v>
      </c>
      <c r="E1312" s="77">
        <f>IFERROR(__xludf.DUMMYFUNCTION("""COMPUTED_VALUE"""),4.0)</f>
        <v>4</v>
      </c>
      <c r="F1312" s="77">
        <f>IFERROR(__xludf.DUMMYFUNCTION("""COMPUTED_VALUE"""),1926.0)</f>
        <v>1926</v>
      </c>
      <c r="G1312" s="77">
        <f>IFERROR(__xludf.DUMMYFUNCTION("""COMPUTED_VALUE"""),19.0)</f>
        <v>19</v>
      </c>
      <c r="H1312" s="77">
        <f>IFERROR(__xludf.DUMMYFUNCTION("""COMPUTED_VALUE"""),26.0)</f>
        <v>26</v>
      </c>
      <c r="I1312" s="77">
        <f>IFERROR(__xludf.DUMMYFUNCTION("""COMPUTED_VALUE"""),100.0)</f>
        <v>100</v>
      </c>
      <c r="J1312" s="73"/>
      <c r="K1312" s="73"/>
      <c r="L1312" s="73"/>
      <c r="M1312" s="77">
        <f>IFERROR(__xludf.DUMMYFUNCTION("""COMPUTED_VALUE"""),0.1)</f>
        <v>0.1</v>
      </c>
      <c r="N1312" s="77">
        <f>IFERROR(__xludf.DUMMYFUNCTION("""COMPUTED_VALUE"""),1.0)</f>
        <v>1</v>
      </c>
      <c r="O1312" s="49"/>
      <c r="P1312" s="49" t="str">
        <f>IFERROR(__xludf.DUMMYFUNCTION("""COMPUTED_VALUE"""),"Offset")</f>
        <v>Offset</v>
      </c>
      <c r="Q1312" s="49" t="str">
        <f>IFERROR(__xludf.DUMMYFUNCTION("""COMPUTED_VALUE"""),"Packaging")</f>
        <v>Packaging</v>
      </c>
      <c r="R1312" s="49" t="str">
        <f>IFERROR(__xludf.DUMMYFUNCTION("""COMPUTED_VALUE"""),"Led")</f>
        <v>Led</v>
      </c>
    </row>
    <row r="1313">
      <c r="A1313" s="156" t="str">
        <f>IFERROR(__xludf.DUMMYFUNCTION("""COMPUTED_VALUE"""),"https://drive.google.com/open?id=1u1Y2WJdoQ31VZ83pjgWePgJWB2qv9VFE&amp;authuser=jay.agg%40gmail.com&amp;usp=drive_fs")</f>
        <v>https://drive.google.com/open?id=1u1Y2WJdoQ31VZ83pjgWePgJWB2qv9VFE&amp;authuser=jay.agg%40gmail.com&amp;usp=drive_fs</v>
      </c>
      <c r="B1313" s="73" t="str">
        <f>IFERROR(__xludf.DUMMYFUNCTION("""COMPUTED_VALUE"""),"Led")</f>
        <v>Led</v>
      </c>
      <c r="C1313" s="73" t="str">
        <f>IFERROR(__xludf.DUMMYFUNCTION("""COMPUTED_VALUE"""),"T Bulb")</f>
        <v>T Bulb</v>
      </c>
      <c r="D1313" s="73" t="str">
        <f>IFERROR(__xludf.DUMMYFUNCTION("""COMPUTED_VALUE"""),"205*33*105 mm")</f>
        <v>205*33*105 mm</v>
      </c>
      <c r="E1313" s="77">
        <f>IFERROR(__xludf.DUMMYFUNCTION("""COMPUTED_VALUE"""),2.0)</f>
        <v>2</v>
      </c>
      <c r="F1313" s="77">
        <f>IFERROR(__xludf.DUMMYFUNCTION("""COMPUTED_VALUE"""),1926.0)</f>
        <v>1926</v>
      </c>
      <c r="G1313" s="77">
        <f>IFERROR(__xludf.DUMMYFUNCTION("""COMPUTED_VALUE"""),15.0)</f>
        <v>15</v>
      </c>
      <c r="H1313" s="77">
        <f>IFERROR(__xludf.DUMMYFUNCTION("""COMPUTED_VALUE"""),20.0)</f>
        <v>20</v>
      </c>
      <c r="I1313" s="77">
        <f>IFERROR(__xludf.DUMMYFUNCTION("""COMPUTED_VALUE"""),100.0)</f>
        <v>100</v>
      </c>
      <c r="J1313" s="73"/>
      <c r="K1313" s="73"/>
      <c r="L1313" s="73"/>
      <c r="M1313" s="77">
        <f>IFERROR(__xludf.DUMMYFUNCTION("""COMPUTED_VALUE"""),0.1)</f>
        <v>0.1</v>
      </c>
      <c r="N1313" s="77">
        <f>IFERROR(__xludf.DUMMYFUNCTION("""COMPUTED_VALUE"""),1.0)</f>
        <v>1</v>
      </c>
      <c r="O1313" s="49"/>
      <c r="P1313" s="49" t="str">
        <f>IFERROR(__xludf.DUMMYFUNCTION("""COMPUTED_VALUE"""),"Offset")</f>
        <v>Offset</v>
      </c>
      <c r="Q1313" s="49" t="str">
        <f>IFERROR(__xludf.DUMMYFUNCTION("""COMPUTED_VALUE"""),"Packaging")</f>
        <v>Packaging</v>
      </c>
      <c r="R1313" s="49" t="str">
        <f>IFERROR(__xludf.DUMMYFUNCTION("""COMPUTED_VALUE"""),"Led")</f>
        <v>Led</v>
      </c>
    </row>
    <row r="1314">
      <c r="A1314" s="156" t="str">
        <f>IFERROR(__xludf.DUMMYFUNCTION("""COMPUTED_VALUE"""),"https://drive.google.com/open?id=1u0nJaYohqPzEw8x_OWAUMBFq4dHUKTfL&amp;authuser=jay.agg%40gmail.com&amp;usp=drive_fs")</f>
        <v>https://drive.google.com/open?id=1u0nJaYohqPzEw8x_OWAUMBFq4dHUKTfL&amp;authuser=jay.agg%40gmail.com&amp;usp=drive_fs</v>
      </c>
      <c r="B1314" s="73" t="str">
        <f>IFERROR(__xludf.DUMMYFUNCTION("""COMPUTED_VALUE"""),"Led")</f>
        <v>Led</v>
      </c>
      <c r="C1314" s="73" t="str">
        <f>IFERROR(__xludf.DUMMYFUNCTION("""COMPUTED_VALUE"""),"T Bulb")</f>
        <v>T Bulb</v>
      </c>
      <c r="D1314" s="73" t="str">
        <f>IFERROR(__xludf.DUMMYFUNCTION("""COMPUTED_VALUE"""),"230*34*105 mm")</f>
        <v>230*34*105 mm</v>
      </c>
      <c r="E1314" s="77">
        <f>IFERROR(__xludf.DUMMYFUNCTION("""COMPUTED_VALUE"""),2.0)</f>
        <v>2</v>
      </c>
      <c r="F1314" s="77">
        <f>IFERROR(__xludf.DUMMYFUNCTION("""COMPUTED_VALUE"""),1926.0)</f>
        <v>1926</v>
      </c>
      <c r="G1314" s="77">
        <f>IFERROR(__xludf.DUMMYFUNCTION("""COMPUTED_VALUE"""),18.0)</f>
        <v>18</v>
      </c>
      <c r="H1314" s="77">
        <f>IFERROR(__xludf.DUMMYFUNCTION("""COMPUTED_VALUE"""),23.0)</f>
        <v>23</v>
      </c>
      <c r="I1314" s="77">
        <f>IFERROR(__xludf.DUMMYFUNCTION("""COMPUTED_VALUE"""),100.0)</f>
        <v>100</v>
      </c>
      <c r="J1314" s="73"/>
      <c r="K1314" s="73"/>
      <c r="L1314" s="73"/>
      <c r="M1314" s="77">
        <f>IFERROR(__xludf.DUMMYFUNCTION("""COMPUTED_VALUE"""),0.1)</f>
        <v>0.1</v>
      </c>
      <c r="N1314" s="77">
        <f>IFERROR(__xludf.DUMMYFUNCTION("""COMPUTED_VALUE"""),1.0)</f>
        <v>1</v>
      </c>
      <c r="O1314" s="49"/>
      <c r="P1314" s="49" t="str">
        <f>IFERROR(__xludf.DUMMYFUNCTION("""COMPUTED_VALUE"""),"Offset")</f>
        <v>Offset</v>
      </c>
      <c r="Q1314" s="49" t="str">
        <f>IFERROR(__xludf.DUMMYFUNCTION("""COMPUTED_VALUE"""),"Packaging")</f>
        <v>Packaging</v>
      </c>
      <c r="R1314" s="49" t="str">
        <f>IFERROR(__xludf.DUMMYFUNCTION("""COMPUTED_VALUE"""),"Led")</f>
        <v>Led</v>
      </c>
    </row>
    <row r="1315">
      <c r="A1315" s="156" t="str">
        <f>IFERROR(__xludf.DUMMYFUNCTION("""COMPUTED_VALUE"""),"https://drive.google.com/open?id=1u4Myvnl-dwd1GxqGEdpnjZWVJQ8mMz2A&amp;authuser=jay.agg%40gmail.com&amp;usp=drive_fs")</f>
        <v>https://drive.google.com/open?id=1u4Myvnl-dwd1GxqGEdpnjZWVJQ8mMz2A&amp;authuser=jay.agg%40gmail.com&amp;usp=drive_fs</v>
      </c>
      <c r="B1315" s="73" t="str">
        <f>IFERROR(__xludf.DUMMYFUNCTION("""COMPUTED_VALUE"""),"Led")</f>
        <v>Led</v>
      </c>
      <c r="C1315" s="73" t="str">
        <f>IFERROR(__xludf.DUMMYFUNCTION("""COMPUTED_VALUE"""),"O Bulb")</f>
        <v>O Bulb</v>
      </c>
      <c r="D1315" s="73" t="str">
        <f>IFERROR(__xludf.DUMMYFUNCTION("""COMPUTED_VALUE"""),"95*69*90 mm IL")</f>
        <v>95*69*90 mm IL</v>
      </c>
      <c r="E1315" s="77">
        <f>IFERROR(__xludf.DUMMYFUNCTION("""COMPUTED_VALUE"""),3.0)</f>
        <v>3</v>
      </c>
      <c r="F1315" s="77">
        <f>IFERROR(__xludf.DUMMYFUNCTION("""COMPUTED_VALUE"""),1926.0)</f>
        <v>1926</v>
      </c>
      <c r="G1315" s="77">
        <f>IFERROR(__xludf.DUMMYFUNCTION("""COMPUTED_VALUE"""),15.0)</f>
        <v>15</v>
      </c>
      <c r="H1315" s="77">
        <f>IFERROR(__xludf.DUMMYFUNCTION("""COMPUTED_VALUE"""),25.0)</f>
        <v>25</v>
      </c>
      <c r="I1315" s="77">
        <f>IFERROR(__xludf.DUMMYFUNCTION("""COMPUTED_VALUE"""),100.0)</f>
        <v>100</v>
      </c>
      <c r="J1315" s="73"/>
      <c r="K1315" s="73"/>
      <c r="L1315" s="73"/>
      <c r="M1315" s="77">
        <f>IFERROR(__xludf.DUMMYFUNCTION("""COMPUTED_VALUE"""),0.1)</f>
        <v>0.1</v>
      </c>
      <c r="N1315" s="77">
        <f>IFERROR(__xludf.DUMMYFUNCTION("""COMPUTED_VALUE"""),1.0)</f>
        <v>1</v>
      </c>
      <c r="O1315" s="49"/>
      <c r="P1315" s="49" t="str">
        <f>IFERROR(__xludf.DUMMYFUNCTION("""COMPUTED_VALUE"""),"Offset")</f>
        <v>Offset</v>
      </c>
      <c r="Q1315" s="49" t="str">
        <f>IFERROR(__xludf.DUMMYFUNCTION("""COMPUTED_VALUE"""),"Packaging")</f>
        <v>Packaging</v>
      </c>
      <c r="R1315" s="49" t="str">
        <f>IFERROR(__xludf.DUMMYFUNCTION("""COMPUTED_VALUE"""),"Led")</f>
        <v>Led</v>
      </c>
    </row>
    <row r="1316">
      <c r="A1316" s="156" t="str">
        <f>IFERROR(__xludf.DUMMYFUNCTION("""COMPUTED_VALUE"""),"https://drive.google.com/open?id=1uEPNPIy4Ege8BcYemvlQe-cEDW6zshqI&amp;authuser=jay.agg%40gmail.com&amp;usp=drive_fs")</f>
        <v>https://drive.google.com/open?id=1uEPNPIy4Ege8BcYemvlQe-cEDW6zshqI&amp;authuser=jay.agg%40gmail.com&amp;usp=drive_fs</v>
      </c>
      <c r="B1316" s="73" t="str">
        <f>IFERROR(__xludf.DUMMYFUNCTION("""COMPUTED_VALUE"""),"Led")</f>
        <v>Led</v>
      </c>
      <c r="C1316" s="73" t="str">
        <f>IFERROR(__xludf.DUMMYFUNCTION("""COMPUTED_VALUE"""),"O Bulb")</f>
        <v>O Bulb</v>
      </c>
      <c r="D1316" s="73" t="str">
        <f>IFERROR(__xludf.DUMMYFUNCTION("""COMPUTED_VALUE"""),"144*70*144 mm IL")</f>
        <v>144*70*144 mm IL</v>
      </c>
      <c r="E1316" s="77">
        <f>IFERROR(__xludf.DUMMYFUNCTION("""COMPUTED_VALUE"""),2.0)</f>
        <v>2</v>
      </c>
      <c r="F1316" s="77">
        <f>IFERROR(__xludf.DUMMYFUNCTION("""COMPUTED_VALUE"""),1926.0)</f>
        <v>1926</v>
      </c>
      <c r="G1316" s="77">
        <f>IFERROR(__xludf.DUMMYFUNCTION("""COMPUTED_VALUE"""),18.0)</f>
        <v>18</v>
      </c>
      <c r="H1316" s="77">
        <f>IFERROR(__xludf.DUMMYFUNCTION("""COMPUTED_VALUE"""),21.0)</f>
        <v>21</v>
      </c>
      <c r="I1316" s="77">
        <f>IFERROR(__xludf.DUMMYFUNCTION("""COMPUTED_VALUE"""),100.0)</f>
        <v>100</v>
      </c>
      <c r="J1316" s="73"/>
      <c r="K1316" s="73"/>
      <c r="L1316" s="73"/>
      <c r="M1316" s="77">
        <f>IFERROR(__xludf.DUMMYFUNCTION("""COMPUTED_VALUE"""),0.1)</f>
        <v>0.1</v>
      </c>
      <c r="N1316" s="77">
        <f>IFERROR(__xludf.DUMMYFUNCTION("""COMPUTED_VALUE"""),1.0)</f>
        <v>1</v>
      </c>
      <c r="O1316" s="49"/>
      <c r="P1316" s="49" t="str">
        <f>IFERROR(__xludf.DUMMYFUNCTION("""COMPUTED_VALUE"""),"Offset")</f>
        <v>Offset</v>
      </c>
      <c r="Q1316" s="49" t="str">
        <f>IFERROR(__xludf.DUMMYFUNCTION("""COMPUTED_VALUE"""),"Packaging")</f>
        <v>Packaging</v>
      </c>
      <c r="R1316" s="49" t="str">
        <f>IFERROR(__xludf.DUMMYFUNCTION("""COMPUTED_VALUE"""),"Led")</f>
        <v>Led</v>
      </c>
    </row>
    <row r="1317">
      <c r="A1317" s="156" t="str">
        <f>IFERROR(__xludf.DUMMYFUNCTION("""COMPUTED_VALUE"""),"https://drive.google.com/open?id=1uFWOrxGtTmqjYzHj4_B-lRXK3j-4FmmA&amp;authuser=jay.agg%40gmail.com&amp;usp=drive_fs")</f>
        <v>https://drive.google.com/open?id=1uFWOrxGtTmqjYzHj4_B-lRXK3j-4FmmA&amp;authuser=jay.agg%40gmail.com&amp;usp=drive_fs</v>
      </c>
      <c r="B1317" s="73" t="str">
        <f>IFERROR(__xludf.DUMMYFUNCTION("""COMPUTED_VALUE"""),"Led")</f>
        <v>Led</v>
      </c>
      <c r="C1317" s="73" t="str">
        <f>IFERROR(__xludf.DUMMYFUNCTION("""COMPUTED_VALUE"""),"Conceal")</f>
        <v>Conceal</v>
      </c>
      <c r="D1317" s="73" t="str">
        <f>IFERROR(__xludf.DUMMYFUNCTION("""COMPUTED_VALUE"""),"93*50*83 mm IL")</f>
        <v>93*50*83 mm IL</v>
      </c>
      <c r="E1317" s="77">
        <f>IFERROR(__xludf.DUMMYFUNCTION("""COMPUTED_VALUE"""),4.0)</f>
        <v>4</v>
      </c>
      <c r="F1317" s="77">
        <f>IFERROR(__xludf.DUMMYFUNCTION("""COMPUTED_VALUE"""),1926.0)</f>
        <v>1926</v>
      </c>
      <c r="G1317" s="77">
        <f>IFERROR(__xludf.DUMMYFUNCTION("""COMPUTED_VALUE"""),13.0)</f>
        <v>13</v>
      </c>
      <c r="H1317" s="77">
        <f>IFERROR(__xludf.DUMMYFUNCTION("""COMPUTED_VALUE"""),25.0)</f>
        <v>25</v>
      </c>
      <c r="I1317" s="77">
        <f>IFERROR(__xludf.DUMMYFUNCTION("""COMPUTED_VALUE"""),100.0)</f>
        <v>100</v>
      </c>
      <c r="J1317" s="73"/>
      <c r="K1317" s="73"/>
      <c r="L1317" s="73"/>
      <c r="M1317" s="77">
        <f>IFERROR(__xludf.DUMMYFUNCTION("""COMPUTED_VALUE"""),0.1)</f>
        <v>0.1</v>
      </c>
      <c r="N1317" s="77">
        <f>IFERROR(__xludf.DUMMYFUNCTION("""COMPUTED_VALUE"""),1.0)</f>
        <v>1</v>
      </c>
      <c r="O1317" s="49"/>
      <c r="P1317" s="49" t="str">
        <f>IFERROR(__xludf.DUMMYFUNCTION("""COMPUTED_VALUE"""),"Offset")</f>
        <v>Offset</v>
      </c>
      <c r="Q1317" s="49" t="str">
        <f>IFERROR(__xludf.DUMMYFUNCTION("""COMPUTED_VALUE"""),"Packaging")</f>
        <v>Packaging</v>
      </c>
      <c r="R1317" s="49" t="str">
        <f>IFERROR(__xludf.DUMMYFUNCTION("""COMPUTED_VALUE"""),"Led")</f>
        <v>Led</v>
      </c>
    </row>
    <row r="1318">
      <c r="A1318" s="156" t="str">
        <f>IFERROR(__xludf.DUMMYFUNCTION("""COMPUTED_VALUE"""),"https://drive.google.com/open?id=1uM4AIu05MkeVwxkHIEiYYxM9IS6mxVli&amp;authuser=jay.agg%40gmail.com&amp;usp=drive_fs")</f>
        <v>https://drive.google.com/open?id=1uM4AIu05MkeVwxkHIEiYYxM9IS6mxVli&amp;authuser=jay.agg%40gmail.com&amp;usp=drive_fs</v>
      </c>
      <c r="B1318" s="73" t="str">
        <f>IFERROR(__xludf.DUMMYFUNCTION("""COMPUTED_VALUE"""),"Led")</f>
        <v>Led</v>
      </c>
      <c r="C1318" s="73" t="str">
        <f>IFERROR(__xludf.DUMMYFUNCTION("""COMPUTED_VALUE"""),"Conceal")</f>
        <v>Conceal</v>
      </c>
      <c r="D1318" s="73" t="str">
        <f>IFERROR(__xludf.DUMMYFUNCTION("""COMPUTED_VALUE"""),"117*60*120 mm IL")</f>
        <v>117*60*120 mm IL</v>
      </c>
      <c r="E1318" s="77">
        <f>IFERROR(__xludf.DUMMYFUNCTION("""COMPUTED_VALUE"""),2.0)</f>
        <v>2</v>
      </c>
      <c r="F1318" s="77">
        <f>IFERROR(__xludf.DUMMYFUNCTION("""COMPUTED_VALUE"""),1926.0)</f>
        <v>1926</v>
      </c>
      <c r="G1318" s="77">
        <f>IFERROR(__xludf.DUMMYFUNCTION("""COMPUTED_VALUE"""),16.0)</f>
        <v>16</v>
      </c>
      <c r="H1318" s="77">
        <f>IFERROR(__xludf.DUMMYFUNCTION("""COMPUTED_VALUE"""),17.0)</f>
        <v>17</v>
      </c>
      <c r="I1318" s="77">
        <f>IFERROR(__xludf.DUMMYFUNCTION("""COMPUTED_VALUE"""),100.0)</f>
        <v>100</v>
      </c>
      <c r="J1318" s="73"/>
      <c r="K1318" s="73"/>
      <c r="L1318" s="73"/>
      <c r="M1318" s="77">
        <f>IFERROR(__xludf.DUMMYFUNCTION("""COMPUTED_VALUE"""),0.1)</f>
        <v>0.1</v>
      </c>
      <c r="N1318" s="77">
        <f>IFERROR(__xludf.DUMMYFUNCTION("""COMPUTED_VALUE"""),1.0)</f>
        <v>1</v>
      </c>
      <c r="O1318" s="49"/>
      <c r="P1318" s="49" t="str">
        <f>IFERROR(__xludf.DUMMYFUNCTION("""COMPUTED_VALUE"""),"Offset")</f>
        <v>Offset</v>
      </c>
      <c r="Q1318" s="49" t="str">
        <f>IFERROR(__xludf.DUMMYFUNCTION("""COMPUTED_VALUE"""),"Packaging")</f>
        <v>Packaging</v>
      </c>
      <c r="R1318" s="49" t="str">
        <f>IFERROR(__xludf.DUMMYFUNCTION("""COMPUTED_VALUE"""),"Led")</f>
        <v>Led</v>
      </c>
    </row>
    <row r="1319">
      <c r="A1319" s="156" t="str">
        <f>IFERROR(__xludf.DUMMYFUNCTION("""COMPUTED_VALUE"""),"https://drive.google.com/open?id=10yuAQUL5Jm0Ci77CD0uISq4CdKhw7F49&amp;authuser=jay.agg%40gmail.com&amp;usp=drive_fs")</f>
        <v>https://drive.google.com/open?id=10yuAQUL5Jm0Ci77CD0uISq4CdKhw7F49&amp;authuser=jay.agg%40gmail.com&amp;usp=drive_fs</v>
      </c>
      <c r="B1319" s="73" t="str">
        <f>IFERROR(__xludf.DUMMYFUNCTION("""COMPUTED_VALUE"""),"Led")</f>
        <v>Led</v>
      </c>
      <c r="C1319" s="73" t="str">
        <f>IFERROR(__xludf.DUMMYFUNCTION("""COMPUTED_VALUE"""),"Led Bulb")</f>
        <v>Led Bulb</v>
      </c>
      <c r="D1319" s="73" t="str">
        <f>IFERROR(__xludf.DUMMYFUNCTION("""COMPUTED_VALUE"""),"55*55*102 mm IL with Hanger")</f>
        <v>55*55*102 mm IL with Hanger</v>
      </c>
      <c r="E1319" s="77">
        <f>IFERROR(__xludf.DUMMYFUNCTION("""COMPUTED_VALUE"""),6.0)</f>
        <v>6</v>
      </c>
      <c r="F1319" s="77">
        <f>IFERROR(__xludf.DUMMYFUNCTION("""COMPUTED_VALUE"""),1926.0)</f>
        <v>1926</v>
      </c>
      <c r="G1319" s="77">
        <f>IFERROR(__xludf.DUMMYFUNCTION("""COMPUTED_VALUE"""),20.0)</f>
        <v>20</v>
      </c>
      <c r="H1319" s="77">
        <f>IFERROR(__xludf.DUMMYFUNCTION("""COMPUTED_VALUE"""),25.0)</f>
        <v>25</v>
      </c>
      <c r="I1319" s="77">
        <f>IFERROR(__xludf.DUMMYFUNCTION("""COMPUTED_VALUE"""),100.0)</f>
        <v>100</v>
      </c>
      <c r="J1319" s="73"/>
      <c r="K1319" s="73"/>
      <c r="L1319" s="73"/>
      <c r="M1319" s="77">
        <f>IFERROR(__xludf.DUMMYFUNCTION("""COMPUTED_VALUE"""),0.1)</f>
        <v>0.1</v>
      </c>
      <c r="N1319" s="77">
        <f>IFERROR(__xludf.DUMMYFUNCTION("""COMPUTED_VALUE"""),1.0)</f>
        <v>1</v>
      </c>
      <c r="O1319" s="49"/>
      <c r="P1319" s="49" t="str">
        <f>IFERROR(__xludf.DUMMYFUNCTION("""COMPUTED_VALUE"""),"Offset")</f>
        <v>Offset</v>
      </c>
      <c r="Q1319" s="49" t="str">
        <f>IFERROR(__xludf.DUMMYFUNCTION("""COMPUTED_VALUE"""),"Packaging")</f>
        <v>Packaging</v>
      </c>
      <c r="R1319" s="49" t="str">
        <f>IFERROR(__xludf.DUMMYFUNCTION("""COMPUTED_VALUE"""),"Led")</f>
        <v>Led</v>
      </c>
    </row>
    <row r="1320">
      <c r="A1320" s="156" t="str">
        <f>IFERROR(__xludf.DUMMYFUNCTION("""COMPUTED_VALUE"""),"https://drive.google.com/open?id=13q6rfK7Zve_Pkqr8tfqYFj2ytNw6NZxI&amp;authuser=jay.agg%40gmail.com&amp;usp=drive_fs")</f>
        <v>https://drive.google.com/open?id=13q6rfK7Zve_Pkqr8tfqYFj2ytNw6NZxI&amp;authuser=jay.agg%40gmail.com&amp;usp=drive_fs</v>
      </c>
      <c r="B1320" s="73" t="str">
        <f>IFERROR(__xludf.DUMMYFUNCTION("""COMPUTED_VALUE"""),"Led")</f>
        <v>Led</v>
      </c>
      <c r="C1320" s="73" t="str">
        <f>IFERROR(__xludf.DUMMYFUNCTION("""COMPUTED_VALUE"""),"Led Bulb")</f>
        <v>Led Bulb</v>
      </c>
      <c r="D1320" s="73" t="str">
        <f>IFERROR(__xludf.DUMMYFUNCTION("""COMPUTED_VALUE"""),"57*57*110 mm IL")</f>
        <v>57*57*110 mm IL</v>
      </c>
      <c r="E1320" s="77">
        <f>IFERROR(__xludf.DUMMYFUNCTION("""COMPUTED_VALUE"""),4.0)</f>
        <v>4</v>
      </c>
      <c r="F1320" s="77">
        <f>IFERROR(__xludf.DUMMYFUNCTION("""COMPUTED_VALUE"""),1926.0)</f>
        <v>1926</v>
      </c>
      <c r="G1320" s="77">
        <f>IFERROR(__xludf.DUMMYFUNCTION("""COMPUTED_VALUE"""),15.75)</f>
        <v>15.75</v>
      </c>
      <c r="H1320" s="77">
        <f>IFERROR(__xludf.DUMMYFUNCTION("""COMPUTED_VALUE"""),20.75)</f>
        <v>20.75</v>
      </c>
      <c r="I1320" s="77">
        <f>IFERROR(__xludf.DUMMYFUNCTION("""COMPUTED_VALUE"""),100.0)</f>
        <v>100</v>
      </c>
      <c r="J1320" s="73"/>
      <c r="K1320" s="73"/>
      <c r="L1320" s="73"/>
      <c r="M1320" s="77">
        <f>IFERROR(__xludf.DUMMYFUNCTION("""COMPUTED_VALUE"""),0.1)</f>
        <v>0.1</v>
      </c>
      <c r="N1320" s="77">
        <f>IFERROR(__xludf.DUMMYFUNCTION("""COMPUTED_VALUE"""),1.0)</f>
        <v>1</v>
      </c>
      <c r="O1320" s="49"/>
      <c r="P1320" s="49" t="str">
        <f>IFERROR(__xludf.DUMMYFUNCTION("""COMPUTED_VALUE"""),"Offset")</f>
        <v>Offset</v>
      </c>
      <c r="Q1320" s="49" t="str">
        <f>IFERROR(__xludf.DUMMYFUNCTION("""COMPUTED_VALUE"""),"Packaging")</f>
        <v>Packaging</v>
      </c>
      <c r="R1320" s="49" t="str">
        <f>IFERROR(__xludf.DUMMYFUNCTION("""COMPUTED_VALUE"""),"Led")</f>
        <v>Led</v>
      </c>
    </row>
    <row r="1321">
      <c r="A1321" s="156" t="str">
        <f>IFERROR(__xludf.DUMMYFUNCTION("""COMPUTED_VALUE"""),"https://drive.google.com/open?id=17Cf_FTsCRKD87DUXscAx2-U6X12H8LYl&amp;authuser=jay.agg%40gmail.com&amp;usp=drive_fs")</f>
        <v>https://drive.google.com/open?id=17Cf_FTsCRKD87DUXscAx2-U6X12H8LYl&amp;authuser=jay.agg%40gmail.com&amp;usp=drive_fs</v>
      </c>
      <c r="B1321" s="73" t="str">
        <f>IFERROR(__xludf.DUMMYFUNCTION("""COMPUTED_VALUE"""),"Led")</f>
        <v>Led</v>
      </c>
      <c r="C1321" s="73" t="str">
        <f>IFERROR(__xludf.DUMMYFUNCTION("""COMPUTED_VALUE"""),"Conceal")</f>
        <v>Conceal</v>
      </c>
      <c r="D1321" s="73" t="str">
        <f>IFERROR(__xludf.DUMMYFUNCTION("""COMPUTED_VALUE"""),"115*115*55 mm IL")</f>
        <v>115*115*55 mm IL</v>
      </c>
      <c r="E1321" s="77">
        <f>IFERROR(__xludf.DUMMYFUNCTION("""COMPUTED_VALUE"""),3.0)</f>
        <v>3</v>
      </c>
      <c r="F1321" s="77">
        <f>IFERROR(__xludf.DUMMYFUNCTION("""COMPUTED_VALUE"""),2029.0)</f>
        <v>2029</v>
      </c>
      <c r="G1321" s="77">
        <f>IFERROR(__xludf.DUMMYFUNCTION("""COMPUTED_VALUE"""),19.0)</f>
        <v>19</v>
      </c>
      <c r="H1321" s="77">
        <f>IFERROR(__xludf.DUMMYFUNCTION("""COMPUTED_VALUE"""),26.0)</f>
        <v>26</v>
      </c>
      <c r="I1321" s="77">
        <f>IFERROR(__xludf.DUMMYFUNCTION("""COMPUTED_VALUE"""),100.0)</f>
        <v>100</v>
      </c>
      <c r="J1321" s="73"/>
      <c r="K1321" s="73"/>
      <c r="L1321" s="73"/>
      <c r="M1321" s="77">
        <f>IFERROR(__xludf.DUMMYFUNCTION("""COMPUTED_VALUE"""),0.1)</f>
        <v>0.1</v>
      </c>
      <c r="N1321" s="77">
        <f>IFERROR(__xludf.DUMMYFUNCTION("""COMPUTED_VALUE"""),1.0)</f>
        <v>1</v>
      </c>
      <c r="O1321" s="49"/>
      <c r="P1321" s="49" t="str">
        <f>IFERROR(__xludf.DUMMYFUNCTION("""COMPUTED_VALUE"""),"Offset")</f>
        <v>Offset</v>
      </c>
      <c r="Q1321" s="49" t="str">
        <f>IFERROR(__xludf.DUMMYFUNCTION("""COMPUTED_VALUE"""),"Packaging")</f>
        <v>Packaging</v>
      </c>
      <c r="R1321" s="49" t="str">
        <f>IFERROR(__xludf.DUMMYFUNCTION("""COMPUTED_VALUE"""),"Led")</f>
        <v>Led</v>
      </c>
    </row>
    <row r="1322">
      <c r="A1322" s="156" t="str">
        <f>IFERROR(__xludf.DUMMYFUNCTION("""COMPUTED_VALUE"""),"https://drive.google.com/open?id=1MgD_XUGpDCE8e_LkG_WiKpPZlzmudyCj&amp;authuser=jay.agg%40gmail.com&amp;usp=drive_fs")</f>
        <v>https://drive.google.com/open?id=1MgD_XUGpDCE8e_LkG_WiKpPZlzmudyCj&amp;authuser=jay.agg%40gmail.com&amp;usp=drive_fs</v>
      </c>
      <c r="B1322" s="73" t="str">
        <f>IFERROR(__xludf.DUMMYFUNCTION("""COMPUTED_VALUE"""),"Led")</f>
        <v>Led</v>
      </c>
      <c r="C1322" s="73" t="str">
        <f>IFERROR(__xludf.DUMMYFUNCTION("""COMPUTED_VALUE"""),"Tube Light")</f>
        <v>Tube Light</v>
      </c>
      <c r="D1322" s="73" t="str">
        <f>IFERROR(__xludf.DUMMYFUNCTION("""COMPUTED_VALUE"""),"38*38*305 mm | 1.5*1.5*12 inch")</f>
        <v>38*38*305 mm | 1.5*1.5*12 inch</v>
      </c>
      <c r="E1322" s="77">
        <f>IFERROR(__xludf.DUMMYFUNCTION("""COMPUTED_VALUE"""),4.0)</f>
        <v>4</v>
      </c>
      <c r="F1322" s="77">
        <f>IFERROR(__xludf.DUMMYFUNCTION("""COMPUTED_VALUE"""),2029.0)</f>
        <v>2029</v>
      </c>
      <c r="G1322" s="77">
        <f>IFERROR(__xludf.DUMMYFUNCTION("""COMPUTED_VALUE"""),19.0)</f>
        <v>19</v>
      </c>
      <c r="H1322" s="77">
        <f>IFERROR(__xludf.DUMMYFUNCTION("""COMPUTED_VALUE"""),26.0)</f>
        <v>26</v>
      </c>
      <c r="I1322" s="77">
        <f>IFERROR(__xludf.DUMMYFUNCTION("""COMPUTED_VALUE"""),100.0)</f>
        <v>100</v>
      </c>
      <c r="J1322" s="73"/>
      <c r="K1322" s="73"/>
      <c r="L1322" s="73"/>
      <c r="M1322" s="77">
        <f>IFERROR(__xludf.DUMMYFUNCTION("""COMPUTED_VALUE"""),0.1)</f>
        <v>0.1</v>
      </c>
      <c r="N1322" s="77">
        <f>IFERROR(__xludf.DUMMYFUNCTION("""COMPUTED_VALUE"""),1.0)</f>
        <v>1</v>
      </c>
      <c r="O1322" s="49"/>
      <c r="P1322" s="49" t="str">
        <f>IFERROR(__xludf.DUMMYFUNCTION("""COMPUTED_VALUE"""),"Offset")</f>
        <v>Offset</v>
      </c>
      <c r="Q1322" s="49" t="str">
        <f>IFERROR(__xludf.DUMMYFUNCTION("""COMPUTED_VALUE"""),"Packaging")</f>
        <v>Packaging</v>
      </c>
      <c r="R1322" s="49" t="str">
        <f>IFERROR(__xludf.DUMMYFUNCTION("""COMPUTED_VALUE"""),"Led")</f>
        <v>Led</v>
      </c>
    </row>
    <row r="1323">
      <c r="A1323" s="156" t="str">
        <f>IFERROR(__xludf.DUMMYFUNCTION("""COMPUTED_VALUE"""),"https://drive.google.com/open?id=1OOVwwB6KNnh9H_x5-OEsY9xgDxUgmm9p&amp;authuser=jay.agg%40gmail.com&amp;usp=drive_fs")</f>
        <v>https://drive.google.com/open?id=1OOVwwB6KNnh9H_x5-OEsY9xgDxUgmm9p&amp;authuser=jay.agg%40gmail.com&amp;usp=drive_fs</v>
      </c>
      <c r="B1323" s="73" t="str">
        <f>IFERROR(__xludf.DUMMYFUNCTION("""COMPUTED_VALUE"""),"Led")</f>
        <v>Led</v>
      </c>
      <c r="C1323" s="73" t="str">
        <f>IFERROR(__xludf.DUMMYFUNCTION("""COMPUTED_VALUE"""),"Led Bulb")</f>
        <v>Led Bulb</v>
      </c>
      <c r="D1323" s="73" t="str">
        <f>IFERROR(__xludf.DUMMYFUNCTION("""COMPUTED_VALUE"""),"55*55*102 mm Flap")</f>
        <v>55*55*102 mm Flap</v>
      </c>
      <c r="E1323" s="77">
        <f>IFERROR(__xludf.DUMMYFUNCTION("""COMPUTED_VALUE"""),6.0)</f>
        <v>6</v>
      </c>
      <c r="F1323" s="77">
        <f>IFERROR(__xludf.DUMMYFUNCTION("""COMPUTED_VALUE"""),2029.0)</f>
        <v>2029</v>
      </c>
      <c r="G1323" s="77">
        <f>IFERROR(__xludf.DUMMYFUNCTION("""COMPUTED_VALUE"""),19.0)</f>
        <v>19</v>
      </c>
      <c r="H1323" s="77">
        <f>IFERROR(__xludf.DUMMYFUNCTION("""COMPUTED_VALUE"""),26.0)</f>
        <v>26</v>
      </c>
      <c r="I1323" s="77">
        <f>IFERROR(__xludf.DUMMYFUNCTION("""COMPUTED_VALUE"""),100.0)</f>
        <v>100</v>
      </c>
      <c r="J1323" s="73"/>
      <c r="K1323" s="73"/>
      <c r="L1323" s="73"/>
      <c r="M1323" s="77">
        <f>IFERROR(__xludf.DUMMYFUNCTION("""COMPUTED_VALUE"""),0.1)</f>
        <v>0.1</v>
      </c>
      <c r="N1323" s="77">
        <f>IFERROR(__xludf.DUMMYFUNCTION("""COMPUTED_VALUE"""),1.0)</f>
        <v>1</v>
      </c>
      <c r="O1323" s="49"/>
      <c r="P1323" s="49" t="str">
        <f>IFERROR(__xludf.DUMMYFUNCTION("""COMPUTED_VALUE"""),"Offset")</f>
        <v>Offset</v>
      </c>
      <c r="Q1323" s="49" t="str">
        <f>IFERROR(__xludf.DUMMYFUNCTION("""COMPUTED_VALUE"""),"Packaging")</f>
        <v>Packaging</v>
      </c>
      <c r="R1323" s="49" t="str">
        <f>IFERROR(__xludf.DUMMYFUNCTION("""COMPUTED_VALUE"""),"Led")</f>
        <v>Led</v>
      </c>
    </row>
    <row r="1324">
      <c r="A1324" s="156" t="str">
        <f>IFERROR(__xludf.DUMMYFUNCTION("""COMPUTED_VALUE"""),"https://drive.google.com/open?id=17oIMUdqVNe7ASgeRyuYZJndEq94MwBwg&amp;authuser=jay.agg%40gmail.com&amp;usp=drive_fs")</f>
        <v>https://drive.google.com/open?id=17oIMUdqVNe7ASgeRyuYZJndEq94MwBwg&amp;authuser=jay.agg%40gmail.com&amp;usp=drive_fs</v>
      </c>
      <c r="B1324" s="73" t="str">
        <f>IFERROR(__xludf.DUMMYFUNCTION("""COMPUTED_VALUE"""),"Led")</f>
        <v>Led</v>
      </c>
      <c r="C1324" s="73" t="str">
        <f>IFERROR(__xludf.DUMMYFUNCTION("""COMPUTED_VALUE"""),"Led Bulb")</f>
        <v>Led Bulb</v>
      </c>
      <c r="D1324" s="73" t="str">
        <f>IFERROR(__xludf.DUMMYFUNCTION("""COMPUTED_VALUE"""),"75*75*160 mm | 2.9*2.9*6.3 inch")</f>
        <v>75*75*160 mm | 2.9*2.9*6.3 inch</v>
      </c>
      <c r="E1324" s="77">
        <f>IFERROR(__xludf.DUMMYFUNCTION("""COMPUTED_VALUE"""),4.0)</f>
        <v>4</v>
      </c>
      <c r="F1324" s="77">
        <f>IFERROR(__xludf.DUMMYFUNCTION("""COMPUTED_VALUE"""),2029.0)</f>
        <v>2029</v>
      </c>
      <c r="G1324" s="77">
        <f>IFERROR(__xludf.DUMMYFUNCTION("""COMPUTED_VALUE"""),20.0)</f>
        <v>20</v>
      </c>
      <c r="H1324" s="77">
        <f>IFERROR(__xludf.DUMMYFUNCTION("""COMPUTED_VALUE"""),25.0)</f>
        <v>25</v>
      </c>
      <c r="I1324" s="77">
        <f>IFERROR(__xludf.DUMMYFUNCTION("""COMPUTED_VALUE"""),100.0)</f>
        <v>100</v>
      </c>
      <c r="J1324" s="73"/>
      <c r="K1324" s="73"/>
      <c r="L1324" s="73"/>
      <c r="M1324" s="77">
        <f>IFERROR(__xludf.DUMMYFUNCTION("""COMPUTED_VALUE"""),0.1)</f>
        <v>0.1</v>
      </c>
      <c r="N1324" s="77">
        <f>IFERROR(__xludf.DUMMYFUNCTION("""COMPUTED_VALUE"""),1.0)</f>
        <v>1</v>
      </c>
      <c r="O1324" s="49"/>
      <c r="P1324" s="49" t="str">
        <f>IFERROR(__xludf.DUMMYFUNCTION("""COMPUTED_VALUE"""),"Offset")</f>
        <v>Offset</v>
      </c>
      <c r="Q1324" s="49" t="str">
        <f>IFERROR(__xludf.DUMMYFUNCTION("""COMPUTED_VALUE"""),"Packaging")</f>
        <v>Packaging</v>
      </c>
      <c r="R1324" s="49" t="str">
        <f>IFERROR(__xludf.DUMMYFUNCTION("""COMPUTED_VALUE"""),"Led")</f>
        <v>Led</v>
      </c>
    </row>
    <row r="1325">
      <c r="A1325" s="156" t="str">
        <f>IFERROR(__xludf.DUMMYFUNCTION("""COMPUTED_VALUE"""),"https://drive.google.com/open?id=11JX12IM4e5Tnfo3Gn9rZ6DJKHxv5hmCJ&amp;authuser=jay.agg%40gmail.com&amp;usp=drive_fs")</f>
        <v>https://drive.google.com/open?id=11JX12IM4e5Tnfo3Gn9rZ6DJKHxv5hmCJ&amp;authuser=jay.agg%40gmail.com&amp;usp=drive_fs</v>
      </c>
      <c r="B1325" s="73" t="str">
        <f>IFERROR(__xludf.DUMMYFUNCTION("""COMPUTED_VALUE"""),"Led")</f>
        <v>Led</v>
      </c>
      <c r="C1325" s="73" t="str">
        <f>IFERROR(__xludf.DUMMYFUNCTION("""COMPUTED_VALUE"""),"Led Bulb")</f>
        <v>Led Bulb</v>
      </c>
      <c r="D1325" s="73" t="str">
        <f>IFERROR(__xludf.DUMMYFUNCTION("""COMPUTED_VALUE"""),"57*57*103 mm | 2.2*2.2*4 inch")</f>
        <v>57*57*103 mm | 2.2*2.2*4 inch</v>
      </c>
      <c r="E1325" s="77">
        <f>IFERROR(__xludf.DUMMYFUNCTION("""COMPUTED_VALUE"""),8.0)</f>
        <v>8</v>
      </c>
      <c r="F1325" s="77">
        <f>IFERROR(__xludf.DUMMYFUNCTION("""COMPUTED_VALUE"""),2029.0)</f>
        <v>2029</v>
      </c>
      <c r="G1325" s="77">
        <f>IFERROR(__xludf.DUMMYFUNCTION("""COMPUTED_VALUE"""),20.0)</f>
        <v>20</v>
      </c>
      <c r="H1325" s="77">
        <f>IFERROR(__xludf.DUMMYFUNCTION("""COMPUTED_VALUE"""),28.0)</f>
        <v>28</v>
      </c>
      <c r="I1325" s="77">
        <f>IFERROR(__xludf.DUMMYFUNCTION("""COMPUTED_VALUE"""),100.0)</f>
        <v>100</v>
      </c>
      <c r="J1325" s="73"/>
      <c r="K1325" s="73"/>
      <c r="L1325" s="73"/>
      <c r="M1325" s="77">
        <f>IFERROR(__xludf.DUMMYFUNCTION("""COMPUTED_VALUE"""),0.1)</f>
        <v>0.1</v>
      </c>
      <c r="N1325" s="77">
        <f>IFERROR(__xludf.DUMMYFUNCTION("""COMPUTED_VALUE"""),1.0)</f>
        <v>1</v>
      </c>
      <c r="O1325" s="49"/>
      <c r="P1325" s="49" t="str">
        <f>IFERROR(__xludf.DUMMYFUNCTION("""COMPUTED_VALUE"""),"Offset")</f>
        <v>Offset</v>
      </c>
      <c r="Q1325" s="49" t="str">
        <f>IFERROR(__xludf.DUMMYFUNCTION("""COMPUTED_VALUE"""),"Packaging")</f>
        <v>Packaging</v>
      </c>
      <c r="R1325" s="49" t="str">
        <f>IFERROR(__xludf.DUMMYFUNCTION("""COMPUTED_VALUE"""),"Led")</f>
        <v>Led</v>
      </c>
    </row>
    <row r="1326">
      <c r="A1326" s="156" t="str">
        <f>IFERROR(__xludf.DUMMYFUNCTION("""COMPUTED_VALUE"""),"https://drive.google.com/open?id=11FLcK-4Z8vm4aOJIFZ7ZfTJNrMJyEDlq&amp;authuser=jay.agg%40gmail.com&amp;usp=drive_fs")</f>
        <v>https://drive.google.com/open?id=11FLcK-4Z8vm4aOJIFZ7ZfTJNrMJyEDlq&amp;authuser=jay.agg%40gmail.com&amp;usp=drive_fs</v>
      </c>
      <c r="B1326" s="73" t="str">
        <f>IFERROR(__xludf.DUMMYFUNCTION("""COMPUTED_VALUE"""),"Led")</f>
        <v>Led</v>
      </c>
      <c r="C1326" s="73" t="str">
        <f>IFERROR(__xludf.DUMMYFUNCTION("""COMPUTED_VALUE"""),"Led Bulb")</f>
        <v>Led Bulb</v>
      </c>
      <c r="D1326" s="73" t="str">
        <f>IFERROR(__xludf.DUMMYFUNCTION("""COMPUTED_VALUE"""),"57*57*103 mm | 2.2*2.2*4 inch Holder")</f>
        <v>57*57*103 mm | 2.2*2.2*4 inch Holder</v>
      </c>
      <c r="E1326" s="77">
        <f>IFERROR(__xludf.DUMMYFUNCTION("""COMPUTED_VALUE"""),8.0)</f>
        <v>8</v>
      </c>
      <c r="F1326" s="77">
        <f>IFERROR(__xludf.DUMMYFUNCTION("""COMPUTED_VALUE"""),2029.0)</f>
        <v>2029</v>
      </c>
      <c r="G1326" s="77">
        <f>IFERROR(__xludf.DUMMYFUNCTION("""COMPUTED_VALUE"""),20.0)</f>
        <v>20</v>
      </c>
      <c r="H1326" s="77">
        <f>IFERROR(__xludf.DUMMYFUNCTION("""COMPUTED_VALUE"""),30.0)</f>
        <v>30</v>
      </c>
      <c r="I1326" s="77">
        <f>IFERROR(__xludf.DUMMYFUNCTION("""COMPUTED_VALUE"""),100.0)</f>
        <v>100</v>
      </c>
      <c r="J1326" s="73"/>
      <c r="K1326" s="73"/>
      <c r="L1326" s="73"/>
      <c r="M1326" s="77">
        <f>IFERROR(__xludf.DUMMYFUNCTION("""COMPUTED_VALUE"""),0.1)</f>
        <v>0.1</v>
      </c>
      <c r="N1326" s="77">
        <f>IFERROR(__xludf.DUMMYFUNCTION("""COMPUTED_VALUE"""),1.0)</f>
        <v>1</v>
      </c>
      <c r="O1326" s="49"/>
      <c r="P1326" s="49" t="str">
        <f>IFERROR(__xludf.DUMMYFUNCTION("""COMPUTED_VALUE"""),"Offset")</f>
        <v>Offset</v>
      </c>
      <c r="Q1326" s="49" t="str">
        <f>IFERROR(__xludf.DUMMYFUNCTION("""COMPUTED_VALUE"""),"Packaging")</f>
        <v>Packaging</v>
      </c>
      <c r="R1326" s="49" t="str">
        <f>IFERROR(__xludf.DUMMYFUNCTION("""COMPUTED_VALUE"""),"Led")</f>
        <v>Led</v>
      </c>
    </row>
    <row r="1327">
      <c r="A1327" s="156" t="str">
        <f>IFERROR(__xludf.DUMMYFUNCTION("""COMPUTED_VALUE"""),"https://drive.google.com/open?id=128EQdpkTYD_BlhqIc8bXr2tiyeb_u5rz&amp;authuser=jay.agg%40gmail.com&amp;usp=drive_fs")</f>
        <v>https://drive.google.com/open?id=128EQdpkTYD_BlhqIc8bXr2tiyeb_u5rz&amp;authuser=jay.agg%40gmail.com&amp;usp=drive_fs</v>
      </c>
      <c r="B1327" s="73" t="str">
        <f>IFERROR(__xludf.DUMMYFUNCTION("""COMPUTED_VALUE"""),"Led")</f>
        <v>Led</v>
      </c>
      <c r="C1327" s="73" t="str">
        <f>IFERROR(__xludf.DUMMYFUNCTION("""COMPUTED_VALUE"""),"Led Bulb")</f>
        <v>Led Bulb</v>
      </c>
      <c r="D1327" s="73" t="str">
        <f>IFERROR(__xludf.DUMMYFUNCTION("""COMPUTED_VALUE"""),"57*57*104 mm |  2.24*2.24*4 inch")</f>
        <v>57*57*104 mm |  2.24*2.24*4 inch</v>
      </c>
      <c r="E1327" s="77">
        <f>IFERROR(__xludf.DUMMYFUNCTION("""COMPUTED_VALUE"""),16.0)</f>
        <v>16</v>
      </c>
      <c r="F1327" s="77">
        <f>IFERROR(__xludf.DUMMYFUNCTION("""COMPUTED_VALUE"""),2840.0)</f>
        <v>2840</v>
      </c>
      <c r="G1327" s="77">
        <f>IFERROR(__xludf.DUMMYFUNCTION("""COMPUTED_VALUE"""),28.0)</f>
        <v>28</v>
      </c>
      <c r="H1327" s="77">
        <f>IFERROR(__xludf.DUMMYFUNCTION("""COMPUTED_VALUE"""),40.0)</f>
        <v>40</v>
      </c>
      <c r="I1327" s="77">
        <f>IFERROR(__xludf.DUMMYFUNCTION("""COMPUTED_VALUE"""),100.0)</f>
        <v>100</v>
      </c>
      <c r="J1327" s="73"/>
      <c r="K1327" s="73"/>
      <c r="L1327" s="73"/>
      <c r="M1327" s="77">
        <f>IFERROR(__xludf.DUMMYFUNCTION("""COMPUTED_VALUE"""),0.1)</f>
        <v>0.1</v>
      </c>
      <c r="N1327" s="77">
        <f>IFERROR(__xludf.DUMMYFUNCTION("""COMPUTED_VALUE"""),1.0)</f>
        <v>1</v>
      </c>
      <c r="O1327" s="49"/>
      <c r="P1327" s="49" t="str">
        <f>IFERROR(__xludf.DUMMYFUNCTION("""COMPUTED_VALUE"""),"Offset")</f>
        <v>Offset</v>
      </c>
      <c r="Q1327" s="49" t="str">
        <f>IFERROR(__xludf.DUMMYFUNCTION("""COMPUTED_VALUE"""),"Packaging")</f>
        <v>Packaging</v>
      </c>
      <c r="R1327" s="49" t="str">
        <f>IFERROR(__xludf.DUMMYFUNCTION("""COMPUTED_VALUE"""),"Led")</f>
        <v>Led</v>
      </c>
    </row>
    <row r="1328">
      <c r="A1328" s="156" t="str">
        <f>IFERROR(__xludf.DUMMYFUNCTION("""COMPUTED_VALUE"""),"https://drive.google.com/open?id=12CgJlx648QJZ87Kq_5t7dgHz43giXEz0&amp;authuser=jay.agg%40gmail.com&amp;usp=drive_fs")</f>
        <v>https://drive.google.com/open?id=12CgJlx648QJZ87Kq_5t7dgHz43giXEz0&amp;authuser=jay.agg%40gmail.com&amp;usp=drive_fs</v>
      </c>
      <c r="B1328" s="73" t="str">
        <f>IFERROR(__xludf.DUMMYFUNCTION("""COMPUTED_VALUE"""),"Led")</f>
        <v>Led</v>
      </c>
      <c r="C1328" s="73" t="str">
        <f>IFERROR(__xludf.DUMMYFUNCTION("""COMPUTED_VALUE"""),"Led Bulb")</f>
        <v>Led Bulb</v>
      </c>
      <c r="D1328" s="73" t="str">
        <f>IFERROR(__xludf.DUMMYFUNCTION("""COMPUTED_VALUE"""),"Holder 57*57*104 mm |  2.24*2.24*4 inch")</f>
        <v>Holder 57*57*104 mm |  2.24*2.24*4 inch</v>
      </c>
      <c r="E1328" s="77">
        <f>IFERROR(__xludf.DUMMYFUNCTION("""COMPUTED_VALUE"""),30.0)</f>
        <v>30</v>
      </c>
      <c r="F1328" s="77">
        <f>IFERROR(__xludf.DUMMYFUNCTION("""COMPUTED_VALUE"""),1926.0)</f>
        <v>1926</v>
      </c>
      <c r="G1328" s="77">
        <f>IFERROR(__xludf.DUMMYFUNCTION("""COMPUTED_VALUE"""),18.0)</f>
        <v>18</v>
      </c>
      <c r="H1328" s="77">
        <f>IFERROR(__xludf.DUMMYFUNCTION("""COMPUTED_VALUE"""),21.0)</f>
        <v>21</v>
      </c>
      <c r="I1328" s="77">
        <f>IFERROR(__xludf.DUMMYFUNCTION("""COMPUTED_VALUE"""),100.0)</f>
        <v>100</v>
      </c>
      <c r="J1328" s="73"/>
      <c r="K1328" s="73"/>
      <c r="L1328" s="73"/>
      <c r="M1328" s="77">
        <f>IFERROR(__xludf.DUMMYFUNCTION("""COMPUTED_VALUE"""),0.1)</f>
        <v>0.1</v>
      </c>
      <c r="N1328" s="77">
        <f>IFERROR(__xludf.DUMMYFUNCTION("""COMPUTED_VALUE"""),1.0)</f>
        <v>1</v>
      </c>
      <c r="O1328" s="49"/>
      <c r="P1328" s="49" t="str">
        <f>IFERROR(__xludf.DUMMYFUNCTION("""COMPUTED_VALUE"""),"Offset")</f>
        <v>Offset</v>
      </c>
      <c r="Q1328" s="49" t="str">
        <f>IFERROR(__xludf.DUMMYFUNCTION("""COMPUTED_VALUE"""),"Packaging")</f>
        <v>Packaging</v>
      </c>
      <c r="R1328" s="49" t="str">
        <f>IFERROR(__xludf.DUMMYFUNCTION("""COMPUTED_VALUE"""),"Led")</f>
        <v>Led</v>
      </c>
    </row>
    <row r="1329">
      <c r="A1329" s="156" t="str">
        <f>IFERROR(__xludf.DUMMYFUNCTION("""COMPUTED_VALUE"""),"https://drive.google.com/open?id=14_8D-Hu2ewqO9lEoQttYfSg4FnJPrhpY&amp;authuser=jay.agg%40gmail.com&amp;usp=drive_fs")</f>
        <v>https://drive.google.com/open?id=14_8D-Hu2ewqO9lEoQttYfSg4FnJPrhpY&amp;authuser=jay.agg%40gmail.com&amp;usp=drive_fs</v>
      </c>
      <c r="B1329" s="73" t="str">
        <f>IFERROR(__xludf.DUMMYFUNCTION("""COMPUTED_VALUE"""),"Led")</f>
        <v>Led</v>
      </c>
      <c r="C1329" s="73" t="str">
        <f>IFERROR(__xludf.DUMMYFUNCTION("""COMPUTED_VALUE"""),"Led Bulb")</f>
        <v>Led Bulb</v>
      </c>
      <c r="D1329" s="73" t="str">
        <f>IFERROR(__xludf.DUMMYFUNCTION("""COMPUTED_VALUE"""),"60*60*105 mm | 2.3*2.3*4.1 inch IL Holder")</f>
        <v>60*60*105 mm | 2.3*2.3*4.1 inch IL Holder</v>
      </c>
      <c r="E1329" s="77">
        <f>IFERROR(__xludf.DUMMYFUNCTION("""COMPUTED_VALUE"""),4.0)</f>
        <v>4</v>
      </c>
      <c r="F1329" s="77">
        <f>IFERROR(__xludf.DUMMYFUNCTION("""COMPUTED_VALUE"""),2029.0)</f>
        <v>2029</v>
      </c>
      <c r="G1329" s="77">
        <f>IFERROR(__xludf.DUMMYFUNCTION("""COMPUTED_VALUE"""),15.75)</f>
        <v>15.75</v>
      </c>
      <c r="H1329" s="77">
        <f>IFERROR(__xludf.DUMMYFUNCTION("""COMPUTED_VALUE"""),20.75)</f>
        <v>20.75</v>
      </c>
      <c r="I1329" s="77">
        <f>IFERROR(__xludf.DUMMYFUNCTION("""COMPUTED_VALUE"""),100.0)</f>
        <v>100</v>
      </c>
      <c r="J1329" s="73"/>
      <c r="K1329" s="73"/>
      <c r="L1329" s="73"/>
      <c r="M1329" s="77">
        <f>IFERROR(__xludf.DUMMYFUNCTION("""COMPUTED_VALUE"""),0.1)</f>
        <v>0.1</v>
      </c>
      <c r="N1329" s="77">
        <f>IFERROR(__xludf.DUMMYFUNCTION("""COMPUTED_VALUE"""),1.0)</f>
        <v>1</v>
      </c>
      <c r="O1329" s="49"/>
      <c r="P1329" s="49" t="str">
        <f>IFERROR(__xludf.DUMMYFUNCTION("""COMPUTED_VALUE"""),"Offset")</f>
        <v>Offset</v>
      </c>
      <c r="Q1329" s="49" t="str">
        <f>IFERROR(__xludf.DUMMYFUNCTION("""COMPUTED_VALUE"""),"Packaging")</f>
        <v>Packaging</v>
      </c>
      <c r="R1329" s="49" t="str">
        <f>IFERROR(__xludf.DUMMYFUNCTION("""COMPUTED_VALUE"""),"Led")</f>
        <v>Led</v>
      </c>
    </row>
    <row r="1330">
      <c r="A1330" s="156" t="str">
        <f>IFERROR(__xludf.DUMMYFUNCTION("""COMPUTED_VALUE"""),"https://drive.google.com/open?id=1iFjIqB-V4KkP-xOfBVFIjo7_-DmSoGbL&amp;authuser=jay.agg%40gmail.com&amp;usp=drive_fs")</f>
        <v>https://drive.google.com/open?id=1iFjIqB-V4KkP-xOfBVFIjo7_-DmSoGbL&amp;authuser=jay.agg%40gmail.com&amp;usp=drive_fs</v>
      </c>
      <c r="B1330" s="73" t="str">
        <f>IFERROR(__xludf.DUMMYFUNCTION("""COMPUTED_VALUE"""),"Led")</f>
        <v>Led</v>
      </c>
      <c r="C1330" s="73" t="str">
        <f>IFERROR(__xludf.DUMMYFUNCTION("""COMPUTED_VALUE"""),"Tube Light")</f>
        <v>Tube Light</v>
      </c>
      <c r="D1330" s="73" t="str">
        <f>IFERROR(__xludf.DUMMYFUNCTION("""COMPUTED_VALUE"""),"1150*41*23 mm | 1.7*0.9*45.2 inch")</f>
        <v>1150*41*23 mm | 1.7*0.9*45.2 inch</v>
      </c>
      <c r="E1330" s="77">
        <f>IFERROR(__xludf.DUMMYFUNCTION("""COMPUTED_VALUE"""),1.0)</f>
        <v>1</v>
      </c>
      <c r="F1330" s="77">
        <f>IFERROR(__xludf.DUMMYFUNCTION("""COMPUTED_VALUE"""),1926.0)</f>
        <v>1926</v>
      </c>
      <c r="G1330" s="77">
        <f>IFERROR(__xludf.DUMMYFUNCTION("""COMPUTED_VALUE"""),12.0)</f>
        <v>12</v>
      </c>
      <c r="H1330" s="77">
        <f>IFERROR(__xludf.DUMMYFUNCTION("""COMPUTED_VALUE"""),25.0)</f>
        <v>25</v>
      </c>
      <c r="I1330" s="77">
        <f>IFERROR(__xludf.DUMMYFUNCTION("""COMPUTED_VALUE"""),100.0)</f>
        <v>100</v>
      </c>
      <c r="J1330" s="73"/>
      <c r="K1330" s="73"/>
      <c r="L1330" s="73"/>
      <c r="M1330" s="77">
        <f>IFERROR(__xludf.DUMMYFUNCTION("""COMPUTED_VALUE"""),0.45)</f>
        <v>0.45</v>
      </c>
      <c r="N1330" s="77">
        <f>IFERROR(__xludf.DUMMYFUNCTION("""COMPUTED_VALUE"""),1.0)</f>
        <v>1</v>
      </c>
      <c r="O1330" s="49"/>
      <c r="P1330" s="49" t="str">
        <f>IFERROR(__xludf.DUMMYFUNCTION("""COMPUTED_VALUE"""),"Offset")</f>
        <v>Offset</v>
      </c>
      <c r="Q1330" s="49" t="str">
        <f>IFERROR(__xludf.DUMMYFUNCTION("""COMPUTED_VALUE"""),"Packaging")</f>
        <v>Packaging</v>
      </c>
      <c r="R1330" s="49" t="str">
        <f>IFERROR(__xludf.DUMMYFUNCTION("""COMPUTED_VALUE"""),"Led")</f>
        <v>Led</v>
      </c>
    </row>
    <row r="1331">
      <c r="A1331" s="156" t="str">
        <f>IFERROR(__xludf.DUMMYFUNCTION("""COMPUTED_VALUE"""),"https://drive.google.com/open?id=1BpJfWsf5U1wi8ZcHnZXiKPFJSRm-rxrR&amp;authuser=jay.agg%40gmail.com&amp;usp=drive_fs")</f>
        <v>https://drive.google.com/open?id=1BpJfWsf5U1wi8ZcHnZXiKPFJSRm-rxrR&amp;authuser=jay.agg%40gmail.com&amp;usp=drive_fs</v>
      </c>
      <c r="B1331" s="73" t="str">
        <f>IFERROR(__xludf.DUMMYFUNCTION("""COMPUTED_VALUE"""),"Led")</f>
        <v>Led</v>
      </c>
      <c r="C1331" s="73" t="str">
        <f>IFERROR(__xludf.DUMMYFUNCTION("""COMPUTED_VALUE"""),"Junction Led")</f>
        <v>Junction Led</v>
      </c>
      <c r="D1331" s="73" t="str">
        <f>IFERROR(__xludf.DUMMYFUNCTION("""COMPUTED_VALUE"""),"80*30*80 mm | 3.15*1.2*3.15 inch")</f>
        <v>80*30*80 mm | 3.15*1.2*3.15 inch</v>
      </c>
      <c r="E1331" s="77">
        <f>IFERROR(__xludf.DUMMYFUNCTION("""COMPUTED_VALUE"""),8.0)</f>
        <v>8</v>
      </c>
      <c r="F1331" s="77">
        <f>IFERROR(__xludf.DUMMYFUNCTION("""COMPUTED_VALUE"""),1926.0)</f>
        <v>1926</v>
      </c>
      <c r="G1331" s="77">
        <f>IFERROR(__xludf.DUMMYFUNCTION("""COMPUTED_VALUE"""),19.5)</f>
        <v>19.5</v>
      </c>
      <c r="H1331" s="77">
        <f>IFERROR(__xludf.DUMMYFUNCTION("""COMPUTED_VALUE"""),23.0)</f>
        <v>23</v>
      </c>
      <c r="I1331" s="77">
        <f>IFERROR(__xludf.DUMMYFUNCTION("""COMPUTED_VALUE"""),100.0)</f>
        <v>100</v>
      </c>
      <c r="J1331" s="73"/>
      <c r="K1331" s="73"/>
      <c r="L1331" s="73"/>
      <c r="M1331" s="77">
        <f>IFERROR(__xludf.DUMMYFUNCTION("""COMPUTED_VALUE"""),0.1)</f>
        <v>0.1</v>
      </c>
      <c r="N1331" s="77">
        <f>IFERROR(__xludf.DUMMYFUNCTION("""COMPUTED_VALUE"""),1.0)</f>
        <v>1</v>
      </c>
      <c r="O1331" s="49"/>
      <c r="P1331" s="49" t="str">
        <f>IFERROR(__xludf.DUMMYFUNCTION("""COMPUTED_VALUE"""),"Offset")</f>
        <v>Offset</v>
      </c>
      <c r="Q1331" s="49" t="str">
        <f>IFERROR(__xludf.DUMMYFUNCTION("""COMPUTED_VALUE"""),"Packaging")</f>
        <v>Packaging</v>
      </c>
      <c r="R1331" s="49" t="str">
        <f>IFERROR(__xludf.DUMMYFUNCTION("""COMPUTED_VALUE"""),"Led")</f>
        <v>Led</v>
      </c>
    </row>
    <row r="1332">
      <c r="A1332" s="156" t="str">
        <f>IFERROR(__xludf.DUMMYFUNCTION("""COMPUTED_VALUE"""),"https://drive.google.com/open?id=1Q4_G9FzGRiQo-gwSKfULW-Ar2QWRlpE2&amp;authuser=jay.agg%40gmail.com&amp;usp=drive_fs")</f>
        <v>https://drive.google.com/open?id=1Q4_G9FzGRiQo-gwSKfULW-Ar2QWRlpE2&amp;authuser=jay.agg%40gmail.com&amp;usp=drive_fs</v>
      </c>
      <c r="B1332" s="73" t="str">
        <f>IFERROR(__xludf.DUMMYFUNCTION("""COMPUTED_VALUE"""),"Led")</f>
        <v>Led</v>
      </c>
      <c r="C1332" s="73" t="str">
        <f>IFERROR(__xludf.DUMMYFUNCTION("""COMPUTED_VALUE"""),"Led Bulb")</f>
        <v>Led Bulb</v>
      </c>
      <c r="D1332" s="73" t="str">
        <f>IFERROR(__xludf.DUMMYFUNCTION("""COMPUTED_VALUE"""),"56.5*56.5*103 mm | 2.2*2.2*4 inch Flap")</f>
        <v>56.5*56.5*103 mm | 2.2*2.2*4 inch Flap</v>
      </c>
      <c r="E1332" s="77">
        <f>IFERROR(__xludf.DUMMYFUNCTION("""COMPUTED_VALUE"""),6.0)</f>
        <v>6</v>
      </c>
      <c r="F1332" s="77">
        <f>IFERROR(__xludf.DUMMYFUNCTION("""COMPUTED_VALUE"""),1926.0)</f>
        <v>1926</v>
      </c>
      <c r="G1332" s="77">
        <f>IFERROR(__xludf.DUMMYFUNCTION("""COMPUTED_VALUE"""),19.5)</f>
        <v>19.5</v>
      </c>
      <c r="H1332" s="77">
        <f>IFERROR(__xludf.DUMMYFUNCTION("""COMPUTED_VALUE"""),23.0)</f>
        <v>23</v>
      </c>
      <c r="I1332" s="77">
        <f>IFERROR(__xludf.DUMMYFUNCTION("""COMPUTED_VALUE"""),100.0)</f>
        <v>100</v>
      </c>
      <c r="J1332" s="73"/>
      <c r="K1332" s="73"/>
      <c r="L1332" s="73"/>
      <c r="M1332" s="77">
        <f>IFERROR(__xludf.DUMMYFUNCTION("""COMPUTED_VALUE"""),0.1)</f>
        <v>0.1</v>
      </c>
      <c r="N1332" s="77">
        <f>IFERROR(__xludf.DUMMYFUNCTION("""COMPUTED_VALUE"""),1.0)</f>
        <v>1</v>
      </c>
      <c r="O1332" s="49"/>
      <c r="P1332" s="49" t="str">
        <f>IFERROR(__xludf.DUMMYFUNCTION("""COMPUTED_VALUE"""),"Offset")</f>
        <v>Offset</v>
      </c>
      <c r="Q1332" s="49" t="str">
        <f>IFERROR(__xludf.DUMMYFUNCTION("""COMPUTED_VALUE"""),"Packaging")</f>
        <v>Packaging</v>
      </c>
      <c r="R1332" s="49" t="str">
        <f>IFERROR(__xludf.DUMMYFUNCTION("""COMPUTED_VALUE"""),"Led")</f>
        <v>Led</v>
      </c>
    </row>
    <row r="1333">
      <c r="A1333" s="156" t="str">
        <f>IFERROR(__xludf.DUMMYFUNCTION("""COMPUTED_VALUE"""),"https://drive.google.com/open?id=1Q7T-fK5DliBiiWF_bb7Q4JJkhIOCzqm3&amp;authuser=jay.agg%40gmail.com&amp;usp=drive_fs")</f>
        <v>https://drive.google.com/open?id=1Q7T-fK5DliBiiWF_bb7Q4JJkhIOCzqm3&amp;authuser=jay.agg%40gmail.com&amp;usp=drive_fs</v>
      </c>
      <c r="B1333" s="73" t="str">
        <f>IFERROR(__xludf.DUMMYFUNCTION("""COMPUTED_VALUE"""),"Led")</f>
        <v>Led</v>
      </c>
      <c r="C1333" s="73" t="str">
        <f>IFERROR(__xludf.DUMMYFUNCTION("""COMPUTED_VALUE"""),"Led Bulb")</f>
        <v>Led Bulb</v>
      </c>
      <c r="D1333" s="73" t="str">
        <f>IFERROR(__xludf.DUMMYFUNCTION("""COMPUTED_VALUE"""),"Holder 56.5*56.5*103 mm | 2.2*2.2*4 inch")</f>
        <v>Holder 56.5*56.5*103 mm | 2.2*2.2*4 inch</v>
      </c>
      <c r="E1333" s="77">
        <f>IFERROR(__xludf.DUMMYFUNCTION("""COMPUTED_VALUE"""),18.0)</f>
        <v>18</v>
      </c>
      <c r="F1333" s="77">
        <f>IFERROR(__xludf.DUMMYFUNCTION("""COMPUTED_VALUE"""),1926.0)</f>
        <v>1926</v>
      </c>
      <c r="G1333" s="77">
        <f>IFERROR(__xludf.DUMMYFUNCTION("""COMPUTED_VALUE"""),11.0)</f>
        <v>11</v>
      </c>
      <c r="H1333" s="77">
        <f>IFERROR(__xludf.DUMMYFUNCTION("""COMPUTED_VALUE"""),14.0)</f>
        <v>14</v>
      </c>
      <c r="I1333" s="77">
        <f>IFERROR(__xludf.DUMMYFUNCTION("""COMPUTED_VALUE"""),100.0)</f>
        <v>100</v>
      </c>
      <c r="J1333" s="73"/>
      <c r="K1333" s="73"/>
      <c r="L1333" s="73"/>
      <c r="M1333" s="77"/>
      <c r="N1333" s="77">
        <f>IFERROR(__xludf.DUMMYFUNCTION("""COMPUTED_VALUE"""),1.0)</f>
        <v>1</v>
      </c>
      <c r="O1333" s="49"/>
      <c r="P1333" s="49" t="str">
        <f>IFERROR(__xludf.DUMMYFUNCTION("""COMPUTED_VALUE"""),"Offset")</f>
        <v>Offset</v>
      </c>
      <c r="Q1333" s="49" t="str">
        <f>IFERROR(__xludf.DUMMYFUNCTION("""COMPUTED_VALUE"""),"Packaging")</f>
        <v>Packaging</v>
      </c>
      <c r="R1333" s="49" t="str">
        <f>IFERROR(__xludf.DUMMYFUNCTION("""COMPUTED_VALUE"""),"Led")</f>
        <v>Led</v>
      </c>
    </row>
    <row r="1334">
      <c r="A1334" s="156" t="str">
        <f>IFERROR(__xludf.DUMMYFUNCTION("""COMPUTED_VALUE"""),"https://drive.google.com/open?id=11v5Sy-4NsUAROKQlH6xw21-ROC0Jb-jR&amp;authuser=jay.agg%40gmail.com&amp;usp=drive_fs")</f>
        <v>https://drive.google.com/open?id=11v5Sy-4NsUAROKQlH6xw21-ROC0Jb-jR&amp;authuser=jay.agg%40gmail.com&amp;usp=drive_fs</v>
      </c>
      <c r="B1334" s="73" t="str">
        <f>IFERROR(__xludf.DUMMYFUNCTION("""COMPUTED_VALUE"""),"Led")</f>
        <v>Led</v>
      </c>
      <c r="C1334" s="73" t="str">
        <f>IFERROR(__xludf.DUMMYFUNCTION("""COMPUTED_VALUE"""),"Led Bulb")</f>
        <v>Led Bulb</v>
      </c>
      <c r="D1334" s="73" t="str">
        <f>IFERROR(__xludf.DUMMYFUNCTION("""COMPUTED_VALUE"""),"60*60*115 mm | 2.3*2.3*4.5 inch")</f>
        <v>60*60*115 mm | 2.3*2.3*4.5 inch</v>
      </c>
      <c r="E1334" s="77">
        <f>IFERROR(__xludf.DUMMYFUNCTION("""COMPUTED_VALUE"""),4.0)</f>
        <v>4</v>
      </c>
      <c r="F1334" s="77">
        <f>IFERROR(__xludf.DUMMYFUNCTION("""COMPUTED_VALUE"""),1926.0)</f>
        <v>1926</v>
      </c>
      <c r="G1334" s="77">
        <f>IFERROR(__xludf.DUMMYFUNCTION("""COMPUTED_VALUE"""),18.0)</f>
        <v>18</v>
      </c>
      <c r="H1334" s="77">
        <f>IFERROR(__xludf.DUMMYFUNCTION("""COMPUTED_VALUE"""),23.0)</f>
        <v>23</v>
      </c>
      <c r="I1334" s="77">
        <f>IFERROR(__xludf.DUMMYFUNCTION("""COMPUTED_VALUE"""),100.0)</f>
        <v>100</v>
      </c>
      <c r="J1334" s="73"/>
      <c r="K1334" s="73"/>
      <c r="L1334" s="73"/>
      <c r="M1334" s="77">
        <f>IFERROR(__xludf.DUMMYFUNCTION("""COMPUTED_VALUE"""),0.1)</f>
        <v>0.1</v>
      </c>
      <c r="N1334" s="77">
        <f>IFERROR(__xludf.DUMMYFUNCTION("""COMPUTED_VALUE"""),1.0)</f>
        <v>1</v>
      </c>
      <c r="O1334" s="49"/>
      <c r="P1334" s="49" t="str">
        <f>IFERROR(__xludf.DUMMYFUNCTION("""COMPUTED_VALUE"""),"Offset")</f>
        <v>Offset</v>
      </c>
      <c r="Q1334" s="49" t="str">
        <f>IFERROR(__xludf.DUMMYFUNCTION("""COMPUTED_VALUE"""),"Packaging")</f>
        <v>Packaging</v>
      </c>
      <c r="R1334" s="49" t="str">
        <f>IFERROR(__xludf.DUMMYFUNCTION("""COMPUTED_VALUE"""),"Led")</f>
        <v>Led</v>
      </c>
    </row>
    <row r="1335">
      <c r="A1335" s="156" t="str">
        <f>IFERROR(__xludf.DUMMYFUNCTION("""COMPUTED_VALUE"""),"https://drive.google.com/open?id=1Z1TUrT438xqVwts9yTpJpTWXdAAca8t9&amp;authuser=jay.agg%40gmail.com&amp;usp=drive_fs")</f>
        <v>https://drive.google.com/open?id=1Z1TUrT438xqVwts9yTpJpTWXdAAca8t9&amp;authuser=jay.agg%40gmail.com&amp;usp=drive_fs</v>
      </c>
      <c r="B1335" s="73" t="str">
        <f>IFERROR(__xludf.DUMMYFUNCTION("""COMPUTED_VALUE"""),"Led")</f>
        <v>Led</v>
      </c>
      <c r="C1335" s="73" t="str">
        <f>IFERROR(__xludf.DUMMYFUNCTION("""COMPUTED_VALUE"""),"Conceal")</f>
        <v>Conceal</v>
      </c>
      <c r="D1335" s="73" t="str">
        <f>IFERROR(__xludf.DUMMYFUNCTION("""COMPUTED_VALUE"""),"73*50*83 mm | 2.8*2*3.3 inch IL")</f>
        <v>73*50*83 mm | 2.8*2*3.3 inch IL</v>
      </c>
      <c r="E1335" s="77">
        <f>IFERROR(__xludf.DUMMYFUNCTION("""COMPUTED_VALUE"""),4.0)</f>
        <v>4</v>
      </c>
      <c r="F1335" s="77">
        <f>IFERROR(__xludf.DUMMYFUNCTION("""COMPUTED_VALUE"""),1926.0)</f>
        <v>1926</v>
      </c>
      <c r="G1335" s="77">
        <f>IFERROR(__xludf.DUMMYFUNCTION("""COMPUTED_VALUE"""),12.0)</f>
        <v>12</v>
      </c>
      <c r="H1335" s="77">
        <f>IFERROR(__xludf.DUMMYFUNCTION("""COMPUTED_VALUE"""),23.0)</f>
        <v>23</v>
      </c>
      <c r="I1335" s="77">
        <f>IFERROR(__xludf.DUMMYFUNCTION("""COMPUTED_VALUE"""),100.0)</f>
        <v>100</v>
      </c>
      <c r="J1335" s="73"/>
      <c r="K1335" s="73"/>
      <c r="L1335" s="73"/>
      <c r="M1335" s="77">
        <f>IFERROR(__xludf.DUMMYFUNCTION("""COMPUTED_VALUE"""),0.1)</f>
        <v>0.1</v>
      </c>
      <c r="N1335" s="77">
        <f>IFERROR(__xludf.DUMMYFUNCTION("""COMPUTED_VALUE"""),1.0)</f>
        <v>1</v>
      </c>
      <c r="O1335" s="49"/>
      <c r="P1335" s="49" t="str">
        <f>IFERROR(__xludf.DUMMYFUNCTION("""COMPUTED_VALUE"""),"Offset")</f>
        <v>Offset</v>
      </c>
      <c r="Q1335" s="49" t="str">
        <f>IFERROR(__xludf.DUMMYFUNCTION("""COMPUTED_VALUE"""),"Packaging")</f>
        <v>Packaging</v>
      </c>
      <c r="R1335" s="49" t="str">
        <f>IFERROR(__xludf.DUMMYFUNCTION("""COMPUTED_VALUE"""),"Led")</f>
        <v>Led</v>
      </c>
    </row>
    <row r="1336">
      <c r="A1336" s="156" t="str">
        <f>IFERROR(__xludf.DUMMYFUNCTION("""COMPUTED_VALUE"""),"https://drive.google.com/open?id=1ZT6_RiW23JJyziK773giawKt-Pm1kkgn&amp;authuser=jay.agg%40gmail.com&amp;usp=drive_fs")</f>
        <v>https://drive.google.com/open?id=1ZT6_RiW23JJyziK773giawKt-Pm1kkgn&amp;authuser=jay.agg%40gmail.com&amp;usp=drive_fs</v>
      </c>
      <c r="B1336" s="73" t="str">
        <f>IFERROR(__xludf.DUMMYFUNCTION("""COMPUTED_VALUE"""),"Led")</f>
        <v>Led</v>
      </c>
      <c r="C1336" s="73" t="str">
        <f>IFERROR(__xludf.DUMMYFUNCTION("""COMPUTED_VALUE"""),"Conceal")</f>
        <v>Conceal</v>
      </c>
      <c r="D1336" s="73" t="str">
        <f>IFERROR(__xludf.DUMMYFUNCTION("""COMPUTED_VALUE"""),"110*58*110 mm | 4.3*2.3*4.3 inch IL")</f>
        <v>110*58*110 mm | 4.3*2.3*4.3 inch IL</v>
      </c>
      <c r="E1336" s="77">
        <f>IFERROR(__xludf.DUMMYFUNCTION("""COMPUTED_VALUE"""),3.0)</f>
        <v>3</v>
      </c>
      <c r="F1336" s="77">
        <f>IFERROR(__xludf.DUMMYFUNCTION("""COMPUTED_VALUE"""),1926.0)</f>
        <v>1926</v>
      </c>
      <c r="G1336" s="77">
        <f>IFERROR(__xludf.DUMMYFUNCTION("""COMPUTED_VALUE"""),15.0)</f>
        <v>15</v>
      </c>
      <c r="H1336" s="77">
        <f>IFERROR(__xludf.DUMMYFUNCTION("""COMPUTED_VALUE"""),25.0)</f>
        <v>25</v>
      </c>
      <c r="I1336" s="77">
        <f>IFERROR(__xludf.DUMMYFUNCTION("""COMPUTED_VALUE"""),100.0)</f>
        <v>100</v>
      </c>
      <c r="J1336" s="73"/>
      <c r="K1336" s="73"/>
      <c r="L1336" s="73"/>
      <c r="M1336" s="77">
        <f>IFERROR(__xludf.DUMMYFUNCTION("""COMPUTED_VALUE"""),0.1)</f>
        <v>0.1</v>
      </c>
      <c r="N1336" s="77">
        <f>IFERROR(__xludf.DUMMYFUNCTION("""COMPUTED_VALUE"""),1.0)</f>
        <v>1</v>
      </c>
      <c r="O1336" s="49"/>
      <c r="P1336" s="49" t="str">
        <f>IFERROR(__xludf.DUMMYFUNCTION("""COMPUTED_VALUE"""),"Offset")</f>
        <v>Offset</v>
      </c>
      <c r="Q1336" s="49" t="str">
        <f>IFERROR(__xludf.DUMMYFUNCTION("""COMPUTED_VALUE"""),"Packaging")</f>
        <v>Packaging</v>
      </c>
      <c r="R1336" s="49" t="str">
        <f>IFERROR(__xludf.DUMMYFUNCTION("""COMPUTED_VALUE"""),"Led")</f>
        <v>Led</v>
      </c>
    </row>
    <row r="1337">
      <c r="A1337" s="156" t="str">
        <f>IFERROR(__xludf.DUMMYFUNCTION("""COMPUTED_VALUE"""),"https://drive.google.com/open?id=1ZVTVthB-5TALSuQYKhhIz_izzVcjCAwA&amp;authuser=jay.agg%40gmail.com&amp;usp=drive_fs")</f>
        <v>https://drive.google.com/open?id=1ZVTVthB-5TALSuQYKhhIz_izzVcjCAwA&amp;authuser=jay.agg%40gmail.com&amp;usp=drive_fs</v>
      </c>
      <c r="B1337" s="73" t="str">
        <f>IFERROR(__xludf.DUMMYFUNCTION("""COMPUTED_VALUE"""),"Led")</f>
        <v>Led</v>
      </c>
      <c r="C1337" s="73" t="str">
        <f>IFERROR(__xludf.DUMMYFUNCTION("""COMPUTED_VALUE"""),"Conceal")</f>
        <v>Conceal</v>
      </c>
      <c r="D1337" s="73" t="str">
        <f>IFERROR(__xludf.DUMMYFUNCTION("""COMPUTED_VALUE"""),"90*42*90 mm | 3.5*1.7*3.5 inch IL")</f>
        <v>90*42*90 mm | 3.5*1.7*3.5 inch IL</v>
      </c>
      <c r="E1337" s="77">
        <f>IFERROR(__xludf.DUMMYFUNCTION("""COMPUTED_VALUE"""),6.0)</f>
        <v>6</v>
      </c>
      <c r="F1337" s="77">
        <f>IFERROR(__xludf.DUMMYFUNCTION("""COMPUTED_VALUE"""),1926.0)</f>
        <v>1926</v>
      </c>
      <c r="G1337" s="77">
        <f>IFERROR(__xludf.DUMMYFUNCTION("""COMPUTED_VALUE"""),19.5)</f>
        <v>19.5</v>
      </c>
      <c r="H1337" s="77">
        <f>IFERROR(__xludf.DUMMYFUNCTION("""COMPUTED_VALUE"""),23.0)</f>
        <v>23</v>
      </c>
      <c r="I1337" s="77">
        <f>IFERROR(__xludf.DUMMYFUNCTION("""COMPUTED_VALUE"""),100.0)</f>
        <v>100</v>
      </c>
      <c r="J1337" s="73"/>
      <c r="K1337" s="73"/>
      <c r="L1337" s="73"/>
      <c r="M1337" s="77">
        <f>IFERROR(__xludf.DUMMYFUNCTION("""COMPUTED_VALUE"""),0.1)</f>
        <v>0.1</v>
      </c>
      <c r="N1337" s="77">
        <f>IFERROR(__xludf.DUMMYFUNCTION("""COMPUTED_VALUE"""),1.0)</f>
        <v>1</v>
      </c>
      <c r="O1337" s="49"/>
      <c r="P1337" s="49" t="str">
        <f>IFERROR(__xludf.DUMMYFUNCTION("""COMPUTED_VALUE"""),"Offset")</f>
        <v>Offset</v>
      </c>
      <c r="Q1337" s="49" t="str">
        <f>IFERROR(__xludf.DUMMYFUNCTION("""COMPUTED_VALUE"""),"Packaging")</f>
        <v>Packaging</v>
      </c>
      <c r="R1337" s="49" t="str">
        <f>IFERROR(__xludf.DUMMYFUNCTION("""COMPUTED_VALUE"""),"Led")</f>
        <v>Led</v>
      </c>
    </row>
    <row r="1338">
      <c r="A1338" s="156" t="str">
        <f>IFERROR(__xludf.DUMMYFUNCTION("""COMPUTED_VALUE"""),"https://drive.google.com/open?id=1ZYiKn6C7S-7D952ByFrM-9EigSo5a1Xq&amp;authuser=jay.agg%40gmail.com&amp;usp=drive_fs")</f>
        <v>https://drive.google.com/open?id=1ZYiKn6C7S-7D952ByFrM-9EigSo5a1Xq&amp;authuser=jay.agg%40gmail.com&amp;usp=drive_fs</v>
      </c>
      <c r="B1338" s="73" t="str">
        <f>IFERROR(__xludf.DUMMYFUNCTION("""COMPUTED_VALUE"""),"Led")</f>
        <v>Led</v>
      </c>
      <c r="C1338" s="73" t="str">
        <f>IFERROR(__xludf.DUMMYFUNCTION("""COMPUTED_VALUE"""),"Conceal")</f>
        <v>Conceal</v>
      </c>
      <c r="D1338" s="73" t="str">
        <f>IFERROR(__xludf.DUMMYFUNCTION("""COMPUTED_VALUE"""),"110*30*110 mm | 4.3*1.2*4.3 inch")</f>
        <v>110*30*110 mm | 4.3*1.2*4.3 inch</v>
      </c>
      <c r="E1338" s="77">
        <f>IFERROR(__xludf.DUMMYFUNCTION("""COMPUTED_VALUE"""),4.0)</f>
        <v>4</v>
      </c>
      <c r="F1338" s="77">
        <f>IFERROR(__xludf.DUMMYFUNCTION("""COMPUTED_VALUE"""),1926.0)</f>
        <v>1926</v>
      </c>
      <c r="G1338" s="77">
        <f>IFERROR(__xludf.DUMMYFUNCTION("""COMPUTED_VALUE"""),15.0)</f>
        <v>15</v>
      </c>
      <c r="H1338" s="77">
        <f>IFERROR(__xludf.DUMMYFUNCTION("""COMPUTED_VALUE"""),25.0)</f>
        <v>25</v>
      </c>
      <c r="I1338" s="77">
        <f>IFERROR(__xludf.DUMMYFUNCTION("""COMPUTED_VALUE"""),100.0)</f>
        <v>100</v>
      </c>
      <c r="J1338" s="73"/>
      <c r="K1338" s="73"/>
      <c r="L1338" s="73"/>
      <c r="M1338" s="77">
        <f>IFERROR(__xludf.DUMMYFUNCTION("""COMPUTED_VALUE"""),0.1)</f>
        <v>0.1</v>
      </c>
      <c r="N1338" s="77">
        <f>IFERROR(__xludf.DUMMYFUNCTION("""COMPUTED_VALUE"""),1.0)</f>
        <v>1</v>
      </c>
      <c r="O1338" s="49"/>
      <c r="P1338" s="49" t="str">
        <f>IFERROR(__xludf.DUMMYFUNCTION("""COMPUTED_VALUE"""),"Offset")</f>
        <v>Offset</v>
      </c>
      <c r="Q1338" s="49" t="str">
        <f>IFERROR(__xludf.DUMMYFUNCTION("""COMPUTED_VALUE"""),"Packaging")</f>
        <v>Packaging</v>
      </c>
      <c r="R1338" s="49" t="str">
        <f>IFERROR(__xludf.DUMMYFUNCTION("""COMPUTED_VALUE"""),"Led")</f>
        <v>Led</v>
      </c>
    </row>
    <row r="1339">
      <c r="A1339" s="156" t="str">
        <f>IFERROR(__xludf.DUMMYFUNCTION("""COMPUTED_VALUE"""),"https://drive.google.com/open?id=1KUWKst6la2C9H6k3VRYAOGiCM5Zq-PEx&amp;usp=drive_fs")</f>
        <v>https://drive.google.com/open?id=1KUWKst6la2C9H6k3VRYAOGiCM5Zq-PEx&amp;usp=drive_fs</v>
      </c>
      <c r="B1339" s="73" t="str">
        <f>IFERROR(__xludf.DUMMYFUNCTION("""COMPUTED_VALUE"""),"Led")</f>
        <v>Led</v>
      </c>
      <c r="C1339" s="73" t="str">
        <f>IFERROR(__xludf.DUMMYFUNCTION("""COMPUTED_VALUE"""),"Led Bulb")</f>
        <v>Led Bulb</v>
      </c>
      <c r="D1339" s="73" t="str">
        <f>IFERROR(__xludf.DUMMYFUNCTION("""COMPUTED_VALUE"""),"60*60*110 mm | 2.4*2.4*4.3 inch IL")</f>
        <v>60*60*110 mm | 2.4*2.4*4.3 inch IL</v>
      </c>
      <c r="E1339" s="77">
        <f>IFERROR(__xludf.DUMMYFUNCTION("""COMPUTED_VALUE"""),4.0)</f>
        <v>4</v>
      </c>
      <c r="F1339" s="77">
        <f>IFERROR(__xludf.DUMMYFUNCTION("""COMPUTED_VALUE"""),1926.0)</f>
        <v>1926</v>
      </c>
      <c r="G1339" s="77">
        <f>IFERROR(__xludf.DUMMYFUNCTION("""COMPUTED_VALUE"""),15.75)</f>
        <v>15.75</v>
      </c>
      <c r="H1339" s="77">
        <f>IFERROR(__xludf.DUMMYFUNCTION("""COMPUTED_VALUE"""),20.75)</f>
        <v>20.75</v>
      </c>
      <c r="I1339" s="77">
        <f>IFERROR(__xludf.DUMMYFUNCTION("""COMPUTED_VALUE"""),100.0)</f>
        <v>100</v>
      </c>
      <c r="J1339" s="73"/>
      <c r="K1339" s="73"/>
      <c r="L1339" s="73"/>
      <c r="M1339" s="77">
        <f>IFERROR(__xludf.DUMMYFUNCTION("""COMPUTED_VALUE"""),0.1)</f>
        <v>0.1</v>
      </c>
      <c r="N1339" s="77">
        <f>IFERROR(__xludf.DUMMYFUNCTION("""COMPUTED_VALUE"""),1.0)</f>
        <v>1</v>
      </c>
      <c r="O1339" s="49"/>
      <c r="P1339" s="49" t="str">
        <f>IFERROR(__xludf.DUMMYFUNCTION("""COMPUTED_VALUE"""),"Offset")</f>
        <v>Offset</v>
      </c>
      <c r="Q1339" s="49" t="str">
        <f>IFERROR(__xludf.DUMMYFUNCTION("""COMPUTED_VALUE"""),"Packaging")</f>
        <v>Packaging</v>
      </c>
      <c r="R1339" s="49" t="str">
        <f>IFERROR(__xludf.DUMMYFUNCTION("""COMPUTED_VALUE"""),"Led")</f>
        <v>Led</v>
      </c>
    </row>
    <row r="1340">
      <c r="A1340" s="156" t="str">
        <f>IFERROR(__xludf.DUMMYFUNCTION("""COMPUTED_VALUE"""),"https://drive.google.com/open?id=1PAPHcqfkezpd-rHHhqy3OGXT7Y7zhRTZ&amp;usp=drive_fs")</f>
        <v>https://drive.google.com/open?id=1PAPHcqfkezpd-rHHhqy3OGXT7Y7zhRTZ&amp;usp=drive_fs</v>
      </c>
      <c r="B1340" s="73" t="str">
        <f>IFERROR(__xludf.DUMMYFUNCTION("""COMPUTED_VALUE"""),"Led")</f>
        <v>Led</v>
      </c>
      <c r="C1340" s="73" t="str">
        <f>IFERROR(__xludf.DUMMYFUNCTION("""COMPUTED_VALUE"""),"Led Bulb")</f>
        <v>Led Bulb</v>
      </c>
      <c r="D1340" s="73" t="str">
        <f>IFERROR(__xludf.DUMMYFUNCTION("""COMPUTED_VALUE"""),"64*64*138 mm | 2.5*2.5*5.4 inch IL")</f>
        <v>64*64*138 mm | 2.5*2.5*5.4 inch IL</v>
      </c>
      <c r="E1340" s="77">
        <f>IFERROR(__xludf.DUMMYFUNCTION("""COMPUTED_VALUE"""),4.0)</f>
        <v>4</v>
      </c>
      <c r="F1340" s="77">
        <f>IFERROR(__xludf.DUMMYFUNCTION("""COMPUTED_VALUE"""),2029.0)</f>
        <v>2029</v>
      </c>
      <c r="G1340" s="77">
        <f>IFERROR(__xludf.DUMMYFUNCTION("""COMPUTED_VALUE"""),19.5)</f>
        <v>19.5</v>
      </c>
      <c r="H1340" s="77">
        <f>IFERROR(__xludf.DUMMYFUNCTION("""COMPUTED_VALUE"""),23.0)</f>
        <v>23</v>
      </c>
      <c r="I1340" s="77">
        <f>IFERROR(__xludf.DUMMYFUNCTION("""COMPUTED_VALUE"""),100.0)</f>
        <v>100</v>
      </c>
      <c r="J1340" s="73"/>
      <c r="K1340" s="73"/>
      <c r="L1340" s="73"/>
      <c r="M1340" s="77">
        <f>IFERROR(__xludf.DUMMYFUNCTION("""COMPUTED_VALUE"""),0.1)</f>
        <v>0.1</v>
      </c>
      <c r="N1340" s="77">
        <f>IFERROR(__xludf.DUMMYFUNCTION("""COMPUTED_VALUE"""),1.0)</f>
        <v>1</v>
      </c>
      <c r="O1340" s="49"/>
      <c r="P1340" s="49" t="str">
        <f>IFERROR(__xludf.DUMMYFUNCTION("""COMPUTED_VALUE"""),"Offset")</f>
        <v>Offset</v>
      </c>
      <c r="Q1340" s="49" t="str">
        <f>IFERROR(__xludf.DUMMYFUNCTION("""COMPUTED_VALUE"""),"Packaging")</f>
        <v>Packaging</v>
      </c>
      <c r="R1340" s="49" t="str">
        <f>IFERROR(__xludf.DUMMYFUNCTION("""COMPUTED_VALUE"""),"Led")</f>
        <v>Led</v>
      </c>
    </row>
    <row r="1341">
      <c r="A1341" s="156" t="str">
        <f>IFERROR(__xludf.DUMMYFUNCTION("""COMPUTED_VALUE"""),"https://drive.google.com/open?id=1PPvxuK6UROYEUyAjVS1SxESTsQ810G_t&amp;usp=drive_fs")</f>
        <v>https://drive.google.com/open?id=1PPvxuK6UROYEUyAjVS1SxESTsQ810G_t&amp;usp=drive_fs</v>
      </c>
      <c r="B1341" s="73" t="str">
        <f>IFERROR(__xludf.DUMMYFUNCTION("""COMPUTED_VALUE"""),"Led")</f>
        <v>Led</v>
      </c>
      <c r="C1341" s="73" t="str">
        <f>IFERROR(__xludf.DUMMYFUNCTION("""COMPUTED_VALUE"""),"Led Bulb")</f>
        <v>Led Bulb</v>
      </c>
      <c r="D1341" s="73" t="str">
        <f>IFERROR(__xludf.DUMMYFUNCTION("""COMPUTED_VALUE"""),"64*64*115 mm | 2.5*2.5*4.5 inch IL")</f>
        <v>64*64*115 mm | 2.5*2.5*4.5 inch IL</v>
      </c>
      <c r="E1341" s="77">
        <f>IFERROR(__xludf.DUMMYFUNCTION("""COMPUTED_VALUE"""),4.0)</f>
        <v>4</v>
      </c>
      <c r="F1341" s="77">
        <f>IFERROR(__xludf.DUMMYFUNCTION("""COMPUTED_VALUE"""),1926.0)</f>
        <v>1926</v>
      </c>
      <c r="G1341" s="77">
        <f>IFERROR(__xludf.DUMMYFUNCTION("""COMPUTED_VALUE"""),18.0)</f>
        <v>18</v>
      </c>
      <c r="H1341" s="77">
        <f>IFERROR(__xludf.DUMMYFUNCTION("""COMPUTED_VALUE"""),23.0)</f>
        <v>23</v>
      </c>
      <c r="I1341" s="77">
        <f>IFERROR(__xludf.DUMMYFUNCTION("""COMPUTED_VALUE"""),100.0)</f>
        <v>100</v>
      </c>
      <c r="J1341" s="73"/>
      <c r="K1341" s="73"/>
      <c r="L1341" s="73"/>
      <c r="M1341" s="77">
        <f>IFERROR(__xludf.DUMMYFUNCTION("""COMPUTED_VALUE"""),0.1)</f>
        <v>0.1</v>
      </c>
      <c r="N1341" s="77">
        <f>IFERROR(__xludf.DUMMYFUNCTION("""COMPUTED_VALUE"""),1.0)</f>
        <v>1</v>
      </c>
      <c r="O1341" s="49"/>
      <c r="P1341" s="49" t="str">
        <f>IFERROR(__xludf.DUMMYFUNCTION("""COMPUTED_VALUE"""),"Offset")</f>
        <v>Offset</v>
      </c>
      <c r="Q1341" s="49" t="str">
        <f>IFERROR(__xludf.DUMMYFUNCTION("""COMPUTED_VALUE"""),"Packaging")</f>
        <v>Packaging</v>
      </c>
      <c r="R1341" s="49" t="str">
        <f>IFERROR(__xludf.DUMMYFUNCTION("""COMPUTED_VALUE"""),"Led")</f>
        <v>Led</v>
      </c>
    </row>
    <row r="1342">
      <c r="A1342" s="156" t="str">
        <f>IFERROR(__xludf.DUMMYFUNCTION("""COMPUTED_VALUE"""),"https://drive.google.com/open?id=1PQ6sFiMxUrFsuRWNzH7ZbzQH7zLUGZ4-&amp;usp=drive_fs")</f>
        <v>https://drive.google.com/open?id=1PQ6sFiMxUrFsuRWNzH7ZbzQH7zLUGZ4-&amp;usp=drive_fs</v>
      </c>
      <c r="B1342" s="73" t="str">
        <f>IFERROR(__xludf.DUMMYFUNCTION("""COMPUTED_VALUE"""),"Led")</f>
        <v>Led</v>
      </c>
      <c r="C1342" s="73" t="str">
        <f>IFERROR(__xludf.DUMMYFUNCTION("""COMPUTED_VALUE"""),"Conceal")</f>
        <v>Conceal</v>
      </c>
      <c r="D1342" s="73" t="str">
        <f>IFERROR(__xludf.DUMMYFUNCTION("""COMPUTED_VALUE"""),"155*155*50 mm | 6.1*6.1*2 inch IL")</f>
        <v>155*155*50 mm | 6.1*6.1*2 inch IL</v>
      </c>
      <c r="E1342" s="77">
        <f>IFERROR(__xludf.DUMMYFUNCTION("""COMPUTED_VALUE"""),2.0)</f>
        <v>2</v>
      </c>
      <c r="F1342" s="77">
        <f>IFERROR(__xludf.DUMMYFUNCTION("""COMPUTED_VALUE"""),1926.0)</f>
        <v>1926</v>
      </c>
      <c r="G1342" s="77">
        <f>IFERROR(__xludf.DUMMYFUNCTION("""COMPUTED_VALUE"""),18.0)</f>
        <v>18</v>
      </c>
      <c r="H1342" s="77">
        <f>IFERROR(__xludf.DUMMYFUNCTION("""COMPUTED_VALUE"""),21.0)</f>
        <v>21</v>
      </c>
      <c r="I1342" s="77">
        <f>IFERROR(__xludf.DUMMYFUNCTION("""COMPUTED_VALUE"""),100.0)</f>
        <v>100</v>
      </c>
      <c r="J1342" s="73"/>
      <c r="K1342" s="73"/>
      <c r="L1342" s="73"/>
      <c r="M1342" s="77">
        <f>IFERROR(__xludf.DUMMYFUNCTION("""COMPUTED_VALUE"""),0.1)</f>
        <v>0.1</v>
      </c>
      <c r="N1342" s="77">
        <f>IFERROR(__xludf.DUMMYFUNCTION("""COMPUTED_VALUE"""),1.0)</f>
        <v>1</v>
      </c>
      <c r="O1342" s="49"/>
      <c r="P1342" s="49" t="str">
        <f>IFERROR(__xludf.DUMMYFUNCTION("""COMPUTED_VALUE"""),"Offset")</f>
        <v>Offset</v>
      </c>
      <c r="Q1342" s="49" t="str">
        <f>IFERROR(__xludf.DUMMYFUNCTION("""COMPUTED_VALUE"""),"Packaging")</f>
        <v>Packaging</v>
      </c>
      <c r="R1342" s="49" t="str">
        <f>IFERROR(__xludf.DUMMYFUNCTION("""COMPUTED_VALUE"""),"Led")</f>
        <v>Led</v>
      </c>
    </row>
    <row r="1343">
      <c r="A1343" s="156" t="str">
        <f>IFERROR(__xludf.DUMMYFUNCTION("""COMPUTED_VALUE"""),"https://drive.google.com/open?id=1PSCUG0ESVAyjArBxWu3OBAZBWZ_virLP&amp;usp=drive_fs")</f>
        <v>https://drive.google.com/open?id=1PSCUG0ESVAyjArBxWu3OBAZBWZ_virLP&amp;usp=drive_fs</v>
      </c>
      <c r="B1343" s="73" t="str">
        <f>IFERROR(__xludf.DUMMYFUNCTION("""COMPUTED_VALUE"""),"Led")</f>
        <v>Led</v>
      </c>
      <c r="C1343" s="73" t="str">
        <f>IFERROR(__xludf.DUMMYFUNCTION("""COMPUTED_VALUE"""),"Tube Light")</f>
        <v>Tube Light</v>
      </c>
      <c r="D1343" s="73" t="str">
        <f>IFERROR(__xludf.DUMMYFUNCTION("""COMPUTED_VALUE"""),"310*45*30 mm | 12.2*1.7*1.2 inch")</f>
        <v>310*45*30 mm | 12.2*1.7*1.2 inch</v>
      </c>
      <c r="E1343" s="77">
        <f>IFERROR(__xludf.DUMMYFUNCTION("""COMPUTED_VALUE"""),4.0)</f>
        <v>4</v>
      </c>
      <c r="F1343" s="77">
        <f>IFERROR(__xludf.DUMMYFUNCTION("""COMPUTED_VALUE"""),1926.0)</f>
        <v>1926</v>
      </c>
      <c r="G1343" s="77">
        <f>IFERROR(__xludf.DUMMYFUNCTION("""COMPUTED_VALUE"""),19.0)</f>
        <v>19</v>
      </c>
      <c r="H1343" s="77">
        <f>IFERROR(__xludf.DUMMYFUNCTION("""COMPUTED_VALUE"""),26.0)</f>
        <v>26</v>
      </c>
      <c r="I1343" s="77">
        <f>IFERROR(__xludf.DUMMYFUNCTION("""COMPUTED_VALUE"""),100.0)</f>
        <v>100</v>
      </c>
      <c r="J1343" s="73"/>
      <c r="K1343" s="73"/>
      <c r="L1343" s="73"/>
      <c r="M1343" s="77">
        <f>IFERROR(__xludf.DUMMYFUNCTION("""COMPUTED_VALUE"""),0.14)</f>
        <v>0.14</v>
      </c>
      <c r="N1343" s="77">
        <f>IFERROR(__xludf.DUMMYFUNCTION("""COMPUTED_VALUE"""),1.0)</f>
        <v>1</v>
      </c>
      <c r="O1343" s="49"/>
      <c r="P1343" s="49" t="str">
        <f>IFERROR(__xludf.DUMMYFUNCTION("""COMPUTED_VALUE"""),"Offset")</f>
        <v>Offset</v>
      </c>
      <c r="Q1343" s="49" t="str">
        <f>IFERROR(__xludf.DUMMYFUNCTION("""COMPUTED_VALUE"""),"Packaging")</f>
        <v>Packaging</v>
      </c>
      <c r="R1343" s="49" t="str">
        <f>IFERROR(__xludf.DUMMYFUNCTION("""COMPUTED_VALUE"""),"Led")</f>
        <v>Led</v>
      </c>
    </row>
    <row r="1344">
      <c r="A1344" s="156" t="str">
        <f>IFERROR(__xludf.DUMMYFUNCTION("""COMPUTED_VALUE"""),"https://drive.google.com/open?id=1VsYrfQeGh2np_xqVg256v2BGmqfSgzbv&amp;usp=drive_fs")</f>
        <v>https://drive.google.com/open?id=1VsYrfQeGh2np_xqVg256v2BGmqfSgzbv&amp;usp=drive_fs</v>
      </c>
      <c r="B1344" s="73" t="str">
        <f>IFERROR(__xludf.DUMMYFUNCTION("""COMPUTED_VALUE"""),"Led")</f>
        <v>Led</v>
      </c>
      <c r="C1344" s="73" t="str">
        <f>IFERROR(__xludf.DUMMYFUNCTION("""COMPUTED_VALUE"""),"Flood")</f>
        <v>Flood</v>
      </c>
      <c r="D1344" s="73" t="str">
        <f>IFERROR(__xludf.DUMMYFUNCTION("""COMPUTED_VALUE"""),"250*65*220 mm | 9.8*2.6*8.6 inch | 26*17")</f>
        <v>250*65*220 mm | 9.8*2.6*8.6 inch | 26*17</v>
      </c>
      <c r="E1344" s="77">
        <f>IFERROR(__xludf.DUMMYFUNCTION("""COMPUTED_VALUE"""),1.0)</f>
        <v>1</v>
      </c>
      <c r="F1344" s="77">
        <f>IFERROR(__xludf.DUMMYFUNCTION("""COMPUTED_VALUE"""),2029.0)</f>
        <v>2029</v>
      </c>
      <c r="G1344" s="77">
        <f>IFERROR(__xludf.DUMMYFUNCTION("""COMPUTED_VALUE"""),17.0)</f>
        <v>17</v>
      </c>
      <c r="H1344" s="77">
        <f>IFERROR(__xludf.DUMMYFUNCTION("""COMPUTED_VALUE"""),26.0)</f>
        <v>26</v>
      </c>
      <c r="I1344" s="77">
        <f>IFERROR(__xludf.DUMMYFUNCTION("""COMPUTED_VALUE"""),100.0)</f>
        <v>100</v>
      </c>
      <c r="J1344" s="73"/>
      <c r="K1344" s="73"/>
      <c r="L1344" s="73"/>
      <c r="M1344" s="77">
        <f>IFERROR(__xludf.DUMMYFUNCTION("""COMPUTED_VALUE"""),0.15)</f>
        <v>0.15</v>
      </c>
      <c r="N1344" s="77">
        <f>IFERROR(__xludf.DUMMYFUNCTION("""COMPUTED_VALUE"""),1.0)</f>
        <v>1</v>
      </c>
      <c r="O1344" s="49"/>
      <c r="P1344" s="49" t="str">
        <f>IFERROR(__xludf.DUMMYFUNCTION("""COMPUTED_VALUE"""),"Offset")</f>
        <v>Offset</v>
      </c>
      <c r="Q1344" s="49" t="str">
        <f>IFERROR(__xludf.DUMMYFUNCTION("""COMPUTED_VALUE"""),"Packaging")</f>
        <v>Packaging</v>
      </c>
      <c r="R1344" s="49" t="str">
        <f>IFERROR(__xludf.DUMMYFUNCTION("""COMPUTED_VALUE"""),"Led")</f>
        <v>Led</v>
      </c>
    </row>
    <row r="1345">
      <c r="A1345" s="156" t="str">
        <f>IFERROR(__xludf.DUMMYFUNCTION("""COMPUTED_VALUE"""),"https://drive.google.com/open?id=1Vu73jc4Tr9AwblLsp9qjOMNvT5IAD6aA&amp;usp=drive_fs")</f>
        <v>https://drive.google.com/open?id=1Vu73jc4Tr9AwblLsp9qjOMNvT5IAD6aA&amp;usp=drive_fs</v>
      </c>
      <c r="B1345" s="73" t="str">
        <f>IFERROR(__xludf.DUMMYFUNCTION("""COMPUTED_VALUE"""),"Led")</f>
        <v>Led</v>
      </c>
      <c r="C1345" s="73" t="str">
        <f>IFERROR(__xludf.DUMMYFUNCTION("""COMPUTED_VALUE"""),"Flood")</f>
        <v>Flood</v>
      </c>
      <c r="D1345" s="73" t="str">
        <f>IFERROR(__xludf.DUMMYFUNCTION("""COMPUTED_VALUE"""),"300*65*260 mm | 11.8*2.6*10.2 inch | 30*18")</f>
        <v>300*65*260 mm | 11.8*2.6*10.2 inch | 30*18</v>
      </c>
      <c r="E1345" s="77">
        <f>IFERROR(__xludf.DUMMYFUNCTION("""COMPUTED_VALUE"""),1.0)</f>
        <v>1</v>
      </c>
      <c r="F1345" s="77">
        <f>IFERROR(__xludf.DUMMYFUNCTION("""COMPUTED_VALUE"""),2840.0)</f>
        <v>2840</v>
      </c>
      <c r="G1345" s="77">
        <f>IFERROR(__xludf.DUMMYFUNCTION("""COMPUTED_VALUE"""),30.0)</f>
        <v>30</v>
      </c>
      <c r="H1345" s="77">
        <f>IFERROR(__xludf.DUMMYFUNCTION("""COMPUTED_VALUE"""),18.0)</f>
        <v>18</v>
      </c>
      <c r="I1345" s="77">
        <f>IFERROR(__xludf.DUMMYFUNCTION("""COMPUTED_VALUE"""),100.0)</f>
        <v>100</v>
      </c>
      <c r="J1345" s="73"/>
      <c r="K1345" s="73"/>
      <c r="L1345" s="73"/>
      <c r="M1345" s="77">
        <f>IFERROR(__xludf.DUMMYFUNCTION("""COMPUTED_VALUE"""),0.15)</f>
        <v>0.15</v>
      </c>
      <c r="N1345" s="77">
        <f>IFERROR(__xludf.DUMMYFUNCTION("""COMPUTED_VALUE"""),1.0)</f>
        <v>1</v>
      </c>
      <c r="O1345" s="49"/>
      <c r="P1345" s="49" t="str">
        <f>IFERROR(__xludf.DUMMYFUNCTION("""COMPUTED_VALUE"""),"Offset")</f>
        <v>Offset</v>
      </c>
      <c r="Q1345" s="49" t="str">
        <f>IFERROR(__xludf.DUMMYFUNCTION("""COMPUTED_VALUE"""),"Packaging")</f>
        <v>Packaging</v>
      </c>
      <c r="R1345" s="49" t="str">
        <f>IFERROR(__xludf.DUMMYFUNCTION("""COMPUTED_VALUE"""),"Led")</f>
        <v>Led</v>
      </c>
    </row>
    <row r="1346">
      <c r="A1346" s="156" t="str">
        <f>IFERROR(__xludf.DUMMYFUNCTION("""COMPUTED_VALUE"""),"https://drive.google.com/open?id=1-E50CJQVzgjGNw5XOu9LyhUzzwTFqzVZ&amp;usp=drive_fs")</f>
        <v>https://drive.google.com/open?id=1-E50CJQVzgjGNw5XOu9LyhUzzwTFqzVZ&amp;usp=drive_fs</v>
      </c>
      <c r="B1346" s="73" t="str">
        <f>IFERROR(__xludf.DUMMYFUNCTION("""COMPUTED_VALUE"""),"Led")</f>
        <v>Led</v>
      </c>
      <c r="C1346" s="73" t="str">
        <f>IFERROR(__xludf.DUMMYFUNCTION("""COMPUTED_VALUE"""),"Led Bulb")</f>
        <v>Led Bulb</v>
      </c>
      <c r="D1346" s="73" t="str">
        <f>IFERROR(__xludf.DUMMYFUNCTION("""COMPUTED_VALUE"""),"75*75*148 mm | 3*3*5.7 inch | 26*14")</f>
        <v>75*75*148 mm | 3*3*5.7 inch | 26*14</v>
      </c>
      <c r="E1346" s="77">
        <f>IFERROR(__xludf.DUMMYFUNCTION("""COMPUTED_VALUE"""),2.0)</f>
        <v>2</v>
      </c>
      <c r="F1346" s="77">
        <f>IFERROR(__xludf.DUMMYFUNCTION("""COMPUTED_VALUE"""),2029.0)</f>
        <v>2029</v>
      </c>
      <c r="G1346" s="77">
        <f>IFERROR(__xludf.DUMMYFUNCTION("""COMPUTED_VALUE"""),26.0)</f>
        <v>26</v>
      </c>
      <c r="H1346" s="77">
        <f>IFERROR(__xludf.DUMMYFUNCTION("""COMPUTED_VALUE"""),14.0)</f>
        <v>14</v>
      </c>
      <c r="I1346" s="77">
        <f>IFERROR(__xludf.DUMMYFUNCTION("""COMPUTED_VALUE"""),100.0)</f>
        <v>100</v>
      </c>
      <c r="J1346" s="73"/>
      <c r="K1346" s="73"/>
      <c r="L1346" s="73"/>
      <c r="M1346" s="77">
        <f>IFERROR(__xludf.DUMMYFUNCTION("""COMPUTED_VALUE"""),0.15)</f>
        <v>0.15</v>
      </c>
      <c r="N1346" s="77">
        <f>IFERROR(__xludf.DUMMYFUNCTION("""COMPUTED_VALUE"""),1.0)</f>
        <v>1</v>
      </c>
      <c r="O1346" s="49"/>
      <c r="P1346" s="49" t="str">
        <f>IFERROR(__xludf.DUMMYFUNCTION("""COMPUTED_VALUE"""),"Offset")</f>
        <v>Offset</v>
      </c>
      <c r="Q1346" s="49" t="str">
        <f>IFERROR(__xludf.DUMMYFUNCTION("""COMPUTED_VALUE"""),"Packaging")</f>
        <v>Packaging</v>
      </c>
      <c r="R1346" s="49" t="str">
        <f>IFERROR(__xludf.DUMMYFUNCTION("""COMPUTED_VALUE"""),"Led")</f>
        <v>Led</v>
      </c>
    </row>
    <row r="1347">
      <c r="A1347" s="156" t="str">
        <f>IFERROR(__xludf.DUMMYFUNCTION("""COMPUTED_VALUE"""),"https://drive.google.com/open?id=1OdqDvC676mv6Epkfqc90iYWQvKxVO9xI&amp;usp=drive_fs")</f>
        <v>https://drive.google.com/open?id=1OdqDvC676mv6Epkfqc90iYWQvKxVO9xI&amp;usp=drive_fs</v>
      </c>
      <c r="B1347" s="73" t="str">
        <f>IFERROR(__xludf.DUMMYFUNCTION("""COMPUTED_VALUE"""),"Led")</f>
        <v>Led</v>
      </c>
      <c r="C1347" s="73" t="str">
        <f>IFERROR(__xludf.DUMMYFUNCTION("""COMPUTED_VALUE"""),"Led Bulb")</f>
        <v>Led Bulb</v>
      </c>
      <c r="D1347" s="73" t="str">
        <f>IFERROR(__xludf.DUMMYFUNCTION("""COMPUTED_VALUE"""),"113*113*70 mm | 4.5*4.5*2.7 inch IL | 28*19")</f>
        <v>113*113*70 mm | 4.5*4.5*2.7 inch IL | 28*19</v>
      </c>
      <c r="E1347" s="77">
        <f>IFERROR(__xludf.DUMMYFUNCTION("""COMPUTED_VALUE"""),3.0)</f>
        <v>3</v>
      </c>
      <c r="F1347" s="77">
        <f>IFERROR(__xludf.DUMMYFUNCTION("""COMPUTED_VALUE"""),2029.0)</f>
        <v>2029</v>
      </c>
      <c r="G1347" s="77">
        <f>IFERROR(__xludf.DUMMYFUNCTION("""COMPUTED_VALUE"""),20.0)</f>
        <v>20</v>
      </c>
      <c r="H1347" s="77">
        <f>IFERROR(__xludf.DUMMYFUNCTION("""COMPUTED_VALUE"""),28.0)</f>
        <v>28</v>
      </c>
      <c r="I1347" s="77">
        <f>IFERROR(__xludf.DUMMYFUNCTION("""COMPUTED_VALUE"""),100.0)</f>
        <v>100</v>
      </c>
      <c r="J1347" s="73"/>
      <c r="K1347" s="73"/>
      <c r="L1347" s="73"/>
      <c r="M1347" s="77">
        <f>IFERROR(__xludf.DUMMYFUNCTION("""COMPUTED_VALUE"""),0.15)</f>
        <v>0.15</v>
      </c>
      <c r="N1347" s="77">
        <f>IFERROR(__xludf.DUMMYFUNCTION("""COMPUTED_VALUE"""),1.0)</f>
        <v>1</v>
      </c>
      <c r="O1347" s="49"/>
      <c r="P1347" s="49" t="str">
        <f>IFERROR(__xludf.DUMMYFUNCTION("""COMPUTED_VALUE"""),"Offset")</f>
        <v>Offset</v>
      </c>
      <c r="Q1347" s="49" t="str">
        <f>IFERROR(__xludf.DUMMYFUNCTION("""COMPUTED_VALUE"""),"Packaging")</f>
        <v>Packaging</v>
      </c>
      <c r="R1347" s="49" t="str">
        <f>IFERROR(__xludf.DUMMYFUNCTION("""COMPUTED_VALUE"""),"Led")</f>
        <v>Led</v>
      </c>
    </row>
    <row r="1348">
      <c r="A1348" s="156" t="str">
        <f>IFERROR(__xludf.DUMMYFUNCTION("""COMPUTED_VALUE"""),"https://drive.google.com/open?id=1OcgYx42x8aRg7r9nxaZiv0mUIaIctUPK&amp;usp=drive_fs")</f>
        <v>https://drive.google.com/open?id=1OcgYx42x8aRg7r9nxaZiv0mUIaIctUPK&amp;usp=drive_fs</v>
      </c>
      <c r="B1348" s="73" t="str">
        <f>IFERROR(__xludf.DUMMYFUNCTION("""COMPUTED_VALUE"""),"Led")</f>
        <v>Led</v>
      </c>
      <c r="C1348" s="73" t="str">
        <f>IFERROR(__xludf.DUMMYFUNCTION("""COMPUTED_VALUE"""),"Led Bulb")</f>
        <v>Led Bulb</v>
      </c>
      <c r="D1348" s="73" t="str">
        <f>IFERROR(__xludf.DUMMYFUNCTION("""COMPUTED_VALUE"""),"90*70*90 mm | 3.5*2.7*3.5 inch IL | 24*14")</f>
        <v>90*70*90 mm | 3.5*2.7*3.5 inch IL | 24*14</v>
      </c>
      <c r="E1348" s="77">
        <f>IFERROR(__xludf.DUMMYFUNCTION("""COMPUTED_VALUE"""),2.0)</f>
        <v>2</v>
      </c>
      <c r="F1348" s="77">
        <f>IFERROR(__xludf.DUMMYFUNCTION("""COMPUTED_VALUE"""),1926.0)</f>
        <v>1926</v>
      </c>
      <c r="G1348" s="77">
        <f>IFERROR(__xludf.DUMMYFUNCTION("""COMPUTED_VALUE"""),15.0)</f>
        <v>15</v>
      </c>
      <c r="H1348" s="77">
        <f>IFERROR(__xludf.DUMMYFUNCTION("""COMPUTED_VALUE"""),25.0)</f>
        <v>25</v>
      </c>
      <c r="I1348" s="77">
        <f>IFERROR(__xludf.DUMMYFUNCTION("""COMPUTED_VALUE"""),100.0)</f>
        <v>100</v>
      </c>
      <c r="J1348" s="73"/>
      <c r="K1348" s="73"/>
      <c r="L1348" s="73"/>
      <c r="M1348" s="77">
        <f>IFERROR(__xludf.DUMMYFUNCTION("""COMPUTED_VALUE"""),0.15)</f>
        <v>0.15</v>
      </c>
      <c r="N1348" s="77">
        <f>IFERROR(__xludf.DUMMYFUNCTION("""COMPUTED_VALUE"""),1.0)</f>
        <v>1</v>
      </c>
      <c r="O1348" s="49"/>
      <c r="P1348" s="49" t="str">
        <f>IFERROR(__xludf.DUMMYFUNCTION("""COMPUTED_VALUE"""),"Offset")</f>
        <v>Offset</v>
      </c>
      <c r="Q1348" s="49" t="str">
        <f>IFERROR(__xludf.DUMMYFUNCTION("""COMPUTED_VALUE"""),"Packaging")</f>
        <v>Packaging</v>
      </c>
      <c r="R1348" s="49" t="str">
        <f>IFERROR(__xludf.DUMMYFUNCTION("""COMPUTED_VALUE"""),"Led")</f>
        <v>Led</v>
      </c>
    </row>
    <row r="1349">
      <c r="A1349" s="156" t="str">
        <f>IFERROR(__xludf.DUMMYFUNCTION("""COMPUTED_VALUE"""),"https://drive.google.com/open?id=1ObK5csQ_JaYG6u0mutzB3tY2ou7xFhtt&amp;usp=drive_fs")</f>
        <v>https://drive.google.com/open?id=1ObK5csQ_JaYG6u0mutzB3tY2ou7xFhtt&amp;usp=drive_fs</v>
      </c>
      <c r="B1349" s="73" t="str">
        <f>IFERROR(__xludf.DUMMYFUNCTION("""COMPUTED_VALUE"""),"Led")</f>
        <v>Led</v>
      </c>
      <c r="C1349" s="73" t="str">
        <f>IFERROR(__xludf.DUMMYFUNCTION("""COMPUTED_VALUE"""),"Led Bulb")</f>
        <v>Led Bulb</v>
      </c>
      <c r="D1349" s="73" t="str">
        <f>IFERROR(__xludf.DUMMYFUNCTION("""COMPUTED_VALUE"""),"88*70*158 mm | 3.4*2.7*6.2 inch IL | 22*14")</f>
        <v>88*70*158 mm | 3.4*2.7*6.2 inch IL | 22*14</v>
      </c>
      <c r="E1349" s="77">
        <f>IFERROR(__xludf.DUMMYFUNCTION("""COMPUTED_VALUE"""),2.0)</f>
        <v>2</v>
      </c>
      <c r="F1349" s="77">
        <f>IFERROR(__xludf.DUMMYFUNCTION("""COMPUTED_VALUE"""),1926.0)</f>
        <v>1926</v>
      </c>
      <c r="G1349" s="77">
        <f>IFERROR(__xludf.DUMMYFUNCTION("""COMPUTED_VALUE"""),14.0)</f>
        <v>14</v>
      </c>
      <c r="H1349" s="77">
        <f>IFERROR(__xludf.DUMMYFUNCTION("""COMPUTED_VALUE"""),22.0)</f>
        <v>22</v>
      </c>
      <c r="I1349" s="77">
        <f>IFERROR(__xludf.DUMMYFUNCTION("""COMPUTED_VALUE"""),100.0)</f>
        <v>100</v>
      </c>
      <c r="J1349" s="73"/>
      <c r="K1349" s="73"/>
      <c r="L1349" s="73"/>
      <c r="M1349" s="77">
        <f>IFERROR(__xludf.DUMMYFUNCTION("""COMPUTED_VALUE"""),0.15)</f>
        <v>0.15</v>
      </c>
      <c r="N1349" s="77">
        <f>IFERROR(__xludf.DUMMYFUNCTION("""COMPUTED_VALUE"""),1.0)</f>
        <v>1</v>
      </c>
      <c r="O1349" s="49"/>
      <c r="P1349" s="49" t="str">
        <f>IFERROR(__xludf.DUMMYFUNCTION("""COMPUTED_VALUE"""),"Offset")</f>
        <v>Offset</v>
      </c>
      <c r="Q1349" s="49" t="str">
        <f>IFERROR(__xludf.DUMMYFUNCTION("""COMPUTED_VALUE"""),"Packaging")</f>
        <v>Packaging</v>
      </c>
      <c r="R1349" s="49" t="str">
        <f>IFERROR(__xludf.DUMMYFUNCTION("""COMPUTED_VALUE"""),"Led")</f>
        <v>Led</v>
      </c>
    </row>
    <row r="1350">
      <c r="A1350" s="156" t="str">
        <f>IFERROR(__xludf.DUMMYFUNCTION("""COMPUTED_VALUE"""),"https://drive.google.com/open?id=1OZ9OTv8rzkSWAhP4Fm27NHzyXC5td8Bm&amp;usp=drive_fs")</f>
        <v>https://drive.google.com/open?id=1OZ9OTv8rzkSWAhP4Fm27NHzyXC5td8Bm&amp;usp=drive_fs</v>
      </c>
      <c r="B1350" s="73" t="str">
        <f>IFERROR(__xludf.DUMMYFUNCTION("""COMPUTED_VALUE"""),"Led")</f>
        <v>Led</v>
      </c>
      <c r="C1350" s="73" t="str">
        <f>IFERROR(__xludf.DUMMYFUNCTION("""COMPUTED_VALUE"""),"Led Bulb")</f>
        <v>Led Bulb</v>
      </c>
      <c r="D1350" s="73" t="str">
        <f>IFERROR(__xludf.DUMMYFUNCTION("""COMPUTED_VALUE"""),"115*65*108 mm | 4.5*2.5*4.2 inch IL | 26*16")</f>
        <v>115*65*108 mm | 4.5*2.5*4.2 inch IL | 26*16</v>
      </c>
      <c r="E1350" s="77">
        <f>IFERROR(__xludf.DUMMYFUNCTION("""COMPUTED_VALUE"""),3.0)</f>
        <v>3</v>
      </c>
      <c r="F1350" s="77">
        <f>IFERROR(__xludf.DUMMYFUNCTION("""COMPUTED_VALUE"""),2029.0)</f>
        <v>2029</v>
      </c>
      <c r="G1350" s="77">
        <f>IFERROR(__xludf.DUMMYFUNCTION("""COMPUTED_VALUE"""),19.0)</f>
        <v>19</v>
      </c>
      <c r="H1350" s="77">
        <f>IFERROR(__xludf.DUMMYFUNCTION("""COMPUTED_VALUE"""),26.0)</f>
        <v>26</v>
      </c>
      <c r="I1350" s="77">
        <f>IFERROR(__xludf.DUMMYFUNCTION("""COMPUTED_VALUE"""),100.0)</f>
        <v>100</v>
      </c>
      <c r="J1350" s="73"/>
      <c r="K1350" s="73"/>
      <c r="L1350" s="73"/>
      <c r="M1350" s="77">
        <f>IFERROR(__xludf.DUMMYFUNCTION("""COMPUTED_VALUE"""),0.15)</f>
        <v>0.15</v>
      </c>
      <c r="N1350" s="77">
        <f>IFERROR(__xludf.DUMMYFUNCTION("""COMPUTED_VALUE"""),1.0)</f>
        <v>1</v>
      </c>
      <c r="O1350" s="49"/>
      <c r="P1350" s="49" t="str">
        <f>IFERROR(__xludf.DUMMYFUNCTION("""COMPUTED_VALUE"""),"Offset")</f>
        <v>Offset</v>
      </c>
      <c r="Q1350" s="49" t="str">
        <f>IFERROR(__xludf.DUMMYFUNCTION("""COMPUTED_VALUE"""),"Packaging")</f>
        <v>Packaging</v>
      </c>
      <c r="R1350" s="49" t="str">
        <f>IFERROR(__xludf.DUMMYFUNCTION("""COMPUTED_VALUE"""),"Led")</f>
        <v>Led</v>
      </c>
    </row>
    <row r="1351">
      <c r="A1351" s="156" t="str">
        <f>IFERROR(__xludf.DUMMYFUNCTION("""COMPUTED_VALUE"""),"https://drive.google.com/open?id=1OndvXLNrEcl6qbLG_PyI1pbEtNrNsNLo&amp;usp=drive_fs")</f>
        <v>https://drive.google.com/open?id=1OndvXLNrEcl6qbLG_PyI1pbEtNrNsNLo&amp;usp=drive_fs</v>
      </c>
      <c r="B1351" s="73" t="str">
        <f>IFERROR(__xludf.DUMMYFUNCTION("""COMPUTED_VALUE"""),"Led")</f>
        <v>Led</v>
      </c>
      <c r="C1351" s="73" t="str">
        <f>IFERROR(__xludf.DUMMYFUNCTION("""COMPUTED_VALUE"""),"Led Bulb")</f>
        <v>Led Bulb</v>
      </c>
      <c r="D1351" s="73" t="str">
        <f>IFERROR(__xludf.DUMMYFUNCTION("""COMPUTED_VALUE"""),"57*57*105 mm | 2.3*2.3*4.1 inch")</f>
        <v>57*57*105 mm | 2.3*2.3*4.1 inch</v>
      </c>
      <c r="E1351" s="77">
        <f>IFERROR(__xludf.DUMMYFUNCTION("""COMPUTED_VALUE"""),4.0)</f>
        <v>4</v>
      </c>
      <c r="F1351" s="77">
        <f>IFERROR(__xludf.DUMMYFUNCTION("""COMPUTED_VALUE"""),1926.0)</f>
        <v>1926</v>
      </c>
      <c r="G1351" s="77">
        <f>IFERROR(__xludf.DUMMYFUNCTION("""COMPUTED_VALUE"""),19.5)</f>
        <v>19.5</v>
      </c>
      <c r="H1351" s="77">
        <f>IFERROR(__xludf.DUMMYFUNCTION("""COMPUTED_VALUE"""),23.0)</f>
        <v>23</v>
      </c>
      <c r="I1351" s="77">
        <f>IFERROR(__xludf.DUMMYFUNCTION("""COMPUTED_VALUE"""),100.0)</f>
        <v>100</v>
      </c>
      <c r="J1351" s="73"/>
      <c r="K1351" s="73"/>
      <c r="L1351" s="73"/>
      <c r="M1351" s="77">
        <f>IFERROR(__xludf.DUMMYFUNCTION("""COMPUTED_VALUE"""),0.1)</f>
        <v>0.1</v>
      </c>
      <c r="N1351" s="77">
        <f>IFERROR(__xludf.DUMMYFUNCTION("""COMPUTED_VALUE"""),1.0)</f>
        <v>1</v>
      </c>
      <c r="O1351" s="49"/>
      <c r="P1351" s="49" t="str">
        <f>IFERROR(__xludf.DUMMYFUNCTION("""COMPUTED_VALUE"""),"Offset")</f>
        <v>Offset</v>
      </c>
      <c r="Q1351" s="49" t="str">
        <f>IFERROR(__xludf.DUMMYFUNCTION("""COMPUTED_VALUE"""),"Packaging")</f>
        <v>Packaging</v>
      </c>
      <c r="R1351" s="49" t="str">
        <f>IFERROR(__xludf.DUMMYFUNCTION("""COMPUTED_VALUE"""),"Led")</f>
        <v>Led</v>
      </c>
    </row>
    <row r="1352">
      <c r="A1352" s="156" t="str">
        <f>IFERROR(__xludf.DUMMYFUNCTION("""COMPUTED_VALUE"""),"https://drive.google.com/open?id=1OqA8PVi80Tx51spdl7WIT4NL2j_owZMq&amp;usp=drive_fs")</f>
        <v>https://drive.google.com/open?id=1OqA8PVi80Tx51spdl7WIT4NL2j_owZMq&amp;usp=drive_fs</v>
      </c>
      <c r="B1352" s="73" t="str">
        <f>IFERROR(__xludf.DUMMYFUNCTION("""COMPUTED_VALUE"""),"Led")</f>
        <v>Led</v>
      </c>
      <c r="C1352" s="73" t="str">
        <f>IFERROR(__xludf.DUMMYFUNCTION("""COMPUTED_VALUE"""),"Led Bulb")</f>
        <v>Led Bulb</v>
      </c>
      <c r="D1352" s="73" t="str">
        <f>IFERROR(__xludf.DUMMYFUNCTION("""COMPUTED_VALUE"""),"66*66*125 mm | 2.6*2.6*5 inch")</f>
        <v>66*66*125 mm | 2.6*2.6*5 inch</v>
      </c>
      <c r="E1352" s="77">
        <f>IFERROR(__xludf.DUMMYFUNCTION("""COMPUTED_VALUE"""),2.0)</f>
        <v>2</v>
      </c>
      <c r="F1352" s="77">
        <f>IFERROR(__xludf.DUMMYFUNCTION("""COMPUTED_VALUE"""),1926.0)</f>
        <v>1926</v>
      </c>
      <c r="G1352" s="77">
        <f>IFERROR(__xludf.DUMMYFUNCTION("""COMPUTED_VALUE"""),13.0)</f>
        <v>13</v>
      </c>
      <c r="H1352" s="77">
        <f>IFERROR(__xludf.DUMMYFUNCTION("""COMPUTED_VALUE"""),23.0)</f>
        <v>23</v>
      </c>
      <c r="I1352" s="77">
        <f>IFERROR(__xludf.DUMMYFUNCTION("""COMPUTED_VALUE"""),100.0)</f>
        <v>100</v>
      </c>
      <c r="J1352" s="73"/>
      <c r="K1352" s="73"/>
      <c r="L1352" s="73"/>
      <c r="M1352" s="77">
        <f>IFERROR(__xludf.DUMMYFUNCTION("""COMPUTED_VALUE"""),0.12)</f>
        <v>0.12</v>
      </c>
      <c r="N1352" s="77">
        <f>IFERROR(__xludf.DUMMYFUNCTION("""COMPUTED_VALUE"""),1.0)</f>
        <v>1</v>
      </c>
      <c r="O1352" s="49"/>
      <c r="P1352" s="49" t="str">
        <f>IFERROR(__xludf.DUMMYFUNCTION("""COMPUTED_VALUE"""),"Offset")</f>
        <v>Offset</v>
      </c>
      <c r="Q1352" s="49" t="str">
        <f>IFERROR(__xludf.DUMMYFUNCTION("""COMPUTED_VALUE"""),"Packaging")</f>
        <v>Packaging</v>
      </c>
      <c r="R1352" s="49" t="str">
        <f>IFERROR(__xludf.DUMMYFUNCTION("""COMPUTED_VALUE"""),"Led")</f>
        <v>Led</v>
      </c>
    </row>
    <row r="1353">
      <c r="A1353" s="156" t="str">
        <f>IFERROR(__xludf.DUMMYFUNCTION("""COMPUTED_VALUE"""),"https://drive.google.com/open?id=1-NOYsaKuZKdygzUkJj94dbMhzZn3i4G6&amp;usp=drive_fs")</f>
        <v>https://drive.google.com/open?id=1-NOYsaKuZKdygzUkJj94dbMhzZn3i4G6&amp;usp=drive_fs</v>
      </c>
      <c r="B1353" s="73" t="str">
        <f>IFERROR(__xludf.DUMMYFUNCTION("""COMPUTED_VALUE"""),"Led")</f>
        <v>Led</v>
      </c>
      <c r="C1353" s="73" t="str">
        <f>IFERROR(__xludf.DUMMYFUNCTION("""COMPUTED_VALUE"""),"Led Bulb")</f>
        <v>Led Bulb</v>
      </c>
      <c r="D1353" s="73" t="str">
        <f>IFERROR(__xludf.DUMMYFUNCTION("""COMPUTED_VALUE"""),"80*80*145 mm | 3.15*3.15*5.7 inch | 26*14")</f>
        <v>80*80*145 mm | 3.15*3.15*5.7 inch | 26*14</v>
      </c>
      <c r="E1353" s="77">
        <f>IFERROR(__xludf.DUMMYFUNCTION("""COMPUTED_VALUE"""),2.0)</f>
        <v>2</v>
      </c>
      <c r="F1353" s="77">
        <f>IFERROR(__xludf.DUMMYFUNCTION("""COMPUTED_VALUE"""),1926.0)</f>
        <v>1926</v>
      </c>
      <c r="G1353" s="77">
        <f>IFERROR(__xludf.DUMMYFUNCTION("""COMPUTED_VALUE"""),15.0)</f>
        <v>15</v>
      </c>
      <c r="H1353" s="77">
        <f>IFERROR(__xludf.DUMMYFUNCTION("""COMPUTED_VALUE"""),25.0)</f>
        <v>25</v>
      </c>
      <c r="I1353" s="77">
        <f>IFERROR(__xludf.DUMMYFUNCTION("""COMPUTED_VALUE"""),100.0)</f>
        <v>100</v>
      </c>
      <c r="J1353" s="73"/>
      <c r="K1353" s="73"/>
      <c r="L1353" s="73"/>
      <c r="M1353" s="77">
        <f>IFERROR(__xludf.DUMMYFUNCTION("""COMPUTED_VALUE"""),0.12)</f>
        <v>0.12</v>
      </c>
      <c r="N1353" s="77">
        <f>IFERROR(__xludf.DUMMYFUNCTION("""COMPUTED_VALUE"""),1.0)</f>
        <v>1</v>
      </c>
      <c r="O1353" s="49"/>
      <c r="P1353" s="49" t="str">
        <f>IFERROR(__xludf.DUMMYFUNCTION("""COMPUTED_VALUE"""),"Offset")</f>
        <v>Offset</v>
      </c>
      <c r="Q1353" s="49" t="str">
        <f>IFERROR(__xludf.DUMMYFUNCTION("""COMPUTED_VALUE"""),"Packaging")</f>
        <v>Packaging</v>
      </c>
      <c r="R1353" s="49" t="str">
        <f>IFERROR(__xludf.DUMMYFUNCTION("""COMPUTED_VALUE"""),"Led")</f>
        <v>Led</v>
      </c>
    </row>
    <row r="1354">
      <c r="A1354" s="156" t="str">
        <f>IFERROR(__xludf.DUMMYFUNCTION("""COMPUTED_VALUE"""),"https://drive.google.com/open?id=1-NXEro1xXdvjALl7fvzVX1_CItg6tIQ7&amp;usp=drive_fs")</f>
        <v>https://drive.google.com/open?id=1-NXEro1xXdvjALl7fvzVX1_CItg6tIQ7&amp;usp=drive_fs</v>
      </c>
      <c r="B1354" s="73" t="str">
        <f>IFERROR(__xludf.DUMMYFUNCTION("""COMPUTED_VALUE"""),"Led")</f>
        <v>Led</v>
      </c>
      <c r="C1354" s="73" t="str">
        <f>IFERROR(__xludf.DUMMYFUNCTION("""COMPUTED_VALUE"""),"Led Bulb")</f>
        <v>Led Bulb</v>
      </c>
      <c r="D1354" s="73" t="str">
        <f>IFERROR(__xludf.DUMMYFUNCTION("""COMPUTED_VALUE"""),"100*100*193 mm | 3.9*3.9*7.6 inch | 22*18")</f>
        <v>100*100*193 mm | 3.9*3.9*7.6 inch | 22*18</v>
      </c>
      <c r="E1354" s="77">
        <f>IFERROR(__xludf.DUMMYFUNCTION("""COMPUTED_VALUE"""),1.0)</f>
        <v>1</v>
      </c>
      <c r="F1354" s="77">
        <f>IFERROR(__xludf.DUMMYFUNCTION("""COMPUTED_VALUE"""),1926.0)</f>
        <v>1926</v>
      </c>
      <c r="G1354" s="77">
        <f>IFERROR(__xludf.DUMMYFUNCTION("""COMPUTED_VALUE"""),18.0)</f>
        <v>18</v>
      </c>
      <c r="H1354" s="77">
        <f>IFERROR(__xludf.DUMMYFUNCTION("""COMPUTED_VALUE"""),19.0)</f>
        <v>19</v>
      </c>
      <c r="I1354" s="77">
        <f>IFERROR(__xludf.DUMMYFUNCTION("""COMPUTED_VALUE"""),100.0)</f>
        <v>100</v>
      </c>
      <c r="J1354" s="73"/>
      <c r="K1354" s="73"/>
      <c r="L1354" s="73"/>
      <c r="M1354" s="77">
        <f>IFERROR(__xludf.DUMMYFUNCTION("""COMPUTED_VALUE"""),0.12)</f>
        <v>0.12</v>
      </c>
      <c r="N1354" s="77">
        <f>IFERROR(__xludf.DUMMYFUNCTION("""COMPUTED_VALUE"""),1.0)</f>
        <v>1</v>
      </c>
      <c r="O1354" s="49"/>
      <c r="P1354" s="49" t="str">
        <f>IFERROR(__xludf.DUMMYFUNCTION("""COMPUTED_VALUE"""),"Offset")</f>
        <v>Offset</v>
      </c>
      <c r="Q1354" s="49" t="str">
        <f>IFERROR(__xludf.DUMMYFUNCTION("""COMPUTED_VALUE"""),"Packaging")</f>
        <v>Packaging</v>
      </c>
      <c r="R1354" s="49" t="str">
        <f>IFERROR(__xludf.DUMMYFUNCTION("""COMPUTED_VALUE"""),"Led")</f>
        <v>Led</v>
      </c>
    </row>
    <row r="1355">
      <c r="A1355" s="156" t="str">
        <f>IFERROR(__xludf.DUMMYFUNCTION("""COMPUTED_VALUE"""),"https://drive.google.com/open?id=1-PVqBXMqV7kHK8EzFaKNhR7ypIZDRDpU&amp;usp=drive_fs")</f>
        <v>https://drive.google.com/open?id=1-PVqBXMqV7kHK8EzFaKNhR7ypIZDRDpU&amp;usp=drive_fs</v>
      </c>
      <c r="B1355" s="73" t="str">
        <f>IFERROR(__xludf.DUMMYFUNCTION("""COMPUTED_VALUE"""),"Led")</f>
        <v>Led</v>
      </c>
      <c r="C1355" s="73" t="str">
        <f>IFERROR(__xludf.DUMMYFUNCTION("""COMPUTED_VALUE"""),"Led Bulb")</f>
        <v>Led Bulb</v>
      </c>
      <c r="D1355" s="73" t="str">
        <f>IFERROR(__xludf.DUMMYFUNCTION("""COMPUTED_VALUE"""),"140*140*232 mm | 5.5*5.5*9.1 inch | 24*40")</f>
        <v>140*140*232 mm | 5.5*5.5*9.1 inch | 24*40</v>
      </c>
      <c r="E1355" s="77">
        <f>IFERROR(__xludf.DUMMYFUNCTION("""COMPUTED_VALUE"""),2.0)</f>
        <v>2</v>
      </c>
      <c r="F1355" s="77">
        <f>IFERROR(__xludf.DUMMYFUNCTION("""COMPUTED_VALUE"""),2840.0)</f>
        <v>2840</v>
      </c>
      <c r="G1355" s="77">
        <f>IFERROR(__xludf.DUMMYFUNCTION("""COMPUTED_VALUE"""),24.0)</f>
        <v>24</v>
      </c>
      <c r="H1355" s="77">
        <f>IFERROR(__xludf.DUMMYFUNCTION("""COMPUTED_VALUE"""),40.0)</f>
        <v>40</v>
      </c>
      <c r="I1355" s="77">
        <f>IFERROR(__xludf.DUMMYFUNCTION("""COMPUTED_VALUE"""),100.0)</f>
        <v>100</v>
      </c>
      <c r="J1355" s="73"/>
      <c r="K1355" s="73"/>
      <c r="L1355" s="73"/>
      <c r="M1355" s="77">
        <f>IFERROR(__xludf.DUMMYFUNCTION("""COMPUTED_VALUE"""),0.14)</f>
        <v>0.14</v>
      </c>
      <c r="N1355" s="77">
        <f>IFERROR(__xludf.DUMMYFUNCTION("""COMPUTED_VALUE"""),1.0)</f>
        <v>1</v>
      </c>
      <c r="O1355" s="49"/>
      <c r="P1355" s="49" t="str">
        <f>IFERROR(__xludf.DUMMYFUNCTION("""COMPUTED_VALUE"""),"Offset")</f>
        <v>Offset</v>
      </c>
      <c r="Q1355" s="49" t="str">
        <f>IFERROR(__xludf.DUMMYFUNCTION("""COMPUTED_VALUE"""),"Packaging")</f>
        <v>Packaging</v>
      </c>
      <c r="R1355" s="49" t="str">
        <f>IFERROR(__xludf.DUMMYFUNCTION("""COMPUTED_VALUE"""),"Led")</f>
        <v>Led</v>
      </c>
    </row>
    <row r="1356">
      <c r="A1356" s="156" t="str">
        <f>IFERROR(__xludf.DUMMYFUNCTION("""COMPUTED_VALUE"""),"https://drive.google.com/open?id=1QlbAAAUkTm4mtDWezRmz8rCMxYcdCJrC&amp;usp=drive_fs")</f>
        <v>https://drive.google.com/open?id=1QlbAAAUkTm4mtDWezRmz8rCMxYcdCJrC&amp;usp=drive_fs</v>
      </c>
      <c r="B1356" s="73" t="str">
        <f>IFERROR(__xludf.DUMMYFUNCTION("""COMPUTED_VALUE"""),"Led")</f>
        <v>Led</v>
      </c>
      <c r="C1356" s="73" t="str">
        <f>IFERROR(__xludf.DUMMYFUNCTION("""COMPUTED_VALUE"""),"Conceal")</f>
        <v>Conceal</v>
      </c>
      <c r="D1356" s="73" t="str">
        <f>IFERROR(__xludf.DUMMYFUNCTION("""COMPUTED_VALUE"""),"112*58*112 mm | 4.4*2.3*4.4 inch IL | 24*15")</f>
        <v>112*58*112 mm | 4.4*2.3*4.4 inch IL | 24*15</v>
      </c>
      <c r="E1356" s="77">
        <f>IFERROR(__xludf.DUMMYFUNCTION("""COMPUTED_VALUE"""),3.0)</f>
        <v>3</v>
      </c>
      <c r="F1356" s="77">
        <f>IFERROR(__xludf.DUMMYFUNCTION("""COMPUTED_VALUE"""),1926.0)</f>
        <v>1926</v>
      </c>
      <c r="G1356" s="77">
        <f>IFERROR(__xludf.DUMMYFUNCTION("""COMPUTED_VALUE"""),15.0)</f>
        <v>15</v>
      </c>
      <c r="H1356" s="77">
        <f>IFERROR(__xludf.DUMMYFUNCTION("""COMPUTED_VALUE"""),25.0)</f>
        <v>25</v>
      </c>
      <c r="I1356" s="77">
        <f>IFERROR(__xludf.DUMMYFUNCTION("""COMPUTED_VALUE"""),100.0)</f>
        <v>100</v>
      </c>
      <c r="J1356" s="73"/>
      <c r="K1356" s="73"/>
      <c r="L1356" s="73"/>
      <c r="M1356" s="77">
        <f>IFERROR(__xludf.DUMMYFUNCTION("""COMPUTED_VALUE"""),0.12)</f>
        <v>0.12</v>
      </c>
      <c r="N1356" s="77">
        <f>IFERROR(__xludf.DUMMYFUNCTION("""COMPUTED_VALUE"""),1.0)</f>
        <v>1</v>
      </c>
      <c r="O1356" s="49"/>
      <c r="P1356" s="49" t="str">
        <f>IFERROR(__xludf.DUMMYFUNCTION("""COMPUTED_VALUE"""),"Offset")</f>
        <v>Offset</v>
      </c>
      <c r="Q1356" s="49" t="str">
        <f>IFERROR(__xludf.DUMMYFUNCTION("""COMPUTED_VALUE"""),"Packaging")</f>
        <v>Packaging</v>
      </c>
      <c r="R1356" s="49" t="str">
        <f>IFERROR(__xludf.DUMMYFUNCTION("""COMPUTED_VALUE"""),"Led")</f>
        <v>Led</v>
      </c>
    </row>
    <row r="1357">
      <c r="A1357" s="156" t="str">
        <f>IFERROR(__xludf.DUMMYFUNCTION("""COMPUTED_VALUE"""),"https://drive.google.com/open?id=1R2hkjmuywmbwKj9zvrS3vFVzl6w5Xrnj&amp;usp=drive_fs")</f>
        <v>https://drive.google.com/open?id=1R2hkjmuywmbwKj9zvrS3vFVzl6w5Xrnj&amp;usp=drive_fs</v>
      </c>
      <c r="B1357" s="73" t="str">
        <f>IFERROR(__xludf.DUMMYFUNCTION("""COMPUTED_VALUE"""),"Led")</f>
        <v>Led</v>
      </c>
      <c r="C1357" s="73" t="str">
        <f>IFERROR(__xludf.DUMMYFUNCTION("""COMPUTED_VALUE"""),"Led Bulb")</f>
        <v>Led Bulb</v>
      </c>
      <c r="D1357" s="73" t="str">
        <f>IFERROR(__xludf.DUMMYFUNCTION("""COMPUTED_VALUE"""),"80*80*154 mm | 3.1*3.1*6 inch")</f>
        <v>80*80*154 mm | 3.1*3.1*6 inch</v>
      </c>
      <c r="E1357" s="77">
        <f>IFERROR(__xludf.DUMMYFUNCTION("""COMPUTED_VALUE"""),2.0)</f>
        <v>2</v>
      </c>
      <c r="F1357" s="77">
        <f>IFERROR(__xludf.DUMMYFUNCTION("""COMPUTED_VALUE"""),1926.0)</f>
        <v>1926</v>
      </c>
      <c r="G1357" s="77">
        <f>IFERROR(__xludf.DUMMYFUNCTION("""COMPUTED_VALUE"""),14.0)</f>
        <v>14</v>
      </c>
      <c r="H1357" s="77">
        <f>IFERROR(__xludf.DUMMYFUNCTION("""COMPUTED_VALUE"""),22.0)</f>
        <v>22</v>
      </c>
      <c r="I1357" s="77">
        <f>IFERROR(__xludf.DUMMYFUNCTION("""COMPUTED_VALUE"""),100.0)</f>
        <v>100</v>
      </c>
      <c r="J1357" s="73"/>
      <c r="K1357" s="73"/>
      <c r="L1357" s="73"/>
      <c r="M1357" s="77">
        <f>IFERROR(__xludf.DUMMYFUNCTION("""COMPUTED_VALUE"""),0.1)</f>
        <v>0.1</v>
      </c>
      <c r="N1357" s="77">
        <f>IFERROR(__xludf.DUMMYFUNCTION("""COMPUTED_VALUE"""),1.0)</f>
        <v>1</v>
      </c>
      <c r="O1357" s="49"/>
      <c r="P1357" s="49" t="str">
        <f>IFERROR(__xludf.DUMMYFUNCTION("""COMPUTED_VALUE"""),"Offset")</f>
        <v>Offset</v>
      </c>
      <c r="Q1357" s="49" t="str">
        <f>IFERROR(__xludf.DUMMYFUNCTION("""COMPUTED_VALUE"""),"Packaging")</f>
        <v>Packaging</v>
      </c>
      <c r="R1357" s="49" t="str">
        <f>IFERROR(__xludf.DUMMYFUNCTION("""COMPUTED_VALUE"""),"Led")</f>
        <v>Led</v>
      </c>
    </row>
    <row r="1358">
      <c r="A1358" s="156" t="str">
        <f>IFERROR(__xludf.DUMMYFUNCTION("""COMPUTED_VALUE"""),"https://drive.google.com/open?id=1upM_oUTbzevuR-IvtatjqBaYoLI0Lpnl&amp;usp=drive_fs")</f>
        <v>https://drive.google.com/open?id=1upM_oUTbzevuR-IvtatjqBaYoLI0Lpnl&amp;usp=drive_fs</v>
      </c>
      <c r="B1358" s="73" t="str">
        <f>IFERROR(__xludf.DUMMYFUNCTION("""COMPUTED_VALUE"""),"Led")</f>
        <v>Led</v>
      </c>
      <c r="C1358" s="73" t="str">
        <f>IFERROR(__xludf.DUMMYFUNCTION("""COMPUTED_VALUE"""),"Led Bulb")</f>
        <v>Led Bulb</v>
      </c>
      <c r="D1358" s="73" t="str">
        <f>IFERROR(__xludf.DUMMYFUNCTION("""COMPUTED_VALUE"""),"95*95*172 mm | 3.7*3.7*6.7 inch IL")</f>
        <v>95*95*172 mm | 3.7*3.7*6.7 inch IL</v>
      </c>
      <c r="E1358" s="77">
        <f>IFERROR(__xludf.DUMMYFUNCTION("""COMPUTED_VALUE"""),2.0)</f>
        <v>2</v>
      </c>
      <c r="F1358" s="77">
        <f>IFERROR(__xludf.DUMMYFUNCTION("""COMPUTED_VALUE"""),1926.0)</f>
        <v>1926</v>
      </c>
      <c r="G1358" s="77">
        <f>IFERROR(__xludf.DUMMYFUNCTION("""COMPUTED_VALUE"""),19.0)</f>
        <v>19</v>
      </c>
      <c r="H1358" s="77">
        <f>IFERROR(__xludf.DUMMYFUNCTION("""COMPUTED_VALUE"""),26.0)</f>
        <v>26</v>
      </c>
      <c r="I1358" s="77">
        <f>IFERROR(__xludf.DUMMYFUNCTION("""COMPUTED_VALUE"""),100.0)</f>
        <v>100</v>
      </c>
      <c r="J1358" s="73"/>
      <c r="K1358" s="73"/>
      <c r="L1358" s="73"/>
      <c r="M1358" s="77">
        <f>IFERROR(__xludf.DUMMYFUNCTION("""COMPUTED_VALUE"""),0.1)</f>
        <v>0.1</v>
      </c>
      <c r="N1358" s="77">
        <f>IFERROR(__xludf.DUMMYFUNCTION("""COMPUTED_VALUE"""),1.0)</f>
        <v>1</v>
      </c>
      <c r="O1358" s="49"/>
      <c r="P1358" s="49" t="str">
        <f>IFERROR(__xludf.DUMMYFUNCTION("""COMPUTED_VALUE"""),"Offset")</f>
        <v>Offset</v>
      </c>
      <c r="Q1358" s="49" t="str">
        <f>IFERROR(__xludf.DUMMYFUNCTION("""COMPUTED_VALUE"""),"Packaging")</f>
        <v>Packaging</v>
      </c>
      <c r="R1358" s="49" t="str">
        <f>IFERROR(__xludf.DUMMYFUNCTION("""COMPUTED_VALUE"""),"Led")</f>
        <v>Led</v>
      </c>
    </row>
    <row r="1359">
      <c r="A1359" s="156" t="str">
        <f>IFERROR(__xludf.DUMMYFUNCTION("""COMPUTED_VALUE"""),"https://drive.google.com/open?id=1SGBGSI8KhQuUoy7mxXBP2jTXqpMMO18P&amp;authuser=jay.agg%40gmail.com&amp;usp=drive_fs")</f>
        <v>https://drive.google.com/open?id=1SGBGSI8KhQuUoy7mxXBP2jTXqpMMO18P&amp;authuser=jay.agg%40gmail.com&amp;usp=drive_fs</v>
      </c>
      <c r="B1359" s="73" t="str">
        <f>IFERROR(__xludf.DUMMYFUNCTION("""COMPUTED_VALUE"""),"Machine Parts")</f>
        <v>Machine Parts</v>
      </c>
      <c r="C1359" s="73" t="str">
        <f>IFERROR(__xludf.DUMMYFUNCTION("""COMPUTED_VALUE"""),"Parts")</f>
        <v>Parts</v>
      </c>
      <c r="D1359" s="73" t="str">
        <f>IFERROR(__xludf.DUMMYFUNCTION("""COMPUTED_VALUE"""),"44x46x80 mm")</f>
        <v>44x46x80 mm</v>
      </c>
      <c r="E1359" s="77">
        <f>IFERROR(__xludf.DUMMYFUNCTION("""COMPUTED_VALUE"""),9.0)</f>
        <v>9</v>
      </c>
      <c r="F1359" s="77">
        <f>IFERROR(__xludf.DUMMYFUNCTION("""COMPUTED_VALUE"""),1926.0)</f>
        <v>1926</v>
      </c>
      <c r="G1359" s="77">
        <f>IFERROR(__xludf.DUMMYFUNCTION("""COMPUTED_VALUE"""),20.0)</f>
        <v>20</v>
      </c>
      <c r="H1359" s="77">
        <f>IFERROR(__xludf.DUMMYFUNCTION("""COMPUTED_VALUE"""),23.0)</f>
        <v>23</v>
      </c>
      <c r="I1359" s="77">
        <f>IFERROR(__xludf.DUMMYFUNCTION("""COMPUTED_VALUE"""),100.0)</f>
        <v>100</v>
      </c>
      <c r="J1359" s="73"/>
      <c r="K1359" s="73"/>
      <c r="L1359" s="73"/>
      <c r="M1359" s="77">
        <f>IFERROR(__xludf.DUMMYFUNCTION("""COMPUTED_VALUE"""),0.1)</f>
        <v>0.1</v>
      </c>
      <c r="N1359" s="77">
        <f>IFERROR(__xludf.DUMMYFUNCTION("""COMPUTED_VALUE"""),1.0)</f>
        <v>1</v>
      </c>
      <c r="O1359" s="49"/>
      <c r="P1359" s="49" t="str">
        <f>IFERROR(__xludf.DUMMYFUNCTION("""COMPUTED_VALUE"""),"Offset")</f>
        <v>Offset</v>
      </c>
      <c r="Q1359" s="49" t="str">
        <f>IFERROR(__xludf.DUMMYFUNCTION("""COMPUTED_VALUE"""),"Packaging")</f>
        <v>Packaging</v>
      </c>
      <c r="R1359" s="49" t="str">
        <f>IFERROR(__xludf.DUMMYFUNCTION("""COMPUTED_VALUE"""),"Machine Parts")</f>
        <v>Machine Parts</v>
      </c>
    </row>
    <row r="1360">
      <c r="A1360" s="156" t="str">
        <f>IFERROR(__xludf.DUMMYFUNCTION("""COMPUTED_VALUE"""),"https://drive.google.com/open?id=1SGR4fP28mA-xYA9hbO_ZLhPQEQBhbRG8&amp;authuser=jay.agg%40gmail.com&amp;usp=drive_fs")</f>
        <v>https://drive.google.com/open?id=1SGR4fP28mA-xYA9hbO_ZLhPQEQBhbRG8&amp;authuser=jay.agg%40gmail.com&amp;usp=drive_fs</v>
      </c>
      <c r="B1360" s="73" t="str">
        <f>IFERROR(__xludf.DUMMYFUNCTION("""COMPUTED_VALUE"""),"Machine Parts")</f>
        <v>Machine Parts</v>
      </c>
      <c r="C1360" s="73" t="str">
        <f>IFERROR(__xludf.DUMMYFUNCTION("""COMPUTED_VALUE"""),"Parts")</f>
        <v>Parts</v>
      </c>
      <c r="D1360" s="73" t="str">
        <f>IFERROR(__xludf.DUMMYFUNCTION("""COMPUTED_VALUE"""),"6x6x4 inch")</f>
        <v>6x6x4 inch</v>
      </c>
      <c r="E1360" s="77">
        <f>IFERROR(__xludf.DUMMYFUNCTION("""COMPUTED_VALUE"""),2.0)</f>
        <v>2</v>
      </c>
      <c r="F1360" s="77">
        <f>IFERROR(__xludf.DUMMYFUNCTION("""COMPUTED_VALUE"""),1926.0)</f>
        <v>1926</v>
      </c>
      <c r="G1360" s="77">
        <f>IFERROR(__xludf.DUMMYFUNCTION("""COMPUTED_VALUE"""),21.0)</f>
        <v>21</v>
      </c>
      <c r="H1360" s="77">
        <f>IFERROR(__xludf.DUMMYFUNCTION("""COMPUTED_VALUE"""),26.0)</f>
        <v>26</v>
      </c>
      <c r="I1360" s="77">
        <f>IFERROR(__xludf.DUMMYFUNCTION("""COMPUTED_VALUE"""),100.0)</f>
        <v>100</v>
      </c>
      <c r="J1360" s="73"/>
      <c r="K1360" s="73"/>
      <c r="L1360" s="73"/>
      <c r="M1360" s="77">
        <f>IFERROR(__xludf.DUMMYFUNCTION("""COMPUTED_VALUE"""),0.1)</f>
        <v>0.1</v>
      </c>
      <c r="N1360" s="77">
        <f>IFERROR(__xludf.DUMMYFUNCTION("""COMPUTED_VALUE"""),1.0)</f>
        <v>1</v>
      </c>
      <c r="O1360" s="49"/>
      <c r="P1360" s="49" t="str">
        <f>IFERROR(__xludf.DUMMYFUNCTION("""COMPUTED_VALUE"""),"Offset")</f>
        <v>Offset</v>
      </c>
      <c r="Q1360" s="49" t="str">
        <f>IFERROR(__xludf.DUMMYFUNCTION("""COMPUTED_VALUE"""),"Packaging")</f>
        <v>Packaging</v>
      </c>
      <c r="R1360" s="49" t="str">
        <f>IFERROR(__xludf.DUMMYFUNCTION("""COMPUTED_VALUE"""),"Machine Parts")</f>
        <v>Machine Parts</v>
      </c>
    </row>
    <row r="1361">
      <c r="A1361" s="156" t="str">
        <f>IFERROR(__xludf.DUMMYFUNCTION("""COMPUTED_VALUE"""),"https://drive.google.com/open?id=1SLZ0lvnlRKM_cSc_R60sb4mqQzWpxNov&amp;authuser=jay.agg%40gmail.com&amp;usp=drive_fs")</f>
        <v>https://drive.google.com/open?id=1SLZ0lvnlRKM_cSc_R60sb4mqQzWpxNov&amp;authuser=jay.agg%40gmail.com&amp;usp=drive_fs</v>
      </c>
      <c r="B1361" s="73" t="str">
        <f>IFERROR(__xludf.DUMMYFUNCTION("""COMPUTED_VALUE"""),"Machine Parts")</f>
        <v>Machine Parts</v>
      </c>
      <c r="C1361" s="73" t="str">
        <f>IFERROR(__xludf.DUMMYFUNCTION("""COMPUTED_VALUE"""),"Gripper")</f>
        <v>Gripper</v>
      </c>
      <c r="D1361" s="73" t="str">
        <f>IFERROR(__xludf.DUMMYFUNCTION("""COMPUTED_VALUE"""),"76*37*141 mm")</f>
        <v>76*37*141 mm</v>
      </c>
      <c r="E1361" s="77">
        <f>IFERROR(__xludf.DUMMYFUNCTION("""COMPUTED_VALUE"""),6.0)</f>
        <v>6</v>
      </c>
      <c r="F1361" s="77">
        <f>IFERROR(__xludf.DUMMYFUNCTION("""COMPUTED_VALUE"""),1926.0)</f>
        <v>1926</v>
      </c>
      <c r="G1361" s="77">
        <f>IFERROR(__xludf.DUMMYFUNCTION("""COMPUTED_VALUE"""),19.0)</f>
        <v>19</v>
      </c>
      <c r="H1361" s="77">
        <f>IFERROR(__xludf.DUMMYFUNCTION("""COMPUTED_VALUE"""),25.0)</f>
        <v>25</v>
      </c>
      <c r="I1361" s="77">
        <f>IFERROR(__xludf.DUMMYFUNCTION("""COMPUTED_VALUE"""),100.0)</f>
        <v>100</v>
      </c>
      <c r="J1361" s="73"/>
      <c r="K1361" s="73"/>
      <c r="L1361" s="73"/>
      <c r="M1361" s="77">
        <f>IFERROR(__xludf.DUMMYFUNCTION("""COMPUTED_VALUE"""),0.1)</f>
        <v>0.1</v>
      </c>
      <c r="N1361" s="77">
        <f>IFERROR(__xludf.DUMMYFUNCTION("""COMPUTED_VALUE"""),1.0)</f>
        <v>1</v>
      </c>
      <c r="O1361" s="49"/>
      <c r="P1361" s="49" t="str">
        <f>IFERROR(__xludf.DUMMYFUNCTION("""COMPUTED_VALUE"""),"Offset")</f>
        <v>Offset</v>
      </c>
      <c r="Q1361" s="49" t="str">
        <f>IFERROR(__xludf.DUMMYFUNCTION("""COMPUTED_VALUE"""),"Packaging")</f>
        <v>Packaging</v>
      </c>
      <c r="R1361" s="49" t="str">
        <f>IFERROR(__xludf.DUMMYFUNCTION("""COMPUTED_VALUE"""),"Machine Parts")</f>
        <v>Machine Parts</v>
      </c>
    </row>
    <row r="1362">
      <c r="A1362" s="156" t="str">
        <f>IFERROR(__xludf.DUMMYFUNCTION("""COMPUTED_VALUE"""),"https://drive.google.com/open?id=1SCRS_y5AI2oGZgVr--V42XgsXB_LJaCq&amp;authuser=jay.agg%40gmail.com&amp;usp=drive_fs")</f>
        <v>https://drive.google.com/open?id=1SCRS_y5AI2oGZgVr--V42XgsXB_LJaCq&amp;authuser=jay.agg%40gmail.com&amp;usp=drive_fs</v>
      </c>
      <c r="B1362" s="73" t="str">
        <f>IFERROR(__xludf.DUMMYFUNCTION("""COMPUTED_VALUE"""),"Machine Parts")</f>
        <v>Machine Parts</v>
      </c>
      <c r="C1362" s="73" t="str">
        <f>IFERROR(__xludf.DUMMYFUNCTION("""COMPUTED_VALUE"""),"Rubber Set")</f>
        <v>Rubber Set</v>
      </c>
      <c r="D1362" s="73" t="str">
        <f>IFERROR(__xludf.DUMMYFUNCTION("""COMPUTED_VALUE"""),"94*27*112 mm")</f>
        <v>94*27*112 mm</v>
      </c>
      <c r="E1362" s="77">
        <f>IFERROR(__xludf.DUMMYFUNCTION("""COMPUTED_VALUE"""),4.0)</f>
        <v>4</v>
      </c>
      <c r="F1362" s="77">
        <f>IFERROR(__xludf.DUMMYFUNCTION("""COMPUTED_VALUE"""),1926.0)</f>
        <v>1926</v>
      </c>
      <c r="G1362" s="77">
        <f>IFERROR(__xludf.DUMMYFUNCTION("""COMPUTED_VALUE"""),15.0)</f>
        <v>15</v>
      </c>
      <c r="H1362" s="77">
        <f>IFERROR(__xludf.DUMMYFUNCTION("""COMPUTED_VALUE"""),20.0)</f>
        <v>20</v>
      </c>
      <c r="I1362" s="77">
        <f>IFERROR(__xludf.DUMMYFUNCTION("""COMPUTED_VALUE"""),100.0)</f>
        <v>100</v>
      </c>
      <c r="J1362" s="73"/>
      <c r="K1362" s="73"/>
      <c r="L1362" s="73"/>
      <c r="M1362" s="77">
        <f>IFERROR(__xludf.DUMMYFUNCTION("""COMPUTED_VALUE"""),0.1)</f>
        <v>0.1</v>
      </c>
      <c r="N1362" s="77">
        <f>IFERROR(__xludf.DUMMYFUNCTION("""COMPUTED_VALUE"""),1.0)</f>
        <v>1</v>
      </c>
      <c r="O1362" s="49"/>
      <c r="P1362" s="49" t="str">
        <f>IFERROR(__xludf.DUMMYFUNCTION("""COMPUTED_VALUE"""),"Offset")</f>
        <v>Offset</v>
      </c>
      <c r="Q1362" s="49" t="str">
        <f>IFERROR(__xludf.DUMMYFUNCTION("""COMPUTED_VALUE"""),"Packaging")</f>
        <v>Packaging</v>
      </c>
      <c r="R1362" s="49" t="str">
        <f>IFERROR(__xludf.DUMMYFUNCTION("""COMPUTED_VALUE"""),"Machine Parts")</f>
        <v>Machine Parts</v>
      </c>
    </row>
    <row r="1363">
      <c r="A1363" s="156" t="str">
        <f>IFERROR(__xludf.DUMMYFUNCTION("""COMPUTED_VALUE"""),"https://drive.google.com/open?id=1SEw61ztBlhldj3OOQ6vOJzl70rp9z8lu&amp;authuser=jay.agg%40gmail.com&amp;usp=drive_fs")</f>
        <v>https://drive.google.com/open?id=1SEw61ztBlhldj3OOQ6vOJzl70rp9z8lu&amp;authuser=jay.agg%40gmail.com&amp;usp=drive_fs</v>
      </c>
      <c r="B1363" s="73" t="str">
        <f>IFERROR(__xludf.DUMMYFUNCTION("""COMPUTED_VALUE"""),"Machine Parts")</f>
        <v>Machine Parts</v>
      </c>
      <c r="C1363" s="73" t="str">
        <f>IFERROR(__xludf.DUMMYFUNCTION("""COMPUTED_VALUE"""),"Rubber Set")</f>
        <v>Rubber Set</v>
      </c>
      <c r="D1363" s="73" t="str">
        <f>IFERROR(__xludf.DUMMYFUNCTION("""COMPUTED_VALUE"""),"112*32*113")</f>
        <v>112*32*113</v>
      </c>
      <c r="E1363" s="77">
        <f>IFERROR(__xludf.DUMMYFUNCTION("""COMPUTED_VALUE"""),4.0)</f>
        <v>4</v>
      </c>
      <c r="F1363" s="77">
        <f>IFERROR(__xludf.DUMMYFUNCTION("""COMPUTED_VALUE"""),1926.0)</f>
        <v>1926</v>
      </c>
      <c r="G1363" s="77">
        <f>IFERROR(__xludf.DUMMYFUNCTION("""COMPUTED_VALUE"""),18.0)</f>
        <v>18</v>
      </c>
      <c r="H1363" s="77">
        <f>IFERROR(__xludf.DUMMYFUNCTION("""COMPUTED_VALUE"""),24.0)</f>
        <v>24</v>
      </c>
      <c r="I1363" s="77">
        <f>IFERROR(__xludf.DUMMYFUNCTION("""COMPUTED_VALUE"""),100.0)</f>
        <v>100</v>
      </c>
      <c r="J1363" s="73"/>
      <c r="K1363" s="73"/>
      <c r="L1363" s="73"/>
      <c r="M1363" s="77">
        <f>IFERROR(__xludf.DUMMYFUNCTION("""COMPUTED_VALUE"""),0.1)</f>
        <v>0.1</v>
      </c>
      <c r="N1363" s="77">
        <f>IFERROR(__xludf.DUMMYFUNCTION("""COMPUTED_VALUE"""),1.0)</f>
        <v>1</v>
      </c>
      <c r="O1363" s="49"/>
      <c r="P1363" s="49" t="str">
        <f>IFERROR(__xludf.DUMMYFUNCTION("""COMPUTED_VALUE"""),"Offset")</f>
        <v>Offset</v>
      </c>
      <c r="Q1363" s="49" t="str">
        <f>IFERROR(__xludf.DUMMYFUNCTION("""COMPUTED_VALUE"""),"Packaging")</f>
        <v>Packaging</v>
      </c>
      <c r="R1363" s="49" t="str">
        <f>IFERROR(__xludf.DUMMYFUNCTION("""COMPUTED_VALUE"""),"Machine Parts")</f>
        <v>Machine Parts</v>
      </c>
    </row>
    <row r="1364">
      <c r="A1364" s="156" t="str">
        <f>IFERROR(__xludf.DUMMYFUNCTION("""COMPUTED_VALUE"""),"https://drive.google.com/open?id=1wOEKqhk_Y6BOWGyVLfY7UJZPw2Mk337c&amp;authuser=jay.agg%40gmail.com&amp;usp=drive_fs")</f>
        <v>https://drive.google.com/open?id=1wOEKqhk_Y6BOWGyVLfY7UJZPw2Mk337c&amp;authuser=jay.agg%40gmail.com&amp;usp=drive_fs</v>
      </c>
      <c r="B1364" s="73" t="str">
        <f>IFERROR(__xludf.DUMMYFUNCTION("""COMPUTED_VALUE"""),"Machine Parts")</f>
        <v>Machine Parts</v>
      </c>
      <c r="C1364" s="73" t="str">
        <f>IFERROR(__xludf.DUMMYFUNCTION("""COMPUTED_VALUE"""),"Bracket")</f>
        <v>Bracket</v>
      </c>
      <c r="D1364" s="73" t="str">
        <f>IFERROR(__xludf.DUMMYFUNCTION("""COMPUTED_VALUE"""),"42*15*42 mm")</f>
        <v>42*15*42 mm</v>
      </c>
      <c r="E1364" s="77">
        <f>IFERROR(__xludf.DUMMYFUNCTION("""COMPUTED_VALUE"""),20.0)</f>
        <v>20</v>
      </c>
      <c r="F1364" s="77">
        <f>IFERROR(__xludf.DUMMYFUNCTION("""COMPUTED_VALUE"""),1926.0)</f>
        <v>1926</v>
      </c>
      <c r="G1364" s="77">
        <f>IFERROR(__xludf.DUMMYFUNCTION("""COMPUTED_VALUE"""),15.75)</f>
        <v>15.75</v>
      </c>
      <c r="H1364" s="77">
        <f>IFERROR(__xludf.DUMMYFUNCTION("""COMPUTED_VALUE"""),20.75)</f>
        <v>20.75</v>
      </c>
      <c r="I1364" s="77">
        <f>IFERROR(__xludf.DUMMYFUNCTION("""COMPUTED_VALUE"""),100.0)</f>
        <v>100</v>
      </c>
      <c r="J1364" s="73"/>
      <c r="K1364" s="73"/>
      <c r="L1364" s="73"/>
      <c r="M1364" s="77">
        <f>IFERROR(__xludf.DUMMYFUNCTION("""COMPUTED_VALUE"""),0.1)</f>
        <v>0.1</v>
      </c>
      <c r="N1364" s="77">
        <f>IFERROR(__xludf.DUMMYFUNCTION("""COMPUTED_VALUE"""),1.0)</f>
        <v>1</v>
      </c>
      <c r="O1364" s="49"/>
      <c r="P1364" s="49" t="str">
        <f>IFERROR(__xludf.DUMMYFUNCTION("""COMPUTED_VALUE"""),"Offset")</f>
        <v>Offset</v>
      </c>
      <c r="Q1364" s="49" t="str">
        <f>IFERROR(__xludf.DUMMYFUNCTION("""COMPUTED_VALUE"""),"Packaging")</f>
        <v>Packaging</v>
      </c>
      <c r="R1364" s="49" t="str">
        <f>IFERROR(__xludf.DUMMYFUNCTION("""COMPUTED_VALUE"""),"Machine Parts")</f>
        <v>Machine Parts</v>
      </c>
    </row>
    <row r="1365">
      <c r="A1365" s="156" t="str">
        <f>IFERROR(__xludf.DUMMYFUNCTION("""COMPUTED_VALUE"""),"https://drive.google.com/open?id=1x4iZSYy_Fj_F1xwMeKT4QG7yk9RCI3GL&amp;authuser=jay.agg%40gmail.com&amp;usp=drive_fs")</f>
        <v>https://drive.google.com/open?id=1x4iZSYy_Fj_F1xwMeKT4QG7yk9RCI3GL&amp;authuser=jay.agg%40gmail.com&amp;usp=drive_fs</v>
      </c>
      <c r="B1365" s="73" t="str">
        <f>IFERROR(__xludf.DUMMYFUNCTION("""COMPUTED_VALUE"""),"Machine Parts")</f>
        <v>Machine Parts</v>
      </c>
      <c r="C1365" s="73" t="str">
        <f>IFERROR(__xludf.DUMMYFUNCTION("""COMPUTED_VALUE"""),"Bracket")</f>
        <v>Bracket</v>
      </c>
      <c r="D1365" s="73" t="str">
        <f>IFERROR(__xludf.DUMMYFUNCTION("""COMPUTED_VALUE"""),"29*26*58 mm")</f>
        <v>29*26*58 mm</v>
      </c>
      <c r="E1365" s="77">
        <f>IFERROR(__xludf.DUMMYFUNCTION("""COMPUTED_VALUE"""),20.0)</f>
        <v>20</v>
      </c>
      <c r="F1365" s="77">
        <f>IFERROR(__xludf.DUMMYFUNCTION("""COMPUTED_VALUE"""),1926.0)</f>
        <v>1926</v>
      </c>
      <c r="G1365" s="77">
        <f>IFERROR(__xludf.DUMMYFUNCTION("""COMPUTED_VALUE"""),18.0)</f>
        <v>18</v>
      </c>
      <c r="H1365" s="77">
        <f>IFERROR(__xludf.DUMMYFUNCTION("""COMPUTED_VALUE"""),25.0)</f>
        <v>25</v>
      </c>
      <c r="I1365" s="77">
        <f>IFERROR(__xludf.DUMMYFUNCTION("""COMPUTED_VALUE"""),100.0)</f>
        <v>100</v>
      </c>
      <c r="J1365" s="73"/>
      <c r="K1365" s="73"/>
      <c r="L1365" s="73"/>
      <c r="M1365" s="77">
        <f>IFERROR(__xludf.DUMMYFUNCTION("""COMPUTED_VALUE"""),0.1)</f>
        <v>0.1</v>
      </c>
      <c r="N1365" s="77">
        <f>IFERROR(__xludf.DUMMYFUNCTION("""COMPUTED_VALUE"""),1.0)</f>
        <v>1</v>
      </c>
      <c r="O1365" s="49"/>
      <c r="P1365" s="49" t="str">
        <f>IFERROR(__xludf.DUMMYFUNCTION("""COMPUTED_VALUE"""),"Offset")</f>
        <v>Offset</v>
      </c>
      <c r="Q1365" s="49" t="str">
        <f>IFERROR(__xludf.DUMMYFUNCTION("""COMPUTED_VALUE"""),"Packaging")</f>
        <v>Packaging</v>
      </c>
      <c r="R1365" s="49" t="str">
        <f>IFERROR(__xludf.DUMMYFUNCTION("""COMPUTED_VALUE"""),"Machine Parts")</f>
        <v>Machine Parts</v>
      </c>
    </row>
    <row r="1366">
      <c r="A1366" s="156" t="str">
        <f>IFERROR(__xludf.DUMMYFUNCTION("""COMPUTED_VALUE"""),"https://drive.google.com/open?id=1H-aVoZmHKtsOKbEVimBXvsXrJg3RWAeA&amp;authuser=jay.agg%40gmail.com&amp;usp=drive_fs")</f>
        <v>https://drive.google.com/open?id=1H-aVoZmHKtsOKbEVimBXvsXrJg3RWAeA&amp;authuser=jay.agg%40gmail.com&amp;usp=drive_fs</v>
      </c>
      <c r="B1366" s="73" t="str">
        <f>IFERROR(__xludf.DUMMYFUNCTION("""COMPUTED_VALUE"""),"Machine Parts")</f>
        <v>Machine Parts</v>
      </c>
      <c r="C1366" s="73" t="str">
        <f>IFERROR(__xludf.DUMMYFUNCTION("""COMPUTED_VALUE"""),"Parts")</f>
        <v>Parts</v>
      </c>
      <c r="D1366" s="73" t="str">
        <f>IFERROR(__xludf.DUMMYFUNCTION("""COMPUTED_VALUE"""),"117*53*95 mm")</f>
        <v>117*53*95 mm</v>
      </c>
      <c r="E1366" s="77">
        <f>IFERROR(__xludf.DUMMYFUNCTION("""COMPUTED_VALUE"""),3.0)</f>
        <v>3</v>
      </c>
      <c r="F1366" s="77">
        <f>IFERROR(__xludf.DUMMYFUNCTION("""COMPUTED_VALUE"""),1926.0)</f>
        <v>1926</v>
      </c>
      <c r="G1366" s="77">
        <f>IFERROR(__xludf.DUMMYFUNCTION("""COMPUTED_VALUE"""),15.0)</f>
        <v>15</v>
      </c>
      <c r="H1366" s="77">
        <f>IFERROR(__xludf.DUMMYFUNCTION("""COMPUTED_VALUE"""),25.0)</f>
        <v>25</v>
      </c>
      <c r="I1366" s="77">
        <f>IFERROR(__xludf.DUMMYFUNCTION("""COMPUTED_VALUE"""),100.0)</f>
        <v>100</v>
      </c>
      <c r="J1366" s="73"/>
      <c r="K1366" s="73"/>
      <c r="L1366" s="73"/>
      <c r="M1366" s="77">
        <f>IFERROR(__xludf.DUMMYFUNCTION("""COMPUTED_VALUE"""),0.85)</f>
        <v>0.85</v>
      </c>
      <c r="N1366" s="77">
        <f>IFERROR(__xludf.DUMMYFUNCTION("""COMPUTED_VALUE"""),1.0)</f>
        <v>1</v>
      </c>
      <c r="O1366" s="49"/>
      <c r="P1366" s="49" t="str">
        <f>IFERROR(__xludf.DUMMYFUNCTION("""COMPUTED_VALUE"""),"Offset")</f>
        <v>Offset</v>
      </c>
      <c r="Q1366" s="49" t="str">
        <f>IFERROR(__xludf.DUMMYFUNCTION("""COMPUTED_VALUE"""),"Packaging")</f>
        <v>Packaging</v>
      </c>
      <c r="R1366" s="49" t="str">
        <f>IFERROR(__xludf.DUMMYFUNCTION("""COMPUTED_VALUE"""),"Machine Parts")</f>
        <v>Machine Parts</v>
      </c>
    </row>
    <row r="1367">
      <c r="A1367" s="156" t="str">
        <f>IFERROR(__xludf.DUMMYFUNCTION("""COMPUTED_VALUE"""),"https://drive.google.com/open?id=1W5-HySjInrXrcW_hTDMCmngKdEpglMVI&amp;authuser=jay.agg%40gmail.com&amp;usp=drive_fs")</f>
        <v>https://drive.google.com/open?id=1W5-HySjInrXrcW_hTDMCmngKdEpglMVI&amp;authuser=jay.agg%40gmail.com&amp;usp=drive_fs</v>
      </c>
      <c r="B1367" s="73" t="str">
        <f>IFERROR(__xludf.DUMMYFUNCTION("""COMPUTED_VALUE"""),"Machine Parts")</f>
        <v>Machine Parts</v>
      </c>
      <c r="C1367" s="73" t="str">
        <f>IFERROR(__xludf.DUMMYFUNCTION("""COMPUTED_VALUE"""),"Misc")</f>
        <v>Misc</v>
      </c>
      <c r="D1367" s="73" t="str">
        <f>IFERROR(__xludf.DUMMYFUNCTION("""COMPUTED_VALUE"""),"155*40*245 mm | 6.1*1.5*9.6 inch")</f>
        <v>155*40*245 mm | 6.1*1.5*9.6 inch</v>
      </c>
      <c r="E1367" s="77">
        <f>IFERROR(__xludf.DUMMYFUNCTION("""COMPUTED_VALUE"""),2.0)</f>
        <v>2</v>
      </c>
      <c r="F1367" s="77">
        <f>IFERROR(__xludf.DUMMYFUNCTION("""COMPUTED_VALUE"""),2029.0)</f>
        <v>2029</v>
      </c>
      <c r="G1367" s="77">
        <f>IFERROR(__xludf.DUMMYFUNCTION("""COMPUTED_VALUE"""),18.0)</f>
        <v>18</v>
      </c>
      <c r="H1367" s="77">
        <f>IFERROR(__xludf.DUMMYFUNCTION("""COMPUTED_VALUE"""),28.0)</f>
        <v>28</v>
      </c>
      <c r="I1367" s="77">
        <f>IFERROR(__xludf.DUMMYFUNCTION("""COMPUTED_VALUE"""),100.0)</f>
        <v>100</v>
      </c>
      <c r="J1367" s="73"/>
      <c r="K1367" s="73"/>
      <c r="L1367" s="73"/>
      <c r="M1367" s="77">
        <f>IFERROR(__xludf.DUMMYFUNCTION("""COMPUTED_VALUE"""),0.1)</f>
        <v>0.1</v>
      </c>
      <c r="N1367" s="77">
        <f>IFERROR(__xludf.DUMMYFUNCTION("""COMPUTED_VALUE"""),1.0)</f>
        <v>1</v>
      </c>
      <c r="O1367" s="49"/>
      <c r="P1367" s="49" t="str">
        <f>IFERROR(__xludf.DUMMYFUNCTION("""COMPUTED_VALUE"""),"Offset")</f>
        <v>Offset</v>
      </c>
      <c r="Q1367" s="49" t="str">
        <f>IFERROR(__xludf.DUMMYFUNCTION("""COMPUTED_VALUE"""),"Packaging")</f>
        <v>Packaging</v>
      </c>
      <c r="R1367" s="49" t="str">
        <f>IFERROR(__xludf.DUMMYFUNCTION("""COMPUTED_VALUE"""),"Machine Parts")</f>
        <v>Machine Parts</v>
      </c>
    </row>
    <row r="1368">
      <c r="A1368" s="156" t="str">
        <f>IFERROR(__xludf.DUMMYFUNCTION("""COMPUTED_VALUE"""),"https://drive.google.com/open?id=1PdEL-mhqZCLR080rMyx4U997zfHFuR_7&amp;authuser=jay.agg%40gmail.com&amp;usp=drive_fs")</f>
        <v>https://drive.google.com/open?id=1PdEL-mhqZCLR080rMyx4U997zfHFuR_7&amp;authuser=jay.agg%40gmail.com&amp;usp=drive_fs</v>
      </c>
      <c r="B1368" s="73" t="str">
        <f>IFERROR(__xludf.DUMMYFUNCTION("""COMPUTED_VALUE"""),"Machine Parts")</f>
        <v>Machine Parts</v>
      </c>
      <c r="C1368" s="73" t="str">
        <f>IFERROR(__xludf.DUMMYFUNCTION("""COMPUTED_VALUE"""),"Misc")</f>
        <v>Misc</v>
      </c>
      <c r="D1368" s="73" t="str">
        <f>IFERROR(__xludf.DUMMYFUNCTION("""COMPUTED_VALUE"""),"77*77*120 mm | 3*3*4.7 inch")</f>
        <v>77*77*120 mm | 3*3*4.7 inch</v>
      </c>
      <c r="E1368" s="77">
        <f>IFERROR(__xludf.DUMMYFUNCTION("""COMPUTED_VALUE"""),2.0)</f>
        <v>2</v>
      </c>
      <c r="F1368" s="77">
        <f>IFERROR(__xludf.DUMMYFUNCTION("""COMPUTED_VALUE"""),1926.0)</f>
        <v>1926</v>
      </c>
      <c r="G1368" s="77">
        <f>IFERROR(__xludf.DUMMYFUNCTION("""COMPUTED_VALUE"""),13.0)</f>
        <v>13</v>
      </c>
      <c r="H1368" s="77">
        <f>IFERROR(__xludf.DUMMYFUNCTION("""COMPUTED_VALUE"""),21.0)</f>
        <v>21</v>
      </c>
      <c r="I1368" s="77">
        <f>IFERROR(__xludf.DUMMYFUNCTION("""COMPUTED_VALUE"""),100.0)</f>
        <v>100</v>
      </c>
      <c r="J1368" s="73"/>
      <c r="K1368" s="73"/>
      <c r="L1368" s="73"/>
      <c r="M1368" s="77">
        <f>IFERROR(__xludf.DUMMYFUNCTION("""COMPUTED_VALUE"""),0.1)</f>
        <v>0.1</v>
      </c>
      <c r="N1368" s="77">
        <f>IFERROR(__xludf.DUMMYFUNCTION("""COMPUTED_VALUE"""),1.0)</f>
        <v>1</v>
      </c>
      <c r="O1368" s="49"/>
      <c r="P1368" s="49" t="str">
        <f>IFERROR(__xludf.DUMMYFUNCTION("""COMPUTED_VALUE"""),"Offset")</f>
        <v>Offset</v>
      </c>
      <c r="Q1368" s="49" t="str">
        <f>IFERROR(__xludf.DUMMYFUNCTION("""COMPUTED_VALUE"""),"Packaging")</f>
        <v>Packaging</v>
      </c>
      <c r="R1368" s="49" t="str">
        <f>IFERROR(__xludf.DUMMYFUNCTION("""COMPUTED_VALUE"""),"Machine Parts")</f>
        <v>Machine Parts</v>
      </c>
    </row>
    <row r="1369">
      <c r="A1369" s="156" t="str">
        <f>IFERROR(__xludf.DUMMYFUNCTION("""COMPUTED_VALUE"""),"https://drive.google.com/open?id=1XOZ_f_3Ii0k9nzOl_ZFFauMmJR7Y1i3x&amp;authuser=jay.agg%40gmail.com&amp;usp=drive_fs")</f>
        <v>https://drive.google.com/open?id=1XOZ_f_3Ii0k9nzOl_ZFFauMmJR7Y1i3x&amp;authuser=jay.agg%40gmail.com&amp;usp=drive_fs</v>
      </c>
      <c r="B1369" s="73" t="str">
        <f>IFERROR(__xludf.DUMMYFUNCTION("""COMPUTED_VALUE"""),"Machine Parts")</f>
        <v>Machine Parts</v>
      </c>
      <c r="C1369" s="73" t="str">
        <f>IFERROR(__xludf.DUMMYFUNCTION("""COMPUTED_VALUE"""),"Misc")</f>
        <v>Misc</v>
      </c>
      <c r="D1369" s="73" t="str">
        <f>IFERROR(__xludf.DUMMYFUNCTION("""COMPUTED_VALUE"""),"74*74*90 mm | 2.9*2.9*3.5 inch")</f>
        <v>74*74*90 mm | 2.9*2.9*3.5 inch</v>
      </c>
      <c r="E1369" s="77">
        <f>IFERROR(__xludf.DUMMYFUNCTION("""COMPUTED_VALUE"""),4.0)</f>
        <v>4</v>
      </c>
      <c r="F1369" s="77">
        <f>IFERROR(__xludf.DUMMYFUNCTION("""COMPUTED_VALUE"""),1926.0)</f>
        <v>1926</v>
      </c>
      <c r="G1369" s="77">
        <f>IFERROR(__xludf.DUMMYFUNCTION("""COMPUTED_VALUE"""),18.0)</f>
        <v>18</v>
      </c>
      <c r="H1369" s="77">
        <f>IFERROR(__xludf.DUMMYFUNCTION("""COMPUTED_VALUE"""),25.0)</f>
        <v>25</v>
      </c>
      <c r="I1369" s="77">
        <f>IFERROR(__xludf.DUMMYFUNCTION("""COMPUTED_VALUE"""),100.0)</f>
        <v>100</v>
      </c>
      <c r="J1369" s="73"/>
      <c r="K1369" s="73"/>
      <c r="L1369" s="73"/>
      <c r="M1369" s="77">
        <f>IFERROR(__xludf.DUMMYFUNCTION("""COMPUTED_VALUE"""),0.1)</f>
        <v>0.1</v>
      </c>
      <c r="N1369" s="77">
        <f>IFERROR(__xludf.DUMMYFUNCTION("""COMPUTED_VALUE"""),1.0)</f>
        <v>1</v>
      </c>
      <c r="O1369" s="49"/>
      <c r="P1369" s="49" t="str">
        <f>IFERROR(__xludf.DUMMYFUNCTION("""COMPUTED_VALUE"""),"Offset")</f>
        <v>Offset</v>
      </c>
      <c r="Q1369" s="49" t="str">
        <f>IFERROR(__xludf.DUMMYFUNCTION("""COMPUTED_VALUE"""),"Packaging")</f>
        <v>Packaging</v>
      </c>
      <c r="R1369" s="49" t="str">
        <f>IFERROR(__xludf.DUMMYFUNCTION("""COMPUTED_VALUE"""),"Machine Parts")</f>
        <v>Machine Parts</v>
      </c>
    </row>
    <row r="1370">
      <c r="A1370" s="156" t="str">
        <f>IFERROR(__xludf.DUMMYFUNCTION("""COMPUTED_VALUE"""),"https://drive.google.com/open?id=1XPBYJ-vK0ViZc3pbNiwjFIX10OWg5T_a&amp;authuser=jay.agg%40gmail.com&amp;usp=drive_fs")</f>
        <v>https://drive.google.com/open?id=1XPBYJ-vK0ViZc3pbNiwjFIX10OWg5T_a&amp;authuser=jay.agg%40gmail.com&amp;usp=drive_fs</v>
      </c>
      <c r="B1370" s="73" t="str">
        <f>IFERROR(__xludf.DUMMYFUNCTION("""COMPUTED_VALUE"""),"Machine Parts")</f>
        <v>Machine Parts</v>
      </c>
      <c r="C1370" s="73" t="str">
        <f>IFERROR(__xludf.DUMMYFUNCTION("""COMPUTED_VALUE"""),"Misc")</f>
        <v>Misc</v>
      </c>
      <c r="D1370" s="73" t="str">
        <f>IFERROR(__xludf.DUMMYFUNCTION("""COMPUTED_VALUE"""),"90*90*150 mm | 3.5*3.5*5.9 inch")</f>
        <v>90*90*150 mm | 3.5*3.5*5.9 inch</v>
      </c>
      <c r="E1370" s="77">
        <f>IFERROR(__xludf.DUMMYFUNCTION("""COMPUTED_VALUE"""),2.0)</f>
        <v>2</v>
      </c>
      <c r="F1370" s="77">
        <f>IFERROR(__xludf.DUMMYFUNCTION("""COMPUTED_VALUE"""),1926.0)</f>
        <v>1926</v>
      </c>
      <c r="G1370" s="77">
        <f>IFERROR(__xludf.DUMMYFUNCTION("""COMPUTED_VALUE"""),15.0)</f>
        <v>15</v>
      </c>
      <c r="H1370" s="77">
        <f>IFERROR(__xludf.DUMMYFUNCTION("""COMPUTED_VALUE"""),25.0)</f>
        <v>25</v>
      </c>
      <c r="I1370" s="77">
        <f>IFERROR(__xludf.DUMMYFUNCTION("""COMPUTED_VALUE"""),100.0)</f>
        <v>100</v>
      </c>
      <c r="J1370" s="73"/>
      <c r="K1370" s="73"/>
      <c r="L1370" s="73"/>
      <c r="M1370" s="77">
        <f>IFERROR(__xludf.DUMMYFUNCTION("""COMPUTED_VALUE"""),0.1)</f>
        <v>0.1</v>
      </c>
      <c r="N1370" s="77">
        <f>IFERROR(__xludf.DUMMYFUNCTION("""COMPUTED_VALUE"""),1.0)</f>
        <v>1</v>
      </c>
      <c r="O1370" s="49"/>
      <c r="P1370" s="49" t="str">
        <f>IFERROR(__xludf.DUMMYFUNCTION("""COMPUTED_VALUE"""),"Offset")</f>
        <v>Offset</v>
      </c>
      <c r="Q1370" s="49" t="str">
        <f>IFERROR(__xludf.DUMMYFUNCTION("""COMPUTED_VALUE"""),"Packaging")</f>
        <v>Packaging</v>
      </c>
      <c r="R1370" s="49" t="str">
        <f>IFERROR(__xludf.DUMMYFUNCTION("""COMPUTED_VALUE"""),"Machine Parts")</f>
        <v>Machine Parts</v>
      </c>
    </row>
    <row r="1371">
      <c r="A1371" s="156" t="str">
        <f>IFERROR(__xludf.DUMMYFUNCTION("""COMPUTED_VALUE"""),"https://drive.google.com/open?id=1XPBsMDklnxb3w0HyGoMAbvEa5ac6Hm-V&amp;authuser=jay.agg%40gmail.com&amp;usp=drive_fs")</f>
        <v>https://drive.google.com/open?id=1XPBsMDklnxb3w0HyGoMAbvEa5ac6Hm-V&amp;authuser=jay.agg%40gmail.com&amp;usp=drive_fs</v>
      </c>
      <c r="B1371" s="73" t="str">
        <f>IFERROR(__xludf.DUMMYFUNCTION("""COMPUTED_VALUE"""),"Machine Parts")</f>
        <v>Machine Parts</v>
      </c>
      <c r="C1371" s="73" t="str">
        <f>IFERROR(__xludf.DUMMYFUNCTION("""COMPUTED_VALUE"""),"Misc")</f>
        <v>Misc</v>
      </c>
      <c r="D1371" s="73" t="str">
        <f>IFERROR(__xludf.DUMMYFUNCTION("""COMPUTED_VALUE"""),"155*55*255 mm | 6.1*2.1*10 inch")</f>
        <v>155*55*255 mm | 6.1*2.1*10 inch</v>
      </c>
      <c r="E1371" s="77">
        <f>IFERROR(__xludf.DUMMYFUNCTION("""COMPUTED_VALUE"""),1.0)</f>
        <v>1</v>
      </c>
      <c r="F1371" s="77">
        <f>IFERROR(__xludf.DUMMYFUNCTION("""COMPUTED_VALUE"""),1926.0)</f>
        <v>1926</v>
      </c>
      <c r="G1371" s="77">
        <f>IFERROR(__xludf.DUMMYFUNCTION("""COMPUTED_VALUE"""),18.0)</f>
        <v>18</v>
      </c>
      <c r="H1371" s="77">
        <f>IFERROR(__xludf.DUMMYFUNCTION("""COMPUTED_VALUE"""),19.0)</f>
        <v>19</v>
      </c>
      <c r="I1371" s="77">
        <f>IFERROR(__xludf.DUMMYFUNCTION("""COMPUTED_VALUE"""),100.0)</f>
        <v>100</v>
      </c>
      <c r="J1371" s="73"/>
      <c r="K1371" s="73"/>
      <c r="L1371" s="73"/>
      <c r="M1371" s="77">
        <f>IFERROR(__xludf.DUMMYFUNCTION("""COMPUTED_VALUE"""),0.1)</f>
        <v>0.1</v>
      </c>
      <c r="N1371" s="77">
        <f>IFERROR(__xludf.DUMMYFUNCTION("""COMPUTED_VALUE"""),1.0)</f>
        <v>1</v>
      </c>
      <c r="O1371" s="49"/>
      <c r="P1371" s="49" t="str">
        <f>IFERROR(__xludf.DUMMYFUNCTION("""COMPUTED_VALUE"""),"Offset")</f>
        <v>Offset</v>
      </c>
      <c r="Q1371" s="49" t="str">
        <f>IFERROR(__xludf.DUMMYFUNCTION("""COMPUTED_VALUE"""),"Packaging")</f>
        <v>Packaging</v>
      </c>
      <c r="R1371" s="49" t="str">
        <f>IFERROR(__xludf.DUMMYFUNCTION("""COMPUTED_VALUE"""),"Machine Parts")</f>
        <v>Machine Parts</v>
      </c>
    </row>
    <row r="1372">
      <c r="A1372" s="156" t="str">
        <f>IFERROR(__xludf.DUMMYFUNCTION("""COMPUTED_VALUE"""),"https://drive.google.com/open?id=1YlR3_WocqYvsds0G4PhnBi2PAkBm-ipS&amp;authuser=jay.agg%40gmail.com&amp;usp=drive_fs")</f>
        <v>https://drive.google.com/open?id=1YlR3_WocqYvsds0G4PhnBi2PAkBm-ipS&amp;authuser=jay.agg%40gmail.com&amp;usp=drive_fs</v>
      </c>
      <c r="B1372" s="73" t="str">
        <f>IFERROR(__xludf.DUMMYFUNCTION("""COMPUTED_VALUE"""),"Machine Parts")</f>
        <v>Machine Parts</v>
      </c>
      <c r="C1372" s="73" t="str">
        <f>IFERROR(__xludf.DUMMYFUNCTION("""COMPUTED_VALUE"""),"Misc")</f>
        <v>Misc</v>
      </c>
      <c r="D1372" s="73" t="str">
        <f>IFERROR(__xludf.DUMMYFUNCTION("""COMPUTED_VALUE"""),"225*35*235 mm | 8.8*1.3*9.2 inch")</f>
        <v>225*35*235 mm | 8.8*1.3*9.2 inch</v>
      </c>
      <c r="E1372" s="77">
        <f>IFERROR(__xludf.DUMMYFUNCTION("""COMPUTED_VALUE"""),1.0)</f>
        <v>1</v>
      </c>
      <c r="F1372" s="77">
        <f>IFERROR(__xludf.DUMMYFUNCTION("""COMPUTED_VALUE"""),1926.0)</f>
        <v>1926</v>
      </c>
      <c r="G1372" s="77">
        <f>IFERROR(__xludf.DUMMYFUNCTION("""COMPUTED_VALUE"""),14.0)</f>
        <v>14</v>
      </c>
      <c r="H1372" s="77">
        <f>IFERROR(__xludf.DUMMYFUNCTION("""COMPUTED_VALUE"""),22.0)</f>
        <v>22</v>
      </c>
      <c r="I1372" s="77">
        <f>IFERROR(__xludf.DUMMYFUNCTION("""COMPUTED_VALUE"""),100.0)</f>
        <v>100</v>
      </c>
      <c r="J1372" s="73"/>
      <c r="K1372" s="73"/>
      <c r="L1372" s="73"/>
      <c r="M1372" s="77">
        <f>IFERROR(__xludf.DUMMYFUNCTION("""COMPUTED_VALUE"""),0.1)</f>
        <v>0.1</v>
      </c>
      <c r="N1372" s="77">
        <f>IFERROR(__xludf.DUMMYFUNCTION("""COMPUTED_VALUE"""),1.0)</f>
        <v>1</v>
      </c>
      <c r="O1372" s="49"/>
      <c r="P1372" s="49" t="str">
        <f>IFERROR(__xludf.DUMMYFUNCTION("""COMPUTED_VALUE"""),"Offset")</f>
        <v>Offset</v>
      </c>
      <c r="Q1372" s="49" t="str">
        <f>IFERROR(__xludf.DUMMYFUNCTION("""COMPUTED_VALUE"""),"Packaging")</f>
        <v>Packaging</v>
      </c>
      <c r="R1372" s="49" t="str">
        <f>IFERROR(__xludf.DUMMYFUNCTION("""COMPUTED_VALUE"""),"Machine Parts")</f>
        <v>Machine Parts</v>
      </c>
    </row>
    <row r="1373">
      <c r="A1373" s="156" t="str">
        <f>IFERROR(__xludf.DUMMYFUNCTION("""COMPUTED_VALUE"""),"https://drive.google.com/open?id=1YsQJBIOuMZqvwj0cbu1S_dhHzSatjeF6&amp;authuser=jay.agg%40gmail.com&amp;usp=drive_fs")</f>
        <v>https://drive.google.com/open?id=1YsQJBIOuMZqvwj0cbu1S_dhHzSatjeF6&amp;authuser=jay.agg%40gmail.com&amp;usp=drive_fs</v>
      </c>
      <c r="B1373" s="73" t="str">
        <f>IFERROR(__xludf.DUMMYFUNCTION("""COMPUTED_VALUE"""),"Machine Parts")</f>
        <v>Machine Parts</v>
      </c>
      <c r="C1373" s="73" t="str">
        <f>IFERROR(__xludf.DUMMYFUNCTION("""COMPUTED_VALUE"""),"Misc")</f>
        <v>Misc</v>
      </c>
      <c r="D1373" s="73" t="str">
        <f>IFERROR(__xludf.DUMMYFUNCTION("""COMPUTED_VALUE"""),"260*60*310 mm | 10.2*2.4*12.2 inch")</f>
        <v>260*60*310 mm | 10.2*2.4*12.2 inch</v>
      </c>
      <c r="E1373" s="77">
        <f>IFERROR(__xludf.DUMMYFUNCTION("""COMPUTED_VALUE"""),1.0)</f>
        <v>1</v>
      </c>
      <c r="F1373" s="77">
        <f>IFERROR(__xludf.DUMMYFUNCTION("""COMPUTED_VALUE"""),2029.0)</f>
        <v>2029</v>
      </c>
      <c r="G1373" s="77">
        <f>IFERROR(__xludf.DUMMYFUNCTION("""COMPUTED_VALUE"""),19.0)</f>
        <v>19</v>
      </c>
      <c r="H1373" s="77">
        <f>IFERROR(__xludf.DUMMYFUNCTION("""COMPUTED_VALUE"""),26.0)</f>
        <v>26</v>
      </c>
      <c r="I1373" s="77">
        <f>IFERROR(__xludf.DUMMYFUNCTION("""COMPUTED_VALUE"""),100.0)</f>
        <v>100</v>
      </c>
      <c r="J1373" s="73"/>
      <c r="K1373" s="73"/>
      <c r="L1373" s="73"/>
      <c r="M1373" s="77">
        <f>IFERROR(__xludf.DUMMYFUNCTION("""COMPUTED_VALUE"""),0.1)</f>
        <v>0.1</v>
      </c>
      <c r="N1373" s="77">
        <f>IFERROR(__xludf.DUMMYFUNCTION("""COMPUTED_VALUE"""),1.0)</f>
        <v>1</v>
      </c>
      <c r="O1373" s="49"/>
      <c r="P1373" s="49" t="str">
        <f>IFERROR(__xludf.DUMMYFUNCTION("""COMPUTED_VALUE"""),"Offset")</f>
        <v>Offset</v>
      </c>
      <c r="Q1373" s="49" t="str">
        <f>IFERROR(__xludf.DUMMYFUNCTION("""COMPUTED_VALUE"""),"Packaging")</f>
        <v>Packaging</v>
      </c>
      <c r="R1373" s="49" t="str">
        <f>IFERROR(__xludf.DUMMYFUNCTION("""COMPUTED_VALUE"""),"Machine Parts")</f>
        <v>Machine Parts</v>
      </c>
    </row>
    <row r="1374">
      <c r="A1374" s="156" t="str">
        <f>IFERROR(__xludf.DUMMYFUNCTION("""COMPUTED_VALUE"""),"https://drive.google.com/open?id=1Yt1zXCPmvc3NPLuOanCXtx3PGgZo3J5R&amp;authuser=jay.agg%40gmail.com&amp;usp=drive_fs")</f>
        <v>https://drive.google.com/open?id=1Yt1zXCPmvc3NPLuOanCXtx3PGgZo3J5R&amp;authuser=jay.agg%40gmail.com&amp;usp=drive_fs</v>
      </c>
      <c r="B1374" s="73" t="str">
        <f>IFERROR(__xludf.DUMMYFUNCTION("""COMPUTED_VALUE"""),"Machine Parts")</f>
        <v>Machine Parts</v>
      </c>
      <c r="C1374" s="73" t="str">
        <f>IFERROR(__xludf.DUMMYFUNCTION("""COMPUTED_VALUE"""),"Misc")</f>
        <v>Misc</v>
      </c>
      <c r="D1374" s="73" t="str">
        <f>IFERROR(__xludf.DUMMYFUNCTION("""COMPUTED_VALUE"""),"165*65*285 mm | 6.5*2.6*11.2 inch")</f>
        <v>165*65*285 mm | 6.5*2.6*11.2 inch</v>
      </c>
      <c r="E1374" s="77">
        <f>IFERROR(__xludf.DUMMYFUNCTION("""COMPUTED_VALUE"""),1.0)</f>
        <v>1</v>
      </c>
      <c r="F1374" s="77">
        <f>IFERROR(__xludf.DUMMYFUNCTION("""COMPUTED_VALUE"""),2029.0)</f>
        <v>2029</v>
      </c>
      <c r="G1374" s="77">
        <f>IFERROR(__xludf.DUMMYFUNCTION("""COMPUTED_VALUE"""),19.0)</f>
        <v>19</v>
      </c>
      <c r="H1374" s="77">
        <f>IFERROR(__xludf.DUMMYFUNCTION("""COMPUTED_VALUE"""),20.0)</f>
        <v>20</v>
      </c>
      <c r="I1374" s="77">
        <f>IFERROR(__xludf.DUMMYFUNCTION("""COMPUTED_VALUE"""),100.0)</f>
        <v>100</v>
      </c>
      <c r="J1374" s="73"/>
      <c r="K1374" s="73"/>
      <c r="L1374" s="73"/>
      <c r="M1374" s="77">
        <f>IFERROR(__xludf.DUMMYFUNCTION("""COMPUTED_VALUE"""),0.1)</f>
        <v>0.1</v>
      </c>
      <c r="N1374" s="77">
        <f>IFERROR(__xludf.DUMMYFUNCTION("""COMPUTED_VALUE"""),1.0)</f>
        <v>1</v>
      </c>
      <c r="O1374" s="49"/>
      <c r="P1374" s="49" t="str">
        <f>IFERROR(__xludf.DUMMYFUNCTION("""COMPUTED_VALUE"""),"Offset")</f>
        <v>Offset</v>
      </c>
      <c r="Q1374" s="49" t="str">
        <f>IFERROR(__xludf.DUMMYFUNCTION("""COMPUTED_VALUE"""),"Packaging")</f>
        <v>Packaging</v>
      </c>
      <c r="R1374" s="49" t="str">
        <f>IFERROR(__xludf.DUMMYFUNCTION("""COMPUTED_VALUE"""),"Machine Parts")</f>
        <v>Machine Parts</v>
      </c>
    </row>
    <row r="1375">
      <c r="A1375" s="156" t="str">
        <f>IFERROR(__xludf.DUMMYFUNCTION("""COMPUTED_VALUE"""),"https://drive.google.com/open?id=1YunMUn2BzpTDE6LUw9MO8nSQbGkx3IDy&amp;authuser=jay.agg%40gmail.com&amp;usp=drive_fs")</f>
        <v>https://drive.google.com/open?id=1YunMUn2BzpTDE6LUw9MO8nSQbGkx3IDy&amp;authuser=jay.agg%40gmail.com&amp;usp=drive_fs</v>
      </c>
      <c r="B1375" s="73" t="str">
        <f>IFERROR(__xludf.DUMMYFUNCTION("""COMPUTED_VALUE"""),"Machine Parts")</f>
        <v>Machine Parts</v>
      </c>
      <c r="C1375" s="73" t="str">
        <f>IFERROR(__xludf.DUMMYFUNCTION("""COMPUTED_VALUE"""),"Misc")</f>
        <v>Misc</v>
      </c>
      <c r="D1375" s="73" t="str">
        <f>IFERROR(__xludf.DUMMYFUNCTION("""COMPUTED_VALUE"""),"150*55*375 mm | 5.9*2.1*14.8 inch")</f>
        <v>150*55*375 mm | 5.9*2.1*14.8 inch</v>
      </c>
      <c r="E1375" s="77">
        <f>IFERROR(__xludf.DUMMYFUNCTION("""COMPUTED_VALUE"""),1.0)</f>
        <v>1</v>
      </c>
      <c r="F1375" s="77">
        <f>IFERROR(__xludf.DUMMYFUNCTION("""COMPUTED_VALUE"""),1926.0)</f>
        <v>1926</v>
      </c>
      <c r="G1375" s="77">
        <f>IFERROR(__xludf.DUMMYFUNCTION("""COMPUTED_VALUE"""),18.0)</f>
        <v>18</v>
      </c>
      <c r="H1375" s="77">
        <f>IFERROR(__xludf.DUMMYFUNCTION("""COMPUTED_VALUE"""),21.0)</f>
        <v>21</v>
      </c>
      <c r="I1375" s="77">
        <f>IFERROR(__xludf.DUMMYFUNCTION("""COMPUTED_VALUE"""),100.0)</f>
        <v>100</v>
      </c>
      <c r="J1375" s="73"/>
      <c r="K1375" s="73"/>
      <c r="L1375" s="73"/>
      <c r="M1375" s="77">
        <f>IFERROR(__xludf.DUMMYFUNCTION("""COMPUTED_VALUE"""),0.1)</f>
        <v>0.1</v>
      </c>
      <c r="N1375" s="77">
        <f>IFERROR(__xludf.DUMMYFUNCTION("""COMPUTED_VALUE"""),1.0)</f>
        <v>1</v>
      </c>
      <c r="O1375" s="49"/>
      <c r="P1375" s="49" t="str">
        <f>IFERROR(__xludf.DUMMYFUNCTION("""COMPUTED_VALUE"""),"Offset")</f>
        <v>Offset</v>
      </c>
      <c r="Q1375" s="49" t="str">
        <f>IFERROR(__xludf.DUMMYFUNCTION("""COMPUTED_VALUE"""),"Packaging")</f>
        <v>Packaging</v>
      </c>
      <c r="R1375" s="49" t="str">
        <f>IFERROR(__xludf.DUMMYFUNCTION("""COMPUTED_VALUE"""),"Machine Parts")</f>
        <v>Machine Parts</v>
      </c>
    </row>
    <row r="1376">
      <c r="A1376" s="156" t="str">
        <f>IFERROR(__xludf.DUMMYFUNCTION("""COMPUTED_VALUE"""),"https://drive.google.com/open?id=1YzjS1RKtQUX0h8IHBrIVKwD_bbZYLQTi&amp;authuser=jay.agg%40gmail.com&amp;usp=drive_fs")</f>
        <v>https://drive.google.com/open?id=1YzjS1RKtQUX0h8IHBrIVKwD_bbZYLQTi&amp;authuser=jay.agg%40gmail.com&amp;usp=drive_fs</v>
      </c>
      <c r="B1376" s="73" t="str">
        <f>IFERROR(__xludf.DUMMYFUNCTION("""COMPUTED_VALUE"""),"Machine Parts")</f>
        <v>Machine Parts</v>
      </c>
      <c r="C1376" s="73" t="str">
        <f>IFERROR(__xludf.DUMMYFUNCTION("""COMPUTED_VALUE"""),"Misc")</f>
        <v>Misc</v>
      </c>
      <c r="D1376" s="73" t="str">
        <f>IFERROR(__xludf.DUMMYFUNCTION("""COMPUTED_VALUE"""),"180*70*195 mm | 7*2.7*7.7 inch")</f>
        <v>180*70*195 mm | 7*2.7*7.7 inch</v>
      </c>
      <c r="E1376" s="77">
        <f>IFERROR(__xludf.DUMMYFUNCTION("""COMPUTED_VALUE"""),1.0)</f>
        <v>1</v>
      </c>
      <c r="F1376" s="77">
        <f>IFERROR(__xludf.DUMMYFUNCTION("""COMPUTED_VALUE"""),1926.0)</f>
        <v>1926</v>
      </c>
      <c r="G1376" s="77">
        <f>IFERROR(__xludf.DUMMYFUNCTION("""COMPUTED_VALUE"""),15.75)</f>
        <v>15.75</v>
      </c>
      <c r="H1376" s="77">
        <f>IFERROR(__xludf.DUMMYFUNCTION("""COMPUTED_VALUE"""),20.75)</f>
        <v>20.75</v>
      </c>
      <c r="I1376" s="77">
        <f>IFERROR(__xludf.DUMMYFUNCTION("""COMPUTED_VALUE"""),100.0)</f>
        <v>100</v>
      </c>
      <c r="J1376" s="73"/>
      <c r="K1376" s="73"/>
      <c r="L1376" s="73"/>
      <c r="M1376" s="77">
        <f>IFERROR(__xludf.DUMMYFUNCTION("""COMPUTED_VALUE"""),0.1)</f>
        <v>0.1</v>
      </c>
      <c r="N1376" s="77">
        <f>IFERROR(__xludf.DUMMYFUNCTION("""COMPUTED_VALUE"""),1.0)</f>
        <v>1</v>
      </c>
      <c r="O1376" s="49"/>
      <c r="P1376" s="49" t="str">
        <f>IFERROR(__xludf.DUMMYFUNCTION("""COMPUTED_VALUE"""),"Offset")</f>
        <v>Offset</v>
      </c>
      <c r="Q1376" s="49" t="str">
        <f>IFERROR(__xludf.DUMMYFUNCTION("""COMPUTED_VALUE"""),"Packaging")</f>
        <v>Packaging</v>
      </c>
      <c r="R1376" s="49" t="str">
        <f>IFERROR(__xludf.DUMMYFUNCTION("""COMPUTED_VALUE"""),"Machine Parts")</f>
        <v>Machine Parts</v>
      </c>
    </row>
    <row r="1377">
      <c r="A1377" s="156" t="str">
        <f>IFERROR(__xludf.DUMMYFUNCTION("""COMPUTED_VALUE"""),"https://drive.google.com/open?id=1ZB9-QKQalM5bwggjhtaH9R4abGyVY-4x&amp;authuser=jay.agg%40gmail.com&amp;usp=drive_fs")</f>
        <v>https://drive.google.com/open?id=1ZB9-QKQalM5bwggjhtaH9R4abGyVY-4x&amp;authuser=jay.agg%40gmail.com&amp;usp=drive_fs</v>
      </c>
      <c r="B1377" s="73" t="str">
        <f>IFERROR(__xludf.DUMMYFUNCTION("""COMPUTED_VALUE"""),"Machine Parts")</f>
        <v>Machine Parts</v>
      </c>
      <c r="C1377" s="73" t="str">
        <f>IFERROR(__xludf.DUMMYFUNCTION("""COMPUTED_VALUE"""),"Misc")</f>
        <v>Misc</v>
      </c>
      <c r="D1377" s="73" t="str">
        <f>IFERROR(__xludf.DUMMYFUNCTION("""COMPUTED_VALUE"""),"105*55*355 mm | 4.1*2.2*14 inch")</f>
        <v>105*55*355 mm | 4.1*2.2*14 inch</v>
      </c>
      <c r="E1377" s="77">
        <f>IFERROR(__xludf.DUMMYFUNCTION("""COMPUTED_VALUE"""),1.0)</f>
        <v>1</v>
      </c>
      <c r="F1377" s="77">
        <f>IFERROR(__xludf.DUMMYFUNCTION("""COMPUTED_VALUE"""),1926.0)</f>
        <v>1926</v>
      </c>
      <c r="G1377" s="77">
        <f>IFERROR(__xludf.DUMMYFUNCTION("""COMPUTED_VALUE"""),14.0)</f>
        <v>14</v>
      </c>
      <c r="H1377" s="77">
        <f>IFERROR(__xludf.DUMMYFUNCTION("""COMPUTED_VALUE"""),22.0)</f>
        <v>22</v>
      </c>
      <c r="I1377" s="77">
        <f>IFERROR(__xludf.DUMMYFUNCTION("""COMPUTED_VALUE"""),100.0)</f>
        <v>100</v>
      </c>
      <c r="J1377" s="73"/>
      <c r="K1377" s="73"/>
      <c r="L1377" s="73"/>
      <c r="M1377" s="77">
        <f>IFERROR(__xludf.DUMMYFUNCTION("""COMPUTED_VALUE"""),0.1)</f>
        <v>0.1</v>
      </c>
      <c r="N1377" s="77">
        <f>IFERROR(__xludf.DUMMYFUNCTION("""COMPUTED_VALUE"""),1.0)</f>
        <v>1</v>
      </c>
      <c r="O1377" s="49"/>
      <c r="P1377" s="49" t="str">
        <f>IFERROR(__xludf.DUMMYFUNCTION("""COMPUTED_VALUE"""),"Offset")</f>
        <v>Offset</v>
      </c>
      <c r="Q1377" s="49" t="str">
        <f>IFERROR(__xludf.DUMMYFUNCTION("""COMPUTED_VALUE"""),"Packaging")</f>
        <v>Packaging</v>
      </c>
      <c r="R1377" s="49" t="str">
        <f>IFERROR(__xludf.DUMMYFUNCTION("""COMPUTED_VALUE"""),"Machine Parts")</f>
        <v>Machine Parts</v>
      </c>
    </row>
    <row r="1378">
      <c r="A1378" s="156" t="str">
        <f>IFERROR(__xludf.DUMMYFUNCTION("""COMPUTED_VALUE"""),"https://drive.google.com/open?id=1ZBBK8EGhtNP7YAhN-h04oEaGSVmId8ZE&amp;authuser=jay.agg%40gmail.com&amp;usp=drive_fs")</f>
        <v>https://drive.google.com/open?id=1ZBBK8EGhtNP7YAhN-h04oEaGSVmId8ZE&amp;authuser=jay.agg%40gmail.com&amp;usp=drive_fs</v>
      </c>
      <c r="B1378" s="73" t="str">
        <f>IFERROR(__xludf.DUMMYFUNCTION("""COMPUTED_VALUE"""),"Machine Parts")</f>
        <v>Machine Parts</v>
      </c>
      <c r="C1378" s="73" t="str">
        <f>IFERROR(__xludf.DUMMYFUNCTION("""COMPUTED_VALUE"""),"Misc")</f>
        <v>Misc</v>
      </c>
      <c r="D1378" s="73" t="str">
        <f>IFERROR(__xludf.DUMMYFUNCTION("""COMPUTED_VALUE"""),"125*70*275 mm | 4.9*2.7*10.9 inch")</f>
        <v>125*70*275 mm | 4.9*2.7*10.9 inch</v>
      </c>
      <c r="E1378" s="77">
        <f>IFERROR(__xludf.DUMMYFUNCTION("""COMPUTED_VALUE"""),1.0)</f>
        <v>1</v>
      </c>
      <c r="F1378" s="77">
        <f>IFERROR(__xludf.DUMMYFUNCTION("""COMPUTED_VALUE"""),1926.0)</f>
        <v>1926</v>
      </c>
      <c r="G1378" s="77">
        <f>IFERROR(__xludf.DUMMYFUNCTION("""COMPUTED_VALUE"""),18.0)</f>
        <v>18</v>
      </c>
      <c r="H1378" s="77">
        <f>IFERROR(__xludf.DUMMYFUNCTION("""COMPUTED_VALUE"""),19.0)</f>
        <v>19</v>
      </c>
      <c r="I1378" s="77">
        <f>IFERROR(__xludf.DUMMYFUNCTION("""COMPUTED_VALUE"""),100.0)</f>
        <v>100</v>
      </c>
      <c r="J1378" s="73"/>
      <c r="K1378" s="73"/>
      <c r="L1378" s="73"/>
      <c r="M1378" s="77">
        <f>IFERROR(__xludf.DUMMYFUNCTION("""COMPUTED_VALUE"""),0.1)</f>
        <v>0.1</v>
      </c>
      <c r="N1378" s="77">
        <f>IFERROR(__xludf.DUMMYFUNCTION("""COMPUTED_VALUE"""),1.0)</f>
        <v>1</v>
      </c>
      <c r="O1378" s="49"/>
      <c r="P1378" s="49" t="str">
        <f>IFERROR(__xludf.DUMMYFUNCTION("""COMPUTED_VALUE"""),"Offset")</f>
        <v>Offset</v>
      </c>
      <c r="Q1378" s="49" t="str">
        <f>IFERROR(__xludf.DUMMYFUNCTION("""COMPUTED_VALUE"""),"Packaging")</f>
        <v>Packaging</v>
      </c>
      <c r="R1378" s="49" t="str">
        <f>IFERROR(__xludf.DUMMYFUNCTION("""COMPUTED_VALUE"""),"Machine Parts")</f>
        <v>Machine Parts</v>
      </c>
    </row>
    <row r="1379">
      <c r="A1379" s="156" t="str">
        <f>IFERROR(__xludf.DUMMYFUNCTION("""COMPUTED_VALUE"""),"https://drive.google.com/open?id=1XS7v53Vvc7RfmE7ftGbKpJL60qqMBrDB&amp;authuser=jay.agg%40gmail.com&amp;usp=drive_fs")</f>
        <v>https://drive.google.com/open?id=1XS7v53Vvc7RfmE7ftGbKpJL60qqMBrDB&amp;authuser=jay.agg%40gmail.com&amp;usp=drive_fs</v>
      </c>
      <c r="B1379" s="73" t="str">
        <f>IFERROR(__xludf.DUMMYFUNCTION("""COMPUTED_VALUE"""),"Machine Parts")</f>
        <v>Machine Parts</v>
      </c>
      <c r="C1379" s="73" t="str">
        <f>IFERROR(__xludf.DUMMYFUNCTION("""COMPUTED_VALUE"""),"Misc")</f>
        <v>Misc</v>
      </c>
      <c r="D1379" s="73" t="str">
        <f>IFERROR(__xludf.DUMMYFUNCTION("""COMPUTED_VALUE"""),"180*60*360 mm | 7*2.3*14 inch")</f>
        <v>180*60*360 mm | 7*2.3*14 inch</v>
      </c>
      <c r="E1379" s="77">
        <f>IFERROR(__xludf.DUMMYFUNCTION("""COMPUTED_VALUE"""),1.0)</f>
        <v>1</v>
      </c>
      <c r="F1379" s="77">
        <f>IFERROR(__xludf.DUMMYFUNCTION("""COMPUTED_VALUE"""),2029.0)</f>
        <v>2029</v>
      </c>
      <c r="G1379" s="77">
        <f>IFERROR(__xludf.DUMMYFUNCTION("""COMPUTED_VALUE"""),20.0)</f>
        <v>20</v>
      </c>
      <c r="H1379" s="77">
        <f>IFERROR(__xludf.DUMMYFUNCTION("""COMPUTED_VALUE"""),21.0)</f>
        <v>21</v>
      </c>
      <c r="I1379" s="77">
        <f>IFERROR(__xludf.DUMMYFUNCTION("""COMPUTED_VALUE"""),100.0)</f>
        <v>100</v>
      </c>
      <c r="J1379" s="73"/>
      <c r="K1379" s="73"/>
      <c r="L1379" s="73"/>
      <c r="M1379" s="77">
        <f>IFERROR(__xludf.DUMMYFUNCTION("""COMPUTED_VALUE"""),0.1)</f>
        <v>0.1</v>
      </c>
      <c r="N1379" s="77">
        <f>IFERROR(__xludf.DUMMYFUNCTION("""COMPUTED_VALUE"""),1.0)</f>
        <v>1</v>
      </c>
      <c r="O1379" s="49"/>
      <c r="P1379" s="49" t="str">
        <f>IFERROR(__xludf.DUMMYFUNCTION("""COMPUTED_VALUE"""),"Offset")</f>
        <v>Offset</v>
      </c>
      <c r="Q1379" s="49" t="str">
        <f>IFERROR(__xludf.DUMMYFUNCTION("""COMPUTED_VALUE"""),"Packaging")</f>
        <v>Packaging</v>
      </c>
      <c r="R1379" s="49" t="str">
        <f>IFERROR(__xludf.DUMMYFUNCTION("""COMPUTED_VALUE"""),"Machine Parts")</f>
        <v>Machine Parts</v>
      </c>
    </row>
    <row r="1380">
      <c r="A1380" s="156" t="str">
        <f>IFERROR(__xludf.DUMMYFUNCTION("""COMPUTED_VALUE"""),"https://drive.google.com/open?id=1XUsOzSj1OvPLj7KkaUKXyLFwnkfWypYD&amp;authuser=jay.agg%40gmail.com&amp;usp=drive_fs")</f>
        <v>https://drive.google.com/open?id=1XUsOzSj1OvPLj7KkaUKXyLFwnkfWypYD&amp;authuser=jay.agg%40gmail.com&amp;usp=drive_fs</v>
      </c>
      <c r="B1380" s="73" t="str">
        <f>IFERROR(__xludf.DUMMYFUNCTION("""COMPUTED_VALUE"""),"Machine Parts")</f>
        <v>Machine Parts</v>
      </c>
      <c r="C1380" s="73" t="str">
        <f>IFERROR(__xludf.DUMMYFUNCTION("""COMPUTED_VALUE"""),"Misc")</f>
        <v>Misc</v>
      </c>
      <c r="D1380" s="73" t="str">
        <f>IFERROR(__xludf.DUMMYFUNCTION("""COMPUTED_VALUE"""),"130*70*320 mm | 5.1*2.7*12.5 inch")</f>
        <v>130*70*320 mm | 5.1*2.7*12.5 inch</v>
      </c>
      <c r="E1380" s="77">
        <f>IFERROR(__xludf.DUMMYFUNCTION("""COMPUTED_VALUE"""),1.0)</f>
        <v>1</v>
      </c>
      <c r="F1380" s="77">
        <f>IFERROR(__xludf.DUMMYFUNCTION("""COMPUTED_VALUE"""),1926.0)</f>
        <v>1926</v>
      </c>
      <c r="G1380" s="77">
        <f>IFERROR(__xludf.DUMMYFUNCTION("""COMPUTED_VALUE"""),18.0)</f>
        <v>18</v>
      </c>
      <c r="H1380" s="77">
        <f>IFERROR(__xludf.DUMMYFUNCTION("""COMPUTED_VALUE"""),20.0)</f>
        <v>20</v>
      </c>
      <c r="I1380" s="77">
        <f>IFERROR(__xludf.DUMMYFUNCTION("""COMPUTED_VALUE"""),100.0)</f>
        <v>100</v>
      </c>
      <c r="J1380" s="73"/>
      <c r="K1380" s="73"/>
      <c r="L1380" s="73"/>
      <c r="M1380" s="77">
        <f>IFERROR(__xludf.DUMMYFUNCTION("""COMPUTED_VALUE"""),0.1)</f>
        <v>0.1</v>
      </c>
      <c r="N1380" s="77">
        <f>IFERROR(__xludf.DUMMYFUNCTION("""COMPUTED_VALUE"""),1.0)</f>
        <v>1</v>
      </c>
      <c r="O1380" s="49"/>
      <c r="P1380" s="49" t="str">
        <f>IFERROR(__xludf.DUMMYFUNCTION("""COMPUTED_VALUE"""),"Offset")</f>
        <v>Offset</v>
      </c>
      <c r="Q1380" s="49" t="str">
        <f>IFERROR(__xludf.DUMMYFUNCTION("""COMPUTED_VALUE"""),"Packaging")</f>
        <v>Packaging</v>
      </c>
      <c r="R1380" s="49" t="str">
        <f>IFERROR(__xludf.DUMMYFUNCTION("""COMPUTED_VALUE"""),"Machine Parts")</f>
        <v>Machine Parts</v>
      </c>
    </row>
    <row r="1381">
      <c r="A1381" s="156" t="str">
        <f>IFERROR(__xludf.DUMMYFUNCTION("""COMPUTED_VALUE"""),"https://drive.google.com/open?id=1XicLhkX0sBMqTxJbXhwMY9sv53e77Jwm&amp;authuser=jay.agg%40gmail.com&amp;usp=drive_fs")</f>
        <v>https://drive.google.com/open?id=1XicLhkX0sBMqTxJbXhwMY9sv53e77Jwm&amp;authuser=jay.agg%40gmail.com&amp;usp=drive_fs</v>
      </c>
      <c r="B1381" s="73" t="str">
        <f>IFERROR(__xludf.DUMMYFUNCTION("""COMPUTED_VALUE"""),"Machine Parts")</f>
        <v>Machine Parts</v>
      </c>
      <c r="C1381" s="73" t="str">
        <f>IFERROR(__xludf.DUMMYFUNCTION("""COMPUTED_VALUE"""),"Misc")</f>
        <v>Misc</v>
      </c>
      <c r="D1381" s="73" t="str">
        <f>IFERROR(__xludf.DUMMYFUNCTION("""COMPUTED_VALUE"""),"250*80*320 mm | 9.8*3.15*12.6 inch IL")</f>
        <v>250*80*320 mm | 9.8*3.15*12.6 inch IL</v>
      </c>
      <c r="E1381" s="77">
        <f>IFERROR(__xludf.DUMMYFUNCTION("""COMPUTED_VALUE"""),1.0)</f>
        <v>1</v>
      </c>
      <c r="F1381" s="77">
        <f>IFERROR(__xludf.DUMMYFUNCTION("""COMPUTED_VALUE"""),2029.0)</f>
        <v>2029</v>
      </c>
      <c r="G1381" s="77">
        <f>IFERROR(__xludf.DUMMYFUNCTION("""COMPUTED_VALUE"""),20.0)</f>
        <v>20</v>
      </c>
      <c r="H1381" s="77">
        <f>IFERROR(__xludf.DUMMYFUNCTION("""COMPUTED_VALUE"""),28.0)</f>
        <v>28</v>
      </c>
      <c r="I1381" s="77">
        <f>IFERROR(__xludf.DUMMYFUNCTION("""COMPUTED_VALUE"""),100.0)</f>
        <v>100</v>
      </c>
      <c r="J1381" s="73"/>
      <c r="K1381" s="73"/>
      <c r="L1381" s="73"/>
      <c r="M1381" s="77">
        <f>IFERROR(__xludf.DUMMYFUNCTION("""COMPUTED_VALUE"""),0.1)</f>
        <v>0.1</v>
      </c>
      <c r="N1381" s="77">
        <f>IFERROR(__xludf.DUMMYFUNCTION("""COMPUTED_VALUE"""),1.0)</f>
        <v>1</v>
      </c>
      <c r="O1381" s="49"/>
      <c r="P1381" s="49" t="str">
        <f>IFERROR(__xludf.DUMMYFUNCTION("""COMPUTED_VALUE"""),"Offset")</f>
        <v>Offset</v>
      </c>
      <c r="Q1381" s="49" t="str">
        <f>IFERROR(__xludf.DUMMYFUNCTION("""COMPUTED_VALUE"""),"Packaging")</f>
        <v>Packaging</v>
      </c>
      <c r="R1381" s="49" t="str">
        <f>IFERROR(__xludf.DUMMYFUNCTION("""COMPUTED_VALUE"""),"Machine Parts")</f>
        <v>Machine Parts</v>
      </c>
    </row>
    <row r="1382">
      <c r="A1382" s="156" t="str">
        <f>IFERROR(__xludf.DUMMYFUNCTION("""COMPUTED_VALUE"""),"https://drive.google.com/open?id=1dL1LkplL0lEJx9owqooii97sw_nOdQCq&amp;authuser=jay.agg%40gmail.com&amp;usp=drive_fs")</f>
        <v>https://drive.google.com/open?id=1dL1LkplL0lEJx9owqooii97sw_nOdQCq&amp;authuser=jay.agg%40gmail.com&amp;usp=drive_fs</v>
      </c>
      <c r="B1382" s="73" t="str">
        <f>IFERROR(__xludf.DUMMYFUNCTION("""COMPUTED_VALUE"""),"Machine Parts")</f>
        <v>Machine Parts</v>
      </c>
      <c r="C1382" s="73" t="str">
        <f>IFERROR(__xludf.DUMMYFUNCTION("""COMPUTED_VALUE"""),"Misc")</f>
        <v>Misc</v>
      </c>
      <c r="D1382" s="73" t="str">
        <f>IFERROR(__xludf.DUMMYFUNCTION("""COMPUTED_VALUE"""),"76*51*76 mm | 3*2*3 inch")</f>
        <v>76*51*76 mm | 3*2*3 inch</v>
      </c>
      <c r="E1382" s="77">
        <f>IFERROR(__xludf.DUMMYFUNCTION("""COMPUTED_VALUE"""),6.0)</f>
        <v>6</v>
      </c>
      <c r="F1382" s="77">
        <f>IFERROR(__xludf.DUMMYFUNCTION("""COMPUTED_VALUE"""),1926.0)</f>
        <v>1926</v>
      </c>
      <c r="G1382" s="77">
        <f>IFERROR(__xludf.DUMMYFUNCTION("""COMPUTED_VALUE"""),20.0)</f>
        <v>20</v>
      </c>
      <c r="H1382" s="77">
        <f>IFERROR(__xludf.DUMMYFUNCTION("""COMPUTED_VALUE"""),23.0)</f>
        <v>23</v>
      </c>
      <c r="I1382" s="77">
        <f>IFERROR(__xludf.DUMMYFUNCTION("""COMPUTED_VALUE"""),100.0)</f>
        <v>100</v>
      </c>
      <c r="J1382" s="73"/>
      <c r="K1382" s="73"/>
      <c r="L1382" s="73"/>
      <c r="M1382" s="77">
        <f>IFERROR(__xludf.DUMMYFUNCTION("""COMPUTED_VALUE"""),0.1)</f>
        <v>0.1</v>
      </c>
      <c r="N1382" s="77">
        <f>IFERROR(__xludf.DUMMYFUNCTION("""COMPUTED_VALUE"""),1.0)</f>
        <v>1</v>
      </c>
      <c r="O1382" s="49"/>
      <c r="P1382" s="49" t="str">
        <f>IFERROR(__xludf.DUMMYFUNCTION("""COMPUTED_VALUE"""),"Offset")</f>
        <v>Offset</v>
      </c>
      <c r="Q1382" s="49" t="str">
        <f>IFERROR(__xludf.DUMMYFUNCTION("""COMPUTED_VALUE"""),"Packaging")</f>
        <v>Packaging</v>
      </c>
      <c r="R1382" s="49" t="str">
        <f>IFERROR(__xludf.DUMMYFUNCTION("""COMPUTED_VALUE"""),"Machine Parts")</f>
        <v>Machine Parts</v>
      </c>
    </row>
    <row r="1383">
      <c r="A1383" s="156" t="str">
        <f>IFERROR(__xludf.DUMMYFUNCTION("""COMPUTED_VALUE"""),"https://drive.google.com/open?id=1e8u9PkbrT8QvUa05ceYZaT2jt3OX8h2x&amp;authuser=jay.agg%40gmail.com&amp;usp=drive_fs")</f>
        <v>https://drive.google.com/open?id=1e8u9PkbrT8QvUa05ceYZaT2jt3OX8h2x&amp;authuser=jay.agg%40gmail.com&amp;usp=drive_fs</v>
      </c>
      <c r="B1383" s="73" t="str">
        <f>IFERROR(__xludf.DUMMYFUNCTION("""COMPUTED_VALUE"""),"Machine Parts")</f>
        <v>Machine Parts</v>
      </c>
      <c r="C1383" s="73" t="str">
        <f>IFERROR(__xludf.DUMMYFUNCTION("""COMPUTED_VALUE"""),"Misc")</f>
        <v>Misc</v>
      </c>
      <c r="D1383" s="73" t="str">
        <f>IFERROR(__xludf.DUMMYFUNCTION("""COMPUTED_VALUE"""),"45*45*75 mm | 1.7*1.7*2.9 inch")</f>
        <v>45*45*75 mm | 1.7*1.7*2.9 inch</v>
      </c>
      <c r="E1383" s="77">
        <f>IFERROR(__xludf.DUMMYFUNCTION("""COMPUTED_VALUE"""),9.0)</f>
        <v>9</v>
      </c>
      <c r="F1383" s="77">
        <f>IFERROR(__xludf.DUMMYFUNCTION("""COMPUTED_VALUE"""),1926.0)</f>
        <v>1926</v>
      </c>
      <c r="G1383" s="77">
        <f>IFERROR(__xludf.DUMMYFUNCTION("""COMPUTED_VALUE"""),19.5)</f>
        <v>19.5</v>
      </c>
      <c r="H1383" s="77">
        <f>IFERROR(__xludf.DUMMYFUNCTION("""COMPUTED_VALUE"""),23.0)</f>
        <v>23</v>
      </c>
      <c r="I1383" s="77">
        <f>IFERROR(__xludf.DUMMYFUNCTION("""COMPUTED_VALUE"""),100.0)</f>
        <v>100</v>
      </c>
      <c r="J1383" s="73"/>
      <c r="K1383" s="73"/>
      <c r="L1383" s="73"/>
      <c r="M1383" s="77">
        <f>IFERROR(__xludf.DUMMYFUNCTION("""COMPUTED_VALUE"""),0.1)</f>
        <v>0.1</v>
      </c>
      <c r="N1383" s="77">
        <f>IFERROR(__xludf.DUMMYFUNCTION("""COMPUTED_VALUE"""),1.0)</f>
        <v>1</v>
      </c>
      <c r="O1383" s="49"/>
      <c r="P1383" s="49" t="str">
        <f>IFERROR(__xludf.DUMMYFUNCTION("""COMPUTED_VALUE"""),"Offset")</f>
        <v>Offset</v>
      </c>
      <c r="Q1383" s="49" t="str">
        <f>IFERROR(__xludf.DUMMYFUNCTION("""COMPUTED_VALUE"""),"Packaging")</f>
        <v>Packaging</v>
      </c>
      <c r="R1383" s="49" t="str">
        <f>IFERROR(__xludf.DUMMYFUNCTION("""COMPUTED_VALUE"""),"Machine Parts")</f>
        <v>Machine Parts</v>
      </c>
    </row>
    <row r="1384">
      <c r="A1384" s="156" t="str">
        <f>IFERROR(__xludf.DUMMYFUNCTION("""COMPUTED_VALUE"""),"https://drive.google.com/open?id=1eIdEfHW-TAZxzPZNCHpGRE-igJvKTRhT&amp;authuser=jay.agg%40gmail.com&amp;usp=drive_fs")</f>
        <v>https://drive.google.com/open?id=1eIdEfHW-TAZxzPZNCHpGRE-igJvKTRhT&amp;authuser=jay.agg%40gmail.com&amp;usp=drive_fs</v>
      </c>
      <c r="B1384" s="73" t="str">
        <f>IFERROR(__xludf.DUMMYFUNCTION("""COMPUTED_VALUE"""),"Machine Parts")</f>
        <v>Machine Parts</v>
      </c>
      <c r="C1384" s="73" t="str">
        <f>IFERROR(__xludf.DUMMYFUNCTION("""COMPUTED_VALUE"""),"Misc")</f>
        <v>Misc</v>
      </c>
      <c r="D1384" s="73" t="str">
        <f>IFERROR(__xludf.DUMMYFUNCTION("""COMPUTED_VALUE"""),"30*30*60 mm | 1.2*1.2*2.3 inch")</f>
        <v>30*30*60 mm | 1.2*1.2*2.3 inch</v>
      </c>
      <c r="E1384" s="77">
        <f>IFERROR(__xludf.DUMMYFUNCTION("""COMPUTED_VALUE"""),20.0)</f>
        <v>20</v>
      </c>
      <c r="F1384" s="77">
        <f>IFERROR(__xludf.DUMMYFUNCTION("""COMPUTED_VALUE"""),1926.0)</f>
        <v>1926</v>
      </c>
      <c r="G1384" s="77">
        <f>IFERROR(__xludf.DUMMYFUNCTION("""COMPUTED_VALUE"""),19.0)</f>
        <v>19</v>
      </c>
      <c r="H1384" s="77">
        <f>IFERROR(__xludf.DUMMYFUNCTION("""COMPUTED_VALUE"""),26.0)</f>
        <v>26</v>
      </c>
      <c r="I1384" s="77">
        <f>IFERROR(__xludf.DUMMYFUNCTION("""COMPUTED_VALUE"""),100.0)</f>
        <v>100</v>
      </c>
      <c r="J1384" s="73"/>
      <c r="K1384" s="73"/>
      <c r="L1384" s="73"/>
      <c r="M1384" s="77">
        <f>IFERROR(__xludf.DUMMYFUNCTION("""COMPUTED_VALUE"""),0.1)</f>
        <v>0.1</v>
      </c>
      <c r="N1384" s="77">
        <f>IFERROR(__xludf.DUMMYFUNCTION("""COMPUTED_VALUE"""),1.0)</f>
        <v>1</v>
      </c>
      <c r="O1384" s="49"/>
      <c r="P1384" s="49" t="str">
        <f>IFERROR(__xludf.DUMMYFUNCTION("""COMPUTED_VALUE"""),"Offset")</f>
        <v>Offset</v>
      </c>
      <c r="Q1384" s="49" t="str">
        <f>IFERROR(__xludf.DUMMYFUNCTION("""COMPUTED_VALUE"""),"Packaging")</f>
        <v>Packaging</v>
      </c>
      <c r="R1384" s="49" t="str">
        <f>IFERROR(__xludf.DUMMYFUNCTION("""COMPUTED_VALUE"""),"Machine Parts")</f>
        <v>Machine Parts</v>
      </c>
    </row>
    <row r="1385">
      <c r="A1385" s="156" t="str">
        <f>IFERROR(__xludf.DUMMYFUNCTION("""COMPUTED_VALUE"""),"https://drive.google.com/open?id=1fHFbXFINTo_aeMnDa9qsC-Hp-LlLB-Mz&amp;authuser=jay.agg%40gmail.com&amp;usp=drive_fs")</f>
        <v>https://drive.google.com/open?id=1fHFbXFINTo_aeMnDa9qsC-Hp-LlLB-Mz&amp;authuser=jay.agg%40gmail.com&amp;usp=drive_fs</v>
      </c>
      <c r="B1385" s="73" t="str">
        <f>IFERROR(__xludf.DUMMYFUNCTION("""COMPUTED_VALUE"""),"Machine Parts")</f>
        <v>Machine Parts</v>
      </c>
      <c r="C1385" s="73" t="str">
        <f>IFERROR(__xludf.DUMMYFUNCTION("""COMPUTED_VALUE"""),"Misc")</f>
        <v>Misc</v>
      </c>
      <c r="D1385" s="73" t="str">
        <f>IFERROR(__xludf.DUMMYFUNCTION("""COMPUTED_VALUE"""),"140*38*140 mm | 5.5*1.5*5.5 inch")</f>
        <v>140*38*140 mm | 5.5*1.5*5.5 inch</v>
      </c>
      <c r="E1385" s="77">
        <f>IFERROR(__xludf.DUMMYFUNCTION("""COMPUTED_VALUE"""),2.0)</f>
        <v>2</v>
      </c>
      <c r="F1385" s="77">
        <f>IFERROR(__xludf.DUMMYFUNCTION("""COMPUTED_VALUE"""),1926.0)</f>
        <v>1926</v>
      </c>
      <c r="G1385" s="77">
        <f>IFERROR(__xludf.DUMMYFUNCTION("""COMPUTED_VALUE"""),15.75)</f>
        <v>15.75</v>
      </c>
      <c r="H1385" s="77">
        <f>IFERROR(__xludf.DUMMYFUNCTION("""COMPUTED_VALUE"""),20.75)</f>
        <v>20.75</v>
      </c>
      <c r="I1385" s="77">
        <f>IFERROR(__xludf.DUMMYFUNCTION("""COMPUTED_VALUE"""),100.0)</f>
        <v>100</v>
      </c>
      <c r="J1385" s="73"/>
      <c r="K1385" s="73"/>
      <c r="L1385" s="73"/>
      <c r="M1385" s="77">
        <f>IFERROR(__xludf.DUMMYFUNCTION("""COMPUTED_VALUE"""),0.1)</f>
        <v>0.1</v>
      </c>
      <c r="N1385" s="77">
        <f>IFERROR(__xludf.DUMMYFUNCTION("""COMPUTED_VALUE"""),1.0)</f>
        <v>1</v>
      </c>
      <c r="O1385" s="49"/>
      <c r="P1385" s="49" t="str">
        <f>IFERROR(__xludf.DUMMYFUNCTION("""COMPUTED_VALUE"""),"Offset")</f>
        <v>Offset</v>
      </c>
      <c r="Q1385" s="49" t="str">
        <f>IFERROR(__xludf.DUMMYFUNCTION("""COMPUTED_VALUE"""),"Packaging")</f>
        <v>Packaging</v>
      </c>
      <c r="R1385" s="49" t="str">
        <f>IFERROR(__xludf.DUMMYFUNCTION("""COMPUTED_VALUE"""),"Machine Parts")</f>
        <v>Machine Parts</v>
      </c>
    </row>
    <row r="1386">
      <c r="A1386" s="156" t="str">
        <f>IFERROR(__xludf.DUMMYFUNCTION("""COMPUTED_VALUE"""),"https://drive.google.com/open?id=17x8VMRv8n1qdh6hMrF0XzimTs87bQhJ7&amp;authuser=jay.agg%40gmail.com&amp;usp=drive_fs")</f>
        <v>https://drive.google.com/open?id=17x8VMRv8n1qdh6hMrF0XzimTs87bQhJ7&amp;authuser=jay.agg%40gmail.com&amp;usp=drive_fs</v>
      </c>
      <c r="B1386" s="73" t="str">
        <f>IFERROR(__xludf.DUMMYFUNCTION("""COMPUTED_VALUE"""),"Machine Parts")</f>
        <v>Machine Parts</v>
      </c>
      <c r="C1386" s="73" t="str">
        <f>IFERROR(__xludf.DUMMYFUNCTION("""COMPUTED_VALUE"""),"Misc")</f>
        <v>Misc</v>
      </c>
      <c r="D1386" s="73" t="str">
        <f>IFERROR(__xludf.DUMMYFUNCTION("""COMPUTED_VALUE"""),"135*21*135 mm | 5.3*0.8*5.3 inch")</f>
        <v>135*21*135 mm | 5.3*0.8*5.3 inch</v>
      </c>
      <c r="E1386" s="77">
        <f>IFERROR(__xludf.DUMMYFUNCTION("""COMPUTED_VALUE"""),3.0)</f>
        <v>3</v>
      </c>
      <c r="F1386" s="77">
        <f>IFERROR(__xludf.DUMMYFUNCTION("""COMPUTED_VALUE"""),1926.0)</f>
        <v>1926</v>
      </c>
      <c r="G1386" s="77">
        <f>IFERROR(__xludf.DUMMYFUNCTION("""COMPUTED_VALUE"""),13.0)</f>
        <v>13</v>
      </c>
      <c r="H1386" s="77">
        <f>IFERROR(__xludf.DUMMYFUNCTION("""COMPUTED_VALUE"""),23.0)</f>
        <v>23</v>
      </c>
      <c r="I1386" s="77">
        <f>IFERROR(__xludf.DUMMYFUNCTION("""COMPUTED_VALUE"""),100.0)</f>
        <v>100</v>
      </c>
      <c r="J1386" s="73"/>
      <c r="K1386" s="73"/>
      <c r="L1386" s="73"/>
      <c r="M1386" s="77">
        <f>IFERROR(__xludf.DUMMYFUNCTION("""COMPUTED_VALUE"""),0.1)</f>
        <v>0.1</v>
      </c>
      <c r="N1386" s="77">
        <f>IFERROR(__xludf.DUMMYFUNCTION("""COMPUTED_VALUE"""),1.0)</f>
        <v>1</v>
      </c>
      <c r="O1386" s="49"/>
      <c r="P1386" s="49" t="str">
        <f>IFERROR(__xludf.DUMMYFUNCTION("""COMPUTED_VALUE"""),"Offset")</f>
        <v>Offset</v>
      </c>
      <c r="Q1386" s="49" t="str">
        <f>IFERROR(__xludf.DUMMYFUNCTION("""COMPUTED_VALUE"""),"Packaging")</f>
        <v>Packaging</v>
      </c>
      <c r="R1386" s="49" t="str">
        <f>IFERROR(__xludf.DUMMYFUNCTION("""COMPUTED_VALUE"""),"Machine Parts")</f>
        <v>Machine Parts</v>
      </c>
    </row>
    <row r="1387">
      <c r="A1387" s="156" t="str">
        <f>IFERROR(__xludf.DUMMYFUNCTION("""COMPUTED_VALUE"""),"https://drive.google.com/open?id=18RcfIFRO63WLcgUV_9Q-nxncazhiPYfp&amp;authuser=jay.agg%40gmail.com&amp;usp=drive_fs")</f>
        <v>https://drive.google.com/open?id=18RcfIFRO63WLcgUV_9Q-nxncazhiPYfp&amp;authuser=jay.agg%40gmail.com&amp;usp=drive_fs</v>
      </c>
      <c r="B1387" s="73" t="str">
        <f>IFERROR(__xludf.DUMMYFUNCTION("""COMPUTED_VALUE"""),"Machine Parts")</f>
        <v>Machine Parts</v>
      </c>
      <c r="C1387" s="73" t="str">
        <f>IFERROR(__xludf.DUMMYFUNCTION("""COMPUTED_VALUE"""),"Misc")</f>
        <v>Misc</v>
      </c>
      <c r="D1387" s="73" t="str">
        <f>IFERROR(__xludf.DUMMYFUNCTION("""COMPUTED_VALUE"""),"280*230*140 mm | 11*9*5.5 inch | Part 1 | 19*22")</f>
        <v>280*230*140 mm | 11*9*5.5 inch | Part 1 | 19*22</v>
      </c>
      <c r="E1387" s="77">
        <f>IFERROR(__xludf.DUMMYFUNCTION("""COMPUTED_VALUE"""),1.0)</f>
        <v>1</v>
      </c>
      <c r="F1387" s="77">
        <f>IFERROR(__xludf.DUMMYFUNCTION("""COMPUTED_VALUE"""),1926.0)</f>
        <v>1926</v>
      </c>
      <c r="G1387" s="77">
        <f>IFERROR(__xludf.DUMMYFUNCTION("""COMPUTED_VALUE"""),19.5)</f>
        <v>19.5</v>
      </c>
      <c r="H1387" s="77">
        <f>IFERROR(__xludf.DUMMYFUNCTION("""COMPUTED_VALUE"""),23.0)</f>
        <v>23</v>
      </c>
      <c r="I1387" s="77">
        <f>IFERROR(__xludf.DUMMYFUNCTION("""COMPUTED_VALUE"""),100.0)</f>
        <v>100</v>
      </c>
      <c r="J1387" s="73"/>
      <c r="K1387" s="73"/>
      <c r="L1387" s="73"/>
      <c r="M1387" s="77">
        <f>IFERROR(__xludf.DUMMYFUNCTION("""COMPUTED_VALUE"""),0.12)</f>
        <v>0.12</v>
      </c>
      <c r="N1387" s="77">
        <f>IFERROR(__xludf.DUMMYFUNCTION("""COMPUTED_VALUE"""),1.0)</f>
        <v>1</v>
      </c>
      <c r="O1387" s="49"/>
      <c r="P1387" s="49" t="str">
        <f>IFERROR(__xludf.DUMMYFUNCTION("""COMPUTED_VALUE"""),"Offset")</f>
        <v>Offset</v>
      </c>
      <c r="Q1387" s="49" t="str">
        <f>IFERROR(__xludf.DUMMYFUNCTION("""COMPUTED_VALUE"""),"Packaging")</f>
        <v>Packaging</v>
      </c>
      <c r="R1387" s="49" t="str">
        <f>IFERROR(__xludf.DUMMYFUNCTION("""COMPUTED_VALUE"""),"Machine Parts")</f>
        <v>Machine Parts</v>
      </c>
    </row>
    <row r="1388">
      <c r="A1388" s="156" t="str">
        <f>IFERROR(__xludf.DUMMYFUNCTION("""COMPUTED_VALUE"""),"https://drive.google.com/open?id=18S6CZP40iPTcMe4WVhvcE80qk0ZZZsH8&amp;authuser=jay.agg%40gmail.com&amp;usp=drive_fs")</f>
        <v>https://drive.google.com/open?id=18S6CZP40iPTcMe4WVhvcE80qk0ZZZsH8&amp;authuser=jay.agg%40gmail.com&amp;usp=drive_fs</v>
      </c>
      <c r="B1388" s="73" t="str">
        <f>IFERROR(__xludf.DUMMYFUNCTION("""COMPUTED_VALUE"""),"Machine Parts")</f>
        <v>Machine Parts</v>
      </c>
      <c r="C1388" s="73" t="str">
        <f>IFERROR(__xludf.DUMMYFUNCTION("""COMPUTED_VALUE"""),"Misc")</f>
        <v>Misc</v>
      </c>
      <c r="D1388" s="73" t="str">
        <f>IFERROR(__xludf.DUMMYFUNCTION("""COMPUTED_VALUE"""),"280*230*140 mm | 11*9*5.5 inch | Part 2 | 14*22")</f>
        <v>280*230*140 mm | 11*9*5.5 inch | Part 2 | 14*22</v>
      </c>
      <c r="E1388" s="77">
        <f>IFERROR(__xludf.DUMMYFUNCTION("""COMPUTED_VALUE"""),1.0)</f>
        <v>1</v>
      </c>
      <c r="F1388" s="77">
        <f>IFERROR(__xludf.DUMMYFUNCTION("""COMPUTED_VALUE"""),1926.0)</f>
        <v>1926</v>
      </c>
      <c r="G1388" s="77">
        <f>IFERROR(__xludf.DUMMYFUNCTION("""COMPUTED_VALUE"""),14.0)</f>
        <v>14</v>
      </c>
      <c r="H1388" s="77">
        <f>IFERROR(__xludf.DUMMYFUNCTION("""COMPUTED_VALUE"""),22.0)</f>
        <v>22</v>
      </c>
      <c r="I1388" s="77">
        <f>IFERROR(__xludf.DUMMYFUNCTION("""COMPUTED_VALUE"""),100.0)</f>
        <v>100</v>
      </c>
      <c r="J1388" s="73"/>
      <c r="K1388" s="73"/>
      <c r="L1388" s="73"/>
      <c r="M1388" s="77">
        <f>IFERROR(__xludf.DUMMYFUNCTION("""COMPUTED_VALUE"""),0.12)</f>
        <v>0.12</v>
      </c>
      <c r="N1388" s="77">
        <f>IFERROR(__xludf.DUMMYFUNCTION("""COMPUTED_VALUE"""),1.0)</f>
        <v>1</v>
      </c>
      <c r="O1388" s="49"/>
      <c r="P1388" s="49" t="str">
        <f>IFERROR(__xludf.DUMMYFUNCTION("""COMPUTED_VALUE"""),"Offset")</f>
        <v>Offset</v>
      </c>
      <c r="Q1388" s="49" t="str">
        <f>IFERROR(__xludf.DUMMYFUNCTION("""COMPUTED_VALUE"""),"Packaging")</f>
        <v>Packaging</v>
      </c>
      <c r="R1388" s="49" t="str">
        <f>IFERROR(__xludf.DUMMYFUNCTION("""COMPUTED_VALUE"""),"Machine Parts")</f>
        <v>Machine Parts</v>
      </c>
    </row>
    <row r="1389">
      <c r="A1389" s="156" t="str">
        <f>IFERROR(__xludf.DUMMYFUNCTION("""COMPUTED_VALUE"""),"https://drive.google.com/open?id=10igiwXSXW3IWaI9CGvNpcVLfFuNOhRS5&amp;authuser=jay.agg%40gmail.com&amp;usp=drive_fs")</f>
        <v>https://drive.google.com/open?id=10igiwXSXW3IWaI9CGvNpcVLfFuNOhRS5&amp;authuser=jay.agg%40gmail.com&amp;usp=drive_fs</v>
      </c>
      <c r="B1389" s="73" t="str">
        <f>IFERROR(__xludf.DUMMYFUNCTION("""COMPUTED_VALUE"""),"Machine Parts")</f>
        <v>Machine Parts</v>
      </c>
      <c r="C1389" s="73" t="str">
        <f>IFERROR(__xludf.DUMMYFUNCTION("""COMPUTED_VALUE"""),"Brake Shoe")</f>
        <v>Brake Shoe</v>
      </c>
      <c r="D1389" s="73" t="str">
        <f>IFERROR(__xludf.DUMMYFUNCTION("""COMPUTED_VALUE"""),"115*28*125 mm | 4.5*1.1*4.9 inch")</f>
        <v>115*28*125 mm | 4.5*1.1*4.9 inch</v>
      </c>
      <c r="E1389" s="77">
        <f>IFERROR(__xludf.DUMMYFUNCTION("""COMPUTED_VALUE"""),4.0)</f>
        <v>4</v>
      </c>
      <c r="F1389" s="77">
        <f>IFERROR(__xludf.DUMMYFUNCTION("""COMPUTED_VALUE"""),1926.0)</f>
        <v>1926</v>
      </c>
      <c r="G1389" s="77">
        <f>IFERROR(__xludf.DUMMYFUNCTION("""COMPUTED_VALUE"""),18.0)</f>
        <v>18</v>
      </c>
      <c r="H1389" s="77">
        <f>IFERROR(__xludf.DUMMYFUNCTION("""COMPUTED_VALUE"""),25.0)</f>
        <v>25</v>
      </c>
      <c r="I1389" s="77">
        <f>IFERROR(__xludf.DUMMYFUNCTION("""COMPUTED_VALUE"""),100.0)</f>
        <v>100</v>
      </c>
      <c r="J1389" s="73"/>
      <c r="K1389" s="73"/>
      <c r="L1389" s="73"/>
      <c r="M1389" s="77">
        <f>IFERROR(__xludf.DUMMYFUNCTION("""COMPUTED_VALUE"""),0.1)</f>
        <v>0.1</v>
      </c>
      <c r="N1389" s="77">
        <f>IFERROR(__xludf.DUMMYFUNCTION("""COMPUTED_VALUE"""),1.0)</f>
        <v>1</v>
      </c>
      <c r="O1389" s="49"/>
      <c r="P1389" s="49" t="str">
        <f>IFERROR(__xludf.DUMMYFUNCTION("""COMPUTED_VALUE"""),"Offset")</f>
        <v>Offset</v>
      </c>
      <c r="Q1389" s="49" t="str">
        <f>IFERROR(__xludf.DUMMYFUNCTION("""COMPUTED_VALUE"""),"Packaging")</f>
        <v>Packaging</v>
      </c>
      <c r="R1389" s="49" t="str">
        <f>IFERROR(__xludf.DUMMYFUNCTION("""COMPUTED_VALUE"""),"Machine Parts")</f>
        <v>Machine Parts</v>
      </c>
    </row>
    <row r="1390">
      <c r="A1390" s="156" t="str">
        <f>IFERROR(__xludf.DUMMYFUNCTION("""COMPUTED_VALUE"""),"https://drive.google.com/open?id=10rB21UJ2Gq0M744tLEtIhwY-PC1FLXSZ&amp;authuser=jay.agg%40gmail.com&amp;usp=drive_fs")</f>
        <v>https://drive.google.com/open?id=10rB21UJ2Gq0M744tLEtIhwY-PC1FLXSZ&amp;authuser=jay.agg%40gmail.com&amp;usp=drive_fs</v>
      </c>
      <c r="B1390" s="73" t="str">
        <f>IFERROR(__xludf.DUMMYFUNCTION("""COMPUTED_VALUE"""),"Machine Parts")</f>
        <v>Machine Parts</v>
      </c>
      <c r="C1390" s="73" t="str">
        <f>IFERROR(__xludf.DUMMYFUNCTION("""COMPUTED_VALUE"""),"Screw")</f>
        <v>Screw</v>
      </c>
      <c r="D1390" s="73" t="str">
        <f>IFERROR(__xludf.DUMMYFUNCTION("""COMPUTED_VALUE"""),"120*80*90 mm | 4.7*3.15*3.5 inch | 28*17")</f>
        <v>120*80*90 mm | 4.7*3.15*3.5 inch | 28*17</v>
      </c>
      <c r="E1390" s="77">
        <f>IFERROR(__xludf.DUMMYFUNCTION("""COMPUTED_VALUE"""),3.0)</f>
        <v>3</v>
      </c>
      <c r="F1390" s="77">
        <f>IFERROR(__xludf.DUMMYFUNCTION("""COMPUTED_VALUE"""),2029.0)</f>
        <v>2029</v>
      </c>
      <c r="G1390" s="77">
        <f>IFERROR(__xludf.DUMMYFUNCTION("""COMPUTED_VALUE"""),20.0)</f>
        <v>20</v>
      </c>
      <c r="H1390" s="77">
        <f>IFERROR(__xludf.DUMMYFUNCTION("""COMPUTED_VALUE"""),28.0)</f>
        <v>28</v>
      </c>
      <c r="I1390" s="77">
        <f>IFERROR(__xludf.DUMMYFUNCTION("""COMPUTED_VALUE"""),100.0)</f>
        <v>100</v>
      </c>
      <c r="J1390" s="73"/>
      <c r="K1390" s="73"/>
      <c r="L1390" s="73"/>
      <c r="M1390" s="77"/>
      <c r="N1390" s="77">
        <f>IFERROR(__xludf.DUMMYFUNCTION("""COMPUTED_VALUE"""),1.0)</f>
        <v>1</v>
      </c>
      <c r="O1390" s="49"/>
      <c r="P1390" s="49" t="str">
        <f>IFERROR(__xludf.DUMMYFUNCTION("""COMPUTED_VALUE"""),"Offset")</f>
        <v>Offset</v>
      </c>
      <c r="Q1390" s="49" t="str">
        <f>IFERROR(__xludf.DUMMYFUNCTION("""COMPUTED_VALUE"""),"Packaging")</f>
        <v>Packaging</v>
      </c>
      <c r="R1390" s="49" t="str">
        <f>IFERROR(__xludf.DUMMYFUNCTION("""COMPUTED_VALUE"""),"Machine Parts")</f>
        <v>Machine Parts</v>
      </c>
    </row>
    <row r="1391">
      <c r="A1391" s="156" t="str">
        <f>IFERROR(__xludf.DUMMYFUNCTION("""COMPUTED_VALUE"""),"https://drive.google.com/open?id=10rBC-sTRmPotwxh4tR8VIZL4zoMPcndK&amp;authuser=jay.agg%40gmail.com&amp;usp=drive_fs")</f>
        <v>https://drive.google.com/open?id=10rBC-sTRmPotwxh4tR8VIZL4zoMPcndK&amp;authuser=jay.agg%40gmail.com&amp;usp=drive_fs</v>
      </c>
      <c r="B1391" s="73" t="str">
        <f>IFERROR(__xludf.DUMMYFUNCTION("""COMPUTED_VALUE"""),"Machine Parts")</f>
        <v>Machine Parts</v>
      </c>
      <c r="C1391" s="73" t="str">
        <f>IFERROR(__xludf.DUMMYFUNCTION("""COMPUTED_VALUE"""),"Screw")</f>
        <v>Screw</v>
      </c>
      <c r="D1391" s="73" t="str">
        <f>IFERROR(__xludf.DUMMYFUNCTION("""COMPUTED_VALUE"""),"120*80*60 mm | 4.7*3.15*2.4 inch | 24*17")</f>
        <v>120*80*60 mm | 4.7*3.15*2.4 inch | 24*17</v>
      </c>
      <c r="E1391" s="77">
        <f>IFERROR(__xludf.DUMMYFUNCTION("""COMPUTED_VALUE"""),3.0)</f>
        <v>3</v>
      </c>
      <c r="F1391" s="77">
        <f>IFERROR(__xludf.DUMMYFUNCTION("""COMPUTED_VALUE"""),1926.0)</f>
        <v>1926</v>
      </c>
      <c r="G1391" s="77">
        <f>IFERROR(__xludf.DUMMYFUNCTION("""COMPUTED_VALUE"""),18.0)</f>
        <v>18</v>
      </c>
      <c r="H1391" s="77">
        <f>IFERROR(__xludf.DUMMYFUNCTION("""COMPUTED_VALUE"""),25.0)</f>
        <v>25</v>
      </c>
      <c r="I1391" s="77">
        <f>IFERROR(__xludf.DUMMYFUNCTION("""COMPUTED_VALUE"""),100.0)</f>
        <v>100</v>
      </c>
      <c r="J1391" s="73"/>
      <c r="K1391" s="73"/>
      <c r="L1391" s="73"/>
      <c r="M1391" s="77"/>
      <c r="N1391" s="77">
        <f>IFERROR(__xludf.DUMMYFUNCTION("""COMPUTED_VALUE"""),1.0)</f>
        <v>1</v>
      </c>
      <c r="O1391" s="49"/>
      <c r="P1391" s="49" t="str">
        <f>IFERROR(__xludf.DUMMYFUNCTION("""COMPUTED_VALUE"""),"Offset")</f>
        <v>Offset</v>
      </c>
      <c r="Q1391" s="49" t="str">
        <f>IFERROR(__xludf.DUMMYFUNCTION("""COMPUTED_VALUE"""),"Packaging")</f>
        <v>Packaging</v>
      </c>
      <c r="R1391" s="49" t="str">
        <f>IFERROR(__xludf.DUMMYFUNCTION("""COMPUTED_VALUE"""),"Machine Parts")</f>
        <v>Machine Parts</v>
      </c>
    </row>
    <row r="1392">
      <c r="A1392" s="156" t="str">
        <f>IFERROR(__xludf.DUMMYFUNCTION("""COMPUTED_VALUE"""),"https://drive.google.com/open?id=1OXMzqVhBH_VhW9CPx2DQjLa6D0FlMd9M&amp;authuser=jay.agg%40gmail.com&amp;usp=drive_fs")</f>
        <v>https://drive.google.com/open?id=1OXMzqVhBH_VhW9CPx2DQjLa6D0FlMd9M&amp;authuser=jay.agg%40gmail.com&amp;usp=drive_fs</v>
      </c>
      <c r="B1392" s="73" t="str">
        <f>IFERROR(__xludf.DUMMYFUNCTION("""COMPUTED_VALUE"""),"Machine Parts")</f>
        <v>Machine Parts</v>
      </c>
      <c r="C1392" s="73" t="str">
        <f>IFERROR(__xludf.DUMMYFUNCTION("""COMPUTED_VALUE"""),"Misc")</f>
        <v>Misc</v>
      </c>
      <c r="D1392" s="73" t="str">
        <f>IFERROR(__xludf.DUMMYFUNCTION("""COMPUTED_VALUE"""),"101*40*101 mm | 4*1.5*4 inch | 24*16")</f>
        <v>101*40*101 mm | 4*1.5*4 inch | 24*16</v>
      </c>
      <c r="E1392" s="77">
        <f>IFERROR(__xludf.DUMMYFUNCTION("""COMPUTED_VALUE"""),4.0)</f>
        <v>4</v>
      </c>
      <c r="F1392" s="77">
        <f>IFERROR(__xludf.DUMMYFUNCTION("""COMPUTED_VALUE"""),1926.0)</f>
        <v>1926</v>
      </c>
      <c r="G1392" s="77">
        <f>IFERROR(__xludf.DUMMYFUNCTION("""COMPUTED_VALUE"""),18.0)</f>
        <v>18</v>
      </c>
      <c r="H1392" s="77">
        <f>IFERROR(__xludf.DUMMYFUNCTION("""COMPUTED_VALUE"""),25.0)</f>
        <v>25</v>
      </c>
      <c r="I1392" s="77">
        <f>IFERROR(__xludf.DUMMYFUNCTION("""COMPUTED_VALUE"""),100.0)</f>
        <v>100</v>
      </c>
      <c r="J1392" s="73"/>
      <c r="K1392" s="73"/>
      <c r="L1392" s="73"/>
      <c r="M1392" s="77">
        <f>IFERROR(__xludf.DUMMYFUNCTION("""COMPUTED_VALUE"""),0.1)</f>
        <v>0.1</v>
      </c>
      <c r="N1392" s="77">
        <f>IFERROR(__xludf.DUMMYFUNCTION("""COMPUTED_VALUE"""),1.0)</f>
        <v>1</v>
      </c>
      <c r="O1392" s="49"/>
      <c r="P1392" s="49" t="str">
        <f>IFERROR(__xludf.DUMMYFUNCTION("""COMPUTED_VALUE"""),"Offset")</f>
        <v>Offset</v>
      </c>
      <c r="Q1392" s="49" t="str">
        <f>IFERROR(__xludf.DUMMYFUNCTION("""COMPUTED_VALUE"""),"Packaging")</f>
        <v>Packaging</v>
      </c>
      <c r="R1392" s="49" t="str">
        <f>IFERROR(__xludf.DUMMYFUNCTION("""COMPUTED_VALUE"""),"Machine Parts")</f>
        <v>Machine Parts</v>
      </c>
    </row>
    <row r="1393">
      <c r="A1393" s="156" t="str">
        <f>IFERROR(__xludf.DUMMYFUNCTION("""COMPUTED_VALUE"""),"https://drive.google.com/open?id=1diKUbSwvBAxq_qbzqYtP_8UAn97o5nYg&amp;authuser=jay.agg%40gmail.com&amp;usp=drive_fs")</f>
        <v>https://drive.google.com/open?id=1diKUbSwvBAxq_qbzqYtP_8UAn97o5nYg&amp;authuser=jay.agg%40gmail.com&amp;usp=drive_fs</v>
      </c>
      <c r="B1393" s="73" t="str">
        <f>IFERROR(__xludf.DUMMYFUNCTION("""COMPUTED_VALUE"""),"Machine Parts")</f>
        <v>Machine Parts</v>
      </c>
      <c r="C1393" s="73" t="str">
        <f>IFERROR(__xludf.DUMMYFUNCTION("""COMPUTED_VALUE"""),"Screw")</f>
        <v>Screw</v>
      </c>
      <c r="D1393" s="73" t="str">
        <f>IFERROR(__xludf.DUMMYFUNCTION("""COMPUTED_VALUE"""),"102*76*64 mm | 4*3*2.5 inch | 24*15")</f>
        <v>102*76*64 mm | 4*3*2.5 inch | 24*15</v>
      </c>
      <c r="E1393" s="77">
        <f>IFERROR(__xludf.DUMMYFUNCTION("""COMPUTED_VALUE"""),3.0)</f>
        <v>3</v>
      </c>
      <c r="F1393" s="77">
        <f>IFERROR(__xludf.DUMMYFUNCTION("""COMPUTED_VALUE"""),1926.0)</f>
        <v>1926</v>
      </c>
      <c r="G1393" s="77">
        <f>IFERROR(__xludf.DUMMYFUNCTION("""COMPUTED_VALUE"""),15.0)</f>
        <v>15</v>
      </c>
      <c r="H1393" s="77">
        <f>IFERROR(__xludf.DUMMYFUNCTION("""COMPUTED_VALUE"""),25.0)</f>
        <v>25</v>
      </c>
      <c r="I1393" s="77">
        <f>IFERROR(__xludf.DUMMYFUNCTION("""COMPUTED_VALUE"""),100.0)</f>
        <v>100</v>
      </c>
      <c r="J1393" s="73"/>
      <c r="K1393" s="73"/>
      <c r="L1393" s="73"/>
      <c r="M1393" s="77"/>
      <c r="N1393" s="77">
        <f>IFERROR(__xludf.DUMMYFUNCTION("""COMPUTED_VALUE"""),1.0)</f>
        <v>1</v>
      </c>
      <c r="O1393" s="49"/>
      <c r="P1393" s="49" t="str">
        <f>IFERROR(__xludf.DUMMYFUNCTION("""COMPUTED_VALUE"""),"Offset")</f>
        <v>Offset</v>
      </c>
      <c r="Q1393" s="49" t="str">
        <f>IFERROR(__xludf.DUMMYFUNCTION("""COMPUTED_VALUE"""),"Packaging")</f>
        <v>Packaging</v>
      </c>
      <c r="R1393" s="49" t="str">
        <f>IFERROR(__xludf.DUMMYFUNCTION("""COMPUTED_VALUE"""),"Machine Parts")</f>
        <v>Machine Parts</v>
      </c>
    </row>
    <row r="1394">
      <c r="A1394" s="156" t="str">
        <f>IFERROR(__xludf.DUMMYFUNCTION("""COMPUTED_VALUE"""),"https://drive.google.com/open?id=1-RECyMj8HD5pDCkYNC8GONxpaanP3nEQ&amp;usp=drive_fs")</f>
        <v>https://drive.google.com/open?id=1-RECyMj8HD5pDCkYNC8GONxpaanP3nEQ&amp;usp=drive_fs</v>
      </c>
      <c r="B1394" s="73" t="str">
        <f>IFERROR(__xludf.DUMMYFUNCTION("""COMPUTED_VALUE"""),"Machine Parts")</f>
        <v>Machine Parts</v>
      </c>
      <c r="C1394" s="73" t="str">
        <f>IFERROR(__xludf.DUMMYFUNCTION("""COMPUTED_VALUE"""),"Gae")</f>
        <v>Gae</v>
      </c>
      <c r="D1394" s="73" t="str">
        <f>IFERROR(__xludf.DUMMYFUNCTION("""COMPUTED_VALUE"""),"50*40*142 mm | 2*1.5*5.6 inch")</f>
        <v>50*40*142 mm | 2*1.5*5.6 inch</v>
      </c>
      <c r="E1394" s="77">
        <f>IFERROR(__xludf.DUMMYFUNCTION("""COMPUTED_VALUE"""),6.0)</f>
        <v>6</v>
      </c>
      <c r="F1394" s="77">
        <f>IFERROR(__xludf.DUMMYFUNCTION("""COMPUTED_VALUE"""),1926.0)</f>
        <v>1926</v>
      </c>
      <c r="G1394" s="77">
        <f>IFERROR(__xludf.DUMMYFUNCTION("""COMPUTED_VALUE"""),19.0)</f>
        <v>19</v>
      </c>
      <c r="H1394" s="77">
        <f>IFERROR(__xludf.DUMMYFUNCTION("""COMPUTED_VALUE"""),26.0)</f>
        <v>26</v>
      </c>
      <c r="I1394" s="77">
        <f>IFERROR(__xludf.DUMMYFUNCTION("""COMPUTED_VALUE"""),100.0)</f>
        <v>100</v>
      </c>
      <c r="J1394" s="73"/>
      <c r="K1394" s="73"/>
      <c r="L1394" s="73"/>
      <c r="M1394" s="77">
        <f>IFERROR(__xludf.DUMMYFUNCTION("""COMPUTED_VALUE"""),0.1)</f>
        <v>0.1</v>
      </c>
      <c r="N1394" s="77">
        <f>IFERROR(__xludf.DUMMYFUNCTION("""COMPUTED_VALUE"""),1.0)</f>
        <v>1</v>
      </c>
      <c r="O1394" s="49"/>
      <c r="P1394" s="49" t="str">
        <f>IFERROR(__xludf.DUMMYFUNCTION("""COMPUTED_VALUE"""),"Offset")</f>
        <v>Offset</v>
      </c>
      <c r="Q1394" s="49" t="str">
        <f>IFERROR(__xludf.DUMMYFUNCTION("""COMPUTED_VALUE"""),"Packaging")</f>
        <v>Packaging</v>
      </c>
      <c r="R1394" s="49" t="str">
        <f>IFERROR(__xludf.DUMMYFUNCTION("""COMPUTED_VALUE"""),"Machine Parts")</f>
        <v>Machine Parts</v>
      </c>
    </row>
    <row r="1395">
      <c r="A1395" s="156" t="str">
        <f>IFERROR(__xludf.DUMMYFUNCTION("""COMPUTED_VALUE"""),"https://drive.google.com/open?id=1-SxuyrFjjet84T0cfzVEZJALLnuW5SSi&amp;usp=drive_fs")</f>
        <v>https://drive.google.com/open?id=1-SxuyrFjjet84T0cfzVEZJALLnuW5SSi&amp;usp=drive_fs</v>
      </c>
      <c r="B1395" s="73" t="str">
        <f>IFERROR(__xludf.DUMMYFUNCTION("""COMPUTED_VALUE"""),"Machine Parts")</f>
        <v>Machine Parts</v>
      </c>
      <c r="C1395" s="73" t="str">
        <f>IFERROR(__xludf.DUMMYFUNCTION("""COMPUTED_VALUE"""),"Gae")</f>
        <v>Gae</v>
      </c>
      <c r="D1395" s="73" t="str">
        <f>IFERROR(__xludf.DUMMYFUNCTION("""COMPUTED_VALUE"""),"45*26*180 mm | 1.7*1*7 inch")</f>
        <v>45*26*180 mm | 1.7*1*7 inch</v>
      </c>
      <c r="E1395" s="77">
        <f>IFERROR(__xludf.DUMMYFUNCTION("""COMPUTED_VALUE"""),6.0)</f>
        <v>6</v>
      </c>
      <c r="F1395" s="77">
        <f>IFERROR(__xludf.DUMMYFUNCTION("""COMPUTED_VALUE"""),1926.0)</f>
        <v>1926</v>
      </c>
      <c r="G1395" s="77">
        <f>IFERROR(__xludf.DUMMYFUNCTION("""COMPUTED_VALUE"""),19.0)</f>
        <v>19</v>
      </c>
      <c r="H1395" s="77">
        <f>IFERROR(__xludf.DUMMYFUNCTION("""COMPUTED_VALUE"""),20.0)</f>
        <v>20</v>
      </c>
      <c r="I1395" s="77">
        <f>IFERROR(__xludf.DUMMYFUNCTION("""COMPUTED_VALUE"""),100.0)</f>
        <v>100</v>
      </c>
      <c r="J1395" s="73"/>
      <c r="K1395" s="73"/>
      <c r="L1395" s="73"/>
      <c r="M1395" s="77">
        <f>IFERROR(__xludf.DUMMYFUNCTION("""COMPUTED_VALUE"""),0.1)</f>
        <v>0.1</v>
      </c>
      <c r="N1395" s="77">
        <f>IFERROR(__xludf.DUMMYFUNCTION("""COMPUTED_VALUE"""),1.0)</f>
        <v>1</v>
      </c>
      <c r="O1395" s="49"/>
      <c r="P1395" s="49" t="str">
        <f>IFERROR(__xludf.DUMMYFUNCTION("""COMPUTED_VALUE"""),"Offset")</f>
        <v>Offset</v>
      </c>
      <c r="Q1395" s="49" t="str">
        <f>IFERROR(__xludf.DUMMYFUNCTION("""COMPUTED_VALUE"""),"Packaging")</f>
        <v>Packaging</v>
      </c>
      <c r="R1395" s="49" t="str">
        <f>IFERROR(__xludf.DUMMYFUNCTION("""COMPUTED_VALUE"""),"Machine Parts")</f>
        <v>Machine Parts</v>
      </c>
    </row>
    <row r="1396">
      <c r="A1396" s="156" t="str">
        <f>IFERROR(__xludf.DUMMYFUNCTION("""COMPUTED_VALUE"""),"https://drive.google.com/open?id=1-bLfU44NApVGX1bk2HVjueeUYeAbbtPH&amp;usp=drive_fs")</f>
        <v>https://drive.google.com/open?id=1-bLfU44NApVGX1bk2HVjueeUYeAbbtPH&amp;usp=drive_fs</v>
      </c>
      <c r="B1396" s="73" t="str">
        <f>IFERROR(__xludf.DUMMYFUNCTION("""COMPUTED_VALUE"""),"Machine Parts")</f>
        <v>Machine Parts</v>
      </c>
      <c r="C1396" s="73" t="str">
        <f>IFERROR(__xludf.DUMMYFUNCTION("""COMPUTED_VALUE"""),"Gae")</f>
        <v>Gae</v>
      </c>
      <c r="D1396" s="73" t="str">
        <f>IFERROR(__xludf.DUMMYFUNCTION("""COMPUTED_VALUE"""),"108*78*153 mm |  4.2*3*6 inch | 22*16")</f>
        <v>108*78*153 mm |  4.2*3*6 inch | 22*16</v>
      </c>
      <c r="E1396" s="77">
        <f>IFERROR(__xludf.DUMMYFUNCTION("""COMPUTED_VALUE"""),2.0)</f>
        <v>2</v>
      </c>
      <c r="F1396" s="77">
        <f>IFERROR(__xludf.DUMMYFUNCTION("""COMPUTED_VALUE"""),1926.0)</f>
        <v>1926</v>
      </c>
      <c r="G1396" s="77">
        <f>IFERROR(__xludf.DUMMYFUNCTION("""COMPUTED_VALUE"""),15.75)</f>
        <v>15.75</v>
      </c>
      <c r="H1396" s="77">
        <f>IFERROR(__xludf.DUMMYFUNCTION("""COMPUTED_VALUE"""),20.75)</f>
        <v>20.75</v>
      </c>
      <c r="I1396" s="77">
        <f>IFERROR(__xludf.DUMMYFUNCTION("""COMPUTED_VALUE"""),100.0)</f>
        <v>100</v>
      </c>
      <c r="J1396" s="73"/>
      <c r="K1396" s="73"/>
      <c r="L1396" s="73"/>
      <c r="M1396" s="77">
        <f>IFERROR(__xludf.DUMMYFUNCTION("""COMPUTED_VALUE"""),0.12)</f>
        <v>0.12</v>
      </c>
      <c r="N1396" s="77">
        <f>IFERROR(__xludf.DUMMYFUNCTION("""COMPUTED_VALUE"""),1.0)</f>
        <v>1</v>
      </c>
      <c r="O1396" s="49"/>
      <c r="P1396" s="49" t="str">
        <f>IFERROR(__xludf.DUMMYFUNCTION("""COMPUTED_VALUE"""),"Offset")</f>
        <v>Offset</v>
      </c>
      <c r="Q1396" s="49" t="str">
        <f>IFERROR(__xludf.DUMMYFUNCTION("""COMPUTED_VALUE"""),"Packaging")</f>
        <v>Packaging</v>
      </c>
      <c r="R1396" s="49" t="str">
        <f>IFERROR(__xludf.DUMMYFUNCTION("""COMPUTED_VALUE"""),"Machine Parts")</f>
        <v>Machine Parts</v>
      </c>
    </row>
    <row r="1397">
      <c r="A1397" s="156" t="str">
        <f>IFERROR(__xludf.DUMMYFUNCTION("""COMPUTED_VALUE"""),"https://drive.google.com/open?id=1-qnys_nt7aK9i5LUoWZ32M2rbzAtVvHg&amp;usp=drive_fs")</f>
        <v>https://drive.google.com/open?id=1-qnys_nt7aK9i5LUoWZ32M2rbzAtVvHg&amp;usp=drive_fs</v>
      </c>
      <c r="B1397" s="73" t="str">
        <f>IFERROR(__xludf.DUMMYFUNCTION("""COMPUTED_VALUE"""),"Machine Parts")</f>
        <v>Machine Parts</v>
      </c>
      <c r="C1397" s="73" t="str">
        <f>IFERROR(__xludf.DUMMYFUNCTION("""COMPUTED_VALUE"""),"Gae")</f>
        <v>Gae</v>
      </c>
      <c r="D1397" s="73" t="str">
        <f>IFERROR(__xludf.DUMMYFUNCTION("""COMPUTED_VALUE"""),"118*44*118 mm | 4.6*1.7*4.6 inch | 22*28")</f>
        <v>118*44*118 mm | 4.6*1.7*4.6 inch | 22*28</v>
      </c>
      <c r="E1397" s="77">
        <f>IFERROR(__xludf.DUMMYFUNCTION("""COMPUTED_VALUE"""),4.0)</f>
        <v>4</v>
      </c>
      <c r="F1397" s="77">
        <f>IFERROR(__xludf.DUMMYFUNCTION("""COMPUTED_VALUE"""),2029.0)</f>
        <v>2029</v>
      </c>
      <c r="G1397" s="77">
        <f>IFERROR(__xludf.DUMMYFUNCTION("""COMPUTED_VALUE"""),18.0)</f>
        <v>18</v>
      </c>
      <c r="H1397" s="77">
        <f>IFERROR(__xludf.DUMMYFUNCTION("""COMPUTED_VALUE"""),28.0)</f>
        <v>28</v>
      </c>
      <c r="I1397" s="77">
        <f>IFERROR(__xludf.DUMMYFUNCTION("""COMPUTED_VALUE"""),100.0)</f>
        <v>100</v>
      </c>
      <c r="J1397" s="73"/>
      <c r="K1397" s="73"/>
      <c r="L1397" s="73"/>
      <c r="M1397" s="77">
        <f>IFERROR(__xludf.DUMMYFUNCTION("""COMPUTED_VALUE"""),0.12)</f>
        <v>0.12</v>
      </c>
      <c r="N1397" s="77">
        <f>IFERROR(__xludf.DUMMYFUNCTION("""COMPUTED_VALUE"""),1.0)</f>
        <v>1</v>
      </c>
      <c r="O1397" s="49"/>
      <c r="P1397" s="49" t="str">
        <f>IFERROR(__xludf.DUMMYFUNCTION("""COMPUTED_VALUE"""),"Offset")</f>
        <v>Offset</v>
      </c>
      <c r="Q1397" s="49" t="str">
        <f>IFERROR(__xludf.DUMMYFUNCTION("""COMPUTED_VALUE"""),"Packaging")</f>
        <v>Packaging</v>
      </c>
      <c r="R1397" s="49" t="str">
        <f>IFERROR(__xludf.DUMMYFUNCTION("""COMPUTED_VALUE"""),"Machine Parts")</f>
        <v>Machine Parts</v>
      </c>
    </row>
    <row r="1398">
      <c r="A1398" s="156" t="str">
        <f>IFERROR(__xludf.DUMMYFUNCTION("""COMPUTED_VALUE"""),"https://drive.google.com/open?id=1XM2XLA47KwV2FSU8w1rruKDaU81cIhx2&amp;authuser=jay.agg%40gmail.com&amp;usp=drive_fs")</f>
        <v>https://drive.google.com/open?id=1XM2XLA47KwV2FSU8w1rruKDaU81cIhx2&amp;authuser=jay.agg%40gmail.com&amp;usp=drive_fs</v>
      </c>
      <c r="B1398" s="73" t="str">
        <f>IFERROR(__xludf.DUMMYFUNCTION("""COMPUTED_VALUE"""),"Masala")</f>
        <v>Masala</v>
      </c>
      <c r="C1398" s="73" t="str">
        <f>IFERROR(__xludf.DUMMYFUNCTION("""COMPUTED_VALUE"""),"Masala 100gram")</f>
        <v>Masala 100gram</v>
      </c>
      <c r="D1398" s="73" t="str">
        <f>IFERROR(__xludf.DUMMYFUNCTION("""COMPUTED_VALUE"""),"100g 85*30*132 | 3.3*1.2*5.19 inch")</f>
        <v>100g 85*30*132 | 3.3*1.2*5.19 inch</v>
      </c>
      <c r="E1398" s="77">
        <f>IFERROR(__xludf.DUMMYFUNCTION("""COMPUTED_VALUE"""),6.0)</f>
        <v>6</v>
      </c>
      <c r="F1398" s="77">
        <f>IFERROR(__xludf.DUMMYFUNCTION("""COMPUTED_VALUE"""),1926.0)</f>
        <v>1926</v>
      </c>
      <c r="G1398" s="77">
        <f>IFERROR(__xludf.DUMMYFUNCTION("""COMPUTED_VALUE"""),19.5)</f>
        <v>19.5</v>
      </c>
      <c r="H1398" s="77">
        <f>IFERROR(__xludf.DUMMYFUNCTION("""COMPUTED_VALUE"""),23.0)</f>
        <v>23</v>
      </c>
      <c r="I1398" s="77">
        <f>IFERROR(__xludf.DUMMYFUNCTION("""COMPUTED_VALUE"""),100.0)</f>
        <v>100</v>
      </c>
      <c r="J1398" s="73"/>
      <c r="K1398" s="73"/>
      <c r="L1398" s="73"/>
      <c r="M1398" s="77">
        <f>IFERROR(__xludf.DUMMYFUNCTION("""COMPUTED_VALUE"""),0.1)</f>
        <v>0.1</v>
      </c>
      <c r="N1398" s="77">
        <f>IFERROR(__xludf.DUMMYFUNCTION("""COMPUTED_VALUE"""),1.0)</f>
        <v>1</v>
      </c>
      <c r="O1398" s="49"/>
      <c r="P1398" s="49" t="str">
        <f>IFERROR(__xludf.DUMMYFUNCTION("""COMPUTED_VALUE"""),"Offset")</f>
        <v>Offset</v>
      </c>
      <c r="Q1398" s="49" t="str">
        <f>IFERROR(__xludf.DUMMYFUNCTION("""COMPUTED_VALUE"""),"Packaging")</f>
        <v>Packaging</v>
      </c>
      <c r="R1398" s="49" t="str">
        <f>IFERROR(__xludf.DUMMYFUNCTION("""COMPUTED_VALUE"""),"Masala")</f>
        <v>Masala</v>
      </c>
    </row>
    <row r="1399">
      <c r="A1399" s="156" t="str">
        <f>IFERROR(__xludf.DUMMYFUNCTION("""COMPUTED_VALUE"""),"https://drive.google.com/open?id=1XZhu9T-LxL0Yk3I5GxuG2ip8-z4k5yBh&amp;authuser=jay.agg%40gmail.com&amp;usp=drive_fs")</f>
        <v>https://drive.google.com/open?id=1XZhu9T-LxL0Yk3I5GxuG2ip8-z4k5yBh&amp;authuser=jay.agg%40gmail.com&amp;usp=drive_fs</v>
      </c>
      <c r="B1399" s="73" t="str">
        <f>IFERROR(__xludf.DUMMYFUNCTION("""COMPUTED_VALUE"""),"Masala")</f>
        <v>Masala</v>
      </c>
      <c r="C1399" s="73" t="str">
        <f>IFERROR(__xludf.DUMMYFUNCTION("""COMPUTED_VALUE"""),"Masala 50gram")</f>
        <v>Masala 50gram</v>
      </c>
      <c r="D1399" s="73" t="str">
        <f>IFERROR(__xludf.DUMMYFUNCTION("""COMPUTED_VALUE"""),"50g 72*30*110 | 2.8*1.2*4.33 inch")</f>
        <v>50g 72*30*110 | 2.8*1.2*4.33 inch</v>
      </c>
      <c r="E1399" s="77">
        <f>IFERROR(__xludf.DUMMYFUNCTION("""COMPUTED_VALUE"""),8.0)</f>
        <v>8</v>
      </c>
      <c r="F1399" s="77">
        <f>IFERROR(__xludf.DUMMYFUNCTION("""COMPUTED_VALUE"""),1926.0)</f>
        <v>1926</v>
      </c>
      <c r="G1399" s="77">
        <f>IFERROR(__xludf.DUMMYFUNCTION("""COMPUTED_VALUE"""),18.0)</f>
        <v>18</v>
      </c>
      <c r="H1399" s="77">
        <f>IFERROR(__xludf.DUMMYFUNCTION("""COMPUTED_VALUE"""),25.0)</f>
        <v>25</v>
      </c>
      <c r="I1399" s="77">
        <f>IFERROR(__xludf.DUMMYFUNCTION("""COMPUTED_VALUE"""),100.0)</f>
        <v>100</v>
      </c>
      <c r="J1399" s="73"/>
      <c r="K1399" s="73"/>
      <c r="L1399" s="73"/>
      <c r="M1399" s="77">
        <f>IFERROR(__xludf.DUMMYFUNCTION("""COMPUTED_VALUE"""),0.1)</f>
        <v>0.1</v>
      </c>
      <c r="N1399" s="77">
        <f>IFERROR(__xludf.DUMMYFUNCTION("""COMPUTED_VALUE"""),1.0)</f>
        <v>1</v>
      </c>
      <c r="O1399" s="49"/>
      <c r="P1399" s="49" t="str">
        <f>IFERROR(__xludf.DUMMYFUNCTION("""COMPUTED_VALUE"""),"Offset")</f>
        <v>Offset</v>
      </c>
      <c r="Q1399" s="49" t="str">
        <f>IFERROR(__xludf.DUMMYFUNCTION("""COMPUTED_VALUE"""),"Packaging")</f>
        <v>Packaging</v>
      </c>
      <c r="R1399" s="49" t="str">
        <f>IFERROR(__xludf.DUMMYFUNCTION("""COMPUTED_VALUE"""),"Masala")</f>
        <v>Masala</v>
      </c>
    </row>
    <row r="1400">
      <c r="A1400" s="156" t="str">
        <f>IFERROR(__xludf.DUMMYFUNCTION("""COMPUTED_VALUE"""),"https://drive.google.com/open?id=1XhY7-jcFjiH1bJHT5AeZ4akk2oezXr2N&amp;authuser=jay.agg%40gmail.com&amp;usp=drive_fs")</f>
        <v>https://drive.google.com/open?id=1XhY7-jcFjiH1bJHT5AeZ4akk2oezXr2N&amp;authuser=jay.agg%40gmail.com&amp;usp=drive_fs</v>
      </c>
      <c r="B1400" s="73" t="str">
        <f>IFERROR(__xludf.DUMMYFUNCTION("""COMPUTED_VALUE"""),"Masala")</f>
        <v>Masala</v>
      </c>
      <c r="C1400" s="73" t="str">
        <f>IFERROR(__xludf.DUMMYFUNCTION("""COMPUTED_VALUE"""),"Masala 15gram")</f>
        <v>Masala 15gram</v>
      </c>
      <c r="D1400" s="73" t="str">
        <f>IFERROR(__xludf.DUMMYFUNCTION("""COMPUTED_VALUE"""),"15g 65*25*90 | 2.5*1*3.5 inch")</f>
        <v>15g 65*25*90 | 2.5*1*3.5 inch</v>
      </c>
      <c r="E1400" s="77">
        <f>IFERROR(__xludf.DUMMYFUNCTION("""COMPUTED_VALUE"""),9.0)</f>
        <v>9</v>
      </c>
      <c r="F1400" s="77">
        <f>IFERROR(__xludf.DUMMYFUNCTION("""COMPUTED_VALUE"""),1926.0)</f>
        <v>1926</v>
      </c>
      <c r="G1400" s="77">
        <f>IFERROR(__xludf.DUMMYFUNCTION("""COMPUTED_VALUE"""),18.0)</f>
        <v>18</v>
      </c>
      <c r="H1400" s="77">
        <f>IFERROR(__xludf.DUMMYFUNCTION("""COMPUTED_VALUE"""),23.0)</f>
        <v>23</v>
      </c>
      <c r="I1400" s="77">
        <f>IFERROR(__xludf.DUMMYFUNCTION("""COMPUTED_VALUE"""),100.0)</f>
        <v>100</v>
      </c>
      <c r="J1400" s="73"/>
      <c r="K1400" s="73"/>
      <c r="L1400" s="73"/>
      <c r="M1400" s="77">
        <f>IFERROR(__xludf.DUMMYFUNCTION("""COMPUTED_VALUE"""),0.1)</f>
        <v>0.1</v>
      </c>
      <c r="N1400" s="77">
        <f>IFERROR(__xludf.DUMMYFUNCTION("""COMPUTED_VALUE"""),1.0)</f>
        <v>1</v>
      </c>
      <c r="O1400" s="49"/>
      <c r="P1400" s="49" t="str">
        <f>IFERROR(__xludf.DUMMYFUNCTION("""COMPUTED_VALUE"""),"Offset")</f>
        <v>Offset</v>
      </c>
      <c r="Q1400" s="49" t="str">
        <f>IFERROR(__xludf.DUMMYFUNCTION("""COMPUTED_VALUE"""),"Packaging")</f>
        <v>Packaging</v>
      </c>
      <c r="R1400" s="49" t="str">
        <f>IFERROR(__xludf.DUMMYFUNCTION("""COMPUTED_VALUE"""),"Masala")</f>
        <v>Masala</v>
      </c>
    </row>
    <row r="1401">
      <c r="A1401" s="156" t="str">
        <f>IFERROR(__xludf.DUMMYFUNCTION("""COMPUTED_VALUE"""),"https://drive.google.com/open?id=1XigLaHjjVLlksqrYYpHKiVcP4CBWJ-BQ&amp;authuser=jay.agg%40gmail.com&amp;usp=drive_fs")</f>
        <v>https://drive.google.com/open?id=1XigLaHjjVLlksqrYYpHKiVcP4CBWJ-BQ&amp;authuser=jay.agg%40gmail.com&amp;usp=drive_fs</v>
      </c>
      <c r="B1401" s="73" t="str">
        <f>IFERROR(__xludf.DUMMYFUNCTION("""COMPUTED_VALUE"""),"Masala")</f>
        <v>Masala</v>
      </c>
      <c r="C1401" s="73" t="str">
        <f>IFERROR(__xludf.DUMMYFUNCTION("""COMPUTED_VALUE"""),"Masala 15g Flap")</f>
        <v>Masala 15g Flap</v>
      </c>
      <c r="D1401" s="73" t="str">
        <f>IFERROR(__xludf.DUMMYFUNCTION("""COMPUTED_VALUE"""),"Tuck Flap 65*25*90 | 2.5*1*3.5 inch")</f>
        <v>Tuck Flap 65*25*90 | 2.5*1*3.5 inch</v>
      </c>
      <c r="E1401" s="77">
        <f>IFERROR(__xludf.DUMMYFUNCTION("""COMPUTED_VALUE"""),9.0)</f>
        <v>9</v>
      </c>
      <c r="F1401" s="77">
        <f>IFERROR(__xludf.DUMMYFUNCTION("""COMPUTED_VALUE"""),1926.0)</f>
        <v>1926</v>
      </c>
      <c r="G1401" s="77">
        <f>IFERROR(__xludf.DUMMYFUNCTION("""COMPUTED_VALUE"""),18.0)</f>
        <v>18</v>
      </c>
      <c r="H1401" s="77">
        <f>IFERROR(__xludf.DUMMYFUNCTION("""COMPUTED_VALUE"""),23.0)</f>
        <v>23</v>
      </c>
      <c r="I1401" s="77">
        <f>IFERROR(__xludf.DUMMYFUNCTION("""COMPUTED_VALUE"""),100.0)</f>
        <v>100</v>
      </c>
      <c r="J1401" s="73"/>
      <c r="K1401" s="73"/>
      <c r="L1401" s="73"/>
      <c r="M1401" s="77">
        <f>IFERROR(__xludf.DUMMYFUNCTION("""COMPUTED_VALUE"""),0.1)</f>
        <v>0.1</v>
      </c>
      <c r="N1401" s="77">
        <f>IFERROR(__xludf.DUMMYFUNCTION("""COMPUTED_VALUE"""),1.0)</f>
        <v>1</v>
      </c>
      <c r="O1401" s="49"/>
      <c r="P1401" s="49" t="str">
        <f>IFERROR(__xludf.DUMMYFUNCTION("""COMPUTED_VALUE"""),"Offset")</f>
        <v>Offset</v>
      </c>
      <c r="Q1401" s="49" t="str">
        <f>IFERROR(__xludf.DUMMYFUNCTION("""COMPUTED_VALUE"""),"Packaging")</f>
        <v>Packaging</v>
      </c>
      <c r="R1401" s="49" t="str">
        <f>IFERROR(__xludf.DUMMYFUNCTION("""COMPUTED_VALUE"""),"Masala")</f>
        <v>Masala</v>
      </c>
    </row>
    <row r="1402">
      <c r="A1402" s="156" t="str">
        <f>IFERROR(__xludf.DUMMYFUNCTION("""COMPUTED_VALUE"""),"https://drive.google.com/open?id=1XBZ7e28xZMkZx9RXLSjFILyUDpnhOOsj&amp;authuser=jay.agg%40gmail.com&amp;usp=drive_fs")</f>
        <v>https://drive.google.com/open?id=1XBZ7e28xZMkZx9RXLSjFILyUDpnhOOsj&amp;authuser=jay.agg%40gmail.com&amp;usp=drive_fs</v>
      </c>
      <c r="B1402" s="73" t="str">
        <f>IFERROR(__xludf.DUMMYFUNCTION("""COMPUTED_VALUE"""),"Masala")</f>
        <v>Masala</v>
      </c>
      <c r="C1402" s="73" t="str">
        <f>IFERROR(__xludf.DUMMYFUNCTION("""COMPUTED_VALUE"""),"Masala 200+50gram")</f>
        <v>Masala 200+50gram</v>
      </c>
      <c r="D1402" s="73" t="str">
        <f>IFERROR(__xludf.DUMMYFUNCTION("""COMPUTED_VALUE"""),"200+50g 100*45*150 | 4*1.8*6 inch")</f>
        <v>200+50g 100*45*150 | 4*1.8*6 inch</v>
      </c>
      <c r="E1402" s="77">
        <f>IFERROR(__xludf.DUMMYFUNCTION("""COMPUTED_VALUE"""),4.0)</f>
        <v>4</v>
      </c>
      <c r="F1402" s="77">
        <f>IFERROR(__xludf.DUMMYFUNCTION("""COMPUTED_VALUE"""),1926.0)</f>
        <v>1926</v>
      </c>
      <c r="G1402" s="77">
        <f>IFERROR(__xludf.DUMMYFUNCTION("""COMPUTED_VALUE"""),18.0)</f>
        <v>18</v>
      </c>
      <c r="H1402" s="77">
        <f>IFERROR(__xludf.DUMMYFUNCTION("""COMPUTED_VALUE"""),24.0)</f>
        <v>24</v>
      </c>
      <c r="I1402" s="77">
        <f>IFERROR(__xludf.DUMMYFUNCTION("""COMPUTED_VALUE"""),100.0)</f>
        <v>100</v>
      </c>
      <c r="J1402" s="73"/>
      <c r="K1402" s="73"/>
      <c r="L1402" s="73"/>
      <c r="M1402" s="77">
        <f>IFERROR(__xludf.DUMMYFUNCTION("""COMPUTED_VALUE"""),0.1)</f>
        <v>0.1</v>
      </c>
      <c r="N1402" s="77">
        <f>IFERROR(__xludf.DUMMYFUNCTION("""COMPUTED_VALUE"""),1.0)</f>
        <v>1</v>
      </c>
      <c r="O1402" s="49"/>
      <c r="P1402" s="49" t="str">
        <f>IFERROR(__xludf.DUMMYFUNCTION("""COMPUTED_VALUE"""),"Offset")</f>
        <v>Offset</v>
      </c>
      <c r="Q1402" s="49" t="str">
        <f>IFERROR(__xludf.DUMMYFUNCTION("""COMPUTED_VALUE"""),"Packaging")</f>
        <v>Packaging</v>
      </c>
      <c r="R1402" s="49" t="str">
        <f>IFERROR(__xludf.DUMMYFUNCTION("""COMPUTED_VALUE"""),"Masala")</f>
        <v>Masala</v>
      </c>
    </row>
    <row r="1403">
      <c r="A1403" s="156" t="str">
        <f>IFERROR(__xludf.DUMMYFUNCTION("""COMPUTED_VALUE"""),"https://drive.google.com/open?id=1i8C4Cypir4kVnc0Ls2IfeqTzCOr7EpZ3&amp;authuser=jay.agg%40gmail.com&amp;usp=drive_fs")</f>
        <v>https://drive.google.com/open?id=1i8C4Cypir4kVnc0Ls2IfeqTzCOr7EpZ3&amp;authuser=jay.agg%40gmail.com&amp;usp=drive_fs</v>
      </c>
      <c r="B1403" s="73" t="str">
        <f>IFERROR(__xludf.DUMMYFUNCTION("""COMPUTED_VALUE"""),"Masala")</f>
        <v>Masala</v>
      </c>
      <c r="C1403" s="73" t="str">
        <f>IFERROR(__xludf.DUMMYFUNCTION("""COMPUTED_VALUE"""),"Masala 1kg")</f>
        <v>Masala 1kg</v>
      </c>
      <c r="D1403" s="73" t="str">
        <f>IFERROR(__xludf.DUMMYFUNCTION("""COMPUTED_VALUE"""),"165*645*190 mm | 6.5*2.5*7.5 inch ")</f>
        <v>165*645*190 mm | 6.5*2.5*7.5 inch </v>
      </c>
      <c r="E1403" s="77">
        <f>IFERROR(__xludf.DUMMYFUNCTION("""COMPUTED_VALUE"""),2.0)</f>
        <v>2</v>
      </c>
      <c r="F1403" s="77">
        <f>IFERROR(__xludf.DUMMYFUNCTION("""COMPUTED_VALUE"""),1926.0)</f>
        <v>1926</v>
      </c>
      <c r="G1403" s="77">
        <f>IFERROR(__xludf.DUMMYFUNCTION("""COMPUTED_VALUE"""),19.0)</f>
        <v>19</v>
      </c>
      <c r="H1403" s="77">
        <f>IFERROR(__xludf.DUMMYFUNCTION("""COMPUTED_VALUE"""),26.0)</f>
        <v>26</v>
      </c>
      <c r="I1403" s="77">
        <f>IFERROR(__xludf.DUMMYFUNCTION("""COMPUTED_VALUE"""),100.0)</f>
        <v>100</v>
      </c>
      <c r="J1403" s="73"/>
      <c r="K1403" s="73"/>
      <c r="L1403" s="73"/>
      <c r="M1403" s="77">
        <f>IFERROR(__xludf.DUMMYFUNCTION("""COMPUTED_VALUE"""),0.1)</f>
        <v>0.1</v>
      </c>
      <c r="N1403" s="77">
        <f>IFERROR(__xludf.DUMMYFUNCTION("""COMPUTED_VALUE"""),1.0)</f>
        <v>1</v>
      </c>
      <c r="O1403" s="49"/>
      <c r="P1403" s="49" t="str">
        <f>IFERROR(__xludf.DUMMYFUNCTION("""COMPUTED_VALUE"""),"Offset")</f>
        <v>Offset</v>
      </c>
      <c r="Q1403" s="49" t="str">
        <f>IFERROR(__xludf.DUMMYFUNCTION("""COMPUTED_VALUE"""),"Packaging")</f>
        <v>Packaging</v>
      </c>
      <c r="R1403" s="49" t="str">
        <f>IFERROR(__xludf.DUMMYFUNCTION("""COMPUTED_VALUE"""),"Masala")</f>
        <v>Masala</v>
      </c>
    </row>
    <row r="1404">
      <c r="A1404" s="156" t="str">
        <f>IFERROR(__xludf.DUMMYFUNCTION("""COMPUTED_VALUE"""),"https://drive.google.com/open?id=1Xl_d_0mvrdOlb_IQksdGpb4AdHUt-x_G&amp;authuser=jay.agg%40gmail.com&amp;usp=drive_fs")</f>
        <v>https://drive.google.com/open?id=1Xl_d_0mvrdOlb_IQksdGpb4AdHUt-x_G&amp;authuser=jay.agg%40gmail.com&amp;usp=drive_fs</v>
      </c>
      <c r="B1404" s="73" t="str">
        <f>IFERROR(__xludf.DUMMYFUNCTION("""COMPUTED_VALUE"""),"Masala")</f>
        <v>Masala</v>
      </c>
      <c r="C1404" s="73" t="str">
        <f>IFERROR(__xludf.DUMMYFUNCTION("""COMPUTED_VALUE"""),"Outer 15g")</f>
        <v>Outer 15g</v>
      </c>
      <c r="D1404" s="73" t="str">
        <f>IFERROR(__xludf.DUMMYFUNCTION("""COMPUTED_VALUE"""),"Outer 65*25*90 mm")</f>
        <v>Outer 65*25*90 mm</v>
      </c>
      <c r="E1404" s="77">
        <f>IFERROR(__xludf.DUMMYFUNCTION("""COMPUTED_VALUE"""),1.0)</f>
        <v>1</v>
      </c>
      <c r="F1404" s="77">
        <f>IFERROR(__xludf.DUMMYFUNCTION("""COMPUTED_VALUE"""),1926.0)</f>
        <v>1926</v>
      </c>
      <c r="G1404" s="77">
        <f>IFERROR(__xludf.DUMMYFUNCTION("""COMPUTED_VALUE"""),14.0)</f>
        <v>14</v>
      </c>
      <c r="H1404" s="77">
        <f>IFERROR(__xludf.DUMMYFUNCTION("""COMPUTED_VALUE"""),22.0)</f>
        <v>22</v>
      </c>
      <c r="I1404" s="77">
        <f>IFERROR(__xludf.DUMMYFUNCTION("""COMPUTED_VALUE"""),100.0)</f>
        <v>100</v>
      </c>
      <c r="J1404" s="73"/>
      <c r="K1404" s="73"/>
      <c r="L1404" s="73"/>
      <c r="M1404" s="77">
        <f>IFERROR(__xludf.DUMMYFUNCTION("""COMPUTED_VALUE"""),0.1)</f>
        <v>0.1</v>
      </c>
      <c r="N1404" s="77">
        <f>IFERROR(__xludf.DUMMYFUNCTION("""COMPUTED_VALUE"""),1.0)</f>
        <v>1</v>
      </c>
      <c r="O1404" s="49"/>
      <c r="P1404" s="49" t="str">
        <f>IFERROR(__xludf.DUMMYFUNCTION("""COMPUTED_VALUE"""),"Offset")</f>
        <v>Offset</v>
      </c>
      <c r="Q1404" s="49" t="str">
        <f>IFERROR(__xludf.DUMMYFUNCTION("""COMPUTED_VALUE"""),"Packaging")</f>
        <v>Packaging</v>
      </c>
      <c r="R1404" s="49" t="str">
        <f>IFERROR(__xludf.DUMMYFUNCTION("""COMPUTED_VALUE"""),"Masala")</f>
        <v>Masala</v>
      </c>
    </row>
    <row r="1405">
      <c r="A1405" s="156" t="str">
        <f>IFERROR(__xludf.DUMMYFUNCTION("""COMPUTED_VALUE"""),"https://drive.google.com/open?id=1X9zNyToYaZY8fl6j7w8IuFwiAS6PzmjA&amp;authuser=jay.agg%40gmail.com&amp;usp=drive_fs")</f>
        <v>https://drive.google.com/open?id=1X9zNyToYaZY8fl6j7w8IuFwiAS6PzmjA&amp;authuser=jay.agg%40gmail.com&amp;usp=drive_fs</v>
      </c>
      <c r="B1405" s="73" t="str">
        <f>IFERROR(__xludf.DUMMYFUNCTION("""COMPUTED_VALUE"""),"Masala")</f>
        <v>Masala</v>
      </c>
      <c r="C1405" s="73" t="str">
        <f>IFERROR(__xludf.DUMMYFUNCTION("""COMPUTED_VALUE"""),"Masala 500g")</f>
        <v>Masala 500g</v>
      </c>
      <c r="D1405" s="73" t="str">
        <f>IFERROR(__xludf.DUMMYFUNCTION("""COMPUTED_VALUE"""),"500g 132*66*182 | 5*2.5*7 inch")</f>
        <v>500g 132*66*182 | 5*2.5*7 inch</v>
      </c>
      <c r="E1405" s="77">
        <f>IFERROR(__xludf.DUMMYFUNCTION("""COMPUTED_VALUE"""),2.0)</f>
        <v>2</v>
      </c>
      <c r="F1405" s="77">
        <f>IFERROR(__xludf.DUMMYFUNCTION("""COMPUTED_VALUE"""),1926.0)</f>
        <v>1926</v>
      </c>
      <c r="G1405" s="77">
        <f>IFERROR(__xludf.DUMMYFUNCTION("""COMPUTED_VALUE"""),18.0)</f>
        <v>18</v>
      </c>
      <c r="H1405" s="77">
        <f>IFERROR(__xludf.DUMMYFUNCTION("""COMPUTED_VALUE"""),23.0)</f>
        <v>23</v>
      </c>
      <c r="I1405" s="77">
        <f>IFERROR(__xludf.DUMMYFUNCTION("""COMPUTED_VALUE"""),100.0)</f>
        <v>100</v>
      </c>
      <c r="J1405" s="73"/>
      <c r="K1405" s="73"/>
      <c r="L1405" s="73"/>
      <c r="M1405" s="77">
        <f>IFERROR(__xludf.DUMMYFUNCTION("""COMPUTED_VALUE"""),0.1)</f>
        <v>0.1</v>
      </c>
      <c r="N1405" s="77">
        <f>IFERROR(__xludf.DUMMYFUNCTION("""COMPUTED_VALUE"""),1.0)</f>
        <v>1</v>
      </c>
      <c r="O1405" s="49"/>
      <c r="P1405" s="49" t="str">
        <f>IFERROR(__xludf.DUMMYFUNCTION("""COMPUTED_VALUE"""),"Offset")</f>
        <v>Offset</v>
      </c>
      <c r="Q1405" s="49" t="str">
        <f>IFERROR(__xludf.DUMMYFUNCTION("""COMPUTED_VALUE"""),"Packaging")</f>
        <v>Packaging</v>
      </c>
      <c r="R1405" s="49" t="str">
        <f>IFERROR(__xludf.DUMMYFUNCTION("""COMPUTED_VALUE"""),"Masala")</f>
        <v>Masala</v>
      </c>
    </row>
    <row r="1406">
      <c r="A1406" s="156" t="str">
        <f>IFERROR(__xludf.DUMMYFUNCTION("""COMPUTED_VALUE"""),"https://drive.google.com/open?id=1kpk5SHfrNyV5z35dajqoOPh7H1Di9UIv&amp;authuser=jay.agg%40gmail.com&amp;usp=drive_fs")</f>
        <v>https://drive.google.com/open?id=1kpk5SHfrNyV5z35dajqoOPh7H1Di9UIv&amp;authuser=jay.agg%40gmail.com&amp;usp=drive_fs</v>
      </c>
      <c r="B1406" s="73" t="str">
        <f>IFERROR(__xludf.DUMMYFUNCTION("""COMPUTED_VALUE"""),"Masala")</f>
        <v>Masala</v>
      </c>
      <c r="C1406" s="73" t="str">
        <f>IFERROR(__xludf.DUMMYFUNCTION("""COMPUTED_VALUE"""),"Butter Milk")</f>
        <v>Butter Milk</v>
      </c>
      <c r="D1406" s="73" t="str">
        <f>IFERROR(__xludf.DUMMYFUNCTION("""COMPUTED_VALUE"""),"105*75*145 mm")</f>
        <v>105*75*145 mm</v>
      </c>
      <c r="E1406" s="77">
        <f>IFERROR(__xludf.DUMMYFUNCTION("""COMPUTED_VALUE"""),2.0)</f>
        <v>2</v>
      </c>
      <c r="F1406" s="77">
        <f>IFERROR(__xludf.DUMMYFUNCTION("""COMPUTED_VALUE"""),1926.0)</f>
        <v>1926</v>
      </c>
      <c r="G1406" s="77">
        <f>IFERROR(__xludf.DUMMYFUNCTION("""COMPUTED_VALUE"""),18.0)</f>
        <v>18</v>
      </c>
      <c r="H1406" s="77">
        <f>IFERROR(__xludf.DUMMYFUNCTION("""COMPUTED_VALUE"""),23.0)</f>
        <v>23</v>
      </c>
      <c r="I1406" s="77">
        <f>IFERROR(__xludf.DUMMYFUNCTION("""COMPUTED_VALUE"""),100.0)</f>
        <v>100</v>
      </c>
      <c r="J1406" s="73"/>
      <c r="K1406" s="73"/>
      <c r="L1406" s="73"/>
      <c r="M1406" s="77">
        <f>IFERROR(__xludf.DUMMYFUNCTION("""COMPUTED_VALUE"""),0.1)</f>
        <v>0.1</v>
      </c>
      <c r="N1406" s="77">
        <f>IFERROR(__xludf.DUMMYFUNCTION("""COMPUTED_VALUE"""),1.0)</f>
        <v>1</v>
      </c>
      <c r="O1406" s="49"/>
      <c r="P1406" s="49" t="str">
        <f>IFERROR(__xludf.DUMMYFUNCTION("""COMPUTED_VALUE"""),"Offset")</f>
        <v>Offset</v>
      </c>
      <c r="Q1406" s="49" t="str">
        <f>IFERROR(__xludf.DUMMYFUNCTION("""COMPUTED_VALUE"""),"Packaging")</f>
        <v>Packaging</v>
      </c>
      <c r="R1406" s="49" t="str">
        <f>IFERROR(__xludf.DUMMYFUNCTION("""COMPUTED_VALUE"""),"Masala")</f>
        <v>Masala</v>
      </c>
    </row>
    <row r="1407">
      <c r="A1407" s="156" t="str">
        <f>IFERROR(__xludf.DUMMYFUNCTION("""COMPUTED_VALUE"""),"https://drive.google.com/open?id=1XVMziL5t6jCI27vtg32RbooAhzXDa4Vj&amp;authuser=jay.agg%40gmail.com&amp;usp=drive_fs")</f>
        <v>https://drive.google.com/open?id=1XVMziL5t6jCI27vtg32RbooAhzXDa4Vj&amp;authuser=jay.agg%40gmail.com&amp;usp=drive_fs</v>
      </c>
      <c r="B1407" s="73" t="str">
        <f>IFERROR(__xludf.DUMMYFUNCTION("""COMPUTED_VALUE"""),"Masala")</f>
        <v>Masala</v>
      </c>
      <c r="C1407" s="73" t="str">
        <f>IFERROR(__xludf.DUMMYFUNCTION("""COMPUTED_VALUE"""),"Masala 100gram")</f>
        <v>Masala 100gram</v>
      </c>
      <c r="D1407" s="73" t="str">
        <f>IFERROR(__xludf.DUMMYFUNCTION("""COMPUTED_VALUE"""),"Tuck Flap 85x30x132 mm")</f>
        <v>Tuck Flap 85x30x132 mm</v>
      </c>
      <c r="E1407" s="77">
        <f>IFERROR(__xludf.DUMMYFUNCTION("""COMPUTED_VALUE"""),6.0)</f>
        <v>6</v>
      </c>
      <c r="F1407" s="77">
        <f>IFERROR(__xludf.DUMMYFUNCTION("""COMPUTED_VALUE"""),1926.0)</f>
        <v>1926</v>
      </c>
      <c r="G1407" s="77">
        <f>IFERROR(__xludf.DUMMYFUNCTION("""COMPUTED_VALUE"""),19.5)</f>
        <v>19.5</v>
      </c>
      <c r="H1407" s="77">
        <f>IFERROR(__xludf.DUMMYFUNCTION("""COMPUTED_VALUE"""),23.0)</f>
        <v>23</v>
      </c>
      <c r="I1407" s="77">
        <f>IFERROR(__xludf.DUMMYFUNCTION("""COMPUTED_VALUE"""),100.0)</f>
        <v>100</v>
      </c>
      <c r="J1407" s="73"/>
      <c r="K1407" s="73"/>
      <c r="L1407" s="73"/>
      <c r="M1407" s="77">
        <f>IFERROR(__xludf.DUMMYFUNCTION("""COMPUTED_VALUE"""),0.1)</f>
        <v>0.1</v>
      </c>
      <c r="N1407" s="77">
        <f>IFERROR(__xludf.DUMMYFUNCTION("""COMPUTED_VALUE"""),1.0)</f>
        <v>1</v>
      </c>
      <c r="O1407" s="49"/>
      <c r="P1407" s="49" t="str">
        <f>IFERROR(__xludf.DUMMYFUNCTION("""COMPUTED_VALUE"""),"Offset")</f>
        <v>Offset</v>
      </c>
      <c r="Q1407" s="49" t="str">
        <f>IFERROR(__xludf.DUMMYFUNCTION("""COMPUTED_VALUE"""),"Packaging")</f>
        <v>Packaging</v>
      </c>
      <c r="R1407" s="49" t="str">
        <f>IFERROR(__xludf.DUMMYFUNCTION("""COMPUTED_VALUE"""),"Masala")</f>
        <v>Masala</v>
      </c>
    </row>
    <row r="1408">
      <c r="A1408" s="156" t="str">
        <f>IFERROR(__xludf.DUMMYFUNCTION("""COMPUTED_VALUE"""),"https://drive.google.com/open?id=1XZvUHWQVcLusGFNu2unYWk-TzRnRR8RF&amp;authuser=jay.agg%40gmail.com&amp;usp=drive_fs")</f>
        <v>https://drive.google.com/open?id=1XZvUHWQVcLusGFNu2unYWk-TzRnRR8RF&amp;authuser=jay.agg%40gmail.com&amp;usp=drive_fs</v>
      </c>
      <c r="B1408" s="73" t="str">
        <f>IFERROR(__xludf.DUMMYFUNCTION("""COMPUTED_VALUE"""),"Masala")</f>
        <v>Masala</v>
      </c>
      <c r="C1408" s="73" t="str">
        <f>IFERROR(__xludf.DUMMYFUNCTION("""COMPUTED_VALUE"""),"Masala 50gram")</f>
        <v>Masala 50gram</v>
      </c>
      <c r="D1408" s="73" t="str">
        <f>IFERROR(__xludf.DUMMYFUNCTION("""COMPUTED_VALUE"""),"Tuck Flap 72x30x110 mm")</f>
        <v>Tuck Flap 72x30x110 mm</v>
      </c>
      <c r="E1408" s="77">
        <f>IFERROR(__xludf.DUMMYFUNCTION("""COMPUTED_VALUE"""),6.0)</f>
        <v>6</v>
      </c>
      <c r="F1408" s="77">
        <f>IFERROR(__xludf.DUMMYFUNCTION("""COMPUTED_VALUE"""),1926.0)</f>
        <v>1926</v>
      </c>
      <c r="G1408" s="77">
        <f>IFERROR(__xludf.DUMMYFUNCTION("""COMPUTED_VALUE"""),18.0)</f>
        <v>18</v>
      </c>
      <c r="H1408" s="77">
        <f>IFERROR(__xludf.DUMMYFUNCTION("""COMPUTED_VALUE"""),21.0)</f>
        <v>21</v>
      </c>
      <c r="I1408" s="77">
        <f>IFERROR(__xludf.DUMMYFUNCTION("""COMPUTED_VALUE"""),100.0)</f>
        <v>100</v>
      </c>
      <c r="J1408" s="73"/>
      <c r="K1408" s="73"/>
      <c r="L1408" s="73"/>
      <c r="M1408" s="77">
        <f>IFERROR(__xludf.DUMMYFUNCTION("""COMPUTED_VALUE"""),0.1)</f>
        <v>0.1</v>
      </c>
      <c r="N1408" s="77">
        <f>IFERROR(__xludf.DUMMYFUNCTION("""COMPUTED_VALUE"""),1.0)</f>
        <v>1</v>
      </c>
      <c r="O1408" s="49"/>
      <c r="P1408" s="49" t="str">
        <f>IFERROR(__xludf.DUMMYFUNCTION("""COMPUTED_VALUE"""),"Offset")</f>
        <v>Offset</v>
      </c>
      <c r="Q1408" s="49" t="str">
        <f>IFERROR(__xludf.DUMMYFUNCTION("""COMPUTED_VALUE"""),"Packaging")</f>
        <v>Packaging</v>
      </c>
      <c r="R1408" s="49" t="str">
        <f>IFERROR(__xludf.DUMMYFUNCTION("""COMPUTED_VALUE"""),"Masala")</f>
        <v>Masala</v>
      </c>
    </row>
    <row r="1409">
      <c r="A1409" s="156" t="str">
        <f>IFERROR(__xludf.DUMMYFUNCTION("""COMPUTED_VALUE"""),"https://drive.google.com/open?id=1XDP3ah7iqOfRWo5lIyAdqbMqNuV2abRI&amp;authuser=jay.agg%40gmail.com&amp;usp=drive_fs")</f>
        <v>https://drive.google.com/open?id=1XDP3ah7iqOfRWo5lIyAdqbMqNuV2abRI&amp;authuser=jay.agg%40gmail.com&amp;usp=drive_fs</v>
      </c>
      <c r="B1409" s="73" t="str">
        <f>IFERROR(__xludf.DUMMYFUNCTION("""COMPUTED_VALUE"""),"Masala")</f>
        <v>Masala</v>
      </c>
      <c r="C1409" s="73" t="str">
        <f>IFERROR(__xludf.DUMMYFUNCTION("""COMPUTED_VALUE"""),"Masala 200+50gram")</f>
        <v>Masala 200+50gram</v>
      </c>
      <c r="D1409" s="73" t="str">
        <f>IFERROR(__xludf.DUMMYFUNCTION("""COMPUTED_VALUE"""),"114*38*178 mm LB Triangle")</f>
        <v>114*38*178 mm LB Triangle</v>
      </c>
      <c r="E1409" s="77">
        <f>IFERROR(__xludf.DUMMYFUNCTION("""COMPUTED_VALUE"""),4.0)</f>
        <v>4</v>
      </c>
      <c r="F1409" s="77">
        <f>IFERROR(__xludf.DUMMYFUNCTION("""COMPUTED_VALUE"""),1926.0)</f>
        <v>1926</v>
      </c>
      <c r="G1409" s="77">
        <f>IFERROR(__xludf.DUMMYFUNCTION("""COMPUTED_VALUE"""),18.0)</f>
        <v>18</v>
      </c>
      <c r="H1409" s="77">
        <f>IFERROR(__xludf.DUMMYFUNCTION("""COMPUTED_VALUE"""),25.0)</f>
        <v>25</v>
      </c>
      <c r="I1409" s="77">
        <f>IFERROR(__xludf.DUMMYFUNCTION("""COMPUTED_VALUE"""),100.0)</f>
        <v>100</v>
      </c>
      <c r="J1409" s="73"/>
      <c r="K1409" s="73"/>
      <c r="L1409" s="73"/>
      <c r="M1409" s="77">
        <f>IFERROR(__xludf.DUMMYFUNCTION("""COMPUTED_VALUE"""),0.16)</f>
        <v>0.16</v>
      </c>
      <c r="N1409" s="77">
        <f>IFERROR(__xludf.DUMMYFUNCTION("""COMPUTED_VALUE"""),1.0)</f>
        <v>1</v>
      </c>
      <c r="O1409" s="49"/>
      <c r="P1409" s="49" t="str">
        <f>IFERROR(__xludf.DUMMYFUNCTION("""COMPUTED_VALUE"""),"Offset")</f>
        <v>Offset</v>
      </c>
      <c r="Q1409" s="49" t="str">
        <f>IFERROR(__xludf.DUMMYFUNCTION("""COMPUTED_VALUE"""),"Packaging")</f>
        <v>Packaging</v>
      </c>
      <c r="R1409" s="49" t="str">
        <f>IFERROR(__xludf.DUMMYFUNCTION("""COMPUTED_VALUE"""),"Masala")</f>
        <v>Masala</v>
      </c>
    </row>
    <row r="1410">
      <c r="A1410" s="156" t="str">
        <f>IFERROR(__xludf.DUMMYFUNCTION("""COMPUTED_VALUE"""),"https://drive.google.com/open?id=1X0O_Z3Q6tE_NXp1P6TDJD4PRX3jLI1cn&amp;authuser=jay.agg%40gmail.com&amp;usp=drive_fs")</f>
        <v>https://drive.google.com/open?id=1X0O_Z3Q6tE_NXp1P6TDJD4PRX3jLI1cn&amp;authuser=jay.agg%40gmail.com&amp;usp=drive_fs</v>
      </c>
      <c r="B1410" s="73" t="str">
        <f>IFERROR(__xludf.DUMMYFUNCTION("""COMPUTED_VALUE"""),"Masala")</f>
        <v>Masala</v>
      </c>
      <c r="C1410" s="73" t="str">
        <f>IFERROR(__xludf.DUMMYFUNCTION("""COMPUTED_VALUE"""),"Naveda")</f>
        <v>Naveda</v>
      </c>
      <c r="D1410" s="73" t="str">
        <f>IFERROR(__xludf.DUMMYFUNCTION("""COMPUTED_VALUE"""),"80*35*127 mm")</f>
        <v>80*35*127 mm</v>
      </c>
      <c r="E1410" s="77">
        <f>IFERROR(__xludf.DUMMYFUNCTION("""COMPUTED_VALUE"""),6.0)</f>
        <v>6</v>
      </c>
      <c r="F1410" s="77">
        <f>IFERROR(__xludf.DUMMYFUNCTION("""COMPUTED_VALUE"""),1926.0)</f>
        <v>1926</v>
      </c>
      <c r="G1410" s="77">
        <f>IFERROR(__xludf.DUMMYFUNCTION("""COMPUTED_VALUE"""),19.5)</f>
        <v>19.5</v>
      </c>
      <c r="H1410" s="77">
        <f>IFERROR(__xludf.DUMMYFUNCTION("""COMPUTED_VALUE"""),23.0)</f>
        <v>23</v>
      </c>
      <c r="I1410" s="77">
        <f>IFERROR(__xludf.DUMMYFUNCTION("""COMPUTED_VALUE"""),100.0)</f>
        <v>100</v>
      </c>
      <c r="J1410" s="73"/>
      <c r="K1410" s="73"/>
      <c r="L1410" s="73"/>
      <c r="M1410" s="77">
        <f>IFERROR(__xludf.DUMMYFUNCTION("""COMPUTED_VALUE"""),0.1)</f>
        <v>0.1</v>
      </c>
      <c r="N1410" s="77">
        <f>IFERROR(__xludf.DUMMYFUNCTION("""COMPUTED_VALUE"""),1.0)</f>
        <v>1</v>
      </c>
      <c r="O1410" s="49"/>
      <c r="P1410" s="49" t="str">
        <f>IFERROR(__xludf.DUMMYFUNCTION("""COMPUTED_VALUE"""),"Offset")</f>
        <v>Offset</v>
      </c>
      <c r="Q1410" s="49" t="str">
        <f>IFERROR(__xludf.DUMMYFUNCTION("""COMPUTED_VALUE"""),"Packaging")</f>
        <v>Packaging</v>
      </c>
      <c r="R1410" s="49" t="str">
        <f>IFERROR(__xludf.DUMMYFUNCTION("""COMPUTED_VALUE"""),"Masala")</f>
        <v>Masala</v>
      </c>
    </row>
    <row r="1411">
      <c r="A1411" s="156" t="str">
        <f>IFERROR(__xludf.DUMMYFUNCTION("""COMPUTED_VALUE"""),"https://drive.google.com/open?id=1XDVvsxmorge5nNFL0NSSQC5D1eUDlXiO&amp;authuser=jay.agg%40gmail.com&amp;usp=drive_fs")</f>
        <v>https://drive.google.com/open?id=1XDVvsxmorge5nNFL0NSSQC5D1eUDlXiO&amp;authuser=jay.agg%40gmail.com&amp;usp=drive_fs</v>
      </c>
      <c r="B1411" s="73" t="str">
        <f>IFERROR(__xludf.DUMMYFUNCTION("""COMPUTED_VALUE"""),"Masala")</f>
        <v>Masala</v>
      </c>
      <c r="C1411" s="73" t="str">
        <f>IFERROR(__xludf.DUMMYFUNCTION("""COMPUTED_VALUE"""),"Masala 100gram")</f>
        <v>Masala 100gram</v>
      </c>
      <c r="D1411" s="73" t="str">
        <f>IFERROR(__xludf.DUMMYFUNCTION("""COMPUTED_VALUE"""),"100g 34*102*159 mm LB Triangle")</f>
        <v>100g 34*102*159 mm LB Triangle</v>
      </c>
      <c r="E1411" s="77">
        <f>IFERROR(__xludf.DUMMYFUNCTION("""COMPUTED_VALUE"""),4.0)</f>
        <v>4</v>
      </c>
      <c r="F1411" s="77">
        <f>IFERROR(__xludf.DUMMYFUNCTION("""COMPUTED_VALUE"""),1926.0)</f>
        <v>1926</v>
      </c>
      <c r="G1411" s="77">
        <f>IFERROR(__xludf.DUMMYFUNCTION("""COMPUTED_VALUE"""),18.0)</f>
        <v>18</v>
      </c>
      <c r="H1411" s="77">
        <f>IFERROR(__xludf.DUMMYFUNCTION("""COMPUTED_VALUE"""),23.0)</f>
        <v>23</v>
      </c>
      <c r="I1411" s="77">
        <f>IFERROR(__xludf.DUMMYFUNCTION("""COMPUTED_VALUE"""),100.0)</f>
        <v>100</v>
      </c>
      <c r="J1411" s="73"/>
      <c r="K1411" s="73"/>
      <c r="L1411" s="73"/>
      <c r="M1411" s="77">
        <f>IFERROR(__xludf.DUMMYFUNCTION("""COMPUTED_VALUE"""),0.16)</f>
        <v>0.16</v>
      </c>
      <c r="N1411" s="77">
        <f>IFERROR(__xludf.DUMMYFUNCTION("""COMPUTED_VALUE"""),1.0)</f>
        <v>1</v>
      </c>
      <c r="O1411" s="49"/>
      <c r="P1411" s="49" t="str">
        <f>IFERROR(__xludf.DUMMYFUNCTION("""COMPUTED_VALUE"""),"Offset")</f>
        <v>Offset</v>
      </c>
      <c r="Q1411" s="49" t="str">
        <f>IFERROR(__xludf.DUMMYFUNCTION("""COMPUTED_VALUE"""),"Packaging")</f>
        <v>Packaging</v>
      </c>
      <c r="R1411" s="49" t="str">
        <f>IFERROR(__xludf.DUMMYFUNCTION("""COMPUTED_VALUE"""),"Masala")</f>
        <v>Masala</v>
      </c>
    </row>
    <row r="1412">
      <c r="A1412" s="156" t="str">
        <f>IFERROR(__xludf.DUMMYFUNCTION("""COMPUTED_VALUE"""),"https://drive.google.com/open?id=1X299jf6MT3jIfiPYPKkfh5lhZzv9yLu7&amp;authuser=jay.agg%40gmail.com&amp;usp=drive_fs")</f>
        <v>https://drive.google.com/open?id=1X299jf6MT3jIfiPYPKkfh5lhZzv9yLu7&amp;authuser=jay.agg%40gmail.com&amp;usp=drive_fs</v>
      </c>
      <c r="B1412" s="73" t="str">
        <f>IFERROR(__xludf.DUMMYFUNCTION("""COMPUTED_VALUE"""),"Masala")</f>
        <v>Masala</v>
      </c>
      <c r="C1412" s="73" t="str">
        <f>IFERROR(__xludf.DUMMYFUNCTION("""COMPUTED_VALUE"""),"Masala 250gram")</f>
        <v>Masala 250gram</v>
      </c>
      <c r="D1412" s="73" t="str">
        <f>IFERROR(__xludf.DUMMYFUNCTION("""COMPUTED_VALUE"""),"130*30*140 mm W 95*30")</f>
        <v>130*30*140 mm W 95*30</v>
      </c>
      <c r="E1412" s="77">
        <f>IFERROR(__xludf.DUMMYFUNCTION("""COMPUTED_VALUE"""),3.0)</f>
        <v>3</v>
      </c>
      <c r="F1412" s="77">
        <f>IFERROR(__xludf.DUMMYFUNCTION("""COMPUTED_VALUE"""),1926.0)</f>
        <v>1926</v>
      </c>
      <c r="G1412" s="77">
        <f>IFERROR(__xludf.DUMMYFUNCTION("""COMPUTED_VALUE"""),13.0)</f>
        <v>13</v>
      </c>
      <c r="H1412" s="77">
        <f>IFERROR(__xludf.DUMMYFUNCTION("""COMPUTED_VALUE"""),23.0)</f>
        <v>23</v>
      </c>
      <c r="I1412" s="77">
        <f>IFERROR(__xludf.DUMMYFUNCTION("""COMPUTED_VALUE"""),100.0)</f>
        <v>100</v>
      </c>
      <c r="J1412" s="73"/>
      <c r="K1412" s="73"/>
      <c r="L1412" s="73">
        <f>IFERROR(__xludf.DUMMYFUNCTION("""COMPUTED_VALUE"""),1.2)</f>
        <v>1.2</v>
      </c>
      <c r="M1412" s="77">
        <f>IFERROR(__xludf.DUMMYFUNCTION("""COMPUTED_VALUE"""),0.1)</f>
        <v>0.1</v>
      </c>
      <c r="N1412" s="77">
        <f>IFERROR(__xludf.DUMMYFUNCTION("""COMPUTED_VALUE"""),1.0)</f>
        <v>1</v>
      </c>
      <c r="O1412" s="49"/>
      <c r="P1412" s="49" t="str">
        <f>IFERROR(__xludf.DUMMYFUNCTION("""COMPUTED_VALUE"""),"Offset")</f>
        <v>Offset</v>
      </c>
      <c r="Q1412" s="49" t="str">
        <f>IFERROR(__xludf.DUMMYFUNCTION("""COMPUTED_VALUE"""),"Packaging")</f>
        <v>Packaging</v>
      </c>
      <c r="R1412" s="49" t="str">
        <f>IFERROR(__xludf.DUMMYFUNCTION("""COMPUTED_VALUE"""),"Masala")</f>
        <v>Masala</v>
      </c>
    </row>
    <row r="1413">
      <c r="A1413" s="156" t="str">
        <f>IFERROR(__xludf.DUMMYFUNCTION("""COMPUTED_VALUE"""),"https://drive.google.com/open?id=1X79XUiRxP2yfepBhcZDdpaKvqltfxkRw&amp;authuser=jay.agg%40gmail.com&amp;usp=drive_fs")</f>
        <v>https://drive.google.com/open?id=1X79XUiRxP2yfepBhcZDdpaKvqltfxkRw&amp;authuser=jay.agg%40gmail.com&amp;usp=drive_fs</v>
      </c>
      <c r="B1413" s="73" t="str">
        <f>IFERROR(__xludf.DUMMYFUNCTION("""COMPUTED_VALUE"""),"Masala")</f>
        <v>Masala</v>
      </c>
      <c r="C1413" s="73" t="str">
        <f>IFERROR(__xludf.DUMMYFUNCTION("""COMPUTED_VALUE"""),"Masala 500g")</f>
        <v>Masala 500g</v>
      </c>
      <c r="D1413" s="73" t="str">
        <f>IFERROR(__xludf.DUMMYFUNCTION("""COMPUTED_VALUE"""),"180*30*150 mm W 120*35")</f>
        <v>180*30*150 mm W 120*35</v>
      </c>
      <c r="E1413" s="77">
        <f>IFERROR(__xludf.DUMMYFUNCTION("""COMPUTED_VALUE"""),3.0)</f>
        <v>3</v>
      </c>
      <c r="F1413" s="77">
        <f>IFERROR(__xludf.DUMMYFUNCTION("""COMPUTED_VALUE"""),1926.0)</f>
        <v>1926</v>
      </c>
      <c r="G1413" s="77">
        <f>IFERROR(__xludf.DUMMYFUNCTION("""COMPUTED_VALUE"""),18.0)</f>
        <v>18</v>
      </c>
      <c r="H1413" s="77">
        <f>IFERROR(__xludf.DUMMYFUNCTION("""COMPUTED_VALUE"""),23.0)</f>
        <v>23</v>
      </c>
      <c r="I1413" s="77">
        <f>IFERROR(__xludf.DUMMYFUNCTION("""COMPUTED_VALUE"""),100.0)</f>
        <v>100</v>
      </c>
      <c r="J1413" s="73"/>
      <c r="K1413" s="73"/>
      <c r="L1413" s="73">
        <f>IFERROR(__xludf.DUMMYFUNCTION("""COMPUTED_VALUE"""),1.7)</f>
        <v>1.7</v>
      </c>
      <c r="M1413" s="77">
        <f>IFERROR(__xludf.DUMMYFUNCTION("""COMPUTED_VALUE"""),0.1)</f>
        <v>0.1</v>
      </c>
      <c r="N1413" s="77">
        <f>IFERROR(__xludf.DUMMYFUNCTION("""COMPUTED_VALUE"""),1.0)</f>
        <v>1</v>
      </c>
      <c r="O1413" s="49"/>
      <c r="P1413" s="49" t="str">
        <f>IFERROR(__xludf.DUMMYFUNCTION("""COMPUTED_VALUE"""),"Offset")</f>
        <v>Offset</v>
      </c>
      <c r="Q1413" s="49" t="str">
        <f>IFERROR(__xludf.DUMMYFUNCTION("""COMPUTED_VALUE"""),"Packaging")</f>
        <v>Packaging</v>
      </c>
      <c r="R1413" s="49" t="str">
        <f>IFERROR(__xludf.DUMMYFUNCTION("""COMPUTED_VALUE"""),"Masala")</f>
        <v>Masala</v>
      </c>
    </row>
    <row r="1414">
      <c r="A1414" s="156" t="str">
        <f>IFERROR(__xludf.DUMMYFUNCTION("""COMPUTED_VALUE"""),"https://drive.google.com/open?id=1X9fCgTvU-xvg8JIkvyvN_7UEf0JNAJc9&amp;authuser=jay.agg%40gmail.com&amp;usp=drive_fs")</f>
        <v>https://drive.google.com/open?id=1X9fCgTvU-xvg8JIkvyvN_7UEf0JNAJc9&amp;authuser=jay.agg%40gmail.com&amp;usp=drive_fs</v>
      </c>
      <c r="B1414" s="73" t="str">
        <f>IFERROR(__xludf.DUMMYFUNCTION("""COMPUTED_VALUE"""),"Masala")</f>
        <v>Masala</v>
      </c>
      <c r="C1414" s="73" t="str">
        <f>IFERROR(__xludf.DUMMYFUNCTION("""COMPUTED_VALUE"""),"Masala 100gram")</f>
        <v>Masala 100gram</v>
      </c>
      <c r="D1414" s="73" t="str">
        <f>IFERROR(__xludf.DUMMYFUNCTION("""COMPUTED_VALUE"""),"90*30*110 mm W 70*25")</f>
        <v>90*30*110 mm W 70*25</v>
      </c>
      <c r="E1414" s="77">
        <f>IFERROR(__xludf.DUMMYFUNCTION("""COMPUTED_VALUE"""),4.0)</f>
        <v>4</v>
      </c>
      <c r="F1414" s="77">
        <f>IFERROR(__xludf.DUMMYFUNCTION("""COMPUTED_VALUE"""),1926.0)</f>
        <v>1926</v>
      </c>
      <c r="G1414" s="77">
        <f>IFERROR(__xludf.DUMMYFUNCTION("""COMPUTED_VALUE"""),13.0)</f>
        <v>13</v>
      </c>
      <c r="H1414" s="77">
        <f>IFERROR(__xludf.DUMMYFUNCTION("""COMPUTED_VALUE"""),21.0)</f>
        <v>21</v>
      </c>
      <c r="I1414" s="77">
        <f>IFERROR(__xludf.DUMMYFUNCTION("""COMPUTED_VALUE"""),100.0)</f>
        <v>100</v>
      </c>
      <c r="J1414" s="73"/>
      <c r="K1414" s="73"/>
      <c r="L1414" s="73">
        <f>IFERROR(__xludf.DUMMYFUNCTION("""COMPUTED_VALUE"""),1.0)</f>
        <v>1</v>
      </c>
      <c r="M1414" s="77">
        <f>IFERROR(__xludf.DUMMYFUNCTION("""COMPUTED_VALUE"""),0.1)</f>
        <v>0.1</v>
      </c>
      <c r="N1414" s="77">
        <f>IFERROR(__xludf.DUMMYFUNCTION("""COMPUTED_VALUE"""),1.0)</f>
        <v>1</v>
      </c>
      <c r="O1414" s="49"/>
      <c r="P1414" s="49" t="str">
        <f>IFERROR(__xludf.DUMMYFUNCTION("""COMPUTED_VALUE"""),"Offset")</f>
        <v>Offset</v>
      </c>
      <c r="Q1414" s="49" t="str">
        <f>IFERROR(__xludf.DUMMYFUNCTION("""COMPUTED_VALUE"""),"Packaging")</f>
        <v>Packaging</v>
      </c>
      <c r="R1414" s="49" t="str">
        <f>IFERROR(__xludf.DUMMYFUNCTION("""COMPUTED_VALUE"""),"Masala")</f>
        <v>Masala</v>
      </c>
    </row>
    <row r="1415">
      <c r="A1415" s="156" t="str">
        <f>IFERROR(__xludf.DUMMYFUNCTION("""COMPUTED_VALUE"""),"https://drive.google.com/open?id=1X1YbzNYG-fZqOvI5pRXHjV8Ez2M_MiQ5&amp;authuser=jay.agg%40gmail.com&amp;usp=drive_fs")</f>
        <v>https://drive.google.com/open?id=1X1YbzNYG-fZqOvI5pRXHjV8Ez2M_MiQ5&amp;authuser=jay.agg%40gmail.com&amp;usp=drive_fs</v>
      </c>
      <c r="B1415" s="73" t="str">
        <f>IFERROR(__xludf.DUMMYFUNCTION("""COMPUTED_VALUE"""),"Masala")</f>
        <v>Masala</v>
      </c>
      <c r="C1415" s="73" t="str">
        <f>IFERROR(__xludf.DUMMYFUNCTION("""COMPUTED_VALUE"""),"Haldi Box")</f>
        <v>Haldi Box</v>
      </c>
      <c r="D1415" s="73" t="str">
        <f>IFERROR(__xludf.DUMMYFUNCTION("""COMPUTED_VALUE"""),"76*25*127 mm")</f>
        <v>76*25*127 mm</v>
      </c>
      <c r="E1415" s="77">
        <f>IFERROR(__xludf.DUMMYFUNCTION("""COMPUTED_VALUE"""),6.0)</f>
        <v>6</v>
      </c>
      <c r="F1415" s="77">
        <f>IFERROR(__xludf.DUMMYFUNCTION("""COMPUTED_VALUE"""),1926.0)</f>
        <v>1926</v>
      </c>
      <c r="G1415" s="77">
        <f>IFERROR(__xludf.DUMMYFUNCTION("""COMPUTED_VALUE"""),18.0)</f>
        <v>18</v>
      </c>
      <c r="H1415" s="77">
        <f>IFERROR(__xludf.DUMMYFUNCTION("""COMPUTED_VALUE"""),23.0)</f>
        <v>23</v>
      </c>
      <c r="I1415" s="77">
        <f>IFERROR(__xludf.DUMMYFUNCTION("""COMPUTED_VALUE"""),100.0)</f>
        <v>100</v>
      </c>
      <c r="J1415" s="73"/>
      <c r="K1415" s="73"/>
      <c r="L1415" s="73"/>
      <c r="M1415" s="77">
        <f>IFERROR(__xludf.DUMMYFUNCTION("""COMPUTED_VALUE"""),0.1)</f>
        <v>0.1</v>
      </c>
      <c r="N1415" s="77">
        <f>IFERROR(__xludf.DUMMYFUNCTION("""COMPUTED_VALUE"""),1.0)</f>
        <v>1</v>
      </c>
      <c r="O1415" s="49"/>
      <c r="P1415" s="49" t="str">
        <f>IFERROR(__xludf.DUMMYFUNCTION("""COMPUTED_VALUE"""),"Offset")</f>
        <v>Offset</v>
      </c>
      <c r="Q1415" s="49" t="str">
        <f>IFERROR(__xludf.DUMMYFUNCTION("""COMPUTED_VALUE"""),"Packaging")</f>
        <v>Packaging</v>
      </c>
      <c r="R1415" s="49" t="str">
        <f>IFERROR(__xludf.DUMMYFUNCTION("""COMPUTED_VALUE"""),"Masala")</f>
        <v>Masala</v>
      </c>
    </row>
    <row r="1416">
      <c r="A1416" s="156" t="str">
        <f>IFERROR(__xludf.DUMMYFUNCTION("""COMPUTED_VALUE"""),"https://drive.google.com/open?id=1sg-ef2-ULSL6YwAwlJ2aN7XKKwWzXZZ-&amp;authuser=jay.agg%40gmail.com&amp;usp=drive_fs")</f>
        <v>https://drive.google.com/open?id=1sg-ef2-ULSL6YwAwlJ2aN7XKKwWzXZZ-&amp;authuser=jay.agg%40gmail.com&amp;usp=drive_fs</v>
      </c>
      <c r="B1416" s="73" t="str">
        <f>IFERROR(__xludf.DUMMYFUNCTION("""COMPUTED_VALUE"""),"FMCG")</f>
        <v>FMCG</v>
      </c>
      <c r="C1416" s="73" t="str">
        <f>IFERROR(__xludf.DUMMYFUNCTION("""COMPUTED_VALUE"""),"Saffron")</f>
        <v>Saffron</v>
      </c>
      <c r="D1416" s="73" t="str">
        <f>IFERROR(__xludf.DUMMYFUNCTION("""COMPUTED_VALUE"""),"52*52*52 mm IL")</f>
        <v>52*52*52 mm IL</v>
      </c>
      <c r="E1416" s="77">
        <f>IFERROR(__xludf.DUMMYFUNCTION("""COMPUTED_VALUE"""),8.0)</f>
        <v>8</v>
      </c>
      <c r="F1416" s="77">
        <f>IFERROR(__xludf.DUMMYFUNCTION("""COMPUTED_VALUE"""),1926.0)</f>
        <v>1926</v>
      </c>
      <c r="G1416" s="77">
        <f>IFERROR(__xludf.DUMMYFUNCTION("""COMPUTED_VALUE"""),19.0)</f>
        <v>19</v>
      </c>
      <c r="H1416" s="77">
        <f>IFERROR(__xludf.DUMMYFUNCTION("""COMPUTED_VALUE"""),20.0)</f>
        <v>20</v>
      </c>
      <c r="I1416" s="77">
        <f>IFERROR(__xludf.DUMMYFUNCTION("""COMPUTED_VALUE"""),100.0)</f>
        <v>100</v>
      </c>
      <c r="J1416" s="73"/>
      <c r="K1416" s="73"/>
      <c r="L1416" s="73"/>
      <c r="M1416" s="77">
        <f>IFERROR(__xludf.DUMMYFUNCTION("""COMPUTED_VALUE"""),0.1)</f>
        <v>0.1</v>
      </c>
      <c r="N1416" s="77">
        <f>IFERROR(__xludf.DUMMYFUNCTION("""COMPUTED_VALUE"""),1.0)</f>
        <v>1</v>
      </c>
      <c r="O1416" s="49"/>
      <c r="P1416" s="49" t="str">
        <f>IFERROR(__xludf.DUMMYFUNCTION("""COMPUTED_VALUE"""),"Offset")</f>
        <v>Offset</v>
      </c>
      <c r="Q1416" s="49" t="str">
        <f>IFERROR(__xludf.DUMMYFUNCTION("""COMPUTED_VALUE"""),"Packaging")</f>
        <v>Packaging</v>
      </c>
      <c r="R1416" s="49" t="str">
        <f>IFERROR(__xludf.DUMMYFUNCTION("""COMPUTED_VALUE"""),"FMCG")</f>
        <v>FMCG</v>
      </c>
    </row>
    <row r="1417">
      <c r="A1417" s="156" t="str">
        <f>IFERROR(__xludf.DUMMYFUNCTION("""COMPUTED_VALUE"""),"https://drive.google.com/open?id=105StM7fEz3AmzSeuDlFDOc-v4xInN2Ze&amp;authuser=jay.agg%40gmail.com&amp;usp=drive_fs")</f>
        <v>https://drive.google.com/open?id=105StM7fEz3AmzSeuDlFDOc-v4xInN2Ze&amp;authuser=jay.agg%40gmail.com&amp;usp=drive_fs</v>
      </c>
      <c r="B1417" s="73" t="str">
        <f>IFERROR(__xludf.DUMMYFUNCTION("""COMPUTED_VALUE"""),"Masala")</f>
        <v>Masala</v>
      </c>
      <c r="C1417" s="73" t="str">
        <f>IFERROR(__xludf.DUMMYFUNCTION("""COMPUTED_VALUE"""),"Masala 100gram")</f>
        <v>Masala 100gram</v>
      </c>
      <c r="D1417" s="73" t="str">
        <f>IFERROR(__xludf.DUMMYFUNCTION("""COMPUTED_VALUE"""),"90*30*120 mm")</f>
        <v>90*30*120 mm</v>
      </c>
      <c r="E1417" s="77">
        <f>IFERROR(__xludf.DUMMYFUNCTION("""COMPUTED_VALUE"""),4.0)</f>
        <v>4</v>
      </c>
      <c r="F1417" s="77">
        <f>IFERROR(__xludf.DUMMYFUNCTION("""COMPUTED_VALUE"""),1926.0)</f>
        <v>1926</v>
      </c>
      <c r="G1417" s="77">
        <f>IFERROR(__xludf.DUMMYFUNCTION("""COMPUTED_VALUE"""),15.0)</f>
        <v>15</v>
      </c>
      <c r="H1417" s="77">
        <f>IFERROR(__xludf.DUMMYFUNCTION("""COMPUTED_VALUE"""),20.0)</f>
        <v>20</v>
      </c>
      <c r="I1417" s="77">
        <f>IFERROR(__xludf.DUMMYFUNCTION("""COMPUTED_VALUE"""),100.0)</f>
        <v>100</v>
      </c>
      <c r="J1417" s="73"/>
      <c r="K1417" s="73"/>
      <c r="L1417" s="73"/>
      <c r="M1417" s="77">
        <f>IFERROR(__xludf.DUMMYFUNCTION("""COMPUTED_VALUE"""),0.1)</f>
        <v>0.1</v>
      </c>
      <c r="N1417" s="77">
        <f>IFERROR(__xludf.DUMMYFUNCTION("""COMPUTED_VALUE"""),1.0)</f>
        <v>1</v>
      </c>
      <c r="O1417" s="49"/>
      <c r="P1417" s="49" t="str">
        <f>IFERROR(__xludf.DUMMYFUNCTION("""COMPUTED_VALUE"""),"Offset")</f>
        <v>Offset</v>
      </c>
      <c r="Q1417" s="49" t="str">
        <f>IFERROR(__xludf.DUMMYFUNCTION("""COMPUTED_VALUE"""),"Packaging")</f>
        <v>Packaging</v>
      </c>
      <c r="R1417" s="49" t="str">
        <f>IFERROR(__xludf.DUMMYFUNCTION("""COMPUTED_VALUE"""),"Masala")</f>
        <v>Masala</v>
      </c>
    </row>
    <row r="1418">
      <c r="A1418" s="156" t="str">
        <f>IFERROR(__xludf.DUMMYFUNCTION("""COMPUTED_VALUE"""),"https://drive.google.com/open?id=141oIVeUiNoWB_WfLvkNL-rZQGBKqcP26&amp;authuser=jay.agg%40gmail.com&amp;usp=drive_fs")</f>
        <v>https://drive.google.com/open?id=141oIVeUiNoWB_WfLvkNL-rZQGBKqcP26&amp;authuser=jay.agg%40gmail.com&amp;usp=drive_fs</v>
      </c>
      <c r="B1418" s="73" t="str">
        <f>IFERROR(__xludf.DUMMYFUNCTION("""COMPUTED_VALUE"""),"Masala")</f>
        <v>Masala</v>
      </c>
      <c r="C1418" s="73" t="str">
        <f>IFERROR(__xludf.DUMMYFUNCTION("""COMPUTED_VALUE"""),"Masala 200gram")</f>
        <v>Masala 200gram</v>
      </c>
      <c r="D1418" s="73" t="str">
        <f>IFERROR(__xludf.DUMMYFUNCTION("""COMPUTED_VALUE"""),"114*23*165 mm | 4.5*0.93*6.5 inch")</f>
        <v>114*23*165 mm | 4.5*0.93*6.5 inch</v>
      </c>
      <c r="E1418" s="77">
        <f>IFERROR(__xludf.DUMMYFUNCTION("""COMPUTED_VALUE"""),4.0)</f>
        <v>4</v>
      </c>
      <c r="F1418" s="77">
        <f>IFERROR(__xludf.DUMMYFUNCTION("""COMPUTED_VALUE"""),1926.0)</f>
        <v>1926</v>
      </c>
      <c r="G1418" s="77">
        <f>IFERROR(__xludf.DUMMYFUNCTION("""COMPUTED_VALUE"""),18.0)</f>
        <v>18</v>
      </c>
      <c r="H1418" s="77">
        <f>IFERROR(__xludf.DUMMYFUNCTION("""COMPUTED_VALUE"""),23.0)</f>
        <v>23</v>
      </c>
      <c r="I1418" s="77">
        <f>IFERROR(__xludf.DUMMYFUNCTION("""COMPUTED_VALUE"""),100.0)</f>
        <v>100</v>
      </c>
      <c r="J1418" s="73"/>
      <c r="K1418" s="73"/>
      <c r="L1418" s="73"/>
      <c r="M1418" s="77">
        <f>IFERROR(__xludf.DUMMYFUNCTION("""COMPUTED_VALUE"""),0.1)</f>
        <v>0.1</v>
      </c>
      <c r="N1418" s="77">
        <f>IFERROR(__xludf.DUMMYFUNCTION("""COMPUTED_VALUE"""),1.0)</f>
        <v>1</v>
      </c>
      <c r="O1418" s="49"/>
      <c r="P1418" s="49" t="str">
        <f>IFERROR(__xludf.DUMMYFUNCTION("""COMPUTED_VALUE"""),"Offset")</f>
        <v>Offset</v>
      </c>
      <c r="Q1418" s="49" t="str">
        <f>IFERROR(__xludf.DUMMYFUNCTION("""COMPUTED_VALUE"""),"Packaging")</f>
        <v>Packaging</v>
      </c>
      <c r="R1418" s="49" t="str">
        <f>IFERROR(__xludf.DUMMYFUNCTION("""COMPUTED_VALUE"""),"Masala")</f>
        <v>Masala</v>
      </c>
    </row>
    <row r="1419">
      <c r="A1419" s="156" t="str">
        <f>IFERROR(__xludf.DUMMYFUNCTION("""COMPUTED_VALUE"""),"https://drive.google.com/open?id=1Zjc3xaBCdOHc_zScVwjyT21isWWbA0Rc&amp;authuser=jay.agg%40gmail.com&amp;usp=drive_fs")</f>
        <v>https://drive.google.com/open?id=1Zjc3xaBCdOHc_zScVwjyT21isWWbA0Rc&amp;authuser=jay.agg%40gmail.com&amp;usp=drive_fs</v>
      </c>
      <c r="B1419" s="73" t="str">
        <f>IFERROR(__xludf.DUMMYFUNCTION("""COMPUTED_VALUE"""),"Masala")</f>
        <v>Masala</v>
      </c>
      <c r="C1419" s="73" t="str">
        <f>IFERROR(__xludf.DUMMYFUNCTION("""COMPUTED_VALUE"""),"Masala 100gram")</f>
        <v>Masala 100gram</v>
      </c>
      <c r="D1419" s="73" t="str">
        <f>IFERROR(__xludf.DUMMYFUNCTION("""COMPUTED_VALUE"""),"84*30*137 mm | 3.3*1.2*5.4 inch Flap")</f>
        <v>84*30*137 mm | 3.3*1.2*5.4 inch Flap</v>
      </c>
      <c r="E1419" s="77">
        <f>IFERROR(__xludf.DUMMYFUNCTION("""COMPUTED_VALUE"""),6.0)</f>
        <v>6</v>
      </c>
      <c r="F1419" s="77">
        <f>IFERROR(__xludf.DUMMYFUNCTION("""COMPUTED_VALUE"""),2029.0)</f>
        <v>2029</v>
      </c>
      <c r="G1419" s="77">
        <f>IFERROR(__xludf.DUMMYFUNCTION("""COMPUTED_VALUE"""),20.0)</f>
        <v>20</v>
      </c>
      <c r="H1419" s="77">
        <f>IFERROR(__xludf.DUMMYFUNCTION("""COMPUTED_VALUE"""),24.0)</f>
        <v>24</v>
      </c>
      <c r="I1419" s="77">
        <f>IFERROR(__xludf.DUMMYFUNCTION("""COMPUTED_VALUE"""),100.0)</f>
        <v>100</v>
      </c>
      <c r="J1419" s="73"/>
      <c r="K1419" s="73"/>
      <c r="L1419" s="73"/>
      <c r="M1419" s="77">
        <f>IFERROR(__xludf.DUMMYFUNCTION("""COMPUTED_VALUE"""),0.1)</f>
        <v>0.1</v>
      </c>
      <c r="N1419" s="77">
        <f>IFERROR(__xludf.DUMMYFUNCTION("""COMPUTED_VALUE"""),1.0)</f>
        <v>1</v>
      </c>
      <c r="O1419" s="49"/>
      <c r="P1419" s="49" t="str">
        <f>IFERROR(__xludf.DUMMYFUNCTION("""COMPUTED_VALUE"""),"Offset")</f>
        <v>Offset</v>
      </c>
      <c r="Q1419" s="49" t="str">
        <f>IFERROR(__xludf.DUMMYFUNCTION("""COMPUTED_VALUE"""),"Packaging")</f>
        <v>Packaging</v>
      </c>
      <c r="R1419" s="49" t="str">
        <f>IFERROR(__xludf.DUMMYFUNCTION("""COMPUTED_VALUE"""),"Masala")</f>
        <v>Masala</v>
      </c>
    </row>
    <row r="1420">
      <c r="A1420" s="156" t="str">
        <f>IFERROR(__xludf.DUMMYFUNCTION("""COMPUTED_VALUE"""),"https://drive.google.com/open?id=17PfmHbqXPW57kD76wYBtBoZU1jlTlB6w&amp;authuser=jay.agg%40gmail.com&amp;usp=drive_fs")</f>
        <v>https://drive.google.com/open?id=17PfmHbqXPW57kD76wYBtBoZU1jlTlB6w&amp;authuser=jay.agg%40gmail.com&amp;usp=drive_fs</v>
      </c>
      <c r="B1420" s="73" t="str">
        <f>IFERROR(__xludf.DUMMYFUNCTION("""COMPUTED_VALUE"""),"Masala")</f>
        <v>Masala</v>
      </c>
      <c r="C1420" s="73" t="str">
        <f>IFERROR(__xludf.DUMMYFUNCTION("""COMPUTED_VALUE"""),"Masala 100gram")</f>
        <v>Masala 100gram</v>
      </c>
      <c r="D1420" s="73" t="str">
        <f>IFERROR(__xludf.DUMMYFUNCTION("""COMPUTED_VALUE"""),"84*30*137 mm | 3.3*1.2*5.4 inch Pasting")</f>
        <v>84*30*137 mm | 3.3*1.2*5.4 inch Pasting</v>
      </c>
      <c r="E1420" s="77">
        <f>IFERROR(__xludf.DUMMYFUNCTION("""COMPUTED_VALUE"""),6.0)</f>
        <v>6</v>
      </c>
      <c r="F1420" s="77">
        <f>IFERROR(__xludf.DUMMYFUNCTION("""COMPUTED_VALUE"""),2029.0)</f>
        <v>2029</v>
      </c>
      <c r="G1420" s="77">
        <f>IFERROR(__xludf.DUMMYFUNCTION("""COMPUTED_VALUE"""),19.5)</f>
        <v>19.5</v>
      </c>
      <c r="H1420" s="77">
        <f>IFERROR(__xludf.DUMMYFUNCTION("""COMPUTED_VALUE"""),23.0)</f>
        <v>23</v>
      </c>
      <c r="I1420" s="77">
        <f>IFERROR(__xludf.DUMMYFUNCTION("""COMPUTED_VALUE"""),100.0)</f>
        <v>100</v>
      </c>
      <c r="J1420" s="73"/>
      <c r="K1420" s="73"/>
      <c r="L1420" s="73"/>
      <c r="M1420" s="77">
        <f>IFERROR(__xludf.DUMMYFUNCTION("""COMPUTED_VALUE"""),0.1)</f>
        <v>0.1</v>
      </c>
      <c r="N1420" s="77">
        <f>IFERROR(__xludf.DUMMYFUNCTION("""COMPUTED_VALUE"""),1.0)</f>
        <v>1</v>
      </c>
      <c r="O1420" s="49"/>
      <c r="P1420" s="49" t="str">
        <f>IFERROR(__xludf.DUMMYFUNCTION("""COMPUTED_VALUE"""),"Offset")</f>
        <v>Offset</v>
      </c>
      <c r="Q1420" s="49" t="str">
        <f>IFERROR(__xludf.DUMMYFUNCTION("""COMPUTED_VALUE"""),"Packaging")</f>
        <v>Packaging</v>
      </c>
      <c r="R1420" s="49" t="str">
        <f>IFERROR(__xludf.DUMMYFUNCTION("""COMPUTED_VALUE"""),"Masala")</f>
        <v>Masala</v>
      </c>
    </row>
    <row r="1421">
      <c r="A1421" s="156" t="str">
        <f>IFERROR(__xludf.DUMMYFUNCTION("""COMPUTED_VALUE"""),"https://drive.google.com/open?id=11YBPhqbDo1xylx7YiuA9BXpOO6SA_fLe&amp;authuser=jay.agg%40gmail.com&amp;usp=drive_fs")</f>
        <v>https://drive.google.com/open?id=11YBPhqbDo1xylx7YiuA9BXpOO6SA_fLe&amp;authuser=jay.agg%40gmail.com&amp;usp=drive_fs</v>
      </c>
      <c r="B1421" s="73" t="str">
        <f>IFERROR(__xludf.DUMMYFUNCTION("""COMPUTED_VALUE"""),"Masala")</f>
        <v>Masala</v>
      </c>
      <c r="C1421" s="73" t="str">
        <f>IFERROR(__xludf.DUMMYFUNCTION("""COMPUTED_VALUE"""),"Misc")</f>
        <v>Misc</v>
      </c>
      <c r="D1421" s="73" t="str">
        <f>IFERROR(__xludf.DUMMYFUNCTION("""COMPUTED_VALUE"""),"40*15*60 mm | 1.5*0.6*2.4 inch")</f>
        <v>40*15*60 mm | 1.5*0.6*2.4 inch</v>
      </c>
      <c r="E1421" s="77">
        <f>IFERROR(__xludf.DUMMYFUNCTION("""COMPUTED_VALUE"""),16.0)</f>
        <v>16</v>
      </c>
      <c r="F1421" s="77">
        <f>IFERROR(__xludf.DUMMYFUNCTION("""COMPUTED_VALUE"""),1926.0)</f>
        <v>1926</v>
      </c>
      <c r="G1421" s="77">
        <f>IFERROR(__xludf.DUMMYFUNCTION("""COMPUTED_VALUE"""),15.75)</f>
        <v>15.75</v>
      </c>
      <c r="H1421" s="77">
        <f>IFERROR(__xludf.DUMMYFUNCTION("""COMPUTED_VALUE"""),20.75)</f>
        <v>20.75</v>
      </c>
      <c r="I1421" s="77">
        <f>IFERROR(__xludf.DUMMYFUNCTION("""COMPUTED_VALUE"""),100.0)</f>
        <v>100</v>
      </c>
      <c r="J1421" s="73"/>
      <c r="K1421" s="73"/>
      <c r="L1421" s="73"/>
      <c r="M1421" s="77">
        <f>IFERROR(__xludf.DUMMYFUNCTION("""COMPUTED_VALUE"""),0.1)</f>
        <v>0.1</v>
      </c>
      <c r="N1421" s="77">
        <f>IFERROR(__xludf.DUMMYFUNCTION("""COMPUTED_VALUE"""),1.0)</f>
        <v>1</v>
      </c>
      <c r="O1421" s="49"/>
      <c r="P1421" s="49" t="str">
        <f>IFERROR(__xludf.DUMMYFUNCTION("""COMPUTED_VALUE"""),"Offset")</f>
        <v>Offset</v>
      </c>
      <c r="Q1421" s="49" t="str">
        <f>IFERROR(__xludf.DUMMYFUNCTION("""COMPUTED_VALUE"""),"Packaging")</f>
        <v>Packaging</v>
      </c>
      <c r="R1421" s="49" t="str">
        <f>IFERROR(__xludf.DUMMYFUNCTION("""COMPUTED_VALUE"""),"Masala")</f>
        <v>Masala</v>
      </c>
    </row>
    <row r="1422">
      <c r="A1422" s="156" t="str">
        <f>IFERROR(__xludf.DUMMYFUNCTION("""COMPUTED_VALUE"""),"https://drive.google.com/open?id=11dsT6jKL9johPKupLuyWttMlSTkXRooL&amp;authuser=jay.agg%40gmail.com&amp;usp=drive_fs")</f>
        <v>https://drive.google.com/open?id=11dsT6jKL9johPKupLuyWttMlSTkXRooL&amp;authuser=jay.agg%40gmail.com&amp;usp=drive_fs</v>
      </c>
      <c r="B1422" s="73" t="str">
        <f>IFERROR(__xludf.DUMMYFUNCTION("""COMPUTED_VALUE"""),"Masala")</f>
        <v>Masala</v>
      </c>
      <c r="C1422" s="73" t="str">
        <f>IFERROR(__xludf.DUMMYFUNCTION("""COMPUTED_VALUE"""),"Masala 100gram")</f>
        <v>Masala 100gram</v>
      </c>
      <c r="D1422" s="73" t="str">
        <f>IFERROR(__xludf.DUMMYFUNCTION("""COMPUTED_VALUE"""),"90*30*130 mm | 3.5*1.2*5.2 inch")</f>
        <v>90*30*130 mm | 3.5*1.2*5.2 inch</v>
      </c>
      <c r="E1422" s="77">
        <f>IFERROR(__xludf.DUMMYFUNCTION("""COMPUTED_VALUE"""),4.0)</f>
        <v>4</v>
      </c>
      <c r="F1422" s="77">
        <f>IFERROR(__xludf.DUMMYFUNCTION("""COMPUTED_VALUE"""),1926.0)</f>
        <v>1926</v>
      </c>
      <c r="G1422" s="77">
        <f>IFERROR(__xludf.DUMMYFUNCTION("""COMPUTED_VALUE"""),15.75)</f>
        <v>15.75</v>
      </c>
      <c r="H1422" s="77">
        <f>IFERROR(__xludf.DUMMYFUNCTION("""COMPUTED_VALUE"""),20.75)</f>
        <v>20.75</v>
      </c>
      <c r="I1422" s="77">
        <f>IFERROR(__xludf.DUMMYFUNCTION("""COMPUTED_VALUE"""),100.0)</f>
        <v>100</v>
      </c>
      <c r="J1422" s="73"/>
      <c r="K1422" s="73"/>
      <c r="L1422" s="73"/>
      <c r="M1422" s="77">
        <f>IFERROR(__xludf.DUMMYFUNCTION("""COMPUTED_VALUE"""),0.1)</f>
        <v>0.1</v>
      </c>
      <c r="N1422" s="77">
        <f>IFERROR(__xludf.DUMMYFUNCTION("""COMPUTED_VALUE"""),1.0)</f>
        <v>1</v>
      </c>
      <c r="O1422" s="49"/>
      <c r="P1422" s="49" t="str">
        <f>IFERROR(__xludf.DUMMYFUNCTION("""COMPUTED_VALUE"""),"Offset")</f>
        <v>Offset</v>
      </c>
      <c r="Q1422" s="49" t="str">
        <f>IFERROR(__xludf.DUMMYFUNCTION("""COMPUTED_VALUE"""),"Packaging")</f>
        <v>Packaging</v>
      </c>
      <c r="R1422" s="49" t="str">
        <f>IFERROR(__xludf.DUMMYFUNCTION("""COMPUTED_VALUE"""),"Masala")</f>
        <v>Masala</v>
      </c>
    </row>
    <row r="1423">
      <c r="A1423" s="156" t="str">
        <f>IFERROR(__xludf.DUMMYFUNCTION("""COMPUTED_VALUE"""),"https://drive.google.com/open?id=167fUUtmSeq23sd65lDAYooWQ1iqnq867&amp;authuser=jay.agg%40gmail.com&amp;usp=drive_fs")</f>
        <v>https://drive.google.com/open?id=167fUUtmSeq23sd65lDAYooWQ1iqnq867&amp;authuser=jay.agg%40gmail.com&amp;usp=drive_fs</v>
      </c>
      <c r="B1423" s="73" t="str">
        <f>IFERROR(__xludf.DUMMYFUNCTION("""COMPUTED_VALUE"""),"Masala")</f>
        <v>Masala</v>
      </c>
      <c r="C1423" s="73" t="str">
        <f>IFERROR(__xludf.DUMMYFUNCTION("""COMPUTED_VALUE"""),"Meethi")</f>
        <v>Meethi</v>
      </c>
      <c r="D1423" s="73" t="str">
        <f>IFERROR(__xludf.DUMMYFUNCTION("""COMPUTED_VALUE"""),"165*38*203 mm | 6.5*1.5*8 inch")</f>
        <v>165*38*203 mm | 6.5*1.5*8 inch</v>
      </c>
      <c r="E1423" s="77">
        <f>IFERROR(__xludf.DUMMYFUNCTION("""COMPUTED_VALUE"""),2.0)</f>
        <v>2</v>
      </c>
      <c r="F1423" s="77">
        <f>IFERROR(__xludf.DUMMYFUNCTION("""COMPUTED_VALUE"""),2029.0)</f>
        <v>2029</v>
      </c>
      <c r="G1423" s="77">
        <f>IFERROR(__xludf.DUMMYFUNCTION("""COMPUTED_VALUE"""),18.0)</f>
        <v>18</v>
      </c>
      <c r="H1423" s="77">
        <f>IFERROR(__xludf.DUMMYFUNCTION("""COMPUTED_VALUE"""),23.0)</f>
        <v>23</v>
      </c>
      <c r="I1423" s="77">
        <f>IFERROR(__xludf.DUMMYFUNCTION("""COMPUTED_VALUE"""),100.0)</f>
        <v>100</v>
      </c>
      <c r="J1423" s="73"/>
      <c r="K1423" s="73"/>
      <c r="L1423" s="73"/>
      <c r="M1423" s="77">
        <f>IFERROR(__xludf.DUMMYFUNCTION("""COMPUTED_VALUE"""),0.1)</f>
        <v>0.1</v>
      </c>
      <c r="N1423" s="77">
        <f>IFERROR(__xludf.DUMMYFUNCTION("""COMPUTED_VALUE"""),1.0)</f>
        <v>1</v>
      </c>
      <c r="O1423" s="49"/>
      <c r="P1423" s="49" t="str">
        <f>IFERROR(__xludf.DUMMYFUNCTION("""COMPUTED_VALUE"""),"Offset")</f>
        <v>Offset</v>
      </c>
      <c r="Q1423" s="49" t="str">
        <f>IFERROR(__xludf.DUMMYFUNCTION("""COMPUTED_VALUE"""),"Packaging")</f>
        <v>Packaging</v>
      </c>
      <c r="R1423" s="49" t="str">
        <f>IFERROR(__xludf.DUMMYFUNCTION("""COMPUTED_VALUE"""),"Masala")</f>
        <v>Masala</v>
      </c>
    </row>
    <row r="1424">
      <c r="A1424" s="156" t="str">
        <f>IFERROR(__xludf.DUMMYFUNCTION("""COMPUTED_VALUE"""),"https://drive.google.com/open?id=168VCd14-RDlLkB43ncJuLgyav9N6JDs2&amp;authuser=jay.agg%40gmail.com&amp;usp=drive_fs")</f>
        <v>https://drive.google.com/open?id=168VCd14-RDlLkB43ncJuLgyav9N6JDs2&amp;authuser=jay.agg%40gmail.com&amp;usp=drive_fs</v>
      </c>
      <c r="B1424" s="73" t="str">
        <f>IFERROR(__xludf.DUMMYFUNCTION("""COMPUTED_VALUE"""),"Masala")</f>
        <v>Masala</v>
      </c>
      <c r="C1424" s="73" t="str">
        <f>IFERROR(__xludf.DUMMYFUNCTION("""COMPUTED_VALUE"""),"Soya 200gram")</f>
        <v>Soya 200gram</v>
      </c>
      <c r="D1424" s="73" t="str">
        <f>IFERROR(__xludf.DUMMYFUNCTION("""COMPUTED_VALUE"""),"127*59*199 mm | 5*2.3*7.9 inch")</f>
        <v>127*59*199 mm | 5*2.3*7.9 inch</v>
      </c>
      <c r="E1424" s="77">
        <f>IFERROR(__xludf.DUMMYFUNCTION("""COMPUTED_VALUE"""),2.0)</f>
        <v>2</v>
      </c>
      <c r="F1424" s="77">
        <f>IFERROR(__xludf.DUMMYFUNCTION("""COMPUTED_VALUE"""),2029.0)</f>
        <v>2029</v>
      </c>
      <c r="G1424" s="77">
        <f>IFERROR(__xludf.DUMMYFUNCTION("""COMPUTED_VALUE"""),18.0)</f>
        <v>18</v>
      </c>
      <c r="H1424" s="77">
        <f>IFERROR(__xludf.DUMMYFUNCTION("""COMPUTED_VALUE"""),25.0)</f>
        <v>25</v>
      </c>
      <c r="I1424" s="77">
        <f>IFERROR(__xludf.DUMMYFUNCTION("""COMPUTED_VALUE"""),100.0)</f>
        <v>100</v>
      </c>
      <c r="J1424" s="73"/>
      <c r="K1424" s="73"/>
      <c r="L1424" s="73"/>
      <c r="M1424" s="77">
        <f>IFERROR(__xludf.DUMMYFUNCTION("""COMPUTED_VALUE"""),0.1)</f>
        <v>0.1</v>
      </c>
      <c r="N1424" s="77">
        <f>IFERROR(__xludf.DUMMYFUNCTION("""COMPUTED_VALUE"""),1.0)</f>
        <v>1</v>
      </c>
      <c r="O1424" s="49"/>
      <c r="P1424" s="49" t="str">
        <f>IFERROR(__xludf.DUMMYFUNCTION("""COMPUTED_VALUE"""),"Offset")</f>
        <v>Offset</v>
      </c>
      <c r="Q1424" s="49" t="str">
        <f>IFERROR(__xludf.DUMMYFUNCTION("""COMPUTED_VALUE"""),"Packaging")</f>
        <v>Packaging</v>
      </c>
      <c r="R1424" s="49" t="str">
        <f>IFERROR(__xludf.DUMMYFUNCTION("""COMPUTED_VALUE"""),"Masala")</f>
        <v>Masala</v>
      </c>
    </row>
    <row r="1425">
      <c r="A1425" s="156" t="str">
        <f>IFERROR(__xludf.DUMMYFUNCTION("""COMPUTED_VALUE"""),"https://drive.google.com/open?id=1PArW7fsm9IdhFjF8c4gTSKIhQ6XDTGgR&amp;authuser=jay.agg%40gmail.com&amp;usp=drive_fs")</f>
        <v>https://drive.google.com/open?id=1PArW7fsm9IdhFjF8c4gTSKIhQ6XDTGgR&amp;authuser=jay.agg%40gmail.com&amp;usp=drive_fs</v>
      </c>
      <c r="B1425" s="73" t="str">
        <f>IFERROR(__xludf.DUMMYFUNCTION("""COMPUTED_VALUE"""),"Masala")</f>
        <v>Masala</v>
      </c>
      <c r="C1425" s="73" t="str">
        <f>IFERROR(__xludf.DUMMYFUNCTION("""COMPUTED_VALUE"""),"Masala 15gram")</f>
        <v>Masala 15gram</v>
      </c>
      <c r="D1425" s="73" t="str">
        <f>IFERROR(__xludf.DUMMYFUNCTION("""COMPUTED_VALUE"""),"65*25*102 mm | 2.5*1*4 inch")</f>
        <v>65*25*102 mm | 2.5*1*4 inch</v>
      </c>
      <c r="E1425" s="77">
        <f>IFERROR(__xludf.DUMMYFUNCTION("""COMPUTED_VALUE"""),9.0)</f>
        <v>9</v>
      </c>
      <c r="F1425" s="77">
        <f>IFERROR(__xludf.DUMMYFUNCTION("""COMPUTED_VALUE"""),2029.0)</f>
        <v>2029</v>
      </c>
      <c r="G1425" s="77">
        <f>IFERROR(__xludf.DUMMYFUNCTION("""COMPUTED_VALUE"""),18.0)</f>
        <v>18</v>
      </c>
      <c r="H1425" s="77">
        <f>IFERROR(__xludf.DUMMYFUNCTION("""COMPUTED_VALUE"""),23.0)</f>
        <v>23</v>
      </c>
      <c r="I1425" s="77">
        <f>IFERROR(__xludf.DUMMYFUNCTION("""COMPUTED_VALUE"""),100.0)</f>
        <v>100</v>
      </c>
      <c r="J1425" s="73"/>
      <c r="K1425" s="73"/>
      <c r="L1425" s="73"/>
      <c r="M1425" s="77">
        <f>IFERROR(__xludf.DUMMYFUNCTION("""COMPUTED_VALUE"""),0.1)</f>
        <v>0.1</v>
      </c>
      <c r="N1425" s="77">
        <f>IFERROR(__xludf.DUMMYFUNCTION("""COMPUTED_VALUE"""),1.0)</f>
        <v>1</v>
      </c>
      <c r="O1425" s="49"/>
      <c r="P1425" s="49" t="str">
        <f>IFERROR(__xludf.DUMMYFUNCTION("""COMPUTED_VALUE"""),"Offset")</f>
        <v>Offset</v>
      </c>
      <c r="Q1425" s="49" t="str">
        <f>IFERROR(__xludf.DUMMYFUNCTION("""COMPUTED_VALUE"""),"Packaging")</f>
        <v>Packaging</v>
      </c>
      <c r="R1425" s="49" t="str">
        <f>IFERROR(__xludf.DUMMYFUNCTION("""COMPUTED_VALUE"""),"Masala")</f>
        <v>Masala</v>
      </c>
    </row>
    <row r="1426">
      <c r="A1426" s="156" t="str">
        <f>IFERROR(__xludf.DUMMYFUNCTION("""COMPUTED_VALUE"""),"https://drive.google.com/open?id=1E4xU_4pSofJDeUzgsCTQrv8es69ZLbZS&amp;authuser=jay.agg%40gmail.com&amp;usp=drive_fs")</f>
        <v>https://drive.google.com/open?id=1E4xU_4pSofJDeUzgsCTQrv8es69ZLbZS&amp;authuser=jay.agg%40gmail.com&amp;usp=drive_fs</v>
      </c>
      <c r="B1426" s="73" t="str">
        <f>IFERROR(__xludf.DUMMYFUNCTION("""COMPUTED_VALUE"""),"Masala")</f>
        <v>Masala</v>
      </c>
      <c r="C1426" s="73" t="str">
        <f>IFERROR(__xludf.DUMMYFUNCTION("""COMPUTED_VALUE"""),"Masala 100gram")</f>
        <v>Masala 100gram</v>
      </c>
      <c r="D1426" s="73" t="str">
        <f>IFERROR(__xludf.DUMMYFUNCTION("""COMPUTED_VALUE"""),"90*32*130 mm | 3.5*1.26*5.1 inch")</f>
        <v>90*32*130 mm | 3.5*1.26*5.1 inch</v>
      </c>
      <c r="E1426" s="77">
        <f>IFERROR(__xludf.DUMMYFUNCTION("""COMPUTED_VALUE"""),4.0)</f>
        <v>4</v>
      </c>
      <c r="F1426" s="77">
        <f>IFERROR(__xludf.DUMMYFUNCTION("""COMPUTED_VALUE"""),1926.0)</f>
        <v>1926</v>
      </c>
      <c r="G1426" s="77">
        <f>IFERROR(__xludf.DUMMYFUNCTION("""COMPUTED_VALUE"""),15.75)</f>
        <v>15.75</v>
      </c>
      <c r="H1426" s="77">
        <f>IFERROR(__xludf.DUMMYFUNCTION("""COMPUTED_VALUE"""),20.75)</f>
        <v>20.75</v>
      </c>
      <c r="I1426" s="77">
        <f>IFERROR(__xludf.DUMMYFUNCTION("""COMPUTED_VALUE"""),100.0)</f>
        <v>100</v>
      </c>
      <c r="J1426" s="73"/>
      <c r="K1426" s="73"/>
      <c r="L1426" s="73"/>
      <c r="M1426" s="77">
        <f>IFERROR(__xludf.DUMMYFUNCTION("""COMPUTED_VALUE"""),0.1)</f>
        <v>0.1</v>
      </c>
      <c r="N1426" s="77">
        <f>IFERROR(__xludf.DUMMYFUNCTION("""COMPUTED_VALUE"""),1.0)</f>
        <v>1</v>
      </c>
      <c r="O1426" s="49"/>
      <c r="P1426" s="49" t="str">
        <f>IFERROR(__xludf.DUMMYFUNCTION("""COMPUTED_VALUE"""),"Offset")</f>
        <v>Offset</v>
      </c>
      <c r="Q1426" s="49" t="str">
        <f>IFERROR(__xludf.DUMMYFUNCTION("""COMPUTED_VALUE"""),"Packaging")</f>
        <v>Packaging</v>
      </c>
      <c r="R1426" s="49" t="str">
        <f>IFERROR(__xludf.DUMMYFUNCTION("""COMPUTED_VALUE"""),"Masala")</f>
        <v>Masala</v>
      </c>
    </row>
    <row r="1427">
      <c r="A1427" s="156" t="str">
        <f>IFERROR(__xludf.DUMMYFUNCTION("""COMPUTED_VALUE"""),"https://drive.google.com/open?id=1E5a_mAgnD2j36mvrb7J5c7cYH1Npmgly&amp;authuser=jay.agg%40gmail.com&amp;usp=drive_fs")</f>
        <v>https://drive.google.com/open?id=1E5a_mAgnD2j36mvrb7J5c7cYH1Npmgly&amp;authuser=jay.agg%40gmail.com&amp;usp=drive_fs</v>
      </c>
      <c r="B1427" s="73" t="str">
        <f>IFERROR(__xludf.DUMMYFUNCTION("""COMPUTED_VALUE"""),"Masala")</f>
        <v>Masala</v>
      </c>
      <c r="C1427" s="73" t="str">
        <f>IFERROR(__xludf.DUMMYFUNCTION("""COMPUTED_VALUE"""),"Masala 200+50gram")</f>
        <v>Masala 200+50gram</v>
      </c>
      <c r="D1427" s="73" t="str">
        <f>IFERROR(__xludf.DUMMYFUNCTION("""COMPUTED_VALUE"""),"102*20*152 mm | 4*0.8*6 inch")</f>
        <v>102*20*152 mm | 4*0.8*6 inch</v>
      </c>
      <c r="E1427" s="77">
        <f>IFERROR(__xludf.DUMMYFUNCTION("""COMPUTED_VALUE"""),4.0)</f>
        <v>4</v>
      </c>
      <c r="F1427" s="77">
        <f>IFERROR(__xludf.DUMMYFUNCTION("""COMPUTED_VALUE"""),1926.0)</f>
        <v>1926</v>
      </c>
      <c r="G1427" s="77">
        <f>IFERROR(__xludf.DUMMYFUNCTION("""COMPUTED_VALUE"""),15.75)</f>
        <v>15.75</v>
      </c>
      <c r="H1427" s="77">
        <f>IFERROR(__xludf.DUMMYFUNCTION("""COMPUTED_VALUE"""),20.75)</f>
        <v>20.75</v>
      </c>
      <c r="I1427" s="77">
        <f>IFERROR(__xludf.DUMMYFUNCTION("""COMPUTED_VALUE"""),100.0)</f>
        <v>100</v>
      </c>
      <c r="J1427" s="73"/>
      <c r="K1427" s="73"/>
      <c r="L1427" s="73"/>
      <c r="M1427" s="77">
        <f>IFERROR(__xludf.DUMMYFUNCTION("""COMPUTED_VALUE"""),0.1)</f>
        <v>0.1</v>
      </c>
      <c r="N1427" s="77">
        <f>IFERROR(__xludf.DUMMYFUNCTION("""COMPUTED_VALUE"""),1.0)</f>
        <v>1</v>
      </c>
      <c r="O1427" s="49"/>
      <c r="P1427" s="49" t="str">
        <f>IFERROR(__xludf.DUMMYFUNCTION("""COMPUTED_VALUE"""),"Offset")</f>
        <v>Offset</v>
      </c>
      <c r="Q1427" s="49" t="str">
        <f>IFERROR(__xludf.DUMMYFUNCTION("""COMPUTED_VALUE"""),"Packaging")</f>
        <v>Packaging</v>
      </c>
      <c r="R1427" s="49" t="str">
        <f>IFERROR(__xludf.DUMMYFUNCTION("""COMPUTED_VALUE"""),"Masala")</f>
        <v>Masala</v>
      </c>
    </row>
    <row r="1428">
      <c r="A1428" s="156" t="str">
        <f>IFERROR(__xludf.DUMMYFUNCTION("""COMPUTED_VALUE"""),"https://drive.google.com/open?id=1TmnvgzSv40adgVeGhIHf_SVyQRCKYzmV&amp;authuser=jay.agg%40gmail.com&amp;usp=drive_fs")</f>
        <v>https://drive.google.com/open?id=1TmnvgzSv40adgVeGhIHf_SVyQRCKYzmV&amp;authuser=jay.agg%40gmail.com&amp;usp=drive_fs</v>
      </c>
      <c r="B1428" s="73" t="str">
        <f>IFERROR(__xludf.DUMMYFUNCTION("""COMPUTED_VALUE"""),"Masala")</f>
        <v>Masala</v>
      </c>
      <c r="C1428" s="73" t="str">
        <f>IFERROR(__xludf.DUMMYFUNCTION("""COMPUTED_VALUE"""),"Masala 25gram")</f>
        <v>Masala 25gram</v>
      </c>
      <c r="D1428" s="73" t="str">
        <f>IFERROR(__xludf.DUMMYFUNCTION("""COMPUTED_VALUE"""),"80*35*130 mm | 3.15*1.4*5.1 inch")</f>
        <v>80*35*130 mm | 3.15*1.4*5.1 inch</v>
      </c>
      <c r="E1428" s="77">
        <f>IFERROR(__xludf.DUMMYFUNCTION("""COMPUTED_VALUE"""),6.0)</f>
        <v>6</v>
      </c>
      <c r="F1428" s="77">
        <f>IFERROR(__xludf.DUMMYFUNCTION("""COMPUTED_VALUE"""),1926.0)</f>
        <v>1926</v>
      </c>
      <c r="G1428" s="77">
        <f>IFERROR(__xludf.DUMMYFUNCTION("""COMPUTED_VALUE"""),19.5)</f>
        <v>19.5</v>
      </c>
      <c r="H1428" s="77">
        <f>IFERROR(__xludf.DUMMYFUNCTION("""COMPUTED_VALUE"""),23.0)</f>
        <v>23</v>
      </c>
      <c r="I1428" s="77">
        <f>IFERROR(__xludf.DUMMYFUNCTION("""COMPUTED_VALUE"""),100.0)</f>
        <v>100</v>
      </c>
      <c r="J1428" s="73"/>
      <c r="K1428" s="73"/>
      <c r="L1428" s="73"/>
      <c r="M1428" s="77">
        <f>IFERROR(__xludf.DUMMYFUNCTION("""COMPUTED_VALUE"""),0.1)</f>
        <v>0.1</v>
      </c>
      <c r="N1428" s="77">
        <f>IFERROR(__xludf.DUMMYFUNCTION("""COMPUTED_VALUE"""),1.0)</f>
        <v>1</v>
      </c>
      <c r="O1428" s="49"/>
      <c r="P1428" s="49" t="str">
        <f>IFERROR(__xludf.DUMMYFUNCTION("""COMPUTED_VALUE"""),"Offset")</f>
        <v>Offset</v>
      </c>
      <c r="Q1428" s="49" t="str">
        <f>IFERROR(__xludf.DUMMYFUNCTION("""COMPUTED_VALUE"""),"Packaging")</f>
        <v>Packaging</v>
      </c>
      <c r="R1428" s="49" t="str">
        <f>IFERROR(__xludf.DUMMYFUNCTION("""COMPUTED_VALUE"""),"Masala")</f>
        <v>Masala</v>
      </c>
    </row>
    <row r="1429">
      <c r="A1429" s="156" t="str">
        <f>IFERROR(__xludf.DUMMYFUNCTION("""COMPUTED_VALUE"""),"https://drive.google.com/open?id=1G19gWvthfqJjVsvNWkq7DZaTG6WnFFTu&amp;authuser=jay.agg%40gmail.com&amp;usp=drive_fs")</f>
        <v>https://drive.google.com/open?id=1G19gWvthfqJjVsvNWkq7DZaTG6WnFFTu&amp;authuser=jay.agg%40gmail.com&amp;usp=drive_fs</v>
      </c>
      <c r="B1429" s="73" t="str">
        <f>IFERROR(__xludf.DUMMYFUNCTION("""COMPUTED_VALUE"""),"Masala")</f>
        <v>Masala</v>
      </c>
      <c r="C1429" s="73" t="str">
        <f>IFERROR(__xludf.DUMMYFUNCTION("""COMPUTED_VALUE"""),"Masala 100gram")</f>
        <v>Masala 100gram</v>
      </c>
      <c r="D1429" s="73" t="str">
        <f>IFERROR(__xludf.DUMMYFUNCTION("""COMPUTED_VALUE"""),"89*36*140 mm | 3.5*1.4*5.5 inch")</f>
        <v>89*36*140 mm | 3.5*1.4*5.5 inch</v>
      </c>
      <c r="E1429" s="77">
        <f>IFERROR(__xludf.DUMMYFUNCTION("""COMPUTED_VALUE"""),4.0)</f>
        <v>4</v>
      </c>
      <c r="F1429" s="77">
        <f>IFERROR(__xludf.DUMMYFUNCTION("""COMPUTED_VALUE"""),1926.0)</f>
        <v>1926</v>
      </c>
      <c r="G1429" s="77">
        <f>IFERROR(__xludf.DUMMYFUNCTION("""COMPUTED_VALUE"""),18.0)</f>
        <v>18</v>
      </c>
      <c r="H1429" s="77">
        <f>IFERROR(__xludf.DUMMYFUNCTION("""COMPUTED_VALUE"""),21.0)</f>
        <v>21</v>
      </c>
      <c r="I1429" s="77">
        <f>IFERROR(__xludf.DUMMYFUNCTION("""COMPUTED_VALUE"""),100.0)</f>
        <v>100</v>
      </c>
      <c r="J1429" s="73"/>
      <c r="K1429" s="73"/>
      <c r="L1429" s="73"/>
      <c r="M1429" s="77">
        <f>IFERROR(__xludf.DUMMYFUNCTION("""COMPUTED_VALUE"""),0.1)</f>
        <v>0.1</v>
      </c>
      <c r="N1429" s="77">
        <f>IFERROR(__xludf.DUMMYFUNCTION("""COMPUTED_VALUE"""),1.0)</f>
        <v>1</v>
      </c>
      <c r="O1429" s="49"/>
      <c r="P1429" s="49" t="str">
        <f>IFERROR(__xludf.DUMMYFUNCTION("""COMPUTED_VALUE"""),"Offset")</f>
        <v>Offset</v>
      </c>
      <c r="Q1429" s="49" t="str">
        <f>IFERROR(__xludf.DUMMYFUNCTION("""COMPUTED_VALUE"""),"Packaging")</f>
        <v>Packaging</v>
      </c>
      <c r="R1429" s="49" t="str">
        <f>IFERROR(__xludf.DUMMYFUNCTION("""COMPUTED_VALUE"""),"Masala")</f>
        <v>Masala</v>
      </c>
    </row>
    <row r="1430">
      <c r="A1430" s="156" t="str">
        <f>IFERROR(__xludf.DUMMYFUNCTION("""COMPUTED_VALUE"""),"https://drive.google.com/open?id=1ZuSpy5nITCpczDwK6TFTGtFxWJj_Ic2P&amp;authuser=jay.agg%40gmail.com&amp;usp=drive_fs")</f>
        <v>https://drive.google.com/open?id=1ZuSpy5nITCpczDwK6TFTGtFxWJj_Ic2P&amp;authuser=jay.agg%40gmail.com&amp;usp=drive_fs</v>
      </c>
      <c r="B1430" s="73" t="str">
        <f>IFERROR(__xludf.DUMMYFUNCTION("""COMPUTED_VALUE"""),"Masala")</f>
        <v>Masala</v>
      </c>
      <c r="C1430" s="73" t="str">
        <f>IFERROR(__xludf.DUMMYFUNCTION("""COMPUTED_VALUE"""),"Masala 200gram")</f>
        <v>Masala 200gram</v>
      </c>
      <c r="D1430" s="73" t="str">
        <f>IFERROR(__xludf.DUMMYFUNCTION("""COMPUTED_VALUE"""),"115*30*197 mm | 4.5*1.2*7.7 inch")</f>
        <v>115*30*197 mm | 4.5*1.2*7.7 inch</v>
      </c>
      <c r="E1430" s="77">
        <f>IFERROR(__xludf.DUMMYFUNCTION("""COMPUTED_VALUE"""),4.0)</f>
        <v>4</v>
      </c>
      <c r="F1430" s="77">
        <f>IFERROR(__xludf.DUMMYFUNCTION("""COMPUTED_VALUE"""),2029.0)</f>
        <v>2029</v>
      </c>
      <c r="G1430" s="77">
        <f>IFERROR(__xludf.DUMMYFUNCTION("""COMPUTED_VALUE"""),20.0)</f>
        <v>20</v>
      </c>
      <c r="H1430" s="77">
        <f>IFERROR(__xludf.DUMMYFUNCTION("""COMPUTED_VALUE"""),25.0)</f>
        <v>25</v>
      </c>
      <c r="I1430" s="77">
        <f>IFERROR(__xludf.DUMMYFUNCTION("""COMPUTED_VALUE"""),100.0)</f>
        <v>100</v>
      </c>
      <c r="J1430" s="73"/>
      <c r="K1430" s="73"/>
      <c r="L1430" s="73"/>
      <c r="M1430" s="77">
        <f>IFERROR(__xludf.DUMMYFUNCTION("""COMPUTED_VALUE"""),0.1)</f>
        <v>0.1</v>
      </c>
      <c r="N1430" s="77">
        <f>IFERROR(__xludf.DUMMYFUNCTION("""COMPUTED_VALUE"""),1.0)</f>
        <v>1</v>
      </c>
      <c r="O1430" s="49"/>
      <c r="P1430" s="49" t="str">
        <f>IFERROR(__xludf.DUMMYFUNCTION("""COMPUTED_VALUE"""),"Offset")</f>
        <v>Offset</v>
      </c>
      <c r="Q1430" s="49" t="str">
        <f>IFERROR(__xludf.DUMMYFUNCTION("""COMPUTED_VALUE"""),"Packaging")</f>
        <v>Packaging</v>
      </c>
      <c r="R1430" s="49" t="str">
        <f>IFERROR(__xludf.DUMMYFUNCTION("""COMPUTED_VALUE"""),"Masala")</f>
        <v>Masala</v>
      </c>
    </row>
    <row r="1431">
      <c r="A1431" s="156" t="str">
        <f>IFERROR(__xludf.DUMMYFUNCTION("""COMPUTED_VALUE"""),"https://drive.google.com/open?id=1eHoPeBt2etm4o-nsfU_9Wyxa2cQBLzif&amp;authuser=jay.agg%40gmail.com&amp;usp=drive_fs")</f>
        <v>https://drive.google.com/open?id=1eHoPeBt2etm4o-nsfU_9Wyxa2cQBLzif&amp;authuser=jay.agg%40gmail.com&amp;usp=drive_fs</v>
      </c>
      <c r="B1431" s="73" t="str">
        <f>IFERROR(__xludf.DUMMYFUNCTION("""COMPUTED_VALUE"""),"Masala")</f>
        <v>Masala</v>
      </c>
      <c r="C1431" s="73" t="str">
        <f>IFERROR(__xludf.DUMMYFUNCTION("""COMPUTED_VALUE"""),"Masala 500gram")</f>
        <v>Masala 500gram</v>
      </c>
      <c r="D1431" s="73" t="str">
        <f>IFERROR(__xludf.DUMMYFUNCTION("""COMPUTED_VALUE"""),"152*38*215 mm | 6*1.5*8.5 inch")</f>
        <v>152*38*215 mm | 6*1.5*8.5 inch</v>
      </c>
      <c r="E1431" s="77">
        <f>IFERROR(__xludf.DUMMYFUNCTION("""COMPUTED_VALUE"""),2.0)</f>
        <v>2</v>
      </c>
      <c r="F1431" s="77">
        <f>IFERROR(__xludf.DUMMYFUNCTION("""COMPUTED_VALUE"""),1926.0)</f>
        <v>1926</v>
      </c>
      <c r="G1431" s="77">
        <f>IFERROR(__xludf.DUMMYFUNCTION("""COMPUTED_VALUE"""),18.0)</f>
        <v>18</v>
      </c>
      <c r="H1431" s="77">
        <f>IFERROR(__xludf.DUMMYFUNCTION("""COMPUTED_VALUE"""),23.0)</f>
        <v>23</v>
      </c>
      <c r="I1431" s="77">
        <f>IFERROR(__xludf.DUMMYFUNCTION("""COMPUTED_VALUE"""),100.0)</f>
        <v>100</v>
      </c>
      <c r="J1431" s="73"/>
      <c r="K1431" s="73"/>
      <c r="L1431" s="73"/>
      <c r="M1431" s="77">
        <f>IFERROR(__xludf.DUMMYFUNCTION("""COMPUTED_VALUE"""),0.1)</f>
        <v>0.1</v>
      </c>
      <c r="N1431" s="77">
        <f>IFERROR(__xludf.DUMMYFUNCTION("""COMPUTED_VALUE"""),1.0)</f>
        <v>1</v>
      </c>
      <c r="O1431" s="49"/>
      <c r="P1431" s="49" t="str">
        <f>IFERROR(__xludf.DUMMYFUNCTION("""COMPUTED_VALUE"""),"Offset")</f>
        <v>Offset</v>
      </c>
      <c r="Q1431" s="49" t="str">
        <f>IFERROR(__xludf.DUMMYFUNCTION("""COMPUTED_VALUE"""),"Packaging")</f>
        <v>Packaging</v>
      </c>
      <c r="R1431" s="49" t="str">
        <f>IFERROR(__xludf.DUMMYFUNCTION("""COMPUTED_VALUE"""),"Masala")</f>
        <v>Masala</v>
      </c>
    </row>
    <row r="1432">
      <c r="A1432" s="156" t="str">
        <f>IFERROR(__xludf.DUMMYFUNCTION("""COMPUTED_VALUE"""),"https://drive.google.com/open?id=1hr4jfwDgGzTsRpuCagI1V6JMdcaq0vOT&amp;authuser=jay.agg%40gmail.com&amp;usp=drive_fs")</f>
        <v>https://drive.google.com/open?id=1hr4jfwDgGzTsRpuCagI1V6JMdcaq0vOT&amp;authuser=jay.agg%40gmail.com&amp;usp=drive_fs</v>
      </c>
      <c r="B1432" s="73" t="str">
        <f>IFERROR(__xludf.DUMMYFUNCTION("""COMPUTED_VALUE"""),"Masala")</f>
        <v>Masala</v>
      </c>
      <c r="C1432" s="73" t="str">
        <f>IFERROR(__xludf.DUMMYFUNCTION("""COMPUTED_VALUE"""),"Misc")</f>
        <v>Misc</v>
      </c>
      <c r="D1432" s="73" t="str">
        <f>IFERROR(__xludf.DUMMYFUNCTION("""COMPUTED_VALUE"""),"35*35*102 mm | 1.4*1.4*4 inch")</f>
        <v>35*35*102 mm | 1.4*1.4*4 inch</v>
      </c>
      <c r="E1432" s="77">
        <f>IFERROR(__xludf.DUMMYFUNCTION("""COMPUTED_VALUE"""),6.0)</f>
        <v>6</v>
      </c>
      <c r="F1432" s="77">
        <f>IFERROR(__xludf.DUMMYFUNCTION("""COMPUTED_VALUE"""),1926.0)</f>
        <v>1926</v>
      </c>
      <c r="G1432" s="77">
        <f>IFERROR(__xludf.DUMMYFUNCTION("""COMPUTED_VALUE"""),15.75)</f>
        <v>15.75</v>
      </c>
      <c r="H1432" s="77">
        <f>IFERROR(__xludf.DUMMYFUNCTION("""COMPUTED_VALUE"""),20.75)</f>
        <v>20.75</v>
      </c>
      <c r="I1432" s="77">
        <f>IFERROR(__xludf.DUMMYFUNCTION("""COMPUTED_VALUE"""),100.0)</f>
        <v>100</v>
      </c>
      <c r="J1432" s="73"/>
      <c r="K1432" s="73"/>
      <c r="L1432" s="73"/>
      <c r="M1432" s="77">
        <f>IFERROR(__xludf.DUMMYFUNCTION("""COMPUTED_VALUE"""),0.1)</f>
        <v>0.1</v>
      </c>
      <c r="N1432" s="77">
        <f>IFERROR(__xludf.DUMMYFUNCTION("""COMPUTED_VALUE"""),1.0)</f>
        <v>1</v>
      </c>
      <c r="O1432" s="49"/>
      <c r="P1432" s="49" t="str">
        <f>IFERROR(__xludf.DUMMYFUNCTION("""COMPUTED_VALUE"""),"Offset")</f>
        <v>Offset</v>
      </c>
      <c r="Q1432" s="49" t="str">
        <f>IFERROR(__xludf.DUMMYFUNCTION("""COMPUTED_VALUE"""),"Packaging")</f>
        <v>Packaging</v>
      </c>
      <c r="R1432" s="49" t="str">
        <f>IFERROR(__xludf.DUMMYFUNCTION("""COMPUTED_VALUE"""),"Masala")</f>
        <v>Masala</v>
      </c>
    </row>
    <row r="1433">
      <c r="A1433" s="156" t="str">
        <f>IFERROR(__xludf.DUMMYFUNCTION("""COMPUTED_VALUE"""),"https://drive.google.com/open?id=13zxq3jBbQAwOXiz5Dkw9FL5W5LgD9rJy&amp;authuser=jay.agg%40gmail.com&amp;usp=drive_fs")</f>
        <v>https://drive.google.com/open?id=13zxq3jBbQAwOXiz5Dkw9FL5W5LgD9rJy&amp;authuser=jay.agg%40gmail.com&amp;usp=drive_fs</v>
      </c>
      <c r="B1433" s="73" t="str">
        <f>IFERROR(__xludf.DUMMYFUNCTION("""COMPUTED_VALUE"""),"Masala")</f>
        <v>Masala</v>
      </c>
      <c r="C1433" s="73" t="str">
        <f>IFERROR(__xludf.DUMMYFUNCTION("""COMPUTED_VALUE"""),"Masala 100gram")</f>
        <v>Masala 100gram</v>
      </c>
      <c r="D1433" s="73" t="str">
        <f>IFERROR(__xludf.DUMMYFUNCTION("""COMPUTED_VALUE"""),"120*40*180 mm | 4.7*1.5*7 inch")</f>
        <v>120*40*180 mm | 4.7*1.5*7 inch</v>
      </c>
      <c r="E1433" s="77">
        <f>IFERROR(__xludf.DUMMYFUNCTION("""COMPUTED_VALUE"""),4.0)</f>
        <v>4</v>
      </c>
      <c r="F1433" s="77">
        <f>IFERROR(__xludf.DUMMYFUNCTION("""COMPUTED_VALUE"""),2029.0)</f>
        <v>2029</v>
      </c>
      <c r="G1433" s="77">
        <f>IFERROR(__xludf.DUMMYFUNCTION("""COMPUTED_VALUE"""),20.0)</f>
        <v>20</v>
      </c>
      <c r="H1433" s="77">
        <f>IFERROR(__xludf.DUMMYFUNCTION("""COMPUTED_VALUE"""),28.0)</f>
        <v>28</v>
      </c>
      <c r="I1433" s="77">
        <f>IFERROR(__xludf.DUMMYFUNCTION("""COMPUTED_VALUE"""),100.0)</f>
        <v>100</v>
      </c>
      <c r="J1433" s="73"/>
      <c r="K1433" s="73"/>
      <c r="L1433" s="73"/>
      <c r="M1433" s="77">
        <f>IFERROR(__xludf.DUMMYFUNCTION("""COMPUTED_VALUE"""),0.1)</f>
        <v>0.1</v>
      </c>
      <c r="N1433" s="77">
        <f>IFERROR(__xludf.DUMMYFUNCTION("""COMPUTED_VALUE"""),1.0)</f>
        <v>1</v>
      </c>
      <c r="O1433" s="49"/>
      <c r="P1433" s="49" t="str">
        <f>IFERROR(__xludf.DUMMYFUNCTION("""COMPUTED_VALUE"""),"Offset")</f>
        <v>Offset</v>
      </c>
      <c r="Q1433" s="49" t="str">
        <f>IFERROR(__xludf.DUMMYFUNCTION("""COMPUTED_VALUE"""),"Packaging")</f>
        <v>Packaging</v>
      </c>
      <c r="R1433" s="49" t="str">
        <f>IFERROR(__xludf.DUMMYFUNCTION("""COMPUTED_VALUE"""),"Masala")</f>
        <v>Masala</v>
      </c>
    </row>
    <row r="1434">
      <c r="A1434" s="156" t="str">
        <f>IFERROR(__xludf.DUMMYFUNCTION("""COMPUTED_VALUE"""),"https://drive.google.com/open?id=10MmJIp7cd45MQJUvo46U2Q_WkKPZEsBV&amp;authuser=jay.agg%40gmail.com&amp;usp=drive_fs")</f>
        <v>https://drive.google.com/open?id=10MmJIp7cd45MQJUvo46U2Q_WkKPZEsBV&amp;authuser=jay.agg%40gmail.com&amp;usp=drive_fs</v>
      </c>
      <c r="B1434" s="73" t="str">
        <f>IFERROR(__xludf.DUMMYFUNCTION("""COMPUTED_VALUE"""),"Masala")</f>
        <v>Masala</v>
      </c>
      <c r="C1434" s="73" t="str">
        <f>IFERROR(__xludf.DUMMYFUNCTION("""COMPUTED_VALUE"""),"Masala 1Kg")</f>
        <v>Masala 1Kg</v>
      </c>
      <c r="D1434" s="73" t="str">
        <f>IFERROR(__xludf.DUMMYFUNCTION("""COMPUTED_VALUE"""),"140*56*165 mm | 5.5*2.2*6.5 inch")</f>
        <v>140*56*165 mm | 5.5*2.2*6.5 inch</v>
      </c>
      <c r="E1434" s="77">
        <f>IFERROR(__xludf.DUMMYFUNCTION("""COMPUTED_VALUE"""),2.0)</f>
        <v>2</v>
      </c>
      <c r="F1434" s="77">
        <f>IFERROR(__xludf.DUMMYFUNCTION("""COMPUTED_VALUE"""),1926.0)</f>
        <v>1926</v>
      </c>
      <c r="G1434" s="77">
        <f>IFERROR(__xludf.DUMMYFUNCTION("""COMPUTED_VALUE"""),18.0)</f>
        <v>18</v>
      </c>
      <c r="H1434" s="77">
        <f>IFERROR(__xludf.DUMMYFUNCTION("""COMPUTED_VALUE"""),23.0)</f>
        <v>23</v>
      </c>
      <c r="I1434" s="77">
        <f>IFERROR(__xludf.DUMMYFUNCTION("""COMPUTED_VALUE"""),100.0)</f>
        <v>100</v>
      </c>
      <c r="J1434" s="73"/>
      <c r="K1434" s="73"/>
      <c r="L1434" s="73"/>
      <c r="M1434" s="77">
        <f>IFERROR(__xludf.DUMMYFUNCTION("""COMPUTED_VALUE"""),0.1)</f>
        <v>0.1</v>
      </c>
      <c r="N1434" s="77">
        <f>IFERROR(__xludf.DUMMYFUNCTION("""COMPUTED_VALUE"""),1.0)</f>
        <v>1</v>
      </c>
      <c r="O1434" s="49"/>
      <c r="P1434" s="49" t="str">
        <f>IFERROR(__xludf.DUMMYFUNCTION("""COMPUTED_VALUE"""),"Offset")</f>
        <v>Offset</v>
      </c>
      <c r="Q1434" s="49" t="str">
        <f>IFERROR(__xludf.DUMMYFUNCTION("""COMPUTED_VALUE"""),"Packaging")</f>
        <v>Packaging</v>
      </c>
      <c r="R1434" s="49" t="str">
        <f>IFERROR(__xludf.DUMMYFUNCTION("""COMPUTED_VALUE"""),"Masala")</f>
        <v>Masala</v>
      </c>
    </row>
    <row r="1435">
      <c r="A1435" s="156" t="str">
        <f>IFERROR(__xludf.DUMMYFUNCTION("""COMPUTED_VALUE"""),"https://drive.google.com/open?id=1KaP2Cq-j8mbPnoC1sE31DgpfTsZ49KMI&amp;usp=drive_fs")</f>
        <v>https://drive.google.com/open?id=1KaP2Cq-j8mbPnoC1sE31DgpfTsZ49KMI&amp;usp=drive_fs</v>
      </c>
      <c r="B1435" s="73" t="str">
        <f>IFERROR(__xludf.DUMMYFUNCTION("""COMPUTED_VALUE"""),"Masala")</f>
        <v>Masala</v>
      </c>
      <c r="C1435" s="73" t="str">
        <f>IFERROR(__xludf.DUMMYFUNCTION("""COMPUTED_VALUE"""),"Display")</f>
        <v>Display</v>
      </c>
      <c r="D1435" s="73" t="str">
        <f>IFERROR(__xludf.DUMMYFUNCTION("""COMPUTED_VALUE"""),"180*165*65 mm | 7*6.5*2.5 inch")</f>
        <v>180*165*65 mm | 7*6.5*2.5 inch</v>
      </c>
      <c r="E1435" s="77">
        <f>IFERROR(__xludf.DUMMYFUNCTION("""COMPUTED_VALUE"""),1.0)</f>
        <v>1</v>
      </c>
      <c r="F1435" s="77">
        <f>IFERROR(__xludf.DUMMYFUNCTION("""COMPUTED_VALUE"""),1926.0)</f>
        <v>1926</v>
      </c>
      <c r="G1435" s="77">
        <f>IFERROR(__xludf.DUMMYFUNCTION("""COMPUTED_VALUE"""),18.0)</f>
        <v>18</v>
      </c>
      <c r="H1435" s="77">
        <f>IFERROR(__xludf.DUMMYFUNCTION("""COMPUTED_VALUE"""),23.0)</f>
        <v>23</v>
      </c>
      <c r="I1435" s="77">
        <f>IFERROR(__xludf.DUMMYFUNCTION("""COMPUTED_VALUE"""),100.0)</f>
        <v>100</v>
      </c>
      <c r="J1435" s="73"/>
      <c r="K1435" s="73"/>
      <c r="L1435" s="73"/>
      <c r="M1435" s="77"/>
      <c r="N1435" s="77">
        <f>IFERROR(__xludf.DUMMYFUNCTION("""COMPUTED_VALUE"""),1.0)</f>
        <v>1</v>
      </c>
      <c r="O1435" s="49"/>
      <c r="P1435" s="49" t="str">
        <f>IFERROR(__xludf.DUMMYFUNCTION("""COMPUTED_VALUE"""),"Offset")</f>
        <v>Offset</v>
      </c>
      <c r="Q1435" s="49" t="str">
        <f>IFERROR(__xludf.DUMMYFUNCTION("""COMPUTED_VALUE"""),"Packaging")</f>
        <v>Packaging</v>
      </c>
      <c r="R1435" s="49" t="str">
        <f>IFERROR(__xludf.DUMMYFUNCTION("""COMPUTED_VALUE"""),"Masala")</f>
        <v>Masala</v>
      </c>
    </row>
    <row r="1436">
      <c r="A1436" s="156" t="str">
        <f>IFERROR(__xludf.DUMMYFUNCTION("""COMPUTED_VALUE"""),"https://drive.google.com/open?id=17LyYyLsvO5VkLV66_qDrkw9CghjHMUsR&amp;usp=drive_fs")</f>
        <v>https://drive.google.com/open?id=17LyYyLsvO5VkLV66_qDrkw9CghjHMUsR&amp;usp=drive_fs</v>
      </c>
      <c r="B1436" s="73" t="str">
        <f>IFERROR(__xludf.DUMMYFUNCTION("""COMPUTED_VALUE"""),"Masala")</f>
        <v>Masala</v>
      </c>
      <c r="C1436" s="73" t="str">
        <f>IFERROR(__xludf.DUMMYFUNCTION("""COMPUTED_VALUE"""),"Masala 200gram")</f>
        <v>Masala 200gram</v>
      </c>
      <c r="D1436" s="73" t="str">
        <f>IFERROR(__xludf.DUMMYFUNCTION("""COMPUTED_VALUE"""),"85*40*125 mm | 3.3*1.5*4.9 inch")</f>
        <v>85*40*125 mm | 3.3*1.5*4.9 inch</v>
      </c>
      <c r="E1436" s="77">
        <f>IFERROR(__xludf.DUMMYFUNCTION("""COMPUTED_VALUE"""),4.0)</f>
        <v>4</v>
      </c>
      <c r="F1436" s="77">
        <f>IFERROR(__xludf.DUMMYFUNCTION("""COMPUTED_VALUE"""),1926.0)</f>
        <v>1926</v>
      </c>
      <c r="G1436" s="77">
        <f>IFERROR(__xludf.DUMMYFUNCTION("""COMPUTED_VALUE"""),18.0)</f>
        <v>18</v>
      </c>
      <c r="H1436" s="77">
        <f>IFERROR(__xludf.DUMMYFUNCTION("""COMPUTED_VALUE"""),23.0)</f>
        <v>23</v>
      </c>
      <c r="I1436" s="77">
        <f>IFERROR(__xludf.DUMMYFUNCTION("""COMPUTED_VALUE"""),100.0)</f>
        <v>100</v>
      </c>
      <c r="J1436" s="73"/>
      <c r="K1436" s="73"/>
      <c r="L1436" s="73"/>
      <c r="M1436" s="77">
        <f>IFERROR(__xludf.DUMMYFUNCTION("""COMPUTED_VALUE"""),0.1)</f>
        <v>0.1</v>
      </c>
      <c r="N1436" s="77">
        <f>IFERROR(__xludf.DUMMYFUNCTION("""COMPUTED_VALUE"""),1.0)</f>
        <v>1</v>
      </c>
      <c r="O1436" s="49"/>
      <c r="P1436" s="49" t="str">
        <f>IFERROR(__xludf.DUMMYFUNCTION("""COMPUTED_VALUE"""),"Offset")</f>
        <v>Offset</v>
      </c>
      <c r="Q1436" s="49" t="str">
        <f>IFERROR(__xludf.DUMMYFUNCTION("""COMPUTED_VALUE"""),"Packaging")</f>
        <v>Packaging</v>
      </c>
      <c r="R1436" s="49" t="str">
        <f>IFERROR(__xludf.DUMMYFUNCTION("""COMPUTED_VALUE"""),"Masala")</f>
        <v>Masala</v>
      </c>
    </row>
    <row r="1437">
      <c r="A1437" s="156" t="str">
        <f>IFERROR(__xludf.DUMMYFUNCTION("""COMPUTED_VALUE"""),"https://drive.google.com/open?id=18fpwvoEx_K8-Q1zN0yIV4J836V92MIQy&amp;usp=drive_fs")</f>
        <v>https://drive.google.com/open?id=18fpwvoEx_K8-Q1zN0yIV4J836V92MIQy&amp;usp=drive_fs</v>
      </c>
      <c r="B1437" s="73" t="str">
        <f>IFERROR(__xludf.DUMMYFUNCTION("""COMPUTED_VALUE"""),"Masala")</f>
        <v>Masala</v>
      </c>
      <c r="C1437" s="73" t="str">
        <f>IFERROR(__xludf.DUMMYFUNCTION("""COMPUTED_VALUE"""),"Masala 15gram")</f>
        <v>Masala 15gram</v>
      </c>
      <c r="D1437" s="73" t="str">
        <f>IFERROR(__xludf.DUMMYFUNCTION("""COMPUTED_VALUE"""),"68*25*100 mm | 2.6*1*4 inch")</f>
        <v>68*25*100 mm | 2.6*1*4 inch</v>
      </c>
      <c r="E1437" s="77">
        <f>IFERROR(__xludf.DUMMYFUNCTION("""COMPUTED_VALUE"""),9.0)</f>
        <v>9</v>
      </c>
      <c r="F1437" s="77">
        <f>IFERROR(__xludf.DUMMYFUNCTION("""COMPUTED_VALUE"""),1926.0)</f>
        <v>1926</v>
      </c>
      <c r="G1437" s="77">
        <f>IFERROR(__xludf.DUMMYFUNCTION("""COMPUTED_VALUE"""),18.0)</f>
        <v>18</v>
      </c>
      <c r="H1437" s="77">
        <f>IFERROR(__xludf.DUMMYFUNCTION("""COMPUTED_VALUE"""),25.0)</f>
        <v>25</v>
      </c>
      <c r="I1437" s="77">
        <f>IFERROR(__xludf.DUMMYFUNCTION("""COMPUTED_VALUE"""),100.0)</f>
        <v>100</v>
      </c>
      <c r="J1437" s="73"/>
      <c r="K1437" s="73"/>
      <c r="L1437" s="73"/>
      <c r="M1437" s="77">
        <f>IFERROR(__xludf.DUMMYFUNCTION("""COMPUTED_VALUE"""),0.1)</f>
        <v>0.1</v>
      </c>
      <c r="N1437" s="77">
        <f>IFERROR(__xludf.DUMMYFUNCTION("""COMPUTED_VALUE"""),1.0)</f>
        <v>1</v>
      </c>
      <c r="O1437" s="49"/>
      <c r="P1437" s="49" t="str">
        <f>IFERROR(__xludf.DUMMYFUNCTION("""COMPUTED_VALUE"""),"Offset")</f>
        <v>Offset</v>
      </c>
      <c r="Q1437" s="49" t="str">
        <f>IFERROR(__xludf.DUMMYFUNCTION("""COMPUTED_VALUE"""),"Packaging")</f>
        <v>Packaging</v>
      </c>
      <c r="R1437" s="49" t="str">
        <f>IFERROR(__xludf.DUMMYFUNCTION("""COMPUTED_VALUE"""),"Masala")</f>
        <v>Masala</v>
      </c>
    </row>
    <row r="1438">
      <c r="A1438" s="156" t="str">
        <f>IFERROR(__xludf.DUMMYFUNCTION("""COMPUTED_VALUE"""),"https://drive.google.com/open?id=1I3-Ohb42ikOqqNrB2aF6zxHpQ3tZjwLb&amp;usp=drive_fs")</f>
        <v>https://drive.google.com/open?id=1I3-Ohb42ikOqqNrB2aF6zxHpQ3tZjwLb&amp;usp=drive_fs</v>
      </c>
      <c r="B1438" s="73" t="str">
        <f>IFERROR(__xludf.DUMMYFUNCTION("""COMPUTED_VALUE"""),"Masala")</f>
        <v>Masala</v>
      </c>
      <c r="C1438" s="73" t="str">
        <f>IFERROR(__xludf.DUMMYFUNCTION("""COMPUTED_VALUE"""),"Masala 50gram")</f>
        <v>Masala 50gram</v>
      </c>
      <c r="D1438" s="73" t="str">
        <f>IFERROR(__xludf.DUMMYFUNCTION("""COMPUTED_VALUE"""),"75*33*120 mm | 3*1.3*4.7 inch")</f>
        <v>75*33*120 mm | 3*1.3*4.7 inch</v>
      </c>
      <c r="E1438" s="77">
        <f>IFERROR(__xludf.DUMMYFUNCTION("""COMPUTED_VALUE"""),6.0)</f>
        <v>6</v>
      </c>
      <c r="F1438" s="77">
        <f>IFERROR(__xludf.DUMMYFUNCTION("""COMPUTED_VALUE"""),1926.0)</f>
        <v>1926</v>
      </c>
      <c r="G1438" s="77">
        <f>IFERROR(__xludf.DUMMYFUNCTION("""COMPUTED_VALUE"""),18.0)</f>
        <v>18</v>
      </c>
      <c r="H1438" s="77">
        <f>IFERROR(__xludf.DUMMYFUNCTION("""COMPUTED_VALUE"""),23.0)</f>
        <v>23</v>
      </c>
      <c r="I1438" s="77">
        <f>IFERROR(__xludf.DUMMYFUNCTION("""COMPUTED_VALUE"""),100.0)</f>
        <v>100</v>
      </c>
      <c r="J1438" s="73"/>
      <c r="K1438" s="73"/>
      <c r="L1438" s="73">
        <f>IFERROR(__xludf.DUMMYFUNCTION("""COMPUTED_VALUE"""),1.0)</f>
        <v>1</v>
      </c>
      <c r="M1438" s="77">
        <f>IFERROR(__xludf.DUMMYFUNCTION("""COMPUTED_VALUE"""),0.1)</f>
        <v>0.1</v>
      </c>
      <c r="N1438" s="77">
        <f>IFERROR(__xludf.DUMMYFUNCTION("""COMPUTED_VALUE"""),1.0)</f>
        <v>1</v>
      </c>
      <c r="O1438" s="49"/>
      <c r="P1438" s="49" t="str">
        <f>IFERROR(__xludf.DUMMYFUNCTION("""COMPUTED_VALUE"""),"Offset")</f>
        <v>Offset</v>
      </c>
      <c r="Q1438" s="49" t="str">
        <f>IFERROR(__xludf.DUMMYFUNCTION("""COMPUTED_VALUE"""),"Packaging")</f>
        <v>Packaging</v>
      </c>
      <c r="R1438" s="49" t="str">
        <f>IFERROR(__xludf.DUMMYFUNCTION("""COMPUTED_VALUE"""),"Masala")</f>
        <v>Masala</v>
      </c>
    </row>
    <row r="1439">
      <c r="A1439" s="156" t="str">
        <f>IFERROR(__xludf.DUMMYFUNCTION("""COMPUTED_VALUE"""),"https://drive.google.com/open?id=1KjD98vKcHpjk8-lCZgE2KVWpMvl9UCRQ&amp;usp=drive_fs")</f>
        <v>https://drive.google.com/open?id=1KjD98vKcHpjk8-lCZgE2KVWpMvl9UCRQ&amp;usp=drive_fs</v>
      </c>
      <c r="B1439" s="73" t="str">
        <f>IFERROR(__xludf.DUMMYFUNCTION("""COMPUTED_VALUE"""),"Masala")</f>
        <v>Masala</v>
      </c>
      <c r="C1439" s="73" t="str">
        <f>IFERROR(__xludf.DUMMYFUNCTION("""COMPUTED_VALUE"""),"Misc")</f>
        <v>Misc</v>
      </c>
      <c r="D1439" s="73" t="str">
        <f>IFERROR(__xludf.DUMMYFUNCTION("""COMPUTED_VALUE"""),"120*30*140 mm | 4.7*1.2*5.5 inch")</f>
        <v>120*30*140 mm | 4.7*1.2*5.5 inch</v>
      </c>
      <c r="E1439" s="77">
        <f>IFERROR(__xludf.DUMMYFUNCTION("""COMPUTED_VALUE"""),4.0)</f>
        <v>4</v>
      </c>
      <c r="F1439" s="77">
        <f>IFERROR(__xludf.DUMMYFUNCTION("""COMPUTED_VALUE"""),1926.0)</f>
        <v>1926</v>
      </c>
      <c r="G1439" s="77">
        <f>IFERROR(__xludf.DUMMYFUNCTION("""COMPUTED_VALUE"""),15.0)</f>
        <v>15</v>
      </c>
      <c r="H1439" s="77">
        <f>IFERROR(__xludf.DUMMYFUNCTION("""COMPUTED_VALUE"""),25.0)</f>
        <v>25</v>
      </c>
      <c r="I1439" s="77">
        <f>IFERROR(__xludf.DUMMYFUNCTION("""COMPUTED_VALUE"""),100.0)</f>
        <v>100</v>
      </c>
      <c r="J1439" s="73"/>
      <c r="K1439" s="73"/>
      <c r="L1439" s="73"/>
      <c r="M1439" s="77">
        <f>IFERROR(__xludf.DUMMYFUNCTION("""COMPUTED_VALUE"""),0.1)</f>
        <v>0.1</v>
      </c>
      <c r="N1439" s="77">
        <f>IFERROR(__xludf.DUMMYFUNCTION("""COMPUTED_VALUE"""),1.0)</f>
        <v>1</v>
      </c>
      <c r="O1439" s="49"/>
      <c r="P1439" s="49" t="str">
        <f>IFERROR(__xludf.DUMMYFUNCTION("""COMPUTED_VALUE"""),"Offset")</f>
        <v>Offset</v>
      </c>
      <c r="Q1439" s="49" t="str">
        <f>IFERROR(__xludf.DUMMYFUNCTION("""COMPUTED_VALUE"""),"Packaging")</f>
        <v>Packaging</v>
      </c>
      <c r="R1439" s="49" t="str">
        <f>IFERROR(__xludf.DUMMYFUNCTION("""COMPUTED_VALUE"""),"Masala")</f>
        <v>Masala</v>
      </c>
    </row>
    <row r="1440">
      <c r="A1440" s="156" t="str">
        <f>IFERROR(__xludf.DUMMYFUNCTION("""COMPUTED_VALUE"""),"https://drive.google.com/open?id=12hf7W7RAewtPF7HnSeJrMav_-FLjvVjm&amp;usp=drive_fs")</f>
        <v>https://drive.google.com/open?id=12hf7W7RAewtPF7HnSeJrMav_-FLjvVjm&amp;usp=drive_fs</v>
      </c>
      <c r="B1440" s="73" t="str">
        <f>IFERROR(__xludf.DUMMYFUNCTION("""COMPUTED_VALUE"""),"Masala")</f>
        <v>Masala</v>
      </c>
      <c r="C1440" s="73" t="str">
        <f>IFERROR(__xludf.DUMMYFUNCTION("""COMPUTED_VALUE"""),"Misc")</f>
        <v>Misc</v>
      </c>
      <c r="D1440" s="73" t="str">
        <f>IFERROR(__xludf.DUMMYFUNCTION("""COMPUTED_VALUE"""),"128*60*179 mm | 5*2.4*7 inch")</f>
        <v>128*60*179 mm | 5*2.4*7 inch</v>
      </c>
      <c r="E1440" s="77">
        <f>IFERROR(__xludf.DUMMYFUNCTION("""COMPUTED_VALUE"""),2.0)</f>
        <v>2</v>
      </c>
      <c r="F1440" s="77">
        <f>IFERROR(__xludf.DUMMYFUNCTION("""COMPUTED_VALUE"""),1926.0)</f>
        <v>1926</v>
      </c>
      <c r="G1440" s="77">
        <f>IFERROR(__xludf.DUMMYFUNCTION("""COMPUTED_VALUE"""),18.0)</f>
        <v>18</v>
      </c>
      <c r="H1440" s="77">
        <f>IFERROR(__xludf.DUMMYFUNCTION("""COMPUTED_VALUE"""),23.0)</f>
        <v>23</v>
      </c>
      <c r="I1440" s="77">
        <f>IFERROR(__xludf.DUMMYFUNCTION("""COMPUTED_VALUE"""),100.0)</f>
        <v>100</v>
      </c>
      <c r="J1440" s="73"/>
      <c r="K1440" s="73"/>
      <c r="L1440" s="73"/>
      <c r="M1440" s="77">
        <f>IFERROR(__xludf.DUMMYFUNCTION("""COMPUTED_VALUE"""),0.1)</f>
        <v>0.1</v>
      </c>
      <c r="N1440" s="77">
        <f>IFERROR(__xludf.DUMMYFUNCTION("""COMPUTED_VALUE"""),1.0)</f>
        <v>1</v>
      </c>
      <c r="O1440" s="49"/>
      <c r="P1440" s="49" t="str">
        <f>IFERROR(__xludf.DUMMYFUNCTION("""COMPUTED_VALUE"""),"Offset")</f>
        <v>Offset</v>
      </c>
      <c r="Q1440" s="49" t="str">
        <f>IFERROR(__xludf.DUMMYFUNCTION("""COMPUTED_VALUE"""),"Packaging")</f>
        <v>Packaging</v>
      </c>
      <c r="R1440" s="49" t="str">
        <f>IFERROR(__xludf.DUMMYFUNCTION("""COMPUTED_VALUE"""),"Masala")</f>
        <v>Masala</v>
      </c>
    </row>
    <row r="1441">
      <c r="A1441" s="156" t="str">
        <f>IFERROR(__xludf.DUMMYFUNCTION("""COMPUTED_VALUE"""),"https://drive.google.com/open?id=1dD5T1uYO6DQhR3YvrpHNAi4p4ZCWN5RB&amp;usp=drive_fs")</f>
        <v>https://drive.google.com/open?id=1dD5T1uYO6DQhR3YvrpHNAi4p4ZCWN5RB&amp;usp=drive_fs</v>
      </c>
      <c r="B1441" s="73" t="str">
        <f>IFERROR(__xludf.DUMMYFUNCTION("""COMPUTED_VALUE"""),"Masala")</f>
        <v>Masala</v>
      </c>
      <c r="C1441" s="73" t="str">
        <f>IFERROR(__xludf.DUMMYFUNCTION("""COMPUTED_VALUE"""),"Misc")</f>
        <v>Misc</v>
      </c>
      <c r="D1441" s="73" t="str">
        <f>IFERROR(__xludf.DUMMYFUNCTION("""COMPUTED_VALUE"""),"50*25*50 mm | 2*1*2 inch")</f>
        <v>50*25*50 mm | 2*1*2 inch</v>
      </c>
      <c r="E1441" s="77">
        <f>IFERROR(__xludf.DUMMYFUNCTION("""COMPUTED_VALUE"""),12.0)</f>
        <v>12</v>
      </c>
      <c r="F1441" s="77">
        <f>IFERROR(__xludf.DUMMYFUNCTION("""COMPUTED_VALUE"""),1926.0)</f>
        <v>1926</v>
      </c>
      <c r="G1441" s="77">
        <f>IFERROR(__xludf.DUMMYFUNCTION("""COMPUTED_VALUE"""),15.75)</f>
        <v>15.75</v>
      </c>
      <c r="H1441" s="77">
        <f>IFERROR(__xludf.DUMMYFUNCTION("""COMPUTED_VALUE"""),20.75)</f>
        <v>20.75</v>
      </c>
      <c r="I1441" s="77">
        <f>IFERROR(__xludf.DUMMYFUNCTION("""COMPUTED_VALUE"""),100.0)</f>
        <v>100</v>
      </c>
      <c r="J1441" s="73"/>
      <c r="K1441" s="73"/>
      <c r="L1441" s="73"/>
      <c r="M1441" s="77">
        <f>IFERROR(__xludf.DUMMYFUNCTION("""COMPUTED_VALUE"""),0.1)</f>
        <v>0.1</v>
      </c>
      <c r="N1441" s="77">
        <f>IFERROR(__xludf.DUMMYFUNCTION("""COMPUTED_VALUE"""),1.0)</f>
        <v>1</v>
      </c>
      <c r="O1441" s="49"/>
      <c r="P1441" s="49" t="str">
        <f>IFERROR(__xludf.DUMMYFUNCTION("""COMPUTED_VALUE"""),"Offset")</f>
        <v>Offset</v>
      </c>
      <c r="Q1441" s="49" t="str">
        <f>IFERROR(__xludf.DUMMYFUNCTION("""COMPUTED_VALUE"""),"Packaging")</f>
        <v>Packaging</v>
      </c>
      <c r="R1441" s="49" t="str">
        <f>IFERROR(__xludf.DUMMYFUNCTION("""COMPUTED_VALUE"""),"Masala")</f>
        <v>Masala</v>
      </c>
    </row>
    <row r="1442">
      <c r="A1442" s="156" t="str">
        <f>IFERROR(__xludf.DUMMYFUNCTION("""COMPUTED_VALUE"""),"https://drive.google.com/open?id=14spaHVnuTRfhHyDllL17xnSujqou-4YG&amp;usp=drive_fs")</f>
        <v>https://drive.google.com/open?id=14spaHVnuTRfhHyDllL17xnSujqou-4YG&amp;usp=drive_fs</v>
      </c>
      <c r="B1442" s="73" t="str">
        <f>IFERROR(__xludf.DUMMYFUNCTION("""COMPUTED_VALUE"""),"Masala")</f>
        <v>Masala</v>
      </c>
      <c r="C1442" s="73" t="str">
        <f>IFERROR(__xludf.DUMMYFUNCTION("""COMPUTED_VALUE"""),"Masala 50gram")</f>
        <v>Masala 50gram</v>
      </c>
      <c r="D1442" s="73" t="str">
        <f>IFERROR(__xludf.DUMMYFUNCTION("""COMPUTED_VALUE"""),"70*120 mm | 2.7*4.7 inch ")</f>
        <v>70*120 mm | 2.7*4.7 inch </v>
      </c>
      <c r="E1442" s="77">
        <f>IFERROR(__xludf.DUMMYFUNCTION("""COMPUTED_VALUE"""),6.0)</f>
        <v>6</v>
      </c>
      <c r="F1442" s="77">
        <f>IFERROR(__xludf.DUMMYFUNCTION("""COMPUTED_VALUE"""),2029.0)</f>
        <v>2029</v>
      </c>
      <c r="G1442" s="77">
        <f>IFERROR(__xludf.DUMMYFUNCTION("""COMPUTED_VALUE"""),19.0)</f>
        <v>19</v>
      </c>
      <c r="H1442" s="77">
        <f>IFERROR(__xludf.DUMMYFUNCTION("""COMPUTED_VALUE"""),26.0)</f>
        <v>26</v>
      </c>
      <c r="I1442" s="77">
        <f>IFERROR(__xludf.DUMMYFUNCTION("""COMPUTED_VALUE"""),100.0)</f>
        <v>100</v>
      </c>
      <c r="J1442" s="73"/>
      <c r="K1442" s="73"/>
      <c r="L1442" s="73"/>
      <c r="M1442" s="77">
        <f>IFERROR(__xludf.DUMMYFUNCTION("""COMPUTED_VALUE"""),0.8)</f>
        <v>0.8</v>
      </c>
      <c r="N1442" s="77">
        <f>IFERROR(__xludf.DUMMYFUNCTION("""COMPUTED_VALUE"""),1.0)</f>
        <v>1</v>
      </c>
      <c r="O1442" s="49"/>
      <c r="P1442" s="49" t="str">
        <f>IFERROR(__xludf.DUMMYFUNCTION("""COMPUTED_VALUE"""),"Offset")</f>
        <v>Offset</v>
      </c>
      <c r="Q1442" s="49" t="str">
        <f>IFERROR(__xludf.DUMMYFUNCTION("""COMPUTED_VALUE"""),"Packaging")</f>
        <v>Packaging</v>
      </c>
      <c r="R1442" s="49" t="str">
        <f>IFERROR(__xludf.DUMMYFUNCTION("""COMPUTED_VALUE"""),"Masala")</f>
        <v>Masala</v>
      </c>
    </row>
    <row r="1443">
      <c r="A1443" s="156" t="str">
        <f>IFERROR(__xludf.DUMMYFUNCTION("""COMPUTED_VALUE"""),"https://drive.google.com/open?id=115gxAIDmrdKImQPpw4T9T9InEasjE9f1&amp;usp=drive_fs")</f>
        <v>https://drive.google.com/open?id=115gxAIDmrdKImQPpw4T9T9InEasjE9f1&amp;usp=drive_fs</v>
      </c>
      <c r="B1443" s="73" t="str">
        <f>IFERROR(__xludf.DUMMYFUNCTION("""COMPUTED_VALUE"""),"Masala")</f>
        <v>Masala</v>
      </c>
      <c r="C1443" s="73" t="str">
        <f>IFERROR(__xludf.DUMMYFUNCTION("""COMPUTED_VALUE"""),"Masala 100gram")</f>
        <v>Masala 100gram</v>
      </c>
      <c r="D1443" s="73" t="str">
        <f>IFERROR(__xludf.DUMMYFUNCTION("""COMPUTED_VALUE"""),"90*30*140 mm | 3.5*1.2*5.5 inch")</f>
        <v>90*30*140 mm | 3.5*1.2*5.5 inch</v>
      </c>
      <c r="E1443" s="77">
        <f>IFERROR(__xludf.DUMMYFUNCTION("""COMPUTED_VALUE"""),8.0)</f>
        <v>8</v>
      </c>
      <c r="F1443" s="77">
        <f>IFERROR(__xludf.DUMMYFUNCTION("""COMPUTED_VALUE"""),2029.0)</f>
        <v>2029</v>
      </c>
      <c r="G1443" s="77">
        <f>IFERROR(__xludf.DUMMYFUNCTION("""COMPUTED_VALUE"""),20.0)</f>
        <v>20</v>
      </c>
      <c r="H1443" s="77">
        <f>IFERROR(__xludf.DUMMYFUNCTION("""COMPUTED_VALUE"""),30.0)</f>
        <v>30</v>
      </c>
      <c r="I1443" s="77">
        <f>IFERROR(__xludf.DUMMYFUNCTION("""COMPUTED_VALUE"""),100.0)</f>
        <v>100</v>
      </c>
      <c r="J1443" s="73"/>
      <c r="K1443" s="73"/>
      <c r="L1443" s="73"/>
      <c r="M1443" s="77">
        <f>IFERROR(__xludf.DUMMYFUNCTION("""COMPUTED_VALUE"""),0.1)</f>
        <v>0.1</v>
      </c>
      <c r="N1443" s="77">
        <f>IFERROR(__xludf.DUMMYFUNCTION("""COMPUTED_VALUE"""),1.0)</f>
        <v>1</v>
      </c>
      <c r="O1443" s="49"/>
      <c r="P1443" s="49" t="str">
        <f>IFERROR(__xludf.DUMMYFUNCTION("""COMPUTED_VALUE"""),"Offset")</f>
        <v>Offset</v>
      </c>
      <c r="Q1443" s="49" t="str">
        <f>IFERROR(__xludf.DUMMYFUNCTION("""COMPUTED_VALUE"""),"Packaging")</f>
        <v>Packaging</v>
      </c>
      <c r="R1443" s="49" t="str">
        <f>IFERROR(__xludf.DUMMYFUNCTION("""COMPUTED_VALUE"""),"Masala")</f>
        <v>Masala</v>
      </c>
    </row>
    <row r="1444">
      <c r="A1444" s="156" t="str">
        <f>IFERROR(__xludf.DUMMYFUNCTION("""COMPUTED_VALUE"""),"https://drive.google.com/open?id=115gxAIDmrdKImQPpw4T9T9InEasjE9f1&amp;usp=drive_fs")</f>
        <v>https://drive.google.com/open?id=115gxAIDmrdKImQPpw4T9T9InEasjE9f1&amp;usp=drive_fs</v>
      </c>
      <c r="B1444" s="73" t="str">
        <f>IFERROR(__xludf.DUMMYFUNCTION("""COMPUTED_VALUE"""),"Masala")</f>
        <v>Masala</v>
      </c>
      <c r="C1444" s="73" t="str">
        <f>IFERROR(__xludf.DUMMYFUNCTION("""COMPUTED_VALUE"""),"Masala 100gram")</f>
        <v>Masala 100gram</v>
      </c>
      <c r="D1444" s="73" t="str">
        <f>IFERROR(__xludf.DUMMYFUNCTION("""COMPUTED_VALUE"""),"Masala 100g 85*30*145 1mm | 3.5*1.2*5.5 inch")</f>
        <v>Masala 100g 85*30*145 1mm | 3.5*1.2*5.5 inch</v>
      </c>
      <c r="E1444" s="77">
        <f>IFERROR(__xludf.DUMMYFUNCTION("""COMPUTED_VALUE"""),12.0)</f>
        <v>12</v>
      </c>
      <c r="F1444" s="77">
        <f>IFERROR(__xludf.DUMMYFUNCTION("""COMPUTED_VALUE"""),2840.0)</f>
        <v>2840</v>
      </c>
      <c r="G1444" s="77">
        <f>IFERROR(__xludf.DUMMYFUNCTION("""COMPUTED_VALUE"""),23.0)</f>
        <v>23</v>
      </c>
      <c r="H1444" s="77">
        <f>IFERROR(__xludf.DUMMYFUNCTION("""COMPUTED_VALUE"""),39.0)</f>
        <v>39</v>
      </c>
      <c r="I1444" s="77">
        <f>IFERROR(__xludf.DUMMYFUNCTION("""COMPUTED_VALUE"""),100.0)</f>
        <v>100</v>
      </c>
      <c r="J1444" s="73"/>
      <c r="K1444" s="73"/>
      <c r="L1444" s="73"/>
      <c r="M1444" s="77">
        <f>IFERROR(__xludf.DUMMYFUNCTION("""COMPUTED_VALUE"""),0.1)</f>
        <v>0.1</v>
      </c>
      <c r="N1444" s="77">
        <f>IFERROR(__xludf.DUMMYFUNCTION("""COMPUTED_VALUE"""),1.0)</f>
        <v>1</v>
      </c>
      <c r="O1444" s="49"/>
      <c r="P1444" s="49" t="str">
        <f>IFERROR(__xludf.DUMMYFUNCTION("""COMPUTED_VALUE"""),"Offset")</f>
        <v>Offset</v>
      </c>
      <c r="Q1444" s="49" t="str">
        <f>IFERROR(__xludf.DUMMYFUNCTION("""COMPUTED_VALUE"""),"Packaging")</f>
        <v>Packaging</v>
      </c>
      <c r="R1444" s="49" t="str">
        <f>IFERROR(__xludf.DUMMYFUNCTION("""COMPUTED_VALUE"""),"Masala")</f>
        <v>Masala</v>
      </c>
    </row>
    <row r="1445">
      <c r="A1445" s="156" t="str">
        <f>IFERROR(__xludf.DUMMYFUNCTION("""COMPUTED_VALUE"""),"https://drive.google.com/open?id=1SxWaVhaJrE_qJmuIBaFr5VhfEI8nWnzg&amp;authuser=jay.agg%40gmail.com&amp;usp=drive_fs")</f>
        <v>https://drive.google.com/open?id=1SxWaVhaJrE_qJmuIBaFr5VhfEI8nWnzg&amp;authuser=jay.agg%40gmail.com&amp;usp=drive_fs</v>
      </c>
      <c r="B1445" s="73" t="str">
        <f>IFERROR(__xludf.DUMMYFUNCTION("""COMPUTED_VALUE"""),"Medecine")</f>
        <v>Medecine</v>
      </c>
      <c r="C1445" s="73" t="str">
        <f>IFERROR(__xludf.DUMMYFUNCTION("""COMPUTED_VALUE"""),"Syrup")</f>
        <v>Syrup</v>
      </c>
      <c r="D1445" s="73" t="str">
        <f>IFERROR(__xludf.DUMMYFUNCTION("""COMPUTED_VALUE"""),"57*57*160 mm")</f>
        <v>57*57*160 mm</v>
      </c>
      <c r="E1445" s="77">
        <f>IFERROR(__xludf.DUMMYFUNCTION("""COMPUTED_VALUE"""),4.0)</f>
        <v>4</v>
      </c>
      <c r="F1445" s="77">
        <f>IFERROR(__xludf.DUMMYFUNCTION("""COMPUTED_VALUE"""),1926.0)</f>
        <v>1926</v>
      </c>
      <c r="G1445" s="77">
        <f>IFERROR(__xludf.DUMMYFUNCTION("""COMPUTED_VALUE"""),19.5)</f>
        <v>19.5</v>
      </c>
      <c r="H1445" s="77">
        <f>IFERROR(__xludf.DUMMYFUNCTION("""COMPUTED_VALUE"""),23.0)</f>
        <v>23</v>
      </c>
      <c r="I1445" s="77">
        <f>IFERROR(__xludf.DUMMYFUNCTION("""COMPUTED_VALUE"""),100.0)</f>
        <v>100</v>
      </c>
      <c r="J1445" s="73"/>
      <c r="K1445" s="73"/>
      <c r="L1445" s="73"/>
      <c r="M1445" s="77">
        <f>IFERROR(__xludf.DUMMYFUNCTION("""COMPUTED_VALUE"""),0.1)</f>
        <v>0.1</v>
      </c>
      <c r="N1445" s="77">
        <f>IFERROR(__xludf.DUMMYFUNCTION("""COMPUTED_VALUE"""),1.0)</f>
        <v>1</v>
      </c>
      <c r="O1445" s="49"/>
      <c r="P1445" s="49" t="str">
        <f>IFERROR(__xludf.DUMMYFUNCTION("""COMPUTED_VALUE"""),"Offset")</f>
        <v>Offset</v>
      </c>
      <c r="Q1445" s="49" t="str">
        <f>IFERROR(__xludf.DUMMYFUNCTION("""COMPUTED_VALUE"""),"Packaging")</f>
        <v>Packaging</v>
      </c>
      <c r="R1445" s="49" t="str">
        <f>IFERROR(__xludf.DUMMYFUNCTION("""COMPUTED_VALUE"""),"Medecine")</f>
        <v>Medecine</v>
      </c>
    </row>
    <row r="1446">
      <c r="A1446" s="156" t="str">
        <f>IFERROR(__xludf.DUMMYFUNCTION("""COMPUTED_VALUE"""),"https://drive.google.com/open?id=1T8x6vALQp1fFQLKABilwF70nY7-sGph1&amp;authuser=jay.agg%40gmail.com&amp;usp=drive_fs")</f>
        <v>https://drive.google.com/open?id=1T8x6vALQp1fFQLKABilwF70nY7-sGph1&amp;authuser=jay.agg%40gmail.com&amp;usp=drive_fs</v>
      </c>
      <c r="B1446" s="73" t="str">
        <f>IFERROR(__xludf.DUMMYFUNCTION("""COMPUTED_VALUE"""),"Medecine")</f>
        <v>Medecine</v>
      </c>
      <c r="C1446" s="73" t="str">
        <f>IFERROR(__xludf.DUMMYFUNCTION("""COMPUTED_VALUE"""),"Eye Drop")</f>
        <v>Eye Drop</v>
      </c>
      <c r="D1446" s="73" t="str">
        <f>IFERROR(__xludf.DUMMYFUNCTION("""COMPUTED_VALUE"""),"25*25*65 mm")</f>
        <v>25*25*65 mm</v>
      </c>
      <c r="E1446" s="77">
        <f>IFERROR(__xludf.DUMMYFUNCTION("""COMPUTED_VALUE"""),20.0)</f>
        <v>20</v>
      </c>
      <c r="F1446" s="77">
        <f>IFERROR(__xludf.DUMMYFUNCTION("""COMPUTED_VALUE"""),1926.0)</f>
        <v>1926</v>
      </c>
      <c r="G1446" s="77">
        <f>IFERROR(__xludf.DUMMYFUNCTION("""COMPUTED_VALUE"""),18.0)</f>
        <v>18</v>
      </c>
      <c r="H1446" s="77">
        <f>IFERROR(__xludf.DUMMYFUNCTION("""COMPUTED_VALUE"""),23.0)</f>
        <v>23</v>
      </c>
      <c r="I1446" s="77">
        <f>IFERROR(__xludf.DUMMYFUNCTION("""COMPUTED_VALUE"""),100.0)</f>
        <v>100</v>
      </c>
      <c r="J1446" s="73"/>
      <c r="K1446" s="73"/>
      <c r="L1446" s="73"/>
      <c r="M1446" s="77">
        <f>IFERROR(__xludf.DUMMYFUNCTION("""COMPUTED_VALUE"""),0.1)</f>
        <v>0.1</v>
      </c>
      <c r="N1446" s="77">
        <f>IFERROR(__xludf.DUMMYFUNCTION("""COMPUTED_VALUE"""),1.0)</f>
        <v>1</v>
      </c>
      <c r="O1446" s="49"/>
      <c r="P1446" s="49" t="str">
        <f>IFERROR(__xludf.DUMMYFUNCTION("""COMPUTED_VALUE"""),"Offset")</f>
        <v>Offset</v>
      </c>
      <c r="Q1446" s="49" t="str">
        <f>IFERROR(__xludf.DUMMYFUNCTION("""COMPUTED_VALUE"""),"Packaging")</f>
        <v>Packaging</v>
      </c>
      <c r="R1446" s="49" t="str">
        <f>IFERROR(__xludf.DUMMYFUNCTION("""COMPUTED_VALUE"""),"Medecine")</f>
        <v>Medecine</v>
      </c>
    </row>
    <row r="1447">
      <c r="A1447" s="156" t="str">
        <f>IFERROR(__xludf.DUMMYFUNCTION("""COMPUTED_VALUE"""),"https://drive.google.com/open?id=1T3OZfCqAxItafnqlA9E4ZO9U89k0U--q&amp;authuser=jay.agg%40gmail.com&amp;usp=drive_fs")</f>
        <v>https://drive.google.com/open?id=1T3OZfCqAxItafnqlA9E4ZO9U89k0U--q&amp;authuser=jay.agg%40gmail.com&amp;usp=drive_fs</v>
      </c>
      <c r="B1447" s="73" t="str">
        <f>IFERROR(__xludf.DUMMYFUNCTION("""COMPUTED_VALUE"""),"Medecine")</f>
        <v>Medecine</v>
      </c>
      <c r="C1447" s="73" t="str">
        <f>IFERROR(__xludf.DUMMYFUNCTION("""COMPUTED_VALUE"""),"Box")</f>
        <v>Box</v>
      </c>
      <c r="D1447" s="73" t="str">
        <f>IFERROR(__xludf.DUMMYFUNCTION("""COMPUTED_VALUE"""),"70x55x80 mm IL")</f>
        <v>70x55x80 mm IL</v>
      </c>
      <c r="E1447" s="77">
        <f>IFERROR(__xludf.DUMMYFUNCTION("""COMPUTED_VALUE"""),6.0)</f>
        <v>6</v>
      </c>
      <c r="F1447" s="77">
        <f>IFERROR(__xludf.DUMMYFUNCTION("""COMPUTED_VALUE"""),1926.0)</f>
        <v>1926</v>
      </c>
      <c r="G1447" s="77">
        <f>IFERROR(__xludf.DUMMYFUNCTION("""COMPUTED_VALUE"""),20.0)</f>
        <v>20</v>
      </c>
      <c r="H1447" s="77">
        <f>IFERROR(__xludf.DUMMYFUNCTION("""COMPUTED_VALUE"""),21.0)</f>
        <v>21</v>
      </c>
      <c r="I1447" s="77">
        <f>IFERROR(__xludf.DUMMYFUNCTION("""COMPUTED_VALUE"""),100.0)</f>
        <v>100</v>
      </c>
      <c r="J1447" s="73"/>
      <c r="K1447" s="73"/>
      <c r="L1447" s="73"/>
      <c r="M1447" s="77">
        <f>IFERROR(__xludf.DUMMYFUNCTION("""COMPUTED_VALUE"""),0.1)</f>
        <v>0.1</v>
      </c>
      <c r="N1447" s="77">
        <f>IFERROR(__xludf.DUMMYFUNCTION("""COMPUTED_VALUE"""),1.0)</f>
        <v>1</v>
      </c>
      <c r="O1447" s="49"/>
      <c r="P1447" s="49" t="str">
        <f>IFERROR(__xludf.DUMMYFUNCTION("""COMPUTED_VALUE"""),"Offset")</f>
        <v>Offset</v>
      </c>
      <c r="Q1447" s="49" t="str">
        <f>IFERROR(__xludf.DUMMYFUNCTION("""COMPUTED_VALUE"""),"Packaging")</f>
        <v>Packaging</v>
      </c>
      <c r="R1447" s="49" t="str">
        <f>IFERROR(__xludf.DUMMYFUNCTION("""COMPUTED_VALUE"""),"Medecine")</f>
        <v>Medecine</v>
      </c>
    </row>
    <row r="1448">
      <c r="A1448" s="156" t="str">
        <f>IFERROR(__xludf.DUMMYFUNCTION("""COMPUTED_VALUE"""),"https://drive.google.com/open?id=1T3AZfG8I_U-DqfP5JMLGp265aXQAgO77&amp;authuser=jay.agg%40gmail.com&amp;usp=drive_fs")</f>
        <v>https://drive.google.com/open?id=1T3AZfG8I_U-DqfP5JMLGp265aXQAgO77&amp;authuser=jay.agg%40gmail.com&amp;usp=drive_fs</v>
      </c>
      <c r="B1448" s="73" t="str">
        <f>IFERROR(__xludf.DUMMYFUNCTION("""COMPUTED_VALUE"""),"Medecine")</f>
        <v>Medecine</v>
      </c>
      <c r="C1448" s="73" t="str">
        <f>IFERROR(__xludf.DUMMYFUNCTION("""COMPUTED_VALUE"""),"Chemical")</f>
        <v>Chemical</v>
      </c>
      <c r="D1448" s="73" t="str">
        <f>IFERROR(__xludf.DUMMYFUNCTION("""COMPUTED_VALUE"""),"100*95*55 mm IL (2642)")</f>
        <v>100*95*55 mm IL (2642)</v>
      </c>
      <c r="E1448" s="77">
        <f>IFERROR(__xludf.DUMMYFUNCTION("""COMPUTED_VALUE"""),4.0)</f>
        <v>4</v>
      </c>
      <c r="F1448" s="77">
        <f>IFERROR(__xludf.DUMMYFUNCTION("""COMPUTED_VALUE"""),1926.0)</f>
        <v>1926</v>
      </c>
      <c r="G1448" s="77">
        <f>IFERROR(__xludf.DUMMYFUNCTION("""COMPUTED_VALUE"""),14.0)</f>
        <v>14</v>
      </c>
      <c r="H1448" s="77">
        <f>IFERROR(__xludf.DUMMYFUNCTION("""COMPUTED_VALUE"""),26.0)</f>
        <v>26</v>
      </c>
      <c r="I1448" s="77">
        <f>IFERROR(__xludf.DUMMYFUNCTION("""COMPUTED_VALUE"""),100.0)</f>
        <v>100</v>
      </c>
      <c r="J1448" s="73"/>
      <c r="K1448" s="73"/>
      <c r="L1448" s="73"/>
      <c r="M1448" s="77">
        <f>IFERROR(__xludf.DUMMYFUNCTION("""COMPUTED_VALUE"""),0.1)</f>
        <v>0.1</v>
      </c>
      <c r="N1448" s="77">
        <f>IFERROR(__xludf.DUMMYFUNCTION("""COMPUTED_VALUE"""),1.0)</f>
        <v>1</v>
      </c>
      <c r="O1448" s="49"/>
      <c r="P1448" s="49" t="str">
        <f>IFERROR(__xludf.DUMMYFUNCTION("""COMPUTED_VALUE"""),"Offset")</f>
        <v>Offset</v>
      </c>
      <c r="Q1448" s="49" t="str">
        <f>IFERROR(__xludf.DUMMYFUNCTION("""COMPUTED_VALUE"""),"Packaging")</f>
        <v>Packaging</v>
      </c>
      <c r="R1448" s="49" t="str">
        <f>IFERROR(__xludf.DUMMYFUNCTION("""COMPUTED_VALUE"""),"Medecine")</f>
        <v>Medecine</v>
      </c>
    </row>
    <row r="1449">
      <c r="A1449" s="156" t="str">
        <f>IFERROR(__xludf.DUMMYFUNCTION("""COMPUTED_VALUE"""),"https://drive.google.com/open?id=1T2j5yHy_uj7S8IOZtk2X8fC46LgyDN2Z&amp;authuser=jay.agg%40gmail.com&amp;usp=drive_fs")</f>
        <v>https://drive.google.com/open?id=1T2j5yHy_uj7S8IOZtk2X8fC46LgyDN2Z&amp;authuser=jay.agg%40gmail.com&amp;usp=drive_fs</v>
      </c>
      <c r="B1449" s="73" t="str">
        <f>IFERROR(__xludf.DUMMYFUNCTION("""COMPUTED_VALUE"""),"Medecine")</f>
        <v>Medecine</v>
      </c>
      <c r="C1449" s="73" t="str">
        <f>IFERROR(__xludf.DUMMYFUNCTION("""COMPUTED_VALUE"""),"Chemical")</f>
        <v>Chemical</v>
      </c>
      <c r="D1449" s="73" t="str">
        <f>IFERROR(__xludf.DUMMYFUNCTION("""COMPUTED_VALUE"""),"100*92.5*45 mm IL (2440)")</f>
        <v>100*92.5*45 mm IL (2440)</v>
      </c>
      <c r="E1449" s="77">
        <f>IFERROR(__xludf.DUMMYFUNCTION("""COMPUTED_VALUE"""),4.0)</f>
        <v>4</v>
      </c>
      <c r="F1449" s="77">
        <f>IFERROR(__xludf.DUMMYFUNCTION("""COMPUTED_VALUE"""),1926.0)</f>
        <v>1926</v>
      </c>
      <c r="G1449" s="77">
        <f>IFERROR(__xludf.DUMMYFUNCTION("""COMPUTED_VALUE"""),13.5)</f>
        <v>13.5</v>
      </c>
      <c r="H1449" s="77">
        <f>IFERROR(__xludf.DUMMYFUNCTION("""COMPUTED_VALUE"""),24.0)</f>
        <v>24</v>
      </c>
      <c r="I1449" s="77">
        <f>IFERROR(__xludf.DUMMYFUNCTION("""COMPUTED_VALUE"""),100.0)</f>
        <v>100</v>
      </c>
      <c r="J1449" s="73"/>
      <c r="K1449" s="73"/>
      <c r="L1449" s="73"/>
      <c r="M1449" s="77">
        <f>IFERROR(__xludf.DUMMYFUNCTION("""COMPUTED_VALUE"""),0.1)</f>
        <v>0.1</v>
      </c>
      <c r="N1449" s="77">
        <f>IFERROR(__xludf.DUMMYFUNCTION("""COMPUTED_VALUE"""),1.0)</f>
        <v>1</v>
      </c>
      <c r="O1449" s="49"/>
      <c r="P1449" s="49" t="str">
        <f>IFERROR(__xludf.DUMMYFUNCTION("""COMPUTED_VALUE"""),"Offset")</f>
        <v>Offset</v>
      </c>
      <c r="Q1449" s="49" t="str">
        <f>IFERROR(__xludf.DUMMYFUNCTION("""COMPUTED_VALUE"""),"Packaging")</f>
        <v>Packaging</v>
      </c>
      <c r="R1449" s="49" t="str">
        <f>IFERROR(__xludf.DUMMYFUNCTION("""COMPUTED_VALUE"""),"Medecine")</f>
        <v>Medecine</v>
      </c>
    </row>
    <row r="1450">
      <c r="A1450" s="156" t="str">
        <f>IFERROR(__xludf.DUMMYFUNCTION("""COMPUTED_VALUE"""),"https://drive.google.com/open?id=1T-Rz5eXwZhp6oYSNCAQOrSXNe9xsZ93d&amp;authuser=jay.agg%40gmail.com&amp;usp=drive_fs")</f>
        <v>https://drive.google.com/open?id=1T-Rz5eXwZhp6oYSNCAQOrSXNe9xsZ93d&amp;authuser=jay.agg%40gmail.com&amp;usp=drive_fs</v>
      </c>
      <c r="B1450" s="73" t="str">
        <f>IFERROR(__xludf.DUMMYFUNCTION("""COMPUTED_VALUE"""),"Medecine")</f>
        <v>Medecine</v>
      </c>
      <c r="C1450" s="73" t="str">
        <f>IFERROR(__xludf.DUMMYFUNCTION("""COMPUTED_VALUE"""),"Chemical")</f>
        <v>Chemical</v>
      </c>
      <c r="D1450" s="73" t="str">
        <f>IFERROR(__xludf.DUMMYFUNCTION("""COMPUTED_VALUE"""),"45*20*70 mm")</f>
        <v>45*20*70 mm</v>
      </c>
      <c r="E1450" s="77">
        <f>IFERROR(__xludf.DUMMYFUNCTION("""COMPUTED_VALUE"""),16.0)</f>
        <v>16</v>
      </c>
      <c r="F1450" s="77">
        <f>IFERROR(__xludf.DUMMYFUNCTION("""COMPUTED_VALUE"""),1926.0)</f>
        <v>1926</v>
      </c>
      <c r="G1450" s="77">
        <f>IFERROR(__xludf.DUMMYFUNCTION("""COMPUTED_VALUE"""),18.0)</f>
        <v>18</v>
      </c>
      <c r="H1450" s="77">
        <f>IFERROR(__xludf.DUMMYFUNCTION("""COMPUTED_VALUE"""),23.0)</f>
        <v>23</v>
      </c>
      <c r="I1450" s="77">
        <f>IFERROR(__xludf.DUMMYFUNCTION("""COMPUTED_VALUE"""),100.0)</f>
        <v>100</v>
      </c>
      <c r="J1450" s="73"/>
      <c r="K1450" s="73"/>
      <c r="L1450" s="73"/>
      <c r="M1450" s="77">
        <f>IFERROR(__xludf.DUMMYFUNCTION("""COMPUTED_VALUE"""),0.1)</f>
        <v>0.1</v>
      </c>
      <c r="N1450" s="77">
        <f>IFERROR(__xludf.DUMMYFUNCTION("""COMPUTED_VALUE"""),1.0)</f>
        <v>1</v>
      </c>
      <c r="O1450" s="49"/>
      <c r="P1450" s="49" t="str">
        <f>IFERROR(__xludf.DUMMYFUNCTION("""COMPUTED_VALUE"""),"Offset")</f>
        <v>Offset</v>
      </c>
      <c r="Q1450" s="49" t="str">
        <f>IFERROR(__xludf.DUMMYFUNCTION("""COMPUTED_VALUE"""),"Packaging")</f>
        <v>Packaging</v>
      </c>
      <c r="R1450" s="49" t="str">
        <f>IFERROR(__xludf.DUMMYFUNCTION("""COMPUTED_VALUE"""),"Medecine")</f>
        <v>Medecine</v>
      </c>
    </row>
    <row r="1451">
      <c r="A1451" s="156" t="str">
        <f>IFERROR(__xludf.DUMMYFUNCTION("""COMPUTED_VALUE"""),"https://drive.google.com/open?id=1T1saAtpFellKFd9fJ1mludcKIHQRzlmW&amp;authuser=jay.agg%40gmail.com&amp;usp=drive_fs")</f>
        <v>https://drive.google.com/open?id=1T1saAtpFellKFd9fJ1mludcKIHQRzlmW&amp;authuser=jay.agg%40gmail.com&amp;usp=drive_fs</v>
      </c>
      <c r="B1451" s="73" t="str">
        <f>IFERROR(__xludf.DUMMYFUNCTION("""COMPUTED_VALUE"""),"Medecine")</f>
        <v>Medecine</v>
      </c>
      <c r="C1451" s="73" t="str">
        <f>IFERROR(__xludf.DUMMYFUNCTION("""COMPUTED_VALUE"""),"Chemical")</f>
        <v>Chemical</v>
      </c>
      <c r="D1451" s="73" t="str">
        <f>IFERROR(__xludf.DUMMYFUNCTION("""COMPUTED_VALUE"""),"27.5*27.5*60 mm")</f>
        <v>27.5*27.5*60 mm</v>
      </c>
      <c r="E1451" s="77">
        <f>IFERROR(__xludf.DUMMYFUNCTION("""COMPUTED_VALUE"""),20.0)</f>
        <v>20</v>
      </c>
      <c r="F1451" s="77">
        <f>IFERROR(__xludf.DUMMYFUNCTION("""COMPUTED_VALUE"""),1926.0)</f>
        <v>1926</v>
      </c>
      <c r="G1451" s="77">
        <f>IFERROR(__xludf.DUMMYFUNCTION("""COMPUTED_VALUE"""),18.0)</f>
        <v>18</v>
      </c>
      <c r="H1451" s="77">
        <f>IFERROR(__xludf.DUMMYFUNCTION("""COMPUTED_VALUE"""),25.0)</f>
        <v>25</v>
      </c>
      <c r="I1451" s="77">
        <f>IFERROR(__xludf.DUMMYFUNCTION("""COMPUTED_VALUE"""),100.0)</f>
        <v>100</v>
      </c>
      <c r="J1451" s="73"/>
      <c r="K1451" s="73"/>
      <c r="L1451" s="73"/>
      <c r="M1451" s="77">
        <f>IFERROR(__xludf.DUMMYFUNCTION("""COMPUTED_VALUE"""),0.1)</f>
        <v>0.1</v>
      </c>
      <c r="N1451" s="77">
        <f>IFERROR(__xludf.DUMMYFUNCTION("""COMPUTED_VALUE"""),1.0)</f>
        <v>1</v>
      </c>
      <c r="O1451" s="49"/>
      <c r="P1451" s="49" t="str">
        <f>IFERROR(__xludf.DUMMYFUNCTION("""COMPUTED_VALUE"""),"Offset")</f>
        <v>Offset</v>
      </c>
      <c r="Q1451" s="49" t="str">
        <f>IFERROR(__xludf.DUMMYFUNCTION("""COMPUTED_VALUE"""),"Packaging")</f>
        <v>Packaging</v>
      </c>
      <c r="R1451" s="49" t="str">
        <f>IFERROR(__xludf.DUMMYFUNCTION("""COMPUTED_VALUE"""),"Medecine")</f>
        <v>Medecine</v>
      </c>
    </row>
    <row r="1452">
      <c r="A1452" s="156" t="str">
        <f>IFERROR(__xludf.DUMMYFUNCTION("""COMPUTED_VALUE"""),"https://drive.google.com/open?id=1SoTuPTytsQ6tSMELwTPzwyfUbXsmr5wp&amp;authuser=jay.agg%40gmail.com&amp;usp=drive_fs")</f>
        <v>https://drive.google.com/open?id=1SoTuPTytsQ6tSMELwTPzwyfUbXsmr5wp&amp;authuser=jay.agg%40gmail.com&amp;usp=drive_fs</v>
      </c>
      <c r="B1452" s="73" t="str">
        <f>IFERROR(__xludf.DUMMYFUNCTION("""COMPUTED_VALUE"""),"Medecine")</f>
        <v>Medecine</v>
      </c>
      <c r="C1452" s="73" t="str">
        <f>IFERROR(__xludf.DUMMYFUNCTION("""COMPUTED_VALUE"""),"Misc")</f>
        <v>Misc</v>
      </c>
      <c r="D1452" s="73" t="str">
        <f>IFERROR(__xludf.DUMMYFUNCTION("""COMPUTED_VALUE"""),"95*32*82 mm")</f>
        <v>95*32*82 mm</v>
      </c>
      <c r="E1452" s="77">
        <f>IFERROR(__xludf.DUMMYFUNCTION("""COMPUTED_VALUE"""),6.0)</f>
        <v>6</v>
      </c>
      <c r="F1452" s="77">
        <f>IFERROR(__xludf.DUMMYFUNCTION("""COMPUTED_VALUE"""),1926.0)</f>
        <v>1926</v>
      </c>
      <c r="G1452" s="77">
        <f>IFERROR(__xludf.DUMMYFUNCTION("""COMPUTED_VALUE"""),18.0)</f>
        <v>18</v>
      </c>
      <c r="H1452" s="77">
        <f>IFERROR(__xludf.DUMMYFUNCTION("""COMPUTED_VALUE"""),21.0)</f>
        <v>21</v>
      </c>
      <c r="I1452" s="77">
        <f>IFERROR(__xludf.DUMMYFUNCTION("""COMPUTED_VALUE"""),100.0)</f>
        <v>100</v>
      </c>
      <c r="J1452" s="73"/>
      <c r="K1452" s="73"/>
      <c r="L1452" s="73"/>
      <c r="M1452" s="77">
        <f>IFERROR(__xludf.DUMMYFUNCTION("""COMPUTED_VALUE"""),0.1)</f>
        <v>0.1</v>
      </c>
      <c r="N1452" s="77">
        <f>IFERROR(__xludf.DUMMYFUNCTION("""COMPUTED_VALUE"""),1.0)</f>
        <v>1</v>
      </c>
      <c r="O1452" s="49"/>
      <c r="P1452" s="49" t="str">
        <f>IFERROR(__xludf.DUMMYFUNCTION("""COMPUTED_VALUE"""),"Offset")</f>
        <v>Offset</v>
      </c>
      <c r="Q1452" s="49" t="str">
        <f>IFERROR(__xludf.DUMMYFUNCTION("""COMPUTED_VALUE"""),"Packaging")</f>
        <v>Packaging</v>
      </c>
      <c r="R1452" s="49" t="str">
        <f>IFERROR(__xludf.DUMMYFUNCTION("""COMPUTED_VALUE"""),"Medecine")</f>
        <v>Medecine</v>
      </c>
    </row>
    <row r="1453">
      <c r="A1453" s="156" t="str">
        <f>IFERROR(__xludf.DUMMYFUNCTION("""COMPUTED_VALUE"""),"https://drive.google.com/open?id=1Ss6AQgUd3SMw3DrtVF7cf-zQmwbLUg97&amp;authuser=jay.agg%40gmail.com&amp;usp=drive_fs")</f>
        <v>https://drive.google.com/open?id=1Ss6AQgUd3SMw3DrtVF7cf-zQmwbLUg97&amp;authuser=jay.agg%40gmail.com&amp;usp=drive_fs</v>
      </c>
      <c r="B1453" s="73" t="str">
        <f>IFERROR(__xludf.DUMMYFUNCTION("""COMPUTED_VALUE"""),"Medecine")</f>
        <v>Medecine</v>
      </c>
      <c r="C1453" s="73" t="str">
        <f>IFERROR(__xludf.DUMMYFUNCTION("""COMPUTED_VALUE"""),"Misc")</f>
        <v>Misc</v>
      </c>
      <c r="D1453" s="73" t="str">
        <f>IFERROR(__xludf.DUMMYFUNCTION("""COMPUTED_VALUE"""),"65*32*82 mm")</f>
        <v>65*32*82 mm</v>
      </c>
      <c r="E1453" s="77">
        <f>IFERROR(__xludf.DUMMYFUNCTION("""COMPUTED_VALUE"""),9.0)</f>
        <v>9</v>
      </c>
      <c r="F1453" s="77">
        <f>IFERROR(__xludf.DUMMYFUNCTION("""COMPUTED_VALUE"""),1926.0)</f>
        <v>1926</v>
      </c>
      <c r="G1453" s="77">
        <f>IFERROR(__xludf.DUMMYFUNCTION("""COMPUTED_VALUE"""),18.0)</f>
        <v>18</v>
      </c>
      <c r="H1453" s="77">
        <f>IFERROR(__xludf.DUMMYFUNCTION("""COMPUTED_VALUE"""),25.0)</f>
        <v>25</v>
      </c>
      <c r="I1453" s="77">
        <f>IFERROR(__xludf.DUMMYFUNCTION("""COMPUTED_VALUE"""),100.0)</f>
        <v>100</v>
      </c>
      <c r="J1453" s="73"/>
      <c r="K1453" s="73"/>
      <c r="L1453" s="73"/>
      <c r="M1453" s="77">
        <f>IFERROR(__xludf.DUMMYFUNCTION("""COMPUTED_VALUE"""),0.1)</f>
        <v>0.1</v>
      </c>
      <c r="N1453" s="77">
        <f>IFERROR(__xludf.DUMMYFUNCTION("""COMPUTED_VALUE"""),1.0)</f>
        <v>1</v>
      </c>
      <c r="O1453" s="49"/>
      <c r="P1453" s="49" t="str">
        <f>IFERROR(__xludf.DUMMYFUNCTION("""COMPUTED_VALUE"""),"Offset")</f>
        <v>Offset</v>
      </c>
      <c r="Q1453" s="49" t="str">
        <f>IFERROR(__xludf.DUMMYFUNCTION("""COMPUTED_VALUE"""),"Packaging")</f>
        <v>Packaging</v>
      </c>
      <c r="R1453" s="49" t="str">
        <f>IFERROR(__xludf.DUMMYFUNCTION("""COMPUTED_VALUE"""),"Medecine")</f>
        <v>Medecine</v>
      </c>
    </row>
    <row r="1454">
      <c r="A1454" s="156" t="str">
        <f>IFERROR(__xludf.DUMMYFUNCTION("""COMPUTED_VALUE"""),"https://drive.google.com/open?id=1SuH32ho4oruWWRvkT4pUHXmj0n-oFVQl&amp;authuser=jay.agg%40gmail.com&amp;usp=drive_fs")</f>
        <v>https://drive.google.com/open?id=1SuH32ho4oruWWRvkT4pUHXmj0n-oFVQl&amp;authuser=jay.agg%40gmail.com&amp;usp=drive_fs</v>
      </c>
      <c r="B1454" s="73" t="str">
        <f>IFERROR(__xludf.DUMMYFUNCTION("""COMPUTED_VALUE"""),"Medecine")</f>
        <v>Medecine</v>
      </c>
      <c r="C1454" s="73" t="str">
        <f>IFERROR(__xludf.DUMMYFUNCTION("""COMPUTED_VALUE"""),"Misc")</f>
        <v>Misc</v>
      </c>
      <c r="D1454" s="73" t="str">
        <f>IFERROR(__xludf.DUMMYFUNCTION("""COMPUTED_VALUE"""),"155*32*82 mm")</f>
        <v>155*32*82 mm</v>
      </c>
      <c r="E1454" s="77">
        <f>IFERROR(__xludf.DUMMYFUNCTION("""COMPUTED_VALUE"""),4.0)</f>
        <v>4</v>
      </c>
      <c r="F1454" s="77">
        <f>IFERROR(__xludf.DUMMYFUNCTION("""COMPUTED_VALUE"""),1926.0)</f>
        <v>1926</v>
      </c>
      <c r="G1454" s="77">
        <f>IFERROR(__xludf.DUMMYFUNCTION("""COMPUTED_VALUE"""),18.0)</f>
        <v>18</v>
      </c>
      <c r="H1454" s="77">
        <f>IFERROR(__xludf.DUMMYFUNCTION("""COMPUTED_VALUE"""),23.0)</f>
        <v>23</v>
      </c>
      <c r="I1454" s="77">
        <f>IFERROR(__xludf.DUMMYFUNCTION("""COMPUTED_VALUE"""),100.0)</f>
        <v>100</v>
      </c>
      <c r="J1454" s="73"/>
      <c r="K1454" s="73"/>
      <c r="L1454" s="73"/>
      <c r="M1454" s="77">
        <f>IFERROR(__xludf.DUMMYFUNCTION("""COMPUTED_VALUE"""),0.1)</f>
        <v>0.1</v>
      </c>
      <c r="N1454" s="77">
        <f>IFERROR(__xludf.DUMMYFUNCTION("""COMPUTED_VALUE"""),1.0)</f>
        <v>1</v>
      </c>
      <c r="O1454" s="49"/>
      <c r="P1454" s="49" t="str">
        <f>IFERROR(__xludf.DUMMYFUNCTION("""COMPUTED_VALUE"""),"Offset")</f>
        <v>Offset</v>
      </c>
      <c r="Q1454" s="49" t="str">
        <f>IFERROR(__xludf.DUMMYFUNCTION("""COMPUTED_VALUE"""),"Packaging")</f>
        <v>Packaging</v>
      </c>
      <c r="R1454" s="49" t="str">
        <f>IFERROR(__xludf.DUMMYFUNCTION("""COMPUTED_VALUE"""),"Medecine")</f>
        <v>Medecine</v>
      </c>
    </row>
    <row r="1455">
      <c r="A1455" s="156" t="str">
        <f>IFERROR(__xludf.DUMMYFUNCTION("""COMPUTED_VALUE"""),"https://drive.google.com/open?id=1SwKEnJFcGg-jdaqaexcSwPbNcFYD32dS&amp;authuser=jay.agg%40gmail.com&amp;usp=drive_fs")</f>
        <v>https://drive.google.com/open?id=1SwKEnJFcGg-jdaqaexcSwPbNcFYD32dS&amp;authuser=jay.agg%40gmail.com&amp;usp=drive_fs</v>
      </c>
      <c r="B1455" s="73" t="str">
        <f>IFERROR(__xludf.DUMMYFUNCTION("""COMPUTED_VALUE"""),"Medecine")</f>
        <v>Medecine</v>
      </c>
      <c r="C1455" s="73" t="str">
        <f>IFERROR(__xludf.DUMMYFUNCTION("""COMPUTED_VALUE"""),"Misc")</f>
        <v>Misc</v>
      </c>
      <c r="D1455" s="73" t="str">
        <f>IFERROR(__xludf.DUMMYFUNCTION("""COMPUTED_VALUE"""),"72*72*192 mm")</f>
        <v>72*72*192 mm</v>
      </c>
      <c r="E1455" s="77">
        <f>IFERROR(__xludf.DUMMYFUNCTION("""COMPUTED_VALUE"""),2.0)</f>
        <v>2</v>
      </c>
      <c r="F1455" s="77">
        <f>IFERROR(__xludf.DUMMYFUNCTION("""COMPUTED_VALUE"""),1926.0)</f>
        <v>1926</v>
      </c>
      <c r="G1455" s="77">
        <f>IFERROR(__xludf.DUMMYFUNCTION("""COMPUTED_VALUE"""),15.0)</f>
        <v>15</v>
      </c>
      <c r="H1455" s="77">
        <f>IFERROR(__xludf.DUMMYFUNCTION("""COMPUTED_VALUE"""),25.0)</f>
        <v>25</v>
      </c>
      <c r="I1455" s="77">
        <f>IFERROR(__xludf.DUMMYFUNCTION("""COMPUTED_VALUE"""),100.0)</f>
        <v>100</v>
      </c>
      <c r="J1455" s="73"/>
      <c r="K1455" s="73"/>
      <c r="L1455" s="73"/>
      <c r="M1455" s="77">
        <f>IFERROR(__xludf.DUMMYFUNCTION("""COMPUTED_VALUE"""),0.1)</f>
        <v>0.1</v>
      </c>
      <c r="N1455" s="77">
        <f>IFERROR(__xludf.DUMMYFUNCTION("""COMPUTED_VALUE"""),1.0)</f>
        <v>1</v>
      </c>
      <c r="O1455" s="49"/>
      <c r="P1455" s="49" t="str">
        <f>IFERROR(__xludf.DUMMYFUNCTION("""COMPUTED_VALUE"""),"Offset")</f>
        <v>Offset</v>
      </c>
      <c r="Q1455" s="49" t="str">
        <f>IFERROR(__xludf.DUMMYFUNCTION("""COMPUTED_VALUE"""),"Packaging")</f>
        <v>Packaging</v>
      </c>
      <c r="R1455" s="49" t="str">
        <f>IFERROR(__xludf.DUMMYFUNCTION("""COMPUTED_VALUE"""),"Medecine")</f>
        <v>Medecine</v>
      </c>
    </row>
    <row r="1456">
      <c r="A1456" s="156" t="str">
        <f>IFERROR(__xludf.DUMMYFUNCTION("""COMPUTED_VALUE"""),"https://drive.google.com/open?id=1SwuTg2z8ZbQuSyTGEYLIIdJppiGmmJDy&amp;authuser=jay.agg%40gmail.com&amp;usp=drive_fs")</f>
        <v>https://drive.google.com/open?id=1SwuTg2z8ZbQuSyTGEYLIIdJppiGmmJDy&amp;authuser=jay.agg%40gmail.com&amp;usp=drive_fs</v>
      </c>
      <c r="B1456" s="73" t="str">
        <f>IFERROR(__xludf.DUMMYFUNCTION("""COMPUTED_VALUE"""),"Medecine")</f>
        <v>Medecine</v>
      </c>
      <c r="C1456" s="73" t="str">
        <f>IFERROR(__xludf.DUMMYFUNCTION("""COMPUTED_VALUE"""),"Misc")</f>
        <v>Misc</v>
      </c>
      <c r="D1456" s="73" t="str">
        <f>IFERROR(__xludf.DUMMYFUNCTION("""COMPUTED_VALUE"""),"145*52*78 mm IL")</f>
        <v>145*52*78 mm IL</v>
      </c>
      <c r="E1456" s="77">
        <f>IFERROR(__xludf.DUMMYFUNCTION("""COMPUTED_VALUE"""),4.0)</f>
        <v>4</v>
      </c>
      <c r="F1456" s="77">
        <f>IFERROR(__xludf.DUMMYFUNCTION("""COMPUTED_VALUE"""),1926.0)</f>
        <v>1926</v>
      </c>
      <c r="G1456" s="77">
        <f>IFERROR(__xludf.DUMMYFUNCTION("""COMPUTED_VALUE"""),18.0)</f>
        <v>18</v>
      </c>
      <c r="H1456" s="77">
        <f>IFERROR(__xludf.DUMMYFUNCTION("""COMPUTED_VALUE"""),24.0)</f>
        <v>24</v>
      </c>
      <c r="I1456" s="77">
        <f>IFERROR(__xludf.DUMMYFUNCTION("""COMPUTED_VALUE"""),100.0)</f>
        <v>100</v>
      </c>
      <c r="J1456" s="73"/>
      <c r="K1456" s="73"/>
      <c r="L1456" s="73"/>
      <c r="M1456" s="77">
        <f>IFERROR(__xludf.DUMMYFUNCTION("""COMPUTED_VALUE"""),0.1)</f>
        <v>0.1</v>
      </c>
      <c r="N1456" s="77">
        <f>IFERROR(__xludf.DUMMYFUNCTION("""COMPUTED_VALUE"""),1.0)</f>
        <v>1</v>
      </c>
      <c r="O1456" s="49"/>
      <c r="P1456" s="49" t="str">
        <f>IFERROR(__xludf.DUMMYFUNCTION("""COMPUTED_VALUE"""),"Offset")</f>
        <v>Offset</v>
      </c>
      <c r="Q1456" s="49" t="str">
        <f>IFERROR(__xludf.DUMMYFUNCTION("""COMPUTED_VALUE"""),"Packaging")</f>
        <v>Packaging</v>
      </c>
      <c r="R1456" s="49" t="str">
        <f>IFERROR(__xludf.DUMMYFUNCTION("""COMPUTED_VALUE"""),"Medecine")</f>
        <v>Medecine</v>
      </c>
    </row>
    <row r="1457">
      <c r="A1457" s="156" t="str">
        <f>IFERROR(__xludf.DUMMYFUNCTION("""COMPUTED_VALUE"""),"https://drive.google.com/open?id=1SnFU6ssiopmwlB4Wx2O2VO4D71YVg4CF&amp;authuser=jay.agg%40gmail.com&amp;usp=drive_fs")</f>
        <v>https://drive.google.com/open?id=1SnFU6ssiopmwlB4Wx2O2VO4D71YVg4CF&amp;authuser=jay.agg%40gmail.com&amp;usp=drive_fs</v>
      </c>
      <c r="B1457" s="73" t="str">
        <f>IFERROR(__xludf.DUMMYFUNCTION("""COMPUTED_VALUE"""),"Medecine")</f>
        <v>Medecine</v>
      </c>
      <c r="C1457" s="73" t="str">
        <f>IFERROR(__xludf.DUMMYFUNCTION("""COMPUTED_VALUE"""),"Eye Drop")</f>
        <v>Eye Drop</v>
      </c>
      <c r="D1457" s="73" t="str">
        <f>IFERROR(__xludf.DUMMYFUNCTION("""COMPUTED_VALUE"""),"5*5*5 inch IL")</f>
        <v>5*5*5 inch IL</v>
      </c>
      <c r="E1457" s="77">
        <f>IFERROR(__xludf.DUMMYFUNCTION("""COMPUTED_VALUE"""),1.0)</f>
        <v>1</v>
      </c>
      <c r="F1457" s="77">
        <f>IFERROR(__xludf.DUMMYFUNCTION("""COMPUTED_VALUE"""),1926.0)</f>
        <v>1926</v>
      </c>
      <c r="G1457" s="77">
        <f>IFERROR(__xludf.DUMMYFUNCTION("""COMPUTED_VALUE"""),15.75)</f>
        <v>15.75</v>
      </c>
      <c r="H1457" s="77">
        <f>IFERROR(__xludf.DUMMYFUNCTION("""COMPUTED_VALUE"""),20.75)</f>
        <v>20.75</v>
      </c>
      <c r="I1457" s="77">
        <f>IFERROR(__xludf.DUMMYFUNCTION("""COMPUTED_VALUE"""),100.0)</f>
        <v>100</v>
      </c>
      <c r="J1457" s="73"/>
      <c r="K1457" s="73"/>
      <c r="L1457" s="73"/>
      <c r="M1457" s="77">
        <f>IFERROR(__xludf.DUMMYFUNCTION("""COMPUTED_VALUE"""),0.1)</f>
        <v>0.1</v>
      </c>
      <c r="N1457" s="77">
        <f>IFERROR(__xludf.DUMMYFUNCTION("""COMPUTED_VALUE"""),1.0)</f>
        <v>1</v>
      </c>
      <c r="O1457" s="49"/>
      <c r="P1457" s="49" t="str">
        <f>IFERROR(__xludf.DUMMYFUNCTION("""COMPUTED_VALUE"""),"Offset")</f>
        <v>Offset</v>
      </c>
      <c r="Q1457" s="49" t="str">
        <f>IFERROR(__xludf.DUMMYFUNCTION("""COMPUTED_VALUE"""),"Packaging")</f>
        <v>Packaging</v>
      </c>
      <c r="R1457" s="49" t="str">
        <f>IFERROR(__xludf.DUMMYFUNCTION("""COMPUTED_VALUE"""),"Medecine")</f>
        <v>Medecine</v>
      </c>
    </row>
    <row r="1458">
      <c r="A1458" s="156" t="str">
        <f>IFERROR(__xludf.DUMMYFUNCTION("""COMPUTED_VALUE"""),"https://drive.google.com/open?id=1ShNpmhe2zVpVVZh_t333ACpr2NCkoshh&amp;authuser=jay.agg%40gmail.com&amp;usp=drive_fs")</f>
        <v>https://drive.google.com/open?id=1ShNpmhe2zVpVVZh_t333ACpr2NCkoshh&amp;authuser=jay.agg%40gmail.com&amp;usp=drive_fs</v>
      </c>
      <c r="B1458" s="73" t="str">
        <f>IFERROR(__xludf.DUMMYFUNCTION("""COMPUTED_VALUE"""),"Medecine")</f>
        <v>Medecine</v>
      </c>
      <c r="C1458" s="73" t="str">
        <f>IFERROR(__xludf.DUMMYFUNCTION("""COMPUTED_VALUE"""),"Surgical")</f>
        <v>Surgical</v>
      </c>
      <c r="D1458" s="73" t="str">
        <f>IFERROR(__xludf.DUMMYFUNCTION("""COMPUTED_VALUE"""),"145*80*157 mm")</f>
        <v>145*80*157 mm</v>
      </c>
      <c r="E1458" s="77">
        <f>IFERROR(__xludf.DUMMYFUNCTION("""COMPUTED_VALUE"""),2.0)</f>
        <v>2</v>
      </c>
      <c r="F1458" s="77">
        <f>IFERROR(__xludf.DUMMYFUNCTION("""COMPUTED_VALUE"""),1926.0)</f>
        <v>1926</v>
      </c>
      <c r="G1458" s="77">
        <f>IFERROR(__xludf.DUMMYFUNCTION("""COMPUTED_VALUE"""),19.0)</f>
        <v>19</v>
      </c>
      <c r="H1458" s="77">
        <f>IFERROR(__xludf.DUMMYFUNCTION("""COMPUTED_VALUE"""),26.0)</f>
        <v>26</v>
      </c>
      <c r="I1458" s="77">
        <f>IFERROR(__xludf.DUMMYFUNCTION("""COMPUTED_VALUE"""),100.0)</f>
        <v>100</v>
      </c>
      <c r="J1458" s="73"/>
      <c r="K1458" s="73"/>
      <c r="L1458" s="73"/>
      <c r="M1458" s="77">
        <f>IFERROR(__xludf.DUMMYFUNCTION("""COMPUTED_VALUE"""),0.1)</f>
        <v>0.1</v>
      </c>
      <c r="N1458" s="77">
        <f>IFERROR(__xludf.DUMMYFUNCTION("""COMPUTED_VALUE"""),1.0)</f>
        <v>1</v>
      </c>
      <c r="O1458" s="49"/>
      <c r="P1458" s="49" t="str">
        <f>IFERROR(__xludf.DUMMYFUNCTION("""COMPUTED_VALUE"""),"Offset")</f>
        <v>Offset</v>
      </c>
      <c r="Q1458" s="49" t="str">
        <f>IFERROR(__xludf.DUMMYFUNCTION("""COMPUTED_VALUE"""),"Packaging")</f>
        <v>Packaging</v>
      </c>
      <c r="R1458" s="49" t="str">
        <f>IFERROR(__xludf.DUMMYFUNCTION("""COMPUTED_VALUE"""),"Medecine")</f>
        <v>Medecine</v>
      </c>
    </row>
    <row r="1459">
      <c r="A1459" s="156" t="str">
        <f>IFERROR(__xludf.DUMMYFUNCTION("""COMPUTED_VALUE"""),"https://drive.google.com/open?id=1jyTkG6OobKMk06vTp6BOOVtf_vLO2VTl&amp;authuser=jay.agg%40gmail.com&amp;usp=drive_fs")</f>
        <v>https://drive.google.com/open?id=1jyTkG6OobKMk06vTp6BOOVtf_vLO2VTl&amp;authuser=jay.agg%40gmail.com&amp;usp=drive_fs</v>
      </c>
      <c r="B1459" s="73" t="str">
        <f>IFERROR(__xludf.DUMMYFUNCTION("""COMPUTED_VALUE"""),"Medecine")</f>
        <v>Medecine</v>
      </c>
      <c r="C1459" s="73" t="str">
        <f>IFERROR(__xludf.DUMMYFUNCTION("""COMPUTED_VALUE"""),"Ayurvedic")</f>
        <v>Ayurvedic</v>
      </c>
      <c r="D1459" s="73" t="str">
        <f>IFERROR(__xludf.DUMMYFUNCTION("""COMPUTED_VALUE"""),"26*26*54 mm")</f>
        <v>26*26*54 mm</v>
      </c>
      <c r="E1459" s="77">
        <f>IFERROR(__xludf.DUMMYFUNCTION("""COMPUTED_VALUE"""),20.0)</f>
        <v>20</v>
      </c>
      <c r="F1459" s="77">
        <f>IFERROR(__xludf.DUMMYFUNCTION("""COMPUTED_VALUE"""),1926.0)</f>
        <v>1926</v>
      </c>
      <c r="G1459" s="77">
        <f>IFERROR(__xludf.DUMMYFUNCTION("""COMPUTED_VALUE"""),19.0)</f>
        <v>19</v>
      </c>
      <c r="H1459" s="77">
        <f>IFERROR(__xludf.DUMMYFUNCTION("""COMPUTED_VALUE"""),20.0)</f>
        <v>20</v>
      </c>
      <c r="I1459" s="77">
        <f>IFERROR(__xludf.DUMMYFUNCTION("""COMPUTED_VALUE"""),100.0)</f>
        <v>100</v>
      </c>
      <c r="J1459" s="73"/>
      <c r="K1459" s="73"/>
      <c r="L1459" s="73"/>
      <c r="M1459" s="77">
        <f>IFERROR(__xludf.DUMMYFUNCTION("""COMPUTED_VALUE"""),0.1)</f>
        <v>0.1</v>
      </c>
      <c r="N1459" s="77">
        <f>IFERROR(__xludf.DUMMYFUNCTION("""COMPUTED_VALUE"""),1.0)</f>
        <v>1</v>
      </c>
      <c r="O1459" s="49"/>
      <c r="P1459" s="49" t="str">
        <f>IFERROR(__xludf.DUMMYFUNCTION("""COMPUTED_VALUE"""),"Offset")</f>
        <v>Offset</v>
      </c>
      <c r="Q1459" s="49" t="str">
        <f>IFERROR(__xludf.DUMMYFUNCTION("""COMPUTED_VALUE"""),"Packaging")</f>
        <v>Packaging</v>
      </c>
      <c r="R1459" s="49" t="str">
        <f>IFERROR(__xludf.DUMMYFUNCTION("""COMPUTED_VALUE"""),"Medecine")</f>
        <v>Medecine</v>
      </c>
    </row>
    <row r="1460">
      <c r="A1460" s="156" t="str">
        <f>IFERROR(__xludf.DUMMYFUNCTION("""COMPUTED_VALUE"""),"https://drive.google.com/open?id=1l5-RtEG-YukiNWHbyUHGcMemwjGqewQz&amp;authuser=jay.agg%40gmail.com&amp;usp=drive_fs")</f>
        <v>https://drive.google.com/open?id=1l5-RtEG-YukiNWHbyUHGcMemwjGqewQz&amp;authuser=jay.agg%40gmail.com&amp;usp=drive_fs</v>
      </c>
      <c r="B1460" s="73" t="str">
        <f>IFERROR(__xludf.DUMMYFUNCTION("""COMPUTED_VALUE"""),"Medecine")</f>
        <v>Medecine</v>
      </c>
      <c r="C1460" s="73" t="str">
        <f>IFERROR(__xludf.DUMMYFUNCTION("""COMPUTED_VALUE"""),"Ayurvedic")</f>
        <v>Ayurvedic</v>
      </c>
      <c r="D1460" s="73" t="str">
        <f>IFERROR(__xludf.DUMMYFUNCTION("""COMPUTED_VALUE"""),"38*38*102 mm | 1.5*1.5*4 inch")</f>
        <v>38*38*102 mm | 1.5*1.5*4 inch</v>
      </c>
      <c r="E1460" s="77">
        <f>IFERROR(__xludf.DUMMYFUNCTION("""COMPUTED_VALUE"""),6.0)</f>
        <v>6</v>
      </c>
      <c r="F1460" s="77">
        <f>IFERROR(__xludf.DUMMYFUNCTION("""COMPUTED_VALUE"""),1926.0)</f>
        <v>1926</v>
      </c>
      <c r="G1460" s="77">
        <f>IFERROR(__xludf.DUMMYFUNCTION("""COMPUTED_VALUE"""),15.0)</f>
        <v>15</v>
      </c>
      <c r="H1460" s="77">
        <f>IFERROR(__xludf.DUMMYFUNCTION("""COMPUTED_VALUE"""),20.0)</f>
        <v>20</v>
      </c>
      <c r="I1460" s="77">
        <f>IFERROR(__xludf.DUMMYFUNCTION("""COMPUTED_VALUE"""),100.0)</f>
        <v>100</v>
      </c>
      <c r="J1460" s="73"/>
      <c r="K1460" s="73"/>
      <c r="L1460" s="73"/>
      <c r="M1460" s="77">
        <f>IFERROR(__xludf.DUMMYFUNCTION("""COMPUTED_VALUE"""),0.1)</f>
        <v>0.1</v>
      </c>
      <c r="N1460" s="77">
        <f>IFERROR(__xludf.DUMMYFUNCTION("""COMPUTED_VALUE"""),1.0)</f>
        <v>1</v>
      </c>
      <c r="O1460" s="49"/>
      <c r="P1460" s="49" t="str">
        <f>IFERROR(__xludf.DUMMYFUNCTION("""COMPUTED_VALUE"""),"Offset")</f>
        <v>Offset</v>
      </c>
      <c r="Q1460" s="49" t="str">
        <f>IFERROR(__xludf.DUMMYFUNCTION("""COMPUTED_VALUE"""),"Packaging")</f>
        <v>Packaging</v>
      </c>
      <c r="R1460" s="49" t="str">
        <f>IFERROR(__xludf.DUMMYFUNCTION("""COMPUTED_VALUE"""),"Medecine")</f>
        <v>Medecine</v>
      </c>
    </row>
    <row r="1461">
      <c r="A1461" s="156" t="str">
        <f>IFERROR(__xludf.DUMMYFUNCTION("""COMPUTED_VALUE"""),"https://drive.google.com/open?id=1l8OBkNwia_fB-RXO5ud_t6Kf9aIw1S0q&amp;authuser=jay.agg%40gmail.com&amp;usp=drive_fs")</f>
        <v>https://drive.google.com/open?id=1l8OBkNwia_fB-RXO5ud_t6Kf9aIw1S0q&amp;authuser=jay.agg%40gmail.com&amp;usp=drive_fs</v>
      </c>
      <c r="B1461" s="73" t="str">
        <f>IFERROR(__xludf.DUMMYFUNCTION("""COMPUTED_VALUE"""),"Medecine")</f>
        <v>Medecine</v>
      </c>
      <c r="C1461" s="73" t="str">
        <f>IFERROR(__xludf.DUMMYFUNCTION("""COMPUTED_VALUE"""),"Ayurvedic")</f>
        <v>Ayurvedic</v>
      </c>
      <c r="D1461" s="73" t="str">
        <f>IFERROR(__xludf.DUMMYFUNCTION("""COMPUTED_VALUE"""),"52*52*134 mm | 2*2*5.2 inch")</f>
        <v>52*52*134 mm | 2*2*5.2 inch</v>
      </c>
      <c r="E1461" s="77">
        <f>IFERROR(__xludf.DUMMYFUNCTION("""COMPUTED_VALUE"""),4.0)</f>
        <v>4</v>
      </c>
      <c r="F1461" s="77">
        <f>IFERROR(__xludf.DUMMYFUNCTION("""COMPUTED_VALUE"""),1926.0)</f>
        <v>1926</v>
      </c>
      <c r="G1461" s="77">
        <f>IFERROR(__xludf.DUMMYFUNCTION("""COMPUTED_VALUE"""),19.0)</f>
        <v>19</v>
      </c>
      <c r="H1461" s="77">
        <f>IFERROR(__xludf.DUMMYFUNCTION("""COMPUTED_VALUE"""),20.0)</f>
        <v>20</v>
      </c>
      <c r="I1461" s="77">
        <f>IFERROR(__xludf.DUMMYFUNCTION("""COMPUTED_VALUE"""),100.0)</f>
        <v>100</v>
      </c>
      <c r="J1461" s="73"/>
      <c r="K1461" s="73"/>
      <c r="L1461" s="73"/>
      <c r="M1461" s="77">
        <f>IFERROR(__xludf.DUMMYFUNCTION("""COMPUTED_VALUE"""),0.1)</f>
        <v>0.1</v>
      </c>
      <c r="N1461" s="77">
        <f>IFERROR(__xludf.DUMMYFUNCTION("""COMPUTED_VALUE"""),1.0)</f>
        <v>1</v>
      </c>
      <c r="O1461" s="49"/>
      <c r="P1461" s="49" t="str">
        <f>IFERROR(__xludf.DUMMYFUNCTION("""COMPUTED_VALUE"""),"Offset")</f>
        <v>Offset</v>
      </c>
      <c r="Q1461" s="49" t="str">
        <f>IFERROR(__xludf.DUMMYFUNCTION("""COMPUTED_VALUE"""),"Packaging")</f>
        <v>Packaging</v>
      </c>
      <c r="R1461" s="49" t="str">
        <f>IFERROR(__xludf.DUMMYFUNCTION("""COMPUTED_VALUE"""),"Medecine")</f>
        <v>Medecine</v>
      </c>
    </row>
    <row r="1462">
      <c r="A1462" s="156" t="str">
        <f>IFERROR(__xludf.DUMMYFUNCTION("""COMPUTED_VALUE"""),"https://drive.google.com/open?id=1oh0WQUDIYvTyh5IRTdoQpl0l50XGRh6S&amp;authuser=jay.agg%40gmail.com&amp;usp=drive_fs")</f>
        <v>https://drive.google.com/open?id=1oh0WQUDIYvTyh5IRTdoQpl0l50XGRh6S&amp;authuser=jay.agg%40gmail.com&amp;usp=drive_fs</v>
      </c>
      <c r="B1462" s="73" t="str">
        <f>IFERROR(__xludf.DUMMYFUNCTION("""COMPUTED_VALUE"""),"Medecine")</f>
        <v>Medecine</v>
      </c>
      <c r="C1462" s="73" t="str">
        <f>IFERROR(__xludf.DUMMYFUNCTION("""COMPUTED_VALUE"""),"Dropper")</f>
        <v>Dropper</v>
      </c>
      <c r="D1462" s="73" t="str">
        <f>IFERROR(__xludf.DUMMYFUNCTION("""COMPUTED_VALUE"""),"32*30*94 mm")</f>
        <v>32*30*94 mm</v>
      </c>
      <c r="E1462" s="77">
        <f>IFERROR(__xludf.DUMMYFUNCTION("""COMPUTED_VALUE"""),12.0)</f>
        <v>12</v>
      </c>
      <c r="F1462" s="77">
        <f>IFERROR(__xludf.DUMMYFUNCTION("""COMPUTED_VALUE"""),1926.0)</f>
        <v>1926</v>
      </c>
      <c r="G1462" s="77">
        <f>IFERROR(__xludf.DUMMYFUNCTION("""COMPUTED_VALUE"""),18.0)</f>
        <v>18</v>
      </c>
      <c r="H1462" s="77">
        <f>IFERROR(__xludf.DUMMYFUNCTION("""COMPUTED_VALUE"""),23.0)</f>
        <v>23</v>
      </c>
      <c r="I1462" s="77">
        <f>IFERROR(__xludf.DUMMYFUNCTION("""COMPUTED_VALUE"""),100.0)</f>
        <v>100</v>
      </c>
      <c r="J1462" s="73"/>
      <c r="K1462" s="73"/>
      <c r="L1462" s="73"/>
      <c r="M1462" s="77">
        <f>IFERROR(__xludf.DUMMYFUNCTION("""COMPUTED_VALUE"""),0.1)</f>
        <v>0.1</v>
      </c>
      <c r="N1462" s="77">
        <f>IFERROR(__xludf.DUMMYFUNCTION("""COMPUTED_VALUE"""),1.0)</f>
        <v>1</v>
      </c>
      <c r="O1462" s="49"/>
      <c r="P1462" s="49" t="str">
        <f>IFERROR(__xludf.DUMMYFUNCTION("""COMPUTED_VALUE"""),"Offset")</f>
        <v>Offset</v>
      </c>
      <c r="Q1462" s="49" t="str">
        <f>IFERROR(__xludf.DUMMYFUNCTION("""COMPUTED_VALUE"""),"Packaging")</f>
        <v>Packaging</v>
      </c>
      <c r="R1462" s="49" t="str">
        <f>IFERROR(__xludf.DUMMYFUNCTION("""COMPUTED_VALUE"""),"Medecine")</f>
        <v>Medecine</v>
      </c>
    </row>
    <row r="1463">
      <c r="A1463" s="156" t="str">
        <f>IFERROR(__xludf.DUMMYFUNCTION("""COMPUTED_VALUE"""),"https://drive.google.com/open?id=1pollF5hATnGNuDIqhgI_G8fm4W_zwlIf&amp;authuser=jay.agg%40gmail.com&amp;usp=drive_fs")</f>
        <v>https://drive.google.com/open?id=1pollF5hATnGNuDIqhgI_G8fm4W_zwlIf&amp;authuser=jay.agg%40gmail.com&amp;usp=drive_fs</v>
      </c>
      <c r="B1463" s="73" t="str">
        <f>IFERROR(__xludf.DUMMYFUNCTION("""COMPUTED_VALUE"""),"Medecine")</f>
        <v>Medecine</v>
      </c>
      <c r="C1463" s="73" t="str">
        <f>IFERROR(__xludf.DUMMYFUNCTION("""COMPUTED_VALUE"""),"Injection")</f>
        <v>Injection</v>
      </c>
      <c r="D1463" s="73" t="str">
        <f>IFERROR(__xludf.DUMMYFUNCTION("""COMPUTED_VALUE"""),"220*15*85 mm")</f>
        <v>220*15*85 mm</v>
      </c>
      <c r="E1463" s="77">
        <f>IFERROR(__xludf.DUMMYFUNCTION("""COMPUTED_VALUE"""),3.0)</f>
        <v>3</v>
      </c>
      <c r="F1463" s="77">
        <f>IFERROR(__xludf.DUMMYFUNCTION("""COMPUTED_VALUE"""),1926.0)</f>
        <v>1926</v>
      </c>
      <c r="G1463" s="77">
        <f>IFERROR(__xludf.DUMMYFUNCTION("""COMPUTED_VALUE"""),15.0)</f>
        <v>15</v>
      </c>
      <c r="H1463" s="77">
        <f>IFERROR(__xludf.DUMMYFUNCTION("""COMPUTED_VALUE"""),20.0)</f>
        <v>20</v>
      </c>
      <c r="I1463" s="77">
        <f>IFERROR(__xludf.DUMMYFUNCTION("""COMPUTED_VALUE"""),100.0)</f>
        <v>100</v>
      </c>
      <c r="J1463" s="73"/>
      <c r="K1463" s="73"/>
      <c r="L1463" s="73"/>
      <c r="M1463" s="77">
        <f>IFERROR(__xludf.DUMMYFUNCTION("""COMPUTED_VALUE"""),0.1)</f>
        <v>0.1</v>
      </c>
      <c r="N1463" s="77">
        <f>IFERROR(__xludf.DUMMYFUNCTION("""COMPUTED_VALUE"""),1.0)</f>
        <v>1</v>
      </c>
      <c r="O1463" s="49"/>
      <c r="P1463" s="49" t="str">
        <f>IFERROR(__xludf.DUMMYFUNCTION("""COMPUTED_VALUE"""),"Offset")</f>
        <v>Offset</v>
      </c>
      <c r="Q1463" s="49" t="str">
        <f>IFERROR(__xludf.DUMMYFUNCTION("""COMPUTED_VALUE"""),"Packaging")</f>
        <v>Packaging</v>
      </c>
      <c r="R1463" s="49" t="str">
        <f>IFERROR(__xludf.DUMMYFUNCTION("""COMPUTED_VALUE"""),"Medecine")</f>
        <v>Medecine</v>
      </c>
    </row>
    <row r="1464">
      <c r="A1464" s="156" t="str">
        <f>IFERROR(__xludf.DUMMYFUNCTION("""COMPUTED_VALUE"""),"https://drive.google.com/open?id=1sMEGY-Zc37bc0q3SG6fRim0-bDciUjGm&amp;authuser=jay.agg%40gmail.com&amp;usp=drive_fs")</f>
        <v>https://drive.google.com/open?id=1sMEGY-Zc37bc0q3SG6fRim0-bDciUjGm&amp;authuser=jay.agg%40gmail.com&amp;usp=drive_fs</v>
      </c>
      <c r="B1464" s="73" t="str">
        <f>IFERROR(__xludf.DUMMYFUNCTION("""COMPUTED_VALUE"""),"Medecine")</f>
        <v>Medecine</v>
      </c>
      <c r="C1464" s="73" t="str">
        <f>IFERROR(__xludf.DUMMYFUNCTION("""COMPUTED_VALUE"""),"Cream Outer")</f>
        <v>Cream Outer</v>
      </c>
      <c r="D1464" s="73" t="str">
        <f>IFERROR(__xludf.DUMMYFUNCTION("""COMPUTED_VALUE"""),"120*64*213 mm")</f>
        <v>120*64*213 mm</v>
      </c>
      <c r="E1464" s="77">
        <f>IFERROR(__xludf.DUMMYFUNCTION("""COMPUTED_VALUE"""),1.0)</f>
        <v>1</v>
      </c>
      <c r="F1464" s="77">
        <f>IFERROR(__xludf.DUMMYFUNCTION("""COMPUTED_VALUE"""),1926.0)</f>
        <v>1926</v>
      </c>
      <c r="G1464" s="77">
        <f>IFERROR(__xludf.DUMMYFUNCTION("""COMPUTED_VALUE"""),18.0)</f>
        <v>18</v>
      </c>
      <c r="H1464" s="77">
        <f>IFERROR(__xludf.DUMMYFUNCTION("""COMPUTED_VALUE"""),21.0)</f>
        <v>21</v>
      </c>
      <c r="I1464" s="77">
        <f>IFERROR(__xludf.DUMMYFUNCTION("""COMPUTED_VALUE"""),100.0)</f>
        <v>100</v>
      </c>
      <c r="J1464" s="73"/>
      <c r="K1464" s="73"/>
      <c r="L1464" s="73"/>
      <c r="M1464" s="77">
        <f>IFERROR(__xludf.DUMMYFUNCTION("""COMPUTED_VALUE"""),0.1)</f>
        <v>0.1</v>
      </c>
      <c r="N1464" s="77">
        <f>IFERROR(__xludf.DUMMYFUNCTION("""COMPUTED_VALUE"""),1.0)</f>
        <v>1</v>
      </c>
      <c r="O1464" s="49"/>
      <c r="P1464" s="49" t="str">
        <f>IFERROR(__xludf.DUMMYFUNCTION("""COMPUTED_VALUE"""),"Offset")</f>
        <v>Offset</v>
      </c>
      <c r="Q1464" s="49" t="str">
        <f>IFERROR(__xludf.DUMMYFUNCTION("""COMPUTED_VALUE"""),"Packaging")</f>
        <v>Packaging</v>
      </c>
      <c r="R1464" s="49" t="str">
        <f>IFERROR(__xludf.DUMMYFUNCTION("""COMPUTED_VALUE"""),"Medecine")</f>
        <v>Medecine</v>
      </c>
    </row>
    <row r="1465">
      <c r="A1465" s="156" t="str">
        <f>IFERROR(__xludf.DUMMYFUNCTION("""COMPUTED_VALUE"""),"https://drive.google.com/open?id=1sT8eVCTcKqhGluU89N8h3xJIqTayGiBJ&amp;authuser=jay.agg%40gmail.com&amp;usp=drive_fs")</f>
        <v>https://drive.google.com/open?id=1sT8eVCTcKqhGluU89N8h3xJIqTayGiBJ&amp;authuser=jay.agg%40gmail.com&amp;usp=drive_fs</v>
      </c>
      <c r="B1465" s="73" t="str">
        <f>IFERROR(__xludf.DUMMYFUNCTION("""COMPUTED_VALUE"""),"Medecine")</f>
        <v>Medecine</v>
      </c>
      <c r="C1465" s="73" t="str">
        <f>IFERROR(__xludf.DUMMYFUNCTION("""COMPUTED_VALUE"""),"Cream")</f>
        <v>Cream</v>
      </c>
      <c r="D1465" s="73" t="str">
        <f>IFERROR(__xludf.DUMMYFUNCTION("""COMPUTED_VALUE"""),"112*29*19 mm")</f>
        <v>112*29*19 mm</v>
      </c>
      <c r="E1465" s="77">
        <f>IFERROR(__xludf.DUMMYFUNCTION("""COMPUTED_VALUE"""),6.0)</f>
        <v>6</v>
      </c>
      <c r="F1465" s="77">
        <f>IFERROR(__xludf.DUMMYFUNCTION("""COMPUTED_VALUE"""),1926.0)</f>
        <v>1926</v>
      </c>
      <c r="G1465" s="77">
        <f>IFERROR(__xludf.DUMMYFUNCTION("""COMPUTED_VALUE"""),15.0)</f>
        <v>15</v>
      </c>
      <c r="H1465" s="77">
        <f>IFERROR(__xludf.DUMMYFUNCTION("""COMPUTED_VALUE"""),20.0)</f>
        <v>20</v>
      </c>
      <c r="I1465" s="77">
        <f>IFERROR(__xludf.DUMMYFUNCTION("""COMPUTED_VALUE"""),100.0)</f>
        <v>100</v>
      </c>
      <c r="J1465" s="73"/>
      <c r="K1465" s="73"/>
      <c r="L1465" s="73"/>
      <c r="M1465" s="77">
        <f>IFERROR(__xludf.DUMMYFUNCTION("""COMPUTED_VALUE"""),0.24)</f>
        <v>0.24</v>
      </c>
      <c r="N1465" s="77">
        <f>IFERROR(__xludf.DUMMYFUNCTION("""COMPUTED_VALUE"""),1.0)</f>
        <v>1</v>
      </c>
      <c r="O1465" s="49"/>
      <c r="P1465" s="49" t="str">
        <f>IFERROR(__xludf.DUMMYFUNCTION("""COMPUTED_VALUE"""),"Offset")</f>
        <v>Offset</v>
      </c>
      <c r="Q1465" s="49" t="str">
        <f>IFERROR(__xludf.DUMMYFUNCTION("""COMPUTED_VALUE"""),"Packaging")</f>
        <v>Packaging</v>
      </c>
      <c r="R1465" s="49" t="str">
        <f>IFERROR(__xludf.DUMMYFUNCTION("""COMPUTED_VALUE"""),"Medecine")</f>
        <v>Medecine</v>
      </c>
    </row>
    <row r="1466">
      <c r="A1466" s="156" t="str">
        <f>IFERROR(__xludf.DUMMYFUNCTION("""COMPUTED_VALUE"""),"https://drive.google.com/open?id=1tf3iaVO9FHKIKSYyvwxpCL9eXf0FbZU6&amp;authuser=jay.agg%40gmail.com&amp;usp=drive_fs")</f>
        <v>https://drive.google.com/open?id=1tf3iaVO9FHKIKSYyvwxpCL9eXf0FbZU6&amp;authuser=jay.agg%40gmail.com&amp;usp=drive_fs</v>
      </c>
      <c r="B1466" s="73" t="str">
        <f>IFERROR(__xludf.DUMMYFUNCTION("""COMPUTED_VALUE"""),"Medecine")</f>
        <v>Medecine</v>
      </c>
      <c r="C1466" s="73" t="str">
        <f>IFERROR(__xludf.DUMMYFUNCTION("""COMPUTED_VALUE"""),"Dropper")</f>
        <v>Dropper</v>
      </c>
      <c r="D1466" s="73" t="str">
        <f>IFERROR(__xludf.DUMMYFUNCTION("""COMPUTED_VALUE"""),"64*38*127 mm LB")</f>
        <v>64*38*127 mm LB</v>
      </c>
      <c r="E1466" s="77">
        <f>IFERROR(__xludf.DUMMYFUNCTION("""COMPUTED_VALUE"""),6.0)</f>
        <v>6</v>
      </c>
      <c r="F1466" s="77">
        <f>IFERROR(__xludf.DUMMYFUNCTION("""COMPUTED_VALUE"""),1926.0)</f>
        <v>1926</v>
      </c>
      <c r="G1466" s="77">
        <f>IFERROR(__xludf.DUMMYFUNCTION("""COMPUTED_VALUE"""),18.0)</f>
        <v>18</v>
      </c>
      <c r="H1466" s="77">
        <f>IFERROR(__xludf.DUMMYFUNCTION("""COMPUTED_VALUE"""),23.0)</f>
        <v>23</v>
      </c>
      <c r="I1466" s="77">
        <f>IFERROR(__xludf.DUMMYFUNCTION("""COMPUTED_VALUE"""),100.0)</f>
        <v>100</v>
      </c>
      <c r="J1466" s="73"/>
      <c r="K1466" s="73"/>
      <c r="L1466" s="73"/>
      <c r="M1466" s="77">
        <f>IFERROR(__xludf.DUMMYFUNCTION("""COMPUTED_VALUE"""),0.16)</f>
        <v>0.16</v>
      </c>
      <c r="N1466" s="77">
        <f>IFERROR(__xludf.DUMMYFUNCTION("""COMPUTED_VALUE"""),1.0)</f>
        <v>1</v>
      </c>
      <c r="O1466" s="49"/>
      <c r="P1466" s="49" t="str">
        <f>IFERROR(__xludf.DUMMYFUNCTION("""COMPUTED_VALUE"""),"Offset")</f>
        <v>Offset</v>
      </c>
      <c r="Q1466" s="49" t="str">
        <f>IFERROR(__xludf.DUMMYFUNCTION("""COMPUTED_VALUE"""),"Packaging")</f>
        <v>Packaging</v>
      </c>
      <c r="R1466" s="49" t="str">
        <f>IFERROR(__xludf.DUMMYFUNCTION("""COMPUTED_VALUE"""),"Medecine")</f>
        <v>Medecine</v>
      </c>
    </row>
    <row r="1467">
      <c r="A1467" s="156" t="str">
        <f>IFERROR(__xludf.DUMMYFUNCTION("""COMPUTED_VALUE"""),"https://drive.google.com/open?id=1tmASBEI_UI2DJcrvyM2TEa2Tddm5odsI&amp;authuser=jay.agg%40gmail.com&amp;usp=drive_fs")</f>
        <v>https://drive.google.com/open?id=1tmASBEI_UI2DJcrvyM2TEa2Tddm5odsI&amp;authuser=jay.agg%40gmail.com&amp;usp=drive_fs</v>
      </c>
      <c r="B1467" s="73" t="str">
        <f>IFERROR(__xludf.DUMMYFUNCTION("""COMPUTED_VALUE"""),"Medecine")</f>
        <v>Medecine</v>
      </c>
      <c r="C1467" s="73" t="str">
        <f>IFERROR(__xludf.DUMMYFUNCTION("""COMPUTED_VALUE"""),"Dropper")</f>
        <v>Dropper</v>
      </c>
      <c r="D1467" s="73" t="str">
        <f>IFERROR(__xludf.DUMMYFUNCTION("""COMPUTED_VALUE"""),"64*38*127 mm Tray")</f>
        <v>64*38*127 mm Tray</v>
      </c>
      <c r="E1467" s="77">
        <f>IFERROR(__xludf.DUMMYFUNCTION("""COMPUTED_VALUE"""),8.0)</f>
        <v>8</v>
      </c>
      <c r="F1467" s="77">
        <f>IFERROR(__xludf.DUMMYFUNCTION("""COMPUTED_VALUE"""),1926.0)</f>
        <v>1926</v>
      </c>
      <c r="G1467" s="77">
        <f>IFERROR(__xludf.DUMMYFUNCTION("""COMPUTED_VALUE"""),18.0)</f>
        <v>18</v>
      </c>
      <c r="H1467" s="77">
        <f>IFERROR(__xludf.DUMMYFUNCTION("""COMPUTED_VALUE"""),21.0)</f>
        <v>21</v>
      </c>
      <c r="I1467" s="77">
        <f>IFERROR(__xludf.DUMMYFUNCTION("""COMPUTED_VALUE"""),100.0)</f>
        <v>100</v>
      </c>
      <c r="J1467" s="73"/>
      <c r="K1467" s="73"/>
      <c r="L1467" s="73"/>
      <c r="M1467" s="77">
        <f>IFERROR(__xludf.DUMMYFUNCTION("""COMPUTED_VALUE"""),0.35)</f>
        <v>0.35</v>
      </c>
      <c r="N1467" s="77">
        <f>IFERROR(__xludf.DUMMYFUNCTION("""COMPUTED_VALUE"""),1.0)</f>
        <v>1</v>
      </c>
      <c r="O1467" s="49"/>
      <c r="P1467" s="49" t="str">
        <f>IFERROR(__xludf.DUMMYFUNCTION("""COMPUTED_VALUE"""),"Offset")</f>
        <v>Offset</v>
      </c>
      <c r="Q1467" s="49" t="str">
        <f>IFERROR(__xludf.DUMMYFUNCTION("""COMPUTED_VALUE"""),"Packaging")</f>
        <v>Packaging</v>
      </c>
      <c r="R1467" s="49" t="str">
        <f>IFERROR(__xludf.DUMMYFUNCTION("""COMPUTED_VALUE"""),"Medecine")</f>
        <v>Medecine</v>
      </c>
    </row>
    <row r="1468">
      <c r="A1468" s="156" t="str">
        <f>IFERROR(__xludf.DUMMYFUNCTION("""COMPUTED_VALUE"""),"https://drive.google.com/open?id=1HmFxVcJPHf_yvTStqkkR2-NisBzRPhMl&amp;authuser=jay.agg%40gmail.com&amp;usp=drive_fs")</f>
        <v>https://drive.google.com/open?id=1HmFxVcJPHf_yvTStqkkR2-NisBzRPhMl&amp;authuser=jay.agg%40gmail.com&amp;usp=drive_fs</v>
      </c>
      <c r="B1468" s="73" t="str">
        <f>IFERROR(__xludf.DUMMYFUNCTION("""COMPUTED_VALUE"""),"Medecine")</f>
        <v>Medecine</v>
      </c>
      <c r="C1468" s="73" t="str">
        <f>IFERROR(__xludf.DUMMYFUNCTION("""COMPUTED_VALUE"""),"Aurthot")</f>
        <v>Aurthot</v>
      </c>
      <c r="D1468" s="73" t="str">
        <f>IFERROR(__xludf.DUMMYFUNCTION("""COMPUTED_VALUE"""),"4.5*2*5.5 | 3.25*1.25*5 | 6.5*2*7 inch W/Hanger")</f>
        <v>4.5*2*5.5 | 3.25*1.25*5 | 6.5*2*7 inch W/Hanger</v>
      </c>
      <c r="E1468" s="77">
        <f>IFERROR(__xludf.DUMMYFUNCTION("""COMPUTED_VALUE"""),1.0)</f>
        <v>1</v>
      </c>
      <c r="F1468" s="77">
        <f>IFERROR(__xludf.DUMMYFUNCTION("""COMPUTED_VALUE"""),2029.0)</f>
        <v>2029</v>
      </c>
      <c r="G1468" s="77">
        <f>IFERROR(__xludf.DUMMYFUNCTION("""COMPUTED_VALUE"""),20.0)</f>
        <v>20</v>
      </c>
      <c r="H1468" s="77">
        <f>IFERROR(__xludf.DUMMYFUNCTION("""COMPUTED_VALUE"""),28.0)</f>
        <v>28</v>
      </c>
      <c r="I1468" s="77">
        <f>IFERROR(__xludf.DUMMYFUNCTION("""COMPUTED_VALUE"""),100.0)</f>
        <v>100</v>
      </c>
      <c r="J1468" s="73"/>
      <c r="K1468" s="73"/>
      <c r="L1468" s="73"/>
      <c r="M1468" s="77">
        <f>IFERROR(__xludf.DUMMYFUNCTION("""COMPUTED_VALUE"""),0.24)</f>
        <v>0.24</v>
      </c>
      <c r="N1468" s="77">
        <f>IFERROR(__xludf.DUMMYFUNCTION("""COMPUTED_VALUE"""),1.0)</f>
        <v>1</v>
      </c>
      <c r="O1468" s="49"/>
      <c r="P1468" s="49" t="str">
        <f>IFERROR(__xludf.DUMMYFUNCTION("""COMPUTED_VALUE"""),"Offset")</f>
        <v>Offset</v>
      </c>
      <c r="Q1468" s="49" t="str">
        <f>IFERROR(__xludf.DUMMYFUNCTION("""COMPUTED_VALUE"""),"Packaging")</f>
        <v>Packaging</v>
      </c>
      <c r="R1468" s="49" t="str">
        <f>IFERROR(__xludf.DUMMYFUNCTION("""COMPUTED_VALUE"""),"Medecine")</f>
        <v>Medecine</v>
      </c>
    </row>
    <row r="1469">
      <c r="A1469" s="156" t="str">
        <f>IFERROR(__xludf.DUMMYFUNCTION("""COMPUTED_VALUE"""),"https://drive.google.com/open?id=1I7LNmtBWX7SsMxUnEeEL6TRrDA6zvVIC&amp;authuser=jay.agg%40gmail.com&amp;usp=drive_fs")</f>
        <v>https://drive.google.com/open?id=1I7LNmtBWX7SsMxUnEeEL6TRrDA6zvVIC&amp;authuser=jay.agg%40gmail.com&amp;usp=drive_fs</v>
      </c>
      <c r="B1469" s="73" t="str">
        <f>IFERROR(__xludf.DUMMYFUNCTION("""COMPUTED_VALUE"""),"Medecine")</f>
        <v>Medecine</v>
      </c>
      <c r="C1469" s="73" t="str">
        <f>IFERROR(__xludf.DUMMYFUNCTION("""COMPUTED_VALUE"""),"Thermometer")</f>
        <v>Thermometer</v>
      </c>
      <c r="D1469" s="73" t="str">
        <f>IFERROR(__xludf.DUMMYFUNCTION("""COMPUTED_VALUE"""),"31*18*135 mm")</f>
        <v>31*18*135 mm</v>
      </c>
      <c r="E1469" s="77">
        <f>IFERROR(__xludf.DUMMYFUNCTION("""COMPUTED_VALUE"""),12.0)</f>
        <v>12</v>
      </c>
      <c r="F1469" s="77">
        <f>IFERROR(__xludf.DUMMYFUNCTION("""COMPUTED_VALUE"""),1926.0)</f>
        <v>1926</v>
      </c>
      <c r="G1469" s="77">
        <f>IFERROR(__xludf.DUMMYFUNCTION("""COMPUTED_VALUE"""),18.0)</f>
        <v>18</v>
      </c>
      <c r="H1469" s="77">
        <f>IFERROR(__xludf.DUMMYFUNCTION("""COMPUTED_VALUE"""),23.0)</f>
        <v>23</v>
      </c>
      <c r="I1469" s="77">
        <f>IFERROR(__xludf.DUMMYFUNCTION("""COMPUTED_VALUE"""),100.0)</f>
        <v>100</v>
      </c>
      <c r="J1469" s="73"/>
      <c r="K1469" s="73"/>
      <c r="L1469" s="73"/>
      <c r="M1469" s="77">
        <f>IFERROR(__xludf.DUMMYFUNCTION("""COMPUTED_VALUE"""),0.1)</f>
        <v>0.1</v>
      </c>
      <c r="N1469" s="77">
        <f>IFERROR(__xludf.DUMMYFUNCTION("""COMPUTED_VALUE"""),1.0)</f>
        <v>1</v>
      </c>
      <c r="O1469" s="49"/>
      <c r="P1469" s="49" t="str">
        <f>IFERROR(__xludf.DUMMYFUNCTION("""COMPUTED_VALUE"""),"Offset")</f>
        <v>Offset</v>
      </c>
      <c r="Q1469" s="49" t="str">
        <f>IFERROR(__xludf.DUMMYFUNCTION("""COMPUTED_VALUE"""),"Packaging")</f>
        <v>Packaging</v>
      </c>
      <c r="R1469" s="49" t="str">
        <f>IFERROR(__xludf.DUMMYFUNCTION("""COMPUTED_VALUE"""),"Medecine")</f>
        <v>Medecine</v>
      </c>
    </row>
    <row r="1470">
      <c r="A1470" s="156" t="str">
        <f>IFERROR(__xludf.DUMMYFUNCTION("""COMPUTED_VALUE"""),"https://drive.google.com/open?id=14DCkhp551q50ZqtmR_3IgJkP3-OtqM2O&amp;authuser=jay.agg%40gmail.com&amp;usp=drive_fs")</f>
        <v>https://drive.google.com/open?id=14DCkhp551q50ZqtmR_3IgJkP3-OtqM2O&amp;authuser=jay.agg%40gmail.com&amp;usp=drive_fs</v>
      </c>
      <c r="B1470" s="73" t="str">
        <f>IFERROR(__xludf.DUMMYFUNCTION("""COMPUTED_VALUE"""),"Medecine")</f>
        <v>Medecine</v>
      </c>
      <c r="C1470" s="73" t="str">
        <f>IFERROR(__xludf.DUMMYFUNCTION("""COMPUTED_VALUE"""),"Swab")</f>
        <v>Swab</v>
      </c>
      <c r="D1470" s="73" t="str">
        <f>IFERROR(__xludf.DUMMYFUNCTION("""COMPUTED_VALUE"""),"105*75*50 mm")</f>
        <v>105*75*50 mm</v>
      </c>
      <c r="E1470" s="77">
        <f>IFERROR(__xludf.DUMMYFUNCTION("""COMPUTED_VALUE"""),4.0)</f>
        <v>4</v>
      </c>
      <c r="F1470" s="77">
        <f>IFERROR(__xludf.DUMMYFUNCTION("""COMPUTED_VALUE"""),1926.0)</f>
        <v>1926</v>
      </c>
      <c r="G1470" s="77">
        <f>IFERROR(__xludf.DUMMYFUNCTION("""COMPUTED_VALUE"""),15.0)</f>
        <v>15</v>
      </c>
      <c r="H1470" s="77">
        <f>IFERROR(__xludf.DUMMYFUNCTION("""COMPUTED_VALUE"""),25.0)</f>
        <v>25</v>
      </c>
      <c r="I1470" s="77">
        <f>IFERROR(__xludf.DUMMYFUNCTION("""COMPUTED_VALUE"""),100.0)</f>
        <v>100</v>
      </c>
      <c r="J1470" s="73"/>
      <c r="K1470" s="73"/>
      <c r="L1470" s="73"/>
      <c r="M1470" s="77">
        <f>IFERROR(__xludf.DUMMYFUNCTION("""COMPUTED_VALUE"""),0.24)</f>
        <v>0.24</v>
      </c>
      <c r="N1470" s="77">
        <f>IFERROR(__xludf.DUMMYFUNCTION("""COMPUTED_VALUE"""),1.0)</f>
        <v>1</v>
      </c>
      <c r="O1470" s="49"/>
      <c r="P1470" s="49" t="str">
        <f>IFERROR(__xludf.DUMMYFUNCTION("""COMPUTED_VALUE"""),"Offset")</f>
        <v>Offset</v>
      </c>
      <c r="Q1470" s="49" t="str">
        <f>IFERROR(__xludf.DUMMYFUNCTION("""COMPUTED_VALUE"""),"Packaging")</f>
        <v>Packaging</v>
      </c>
      <c r="R1470" s="49" t="str">
        <f>IFERROR(__xludf.DUMMYFUNCTION("""COMPUTED_VALUE"""),"Medecine")</f>
        <v>Medecine</v>
      </c>
    </row>
    <row r="1471">
      <c r="A1471" s="156" t="str">
        <f>IFERROR(__xludf.DUMMYFUNCTION("""COMPUTED_VALUE"""),"https://drive.google.com/open?id=14N1QAHu_wleuB_B_3fFxsM0tMaIgJ2Z5&amp;authuser=jay.agg%40gmail.com&amp;usp=drive_fs")</f>
        <v>https://drive.google.com/open?id=14N1QAHu_wleuB_B_3fFxsM0tMaIgJ2Z5&amp;authuser=jay.agg%40gmail.com&amp;usp=drive_fs</v>
      </c>
      <c r="B1471" s="73" t="str">
        <f>IFERROR(__xludf.DUMMYFUNCTION("""COMPUTED_VALUE"""),"Medecine")</f>
        <v>Medecine</v>
      </c>
      <c r="C1471" s="73" t="str">
        <f>IFERROR(__xludf.DUMMYFUNCTION("""COMPUTED_VALUE"""),"Homeopathy")</f>
        <v>Homeopathy</v>
      </c>
      <c r="D1471" s="73" t="str">
        <f>IFERROR(__xludf.DUMMYFUNCTION("""COMPUTED_VALUE"""),"34*34*85 mm")</f>
        <v>34*34*85 mm</v>
      </c>
      <c r="E1471" s="77">
        <f>IFERROR(__xludf.DUMMYFUNCTION("""COMPUTED_VALUE"""),15.0)</f>
        <v>15</v>
      </c>
      <c r="F1471" s="77">
        <f>IFERROR(__xludf.DUMMYFUNCTION("""COMPUTED_VALUE"""),2029.0)</f>
        <v>2029</v>
      </c>
      <c r="G1471" s="77">
        <f>IFERROR(__xludf.DUMMYFUNCTION("""COMPUTED_VALUE"""),20.0)</f>
        <v>20</v>
      </c>
      <c r="H1471" s="77">
        <f>IFERROR(__xludf.DUMMYFUNCTION("""COMPUTED_VALUE"""),28.0)</f>
        <v>28</v>
      </c>
      <c r="I1471" s="77">
        <f>IFERROR(__xludf.DUMMYFUNCTION("""COMPUTED_VALUE"""),100.0)</f>
        <v>100</v>
      </c>
      <c r="J1471" s="73"/>
      <c r="K1471" s="73"/>
      <c r="L1471" s="73"/>
      <c r="M1471" s="77">
        <f>IFERROR(__xludf.DUMMYFUNCTION("""COMPUTED_VALUE"""),0.1)</f>
        <v>0.1</v>
      </c>
      <c r="N1471" s="77">
        <f>IFERROR(__xludf.DUMMYFUNCTION("""COMPUTED_VALUE"""),1.0)</f>
        <v>1</v>
      </c>
      <c r="O1471" s="49"/>
      <c r="P1471" s="49" t="str">
        <f>IFERROR(__xludf.DUMMYFUNCTION("""COMPUTED_VALUE"""),"Offset")</f>
        <v>Offset</v>
      </c>
      <c r="Q1471" s="49" t="str">
        <f>IFERROR(__xludf.DUMMYFUNCTION("""COMPUTED_VALUE"""),"Packaging")</f>
        <v>Packaging</v>
      </c>
      <c r="R1471" s="49" t="str">
        <f>IFERROR(__xludf.DUMMYFUNCTION("""COMPUTED_VALUE"""),"Medecine")</f>
        <v>Medecine</v>
      </c>
    </row>
    <row r="1472">
      <c r="A1472" s="156" t="str">
        <f>IFERROR(__xludf.DUMMYFUNCTION("""COMPUTED_VALUE"""),"https://drive.google.com/open?id=1MOUmnlDJsHYjun6A3EYGgokjaNsoecwJ&amp;authuser=jay.agg%40gmail.com&amp;usp=drive_fs")</f>
        <v>https://drive.google.com/open?id=1MOUmnlDJsHYjun6A3EYGgokjaNsoecwJ&amp;authuser=jay.agg%40gmail.com&amp;usp=drive_fs</v>
      </c>
      <c r="B1472" s="73" t="str">
        <f>IFERROR(__xludf.DUMMYFUNCTION("""COMPUTED_VALUE"""),"Medecine")</f>
        <v>Medecine</v>
      </c>
      <c r="C1472" s="73" t="str">
        <f>IFERROR(__xludf.DUMMYFUNCTION("""COMPUTED_VALUE"""),"Tube")</f>
        <v>Tube</v>
      </c>
      <c r="D1472" s="73" t="str">
        <f>IFERROR(__xludf.DUMMYFUNCTION("""COMPUTED_VALUE"""),"20*20*80 mm")</f>
        <v>20*20*80 mm</v>
      </c>
      <c r="E1472" s="77">
        <f>IFERROR(__xludf.DUMMYFUNCTION("""COMPUTED_VALUE"""),15.0)</f>
        <v>15</v>
      </c>
      <c r="F1472" s="77">
        <f>IFERROR(__xludf.DUMMYFUNCTION("""COMPUTED_VALUE"""),1926.0)</f>
        <v>1926</v>
      </c>
      <c r="G1472" s="77">
        <f>IFERROR(__xludf.DUMMYFUNCTION("""COMPUTED_VALUE"""),15.0)</f>
        <v>15</v>
      </c>
      <c r="H1472" s="77">
        <f>IFERROR(__xludf.DUMMYFUNCTION("""COMPUTED_VALUE"""),20.0)</f>
        <v>20</v>
      </c>
      <c r="I1472" s="77">
        <f>IFERROR(__xludf.DUMMYFUNCTION("""COMPUTED_VALUE"""),100.0)</f>
        <v>100</v>
      </c>
      <c r="J1472" s="73"/>
      <c r="K1472" s="73"/>
      <c r="L1472" s="73"/>
      <c r="M1472" s="77">
        <f>IFERROR(__xludf.DUMMYFUNCTION("""COMPUTED_VALUE"""),0.1)</f>
        <v>0.1</v>
      </c>
      <c r="N1472" s="77">
        <f>IFERROR(__xludf.DUMMYFUNCTION("""COMPUTED_VALUE"""),1.0)</f>
        <v>1</v>
      </c>
      <c r="O1472" s="49"/>
      <c r="P1472" s="49" t="str">
        <f>IFERROR(__xludf.DUMMYFUNCTION("""COMPUTED_VALUE"""),"Offset")</f>
        <v>Offset</v>
      </c>
      <c r="Q1472" s="49" t="str">
        <f>IFERROR(__xludf.DUMMYFUNCTION("""COMPUTED_VALUE"""),"Packaging")</f>
        <v>Packaging</v>
      </c>
      <c r="R1472" s="49" t="str">
        <f>IFERROR(__xludf.DUMMYFUNCTION("""COMPUTED_VALUE"""),"Medecine")</f>
        <v>Medecine</v>
      </c>
    </row>
    <row r="1473">
      <c r="A1473" s="156" t="str">
        <f>IFERROR(__xludf.DUMMYFUNCTION("""COMPUTED_VALUE"""),"https://drive.google.com/open?id=1B5OWmwwWOdAC97CIjuz7kFkKORijaDpC&amp;authuser=jay.agg%40gmail.com&amp;usp=drive_fs")</f>
        <v>https://drive.google.com/open?id=1B5OWmwwWOdAC97CIjuz7kFkKORijaDpC&amp;authuser=jay.agg%40gmail.com&amp;usp=drive_fs</v>
      </c>
      <c r="B1473" s="73" t="str">
        <f>IFERROR(__xludf.DUMMYFUNCTION("""COMPUTED_VALUE"""),"Medecine")</f>
        <v>Medecine</v>
      </c>
      <c r="C1473" s="73" t="str">
        <f>IFERROR(__xludf.DUMMYFUNCTION("""COMPUTED_VALUE"""),"Dietary")</f>
        <v>Dietary</v>
      </c>
      <c r="D1473" s="73" t="str">
        <f>IFERROR(__xludf.DUMMYFUNCTION("""COMPUTED_VALUE"""),"70*70*100 mm")</f>
        <v>70*70*100 mm</v>
      </c>
      <c r="E1473" s="77">
        <f>IFERROR(__xludf.DUMMYFUNCTION("""COMPUTED_VALUE"""),4.0)</f>
        <v>4</v>
      </c>
      <c r="F1473" s="77">
        <f>IFERROR(__xludf.DUMMYFUNCTION("""COMPUTED_VALUE"""),1926.0)</f>
        <v>1926</v>
      </c>
      <c r="G1473" s="77">
        <f>IFERROR(__xludf.DUMMYFUNCTION("""COMPUTED_VALUE"""),19.5)</f>
        <v>19.5</v>
      </c>
      <c r="H1473" s="77">
        <f>IFERROR(__xludf.DUMMYFUNCTION("""COMPUTED_VALUE"""),23.0)</f>
        <v>23</v>
      </c>
      <c r="I1473" s="77">
        <f>IFERROR(__xludf.DUMMYFUNCTION("""COMPUTED_VALUE"""),100.0)</f>
        <v>100</v>
      </c>
      <c r="J1473" s="73"/>
      <c r="K1473" s="73"/>
      <c r="L1473" s="73"/>
      <c r="M1473" s="77">
        <f>IFERROR(__xludf.DUMMYFUNCTION("""COMPUTED_VALUE"""),0.1)</f>
        <v>0.1</v>
      </c>
      <c r="N1473" s="77">
        <f>IFERROR(__xludf.DUMMYFUNCTION("""COMPUTED_VALUE"""),1.0)</f>
        <v>1</v>
      </c>
      <c r="O1473" s="49"/>
      <c r="P1473" s="49" t="str">
        <f>IFERROR(__xludf.DUMMYFUNCTION("""COMPUTED_VALUE"""),"Offset")</f>
        <v>Offset</v>
      </c>
      <c r="Q1473" s="49" t="str">
        <f>IFERROR(__xludf.DUMMYFUNCTION("""COMPUTED_VALUE"""),"Packaging")</f>
        <v>Packaging</v>
      </c>
      <c r="R1473" s="49" t="str">
        <f>IFERROR(__xludf.DUMMYFUNCTION("""COMPUTED_VALUE"""),"Medecine")</f>
        <v>Medecine</v>
      </c>
    </row>
    <row r="1474">
      <c r="A1474" s="156" t="str">
        <f>IFERROR(__xludf.DUMMYFUNCTION("""COMPUTED_VALUE"""),"https://drive.google.com/open?id=1BXXLTxS1keLlpSEP-qozc2FtJBNq3H_h&amp;authuser=jay.agg%40gmail.com&amp;usp=drive_fs")</f>
        <v>https://drive.google.com/open?id=1BXXLTxS1keLlpSEP-qozc2FtJBNq3H_h&amp;authuser=jay.agg%40gmail.com&amp;usp=drive_fs</v>
      </c>
      <c r="B1474" s="73" t="str">
        <f>IFERROR(__xludf.DUMMYFUNCTION("""COMPUTED_VALUE"""),"Medecine")</f>
        <v>Medecine</v>
      </c>
      <c r="C1474" s="73" t="str">
        <f>IFERROR(__xludf.DUMMYFUNCTION("""COMPUTED_VALUE"""),"Misc")</f>
        <v>Misc</v>
      </c>
      <c r="D1474" s="73" t="str">
        <f>IFERROR(__xludf.DUMMYFUNCTION("""COMPUTED_VALUE"""),"64*15*76 mm | 2.5*0.6*3 inch")</f>
        <v>64*15*76 mm | 2.5*0.6*3 inch</v>
      </c>
      <c r="E1474" s="77">
        <f>IFERROR(__xludf.DUMMYFUNCTION("""COMPUTED_VALUE"""),12.0)</f>
        <v>12</v>
      </c>
      <c r="F1474" s="77">
        <f>IFERROR(__xludf.DUMMYFUNCTION("""COMPUTED_VALUE"""),1926.0)</f>
        <v>1926</v>
      </c>
      <c r="G1474" s="77">
        <f>IFERROR(__xludf.DUMMYFUNCTION("""COMPUTED_VALUE"""),18.0)</f>
        <v>18</v>
      </c>
      <c r="H1474" s="77">
        <f>IFERROR(__xludf.DUMMYFUNCTION("""COMPUTED_VALUE"""),21.0)</f>
        <v>21</v>
      </c>
      <c r="I1474" s="77">
        <f>IFERROR(__xludf.DUMMYFUNCTION("""COMPUTED_VALUE"""),100.0)</f>
        <v>100</v>
      </c>
      <c r="J1474" s="73"/>
      <c r="K1474" s="73"/>
      <c r="L1474" s="73"/>
      <c r="M1474" s="77">
        <f>IFERROR(__xludf.DUMMYFUNCTION("""COMPUTED_VALUE"""),0.1)</f>
        <v>0.1</v>
      </c>
      <c r="N1474" s="77">
        <f>IFERROR(__xludf.DUMMYFUNCTION("""COMPUTED_VALUE"""),1.0)</f>
        <v>1</v>
      </c>
      <c r="O1474" s="49"/>
      <c r="P1474" s="49" t="str">
        <f>IFERROR(__xludf.DUMMYFUNCTION("""COMPUTED_VALUE"""),"Offset")</f>
        <v>Offset</v>
      </c>
      <c r="Q1474" s="49" t="str">
        <f>IFERROR(__xludf.DUMMYFUNCTION("""COMPUTED_VALUE"""),"Packaging")</f>
        <v>Packaging</v>
      </c>
      <c r="R1474" s="49" t="str">
        <f>IFERROR(__xludf.DUMMYFUNCTION("""COMPUTED_VALUE"""),"Medecine")</f>
        <v>Medecine</v>
      </c>
    </row>
    <row r="1475">
      <c r="A1475" s="156" t="str">
        <f>IFERROR(__xludf.DUMMYFUNCTION("""COMPUTED_VALUE"""),"https://drive.google.com/open?id=1Bycg4J-cztxO4jDmAdUkaak7iCAvY61D&amp;authuser=jay.agg%40gmail.com&amp;usp=drive_fs")</f>
        <v>https://drive.google.com/open?id=1Bycg4J-cztxO4jDmAdUkaak7iCAvY61D&amp;authuser=jay.agg%40gmail.com&amp;usp=drive_fs</v>
      </c>
      <c r="B1475" s="73" t="str">
        <f>IFERROR(__xludf.DUMMYFUNCTION("""COMPUTED_VALUE"""),"Medecine")</f>
        <v>Medecine</v>
      </c>
      <c r="C1475" s="73" t="str">
        <f>IFERROR(__xludf.DUMMYFUNCTION("""COMPUTED_VALUE"""),"Misc")</f>
        <v>Misc</v>
      </c>
      <c r="D1475" s="73" t="str">
        <f>IFERROR(__xludf.DUMMYFUNCTION("""COMPUTED_VALUE"""),"115*80*80 mm IL")</f>
        <v>115*80*80 mm IL</v>
      </c>
      <c r="E1475" s="77">
        <f>IFERROR(__xludf.DUMMYFUNCTION("""COMPUTED_VALUE"""),3.0)</f>
        <v>3</v>
      </c>
      <c r="F1475" s="77">
        <f>IFERROR(__xludf.DUMMYFUNCTION("""COMPUTED_VALUE"""),1926.0)</f>
        <v>1926</v>
      </c>
      <c r="G1475" s="77">
        <f>IFERROR(__xludf.DUMMYFUNCTION("""COMPUTED_VALUE"""),18.0)</f>
        <v>18</v>
      </c>
      <c r="H1475" s="77">
        <f>IFERROR(__xludf.DUMMYFUNCTION("""COMPUTED_VALUE"""),25.0)</f>
        <v>25</v>
      </c>
      <c r="I1475" s="77">
        <f>IFERROR(__xludf.DUMMYFUNCTION("""COMPUTED_VALUE"""),100.0)</f>
        <v>100</v>
      </c>
      <c r="J1475" s="73"/>
      <c r="K1475" s="73"/>
      <c r="L1475" s="73"/>
      <c r="M1475" s="77">
        <f>IFERROR(__xludf.DUMMYFUNCTION("""COMPUTED_VALUE"""),0.1)</f>
        <v>0.1</v>
      </c>
      <c r="N1475" s="77">
        <f>IFERROR(__xludf.DUMMYFUNCTION("""COMPUTED_VALUE"""),1.0)</f>
        <v>1</v>
      </c>
      <c r="O1475" s="49"/>
      <c r="P1475" s="49" t="str">
        <f>IFERROR(__xludf.DUMMYFUNCTION("""COMPUTED_VALUE"""),"Offset")</f>
        <v>Offset</v>
      </c>
      <c r="Q1475" s="49" t="str">
        <f>IFERROR(__xludf.DUMMYFUNCTION("""COMPUTED_VALUE"""),"Packaging")</f>
        <v>Packaging</v>
      </c>
      <c r="R1475" s="49" t="str">
        <f>IFERROR(__xludf.DUMMYFUNCTION("""COMPUTED_VALUE"""),"Medecine")</f>
        <v>Medecine</v>
      </c>
    </row>
    <row r="1476">
      <c r="A1476" s="156" t="str">
        <f>IFERROR(__xludf.DUMMYFUNCTION("""COMPUTED_VALUE"""),"https://drive.google.com/open?id=1C2rwdGASv0OvetfacXFALBcD7mdnff7F&amp;authuser=jay.agg%40gmail.com&amp;usp=drive_fs")</f>
        <v>https://drive.google.com/open?id=1C2rwdGASv0OvetfacXFALBcD7mdnff7F&amp;authuser=jay.agg%40gmail.com&amp;usp=drive_fs</v>
      </c>
      <c r="B1476" s="73" t="str">
        <f>IFERROR(__xludf.DUMMYFUNCTION("""COMPUTED_VALUE"""),"Medecine")</f>
        <v>Medecine</v>
      </c>
      <c r="C1476" s="73" t="str">
        <f>IFERROR(__xludf.DUMMYFUNCTION("""COMPUTED_VALUE"""),"Misc")</f>
        <v>Misc</v>
      </c>
      <c r="D1476" s="73" t="str">
        <f>IFERROR(__xludf.DUMMYFUNCTION("""COMPUTED_VALUE"""),"120*80*65 mm IL")</f>
        <v>120*80*65 mm IL</v>
      </c>
      <c r="E1476" s="77">
        <f>IFERROR(__xludf.DUMMYFUNCTION("""COMPUTED_VALUE"""),3.0)</f>
        <v>3</v>
      </c>
      <c r="F1476" s="77">
        <f>IFERROR(__xludf.DUMMYFUNCTION("""COMPUTED_VALUE"""),1926.0)</f>
        <v>1926</v>
      </c>
      <c r="G1476" s="77">
        <f>IFERROR(__xludf.DUMMYFUNCTION("""COMPUTED_VALUE"""),18.0)</f>
        <v>18</v>
      </c>
      <c r="H1476" s="77">
        <f>IFERROR(__xludf.DUMMYFUNCTION("""COMPUTED_VALUE"""),23.0)</f>
        <v>23</v>
      </c>
      <c r="I1476" s="77">
        <f>IFERROR(__xludf.DUMMYFUNCTION("""COMPUTED_VALUE"""),100.0)</f>
        <v>100</v>
      </c>
      <c r="J1476" s="73"/>
      <c r="K1476" s="73"/>
      <c r="L1476" s="73"/>
      <c r="M1476" s="77">
        <f>IFERROR(__xludf.DUMMYFUNCTION("""COMPUTED_VALUE"""),0.1)</f>
        <v>0.1</v>
      </c>
      <c r="N1476" s="77">
        <f>IFERROR(__xludf.DUMMYFUNCTION("""COMPUTED_VALUE"""),1.0)</f>
        <v>1</v>
      </c>
      <c r="O1476" s="49"/>
      <c r="P1476" s="49" t="str">
        <f>IFERROR(__xludf.DUMMYFUNCTION("""COMPUTED_VALUE"""),"Offset")</f>
        <v>Offset</v>
      </c>
      <c r="Q1476" s="49" t="str">
        <f>IFERROR(__xludf.DUMMYFUNCTION("""COMPUTED_VALUE"""),"Packaging")</f>
        <v>Packaging</v>
      </c>
      <c r="R1476" s="49" t="str">
        <f>IFERROR(__xludf.DUMMYFUNCTION("""COMPUTED_VALUE"""),"Medecine")</f>
        <v>Medecine</v>
      </c>
    </row>
    <row r="1477">
      <c r="A1477" s="156" t="str">
        <f>IFERROR(__xludf.DUMMYFUNCTION("""COMPUTED_VALUE"""),"https://drive.google.com/open?id=1C6w4ZkycCo7BgXCJY59hc27yC1wDteno&amp;authuser=jay.agg%40gmail.com&amp;usp=drive_fs")</f>
        <v>https://drive.google.com/open?id=1C6w4ZkycCo7BgXCJY59hc27yC1wDteno&amp;authuser=jay.agg%40gmail.com&amp;usp=drive_fs</v>
      </c>
      <c r="B1477" s="73" t="str">
        <f>IFERROR(__xludf.DUMMYFUNCTION("""COMPUTED_VALUE"""),"Medecine")</f>
        <v>Medecine</v>
      </c>
      <c r="C1477" s="73" t="str">
        <f>IFERROR(__xludf.DUMMYFUNCTION("""COMPUTED_VALUE"""),"Misc")</f>
        <v>Misc</v>
      </c>
      <c r="D1477" s="73" t="str">
        <f>IFERROR(__xludf.DUMMYFUNCTION("""COMPUTED_VALUE"""),"120*70*80 mm IL")</f>
        <v>120*70*80 mm IL</v>
      </c>
      <c r="E1477" s="77">
        <f>IFERROR(__xludf.DUMMYFUNCTION("""COMPUTED_VALUE"""),3.0)</f>
        <v>3</v>
      </c>
      <c r="F1477" s="77">
        <f>IFERROR(__xludf.DUMMYFUNCTION("""COMPUTED_VALUE"""),1926.0)</f>
        <v>1926</v>
      </c>
      <c r="G1477" s="77">
        <f>IFERROR(__xludf.DUMMYFUNCTION("""COMPUTED_VALUE"""),18.0)</f>
        <v>18</v>
      </c>
      <c r="H1477" s="77">
        <f>IFERROR(__xludf.DUMMYFUNCTION("""COMPUTED_VALUE"""),23.0)</f>
        <v>23</v>
      </c>
      <c r="I1477" s="77">
        <f>IFERROR(__xludf.DUMMYFUNCTION("""COMPUTED_VALUE"""),100.0)</f>
        <v>100</v>
      </c>
      <c r="J1477" s="73"/>
      <c r="K1477" s="73"/>
      <c r="L1477" s="73"/>
      <c r="M1477" s="77">
        <f>IFERROR(__xludf.DUMMYFUNCTION("""COMPUTED_VALUE"""),0.1)</f>
        <v>0.1</v>
      </c>
      <c r="N1477" s="77">
        <f>IFERROR(__xludf.DUMMYFUNCTION("""COMPUTED_VALUE"""),1.0)</f>
        <v>1</v>
      </c>
      <c r="O1477" s="49"/>
      <c r="P1477" s="49" t="str">
        <f>IFERROR(__xludf.DUMMYFUNCTION("""COMPUTED_VALUE"""),"Offset")</f>
        <v>Offset</v>
      </c>
      <c r="Q1477" s="49" t="str">
        <f>IFERROR(__xludf.DUMMYFUNCTION("""COMPUTED_VALUE"""),"Packaging")</f>
        <v>Packaging</v>
      </c>
      <c r="R1477" s="49" t="str">
        <f>IFERROR(__xludf.DUMMYFUNCTION("""COMPUTED_VALUE"""),"Medecine")</f>
        <v>Medecine</v>
      </c>
    </row>
    <row r="1478">
      <c r="A1478" s="156" t="str">
        <f>IFERROR(__xludf.DUMMYFUNCTION("""COMPUTED_VALUE"""),"https://drive.google.com/open?id=1QBdzeB2f091LGgAyMC6Y745U2LIB3Uec&amp;authuser=jay.agg%40gmail.com&amp;usp=drive_fs")</f>
        <v>https://drive.google.com/open?id=1QBdzeB2f091LGgAyMC6Y745U2LIB3Uec&amp;authuser=jay.agg%40gmail.com&amp;usp=drive_fs</v>
      </c>
      <c r="B1478" s="73" t="str">
        <f>IFERROR(__xludf.DUMMYFUNCTION("""COMPUTED_VALUE"""),"Medecine")</f>
        <v>Medecine</v>
      </c>
      <c r="C1478" s="73" t="str">
        <f>IFERROR(__xludf.DUMMYFUNCTION("""COMPUTED_VALUE"""),"Injection")</f>
        <v>Injection</v>
      </c>
      <c r="D1478" s="73" t="str">
        <f>IFERROR(__xludf.DUMMYFUNCTION("""COMPUTED_VALUE"""),"150*80*205 mm | 5.9*3.15*8 inch")</f>
        <v>150*80*205 mm | 5.9*3.15*8 inch</v>
      </c>
      <c r="E1478" s="77">
        <f>IFERROR(__xludf.DUMMYFUNCTION("""COMPUTED_VALUE"""),2.0)</f>
        <v>2</v>
      </c>
      <c r="F1478" s="77">
        <f>IFERROR(__xludf.DUMMYFUNCTION("""COMPUTED_VALUE"""),2029.0)</f>
        <v>2029</v>
      </c>
      <c r="G1478" s="77">
        <f>IFERROR(__xludf.DUMMYFUNCTION("""COMPUTED_VALUE"""),20.0)</f>
        <v>20</v>
      </c>
      <c r="H1478" s="77">
        <f>IFERROR(__xludf.DUMMYFUNCTION("""COMPUTED_VALUE"""),30.0)</f>
        <v>30</v>
      </c>
      <c r="I1478" s="77">
        <f>IFERROR(__xludf.DUMMYFUNCTION("""COMPUTED_VALUE"""),100.0)</f>
        <v>100</v>
      </c>
      <c r="J1478" s="73"/>
      <c r="K1478" s="73"/>
      <c r="L1478" s="73"/>
      <c r="M1478" s="77">
        <f>IFERROR(__xludf.DUMMYFUNCTION("""COMPUTED_VALUE"""),0.12)</f>
        <v>0.12</v>
      </c>
      <c r="N1478" s="77">
        <f>IFERROR(__xludf.DUMMYFUNCTION("""COMPUTED_VALUE"""),1.0)</f>
        <v>1</v>
      </c>
      <c r="O1478" s="49"/>
      <c r="P1478" s="49" t="str">
        <f>IFERROR(__xludf.DUMMYFUNCTION("""COMPUTED_VALUE"""),"Offset")</f>
        <v>Offset</v>
      </c>
      <c r="Q1478" s="49" t="str">
        <f>IFERROR(__xludf.DUMMYFUNCTION("""COMPUTED_VALUE"""),"Packaging")</f>
        <v>Packaging</v>
      </c>
      <c r="R1478" s="49" t="str">
        <f>IFERROR(__xludf.DUMMYFUNCTION("""COMPUTED_VALUE"""),"Medecine")</f>
        <v>Medecine</v>
      </c>
    </row>
    <row r="1479">
      <c r="A1479" s="156" t="str">
        <f>IFERROR(__xludf.DUMMYFUNCTION("""COMPUTED_VALUE"""),"https://drive.google.com/open?id=1QtP9wZOyolgWVvmLYDZRPMcej922wZ5v&amp;authuser=jay.agg%40gmail.com&amp;usp=drive_fs")</f>
        <v>https://drive.google.com/open?id=1QtP9wZOyolgWVvmLYDZRPMcej922wZ5v&amp;authuser=jay.agg%40gmail.com&amp;usp=drive_fs</v>
      </c>
      <c r="B1479" s="73" t="str">
        <f>IFERROR(__xludf.DUMMYFUNCTION("""COMPUTED_VALUE"""),"Medecine")</f>
        <v>Medecine</v>
      </c>
      <c r="C1479" s="73" t="str">
        <f>IFERROR(__xludf.DUMMYFUNCTION("""COMPUTED_VALUE"""),"Misc")</f>
        <v>Misc</v>
      </c>
      <c r="D1479" s="73" t="str">
        <f>IFERROR(__xludf.DUMMYFUNCTION("""COMPUTED_VALUE"""),"200ml 57*57*160 mm")</f>
        <v>200ml 57*57*160 mm</v>
      </c>
      <c r="E1479" s="77">
        <f>IFERROR(__xludf.DUMMYFUNCTION("""COMPUTED_VALUE"""),4.0)</f>
        <v>4</v>
      </c>
      <c r="F1479" s="77">
        <f>IFERROR(__xludf.DUMMYFUNCTION("""COMPUTED_VALUE"""),1926.0)</f>
        <v>1926</v>
      </c>
      <c r="G1479" s="77">
        <f>IFERROR(__xludf.DUMMYFUNCTION("""COMPUTED_VALUE"""),19.5)</f>
        <v>19.5</v>
      </c>
      <c r="H1479" s="77">
        <f>IFERROR(__xludf.DUMMYFUNCTION("""COMPUTED_VALUE"""),23.0)</f>
        <v>23</v>
      </c>
      <c r="I1479" s="77">
        <f>IFERROR(__xludf.DUMMYFUNCTION("""COMPUTED_VALUE"""),100.0)</f>
        <v>100</v>
      </c>
      <c r="J1479" s="73"/>
      <c r="K1479" s="73"/>
      <c r="L1479" s="73"/>
      <c r="M1479" s="77">
        <f>IFERROR(__xludf.DUMMYFUNCTION("""COMPUTED_VALUE"""),0.1)</f>
        <v>0.1</v>
      </c>
      <c r="N1479" s="77">
        <f>IFERROR(__xludf.DUMMYFUNCTION("""COMPUTED_VALUE"""),1.0)</f>
        <v>1</v>
      </c>
      <c r="O1479" s="49"/>
      <c r="P1479" s="49" t="str">
        <f>IFERROR(__xludf.DUMMYFUNCTION("""COMPUTED_VALUE"""),"Offset")</f>
        <v>Offset</v>
      </c>
      <c r="Q1479" s="49" t="str">
        <f>IFERROR(__xludf.DUMMYFUNCTION("""COMPUTED_VALUE"""),"Packaging")</f>
        <v>Packaging</v>
      </c>
      <c r="R1479" s="49" t="str">
        <f>IFERROR(__xludf.DUMMYFUNCTION("""COMPUTED_VALUE"""),"Medecine")</f>
        <v>Medecine</v>
      </c>
    </row>
    <row r="1480">
      <c r="A1480" s="156" t="str">
        <f>IFERROR(__xludf.DUMMYFUNCTION("""COMPUTED_VALUE"""),"https://drive.google.com/open?id=1Qux2u2uhL4-xjgM6pjBVL5IJgs9z5EMz&amp;authuser=jay.agg%40gmail.com&amp;usp=drive_fs")</f>
        <v>https://drive.google.com/open?id=1Qux2u2uhL4-xjgM6pjBVL5IJgs9z5EMz&amp;authuser=jay.agg%40gmail.com&amp;usp=drive_fs</v>
      </c>
      <c r="B1480" s="73" t="str">
        <f>IFERROR(__xludf.DUMMYFUNCTION("""COMPUTED_VALUE"""),"Medecine")</f>
        <v>Medecine</v>
      </c>
      <c r="C1480" s="73" t="str">
        <f>IFERROR(__xludf.DUMMYFUNCTION("""COMPUTED_VALUE"""),"Misc")</f>
        <v>Misc</v>
      </c>
      <c r="D1480" s="73" t="str">
        <f>IFERROR(__xludf.DUMMYFUNCTION("""COMPUTED_VALUE"""),"100ml 45*45*109 mm")</f>
        <v>100ml 45*45*109 mm</v>
      </c>
      <c r="E1480" s="77">
        <f>IFERROR(__xludf.DUMMYFUNCTION("""COMPUTED_VALUE"""),6.0)</f>
        <v>6</v>
      </c>
      <c r="F1480" s="77">
        <f>IFERROR(__xludf.DUMMYFUNCTION("""COMPUTED_VALUE"""),1926.0)</f>
        <v>1926</v>
      </c>
      <c r="G1480" s="77">
        <f>IFERROR(__xludf.DUMMYFUNCTION("""COMPUTED_VALUE"""),18.0)</f>
        <v>18</v>
      </c>
      <c r="H1480" s="77">
        <f>IFERROR(__xludf.DUMMYFUNCTION("""COMPUTED_VALUE"""),23.0)</f>
        <v>23</v>
      </c>
      <c r="I1480" s="77">
        <f>IFERROR(__xludf.DUMMYFUNCTION("""COMPUTED_VALUE"""),100.0)</f>
        <v>100</v>
      </c>
      <c r="J1480" s="73"/>
      <c r="K1480" s="73"/>
      <c r="L1480" s="73"/>
      <c r="M1480" s="77">
        <f>IFERROR(__xludf.DUMMYFUNCTION("""COMPUTED_VALUE"""),0.1)</f>
        <v>0.1</v>
      </c>
      <c r="N1480" s="77">
        <f>IFERROR(__xludf.DUMMYFUNCTION("""COMPUTED_VALUE"""),1.0)</f>
        <v>1</v>
      </c>
      <c r="O1480" s="49"/>
      <c r="P1480" s="49" t="str">
        <f>IFERROR(__xludf.DUMMYFUNCTION("""COMPUTED_VALUE"""),"Offset")</f>
        <v>Offset</v>
      </c>
      <c r="Q1480" s="49" t="str">
        <f>IFERROR(__xludf.DUMMYFUNCTION("""COMPUTED_VALUE"""),"Packaging")</f>
        <v>Packaging</v>
      </c>
      <c r="R1480" s="49" t="str">
        <f>IFERROR(__xludf.DUMMYFUNCTION("""COMPUTED_VALUE"""),"Medecine")</f>
        <v>Medecine</v>
      </c>
    </row>
    <row r="1481">
      <c r="A1481" s="156" t="str">
        <f>IFERROR(__xludf.DUMMYFUNCTION("""COMPUTED_VALUE"""),"https://drive.google.com/open?id=1REDbRs5gYL_6WV6RTTGBCZMs2Sc15K7c&amp;authuser=jay.agg%40gmail.com&amp;usp=drive_fs")</f>
        <v>https://drive.google.com/open?id=1REDbRs5gYL_6WV6RTTGBCZMs2Sc15K7c&amp;authuser=jay.agg%40gmail.com&amp;usp=drive_fs</v>
      </c>
      <c r="B1481" s="73" t="str">
        <f>IFERROR(__xludf.DUMMYFUNCTION("""COMPUTED_VALUE"""),"Medecine")</f>
        <v>Medecine</v>
      </c>
      <c r="C1481" s="73" t="str">
        <f>IFERROR(__xludf.DUMMYFUNCTION("""COMPUTED_VALUE"""),"Misc")</f>
        <v>Misc</v>
      </c>
      <c r="D1481" s="73" t="str">
        <f>IFERROR(__xludf.DUMMYFUNCTION("""COMPUTED_VALUE"""),"36*36*95 mm | 45*45*109 mm")</f>
        <v>36*36*95 mm | 45*45*109 mm</v>
      </c>
      <c r="E1481" s="77">
        <f>IFERROR(__xludf.DUMMYFUNCTION("""COMPUTED_VALUE"""),8.0)</f>
        <v>8</v>
      </c>
      <c r="F1481" s="77">
        <f>IFERROR(__xludf.DUMMYFUNCTION("""COMPUTED_VALUE"""),2029.0)</f>
        <v>2029</v>
      </c>
      <c r="G1481" s="77">
        <f>IFERROR(__xludf.DUMMYFUNCTION("""COMPUTED_VALUE"""),20.0)</f>
        <v>20</v>
      </c>
      <c r="H1481" s="77">
        <f>IFERROR(__xludf.DUMMYFUNCTION("""COMPUTED_VALUE"""),28.0)</f>
        <v>28</v>
      </c>
      <c r="I1481" s="77">
        <f>IFERROR(__xludf.DUMMYFUNCTION("""COMPUTED_VALUE"""),100.0)</f>
        <v>100</v>
      </c>
      <c r="J1481" s="73"/>
      <c r="K1481" s="73"/>
      <c r="L1481" s="73"/>
      <c r="M1481" s="77">
        <f>IFERROR(__xludf.DUMMYFUNCTION("""COMPUTED_VALUE"""),0.1)</f>
        <v>0.1</v>
      </c>
      <c r="N1481" s="77">
        <f>IFERROR(__xludf.DUMMYFUNCTION("""COMPUTED_VALUE"""),1.0)</f>
        <v>1</v>
      </c>
      <c r="O1481" s="49"/>
      <c r="P1481" s="49" t="str">
        <f>IFERROR(__xludf.DUMMYFUNCTION("""COMPUTED_VALUE"""),"Offset")</f>
        <v>Offset</v>
      </c>
      <c r="Q1481" s="49" t="str">
        <f>IFERROR(__xludf.DUMMYFUNCTION("""COMPUTED_VALUE"""),"Packaging")</f>
        <v>Packaging</v>
      </c>
      <c r="R1481" s="49" t="str">
        <f>IFERROR(__xludf.DUMMYFUNCTION("""COMPUTED_VALUE"""),"Medecine")</f>
        <v>Medecine</v>
      </c>
    </row>
    <row r="1482">
      <c r="A1482" s="156" t="str">
        <f>IFERROR(__xludf.DUMMYFUNCTION("""COMPUTED_VALUE"""),"https://drive.google.com/open?id=1ENN4gbEyx39nRDZTqUOqrNacz1AK31Iy&amp;authuser=jay.agg%40gmail.com&amp;usp=drive_fs")</f>
        <v>https://drive.google.com/open?id=1ENN4gbEyx39nRDZTqUOqrNacz1AK31Iy&amp;authuser=jay.agg%40gmail.com&amp;usp=drive_fs</v>
      </c>
      <c r="B1482" s="73" t="str">
        <f>IFERROR(__xludf.DUMMYFUNCTION("""COMPUTED_VALUE"""),"Medecine")</f>
        <v>Medecine</v>
      </c>
      <c r="C1482" s="73" t="str">
        <f>IFERROR(__xludf.DUMMYFUNCTION("""COMPUTED_VALUE"""),"Syrup")</f>
        <v>Syrup</v>
      </c>
      <c r="D1482" s="73" t="str">
        <f>IFERROR(__xludf.DUMMYFUNCTION("""COMPUTED_VALUE"""),"53*53*160 mm | 2.1*2.1*6.25 inch")</f>
        <v>53*53*160 mm | 2.1*2.1*6.25 inch</v>
      </c>
      <c r="E1482" s="77">
        <f>IFERROR(__xludf.DUMMYFUNCTION("""COMPUTED_VALUE"""),4.0)</f>
        <v>4</v>
      </c>
      <c r="F1482" s="77">
        <f>IFERROR(__xludf.DUMMYFUNCTION("""COMPUTED_VALUE"""),1926.0)</f>
        <v>1926</v>
      </c>
      <c r="G1482" s="77">
        <f>IFERROR(__xludf.DUMMYFUNCTION("""COMPUTED_VALUE"""),18.0)</f>
        <v>18</v>
      </c>
      <c r="H1482" s="77">
        <f>IFERROR(__xludf.DUMMYFUNCTION("""COMPUTED_VALUE"""),21.0)</f>
        <v>21</v>
      </c>
      <c r="I1482" s="77">
        <f>IFERROR(__xludf.DUMMYFUNCTION("""COMPUTED_VALUE"""),100.0)</f>
        <v>100</v>
      </c>
      <c r="J1482" s="73"/>
      <c r="K1482" s="73"/>
      <c r="L1482" s="73"/>
      <c r="M1482" s="77">
        <f>IFERROR(__xludf.DUMMYFUNCTION("""COMPUTED_VALUE"""),0.1)</f>
        <v>0.1</v>
      </c>
      <c r="N1482" s="77">
        <f>IFERROR(__xludf.DUMMYFUNCTION("""COMPUTED_VALUE"""),1.0)</f>
        <v>1</v>
      </c>
      <c r="O1482" s="49"/>
      <c r="P1482" s="49" t="str">
        <f>IFERROR(__xludf.DUMMYFUNCTION("""COMPUTED_VALUE"""),"Offset")</f>
        <v>Offset</v>
      </c>
      <c r="Q1482" s="49" t="str">
        <f>IFERROR(__xludf.DUMMYFUNCTION("""COMPUTED_VALUE"""),"Packaging")</f>
        <v>Packaging</v>
      </c>
      <c r="R1482" s="49" t="str">
        <f>IFERROR(__xludf.DUMMYFUNCTION("""COMPUTED_VALUE"""),"Medecine")</f>
        <v>Medecine</v>
      </c>
    </row>
    <row r="1483">
      <c r="A1483" s="156" t="str">
        <f>IFERROR(__xludf.DUMMYFUNCTION("""COMPUTED_VALUE"""),"https://drive.google.com/open?id=1GAXVxlp5SObAqECl6eASUfJhSUM5c0hd&amp;authuser=jay.agg%40gmail.com&amp;usp=drive_fs")</f>
        <v>https://drive.google.com/open?id=1GAXVxlp5SObAqECl6eASUfJhSUM5c0hd&amp;authuser=jay.agg%40gmail.com&amp;usp=drive_fs</v>
      </c>
      <c r="B1483" s="73" t="str">
        <f>IFERROR(__xludf.DUMMYFUNCTION("""COMPUTED_VALUE"""),"Medecine")</f>
        <v>Medecine</v>
      </c>
      <c r="C1483" s="73" t="str">
        <f>IFERROR(__xludf.DUMMYFUNCTION("""COMPUTED_VALUE"""),"Misc")</f>
        <v>Misc</v>
      </c>
      <c r="D1483" s="73" t="str">
        <f>IFERROR(__xludf.DUMMYFUNCTION("""COMPUTED_VALUE"""),"45*45*113 mm | 1.7*1.7*4.5 inch")</f>
        <v>45*45*113 mm | 1.7*1.7*4.5 inch</v>
      </c>
      <c r="E1483" s="77">
        <f>IFERROR(__xludf.DUMMYFUNCTION("""COMPUTED_VALUE"""),6.0)</f>
        <v>6</v>
      </c>
      <c r="F1483" s="77">
        <f>IFERROR(__xludf.DUMMYFUNCTION("""COMPUTED_VALUE"""),1926.0)</f>
        <v>1926</v>
      </c>
      <c r="G1483" s="77">
        <f>IFERROR(__xludf.DUMMYFUNCTION("""COMPUTED_VALUE"""),18.0)</f>
        <v>18</v>
      </c>
      <c r="H1483" s="77">
        <f>IFERROR(__xludf.DUMMYFUNCTION("""COMPUTED_VALUE"""),23.0)</f>
        <v>23</v>
      </c>
      <c r="I1483" s="77">
        <f>IFERROR(__xludf.DUMMYFUNCTION("""COMPUTED_VALUE"""),100.0)</f>
        <v>100</v>
      </c>
      <c r="J1483" s="73"/>
      <c r="K1483" s="73"/>
      <c r="L1483" s="73"/>
      <c r="M1483" s="77">
        <f>IFERROR(__xludf.DUMMYFUNCTION("""COMPUTED_VALUE"""),0.1)</f>
        <v>0.1</v>
      </c>
      <c r="N1483" s="77">
        <f>IFERROR(__xludf.DUMMYFUNCTION("""COMPUTED_VALUE"""),1.0)</f>
        <v>1</v>
      </c>
      <c r="O1483" s="49"/>
      <c r="P1483" s="49" t="str">
        <f>IFERROR(__xludf.DUMMYFUNCTION("""COMPUTED_VALUE"""),"Offset")</f>
        <v>Offset</v>
      </c>
      <c r="Q1483" s="49" t="str">
        <f>IFERROR(__xludf.DUMMYFUNCTION("""COMPUTED_VALUE"""),"Packaging")</f>
        <v>Packaging</v>
      </c>
      <c r="R1483" s="49" t="str">
        <f>IFERROR(__xludf.DUMMYFUNCTION("""COMPUTED_VALUE"""),"Medecine")</f>
        <v>Medecine</v>
      </c>
    </row>
    <row r="1484">
      <c r="A1484" s="156" t="str">
        <f>IFERROR(__xludf.DUMMYFUNCTION("""COMPUTED_VALUE"""),"https://drive.google.com/open?id=1HQX0d0h1jNEmJESrNTTEbcwZBmD_3BUX&amp;authuser=jay.agg%40gmail.com&amp;usp=drive_fs")</f>
        <v>https://drive.google.com/open?id=1HQX0d0h1jNEmJESrNTTEbcwZBmD_3BUX&amp;authuser=jay.agg%40gmail.com&amp;usp=drive_fs</v>
      </c>
      <c r="B1484" s="73" t="str">
        <f>IFERROR(__xludf.DUMMYFUNCTION("""COMPUTED_VALUE"""),"Medecine")</f>
        <v>Medecine</v>
      </c>
      <c r="C1484" s="73" t="str">
        <f>IFERROR(__xludf.DUMMYFUNCTION("""COMPUTED_VALUE"""),"Syrup")</f>
        <v>Syrup</v>
      </c>
      <c r="D1484" s="73" t="str">
        <f>IFERROR(__xludf.DUMMYFUNCTION("""COMPUTED_VALUE"""),"60*60*160 mm | 2.3*2.3*6.3 inch LB")</f>
        <v>60*60*160 mm | 2.3*2.3*6.3 inch LB</v>
      </c>
      <c r="E1484" s="77">
        <f>IFERROR(__xludf.DUMMYFUNCTION("""COMPUTED_VALUE"""),4.0)</f>
        <v>4</v>
      </c>
      <c r="F1484" s="77">
        <f>IFERROR(__xludf.DUMMYFUNCTION("""COMPUTED_VALUE"""),2029.0)</f>
        <v>2029</v>
      </c>
      <c r="G1484" s="77">
        <f>IFERROR(__xludf.DUMMYFUNCTION("""COMPUTED_VALUE"""),20.0)</f>
        <v>20</v>
      </c>
      <c r="H1484" s="77">
        <f>IFERROR(__xludf.DUMMYFUNCTION("""COMPUTED_VALUE"""),21.0)</f>
        <v>21</v>
      </c>
      <c r="I1484" s="77">
        <f>IFERROR(__xludf.DUMMYFUNCTION("""COMPUTED_VALUE"""),100.0)</f>
        <v>100</v>
      </c>
      <c r="J1484" s="73"/>
      <c r="K1484" s="73"/>
      <c r="L1484" s="73"/>
      <c r="M1484" s="77">
        <f>IFERROR(__xludf.DUMMYFUNCTION("""COMPUTED_VALUE"""),0.1)</f>
        <v>0.1</v>
      </c>
      <c r="N1484" s="77">
        <f>IFERROR(__xludf.DUMMYFUNCTION("""COMPUTED_VALUE"""),1.0)</f>
        <v>1</v>
      </c>
      <c r="O1484" s="49"/>
      <c r="P1484" s="49" t="str">
        <f>IFERROR(__xludf.DUMMYFUNCTION("""COMPUTED_VALUE"""),"Offset")</f>
        <v>Offset</v>
      </c>
      <c r="Q1484" s="49" t="str">
        <f>IFERROR(__xludf.DUMMYFUNCTION("""COMPUTED_VALUE"""),"Packaging")</f>
        <v>Packaging</v>
      </c>
      <c r="R1484" s="49" t="str">
        <f>IFERROR(__xludf.DUMMYFUNCTION("""COMPUTED_VALUE"""),"Medecine")</f>
        <v>Medecine</v>
      </c>
    </row>
    <row r="1485">
      <c r="A1485" s="156" t="str">
        <f>IFERROR(__xludf.DUMMYFUNCTION("""COMPUTED_VALUE"""),"https://drive.google.com/open?id=1HT7wAyUd77VuxlTFZdCO0YimUvCISXL5&amp;authuser=jay.agg%40gmail.com&amp;usp=drive_fs")</f>
        <v>https://drive.google.com/open?id=1HT7wAyUd77VuxlTFZdCO0YimUvCISXL5&amp;authuser=jay.agg%40gmail.com&amp;usp=drive_fs</v>
      </c>
      <c r="B1485" s="73" t="str">
        <f>IFERROR(__xludf.DUMMYFUNCTION("""COMPUTED_VALUE"""),"Medecine")</f>
        <v>Medecine</v>
      </c>
      <c r="C1485" s="73" t="str">
        <f>IFERROR(__xludf.DUMMYFUNCTION("""COMPUTED_VALUE"""),"Syrup")</f>
        <v>Syrup</v>
      </c>
      <c r="D1485" s="73" t="str">
        <f>IFERROR(__xludf.DUMMYFUNCTION("""COMPUTED_VALUE"""),"44*44*110 mm | 1.7*1.7*4.3 inch LB")</f>
        <v>44*44*110 mm | 1.7*1.7*4.3 inch LB</v>
      </c>
      <c r="E1485" s="77">
        <f>IFERROR(__xludf.DUMMYFUNCTION("""COMPUTED_VALUE"""),6.0)</f>
        <v>6</v>
      </c>
      <c r="F1485" s="77">
        <f>IFERROR(__xludf.DUMMYFUNCTION("""COMPUTED_VALUE"""),1926.0)</f>
        <v>1926</v>
      </c>
      <c r="G1485" s="77">
        <f>IFERROR(__xludf.DUMMYFUNCTION("""COMPUTED_VALUE"""),15.0)</f>
        <v>15</v>
      </c>
      <c r="H1485" s="77">
        <f>IFERROR(__xludf.DUMMYFUNCTION("""COMPUTED_VALUE"""),25.0)</f>
        <v>25</v>
      </c>
      <c r="I1485" s="77">
        <f>IFERROR(__xludf.DUMMYFUNCTION("""COMPUTED_VALUE"""),100.0)</f>
        <v>100</v>
      </c>
      <c r="J1485" s="73"/>
      <c r="K1485" s="73"/>
      <c r="L1485" s="73"/>
      <c r="M1485" s="77">
        <f>IFERROR(__xludf.DUMMYFUNCTION("""COMPUTED_VALUE"""),0.1)</f>
        <v>0.1</v>
      </c>
      <c r="N1485" s="77">
        <f>IFERROR(__xludf.DUMMYFUNCTION("""COMPUTED_VALUE"""),1.0)</f>
        <v>1</v>
      </c>
      <c r="O1485" s="49"/>
      <c r="P1485" s="49" t="str">
        <f>IFERROR(__xludf.DUMMYFUNCTION("""COMPUTED_VALUE"""),"Offset")</f>
        <v>Offset</v>
      </c>
      <c r="Q1485" s="49" t="str">
        <f>IFERROR(__xludf.DUMMYFUNCTION("""COMPUTED_VALUE"""),"Packaging")</f>
        <v>Packaging</v>
      </c>
      <c r="R1485" s="49" t="str">
        <f>IFERROR(__xludf.DUMMYFUNCTION("""COMPUTED_VALUE"""),"Medecine")</f>
        <v>Medecine</v>
      </c>
    </row>
    <row r="1486">
      <c r="A1486" s="156" t="str">
        <f>IFERROR(__xludf.DUMMYFUNCTION("""COMPUTED_VALUE"""),"https://drive.google.com/open?id=1SBNZ9XKZENOrh6z_O8d2VCnO3mbdg_Mr&amp;authuser=jay.agg%40gmail.com&amp;usp=drive_fs")</f>
        <v>https://drive.google.com/open?id=1SBNZ9XKZENOrh6z_O8d2VCnO3mbdg_Mr&amp;authuser=jay.agg%40gmail.com&amp;usp=drive_fs</v>
      </c>
      <c r="B1486" s="73" t="str">
        <f>IFERROR(__xludf.DUMMYFUNCTION("""COMPUTED_VALUE"""),"Medecine")</f>
        <v>Medecine</v>
      </c>
      <c r="C1486" s="73" t="str">
        <f>IFERROR(__xludf.DUMMYFUNCTION("""COMPUTED_VALUE"""),"Misc")</f>
        <v>Misc</v>
      </c>
      <c r="D1486" s="73" t="str">
        <f>IFERROR(__xludf.DUMMYFUNCTION("""COMPUTED_VALUE"""),"200*30*110 mm | 7.8*1.2*4.3 inch")</f>
        <v>200*30*110 mm | 7.8*1.2*4.3 inch</v>
      </c>
      <c r="E1486" s="77">
        <f>IFERROR(__xludf.DUMMYFUNCTION("""COMPUTED_VALUE"""),2.0)</f>
        <v>2</v>
      </c>
      <c r="F1486" s="77">
        <f>IFERROR(__xludf.DUMMYFUNCTION("""COMPUTED_VALUE"""),1926.0)</f>
        <v>1926</v>
      </c>
      <c r="G1486" s="77">
        <f>IFERROR(__xludf.DUMMYFUNCTION("""COMPUTED_VALUE"""),15.75)</f>
        <v>15.75</v>
      </c>
      <c r="H1486" s="77">
        <f>IFERROR(__xludf.DUMMYFUNCTION("""COMPUTED_VALUE"""),20.75)</f>
        <v>20.75</v>
      </c>
      <c r="I1486" s="77">
        <f>IFERROR(__xludf.DUMMYFUNCTION("""COMPUTED_VALUE"""),100.0)</f>
        <v>100</v>
      </c>
      <c r="J1486" s="73"/>
      <c r="K1486" s="73"/>
      <c r="L1486" s="73"/>
      <c r="M1486" s="77">
        <f>IFERROR(__xludf.DUMMYFUNCTION("""COMPUTED_VALUE"""),0.1)</f>
        <v>0.1</v>
      </c>
      <c r="N1486" s="77">
        <f>IFERROR(__xludf.DUMMYFUNCTION("""COMPUTED_VALUE"""),1.0)</f>
        <v>1</v>
      </c>
      <c r="O1486" s="49"/>
      <c r="P1486" s="49" t="str">
        <f>IFERROR(__xludf.DUMMYFUNCTION("""COMPUTED_VALUE"""),"Offset")</f>
        <v>Offset</v>
      </c>
      <c r="Q1486" s="49" t="str">
        <f>IFERROR(__xludf.DUMMYFUNCTION("""COMPUTED_VALUE"""),"Packaging")</f>
        <v>Packaging</v>
      </c>
      <c r="R1486" s="49" t="str">
        <f>IFERROR(__xludf.DUMMYFUNCTION("""COMPUTED_VALUE"""),"Medecine")</f>
        <v>Medecine</v>
      </c>
    </row>
    <row r="1487">
      <c r="A1487" s="156" t="str">
        <f>IFERROR(__xludf.DUMMYFUNCTION("""COMPUTED_VALUE"""),"https://drive.google.com/open?id=1YL88kyVp5NVEJTjQJE60-uOyWbMeoPLd&amp;authuser=jay.agg%40gmail.com&amp;usp=drive_fs")</f>
        <v>https://drive.google.com/open?id=1YL88kyVp5NVEJTjQJE60-uOyWbMeoPLd&amp;authuser=jay.agg%40gmail.com&amp;usp=drive_fs</v>
      </c>
      <c r="B1487" s="73" t="str">
        <f>IFERROR(__xludf.DUMMYFUNCTION("""COMPUTED_VALUE"""),"Medecine")</f>
        <v>Medecine</v>
      </c>
      <c r="C1487" s="73" t="str">
        <f>IFERROR(__xludf.DUMMYFUNCTION("""COMPUTED_VALUE"""),"Misc")</f>
        <v>Misc</v>
      </c>
      <c r="D1487" s="73" t="str">
        <f>IFERROR(__xludf.DUMMYFUNCTION("""COMPUTED_VALUE"""),"90*70*180 mm | 3.5*2.7*7 inch")</f>
        <v>90*70*180 mm | 3.5*2.7*7 inch</v>
      </c>
      <c r="E1487" s="77">
        <f>IFERROR(__xludf.DUMMYFUNCTION("""COMPUTED_VALUE"""),2.0)</f>
        <v>2</v>
      </c>
      <c r="F1487" s="77">
        <f>IFERROR(__xludf.DUMMYFUNCTION("""COMPUTED_VALUE"""),2029.0)</f>
        <v>2029</v>
      </c>
      <c r="G1487" s="77">
        <f>IFERROR(__xludf.DUMMYFUNCTION("""COMPUTED_VALUE"""),20.0)</f>
        <v>20</v>
      </c>
      <c r="H1487" s="77">
        <f>IFERROR(__xludf.DUMMYFUNCTION("""COMPUTED_VALUE"""),28.0)</f>
        <v>28</v>
      </c>
      <c r="I1487" s="77">
        <f>IFERROR(__xludf.DUMMYFUNCTION("""COMPUTED_VALUE"""),100.0)</f>
        <v>100</v>
      </c>
      <c r="J1487" s="73"/>
      <c r="K1487" s="73"/>
      <c r="L1487" s="73"/>
      <c r="M1487" s="77">
        <f>IFERROR(__xludf.DUMMYFUNCTION("""COMPUTED_VALUE"""),0.12)</f>
        <v>0.12</v>
      </c>
      <c r="N1487" s="77">
        <f>IFERROR(__xludf.DUMMYFUNCTION("""COMPUTED_VALUE"""),1.0)</f>
        <v>1</v>
      </c>
      <c r="O1487" s="49"/>
      <c r="P1487" s="49" t="str">
        <f>IFERROR(__xludf.DUMMYFUNCTION("""COMPUTED_VALUE"""),"Offset")</f>
        <v>Offset</v>
      </c>
      <c r="Q1487" s="49" t="str">
        <f>IFERROR(__xludf.DUMMYFUNCTION("""COMPUTED_VALUE"""),"Packaging")</f>
        <v>Packaging</v>
      </c>
      <c r="R1487" s="49" t="str">
        <f>IFERROR(__xludf.DUMMYFUNCTION("""COMPUTED_VALUE"""),"Medecine")</f>
        <v>Medecine</v>
      </c>
    </row>
    <row r="1488">
      <c r="A1488" s="156" t="str">
        <f>IFERROR(__xludf.DUMMYFUNCTION("""COMPUTED_VALUE"""),"https://drive.google.com/open?id=1Uk9DhEwdgmZJpl7N6mThE6rONUxm7CIp&amp;authuser=jay.agg%40gmail.com&amp;usp=drive_fs")</f>
        <v>https://drive.google.com/open?id=1Uk9DhEwdgmZJpl7N6mThE6rONUxm7CIp&amp;authuser=jay.agg%40gmail.com&amp;usp=drive_fs</v>
      </c>
      <c r="B1488" s="73" t="str">
        <f>IFERROR(__xludf.DUMMYFUNCTION("""COMPUTED_VALUE"""),"Medecine")</f>
        <v>Medecine</v>
      </c>
      <c r="C1488" s="73" t="str">
        <f>IFERROR(__xludf.DUMMYFUNCTION("""COMPUTED_VALUE"""),"Misc")</f>
        <v>Misc</v>
      </c>
      <c r="D1488" s="73" t="str">
        <f>IFERROR(__xludf.DUMMYFUNCTION("""COMPUTED_VALUE"""),"150*60*12 mm | 5.9*2.3*0.45 inch")</f>
        <v>150*60*12 mm | 5.9*2.3*0.45 inch</v>
      </c>
      <c r="E1488" s="77">
        <f>IFERROR(__xludf.DUMMYFUNCTION("""COMPUTED_VALUE"""),9.0)</f>
        <v>9</v>
      </c>
      <c r="F1488" s="77">
        <f>IFERROR(__xludf.DUMMYFUNCTION("""COMPUTED_VALUE"""),1926.0)</f>
        <v>1926</v>
      </c>
      <c r="G1488" s="77">
        <f>IFERROR(__xludf.DUMMYFUNCTION("""COMPUTED_VALUE"""),19.5)</f>
        <v>19.5</v>
      </c>
      <c r="H1488" s="77">
        <f>IFERROR(__xludf.DUMMYFUNCTION("""COMPUTED_VALUE"""),23.0)</f>
        <v>23</v>
      </c>
      <c r="I1488" s="77">
        <f>IFERROR(__xludf.DUMMYFUNCTION("""COMPUTED_VALUE"""),100.0)</f>
        <v>100</v>
      </c>
      <c r="J1488" s="73"/>
      <c r="K1488" s="73"/>
      <c r="L1488" s="73"/>
      <c r="M1488" s="77">
        <f>IFERROR(__xludf.DUMMYFUNCTION("""COMPUTED_VALUE"""),0.1)</f>
        <v>0.1</v>
      </c>
      <c r="N1488" s="77">
        <f>IFERROR(__xludf.DUMMYFUNCTION("""COMPUTED_VALUE"""),1.0)</f>
        <v>1</v>
      </c>
      <c r="O1488" s="49"/>
      <c r="P1488" s="49" t="str">
        <f>IFERROR(__xludf.DUMMYFUNCTION("""COMPUTED_VALUE"""),"Offset")</f>
        <v>Offset</v>
      </c>
      <c r="Q1488" s="49" t="str">
        <f>IFERROR(__xludf.DUMMYFUNCTION("""COMPUTED_VALUE"""),"Packaging")</f>
        <v>Packaging</v>
      </c>
      <c r="R1488" s="49" t="str">
        <f>IFERROR(__xludf.DUMMYFUNCTION("""COMPUTED_VALUE"""),"Medecine")</f>
        <v>Medecine</v>
      </c>
    </row>
    <row r="1489">
      <c r="A1489" s="156" t="str">
        <f>IFERROR(__xludf.DUMMYFUNCTION("""COMPUTED_VALUE"""),"https://drive.google.com/open?id=11HKadoShBx6MmjMR_K2YvAeWNQ-47eTV&amp;authuser=jay.agg%40gmail.com&amp;usp=drive_fs")</f>
        <v>https://drive.google.com/open?id=11HKadoShBx6MmjMR_K2YvAeWNQ-47eTV&amp;authuser=jay.agg%40gmail.com&amp;usp=drive_fs</v>
      </c>
      <c r="B1489" s="73" t="str">
        <f>IFERROR(__xludf.DUMMYFUNCTION("""COMPUTED_VALUE"""),"Medecine")</f>
        <v>Medecine</v>
      </c>
      <c r="C1489" s="73" t="str">
        <f>IFERROR(__xludf.DUMMYFUNCTION("""COMPUTED_VALUE"""),"Misc")</f>
        <v>Misc</v>
      </c>
      <c r="D1489" s="73" t="str">
        <f>IFERROR(__xludf.DUMMYFUNCTION("""COMPUTED_VALUE"""),"110*55*15 mm | 4.3*2.1*0.6 inch")</f>
        <v>110*55*15 mm | 4.3*2.1*0.6 inch</v>
      </c>
      <c r="E1489" s="77">
        <f>IFERROR(__xludf.DUMMYFUNCTION("""COMPUTED_VALUE"""),12.0)</f>
        <v>12</v>
      </c>
      <c r="F1489" s="77">
        <f>IFERROR(__xludf.DUMMYFUNCTION("""COMPUTED_VALUE"""),1926.0)</f>
        <v>1926</v>
      </c>
      <c r="G1489" s="77">
        <f>IFERROR(__xludf.DUMMYFUNCTION("""COMPUTED_VALUE"""),18.0)</f>
        <v>18</v>
      </c>
      <c r="H1489" s="77">
        <f>IFERROR(__xludf.DUMMYFUNCTION("""COMPUTED_VALUE"""),23.0)</f>
        <v>23</v>
      </c>
      <c r="I1489" s="77">
        <f>IFERROR(__xludf.DUMMYFUNCTION("""COMPUTED_VALUE"""),100.0)</f>
        <v>100</v>
      </c>
      <c r="J1489" s="73"/>
      <c r="K1489" s="73"/>
      <c r="L1489" s="73"/>
      <c r="M1489" s="77">
        <f>IFERROR(__xludf.DUMMYFUNCTION("""COMPUTED_VALUE"""),0.1)</f>
        <v>0.1</v>
      </c>
      <c r="N1489" s="77">
        <f>IFERROR(__xludf.DUMMYFUNCTION("""COMPUTED_VALUE"""),1.0)</f>
        <v>1</v>
      </c>
      <c r="O1489" s="49"/>
      <c r="P1489" s="49" t="str">
        <f>IFERROR(__xludf.DUMMYFUNCTION("""COMPUTED_VALUE"""),"Offset")</f>
        <v>Offset</v>
      </c>
      <c r="Q1489" s="49" t="str">
        <f>IFERROR(__xludf.DUMMYFUNCTION("""COMPUTED_VALUE"""),"Packaging")</f>
        <v>Packaging</v>
      </c>
      <c r="R1489" s="49" t="str">
        <f>IFERROR(__xludf.DUMMYFUNCTION("""COMPUTED_VALUE"""),"Medecine")</f>
        <v>Medecine</v>
      </c>
    </row>
    <row r="1490">
      <c r="A1490" s="156" t="str">
        <f>IFERROR(__xludf.DUMMYFUNCTION("""COMPUTED_VALUE"""),"https://drive.google.com/open?id=11Tt76EB9Xm61jvNOQVfZVXNPOylCAyGz&amp;authuser=jay.agg%40gmail.com&amp;usp=drive_fs")</f>
        <v>https://drive.google.com/open?id=11Tt76EB9Xm61jvNOQVfZVXNPOylCAyGz&amp;authuser=jay.agg%40gmail.com&amp;usp=drive_fs</v>
      </c>
      <c r="B1490" s="73" t="str">
        <f>IFERROR(__xludf.DUMMYFUNCTION("""COMPUTED_VALUE"""),"Medecine")</f>
        <v>Medecine</v>
      </c>
      <c r="C1490" s="73" t="str">
        <f>IFERROR(__xludf.DUMMYFUNCTION("""COMPUTED_VALUE"""),"Misc")</f>
        <v>Misc</v>
      </c>
      <c r="D1490" s="73" t="str">
        <f>IFERROR(__xludf.DUMMYFUNCTION("""COMPUTED_VALUE"""),"30*30*75 mm | 1.2*1.2*3 inch")</f>
        <v>30*30*75 mm | 1.2*1.2*3 inch</v>
      </c>
      <c r="E1490" s="77">
        <f>IFERROR(__xludf.DUMMYFUNCTION("""COMPUTED_VALUE"""),12.0)</f>
        <v>12</v>
      </c>
      <c r="F1490" s="77">
        <f>IFERROR(__xludf.DUMMYFUNCTION("""COMPUTED_VALUE"""),1926.0)</f>
        <v>1926</v>
      </c>
      <c r="G1490" s="77">
        <f>IFERROR(__xludf.DUMMYFUNCTION("""COMPUTED_VALUE"""),15.75)</f>
        <v>15.75</v>
      </c>
      <c r="H1490" s="77">
        <f>IFERROR(__xludf.DUMMYFUNCTION("""COMPUTED_VALUE"""),20.75)</f>
        <v>20.75</v>
      </c>
      <c r="I1490" s="77">
        <f>IFERROR(__xludf.DUMMYFUNCTION("""COMPUTED_VALUE"""),100.0)</f>
        <v>100</v>
      </c>
      <c r="J1490" s="73"/>
      <c r="K1490" s="73"/>
      <c r="L1490" s="73"/>
      <c r="M1490" s="77">
        <f>IFERROR(__xludf.DUMMYFUNCTION("""COMPUTED_VALUE"""),0.1)</f>
        <v>0.1</v>
      </c>
      <c r="N1490" s="77">
        <f>IFERROR(__xludf.DUMMYFUNCTION("""COMPUTED_VALUE"""),1.0)</f>
        <v>1</v>
      </c>
      <c r="O1490" s="49"/>
      <c r="P1490" s="49" t="str">
        <f>IFERROR(__xludf.DUMMYFUNCTION("""COMPUTED_VALUE"""),"Offset")</f>
        <v>Offset</v>
      </c>
      <c r="Q1490" s="49" t="str">
        <f>IFERROR(__xludf.DUMMYFUNCTION("""COMPUTED_VALUE"""),"Packaging")</f>
        <v>Packaging</v>
      </c>
      <c r="R1490" s="49" t="str">
        <f>IFERROR(__xludf.DUMMYFUNCTION("""COMPUTED_VALUE"""),"Medecine")</f>
        <v>Medecine</v>
      </c>
    </row>
    <row r="1491">
      <c r="A1491" s="156" t="str">
        <f>IFERROR(__xludf.DUMMYFUNCTION("""COMPUTED_VALUE"""),"https://drive.google.com/open?id=11WVcIndz9U-t8Sigq0C7HrabjN1aU4gO&amp;authuser=jay.agg%40gmail.com&amp;usp=drive_fs")</f>
        <v>https://drive.google.com/open?id=11WVcIndz9U-t8Sigq0C7HrabjN1aU4gO&amp;authuser=jay.agg%40gmail.com&amp;usp=drive_fs</v>
      </c>
      <c r="B1491" s="73" t="str">
        <f>IFERROR(__xludf.DUMMYFUNCTION("""COMPUTED_VALUE"""),"Medecine")</f>
        <v>Medecine</v>
      </c>
      <c r="C1491" s="73" t="str">
        <f>IFERROR(__xludf.DUMMYFUNCTION("""COMPUTED_VALUE"""),"Misc")</f>
        <v>Misc</v>
      </c>
      <c r="D1491" s="73" t="str">
        <f>IFERROR(__xludf.DUMMYFUNCTION("""COMPUTED_VALUE"""),"53*23*95 mm | 2*1*3.75 inch")</f>
        <v>53*23*95 mm | 2*1*3.75 inch</v>
      </c>
      <c r="E1491" s="77">
        <f>IFERROR(__xludf.DUMMYFUNCTION("""COMPUTED_VALUE"""),9.0)</f>
        <v>9</v>
      </c>
      <c r="F1491" s="77">
        <f>IFERROR(__xludf.DUMMYFUNCTION("""COMPUTED_VALUE"""),1926.0)</f>
        <v>1926</v>
      </c>
      <c r="G1491" s="77">
        <f>IFERROR(__xludf.DUMMYFUNCTION("""COMPUTED_VALUE"""),18.0)</f>
        <v>18</v>
      </c>
      <c r="H1491" s="77">
        <f>IFERROR(__xludf.DUMMYFUNCTION("""COMPUTED_VALUE"""),21.0)</f>
        <v>21</v>
      </c>
      <c r="I1491" s="77">
        <f>IFERROR(__xludf.DUMMYFUNCTION("""COMPUTED_VALUE"""),100.0)</f>
        <v>100</v>
      </c>
      <c r="J1491" s="73"/>
      <c r="K1491" s="73"/>
      <c r="L1491" s="73"/>
      <c r="M1491" s="77">
        <f>IFERROR(__xludf.DUMMYFUNCTION("""COMPUTED_VALUE"""),0.1)</f>
        <v>0.1</v>
      </c>
      <c r="N1491" s="77">
        <f>IFERROR(__xludf.DUMMYFUNCTION("""COMPUTED_VALUE"""),1.0)</f>
        <v>1</v>
      </c>
      <c r="O1491" s="49"/>
      <c r="P1491" s="49" t="str">
        <f>IFERROR(__xludf.DUMMYFUNCTION("""COMPUTED_VALUE"""),"Offset")</f>
        <v>Offset</v>
      </c>
      <c r="Q1491" s="49" t="str">
        <f>IFERROR(__xludf.DUMMYFUNCTION("""COMPUTED_VALUE"""),"Packaging")</f>
        <v>Packaging</v>
      </c>
      <c r="R1491" s="49" t="str">
        <f>IFERROR(__xludf.DUMMYFUNCTION("""COMPUTED_VALUE"""),"Medecine")</f>
        <v>Medecine</v>
      </c>
    </row>
    <row r="1492">
      <c r="A1492" s="156" t="str">
        <f>IFERROR(__xludf.DUMMYFUNCTION("""COMPUTED_VALUE"""),"https://drive.google.com/open?id=11YRwP4MYz2toYD3GEN5r1OBfA07FQR3r&amp;authuser=jay.agg%40gmail.com&amp;usp=drive_fs")</f>
        <v>https://drive.google.com/open?id=11YRwP4MYz2toYD3GEN5r1OBfA07FQR3r&amp;authuser=jay.agg%40gmail.com&amp;usp=drive_fs</v>
      </c>
      <c r="B1492" s="73" t="str">
        <f>IFERROR(__xludf.DUMMYFUNCTION("""COMPUTED_VALUE"""),"Medecine")</f>
        <v>Medecine</v>
      </c>
      <c r="C1492" s="73" t="str">
        <f>IFERROR(__xludf.DUMMYFUNCTION("""COMPUTED_VALUE"""),"Misc")</f>
        <v>Misc</v>
      </c>
      <c r="D1492" s="73" t="str">
        <f>IFERROR(__xludf.DUMMYFUNCTION("""COMPUTED_VALUE"""),"46*46*117 mm | 1.8*1.8*4.6 inch")</f>
        <v>46*46*117 mm | 1.8*1.8*4.6 inch</v>
      </c>
      <c r="E1492" s="77">
        <f>IFERROR(__xludf.DUMMYFUNCTION("""COMPUTED_VALUE"""),6.0)</f>
        <v>6</v>
      </c>
      <c r="F1492" s="77">
        <f>IFERROR(__xludf.DUMMYFUNCTION("""COMPUTED_VALUE"""),1926.0)</f>
        <v>1926</v>
      </c>
      <c r="G1492" s="77">
        <f>IFERROR(__xludf.DUMMYFUNCTION("""COMPUTED_VALUE"""),18.0)</f>
        <v>18</v>
      </c>
      <c r="H1492" s="77">
        <f>IFERROR(__xludf.DUMMYFUNCTION("""COMPUTED_VALUE"""),25.0)</f>
        <v>25</v>
      </c>
      <c r="I1492" s="77">
        <f>IFERROR(__xludf.DUMMYFUNCTION("""COMPUTED_VALUE"""),100.0)</f>
        <v>100</v>
      </c>
      <c r="J1492" s="73"/>
      <c r="K1492" s="73"/>
      <c r="L1492" s="73"/>
      <c r="M1492" s="77">
        <f>IFERROR(__xludf.DUMMYFUNCTION("""COMPUTED_VALUE"""),0.1)</f>
        <v>0.1</v>
      </c>
      <c r="N1492" s="77">
        <f>IFERROR(__xludf.DUMMYFUNCTION("""COMPUTED_VALUE"""),1.0)</f>
        <v>1</v>
      </c>
      <c r="O1492" s="49"/>
      <c r="P1492" s="49" t="str">
        <f>IFERROR(__xludf.DUMMYFUNCTION("""COMPUTED_VALUE"""),"Offset")</f>
        <v>Offset</v>
      </c>
      <c r="Q1492" s="49" t="str">
        <f>IFERROR(__xludf.DUMMYFUNCTION("""COMPUTED_VALUE"""),"Packaging")</f>
        <v>Packaging</v>
      </c>
      <c r="R1492" s="49" t="str">
        <f>IFERROR(__xludf.DUMMYFUNCTION("""COMPUTED_VALUE"""),"Medecine")</f>
        <v>Medecine</v>
      </c>
    </row>
    <row r="1493">
      <c r="A1493" s="156" t="str">
        <f>IFERROR(__xludf.DUMMYFUNCTION("""COMPUTED_VALUE"""),"https://drive.google.com/open?id=11d-HjctfZhLpnojDHcAh0b4EpJQHqB97&amp;authuser=jay.agg%40gmail.com&amp;usp=drive_fs")</f>
        <v>https://drive.google.com/open?id=11d-HjctfZhLpnojDHcAh0b4EpJQHqB97&amp;authuser=jay.agg%40gmail.com&amp;usp=drive_fs</v>
      </c>
      <c r="B1493" s="73" t="str">
        <f>IFERROR(__xludf.DUMMYFUNCTION("""COMPUTED_VALUE"""),"Medecine")</f>
        <v>Medecine</v>
      </c>
      <c r="C1493" s="73" t="str">
        <f>IFERROR(__xludf.DUMMYFUNCTION("""COMPUTED_VALUE"""),"Misc")</f>
        <v>Misc</v>
      </c>
      <c r="D1493" s="73" t="str">
        <f>IFERROR(__xludf.DUMMYFUNCTION("""COMPUTED_VALUE"""),"100*45 mm | 1.8*3.9 inch")</f>
        <v>100*45 mm | 1.8*3.9 inch</v>
      </c>
      <c r="E1493" s="77">
        <f>IFERROR(__xludf.DUMMYFUNCTION("""COMPUTED_VALUE"""),20.0)</f>
        <v>20</v>
      </c>
      <c r="F1493" s="77">
        <f>IFERROR(__xludf.DUMMYFUNCTION("""COMPUTED_VALUE"""),1926.0)</f>
        <v>1926</v>
      </c>
      <c r="G1493" s="77">
        <f>IFERROR(__xludf.DUMMYFUNCTION("""COMPUTED_VALUE"""),18.0)</f>
        <v>18</v>
      </c>
      <c r="H1493" s="77">
        <f>IFERROR(__xludf.DUMMYFUNCTION("""COMPUTED_VALUE"""),19.0)</f>
        <v>19</v>
      </c>
      <c r="I1493" s="77">
        <f>IFERROR(__xludf.DUMMYFUNCTION("""COMPUTED_VALUE"""),100.0)</f>
        <v>100</v>
      </c>
      <c r="J1493" s="73"/>
      <c r="K1493" s="73"/>
      <c r="L1493" s="73"/>
      <c r="M1493" s="77">
        <f>IFERROR(__xludf.DUMMYFUNCTION("""COMPUTED_VALUE"""),0.15)</f>
        <v>0.15</v>
      </c>
      <c r="N1493" s="77">
        <f>IFERROR(__xludf.DUMMYFUNCTION("""COMPUTED_VALUE"""),1.0)</f>
        <v>1</v>
      </c>
      <c r="O1493" s="49"/>
      <c r="P1493" s="49" t="str">
        <f>IFERROR(__xludf.DUMMYFUNCTION("""COMPUTED_VALUE"""),"Offset")</f>
        <v>Offset</v>
      </c>
      <c r="Q1493" s="49" t="str">
        <f>IFERROR(__xludf.DUMMYFUNCTION("""COMPUTED_VALUE"""),"Packaging")</f>
        <v>Packaging</v>
      </c>
      <c r="R1493" s="49" t="str">
        <f>IFERROR(__xludf.DUMMYFUNCTION("""COMPUTED_VALUE"""),"Medecine")</f>
        <v>Medecine</v>
      </c>
    </row>
    <row r="1494">
      <c r="A1494" s="156" t="str">
        <f>IFERROR(__xludf.DUMMYFUNCTION("""COMPUTED_VALUE"""),"https://drive.google.com/open?id=1-Um2m9yDhXH572HPnMMeiOM3K-7yjmap&amp;authuser=jay.agg%40gmail.com&amp;usp=drive_fs")</f>
        <v>https://drive.google.com/open?id=1-Um2m9yDhXH572HPnMMeiOM3K-7yjmap&amp;authuser=jay.agg%40gmail.com&amp;usp=drive_fs</v>
      </c>
      <c r="B1494" s="73" t="str">
        <f>IFERROR(__xludf.DUMMYFUNCTION("""COMPUTED_VALUE"""),"Medecine")</f>
        <v>Medecine</v>
      </c>
      <c r="C1494" s="73" t="str">
        <f>IFERROR(__xludf.DUMMYFUNCTION("""COMPUTED_VALUE"""),"Misc")</f>
        <v>Misc</v>
      </c>
      <c r="D1494" s="73" t="str">
        <f>IFERROR(__xludf.DUMMYFUNCTION("""COMPUTED_VALUE"""),"59*59*160 mm | 2.3*2.3*6.3 inch LB")</f>
        <v>59*59*160 mm | 2.3*2.3*6.3 inch LB</v>
      </c>
      <c r="E1494" s="77">
        <f>IFERROR(__xludf.DUMMYFUNCTION("""COMPUTED_VALUE"""),6.0)</f>
        <v>6</v>
      </c>
      <c r="F1494" s="77">
        <f>IFERROR(__xludf.DUMMYFUNCTION("""COMPUTED_VALUE"""),2029.0)</f>
        <v>2029</v>
      </c>
      <c r="G1494" s="77">
        <f>IFERROR(__xludf.DUMMYFUNCTION("""COMPUTED_VALUE"""),20.75)</f>
        <v>20.75</v>
      </c>
      <c r="H1494" s="77">
        <f>IFERROR(__xludf.DUMMYFUNCTION("""COMPUTED_VALUE"""),31.0)</f>
        <v>31</v>
      </c>
      <c r="I1494" s="77">
        <f>IFERROR(__xludf.DUMMYFUNCTION("""COMPUTED_VALUE"""),100.0)</f>
        <v>100</v>
      </c>
      <c r="J1494" s="73"/>
      <c r="K1494" s="73"/>
      <c r="L1494" s="73"/>
      <c r="M1494" s="77">
        <f>IFERROR(__xludf.DUMMYFUNCTION("""COMPUTED_VALUE"""),0.16)</f>
        <v>0.16</v>
      </c>
      <c r="N1494" s="77">
        <f>IFERROR(__xludf.DUMMYFUNCTION("""COMPUTED_VALUE"""),1.0)</f>
        <v>1</v>
      </c>
      <c r="O1494" s="49"/>
      <c r="P1494" s="49" t="str">
        <f>IFERROR(__xludf.DUMMYFUNCTION("""COMPUTED_VALUE"""),"Offset")</f>
        <v>Offset</v>
      </c>
      <c r="Q1494" s="49" t="str">
        <f>IFERROR(__xludf.DUMMYFUNCTION("""COMPUTED_VALUE"""),"Packaging")</f>
        <v>Packaging</v>
      </c>
      <c r="R1494" s="49" t="str">
        <f>IFERROR(__xludf.DUMMYFUNCTION("""COMPUTED_VALUE"""),"Medecine")</f>
        <v>Medecine</v>
      </c>
    </row>
    <row r="1495">
      <c r="A1495" s="156" t="str">
        <f>IFERROR(__xludf.DUMMYFUNCTION("""COMPUTED_VALUE"""),"https://drive.google.com/open?id=12BzRrEWVOdg1rk7tkzZa1Uw-bnk8yDhn&amp;authuser=jay.agg%40gmail.com&amp;usp=drive_fs")</f>
        <v>https://drive.google.com/open?id=12BzRrEWVOdg1rk7tkzZa1Uw-bnk8yDhn&amp;authuser=jay.agg%40gmail.com&amp;usp=drive_fs</v>
      </c>
      <c r="B1495" s="73" t="str">
        <f>IFERROR(__xludf.DUMMYFUNCTION("""COMPUTED_VALUE"""),"Medecine")</f>
        <v>Medecine</v>
      </c>
      <c r="C1495" s="73" t="str">
        <f>IFERROR(__xludf.DUMMYFUNCTION("""COMPUTED_VALUE"""),"Misc")</f>
        <v>Misc</v>
      </c>
      <c r="D1495" s="73" t="str">
        <f>IFERROR(__xludf.DUMMYFUNCTION("""COMPUTED_VALUE"""),"55*55*100 mm | 2.1*2.1*3.9 inch LB")</f>
        <v>55*55*100 mm | 2.1*2.1*3.9 inch LB</v>
      </c>
      <c r="E1495" s="77">
        <f>IFERROR(__xludf.DUMMYFUNCTION("""COMPUTED_VALUE"""),18.0)</f>
        <v>18</v>
      </c>
      <c r="F1495" s="77">
        <f>IFERROR(__xludf.DUMMYFUNCTION("""COMPUTED_VALUE"""),2840.0)</f>
        <v>2840</v>
      </c>
      <c r="G1495" s="77">
        <f>IFERROR(__xludf.DUMMYFUNCTION("""COMPUTED_VALUE"""),31.5)</f>
        <v>31.5</v>
      </c>
      <c r="H1495" s="77">
        <f>IFERROR(__xludf.DUMMYFUNCTION("""COMPUTED_VALUE"""),41.5)</f>
        <v>41.5</v>
      </c>
      <c r="I1495" s="77">
        <f>IFERROR(__xludf.DUMMYFUNCTION("""COMPUTED_VALUE"""),100.0)</f>
        <v>100</v>
      </c>
      <c r="J1495" s="73"/>
      <c r="K1495" s="73"/>
      <c r="L1495" s="73"/>
      <c r="M1495" s="77">
        <f>IFERROR(__xludf.DUMMYFUNCTION("""COMPUTED_VALUE"""),0.18)</f>
        <v>0.18</v>
      </c>
      <c r="N1495" s="77">
        <f>IFERROR(__xludf.DUMMYFUNCTION("""COMPUTED_VALUE"""),1.0)</f>
        <v>1</v>
      </c>
      <c r="O1495" s="49"/>
      <c r="P1495" s="49" t="str">
        <f>IFERROR(__xludf.DUMMYFUNCTION("""COMPUTED_VALUE"""),"Offset")</f>
        <v>Offset</v>
      </c>
      <c r="Q1495" s="49" t="str">
        <f>IFERROR(__xludf.DUMMYFUNCTION("""COMPUTED_VALUE"""),"Packaging")</f>
        <v>Packaging</v>
      </c>
      <c r="R1495" s="49" t="str">
        <f>IFERROR(__xludf.DUMMYFUNCTION("""COMPUTED_VALUE"""),"Medecine")</f>
        <v>Medecine</v>
      </c>
    </row>
    <row r="1496">
      <c r="A1496" s="156" t="str">
        <f>IFERROR(__xludf.DUMMYFUNCTION("""COMPUTED_VALUE"""),"https://drive.google.com/open?id=16ytGu9HP9ZuUzpzX_vBqEr8Jes6YWhBG&amp;authuser=jay.agg%40gmail.com&amp;usp=drive_fs")</f>
        <v>https://drive.google.com/open?id=16ytGu9HP9ZuUzpzX_vBqEr8Jes6YWhBG&amp;authuser=jay.agg%40gmail.com&amp;usp=drive_fs</v>
      </c>
      <c r="B1496" s="73" t="str">
        <f>IFERROR(__xludf.DUMMYFUNCTION("""COMPUTED_VALUE"""),"Medecine")</f>
        <v>Medecine</v>
      </c>
      <c r="C1496" s="73" t="str">
        <f>IFERROR(__xludf.DUMMYFUNCTION("""COMPUTED_VALUE"""),"Swab")</f>
        <v>Swab</v>
      </c>
      <c r="D1496" s="73" t="str">
        <f>IFERROR(__xludf.DUMMYFUNCTION("""COMPUTED_VALUE"""),"104*54*54 mm | 4*2.1*2.1 inch IL ")</f>
        <v>104*54*54 mm | 4*2.1*2.1 inch IL </v>
      </c>
      <c r="E1496" s="77">
        <f>IFERROR(__xludf.DUMMYFUNCTION("""COMPUTED_VALUE"""),3.0)</f>
        <v>3</v>
      </c>
      <c r="F1496" s="77">
        <f>IFERROR(__xludf.DUMMYFUNCTION("""COMPUTED_VALUE"""),1926.0)</f>
        <v>1926</v>
      </c>
      <c r="G1496" s="77">
        <f>IFERROR(__xludf.DUMMYFUNCTION("""COMPUTED_VALUE"""),13.0)</f>
        <v>13</v>
      </c>
      <c r="H1496" s="77">
        <f>IFERROR(__xludf.DUMMYFUNCTION("""COMPUTED_VALUE"""),19.0)</f>
        <v>19</v>
      </c>
      <c r="I1496" s="77">
        <f>IFERROR(__xludf.DUMMYFUNCTION("""COMPUTED_VALUE"""),100.0)</f>
        <v>100</v>
      </c>
      <c r="J1496" s="73"/>
      <c r="K1496" s="73"/>
      <c r="L1496" s="73"/>
      <c r="M1496" s="77">
        <f>IFERROR(__xludf.DUMMYFUNCTION("""COMPUTED_VALUE"""),0.1)</f>
        <v>0.1</v>
      </c>
      <c r="N1496" s="77">
        <f>IFERROR(__xludf.DUMMYFUNCTION("""COMPUTED_VALUE"""),1.0)</f>
        <v>1</v>
      </c>
      <c r="O1496" s="49"/>
      <c r="P1496" s="49" t="str">
        <f>IFERROR(__xludf.DUMMYFUNCTION("""COMPUTED_VALUE"""),"Offset")</f>
        <v>Offset</v>
      </c>
      <c r="Q1496" s="49" t="str">
        <f>IFERROR(__xludf.DUMMYFUNCTION("""COMPUTED_VALUE"""),"Packaging")</f>
        <v>Packaging</v>
      </c>
      <c r="R1496" s="49" t="str">
        <f>IFERROR(__xludf.DUMMYFUNCTION("""COMPUTED_VALUE"""),"Medecine")</f>
        <v>Medecine</v>
      </c>
    </row>
    <row r="1497">
      <c r="A1497" s="156" t="str">
        <f>IFERROR(__xludf.DUMMYFUNCTION("""COMPUTED_VALUE"""),"https://drive.google.com/open?id=174qSO5lE2tjrPqjiGeha5BJN8kNv8hD2&amp;authuser=jay.agg%40gmail.com&amp;usp=drive_fs")</f>
        <v>https://drive.google.com/open?id=174qSO5lE2tjrPqjiGeha5BJN8kNv8hD2&amp;authuser=jay.agg%40gmail.com&amp;usp=drive_fs</v>
      </c>
      <c r="B1497" s="73" t="str">
        <f>IFERROR(__xludf.DUMMYFUNCTION("""COMPUTED_VALUE"""),"Medecine")</f>
        <v>Medecine</v>
      </c>
      <c r="C1497" s="73" t="str">
        <f>IFERROR(__xludf.DUMMYFUNCTION("""COMPUTED_VALUE"""),"Misc")</f>
        <v>Misc</v>
      </c>
      <c r="D1497" s="73" t="str">
        <f>IFERROR(__xludf.DUMMYFUNCTION("""COMPUTED_VALUE"""),"68*68*175 mm | 2.6*2.6*6.9 inch")</f>
        <v>68*68*175 mm | 2.6*2.6*6.9 inch</v>
      </c>
      <c r="E1497" s="77">
        <f>IFERROR(__xludf.DUMMYFUNCTION("""COMPUTED_VALUE"""),2.0)</f>
        <v>2</v>
      </c>
      <c r="F1497" s="77">
        <f>IFERROR(__xludf.DUMMYFUNCTION("""COMPUTED_VALUE"""),1926.0)</f>
        <v>1926</v>
      </c>
      <c r="G1497" s="77">
        <f>IFERROR(__xludf.DUMMYFUNCTION("""COMPUTED_VALUE"""),12.0)</f>
        <v>12</v>
      </c>
      <c r="H1497" s="77">
        <f>IFERROR(__xludf.DUMMYFUNCTION("""COMPUTED_VALUE"""),25.0)</f>
        <v>25</v>
      </c>
      <c r="I1497" s="77">
        <f>IFERROR(__xludf.DUMMYFUNCTION("""COMPUTED_VALUE"""),100.0)</f>
        <v>100</v>
      </c>
      <c r="J1497" s="73"/>
      <c r="K1497" s="73"/>
      <c r="L1497" s="73"/>
      <c r="M1497" s="77">
        <f>IFERROR(__xludf.DUMMYFUNCTION("""COMPUTED_VALUE"""),0.1)</f>
        <v>0.1</v>
      </c>
      <c r="N1497" s="77">
        <f>IFERROR(__xludf.DUMMYFUNCTION("""COMPUTED_VALUE"""),1.0)</f>
        <v>1</v>
      </c>
      <c r="O1497" s="49"/>
      <c r="P1497" s="49" t="str">
        <f>IFERROR(__xludf.DUMMYFUNCTION("""COMPUTED_VALUE"""),"Offset")</f>
        <v>Offset</v>
      </c>
      <c r="Q1497" s="49" t="str">
        <f>IFERROR(__xludf.DUMMYFUNCTION("""COMPUTED_VALUE"""),"Packaging")</f>
        <v>Packaging</v>
      </c>
      <c r="R1497" s="49" t="str">
        <f>IFERROR(__xludf.DUMMYFUNCTION("""COMPUTED_VALUE"""),"Medecine")</f>
        <v>Medecine</v>
      </c>
    </row>
    <row r="1498">
      <c r="A1498" s="156" t="str">
        <f>IFERROR(__xludf.DUMMYFUNCTION("""COMPUTED_VALUE"""),"https://drive.google.com/open?id=121LcT3Jlk7QML542-odkJuczMCx_vrJA&amp;authuser=jay.agg%40gmail.com&amp;usp=drive_fs")</f>
        <v>https://drive.google.com/open?id=121LcT3Jlk7QML542-odkJuczMCx_vrJA&amp;authuser=jay.agg%40gmail.com&amp;usp=drive_fs</v>
      </c>
      <c r="B1498" s="73" t="str">
        <f>IFERROR(__xludf.DUMMYFUNCTION("""COMPUTED_VALUE"""),"Medecine")</f>
        <v>Medecine</v>
      </c>
      <c r="C1498" s="73" t="str">
        <f>IFERROR(__xludf.DUMMYFUNCTION("""COMPUTED_VALUE"""),"Misc")</f>
        <v>Misc</v>
      </c>
      <c r="D1498" s="73" t="str">
        <f>IFERROR(__xludf.DUMMYFUNCTION("""COMPUTED_VALUE"""),"54*54*137 mm | 2.1*2.1*5.4 inch LB")</f>
        <v>54*54*137 mm | 2.1*2.1*5.4 inch LB</v>
      </c>
      <c r="E1498" s="77">
        <f>IFERROR(__xludf.DUMMYFUNCTION("""COMPUTED_VALUE"""),6.0)</f>
        <v>6</v>
      </c>
      <c r="F1498" s="77">
        <f>IFERROR(__xludf.DUMMYFUNCTION("""COMPUTED_VALUE"""),2029.0)</f>
        <v>2029</v>
      </c>
      <c r="G1498" s="77">
        <f>IFERROR(__xludf.DUMMYFUNCTION("""COMPUTED_VALUE"""),19.0)</f>
        <v>19</v>
      </c>
      <c r="H1498" s="77">
        <f>IFERROR(__xludf.DUMMYFUNCTION("""COMPUTED_VALUE"""),26.0)</f>
        <v>26</v>
      </c>
      <c r="I1498" s="77">
        <f>IFERROR(__xludf.DUMMYFUNCTION("""COMPUTED_VALUE"""),100.0)</f>
        <v>100</v>
      </c>
      <c r="J1498" s="73"/>
      <c r="K1498" s="73"/>
      <c r="L1498" s="73"/>
      <c r="M1498" s="77">
        <f>IFERROR(__xludf.DUMMYFUNCTION("""COMPUTED_VALUE"""),0.1)</f>
        <v>0.1</v>
      </c>
      <c r="N1498" s="77">
        <f>IFERROR(__xludf.DUMMYFUNCTION("""COMPUTED_VALUE"""),1.0)</f>
        <v>1</v>
      </c>
      <c r="O1498" s="49"/>
      <c r="P1498" s="49" t="str">
        <f>IFERROR(__xludf.DUMMYFUNCTION("""COMPUTED_VALUE"""),"Offset")</f>
        <v>Offset</v>
      </c>
      <c r="Q1498" s="49" t="str">
        <f>IFERROR(__xludf.DUMMYFUNCTION("""COMPUTED_VALUE"""),"Packaging")</f>
        <v>Packaging</v>
      </c>
      <c r="R1498" s="49" t="str">
        <f>IFERROR(__xludf.DUMMYFUNCTION("""COMPUTED_VALUE"""),"Medecine")</f>
        <v>Medecine</v>
      </c>
    </row>
    <row r="1499">
      <c r="A1499" s="156" t="str">
        <f>IFERROR(__xludf.DUMMYFUNCTION("""COMPUTED_VALUE"""),"https://drive.google.com/open?id=122DWcNVbMBYGfHoWx7IoTYhLYLcbPWuW&amp;authuser=jay.agg%40gmail.com&amp;usp=drive_fs")</f>
        <v>https://drive.google.com/open?id=122DWcNVbMBYGfHoWx7IoTYhLYLcbPWuW&amp;authuser=jay.agg%40gmail.com&amp;usp=drive_fs</v>
      </c>
      <c r="B1499" s="73" t="str">
        <f>IFERROR(__xludf.DUMMYFUNCTION("""COMPUTED_VALUE"""),"Medecine")</f>
        <v>Medecine</v>
      </c>
      <c r="C1499" s="73" t="str">
        <f>IFERROR(__xludf.DUMMYFUNCTION("""COMPUTED_VALUE"""),"Misc")</f>
        <v>Misc</v>
      </c>
      <c r="D1499" s="73" t="str">
        <f>IFERROR(__xludf.DUMMYFUNCTION("""COMPUTED_VALUE"""),"58*58*140 mm | 2.3*2.3*5.5 inch LB")</f>
        <v>58*58*140 mm | 2.3*2.3*5.5 inch LB</v>
      </c>
      <c r="E1499" s="77">
        <f>IFERROR(__xludf.DUMMYFUNCTION("""COMPUTED_VALUE"""),6.0)</f>
        <v>6</v>
      </c>
      <c r="F1499" s="77">
        <f>IFERROR(__xludf.DUMMYFUNCTION("""COMPUTED_VALUE"""),2029.0)</f>
        <v>2029</v>
      </c>
      <c r="G1499" s="77">
        <f>IFERROR(__xludf.DUMMYFUNCTION("""COMPUTED_VALUE"""),20.0)</f>
        <v>20</v>
      </c>
      <c r="H1499" s="77">
        <f>IFERROR(__xludf.DUMMYFUNCTION("""COMPUTED_VALUE"""),28.0)</f>
        <v>28</v>
      </c>
      <c r="I1499" s="77">
        <f>IFERROR(__xludf.DUMMYFUNCTION("""COMPUTED_VALUE"""),100.0)</f>
        <v>100</v>
      </c>
      <c r="J1499" s="73"/>
      <c r="K1499" s="73"/>
      <c r="L1499" s="73"/>
      <c r="M1499" s="77">
        <f>IFERROR(__xludf.DUMMYFUNCTION("""COMPUTED_VALUE"""),0.1)</f>
        <v>0.1</v>
      </c>
      <c r="N1499" s="77">
        <f>IFERROR(__xludf.DUMMYFUNCTION("""COMPUTED_VALUE"""),1.0)</f>
        <v>1</v>
      </c>
      <c r="O1499" s="49"/>
      <c r="P1499" s="49" t="str">
        <f>IFERROR(__xludf.DUMMYFUNCTION("""COMPUTED_VALUE"""),"Offset")</f>
        <v>Offset</v>
      </c>
      <c r="Q1499" s="49" t="str">
        <f>IFERROR(__xludf.DUMMYFUNCTION("""COMPUTED_VALUE"""),"Packaging")</f>
        <v>Packaging</v>
      </c>
      <c r="R1499" s="49" t="str">
        <f>IFERROR(__xludf.DUMMYFUNCTION("""COMPUTED_VALUE"""),"Medecine")</f>
        <v>Medecine</v>
      </c>
    </row>
    <row r="1500">
      <c r="A1500" s="156" t="str">
        <f>IFERROR(__xludf.DUMMYFUNCTION("""COMPUTED_VALUE"""),"https://drive.google.com/open?id=125Y_2ZW3fq8dlFSivHwvfrpoiizUirb9&amp;authuser=jay.agg%40gmail.com&amp;usp=drive_fs")</f>
        <v>https://drive.google.com/open?id=125Y_2ZW3fq8dlFSivHwvfrpoiizUirb9&amp;authuser=jay.agg%40gmail.com&amp;usp=drive_fs</v>
      </c>
      <c r="B1500" s="73" t="str">
        <f>IFERROR(__xludf.DUMMYFUNCTION("""COMPUTED_VALUE"""),"Medecine")</f>
        <v>Medecine</v>
      </c>
      <c r="C1500" s="73" t="str">
        <f>IFERROR(__xludf.DUMMYFUNCTION("""COMPUTED_VALUE"""),"Misc")</f>
        <v>Misc</v>
      </c>
      <c r="D1500" s="73" t="str">
        <f>IFERROR(__xludf.DUMMYFUNCTION("""COMPUTED_VALUE"""),"58*58*140 | 54*54*137 LB")</f>
        <v>58*58*140 | 54*54*137 LB</v>
      </c>
      <c r="E1500" s="77">
        <f>IFERROR(__xludf.DUMMYFUNCTION("""COMPUTED_VALUE"""),6.0)</f>
        <v>6</v>
      </c>
      <c r="F1500" s="77">
        <f>IFERROR(__xludf.DUMMYFUNCTION("""COMPUTED_VALUE"""),2029.0)</f>
        <v>2029</v>
      </c>
      <c r="G1500" s="77">
        <f>IFERROR(__xludf.DUMMYFUNCTION("""COMPUTED_VALUE"""),19.0)</f>
        <v>19</v>
      </c>
      <c r="H1500" s="77">
        <f>IFERROR(__xludf.DUMMYFUNCTION("""COMPUTED_VALUE"""),26.0)</f>
        <v>26</v>
      </c>
      <c r="I1500" s="77">
        <f>IFERROR(__xludf.DUMMYFUNCTION("""COMPUTED_VALUE"""),100.0)</f>
        <v>100</v>
      </c>
      <c r="J1500" s="73"/>
      <c r="K1500" s="73"/>
      <c r="L1500" s="73"/>
      <c r="M1500" s="77">
        <f>IFERROR(__xludf.DUMMYFUNCTION("""COMPUTED_VALUE"""),0.1)</f>
        <v>0.1</v>
      </c>
      <c r="N1500" s="77">
        <f>IFERROR(__xludf.DUMMYFUNCTION("""COMPUTED_VALUE"""),1.0)</f>
        <v>1</v>
      </c>
      <c r="O1500" s="49"/>
      <c r="P1500" s="49" t="str">
        <f>IFERROR(__xludf.DUMMYFUNCTION("""COMPUTED_VALUE"""),"Offset")</f>
        <v>Offset</v>
      </c>
      <c r="Q1500" s="49" t="str">
        <f>IFERROR(__xludf.DUMMYFUNCTION("""COMPUTED_VALUE"""),"Packaging")</f>
        <v>Packaging</v>
      </c>
      <c r="R1500" s="49" t="str">
        <f>IFERROR(__xludf.DUMMYFUNCTION("""COMPUTED_VALUE"""),"Medecine")</f>
        <v>Medecine</v>
      </c>
    </row>
    <row r="1501">
      <c r="A1501" s="156" t="str">
        <f>IFERROR(__xludf.DUMMYFUNCTION("""COMPUTED_VALUE"""),"https://drive.google.com/open?id=1GGqKC8bHcJ806_ZAD6uBP6YOIUEK3Jq9&amp;authuser=jay.agg%40gmail.com&amp;usp=drive_fs")</f>
        <v>https://drive.google.com/open?id=1GGqKC8bHcJ806_ZAD6uBP6YOIUEK3Jq9&amp;authuser=jay.agg%40gmail.com&amp;usp=drive_fs</v>
      </c>
      <c r="B1501" s="73" t="str">
        <f>IFERROR(__xludf.DUMMYFUNCTION("""COMPUTED_VALUE"""),"Medecine")</f>
        <v>Medecine</v>
      </c>
      <c r="C1501" s="73" t="str">
        <f>IFERROR(__xludf.DUMMYFUNCTION("""COMPUTED_VALUE"""),"Misc")</f>
        <v>Misc</v>
      </c>
      <c r="D1501" s="73" t="str">
        <f>IFERROR(__xludf.DUMMYFUNCTION("""COMPUTED_VALUE"""),"30*30*60 mm | 1.1*1.1*2.4 inch")</f>
        <v>30*30*60 mm | 1.1*1.1*2.4 inch</v>
      </c>
      <c r="E1501" s="77">
        <f>IFERROR(__xludf.DUMMYFUNCTION("""COMPUTED_VALUE"""),16.0)</f>
        <v>16</v>
      </c>
      <c r="F1501" s="77">
        <f>IFERROR(__xludf.DUMMYFUNCTION("""COMPUTED_VALUE"""),1926.0)</f>
        <v>1926</v>
      </c>
      <c r="G1501" s="77">
        <f>IFERROR(__xludf.DUMMYFUNCTION("""COMPUTED_VALUE"""),18.0)</f>
        <v>18</v>
      </c>
      <c r="H1501" s="77">
        <f>IFERROR(__xludf.DUMMYFUNCTION("""COMPUTED_VALUE"""),21.0)</f>
        <v>21</v>
      </c>
      <c r="I1501" s="77">
        <f>IFERROR(__xludf.DUMMYFUNCTION("""COMPUTED_VALUE"""),100.0)</f>
        <v>100</v>
      </c>
      <c r="J1501" s="73"/>
      <c r="K1501" s="73"/>
      <c r="L1501" s="73"/>
      <c r="M1501" s="77">
        <f>IFERROR(__xludf.DUMMYFUNCTION("""COMPUTED_VALUE"""),0.1)</f>
        <v>0.1</v>
      </c>
      <c r="N1501" s="77">
        <f>IFERROR(__xludf.DUMMYFUNCTION("""COMPUTED_VALUE"""),1.0)</f>
        <v>1</v>
      </c>
      <c r="O1501" s="49"/>
      <c r="P1501" s="49" t="str">
        <f>IFERROR(__xludf.DUMMYFUNCTION("""COMPUTED_VALUE"""),"Offset")</f>
        <v>Offset</v>
      </c>
      <c r="Q1501" s="49" t="str">
        <f>IFERROR(__xludf.DUMMYFUNCTION("""COMPUTED_VALUE"""),"Packaging")</f>
        <v>Packaging</v>
      </c>
      <c r="R1501" s="49" t="str">
        <f>IFERROR(__xludf.DUMMYFUNCTION("""COMPUTED_VALUE"""),"Medecine")</f>
        <v>Medecine</v>
      </c>
    </row>
    <row r="1502">
      <c r="A1502" s="156" t="str">
        <f>IFERROR(__xludf.DUMMYFUNCTION("""COMPUTED_VALUE"""),"https://drive.google.com/open?id=1Gyl9QmpCelTfKVoxNS5dajJQk7JzHdFP&amp;authuser=jay.agg%40gmail.com&amp;usp=drive_fs")</f>
        <v>https://drive.google.com/open?id=1Gyl9QmpCelTfKVoxNS5dajJQk7JzHdFP&amp;authuser=jay.agg%40gmail.com&amp;usp=drive_fs</v>
      </c>
      <c r="B1502" s="73" t="str">
        <f>IFERROR(__xludf.DUMMYFUNCTION("""COMPUTED_VALUE"""),"Medecine")</f>
        <v>Medecine</v>
      </c>
      <c r="C1502" s="73" t="str">
        <f>IFERROR(__xludf.DUMMYFUNCTION("""COMPUTED_VALUE"""),"Misc")</f>
        <v>Misc</v>
      </c>
      <c r="D1502" s="73" t="str">
        <f>IFERROR(__xludf.DUMMYFUNCTION("""COMPUTED_VALUE"""),"63*63*110 mm | 2.4*2.4*4.3 inch")</f>
        <v>63*63*110 mm | 2.4*2.4*4.3 inch</v>
      </c>
      <c r="E1502" s="77">
        <f>IFERROR(__xludf.DUMMYFUNCTION("""COMPUTED_VALUE"""),4.0)</f>
        <v>4</v>
      </c>
      <c r="F1502" s="77">
        <f>IFERROR(__xludf.DUMMYFUNCTION("""COMPUTED_VALUE"""),1926.0)</f>
        <v>1926</v>
      </c>
      <c r="G1502" s="77">
        <f>IFERROR(__xludf.DUMMYFUNCTION("""COMPUTED_VALUE"""),18.0)</f>
        <v>18</v>
      </c>
      <c r="H1502" s="77">
        <f>IFERROR(__xludf.DUMMYFUNCTION("""COMPUTED_VALUE"""),21.0)</f>
        <v>21</v>
      </c>
      <c r="I1502" s="77">
        <f>IFERROR(__xludf.DUMMYFUNCTION("""COMPUTED_VALUE"""),100.0)</f>
        <v>100</v>
      </c>
      <c r="J1502" s="73"/>
      <c r="K1502" s="73"/>
      <c r="L1502" s="73"/>
      <c r="M1502" s="77">
        <f>IFERROR(__xludf.DUMMYFUNCTION("""COMPUTED_VALUE"""),0.1)</f>
        <v>0.1</v>
      </c>
      <c r="N1502" s="77">
        <f>IFERROR(__xludf.DUMMYFUNCTION("""COMPUTED_VALUE"""),1.0)</f>
        <v>1</v>
      </c>
      <c r="O1502" s="49"/>
      <c r="P1502" s="49" t="str">
        <f>IFERROR(__xludf.DUMMYFUNCTION("""COMPUTED_VALUE"""),"Offset")</f>
        <v>Offset</v>
      </c>
      <c r="Q1502" s="49" t="str">
        <f>IFERROR(__xludf.DUMMYFUNCTION("""COMPUTED_VALUE"""),"Packaging")</f>
        <v>Packaging</v>
      </c>
      <c r="R1502" s="49" t="str">
        <f>IFERROR(__xludf.DUMMYFUNCTION("""COMPUTED_VALUE"""),"Medecine")</f>
        <v>Medecine</v>
      </c>
    </row>
    <row r="1503">
      <c r="A1503" s="156" t="str">
        <f>IFERROR(__xludf.DUMMYFUNCTION("""COMPUTED_VALUE"""),"https://drive.google.com/open?id=1AdXXex1EliYp7jvUubvZEMlzEIu47jsB&amp;authuser=jay.agg%40gmail.com&amp;usp=drive_fs")</f>
        <v>https://drive.google.com/open?id=1AdXXex1EliYp7jvUubvZEMlzEIu47jsB&amp;authuser=jay.agg%40gmail.com&amp;usp=drive_fs</v>
      </c>
      <c r="B1503" s="73" t="str">
        <f>IFERROR(__xludf.DUMMYFUNCTION("""COMPUTED_VALUE"""),"Medecine")</f>
        <v>Medecine</v>
      </c>
      <c r="C1503" s="73" t="str">
        <f>IFERROR(__xludf.DUMMYFUNCTION("""COMPUTED_VALUE"""),"Misc")</f>
        <v>Misc</v>
      </c>
      <c r="D1503" s="73" t="str">
        <f>IFERROR(__xludf.DUMMYFUNCTION("""COMPUTED_VALUE"""),"35*35*80 mm | 1.4*1.4*3.15 inch")</f>
        <v>35*35*80 mm | 1.4*1.4*3.15 inch</v>
      </c>
      <c r="E1503" s="77">
        <f>IFERROR(__xludf.DUMMYFUNCTION("""COMPUTED_VALUE"""),12.0)</f>
        <v>12</v>
      </c>
      <c r="F1503" s="77">
        <f>IFERROR(__xludf.DUMMYFUNCTION("""COMPUTED_VALUE"""),2029.0)</f>
        <v>2029</v>
      </c>
      <c r="G1503" s="77">
        <f>IFERROR(__xludf.DUMMYFUNCTION("""COMPUTED_VALUE"""),18.0)</f>
        <v>18</v>
      </c>
      <c r="H1503" s="77">
        <f>IFERROR(__xludf.DUMMYFUNCTION("""COMPUTED_VALUE"""),25.0)</f>
        <v>25</v>
      </c>
      <c r="I1503" s="77">
        <f>IFERROR(__xludf.DUMMYFUNCTION("""COMPUTED_VALUE"""),100.0)</f>
        <v>100</v>
      </c>
      <c r="J1503" s="73"/>
      <c r="K1503" s="73"/>
      <c r="L1503" s="73"/>
      <c r="M1503" s="77">
        <f>IFERROR(__xludf.DUMMYFUNCTION("""COMPUTED_VALUE"""),0.1)</f>
        <v>0.1</v>
      </c>
      <c r="N1503" s="77">
        <f>IFERROR(__xludf.DUMMYFUNCTION("""COMPUTED_VALUE"""),1.0)</f>
        <v>1</v>
      </c>
      <c r="O1503" s="49"/>
      <c r="P1503" s="49" t="str">
        <f>IFERROR(__xludf.DUMMYFUNCTION("""COMPUTED_VALUE"""),"Offset")</f>
        <v>Offset</v>
      </c>
      <c r="Q1503" s="49" t="str">
        <f>IFERROR(__xludf.DUMMYFUNCTION("""COMPUTED_VALUE"""),"Packaging")</f>
        <v>Packaging</v>
      </c>
      <c r="R1503" s="49" t="str">
        <f>IFERROR(__xludf.DUMMYFUNCTION("""COMPUTED_VALUE"""),"Medecine")</f>
        <v>Medecine</v>
      </c>
    </row>
    <row r="1504">
      <c r="A1504" s="156" t="str">
        <f>IFERROR(__xludf.DUMMYFUNCTION("""COMPUTED_VALUE"""),"https://drive.google.com/open?id=1BV_7rvRLA0Y3f-UTSr0H1i6GXGwcX4jp&amp;authuser=jay.agg%40gmail.com&amp;usp=drive_fs")</f>
        <v>https://drive.google.com/open?id=1BV_7rvRLA0Y3f-UTSr0H1i6GXGwcX4jp&amp;authuser=jay.agg%40gmail.com&amp;usp=drive_fs</v>
      </c>
      <c r="B1504" s="73" t="str">
        <f>IFERROR(__xludf.DUMMYFUNCTION("""COMPUTED_VALUE"""),"Medecine")</f>
        <v>Medecine</v>
      </c>
      <c r="C1504" s="73" t="str">
        <f>IFERROR(__xludf.DUMMYFUNCTION("""COMPUTED_VALUE"""),"Misc")</f>
        <v>Misc</v>
      </c>
      <c r="D1504" s="73" t="str">
        <f>IFERROR(__xludf.DUMMYFUNCTION("""COMPUTED_VALUE"""),"76*70*130 mm | 2.9*2.7*5.1 inch Holder")</f>
        <v>76*70*130 mm | 2.9*2.7*5.1 inch Holder</v>
      </c>
      <c r="E1504" s="77">
        <f>IFERROR(__xludf.DUMMYFUNCTION("""COMPUTED_VALUE"""),2.0)</f>
        <v>2</v>
      </c>
      <c r="F1504" s="77">
        <f>IFERROR(__xludf.DUMMYFUNCTION("""COMPUTED_VALUE"""),2029.0)</f>
        <v>2029</v>
      </c>
      <c r="G1504" s="77">
        <f>IFERROR(__xludf.DUMMYFUNCTION("""COMPUTED_VALUE"""),15.0)</f>
        <v>15</v>
      </c>
      <c r="H1504" s="77">
        <f>IFERROR(__xludf.DUMMYFUNCTION("""COMPUTED_VALUE"""),25.0)</f>
        <v>25</v>
      </c>
      <c r="I1504" s="77">
        <f>IFERROR(__xludf.DUMMYFUNCTION("""COMPUTED_VALUE"""),100.0)</f>
        <v>100</v>
      </c>
      <c r="J1504" s="73"/>
      <c r="K1504" s="73"/>
      <c r="L1504" s="73"/>
      <c r="M1504" s="77">
        <f>IFERROR(__xludf.DUMMYFUNCTION("""COMPUTED_VALUE"""),0.1)</f>
        <v>0.1</v>
      </c>
      <c r="N1504" s="77">
        <f>IFERROR(__xludf.DUMMYFUNCTION("""COMPUTED_VALUE"""),1.0)</f>
        <v>1</v>
      </c>
      <c r="O1504" s="49"/>
      <c r="P1504" s="49" t="str">
        <f>IFERROR(__xludf.DUMMYFUNCTION("""COMPUTED_VALUE"""),"Offset")</f>
        <v>Offset</v>
      </c>
      <c r="Q1504" s="49" t="str">
        <f>IFERROR(__xludf.DUMMYFUNCTION("""COMPUTED_VALUE"""),"Packaging")</f>
        <v>Packaging</v>
      </c>
      <c r="R1504" s="49" t="str">
        <f>IFERROR(__xludf.DUMMYFUNCTION("""COMPUTED_VALUE"""),"Medecine")</f>
        <v>Medecine</v>
      </c>
    </row>
    <row r="1505">
      <c r="A1505" s="156" t="str">
        <f>IFERROR(__xludf.DUMMYFUNCTION("""COMPUTED_VALUE"""),"https://drive.google.com/open?id=1TR2sLgdPxQ_u2MdfwSF_SEaHbyADeNwI&amp;authuser=jay.agg%40gmail.com&amp;usp=drive_fs")</f>
        <v>https://drive.google.com/open?id=1TR2sLgdPxQ_u2MdfwSF_SEaHbyADeNwI&amp;authuser=jay.agg%40gmail.com&amp;usp=drive_fs</v>
      </c>
      <c r="B1505" s="73" t="str">
        <f>IFERROR(__xludf.DUMMYFUNCTION("""COMPUTED_VALUE"""),"Medecine")</f>
        <v>Medecine</v>
      </c>
      <c r="C1505" s="73" t="str">
        <f>IFERROR(__xludf.DUMMYFUNCTION("""COMPUTED_VALUE"""),"Misc")</f>
        <v>Misc</v>
      </c>
      <c r="D1505" s="73" t="str">
        <f>IFERROR(__xludf.DUMMYFUNCTION("""COMPUTED_VALUE"""),"65*65*15 mm | 2.5*2.5*0.6 inch")</f>
        <v>65*65*15 mm | 2.5*2.5*0.6 inch</v>
      </c>
      <c r="E1505" s="77">
        <f>IFERROR(__xludf.DUMMYFUNCTION("""COMPUTED_VALUE"""),15.0)</f>
        <v>15</v>
      </c>
      <c r="F1505" s="77">
        <f>IFERROR(__xludf.DUMMYFUNCTION("""COMPUTED_VALUE"""),2029.0)</f>
        <v>2029</v>
      </c>
      <c r="G1505" s="77">
        <f>IFERROR(__xludf.DUMMYFUNCTION("""COMPUTED_VALUE"""),20.0)</f>
        <v>20</v>
      </c>
      <c r="H1505" s="77">
        <f>IFERROR(__xludf.DUMMYFUNCTION("""COMPUTED_VALUE"""),21.0)</f>
        <v>21</v>
      </c>
      <c r="I1505" s="77">
        <f>IFERROR(__xludf.DUMMYFUNCTION("""COMPUTED_VALUE"""),100.0)</f>
        <v>100</v>
      </c>
      <c r="J1505" s="73"/>
      <c r="K1505" s="73"/>
      <c r="L1505" s="73"/>
      <c r="M1505" s="77">
        <f>IFERROR(__xludf.DUMMYFUNCTION("""COMPUTED_VALUE"""),0.1)</f>
        <v>0.1</v>
      </c>
      <c r="N1505" s="77">
        <f>IFERROR(__xludf.DUMMYFUNCTION("""COMPUTED_VALUE"""),1.0)</f>
        <v>1</v>
      </c>
      <c r="O1505" s="49"/>
      <c r="P1505" s="49" t="str">
        <f>IFERROR(__xludf.DUMMYFUNCTION("""COMPUTED_VALUE"""),"Offset")</f>
        <v>Offset</v>
      </c>
      <c r="Q1505" s="49" t="str">
        <f>IFERROR(__xludf.DUMMYFUNCTION("""COMPUTED_VALUE"""),"Packaging")</f>
        <v>Packaging</v>
      </c>
      <c r="R1505" s="49" t="str">
        <f>IFERROR(__xludf.DUMMYFUNCTION("""COMPUTED_VALUE"""),"Medecine")</f>
        <v>Medecine</v>
      </c>
    </row>
    <row r="1506">
      <c r="A1506" s="156" t="str">
        <f>IFERROR(__xludf.DUMMYFUNCTION("""COMPUTED_VALUE"""),"https://drive.google.com/open?id=1MhI2lx4zqj0NPZABxkp81w_2XjK5lS5I&amp;authuser=jay.agg%40gmail.com&amp;usp=drive_fs")</f>
        <v>https://drive.google.com/open?id=1MhI2lx4zqj0NPZABxkp81w_2XjK5lS5I&amp;authuser=jay.agg%40gmail.com&amp;usp=drive_fs</v>
      </c>
      <c r="B1506" s="73" t="str">
        <f>IFERROR(__xludf.DUMMYFUNCTION("""COMPUTED_VALUE"""),"Medecine")</f>
        <v>Medecine</v>
      </c>
      <c r="C1506" s="73" t="str">
        <f>IFERROR(__xludf.DUMMYFUNCTION("""COMPUTED_VALUE"""),"Misc")</f>
        <v>Misc</v>
      </c>
      <c r="D1506" s="73" t="str">
        <f>IFERROR(__xludf.DUMMYFUNCTION("""COMPUTED_VALUE"""),"45*34*90 mm | 1.7*1.3*3.5 inch")</f>
        <v>45*34*90 mm | 1.7*1.3*3.5 inch</v>
      </c>
      <c r="E1506" s="77">
        <f>IFERROR(__xludf.DUMMYFUNCTION("""COMPUTED_VALUE"""),9.0)</f>
        <v>9</v>
      </c>
      <c r="F1506" s="77">
        <f>IFERROR(__xludf.DUMMYFUNCTION("""COMPUTED_VALUE"""),1926.0)</f>
        <v>1926</v>
      </c>
      <c r="G1506" s="77">
        <f>IFERROR(__xludf.DUMMYFUNCTION("""COMPUTED_VALUE"""),19.5)</f>
        <v>19.5</v>
      </c>
      <c r="H1506" s="77">
        <f>IFERROR(__xludf.DUMMYFUNCTION("""COMPUTED_VALUE"""),23.0)</f>
        <v>23</v>
      </c>
      <c r="I1506" s="77">
        <f>IFERROR(__xludf.DUMMYFUNCTION("""COMPUTED_VALUE"""),100.0)</f>
        <v>100</v>
      </c>
      <c r="J1506" s="73"/>
      <c r="K1506" s="73"/>
      <c r="L1506" s="73"/>
      <c r="M1506" s="77">
        <f>IFERROR(__xludf.DUMMYFUNCTION("""COMPUTED_VALUE"""),0.1)</f>
        <v>0.1</v>
      </c>
      <c r="N1506" s="77">
        <f>IFERROR(__xludf.DUMMYFUNCTION("""COMPUTED_VALUE"""),1.0)</f>
        <v>1</v>
      </c>
      <c r="O1506" s="49"/>
      <c r="P1506" s="49" t="str">
        <f>IFERROR(__xludf.DUMMYFUNCTION("""COMPUTED_VALUE"""),"Offset")</f>
        <v>Offset</v>
      </c>
      <c r="Q1506" s="49" t="str">
        <f>IFERROR(__xludf.DUMMYFUNCTION("""COMPUTED_VALUE"""),"Packaging")</f>
        <v>Packaging</v>
      </c>
      <c r="R1506" s="49" t="str">
        <f>IFERROR(__xludf.DUMMYFUNCTION("""COMPUTED_VALUE"""),"Medecine")</f>
        <v>Medecine</v>
      </c>
    </row>
    <row r="1507">
      <c r="A1507" s="156" t="str">
        <f>IFERROR(__xludf.DUMMYFUNCTION("""COMPUTED_VALUE"""),"https://drive.google.com/open?id=1MnVPIT_P_CZqTU-A9qUWiGixInrkfsXI&amp;authuser=jay.agg%40gmail.com&amp;usp=drive_fs")</f>
        <v>https://drive.google.com/open?id=1MnVPIT_P_CZqTU-A9qUWiGixInrkfsXI&amp;authuser=jay.agg%40gmail.com&amp;usp=drive_fs</v>
      </c>
      <c r="B1507" s="73" t="str">
        <f>IFERROR(__xludf.DUMMYFUNCTION("""COMPUTED_VALUE"""),"Medecine")</f>
        <v>Medecine</v>
      </c>
      <c r="C1507" s="73" t="str">
        <f>IFERROR(__xludf.DUMMYFUNCTION("""COMPUTED_VALUE"""),"Misc")</f>
        <v>Misc</v>
      </c>
      <c r="D1507" s="73" t="str">
        <f>IFERROR(__xludf.DUMMYFUNCTION("""COMPUTED_VALUE"""),"185*35*95 mm | 7.3*1.4*3.7 inch")</f>
        <v>185*35*95 mm | 7.3*1.4*3.7 inch</v>
      </c>
      <c r="E1507" s="77">
        <f>IFERROR(__xludf.DUMMYFUNCTION("""COMPUTED_VALUE"""),4.0)</f>
        <v>4</v>
      </c>
      <c r="F1507" s="77">
        <f>IFERROR(__xludf.DUMMYFUNCTION("""COMPUTED_VALUE"""),2029.0)</f>
        <v>2029</v>
      </c>
      <c r="G1507" s="77">
        <f>IFERROR(__xludf.DUMMYFUNCTION("""COMPUTED_VALUE"""),18.0)</f>
        <v>18</v>
      </c>
      <c r="H1507" s="77">
        <f>IFERROR(__xludf.DUMMYFUNCTION("""COMPUTED_VALUE"""),28.0)</f>
        <v>28</v>
      </c>
      <c r="I1507" s="77">
        <f>IFERROR(__xludf.DUMMYFUNCTION("""COMPUTED_VALUE"""),100.0)</f>
        <v>100</v>
      </c>
      <c r="J1507" s="73"/>
      <c r="K1507" s="73"/>
      <c r="L1507" s="73"/>
      <c r="M1507" s="77">
        <f>IFERROR(__xludf.DUMMYFUNCTION("""COMPUTED_VALUE"""),0.1)</f>
        <v>0.1</v>
      </c>
      <c r="N1507" s="77">
        <f>IFERROR(__xludf.DUMMYFUNCTION("""COMPUTED_VALUE"""),1.0)</f>
        <v>1</v>
      </c>
      <c r="O1507" s="49"/>
      <c r="P1507" s="49" t="str">
        <f>IFERROR(__xludf.DUMMYFUNCTION("""COMPUTED_VALUE"""),"Offset")</f>
        <v>Offset</v>
      </c>
      <c r="Q1507" s="49" t="str">
        <f>IFERROR(__xludf.DUMMYFUNCTION("""COMPUTED_VALUE"""),"Packaging")</f>
        <v>Packaging</v>
      </c>
      <c r="R1507" s="49" t="str">
        <f>IFERROR(__xludf.DUMMYFUNCTION("""COMPUTED_VALUE"""),"Medecine")</f>
        <v>Medecine</v>
      </c>
    </row>
    <row r="1508">
      <c r="A1508" s="156" t="str">
        <f>IFERROR(__xludf.DUMMYFUNCTION("""COMPUTED_VALUE"""),"https://drive.google.com/open?id=1anmCm413FuAp4rPRhBUkQx9-uZhmRoFI&amp;authuser=jay.agg%40gmail.com&amp;usp=drive_fs")</f>
        <v>https://drive.google.com/open?id=1anmCm413FuAp4rPRhBUkQx9-uZhmRoFI&amp;authuser=jay.agg%40gmail.com&amp;usp=drive_fs</v>
      </c>
      <c r="B1508" s="73" t="str">
        <f>IFERROR(__xludf.DUMMYFUNCTION("""COMPUTED_VALUE"""),"Medecine")</f>
        <v>Medecine</v>
      </c>
      <c r="C1508" s="73" t="str">
        <f>IFERROR(__xludf.DUMMYFUNCTION("""COMPUTED_VALUE"""),"Mailer Box")</f>
        <v>Mailer Box</v>
      </c>
      <c r="D1508" s="73" t="str">
        <f>IFERROR(__xludf.DUMMYFUNCTION("""COMPUTED_VALUE"""),"228*127*58 mm | 9*5*2 inch")</f>
        <v>228*127*58 mm | 9*5*2 inch</v>
      </c>
      <c r="E1508" s="77">
        <f>IFERROR(__xludf.DUMMYFUNCTION("""COMPUTED_VALUE"""),1.0)</f>
        <v>1</v>
      </c>
      <c r="F1508" s="77">
        <f>IFERROR(__xludf.DUMMYFUNCTION("""COMPUTED_VALUE"""),1926.0)</f>
        <v>1926</v>
      </c>
      <c r="G1508" s="77">
        <f>IFERROR(__xludf.DUMMYFUNCTION("""COMPUTED_VALUE"""),18.0)</f>
        <v>18</v>
      </c>
      <c r="H1508" s="77">
        <f>IFERROR(__xludf.DUMMYFUNCTION("""COMPUTED_VALUE"""),21.0)</f>
        <v>21</v>
      </c>
      <c r="I1508" s="77">
        <f>IFERROR(__xludf.DUMMYFUNCTION("""COMPUTED_VALUE"""),100.0)</f>
        <v>100</v>
      </c>
      <c r="J1508" s="73"/>
      <c r="K1508" s="73"/>
      <c r="L1508" s="73">
        <f>IFERROR(__xludf.DUMMYFUNCTION("""COMPUTED_VALUE"""),4.6)</f>
        <v>4.6</v>
      </c>
      <c r="M1508" s="77"/>
      <c r="N1508" s="77">
        <f>IFERROR(__xludf.DUMMYFUNCTION("""COMPUTED_VALUE"""),1.0)</f>
        <v>1</v>
      </c>
      <c r="O1508" s="49"/>
      <c r="P1508" s="49" t="str">
        <f>IFERROR(__xludf.DUMMYFUNCTION("""COMPUTED_VALUE"""),"Offset")</f>
        <v>Offset</v>
      </c>
      <c r="Q1508" s="49" t="str">
        <f>IFERROR(__xludf.DUMMYFUNCTION("""COMPUTED_VALUE"""),"Packaging")</f>
        <v>Packaging</v>
      </c>
      <c r="R1508" s="49" t="str">
        <f>IFERROR(__xludf.DUMMYFUNCTION("""COMPUTED_VALUE"""),"Medecine")</f>
        <v>Medecine</v>
      </c>
    </row>
    <row r="1509">
      <c r="A1509" s="156" t="str">
        <f>IFERROR(__xludf.DUMMYFUNCTION("""COMPUTED_VALUE"""),"https://drive.google.com/open?id=1gnqtfU7mTLpUXx00lqTMmP1uhFY3xQ-5&amp;authuser=jay.agg%40gmail.com&amp;usp=drive_fs")</f>
        <v>https://drive.google.com/open?id=1gnqtfU7mTLpUXx00lqTMmP1uhFY3xQ-5&amp;authuser=jay.agg%40gmail.com&amp;usp=drive_fs</v>
      </c>
      <c r="B1509" s="73" t="str">
        <f>IFERROR(__xludf.DUMMYFUNCTION("""COMPUTED_VALUE"""),"Medecine")</f>
        <v>Medecine</v>
      </c>
      <c r="C1509" s="73" t="str">
        <f>IFERROR(__xludf.DUMMYFUNCTION("""COMPUTED_VALUE"""),"Aurthot")</f>
        <v>Aurthot</v>
      </c>
      <c r="D1509" s="73" t="str">
        <f>IFERROR(__xludf.DUMMYFUNCTION("""COMPUTED_VALUE"""),"76*38*140 | 83*32*127 | 67*32*105 | 165*51*178 mm")</f>
        <v>76*38*140 | 83*32*127 | 67*32*105 | 165*51*178 mm</v>
      </c>
      <c r="E1509" s="77">
        <f>IFERROR(__xludf.DUMMYFUNCTION("""COMPUTED_VALUE"""),1.0)</f>
        <v>1</v>
      </c>
      <c r="F1509" s="77">
        <f>IFERROR(__xludf.DUMMYFUNCTION("""COMPUTED_VALUE"""),2029.0)</f>
        <v>2029</v>
      </c>
      <c r="G1509" s="77">
        <f>IFERROR(__xludf.DUMMYFUNCTION("""COMPUTED_VALUE"""),19.0)</f>
        <v>19</v>
      </c>
      <c r="H1509" s="77">
        <f>IFERROR(__xludf.DUMMYFUNCTION("""COMPUTED_VALUE"""),26.0)</f>
        <v>26</v>
      </c>
      <c r="I1509" s="77">
        <f>IFERROR(__xludf.DUMMYFUNCTION("""COMPUTED_VALUE"""),100.0)</f>
        <v>100</v>
      </c>
      <c r="J1509" s="73"/>
      <c r="K1509" s="73"/>
      <c r="L1509" s="73"/>
      <c r="M1509" s="77">
        <f>IFERROR(__xludf.DUMMYFUNCTION("""COMPUTED_VALUE"""),0.32)</f>
        <v>0.32</v>
      </c>
      <c r="N1509" s="77">
        <f>IFERROR(__xludf.DUMMYFUNCTION("""COMPUTED_VALUE"""),1.0)</f>
        <v>1</v>
      </c>
      <c r="O1509" s="49"/>
      <c r="P1509" s="49" t="str">
        <f>IFERROR(__xludf.DUMMYFUNCTION("""COMPUTED_VALUE"""),"Offset")</f>
        <v>Offset</v>
      </c>
      <c r="Q1509" s="49" t="str">
        <f>IFERROR(__xludf.DUMMYFUNCTION("""COMPUTED_VALUE"""),"Packaging")</f>
        <v>Packaging</v>
      </c>
      <c r="R1509" s="49" t="str">
        <f>IFERROR(__xludf.DUMMYFUNCTION("""COMPUTED_VALUE"""),"Medecine")</f>
        <v>Medecine</v>
      </c>
    </row>
    <row r="1510">
      <c r="A1510" s="156" t="str">
        <f>IFERROR(__xludf.DUMMYFUNCTION("""COMPUTED_VALUE"""),"https://drive.google.com/open?id=1gp0yf1CTyo9NhcaPQSI3DH1vAojnLAR8&amp;authuser=jay.agg%40gmail.com&amp;usp=drive_fs")</f>
        <v>https://drive.google.com/open?id=1gp0yf1CTyo9NhcaPQSI3DH1vAojnLAR8&amp;authuser=jay.agg%40gmail.com&amp;usp=drive_fs</v>
      </c>
      <c r="B1510" s="73" t="str">
        <f>IFERROR(__xludf.DUMMYFUNCTION("""COMPUTED_VALUE"""),"Medecine")</f>
        <v>Medecine</v>
      </c>
      <c r="C1510" s="73" t="str">
        <f>IFERROR(__xludf.DUMMYFUNCTION("""COMPUTED_VALUE"""),"Aurthot")</f>
        <v>Aurthot</v>
      </c>
      <c r="D1510" s="73" t="str">
        <f>IFERROR(__xludf.DUMMYFUNCTION("""COMPUTED_VALUE"""),"64*26*166 mm | 2.5*1*6.5 inch")</f>
        <v>64*26*166 mm | 2.5*1*6.5 inch</v>
      </c>
      <c r="E1510" s="77">
        <f>IFERROR(__xludf.DUMMYFUNCTION("""COMPUTED_VALUE"""),6.0)</f>
        <v>6</v>
      </c>
      <c r="F1510" s="77">
        <f>IFERROR(__xludf.DUMMYFUNCTION("""COMPUTED_VALUE"""),1926.0)</f>
        <v>1926</v>
      </c>
      <c r="G1510" s="77">
        <f>IFERROR(__xludf.DUMMYFUNCTION("""COMPUTED_VALUE"""),18.0)</f>
        <v>18</v>
      </c>
      <c r="H1510" s="77">
        <f>IFERROR(__xludf.DUMMYFUNCTION("""COMPUTED_VALUE"""),23.0)</f>
        <v>23</v>
      </c>
      <c r="I1510" s="77">
        <f>IFERROR(__xludf.DUMMYFUNCTION("""COMPUTED_VALUE"""),100.0)</f>
        <v>100</v>
      </c>
      <c r="J1510" s="73"/>
      <c r="K1510" s="73"/>
      <c r="L1510" s="73"/>
      <c r="M1510" s="77">
        <f>IFERROR(__xludf.DUMMYFUNCTION("""COMPUTED_VALUE"""),0.1)</f>
        <v>0.1</v>
      </c>
      <c r="N1510" s="77">
        <f>IFERROR(__xludf.DUMMYFUNCTION("""COMPUTED_VALUE"""),1.0)</f>
        <v>1</v>
      </c>
      <c r="O1510" s="49"/>
      <c r="P1510" s="49" t="str">
        <f>IFERROR(__xludf.DUMMYFUNCTION("""COMPUTED_VALUE"""),"Offset")</f>
        <v>Offset</v>
      </c>
      <c r="Q1510" s="49" t="str">
        <f>IFERROR(__xludf.DUMMYFUNCTION("""COMPUTED_VALUE"""),"Packaging")</f>
        <v>Packaging</v>
      </c>
      <c r="R1510" s="49" t="str">
        <f>IFERROR(__xludf.DUMMYFUNCTION("""COMPUTED_VALUE"""),"Medecine")</f>
        <v>Medecine</v>
      </c>
    </row>
    <row r="1511">
      <c r="A1511" s="156" t="str">
        <f>IFERROR(__xludf.DUMMYFUNCTION("""COMPUTED_VALUE"""),"https://drive.google.com/open?id=1gNe715hw9nWnRjVcejJhWT8N-voj7j25&amp;authuser=jay.agg%40gmail.com&amp;usp=drive_fs")</f>
        <v>https://drive.google.com/open?id=1gNe715hw9nWnRjVcejJhWT8N-voj7j25&amp;authuser=jay.agg%40gmail.com&amp;usp=drive_fs</v>
      </c>
      <c r="B1511" s="73" t="str">
        <f>IFERROR(__xludf.DUMMYFUNCTION("""COMPUTED_VALUE"""),"Medecine")</f>
        <v>Medecine</v>
      </c>
      <c r="C1511" s="73" t="str">
        <f>IFERROR(__xludf.DUMMYFUNCTION("""COMPUTED_VALUE"""),"Nice")</f>
        <v>Nice</v>
      </c>
      <c r="D1511" s="73" t="str">
        <f>IFERROR(__xludf.DUMMYFUNCTION("""COMPUTED_VALUE"""),"60*32*126 mm | 2.3*1.2*5 inch")</f>
        <v>60*32*126 mm | 2.3*1.2*5 inch</v>
      </c>
      <c r="E1511" s="77">
        <f>IFERROR(__xludf.DUMMYFUNCTION("""COMPUTED_VALUE"""),20.0)</f>
        <v>20</v>
      </c>
      <c r="F1511" s="77">
        <f>IFERROR(__xludf.DUMMYFUNCTION("""COMPUTED_VALUE"""),2840.0)</f>
        <v>2840</v>
      </c>
      <c r="G1511" s="77">
        <f>IFERROR(__xludf.DUMMYFUNCTION("""COMPUTED_VALUE"""),28.0)</f>
        <v>28</v>
      </c>
      <c r="H1511" s="77">
        <f>IFERROR(__xludf.DUMMYFUNCTION("""COMPUTED_VALUE"""),40.0)</f>
        <v>40</v>
      </c>
      <c r="I1511" s="77">
        <f>IFERROR(__xludf.DUMMYFUNCTION("""COMPUTED_VALUE"""),100.0)</f>
        <v>100</v>
      </c>
      <c r="J1511" s="73"/>
      <c r="K1511" s="73"/>
      <c r="L1511" s="73"/>
      <c r="M1511" s="77">
        <f>IFERROR(__xludf.DUMMYFUNCTION("""COMPUTED_VALUE"""),0.1)</f>
        <v>0.1</v>
      </c>
      <c r="N1511" s="77">
        <f>IFERROR(__xludf.DUMMYFUNCTION("""COMPUTED_VALUE"""),1.0)</f>
        <v>1</v>
      </c>
      <c r="O1511" s="49"/>
      <c r="P1511" s="49" t="str">
        <f>IFERROR(__xludf.DUMMYFUNCTION("""COMPUTED_VALUE"""),"Offset")</f>
        <v>Offset</v>
      </c>
      <c r="Q1511" s="49" t="str">
        <f>IFERROR(__xludf.DUMMYFUNCTION("""COMPUTED_VALUE"""),"Packaging")</f>
        <v>Packaging</v>
      </c>
      <c r="R1511" s="49" t="str">
        <f>IFERROR(__xludf.DUMMYFUNCTION("""COMPUTED_VALUE"""),"Medecine")</f>
        <v>Medecine</v>
      </c>
    </row>
    <row r="1512">
      <c r="A1512" s="156" t="str">
        <f>IFERROR(__xludf.DUMMYFUNCTION("""COMPUTED_VALUE"""),"https://drive.google.com/open?id=1lW4mhHLemqb8Pe8gXPKRReoEFyH1n07w&amp;authuser=jay.agg%40gmail.com&amp;usp=drive_fs")</f>
        <v>https://drive.google.com/open?id=1lW4mhHLemqb8Pe8gXPKRReoEFyH1n07w&amp;authuser=jay.agg%40gmail.com&amp;usp=drive_fs</v>
      </c>
      <c r="B1512" s="73" t="str">
        <f>IFERROR(__xludf.DUMMYFUNCTION("""COMPUTED_VALUE"""),"Medecine")</f>
        <v>Medecine</v>
      </c>
      <c r="C1512" s="73" t="str">
        <f>IFERROR(__xludf.DUMMYFUNCTION("""COMPUTED_VALUE"""),"Aurthot")</f>
        <v>Aurthot</v>
      </c>
      <c r="D1512" s="73" t="str">
        <f>IFERROR(__xludf.DUMMYFUNCTION("""COMPUTED_VALUE"""),"159*51*242 mm | 6.26*2*9.5 inch")</f>
        <v>159*51*242 mm | 6.26*2*9.5 inch</v>
      </c>
      <c r="E1512" s="77">
        <f>IFERROR(__xludf.DUMMYFUNCTION("""COMPUTED_VALUE"""),2.0)</f>
        <v>2</v>
      </c>
      <c r="F1512" s="77">
        <f>IFERROR(__xludf.DUMMYFUNCTION("""COMPUTED_VALUE"""),2029.0)</f>
        <v>2029</v>
      </c>
      <c r="G1512" s="77">
        <f>IFERROR(__xludf.DUMMYFUNCTION("""COMPUTED_VALUE"""),20.0)</f>
        <v>20</v>
      </c>
      <c r="H1512" s="77">
        <f>IFERROR(__xludf.DUMMYFUNCTION("""COMPUTED_VALUE"""),28.0)</f>
        <v>28</v>
      </c>
      <c r="I1512" s="77">
        <f>IFERROR(__xludf.DUMMYFUNCTION("""COMPUTED_VALUE"""),100.0)</f>
        <v>100</v>
      </c>
      <c r="J1512" s="73"/>
      <c r="K1512" s="73"/>
      <c r="L1512" s="73"/>
      <c r="M1512" s="77">
        <f>IFERROR(__xludf.DUMMYFUNCTION("""COMPUTED_VALUE"""),0.1)</f>
        <v>0.1</v>
      </c>
      <c r="N1512" s="77">
        <f>IFERROR(__xludf.DUMMYFUNCTION("""COMPUTED_VALUE"""),1.0)</f>
        <v>1</v>
      </c>
      <c r="O1512" s="49"/>
      <c r="P1512" s="49" t="str">
        <f>IFERROR(__xludf.DUMMYFUNCTION("""COMPUTED_VALUE"""),"Offset")</f>
        <v>Offset</v>
      </c>
      <c r="Q1512" s="49" t="str">
        <f>IFERROR(__xludf.DUMMYFUNCTION("""COMPUTED_VALUE"""),"Packaging")</f>
        <v>Packaging</v>
      </c>
      <c r="R1512" s="49" t="str">
        <f>IFERROR(__xludf.DUMMYFUNCTION("""COMPUTED_VALUE"""),"Medecine")</f>
        <v>Medecine</v>
      </c>
    </row>
    <row r="1513">
      <c r="A1513" s="156" t="str">
        <f>IFERROR(__xludf.DUMMYFUNCTION("""COMPUTED_VALUE"""),"https://drive.google.com/open?id=1loj68WXHUa-QxDFMtMknknCFQivST9K7&amp;authuser=jay.agg%40gmail.com&amp;usp=drive_fs")</f>
        <v>https://drive.google.com/open?id=1loj68WXHUa-QxDFMtMknknCFQivST9K7&amp;authuser=jay.agg%40gmail.com&amp;usp=drive_fs</v>
      </c>
      <c r="B1513" s="73" t="str">
        <f>IFERROR(__xludf.DUMMYFUNCTION("""COMPUTED_VALUE"""),"Medecine")</f>
        <v>Medecine</v>
      </c>
      <c r="C1513" s="73" t="str">
        <f>IFERROR(__xludf.DUMMYFUNCTION("""COMPUTED_VALUE"""),"Misc")</f>
        <v>Misc</v>
      </c>
      <c r="D1513" s="73" t="str">
        <f>IFERROR(__xludf.DUMMYFUNCTION("""COMPUTED_VALUE"""),"204*29*394 mm | 8*1.1*15.5 inch")</f>
        <v>204*29*394 mm | 8*1.1*15.5 inch</v>
      </c>
      <c r="E1513" s="77">
        <f>IFERROR(__xludf.DUMMYFUNCTION("""COMPUTED_VALUE"""),1.0)</f>
        <v>1</v>
      </c>
      <c r="F1513" s="77">
        <f>IFERROR(__xludf.DUMMYFUNCTION("""COMPUTED_VALUE"""),1926.0)</f>
        <v>1926</v>
      </c>
      <c r="G1513" s="77">
        <f>IFERROR(__xludf.DUMMYFUNCTION("""COMPUTED_VALUE"""),19.5)</f>
        <v>19.5</v>
      </c>
      <c r="H1513" s="77">
        <f>IFERROR(__xludf.DUMMYFUNCTION("""COMPUTED_VALUE"""),23.0)</f>
        <v>23</v>
      </c>
      <c r="I1513" s="77">
        <f>IFERROR(__xludf.DUMMYFUNCTION("""COMPUTED_VALUE"""),100.0)</f>
        <v>100</v>
      </c>
      <c r="J1513" s="73"/>
      <c r="K1513" s="73"/>
      <c r="L1513" s="73"/>
      <c r="M1513" s="77">
        <f>IFERROR(__xludf.DUMMYFUNCTION("""COMPUTED_VALUE"""),0.1)</f>
        <v>0.1</v>
      </c>
      <c r="N1513" s="77">
        <f>IFERROR(__xludf.DUMMYFUNCTION("""COMPUTED_VALUE"""),1.0)</f>
        <v>1</v>
      </c>
      <c r="O1513" s="49"/>
      <c r="P1513" s="49" t="str">
        <f>IFERROR(__xludf.DUMMYFUNCTION("""COMPUTED_VALUE"""),"Offset")</f>
        <v>Offset</v>
      </c>
      <c r="Q1513" s="49" t="str">
        <f>IFERROR(__xludf.DUMMYFUNCTION("""COMPUTED_VALUE"""),"Packaging")</f>
        <v>Packaging</v>
      </c>
      <c r="R1513" s="49" t="str">
        <f>IFERROR(__xludf.DUMMYFUNCTION("""COMPUTED_VALUE"""),"Medecine")</f>
        <v>Medecine</v>
      </c>
    </row>
    <row r="1514">
      <c r="A1514" s="156" t="str">
        <f>IFERROR(__xludf.DUMMYFUNCTION("""COMPUTED_VALUE"""),"https://drive.google.com/open?id=1mEyYi6_k9yM-vHv8JhPwq4qEJXJsxwI8&amp;authuser=jay.agg%40gmail.com&amp;usp=drive_fs")</f>
        <v>https://drive.google.com/open?id=1mEyYi6_k9yM-vHv8JhPwq4qEJXJsxwI8&amp;authuser=jay.agg%40gmail.com&amp;usp=drive_fs</v>
      </c>
      <c r="B1514" s="73" t="str">
        <f>IFERROR(__xludf.DUMMYFUNCTION("""COMPUTED_VALUE"""),"Medecine")</f>
        <v>Medecine</v>
      </c>
      <c r="C1514" s="73" t="str">
        <f>IFERROR(__xludf.DUMMYFUNCTION("""COMPUTED_VALUE"""),"RPL")</f>
        <v>RPL</v>
      </c>
      <c r="D1514" s="73" t="str">
        <f>IFERROR(__xludf.DUMMYFUNCTION("""COMPUTED_VALUE"""),"115x20x30 mm | 1.1*0.8*4.5 inch")</f>
        <v>115x20x30 mm | 1.1*0.8*4.5 inch</v>
      </c>
      <c r="E1514" s="77">
        <f>IFERROR(__xludf.DUMMYFUNCTION("""COMPUTED_VALUE"""),16.0)</f>
        <v>16</v>
      </c>
      <c r="F1514" s="77">
        <f>IFERROR(__xludf.DUMMYFUNCTION("""COMPUTED_VALUE"""),1926.0)</f>
        <v>1926</v>
      </c>
      <c r="G1514" s="77">
        <f>IFERROR(__xludf.DUMMYFUNCTION("""COMPUTED_VALUE"""),18.0)</f>
        <v>18</v>
      </c>
      <c r="H1514" s="77">
        <f>IFERROR(__xludf.DUMMYFUNCTION("""COMPUTED_VALUE"""),25.0)</f>
        <v>25</v>
      </c>
      <c r="I1514" s="77">
        <f>IFERROR(__xludf.DUMMYFUNCTION("""COMPUTED_VALUE"""),100.0)</f>
        <v>100</v>
      </c>
      <c r="J1514" s="73"/>
      <c r="K1514" s="73"/>
      <c r="L1514" s="73"/>
      <c r="M1514" s="77">
        <f>IFERROR(__xludf.DUMMYFUNCTION("""COMPUTED_VALUE"""),0.1)</f>
        <v>0.1</v>
      </c>
      <c r="N1514" s="77">
        <f>IFERROR(__xludf.DUMMYFUNCTION("""COMPUTED_VALUE"""),1.0)</f>
        <v>1</v>
      </c>
      <c r="O1514" s="49"/>
      <c r="P1514" s="49" t="str">
        <f>IFERROR(__xludf.DUMMYFUNCTION("""COMPUTED_VALUE"""),"Offset")</f>
        <v>Offset</v>
      </c>
      <c r="Q1514" s="49" t="str">
        <f>IFERROR(__xludf.DUMMYFUNCTION("""COMPUTED_VALUE"""),"Packaging")</f>
        <v>Packaging</v>
      </c>
      <c r="R1514" s="49" t="str">
        <f>IFERROR(__xludf.DUMMYFUNCTION("""COMPUTED_VALUE"""),"Medecine")</f>
        <v>Medecine</v>
      </c>
    </row>
    <row r="1515">
      <c r="A1515" s="156" t="str">
        <f>IFERROR(__xludf.DUMMYFUNCTION("""COMPUTED_VALUE"""),"https://drive.google.com/open?id=1mGCSmHUEb_de72eBajB4ybbECVkT7Vz6&amp;authuser=jay.agg%40gmail.com&amp;usp=drive_fs")</f>
        <v>https://drive.google.com/open?id=1mGCSmHUEb_de72eBajB4ybbECVkT7Vz6&amp;authuser=jay.agg%40gmail.com&amp;usp=drive_fs</v>
      </c>
      <c r="B1515" s="73" t="str">
        <f>IFERROR(__xludf.DUMMYFUNCTION("""COMPUTED_VALUE"""),"Medecine")</f>
        <v>Medecine</v>
      </c>
      <c r="C1515" s="73" t="str">
        <f>IFERROR(__xludf.DUMMYFUNCTION("""COMPUTED_VALUE"""),"RPL")</f>
        <v>RPL</v>
      </c>
      <c r="D1515" s="73" t="str">
        <f>IFERROR(__xludf.DUMMYFUNCTION("""COMPUTED_VALUE"""),"130x21x32 mm | 1.26*0.8*5.1 inch")</f>
        <v>130x21x32 mm | 1.26*0.8*5.1 inch</v>
      </c>
      <c r="E1515" s="77">
        <f>IFERROR(__xludf.DUMMYFUNCTION("""COMPUTED_VALUE"""),12.0)</f>
        <v>12</v>
      </c>
      <c r="F1515" s="77">
        <f>IFERROR(__xludf.DUMMYFUNCTION("""COMPUTED_VALUE"""),1926.0)</f>
        <v>1926</v>
      </c>
      <c r="G1515" s="77">
        <f>IFERROR(__xludf.DUMMYFUNCTION("""COMPUTED_VALUE"""),19.5)</f>
        <v>19.5</v>
      </c>
      <c r="H1515" s="77">
        <f>IFERROR(__xludf.DUMMYFUNCTION("""COMPUTED_VALUE"""),23.0)</f>
        <v>23</v>
      </c>
      <c r="I1515" s="77">
        <f>IFERROR(__xludf.DUMMYFUNCTION("""COMPUTED_VALUE"""),100.0)</f>
        <v>100</v>
      </c>
      <c r="J1515" s="73"/>
      <c r="K1515" s="73"/>
      <c r="L1515" s="73"/>
      <c r="M1515" s="77">
        <f>IFERROR(__xludf.DUMMYFUNCTION("""COMPUTED_VALUE"""),0.1)</f>
        <v>0.1</v>
      </c>
      <c r="N1515" s="77">
        <f>IFERROR(__xludf.DUMMYFUNCTION("""COMPUTED_VALUE"""),1.0)</f>
        <v>1</v>
      </c>
      <c r="O1515" s="49"/>
      <c r="P1515" s="49" t="str">
        <f>IFERROR(__xludf.DUMMYFUNCTION("""COMPUTED_VALUE"""),"Offset")</f>
        <v>Offset</v>
      </c>
      <c r="Q1515" s="49" t="str">
        <f>IFERROR(__xludf.DUMMYFUNCTION("""COMPUTED_VALUE"""),"Packaging")</f>
        <v>Packaging</v>
      </c>
      <c r="R1515" s="49" t="str">
        <f>IFERROR(__xludf.DUMMYFUNCTION("""COMPUTED_VALUE"""),"Medecine")</f>
        <v>Medecine</v>
      </c>
    </row>
    <row r="1516">
      <c r="A1516" s="156" t="str">
        <f>IFERROR(__xludf.DUMMYFUNCTION("""COMPUTED_VALUE"""),"https://drive.google.com/open?id=1mH1fqUlJRA5fugVKTZkOI5ucDcumCJMZ&amp;authuser=jay.agg%40gmail.com&amp;usp=drive_fs")</f>
        <v>https://drive.google.com/open?id=1mH1fqUlJRA5fugVKTZkOI5ucDcumCJMZ&amp;authuser=jay.agg%40gmail.com&amp;usp=drive_fs</v>
      </c>
      <c r="B1516" s="73" t="str">
        <f>IFERROR(__xludf.DUMMYFUNCTION("""COMPUTED_VALUE"""),"Medecine")</f>
        <v>Medecine</v>
      </c>
      <c r="C1516" s="73" t="str">
        <f>IFERROR(__xludf.DUMMYFUNCTION("""COMPUTED_VALUE"""),"RPL")</f>
        <v>RPL</v>
      </c>
      <c r="D1516" s="73" t="str">
        <f>IFERROR(__xludf.DUMMYFUNCTION("""COMPUTED_VALUE"""),"135x24x34 mm | 1.3*1*5.3 inch")</f>
        <v>135x24x34 mm | 1.3*1*5.3 inch</v>
      </c>
      <c r="E1516" s="77">
        <f>IFERROR(__xludf.DUMMYFUNCTION("""COMPUTED_VALUE"""),8.0)</f>
        <v>8</v>
      </c>
      <c r="F1516" s="77">
        <f>IFERROR(__xludf.DUMMYFUNCTION("""COMPUTED_VALUE"""),1926.0)</f>
        <v>1926</v>
      </c>
      <c r="G1516" s="77">
        <f>IFERROR(__xludf.DUMMYFUNCTION("""COMPUTED_VALUE"""),15.75)</f>
        <v>15.75</v>
      </c>
      <c r="H1516" s="77">
        <f>IFERROR(__xludf.DUMMYFUNCTION("""COMPUTED_VALUE"""),20.75)</f>
        <v>20.75</v>
      </c>
      <c r="I1516" s="77">
        <f>IFERROR(__xludf.DUMMYFUNCTION("""COMPUTED_VALUE"""),100.0)</f>
        <v>100</v>
      </c>
      <c r="J1516" s="73"/>
      <c r="K1516" s="73"/>
      <c r="L1516" s="73"/>
      <c r="M1516" s="77">
        <f>IFERROR(__xludf.DUMMYFUNCTION("""COMPUTED_VALUE"""),0.1)</f>
        <v>0.1</v>
      </c>
      <c r="N1516" s="77">
        <f>IFERROR(__xludf.DUMMYFUNCTION("""COMPUTED_VALUE"""),1.0)</f>
        <v>1</v>
      </c>
      <c r="O1516" s="49"/>
      <c r="P1516" s="49" t="str">
        <f>IFERROR(__xludf.DUMMYFUNCTION("""COMPUTED_VALUE"""),"Offset")</f>
        <v>Offset</v>
      </c>
      <c r="Q1516" s="49" t="str">
        <f>IFERROR(__xludf.DUMMYFUNCTION("""COMPUTED_VALUE"""),"Packaging")</f>
        <v>Packaging</v>
      </c>
      <c r="R1516" s="49" t="str">
        <f>IFERROR(__xludf.DUMMYFUNCTION("""COMPUTED_VALUE"""),"Medecine")</f>
        <v>Medecine</v>
      </c>
    </row>
    <row r="1517">
      <c r="A1517" s="156" t="str">
        <f>IFERROR(__xludf.DUMMYFUNCTION("""COMPUTED_VALUE"""),"https://drive.google.com/open?id=1mJ4LNIomST48naNYIhpUUr7Sx0mM8Fx3&amp;authuser=jay.agg%40gmail.com&amp;usp=drive_fs")</f>
        <v>https://drive.google.com/open?id=1mJ4LNIomST48naNYIhpUUr7Sx0mM8Fx3&amp;authuser=jay.agg%40gmail.com&amp;usp=drive_fs</v>
      </c>
      <c r="B1517" s="73" t="str">
        <f>IFERROR(__xludf.DUMMYFUNCTION("""COMPUTED_VALUE"""),"Medecine")</f>
        <v>Medecine</v>
      </c>
      <c r="C1517" s="73" t="str">
        <f>IFERROR(__xludf.DUMMYFUNCTION("""COMPUTED_VALUE"""),"RPL")</f>
        <v>RPL</v>
      </c>
      <c r="D1517" s="73" t="str">
        <f>IFERROR(__xludf.DUMMYFUNCTION("""COMPUTED_VALUE"""),"30x30x68 mm | 1.1*1.1*2.7 inch")</f>
        <v>30x30x68 mm | 1.1*1.1*2.7 inch</v>
      </c>
      <c r="E1517" s="77">
        <f>IFERROR(__xludf.DUMMYFUNCTION("""COMPUTED_VALUE"""),12.0)</f>
        <v>12</v>
      </c>
      <c r="F1517" s="77">
        <f>IFERROR(__xludf.DUMMYFUNCTION("""COMPUTED_VALUE"""),1926.0)</f>
        <v>1926</v>
      </c>
      <c r="G1517" s="77">
        <f>IFERROR(__xludf.DUMMYFUNCTION("""COMPUTED_VALUE"""),15.75)</f>
        <v>15.75</v>
      </c>
      <c r="H1517" s="77">
        <f>IFERROR(__xludf.DUMMYFUNCTION("""COMPUTED_VALUE"""),20.75)</f>
        <v>20.75</v>
      </c>
      <c r="I1517" s="77">
        <f>IFERROR(__xludf.DUMMYFUNCTION("""COMPUTED_VALUE"""),100.0)</f>
        <v>100</v>
      </c>
      <c r="J1517" s="73"/>
      <c r="K1517" s="73"/>
      <c r="L1517" s="73"/>
      <c r="M1517" s="77">
        <f>IFERROR(__xludf.DUMMYFUNCTION("""COMPUTED_VALUE"""),0.1)</f>
        <v>0.1</v>
      </c>
      <c r="N1517" s="77">
        <f>IFERROR(__xludf.DUMMYFUNCTION("""COMPUTED_VALUE"""),1.0)</f>
        <v>1</v>
      </c>
      <c r="O1517" s="49"/>
      <c r="P1517" s="49" t="str">
        <f>IFERROR(__xludf.DUMMYFUNCTION("""COMPUTED_VALUE"""),"Offset")</f>
        <v>Offset</v>
      </c>
      <c r="Q1517" s="49" t="str">
        <f>IFERROR(__xludf.DUMMYFUNCTION("""COMPUTED_VALUE"""),"Packaging")</f>
        <v>Packaging</v>
      </c>
      <c r="R1517" s="49" t="str">
        <f>IFERROR(__xludf.DUMMYFUNCTION("""COMPUTED_VALUE"""),"Medecine")</f>
        <v>Medecine</v>
      </c>
    </row>
    <row r="1518">
      <c r="A1518" s="156" t="str">
        <f>IFERROR(__xludf.DUMMYFUNCTION("""COMPUTED_VALUE"""),"https://drive.google.com/open?id=1mMoFbwq2RjcnwvUT750poqaHk2HxAw3Y&amp;authuser=jay.agg%40gmail.com&amp;usp=drive_fs")</f>
        <v>https://drive.google.com/open?id=1mMoFbwq2RjcnwvUT750poqaHk2HxAw3Y&amp;authuser=jay.agg%40gmail.com&amp;usp=drive_fs</v>
      </c>
      <c r="B1518" s="73" t="str">
        <f>IFERROR(__xludf.DUMMYFUNCTION("""COMPUTED_VALUE"""),"Medecine")</f>
        <v>Medecine</v>
      </c>
      <c r="C1518" s="73" t="str">
        <f>IFERROR(__xludf.DUMMYFUNCTION("""COMPUTED_VALUE"""),"RPL")</f>
        <v>RPL</v>
      </c>
      <c r="D1518" s="73" t="str">
        <f>IFERROR(__xludf.DUMMYFUNCTION("""COMPUTED_VALUE"""),"46X46X115 mm | 1.8*1.8*4.5 inch")</f>
        <v>46X46X115 mm | 1.8*1.8*4.5 inch</v>
      </c>
      <c r="E1518" s="77">
        <f>IFERROR(__xludf.DUMMYFUNCTION("""COMPUTED_VALUE"""),6.0)</f>
        <v>6</v>
      </c>
      <c r="F1518" s="77">
        <f>IFERROR(__xludf.DUMMYFUNCTION("""COMPUTED_VALUE"""),1926.0)</f>
        <v>1926</v>
      </c>
      <c r="G1518" s="77">
        <f>IFERROR(__xludf.DUMMYFUNCTION("""COMPUTED_VALUE"""),18.0)</f>
        <v>18</v>
      </c>
      <c r="H1518" s="77">
        <f>IFERROR(__xludf.DUMMYFUNCTION("""COMPUTED_VALUE"""),25.0)</f>
        <v>25</v>
      </c>
      <c r="I1518" s="77">
        <f>IFERROR(__xludf.DUMMYFUNCTION("""COMPUTED_VALUE"""),100.0)</f>
        <v>100</v>
      </c>
      <c r="J1518" s="73"/>
      <c r="K1518" s="73"/>
      <c r="L1518" s="73"/>
      <c r="M1518" s="77">
        <f>IFERROR(__xludf.DUMMYFUNCTION("""COMPUTED_VALUE"""),0.1)</f>
        <v>0.1</v>
      </c>
      <c r="N1518" s="77">
        <f>IFERROR(__xludf.DUMMYFUNCTION("""COMPUTED_VALUE"""),1.0)</f>
        <v>1</v>
      </c>
      <c r="O1518" s="49"/>
      <c r="P1518" s="49" t="str">
        <f>IFERROR(__xludf.DUMMYFUNCTION("""COMPUTED_VALUE"""),"Offset")</f>
        <v>Offset</v>
      </c>
      <c r="Q1518" s="49" t="str">
        <f>IFERROR(__xludf.DUMMYFUNCTION("""COMPUTED_VALUE"""),"Packaging")</f>
        <v>Packaging</v>
      </c>
      <c r="R1518" s="49" t="str">
        <f>IFERROR(__xludf.DUMMYFUNCTION("""COMPUTED_VALUE"""),"Medecine")</f>
        <v>Medecine</v>
      </c>
    </row>
    <row r="1519">
      <c r="A1519" s="156" t="str">
        <f>IFERROR(__xludf.DUMMYFUNCTION("""COMPUTED_VALUE"""),"https://drive.google.com/open?id=1mRZ1bBGDXw_1ZpHz9t0JpCeGOdQujIq5&amp;authuser=jay.agg%40gmail.com&amp;usp=drive_fs")</f>
        <v>https://drive.google.com/open?id=1mRZ1bBGDXw_1ZpHz9t0JpCeGOdQujIq5&amp;authuser=jay.agg%40gmail.com&amp;usp=drive_fs</v>
      </c>
      <c r="B1519" s="73" t="str">
        <f>IFERROR(__xludf.DUMMYFUNCTION("""COMPUTED_VALUE"""),"Medecine")</f>
        <v>Medecine</v>
      </c>
      <c r="C1519" s="73" t="str">
        <f>IFERROR(__xludf.DUMMYFUNCTION("""COMPUTED_VALUE"""),"RPL")</f>
        <v>RPL</v>
      </c>
      <c r="D1519" s="73" t="str">
        <f>IFERROR(__xludf.DUMMYFUNCTION("""COMPUTED_VALUE"""),"56x56x140 mm | 2.2*2.2*5.5 inch")</f>
        <v>56x56x140 mm | 2.2*2.2*5.5 inch</v>
      </c>
      <c r="E1519" s="77">
        <f>IFERROR(__xludf.DUMMYFUNCTION("""COMPUTED_VALUE"""),6.0)</f>
        <v>6</v>
      </c>
      <c r="F1519" s="77">
        <f>IFERROR(__xludf.DUMMYFUNCTION("""COMPUTED_VALUE"""),2029.0)</f>
        <v>2029</v>
      </c>
      <c r="G1519" s="77">
        <f>IFERROR(__xludf.DUMMYFUNCTION("""COMPUTED_VALUE"""),20.0)</f>
        <v>20</v>
      </c>
      <c r="H1519" s="77">
        <f>IFERROR(__xludf.DUMMYFUNCTION("""COMPUTED_VALUE"""),28.0)</f>
        <v>28</v>
      </c>
      <c r="I1519" s="77">
        <f>IFERROR(__xludf.DUMMYFUNCTION("""COMPUTED_VALUE"""),100.0)</f>
        <v>100</v>
      </c>
      <c r="J1519" s="73"/>
      <c r="K1519" s="73"/>
      <c r="L1519" s="73"/>
      <c r="M1519" s="77">
        <f>IFERROR(__xludf.DUMMYFUNCTION("""COMPUTED_VALUE"""),0.1)</f>
        <v>0.1</v>
      </c>
      <c r="N1519" s="77">
        <f>IFERROR(__xludf.DUMMYFUNCTION("""COMPUTED_VALUE"""),1.0)</f>
        <v>1</v>
      </c>
      <c r="O1519" s="49"/>
      <c r="P1519" s="49" t="str">
        <f>IFERROR(__xludf.DUMMYFUNCTION("""COMPUTED_VALUE"""),"Offset")</f>
        <v>Offset</v>
      </c>
      <c r="Q1519" s="49" t="str">
        <f>IFERROR(__xludf.DUMMYFUNCTION("""COMPUTED_VALUE"""),"Packaging")</f>
        <v>Packaging</v>
      </c>
      <c r="R1519" s="49" t="str">
        <f>IFERROR(__xludf.DUMMYFUNCTION("""COMPUTED_VALUE"""),"Medecine")</f>
        <v>Medecine</v>
      </c>
    </row>
    <row r="1520">
      <c r="A1520" s="156" t="str">
        <f>IFERROR(__xludf.DUMMYFUNCTION("""COMPUTED_VALUE"""),"https://drive.google.com/open?id=1mT7aNXSr7hcc6KX1dUDkMq_1hgYasGw3&amp;authuser=jay.agg%40gmail.com&amp;usp=drive_fs")</f>
        <v>https://drive.google.com/open?id=1mT7aNXSr7hcc6KX1dUDkMq_1hgYasGw3&amp;authuser=jay.agg%40gmail.com&amp;usp=drive_fs</v>
      </c>
      <c r="B1520" s="73" t="str">
        <f>IFERROR(__xludf.DUMMYFUNCTION("""COMPUTED_VALUE"""),"Medecine")</f>
        <v>Medecine</v>
      </c>
      <c r="C1520" s="73" t="str">
        <f>IFERROR(__xludf.DUMMYFUNCTION("""COMPUTED_VALUE"""),"RPL")</f>
        <v>RPL</v>
      </c>
      <c r="D1520" s="73" t="str">
        <f>IFERROR(__xludf.DUMMYFUNCTION("""COMPUTED_VALUE"""),"38x38x100 mm | 1.5*1.5*4 inch")</f>
        <v>38x38x100 mm | 1.5*1.5*4 inch</v>
      </c>
      <c r="E1520" s="77">
        <f>IFERROR(__xludf.DUMMYFUNCTION("""COMPUTED_VALUE"""),9.0)</f>
        <v>9</v>
      </c>
      <c r="F1520" s="77">
        <f>IFERROR(__xludf.DUMMYFUNCTION("""COMPUTED_VALUE"""),1926.0)</f>
        <v>1926</v>
      </c>
      <c r="G1520" s="77">
        <f>IFERROR(__xludf.DUMMYFUNCTION("""COMPUTED_VALUE"""),19.5)</f>
        <v>19.5</v>
      </c>
      <c r="H1520" s="77">
        <f>IFERROR(__xludf.DUMMYFUNCTION("""COMPUTED_VALUE"""),23.0)</f>
        <v>23</v>
      </c>
      <c r="I1520" s="77">
        <f>IFERROR(__xludf.DUMMYFUNCTION("""COMPUTED_VALUE"""),100.0)</f>
        <v>100</v>
      </c>
      <c r="J1520" s="73"/>
      <c r="K1520" s="73"/>
      <c r="L1520" s="73"/>
      <c r="M1520" s="77">
        <f>IFERROR(__xludf.DUMMYFUNCTION("""COMPUTED_VALUE"""),0.1)</f>
        <v>0.1</v>
      </c>
      <c r="N1520" s="77">
        <f>IFERROR(__xludf.DUMMYFUNCTION("""COMPUTED_VALUE"""),1.0)</f>
        <v>1</v>
      </c>
      <c r="O1520" s="49"/>
      <c r="P1520" s="49" t="str">
        <f>IFERROR(__xludf.DUMMYFUNCTION("""COMPUTED_VALUE"""),"Offset")</f>
        <v>Offset</v>
      </c>
      <c r="Q1520" s="49" t="str">
        <f>IFERROR(__xludf.DUMMYFUNCTION("""COMPUTED_VALUE"""),"Packaging")</f>
        <v>Packaging</v>
      </c>
      <c r="R1520" s="49" t="str">
        <f>IFERROR(__xludf.DUMMYFUNCTION("""COMPUTED_VALUE"""),"Medecine")</f>
        <v>Medecine</v>
      </c>
    </row>
    <row r="1521">
      <c r="A1521" s="156" t="str">
        <f>IFERROR(__xludf.DUMMYFUNCTION("""COMPUTED_VALUE"""),"https://drive.google.com/open?id=1mW5n4nj5BRA4lfDYWaUGHafSTq5ZpX0b&amp;authuser=jay.agg%40gmail.com&amp;usp=drive_fs")</f>
        <v>https://drive.google.com/open?id=1mW5n4nj5BRA4lfDYWaUGHafSTq5ZpX0b&amp;authuser=jay.agg%40gmail.com&amp;usp=drive_fs</v>
      </c>
      <c r="B1521" s="73" t="str">
        <f>IFERROR(__xludf.DUMMYFUNCTION("""COMPUTED_VALUE"""),"Medecine")</f>
        <v>Medecine</v>
      </c>
      <c r="C1521" s="73" t="str">
        <f>IFERROR(__xludf.DUMMYFUNCTION("""COMPUTED_VALUE"""),"RPL")</f>
        <v>RPL</v>
      </c>
      <c r="D1521" s="73" t="str">
        <f>IFERROR(__xludf.DUMMYFUNCTION("""COMPUTED_VALUE"""),"35x35x90 mm | 1.4*1.4*3.5 inch")</f>
        <v>35x35x90 mm | 1.4*1.4*3.5 inch</v>
      </c>
      <c r="E1521" s="77">
        <f>IFERROR(__xludf.DUMMYFUNCTION("""COMPUTED_VALUE"""),12.0)</f>
        <v>12</v>
      </c>
      <c r="F1521" s="77">
        <f>IFERROR(__xludf.DUMMYFUNCTION("""COMPUTED_VALUE"""),1926.0)</f>
        <v>1926</v>
      </c>
      <c r="G1521" s="77">
        <f>IFERROR(__xludf.DUMMYFUNCTION("""COMPUTED_VALUE"""),19.0)</f>
        <v>19</v>
      </c>
      <c r="H1521" s="77">
        <f>IFERROR(__xludf.DUMMYFUNCTION("""COMPUTED_VALUE"""),26.0)</f>
        <v>26</v>
      </c>
      <c r="I1521" s="77">
        <f>IFERROR(__xludf.DUMMYFUNCTION("""COMPUTED_VALUE"""),100.0)</f>
        <v>100</v>
      </c>
      <c r="J1521" s="73"/>
      <c r="K1521" s="73"/>
      <c r="L1521" s="73"/>
      <c r="M1521" s="77">
        <f>IFERROR(__xludf.DUMMYFUNCTION("""COMPUTED_VALUE"""),0.1)</f>
        <v>0.1</v>
      </c>
      <c r="N1521" s="77">
        <f>IFERROR(__xludf.DUMMYFUNCTION("""COMPUTED_VALUE"""),1.0)</f>
        <v>1</v>
      </c>
      <c r="O1521" s="49"/>
      <c r="P1521" s="49" t="str">
        <f>IFERROR(__xludf.DUMMYFUNCTION("""COMPUTED_VALUE"""),"Offset")</f>
        <v>Offset</v>
      </c>
      <c r="Q1521" s="49" t="str">
        <f>IFERROR(__xludf.DUMMYFUNCTION("""COMPUTED_VALUE"""),"Packaging")</f>
        <v>Packaging</v>
      </c>
      <c r="R1521" s="49" t="str">
        <f>IFERROR(__xludf.DUMMYFUNCTION("""COMPUTED_VALUE"""),"Medecine")</f>
        <v>Medecine</v>
      </c>
    </row>
    <row r="1522">
      <c r="A1522" s="156" t="str">
        <f>IFERROR(__xludf.DUMMYFUNCTION("""COMPUTED_VALUE"""),"https://drive.google.com/open?id=1mdrkhpr7a_RWpjy_xWIXXC68_RVYm3sT&amp;authuser=jay.agg%40gmail.com&amp;usp=drive_fs")</f>
        <v>https://drive.google.com/open?id=1mdrkhpr7a_RWpjy_xWIXXC68_RVYm3sT&amp;authuser=jay.agg%40gmail.com&amp;usp=drive_fs</v>
      </c>
      <c r="B1522" s="73" t="str">
        <f>IFERROR(__xludf.DUMMYFUNCTION("""COMPUTED_VALUE"""),"Medecine")</f>
        <v>Medecine</v>
      </c>
      <c r="C1522" s="73" t="str">
        <f>IFERROR(__xludf.DUMMYFUNCTION("""COMPUTED_VALUE"""),"RPL")</f>
        <v>RPL</v>
      </c>
      <c r="D1522" s="73" t="str">
        <f>IFERROR(__xludf.DUMMYFUNCTION("""COMPUTED_VALUE"""),"85x62x77 mm | 3.3*2.4*3 inch")</f>
        <v>85x62x77 mm | 3.3*2.4*3 inch</v>
      </c>
      <c r="E1522" s="77">
        <f>IFERROR(__xludf.DUMMYFUNCTION("""COMPUTED_VALUE"""),4.0)</f>
        <v>4</v>
      </c>
      <c r="F1522" s="77">
        <f>IFERROR(__xludf.DUMMYFUNCTION("""COMPUTED_VALUE"""),1926.0)</f>
        <v>1926</v>
      </c>
      <c r="G1522" s="77">
        <f>IFERROR(__xludf.DUMMYFUNCTION("""COMPUTED_VALUE"""),18.0)</f>
        <v>18</v>
      </c>
      <c r="H1522" s="77">
        <f>IFERROR(__xludf.DUMMYFUNCTION("""COMPUTED_VALUE"""),25.0)</f>
        <v>25</v>
      </c>
      <c r="I1522" s="77">
        <f>IFERROR(__xludf.DUMMYFUNCTION("""COMPUTED_VALUE"""),100.0)</f>
        <v>100</v>
      </c>
      <c r="J1522" s="73"/>
      <c r="K1522" s="73"/>
      <c r="L1522" s="73"/>
      <c r="M1522" s="77">
        <f>IFERROR(__xludf.DUMMYFUNCTION("""COMPUTED_VALUE"""),0.1)</f>
        <v>0.1</v>
      </c>
      <c r="N1522" s="77">
        <f>IFERROR(__xludf.DUMMYFUNCTION("""COMPUTED_VALUE"""),1.0)</f>
        <v>1</v>
      </c>
      <c r="O1522" s="49"/>
      <c r="P1522" s="49" t="str">
        <f>IFERROR(__xludf.DUMMYFUNCTION("""COMPUTED_VALUE"""),"Offset")</f>
        <v>Offset</v>
      </c>
      <c r="Q1522" s="49" t="str">
        <f>IFERROR(__xludf.DUMMYFUNCTION("""COMPUTED_VALUE"""),"Packaging")</f>
        <v>Packaging</v>
      </c>
      <c r="R1522" s="49" t="str">
        <f>IFERROR(__xludf.DUMMYFUNCTION("""COMPUTED_VALUE"""),"Medecine")</f>
        <v>Medecine</v>
      </c>
    </row>
    <row r="1523">
      <c r="A1523" s="156" t="str">
        <f>IFERROR(__xludf.DUMMYFUNCTION("""COMPUTED_VALUE"""),"https://drive.google.com/open?id=1meZqkv9qLiLCd8l3xNROWK9vVxyDBt0a&amp;authuser=jay.agg%40gmail.com&amp;usp=drive_fs")</f>
        <v>https://drive.google.com/open?id=1meZqkv9qLiLCd8l3xNROWK9vVxyDBt0a&amp;authuser=jay.agg%40gmail.com&amp;usp=drive_fs</v>
      </c>
      <c r="B1523" s="73" t="str">
        <f>IFERROR(__xludf.DUMMYFUNCTION("""COMPUTED_VALUE"""),"Medecine")</f>
        <v>Medecine</v>
      </c>
      <c r="C1523" s="73" t="str">
        <f>IFERROR(__xludf.DUMMYFUNCTION("""COMPUTED_VALUE"""),"RPL")</f>
        <v>RPL</v>
      </c>
      <c r="D1523" s="73" t="str">
        <f>IFERROR(__xludf.DUMMYFUNCTION("""COMPUTED_VALUE"""),"78x20x46 mm | 1.8*0.8*3 inch")</f>
        <v>78x20x46 mm | 1.8*0.8*3 inch</v>
      </c>
      <c r="E1523" s="77">
        <f>IFERROR(__xludf.DUMMYFUNCTION("""COMPUTED_VALUE"""),16.0)</f>
        <v>16</v>
      </c>
      <c r="F1523" s="77">
        <f>IFERROR(__xludf.DUMMYFUNCTION("""COMPUTED_VALUE"""),1926.0)</f>
        <v>1926</v>
      </c>
      <c r="G1523" s="77">
        <f>IFERROR(__xludf.DUMMYFUNCTION("""COMPUTED_VALUE"""),19.5)</f>
        <v>19.5</v>
      </c>
      <c r="H1523" s="77">
        <f>IFERROR(__xludf.DUMMYFUNCTION("""COMPUTED_VALUE"""),23.0)</f>
        <v>23</v>
      </c>
      <c r="I1523" s="77">
        <f>IFERROR(__xludf.DUMMYFUNCTION("""COMPUTED_VALUE"""),100.0)</f>
        <v>100</v>
      </c>
      <c r="J1523" s="73"/>
      <c r="K1523" s="73"/>
      <c r="L1523" s="73"/>
      <c r="M1523" s="77">
        <f>IFERROR(__xludf.DUMMYFUNCTION("""COMPUTED_VALUE"""),0.1)</f>
        <v>0.1</v>
      </c>
      <c r="N1523" s="77">
        <f>IFERROR(__xludf.DUMMYFUNCTION("""COMPUTED_VALUE"""),1.0)</f>
        <v>1</v>
      </c>
      <c r="O1523" s="49"/>
      <c r="P1523" s="49" t="str">
        <f>IFERROR(__xludf.DUMMYFUNCTION("""COMPUTED_VALUE"""),"Offset")</f>
        <v>Offset</v>
      </c>
      <c r="Q1523" s="49" t="str">
        <f>IFERROR(__xludf.DUMMYFUNCTION("""COMPUTED_VALUE"""),"Packaging")</f>
        <v>Packaging</v>
      </c>
      <c r="R1523" s="49" t="str">
        <f>IFERROR(__xludf.DUMMYFUNCTION("""COMPUTED_VALUE"""),"Medecine")</f>
        <v>Medecine</v>
      </c>
    </row>
    <row r="1524">
      <c r="A1524" s="156" t="str">
        <f>IFERROR(__xludf.DUMMYFUNCTION("""COMPUTED_VALUE"""),"https://drive.google.com/open?id=1hbDL1QDeGjE6Oq-2ylkBW_JAf8uepF1e&amp;authuser=jay.agg%40gmail.com&amp;usp=drive_fs")</f>
        <v>https://drive.google.com/open?id=1hbDL1QDeGjE6Oq-2ylkBW_JAf8uepF1e&amp;authuser=jay.agg%40gmail.com&amp;usp=drive_fs</v>
      </c>
      <c r="B1524" s="73" t="str">
        <f>IFERROR(__xludf.DUMMYFUNCTION("""COMPUTED_VALUE"""),"Medecine")</f>
        <v>Medecine</v>
      </c>
      <c r="C1524" s="73" t="str">
        <f>IFERROR(__xludf.DUMMYFUNCTION("""COMPUTED_VALUE"""),"RPL")</f>
        <v>RPL</v>
      </c>
      <c r="D1524" s="73" t="str">
        <f>IFERROR(__xludf.DUMMYFUNCTION("""COMPUTED_VALUE"""),"122x25x74 mm | 4.8*1*2.9 inch")</f>
        <v>122x25x74 mm | 4.8*1*2.9 inch</v>
      </c>
      <c r="E1524" s="77">
        <f>IFERROR(__xludf.DUMMYFUNCTION("""COMPUTED_VALUE"""),6.0)</f>
        <v>6</v>
      </c>
      <c r="F1524" s="77">
        <f>IFERROR(__xludf.DUMMYFUNCTION("""COMPUTED_VALUE"""),1926.0)</f>
        <v>1926</v>
      </c>
      <c r="G1524" s="77">
        <f>IFERROR(__xludf.DUMMYFUNCTION("""COMPUTED_VALUE"""),18.0)</f>
        <v>18</v>
      </c>
      <c r="H1524" s="77">
        <f>IFERROR(__xludf.DUMMYFUNCTION("""COMPUTED_VALUE"""),25.0)</f>
        <v>25</v>
      </c>
      <c r="I1524" s="77">
        <f>IFERROR(__xludf.DUMMYFUNCTION("""COMPUTED_VALUE"""),100.0)</f>
        <v>100</v>
      </c>
      <c r="J1524" s="73"/>
      <c r="K1524" s="73"/>
      <c r="L1524" s="73"/>
      <c r="M1524" s="77">
        <f>IFERROR(__xludf.DUMMYFUNCTION("""COMPUTED_VALUE"""),0.1)</f>
        <v>0.1</v>
      </c>
      <c r="N1524" s="77">
        <f>IFERROR(__xludf.DUMMYFUNCTION("""COMPUTED_VALUE"""),1.0)</f>
        <v>1</v>
      </c>
      <c r="O1524" s="49"/>
      <c r="P1524" s="49" t="str">
        <f>IFERROR(__xludf.DUMMYFUNCTION("""COMPUTED_VALUE"""),"Offset")</f>
        <v>Offset</v>
      </c>
      <c r="Q1524" s="49" t="str">
        <f>IFERROR(__xludf.DUMMYFUNCTION("""COMPUTED_VALUE"""),"Packaging")</f>
        <v>Packaging</v>
      </c>
      <c r="R1524" s="49" t="str">
        <f>IFERROR(__xludf.DUMMYFUNCTION("""COMPUTED_VALUE"""),"Medecine")</f>
        <v>Medecine</v>
      </c>
    </row>
    <row r="1525">
      <c r="A1525" s="156" t="str">
        <f>IFERROR(__xludf.DUMMYFUNCTION("""COMPUTED_VALUE"""),"https://drive.google.com/open?id=1hmC2ImPW8ekTdgHQjfK7KXXaFyru2HpY&amp;authuser=jay.agg%40gmail.com&amp;usp=drive_fs")</f>
        <v>https://drive.google.com/open?id=1hmC2ImPW8ekTdgHQjfK7KXXaFyru2HpY&amp;authuser=jay.agg%40gmail.com&amp;usp=drive_fs</v>
      </c>
      <c r="B1525" s="73" t="str">
        <f>IFERROR(__xludf.DUMMYFUNCTION("""COMPUTED_VALUE"""),"Medecine")</f>
        <v>Medecine</v>
      </c>
      <c r="C1525" s="73" t="str">
        <f>IFERROR(__xludf.DUMMYFUNCTION("""COMPUTED_VALUE"""),"RPL")</f>
        <v>RPL</v>
      </c>
      <c r="D1525" s="73" t="str">
        <f>IFERROR(__xludf.DUMMYFUNCTION("""COMPUTED_VALUE"""),"160x78x128 mm | 6.3*3*5 inch")</f>
        <v>160x78x128 mm | 6.3*3*5 inch</v>
      </c>
      <c r="E1525" s="77">
        <f>IFERROR(__xludf.DUMMYFUNCTION("""COMPUTED_VALUE"""),2.0)</f>
        <v>2</v>
      </c>
      <c r="F1525" s="77">
        <f>IFERROR(__xludf.DUMMYFUNCTION("""COMPUTED_VALUE"""),1926.0)</f>
        <v>1926</v>
      </c>
      <c r="G1525" s="77">
        <f>IFERROR(__xludf.DUMMYFUNCTION("""COMPUTED_VALUE"""),19.5)</f>
        <v>19.5</v>
      </c>
      <c r="H1525" s="77">
        <f>IFERROR(__xludf.DUMMYFUNCTION("""COMPUTED_VALUE"""),23.0)</f>
        <v>23</v>
      </c>
      <c r="I1525" s="77">
        <f>IFERROR(__xludf.DUMMYFUNCTION("""COMPUTED_VALUE"""),100.0)</f>
        <v>100</v>
      </c>
      <c r="J1525" s="73"/>
      <c r="K1525" s="73"/>
      <c r="L1525" s="73"/>
      <c r="M1525" s="77">
        <f>IFERROR(__xludf.DUMMYFUNCTION("""COMPUTED_VALUE"""),0.1)</f>
        <v>0.1</v>
      </c>
      <c r="N1525" s="77">
        <f>IFERROR(__xludf.DUMMYFUNCTION("""COMPUTED_VALUE"""),1.0)</f>
        <v>1</v>
      </c>
      <c r="O1525" s="49"/>
      <c r="P1525" s="49" t="str">
        <f>IFERROR(__xludf.DUMMYFUNCTION("""COMPUTED_VALUE"""),"Offset")</f>
        <v>Offset</v>
      </c>
      <c r="Q1525" s="49" t="str">
        <f>IFERROR(__xludf.DUMMYFUNCTION("""COMPUTED_VALUE"""),"Packaging")</f>
        <v>Packaging</v>
      </c>
      <c r="R1525" s="49" t="str">
        <f>IFERROR(__xludf.DUMMYFUNCTION("""COMPUTED_VALUE"""),"Medecine")</f>
        <v>Medecine</v>
      </c>
    </row>
    <row r="1526">
      <c r="A1526" s="156" t="str">
        <f>IFERROR(__xludf.DUMMYFUNCTION("""COMPUTED_VALUE"""),"https://drive.google.com/open?id=1hnBUQHNCQpKbt3IdVorJuGiBP6TMcAW3&amp;authuser=jay.agg%40gmail.com&amp;usp=drive_fs")</f>
        <v>https://drive.google.com/open?id=1hnBUQHNCQpKbt3IdVorJuGiBP6TMcAW3&amp;authuser=jay.agg%40gmail.com&amp;usp=drive_fs</v>
      </c>
      <c r="B1526" s="73" t="str">
        <f>IFERROR(__xludf.DUMMYFUNCTION("""COMPUTED_VALUE"""),"Medecine")</f>
        <v>Medecine</v>
      </c>
      <c r="C1526" s="73" t="str">
        <f>IFERROR(__xludf.DUMMYFUNCTION("""COMPUTED_VALUE"""),"RPL")</f>
        <v>RPL</v>
      </c>
      <c r="D1526" s="73" t="str">
        <f>IFERROR(__xludf.DUMMYFUNCTION("""COMPUTED_VALUE"""),"150x72x52 mm | 5.9*2.8*2 inch")</f>
        <v>150x72x52 mm | 5.9*2.8*2 inch</v>
      </c>
      <c r="E1526" s="77">
        <f>IFERROR(__xludf.DUMMYFUNCTION("""COMPUTED_VALUE"""),3.0)</f>
        <v>3</v>
      </c>
      <c r="F1526" s="77">
        <f>IFERROR(__xludf.DUMMYFUNCTION("""COMPUTED_VALUE"""),1926.0)</f>
        <v>1926</v>
      </c>
      <c r="G1526" s="77">
        <f>IFERROR(__xludf.DUMMYFUNCTION("""COMPUTED_VALUE"""),18.0)</f>
        <v>18</v>
      </c>
      <c r="H1526" s="77">
        <f>IFERROR(__xludf.DUMMYFUNCTION("""COMPUTED_VALUE"""),21.0)</f>
        <v>21</v>
      </c>
      <c r="I1526" s="77">
        <f>IFERROR(__xludf.DUMMYFUNCTION("""COMPUTED_VALUE"""),100.0)</f>
        <v>100</v>
      </c>
      <c r="J1526" s="73"/>
      <c r="K1526" s="73"/>
      <c r="L1526" s="73"/>
      <c r="M1526" s="77">
        <f>IFERROR(__xludf.DUMMYFUNCTION("""COMPUTED_VALUE"""),0.1)</f>
        <v>0.1</v>
      </c>
      <c r="N1526" s="77">
        <f>IFERROR(__xludf.DUMMYFUNCTION("""COMPUTED_VALUE"""),1.0)</f>
        <v>1</v>
      </c>
      <c r="O1526" s="49"/>
      <c r="P1526" s="49" t="str">
        <f>IFERROR(__xludf.DUMMYFUNCTION("""COMPUTED_VALUE"""),"Offset")</f>
        <v>Offset</v>
      </c>
      <c r="Q1526" s="49" t="str">
        <f>IFERROR(__xludf.DUMMYFUNCTION("""COMPUTED_VALUE"""),"Packaging")</f>
        <v>Packaging</v>
      </c>
      <c r="R1526" s="49" t="str">
        <f>IFERROR(__xludf.DUMMYFUNCTION("""COMPUTED_VALUE"""),"Medecine")</f>
        <v>Medecine</v>
      </c>
    </row>
    <row r="1527">
      <c r="A1527" s="156" t="str">
        <f>IFERROR(__xludf.DUMMYFUNCTION("""COMPUTED_VALUE"""),"https://drive.google.com/open?id=1hqgRulwvwfe1w7nTvAktVqNA2dV_73wD&amp;authuser=jay.agg%40gmail.com&amp;usp=drive_fs")</f>
        <v>https://drive.google.com/open?id=1hqgRulwvwfe1w7nTvAktVqNA2dV_73wD&amp;authuser=jay.agg%40gmail.com&amp;usp=drive_fs</v>
      </c>
      <c r="B1527" s="73" t="str">
        <f>IFERROR(__xludf.DUMMYFUNCTION("""COMPUTED_VALUE"""),"Medecine")</f>
        <v>Medecine</v>
      </c>
      <c r="C1527" s="73" t="str">
        <f>IFERROR(__xludf.DUMMYFUNCTION("""COMPUTED_VALUE"""),"RPL")</f>
        <v>RPL</v>
      </c>
      <c r="D1527" s="73" t="str">
        <f>IFERROR(__xludf.DUMMYFUNCTION("""COMPUTED_VALUE"""),"72x18x60 mm | 2.8*0.7*2.4 inch")</f>
        <v>72x18x60 mm | 2.8*0.7*2.4 inch</v>
      </c>
      <c r="E1527" s="77">
        <f>IFERROR(__xludf.DUMMYFUNCTION("""COMPUTED_VALUE"""),15.0)</f>
        <v>15</v>
      </c>
      <c r="F1527" s="77">
        <f>IFERROR(__xludf.DUMMYFUNCTION("""COMPUTED_VALUE"""),1926.0)</f>
        <v>1926</v>
      </c>
      <c r="G1527" s="77">
        <f>IFERROR(__xludf.DUMMYFUNCTION("""COMPUTED_VALUE"""),19.5)</f>
        <v>19.5</v>
      </c>
      <c r="H1527" s="77">
        <f>IFERROR(__xludf.DUMMYFUNCTION("""COMPUTED_VALUE"""),23.0)</f>
        <v>23</v>
      </c>
      <c r="I1527" s="77">
        <f>IFERROR(__xludf.DUMMYFUNCTION("""COMPUTED_VALUE"""),100.0)</f>
        <v>100</v>
      </c>
      <c r="J1527" s="73"/>
      <c r="K1527" s="73"/>
      <c r="L1527" s="73"/>
      <c r="M1527" s="77">
        <f>IFERROR(__xludf.DUMMYFUNCTION("""COMPUTED_VALUE"""),0.1)</f>
        <v>0.1</v>
      </c>
      <c r="N1527" s="77">
        <f>IFERROR(__xludf.DUMMYFUNCTION("""COMPUTED_VALUE"""),1.0)</f>
        <v>1</v>
      </c>
      <c r="O1527" s="49"/>
      <c r="P1527" s="49" t="str">
        <f>IFERROR(__xludf.DUMMYFUNCTION("""COMPUTED_VALUE"""),"Offset")</f>
        <v>Offset</v>
      </c>
      <c r="Q1527" s="49" t="str">
        <f>IFERROR(__xludf.DUMMYFUNCTION("""COMPUTED_VALUE"""),"Packaging")</f>
        <v>Packaging</v>
      </c>
      <c r="R1527" s="49" t="str">
        <f>IFERROR(__xludf.DUMMYFUNCTION("""COMPUTED_VALUE"""),"Medecine")</f>
        <v>Medecine</v>
      </c>
    </row>
    <row r="1528">
      <c r="A1528" s="156" t="str">
        <f>IFERROR(__xludf.DUMMYFUNCTION("""COMPUTED_VALUE"""),"https://drive.google.com/open?id=1iBtMK6LfMSH9zRKY-q6FLhPljHzsYIbm&amp;authuser=jay.agg%40gmail.com&amp;usp=drive_fs")</f>
        <v>https://drive.google.com/open?id=1iBtMK6LfMSH9zRKY-q6FLhPljHzsYIbm&amp;authuser=jay.agg%40gmail.com&amp;usp=drive_fs</v>
      </c>
      <c r="B1528" s="73" t="str">
        <f>IFERROR(__xludf.DUMMYFUNCTION("""COMPUTED_VALUE"""),"Medecine")</f>
        <v>Medecine</v>
      </c>
      <c r="C1528" s="73" t="str">
        <f>IFERROR(__xludf.DUMMYFUNCTION("""COMPUTED_VALUE"""),"RPL")</f>
        <v>RPL</v>
      </c>
      <c r="D1528" s="73" t="str">
        <f>IFERROR(__xludf.DUMMYFUNCTION("""COMPUTED_VALUE"""),"88x38x48 mm | 1.9*1.5*3.5 inch")</f>
        <v>88x38x48 mm | 1.9*1.5*3.5 inch</v>
      </c>
      <c r="E1528" s="77">
        <f>IFERROR(__xludf.DUMMYFUNCTION("""COMPUTED_VALUE"""),9.0)</f>
        <v>9</v>
      </c>
      <c r="F1528" s="77">
        <f>IFERROR(__xludf.DUMMYFUNCTION("""COMPUTED_VALUE"""),1926.0)</f>
        <v>1926</v>
      </c>
      <c r="G1528" s="77">
        <f>IFERROR(__xludf.DUMMYFUNCTION("""COMPUTED_VALUE"""),19.5)</f>
        <v>19.5</v>
      </c>
      <c r="H1528" s="77">
        <f>IFERROR(__xludf.DUMMYFUNCTION("""COMPUTED_VALUE"""),23.0)</f>
        <v>23</v>
      </c>
      <c r="I1528" s="77">
        <f>IFERROR(__xludf.DUMMYFUNCTION("""COMPUTED_VALUE"""),100.0)</f>
        <v>100</v>
      </c>
      <c r="J1528" s="73"/>
      <c r="K1528" s="73"/>
      <c r="L1528" s="73"/>
      <c r="M1528" s="77">
        <f>IFERROR(__xludf.DUMMYFUNCTION("""COMPUTED_VALUE"""),0.1)</f>
        <v>0.1</v>
      </c>
      <c r="N1528" s="77">
        <f>IFERROR(__xludf.DUMMYFUNCTION("""COMPUTED_VALUE"""),1.0)</f>
        <v>1</v>
      </c>
      <c r="O1528" s="49"/>
      <c r="P1528" s="49" t="str">
        <f>IFERROR(__xludf.DUMMYFUNCTION("""COMPUTED_VALUE"""),"Offset")</f>
        <v>Offset</v>
      </c>
      <c r="Q1528" s="49" t="str">
        <f>IFERROR(__xludf.DUMMYFUNCTION("""COMPUTED_VALUE"""),"Packaging")</f>
        <v>Packaging</v>
      </c>
      <c r="R1528" s="49" t="str">
        <f>IFERROR(__xludf.DUMMYFUNCTION("""COMPUTED_VALUE"""),"Medecine")</f>
        <v>Medecine</v>
      </c>
    </row>
    <row r="1529">
      <c r="A1529" s="156" t="str">
        <f>IFERROR(__xludf.DUMMYFUNCTION("""COMPUTED_VALUE"""),"https://drive.google.com/open?id=1iDRicH9H-MEHnI4WFzRO2aPdIGQbATES&amp;authuser=jay.agg%40gmail.com&amp;usp=drive_fs")</f>
        <v>https://drive.google.com/open?id=1iDRicH9H-MEHnI4WFzRO2aPdIGQbATES&amp;authuser=jay.agg%40gmail.com&amp;usp=drive_fs</v>
      </c>
      <c r="B1529" s="73" t="str">
        <f>IFERROR(__xludf.DUMMYFUNCTION("""COMPUTED_VALUE"""),"Medecine")</f>
        <v>Medecine</v>
      </c>
      <c r="C1529" s="73" t="str">
        <f>IFERROR(__xludf.DUMMYFUNCTION("""COMPUTED_VALUE"""),"RPL")</f>
        <v>RPL</v>
      </c>
      <c r="D1529" s="73" t="str">
        <f>IFERROR(__xludf.DUMMYFUNCTION("""COMPUTED_VALUE"""),"105x18x48 mm | 1.9*0.7*4.1 inch")</f>
        <v>105x18x48 mm | 1.9*0.7*4.1 inch</v>
      </c>
      <c r="E1529" s="77">
        <f>IFERROR(__xludf.DUMMYFUNCTION("""COMPUTED_VALUE"""),12.0)</f>
        <v>12</v>
      </c>
      <c r="F1529" s="77">
        <f>IFERROR(__xludf.DUMMYFUNCTION("""COMPUTED_VALUE"""),1926.0)</f>
        <v>1926</v>
      </c>
      <c r="G1529" s="77">
        <f>IFERROR(__xludf.DUMMYFUNCTION("""COMPUTED_VALUE"""),18.0)</f>
        <v>18</v>
      </c>
      <c r="H1529" s="77">
        <f>IFERROR(__xludf.DUMMYFUNCTION("""COMPUTED_VALUE"""),23.0)</f>
        <v>23</v>
      </c>
      <c r="I1529" s="77">
        <f>IFERROR(__xludf.DUMMYFUNCTION("""COMPUTED_VALUE"""),100.0)</f>
        <v>100</v>
      </c>
      <c r="J1529" s="73"/>
      <c r="K1529" s="73"/>
      <c r="L1529" s="73"/>
      <c r="M1529" s="77">
        <f>IFERROR(__xludf.DUMMYFUNCTION("""COMPUTED_VALUE"""),0.1)</f>
        <v>0.1</v>
      </c>
      <c r="N1529" s="77">
        <f>IFERROR(__xludf.DUMMYFUNCTION("""COMPUTED_VALUE"""),1.0)</f>
        <v>1</v>
      </c>
      <c r="O1529" s="49"/>
      <c r="P1529" s="49" t="str">
        <f>IFERROR(__xludf.DUMMYFUNCTION("""COMPUTED_VALUE"""),"Offset")</f>
        <v>Offset</v>
      </c>
      <c r="Q1529" s="49" t="str">
        <f>IFERROR(__xludf.DUMMYFUNCTION("""COMPUTED_VALUE"""),"Packaging")</f>
        <v>Packaging</v>
      </c>
      <c r="R1529" s="49" t="str">
        <f>IFERROR(__xludf.DUMMYFUNCTION("""COMPUTED_VALUE"""),"Medecine")</f>
        <v>Medecine</v>
      </c>
    </row>
    <row r="1530">
      <c r="A1530" s="156" t="str">
        <f>IFERROR(__xludf.DUMMYFUNCTION("""COMPUTED_VALUE"""),"https://drive.google.com/open?id=1mr11bZHkCN6yMieeE0b8UTHUUezeNMpV&amp;authuser=jay.agg%40gmail.com&amp;usp=drive_fs")</f>
        <v>https://drive.google.com/open?id=1mr11bZHkCN6yMieeE0b8UTHUUezeNMpV&amp;authuser=jay.agg%40gmail.com&amp;usp=drive_fs</v>
      </c>
      <c r="B1530" s="73" t="str">
        <f>IFERROR(__xludf.DUMMYFUNCTION("""COMPUTED_VALUE"""),"Medecine")</f>
        <v>Medecine</v>
      </c>
      <c r="C1530" s="73" t="str">
        <f>IFERROR(__xludf.DUMMYFUNCTION("""COMPUTED_VALUE"""),"Aurthot")</f>
        <v>Aurthot</v>
      </c>
      <c r="D1530" s="73" t="str">
        <f>IFERROR(__xludf.DUMMYFUNCTION("""COMPUTED_VALUE"""),"165*51*178 mm | 159*51*242 mm")</f>
        <v>165*51*178 mm | 159*51*242 mm</v>
      </c>
      <c r="E1530" s="77">
        <f>IFERROR(__xludf.DUMMYFUNCTION("""COMPUTED_VALUE"""),1.0)</f>
        <v>1</v>
      </c>
      <c r="F1530" s="77">
        <f>IFERROR(__xludf.DUMMYFUNCTION("""COMPUTED_VALUE"""),2029.0)</f>
        <v>2029</v>
      </c>
      <c r="G1530" s="77">
        <f>IFERROR(__xludf.DUMMYFUNCTION("""COMPUTED_VALUE"""),20.0)</f>
        <v>20</v>
      </c>
      <c r="H1530" s="77">
        <f>IFERROR(__xludf.DUMMYFUNCTION("""COMPUTED_VALUE"""),28.0)</f>
        <v>28</v>
      </c>
      <c r="I1530" s="77">
        <f>IFERROR(__xludf.DUMMYFUNCTION("""COMPUTED_VALUE"""),100.0)</f>
        <v>100</v>
      </c>
      <c r="J1530" s="73"/>
      <c r="K1530" s="73"/>
      <c r="L1530" s="73"/>
      <c r="M1530" s="77">
        <f>IFERROR(__xludf.DUMMYFUNCTION("""COMPUTED_VALUE"""),0.16)</f>
        <v>0.16</v>
      </c>
      <c r="N1530" s="77">
        <f>IFERROR(__xludf.DUMMYFUNCTION("""COMPUTED_VALUE"""),1.0)</f>
        <v>1</v>
      </c>
      <c r="O1530" s="49"/>
      <c r="P1530" s="49" t="str">
        <f>IFERROR(__xludf.DUMMYFUNCTION("""COMPUTED_VALUE"""),"Offset")</f>
        <v>Offset</v>
      </c>
      <c r="Q1530" s="49" t="str">
        <f>IFERROR(__xludf.DUMMYFUNCTION("""COMPUTED_VALUE"""),"Packaging")</f>
        <v>Packaging</v>
      </c>
      <c r="R1530" s="49" t="str">
        <f>IFERROR(__xludf.DUMMYFUNCTION("""COMPUTED_VALUE"""),"Medecine")</f>
        <v>Medecine</v>
      </c>
    </row>
    <row r="1531">
      <c r="A1531" s="156" t="str">
        <f>IFERROR(__xludf.DUMMYFUNCTION("""COMPUTED_VALUE"""),"https://drive.google.com/open?id=1-ZUW1EHUjpv9YCvr_Z1d-slsQxqNTBPg&amp;authuser=jay.agg%40gmail.com&amp;usp=drive_fs")</f>
        <v>https://drive.google.com/open?id=1-ZUW1EHUjpv9YCvr_Z1d-slsQxqNTBPg&amp;authuser=jay.agg%40gmail.com&amp;usp=drive_fs</v>
      </c>
      <c r="B1531" s="73" t="str">
        <f>IFERROR(__xludf.DUMMYFUNCTION("""COMPUTED_VALUE"""),"Medecine")</f>
        <v>Medecine</v>
      </c>
      <c r="C1531" s="73" t="str">
        <f>IFERROR(__xludf.DUMMYFUNCTION("""COMPUTED_VALUE"""),"Misc")</f>
        <v>Misc</v>
      </c>
      <c r="D1531" s="73" t="str">
        <f>IFERROR(__xludf.DUMMYFUNCTION("""COMPUTED_VALUE"""),"130*55*115 mm | 4.5*2.1*5.1 inch")</f>
        <v>130*55*115 mm | 4.5*2.1*5.1 inch</v>
      </c>
      <c r="E1531" s="77">
        <f>IFERROR(__xludf.DUMMYFUNCTION("""COMPUTED_VALUE"""),2.0)</f>
        <v>2</v>
      </c>
      <c r="F1531" s="77">
        <f>IFERROR(__xludf.DUMMYFUNCTION("""COMPUTED_VALUE"""),1926.0)</f>
        <v>1926</v>
      </c>
      <c r="G1531" s="77">
        <f>IFERROR(__xludf.DUMMYFUNCTION("""COMPUTED_VALUE"""),15.75)</f>
        <v>15.75</v>
      </c>
      <c r="H1531" s="77">
        <f>IFERROR(__xludf.DUMMYFUNCTION("""COMPUTED_VALUE"""),20.75)</f>
        <v>20.75</v>
      </c>
      <c r="I1531" s="77">
        <f>IFERROR(__xludf.DUMMYFUNCTION("""COMPUTED_VALUE"""),100.0)</f>
        <v>100</v>
      </c>
      <c r="J1531" s="73"/>
      <c r="K1531" s="73"/>
      <c r="L1531" s="73"/>
      <c r="M1531" s="77">
        <f>IFERROR(__xludf.DUMMYFUNCTION("""COMPUTED_VALUE"""),0.1)</f>
        <v>0.1</v>
      </c>
      <c r="N1531" s="77">
        <f>IFERROR(__xludf.DUMMYFUNCTION("""COMPUTED_VALUE"""),1.0)</f>
        <v>1</v>
      </c>
      <c r="O1531" s="49"/>
      <c r="P1531" s="49" t="str">
        <f>IFERROR(__xludf.DUMMYFUNCTION("""COMPUTED_VALUE"""),"Offset")</f>
        <v>Offset</v>
      </c>
      <c r="Q1531" s="49" t="str">
        <f>IFERROR(__xludf.DUMMYFUNCTION("""COMPUTED_VALUE"""),"Packaging")</f>
        <v>Packaging</v>
      </c>
      <c r="R1531" s="49" t="str">
        <f>IFERROR(__xludf.DUMMYFUNCTION("""COMPUTED_VALUE"""),"Medecine")</f>
        <v>Medecine</v>
      </c>
    </row>
    <row r="1532">
      <c r="A1532" s="156" t="str">
        <f>IFERROR(__xludf.DUMMYFUNCTION("""COMPUTED_VALUE"""),"https://drive.google.com/open?id=18KNSeIrE4U-Ht5jzKjZZf_1Lr36JXNRu&amp;authuser=jay.agg%40gmail.com&amp;usp=drive_fs")</f>
        <v>https://drive.google.com/open?id=18KNSeIrE4U-Ht5jzKjZZf_1Lr36JXNRu&amp;authuser=jay.agg%40gmail.com&amp;usp=drive_fs</v>
      </c>
      <c r="B1532" s="73" t="str">
        <f>IFERROR(__xludf.DUMMYFUNCTION("""COMPUTED_VALUE"""),"Medecine")</f>
        <v>Medecine</v>
      </c>
      <c r="C1532" s="73" t="str">
        <f>IFERROR(__xludf.DUMMYFUNCTION("""COMPUTED_VALUE"""),"Misc")</f>
        <v>Misc</v>
      </c>
      <c r="D1532" s="73" t="str">
        <f>IFERROR(__xludf.DUMMYFUNCTION("""COMPUTED_VALUE"""),"35*35*95 mm | 1.4*1.4*3.8 inch LB")</f>
        <v>35*35*95 mm | 1.4*1.4*3.8 inch LB</v>
      </c>
      <c r="E1532" s="77">
        <f>IFERROR(__xludf.DUMMYFUNCTION("""COMPUTED_VALUE"""),12.0)</f>
        <v>12</v>
      </c>
      <c r="F1532" s="77">
        <f>IFERROR(__xludf.DUMMYFUNCTION("""COMPUTED_VALUE"""),1926.0)</f>
        <v>1926</v>
      </c>
      <c r="G1532" s="77">
        <f>IFERROR(__xludf.DUMMYFUNCTION("""COMPUTED_VALUE"""),18.0)</f>
        <v>18</v>
      </c>
      <c r="H1532" s="77">
        <f>IFERROR(__xludf.DUMMYFUNCTION("""COMPUTED_VALUE"""),25.0)</f>
        <v>25</v>
      </c>
      <c r="I1532" s="77">
        <f>IFERROR(__xludf.DUMMYFUNCTION("""COMPUTED_VALUE"""),100.0)</f>
        <v>100</v>
      </c>
      <c r="J1532" s="73"/>
      <c r="K1532" s="73"/>
      <c r="L1532" s="73"/>
      <c r="M1532" s="77">
        <f>IFERROR(__xludf.DUMMYFUNCTION("""COMPUTED_VALUE"""),0.18)</f>
        <v>0.18</v>
      </c>
      <c r="N1532" s="77">
        <f>IFERROR(__xludf.DUMMYFUNCTION("""COMPUTED_VALUE"""),1.0)</f>
        <v>1</v>
      </c>
      <c r="O1532" s="49"/>
      <c r="P1532" s="49" t="str">
        <f>IFERROR(__xludf.DUMMYFUNCTION("""COMPUTED_VALUE"""),"Offset")</f>
        <v>Offset</v>
      </c>
      <c r="Q1532" s="49" t="str">
        <f>IFERROR(__xludf.DUMMYFUNCTION("""COMPUTED_VALUE"""),"Packaging")</f>
        <v>Packaging</v>
      </c>
      <c r="R1532" s="49" t="str">
        <f>IFERROR(__xludf.DUMMYFUNCTION("""COMPUTED_VALUE"""),"Medecine")</f>
        <v>Medecine</v>
      </c>
    </row>
    <row r="1533">
      <c r="A1533" s="156" t="str">
        <f>IFERROR(__xludf.DUMMYFUNCTION("""COMPUTED_VALUE"""),"https://drive.google.com/open?id=18NbXyvi-pgw01ClkV_7iUmOEw600nhpb&amp;authuser=jay.agg%40gmail.com&amp;usp=drive_fs")</f>
        <v>https://drive.google.com/open?id=18NbXyvi-pgw01ClkV_7iUmOEw600nhpb&amp;authuser=jay.agg%40gmail.com&amp;usp=drive_fs</v>
      </c>
      <c r="B1533" s="73" t="str">
        <f>IFERROR(__xludf.DUMMYFUNCTION("""COMPUTED_VALUE"""),"Medecine")</f>
        <v>Medecine</v>
      </c>
      <c r="C1533" s="73" t="str">
        <f>IFERROR(__xludf.DUMMYFUNCTION("""COMPUTED_VALUE"""),"Misc")</f>
        <v>Misc</v>
      </c>
      <c r="D1533" s="73" t="str">
        <f>IFERROR(__xludf.DUMMYFUNCTION("""COMPUTED_VALUE"""),"Outer 12 Pcs 35*35*95 mm | 1.4*1.4*3.8 inch LB")</f>
        <v>Outer 12 Pcs 35*35*95 mm | 1.4*1.4*3.8 inch LB</v>
      </c>
      <c r="E1533" s="77">
        <f>IFERROR(__xludf.DUMMYFUNCTION("""COMPUTED_VALUE"""),2.0)</f>
        <v>2</v>
      </c>
      <c r="F1533" s="77">
        <f>IFERROR(__xludf.DUMMYFUNCTION("""COMPUTED_VALUE"""),1926.0)</f>
        <v>1926</v>
      </c>
      <c r="G1533" s="77">
        <f>IFERROR(__xludf.DUMMYFUNCTION("""COMPUTED_VALUE"""),19.5)</f>
        <v>19.5</v>
      </c>
      <c r="H1533" s="77">
        <f>IFERROR(__xludf.DUMMYFUNCTION("""COMPUTED_VALUE"""),23.0)</f>
        <v>23</v>
      </c>
      <c r="I1533" s="77">
        <f>IFERROR(__xludf.DUMMYFUNCTION("""COMPUTED_VALUE"""),100.0)</f>
        <v>100</v>
      </c>
      <c r="J1533" s="73"/>
      <c r="K1533" s="73"/>
      <c r="L1533" s="73"/>
      <c r="M1533" s="77">
        <f>IFERROR(__xludf.DUMMYFUNCTION("""COMPUTED_VALUE"""),0.18)</f>
        <v>0.18</v>
      </c>
      <c r="N1533" s="77">
        <f>IFERROR(__xludf.DUMMYFUNCTION("""COMPUTED_VALUE"""),1.0)</f>
        <v>1</v>
      </c>
      <c r="O1533" s="49"/>
      <c r="P1533" s="49" t="str">
        <f>IFERROR(__xludf.DUMMYFUNCTION("""COMPUTED_VALUE"""),"Offset")</f>
        <v>Offset</v>
      </c>
      <c r="Q1533" s="49" t="str">
        <f>IFERROR(__xludf.DUMMYFUNCTION("""COMPUTED_VALUE"""),"Packaging")</f>
        <v>Packaging</v>
      </c>
      <c r="R1533" s="49" t="str">
        <f>IFERROR(__xludf.DUMMYFUNCTION("""COMPUTED_VALUE"""),"Medecine")</f>
        <v>Medecine</v>
      </c>
    </row>
    <row r="1534">
      <c r="A1534" s="156" t="str">
        <f>IFERROR(__xludf.DUMMYFUNCTION("""COMPUTED_VALUE"""),"https://drive.google.com/open?id=1BPU4HLtR9qg3a1yMh1_r8vx_i9TTaqfE&amp;authuser=jay.agg%40gmail.com&amp;usp=drive_fs")</f>
        <v>https://drive.google.com/open?id=1BPU4HLtR9qg3a1yMh1_r8vx_i9TTaqfE&amp;authuser=jay.agg%40gmail.com&amp;usp=drive_fs</v>
      </c>
      <c r="B1534" s="73" t="str">
        <f>IFERROR(__xludf.DUMMYFUNCTION("""COMPUTED_VALUE"""),"Medecine")</f>
        <v>Medecine</v>
      </c>
      <c r="C1534" s="73" t="str">
        <f>IFERROR(__xludf.DUMMYFUNCTION("""COMPUTED_VALUE"""),"Misc")</f>
        <v>Misc</v>
      </c>
      <c r="D1534" s="73" t="str">
        <f>IFERROR(__xludf.DUMMYFUNCTION("""COMPUTED_VALUE"""),"55*55*115 mm | 2.16*2.16*4.5 inch")</f>
        <v>55*55*115 mm | 2.16*2.16*4.5 inch</v>
      </c>
      <c r="E1534" s="77">
        <f>IFERROR(__xludf.DUMMYFUNCTION("""COMPUTED_VALUE"""),4.0)</f>
        <v>4</v>
      </c>
      <c r="F1534" s="77">
        <f>IFERROR(__xludf.DUMMYFUNCTION("""COMPUTED_VALUE"""),1926.0)</f>
        <v>1926</v>
      </c>
      <c r="G1534" s="77">
        <f>IFERROR(__xludf.DUMMYFUNCTION("""COMPUTED_VALUE"""),15.75)</f>
        <v>15.75</v>
      </c>
      <c r="H1534" s="77">
        <f>IFERROR(__xludf.DUMMYFUNCTION("""COMPUTED_VALUE"""),20.75)</f>
        <v>20.75</v>
      </c>
      <c r="I1534" s="77">
        <f>IFERROR(__xludf.DUMMYFUNCTION("""COMPUTED_VALUE"""),100.0)</f>
        <v>100</v>
      </c>
      <c r="J1534" s="73"/>
      <c r="K1534" s="73"/>
      <c r="L1534" s="73"/>
      <c r="M1534" s="77">
        <f>IFERROR(__xludf.DUMMYFUNCTION("""COMPUTED_VALUE"""),0.1)</f>
        <v>0.1</v>
      </c>
      <c r="N1534" s="77">
        <f>IFERROR(__xludf.DUMMYFUNCTION("""COMPUTED_VALUE"""),1.0)</f>
        <v>1</v>
      </c>
      <c r="O1534" s="49"/>
      <c r="P1534" s="49" t="str">
        <f>IFERROR(__xludf.DUMMYFUNCTION("""COMPUTED_VALUE"""),"Offset")</f>
        <v>Offset</v>
      </c>
      <c r="Q1534" s="49" t="str">
        <f>IFERROR(__xludf.DUMMYFUNCTION("""COMPUTED_VALUE"""),"Packaging")</f>
        <v>Packaging</v>
      </c>
      <c r="R1534" s="49" t="str">
        <f>IFERROR(__xludf.DUMMYFUNCTION("""COMPUTED_VALUE"""),"Medecine")</f>
        <v>Medecine</v>
      </c>
    </row>
    <row r="1535">
      <c r="A1535" s="156" t="str">
        <f>IFERROR(__xludf.DUMMYFUNCTION("""COMPUTED_VALUE"""),"https://drive.google.com/open?id=1BVuEkrzG5Z9OimOTXLUGVYhFMD9I4znO&amp;authuser=jay.agg%40gmail.com&amp;usp=drive_fs")</f>
        <v>https://drive.google.com/open?id=1BVuEkrzG5Z9OimOTXLUGVYhFMD9I4znO&amp;authuser=jay.agg%40gmail.com&amp;usp=drive_fs</v>
      </c>
      <c r="B1535" s="73" t="str">
        <f>IFERROR(__xludf.DUMMYFUNCTION("""COMPUTED_VALUE"""),"Medecine")</f>
        <v>Medecine</v>
      </c>
      <c r="C1535" s="73" t="str">
        <f>IFERROR(__xludf.DUMMYFUNCTION("""COMPUTED_VALUE"""),"Misc")</f>
        <v>Misc</v>
      </c>
      <c r="D1535" s="73" t="str">
        <f>IFERROR(__xludf.DUMMYFUNCTION("""COMPUTED_VALUE"""),"80*40*150 mm | 3.15*1.6*5.9 inch")</f>
        <v>80*40*150 mm | 3.15*1.6*5.9 inch</v>
      </c>
      <c r="E1535" s="77">
        <f>IFERROR(__xludf.DUMMYFUNCTION("""COMPUTED_VALUE"""),4.0)</f>
        <v>4</v>
      </c>
      <c r="F1535" s="77">
        <f>IFERROR(__xludf.DUMMYFUNCTION("""COMPUTED_VALUE"""),1926.0)</f>
        <v>1926</v>
      </c>
      <c r="G1535" s="77">
        <f>IFERROR(__xludf.DUMMYFUNCTION("""COMPUTED_VALUE"""),19.5)</f>
        <v>19.5</v>
      </c>
      <c r="H1535" s="77">
        <f>IFERROR(__xludf.DUMMYFUNCTION("""COMPUTED_VALUE"""),23.0)</f>
        <v>23</v>
      </c>
      <c r="I1535" s="77">
        <f>IFERROR(__xludf.DUMMYFUNCTION("""COMPUTED_VALUE"""),100.0)</f>
        <v>100</v>
      </c>
      <c r="J1535" s="73"/>
      <c r="K1535" s="73"/>
      <c r="L1535" s="73"/>
      <c r="M1535" s="77">
        <f>IFERROR(__xludf.DUMMYFUNCTION("""COMPUTED_VALUE"""),0.1)</f>
        <v>0.1</v>
      </c>
      <c r="N1535" s="77">
        <f>IFERROR(__xludf.DUMMYFUNCTION("""COMPUTED_VALUE"""),1.0)</f>
        <v>1</v>
      </c>
      <c r="O1535" s="49"/>
      <c r="P1535" s="49" t="str">
        <f>IFERROR(__xludf.DUMMYFUNCTION("""COMPUTED_VALUE"""),"Offset")</f>
        <v>Offset</v>
      </c>
      <c r="Q1535" s="49" t="str">
        <f>IFERROR(__xludf.DUMMYFUNCTION("""COMPUTED_VALUE"""),"Packaging")</f>
        <v>Packaging</v>
      </c>
      <c r="R1535" s="49" t="str">
        <f>IFERROR(__xludf.DUMMYFUNCTION("""COMPUTED_VALUE"""),"Medecine")</f>
        <v>Medecine</v>
      </c>
    </row>
    <row r="1536">
      <c r="A1536" s="156" t="str">
        <f>IFERROR(__xludf.DUMMYFUNCTION("""COMPUTED_VALUE"""),"https://drive.google.com/open?id=101h7H8AZyvh5FiCOrLONktTZCI6Na6i8&amp;authuser=jay.agg%40gmail.com&amp;usp=drive_fs")</f>
        <v>https://drive.google.com/open?id=101h7H8AZyvh5FiCOrLONktTZCI6Na6i8&amp;authuser=jay.agg%40gmail.com&amp;usp=drive_fs</v>
      </c>
      <c r="B1536" s="73" t="str">
        <f>IFERROR(__xludf.DUMMYFUNCTION("""COMPUTED_VALUE"""),"Medecine")</f>
        <v>Medecine</v>
      </c>
      <c r="C1536" s="73" t="str">
        <f>IFERROR(__xludf.DUMMYFUNCTION("""COMPUTED_VALUE"""),"Misc")</f>
        <v>Misc</v>
      </c>
      <c r="D1536" s="73" t="str">
        <f>IFERROR(__xludf.DUMMYFUNCTION("""COMPUTED_VALUE"""),"58*58*158 mm | 2.3*2.3*6.2 inch")</f>
        <v>58*58*158 mm | 2.3*2.3*6.2 inch</v>
      </c>
      <c r="E1536" s="77">
        <f>IFERROR(__xludf.DUMMYFUNCTION("""COMPUTED_VALUE"""),4.0)</f>
        <v>4</v>
      </c>
      <c r="F1536" s="77">
        <f>IFERROR(__xludf.DUMMYFUNCTION("""COMPUTED_VALUE"""),1926.0)</f>
        <v>1926</v>
      </c>
      <c r="G1536" s="77">
        <f>IFERROR(__xludf.DUMMYFUNCTION("""COMPUTED_VALUE"""),19.5)</f>
        <v>19.5</v>
      </c>
      <c r="H1536" s="77">
        <f>IFERROR(__xludf.DUMMYFUNCTION("""COMPUTED_VALUE"""),23.0)</f>
        <v>23</v>
      </c>
      <c r="I1536" s="77">
        <f>IFERROR(__xludf.DUMMYFUNCTION("""COMPUTED_VALUE"""),100.0)</f>
        <v>100</v>
      </c>
      <c r="J1536" s="73"/>
      <c r="K1536" s="73"/>
      <c r="L1536" s="73"/>
      <c r="M1536" s="77">
        <f>IFERROR(__xludf.DUMMYFUNCTION("""COMPUTED_VALUE"""),0.1)</f>
        <v>0.1</v>
      </c>
      <c r="N1536" s="77">
        <f>IFERROR(__xludf.DUMMYFUNCTION("""COMPUTED_VALUE"""),1.0)</f>
        <v>1</v>
      </c>
      <c r="O1536" s="49"/>
      <c r="P1536" s="49" t="str">
        <f>IFERROR(__xludf.DUMMYFUNCTION("""COMPUTED_VALUE"""),"Offset")</f>
        <v>Offset</v>
      </c>
      <c r="Q1536" s="49" t="str">
        <f>IFERROR(__xludf.DUMMYFUNCTION("""COMPUTED_VALUE"""),"Packaging")</f>
        <v>Packaging</v>
      </c>
      <c r="R1536" s="49" t="str">
        <f>IFERROR(__xludf.DUMMYFUNCTION("""COMPUTED_VALUE"""),"Medecine")</f>
        <v>Medecine</v>
      </c>
    </row>
    <row r="1537">
      <c r="A1537" s="156" t="str">
        <f>IFERROR(__xludf.DUMMYFUNCTION("""COMPUTED_VALUE"""),"https://drive.google.com/open?id=1Ojf3G9MOdzpZsiSTfBO14leSF-YQIKXH&amp;authuser=jay.agg%40gmail.com&amp;usp=drive_fs")</f>
        <v>https://drive.google.com/open?id=1Ojf3G9MOdzpZsiSTfBO14leSF-YQIKXH&amp;authuser=jay.agg%40gmail.com&amp;usp=drive_fs</v>
      </c>
      <c r="B1537" s="73" t="str">
        <f>IFERROR(__xludf.DUMMYFUNCTION("""COMPUTED_VALUE"""),"Medecine")</f>
        <v>Medecine</v>
      </c>
      <c r="C1537" s="73" t="str">
        <f>IFERROR(__xludf.DUMMYFUNCTION("""COMPUTED_VALUE"""),"Misc")</f>
        <v>Misc</v>
      </c>
      <c r="D1537" s="73" t="str">
        <f>IFERROR(__xludf.DUMMYFUNCTION("""COMPUTED_VALUE"""),"127*102*178 mm | 5*4*7 inch | 30*20")</f>
        <v>127*102*178 mm | 5*4*7 inch | 30*20</v>
      </c>
      <c r="E1537" s="77">
        <f>IFERROR(__xludf.DUMMYFUNCTION("""COMPUTED_VALUE"""),2.0)</f>
        <v>2</v>
      </c>
      <c r="F1537" s="77">
        <f>IFERROR(__xludf.DUMMYFUNCTION("""COMPUTED_VALUE"""),2029.0)</f>
        <v>2029</v>
      </c>
      <c r="G1537" s="77">
        <f>IFERROR(__xludf.DUMMYFUNCTION("""COMPUTED_VALUE"""),20.0)</f>
        <v>20</v>
      </c>
      <c r="H1537" s="77">
        <f>IFERROR(__xludf.DUMMYFUNCTION("""COMPUTED_VALUE"""),30.0)</f>
        <v>30</v>
      </c>
      <c r="I1537" s="77">
        <f>IFERROR(__xludf.DUMMYFUNCTION("""COMPUTED_VALUE"""),100.0)</f>
        <v>100</v>
      </c>
      <c r="J1537" s="73"/>
      <c r="K1537" s="73"/>
      <c r="L1537" s="73"/>
      <c r="M1537" s="77"/>
      <c r="N1537" s="77">
        <f>IFERROR(__xludf.DUMMYFUNCTION("""COMPUTED_VALUE"""),1.0)</f>
        <v>1</v>
      </c>
      <c r="O1537" s="49"/>
      <c r="P1537" s="49" t="str">
        <f>IFERROR(__xludf.DUMMYFUNCTION("""COMPUTED_VALUE"""),"Offset")</f>
        <v>Offset</v>
      </c>
      <c r="Q1537" s="49" t="str">
        <f>IFERROR(__xludf.DUMMYFUNCTION("""COMPUTED_VALUE"""),"Packaging")</f>
        <v>Packaging</v>
      </c>
      <c r="R1537" s="49" t="str">
        <f>IFERROR(__xludf.DUMMYFUNCTION("""COMPUTED_VALUE"""),"Medecine")</f>
        <v>Medecine</v>
      </c>
    </row>
    <row r="1538">
      <c r="A1538" s="156" t="str">
        <f>IFERROR(__xludf.DUMMYFUNCTION("""COMPUTED_VALUE"""),"https://drive.google.com/open?id=1OkIcVcEShMCmF0cWZqmmmmkTymg2G9XJ&amp;authuser=jay.agg%40gmail.com&amp;usp=drive_fs")</f>
        <v>https://drive.google.com/open?id=1OkIcVcEShMCmF0cWZqmmmmkTymg2G9XJ&amp;authuser=jay.agg%40gmail.com&amp;usp=drive_fs</v>
      </c>
      <c r="B1538" s="73" t="str">
        <f>IFERROR(__xludf.DUMMYFUNCTION("""COMPUTED_VALUE"""),"Medecine")</f>
        <v>Medecine</v>
      </c>
      <c r="C1538" s="73" t="str">
        <f>IFERROR(__xludf.DUMMYFUNCTION("""COMPUTED_VALUE"""),"Misc")</f>
        <v>Misc</v>
      </c>
      <c r="D1538" s="73" t="str">
        <f>IFERROR(__xludf.DUMMYFUNCTION("""COMPUTED_VALUE"""),"65*40*85 mm | 2.5*1.6*3.3 inch")</f>
        <v>65*40*85 mm | 2.5*1.6*3.3 inch</v>
      </c>
      <c r="E1538" s="77">
        <f>IFERROR(__xludf.DUMMYFUNCTION("""COMPUTED_VALUE"""),8.0)</f>
        <v>8</v>
      </c>
      <c r="F1538" s="77">
        <f>IFERROR(__xludf.DUMMYFUNCTION("""COMPUTED_VALUE"""),1926.0)</f>
        <v>1926</v>
      </c>
      <c r="G1538" s="77">
        <f>IFERROR(__xludf.DUMMYFUNCTION("""COMPUTED_VALUE"""),18.0)</f>
        <v>18</v>
      </c>
      <c r="H1538" s="77">
        <f>IFERROR(__xludf.DUMMYFUNCTION("""COMPUTED_VALUE"""),25.0)</f>
        <v>25</v>
      </c>
      <c r="I1538" s="77">
        <f>IFERROR(__xludf.DUMMYFUNCTION("""COMPUTED_VALUE"""),100.0)</f>
        <v>100</v>
      </c>
      <c r="J1538" s="73"/>
      <c r="K1538" s="73"/>
      <c r="L1538" s="73"/>
      <c r="M1538" s="77">
        <f>IFERROR(__xludf.DUMMYFUNCTION("""COMPUTED_VALUE"""),0.1)</f>
        <v>0.1</v>
      </c>
      <c r="N1538" s="77">
        <f>IFERROR(__xludf.DUMMYFUNCTION("""COMPUTED_VALUE"""),1.0)</f>
        <v>1</v>
      </c>
      <c r="O1538" s="49"/>
      <c r="P1538" s="49" t="str">
        <f>IFERROR(__xludf.DUMMYFUNCTION("""COMPUTED_VALUE"""),"Offset")</f>
        <v>Offset</v>
      </c>
      <c r="Q1538" s="49" t="str">
        <f>IFERROR(__xludf.DUMMYFUNCTION("""COMPUTED_VALUE"""),"Packaging")</f>
        <v>Packaging</v>
      </c>
      <c r="R1538" s="49" t="str">
        <f>IFERROR(__xludf.DUMMYFUNCTION("""COMPUTED_VALUE"""),"Medecine")</f>
        <v>Medecine</v>
      </c>
    </row>
    <row r="1539">
      <c r="A1539" s="156" t="str">
        <f>IFERROR(__xludf.DUMMYFUNCTION("""COMPUTED_VALUE"""),"https://drive.google.com/open?id=1OmLj8yrA8_Akb9Jb29P9gUS5r0cyJKFP&amp;authuser=jay.agg%40gmail.com&amp;usp=drive_fs")</f>
        <v>https://drive.google.com/open?id=1OmLj8yrA8_Akb9Jb29P9gUS5r0cyJKFP&amp;authuser=jay.agg%40gmail.com&amp;usp=drive_fs</v>
      </c>
      <c r="B1539" s="73" t="str">
        <f>IFERROR(__xludf.DUMMYFUNCTION("""COMPUTED_VALUE"""),"Medecine")</f>
        <v>Medecine</v>
      </c>
      <c r="C1539" s="73" t="str">
        <f>IFERROR(__xludf.DUMMYFUNCTION("""COMPUTED_VALUE"""),"Misc")</f>
        <v>Misc</v>
      </c>
      <c r="D1539" s="73" t="str">
        <f>IFERROR(__xludf.DUMMYFUNCTION("""COMPUTED_VALUE"""),"170*55*230 mm | 6.7*2.1*9 inch IL")</f>
        <v>170*55*230 mm | 6.7*2.1*9 inch IL</v>
      </c>
      <c r="E1539" s="77">
        <f>IFERROR(__xludf.DUMMYFUNCTION("""COMPUTED_VALUE"""),2.0)</f>
        <v>2</v>
      </c>
      <c r="F1539" s="77">
        <f>IFERROR(__xludf.DUMMYFUNCTION("""COMPUTED_VALUE"""),1926.0)</f>
        <v>1926</v>
      </c>
      <c r="G1539" s="77">
        <f>IFERROR(__xludf.DUMMYFUNCTION("""COMPUTED_VALUE"""),19.0)</f>
        <v>19</v>
      </c>
      <c r="H1539" s="77">
        <f>IFERROR(__xludf.DUMMYFUNCTION("""COMPUTED_VALUE"""),26.0)</f>
        <v>26</v>
      </c>
      <c r="I1539" s="77">
        <f>IFERROR(__xludf.DUMMYFUNCTION("""COMPUTED_VALUE"""),100.0)</f>
        <v>100</v>
      </c>
      <c r="J1539" s="73"/>
      <c r="K1539" s="73"/>
      <c r="L1539" s="73"/>
      <c r="M1539" s="77">
        <f>IFERROR(__xludf.DUMMYFUNCTION("""COMPUTED_VALUE"""),0.1)</f>
        <v>0.1</v>
      </c>
      <c r="N1539" s="77">
        <f>IFERROR(__xludf.DUMMYFUNCTION("""COMPUTED_VALUE"""),1.0)</f>
        <v>1</v>
      </c>
      <c r="O1539" s="49"/>
      <c r="P1539" s="49" t="str">
        <f>IFERROR(__xludf.DUMMYFUNCTION("""COMPUTED_VALUE"""),"Offset")</f>
        <v>Offset</v>
      </c>
      <c r="Q1539" s="49" t="str">
        <f>IFERROR(__xludf.DUMMYFUNCTION("""COMPUTED_VALUE"""),"Packaging")</f>
        <v>Packaging</v>
      </c>
      <c r="R1539" s="49" t="str">
        <f>IFERROR(__xludf.DUMMYFUNCTION("""COMPUTED_VALUE"""),"Medecine")</f>
        <v>Medecine</v>
      </c>
    </row>
    <row r="1540">
      <c r="A1540" s="156" t="str">
        <f>IFERROR(__xludf.DUMMYFUNCTION("""COMPUTED_VALUE"""),"https://drive.google.com/open?id=1RWyE-uaMz6QeNZNnCgEgklw8SCCKcH0D&amp;authuser=jay.agg%40gmail.com&amp;usp=drive_fs")</f>
        <v>https://drive.google.com/open?id=1RWyE-uaMz6QeNZNnCgEgklw8SCCKcH0D&amp;authuser=jay.agg%40gmail.com&amp;usp=drive_fs</v>
      </c>
      <c r="B1540" s="73" t="str">
        <f>IFERROR(__xludf.DUMMYFUNCTION("""COMPUTED_VALUE"""),"Medecine")</f>
        <v>Medecine</v>
      </c>
      <c r="C1540" s="73" t="str">
        <f>IFERROR(__xludf.DUMMYFUNCTION("""COMPUTED_VALUE"""),"Aurthot")</f>
        <v>Aurthot</v>
      </c>
      <c r="D1540" s="73" t="str">
        <f>IFERROR(__xludf.DUMMYFUNCTION("""COMPUTED_VALUE"""),"67*32*105 mm | 2.6*1.2*4.1 inch")</f>
        <v>67*32*105 mm | 2.6*1.2*4.1 inch</v>
      </c>
      <c r="E1540" s="77">
        <f>IFERROR(__xludf.DUMMYFUNCTION("""COMPUTED_VALUE"""),6.0)</f>
        <v>6</v>
      </c>
      <c r="F1540" s="77">
        <f>IFERROR(__xludf.DUMMYFUNCTION("""COMPUTED_VALUE"""),1926.0)</f>
        <v>1926</v>
      </c>
      <c r="G1540" s="77">
        <f>IFERROR(__xludf.DUMMYFUNCTION("""COMPUTED_VALUE"""),18.0)</f>
        <v>18</v>
      </c>
      <c r="H1540" s="77">
        <f>IFERROR(__xludf.DUMMYFUNCTION("""COMPUTED_VALUE"""),25.0)</f>
        <v>25</v>
      </c>
      <c r="I1540" s="77">
        <f>IFERROR(__xludf.DUMMYFUNCTION("""COMPUTED_VALUE"""),100.0)</f>
        <v>100</v>
      </c>
      <c r="J1540" s="73"/>
      <c r="K1540" s="73"/>
      <c r="L1540" s="73"/>
      <c r="M1540" s="77">
        <f>IFERROR(__xludf.DUMMYFUNCTION("""COMPUTED_VALUE"""),0.1)</f>
        <v>0.1</v>
      </c>
      <c r="N1540" s="77">
        <f>IFERROR(__xludf.DUMMYFUNCTION("""COMPUTED_VALUE"""),1.0)</f>
        <v>1</v>
      </c>
      <c r="O1540" s="49"/>
      <c r="P1540" s="49" t="str">
        <f>IFERROR(__xludf.DUMMYFUNCTION("""COMPUTED_VALUE"""),"Offset")</f>
        <v>Offset</v>
      </c>
      <c r="Q1540" s="49" t="str">
        <f>IFERROR(__xludf.DUMMYFUNCTION("""COMPUTED_VALUE"""),"Packaging")</f>
        <v>Packaging</v>
      </c>
      <c r="R1540" s="49" t="str">
        <f>IFERROR(__xludf.DUMMYFUNCTION("""COMPUTED_VALUE"""),"Medecine")</f>
        <v>Medecine</v>
      </c>
    </row>
    <row r="1541">
      <c r="A1541" s="156" t="str">
        <f>IFERROR(__xludf.DUMMYFUNCTION("""COMPUTED_VALUE"""),"https://drive.google.com/open?id=1RXVp-Jc7Tg0eQZUNVttTsaM5coouFLSi&amp;authuser=jay.agg%40gmail.com&amp;usp=drive_fs")</f>
        <v>https://drive.google.com/open?id=1RXVp-Jc7Tg0eQZUNVttTsaM5coouFLSi&amp;authuser=jay.agg%40gmail.com&amp;usp=drive_fs</v>
      </c>
      <c r="B1541" s="73" t="str">
        <f>IFERROR(__xludf.DUMMYFUNCTION("""COMPUTED_VALUE"""),"Medecine")</f>
        <v>Medecine</v>
      </c>
      <c r="C1541" s="73" t="str">
        <f>IFERROR(__xludf.DUMMYFUNCTION("""COMPUTED_VALUE"""),"Aurthot")</f>
        <v>Aurthot</v>
      </c>
      <c r="D1541" s="73" t="str">
        <f>IFERROR(__xludf.DUMMYFUNCTION("""COMPUTED_VALUE"""),"115*51*140 mm | 4.5*2*5.5 inch")</f>
        <v>115*51*140 mm | 4.5*2*5.5 inch</v>
      </c>
      <c r="E1541" s="77">
        <f>IFERROR(__xludf.DUMMYFUNCTION("""COMPUTED_VALUE"""),2.0)</f>
        <v>2</v>
      </c>
      <c r="F1541" s="77">
        <f>IFERROR(__xludf.DUMMYFUNCTION("""COMPUTED_VALUE"""),1926.0)</f>
        <v>1926</v>
      </c>
      <c r="G1541" s="77">
        <f>IFERROR(__xludf.DUMMYFUNCTION("""COMPUTED_VALUE"""),14.0)</f>
        <v>14</v>
      </c>
      <c r="H1541" s="77">
        <f>IFERROR(__xludf.DUMMYFUNCTION("""COMPUTED_VALUE"""),22.0)</f>
        <v>22</v>
      </c>
      <c r="I1541" s="77">
        <f>IFERROR(__xludf.DUMMYFUNCTION("""COMPUTED_VALUE"""),100.0)</f>
        <v>100</v>
      </c>
      <c r="J1541" s="73"/>
      <c r="K1541" s="73"/>
      <c r="L1541" s="73"/>
      <c r="M1541" s="77">
        <f>IFERROR(__xludf.DUMMYFUNCTION("""COMPUTED_VALUE"""),0.1)</f>
        <v>0.1</v>
      </c>
      <c r="N1541" s="77">
        <f>IFERROR(__xludf.DUMMYFUNCTION("""COMPUTED_VALUE"""),1.0)</f>
        <v>1</v>
      </c>
      <c r="O1541" s="49"/>
      <c r="P1541" s="49" t="str">
        <f>IFERROR(__xludf.DUMMYFUNCTION("""COMPUTED_VALUE"""),"Offset")</f>
        <v>Offset</v>
      </c>
      <c r="Q1541" s="49" t="str">
        <f>IFERROR(__xludf.DUMMYFUNCTION("""COMPUTED_VALUE"""),"Packaging")</f>
        <v>Packaging</v>
      </c>
      <c r="R1541" s="49" t="str">
        <f>IFERROR(__xludf.DUMMYFUNCTION("""COMPUTED_VALUE"""),"Medecine")</f>
        <v>Medecine</v>
      </c>
    </row>
    <row r="1542">
      <c r="A1542" s="156" t="str">
        <f>IFERROR(__xludf.DUMMYFUNCTION("""COMPUTED_VALUE"""),"https://drive.google.com/open?id=1Rcc1fXyP-y74vnvYpvEeQCMOoPNxr-FT&amp;authuser=jay.agg%40gmail.com&amp;usp=drive_fs")</f>
        <v>https://drive.google.com/open?id=1Rcc1fXyP-y74vnvYpvEeQCMOoPNxr-FT&amp;authuser=jay.agg%40gmail.com&amp;usp=drive_fs</v>
      </c>
      <c r="B1542" s="73" t="str">
        <f>IFERROR(__xludf.DUMMYFUNCTION("""COMPUTED_VALUE"""),"Medecine")</f>
        <v>Medecine</v>
      </c>
      <c r="C1542" s="73" t="str">
        <f>IFERROR(__xludf.DUMMYFUNCTION("""COMPUTED_VALUE"""),"Aurthot")</f>
        <v>Aurthot</v>
      </c>
      <c r="D1542" s="73" t="str">
        <f>IFERROR(__xludf.DUMMYFUNCTION("""COMPUTED_VALUE"""),"165*63.5*254 mm | 6.5*2.5*10 inch")</f>
        <v>165*63.5*254 mm | 6.5*2.5*10 inch</v>
      </c>
      <c r="E1542" s="77">
        <f>IFERROR(__xludf.DUMMYFUNCTION("""COMPUTED_VALUE"""),1.0)</f>
        <v>1</v>
      </c>
      <c r="F1542" s="77">
        <f>IFERROR(__xludf.DUMMYFUNCTION("""COMPUTED_VALUE"""),1926.0)</f>
        <v>1926</v>
      </c>
      <c r="G1542" s="77">
        <f>IFERROR(__xludf.DUMMYFUNCTION("""COMPUTED_VALUE"""),18.0)</f>
        <v>18</v>
      </c>
      <c r="H1542" s="77">
        <f>IFERROR(__xludf.DUMMYFUNCTION("""COMPUTED_VALUE"""),21.0)</f>
        <v>21</v>
      </c>
      <c r="I1542" s="77">
        <f>IFERROR(__xludf.DUMMYFUNCTION("""COMPUTED_VALUE"""),100.0)</f>
        <v>100</v>
      </c>
      <c r="J1542" s="73"/>
      <c r="K1542" s="73"/>
      <c r="L1542" s="73"/>
      <c r="M1542" s="77">
        <f>IFERROR(__xludf.DUMMYFUNCTION("""COMPUTED_VALUE"""),0.1)</f>
        <v>0.1</v>
      </c>
      <c r="N1542" s="77">
        <f>IFERROR(__xludf.DUMMYFUNCTION("""COMPUTED_VALUE"""),1.0)</f>
        <v>1</v>
      </c>
      <c r="O1542" s="49"/>
      <c r="P1542" s="49" t="str">
        <f>IFERROR(__xludf.DUMMYFUNCTION("""COMPUTED_VALUE"""),"Offset")</f>
        <v>Offset</v>
      </c>
      <c r="Q1542" s="49" t="str">
        <f>IFERROR(__xludf.DUMMYFUNCTION("""COMPUTED_VALUE"""),"Packaging")</f>
        <v>Packaging</v>
      </c>
      <c r="R1542" s="49" t="str">
        <f>IFERROR(__xludf.DUMMYFUNCTION("""COMPUTED_VALUE"""),"Medecine")</f>
        <v>Medecine</v>
      </c>
    </row>
    <row r="1543">
      <c r="A1543" s="156" t="str">
        <f>IFERROR(__xludf.DUMMYFUNCTION("""COMPUTED_VALUE"""),"https://drive.google.com/open?id=11ik4i3Y0AT3p5Q7-G4zFWkt7WM0jyKMO&amp;authuser=jay.agg%40gmail.com&amp;usp=drive_fs")</f>
        <v>https://drive.google.com/open?id=11ik4i3Y0AT3p5Q7-G4zFWkt7WM0jyKMO&amp;authuser=jay.agg%40gmail.com&amp;usp=drive_fs</v>
      </c>
      <c r="B1543" s="73" t="str">
        <f>IFERROR(__xludf.DUMMYFUNCTION("""COMPUTED_VALUE"""),"Medecine")</f>
        <v>Medecine</v>
      </c>
      <c r="C1543" s="73" t="str">
        <f>IFERROR(__xludf.DUMMYFUNCTION("""COMPUTED_VALUE"""),"Aurthot")</f>
        <v>Aurthot</v>
      </c>
      <c r="D1543" s="73" t="str">
        <f>IFERROR(__xludf.DUMMYFUNCTION("""COMPUTED_VALUE"""),"Aurthot Mix 101222")</f>
        <v>Aurthot Mix 101222</v>
      </c>
      <c r="E1543" s="77">
        <f>IFERROR(__xludf.DUMMYFUNCTION("""COMPUTED_VALUE"""),1.0)</f>
        <v>1</v>
      </c>
      <c r="F1543" s="77">
        <f>IFERROR(__xludf.DUMMYFUNCTION("""COMPUTED_VALUE"""),2029.0)</f>
        <v>2029</v>
      </c>
      <c r="G1543" s="77">
        <f>IFERROR(__xludf.DUMMYFUNCTION("""COMPUTED_VALUE"""),19.0)</f>
        <v>19</v>
      </c>
      <c r="H1543" s="77">
        <f>IFERROR(__xludf.DUMMYFUNCTION("""COMPUTED_VALUE"""),26.0)</f>
        <v>26</v>
      </c>
      <c r="I1543" s="77">
        <f>IFERROR(__xludf.DUMMYFUNCTION("""COMPUTED_VALUE"""),100.0)</f>
        <v>100</v>
      </c>
      <c r="J1543" s="73"/>
      <c r="K1543" s="73"/>
      <c r="L1543" s="73"/>
      <c r="M1543" s="77">
        <f>IFERROR(__xludf.DUMMYFUNCTION("""COMPUTED_VALUE"""),0.32)</f>
        <v>0.32</v>
      </c>
      <c r="N1543" s="77">
        <f>IFERROR(__xludf.DUMMYFUNCTION("""COMPUTED_VALUE"""),1.0)</f>
        <v>1</v>
      </c>
      <c r="O1543" s="49"/>
      <c r="P1543" s="49" t="str">
        <f>IFERROR(__xludf.DUMMYFUNCTION("""COMPUTED_VALUE"""),"Offset")</f>
        <v>Offset</v>
      </c>
      <c r="Q1543" s="49" t="str">
        <f>IFERROR(__xludf.DUMMYFUNCTION("""COMPUTED_VALUE"""),"Packaging")</f>
        <v>Packaging</v>
      </c>
      <c r="R1543" s="49" t="str">
        <f>IFERROR(__xludf.DUMMYFUNCTION("""COMPUTED_VALUE"""),"Medecine")</f>
        <v>Medecine</v>
      </c>
    </row>
    <row r="1544">
      <c r="A1544" s="156" t="str">
        <f>IFERROR(__xludf.DUMMYFUNCTION("""COMPUTED_VALUE"""),"https://drive.google.com/open?id=1ViIqQBzM4pd-qgsXrjzLHIqwYqxIqq-p&amp;authuser=jay.agg%40gmail.com&amp;usp=drive_fs")</f>
        <v>https://drive.google.com/open?id=1ViIqQBzM4pd-qgsXrjzLHIqwYqxIqq-p&amp;authuser=jay.agg%40gmail.com&amp;usp=drive_fs</v>
      </c>
      <c r="B1544" s="73" t="str">
        <f>IFERROR(__xludf.DUMMYFUNCTION("""COMPUTED_VALUE"""),"Medecine")</f>
        <v>Medecine</v>
      </c>
      <c r="C1544" s="73" t="str">
        <f>IFERROR(__xludf.DUMMYFUNCTION("""COMPUTED_VALUE"""),"Misc")</f>
        <v>Misc</v>
      </c>
      <c r="D1544" s="73" t="str">
        <f>IFERROR(__xludf.DUMMYFUNCTION("""COMPUTED_VALUE"""),"65*14*122 mm | 2.6*0.6*4.8 inch")</f>
        <v>65*14*122 mm | 2.6*0.6*4.8 inch</v>
      </c>
      <c r="E1544" s="77">
        <f>IFERROR(__xludf.DUMMYFUNCTION("""COMPUTED_VALUE"""),8.0)</f>
        <v>8</v>
      </c>
      <c r="F1544" s="77">
        <f>IFERROR(__xludf.DUMMYFUNCTION("""COMPUTED_VALUE"""),1926.0)</f>
        <v>1926</v>
      </c>
      <c r="G1544" s="77">
        <f>IFERROR(__xludf.DUMMYFUNCTION("""COMPUTED_VALUE"""),15.0)</f>
        <v>15</v>
      </c>
      <c r="H1544" s="77">
        <f>IFERROR(__xludf.DUMMYFUNCTION("""COMPUTED_VALUE"""),25.0)</f>
        <v>25</v>
      </c>
      <c r="I1544" s="77">
        <f>IFERROR(__xludf.DUMMYFUNCTION("""COMPUTED_VALUE"""),100.0)</f>
        <v>100</v>
      </c>
      <c r="J1544" s="73"/>
      <c r="K1544" s="73"/>
      <c r="L1544" s="73"/>
      <c r="M1544" s="77">
        <f>IFERROR(__xludf.DUMMYFUNCTION("""COMPUTED_VALUE"""),0.1)</f>
        <v>0.1</v>
      </c>
      <c r="N1544" s="77">
        <f>IFERROR(__xludf.DUMMYFUNCTION("""COMPUTED_VALUE"""),1.0)</f>
        <v>1</v>
      </c>
      <c r="O1544" s="49"/>
      <c r="P1544" s="49" t="str">
        <f>IFERROR(__xludf.DUMMYFUNCTION("""COMPUTED_VALUE"""),"Offset")</f>
        <v>Offset</v>
      </c>
      <c r="Q1544" s="49" t="str">
        <f>IFERROR(__xludf.DUMMYFUNCTION("""COMPUTED_VALUE"""),"Packaging")</f>
        <v>Packaging</v>
      </c>
      <c r="R1544" s="49" t="str">
        <f>IFERROR(__xludf.DUMMYFUNCTION("""COMPUTED_VALUE"""),"Medecine")</f>
        <v>Medecine</v>
      </c>
    </row>
    <row r="1545">
      <c r="A1545" s="156" t="str">
        <f>IFERROR(__xludf.DUMMYFUNCTION("""COMPUTED_VALUE"""),"https://drive.google.com/open?id=1XoshQo9E2GrgP0BBaVyLWoWTpwwYOZVM&amp;authuser=jay.agg%40gmail.com&amp;usp=drive_fs")</f>
        <v>https://drive.google.com/open?id=1XoshQo9E2GrgP0BBaVyLWoWTpwwYOZVM&amp;authuser=jay.agg%40gmail.com&amp;usp=drive_fs</v>
      </c>
      <c r="B1545" s="73" t="str">
        <f>IFERROR(__xludf.DUMMYFUNCTION("""COMPUTED_VALUE"""),"Medecine")</f>
        <v>Medecine</v>
      </c>
      <c r="C1545" s="73" t="str">
        <f>IFERROR(__xludf.DUMMYFUNCTION("""COMPUTED_VALUE"""),"Misc")</f>
        <v>Misc</v>
      </c>
      <c r="D1545" s="73" t="str">
        <f>IFERROR(__xludf.DUMMYFUNCTION("""COMPUTED_VALUE"""),"Sleeve 93*26*147 mm | 3.6*1*5.8 inch")</f>
        <v>Sleeve 93*26*147 mm | 3.6*1*5.8 inch</v>
      </c>
      <c r="E1545" s="77">
        <f>IFERROR(__xludf.DUMMYFUNCTION("""COMPUTED_VALUE"""),6.0)</f>
        <v>6</v>
      </c>
      <c r="F1545" s="77">
        <f>IFERROR(__xludf.DUMMYFUNCTION("""COMPUTED_VALUE"""),1926.0)</f>
        <v>1926</v>
      </c>
      <c r="G1545" s="77">
        <f>IFERROR(__xludf.DUMMYFUNCTION("""COMPUTED_VALUE"""),18.0)</f>
        <v>18</v>
      </c>
      <c r="H1545" s="77">
        <f>IFERROR(__xludf.DUMMYFUNCTION("""COMPUTED_VALUE"""),23.0)</f>
        <v>23</v>
      </c>
      <c r="I1545" s="77">
        <f>IFERROR(__xludf.DUMMYFUNCTION("""COMPUTED_VALUE"""),100.0)</f>
        <v>100</v>
      </c>
      <c r="J1545" s="73"/>
      <c r="K1545" s="73"/>
      <c r="L1545" s="73"/>
      <c r="M1545" s="77">
        <f>IFERROR(__xludf.DUMMYFUNCTION("""COMPUTED_VALUE"""),0.12)</f>
        <v>0.12</v>
      </c>
      <c r="N1545" s="77">
        <f>IFERROR(__xludf.DUMMYFUNCTION("""COMPUTED_VALUE"""),1.0)</f>
        <v>1</v>
      </c>
      <c r="O1545" s="49"/>
      <c r="P1545" s="49" t="str">
        <f>IFERROR(__xludf.DUMMYFUNCTION("""COMPUTED_VALUE"""),"Offset")</f>
        <v>Offset</v>
      </c>
      <c r="Q1545" s="49" t="str">
        <f>IFERROR(__xludf.DUMMYFUNCTION("""COMPUTED_VALUE"""),"Packaging")</f>
        <v>Packaging</v>
      </c>
      <c r="R1545" s="49" t="str">
        <f>IFERROR(__xludf.DUMMYFUNCTION("""COMPUTED_VALUE"""),"Medecine")</f>
        <v>Medecine</v>
      </c>
    </row>
    <row r="1546">
      <c r="A1546" s="156" t="str">
        <f>IFERROR(__xludf.DUMMYFUNCTION("""COMPUTED_VALUE"""),"https://drive.google.com/open?id=1XpykB9xqG3wrMAKCgfY4qh5TozrBQPc7&amp;authuser=jay.agg%40gmail.com&amp;usp=drive_fs")</f>
        <v>https://drive.google.com/open?id=1XpykB9xqG3wrMAKCgfY4qh5TozrBQPc7&amp;authuser=jay.agg%40gmail.com&amp;usp=drive_fs</v>
      </c>
      <c r="B1546" s="73" t="str">
        <f>IFERROR(__xludf.DUMMYFUNCTION("""COMPUTED_VALUE"""),"Medecine")</f>
        <v>Medecine</v>
      </c>
      <c r="C1546" s="73" t="str">
        <f>IFERROR(__xludf.DUMMYFUNCTION("""COMPUTED_VALUE"""),"Misc")</f>
        <v>Misc</v>
      </c>
      <c r="D1546" s="73" t="str">
        <f>IFERROR(__xludf.DUMMYFUNCTION("""COMPUTED_VALUE"""),"Tray Set 93*26*147 mm | 3.6*1*5.8 inch")</f>
        <v>Tray Set 93*26*147 mm | 3.6*1*5.8 inch</v>
      </c>
      <c r="E1546" s="77">
        <f>IFERROR(__xludf.DUMMYFUNCTION("""COMPUTED_VALUE"""),2.0)</f>
        <v>2</v>
      </c>
      <c r="F1546" s="77">
        <f>IFERROR(__xludf.DUMMYFUNCTION("""COMPUTED_VALUE"""),1926.0)</f>
        <v>1926</v>
      </c>
      <c r="G1546" s="77">
        <f>IFERROR(__xludf.DUMMYFUNCTION("""COMPUTED_VALUE"""),18.0)</f>
        <v>18</v>
      </c>
      <c r="H1546" s="77">
        <f>IFERROR(__xludf.DUMMYFUNCTION("""COMPUTED_VALUE"""),23.0)</f>
        <v>23</v>
      </c>
      <c r="I1546" s="77">
        <f>IFERROR(__xludf.DUMMYFUNCTION("""COMPUTED_VALUE"""),100.0)</f>
        <v>100</v>
      </c>
      <c r="J1546" s="73"/>
      <c r="K1546" s="73"/>
      <c r="L1546" s="73"/>
      <c r="M1546" s="77">
        <f>IFERROR(__xludf.DUMMYFUNCTION("""COMPUTED_VALUE"""),0.18)</f>
        <v>0.18</v>
      </c>
      <c r="N1546" s="77">
        <f>IFERROR(__xludf.DUMMYFUNCTION("""COMPUTED_VALUE"""),1.0)</f>
        <v>1</v>
      </c>
      <c r="O1546" s="49"/>
      <c r="P1546" s="49" t="str">
        <f>IFERROR(__xludf.DUMMYFUNCTION("""COMPUTED_VALUE"""),"Offset")</f>
        <v>Offset</v>
      </c>
      <c r="Q1546" s="49" t="str">
        <f>IFERROR(__xludf.DUMMYFUNCTION("""COMPUTED_VALUE"""),"Packaging")</f>
        <v>Packaging</v>
      </c>
      <c r="R1546" s="49" t="str">
        <f>IFERROR(__xludf.DUMMYFUNCTION("""COMPUTED_VALUE"""),"Medecine")</f>
        <v>Medecine</v>
      </c>
    </row>
    <row r="1547">
      <c r="A1547" s="156" t="str">
        <f>IFERROR(__xludf.DUMMYFUNCTION("""COMPUTED_VALUE"""),"https://drive.google.com/open?id=1bGa0iw9xJC-7lKxV-auv-Zw2jCFN5KwJ&amp;authuser=jay.agg%40gmail.com&amp;usp=drive_fs")</f>
        <v>https://drive.google.com/open?id=1bGa0iw9xJC-7lKxV-auv-Zw2jCFN5KwJ&amp;authuser=jay.agg%40gmail.com&amp;usp=drive_fs</v>
      </c>
      <c r="B1547" s="73" t="str">
        <f>IFERROR(__xludf.DUMMYFUNCTION("""COMPUTED_VALUE"""),"Medecine")</f>
        <v>Medecine</v>
      </c>
      <c r="C1547" s="73" t="str">
        <f>IFERROR(__xludf.DUMMYFUNCTION("""COMPUTED_VALUE"""),"Misc")</f>
        <v>Misc</v>
      </c>
      <c r="D1547" s="73" t="str">
        <f>IFERROR(__xludf.DUMMYFUNCTION("""COMPUTED_VALUE"""),"102*25*152 mm | 4*1*6 inch")</f>
        <v>102*25*152 mm | 4*1*6 inch</v>
      </c>
      <c r="E1547" s="77">
        <f>IFERROR(__xludf.DUMMYFUNCTION("""COMPUTED_VALUE"""),4.0)</f>
        <v>4</v>
      </c>
      <c r="F1547" s="77">
        <f>IFERROR(__xludf.DUMMYFUNCTION("""COMPUTED_VALUE"""),1926.0)</f>
        <v>1926</v>
      </c>
      <c r="G1547" s="77">
        <f>IFERROR(__xludf.DUMMYFUNCTION("""COMPUTED_VALUE"""),18.0)</f>
        <v>18</v>
      </c>
      <c r="H1547" s="77">
        <f>IFERROR(__xludf.DUMMYFUNCTION("""COMPUTED_VALUE"""),23.0)</f>
        <v>23</v>
      </c>
      <c r="I1547" s="77">
        <f>IFERROR(__xludf.DUMMYFUNCTION("""COMPUTED_VALUE"""),100.0)</f>
        <v>100</v>
      </c>
      <c r="J1547" s="73"/>
      <c r="K1547" s="73"/>
      <c r="L1547" s="73"/>
      <c r="M1547" s="77">
        <f>IFERROR(__xludf.DUMMYFUNCTION("""COMPUTED_VALUE"""),0.1)</f>
        <v>0.1</v>
      </c>
      <c r="N1547" s="77">
        <f>IFERROR(__xludf.DUMMYFUNCTION("""COMPUTED_VALUE"""),1.0)</f>
        <v>1</v>
      </c>
      <c r="O1547" s="49"/>
      <c r="P1547" s="49" t="str">
        <f>IFERROR(__xludf.DUMMYFUNCTION("""COMPUTED_VALUE"""),"Offset")</f>
        <v>Offset</v>
      </c>
      <c r="Q1547" s="49" t="str">
        <f>IFERROR(__xludf.DUMMYFUNCTION("""COMPUTED_VALUE"""),"Packaging")</f>
        <v>Packaging</v>
      </c>
      <c r="R1547" s="49" t="str">
        <f>IFERROR(__xludf.DUMMYFUNCTION("""COMPUTED_VALUE"""),"Medecine")</f>
        <v>Medecine</v>
      </c>
    </row>
    <row r="1548">
      <c r="A1548" s="156" t="str">
        <f>IFERROR(__xludf.DUMMYFUNCTION("""COMPUTED_VALUE"""),"https://drive.google.com/open?id=15X1LubLJDlOUqygGHaVF5UdKBB8ALdpf&amp;authuser=jay.agg%40gmail.com&amp;usp=drive_fs")</f>
        <v>https://drive.google.com/open?id=15X1LubLJDlOUqygGHaVF5UdKBB8ALdpf&amp;authuser=jay.agg%40gmail.com&amp;usp=drive_fs</v>
      </c>
      <c r="B1548" s="73" t="str">
        <f>IFERROR(__xludf.DUMMYFUNCTION("""COMPUTED_VALUE"""),"Medecine")</f>
        <v>Medecine</v>
      </c>
      <c r="C1548" s="73" t="str">
        <f>IFERROR(__xludf.DUMMYFUNCTION("""COMPUTED_VALUE"""),"Aurthot")</f>
        <v>Aurthot</v>
      </c>
      <c r="D1548" s="73" t="str">
        <f>IFERROR(__xludf.DUMMYFUNCTION("""COMPUTED_VALUE"""),"229*51*572 mm | 9*2*22.5 inch | 30*24")</f>
        <v>229*51*572 mm | 9*2*22.5 inch | 30*24</v>
      </c>
      <c r="E1548" s="77">
        <f>IFERROR(__xludf.DUMMYFUNCTION("""COMPUTED_VALUE"""),1.0)</f>
        <v>1</v>
      </c>
      <c r="F1548" s="77">
        <f>IFERROR(__xludf.DUMMYFUNCTION("""COMPUTED_VALUE"""),2840.0)</f>
        <v>2840</v>
      </c>
      <c r="G1548" s="77">
        <f>IFERROR(__xludf.DUMMYFUNCTION("""COMPUTED_VALUE"""),25.0)</f>
        <v>25</v>
      </c>
      <c r="H1548" s="77">
        <f>IFERROR(__xludf.DUMMYFUNCTION("""COMPUTED_VALUE"""),30.0)</f>
        <v>30</v>
      </c>
      <c r="I1548" s="77">
        <f>IFERROR(__xludf.DUMMYFUNCTION("""COMPUTED_VALUE"""),100.0)</f>
        <v>100</v>
      </c>
      <c r="J1548" s="73"/>
      <c r="K1548" s="73"/>
      <c r="L1548" s="73"/>
      <c r="M1548" s="77">
        <f>IFERROR(__xludf.DUMMYFUNCTION("""COMPUTED_VALUE"""),0.1)</f>
        <v>0.1</v>
      </c>
      <c r="N1548" s="77">
        <f>IFERROR(__xludf.DUMMYFUNCTION("""COMPUTED_VALUE"""),1.0)</f>
        <v>1</v>
      </c>
      <c r="O1548" s="49"/>
      <c r="P1548" s="49" t="str">
        <f>IFERROR(__xludf.DUMMYFUNCTION("""COMPUTED_VALUE"""),"Offset")</f>
        <v>Offset</v>
      </c>
      <c r="Q1548" s="49" t="str">
        <f>IFERROR(__xludf.DUMMYFUNCTION("""COMPUTED_VALUE"""),"Packaging")</f>
        <v>Packaging</v>
      </c>
      <c r="R1548" s="49" t="str">
        <f>IFERROR(__xludf.DUMMYFUNCTION("""COMPUTED_VALUE"""),"Medecine")</f>
        <v>Medecine</v>
      </c>
    </row>
    <row r="1549">
      <c r="A1549" s="156" t="str">
        <f>IFERROR(__xludf.DUMMYFUNCTION("""COMPUTED_VALUE"""),"https://drive.google.com/open?id=15XfhLEDmWrIxqgWgqz-DeDESI_sZctJ0&amp;authuser=jay.agg%40gmail.com&amp;usp=drive_fs")</f>
        <v>https://drive.google.com/open?id=15XfhLEDmWrIxqgWgqz-DeDESI_sZctJ0&amp;authuser=jay.agg%40gmail.com&amp;usp=drive_fs</v>
      </c>
      <c r="B1549" s="73" t="str">
        <f>IFERROR(__xludf.DUMMYFUNCTION("""COMPUTED_VALUE"""),"Medecine")</f>
        <v>Medecine</v>
      </c>
      <c r="C1549" s="73" t="str">
        <f>IFERROR(__xludf.DUMMYFUNCTION("""COMPUTED_VALUE"""),"Aurthot")</f>
        <v>Aurthot</v>
      </c>
      <c r="D1549" s="73" t="str">
        <f>IFERROR(__xludf.DUMMYFUNCTION("""COMPUTED_VALUE"""),"229*51*483 mm | 9*2*19 inch | 26*24")</f>
        <v>229*51*483 mm | 9*2*19 inch | 26*24</v>
      </c>
      <c r="E1549" s="77">
        <f>IFERROR(__xludf.DUMMYFUNCTION("""COMPUTED_VALUE"""),1.0)</f>
        <v>1</v>
      </c>
      <c r="F1549" s="77">
        <f>IFERROR(__xludf.DUMMYFUNCTION("""COMPUTED_VALUE"""),2840.0)</f>
        <v>2840</v>
      </c>
      <c r="G1549" s="77">
        <f>IFERROR(__xludf.DUMMYFUNCTION("""COMPUTED_VALUE"""),25.0)</f>
        <v>25</v>
      </c>
      <c r="H1549" s="77">
        <f>IFERROR(__xludf.DUMMYFUNCTION("""COMPUTED_VALUE"""),30.0)</f>
        <v>30</v>
      </c>
      <c r="I1549" s="77">
        <f>IFERROR(__xludf.DUMMYFUNCTION("""COMPUTED_VALUE"""),100.0)</f>
        <v>100</v>
      </c>
      <c r="J1549" s="73"/>
      <c r="K1549" s="73"/>
      <c r="L1549" s="73"/>
      <c r="M1549" s="77">
        <f>IFERROR(__xludf.DUMMYFUNCTION("""COMPUTED_VALUE"""),0.1)</f>
        <v>0.1</v>
      </c>
      <c r="N1549" s="77">
        <f>IFERROR(__xludf.DUMMYFUNCTION("""COMPUTED_VALUE"""),1.0)</f>
        <v>1</v>
      </c>
      <c r="O1549" s="49"/>
      <c r="P1549" s="49" t="str">
        <f>IFERROR(__xludf.DUMMYFUNCTION("""COMPUTED_VALUE"""),"Offset")</f>
        <v>Offset</v>
      </c>
      <c r="Q1549" s="49" t="str">
        <f>IFERROR(__xludf.DUMMYFUNCTION("""COMPUTED_VALUE"""),"Packaging")</f>
        <v>Packaging</v>
      </c>
      <c r="R1549" s="49" t="str">
        <f>IFERROR(__xludf.DUMMYFUNCTION("""COMPUTED_VALUE"""),"Medecine")</f>
        <v>Medecine</v>
      </c>
    </row>
    <row r="1550">
      <c r="A1550" s="156" t="str">
        <f>IFERROR(__xludf.DUMMYFUNCTION("""COMPUTED_VALUE"""),"https://drive.google.com/open?id=1GbpLP7OM5pecWm1PlWxXrH5d5f4cPr_c&amp;authuser=jay.agg%40gmail.com&amp;usp=drive_fs")</f>
        <v>https://drive.google.com/open?id=1GbpLP7OM5pecWm1PlWxXrH5d5f4cPr_c&amp;authuser=jay.agg%40gmail.com&amp;usp=drive_fs</v>
      </c>
      <c r="B1550" s="73" t="str">
        <f>IFERROR(__xludf.DUMMYFUNCTION("""COMPUTED_VALUE"""),"Medecine")</f>
        <v>Medecine</v>
      </c>
      <c r="C1550" s="73" t="str">
        <f>IFERROR(__xludf.DUMMYFUNCTION("""COMPUTED_VALUE"""),"Aurthot")</f>
        <v>Aurthot</v>
      </c>
      <c r="D1550" s="73" t="str">
        <f>IFERROR(__xludf.DUMMYFUNCTION("""COMPUTED_VALUE"""),"165*76*254 mm | 6.5*3*10 inch")</f>
        <v>165*76*254 mm | 6.5*3*10 inch</v>
      </c>
      <c r="E1550" s="77">
        <f>IFERROR(__xludf.DUMMYFUNCTION("""COMPUTED_VALUE"""),1.0)</f>
        <v>1</v>
      </c>
      <c r="F1550" s="77">
        <f>IFERROR(__xludf.DUMMYFUNCTION("""COMPUTED_VALUE"""),1926.0)</f>
        <v>1926</v>
      </c>
      <c r="G1550" s="77">
        <f>IFERROR(__xludf.DUMMYFUNCTION("""COMPUTED_VALUE"""),18.0)</f>
        <v>18</v>
      </c>
      <c r="H1550" s="77">
        <f>IFERROR(__xludf.DUMMYFUNCTION("""COMPUTED_VALUE"""),23.0)</f>
        <v>23</v>
      </c>
      <c r="I1550" s="77">
        <f>IFERROR(__xludf.DUMMYFUNCTION("""COMPUTED_VALUE"""),100.0)</f>
        <v>100</v>
      </c>
      <c r="J1550" s="73"/>
      <c r="K1550" s="73"/>
      <c r="L1550" s="73"/>
      <c r="M1550" s="77">
        <f>IFERROR(__xludf.DUMMYFUNCTION("""COMPUTED_VALUE"""),0.1)</f>
        <v>0.1</v>
      </c>
      <c r="N1550" s="77">
        <f>IFERROR(__xludf.DUMMYFUNCTION("""COMPUTED_VALUE"""),1.0)</f>
        <v>1</v>
      </c>
      <c r="O1550" s="49"/>
      <c r="P1550" s="49" t="str">
        <f>IFERROR(__xludf.DUMMYFUNCTION("""COMPUTED_VALUE"""),"Offset")</f>
        <v>Offset</v>
      </c>
      <c r="Q1550" s="49" t="str">
        <f>IFERROR(__xludf.DUMMYFUNCTION("""COMPUTED_VALUE"""),"Packaging")</f>
        <v>Packaging</v>
      </c>
      <c r="R1550" s="49" t="str">
        <f>IFERROR(__xludf.DUMMYFUNCTION("""COMPUTED_VALUE"""),"Medecine")</f>
        <v>Medecine</v>
      </c>
    </row>
    <row r="1551">
      <c r="A1551" s="156" t="str">
        <f>IFERROR(__xludf.DUMMYFUNCTION("""COMPUTED_VALUE"""),"https://drive.google.com/open?id=1H6xAR9VvWCigL3V9dOWD-QbL3-auWFbQ&amp;authuser=jay.agg%40gmail.com&amp;usp=drive_fs")</f>
        <v>https://drive.google.com/open?id=1H6xAR9VvWCigL3V9dOWD-QbL3-auWFbQ&amp;authuser=jay.agg%40gmail.com&amp;usp=drive_fs</v>
      </c>
      <c r="B1551" s="73" t="str">
        <f>IFERROR(__xludf.DUMMYFUNCTION("""COMPUTED_VALUE"""),"Medecine")</f>
        <v>Medecine</v>
      </c>
      <c r="C1551" s="73" t="str">
        <f>IFERROR(__xludf.DUMMYFUNCTION("""COMPUTED_VALUE"""),"Eye Drop")</f>
        <v>Eye Drop</v>
      </c>
      <c r="D1551" s="73" t="str">
        <f>IFERROR(__xludf.DUMMYFUNCTION("""COMPUTED_VALUE"""),"40*30*80 mm | 1.6*1.2*3.1 inch")</f>
        <v>40*30*80 mm | 1.6*1.2*3.1 inch</v>
      </c>
      <c r="E1551" s="77">
        <f>IFERROR(__xludf.DUMMYFUNCTION("""COMPUTED_VALUE"""),12.0)</f>
        <v>12</v>
      </c>
      <c r="F1551" s="77">
        <f>IFERROR(__xludf.DUMMYFUNCTION("""COMPUTED_VALUE"""),1926.0)</f>
        <v>1926</v>
      </c>
      <c r="G1551" s="77">
        <f>IFERROR(__xludf.DUMMYFUNCTION("""COMPUTED_VALUE"""),18.0)</f>
        <v>18</v>
      </c>
      <c r="H1551" s="77">
        <f>IFERROR(__xludf.DUMMYFUNCTION("""COMPUTED_VALUE"""),25.0)</f>
        <v>25</v>
      </c>
      <c r="I1551" s="77">
        <f>IFERROR(__xludf.DUMMYFUNCTION("""COMPUTED_VALUE"""),100.0)</f>
        <v>100</v>
      </c>
      <c r="J1551" s="73"/>
      <c r="K1551" s="73"/>
      <c r="L1551" s="73"/>
      <c r="M1551" s="77">
        <f>IFERROR(__xludf.DUMMYFUNCTION("""COMPUTED_VALUE"""),0.1)</f>
        <v>0.1</v>
      </c>
      <c r="N1551" s="77">
        <f>IFERROR(__xludf.DUMMYFUNCTION("""COMPUTED_VALUE"""),1.0)</f>
        <v>1</v>
      </c>
      <c r="O1551" s="49"/>
      <c r="P1551" s="49" t="str">
        <f>IFERROR(__xludf.DUMMYFUNCTION("""COMPUTED_VALUE"""),"Offset")</f>
        <v>Offset</v>
      </c>
      <c r="Q1551" s="49" t="str">
        <f>IFERROR(__xludf.DUMMYFUNCTION("""COMPUTED_VALUE"""),"Packaging")</f>
        <v>Packaging</v>
      </c>
      <c r="R1551" s="49" t="str">
        <f>IFERROR(__xludf.DUMMYFUNCTION("""COMPUTED_VALUE"""),"Medecine")</f>
        <v>Medecine</v>
      </c>
    </row>
    <row r="1552">
      <c r="A1552" s="156" t="str">
        <f>IFERROR(__xludf.DUMMYFUNCTION("""COMPUTED_VALUE"""),"https://drive.google.com/open?id=1KcvnFJt3qJEm2oUC8J0yboxcfnwwM4Q0&amp;usp=drive_fs")</f>
        <v>https://drive.google.com/open?id=1KcvnFJt3qJEm2oUC8J0yboxcfnwwM4Q0&amp;usp=drive_fs</v>
      </c>
      <c r="B1552" s="73" t="str">
        <f>IFERROR(__xludf.DUMMYFUNCTION("""COMPUTED_VALUE"""),"Medecine")</f>
        <v>Medecine</v>
      </c>
      <c r="C1552" s="73" t="str">
        <f>IFERROR(__xludf.DUMMYFUNCTION("""COMPUTED_VALUE"""),"Heat Bag")</f>
        <v>Heat Bag</v>
      </c>
      <c r="D1552" s="73" t="str">
        <f>IFERROR(__xludf.DUMMYFUNCTION("""COMPUTED_VALUE"""),"185*50*225 mm | 7.3*2*8.9 inch | 28*20")</f>
        <v>185*50*225 mm | 7.3*2*8.9 inch | 28*20</v>
      </c>
      <c r="E1552" s="77">
        <f>IFERROR(__xludf.DUMMYFUNCTION("""COMPUTED_VALUE"""),2.0)</f>
        <v>2</v>
      </c>
      <c r="F1552" s="77">
        <f>IFERROR(__xludf.DUMMYFUNCTION("""COMPUTED_VALUE"""),2029.0)</f>
        <v>2029</v>
      </c>
      <c r="G1552" s="77">
        <f>IFERROR(__xludf.DUMMYFUNCTION("""COMPUTED_VALUE"""),20.0)</f>
        <v>20</v>
      </c>
      <c r="H1552" s="77">
        <f>IFERROR(__xludf.DUMMYFUNCTION("""COMPUTED_VALUE"""),28.0)</f>
        <v>28</v>
      </c>
      <c r="I1552" s="77">
        <f>IFERROR(__xludf.DUMMYFUNCTION("""COMPUTED_VALUE"""),100.0)</f>
        <v>100</v>
      </c>
      <c r="J1552" s="73"/>
      <c r="K1552" s="73"/>
      <c r="L1552" s="73"/>
      <c r="M1552" s="77">
        <f>IFERROR(__xludf.DUMMYFUNCTION("""COMPUTED_VALUE"""),0.12)</f>
        <v>0.12</v>
      </c>
      <c r="N1552" s="77">
        <f>IFERROR(__xludf.DUMMYFUNCTION("""COMPUTED_VALUE"""),1.0)</f>
        <v>1</v>
      </c>
      <c r="O1552" s="49"/>
      <c r="P1552" s="49" t="str">
        <f>IFERROR(__xludf.DUMMYFUNCTION("""COMPUTED_VALUE"""),"Offset")</f>
        <v>Offset</v>
      </c>
      <c r="Q1552" s="49" t="str">
        <f>IFERROR(__xludf.DUMMYFUNCTION("""COMPUTED_VALUE"""),"Packaging")</f>
        <v>Packaging</v>
      </c>
      <c r="R1552" s="49" t="str">
        <f>IFERROR(__xludf.DUMMYFUNCTION("""COMPUTED_VALUE"""),"Medecine")</f>
        <v>Medecine</v>
      </c>
    </row>
    <row r="1553">
      <c r="A1553" s="156" t="str">
        <f>IFERROR(__xludf.DUMMYFUNCTION("""COMPUTED_VALUE"""),"https://drive.google.com/open?id=1KetwlxxV-3PqaGVqiIR1pPYJP1X9rXxk&amp;usp=drive_fs")</f>
        <v>https://drive.google.com/open?id=1KetwlxxV-3PqaGVqiIR1pPYJP1X9rXxk&amp;usp=drive_fs</v>
      </c>
      <c r="B1553" s="73" t="str">
        <f>IFERROR(__xludf.DUMMYFUNCTION("""COMPUTED_VALUE"""),"Medecine")</f>
        <v>Medecine</v>
      </c>
      <c r="C1553" s="73" t="str">
        <f>IFERROR(__xludf.DUMMYFUNCTION("""COMPUTED_VALUE"""),"Heat Bag")</f>
        <v>Heat Bag</v>
      </c>
      <c r="D1553" s="73" t="str">
        <f>IFERROR(__xludf.DUMMYFUNCTION("""COMPUTED_VALUE"""),"165*65*245 mm | 6.5*2.6*9.6 inch | 30*20")</f>
        <v>165*65*245 mm | 6.5*2.6*9.6 inch | 30*20</v>
      </c>
      <c r="E1553" s="77">
        <f>IFERROR(__xludf.DUMMYFUNCTION("""COMPUTED_VALUE"""),2.0)</f>
        <v>2</v>
      </c>
      <c r="F1553" s="77">
        <f>IFERROR(__xludf.DUMMYFUNCTION("""COMPUTED_VALUE"""),2840.0)</f>
        <v>2840</v>
      </c>
      <c r="G1553" s="77">
        <f>IFERROR(__xludf.DUMMYFUNCTION("""COMPUTED_VALUE"""),20.75)</f>
        <v>20.75</v>
      </c>
      <c r="H1553" s="77">
        <f>IFERROR(__xludf.DUMMYFUNCTION("""COMPUTED_VALUE"""),31.5)</f>
        <v>31.5</v>
      </c>
      <c r="I1553" s="77">
        <f>IFERROR(__xludf.DUMMYFUNCTION("""COMPUTED_VALUE"""),100.0)</f>
        <v>100</v>
      </c>
      <c r="J1553" s="73"/>
      <c r="K1553" s="73"/>
      <c r="L1553" s="73"/>
      <c r="M1553" s="77">
        <f>IFERROR(__xludf.DUMMYFUNCTION("""COMPUTED_VALUE"""),0.12)</f>
        <v>0.12</v>
      </c>
      <c r="N1553" s="77">
        <f>IFERROR(__xludf.DUMMYFUNCTION("""COMPUTED_VALUE"""),1.0)</f>
        <v>1</v>
      </c>
      <c r="O1553" s="49"/>
      <c r="P1553" s="49" t="str">
        <f>IFERROR(__xludf.DUMMYFUNCTION("""COMPUTED_VALUE"""),"Offset")</f>
        <v>Offset</v>
      </c>
      <c r="Q1553" s="49" t="str">
        <f>IFERROR(__xludf.DUMMYFUNCTION("""COMPUTED_VALUE"""),"Packaging")</f>
        <v>Packaging</v>
      </c>
      <c r="R1553" s="49" t="str">
        <f>IFERROR(__xludf.DUMMYFUNCTION("""COMPUTED_VALUE"""),"Medecine")</f>
        <v>Medecine</v>
      </c>
    </row>
    <row r="1554">
      <c r="A1554" s="156" t="str">
        <f>IFERROR(__xludf.DUMMYFUNCTION("""COMPUTED_VALUE"""),"https://drive.google.com/open?id=19gBunONLWBS71QPUU9sbURhOcQ5HB-Kn&amp;usp=drive_fs")</f>
        <v>https://drive.google.com/open?id=19gBunONLWBS71QPUU9sbURhOcQ5HB-Kn&amp;usp=drive_fs</v>
      </c>
      <c r="B1554" s="73" t="str">
        <f>IFERROR(__xludf.DUMMYFUNCTION("""COMPUTED_VALUE"""),"Medecine")</f>
        <v>Medecine</v>
      </c>
      <c r="C1554" s="73" t="str">
        <f>IFERROR(__xludf.DUMMYFUNCTION("""COMPUTED_VALUE"""),"Seed")</f>
        <v>Seed</v>
      </c>
      <c r="D1554" s="73" t="str">
        <f>IFERROR(__xludf.DUMMYFUNCTION("""COMPUTED_VALUE"""),"50*8*80 mm | 2*0.3*3.15 inch")</f>
        <v>50*8*80 mm | 2*0.3*3.15 inch</v>
      </c>
      <c r="E1554" s="77">
        <f>IFERROR(__xludf.DUMMYFUNCTION("""COMPUTED_VALUE"""),16.0)</f>
        <v>16</v>
      </c>
      <c r="F1554" s="77">
        <f>IFERROR(__xludf.DUMMYFUNCTION("""COMPUTED_VALUE"""),1926.0)</f>
        <v>1926</v>
      </c>
      <c r="G1554" s="77">
        <f>IFERROR(__xludf.DUMMYFUNCTION("""COMPUTED_VALUE"""),18.0)</f>
        <v>18</v>
      </c>
      <c r="H1554" s="77">
        <f>IFERROR(__xludf.DUMMYFUNCTION("""COMPUTED_VALUE"""),23.0)</f>
        <v>23</v>
      </c>
      <c r="I1554" s="77">
        <f>IFERROR(__xludf.DUMMYFUNCTION("""COMPUTED_VALUE"""),100.0)</f>
        <v>100</v>
      </c>
      <c r="J1554" s="73"/>
      <c r="K1554" s="73"/>
      <c r="L1554" s="73"/>
      <c r="M1554" s="77">
        <f>IFERROR(__xludf.DUMMYFUNCTION("""COMPUTED_VALUE"""),0.1)</f>
        <v>0.1</v>
      </c>
      <c r="N1554" s="77">
        <f>IFERROR(__xludf.DUMMYFUNCTION("""COMPUTED_VALUE"""),1.0)</f>
        <v>1</v>
      </c>
      <c r="O1554" s="49"/>
      <c r="P1554" s="49" t="str">
        <f>IFERROR(__xludf.DUMMYFUNCTION("""COMPUTED_VALUE"""),"Offset")</f>
        <v>Offset</v>
      </c>
      <c r="Q1554" s="49" t="str">
        <f>IFERROR(__xludf.DUMMYFUNCTION("""COMPUTED_VALUE"""),"Packaging")</f>
        <v>Packaging</v>
      </c>
      <c r="R1554" s="49" t="str">
        <f>IFERROR(__xludf.DUMMYFUNCTION("""COMPUTED_VALUE"""),"Medecine")</f>
        <v>Medecine</v>
      </c>
    </row>
    <row r="1555">
      <c r="A1555" s="156" t="str">
        <f>IFERROR(__xludf.DUMMYFUNCTION("""COMPUTED_VALUE"""),"https://drive.google.com/open?id=1B2AhWG7KXDjvcWLeR6_sjLGKznM-D0oM&amp;usp=drive_fs")</f>
        <v>https://drive.google.com/open?id=1B2AhWG7KXDjvcWLeR6_sjLGKznM-D0oM&amp;usp=drive_fs</v>
      </c>
      <c r="B1555" s="73" t="str">
        <f>IFERROR(__xludf.DUMMYFUNCTION("""COMPUTED_VALUE"""),"Lifespan")</f>
        <v>Lifespan</v>
      </c>
      <c r="C1555" s="73" t="str">
        <f>IFERROR(__xludf.DUMMYFUNCTION("""COMPUTED_VALUE"""),"Protein")</f>
        <v>Protein</v>
      </c>
      <c r="D1555" s="73" t="str">
        <f>IFERROR(__xludf.DUMMYFUNCTION("""COMPUTED_VALUE"""),"150*35*200 mm | 5.9*1.4*7.9 inch")</f>
        <v>150*35*200 mm | 5.9*1.4*7.9 inch</v>
      </c>
      <c r="E1555" s="77">
        <f>IFERROR(__xludf.DUMMYFUNCTION("""COMPUTED_VALUE"""),4.0)</f>
        <v>4</v>
      </c>
      <c r="F1555" s="77">
        <f>IFERROR(__xludf.DUMMYFUNCTION("""COMPUTED_VALUE"""),2840.0)</f>
        <v>2840</v>
      </c>
      <c r="G1555" s="77">
        <f>IFERROR(__xludf.DUMMYFUNCTION("""COMPUTED_VALUE"""),23.0)</f>
        <v>23</v>
      </c>
      <c r="H1555" s="77">
        <f>IFERROR(__xludf.DUMMYFUNCTION("""COMPUTED_VALUE"""),31.0)</f>
        <v>31</v>
      </c>
      <c r="I1555" s="77">
        <f>IFERROR(__xludf.DUMMYFUNCTION("""COMPUTED_VALUE"""),100.0)</f>
        <v>100</v>
      </c>
      <c r="J1555" s="73"/>
      <c r="K1555" s="73"/>
      <c r="L1555" s="73"/>
      <c r="M1555" s="77">
        <f>IFERROR(__xludf.DUMMYFUNCTION("""COMPUTED_VALUE"""),0.1)</f>
        <v>0.1</v>
      </c>
      <c r="N1555" s="77">
        <f>IFERROR(__xludf.DUMMYFUNCTION("""COMPUTED_VALUE"""),1.0)</f>
        <v>1</v>
      </c>
      <c r="O1555" s="49"/>
      <c r="P1555" s="49" t="str">
        <f>IFERROR(__xludf.DUMMYFUNCTION("""COMPUTED_VALUE"""),"Offset")</f>
        <v>Offset</v>
      </c>
      <c r="Q1555" s="49" t="str">
        <f>IFERROR(__xludf.DUMMYFUNCTION("""COMPUTED_VALUE"""),"Packaging")</f>
        <v>Packaging</v>
      </c>
      <c r="R1555" s="49" t="str">
        <f>IFERROR(__xludf.DUMMYFUNCTION("""COMPUTED_VALUE"""),"Lifespan")</f>
        <v>Lifespan</v>
      </c>
    </row>
    <row r="1556">
      <c r="A1556" s="156" t="str">
        <f>IFERROR(__xludf.DUMMYFUNCTION("""COMPUTED_VALUE"""),"https://drive.google.com/open?id=1B6x-6XHT7PQQGkGWTMisLAZjbzHOcTuX&amp;usp=drive_fs")</f>
        <v>https://drive.google.com/open?id=1B6x-6XHT7PQQGkGWTMisLAZjbzHOcTuX&amp;usp=drive_fs</v>
      </c>
      <c r="B1556" s="73" t="str">
        <f>IFERROR(__xludf.DUMMYFUNCTION("""COMPUTED_VALUE"""),"Lifespan")</f>
        <v>Lifespan</v>
      </c>
      <c r="C1556" s="73" t="str">
        <f>IFERROR(__xludf.DUMMYFUNCTION("""COMPUTED_VALUE"""),"Micronutrient")</f>
        <v>Micronutrient</v>
      </c>
      <c r="D1556" s="73" t="str">
        <f>IFERROR(__xludf.DUMMYFUNCTION("""COMPUTED_VALUE"""),"144*105*75 mm | 5.7*4.1*3.9 inch")</f>
        <v>144*105*75 mm | 5.7*4.1*3.9 inch</v>
      </c>
      <c r="E1556" s="77">
        <f>IFERROR(__xludf.DUMMYFUNCTION("""COMPUTED_VALUE"""),4.0)</f>
        <v>4</v>
      </c>
      <c r="F1556" s="77">
        <f>IFERROR(__xludf.DUMMYFUNCTION("""COMPUTED_VALUE"""),2840.0)</f>
        <v>2840</v>
      </c>
      <c r="G1556" s="77">
        <f>IFERROR(__xludf.DUMMYFUNCTION("""COMPUTED_VALUE"""),20.75)</f>
        <v>20.75</v>
      </c>
      <c r="H1556" s="77">
        <f>IFERROR(__xludf.DUMMYFUNCTION("""COMPUTED_VALUE"""),31.0)</f>
        <v>31</v>
      </c>
      <c r="I1556" s="77">
        <f>IFERROR(__xludf.DUMMYFUNCTION("""COMPUTED_VALUE"""),100.0)</f>
        <v>100</v>
      </c>
      <c r="J1556" s="73"/>
      <c r="K1556" s="73"/>
      <c r="L1556" s="73"/>
      <c r="M1556" s="77">
        <f>IFERROR(__xludf.DUMMYFUNCTION("""COMPUTED_VALUE"""),0.1)</f>
        <v>0.1</v>
      </c>
      <c r="N1556" s="77">
        <f>IFERROR(__xludf.DUMMYFUNCTION("""COMPUTED_VALUE"""),1.0)</f>
        <v>1</v>
      </c>
      <c r="O1556" s="49"/>
      <c r="P1556" s="49" t="str">
        <f>IFERROR(__xludf.DUMMYFUNCTION("""COMPUTED_VALUE"""),"Offset")</f>
        <v>Offset</v>
      </c>
      <c r="Q1556" s="49" t="str">
        <f>IFERROR(__xludf.DUMMYFUNCTION("""COMPUTED_VALUE"""),"Packaging")</f>
        <v>Packaging</v>
      </c>
      <c r="R1556" s="49" t="str">
        <f>IFERROR(__xludf.DUMMYFUNCTION("""COMPUTED_VALUE"""),"Lifespan")</f>
        <v>Lifespan</v>
      </c>
    </row>
    <row r="1557">
      <c r="A1557" s="156" t="str">
        <f>IFERROR(__xludf.DUMMYFUNCTION("""COMPUTED_VALUE"""),"https://drive.google.com/open?id=1B7rfQjDqRY_6tbssF_mrXsdeWH-tzoxs&amp;usp=drive_fs")</f>
        <v>https://drive.google.com/open?id=1B7rfQjDqRY_6tbssF_mrXsdeWH-tzoxs&amp;usp=drive_fs</v>
      </c>
      <c r="B1557" s="73" t="str">
        <f>IFERROR(__xludf.DUMMYFUNCTION("""COMPUTED_VALUE"""),"Lifespan")</f>
        <v>Lifespan</v>
      </c>
      <c r="C1557" s="73" t="str">
        <f>IFERROR(__xludf.DUMMYFUNCTION("""COMPUTED_VALUE"""),"Misc")</f>
        <v>Misc</v>
      </c>
      <c r="D1557" s="73" t="str">
        <f>IFERROR(__xludf.DUMMYFUNCTION("""COMPUTED_VALUE"""),"60*60*160 mm | 2.4*2.4*6.3 inch")</f>
        <v>60*60*160 mm | 2.4*2.4*6.3 inch</v>
      </c>
      <c r="E1557" s="77">
        <f>IFERROR(__xludf.DUMMYFUNCTION("""COMPUTED_VALUE"""),6.0)</f>
        <v>6</v>
      </c>
      <c r="F1557" s="77">
        <f>IFERROR(__xludf.DUMMYFUNCTION("""COMPUTED_VALUE"""),2840.0)</f>
        <v>2840</v>
      </c>
      <c r="G1557" s="77">
        <f>IFERROR(__xludf.DUMMYFUNCTION("""COMPUTED_VALUE"""),20.75)</f>
        <v>20.75</v>
      </c>
      <c r="H1557" s="77">
        <f>IFERROR(__xludf.DUMMYFUNCTION("""COMPUTED_VALUE"""),31.0)</f>
        <v>31</v>
      </c>
      <c r="I1557" s="77">
        <f>IFERROR(__xludf.DUMMYFUNCTION("""COMPUTED_VALUE"""),100.0)</f>
        <v>100</v>
      </c>
      <c r="J1557" s="73"/>
      <c r="K1557" s="73"/>
      <c r="L1557" s="73"/>
      <c r="M1557" s="77">
        <f>IFERROR(__xludf.DUMMYFUNCTION("""COMPUTED_VALUE"""),0.1)</f>
        <v>0.1</v>
      </c>
      <c r="N1557" s="77">
        <f>IFERROR(__xludf.DUMMYFUNCTION("""COMPUTED_VALUE"""),1.0)</f>
        <v>1</v>
      </c>
      <c r="O1557" s="49"/>
      <c r="P1557" s="49" t="str">
        <f>IFERROR(__xludf.DUMMYFUNCTION("""COMPUTED_VALUE"""),"Offset")</f>
        <v>Offset</v>
      </c>
      <c r="Q1557" s="49" t="str">
        <f>IFERROR(__xludf.DUMMYFUNCTION("""COMPUTED_VALUE"""),"Packaging")</f>
        <v>Packaging</v>
      </c>
      <c r="R1557" s="49" t="str">
        <f>IFERROR(__xludf.DUMMYFUNCTION("""COMPUTED_VALUE"""),"Lifespan")</f>
        <v>Lifespan</v>
      </c>
    </row>
    <row r="1558">
      <c r="A1558" s="156" t="str">
        <f>IFERROR(__xludf.DUMMYFUNCTION("""COMPUTED_VALUE"""),"https://drive.google.com/open?id=1-zaxLKbEGveSFYg8coseEoKUL6-XRLkX&amp;usp=drive_fs")</f>
        <v>https://drive.google.com/open?id=1-zaxLKbEGveSFYg8coseEoKUL6-XRLkX&amp;usp=drive_fs</v>
      </c>
      <c r="B1558" s="73" t="str">
        <f>IFERROR(__xludf.DUMMYFUNCTION("""COMPUTED_VALUE"""),"Medecine")</f>
        <v>Medecine</v>
      </c>
      <c r="C1558" s="73" t="str">
        <f>IFERROR(__xludf.DUMMYFUNCTION("""COMPUTED_VALUE"""),"Needle")</f>
        <v>Needle</v>
      </c>
      <c r="D1558" s="73" t="str">
        <f>IFERROR(__xludf.DUMMYFUNCTION("""COMPUTED_VALUE"""),"200*85*50 mm | 7.8*3.3*2 inch IL | 24*14")</f>
        <v>200*85*50 mm | 7.8*3.3*2 inch IL | 24*14</v>
      </c>
      <c r="E1558" s="77">
        <f>IFERROR(__xludf.DUMMYFUNCTION("""COMPUTED_VALUE"""),2.0)</f>
        <v>2</v>
      </c>
      <c r="F1558" s="77">
        <f>IFERROR(__xludf.DUMMYFUNCTION("""COMPUTED_VALUE"""),1926.0)</f>
        <v>1926</v>
      </c>
      <c r="G1558" s="77">
        <f>IFERROR(__xludf.DUMMYFUNCTION("""COMPUTED_VALUE"""),15.0)</f>
        <v>15</v>
      </c>
      <c r="H1558" s="77">
        <f>IFERROR(__xludf.DUMMYFUNCTION("""COMPUTED_VALUE"""),25.0)</f>
        <v>25</v>
      </c>
      <c r="I1558" s="77">
        <f>IFERROR(__xludf.DUMMYFUNCTION("""COMPUTED_VALUE"""),100.0)</f>
        <v>100</v>
      </c>
      <c r="J1558" s="73"/>
      <c r="K1558" s="73"/>
      <c r="L1558" s="73"/>
      <c r="M1558" s="77">
        <f>IFERROR(__xludf.DUMMYFUNCTION("""COMPUTED_VALUE"""),0.12)</f>
        <v>0.12</v>
      </c>
      <c r="N1558" s="77">
        <f>IFERROR(__xludf.DUMMYFUNCTION("""COMPUTED_VALUE"""),1.0)</f>
        <v>1</v>
      </c>
      <c r="O1558" s="49"/>
      <c r="P1558" s="49" t="str">
        <f>IFERROR(__xludf.DUMMYFUNCTION("""COMPUTED_VALUE"""),"Offset")</f>
        <v>Offset</v>
      </c>
      <c r="Q1558" s="49" t="str">
        <f>IFERROR(__xludf.DUMMYFUNCTION("""COMPUTED_VALUE"""),"Packaging")</f>
        <v>Packaging</v>
      </c>
      <c r="R1558" s="49" t="str">
        <f>IFERROR(__xludf.DUMMYFUNCTION("""COMPUTED_VALUE"""),"Medecine")</f>
        <v>Medecine</v>
      </c>
    </row>
    <row r="1559">
      <c r="A1559" s="156" t="str">
        <f>IFERROR(__xludf.DUMMYFUNCTION("""COMPUTED_VALUE"""),"https://drive.google.com/open?id=1csRczAo_xvrhWCJrfHW4pL60a02-tV1r&amp;usp=drive_fs")</f>
        <v>https://drive.google.com/open?id=1csRczAo_xvrhWCJrfHW4pL60a02-tV1r&amp;usp=drive_fs</v>
      </c>
      <c r="B1559" s="73" t="str">
        <f>IFERROR(__xludf.DUMMYFUNCTION("""COMPUTED_VALUE"""),"Medecine")</f>
        <v>Medecine</v>
      </c>
      <c r="C1559" s="73" t="str">
        <f>IFERROR(__xludf.DUMMYFUNCTION("""COMPUTED_VALUE"""),"Misc")</f>
        <v>Misc</v>
      </c>
      <c r="D1559" s="73" t="str">
        <f>IFERROR(__xludf.DUMMYFUNCTION("""COMPUTED_VALUE"""),"80*15*150 mm | 3.1*0.6*5.9 inch")</f>
        <v>80*15*150 mm | 3.1*0.6*5.9 inch</v>
      </c>
      <c r="E1559" s="77">
        <f>IFERROR(__xludf.DUMMYFUNCTION("""COMPUTED_VALUE"""),6.0)</f>
        <v>6</v>
      </c>
      <c r="F1559" s="77">
        <f>IFERROR(__xludf.DUMMYFUNCTION("""COMPUTED_VALUE"""),1926.0)</f>
        <v>1926</v>
      </c>
      <c r="G1559" s="77">
        <f>IFERROR(__xludf.DUMMYFUNCTION("""COMPUTED_VALUE"""),18.0)</f>
        <v>18</v>
      </c>
      <c r="H1559" s="77">
        <f>IFERROR(__xludf.DUMMYFUNCTION("""COMPUTED_VALUE"""),23.0)</f>
        <v>23</v>
      </c>
      <c r="I1559" s="77">
        <f>IFERROR(__xludf.DUMMYFUNCTION("""COMPUTED_VALUE"""),100.0)</f>
        <v>100</v>
      </c>
      <c r="J1559" s="73"/>
      <c r="K1559" s="73"/>
      <c r="L1559" s="73"/>
      <c r="M1559" s="77">
        <f>IFERROR(__xludf.DUMMYFUNCTION("""COMPUTED_VALUE"""),0.1)</f>
        <v>0.1</v>
      </c>
      <c r="N1559" s="77">
        <f>IFERROR(__xludf.DUMMYFUNCTION("""COMPUTED_VALUE"""),1.0)</f>
        <v>1</v>
      </c>
      <c r="O1559" s="49"/>
      <c r="P1559" s="49" t="str">
        <f>IFERROR(__xludf.DUMMYFUNCTION("""COMPUTED_VALUE"""),"Offset")</f>
        <v>Offset</v>
      </c>
      <c r="Q1559" s="49" t="str">
        <f>IFERROR(__xludf.DUMMYFUNCTION("""COMPUTED_VALUE"""),"Packaging")</f>
        <v>Packaging</v>
      </c>
      <c r="R1559" s="49" t="str">
        <f>IFERROR(__xludf.DUMMYFUNCTION("""COMPUTED_VALUE"""),"Medecine")</f>
        <v>Medecine</v>
      </c>
    </row>
    <row r="1560">
      <c r="A1560" s="156" t="str">
        <f>IFERROR(__xludf.DUMMYFUNCTION("""COMPUTED_VALUE"""),"https://drive.google.com/open?id=1WXc-mKAHr93suwVRA5wtpWh8v-nT5-e9&amp;authuser=jay.agg%40gmail.com&amp;usp=drive_fs")</f>
        <v>https://drive.google.com/open?id=1WXc-mKAHr93suwVRA5wtpWh8v-nT5-e9&amp;authuser=jay.agg%40gmail.com&amp;usp=drive_fs</v>
      </c>
      <c r="B1560" s="73" t="str">
        <f>IFERROR(__xludf.DUMMYFUNCTION("""COMPUTED_VALUE"""),"Bakery")</f>
        <v>Bakery</v>
      </c>
      <c r="C1560" s="73" t="str">
        <f>IFERROR(__xludf.DUMMYFUNCTION("""COMPUTED_VALUE"""),"Cake Box")</f>
        <v>Cake Box</v>
      </c>
      <c r="D1560" s="73" t="str">
        <f>IFERROR(__xludf.DUMMYFUNCTION("""COMPUTED_VALUE"""),"229*229*127 mm | 9*9*5 inch | 30*19")</f>
        <v>229*229*127 mm | 9*9*5 inch | 30*19</v>
      </c>
      <c r="E1560" s="77">
        <f>IFERROR(__xludf.DUMMYFUNCTION("""COMPUTED_VALUE"""),1.0)</f>
        <v>1</v>
      </c>
      <c r="F1560" s="77">
        <f>IFERROR(__xludf.DUMMYFUNCTION("""COMPUTED_VALUE"""),2840.0)</f>
        <v>2840</v>
      </c>
      <c r="G1560" s="77">
        <f>IFERROR(__xludf.DUMMYFUNCTION("""COMPUTED_VALUE"""),20.0)</f>
        <v>20</v>
      </c>
      <c r="H1560" s="77">
        <f>IFERROR(__xludf.DUMMYFUNCTION("""COMPUTED_VALUE"""),30.0)</f>
        <v>30</v>
      </c>
      <c r="I1560" s="77">
        <f>IFERROR(__xludf.DUMMYFUNCTION("""COMPUTED_VALUE"""),100.0)</f>
        <v>100</v>
      </c>
      <c r="J1560" s="73"/>
      <c r="K1560" s="73"/>
      <c r="L1560" s="73"/>
      <c r="M1560" s="77"/>
      <c r="N1560" s="77">
        <f>IFERROR(__xludf.DUMMYFUNCTION("""COMPUTED_VALUE"""),1.0)</f>
        <v>1</v>
      </c>
      <c r="O1560" s="49"/>
      <c r="P1560" s="49" t="str">
        <f>IFERROR(__xludf.DUMMYFUNCTION("""COMPUTED_VALUE"""),"Offset")</f>
        <v>Offset</v>
      </c>
      <c r="Q1560" s="49" t="str">
        <f>IFERROR(__xludf.DUMMYFUNCTION("""COMPUTED_VALUE"""),"Packaging")</f>
        <v>Packaging</v>
      </c>
      <c r="R1560" s="49" t="str">
        <f>IFERROR(__xludf.DUMMYFUNCTION("""COMPUTED_VALUE"""),"Bakery")</f>
        <v>Bakery</v>
      </c>
    </row>
    <row r="1561">
      <c r="A1561" s="156" t="str">
        <f>IFERROR(__xludf.DUMMYFUNCTION("""COMPUTED_VALUE"""),"https://drive.google.com/open?id=1WcEROCbZAQrzFV8U2tXZ8xBXWZZlusx-&amp;authuser=jay.agg%40gmail.com&amp;usp=drive_fs")</f>
        <v>https://drive.google.com/open?id=1WcEROCbZAQrzFV8U2tXZ8xBXWZZlusx-&amp;authuser=jay.agg%40gmail.com&amp;usp=drive_fs</v>
      </c>
      <c r="B1561" s="73" t="str">
        <f>IFERROR(__xludf.DUMMYFUNCTION("""COMPUTED_VALUE"""),"Bakery")</f>
        <v>Bakery</v>
      </c>
      <c r="C1561" s="73" t="str">
        <f>IFERROR(__xludf.DUMMYFUNCTION("""COMPUTED_VALUE"""),"Cake Box")</f>
        <v>Cake Box</v>
      </c>
      <c r="D1561" s="73" t="str">
        <f>IFERROR(__xludf.DUMMYFUNCTION("""COMPUTED_VALUE"""),"254*254*127 mm | 10*10*5 inch | 22*32")</f>
        <v>254*254*127 mm | 10*10*5 inch | 22*32</v>
      </c>
      <c r="E1561" s="77">
        <f>IFERROR(__xludf.DUMMYFUNCTION("""COMPUTED_VALUE"""),1.0)</f>
        <v>1</v>
      </c>
      <c r="F1561" s="77">
        <f>IFERROR(__xludf.DUMMYFUNCTION("""COMPUTED_VALUE"""),2840.0)</f>
        <v>2840</v>
      </c>
      <c r="G1561" s="77">
        <f>IFERROR(__xludf.DUMMYFUNCTION("""COMPUTED_VALUE"""),31.5)</f>
        <v>31.5</v>
      </c>
      <c r="H1561" s="77">
        <f>IFERROR(__xludf.DUMMYFUNCTION("""COMPUTED_VALUE"""),20.75)</f>
        <v>20.75</v>
      </c>
      <c r="I1561" s="77">
        <f>IFERROR(__xludf.DUMMYFUNCTION("""COMPUTED_VALUE"""),100.0)</f>
        <v>100</v>
      </c>
      <c r="J1561" s="73"/>
      <c r="K1561" s="73"/>
      <c r="L1561" s="73"/>
      <c r="M1561" s="77"/>
      <c r="N1561" s="77">
        <f>IFERROR(__xludf.DUMMYFUNCTION("""COMPUTED_VALUE"""),1.0)</f>
        <v>1</v>
      </c>
      <c r="O1561" s="49"/>
      <c r="P1561" s="49" t="str">
        <f>IFERROR(__xludf.DUMMYFUNCTION("""COMPUTED_VALUE"""),"Offset")</f>
        <v>Offset</v>
      </c>
      <c r="Q1561" s="49" t="str">
        <f>IFERROR(__xludf.DUMMYFUNCTION("""COMPUTED_VALUE"""),"Packaging")</f>
        <v>Packaging</v>
      </c>
      <c r="R1561" s="49" t="str">
        <f>IFERROR(__xludf.DUMMYFUNCTION("""COMPUTED_VALUE"""),"Bakery")</f>
        <v>Bakery</v>
      </c>
    </row>
    <row r="1562">
      <c r="A1562" s="156" t="str">
        <f>IFERROR(__xludf.DUMMYFUNCTION("""COMPUTED_VALUE"""),"https://drive.google.com/open?id=1WiwENX2OXbqGtZImummaw69V1QZvIUmI&amp;authuser=jay.agg%40gmail.com&amp;usp=drive_fs")</f>
        <v>https://drive.google.com/open?id=1WiwENX2OXbqGtZImummaw69V1QZvIUmI&amp;authuser=jay.agg%40gmail.com&amp;usp=drive_fs</v>
      </c>
      <c r="B1562" s="73" t="str">
        <f>IFERROR(__xludf.DUMMYFUNCTION("""COMPUTED_VALUE"""),"Bakery")</f>
        <v>Bakery</v>
      </c>
      <c r="C1562" s="73" t="str">
        <f>IFERROR(__xludf.DUMMYFUNCTION("""COMPUTED_VALUE"""),"Cake Box")</f>
        <v>Cake Box</v>
      </c>
      <c r="D1562" s="73" t="str">
        <f>IFERROR(__xludf.DUMMYFUNCTION("""COMPUTED_VALUE"""),"9*5*4 inch")</f>
        <v>9*5*4 inch</v>
      </c>
      <c r="E1562" s="77">
        <f>IFERROR(__xludf.DUMMYFUNCTION("""COMPUTED_VALUE"""),1.0)</f>
        <v>1</v>
      </c>
      <c r="F1562" s="77">
        <f>IFERROR(__xludf.DUMMYFUNCTION("""COMPUTED_VALUE"""),1926.0)</f>
        <v>1926</v>
      </c>
      <c r="G1562" s="77">
        <f>IFERROR(__xludf.DUMMYFUNCTION("""COMPUTED_VALUE"""),18.0)</f>
        <v>18</v>
      </c>
      <c r="H1562" s="77">
        <f>IFERROR(__xludf.DUMMYFUNCTION("""COMPUTED_VALUE"""),19.0)</f>
        <v>19</v>
      </c>
      <c r="I1562" s="77">
        <f>IFERROR(__xludf.DUMMYFUNCTION("""COMPUTED_VALUE"""),100.0)</f>
        <v>100</v>
      </c>
      <c r="J1562" s="73"/>
      <c r="K1562" s="73"/>
      <c r="L1562" s="73"/>
      <c r="M1562" s="77"/>
      <c r="N1562" s="77">
        <f>IFERROR(__xludf.DUMMYFUNCTION("""COMPUTED_VALUE"""),1.0)</f>
        <v>1</v>
      </c>
      <c r="O1562" s="49"/>
      <c r="P1562" s="49" t="str">
        <f>IFERROR(__xludf.DUMMYFUNCTION("""COMPUTED_VALUE"""),"Offset")</f>
        <v>Offset</v>
      </c>
      <c r="Q1562" s="49" t="str">
        <f>IFERROR(__xludf.DUMMYFUNCTION("""COMPUTED_VALUE"""),"Packaging")</f>
        <v>Packaging</v>
      </c>
      <c r="R1562" s="49" t="str">
        <f>IFERROR(__xludf.DUMMYFUNCTION("""COMPUTED_VALUE"""),"Bakery")</f>
        <v>Bakery</v>
      </c>
    </row>
    <row r="1563">
      <c r="A1563" s="156" t="str">
        <f>IFERROR(__xludf.DUMMYFUNCTION("""COMPUTED_VALUE"""),"https://drive.google.com/open?id=1WjdIHZnsmG9Xe4DSSnFt65ZtIl_qw1S5&amp;authuser=jay.agg%40gmail.com&amp;usp=drive_fs")</f>
        <v>https://drive.google.com/open?id=1WjdIHZnsmG9Xe4DSSnFt65ZtIl_qw1S5&amp;authuser=jay.agg%40gmail.com&amp;usp=drive_fs</v>
      </c>
      <c r="B1563" s="73" t="str">
        <f>IFERROR(__xludf.DUMMYFUNCTION("""COMPUTED_VALUE"""),"Bakery")</f>
        <v>Bakery</v>
      </c>
      <c r="C1563" s="73" t="str">
        <f>IFERROR(__xludf.DUMMYFUNCTION("""COMPUTED_VALUE"""),"Cake Box")</f>
        <v>Cake Box</v>
      </c>
      <c r="D1563" s="73" t="str">
        <f>IFERROR(__xludf.DUMMYFUNCTION("""COMPUTED_VALUE"""),"12*5*4 inch")</f>
        <v>12*5*4 inch</v>
      </c>
      <c r="E1563" s="77">
        <f>IFERROR(__xludf.DUMMYFUNCTION("""COMPUTED_VALUE"""),1.0)</f>
        <v>1</v>
      </c>
      <c r="F1563" s="77">
        <f>IFERROR(__xludf.DUMMYFUNCTION("""COMPUTED_VALUE"""),1926.0)</f>
        <v>1926</v>
      </c>
      <c r="G1563" s="77">
        <f>IFERROR(__xludf.DUMMYFUNCTION("""COMPUTED_VALUE"""),19.0)</f>
        <v>19</v>
      </c>
      <c r="H1563" s="77">
        <f>IFERROR(__xludf.DUMMYFUNCTION("""COMPUTED_VALUE"""),20.0)</f>
        <v>20</v>
      </c>
      <c r="I1563" s="77">
        <f>IFERROR(__xludf.DUMMYFUNCTION("""COMPUTED_VALUE"""),100.0)</f>
        <v>100</v>
      </c>
      <c r="J1563" s="73"/>
      <c r="K1563" s="73"/>
      <c r="L1563" s="73"/>
      <c r="M1563" s="77"/>
      <c r="N1563" s="77">
        <f>IFERROR(__xludf.DUMMYFUNCTION("""COMPUTED_VALUE"""),1.0)</f>
        <v>1</v>
      </c>
      <c r="O1563" s="49"/>
      <c r="P1563" s="49" t="str">
        <f>IFERROR(__xludf.DUMMYFUNCTION("""COMPUTED_VALUE"""),"Offset")</f>
        <v>Offset</v>
      </c>
      <c r="Q1563" s="49" t="str">
        <f>IFERROR(__xludf.DUMMYFUNCTION("""COMPUTED_VALUE"""),"Packaging")</f>
        <v>Packaging</v>
      </c>
      <c r="R1563" s="49" t="str">
        <f>IFERROR(__xludf.DUMMYFUNCTION("""COMPUTED_VALUE"""),"Bakery")</f>
        <v>Bakery</v>
      </c>
    </row>
    <row r="1564">
      <c r="A1564" s="156" t="str">
        <f>IFERROR(__xludf.DUMMYFUNCTION("""COMPUTED_VALUE"""),"https://drive.google.com/open?id=1Emi--XIoiuXckSxqBeNw1IyXwinydrah&amp;authuser=jay.agg%40gmail.com&amp;usp=drive_fs")</f>
        <v>https://drive.google.com/open?id=1Emi--XIoiuXckSxqBeNw1IyXwinydrah&amp;authuser=jay.agg%40gmail.com&amp;usp=drive_fs</v>
      </c>
      <c r="B1564" s="73" t="str">
        <f>IFERROR(__xludf.DUMMYFUNCTION("""COMPUTED_VALUE"""),"Bakery")</f>
        <v>Bakery</v>
      </c>
      <c r="C1564" s="73" t="str">
        <f>IFERROR(__xludf.DUMMYFUNCTION("""COMPUTED_VALUE"""),"Cake Box")</f>
        <v>Cake Box</v>
      </c>
      <c r="D1564" s="73" t="str">
        <f>IFERROR(__xludf.DUMMYFUNCTION("""COMPUTED_VALUE"""),"178*178*127 mm | 7*7*5 inch | 30*26")</f>
        <v>178*178*127 mm | 7*7*5 inch | 30*26</v>
      </c>
      <c r="E1564" s="77">
        <f>IFERROR(__xludf.DUMMYFUNCTION("""COMPUTED_VALUE"""),2.0)</f>
        <v>2</v>
      </c>
      <c r="F1564" s="77">
        <f>IFERROR(__xludf.DUMMYFUNCTION("""COMPUTED_VALUE"""),2840.0)</f>
        <v>2840</v>
      </c>
      <c r="G1564" s="77">
        <f>IFERROR(__xludf.DUMMYFUNCTION("""COMPUTED_VALUE"""),30.0)</f>
        <v>30</v>
      </c>
      <c r="H1564" s="77">
        <f>IFERROR(__xludf.DUMMYFUNCTION("""COMPUTED_VALUE"""),26.0)</f>
        <v>26</v>
      </c>
      <c r="I1564" s="77">
        <f>IFERROR(__xludf.DUMMYFUNCTION("""COMPUTED_VALUE"""),100.0)</f>
        <v>100</v>
      </c>
      <c r="J1564" s="73"/>
      <c r="K1564" s="73"/>
      <c r="L1564" s="73"/>
      <c r="M1564" s="77"/>
      <c r="N1564" s="77">
        <f>IFERROR(__xludf.DUMMYFUNCTION("""COMPUTED_VALUE"""),1.0)</f>
        <v>1</v>
      </c>
      <c r="O1564" s="49"/>
      <c r="P1564" s="49" t="str">
        <f>IFERROR(__xludf.DUMMYFUNCTION("""COMPUTED_VALUE"""),"Offset")</f>
        <v>Offset</v>
      </c>
      <c r="Q1564" s="49" t="str">
        <f>IFERROR(__xludf.DUMMYFUNCTION("""COMPUTED_VALUE"""),"Packaging")</f>
        <v>Packaging</v>
      </c>
      <c r="R1564" s="49" t="str">
        <f>IFERROR(__xludf.DUMMYFUNCTION("""COMPUTED_VALUE"""),"Bakery")</f>
        <v>Bakery</v>
      </c>
    </row>
    <row r="1565">
      <c r="A1565" s="156" t="str">
        <f>IFERROR(__xludf.DUMMYFUNCTION("""COMPUTED_VALUE"""),"https://drive.google.com/open?id=1Wosbq19T-CU3cAZZBsGO1-uK-rVVCFnR&amp;authuser=jay.agg%40gmail.com&amp;usp=drive_fs")</f>
        <v>https://drive.google.com/open?id=1Wosbq19T-CU3cAZZBsGO1-uK-rVVCFnR&amp;authuser=jay.agg%40gmail.com&amp;usp=drive_fs</v>
      </c>
      <c r="B1565" s="73" t="str">
        <f>IFERROR(__xludf.DUMMYFUNCTION("""COMPUTED_VALUE"""),"Bakery")</f>
        <v>Bakery</v>
      </c>
      <c r="C1565" s="73" t="str">
        <f>IFERROR(__xludf.DUMMYFUNCTION("""COMPUTED_VALUE"""),"Cake Box")</f>
        <v>Cake Box</v>
      </c>
      <c r="D1565" s="73" t="str">
        <f>IFERROR(__xludf.DUMMYFUNCTION("""COMPUTED_VALUE"""),"203*203*127 mm | 8*8*5 inch | 34*27")</f>
        <v>203*203*127 mm | 8*8*5 inch | 34*27</v>
      </c>
      <c r="E1565" s="77">
        <f>IFERROR(__xludf.DUMMYFUNCTION("""COMPUTED_VALUE"""),2.0)</f>
        <v>2</v>
      </c>
      <c r="F1565" s="77">
        <f>IFERROR(__xludf.DUMMYFUNCTION("""COMPUTED_VALUE"""),2840.0)</f>
        <v>2840</v>
      </c>
      <c r="G1565" s="77">
        <f>IFERROR(__xludf.DUMMYFUNCTION("""COMPUTED_VALUE"""),34.0)</f>
        <v>34</v>
      </c>
      <c r="H1565" s="77">
        <f>IFERROR(__xludf.DUMMYFUNCTION("""COMPUTED_VALUE"""),27.0)</f>
        <v>27</v>
      </c>
      <c r="I1565" s="77">
        <f>IFERROR(__xludf.DUMMYFUNCTION("""COMPUTED_VALUE"""),100.0)</f>
        <v>100</v>
      </c>
      <c r="J1565" s="73"/>
      <c r="K1565" s="73"/>
      <c r="L1565" s="73"/>
      <c r="M1565" s="77"/>
      <c r="N1565" s="77">
        <f>IFERROR(__xludf.DUMMYFUNCTION("""COMPUTED_VALUE"""),1.0)</f>
        <v>1</v>
      </c>
      <c r="O1565" s="49"/>
      <c r="P1565" s="49" t="str">
        <f>IFERROR(__xludf.DUMMYFUNCTION("""COMPUTED_VALUE"""),"Offset")</f>
        <v>Offset</v>
      </c>
      <c r="Q1565" s="49" t="str">
        <f>IFERROR(__xludf.DUMMYFUNCTION("""COMPUTED_VALUE"""),"Packaging")</f>
        <v>Packaging</v>
      </c>
      <c r="R1565" s="49" t="str">
        <f>IFERROR(__xludf.DUMMYFUNCTION("""COMPUTED_VALUE"""),"Bakery")</f>
        <v>Bakery</v>
      </c>
    </row>
    <row r="1566">
      <c r="A1566" s="156" t="str">
        <f>IFERROR(__xludf.DUMMYFUNCTION("""COMPUTED_VALUE"""),"https://drive.google.com/open?id=1W1vqJdQa_BeBgh7ncpXytp9uCtwzxlwg&amp;authuser=jay.agg%40gmail.com&amp;usp=drive_fs")</f>
        <v>https://drive.google.com/open?id=1W1vqJdQa_BeBgh7ncpXytp9uCtwzxlwg&amp;authuser=jay.agg%40gmail.com&amp;usp=drive_fs</v>
      </c>
      <c r="B1566" s="73" t="str">
        <f>IFERROR(__xludf.DUMMYFUNCTION("""COMPUTED_VALUE"""),"Meethai &amp; Cake")</f>
        <v>Meethai &amp; Cake</v>
      </c>
      <c r="C1566" s="73" t="str">
        <f>IFERROR(__xludf.DUMMYFUNCTION("""COMPUTED_VALUE"""),"Meethai")</f>
        <v>Meethai</v>
      </c>
      <c r="D1566" s="73" t="str">
        <f>IFERROR(__xludf.DUMMYFUNCTION("""COMPUTED_VALUE"""),"5*5*3 inch")</f>
        <v>5*5*3 inch</v>
      </c>
      <c r="E1566" s="77">
        <f>IFERROR(__xludf.DUMMYFUNCTION("""COMPUTED_VALUE"""),2.0)</f>
        <v>2</v>
      </c>
      <c r="F1566" s="77">
        <f>IFERROR(__xludf.DUMMYFUNCTION("""COMPUTED_VALUE"""),1926.0)</f>
        <v>1926</v>
      </c>
      <c r="G1566" s="77">
        <f>IFERROR(__xludf.DUMMYFUNCTION("""COMPUTED_VALUE"""),18.0)</f>
        <v>18</v>
      </c>
      <c r="H1566" s="77">
        <f>IFERROR(__xludf.DUMMYFUNCTION("""COMPUTED_VALUE"""),23.0)</f>
        <v>23</v>
      </c>
      <c r="I1566" s="77">
        <f>IFERROR(__xludf.DUMMYFUNCTION("""COMPUTED_VALUE"""),100.0)</f>
        <v>100</v>
      </c>
      <c r="J1566" s="73"/>
      <c r="K1566" s="73"/>
      <c r="L1566" s="73"/>
      <c r="M1566" s="77"/>
      <c r="N1566" s="77">
        <f>IFERROR(__xludf.DUMMYFUNCTION("""COMPUTED_VALUE"""),1.0)</f>
        <v>1</v>
      </c>
      <c r="O1566" s="49"/>
      <c r="P1566" s="49" t="str">
        <f>IFERROR(__xludf.DUMMYFUNCTION("""COMPUTED_VALUE"""),"Offset")</f>
        <v>Offset</v>
      </c>
      <c r="Q1566" s="49" t="str">
        <f>IFERROR(__xludf.DUMMYFUNCTION("""COMPUTED_VALUE"""),"Packaging")</f>
        <v>Packaging</v>
      </c>
      <c r="R1566" s="49" t="str">
        <f>IFERROR(__xludf.DUMMYFUNCTION("""COMPUTED_VALUE"""),"Meethai &amp; Cake")</f>
        <v>Meethai &amp; Cake</v>
      </c>
    </row>
    <row r="1567">
      <c r="A1567" s="156" t="str">
        <f>IFERROR(__xludf.DUMMYFUNCTION("""COMPUTED_VALUE"""),"https://drive.google.com/open?id=1W2sNQTmyMcnQ2YhSqD8QjL7sQdVFO7xY&amp;authuser=jay.agg%40gmail.com&amp;usp=drive_fs")</f>
        <v>https://drive.google.com/open?id=1W2sNQTmyMcnQ2YhSqD8QjL7sQdVFO7xY&amp;authuser=jay.agg%40gmail.com&amp;usp=drive_fs</v>
      </c>
      <c r="B1567" s="73" t="str">
        <f>IFERROR(__xludf.DUMMYFUNCTION("""COMPUTED_VALUE"""),"Meethai &amp; Cake")</f>
        <v>Meethai &amp; Cake</v>
      </c>
      <c r="C1567" s="73" t="str">
        <f>IFERROR(__xludf.DUMMYFUNCTION("""COMPUTED_VALUE"""),"Meethai")</f>
        <v>Meethai</v>
      </c>
      <c r="D1567" s="73" t="str">
        <f>IFERROR(__xludf.DUMMYFUNCTION("""COMPUTED_VALUE"""),"4.5*4.5*3 inch")</f>
        <v>4.5*4.5*3 inch</v>
      </c>
      <c r="E1567" s="77">
        <f>IFERROR(__xludf.DUMMYFUNCTION("""COMPUTED_VALUE"""),2.0)</f>
        <v>2</v>
      </c>
      <c r="F1567" s="77">
        <f>IFERROR(__xludf.DUMMYFUNCTION("""COMPUTED_VALUE"""),1926.0)</f>
        <v>1926</v>
      </c>
      <c r="G1567" s="77">
        <f>IFERROR(__xludf.DUMMYFUNCTION("""COMPUTED_VALUE"""),15.5)</f>
        <v>15.5</v>
      </c>
      <c r="H1567" s="77">
        <f>IFERROR(__xludf.DUMMYFUNCTION("""COMPUTED_VALUE"""),20.5)</f>
        <v>20.5</v>
      </c>
      <c r="I1567" s="77">
        <f>IFERROR(__xludf.DUMMYFUNCTION("""COMPUTED_VALUE"""),100.0)</f>
        <v>100</v>
      </c>
      <c r="J1567" s="73"/>
      <c r="K1567" s="73"/>
      <c r="L1567" s="73"/>
      <c r="M1567" s="77"/>
      <c r="N1567" s="77">
        <f>IFERROR(__xludf.DUMMYFUNCTION("""COMPUTED_VALUE"""),1.0)</f>
        <v>1</v>
      </c>
      <c r="O1567" s="49"/>
      <c r="P1567" s="49" t="str">
        <f>IFERROR(__xludf.DUMMYFUNCTION("""COMPUTED_VALUE"""),"Offset")</f>
        <v>Offset</v>
      </c>
      <c r="Q1567" s="49" t="str">
        <f>IFERROR(__xludf.DUMMYFUNCTION("""COMPUTED_VALUE"""),"Packaging")</f>
        <v>Packaging</v>
      </c>
      <c r="R1567" s="49" t="str">
        <f>IFERROR(__xludf.DUMMYFUNCTION("""COMPUTED_VALUE"""),"Meethai &amp; Cake")</f>
        <v>Meethai &amp; Cake</v>
      </c>
    </row>
    <row r="1568">
      <c r="A1568" s="156" t="str">
        <f>IFERROR(__xludf.DUMMYFUNCTION("""COMPUTED_VALUE"""),"https://drive.google.com/open?id=1W2y2uWmud2-9hqRNW3wya8fpKG2W7xkX&amp;authuser=jay.agg%40gmail.com&amp;usp=drive_fs")</f>
        <v>https://drive.google.com/open?id=1W2y2uWmud2-9hqRNW3wya8fpKG2W7xkX&amp;authuser=jay.agg%40gmail.com&amp;usp=drive_fs</v>
      </c>
      <c r="B1568" s="73" t="str">
        <f>IFERROR(__xludf.DUMMYFUNCTION("""COMPUTED_VALUE"""),"Meethai &amp; Cake")</f>
        <v>Meethai &amp; Cake</v>
      </c>
      <c r="C1568" s="73" t="str">
        <f>IFERROR(__xludf.DUMMYFUNCTION("""COMPUTED_VALUE"""),"Meethai")</f>
        <v>Meethai</v>
      </c>
      <c r="D1568" s="73" t="str">
        <f>IFERROR(__xludf.DUMMYFUNCTION("""COMPUTED_VALUE"""),"4*4*3 inch")</f>
        <v>4*4*3 inch</v>
      </c>
      <c r="E1568" s="77">
        <f>IFERROR(__xludf.DUMMYFUNCTION("""COMPUTED_VALUE"""),2.0)</f>
        <v>2</v>
      </c>
      <c r="F1568" s="77">
        <f>IFERROR(__xludf.DUMMYFUNCTION("""COMPUTED_VALUE"""),1926.0)</f>
        <v>1926</v>
      </c>
      <c r="G1568" s="77">
        <f>IFERROR(__xludf.DUMMYFUNCTION("""COMPUTED_VALUE"""),15.5)</f>
        <v>15.5</v>
      </c>
      <c r="H1568" s="77">
        <f>IFERROR(__xludf.DUMMYFUNCTION("""COMPUTED_VALUE"""),20.5)</f>
        <v>20.5</v>
      </c>
      <c r="I1568" s="77">
        <f>IFERROR(__xludf.DUMMYFUNCTION("""COMPUTED_VALUE"""),100.0)</f>
        <v>100</v>
      </c>
      <c r="J1568" s="73"/>
      <c r="K1568" s="73"/>
      <c r="L1568" s="73"/>
      <c r="M1568" s="77"/>
      <c r="N1568" s="77">
        <f>IFERROR(__xludf.DUMMYFUNCTION("""COMPUTED_VALUE"""),1.0)</f>
        <v>1</v>
      </c>
      <c r="O1568" s="49"/>
      <c r="P1568" s="49" t="str">
        <f>IFERROR(__xludf.DUMMYFUNCTION("""COMPUTED_VALUE"""),"Offset")</f>
        <v>Offset</v>
      </c>
      <c r="Q1568" s="49" t="str">
        <f>IFERROR(__xludf.DUMMYFUNCTION("""COMPUTED_VALUE"""),"Packaging")</f>
        <v>Packaging</v>
      </c>
      <c r="R1568" s="49" t="str">
        <f>IFERROR(__xludf.DUMMYFUNCTION("""COMPUTED_VALUE"""),"Meethai &amp; Cake")</f>
        <v>Meethai &amp; Cake</v>
      </c>
    </row>
    <row r="1569">
      <c r="A1569" s="156" t="str">
        <f>IFERROR(__xludf.DUMMYFUNCTION("""COMPUTED_VALUE"""),"https://drive.google.com/open?id=1W0XiqhuqlHu6gasTOb0JvbFcXSD9bYEB&amp;authuser=jay.agg%40gmail.com&amp;usp=drive_fs")</f>
        <v>https://drive.google.com/open?id=1W0XiqhuqlHu6gasTOb0JvbFcXSD9bYEB&amp;authuser=jay.agg%40gmail.com&amp;usp=drive_fs</v>
      </c>
      <c r="B1569" s="73" t="str">
        <f>IFERROR(__xludf.DUMMYFUNCTION("""COMPUTED_VALUE"""),"Meethai &amp; Cake")</f>
        <v>Meethai &amp; Cake</v>
      </c>
      <c r="C1569" s="73" t="str">
        <f>IFERROR(__xludf.DUMMYFUNCTION("""COMPUTED_VALUE"""),"Meethai")</f>
        <v>Meethai</v>
      </c>
      <c r="D1569" s="73" t="str">
        <f>IFERROR(__xludf.DUMMYFUNCTION("""COMPUTED_VALUE"""),"6*6*3 inch")</f>
        <v>6*6*3 inch</v>
      </c>
      <c r="E1569" s="77">
        <f>IFERROR(__xludf.DUMMYFUNCTION("""COMPUTED_VALUE"""),2.0)</f>
        <v>2</v>
      </c>
      <c r="F1569" s="77">
        <f>IFERROR(__xludf.DUMMYFUNCTION("""COMPUTED_VALUE"""),1926.0)</f>
        <v>1926</v>
      </c>
      <c r="G1569" s="77">
        <f>IFERROR(__xludf.DUMMYFUNCTION("""COMPUTED_VALUE"""),20.0)</f>
        <v>20</v>
      </c>
      <c r="H1569" s="77">
        <f>IFERROR(__xludf.DUMMYFUNCTION("""COMPUTED_VALUE"""),24.0)</f>
        <v>24</v>
      </c>
      <c r="I1569" s="77">
        <f>IFERROR(__xludf.DUMMYFUNCTION("""COMPUTED_VALUE"""),100.0)</f>
        <v>100</v>
      </c>
      <c r="J1569" s="73"/>
      <c r="K1569" s="73"/>
      <c r="L1569" s="73"/>
      <c r="M1569" s="77"/>
      <c r="N1569" s="77">
        <f>IFERROR(__xludf.DUMMYFUNCTION("""COMPUTED_VALUE"""),1.0)</f>
        <v>1</v>
      </c>
      <c r="O1569" s="49"/>
      <c r="P1569" s="49" t="str">
        <f>IFERROR(__xludf.DUMMYFUNCTION("""COMPUTED_VALUE"""),"Offset")</f>
        <v>Offset</v>
      </c>
      <c r="Q1569" s="49" t="str">
        <f>IFERROR(__xludf.DUMMYFUNCTION("""COMPUTED_VALUE"""),"Packaging")</f>
        <v>Packaging</v>
      </c>
      <c r="R1569" s="49" t="str">
        <f>IFERROR(__xludf.DUMMYFUNCTION("""COMPUTED_VALUE"""),"Meethai &amp; Cake")</f>
        <v>Meethai &amp; Cake</v>
      </c>
    </row>
    <row r="1570">
      <c r="A1570" s="156" t="str">
        <f>IFERROR(__xludf.DUMMYFUNCTION("""COMPUTED_VALUE"""),"https://drive.google.com/open?id=1W4dIq4ve52YcyBHL5SlGfNPxNSXsPMNx&amp;authuser=jay.agg%40gmail.com&amp;usp=drive_fs")</f>
        <v>https://drive.google.com/open?id=1W4dIq4ve52YcyBHL5SlGfNPxNSXsPMNx&amp;authuser=jay.agg%40gmail.com&amp;usp=drive_fs</v>
      </c>
      <c r="B1570" s="73" t="str">
        <f>IFERROR(__xludf.DUMMYFUNCTION("""COMPUTED_VALUE"""),"Bakery")</f>
        <v>Bakery</v>
      </c>
      <c r="C1570" s="73" t="str">
        <f>IFERROR(__xludf.DUMMYFUNCTION("""COMPUTED_VALUE"""),"Cake Box")</f>
        <v>Cake Box</v>
      </c>
      <c r="D1570" s="73" t="str">
        <f>IFERROR(__xludf.DUMMYFUNCTION("""COMPUTED_VALUE"""),"5*5*4 inch")</f>
        <v>5*5*4 inch</v>
      </c>
      <c r="E1570" s="77">
        <f>IFERROR(__xludf.DUMMYFUNCTION("""COMPUTED_VALUE"""),2.0)</f>
        <v>2</v>
      </c>
      <c r="F1570" s="77">
        <f>IFERROR(__xludf.DUMMYFUNCTION("""COMPUTED_VALUE"""),1926.0)</f>
        <v>1926</v>
      </c>
      <c r="G1570" s="77">
        <f>IFERROR(__xludf.DUMMYFUNCTION("""COMPUTED_VALUE"""),20.0)</f>
        <v>20</v>
      </c>
      <c r="H1570" s="77">
        <f>IFERROR(__xludf.DUMMYFUNCTION("""COMPUTED_VALUE"""),25.0)</f>
        <v>25</v>
      </c>
      <c r="I1570" s="77">
        <f>IFERROR(__xludf.DUMMYFUNCTION("""COMPUTED_VALUE"""),100.0)</f>
        <v>100</v>
      </c>
      <c r="J1570" s="73"/>
      <c r="K1570" s="73"/>
      <c r="L1570" s="73"/>
      <c r="M1570" s="77"/>
      <c r="N1570" s="77">
        <f>IFERROR(__xludf.DUMMYFUNCTION("""COMPUTED_VALUE"""),1.0)</f>
        <v>1</v>
      </c>
      <c r="O1570" s="49"/>
      <c r="P1570" s="49" t="str">
        <f>IFERROR(__xludf.DUMMYFUNCTION("""COMPUTED_VALUE"""),"Offset")</f>
        <v>Offset</v>
      </c>
      <c r="Q1570" s="49" t="str">
        <f>IFERROR(__xludf.DUMMYFUNCTION("""COMPUTED_VALUE"""),"Packaging")</f>
        <v>Packaging</v>
      </c>
      <c r="R1570" s="49" t="str">
        <f>IFERROR(__xludf.DUMMYFUNCTION("""COMPUTED_VALUE"""),"Bakery")</f>
        <v>Bakery</v>
      </c>
    </row>
    <row r="1571">
      <c r="A1571" s="156" t="str">
        <f>IFERROR(__xludf.DUMMYFUNCTION("""COMPUTED_VALUE"""),"https://drive.google.com/open?id=1W6f_vCAMuG37be0jZF_jqzvvPw_kgr06&amp;authuser=jay.agg%40gmail.com&amp;usp=drive_fs")</f>
        <v>https://drive.google.com/open?id=1W6f_vCAMuG37be0jZF_jqzvvPw_kgr06&amp;authuser=jay.agg%40gmail.com&amp;usp=drive_fs</v>
      </c>
      <c r="B1571" s="73" t="str">
        <f>IFERROR(__xludf.DUMMYFUNCTION("""COMPUTED_VALUE"""),"Bakery")</f>
        <v>Bakery</v>
      </c>
      <c r="C1571" s="73" t="str">
        <f>IFERROR(__xludf.DUMMYFUNCTION("""COMPUTED_VALUE"""),"Cake Box")</f>
        <v>Cake Box</v>
      </c>
      <c r="D1571" s="73" t="str">
        <f>IFERROR(__xludf.DUMMYFUNCTION("""COMPUTED_VALUE"""),"8*5*4 inch")</f>
        <v>8*5*4 inch</v>
      </c>
      <c r="E1571" s="77">
        <f>IFERROR(__xludf.DUMMYFUNCTION("""COMPUTED_VALUE"""),1.0)</f>
        <v>1</v>
      </c>
      <c r="F1571" s="77">
        <f>IFERROR(__xludf.DUMMYFUNCTION("""COMPUTED_VALUE"""),1926.0)</f>
        <v>1926</v>
      </c>
      <c r="G1571" s="77">
        <f>IFERROR(__xludf.DUMMYFUNCTION("""COMPUTED_VALUE"""),15.5)</f>
        <v>15.5</v>
      </c>
      <c r="H1571" s="77">
        <f>IFERROR(__xludf.DUMMYFUNCTION("""COMPUTED_VALUE"""),20.5)</f>
        <v>20.5</v>
      </c>
      <c r="I1571" s="77">
        <f>IFERROR(__xludf.DUMMYFUNCTION("""COMPUTED_VALUE"""),100.0)</f>
        <v>100</v>
      </c>
      <c r="J1571" s="73"/>
      <c r="K1571" s="73"/>
      <c r="L1571" s="73"/>
      <c r="M1571" s="77"/>
      <c r="N1571" s="77">
        <f>IFERROR(__xludf.DUMMYFUNCTION("""COMPUTED_VALUE"""),1.0)</f>
        <v>1</v>
      </c>
      <c r="O1571" s="49"/>
      <c r="P1571" s="49" t="str">
        <f>IFERROR(__xludf.DUMMYFUNCTION("""COMPUTED_VALUE"""),"Offset")</f>
        <v>Offset</v>
      </c>
      <c r="Q1571" s="49" t="str">
        <f>IFERROR(__xludf.DUMMYFUNCTION("""COMPUTED_VALUE"""),"Packaging")</f>
        <v>Packaging</v>
      </c>
      <c r="R1571" s="49" t="str">
        <f>IFERROR(__xludf.DUMMYFUNCTION("""COMPUTED_VALUE"""),"Bakery")</f>
        <v>Bakery</v>
      </c>
    </row>
    <row r="1572">
      <c r="A1572" s="156" t="str">
        <f>IFERROR(__xludf.DUMMYFUNCTION("""COMPUTED_VALUE"""),"https://drive.google.com/open?id=1WB1Gc6rLFJdLXQN6dDr8QovLCdZ0Frse&amp;authuser=jay.agg%40gmail.com&amp;usp=drive_fs")</f>
        <v>https://drive.google.com/open?id=1WB1Gc6rLFJdLXQN6dDr8QovLCdZ0Frse&amp;authuser=jay.agg%40gmail.com&amp;usp=drive_fs</v>
      </c>
      <c r="B1572" s="73" t="str">
        <f>IFERROR(__xludf.DUMMYFUNCTION("""COMPUTED_VALUE"""),"Bakery")</f>
        <v>Bakery</v>
      </c>
      <c r="C1572" s="73" t="str">
        <f>IFERROR(__xludf.DUMMYFUNCTION("""COMPUTED_VALUE"""),"Cake Box")</f>
        <v>Cake Box</v>
      </c>
      <c r="D1572" s="73" t="str">
        <f>IFERROR(__xludf.DUMMYFUNCTION("""COMPUTED_VALUE"""),"8*8*4 inch")</f>
        <v>8*8*4 inch</v>
      </c>
      <c r="E1572" s="77">
        <f>IFERROR(__xludf.DUMMYFUNCTION("""COMPUTED_VALUE"""),1.0)</f>
        <v>1</v>
      </c>
      <c r="F1572" s="77">
        <f>IFERROR(__xludf.DUMMYFUNCTION("""COMPUTED_VALUE"""),1926.0)</f>
        <v>1926</v>
      </c>
      <c r="G1572" s="77">
        <f>IFERROR(__xludf.DUMMYFUNCTION("""COMPUTED_VALUE"""),18.0)</f>
        <v>18</v>
      </c>
      <c r="H1572" s="77">
        <f>IFERROR(__xludf.DUMMYFUNCTION("""COMPUTED_VALUE"""),25.0)</f>
        <v>25</v>
      </c>
      <c r="I1572" s="77">
        <f>IFERROR(__xludf.DUMMYFUNCTION("""COMPUTED_VALUE"""),100.0)</f>
        <v>100</v>
      </c>
      <c r="J1572" s="73"/>
      <c r="K1572" s="73"/>
      <c r="L1572" s="73"/>
      <c r="M1572" s="77"/>
      <c r="N1572" s="77">
        <f>IFERROR(__xludf.DUMMYFUNCTION("""COMPUTED_VALUE"""),1.0)</f>
        <v>1</v>
      </c>
      <c r="O1572" s="49"/>
      <c r="P1572" s="49" t="str">
        <f>IFERROR(__xludf.DUMMYFUNCTION("""COMPUTED_VALUE"""),"Offset")</f>
        <v>Offset</v>
      </c>
      <c r="Q1572" s="49" t="str">
        <f>IFERROR(__xludf.DUMMYFUNCTION("""COMPUTED_VALUE"""),"Packaging")</f>
        <v>Packaging</v>
      </c>
      <c r="R1572" s="49" t="str">
        <f>IFERROR(__xludf.DUMMYFUNCTION("""COMPUTED_VALUE"""),"Bakery")</f>
        <v>Bakery</v>
      </c>
    </row>
    <row r="1573">
      <c r="A1573" s="156" t="str">
        <f>IFERROR(__xludf.DUMMYFUNCTION("""COMPUTED_VALUE"""),"https://drive.google.com/open?id=1WGnc03m_rOcEsRw9mzc5rV4bCIFXBEfU&amp;authuser=jay.agg%40gmail.com&amp;usp=drive_fs")</f>
        <v>https://drive.google.com/open?id=1WGnc03m_rOcEsRw9mzc5rV4bCIFXBEfU&amp;authuser=jay.agg%40gmail.com&amp;usp=drive_fs</v>
      </c>
      <c r="B1573" s="73" t="str">
        <f>IFERROR(__xludf.DUMMYFUNCTION("""COMPUTED_VALUE"""),"Bakery")</f>
        <v>Bakery</v>
      </c>
      <c r="C1573" s="73" t="str">
        <f>IFERROR(__xludf.DUMMYFUNCTION("""COMPUTED_VALUE"""),"Cake Box")</f>
        <v>Cake Box</v>
      </c>
      <c r="D1573" s="73" t="str">
        <f>IFERROR(__xludf.DUMMYFUNCTION("""COMPUTED_VALUE"""),"9*9*4 inch")</f>
        <v>9*9*4 inch</v>
      </c>
      <c r="E1573" s="77">
        <f>IFERROR(__xludf.DUMMYFUNCTION("""COMPUTED_VALUE"""),1.0)</f>
        <v>1</v>
      </c>
      <c r="F1573" s="77">
        <f>IFERROR(__xludf.DUMMYFUNCTION("""COMPUTED_VALUE"""),2029.0)</f>
        <v>2029</v>
      </c>
      <c r="G1573" s="77">
        <f>IFERROR(__xludf.DUMMYFUNCTION("""COMPUTED_VALUE"""),17.5)</f>
        <v>17.5</v>
      </c>
      <c r="H1573" s="77">
        <f>IFERROR(__xludf.DUMMYFUNCTION("""COMPUTED_VALUE"""),28.0)</f>
        <v>28</v>
      </c>
      <c r="I1573" s="77">
        <f>IFERROR(__xludf.DUMMYFUNCTION("""COMPUTED_VALUE"""),100.0)</f>
        <v>100</v>
      </c>
      <c r="J1573" s="73"/>
      <c r="K1573" s="73"/>
      <c r="L1573" s="73"/>
      <c r="M1573" s="77"/>
      <c r="N1573" s="77">
        <f>IFERROR(__xludf.DUMMYFUNCTION("""COMPUTED_VALUE"""),1.0)</f>
        <v>1</v>
      </c>
      <c r="O1573" s="49"/>
      <c r="P1573" s="49" t="str">
        <f>IFERROR(__xludf.DUMMYFUNCTION("""COMPUTED_VALUE"""),"Offset")</f>
        <v>Offset</v>
      </c>
      <c r="Q1573" s="49" t="str">
        <f>IFERROR(__xludf.DUMMYFUNCTION("""COMPUTED_VALUE"""),"Packaging")</f>
        <v>Packaging</v>
      </c>
      <c r="R1573" s="49" t="str">
        <f>IFERROR(__xludf.DUMMYFUNCTION("""COMPUTED_VALUE"""),"Bakery")</f>
        <v>Bakery</v>
      </c>
    </row>
    <row r="1574">
      <c r="A1574" s="156" t="str">
        <f>IFERROR(__xludf.DUMMYFUNCTION("""COMPUTED_VALUE"""),"https://drive.google.com/open?id=1WHAuatUQ3wAiDtOhs95WQfMKRfFm5V-w&amp;authuser=jay.agg%40gmail.com&amp;usp=drive_fs")</f>
        <v>https://drive.google.com/open?id=1WHAuatUQ3wAiDtOhs95WQfMKRfFm5V-w&amp;authuser=jay.agg%40gmail.com&amp;usp=drive_fs</v>
      </c>
      <c r="B1574" s="73" t="str">
        <f>IFERROR(__xludf.DUMMYFUNCTION("""COMPUTED_VALUE"""),"Bakery")</f>
        <v>Bakery</v>
      </c>
      <c r="C1574" s="73" t="str">
        <f>IFERROR(__xludf.DUMMYFUNCTION("""COMPUTED_VALUE"""),"Cake Box")</f>
        <v>Cake Box</v>
      </c>
      <c r="D1574" s="73" t="str">
        <f>IFERROR(__xludf.DUMMYFUNCTION("""COMPUTED_VALUE"""),"10*10*4 inch")</f>
        <v>10*10*4 inch</v>
      </c>
      <c r="E1574" s="77">
        <f>IFERROR(__xludf.DUMMYFUNCTION("""COMPUTED_VALUE"""),1.0)</f>
        <v>1</v>
      </c>
      <c r="F1574" s="77">
        <f>IFERROR(__xludf.DUMMYFUNCTION("""COMPUTED_VALUE"""),2029.0)</f>
        <v>2029</v>
      </c>
      <c r="G1574" s="77">
        <f>IFERROR(__xludf.DUMMYFUNCTION("""COMPUTED_VALUE"""),17.0)</f>
        <v>17</v>
      </c>
      <c r="H1574" s="77">
        <f>IFERROR(__xludf.DUMMYFUNCTION("""COMPUTED_VALUE"""),32.0)</f>
        <v>32</v>
      </c>
      <c r="I1574" s="77">
        <f>IFERROR(__xludf.DUMMYFUNCTION("""COMPUTED_VALUE"""),100.0)</f>
        <v>100</v>
      </c>
      <c r="J1574" s="73"/>
      <c r="K1574" s="73"/>
      <c r="L1574" s="73"/>
      <c r="M1574" s="77"/>
      <c r="N1574" s="77">
        <f>IFERROR(__xludf.DUMMYFUNCTION("""COMPUTED_VALUE"""),1.0)</f>
        <v>1</v>
      </c>
      <c r="O1574" s="49"/>
      <c r="P1574" s="49" t="str">
        <f>IFERROR(__xludf.DUMMYFUNCTION("""COMPUTED_VALUE"""),"Offset")</f>
        <v>Offset</v>
      </c>
      <c r="Q1574" s="49" t="str">
        <f>IFERROR(__xludf.DUMMYFUNCTION("""COMPUTED_VALUE"""),"Packaging")</f>
        <v>Packaging</v>
      </c>
      <c r="R1574" s="49" t="str">
        <f>IFERROR(__xludf.DUMMYFUNCTION("""COMPUTED_VALUE"""),"Bakery")</f>
        <v>Bakery</v>
      </c>
    </row>
    <row r="1575">
      <c r="A1575" s="156" t="str">
        <f>IFERROR(__xludf.DUMMYFUNCTION("""COMPUTED_VALUE"""),"https://drive.google.com/open?id=1WIcp56NZpTp1JddV166biVPZHqDqO9VB&amp;authuser=jay.agg%40gmail.com&amp;usp=drive_fs")</f>
        <v>https://drive.google.com/open?id=1WIcp56NZpTp1JddV166biVPZHqDqO9VB&amp;authuser=jay.agg%40gmail.com&amp;usp=drive_fs</v>
      </c>
      <c r="B1575" s="73" t="str">
        <f>IFERROR(__xludf.DUMMYFUNCTION("""COMPUTED_VALUE"""),"Bakery")</f>
        <v>Bakery</v>
      </c>
      <c r="C1575" s="73" t="str">
        <f>IFERROR(__xludf.DUMMYFUNCTION("""COMPUTED_VALUE"""),"Cake Box")</f>
        <v>Cake Box</v>
      </c>
      <c r="D1575" s="73" t="str">
        <f>IFERROR(__xludf.DUMMYFUNCTION("""COMPUTED_VALUE"""),"12*12*4 inch")</f>
        <v>12*12*4 inch</v>
      </c>
      <c r="E1575" s="77">
        <f>IFERROR(__xludf.DUMMYFUNCTION("""COMPUTED_VALUE"""),1.0)</f>
        <v>1</v>
      </c>
      <c r="F1575" s="77">
        <f>IFERROR(__xludf.DUMMYFUNCTION("""COMPUTED_VALUE"""),1926.0)</f>
        <v>1926</v>
      </c>
      <c r="G1575" s="77">
        <f>IFERROR(__xludf.DUMMYFUNCTION("""COMPUTED_VALUE"""),18.0)</f>
        <v>18</v>
      </c>
      <c r="H1575" s="77">
        <f>IFERROR(__xludf.DUMMYFUNCTION("""COMPUTED_VALUE"""),19.0)</f>
        <v>19</v>
      </c>
      <c r="I1575" s="77">
        <f>IFERROR(__xludf.DUMMYFUNCTION("""COMPUTED_VALUE"""),100.0)</f>
        <v>100</v>
      </c>
      <c r="J1575" s="73"/>
      <c r="K1575" s="73"/>
      <c r="L1575" s="73"/>
      <c r="M1575" s="77">
        <f>IFERROR(__xludf.DUMMYFUNCTION("""COMPUTED_VALUE"""),0.1)</f>
        <v>0.1</v>
      </c>
      <c r="N1575" s="77">
        <f>IFERROR(__xludf.DUMMYFUNCTION("""COMPUTED_VALUE"""),2.0)</f>
        <v>2</v>
      </c>
      <c r="O1575" s="49"/>
      <c r="P1575" s="49" t="str">
        <f>IFERROR(__xludf.DUMMYFUNCTION("""COMPUTED_VALUE"""),"Offset")</f>
        <v>Offset</v>
      </c>
      <c r="Q1575" s="49" t="str">
        <f>IFERROR(__xludf.DUMMYFUNCTION("""COMPUTED_VALUE"""),"Packaging")</f>
        <v>Packaging</v>
      </c>
      <c r="R1575" s="49" t="str">
        <f>IFERROR(__xludf.DUMMYFUNCTION("""COMPUTED_VALUE"""),"Bakery")</f>
        <v>Bakery</v>
      </c>
    </row>
    <row r="1576">
      <c r="A1576" s="156" t="str">
        <f>IFERROR(__xludf.DUMMYFUNCTION("""COMPUTED_VALUE"""),"https://drive.google.com/open?id=1WpVOg5N1Mt8KOZaXc9oeWidt1WZ98kyK&amp;authuser=jay.agg%40gmail.com&amp;usp=drive_fs")</f>
        <v>https://drive.google.com/open?id=1WpVOg5N1Mt8KOZaXc9oeWidt1WZ98kyK&amp;authuser=jay.agg%40gmail.com&amp;usp=drive_fs</v>
      </c>
      <c r="B1576" s="73" t="str">
        <f>IFERROR(__xludf.DUMMYFUNCTION("""COMPUTED_VALUE"""),"Meethai &amp; Cake")</f>
        <v>Meethai &amp; Cake</v>
      </c>
      <c r="C1576" s="73" t="str">
        <f>IFERROR(__xludf.DUMMYFUNCTION("""COMPUTED_VALUE"""),"Thandai")</f>
        <v>Thandai</v>
      </c>
      <c r="D1576" s="73" t="str">
        <f>IFERROR(__xludf.DUMMYFUNCTION("""COMPUTED_VALUE"""),"95*135*28 mm")</f>
        <v>95*135*28 mm</v>
      </c>
      <c r="E1576" s="77">
        <f>IFERROR(__xludf.DUMMYFUNCTION("""COMPUTED_VALUE"""),4.0)</f>
        <v>4</v>
      </c>
      <c r="F1576" s="77">
        <f>IFERROR(__xludf.DUMMYFUNCTION("""COMPUTED_VALUE"""),1926.0)</f>
        <v>1926</v>
      </c>
      <c r="G1576" s="77">
        <f>IFERROR(__xludf.DUMMYFUNCTION("""COMPUTED_VALUE"""),15.5)</f>
        <v>15.5</v>
      </c>
      <c r="H1576" s="77">
        <f>IFERROR(__xludf.DUMMYFUNCTION("""COMPUTED_VALUE"""),20.5)</f>
        <v>20.5</v>
      </c>
      <c r="I1576" s="77">
        <f>IFERROR(__xludf.DUMMYFUNCTION("""COMPUTED_VALUE"""),100.0)</f>
        <v>100</v>
      </c>
      <c r="J1576" s="73"/>
      <c r="K1576" s="73"/>
      <c r="L1576" s="73"/>
      <c r="M1576" s="77"/>
      <c r="N1576" s="77">
        <f>IFERROR(__xludf.DUMMYFUNCTION("""COMPUTED_VALUE"""),1.0)</f>
        <v>1</v>
      </c>
      <c r="O1576" s="49"/>
      <c r="P1576" s="49" t="str">
        <f>IFERROR(__xludf.DUMMYFUNCTION("""COMPUTED_VALUE"""),"Offset")</f>
        <v>Offset</v>
      </c>
      <c r="Q1576" s="49" t="str">
        <f>IFERROR(__xludf.DUMMYFUNCTION("""COMPUTED_VALUE"""),"Packaging")</f>
        <v>Packaging</v>
      </c>
      <c r="R1576" s="49" t="str">
        <f>IFERROR(__xludf.DUMMYFUNCTION("""COMPUTED_VALUE"""),"Meethai &amp; Cake")</f>
        <v>Meethai &amp; Cake</v>
      </c>
    </row>
    <row r="1577">
      <c r="A1577" s="156" t="str">
        <f>IFERROR(__xludf.DUMMYFUNCTION("""COMPUTED_VALUE"""),"https://drive.google.com/open?id=1W1n5mj3UUcKlB-iSe4HMh9zcNVZjWupm&amp;authuser=jay.agg%40gmail.com&amp;usp=drive_fs")</f>
        <v>https://drive.google.com/open?id=1W1n5mj3UUcKlB-iSe4HMh9zcNVZjWupm&amp;authuser=jay.agg%40gmail.com&amp;usp=drive_fs</v>
      </c>
      <c r="B1577" s="73" t="str">
        <f>IFERROR(__xludf.DUMMYFUNCTION("""COMPUTED_VALUE"""),"Meethai &amp; Cake")</f>
        <v>Meethai &amp; Cake</v>
      </c>
      <c r="C1577" s="73" t="str">
        <f>IFERROR(__xludf.DUMMYFUNCTION("""COMPUTED_VALUE"""),"Food")</f>
        <v>Food</v>
      </c>
      <c r="D1577" s="73" t="str">
        <f>IFERROR(__xludf.DUMMYFUNCTION("""COMPUTED_VALUE"""),"5*7*3 inch")</f>
        <v>5*7*3 inch</v>
      </c>
      <c r="E1577" s="77">
        <f>IFERROR(__xludf.DUMMYFUNCTION("""COMPUTED_VALUE"""),2.0)</f>
        <v>2</v>
      </c>
      <c r="F1577" s="77">
        <f>IFERROR(__xludf.DUMMYFUNCTION("""COMPUTED_VALUE"""),1926.0)</f>
        <v>1926</v>
      </c>
      <c r="G1577" s="77">
        <f>IFERROR(__xludf.DUMMYFUNCTION("""COMPUTED_VALUE"""),18.0)</f>
        <v>18</v>
      </c>
      <c r="H1577" s="77">
        <f>IFERROR(__xludf.DUMMYFUNCTION("""COMPUTED_VALUE"""),25.0)</f>
        <v>25</v>
      </c>
      <c r="I1577" s="77">
        <f>IFERROR(__xludf.DUMMYFUNCTION("""COMPUTED_VALUE"""),100.0)</f>
        <v>100</v>
      </c>
      <c r="J1577" s="73"/>
      <c r="K1577" s="73"/>
      <c r="L1577" s="73"/>
      <c r="M1577" s="77"/>
      <c r="N1577" s="77">
        <f>IFERROR(__xludf.DUMMYFUNCTION("""COMPUTED_VALUE"""),1.0)</f>
        <v>1</v>
      </c>
      <c r="O1577" s="49"/>
      <c r="P1577" s="49" t="str">
        <f>IFERROR(__xludf.DUMMYFUNCTION("""COMPUTED_VALUE"""),"Offset")</f>
        <v>Offset</v>
      </c>
      <c r="Q1577" s="49" t="str">
        <f>IFERROR(__xludf.DUMMYFUNCTION("""COMPUTED_VALUE"""),"Packaging")</f>
        <v>Packaging</v>
      </c>
      <c r="R1577" s="49" t="str">
        <f>IFERROR(__xludf.DUMMYFUNCTION("""COMPUTED_VALUE"""),"Meethai &amp; Cake")</f>
        <v>Meethai &amp; Cake</v>
      </c>
    </row>
    <row r="1578">
      <c r="A1578" s="156" t="str">
        <f>IFERROR(__xludf.DUMMYFUNCTION("""COMPUTED_VALUE"""),"https://drive.google.com/open?id=1VhfpCdreCicsyU5h80igbH5W3YYNDRwF&amp;authuser=jay.agg%40gmail.com&amp;usp=drive_fs")</f>
        <v>https://drive.google.com/open?id=1VhfpCdreCicsyU5h80igbH5W3YYNDRwF&amp;authuser=jay.agg%40gmail.com&amp;usp=drive_fs</v>
      </c>
      <c r="B1578" s="73" t="str">
        <f>IFERROR(__xludf.DUMMYFUNCTION("""COMPUTED_VALUE"""),"Bakery")</f>
        <v>Bakery</v>
      </c>
      <c r="C1578" s="73" t="str">
        <f>IFERROR(__xludf.DUMMYFUNCTION("""COMPUTED_VALUE"""),"Mrs Kaurs")</f>
        <v>Mrs Kaurs</v>
      </c>
      <c r="D1578" s="73" t="str">
        <f>IFERROR(__xludf.DUMMYFUNCTION("""COMPUTED_VALUE"""),"11.25*7.75*2.25 inch | 197*57*285 mm")</f>
        <v>11.25*7.75*2.25 inch | 197*57*285 mm</v>
      </c>
      <c r="E1578" s="77">
        <f>IFERROR(__xludf.DUMMYFUNCTION("""COMPUTED_VALUE"""),1.0)</f>
        <v>1</v>
      </c>
      <c r="F1578" s="77">
        <f>IFERROR(__xludf.DUMMYFUNCTION("""COMPUTED_VALUE"""),1926.0)</f>
        <v>1926</v>
      </c>
      <c r="G1578" s="77">
        <f>IFERROR(__xludf.DUMMYFUNCTION("""COMPUTED_VALUE"""),18.0)</f>
        <v>18</v>
      </c>
      <c r="H1578" s="77">
        <f>IFERROR(__xludf.DUMMYFUNCTION("""COMPUTED_VALUE"""),21.0)</f>
        <v>21</v>
      </c>
      <c r="I1578" s="77">
        <f>IFERROR(__xludf.DUMMYFUNCTION("""COMPUTED_VALUE"""),100.0)</f>
        <v>100</v>
      </c>
      <c r="J1578" s="73"/>
      <c r="K1578" s="73"/>
      <c r="L1578" s="73"/>
      <c r="M1578" s="77"/>
      <c r="N1578" s="77">
        <f>IFERROR(__xludf.DUMMYFUNCTION("""COMPUTED_VALUE"""),1.0)</f>
        <v>1</v>
      </c>
      <c r="O1578" s="49"/>
      <c r="P1578" s="49" t="str">
        <f>IFERROR(__xludf.DUMMYFUNCTION("""COMPUTED_VALUE"""),"Offset")</f>
        <v>Offset</v>
      </c>
      <c r="Q1578" s="49" t="str">
        <f>IFERROR(__xludf.DUMMYFUNCTION("""COMPUTED_VALUE"""),"Packaging")</f>
        <v>Packaging</v>
      </c>
      <c r="R1578" s="49" t="str">
        <f>IFERROR(__xludf.DUMMYFUNCTION("""COMPUTED_VALUE"""),"Bakery")</f>
        <v>Bakery</v>
      </c>
    </row>
    <row r="1579">
      <c r="A1579" s="156" t="str">
        <f>IFERROR(__xludf.DUMMYFUNCTION("""COMPUTED_VALUE"""),"https://drive.google.com/open?id=1VrnbAQfw40315mHJzxlJfQgaFll_AeOn&amp;authuser=jay.agg%40gmail.com&amp;usp=drive_fs")</f>
        <v>https://drive.google.com/open?id=1VrnbAQfw40315mHJzxlJfQgaFll_AeOn&amp;authuser=jay.agg%40gmail.com&amp;usp=drive_fs</v>
      </c>
      <c r="B1579" s="73" t="str">
        <f>IFERROR(__xludf.DUMMYFUNCTION("""COMPUTED_VALUE"""),"Bakery")</f>
        <v>Bakery</v>
      </c>
      <c r="C1579" s="73" t="str">
        <f>IFERROR(__xludf.DUMMYFUNCTION("""COMPUTED_VALUE"""),"Mrs Kaurs")</f>
        <v>Mrs Kaurs</v>
      </c>
      <c r="D1579" s="73" t="str">
        <f>IFERROR(__xludf.DUMMYFUNCTION("""COMPUTED_VALUE"""),"7.75*7.75*2.25 inch | 195*195*57 mm")</f>
        <v>7.75*7.75*2.25 inch | 195*195*57 mm</v>
      </c>
      <c r="E1579" s="77">
        <f>IFERROR(__xludf.DUMMYFUNCTION("""COMPUTED_VALUE"""),1.0)</f>
        <v>1</v>
      </c>
      <c r="F1579" s="77">
        <f>IFERROR(__xludf.DUMMYFUNCTION("""COMPUTED_VALUE"""),1926.0)</f>
        <v>1926</v>
      </c>
      <c r="G1579" s="77">
        <f>IFERROR(__xludf.DUMMYFUNCTION("""COMPUTED_VALUE"""),13.0)</f>
        <v>13</v>
      </c>
      <c r="H1579" s="77">
        <f>IFERROR(__xludf.DUMMYFUNCTION("""COMPUTED_VALUE"""),21.0)</f>
        <v>21</v>
      </c>
      <c r="I1579" s="77">
        <f>IFERROR(__xludf.DUMMYFUNCTION("""COMPUTED_VALUE"""),100.0)</f>
        <v>100</v>
      </c>
      <c r="J1579" s="73"/>
      <c r="K1579" s="73"/>
      <c r="L1579" s="73"/>
      <c r="M1579" s="77"/>
      <c r="N1579" s="77">
        <f>IFERROR(__xludf.DUMMYFUNCTION("""COMPUTED_VALUE"""),1.0)</f>
        <v>1</v>
      </c>
      <c r="O1579" s="49"/>
      <c r="P1579" s="49" t="str">
        <f>IFERROR(__xludf.DUMMYFUNCTION("""COMPUTED_VALUE"""),"Offset")</f>
        <v>Offset</v>
      </c>
      <c r="Q1579" s="49" t="str">
        <f>IFERROR(__xludf.DUMMYFUNCTION("""COMPUTED_VALUE"""),"Packaging")</f>
        <v>Packaging</v>
      </c>
      <c r="R1579" s="49" t="str">
        <f>IFERROR(__xludf.DUMMYFUNCTION("""COMPUTED_VALUE"""),"Bakery")</f>
        <v>Bakery</v>
      </c>
    </row>
    <row r="1580">
      <c r="A1580" s="156" t="str">
        <f>IFERROR(__xludf.DUMMYFUNCTION("""COMPUTED_VALUE"""),"https://drive.google.com/open?id=1VxJNrUqV9CSOKxlgGxRkN1kWJyIbW4QT&amp;authuser=jay.agg%40gmail.com&amp;usp=drive_fs")</f>
        <v>https://drive.google.com/open?id=1VxJNrUqV9CSOKxlgGxRkN1kWJyIbW4QT&amp;authuser=jay.agg%40gmail.com&amp;usp=drive_fs</v>
      </c>
      <c r="B1580" s="73" t="str">
        <f>IFERROR(__xludf.DUMMYFUNCTION("""COMPUTED_VALUE"""),"Bakery")</f>
        <v>Bakery</v>
      </c>
      <c r="C1580" s="73" t="str">
        <f>IFERROR(__xludf.DUMMYFUNCTION("""COMPUTED_VALUE"""),"Mrs Kaurs")</f>
        <v>Mrs Kaurs</v>
      </c>
      <c r="D1580" s="73" t="str">
        <f>IFERROR(__xludf.DUMMYFUNCTION("""COMPUTED_VALUE"""),"7.75*7.75*4 inch |195*195*102 mm")</f>
        <v>7.75*7.75*4 inch |195*195*102 mm</v>
      </c>
      <c r="E1580" s="77">
        <f>IFERROR(__xludf.DUMMYFUNCTION("""COMPUTED_VALUE"""),1.0)</f>
        <v>1</v>
      </c>
      <c r="F1580" s="77">
        <f>IFERROR(__xludf.DUMMYFUNCTION("""COMPUTED_VALUE"""),1926.0)</f>
        <v>1926</v>
      </c>
      <c r="G1580" s="77">
        <f>IFERROR(__xludf.DUMMYFUNCTION("""COMPUTED_VALUE"""),15.0)</f>
        <v>15</v>
      </c>
      <c r="H1580" s="77">
        <f>IFERROR(__xludf.DUMMYFUNCTION("""COMPUTED_VALUE"""),25.0)</f>
        <v>25</v>
      </c>
      <c r="I1580" s="77">
        <f>IFERROR(__xludf.DUMMYFUNCTION("""COMPUTED_VALUE"""),100.0)</f>
        <v>100</v>
      </c>
      <c r="J1580" s="73"/>
      <c r="K1580" s="73"/>
      <c r="L1580" s="73"/>
      <c r="M1580" s="77"/>
      <c r="N1580" s="77">
        <f>IFERROR(__xludf.DUMMYFUNCTION("""COMPUTED_VALUE"""),1.0)</f>
        <v>1</v>
      </c>
      <c r="O1580" s="49"/>
      <c r="P1580" s="49" t="str">
        <f>IFERROR(__xludf.DUMMYFUNCTION("""COMPUTED_VALUE"""),"Offset")</f>
        <v>Offset</v>
      </c>
      <c r="Q1580" s="49" t="str">
        <f>IFERROR(__xludf.DUMMYFUNCTION("""COMPUTED_VALUE"""),"Packaging")</f>
        <v>Packaging</v>
      </c>
      <c r="R1580" s="49" t="str">
        <f>IFERROR(__xludf.DUMMYFUNCTION("""COMPUTED_VALUE"""),"Bakery")</f>
        <v>Bakery</v>
      </c>
    </row>
    <row r="1581">
      <c r="A1581" s="156" t="str">
        <f>IFERROR(__xludf.DUMMYFUNCTION("""COMPUTED_VALUE"""),"https://drive.google.com/open?id=1W-bKbywRFgZKk4OIT4FHoObQgjbQReEb&amp;authuser=jay.agg%40gmail.com&amp;usp=drive_fs")</f>
        <v>https://drive.google.com/open?id=1W-bKbywRFgZKk4OIT4FHoObQgjbQReEb&amp;authuser=jay.agg%40gmail.com&amp;usp=drive_fs</v>
      </c>
      <c r="B1581" s="73" t="str">
        <f>IFERROR(__xludf.DUMMYFUNCTION("""COMPUTED_VALUE"""),"Bakery")</f>
        <v>Bakery</v>
      </c>
      <c r="C1581" s="73" t="str">
        <f>IFERROR(__xludf.DUMMYFUNCTION("""COMPUTED_VALUE"""),"Mrs Kaurs")</f>
        <v>Mrs Kaurs</v>
      </c>
      <c r="D1581" s="73" t="str">
        <f>IFERROR(__xludf.DUMMYFUNCTION("""COMPUTED_VALUE"""),"4*4*1.75 inch | 102*102*45 mm")</f>
        <v>4*4*1.75 inch | 102*102*45 mm</v>
      </c>
      <c r="E1581" s="77">
        <f>IFERROR(__xludf.DUMMYFUNCTION("""COMPUTED_VALUE"""),4.0)</f>
        <v>4</v>
      </c>
      <c r="F1581" s="77">
        <f>IFERROR(__xludf.DUMMYFUNCTION("""COMPUTED_VALUE"""),1926.0)</f>
        <v>1926</v>
      </c>
      <c r="G1581" s="77">
        <f>IFERROR(__xludf.DUMMYFUNCTION("""COMPUTED_VALUE"""),18.0)</f>
        <v>18</v>
      </c>
      <c r="H1581" s="77">
        <f>IFERROR(__xludf.DUMMYFUNCTION("""COMPUTED_VALUE"""),25.0)</f>
        <v>25</v>
      </c>
      <c r="I1581" s="77">
        <f>IFERROR(__xludf.DUMMYFUNCTION("""COMPUTED_VALUE"""),100.0)</f>
        <v>100</v>
      </c>
      <c r="J1581" s="73"/>
      <c r="K1581" s="73"/>
      <c r="L1581" s="73"/>
      <c r="M1581" s="77"/>
      <c r="N1581" s="77">
        <f>IFERROR(__xludf.DUMMYFUNCTION("""COMPUTED_VALUE"""),1.0)</f>
        <v>1</v>
      </c>
      <c r="O1581" s="49"/>
      <c r="P1581" s="49" t="str">
        <f>IFERROR(__xludf.DUMMYFUNCTION("""COMPUTED_VALUE"""),"Offset")</f>
        <v>Offset</v>
      </c>
      <c r="Q1581" s="49" t="str">
        <f>IFERROR(__xludf.DUMMYFUNCTION("""COMPUTED_VALUE"""),"Packaging")</f>
        <v>Packaging</v>
      </c>
      <c r="R1581" s="49" t="str">
        <f>IFERROR(__xludf.DUMMYFUNCTION("""COMPUTED_VALUE"""),"Bakery")</f>
        <v>Bakery</v>
      </c>
    </row>
    <row r="1582">
      <c r="A1582" s="156" t="str">
        <f>IFERROR(__xludf.DUMMYFUNCTION("""COMPUTED_VALUE"""),"https://drive.google.com/open?id=1W0BfPEOQXXRF7nZ7uGa4ixksRxiDRfBh&amp;authuser=jay.agg%40gmail.com&amp;usp=drive_fs")</f>
        <v>https://drive.google.com/open?id=1W0BfPEOQXXRF7nZ7uGa4ixksRxiDRfBh&amp;authuser=jay.agg%40gmail.com&amp;usp=drive_fs</v>
      </c>
      <c r="B1582" s="73" t="str">
        <f>IFERROR(__xludf.DUMMYFUNCTION("""COMPUTED_VALUE"""),"Bakery")</f>
        <v>Bakery</v>
      </c>
      <c r="C1582" s="73" t="str">
        <f>IFERROR(__xludf.DUMMYFUNCTION("""COMPUTED_VALUE"""),"Mrs Kaurs")</f>
        <v>Mrs Kaurs</v>
      </c>
      <c r="D1582" s="73" t="str">
        <f>IFERROR(__xludf.DUMMYFUNCTION("""COMPUTED_VALUE"""),"7.75*4*2.25 inch | 193*57*105 mm")</f>
        <v>7.75*4*2.25 inch | 193*57*105 mm</v>
      </c>
      <c r="E1582" s="77">
        <f>IFERROR(__xludf.DUMMYFUNCTION("""COMPUTED_VALUE"""),2.0)</f>
        <v>2</v>
      </c>
      <c r="F1582" s="77">
        <f>IFERROR(__xludf.DUMMYFUNCTION("""COMPUTED_VALUE"""),1926.0)</f>
        <v>1926</v>
      </c>
      <c r="G1582" s="77">
        <f>IFERROR(__xludf.DUMMYFUNCTION("""COMPUTED_VALUE"""),15.0)</f>
        <v>15</v>
      </c>
      <c r="H1582" s="77">
        <f>IFERROR(__xludf.DUMMYFUNCTION("""COMPUTED_VALUE"""),25.0)</f>
        <v>25</v>
      </c>
      <c r="I1582" s="77">
        <f>IFERROR(__xludf.DUMMYFUNCTION("""COMPUTED_VALUE"""),100.0)</f>
        <v>100</v>
      </c>
      <c r="J1582" s="73"/>
      <c r="K1582" s="73"/>
      <c r="L1582" s="73"/>
      <c r="M1582" s="77"/>
      <c r="N1582" s="77">
        <f>IFERROR(__xludf.DUMMYFUNCTION("""COMPUTED_VALUE"""),1.0)</f>
        <v>1</v>
      </c>
      <c r="O1582" s="49"/>
      <c r="P1582" s="49" t="str">
        <f>IFERROR(__xludf.DUMMYFUNCTION("""COMPUTED_VALUE"""),"Offset")</f>
        <v>Offset</v>
      </c>
      <c r="Q1582" s="49" t="str">
        <f>IFERROR(__xludf.DUMMYFUNCTION("""COMPUTED_VALUE"""),"Packaging")</f>
        <v>Packaging</v>
      </c>
      <c r="R1582" s="49" t="str">
        <f>IFERROR(__xludf.DUMMYFUNCTION("""COMPUTED_VALUE"""),"Bakery")</f>
        <v>Bakery</v>
      </c>
    </row>
    <row r="1583">
      <c r="A1583" s="156" t="str">
        <f>IFERROR(__xludf.DUMMYFUNCTION("""COMPUTED_VALUE"""),"https://drive.google.com/open?id=1W0Gn-ZpgFavI6U_i6lkrRggmkpEUA12o&amp;authuser=jay.agg%40gmail.com&amp;usp=drive_fs")</f>
        <v>https://drive.google.com/open?id=1W0Gn-ZpgFavI6U_i6lkrRggmkpEUA12o&amp;authuser=jay.agg%40gmail.com&amp;usp=drive_fs</v>
      </c>
      <c r="B1583" s="73" t="str">
        <f>IFERROR(__xludf.DUMMYFUNCTION("""COMPUTED_VALUE"""),"Bakery")</f>
        <v>Bakery</v>
      </c>
      <c r="C1583" s="73" t="str">
        <f>IFERROR(__xludf.DUMMYFUNCTION("""COMPUTED_VALUE"""),"Mrs Kaurs")</f>
        <v>Mrs Kaurs</v>
      </c>
      <c r="D1583" s="73" t="str">
        <f>IFERROR(__xludf.DUMMYFUNCTION("""COMPUTED_VALUE"""),"11*4*2.25 inch | 282*57*102 mm")</f>
        <v>11*4*2.25 inch | 282*57*102 mm</v>
      </c>
      <c r="E1583" s="77">
        <f>IFERROR(__xludf.DUMMYFUNCTION("""COMPUTED_VALUE"""),1.0)</f>
        <v>1</v>
      </c>
      <c r="F1583" s="77">
        <f>IFERROR(__xludf.DUMMYFUNCTION("""COMPUTED_VALUE"""),1926.0)</f>
        <v>1926</v>
      </c>
      <c r="G1583" s="77">
        <f>IFERROR(__xludf.DUMMYFUNCTION("""COMPUTED_VALUE"""),13.8)</f>
        <v>13.8</v>
      </c>
      <c r="H1583" s="77">
        <f>IFERROR(__xludf.DUMMYFUNCTION("""COMPUTED_VALUE"""),15.75)</f>
        <v>15.75</v>
      </c>
      <c r="I1583" s="77">
        <f>IFERROR(__xludf.DUMMYFUNCTION("""COMPUTED_VALUE"""),100.0)</f>
        <v>100</v>
      </c>
      <c r="J1583" s="73"/>
      <c r="K1583" s="73"/>
      <c r="L1583" s="73"/>
      <c r="M1583" s="77"/>
      <c r="N1583" s="77">
        <f>IFERROR(__xludf.DUMMYFUNCTION("""COMPUTED_VALUE"""),1.0)</f>
        <v>1</v>
      </c>
      <c r="O1583" s="49"/>
      <c r="P1583" s="49" t="str">
        <f>IFERROR(__xludf.DUMMYFUNCTION("""COMPUTED_VALUE"""),"Offset")</f>
        <v>Offset</v>
      </c>
      <c r="Q1583" s="49" t="str">
        <f>IFERROR(__xludf.DUMMYFUNCTION("""COMPUTED_VALUE"""),"Packaging")</f>
        <v>Packaging</v>
      </c>
      <c r="R1583" s="49" t="str">
        <f>IFERROR(__xludf.DUMMYFUNCTION("""COMPUTED_VALUE"""),"Bakery")</f>
        <v>Bakery</v>
      </c>
    </row>
    <row r="1584">
      <c r="A1584" s="156" t="str">
        <f>IFERROR(__xludf.DUMMYFUNCTION("""COMPUTED_VALUE"""),"https://drive.google.com/open?id=1W0X0xgnjVP7OosahJk5m0R11OOZUeqRs&amp;authuser=jay.agg%40gmail.com&amp;usp=drive_fs")</f>
        <v>https://drive.google.com/open?id=1W0X0xgnjVP7OosahJk5m0R11OOZUeqRs&amp;authuser=jay.agg%40gmail.com&amp;usp=drive_fs</v>
      </c>
      <c r="B1584" s="73" t="str">
        <f>IFERROR(__xludf.DUMMYFUNCTION("""COMPUTED_VALUE"""),"Bakery")</f>
        <v>Bakery</v>
      </c>
      <c r="C1584" s="73" t="str">
        <f>IFERROR(__xludf.DUMMYFUNCTION("""COMPUTED_VALUE"""),"Mrs Kaurs")</f>
        <v>Mrs Kaurs</v>
      </c>
      <c r="D1584" s="73" t="str">
        <f>IFERROR(__xludf.DUMMYFUNCTION("""COMPUTED_VALUE"""),"Partition 19.5*3.75 inch | 489*95 mm")</f>
        <v>Partition 19.5*3.75 inch | 489*95 mm</v>
      </c>
      <c r="E1584" s="77">
        <f>IFERROR(__xludf.DUMMYFUNCTION("""COMPUTED_VALUE"""),6.0)</f>
        <v>6</v>
      </c>
      <c r="F1584" s="77">
        <f>IFERROR(__xludf.DUMMYFUNCTION("""COMPUTED_VALUE"""),1926.0)</f>
        <v>1926</v>
      </c>
      <c r="G1584" s="77">
        <f>IFERROR(__xludf.DUMMYFUNCTION("""COMPUTED_VALUE"""),19.5)</f>
        <v>19.5</v>
      </c>
      <c r="H1584" s="77">
        <f>IFERROR(__xludf.DUMMYFUNCTION("""COMPUTED_VALUE"""),23.0)</f>
        <v>23</v>
      </c>
      <c r="I1584" s="77">
        <f>IFERROR(__xludf.DUMMYFUNCTION("""COMPUTED_VALUE"""),100.0)</f>
        <v>100</v>
      </c>
      <c r="J1584" s="73"/>
      <c r="K1584" s="73"/>
      <c r="L1584" s="73"/>
      <c r="M1584" s="77"/>
      <c r="N1584" s="77">
        <f>IFERROR(__xludf.DUMMYFUNCTION("""COMPUTED_VALUE"""),1.0)</f>
        <v>1</v>
      </c>
      <c r="O1584" s="49"/>
      <c r="P1584" s="49" t="str">
        <f>IFERROR(__xludf.DUMMYFUNCTION("""COMPUTED_VALUE"""),"Offset")</f>
        <v>Offset</v>
      </c>
      <c r="Q1584" s="49" t="str">
        <f>IFERROR(__xludf.DUMMYFUNCTION("""COMPUTED_VALUE"""),"Packaging")</f>
        <v>Packaging</v>
      </c>
      <c r="R1584" s="49" t="str">
        <f>IFERROR(__xludf.DUMMYFUNCTION("""COMPUTED_VALUE"""),"Bakery")</f>
        <v>Bakery</v>
      </c>
    </row>
    <row r="1585">
      <c r="A1585" s="156" t="str">
        <f>IFERROR(__xludf.DUMMYFUNCTION("""COMPUTED_VALUE"""),"https://drive.google.com/open?id=1kkQstTwjGv83dKmYDWaH7bmgHWwXP61g&amp;authuser=jay.agg%40gmail.com&amp;usp=drive_fs")</f>
        <v>https://drive.google.com/open?id=1kkQstTwjGv83dKmYDWaH7bmgHWwXP61g&amp;authuser=jay.agg%40gmail.com&amp;usp=drive_fs</v>
      </c>
      <c r="B1585" s="73" t="str">
        <f>IFERROR(__xludf.DUMMYFUNCTION("""COMPUTED_VALUE"""),"Meethai &amp; Cake")</f>
        <v>Meethai &amp; Cake</v>
      </c>
      <c r="C1585" s="73" t="str">
        <f>IFERROR(__xludf.DUMMYFUNCTION("""COMPUTED_VALUE"""),"Soan Papdi 500gm")</f>
        <v>Soan Papdi 500gm</v>
      </c>
      <c r="D1585" s="73" t="str">
        <f>IFERROR(__xludf.DUMMYFUNCTION("""COMPUTED_VALUE"""),"195*150*45 mm")</f>
        <v>195*150*45 mm</v>
      </c>
      <c r="E1585" s="77">
        <f>IFERROR(__xludf.DUMMYFUNCTION("""COMPUTED_VALUE"""),2.0)</f>
        <v>2</v>
      </c>
      <c r="F1585" s="77">
        <f>IFERROR(__xludf.DUMMYFUNCTION("""COMPUTED_VALUE"""),1926.0)</f>
        <v>1926</v>
      </c>
      <c r="G1585" s="77">
        <f>IFERROR(__xludf.DUMMYFUNCTION("""COMPUTED_VALUE"""),18.0)</f>
        <v>18</v>
      </c>
      <c r="H1585" s="77">
        <f>IFERROR(__xludf.DUMMYFUNCTION("""COMPUTED_VALUE"""),23.0)</f>
        <v>23</v>
      </c>
      <c r="I1585" s="77">
        <f>IFERROR(__xludf.DUMMYFUNCTION("""COMPUTED_VALUE"""),100.0)</f>
        <v>100</v>
      </c>
      <c r="J1585" s="73"/>
      <c r="K1585" s="73"/>
      <c r="L1585" s="73"/>
      <c r="M1585" s="77">
        <f>IFERROR(__xludf.DUMMYFUNCTION("""COMPUTED_VALUE"""),0.1)</f>
        <v>0.1</v>
      </c>
      <c r="N1585" s="77">
        <f>IFERROR(__xludf.DUMMYFUNCTION("""COMPUTED_VALUE"""),1.0)</f>
        <v>1</v>
      </c>
      <c r="O1585" s="49"/>
      <c r="P1585" s="49" t="str">
        <f>IFERROR(__xludf.DUMMYFUNCTION("""COMPUTED_VALUE"""),"Offset")</f>
        <v>Offset</v>
      </c>
      <c r="Q1585" s="49" t="str">
        <f>IFERROR(__xludf.DUMMYFUNCTION("""COMPUTED_VALUE"""),"Packaging")</f>
        <v>Packaging</v>
      </c>
      <c r="R1585" s="49" t="str">
        <f>IFERROR(__xludf.DUMMYFUNCTION("""COMPUTED_VALUE"""),"Meethai &amp; Cake")</f>
        <v>Meethai &amp; Cake</v>
      </c>
    </row>
    <row r="1586">
      <c r="A1586" s="156" t="str">
        <f>IFERROR(__xludf.DUMMYFUNCTION("""COMPUTED_VALUE"""),"https://drive.google.com/open?id=1knvyf7t5GxVECa_JUGsDwwRyylW7hHGP&amp;authuser=jay.agg%40gmail.com&amp;usp=drive_fs")</f>
        <v>https://drive.google.com/open?id=1knvyf7t5GxVECa_JUGsDwwRyylW7hHGP&amp;authuser=jay.agg%40gmail.com&amp;usp=drive_fs</v>
      </c>
      <c r="B1586" s="73" t="str">
        <f>IFERROR(__xludf.DUMMYFUNCTION("""COMPUTED_VALUE"""),"Meethai &amp; Cake")</f>
        <v>Meethai &amp; Cake</v>
      </c>
      <c r="C1586" s="73" t="str">
        <f>IFERROR(__xludf.DUMMYFUNCTION("""COMPUTED_VALUE"""),"Soan Papdi 200gm")</f>
        <v>Soan Papdi 200gm</v>
      </c>
      <c r="D1586" s="73" t="str">
        <f>IFERROR(__xludf.DUMMYFUNCTION("""COMPUTED_VALUE"""),"150*100*40 mm")</f>
        <v>150*100*40 mm</v>
      </c>
      <c r="E1586" s="77">
        <f>IFERROR(__xludf.DUMMYFUNCTION("""COMPUTED_VALUE"""),4.0)</f>
        <v>4</v>
      </c>
      <c r="F1586" s="77">
        <f>IFERROR(__xludf.DUMMYFUNCTION("""COMPUTED_VALUE"""),1926.0)</f>
        <v>1926</v>
      </c>
      <c r="G1586" s="77">
        <f>IFERROR(__xludf.DUMMYFUNCTION("""COMPUTED_VALUE"""),18.0)</f>
        <v>18</v>
      </c>
      <c r="H1586" s="77">
        <f>IFERROR(__xludf.DUMMYFUNCTION("""COMPUTED_VALUE"""),23.0)</f>
        <v>23</v>
      </c>
      <c r="I1586" s="77">
        <f>IFERROR(__xludf.DUMMYFUNCTION("""COMPUTED_VALUE"""),100.0)</f>
        <v>100</v>
      </c>
      <c r="J1586" s="73"/>
      <c r="K1586" s="73"/>
      <c r="L1586" s="73"/>
      <c r="M1586" s="77">
        <f>IFERROR(__xludf.DUMMYFUNCTION("""COMPUTED_VALUE"""),0.1)</f>
        <v>0.1</v>
      </c>
      <c r="N1586" s="77">
        <f>IFERROR(__xludf.DUMMYFUNCTION("""COMPUTED_VALUE"""),1.0)</f>
        <v>1</v>
      </c>
      <c r="O1586" s="49"/>
      <c r="P1586" s="49" t="str">
        <f>IFERROR(__xludf.DUMMYFUNCTION("""COMPUTED_VALUE"""),"Offset")</f>
        <v>Offset</v>
      </c>
      <c r="Q1586" s="49" t="str">
        <f>IFERROR(__xludf.DUMMYFUNCTION("""COMPUTED_VALUE"""),"Packaging")</f>
        <v>Packaging</v>
      </c>
      <c r="R1586" s="49" t="str">
        <f>IFERROR(__xludf.DUMMYFUNCTION("""COMPUTED_VALUE"""),"Meethai &amp; Cake")</f>
        <v>Meethai &amp; Cake</v>
      </c>
    </row>
    <row r="1587">
      <c r="A1587" s="156" t="str">
        <f>IFERROR(__xludf.DUMMYFUNCTION("""COMPUTED_VALUE"""),"https://drive.google.com/open?id=1ovQiycdDxXeO53FWi_N954j9_1Ur9w55&amp;authuser=jay.agg%40gmail.com&amp;usp=drive_fs")</f>
        <v>https://drive.google.com/open?id=1ovQiycdDxXeO53FWi_N954j9_1Ur9w55&amp;authuser=jay.agg%40gmail.com&amp;usp=drive_fs</v>
      </c>
      <c r="B1587" s="73" t="str">
        <f>IFERROR(__xludf.DUMMYFUNCTION("""COMPUTED_VALUE"""),"Bakery")</f>
        <v>Bakery</v>
      </c>
      <c r="C1587" s="73" t="str">
        <f>IFERROR(__xludf.DUMMYFUNCTION("""COMPUTED_VALUE"""),"Cake Box")</f>
        <v>Cake Box</v>
      </c>
      <c r="D1587" s="73" t="str">
        <f>IFERROR(__xludf.DUMMYFUNCTION("""COMPUTED_VALUE"""),"203*203*152 mm | 8*8*6 inch | 22*30")</f>
        <v>203*203*152 mm | 8*8*6 inch | 22*30</v>
      </c>
      <c r="E1587" s="77">
        <f>IFERROR(__xludf.DUMMYFUNCTION("""COMPUTED_VALUE"""),1.0)</f>
        <v>1</v>
      </c>
      <c r="F1587" s="77">
        <f>IFERROR(__xludf.DUMMYFUNCTION("""COMPUTED_VALUE"""),1926.0)</f>
        <v>1926</v>
      </c>
      <c r="G1587" s="77">
        <f>IFERROR(__xludf.DUMMYFUNCTION("""COMPUTED_VALUE"""),20.0)</f>
        <v>20</v>
      </c>
      <c r="H1587" s="77">
        <f>IFERROR(__xludf.DUMMYFUNCTION("""COMPUTED_VALUE"""),30.0)</f>
        <v>30</v>
      </c>
      <c r="I1587" s="77">
        <f>IFERROR(__xludf.DUMMYFUNCTION("""COMPUTED_VALUE"""),100.0)</f>
        <v>100</v>
      </c>
      <c r="J1587" s="73"/>
      <c r="K1587" s="73"/>
      <c r="L1587" s="73"/>
      <c r="M1587" s="77"/>
      <c r="N1587" s="77">
        <f>IFERROR(__xludf.DUMMYFUNCTION("""COMPUTED_VALUE"""),1.0)</f>
        <v>1</v>
      </c>
      <c r="O1587" s="49"/>
      <c r="P1587" s="49" t="str">
        <f>IFERROR(__xludf.DUMMYFUNCTION("""COMPUTED_VALUE"""),"Offset")</f>
        <v>Offset</v>
      </c>
      <c r="Q1587" s="49" t="str">
        <f>IFERROR(__xludf.DUMMYFUNCTION("""COMPUTED_VALUE"""),"Packaging")</f>
        <v>Packaging</v>
      </c>
      <c r="R1587" s="49" t="str">
        <f>IFERROR(__xludf.DUMMYFUNCTION("""COMPUTED_VALUE"""),"Bakery")</f>
        <v>Bakery</v>
      </c>
    </row>
    <row r="1588">
      <c r="A1588" s="156" t="str">
        <f>IFERROR(__xludf.DUMMYFUNCTION("""COMPUTED_VALUE"""),"https://drive.google.com/open?id=1p5PQykSb0nIJtoE3sd3gzY_XXM0WlWVi&amp;authuser=jay.agg%40gmail.com&amp;usp=drive_fs")</f>
        <v>https://drive.google.com/open?id=1p5PQykSb0nIJtoE3sd3gzY_XXM0WlWVi&amp;authuser=jay.agg%40gmail.com&amp;usp=drive_fs</v>
      </c>
      <c r="B1588" s="73" t="str">
        <f>IFERROR(__xludf.DUMMYFUNCTION("""COMPUTED_VALUE"""),"Bakery")</f>
        <v>Bakery</v>
      </c>
      <c r="C1588" s="73" t="str">
        <f>IFERROR(__xludf.DUMMYFUNCTION("""COMPUTED_VALUE"""),"Cake Box")</f>
        <v>Cake Box</v>
      </c>
      <c r="D1588" s="73" t="str">
        <f>IFERROR(__xludf.DUMMYFUNCTION("""COMPUTED_VALUE"""),"11*11*6 Part 1")</f>
        <v>11*11*6 Part 1</v>
      </c>
      <c r="E1588" s="77">
        <f>IFERROR(__xludf.DUMMYFUNCTION("""COMPUTED_VALUE"""),1.0)</f>
        <v>1</v>
      </c>
      <c r="F1588" s="77">
        <f>IFERROR(__xludf.DUMMYFUNCTION("""COMPUTED_VALUE"""),1926.0)</f>
        <v>1926</v>
      </c>
      <c r="G1588" s="77">
        <f>IFERROR(__xludf.DUMMYFUNCTION("""COMPUTED_VALUE"""),20.0)</f>
        <v>20</v>
      </c>
      <c r="H1588" s="77">
        <f>IFERROR(__xludf.DUMMYFUNCTION("""COMPUTED_VALUE"""),21.0)</f>
        <v>21</v>
      </c>
      <c r="I1588" s="77">
        <f>IFERROR(__xludf.DUMMYFUNCTION("""COMPUTED_VALUE"""),100.0)</f>
        <v>100</v>
      </c>
      <c r="J1588" s="73"/>
      <c r="K1588" s="73"/>
      <c r="L1588" s="73"/>
      <c r="M1588" s="77">
        <f>IFERROR(__xludf.DUMMYFUNCTION("""COMPUTED_VALUE"""),0.1)</f>
        <v>0.1</v>
      </c>
      <c r="N1588" s="77">
        <f>IFERROR(__xludf.DUMMYFUNCTION("""COMPUTED_VALUE"""),1.0)</f>
        <v>1</v>
      </c>
      <c r="O1588" s="49"/>
      <c r="P1588" s="49" t="str">
        <f>IFERROR(__xludf.DUMMYFUNCTION("""COMPUTED_VALUE"""),"Offset")</f>
        <v>Offset</v>
      </c>
      <c r="Q1588" s="49" t="str">
        <f>IFERROR(__xludf.DUMMYFUNCTION("""COMPUTED_VALUE"""),"Packaging")</f>
        <v>Packaging</v>
      </c>
      <c r="R1588" s="49" t="str">
        <f>IFERROR(__xludf.DUMMYFUNCTION("""COMPUTED_VALUE"""),"Bakery")</f>
        <v>Bakery</v>
      </c>
    </row>
    <row r="1589">
      <c r="A1589" s="156" t="str">
        <f>IFERROR(__xludf.DUMMYFUNCTION("""COMPUTED_VALUE"""),"https://drive.google.com/open?id=1p8aRRGRponCrGr86b2C9yjEPcePkA-XS&amp;authuser=jay.agg%40gmail.com&amp;usp=drive_fs")</f>
        <v>https://drive.google.com/open?id=1p8aRRGRponCrGr86b2C9yjEPcePkA-XS&amp;authuser=jay.agg%40gmail.com&amp;usp=drive_fs</v>
      </c>
      <c r="B1589" s="73" t="str">
        <f>IFERROR(__xludf.DUMMYFUNCTION("""COMPUTED_VALUE"""),"Bakery")</f>
        <v>Bakery</v>
      </c>
      <c r="C1589" s="73" t="str">
        <f>IFERROR(__xludf.DUMMYFUNCTION("""COMPUTED_VALUE"""),"Cake Box")</f>
        <v>Cake Box</v>
      </c>
      <c r="D1589" s="73" t="str">
        <f>IFERROR(__xludf.DUMMYFUNCTION("""COMPUTED_VALUE"""),"11*11*6 Part 2")</f>
        <v>11*11*6 Part 2</v>
      </c>
      <c r="E1589" s="77">
        <f>IFERROR(__xludf.DUMMYFUNCTION("""COMPUTED_VALUE"""),1.0)</f>
        <v>1</v>
      </c>
      <c r="F1589" s="77">
        <f>IFERROR(__xludf.DUMMYFUNCTION("""COMPUTED_VALUE"""),1926.0)</f>
        <v>1926</v>
      </c>
      <c r="G1589" s="77">
        <f>IFERROR(__xludf.DUMMYFUNCTION("""COMPUTED_VALUE"""),18.0)</f>
        <v>18</v>
      </c>
      <c r="H1589" s="77">
        <f>IFERROR(__xludf.DUMMYFUNCTION("""COMPUTED_VALUE"""),23.0)</f>
        <v>23</v>
      </c>
      <c r="I1589" s="77">
        <f>IFERROR(__xludf.DUMMYFUNCTION("""COMPUTED_VALUE"""),100.0)</f>
        <v>100</v>
      </c>
      <c r="J1589" s="73"/>
      <c r="K1589" s="73"/>
      <c r="L1589" s="73"/>
      <c r="M1589" s="77"/>
      <c r="N1589" s="77">
        <f>IFERROR(__xludf.DUMMYFUNCTION("""COMPUTED_VALUE"""),1.0)</f>
        <v>1</v>
      </c>
      <c r="O1589" s="49"/>
      <c r="P1589" s="49" t="str">
        <f>IFERROR(__xludf.DUMMYFUNCTION("""COMPUTED_VALUE"""),"Offset")</f>
        <v>Offset</v>
      </c>
      <c r="Q1589" s="49" t="str">
        <f>IFERROR(__xludf.DUMMYFUNCTION("""COMPUTED_VALUE"""),"Packaging")</f>
        <v>Packaging</v>
      </c>
      <c r="R1589" s="49" t="str">
        <f>IFERROR(__xludf.DUMMYFUNCTION("""COMPUTED_VALUE"""),"Bakery")</f>
        <v>Bakery</v>
      </c>
    </row>
    <row r="1590">
      <c r="A1590" s="156" t="str">
        <f>IFERROR(__xludf.DUMMYFUNCTION("""COMPUTED_VALUE"""),"https://drive.google.com/open?id=16JKdR97-ygngNE2EgUJgnw8zbkzf2pPA&amp;authuser=jay.agg%40gmail.com&amp;usp=drive_fs")</f>
        <v>https://drive.google.com/open?id=16JKdR97-ygngNE2EgUJgnw8zbkzf2pPA&amp;authuser=jay.agg%40gmail.com&amp;usp=drive_fs</v>
      </c>
      <c r="B1590" s="73" t="str">
        <f>IFERROR(__xludf.DUMMYFUNCTION("""COMPUTED_VALUE"""),"Bakery")</f>
        <v>Bakery</v>
      </c>
      <c r="C1590" s="73" t="str">
        <f>IFERROR(__xludf.DUMMYFUNCTION("""COMPUTED_VALUE"""),"Cake Box")</f>
        <v>Cake Box</v>
      </c>
      <c r="D1590" s="73" t="str">
        <f>IFERROR(__xludf.DUMMYFUNCTION("""COMPUTED_VALUE"""),"178*178*89 mm | 7*7*3.5 inch")</f>
        <v>178*178*89 mm | 7*7*3.5 inch</v>
      </c>
      <c r="E1590" s="77">
        <f>IFERROR(__xludf.DUMMYFUNCTION("""COMPUTED_VALUE"""),1.0)</f>
        <v>1</v>
      </c>
      <c r="F1590" s="77">
        <f>IFERROR(__xludf.DUMMYFUNCTION("""COMPUTED_VALUE"""),1926.0)</f>
        <v>1926</v>
      </c>
      <c r="G1590" s="77">
        <f>IFERROR(__xludf.DUMMYFUNCTION("""COMPUTED_VALUE"""),13.0)</f>
        <v>13</v>
      </c>
      <c r="H1590" s="77">
        <f>IFERROR(__xludf.DUMMYFUNCTION("""COMPUTED_VALUE"""),23.0)</f>
        <v>23</v>
      </c>
      <c r="I1590" s="77">
        <f>IFERROR(__xludf.DUMMYFUNCTION("""COMPUTED_VALUE"""),100.0)</f>
        <v>100</v>
      </c>
      <c r="J1590" s="73"/>
      <c r="K1590" s="73"/>
      <c r="L1590" s="73"/>
      <c r="M1590" s="77"/>
      <c r="N1590" s="77">
        <f>IFERROR(__xludf.DUMMYFUNCTION("""COMPUTED_VALUE"""),1.0)</f>
        <v>1</v>
      </c>
      <c r="O1590" s="49"/>
      <c r="P1590" s="49" t="str">
        <f>IFERROR(__xludf.DUMMYFUNCTION("""COMPUTED_VALUE"""),"Offset")</f>
        <v>Offset</v>
      </c>
      <c r="Q1590" s="49" t="str">
        <f>IFERROR(__xludf.DUMMYFUNCTION("""COMPUTED_VALUE"""),"Packaging")</f>
        <v>Packaging</v>
      </c>
      <c r="R1590" s="49" t="str">
        <f>IFERROR(__xludf.DUMMYFUNCTION("""COMPUTED_VALUE"""),"Bakery")</f>
        <v>Bakery</v>
      </c>
    </row>
    <row r="1591">
      <c r="A1591" s="156" t="str">
        <f>IFERROR(__xludf.DUMMYFUNCTION("""COMPUTED_VALUE"""),"https://drive.google.com/open?id=16KDz8Hb9c000oTSJ6tcXjBWqcW61d6wV&amp;authuser=jay.agg%40gmail.com&amp;usp=drive_fs")</f>
        <v>https://drive.google.com/open?id=16KDz8Hb9c000oTSJ6tcXjBWqcW61d6wV&amp;authuser=jay.agg%40gmail.com&amp;usp=drive_fs</v>
      </c>
      <c r="B1591" s="73" t="str">
        <f>IFERROR(__xludf.DUMMYFUNCTION("""COMPUTED_VALUE"""),"Bakery")</f>
        <v>Bakery</v>
      </c>
      <c r="C1591" s="73" t="str">
        <f>IFERROR(__xludf.DUMMYFUNCTION("""COMPUTED_VALUE"""),"Cake Box")</f>
        <v>Cake Box</v>
      </c>
      <c r="D1591" s="73" t="str">
        <f>IFERROR(__xludf.DUMMYFUNCTION("""COMPUTED_VALUE"""),"228*76*216 mm | 9*8.5*3 inch")</f>
        <v>228*76*216 mm | 9*8.5*3 inch</v>
      </c>
      <c r="E1591" s="77">
        <f>IFERROR(__xludf.DUMMYFUNCTION("""COMPUTED_VALUE"""),1.0)</f>
        <v>1</v>
      </c>
      <c r="F1591" s="77">
        <f>IFERROR(__xludf.DUMMYFUNCTION("""COMPUTED_VALUE"""),1926.0)</f>
        <v>1926</v>
      </c>
      <c r="G1591" s="77">
        <f>IFERROR(__xludf.DUMMYFUNCTION("""COMPUTED_VALUE"""),18.0)</f>
        <v>18</v>
      </c>
      <c r="H1591" s="77">
        <f>IFERROR(__xludf.DUMMYFUNCTION("""COMPUTED_VALUE"""),25.0)</f>
        <v>25</v>
      </c>
      <c r="I1591" s="77">
        <f>IFERROR(__xludf.DUMMYFUNCTION("""COMPUTED_VALUE"""),100.0)</f>
        <v>100</v>
      </c>
      <c r="J1591" s="73"/>
      <c r="K1591" s="73"/>
      <c r="L1591" s="73"/>
      <c r="M1591" s="77"/>
      <c r="N1591" s="77">
        <f>IFERROR(__xludf.DUMMYFUNCTION("""COMPUTED_VALUE"""),1.0)</f>
        <v>1</v>
      </c>
      <c r="O1591" s="49"/>
      <c r="P1591" s="49" t="str">
        <f>IFERROR(__xludf.DUMMYFUNCTION("""COMPUTED_VALUE"""),"Offset")</f>
        <v>Offset</v>
      </c>
      <c r="Q1591" s="49" t="str">
        <f>IFERROR(__xludf.DUMMYFUNCTION("""COMPUTED_VALUE"""),"Packaging")</f>
        <v>Packaging</v>
      </c>
      <c r="R1591" s="49" t="str">
        <f>IFERROR(__xludf.DUMMYFUNCTION("""COMPUTED_VALUE"""),"Bakery")</f>
        <v>Bakery</v>
      </c>
    </row>
    <row r="1592">
      <c r="A1592" s="156" t="str">
        <f>IFERROR(__xludf.DUMMYFUNCTION("""COMPUTED_VALUE"""),"https://drive.google.com/open?id=16OaowQN3EEmU9JJubmPR5qnrVeSQb1qo&amp;authuser=jay.agg%40gmail.com&amp;usp=drive_fs")</f>
        <v>https://drive.google.com/open?id=16OaowQN3EEmU9JJubmPR5qnrVeSQb1qo&amp;authuser=jay.agg%40gmail.com&amp;usp=drive_fs</v>
      </c>
      <c r="B1592" s="73" t="str">
        <f>IFERROR(__xludf.DUMMYFUNCTION("""COMPUTED_VALUE"""),"Bakery")</f>
        <v>Bakery</v>
      </c>
      <c r="C1592" s="73" t="str">
        <f>IFERROR(__xludf.DUMMYFUNCTION("""COMPUTED_VALUE"""),"Cake Box")</f>
        <v>Cake Box</v>
      </c>
      <c r="D1592" s="73" t="str">
        <f>IFERROR(__xludf.DUMMYFUNCTION("""COMPUTED_VALUE"""),"279*102*279 mm | 11*11*4 inch")</f>
        <v>279*102*279 mm | 11*11*4 inch</v>
      </c>
      <c r="E1592" s="77">
        <f>IFERROR(__xludf.DUMMYFUNCTION("""COMPUTED_VALUE"""),1.0)</f>
        <v>1</v>
      </c>
      <c r="F1592" s="77">
        <f>IFERROR(__xludf.DUMMYFUNCTION("""COMPUTED_VALUE"""),1926.0)</f>
        <v>1926</v>
      </c>
      <c r="G1592" s="77">
        <f>IFERROR(__xludf.DUMMYFUNCTION("""COMPUTED_VALUE"""),15.75)</f>
        <v>15.75</v>
      </c>
      <c r="H1592" s="77">
        <f>IFERROR(__xludf.DUMMYFUNCTION("""COMPUTED_VALUE"""),20.75)</f>
        <v>20.75</v>
      </c>
      <c r="I1592" s="77">
        <f>IFERROR(__xludf.DUMMYFUNCTION("""COMPUTED_VALUE"""),100.0)</f>
        <v>100</v>
      </c>
      <c r="J1592" s="73"/>
      <c r="K1592" s="73"/>
      <c r="L1592" s="73"/>
      <c r="M1592" s="77">
        <f>IFERROR(__xludf.DUMMYFUNCTION("""COMPUTED_VALUE"""),0.12)</f>
        <v>0.12</v>
      </c>
      <c r="N1592" s="77">
        <f>IFERROR(__xludf.DUMMYFUNCTION("""COMPUTED_VALUE"""),2.0)</f>
        <v>2</v>
      </c>
      <c r="O1592" s="49"/>
      <c r="P1592" s="49" t="str">
        <f>IFERROR(__xludf.DUMMYFUNCTION("""COMPUTED_VALUE"""),"Offset")</f>
        <v>Offset</v>
      </c>
      <c r="Q1592" s="49" t="str">
        <f>IFERROR(__xludf.DUMMYFUNCTION("""COMPUTED_VALUE"""),"Packaging")</f>
        <v>Packaging</v>
      </c>
      <c r="R1592" s="49" t="str">
        <f>IFERROR(__xludf.DUMMYFUNCTION("""COMPUTED_VALUE"""),"Bakery")</f>
        <v>Bakery</v>
      </c>
    </row>
    <row r="1593">
      <c r="A1593" s="156" t="str">
        <f>IFERROR(__xludf.DUMMYFUNCTION("""COMPUTED_VALUE"""),"https://drive.google.com/open?id=16Txk4bWredH4OglpUn2s8qHOqILchP54&amp;authuser=jay.agg%40gmail.com&amp;usp=drive_fs")</f>
        <v>https://drive.google.com/open?id=16Txk4bWredH4OglpUn2s8qHOqILchP54&amp;authuser=jay.agg%40gmail.com&amp;usp=drive_fs</v>
      </c>
      <c r="B1593" s="73" t="str">
        <f>IFERROR(__xludf.DUMMYFUNCTION("""COMPUTED_VALUE"""),"Bakery")</f>
        <v>Bakery</v>
      </c>
      <c r="C1593" s="73" t="str">
        <f>IFERROR(__xludf.DUMMYFUNCTION("""COMPUTED_VALUE"""),"Cake Box")</f>
        <v>Cake Box</v>
      </c>
      <c r="D1593" s="73" t="str">
        <f>IFERROR(__xludf.DUMMYFUNCTION("""COMPUTED_VALUE"""),"304*304*107 mm | 12*12*5 inch")</f>
        <v>304*304*107 mm | 12*12*5 inch</v>
      </c>
      <c r="E1593" s="77">
        <f>IFERROR(__xludf.DUMMYFUNCTION("""COMPUTED_VALUE"""),1.0)</f>
        <v>1</v>
      </c>
      <c r="F1593" s="77">
        <f>IFERROR(__xludf.DUMMYFUNCTION("""COMPUTED_VALUE"""),1926.0)</f>
        <v>1926</v>
      </c>
      <c r="G1593" s="77">
        <f>IFERROR(__xludf.DUMMYFUNCTION("""COMPUTED_VALUE"""),18.0)</f>
        <v>18</v>
      </c>
      <c r="H1593" s="77">
        <f>IFERROR(__xludf.DUMMYFUNCTION("""COMPUTED_VALUE"""),21.0)</f>
        <v>21</v>
      </c>
      <c r="I1593" s="77">
        <f>IFERROR(__xludf.DUMMYFUNCTION("""COMPUTED_VALUE"""),100.0)</f>
        <v>100</v>
      </c>
      <c r="J1593" s="73"/>
      <c r="K1593" s="73"/>
      <c r="L1593" s="73"/>
      <c r="M1593" s="77">
        <f>IFERROR(__xludf.DUMMYFUNCTION("""COMPUTED_VALUE"""),0.12)</f>
        <v>0.12</v>
      </c>
      <c r="N1593" s="77">
        <f>IFERROR(__xludf.DUMMYFUNCTION("""COMPUTED_VALUE"""),2.0)</f>
        <v>2</v>
      </c>
      <c r="O1593" s="49"/>
      <c r="P1593" s="49" t="str">
        <f>IFERROR(__xludf.DUMMYFUNCTION("""COMPUTED_VALUE"""),"Offset")</f>
        <v>Offset</v>
      </c>
      <c r="Q1593" s="49" t="str">
        <f>IFERROR(__xludf.DUMMYFUNCTION("""COMPUTED_VALUE"""),"Packaging")</f>
        <v>Packaging</v>
      </c>
      <c r="R1593" s="49" t="str">
        <f>IFERROR(__xludf.DUMMYFUNCTION("""COMPUTED_VALUE"""),"Bakery")</f>
        <v>Bakery</v>
      </c>
    </row>
    <row r="1594">
      <c r="A1594" s="156" t="str">
        <f>IFERROR(__xludf.DUMMYFUNCTION("""COMPUTED_VALUE"""),"https://drive.google.com/open?id=16pMQ6TUSlGFFEQs2FQapc3c_-MOOLL2i&amp;authuser=jay.agg%40gmail.com&amp;usp=drive_fs")</f>
        <v>https://drive.google.com/open?id=16pMQ6TUSlGFFEQs2FQapc3c_-MOOLL2i&amp;authuser=jay.agg%40gmail.com&amp;usp=drive_fs</v>
      </c>
      <c r="B1594" s="73" t="str">
        <f>IFERROR(__xludf.DUMMYFUNCTION("""COMPUTED_VALUE"""),"Bakery")</f>
        <v>Bakery</v>
      </c>
      <c r="C1594" s="73" t="str">
        <f>IFERROR(__xludf.DUMMYFUNCTION("""COMPUTED_VALUE"""),"Cookies")</f>
        <v>Cookies</v>
      </c>
      <c r="D1594" s="73" t="str">
        <f>IFERROR(__xludf.DUMMYFUNCTION("""COMPUTED_VALUE"""),"195*195*102 mm | 7.5*7.5*4 inch")</f>
        <v>195*195*102 mm | 7.5*7.5*4 inch</v>
      </c>
      <c r="E1594" s="77">
        <f>IFERROR(__xludf.DUMMYFUNCTION("""COMPUTED_VALUE"""),1.0)</f>
        <v>1</v>
      </c>
      <c r="F1594" s="77">
        <f>IFERROR(__xludf.DUMMYFUNCTION("""COMPUTED_VALUE"""),2029.0)</f>
        <v>2029</v>
      </c>
      <c r="G1594" s="77">
        <f>IFERROR(__xludf.DUMMYFUNCTION("""COMPUTED_VALUE"""),15.0)</f>
        <v>15</v>
      </c>
      <c r="H1594" s="77">
        <f>IFERROR(__xludf.DUMMYFUNCTION("""COMPUTED_VALUE"""),25.0)</f>
        <v>25</v>
      </c>
      <c r="I1594" s="77">
        <f>IFERROR(__xludf.DUMMYFUNCTION("""COMPUTED_VALUE"""),100.0)</f>
        <v>100</v>
      </c>
      <c r="J1594" s="73"/>
      <c r="K1594" s="73"/>
      <c r="L1594" s="73"/>
      <c r="M1594" s="77"/>
      <c r="N1594" s="77">
        <f>IFERROR(__xludf.DUMMYFUNCTION("""COMPUTED_VALUE"""),1.0)</f>
        <v>1</v>
      </c>
      <c r="O1594" s="49"/>
      <c r="P1594" s="49" t="str">
        <f>IFERROR(__xludf.DUMMYFUNCTION("""COMPUTED_VALUE"""),"Offset")</f>
        <v>Offset</v>
      </c>
      <c r="Q1594" s="49" t="str">
        <f>IFERROR(__xludf.DUMMYFUNCTION("""COMPUTED_VALUE"""),"Packaging")</f>
        <v>Packaging</v>
      </c>
      <c r="R1594" s="49" t="str">
        <f>IFERROR(__xludf.DUMMYFUNCTION("""COMPUTED_VALUE"""),"Bakery")</f>
        <v>Bakery</v>
      </c>
    </row>
    <row r="1595">
      <c r="A1595" s="156" t="str">
        <f>IFERROR(__xludf.DUMMYFUNCTION("""COMPUTED_VALUE"""),"https://drive.google.com/open?id=16q746O635t4H66ymRddA340DT79jWSkd&amp;authuser=jay.agg%40gmail.com&amp;usp=drive_fs")</f>
        <v>https://drive.google.com/open?id=16q746O635t4H66ymRddA340DT79jWSkd&amp;authuser=jay.agg%40gmail.com&amp;usp=drive_fs</v>
      </c>
      <c r="B1595" s="73" t="str">
        <f>IFERROR(__xludf.DUMMYFUNCTION("""COMPUTED_VALUE"""),"Bakery")</f>
        <v>Bakery</v>
      </c>
      <c r="C1595" s="73" t="str">
        <f>IFERROR(__xludf.DUMMYFUNCTION("""COMPUTED_VALUE"""),"Cookies")</f>
        <v>Cookies</v>
      </c>
      <c r="D1595" s="73" t="str">
        <f>IFERROR(__xludf.DUMMYFUNCTION("""COMPUTED_VALUE"""),"178*127*89 mm | 7*5*3.5 inch")</f>
        <v>178*127*89 mm | 7*5*3.5 inch</v>
      </c>
      <c r="E1595" s="77">
        <f>IFERROR(__xludf.DUMMYFUNCTION("""COMPUTED_VALUE"""),2.0)</f>
        <v>2</v>
      </c>
      <c r="F1595" s="77">
        <f>IFERROR(__xludf.DUMMYFUNCTION("""COMPUTED_VALUE"""),2029.0)</f>
        <v>2029</v>
      </c>
      <c r="G1595" s="77">
        <f>IFERROR(__xludf.DUMMYFUNCTION("""COMPUTED_VALUE"""),19.0)</f>
        <v>19</v>
      </c>
      <c r="H1595" s="77">
        <f>IFERROR(__xludf.DUMMYFUNCTION("""COMPUTED_VALUE"""),26.0)</f>
        <v>26</v>
      </c>
      <c r="I1595" s="77">
        <f>IFERROR(__xludf.DUMMYFUNCTION("""COMPUTED_VALUE"""),100.0)</f>
        <v>100</v>
      </c>
      <c r="J1595" s="73"/>
      <c r="K1595" s="73"/>
      <c r="L1595" s="73"/>
      <c r="M1595" s="77"/>
      <c r="N1595" s="77">
        <f>IFERROR(__xludf.DUMMYFUNCTION("""COMPUTED_VALUE"""),1.0)</f>
        <v>1</v>
      </c>
      <c r="O1595" s="49"/>
      <c r="P1595" s="49" t="str">
        <f>IFERROR(__xludf.DUMMYFUNCTION("""COMPUTED_VALUE"""),"Offset")</f>
        <v>Offset</v>
      </c>
      <c r="Q1595" s="49" t="str">
        <f>IFERROR(__xludf.DUMMYFUNCTION("""COMPUTED_VALUE"""),"Packaging")</f>
        <v>Packaging</v>
      </c>
      <c r="R1595" s="49" t="str">
        <f>IFERROR(__xludf.DUMMYFUNCTION("""COMPUTED_VALUE"""),"Bakery")</f>
        <v>Bakery</v>
      </c>
    </row>
    <row r="1596">
      <c r="A1596" s="73"/>
      <c r="B1596" s="73" t="str">
        <f>IFERROR(__xludf.DUMMYFUNCTION("""COMPUTED_VALUE"""),"Hard Bound")</f>
        <v>Hard Bound</v>
      </c>
      <c r="C1596" s="73" t="str">
        <f>IFERROR(__xludf.DUMMYFUNCTION("""COMPUTED_VALUE"""),"Ghevar 1kg")</f>
        <v>Ghevar 1kg</v>
      </c>
      <c r="D1596" s="73" t="str">
        <f>IFERROR(__xludf.DUMMYFUNCTION("""COMPUTED_VALUE"""),"220*220*85 mm | 8.66*8.66*3.34 inch")</f>
        <v>220*220*85 mm | 8.66*8.66*3.34 inch</v>
      </c>
      <c r="E1596" s="77"/>
      <c r="F1596" s="77"/>
      <c r="G1596" s="77"/>
      <c r="H1596" s="77"/>
      <c r="I1596" s="77">
        <f>IFERROR(__xludf.DUMMYFUNCTION("""COMPUTED_VALUE"""),100.0)</f>
        <v>100</v>
      </c>
      <c r="J1596" s="73"/>
      <c r="K1596" s="73"/>
      <c r="L1596" s="73"/>
      <c r="M1596" s="77">
        <f>IFERROR(__xludf.DUMMYFUNCTION("""COMPUTED_VALUE"""),0.1)</f>
        <v>0.1</v>
      </c>
      <c r="N1596" s="77">
        <f>IFERROR(__xludf.DUMMYFUNCTION("""COMPUTED_VALUE"""),1.0)</f>
        <v>1</v>
      </c>
      <c r="O1596" s="49"/>
      <c r="P1596" s="49" t="str">
        <f>IFERROR(__xludf.DUMMYFUNCTION("""COMPUTED_VALUE"""),"Gift Box")</f>
        <v>Gift Box</v>
      </c>
      <c r="Q1596" s="49" t="str">
        <f>IFERROR(__xludf.DUMMYFUNCTION("""COMPUTED_VALUE"""),"Hard Bound")</f>
        <v>Hard Bound</v>
      </c>
      <c r="R1596" s="49" t="str">
        <f>IFERROR(__xludf.DUMMYFUNCTION("""COMPUTED_VALUE"""),"Hard Bound")</f>
        <v>Hard Bound</v>
      </c>
    </row>
    <row r="1597">
      <c r="A1597" s="73"/>
      <c r="B1597" s="73" t="str">
        <f>IFERROR(__xludf.DUMMYFUNCTION("""COMPUTED_VALUE"""),"Hard Bound")</f>
        <v>Hard Bound</v>
      </c>
      <c r="C1597" s="73" t="str">
        <f>IFERROR(__xludf.DUMMYFUNCTION("""COMPUTED_VALUE"""),"Ghevar 2kg")</f>
        <v>Ghevar 2kg</v>
      </c>
      <c r="D1597" s="73" t="str">
        <f>IFERROR(__xludf.DUMMYFUNCTION("""COMPUTED_VALUE"""),"220*220*130 mm | 8.6*8.6*5 inch")</f>
        <v>220*220*130 mm | 8.6*8.6*5 inch</v>
      </c>
      <c r="E1597" s="77"/>
      <c r="F1597" s="77"/>
      <c r="G1597" s="77"/>
      <c r="H1597" s="77"/>
      <c r="I1597" s="77">
        <f>IFERROR(__xludf.DUMMYFUNCTION("""COMPUTED_VALUE"""),100.0)</f>
        <v>100</v>
      </c>
      <c r="J1597" s="73"/>
      <c r="K1597" s="73"/>
      <c r="L1597" s="73"/>
      <c r="M1597" s="77">
        <f>IFERROR(__xludf.DUMMYFUNCTION("""COMPUTED_VALUE"""),0.1)</f>
        <v>0.1</v>
      </c>
      <c r="N1597" s="77">
        <f>IFERROR(__xludf.DUMMYFUNCTION("""COMPUTED_VALUE"""),1.0)</f>
        <v>1</v>
      </c>
      <c r="O1597" s="49"/>
      <c r="P1597" s="49" t="str">
        <f>IFERROR(__xludf.DUMMYFUNCTION("""COMPUTED_VALUE"""),"Gift Box")</f>
        <v>Gift Box</v>
      </c>
      <c r="Q1597" s="49" t="str">
        <f>IFERROR(__xludf.DUMMYFUNCTION("""COMPUTED_VALUE"""),"Hard Bound")</f>
        <v>Hard Bound</v>
      </c>
      <c r="R1597" s="49" t="str">
        <f>IFERROR(__xludf.DUMMYFUNCTION("""COMPUTED_VALUE"""),"Hard Bound")</f>
        <v>Hard Bound</v>
      </c>
    </row>
    <row r="1598">
      <c r="A1598" s="73"/>
      <c r="B1598" s="73" t="str">
        <f>IFERROR(__xludf.DUMMYFUNCTION("""COMPUTED_VALUE"""),"Hard Bound")</f>
        <v>Hard Bound</v>
      </c>
      <c r="C1598" s="73" t="str">
        <f>IFERROR(__xludf.DUMMYFUNCTION("""COMPUTED_VALUE""")," Ghevar 500g")</f>
        <v> Ghevar 500g</v>
      </c>
      <c r="D1598" s="73" t="str">
        <f>IFERROR(__xludf.DUMMYFUNCTION("""COMPUTED_VALUE"""),"220*220*60 mm | 8.6*8.6*2.3 inch")</f>
        <v>220*220*60 mm | 8.6*8.6*2.3 inch</v>
      </c>
      <c r="E1598" s="77"/>
      <c r="F1598" s="77"/>
      <c r="G1598" s="77"/>
      <c r="H1598" s="77"/>
      <c r="I1598" s="77">
        <f>IFERROR(__xludf.DUMMYFUNCTION("""COMPUTED_VALUE"""),100.0)</f>
        <v>100</v>
      </c>
      <c r="J1598" s="73"/>
      <c r="K1598" s="73"/>
      <c r="L1598" s="73"/>
      <c r="M1598" s="77">
        <f>IFERROR(__xludf.DUMMYFUNCTION("""COMPUTED_VALUE"""),0.1)</f>
        <v>0.1</v>
      </c>
      <c r="N1598" s="77">
        <f>IFERROR(__xludf.DUMMYFUNCTION("""COMPUTED_VALUE"""),1.0)</f>
        <v>1</v>
      </c>
      <c r="O1598" s="49"/>
      <c r="P1598" s="49" t="str">
        <f>IFERROR(__xludf.DUMMYFUNCTION("""COMPUTED_VALUE"""),"Gift Box")</f>
        <v>Gift Box</v>
      </c>
      <c r="Q1598" s="49" t="str">
        <f>IFERROR(__xludf.DUMMYFUNCTION("""COMPUTED_VALUE"""),"Hard Bound")</f>
        <v>Hard Bound</v>
      </c>
      <c r="R1598" s="49" t="str">
        <f>IFERROR(__xludf.DUMMYFUNCTION("""COMPUTED_VALUE"""),"Hard Bound")</f>
        <v>Hard Bound</v>
      </c>
    </row>
    <row r="1599">
      <c r="A1599" s="73"/>
      <c r="B1599" s="73" t="str">
        <f>IFERROR(__xludf.DUMMYFUNCTION("""COMPUTED_VALUE"""),"Hard Bound")</f>
        <v>Hard Bound</v>
      </c>
      <c r="C1599" s="73" t="str">
        <f>IFERROR(__xludf.DUMMYFUNCTION("""COMPUTED_VALUE"""),"Meethai 1kg")</f>
        <v>Meethai 1kg</v>
      </c>
      <c r="D1599" s="73" t="str">
        <f>IFERROR(__xludf.DUMMYFUNCTION("""COMPUTED_VALUE"""),"240*170*40 mm |  9.4*6.6*1.5 inch")</f>
        <v>240*170*40 mm |  9.4*6.6*1.5 inch</v>
      </c>
      <c r="E1599" s="77"/>
      <c r="F1599" s="77"/>
      <c r="G1599" s="77"/>
      <c r="H1599" s="77"/>
      <c r="I1599" s="77">
        <f>IFERROR(__xludf.DUMMYFUNCTION("""COMPUTED_VALUE"""),100.0)</f>
        <v>100</v>
      </c>
      <c r="J1599" s="73"/>
      <c r="K1599" s="73"/>
      <c r="L1599" s="73"/>
      <c r="M1599" s="77">
        <f>IFERROR(__xludf.DUMMYFUNCTION("""COMPUTED_VALUE"""),0.1)</f>
        <v>0.1</v>
      </c>
      <c r="N1599" s="77">
        <f>IFERROR(__xludf.DUMMYFUNCTION("""COMPUTED_VALUE"""),1.0)</f>
        <v>1</v>
      </c>
      <c r="O1599" s="49"/>
      <c r="P1599" s="49" t="str">
        <f>IFERROR(__xludf.DUMMYFUNCTION("""COMPUTED_VALUE"""),"Gift Box")</f>
        <v>Gift Box</v>
      </c>
      <c r="Q1599" s="49" t="str">
        <f>IFERROR(__xludf.DUMMYFUNCTION("""COMPUTED_VALUE"""),"Hard Bound")</f>
        <v>Hard Bound</v>
      </c>
      <c r="R1599" s="49" t="str">
        <f>IFERROR(__xludf.DUMMYFUNCTION("""COMPUTED_VALUE"""),"Hard Bound")</f>
        <v>Hard Bound</v>
      </c>
    </row>
    <row r="1600">
      <c r="A1600" s="73"/>
      <c r="B1600" s="73" t="str">
        <f>IFERROR(__xludf.DUMMYFUNCTION("""COMPUTED_VALUE"""),"Hard Bound")</f>
        <v>Hard Bound</v>
      </c>
      <c r="C1600" s="73" t="str">
        <f>IFERROR(__xludf.DUMMYFUNCTION("""COMPUTED_VALUE"""),"Meethai Mix")</f>
        <v>Meethai Mix</v>
      </c>
      <c r="D1600" s="73" t="str">
        <f>IFERROR(__xludf.DUMMYFUNCTION("""COMPUTED_VALUE"""),"310*210*40 mm |  12*8.2*1.5 inch")</f>
        <v>310*210*40 mm |  12*8.2*1.5 inch</v>
      </c>
      <c r="E1600" s="77"/>
      <c r="F1600" s="77"/>
      <c r="G1600" s="77"/>
      <c r="H1600" s="77"/>
      <c r="I1600" s="77">
        <f>IFERROR(__xludf.DUMMYFUNCTION("""COMPUTED_VALUE"""),100.0)</f>
        <v>100</v>
      </c>
      <c r="J1600" s="73"/>
      <c r="K1600" s="73"/>
      <c r="L1600" s="73"/>
      <c r="M1600" s="77">
        <f>IFERROR(__xludf.DUMMYFUNCTION("""COMPUTED_VALUE"""),0.1)</f>
        <v>0.1</v>
      </c>
      <c r="N1600" s="77">
        <f>IFERROR(__xludf.DUMMYFUNCTION("""COMPUTED_VALUE"""),1.0)</f>
        <v>1</v>
      </c>
      <c r="O1600" s="49"/>
      <c r="P1600" s="49" t="str">
        <f>IFERROR(__xludf.DUMMYFUNCTION("""COMPUTED_VALUE"""),"Gift Box")</f>
        <v>Gift Box</v>
      </c>
      <c r="Q1600" s="49" t="str">
        <f>IFERROR(__xludf.DUMMYFUNCTION("""COMPUTED_VALUE"""),"Hard Bound")</f>
        <v>Hard Bound</v>
      </c>
      <c r="R1600" s="49" t="str">
        <f>IFERROR(__xludf.DUMMYFUNCTION("""COMPUTED_VALUE"""),"Hard Bound")</f>
        <v>Hard Bound</v>
      </c>
    </row>
    <row r="1601">
      <c r="A1601" s="73"/>
      <c r="B1601" s="73" t="str">
        <f>IFERROR(__xludf.DUMMYFUNCTION("""COMPUTED_VALUE"""),"Hard Bound")</f>
        <v>Hard Bound</v>
      </c>
      <c r="C1601" s="73" t="str">
        <f>IFERROR(__xludf.DUMMYFUNCTION("""COMPUTED_VALUE"""),"Meethai 1kg")</f>
        <v>Meethai 1kg</v>
      </c>
      <c r="D1601" s="73" t="str">
        <f>IFERROR(__xludf.DUMMYFUNCTION("""COMPUTED_VALUE"""),"315*190*40 mm |  12.3*7.4*1.5 inch")</f>
        <v>315*190*40 mm |  12.3*7.4*1.5 inch</v>
      </c>
      <c r="E1601" s="77"/>
      <c r="F1601" s="77"/>
      <c r="G1601" s="77"/>
      <c r="H1601" s="77"/>
      <c r="I1601" s="77">
        <f>IFERROR(__xludf.DUMMYFUNCTION("""COMPUTED_VALUE"""),100.0)</f>
        <v>100</v>
      </c>
      <c r="J1601" s="73"/>
      <c r="K1601" s="73"/>
      <c r="L1601" s="73"/>
      <c r="M1601" s="77">
        <f>IFERROR(__xludf.DUMMYFUNCTION("""COMPUTED_VALUE"""),0.1)</f>
        <v>0.1</v>
      </c>
      <c r="N1601" s="77">
        <f>IFERROR(__xludf.DUMMYFUNCTION("""COMPUTED_VALUE"""),1.0)</f>
        <v>1</v>
      </c>
      <c r="O1601" s="49"/>
      <c r="P1601" s="49" t="str">
        <f>IFERROR(__xludf.DUMMYFUNCTION("""COMPUTED_VALUE"""),"Gift Box")</f>
        <v>Gift Box</v>
      </c>
      <c r="Q1601" s="49" t="str">
        <f>IFERROR(__xludf.DUMMYFUNCTION("""COMPUTED_VALUE"""),"Hard Bound")</f>
        <v>Hard Bound</v>
      </c>
      <c r="R1601" s="49" t="str">
        <f>IFERROR(__xludf.DUMMYFUNCTION("""COMPUTED_VALUE"""),"Hard Bound")</f>
        <v>Hard Bound</v>
      </c>
    </row>
    <row r="1602">
      <c r="A1602" s="156" t="str">
        <f>IFERROR(__xludf.DUMMYFUNCTION("""COMPUTED_VALUE"""),"https://drive.google.com/open?id=1NXjq62uSsjVe41092aRi-kzaFGTVvZel&amp;authuser=jay.agg%40gmail.com&amp;usp=drive_fs")</f>
        <v>https://drive.google.com/open?id=1NXjq62uSsjVe41092aRi-kzaFGTVvZel&amp;authuser=jay.agg%40gmail.com&amp;usp=drive_fs</v>
      </c>
      <c r="B1602" s="73" t="str">
        <f>IFERROR(__xludf.DUMMYFUNCTION("""COMPUTED_VALUE"""),"Meethai &amp; Cake")</f>
        <v>Meethai &amp; Cake</v>
      </c>
      <c r="C1602" s="73" t="str">
        <f>IFERROR(__xludf.DUMMYFUNCTION("""COMPUTED_VALUE"""),"450g")</f>
        <v>450g</v>
      </c>
      <c r="D1602" s="73" t="str">
        <f>IFERROR(__xludf.DUMMYFUNCTION("""COMPUTED_VALUE"""),"130*130*60 mm |  5.1*5.1*2.3 inch")</f>
        <v>130*130*60 mm |  5.1*5.1*2.3 inch</v>
      </c>
      <c r="E1602" s="77">
        <f>IFERROR(__xludf.DUMMYFUNCTION("""COMPUTED_VALUE"""),2.0)</f>
        <v>2</v>
      </c>
      <c r="F1602" s="77">
        <f>IFERROR(__xludf.DUMMYFUNCTION("""COMPUTED_VALUE"""),1926.0)</f>
        <v>1926</v>
      </c>
      <c r="G1602" s="77">
        <f>IFERROR(__xludf.DUMMYFUNCTION("""COMPUTED_VALUE"""),15.75)</f>
        <v>15.75</v>
      </c>
      <c r="H1602" s="77">
        <f>IFERROR(__xludf.DUMMYFUNCTION("""COMPUTED_VALUE"""),20.75)</f>
        <v>20.75</v>
      </c>
      <c r="I1602" s="77">
        <f>IFERROR(__xludf.DUMMYFUNCTION("""COMPUTED_VALUE"""),100.0)</f>
        <v>100</v>
      </c>
      <c r="J1602" s="73"/>
      <c r="K1602" s="73"/>
      <c r="L1602" s="73"/>
      <c r="M1602" s="77">
        <f>IFERROR(__xludf.DUMMYFUNCTION("""COMPUTED_VALUE"""),0.1)</f>
        <v>0.1</v>
      </c>
      <c r="N1602" s="77">
        <f>IFERROR(__xludf.DUMMYFUNCTION("""COMPUTED_VALUE"""),1.0)</f>
        <v>1</v>
      </c>
      <c r="O1602" s="49"/>
      <c r="P1602" s="49" t="str">
        <f>IFERROR(__xludf.DUMMYFUNCTION("""COMPUTED_VALUE"""),"Offset")</f>
        <v>Offset</v>
      </c>
      <c r="Q1602" s="49" t="str">
        <f>IFERROR(__xludf.DUMMYFUNCTION("""COMPUTED_VALUE"""),"Packaging")</f>
        <v>Packaging</v>
      </c>
      <c r="R1602" s="49" t="str">
        <f>IFERROR(__xludf.DUMMYFUNCTION("""COMPUTED_VALUE"""),"Meethai &amp; Cake")</f>
        <v>Meethai &amp; Cake</v>
      </c>
    </row>
    <row r="1603">
      <c r="A1603" s="156" t="str">
        <f>IFERROR(__xludf.DUMMYFUNCTION("""COMPUTED_VALUE"""),"https://drive.google.com/open?id=1NW5XPwKZMhNW6QiLigw6KsbsqNenEfk9&amp;authuser=jay.agg%40gmail.com&amp;usp=drive_fs")</f>
        <v>https://drive.google.com/open?id=1NW5XPwKZMhNW6QiLigw6KsbsqNenEfk9&amp;authuser=jay.agg%40gmail.com&amp;usp=drive_fs</v>
      </c>
      <c r="B1603" s="73" t="str">
        <f>IFERROR(__xludf.DUMMYFUNCTION("""COMPUTED_VALUE"""),"Meethai &amp; Cake")</f>
        <v>Meethai &amp; Cake</v>
      </c>
      <c r="C1603" s="73" t="str">
        <f>IFERROR(__xludf.DUMMYFUNCTION("""COMPUTED_VALUE"""),"250g")</f>
        <v>250g</v>
      </c>
      <c r="D1603" s="73" t="str">
        <f>IFERROR(__xludf.DUMMYFUNCTION("""COMPUTED_VALUE"""),"112*112*48 mm |  4.4*4.4*1.88 inch")</f>
        <v>112*112*48 mm |  4.4*4.4*1.88 inch</v>
      </c>
      <c r="E1603" s="77">
        <f>IFERROR(__xludf.DUMMYFUNCTION("""COMPUTED_VALUE"""),4.0)</f>
        <v>4</v>
      </c>
      <c r="F1603" s="77">
        <f>IFERROR(__xludf.DUMMYFUNCTION("""COMPUTED_VALUE"""),2029.0)</f>
        <v>2029</v>
      </c>
      <c r="G1603" s="77">
        <f>IFERROR(__xludf.DUMMYFUNCTION("""COMPUTED_VALUE"""),19.0)</f>
        <v>19</v>
      </c>
      <c r="H1603" s="77">
        <f>IFERROR(__xludf.DUMMYFUNCTION("""COMPUTED_VALUE"""),28.0)</f>
        <v>28</v>
      </c>
      <c r="I1603" s="77">
        <f>IFERROR(__xludf.DUMMYFUNCTION("""COMPUTED_VALUE"""),100.0)</f>
        <v>100</v>
      </c>
      <c r="J1603" s="73"/>
      <c r="K1603" s="73"/>
      <c r="L1603" s="73"/>
      <c r="M1603" s="77">
        <f>IFERROR(__xludf.DUMMYFUNCTION("""COMPUTED_VALUE"""),0.1)</f>
        <v>0.1</v>
      </c>
      <c r="N1603" s="77">
        <f>IFERROR(__xludf.DUMMYFUNCTION("""COMPUTED_VALUE"""),1.0)</f>
        <v>1</v>
      </c>
      <c r="O1603" s="49"/>
      <c r="P1603" s="49" t="str">
        <f>IFERROR(__xludf.DUMMYFUNCTION("""COMPUTED_VALUE"""),"Offset")</f>
        <v>Offset</v>
      </c>
      <c r="Q1603" s="49" t="str">
        <f>IFERROR(__xludf.DUMMYFUNCTION("""COMPUTED_VALUE"""),"Packaging")</f>
        <v>Packaging</v>
      </c>
      <c r="R1603" s="49" t="str">
        <f>IFERROR(__xludf.DUMMYFUNCTION("""COMPUTED_VALUE"""),"Meethai &amp; Cake")</f>
        <v>Meethai &amp; Cake</v>
      </c>
    </row>
    <row r="1604">
      <c r="A1604" s="73"/>
      <c r="B1604" s="73" t="str">
        <f>IFERROR(__xludf.DUMMYFUNCTION("""COMPUTED_VALUE"""),"Hard Bound")</f>
        <v>Hard Bound</v>
      </c>
      <c r="C1604" s="73" t="str">
        <f>IFERROR(__xludf.DUMMYFUNCTION("""COMPUTED_VALUE"""),"Chocholate")</f>
        <v>Chocholate</v>
      </c>
      <c r="D1604" s="73" t="str">
        <f>IFERROR(__xludf.DUMMYFUNCTION("""COMPUTED_VALUE"""),"215*130*25 mm |  8.4*5.1*1 inch")</f>
        <v>215*130*25 mm |  8.4*5.1*1 inch</v>
      </c>
      <c r="E1604" s="77"/>
      <c r="F1604" s="77"/>
      <c r="G1604" s="77"/>
      <c r="H1604" s="77"/>
      <c r="I1604" s="77">
        <f>IFERROR(__xludf.DUMMYFUNCTION("""COMPUTED_VALUE"""),100.0)</f>
        <v>100</v>
      </c>
      <c r="J1604" s="73"/>
      <c r="K1604" s="73"/>
      <c r="L1604" s="73"/>
      <c r="M1604" s="77">
        <f>IFERROR(__xludf.DUMMYFUNCTION("""COMPUTED_VALUE"""),0.1)</f>
        <v>0.1</v>
      </c>
      <c r="N1604" s="77">
        <f>IFERROR(__xludf.DUMMYFUNCTION("""COMPUTED_VALUE"""),1.0)</f>
        <v>1</v>
      </c>
      <c r="O1604" s="49"/>
      <c r="P1604" s="49" t="str">
        <f>IFERROR(__xludf.DUMMYFUNCTION("""COMPUTED_VALUE"""),"Gift Box")</f>
        <v>Gift Box</v>
      </c>
      <c r="Q1604" s="49" t="str">
        <f>IFERROR(__xludf.DUMMYFUNCTION("""COMPUTED_VALUE"""),"Hard Bound")</f>
        <v>Hard Bound</v>
      </c>
      <c r="R1604" s="49" t="str">
        <f>IFERROR(__xludf.DUMMYFUNCTION("""COMPUTED_VALUE"""),"Hard Bound")</f>
        <v>Hard Bound</v>
      </c>
    </row>
    <row r="1605">
      <c r="A1605" s="73"/>
      <c r="B1605" s="73" t="str">
        <f>IFERROR(__xludf.DUMMYFUNCTION("""COMPUTED_VALUE"""),"Hard Bound")</f>
        <v>Hard Bound</v>
      </c>
      <c r="C1605" s="73" t="str">
        <f>IFERROR(__xludf.DUMMYFUNCTION("""COMPUTED_VALUE"""),"Chocholate")</f>
        <v>Chocholate</v>
      </c>
      <c r="D1605" s="73" t="str">
        <f>IFERROR(__xludf.DUMMYFUNCTION("""COMPUTED_VALUE"""),"270*190*25 mm |  10.6*7.4*1 inch")</f>
        <v>270*190*25 mm |  10.6*7.4*1 inch</v>
      </c>
      <c r="E1605" s="77"/>
      <c r="F1605" s="77"/>
      <c r="G1605" s="77"/>
      <c r="H1605" s="77"/>
      <c r="I1605" s="77">
        <f>IFERROR(__xludf.DUMMYFUNCTION("""COMPUTED_VALUE"""),100.0)</f>
        <v>100</v>
      </c>
      <c r="J1605" s="73"/>
      <c r="K1605" s="73"/>
      <c r="L1605" s="73"/>
      <c r="M1605" s="77">
        <f>IFERROR(__xludf.DUMMYFUNCTION("""COMPUTED_VALUE"""),0.1)</f>
        <v>0.1</v>
      </c>
      <c r="N1605" s="77">
        <f>IFERROR(__xludf.DUMMYFUNCTION("""COMPUTED_VALUE"""),1.0)</f>
        <v>1</v>
      </c>
      <c r="O1605" s="49"/>
      <c r="P1605" s="49" t="str">
        <f>IFERROR(__xludf.DUMMYFUNCTION("""COMPUTED_VALUE"""),"Gift Box")</f>
        <v>Gift Box</v>
      </c>
      <c r="Q1605" s="49" t="str">
        <f>IFERROR(__xludf.DUMMYFUNCTION("""COMPUTED_VALUE"""),"Hard Bound")</f>
        <v>Hard Bound</v>
      </c>
      <c r="R1605" s="49" t="str">
        <f>IFERROR(__xludf.DUMMYFUNCTION("""COMPUTED_VALUE"""),"Hard Bound")</f>
        <v>Hard Bound</v>
      </c>
    </row>
    <row r="1606">
      <c r="A1606" s="73"/>
      <c r="B1606" s="73" t="str">
        <f>IFERROR(__xludf.DUMMYFUNCTION("""COMPUTED_VALUE"""),"Hard Bound")</f>
        <v>Hard Bound</v>
      </c>
      <c r="C1606" s="73" t="str">
        <f>IFERROR(__xludf.DUMMYFUNCTION("""COMPUTED_VALUE"""),"Meethai 500g")</f>
        <v>Meethai 500g</v>
      </c>
      <c r="D1606" s="73" t="str">
        <f>IFERROR(__xludf.DUMMYFUNCTION("""COMPUTED_VALUE"""),"178*145*40 mm |  7*5.7*1.5 inch")</f>
        <v>178*145*40 mm |  7*5.7*1.5 inch</v>
      </c>
      <c r="E1606" s="77"/>
      <c r="F1606" s="77"/>
      <c r="G1606" s="77"/>
      <c r="H1606" s="77"/>
      <c r="I1606" s="77">
        <f>IFERROR(__xludf.DUMMYFUNCTION("""COMPUTED_VALUE"""),100.0)</f>
        <v>100</v>
      </c>
      <c r="J1606" s="73"/>
      <c r="K1606" s="73"/>
      <c r="L1606" s="73"/>
      <c r="M1606" s="77">
        <f>IFERROR(__xludf.DUMMYFUNCTION("""COMPUTED_VALUE"""),0.1)</f>
        <v>0.1</v>
      </c>
      <c r="N1606" s="77">
        <f>IFERROR(__xludf.DUMMYFUNCTION("""COMPUTED_VALUE"""),1.0)</f>
        <v>1</v>
      </c>
      <c r="O1606" s="49"/>
      <c r="P1606" s="49" t="str">
        <f>IFERROR(__xludf.DUMMYFUNCTION("""COMPUTED_VALUE"""),"Gift Box")</f>
        <v>Gift Box</v>
      </c>
      <c r="Q1606" s="49" t="str">
        <f>IFERROR(__xludf.DUMMYFUNCTION("""COMPUTED_VALUE"""),"Hard Bound")</f>
        <v>Hard Bound</v>
      </c>
      <c r="R1606" s="49" t="str">
        <f>IFERROR(__xludf.DUMMYFUNCTION("""COMPUTED_VALUE"""),"Hard Bound")</f>
        <v>Hard Bound</v>
      </c>
    </row>
    <row r="1607">
      <c r="A1607" s="73"/>
      <c r="B1607" s="73" t="str">
        <f>IFERROR(__xludf.DUMMYFUNCTION("""COMPUTED_VALUE"""),"Hard Bound")</f>
        <v>Hard Bound</v>
      </c>
      <c r="C1607" s="73" t="str">
        <f>IFERROR(__xludf.DUMMYFUNCTION("""COMPUTED_VALUE"""),"Meethai 500g")</f>
        <v>Meethai 500g</v>
      </c>
      <c r="D1607" s="73" t="str">
        <f>IFERROR(__xludf.DUMMYFUNCTION("""COMPUTED_VALUE"""),"230*115*40 mm | 9*4.5*1.5 inch")</f>
        <v>230*115*40 mm | 9*4.5*1.5 inch</v>
      </c>
      <c r="E1607" s="77"/>
      <c r="F1607" s="77"/>
      <c r="G1607" s="77"/>
      <c r="H1607" s="77"/>
      <c r="I1607" s="77">
        <f>IFERROR(__xludf.DUMMYFUNCTION("""COMPUTED_VALUE"""),100.0)</f>
        <v>100</v>
      </c>
      <c r="J1607" s="73"/>
      <c r="K1607" s="73"/>
      <c r="L1607" s="73"/>
      <c r="M1607" s="77">
        <f>IFERROR(__xludf.DUMMYFUNCTION("""COMPUTED_VALUE"""),0.1)</f>
        <v>0.1</v>
      </c>
      <c r="N1607" s="77">
        <f>IFERROR(__xludf.DUMMYFUNCTION("""COMPUTED_VALUE"""),1.0)</f>
        <v>1</v>
      </c>
      <c r="O1607" s="49"/>
      <c r="P1607" s="49" t="str">
        <f>IFERROR(__xludf.DUMMYFUNCTION("""COMPUTED_VALUE"""),"Gift Box")</f>
        <v>Gift Box</v>
      </c>
      <c r="Q1607" s="49" t="str">
        <f>IFERROR(__xludf.DUMMYFUNCTION("""COMPUTED_VALUE"""),"Hard Bound")</f>
        <v>Hard Bound</v>
      </c>
      <c r="R1607" s="49" t="str">
        <f>IFERROR(__xludf.DUMMYFUNCTION("""COMPUTED_VALUE"""),"Hard Bound")</f>
        <v>Hard Bound</v>
      </c>
    </row>
    <row r="1608">
      <c r="A1608" s="73"/>
      <c r="B1608" s="73" t="str">
        <f>IFERROR(__xludf.DUMMYFUNCTION("""COMPUTED_VALUE"""),"Hard Bound")</f>
        <v>Hard Bound</v>
      </c>
      <c r="C1608" s="73" t="str">
        <f>IFERROR(__xludf.DUMMYFUNCTION("""COMPUTED_VALUE"""),"Meethai 1kg")</f>
        <v>Meethai 1kg</v>
      </c>
      <c r="D1608" s="73" t="str">
        <f>IFERROR(__xludf.DUMMYFUNCTION("""COMPUTED_VALUE"""),"350*115*40 mm | 13.75*4.5*1.5 inch")</f>
        <v>350*115*40 mm | 13.75*4.5*1.5 inch</v>
      </c>
      <c r="E1608" s="77"/>
      <c r="F1608" s="77"/>
      <c r="G1608" s="77"/>
      <c r="H1608" s="77"/>
      <c r="I1608" s="77">
        <f>IFERROR(__xludf.DUMMYFUNCTION("""COMPUTED_VALUE"""),100.0)</f>
        <v>100</v>
      </c>
      <c r="J1608" s="73"/>
      <c r="K1608" s="73"/>
      <c r="L1608" s="73"/>
      <c r="M1608" s="77">
        <f>IFERROR(__xludf.DUMMYFUNCTION("""COMPUTED_VALUE"""),0.1)</f>
        <v>0.1</v>
      </c>
      <c r="N1608" s="77">
        <f>IFERROR(__xludf.DUMMYFUNCTION("""COMPUTED_VALUE"""),1.0)</f>
        <v>1</v>
      </c>
      <c r="O1608" s="49"/>
      <c r="P1608" s="49" t="str">
        <f>IFERROR(__xludf.DUMMYFUNCTION("""COMPUTED_VALUE"""),"Gift Box")</f>
        <v>Gift Box</v>
      </c>
      <c r="Q1608" s="49" t="str">
        <f>IFERROR(__xludf.DUMMYFUNCTION("""COMPUTED_VALUE"""),"Hard Bound")</f>
        <v>Hard Bound</v>
      </c>
      <c r="R1608" s="49" t="str">
        <f>IFERROR(__xludf.DUMMYFUNCTION("""COMPUTED_VALUE"""),"Hard Bound")</f>
        <v>Hard Bound</v>
      </c>
    </row>
    <row r="1609">
      <c r="A1609" s="73"/>
      <c r="B1609" s="73" t="str">
        <f>IFERROR(__xludf.DUMMYFUNCTION("""COMPUTED_VALUE"""),"Hard Bound")</f>
        <v>Hard Bound</v>
      </c>
      <c r="C1609" s="73" t="str">
        <f>IFERROR(__xludf.DUMMYFUNCTION("""COMPUTED_VALUE"""),"Ghevar 2kg")</f>
        <v>Ghevar 2kg</v>
      </c>
      <c r="D1609" s="73" t="str">
        <f>IFERROR(__xludf.DUMMYFUNCTION("""COMPUTED_VALUE"""),"278*278*130 mm |  10*10*5 inch")</f>
        <v>278*278*130 mm |  10*10*5 inch</v>
      </c>
      <c r="E1609" s="77"/>
      <c r="F1609" s="77"/>
      <c r="G1609" s="77"/>
      <c r="H1609" s="77"/>
      <c r="I1609" s="77">
        <f>IFERROR(__xludf.DUMMYFUNCTION("""COMPUTED_VALUE"""),100.0)</f>
        <v>100</v>
      </c>
      <c r="J1609" s="73"/>
      <c r="K1609" s="73"/>
      <c r="L1609" s="73">
        <f>IFERROR(__xludf.DUMMYFUNCTION("""COMPUTED_VALUE"""),46.0)</f>
        <v>46</v>
      </c>
      <c r="M1609" s="77">
        <f>IFERROR(__xludf.DUMMYFUNCTION("""COMPUTED_VALUE"""),0.1)</f>
        <v>0.1</v>
      </c>
      <c r="N1609" s="77">
        <f>IFERROR(__xludf.DUMMYFUNCTION("""COMPUTED_VALUE"""),1.0)</f>
        <v>1</v>
      </c>
      <c r="O1609" s="49"/>
      <c r="P1609" s="49" t="str">
        <f>IFERROR(__xludf.DUMMYFUNCTION("""COMPUTED_VALUE"""),"Gift Box")</f>
        <v>Gift Box</v>
      </c>
      <c r="Q1609" s="49" t="str">
        <f>IFERROR(__xludf.DUMMYFUNCTION("""COMPUTED_VALUE"""),"Hard Bound")</f>
        <v>Hard Bound</v>
      </c>
      <c r="R1609" s="49" t="str">
        <f>IFERROR(__xludf.DUMMYFUNCTION("""COMPUTED_VALUE"""),"Hard Bound")</f>
        <v>Hard Bound</v>
      </c>
    </row>
    <row r="1610">
      <c r="A1610" s="73"/>
      <c r="B1610" s="73" t="str">
        <f>IFERROR(__xludf.DUMMYFUNCTION("""COMPUTED_VALUE"""),"Hard Bound")</f>
        <v>Hard Bound</v>
      </c>
      <c r="C1610" s="73" t="str">
        <f>IFERROR(__xludf.DUMMYFUNCTION("""COMPUTED_VALUE"""),"Ghevar 1kg")</f>
        <v>Ghevar 1kg</v>
      </c>
      <c r="D1610" s="73"/>
      <c r="E1610" s="77"/>
      <c r="F1610" s="77"/>
      <c r="G1610" s="77"/>
      <c r="H1610" s="77"/>
      <c r="I1610" s="77">
        <f>IFERROR(__xludf.DUMMYFUNCTION("""COMPUTED_VALUE"""),100.0)</f>
        <v>100</v>
      </c>
      <c r="J1610" s="73"/>
      <c r="K1610" s="73"/>
      <c r="L1610" s="73"/>
      <c r="M1610" s="77">
        <f>IFERROR(__xludf.DUMMYFUNCTION("""COMPUTED_VALUE"""),0.1)</f>
        <v>0.1</v>
      </c>
      <c r="N1610" s="77">
        <f>IFERROR(__xludf.DUMMYFUNCTION("""COMPUTED_VALUE"""),1.0)</f>
        <v>1</v>
      </c>
      <c r="O1610" s="49"/>
      <c r="P1610" s="49" t="str">
        <f>IFERROR(__xludf.DUMMYFUNCTION("""COMPUTED_VALUE"""),"Offset")</f>
        <v>Offset</v>
      </c>
      <c r="Q1610" s="49" t="str">
        <f>IFERROR(__xludf.DUMMYFUNCTION("""COMPUTED_VALUE"""),"Packaging")</f>
        <v>Packaging</v>
      </c>
      <c r="R1610" s="49" t="str">
        <f>IFERROR(__xludf.DUMMYFUNCTION("""COMPUTED_VALUE"""),"Hard Bound")</f>
        <v>Hard Bound</v>
      </c>
    </row>
    <row r="1611">
      <c r="A1611" s="73"/>
      <c r="B1611" s="73" t="str">
        <f>IFERROR(__xludf.DUMMYFUNCTION("""COMPUTED_VALUE"""),"Hard Bound")</f>
        <v>Hard Bound</v>
      </c>
      <c r="C1611" s="73" t="str">
        <f>IFERROR(__xludf.DUMMYFUNCTION("""COMPUTED_VALUE""")," Ghevar 500g")</f>
        <v> Ghevar 500g</v>
      </c>
      <c r="D1611" s="73"/>
      <c r="E1611" s="77"/>
      <c r="F1611" s="77"/>
      <c r="G1611" s="77"/>
      <c r="H1611" s="77"/>
      <c r="I1611" s="77">
        <f>IFERROR(__xludf.DUMMYFUNCTION("""COMPUTED_VALUE"""),100.0)</f>
        <v>100</v>
      </c>
      <c r="J1611" s="73"/>
      <c r="K1611" s="73"/>
      <c r="L1611" s="73"/>
      <c r="M1611" s="77">
        <f>IFERROR(__xludf.DUMMYFUNCTION("""COMPUTED_VALUE"""),0.1)</f>
        <v>0.1</v>
      </c>
      <c r="N1611" s="77">
        <f>IFERROR(__xludf.DUMMYFUNCTION("""COMPUTED_VALUE"""),1.0)</f>
        <v>1</v>
      </c>
      <c r="O1611" s="49"/>
      <c r="P1611" s="49" t="str">
        <f>IFERROR(__xludf.DUMMYFUNCTION("""COMPUTED_VALUE"""),"Offset")</f>
        <v>Offset</v>
      </c>
      <c r="Q1611" s="49" t="str">
        <f>IFERROR(__xludf.DUMMYFUNCTION("""COMPUTED_VALUE"""),"Packaging")</f>
        <v>Packaging</v>
      </c>
      <c r="R1611" s="49" t="str">
        <f>IFERROR(__xludf.DUMMYFUNCTION("""COMPUTED_VALUE"""),"Hard Bound")</f>
        <v>Hard Bound</v>
      </c>
    </row>
    <row r="1612">
      <c r="A1612" s="156" t="str">
        <f>IFERROR(__xludf.DUMMYFUNCTION("""COMPUTED_VALUE"""),"https://drive.google.com/open?id=1TWNJqFV2dmUN-aOdE1vslmG4WMlz3ZUL&amp;authuser=jay.agg%40gmail.com&amp;usp=drive_fs")</f>
        <v>https://drive.google.com/open?id=1TWNJqFV2dmUN-aOdE1vslmG4WMlz3ZUL&amp;authuser=jay.agg%40gmail.com&amp;usp=drive_fs</v>
      </c>
      <c r="B1612" s="73" t="str">
        <f>IFERROR(__xludf.DUMMYFUNCTION("""COMPUTED_VALUE"""),"Meethai &amp; Cake")</f>
        <v>Meethai &amp; Cake</v>
      </c>
      <c r="C1612" s="73" t="str">
        <f>IFERROR(__xludf.DUMMYFUNCTION("""COMPUTED_VALUE"""),"Meethai")</f>
        <v>Meethai</v>
      </c>
      <c r="D1612" s="73" t="str">
        <f>IFERROR(__xludf.DUMMYFUNCTION("""COMPUTED_VALUE"""),"180*165*55 mm | 7*6.5*2 inch")</f>
        <v>180*165*55 mm | 7*6.5*2 inch</v>
      </c>
      <c r="E1612" s="77">
        <f>IFERROR(__xludf.DUMMYFUNCTION("""COMPUTED_VALUE"""),2.0)</f>
        <v>2</v>
      </c>
      <c r="F1612" s="77">
        <f>IFERROR(__xludf.DUMMYFUNCTION("""COMPUTED_VALUE"""),2029.0)</f>
        <v>2029</v>
      </c>
      <c r="G1612" s="77">
        <f>IFERROR(__xludf.DUMMYFUNCTION("""COMPUTED_VALUE"""),19.5)</f>
        <v>19.5</v>
      </c>
      <c r="H1612" s="77">
        <f>IFERROR(__xludf.DUMMYFUNCTION("""COMPUTED_VALUE"""),23.0)</f>
        <v>23</v>
      </c>
      <c r="I1612" s="77">
        <f>IFERROR(__xludf.DUMMYFUNCTION("""COMPUTED_VALUE"""),100.0)</f>
        <v>100</v>
      </c>
      <c r="J1612" s="73"/>
      <c r="K1612" s="73"/>
      <c r="L1612" s="73"/>
      <c r="M1612" s="77"/>
      <c r="N1612" s="77">
        <f>IFERROR(__xludf.DUMMYFUNCTION("""COMPUTED_VALUE"""),1.0)</f>
        <v>1</v>
      </c>
      <c r="O1612" s="49"/>
      <c r="P1612" s="49" t="str">
        <f>IFERROR(__xludf.DUMMYFUNCTION("""COMPUTED_VALUE"""),"Offset")</f>
        <v>Offset</v>
      </c>
      <c r="Q1612" s="49" t="str">
        <f>IFERROR(__xludf.DUMMYFUNCTION("""COMPUTED_VALUE"""),"Packaging")</f>
        <v>Packaging</v>
      </c>
      <c r="R1612" s="49" t="str">
        <f>IFERROR(__xludf.DUMMYFUNCTION("""COMPUTED_VALUE"""),"Meethai &amp; Cake")</f>
        <v>Meethai &amp; Cake</v>
      </c>
    </row>
    <row r="1613">
      <c r="A1613" s="156" t="str">
        <f>IFERROR(__xludf.DUMMYFUNCTION("""COMPUTED_VALUE"""),"https://drive.google.com/open?id=1TYfCDXNFlvY8ctWfxxYIJmxSS8pdWAAe&amp;authuser=jay.agg%40gmail.com&amp;usp=drive_fs")</f>
        <v>https://drive.google.com/open?id=1TYfCDXNFlvY8ctWfxxYIJmxSS8pdWAAe&amp;authuser=jay.agg%40gmail.com&amp;usp=drive_fs</v>
      </c>
      <c r="B1613" s="73" t="str">
        <f>IFERROR(__xludf.DUMMYFUNCTION("""COMPUTED_VALUE"""),"Meethai &amp; Cake")</f>
        <v>Meethai &amp; Cake</v>
      </c>
      <c r="C1613" s="73" t="str">
        <f>IFERROR(__xludf.DUMMYFUNCTION("""COMPUTED_VALUE"""),"Meethai")</f>
        <v>Meethai</v>
      </c>
      <c r="D1613" s="73" t="str">
        <f>IFERROR(__xludf.DUMMYFUNCTION("""COMPUTED_VALUE"""),"190*70*55 mm | 2.7*2.1*7.5 inch")</f>
        <v>190*70*55 mm | 2.7*2.1*7.5 inch</v>
      </c>
      <c r="E1613" s="77">
        <f>IFERROR(__xludf.DUMMYFUNCTION("""COMPUTED_VALUE"""),2.0)</f>
        <v>2</v>
      </c>
      <c r="F1613" s="77">
        <f>IFERROR(__xludf.DUMMYFUNCTION("""COMPUTED_VALUE"""),1926.0)</f>
        <v>1926</v>
      </c>
      <c r="G1613" s="77">
        <f>IFERROR(__xludf.DUMMYFUNCTION("""COMPUTED_VALUE"""),14.0)</f>
        <v>14</v>
      </c>
      <c r="H1613" s="77">
        <f>IFERROR(__xludf.DUMMYFUNCTION("""COMPUTED_VALUE"""),22.0)</f>
        <v>22</v>
      </c>
      <c r="I1613" s="77">
        <f>IFERROR(__xludf.DUMMYFUNCTION("""COMPUTED_VALUE"""),100.0)</f>
        <v>100</v>
      </c>
      <c r="J1613" s="73"/>
      <c r="K1613" s="73"/>
      <c r="L1613" s="73"/>
      <c r="M1613" s="77">
        <f>IFERROR(__xludf.DUMMYFUNCTION("""COMPUTED_VALUE"""),0.1)</f>
        <v>0.1</v>
      </c>
      <c r="N1613" s="77">
        <f>IFERROR(__xludf.DUMMYFUNCTION("""COMPUTED_VALUE"""),1.0)</f>
        <v>1</v>
      </c>
      <c r="O1613" s="49"/>
      <c r="P1613" s="49" t="str">
        <f>IFERROR(__xludf.DUMMYFUNCTION("""COMPUTED_VALUE"""),"Offset")</f>
        <v>Offset</v>
      </c>
      <c r="Q1613" s="49" t="str">
        <f>IFERROR(__xludf.DUMMYFUNCTION("""COMPUTED_VALUE"""),"Packaging")</f>
        <v>Packaging</v>
      </c>
      <c r="R1613" s="49" t="str">
        <f>IFERROR(__xludf.DUMMYFUNCTION("""COMPUTED_VALUE"""),"Meethai &amp; Cake")</f>
        <v>Meethai &amp; Cake</v>
      </c>
    </row>
    <row r="1614">
      <c r="A1614" s="156" t="str">
        <f>IFERROR(__xludf.DUMMYFUNCTION("""COMPUTED_VALUE"""),"https://drive.google.com/open?id=1Tf0FmEZ2hQEYhFduPzmb28fpALxQ21x8&amp;authuser=jay.agg%40gmail.com&amp;usp=drive_fs")</f>
        <v>https://drive.google.com/open?id=1Tf0FmEZ2hQEYhFduPzmb28fpALxQ21x8&amp;authuser=jay.agg%40gmail.com&amp;usp=drive_fs</v>
      </c>
      <c r="B1614" s="73" t="str">
        <f>IFERROR(__xludf.DUMMYFUNCTION("""COMPUTED_VALUE"""),"Meethai &amp; Cake")</f>
        <v>Meethai &amp; Cake</v>
      </c>
      <c r="C1614" s="73" t="str">
        <f>IFERROR(__xludf.DUMMYFUNCTION("""COMPUTED_VALUE"""),"Meethai")</f>
        <v>Meethai</v>
      </c>
      <c r="D1614" s="73" t="str">
        <f>IFERROR(__xludf.DUMMYFUNCTION("""COMPUTED_VALUE"""),"200*110*52 mm | 4.3*2*7.8 inch")</f>
        <v>200*110*52 mm | 4.3*2*7.8 inch</v>
      </c>
      <c r="E1614" s="77">
        <f>IFERROR(__xludf.DUMMYFUNCTION("""COMPUTED_VALUE"""),3.0)</f>
        <v>3</v>
      </c>
      <c r="F1614" s="77">
        <f>IFERROR(__xludf.DUMMYFUNCTION("""COMPUTED_VALUE"""),1926.0)</f>
        <v>1926</v>
      </c>
      <c r="G1614" s="77">
        <f>IFERROR(__xludf.DUMMYFUNCTION("""COMPUTED_VALUE"""),13.8)</f>
        <v>13.8</v>
      </c>
      <c r="H1614" s="77">
        <f>IFERROR(__xludf.DUMMYFUNCTION("""COMPUTED_VALUE"""),25.0)</f>
        <v>25</v>
      </c>
      <c r="I1614" s="77">
        <f>IFERROR(__xludf.DUMMYFUNCTION("""COMPUTED_VALUE"""),100.0)</f>
        <v>100</v>
      </c>
      <c r="J1614" s="73"/>
      <c r="K1614" s="73"/>
      <c r="L1614" s="73"/>
      <c r="M1614" s="77">
        <f>IFERROR(__xludf.DUMMYFUNCTION("""COMPUTED_VALUE"""),0.1)</f>
        <v>0.1</v>
      </c>
      <c r="N1614" s="77">
        <f>IFERROR(__xludf.DUMMYFUNCTION("""COMPUTED_VALUE"""),1.0)</f>
        <v>1</v>
      </c>
      <c r="O1614" s="49"/>
      <c r="P1614" s="49" t="str">
        <f>IFERROR(__xludf.DUMMYFUNCTION("""COMPUTED_VALUE"""),"Offset")</f>
        <v>Offset</v>
      </c>
      <c r="Q1614" s="49" t="str">
        <f>IFERROR(__xludf.DUMMYFUNCTION("""COMPUTED_VALUE"""),"Packaging")</f>
        <v>Packaging</v>
      </c>
      <c r="R1614" s="49" t="str">
        <f>IFERROR(__xludf.DUMMYFUNCTION("""COMPUTED_VALUE"""),"Meethai &amp; Cake")</f>
        <v>Meethai &amp; Cake</v>
      </c>
    </row>
    <row r="1615">
      <c r="A1615" s="156" t="str">
        <f>IFERROR(__xludf.DUMMYFUNCTION("""COMPUTED_VALUE"""),"https://drive.google.com/open?id=1YW_8P1_DjbJX0HgTdgInF_wKijOQ5Qvl&amp;authuser=jay.agg%40gmail.com&amp;usp=drive_fs")</f>
        <v>https://drive.google.com/open?id=1YW_8P1_DjbJX0HgTdgInF_wKijOQ5Qvl&amp;authuser=jay.agg%40gmail.com&amp;usp=drive_fs</v>
      </c>
      <c r="B1615" s="73" t="str">
        <f>IFERROR(__xludf.DUMMYFUNCTION("""COMPUTED_VALUE"""),"Meethai &amp; Cake")</f>
        <v>Meethai &amp; Cake</v>
      </c>
      <c r="C1615" s="73" t="str">
        <f>IFERROR(__xludf.DUMMYFUNCTION("""COMPUTED_VALUE"""),"Meethai 1kg")</f>
        <v>Meethai 1kg</v>
      </c>
      <c r="D1615" s="73" t="str">
        <f>IFERROR(__xludf.DUMMYFUNCTION("""COMPUTED_VALUE"""),"230*165*40 mm | 9*6.5*1.5 inch frame")</f>
        <v>230*165*40 mm | 9*6.5*1.5 inch frame</v>
      </c>
      <c r="E1615" s="77">
        <f>IFERROR(__xludf.DUMMYFUNCTION("""COMPUTED_VALUE"""),2.0)</f>
        <v>2</v>
      </c>
      <c r="F1615" s="77">
        <f>IFERROR(__xludf.DUMMYFUNCTION("""COMPUTED_VALUE"""),1926.0)</f>
        <v>1926</v>
      </c>
      <c r="G1615" s="77">
        <f>IFERROR(__xludf.DUMMYFUNCTION("""COMPUTED_VALUE"""),18.0)</f>
        <v>18</v>
      </c>
      <c r="H1615" s="77">
        <f>IFERROR(__xludf.DUMMYFUNCTION("""COMPUTED_VALUE"""),25.0)</f>
        <v>25</v>
      </c>
      <c r="I1615" s="77">
        <f>IFERROR(__xludf.DUMMYFUNCTION("""COMPUTED_VALUE"""),100.0)</f>
        <v>100</v>
      </c>
      <c r="J1615" s="73"/>
      <c r="K1615" s="73"/>
      <c r="L1615" s="73"/>
      <c r="M1615" s="77">
        <f>IFERROR(__xludf.DUMMYFUNCTION("""COMPUTED_VALUE"""),0.1)</f>
        <v>0.1</v>
      </c>
      <c r="N1615" s="77">
        <f>IFERROR(__xludf.DUMMYFUNCTION("""COMPUTED_VALUE"""),1.0)</f>
        <v>1</v>
      </c>
      <c r="O1615" s="49"/>
      <c r="P1615" s="49" t="str">
        <f>IFERROR(__xludf.DUMMYFUNCTION("""COMPUTED_VALUE"""),"Offset")</f>
        <v>Offset</v>
      </c>
      <c r="Q1615" s="49" t="str">
        <f>IFERROR(__xludf.DUMMYFUNCTION("""COMPUTED_VALUE"""),"Packaging")</f>
        <v>Packaging</v>
      </c>
      <c r="R1615" s="49" t="str">
        <f>IFERROR(__xludf.DUMMYFUNCTION("""COMPUTED_VALUE"""),"Meethai &amp; Cake")</f>
        <v>Meethai &amp; Cake</v>
      </c>
    </row>
    <row r="1616">
      <c r="A1616" s="156" t="str">
        <f>IFERROR(__xludf.DUMMYFUNCTION("""COMPUTED_VALUE"""),"https://drive.google.com/open?id=19f2EeompT9d2_pjFwb3Nvy3SP1ZW1wZw&amp;authuser=jay.agg%40gmail.com&amp;usp=drive_fs")</f>
        <v>https://drive.google.com/open?id=19f2EeompT9d2_pjFwb3Nvy3SP1ZW1wZw&amp;authuser=jay.agg%40gmail.com&amp;usp=drive_fs</v>
      </c>
      <c r="B1616" s="73" t="str">
        <f>IFERROR(__xludf.DUMMYFUNCTION("""COMPUTED_VALUE"""),"Meethai &amp; Cake")</f>
        <v>Meethai &amp; Cake</v>
      </c>
      <c r="C1616" s="73" t="str">
        <f>IFERROR(__xludf.DUMMYFUNCTION("""COMPUTED_VALUE"""),"Meethai 750g")</f>
        <v>Meethai 750g</v>
      </c>
      <c r="D1616" s="73" t="str">
        <f>IFERROR(__xludf.DUMMYFUNCTION("""COMPUTED_VALUE"""),"170*120*55 mm | 6.7*4.7*2.2 inch")</f>
        <v>170*120*55 mm | 6.7*4.7*2.2 inch</v>
      </c>
      <c r="E1616" s="77">
        <f>IFERROR(__xludf.DUMMYFUNCTION("""COMPUTED_VALUE"""),4.0)</f>
        <v>4</v>
      </c>
      <c r="F1616" s="77">
        <f>IFERROR(__xludf.DUMMYFUNCTION("""COMPUTED_VALUE"""),2029.0)</f>
        <v>2029</v>
      </c>
      <c r="G1616" s="77">
        <f>IFERROR(__xludf.DUMMYFUNCTION("""COMPUTED_VALUE"""),20.75)</f>
        <v>20.75</v>
      </c>
      <c r="H1616" s="77">
        <f>IFERROR(__xludf.DUMMYFUNCTION("""COMPUTED_VALUE"""),31.0)</f>
        <v>31</v>
      </c>
      <c r="I1616" s="77">
        <f>IFERROR(__xludf.DUMMYFUNCTION("""COMPUTED_VALUE"""),100.0)</f>
        <v>100</v>
      </c>
      <c r="J1616" s="73"/>
      <c r="K1616" s="73"/>
      <c r="L1616" s="73"/>
      <c r="M1616" s="77"/>
      <c r="N1616" s="77">
        <f>IFERROR(__xludf.DUMMYFUNCTION("""COMPUTED_VALUE"""),1.0)</f>
        <v>1</v>
      </c>
      <c r="O1616" s="49"/>
      <c r="P1616" s="49" t="str">
        <f>IFERROR(__xludf.DUMMYFUNCTION("""COMPUTED_VALUE"""),"Offset")</f>
        <v>Offset</v>
      </c>
      <c r="Q1616" s="49" t="str">
        <f>IFERROR(__xludf.DUMMYFUNCTION("""COMPUTED_VALUE"""),"Packaging")</f>
        <v>Packaging</v>
      </c>
      <c r="R1616" s="49" t="str">
        <f>IFERROR(__xludf.DUMMYFUNCTION("""COMPUTED_VALUE"""),"Meethai &amp; Cake")</f>
        <v>Meethai &amp; Cake</v>
      </c>
    </row>
    <row r="1617">
      <c r="A1617" s="156" t="str">
        <f>IFERROR(__xludf.DUMMYFUNCTION("""COMPUTED_VALUE"""),"https://drive.google.com/open?id=19qMWQ8jzUc7NIlLJJMauWQlMMfi-zlRP&amp;authuser=jay.agg%40gmail.com&amp;usp=drive_fs")</f>
        <v>https://drive.google.com/open?id=19qMWQ8jzUc7NIlLJJMauWQlMMfi-zlRP&amp;authuser=jay.agg%40gmail.com&amp;usp=drive_fs</v>
      </c>
      <c r="B1617" s="73" t="str">
        <f>IFERROR(__xludf.DUMMYFUNCTION("""COMPUTED_VALUE"""),"Meethai &amp; Cake")</f>
        <v>Meethai &amp; Cake</v>
      </c>
      <c r="C1617" s="73" t="str">
        <f>IFERROR(__xludf.DUMMYFUNCTION("""COMPUTED_VALUE"""),"Meethai 1kg")</f>
        <v>Meethai 1kg</v>
      </c>
      <c r="D1617" s="73" t="str">
        <f>IFERROR(__xludf.DUMMYFUNCTION("""COMPUTED_VALUE"""),"200*150*70 mm | 7.8*5.9*2.8 inch")</f>
        <v>200*150*70 mm | 7.8*5.9*2.8 inch</v>
      </c>
      <c r="E1617" s="77">
        <f>IFERROR(__xludf.DUMMYFUNCTION("""COMPUTED_VALUE"""),2.0)</f>
        <v>2</v>
      </c>
      <c r="F1617" s="77">
        <f>IFERROR(__xludf.DUMMYFUNCTION("""COMPUTED_VALUE"""),2029.0)</f>
        <v>2029</v>
      </c>
      <c r="G1617" s="77">
        <f>IFERROR(__xludf.DUMMYFUNCTION("""COMPUTED_VALUE"""),19.0)</f>
        <v>19</v>
      </c>
      <c r="H1617" s="77">
        <f>IFERROR(__xludf.DUMMYFUNCTION("""COMPUTED_VALUE"""),26.0)</f>
        <v>26</v>
      </c>
      <c r="I1617" s="77">
        <f>IFERROR(__xludf.DUMMYFUNCTION("""COMPUTED_VALUE"""),100.0)</f>
        <v>100</v>
      </c>
      <c r="J1617" s="73"/>
      <c r="K1617" s="73"/>
      <c r="L1617" s="73"/>
      <c r="M1617" s="77">
        <f>IFERROR(__xludf.DUMMYFUNCTION("""COMPUTED_VALUE"""),0.1)</f>
        <v>0.1</v>
      </c>
      <c r="N1617" s="77">
        <f>IFERROR(__xludf.DUMMYFUNCTION("""COMPUTED_VALUE"""),1.0)</f>
        <v>1</v>
      </c>
      <c r="O1617" s="49"/>
      <c r="P1617" s="49" t="str">
        <f>IFERROR(__xludf.DUMMYFUNCTION("""COMPUTED_VALUE"""),"Offset")</f>
        <v>Offset</v>
      </c>
      <c r="Q1617" s="49" t="str">
        <f>IFERROR(__xludf.DUMMYFUNCTION("""COMPUTED_VALUE"""),"Packaging")</f>
        <v>Packaging</v>
      </c>
      <c r="R1617" s="49" t="str">
        <f>IFERROR(__xludf.DUMMYFUNCTION("""COMPUTED_VALUE"""),"Meethai &amp; Cake")</f>
        <v>Meethai &amp; Cake</v>
      </c>
    </row>
    <row r="1618">
      <c r="A1618" s="156" t="str">
        <f>IFERROR(__xludf.DUMMYFUNCTION("""COMPUTED_VALUE"""),"https://drive.google.com/open?id=1SGniNgYFPvGsEoZQWtlm0L8R5nhsWb2V&amp;authuser=jay.agg%40gmail.com&amp;usp=drive_fs")</f>
        <v>https://drive.google.com/open?id=1SGniNgYFPvGsEoZQWtlm0L8R5nhsWb2V&amp;authuser=jay.agg%40gmail.com&amp;usp=drive_fs</v>
      </c>
      <c r="B1618" s="73" t="str">
        <f>IFERROR(__xludf.DUMMYFUNCTION("""COMPUTED_VALUE"""),"Bakery")</f>
        <v>Bakery</v>
      </c>
      <c r="C1618" s="73" t="str">
        <f>IFERROR(__xludf.DUMMYFUNCTION("""COMPUTED_VALUE"""),"Cake Box")</f>
        <v>Cake Box</v>
      </c>
      <c r="D1618" s="73" t="str">
        <f>IFERROR(__xludf.DUMMYFUNCTION("""COMPUTED_VALUE"""),"180*180*72 mm | 7*7*3 inch")</f>
        <v>180*180*72 mm | 7*7*3 inch</v>
      </c>
      <c r="E1618" s="77">
        <f>IFERROR(__xludf.DUMMYFUNCTION("""COMPUTED_VALUE"""),1.0)</f>
        <v>1</v>
      </c>
      <c r="F1618" s="77">
        <f>IFERROR(__xludf.DUMMYFUNCTION("""COMPUTED_VALUE"""),2029.0)</f>
        <v>2029</v>
      </c>
      <c r="G1618" s="77">
        <f>IFERROR(__xludf.DUMMYFUNCTION("""COMPUTED_VALUE"""),13.4)</f>
        <v>13.4</v>
      </c>
      <c r="H1618" s="77">
        <f>IFERROR(__xludf.DUMMYFUNCTION("""COMPUTED_VALUE"""),21.0)</f>
        <v>21</v>
      </c>
      <c r="I1618" s="77">
        <f>IFERROR(__xludf.DUMMYFUNCTION("""COMPUTED_VALUE"""),100.0)</f>
        <v>100</v>
      </c>
      <c r="J1618" s="73"/>
      <c r="K1618" s="73"/>
      <c r="L1618" s="73"/>
      <c r="M1618" s="77"/>
      <c r="N1618" s="77">
        <f>IFERROR(__xludf.DUMMYFUNCTION("""COMPUTED_VALUE"""),1.0)</f>
        <v>1</v>
      </c>
      <c r="O1618" s="49"/>
      <c r="P1618" s="49" t="str">
        <f>IFERROR(__xludf.DUMMYFUNCTION("""COMPUTED_VALUE"""),"Offset")</f>
        <v>Offset</v>
      </c>
      <c r="Q1618" s="49" t="str">
        <f>IFERROR(__xludf.DUMMYFUNCTION("""COMPUTED_VALUE"""),"Packaging")</f>
        <v>Packaging</v>
      </c>
      <c r="R1618" s="49" t="str">
        <f>IFERROR(__xludf.DUMMYFUNCTION("""COMPUTED_VALUE"""),"Bakery")</f>
        <v>Bakery</v>
      </c>
    </row>
    <row r="1619">
      <c r="A1619" s="156" t="str">
        <f>IFERROR(__xludf.DUMMYFUNCTION("""COMPUTED_VALUE"""),"https://drive.google.com/open?id=13gwnoCIJ1WNpXRrDHG8il0ml0Qx_TrvM&amp;authuser=jay.agg%40gmail.com&amp;usp=drive_fs")</f>
        <v>https://drive.google.com/open?id=13gwnoCIJ1WNpXRrDHG8il0ml0Qx_TrvM&amp;authuser=jay.agg%40gmail.com&amp;usp=drive_fs</v>
      </c>
      <c r="B1619" s="73" t="str">
        <f>IFERROR(__xludf.DUMMYFUNCTION("""COMPUTED_VALUE"""),"Bakery")</f>
        <v>Bakery</v>
      </c>
      <c r="C1619" s="73" t="str">
        <f>IFERROR(__xludf.DUMMYFUNCTION("""COMPUTED_VALUE"""),"Misc")</f>
        <v>Misc</v>
      </c>
      <c r="D1619" s="73" t="str">
        <f>IFERROR(__xludf.DUMMYFUNCTION("""COMPUTED_VALUE"""),"127*127*63.5 mm | 5*5*2.5 inch")</f>
        <v>127*127*63.5 mm | 5*5*2.5 inch</v>
      </c>
      <c r="E1619" s="77">
        <f>IFERROR(__xludf.DUMMYFUNCTION("""COMPUTED_VALUE"""),2.0)</f>
        <v>2</v>
      </c>
      <c r="F1619" s="77">
        <f>IFERROR(__xludf.DUMMYFUNCTION("""COMPUTED_VALUE"""),1926.0)</f>
        <v>1926</v>
      </c>
      <c r="G1619" s="77">
        <f>IFERROR(__xludf.DUMMYFUNCTION("""COMPUTED_VALUE"""),15.75)</f>
        <v>15.75</v>
      </c>
      <c r="H1619" s="77">
        <f>IFERROR(__xludf.DUMMYFUNCTION("""COMPUTED_VALUE"""),20.75)</f>
        <v>20.75</v>
      </c>
      <c r="I1619" s="77">
        <f>IFERROR(__xludf.DUMMYFUNCTION("""COMPUTED_VALUE"""),100.0)</f>
        <v>100</v>
      </c>
      <c r="J1619" s="73"/>
      <c r="K1619" s="73"/>
      <c r="L1619" s="73"/>
      <c r="M1619" s="77"/>
      <c r="N1619" s="77">
        <f>IFERROR(__xludf.DUMMYFUNCTION("""COMPUTED_VALUE"""),1.0)</f>
        <v>1</v>
      </c>
      <c r="O1619" s="49"/>
      <c r="P1619" s="49" t="str">
        <f>IFERROR(__xludf.DUMMYFUNCTION("""COMPUTED_VALUE"""),"Offset")</f>
        <v>Offset</v>
      </c>
      <c r="Q1619" s="49" t="str">
        <f>IFERROR(__xludf.DUMMYFUNCTION("""COMPUTED_VALUE"""),"Packaging")</f>
        <v>Packaging</v>
      </c>
      <c r="R1619" s="49" t="str">
        <f>IFERROR(__xludf.DUMMYFUNCTION("""COMPUTED_VALUE"""),"Bakery")</f>
        <v>Bakery</v>
      </c>
    </row>
    <row r="1620">
      <c r="A1620" s="156" t="str">
        <f>IFERROR(__xludf.DUMMYFUNCTION("""COMPUTED_VALUE"""),"https://drive.google.com/open?id=13kuaDlFa0fBEHCs_YUfPW3elmJ4Hmn13&amp;authuser=jay.agg%40gmail.com&amp;usp=drive_fs")</f>
        <v>https://drive.google.com/open?id=13kuaDlFa0fBEHCs_YUfPW3elmJ4Hmn13&amp;authuser=jay.agg%40gmail.com&amp;usp=drive_fs</v>
      </c>
      <c r="B1620" s="73" t="str">
        <f>IFERROR(__xludf.DUMMYFUNCTION("""COMPUTED_VALUE"""),"Bakery")</f>
        <v>Bakery</v>
      </c>
      <c r="C1620" s="73" t="str">
        <f>IFERROR(__xludf.DUMMYFUNCTION("""COMPUTED_VALUE"""),"Misc")</f>
        <v>Misc</v>
      </c>
      <c r="D1620" s="73" t="str">
        <f>IFERROR(__xludf.DUMMYFUNCTION("""COMPUTED_VALUE"""),"203*140*63.5 mm | 8*5.5*2.5 inch")</f>
        <v>203*140*63.5 mm | 8*5.5*2.5 inch</v>
      </c>
      <c r="E1620" s="77">
        <f>IFERROR(__xludf.DUMMYFUNCTION("""COMPUTED_VALUE"""),2.0)</f>
        <v>2</v>
      </c>
      <c r="F1620" s="77">
        <f>IFERROR(__xludf.DUMMYFUNCTION("""COMPUTED_VALUE"""),1926.0)</f>
        <v>1926</v>
      </c>
      <c r="G1620" s="77">
        <f>IFERROR(__xludf.DUMMYFUNCTION("""COMPUTED_VALUE"""),18.0)</f>
        <v>18</v>
      </c>
      <c r="H1620" s="77">
        <f>IFERROR(__xludf.DUMMYFUNCTION("""COMPUTED_VALUE"""),25.0)</f>
        <v>25</v>
      </c>
      <c r="I1620" s="77">
        <f>IFERROR(__xludf.DUMMYFUNCTION("""COMPUTED_VALUE"""),100.0)</f>
        <v>100</v>
      </c>
      <c r="J1620" s="73"/>
      <c r="K1620" s="73"/>
      <c r="L1620" s="73"/>
      <c r="M1620" s="77"/>
      <c r="N1620" s="77">
        <f>IFERROR(__xludf.DUMMYFUNCTION("""COMPUTED_VALUE"""),1.0)</f>
        <v>1</v>
      </c>
      <c r="O1620" s="49"/>
      <c r="P1620" s="49" t="str">
        <f>IFERROR(__xludf.DUMMYFUNCTION("""COMPUTED_VALUE"""),"Offset")</f>
        <v>Offset</v>
      </c>
      <c r="Q1620" s="49" t="str">
        <f>IFERROR(__xludf.DUMMYFUNCTION("""COMPUTED_VALUE"""),"Packaging")</f>
        <v>Packaging</v>
      </c>
      <c r="R1620" s="49" t="str">
        <f>IFERROR(__xludf.DUMMYFUNCTION("""COMPUTED_VALUE"""),"Bakery")</f>
        <v>Bakery</v>
      </c>
    </row>
    <row r="1621">
      <c r="A1621" s="156" t="str">
        <f>IFERROR(__xludf.DUMMYFUNCTION("""COMPUTED_VALUE"""),"https://drive.google.com/open?id=1-gr1V63gaCmPRVUZgCF2MROeMJvPYpiB&amp;authuser=jay.agg%40gmail.com&amp;usp=drive_fs")</f>
        <v>https://drive.google.com/open?id=1-gr1V63gaCmPRVUZgCF2MROeMJvPYpiB&amp;authuser=jay.agg%40gmail.com&amp;usp=drive_fs</v>
      </c>
      <c r="B1621" s="73" t="str">
        <f>IFERROR(__xludf.DUMMYFUNCTION("""COMPUTED_VALUE"""),"Meethai &amp; Cake")</f>
        <v>Meethai &amp; Cake</v>
      </c>
      <c r="C1621" s="73" t="str">
        <f>IFERROR(__xludf.DUMMYFUNCTION("""COMPUTED_VALUE"""),"Meethai")</f>
        <v>Meethai</v>
      </c>
      <c r="D1621" s="73" t="str">
        <f>IFERROR(__xludf.DUMMYFUNCTION("""COMPUTED_VALUE"""),"95*88*42 mm | 3.74*3.5*1.7 inch")</f>
        <v>95*88*42 mm | 3.74*3.5*1.7 inch</v>
      </c>
      <c r="E1621" s="77">
        <f>IFERROR(__xludf.DUMMYFUNCTION("""COMPUTED_VALUE"""),4.0)</f>
        <v>4</v>
      </c>
      <c r="F1621" s="77">
        <f>IFERROR(__xludf.DUMMYFUNCTION("""COMPUTED_VALUE"""),1926.0)</f>
        <v>1926</v>
      </c>
      <c r="G1621" s="77">
        <f>IFERROR(__xludf.DUMMYFUNCTION("""COMPUTED_VALUE"""),14.0)</f>
        <v>14</v>
      </c>
      <c r="H1621" s="77">
        <f>IFERROR(__xludf.DUMMYFUNCTION("""COMPUTED_VALUE"""),22.0)</f>
        <v>22</v>
      </c>
      <c r="I1621" s="77">
        <f>IFERROR(__xludf.DUMMYFUNCTION("""COMPUTED_VALUE"""),100.0)</f>
        <v>100</v>
      </c>
      <c r="J1621" s="73"/>
      <c r="K1621" s="73"/>
      <c r="L1621" s="73"/>
      <c r="M1621" s="77"/>
      <c r="N1621" s="77">
        <f>IFERROR(__xludf.DUMMYFUNCTION("""COMPUTED_VALUE"""),1.0)</f>
        <v>1</v>
      </c>
      <c r="O1621" s="49"/>
      <c r="P1621" s="49" t="str">
        <f>IFERROR(__xludf.DUMMYFUNCTION("""COMPUTED_VALUE"""),"Offset")</f>
        <v>Offset</v>
      </c>
      <c r="Q1621" s="49" t="str">
        <f>IFERROR(__xludf.DUMMYFUNCTION("""COMPUTED_VALUE"""),"Packaging")</f>
        <v>Packaging</v>
      </c>
      <c r="R1621" s="49" t="str">
        <f>IFERROR(__xludf.DUMMYFUNCTION("""COMPUTED_VALUE"""),"Meethai &amp; Cake")</f>
        <v>Meethai &amp; Cake</v>
      </c>
    </row>
    <row r="1622">
      <c r="A1622" s="156" t="str">
        <f>IFERROR(__xludf.DUMMYFUNCTION("""COMPUTED_VALUE"""),"https://drive.google.com/open?id=1-j9fKQVGW8_czS8RgSbsu1t8UGQII8w0&amp;authuser=jay.agg%40gmail.com&amp;usp=drive_fs")</f>
        <v>https://drive.google.com/open?id=1-j9fKQVGW8_czS8RgSbsu1t8UGQII8w0&amp;authuser=jay.agg%40gmail.com&amp;usp=drive_fs</v>
      </c>
      <c r="B1622" s="73" t="str">
        <f>IFERROR(__xludf.DUMMYFUNCTION("""COMPUTED_VALUE"""),"Meethai &amp; Cake")</f>
        <v>Meethai &amp; Cake</v>
      </c>
      <c r="C1622" s="73" t="str">
        <f>IFERROR(__xludf.DUMMYFUNCTION("""COMPUTED_VALUE"""),"Meethai")</f>
        <v>Meethai</v>
      </c>
      <c r="D1622" s="73" t="str">
        <f>IFERROR(__xludf.DUMMYFUNCTION("""COMPUTED_VALUE"""),"128*80*45 mm | 5*3.15*1.75 inch")</f>
        <v>128*80*45 mm | 5*3.15*1.75 inch</v>
      </c>
      <c r="E1622" s="77">
        <f>IFERROR(__xludf.DUMMYFUNCTION("""COMPUTED_VALUE"""),4.0)</f>
        <v>4</v>
      </c>
      <c r="F1622" s="77">
        <f>IFERROR(__xludf.DUMMYFUNCTION("""COMPUTED_VALUE"""),1926.0)</f>
        <v>1926</v>
      </c>
      <c r="G1622" s="77">
        <f>IFERROR(__xludf.DUMMYFUNCTION("""COMPUTED_VALUE"""),18.0)</f>
        <v>18</v>
      </c>
      <c r="H1622" s="77">
        <f>IFERROR(__xludf.DUMMYFUNCTION("""COMPUTED_VALUE"""),23.0)</f>
        <v>23</v>
      </c>
      <c r="I1622" s="77">
        <f>IFERROR(__xludf.DUMMYFUNCTION("""COMPUTED_VALUE"""),100.0)</f>
        <v>100</v>
      </c>
      <c r="J1622" s="73"/>
      <c r="K1622" s="73"/>
      <c r="L1622" s="73"/>
      <c r="M1622" s="77"/>
      <c r="N1622" s="77">
        <f>IFERROR(__xludf.DUMMYFUNCTION("""COMPUTED_VALUE"""),1.0)</f>
        <v>1</v>
      </c>
      <c r="O1622" s="49"/>
      <c r="P1622" s="49" t="str">
        <f>IFERROR(__xludf.DUMMYFUNCTION("""COMPUTED_VALUE"""),"Offset")</f>
        <v>Offset</v>
      </c>
      <c r="Q1622" s="49" t="str">
        <f>IFERROR(__xludf.DUMMYFUNCTION("""COMPUTED_VALUE"""),"Packaging")</f>
        <v>Packaging</v>
      </c>
      <c r="R1622" s="49" t="str">
        <f>IFERROR(__xludf.DUMMYFUNCTION("""COMPUTED_VALUE"""),"Meethai &amp; Cake")</f>
        <v>Meethai &amp; Cake</v>
      </c>
    </row>
    <row r="1623">
      <c r="A1623" s="156" t="str">
        <f>IFERROR(__xludf.DUMMYFUNCTION("""COMPUTED_VALUE"""),"https://drive.google.com/open?id=1D1XGGUL2tR-wudD-WxRYFAxVPcXyOS-4&amp;authuser=jay.agg%40gmail.com&amp;usp=drive_fs")</f>
        <v>https://drive.google.com/open?id=1D1XGGUL2tR-wudD-WxRYFAxVPcXyOS-4&amp;authuser=jay.agg%40gmail.com&amp;usp=drive_fs</v>
      </c>
      <c r="B1623" s="73" t="str">
        <f>IFERROR(__xludf.DUMMYFUNCTION("""COMPUTED_VALUE"""),"Meethai &amp; Cake")</f>
        <v>Meethai &amp; Cake</v>
      </c>
      <c r="C1623" s="73" t="str">
        <f>IFERROR(__xludf.DUMMYFUNCTION("""COMPUTED_VALUE"""),"Meethai 500g")</f>
        <v>Meethai 500g</v>
      </c>
      <c r="D1623" s="73" t="str">
        <f>IFERROR(__xludf.DUMMYFUNCTION("""COMPUTED_VALUE"""),"187*149*38 mm | 7.3*5.9*1.5 inch | 22*10")</f>
        <v>187*149*38 mm | 7.3*5.9*1.5 inch | 22*10</v>
      </c>
      <c r="E1623" s="77">
        <f>IFERROR(__xludf.DUMMYFUNCTION("""COMPUTED_VALUE"""),1.0)</f>
        <v>1</v>
      </c>
      <c r="F1623" s="77">
        <f>IFERROR(__xludf.DUMMYFUNCTION("""COMPUTED_VALUE"""),1926.0)</f>
        <v>1926</v>
      </c>
      <c r="G1623" s="77">
        <f>IFERROR(__xludf.DUMMYFUNCTION("""COMPUTED_VALUE"""),12.0)</f>
        <v>12</v>
      </c>
      <c r="H1623" s="77">
        <f>IFERROR(__xludf.DUMMYFUNCTION("""COMPUTED_VALUE"""),25.0)</f>
        <v>25</v>
      </c>
      <c r="I1623" s="77">
        <f>IFERROR(__xludf.DUMMYFUNCTION("""COMPUTED_VALUE"""),100.0)</f>
        <v>100</v>
      </c>
      <c r="J1623" s="73"/>
      <c r="K1623" s="73"/>
      <c r="L1623" s="73"/>
      <c r="M1623" s="77"/>
      <c r="N1623" s="77">
        <f>IFERROR(__xludf.DUMMYFUNCTION("""COMPUTED_VALUE"""),1.0)</f>
        <v>1</v>
      </c>
      <c r="O1623" s="49"/>
      <c r="P1623" s="49" t="str">
        <f>IFERROR(__xludf.DUMMYFUNCTION("""COMPUTED_VALUE"""),"Offset")</f>
        <v>Offset</v>
      </c>
      <c r="Q1623" s="49" t="str">
        <f>IFERROR(__xludf.DUMMYFUNCTION("""COMPUTED_VALUE"""),"Packaging")</f>
        <v>Packaging</v>
      </c>
      <c r="R1623" s="49" t="str">
        <f>IFERROR(__xludf.DUMMYFUNCTION("""COMPUTED_VALUE"""),"Meethai &amp; Cake")</f>
        <v>Meethai &amp; Cake</v>
      </c>
    </row>
    <row r="1624">
      <c r="A1624" s="156" t="str">
        <f>IFERROR(__xludf.DUMMYFUNCTION("""COMPUTED_VALUE"""),"https://drive.google.com/open?id=1D2SmtpvOAkZ9FSxmrpCPEQr9NoZAQ-Aw&amp;authuser=jay.agg%40gmail.com&amp;usp=drive_fs")</f>
        <v>https://drive.google.com/open?id=1D2SmtpvOAkZ9FSxmrpCPEQr9NoZAQ-Aw&amp;authuser=jay.agg%40gmail.com&amp;usp=drive_fs</v>
      </c>
      <c r="B1624" s="73" t="str">
        <f>IFERROR(__xludf.DUMMYFUNCTION("""COMPUTED_VALUE"""),"Meethai &amp; Cake")</f>
        <v>Meethai &amp; Cake</v>
      </c>
      <c r="C1624" s="73" t="str">
        <f>IFERROR(__xludf.DUMMYFUNCTION("""COMPUTED_VALUE"""),"Meethai 1kg")</f>
        <v>Meethai 1kg</v>
      </c>
      <c r="D1624" s="73" t="str">
        <f>IFERROR(__xludf.DUMMYFUNCTION("""COMPUTED_VALUE"""),"258*188*38 mm | 10.1*7.3*1.5 inch | 22*14")</f>
        <v>258*188*38 mm | 10.1*7.3*1.5 inch | 22*14</v>
      </c>
      <c r="E1624" s="77">
        <f>IFERROR(__xludf.DUMMYFUNCTION("""COMPUTED_VALUE"""),1.0)</f>
        <v>1</v>
      </c>
      <c r="F1624" s="77">
        <f>IFERROR(__xludf.DUMMYFUNCTION("""COMPUTED_VALUE"""),1926.0)</f>
        <v>1926</v>
      </c>
      <c r="G1624" s="77">
        <f>IFERROR(__xludf.DUMMYFUNCTION("""COMPUTED_VALUE"""),15.0)</f>
        <v>15</v>
      </c>
      <c r="H1624" s="77">
        <f>IFERROR(__xludf.DUMMYFUNCTION("""COMPUTED_VALUE"""),25.0)</f>
        <v>25</v>
      </c>
      <c r="I1624" s="77">
        <f>IFERROR(__xludf.DUMMYFUNCTION("""COMPUTED_VALUE"""),100.0)</f>
        <v>100</v>
      </c>
      <c r="J1624" s="73"/>
      <c r="K1624" s="73"/>
      <c r="L1624" s="73"/>
      <c r="M1624" s="77"/>
      <c r="N1624" s="77">
        <f>IFERROR(__xludf.DUMMYFUNCTION("""COMPUTED_VALUE"""),1.0)</f>
        <v>1</v>
      </c>
      <c r="O1624" s="49"/>
      <c r="P1624" s="49" t="str">
        <f>IFERROR(__xludf.DUMMYFUNCTION("""COMPUTED_VALUE"""),"Offset")</f>
        <v>Offset</v>
      </c>
      <c r="Q1624" s="49" t="str">
        <f>IFERROR(__xludf.DUMMYFUNCTION("""COMPUTED_VALUE"""),"Packaging")</f>
        <v>Packaging</v>
      </c>
      <c r="R1624" s="49" t="str">
        <f>IFERROR(__xludf.DUMMYFUNCTION("""COMPUTED_VALUE"""),"Meethai &amp; Cake")</f>
        <v>Meethai &amp; Cake</v>
      </c>
    </row>
    <row r="1625">
      <c r="A1625" s="156" t="str">
        <f>IFERROR(__xludf.DUMMYFUNCTION("""COMPUTED_VALUE"""),"https://drive.google.com/open?id=1D1XGGUL2tR-wudD-WxRYFAxVPcXyOS-4&amp;authuser=jay.agg%40gmail.com&amp;usp=drive_fs")</f>
        <v>https://drive.google.com/open?id=1D1XGGUL2tR-wudD-WxRYFAxVPcXyOS-4&amp;authuser=jay.agg%40gmail.com&amp;usp=drive_fs</v>
      </c>
      <c r="B1625" s="73" t="str">
        <f>IFERROR(__xludf.DUMMYFUNCTION("""COMPUTED_VALUE"""),"Meethai &amp; Cake")</f>
        <v>Meethai &amp; Cake</v>
      </c>
      <c r="C1625" s="73" t="str">
        <f>IFERROR(__xludf.DUMMYFUNCTION("""COMPUTED_VALUE"""),"Meethai 500g")</f>
        <v>Meethai 500g</v>
      </c>
      <c r="D1625" s="73" t="str">
        <f>IFERROR(__xludf.DUMMYFUNCTION("""COMPUTED_VALUE"""),"Bottom 187*149*38 mm | 7.3*5.9*1.5 inch | 22*10")</f>
        <v>Bottom 187*149*38 mm | 7.3*5.9*1.5 inch | 22*10</v>
      </c>
      <c r="E1625" s="77">
        <f>IFERROR(__xludf.DUMMYFUNCTION("""COMPUTED_VALUE"""),2.0)</f>
        <v>2</v>
      </c>
      <c r="F1625" s="77">
        <f>IFERROR(__xludf.DUMMYFUNCTION("""COMPUTED_VALUE"""),1926.0)</f>
        <v>1926</v>
      </c>
      <c r="G1625" s="77">
        <f>IFERROR(__xludf.DUMMYFUNCTION("""COMPUTED_VALUE"""),12.0)</f>
        <v>12</v>
      </c>
      <c r="H1625" s="77">
        <f>IFERROR(__xludf.DUMMYFUNCTION("""COMPUTED_VALUE"""),24.0)</f>
        <v>24</v>
      </c>
      <c r="I1625" s="77">
        <f>IFERROR(__xludf.DUMMYFUNCTION("""COMPUTED_VALUE"""),100.0)</f>
        <v>100</v>
      </c>
      <c r="J1625" s="73"/>
      <c r="K1625" s="73"/>
      <c r="L1625" s="73"/>
      <c r="M1625" s="77"/>
      <c r="N1625" s="77">
        <f>IFERROR(__xludf.DUMMYFUNCTION("""COMPUTED_VALUE"""),1.0)</f>
        <v>1</v>
      </c>
      <c r="O1625" s="49"/>
      <c r="P1625" s="49" t="str">
        <f>IFERROR(__xludf.DUMMYFUNCTION("""COMPUTED_VALUE"""),"Offset")</f>
        <v>Offset</v>
      </c>
      <c r="Q1625" s="49" t="str">
        <f>IFERROR(__xludf.DUMMYFUNCTION("""COMPUTED_VALUE"""),"Packaging")</f>
        <v>Packaging</v>
      </c>
      <c r="R1625" s="49" t="str">
        <f>IFERROR(__xludf.DUMMYFUNCTION("""COMPUTED_VALUE"""),"Meethai &amp; Cake")</f>
        <v>Meethai &amp; Cake</v>
      </c>
    </row>
    <row r="1626">
      <c r="A1626" s="156" t="str">
        <f>IFERROR(__xludf.DUMMYFUNCTION("""COMPUTED_VALUE"""),"https://drive.google.com/open?id=1D2SmtpvOAkZ9FSxmrpCPEQr9NoZAQ-Aw&amp;authuser=jay.agg%40gmail.com&amp;usp=drive_fs")</f>
        <v>https://drive.google.com/open?id=1D2SmtpvOAkZ9FSxmrpCPEQr9NoZAQ-Aw&amp;authuser=jay.agg%40gmail.com&amp;usp=drive_fs</v>
      </c>
      <c r="B1626" s="73" t="str">
        <f>IFERROR(__xludf.DUMMYFUNCTION("""COMPUTED_VALUE"""),"Meethai &amp; Cake")</f>
        <v>Meethai &amp; Cake</v>
      </c>
      <c r="C1626" s="73" t="str">
        <f>IFERROR(__xludf.DUMMYFUNCTION("""COMPUTED_VALUE"""),"Meethai 1KG")</f>
        <v>Meethai 1KG</v>
      </c>
      <c r="D1626" s="73" t="str">
        <f>IFERROR(__xludf.DUMMYFUNCTION("""COMPUTED_VALUE"""),"Bottom 258*188*38 mm | 10.1*7.3*1.5 inch | 22*14")</f>
        <v>Bottom 258*188*38 mm | 10.1*7.3*1.5 inch | 22*14</v>
      </c>
      <c r="E1626" s="77">
        <f>IFERROR(__xludf.DUMMYFUNCTION("""COMPUTED_VALUE"""),2.0)</f>
        <v>2</v>
      </c>
      <c r="F1626" s="77">
        <f>IFERROR(__xludf.DUMMYFUNCTION("""COMPUTED_VALUE"""),1926.0)</f>
        <v>1926</v>
      </c>
      <c r="G1626" s="77">
        <f>IFERROR(__xludf.DUMMYFUNCTION("""COMPUTED_VALUE"""),15.0)</f>
        <v>15</v>
      </c>
      <c r="H1626" s="77">
        <f>IFERROR(__xludf.DUMMYFUNCTION("""COMPUTED_VALUE"""),25.0)</f>
        <v>25</v>
      </c>
      <c r="I1626" s="77">
        <f>IFERROR(__xludf.DUMMYFUNCTION("""COMPUTED_VALUE"""),100.0)</f>
        <v>100</v>
      </c>
      <c r="J1626" s="73"/>
      <c r="K1626" s="73"/>
      <c r="L1626" s="73"/>
      <c r="M1626" s="77"/>
      <c r="N1626" s="77">
        <f>IFERROR(__xludf.DUMMYFUNCTION("""COMPUTED_VALUE"""),1.0)</f>
        <v>1</v>
      </c>
      <c r="O1626" s="49"/>
      <c r="P1626" s="49" t="str">
        <f>IFERROR(__xludf.DUMMYFUNCTION("""COMPUTED_VALUE"""),"Offset")</f>
        <v>Offset</v>
      </c>
      <c r="Q1626" s="49" t="str">
        <f>IFERROR(__xludf.DUMMYFUNCTION("""COMPUTED_VALUE"""),"Packaging")</f>
        <v>Packaging</v>
      </c>
      <c r="R1626" s="49" t="str">
        <f>IFERROR(__xludf.DUMMYFUNCTION("""COMPUTED_VALUE"""),"Meethai &amp; Cake")</f>
        <v>Meethai &amp; Cake</v>
      </c>
    </row>
    <row r="1627">
      <c r="A1627" s="156" t="str">
        <f>IFERROR(__xludf.DUMMYFUNCTION("""COMPUTED_VALUE"""),"https://drive.google.com/open?id=1D1XGGUL2tR-wudD-WxRYFAxVPcXyOS-4&amp;authuser=jay.agg%40gmail.com&amp;usp=drive_fs")</f>
        <v>https://drive.google.com/open?id=1D1XGGUL2tR-wudD-WxRYFAxVPcXyOS-4&amp;authuser=jay.agg%40gmail.com&amp;usp=drive_fs</v>
      </c>
      <c r="B1627" s="73" t="str">
        <f>IFERROR(__xludf.DUMMYFUNCTION("""COMPUTED_VALUE"""),"Meethai &amp; Cake")</f>
        <v>Meethai &amp; Cake</v>
      </c>
      <c r="C1627" s="73" t="str">
        <f>IFERROR(__xludf.DUMMYFUNCTION("""COMPUTED_VALUE"""),"Meethai 500g")</f>
        <v>Meethai 500g</v>
      </c>
      <c r="D1627" s="73" t="str">
        <f>IFERROR(__xludf.DUMMYFUNCTION("""COMPUTED_VALUE"""),"Top 187*149*38 mm | 7.3*5.9*1.5 inch | 22*10")</f>
        <v>Top 187*149*38 mm | 7.3*5.9*1.5 inch | 22*10</v>
      </c>
      <c r="E1627" s="77">
        <f>IFERROR(__xludf.DUMMYFUNCTION("""COMPUTED_VALUE"""),2.0)</f>
        <v>2</v>
      </c>
      <c r="F1627" s="77">
        <f>IFERROR(__xludf.DUMMYFUNCTION("""COMPUTED_VALUE"""),1926.0)</f>
        <v>1926</v>
      </c>
      <c r="G1627" s="77">
        <f>IFERROR(__xludf.DUMMYFUNCTION("""COMPUTED_VALUE"""),15.0)</f>
        <v>15</v>
      </c>
      <c r="H1627" s="77">
        <f>IFERROR(__xludf.DUMMYFUNCTION("""COMPUTED_VALUE"""),25.0)</f>
        <v>25</v>
      </c>
      <c r="I1627" s="77">
        <f>IFERROR(__xludf.DUMMYFUNCTION("""COMPUTED_VALUE"""),100.0)</f>
        <v>100</v>
      </c>
      <c r="J1627" s="73"/>
      <c r="K1627" s="73"/>
      <c r="L1627" s="73"/>
      <c r="M1627" s="77"/>
      <c r="N1627" s="77">
        <f>IFERROR(__xludf.DUMMYFUNCTION("""COMPUTED_VALUE"""),1.0)</f>
        <v>1</v>
      </c>
      <c r="O1627" s="49"/>
      <c r="P1627" s="49" t="str">
        <f>IFERROR(__xludf.DUMMYFUNCTION("""COMPUTED_VALUE"""),"Offset")</f>
        <v>Offset</v>
      </c>
      <c r="Q1627" s="49" t="str">
        <f>IFERROR(__xludf.DUMMYFUNCTION("""COMPUTED_VALUE"""),"Packaging")</f>
        <v>Packaging</v>
      </c>
      <c r="R1627" s="49" t="str">
        <f>IFERROR(__xludf.DUMMYFUNCTION("""COMPUTED_VALUE"""),"Meethai &amp; Cake")</f>
        <v>Meethai &amp; Cake</v>
      </c>
    </row>
    <row r="1628">
      <c r="A1628" s="156" t="str">
        <f>IFERROR(__xludf.DUMMYFUNCTION("""COMPUTED_VALUE"""),"https://drive.google.com/open?id=1D2SmtpvOAkZ9FSxmrpCPEQr9NoZAQ-Aw&amp;authuser=jay.agg%40gmail.com&amp;usp=drive_fs")</f>
        <v>https://drive.google.com/open?id=1D2SmtpvOAkZ9FSxmrpCPEQr9NoZAQ-Aw&amp;authuser=jay.agg%40gmail.com&amp;usp=drive_fs</v>
      </c>
      <c r="B1628" s="73" t="str">
        <f>IFERROR(__xludf.DUMMYFUNCTION("""COMPUTED_VALUE"""),"Meethai &amp; Cake")</f>
        <v>Meethai &amp; Cake</v>
      </c>
      <c r="C1628" s="73" t="str">
        <f>IFERROR(__xludf.DUMMYFUNCTION("""COMPUTED_VALUE"""),"Meethai 1kg")</f>
        <v>Meethai 1kg</v>
      </c>
      <c r="D1628" s="73" t="str">
        <f>IFERROR(__xludf.DUMMYFUNCTION("""COMPUTED_VALUE"""),"Top 258*188*38 mm | 10.1*7.3*1.5 inch | 22*14")</f>
        <v>Top 258*188*38 mm | 10.1*7.3*1.5 inch | 22*14</v>
      </c>
      <c r="E1628" s="77">
        <f>IFERROR(__xludf.DUMMYFUNCTION("""COMPUTED_VALUE"""),2.0)</f>
        <v>2</v>
      </c>
      <c r="F1628" s="77">
        <f>IFERROR(__xludf.DUMMYFUNCTION("""COMPUTED_VALUE"""),2029.0)</f>
        <v>2029</v>
      </c>
      <c r="G1628" s="77">
        <f>IFERROR(__xludf.DUMMYFUNCTION("""COMPUTED_VALUE"""),18.0)</f>
        <v>18</v>
      </c>
      <c r="H1628" s="77">
        <f>IFERROR(__xludf.DUMMYFUNCTION("""COMPUTED_VALUE"""),28.0)</f>
        <v>28</v>
      </c>
      <c r="I1628" s="77">
        <f>IFERROR(__xludf.DUMMYFUNCTION("""COMPUTED_VALUE"""),100.0)</f>
        <v>100</v>
      </c>
      <c r="J1628" s="73"/>
      <c r="K1628" s="73"/>
      <c r="L1628" s="73"/>
      <c r="M1628" s="77"/>
      <c r="N1628" s="77">
        <f>IFERROR(__xludf.DUMMYFUNCTION("""COMPUTED_VALUE"""),1.0)</f>
        <v>1</v>
      </c>
      <c r="O1628" s="49"/>
      <c r="P1628" s="49" t="str">
        <f>IFERROR(__xludf.DUMMYFUNCTION("""COMPUTED_VALUE"""),"Offset")</f>
        <v>Offset</v>
      </c>
      <c r="Q1628" s="49" t="str">
        <f>IFERROR(__xludf.DUMMYFUNCTION("""COMPUTED_VALUE"""),"Packaging")</f>
        <v>Packaging</v>
      </c>
      <c r="R1628" s="49" t="str">
        <f>IFERROR(__xludf.DUMMYFUNCTION("""COMPUTED_VALUE"""),"Meethai &amp; Cake")</f>
        <v>Meethai &amp; Cake</v>
      </c>
    </row>
    <row r="1629">
      <c r="A1629" s="156" t="str">
        <f>IFERROR(__xludf.DUMMYFUNCTION("""COMPUTED_VALUE"""),"https://drive.google.com/open?id=1DNhnyCw2pwGCDtS8ddGQBMm7bK0Ap7Cr&amp;authuser=jay.agg%40gmail.com&amp;usp=drive_fs")</f>
        <v>https://drive.google.com/open?id=1DNhnyCw2pwGCDtS8ddGQBMm7bK0Ap7Cr&amp;authuser=jay.agg%40gmail.com&amp;usp=drive_fs</v>
      </c>
      <c r="B1629" s="73" t="str">
        <f>IFERROR(__xludf.DUMMYFUNCTION("""COMPUTED_VALUE"""),"Meethai &amp; Cake")</f>
        <v>Meethai &amp; Cake</v>
      </c>
      <c r="C1629" s="73" t="str">
        <f>IFERROR(__xludf.DUMMYFUNCTION("""COMPUTED_VALUE"""),"Meethai 500g")</f>
        <v>Meethai 500g</v>
      </c>
      <c r="D1629" s="73" t="str">
        <f>IFERROR(__xludf.DUMMYFUNCTION("""COMPUTED_VALUE"""),"Tray 187*149*38 mm | 7.3*5.9*1.5 inch")</f>
        <v>Tray 187*149*38 mm | 7.3*5.9*1.5 inch</v>
      </c>
      <c r="E1629" s="77">
        <f>IFERROR(__xludf.DUMMYFUNCTION("""COMPUTED_VALUE"""),2.0)</f>
        <v>2</v>
      </c>
      <c r="F1629" s="77">
        <f>IFERROR(__xludf.DUMMYFUNCTION("""COMPUTED_VALUE"""),1926.0)</f>
        <v>1926</v>
      </c>
      <c r="G1629" s="77">
        <f>IFERROR(__xludf.DUMMYFUNCTION("""COMPUTED_VALUE"""),12.0)</f>
        <v>12</v>
      </c>
      <c r="H1629" s="77">
        <f>IFERROR(__xludf.DUMMYFUNCTION("""COMPUTED_VALUE"""),25.0)</f>
        <v>25</v>
      </c>
      <c r="I1629" s="77">
        <f>IFERROR(__xludf.DUMMYFUNCTION("""COMPUTED_VALUE"""),100.0)</f>
        <v>100</v>
      </c>
      <c r="J1629" s="73"/>
      <c r="K1629" s="73"/>
      <c r="L1629" s="73"/>
      <c r="M1629" s="77"/>
      <c r="N1629" s="77">
        <f>IFERROR(__xludf.DUMMYFUNCTION("""COMPUTED_VALUE"""),1.0)</f>
        <v>1</v>
      </c>
      <c r="O1629" s="49"/>
      <c r="P1629" s="49" t="str">
        <f>IFERROR(__xludf.DUMMYFUNCTION("""COMPUTED_VALUE"""),"Offset")</f>
        <v>Offset</v>
      </c>
      <c r="Q1629" s="49" t="str">
        <f>IFERROR(__xludf.DUMMYFUNCTION("""COMPUTED_VALUE"""),"Packaging")</f>
        <v>Packaging</v>
      </c>
      <c r="R1629" s="49" t="str">
        <f>IFERROR(__xludf.DUMMYFUNCTION("""COMPUTED_VALUE"""),"Meethai &amp; Cake")</f>
        <v>Meethai &amp; Cake</v>
      </c>
    </row>
    <row r="1630">
      <c r="A1630" s="156" t="str">
        <f>IFERROR(__xludf.DUMMYFUNCTION("""COMPUTED_VALUE"""),"https://drive.google.com/open?id=1DNp4d36wFa8qqakcdhC9a8wnblWsfM7u&amp;authuser=jay.agg%40gmail.com&amp;usp=drive_fs")</f>
        <v>https://drive.google.com/open?id=1DNp4d36wFa8qqakcdhC9a8wnblWsfM7u&amp;authuser=jay.agg%40gmail.com&amp;usp=drive_fs</v>
      </c>
      <c r="B1630" s="73" t="str">
        <f>IFERROR(__xludf.DUMMYFUNCTION("""COMPUTED_VALUE"""),"Meethai &amp; Cake")</f>
        <v>Meethai &amp; Cake</v>
      </c>
      <c r="C1630" s="73" t="str">
        <f>IFERROR(__xludf.DUMMYFUNCTION("""COMPUTED_VALUE"""),"Meethai 1KG")</f>
        <v>Meethai 1KG</v>
      </c>
      <c r="D1630" s="73" t="str">
        <f>IFERROR(__xludf.DUMMYFUNCTION("""COMPUTED_VALUE"""),"Tray 258*188*38 mm | 10.1*7.3*1.5 inch")</f>
        <v>Tray 258*188*38 mm | 10.1*7.3*1.5 inch</v>
      </c>
      <c r="E1630" s="77">
        <f>IFERROR(__xludf.DUMMYFUNCTION("""COMPUTED_VALUE"""),2.0)</f>
        <v>2</v>
      </c>
      <c r="F1630" s="77">
        <f>IFERROR(__xludf.DUMMYFUNCTION("""COMPUTED_VALUE"""),1926.0)</f>
        <v>1926</v>
      </c>
      <c r="G1630" s="77">
        <f>IFERROR(__xludf.DUMMYFUNCTION("""COMPUTED_VALUE"""),15.0)</f>
        <v>15</v>
      </c>
      <c r="H1630" s="77">
        <f>IFERROR(__xludf.DUMMYFUNCTION("""COMPUTED_VALUE"""),25.0)</f>
        <v>25</v>
      </c>
      <c r="I1630" s="77">
        <f>IFERROR(__xludf.DUMMYFUNCTION("""COMPUTED_VALUE"""),100.0)</f>
        <v>100</v>
      </c>
      <c r="J1630" s="73"/>
      <c r="K1630" s="73"/>
      <c r="L1630" s="73"/>
      <c r="M1630" s="77"/>
      <c r="N1630" s="77">
        <f>IFERROR(__xludf.DUMMYFUNCTION("""COMPUTED_VALUE"""),1.0)</f>
        <v>1</v>
      </c>
      <c r="O1630" s="49"/>
      <c r="P1630" s="49" t="str">
        <f>IFERROR(__xludf.DUMMYFUNCTION("""COMPUTED_VALUE"""),"Offset")</f>
        <v>Offset</v>
      </c>
      <c r="Q1630" s="49" t="str">
        <f>IFERROR(__xludf.DUMMYFUNCTION("""COMPUTED_VALUE"""),"Packaging")</f>
        <v>Packaging</v>
      </c>
      <c r="R1630" s="49" t="str">
        <f>IFERROR(__xludf.DUMMYFUNCTION("""COMPUTED_VALUE"""),"Meethai &amp; Cake")</f>
        <v>Meethai &amp; Cake</v>
      </c>
    </row>
    <row r="1631">
      <c r="A1631" s="156" t="str">
        <f>IFERROR(__xludf.DUMMYFUNCTION("""COMPUTED_VALUE"""),"https://drive.google.com/open?id=10NoN1i7_K1rHnWbdm9nXitvNzTkqXiHV&amp;authuser=jay.agg%40gmail.com&amp;usp=drive_fs")</f>
        <v>https://drive.google.com/open?id=10NoN1i7_K1rHnWbdm9nXitvNzTkqXiHV&amp;authuser=jay.agg%40gmail.com&amp;usp=drive_fs</v>
      </c>
      <c r="B1631" s="73" t="str">
        <f>IFERROR(__xludf.DUMMYFUNCTION("""COMPUTED_VALUE"""),"Meethai &amp; Cake")</f>
        <v>Meethai &amp; Cake</v>
      </c>
      <c r="C1631" s="73" t="str">
        <f>IFERROR(__xludf.DUMMYFUNCTION("""COMPUTED_VALUE"""),"Meethai 1kg")</f>
        <v>Meethai 1kg</v>
      </c>
      <c r="D1631" s="73" t="str">
        <f>IFERROR(__xludf.DUMMYFUNCTION("""COMPUTED_VALUE"""),"Bottom 227*160*38 mm | 9*6.5*1.5 inch | 22*12")</f>
        <v>Bottom 227*160*38 mm | 9*6.5*1.5 inch | 22*12</v>
      </c>
      <c r="E1631" s="77">
        <f>IFERROR(__xludf.DUMMYFUNCTION("""COMPUTED_VALUE"""),2.0)</f>
        <v>2</v>
      </c>
      <c r="F1631" s="77">
        <f>IFERROR(__xludf.DUMMYFUNCTION("""COMPUTED_VALUE"""),1926.0)</f>
        <v>1926</v>
      </c>
      <c r="G1631" s="77">
        <f>IFERROR(__xludf.DUMMYFUNCTION("""COMPUTED_VALUE"""),14.0)</f>
        <v>14</v>
      </c>
      <c r="H1631" s="77">
        <f>IFERROR(__xludf.DUMMYFUNCTION("""COMPUTED_VALUE"""),22.0)</f>
        <v>22</v>
      </c>
      <c r="I1631" s="77">
        <f>IFERROR(__xludf.DUMMYFUNCTION("""COMPUTED_VALUE"""),100.0)</f>
        <v>100</v>
      </c>
      <c r="J1631" s="73"/>
      <c r="K1631" s="73"/>
      <c r="L1631" s="73"/>
      <c r="M1631" s="77"/>
      <c r="N1631" s="77">
        <f>IFERROR(__xludf.DUMMYFUNCTION("""COMPUTED_VALUE"""),1.0)</f>
        <v>1</v>
      </c>
      <c r="O1631" s="49"/>
      <c r="P1631" s="49" t="str">
        <f>IFERROR(__xludf.DUMMYFUNCTION("""COMPUTED_VALUE"""),"Offset")</f>
        <v>Offset</v>
      </c>
      <c r="Q1631" s="49" t="str">
        <f>IFERROR(__xludf.DUMMYFUNCTION("""COMPUTED_VALUE"""),"Packaging")</f>
        <v>Packaging</v>
      </c>
      <c r="R1631" s="49" t="str">
        <f>IFERROR(__xludf.DUMMYFUNCTION("""COMPUTED_VALUE"""),"Meethai &amp; Cake")</f>
        <v>Meethai &amp; Cake</v>
      </c>
    </row>
    <row r="1632">
      <c r="A1632" s="156" t="str">
        <f>IFERROR(__xludf.DUMMYFUNCTION("""COMPUTED_VALUE"""),"https://drive.google.com/open?id=10Odw8qHJqLfe5TgLJ1OsNCSUaimudpuG&amp;authuser=jay.agg%40gmail.com&amp;usp=drive_fs")</f>
        <v>https://drive.google.com/open?id=10Odw8qHJqLfe5TgLJ1OsNCSUaimudpuG&amp;authuser=jay.agg%40gmail.com&amp;usp=drive_fs</v>
      </c>
      <c r="B1632" s="73" t="str">
        <f>IFERROR(__xludf.DUMMYFUNCTION("""COMPUTED_VALUE"""),"Meethai &amp; Cake")</f>
        <v>Meethai &amp; Cake</v>
      </c>
      <c r="C1632" s="73" t="str">
        <f>IFERROR(__xludf.DUMMYFUNCTION("""COMPUTED_VALUE"""),"Meethai 1kg")</f>
        <v>Meethai 1kg</v>
      </c>
      <c r="D1632" s="73" t="str">
        <f>IFERROR(__xludf.DUMMYFUNCTION("""COMPUTED_VALUE"""),"Top 227*160*38 mm | 9*6.5*1.5 inch ")</f>
        <v>Top 227*160*38 mm | 9*6.5*1.5 inch </v>
      </c>
      <c r="E1632" s="77">
        <f>IFERROR(__xludf.DUMMYFUNCTION("""COMPUTED_VALUE"""),2.0)</f>
        <v>2</v>
      </c>
      <c r="F1632" s="77">
        <f>IFERROR(__xludf.DUMMYFUNCTION("""COMPUTED_VALUE"""),1926.0)</f>
        <v>1926</v>
      </c>
      <c r="G1632" s="77">
        <f>IFERROR(__xludf.DUMMYFUNCTION("""COMPUTED_VALUE"""),19.0)</f>
        <v>19</v>
      </c>
      <c r="H1632" s="77">
        <f>IFERROR(__xludf.DUMMYFUNCTION("""COMPUTED_VALUE"""),26.0)</f>
        <v>26</v>
      </c>
      <c r="I1632" s="77">
        <f>IFERROR(__xludf.DUMMYFUNCTION("""COMPUTED_VALUE"""),100.0)</f>
        <v>100</v>
      </c>
      <c r="J1632" s="73"/>
      <c r="K1632" s="73"/>
      <c r="L1632" s="73"/>
      <c r="M1632" s="77"/>
      <c r="N1632" s="77">
        <f>IFERROR(__xludf.DUMMYFUNCTION("""COMPUTED_VALUE"""),1.0)</f>
        <v>1</v>
      </c>
      <c r="O1632" s="49"/>
      <c r="P1632" s="49" t="str">
        <f>IFERROR(__xludf.DUMMYFUNCTION("""COMPUTED_VALUE"""),"Offset")</f>
        <v>Offset</v>
      </c>
      <c r="Q1632" s="49" t="str">
        <f>IFERROR(__xludf.DUMMYFUNCTION("""COMPUTED_VALUE"""),"Packaging")</f>
        <v>Packaging</v>
      </c>
      <c r="R1632" s="49" t="str">
        <f>IFERROR(__xludf.DUMMYFUNCTION("""COMPUTED_VALUE"""),"Meethai &amp; Cake")</f>
        <v>Meethai &amp; Cake</v>
      </c>
    </row>
    <row r="1633">
      <c r="A1633" s="156" t="str">
        <f>IFERROR(__xludf.DUMMYFUNCTION("""COMPUTED_VALUE"""),"https://drive.google.com/open?id=10MG8ALo6TOki7yNMxKl6I8Y1ku5aLx5U&amp;authuser=jay.agg%40gmail.com&amp;usp=drive_fs")</f>
        <v>https://drive.google.com/open?id=10MG8ALo6TOki7yNMxKl6I8Y1ku5aLx5U&amp;authuser=jay.agg%40gmail.com&amp;usp=drive_fs</v>
      </c>
      <c r="B1633" s="73" t="str">
        <f>IFERROR(__xludf.DUMMYFUNCTION("""COMPUTED_VALUE"""),"Meethai &amp; Cake")</f>
        <v>Meethai &amp; Cake</v>
      </c>
      <c r="C1633" s="73" t="str">
        <f>IFERROR(__xludf.DUMMYFUNCTION("""COMPUTED_VALUE"""),"Meethai 500g")</f>
        <v>Meethai 500g</v>
      </c>
      <c r="D1633" s="73" t="str">
        <f>IFERROR(__xludf.DUMMYFUNCTION("""COMPUTED_VALUE"""),"Bottom 175*130*38 mm | 6.9*5.1*1.4 inch | 22*9")</f>
        <v>Bottom 175*130*38 mm | 6.9*5.1*1.4 inch | 22*9</v>
      </c>
      <c r="E1633" s="77">
        <f>IFERROR(__xludf.DUMMYFUNCTION("""COMPUTED_VALUE"""),2.0)</f>
        <v>2</v>
      </c>
      <c r="F1633" s="77">
        <f>IFERROR(__xludf.DUMMYFUNCTION("""COMPUTED_VALUE"""),1926.0)</f>
        <v>1926</v>
      </c>
      <c r="G1633" s="77">
        <f>IFERROR(__xludf.DUMMYFUNCTION("""COMPUTED_VALUE"""),12.0)</f>
        <v>12</v>
      </c>
      <c r="H1633" s="77">
        <f>IFERROR(__xludf.DUMMYFUNCTION("""COMPUTED_VALUE"""),23.0)</f>
        <v>23</v>
      </c>
      <c r="I1633" s="77">
        <f>IFERROR(__xludf.DUMMYFUNCTION("""COMPUTED_VALUE"""),100.0)</f>
        <v>100</v>
      </c>
      <c r="J1633" s="73"/>
      <c r="K1633" s="73"/>
      <c r="L1633" s="73"/>
      <c r="M1633" s="77"/>
      <c r="N1633" s="77">
        <f>IFERROR(__xludf.DUMMYFUNCTION("""COMPUTED_VALUE"""),1.0)</f>
        <v>1</v>
      </c>
      <c r="O1633" s="49"/>
      <c r="P1633" s="49" t="str">
        <f>IFERROR(__xludf.DUMMYFUNCTION("""COMPUTED_VALUE"""),"Offset")</f>
        <v>Offset</v>
      </c>
      <c r="Q1633" s="49" t="str">
        <f>IFERROR(__xludf.DUMMYFUNCTION("""COMPUTED_VALUE"""),"Packaging")</f>
        <v>Packaging</v>
      </c>
      <c r="R1633" s="49" t="str">
        <f>IFERROR(__xludf.DUMMYFUNCTION("""COMPUTED_VALUE"""),"Meethai &amp; Cake")</f>
        <v>Meethai &amp; Cake</v>
      </c>
    </row>
    <row r="1634">
      <c r="A1634" s="156" t="str">
        <f>IFERROR(__xludf.DUMMYFUNCTION("""COMPUTED_VALUE"""),"https://drive.google.com/open?id=10MhOrAEovcSihst8TODE5AZLjrr-WIc8&amp;authuser=jay.agg%40gmail.com&amp;usp=drive_fs")</f>
        <v>https://drive.google.com/open?id=10MhOrAEovcSihst8TODE5AZLjrr-WIc8&amp;authuser=jay.agg%40gmail.com&amp;usp=drive_fs</v>
      </c>
      <c r="B1634" s="73" t="str">
        <f>IFERROR(__xludf.DUMMYFUNCTION("""COMPUTED_VALUE"""),"Meethai &amp; Cake")</f>
        <v>Meethai &amp; Cake</v>
      </c>
      <c r="C1634" s="73" t="str">
        <f>IFERROR(__xludf.DUMMYFUNCTION("""COMPUTED_VALUE"""),"Meethai 500g")</f>
        <v>Meethai 500g</v>
      </c>
      <c r="D1634" s="73" t="str">
        <f>IFERROR(__xludf.DUMMYFUNCTION("""COMPUTED_VALUE"""),"Top 175*130*38 mm | 6.9*5.1*1.4 inch")</f>
        <v>Top 175*130*38 mm | 6.9*5.1*1.4 inch</v>
      </c>
      <c r="E1634" s="77">
        <f>IFERROR(__xludf.DUMMYFUNCTION("""COMPUTED_VALUE"""),2.0)</f>
        <v>2</v>
      </c>
      <c r="F1634" s="77">
        <f>IFERROR(__xludf.DUMMYFUNCTION("""COMPUTED_VALUE"""),1926.0)</f>
        <v>1926</v>
      </c>
      <c r="G1634" s="77">
        <f>IFERROR(__xludf.DUMMYFUNCTION("""COMPUTED_VALUE"""),15.0)</f>
        <v>15</v>
      </c>
      <c r="H1634" s="77">
        <f>IFERROR(__xludf.DUMMYFUNCTION("""COMPUTED_VALUE"""),25.0)</f>
        <v>25</v>
      </c>
      <c r="I1634" s="77">
        <f>IFERROR(__xludf.DUMMYFUNCTION("""COMPUTED_VALUE"""),100.0)</f>
        <v>100</v>
      </c>
      <c r="J1634" s="73"/>
      <c r="K1634" s="73"/>
      <c r="L1634" s="73"/>
      <c r="M1634" s="77"/>
      <c r="N1634" s="77">
        <f>IFERROR(__xludf.DUMMYFUNCTION("""COMPUTED_VALUE"""),1.0)</f>
        <v>1</v>
      </c>
      <c r="O1634" s="49"/>
      <c r="P1634" s="49" t="str">
        <f>IFERROR(__xludf.DUMMYFUNCTION("""COMPUTED_VALUE"""),"Offset")</f>
        <v>Offset</v>
      </c>
      <c r="Q1634" s="49" t="str">
        <f>IFERROR(__xludf.DUMMYFUNCTION("""COMPUTED_VALUE"""),"Packaging")</f>
        <v>Packaging</v>
      </c>
      <c r="R1634" s="49" t="str">
        <f>IFERROR(__xludf.DUMMYFUNCTION("""COMPUTED_VALUE"""),"Meethai &amp; Cake")</f>
        <v>Meethai &amp; Cake</v>
      </c>
    </row>
    <row r="1635">
      <c r="A1635" s="156" t="str">
        <f>IFERROR(__xludf.DUMMYFUNCTION("""COMPUTED_VALUE"""),"https://drive.google.com/open?id=1_EKg2yUAq2DRFHNcPb2ExYuWwoK2Ka6Y&amp;authuser=jay.agg%40gmail.com&amp;usp=drive_fs")</f>
        <v>https://drive.google.com/open?id=1_EKg2yUAq2DRFHNcPb2ExYuWwoK2Ka6Y&amp;authuser=jay.agg%40gmail.com&amp;usp=drive_fs</v>
      </c>
      <c r="B1635" s="73" t="str">
        <f>IFERROR(__xludf.DUMMYFUNCTION("""COMPUTED_VALUE"""),"Meethai &amp; Cake")</f>
        <v>Meethai &amp; Cake</v>
      </c>
      <c r="C1635" s="73" t="str">
        <f>IFERROR(__xludf.DUMMYFUNCTION("""COMPUTED_VALUE"""),"Meethai 500g")</f>
        <v>Meethai 500g</v>
      </c>
      <c r="D1635" s="73" t="str">
        <f>IFERROR(__xludf.DUMMYFUNCTION("""COMPUTED_VALUE"""),"175*130*38 mm | 6.9*5.1*1.4 inch | 22*17")</f>
        <v>175*130*38 mm | 6.9*5.1*1.4 inch | 22*17</v>
      </c>
      <c r="E1635" s="77">
        <f>IFERROR(__xludf.DUMMYFUNCTION("""COMPUTED_VALUE"""),2.0)</f>
        <v>2</v>
      </c>
      <c r="F1635" s="77">
        <f>IFERROR(__xludf.DUMMYFUNCTION("""COMPUTED_VALUE"""),1926.0)</f>
        <v>1926</v>
      </c>
      <c r="G1635" s="77">
        <f>IFERROR(__xludf.DUMMYFUNCTION("""COMPUTED_VALUE"""),19.5)</f>
        <v>19.5</v>
      </c>
      <c r="H1635" s="77">
        <f>IFERROR(__xludf.DUMMYFUNCTION("""COMPUTED_VALUE"""),23.0)</f>
        <v>23</v>
      </c>
      <c r="I1635" s="77">
        <f>IFERROR(__xludf.DUMMYFUNCTION("""COMPUTED_VALUE"""),100.0)</f>
        <v>100</v>
      </c>
      <c r="J1635" s="73"/>
      <c r="K1635" s="73"/>
      <c r="L1635" s="73"/>
      <c r="M1635" s="77"/>
      <c r="N1635" s="77">
        <f>IFERROR(__xludf.DUMMYFUNCTION("""COMPUTED_VALUE"""),1.0)</f>
        <v>1</v>
      </c>
      <c r="O1635" s="49"/>
      <c r="P1635" s="49" t="str">
        <f>IFERROR(__xludf.DUMMYFUNCTION("""COMPUTED_VALUE"""),"Offset")</f>
        <v>Offset</v>
      </c>
      <c r="Q1635" s="49" t="str">
        <f>IFERROR(__xludf.DUMMYFUNCTION("""COMPUTED_VALUE"""),"Packaging")</f>
        <v>Packaging</v>
      </c>
      <c r="R1635" s="49" t="str">
        <f>IFERROR(__xludf.DUMMYFUNCTION("""COMPUTED_VALUE"""),"Meethai &amp; Cake")</f>
        <v>Meethai &amp; Cake</v>
      </c>
    </row>
    <row r="1636">
      <c r="A1636" s="156" t="str">
        <f>IFERROR(__xludf.DUMMYFUNCTION("""COMPUTED_VALUE"""),"https://drive.google.com/open?id=10_vqI8TCKUzfrIsIZ92OcRkr7__vSyFa&amp;authuser=jay.agg%40gmail.com&amp;usp=drive_fs")</f>
        <v>https://drive.google.com/open?id=10_vqI8TCKUzfrIsIZ92OcRkr7__vSyFa&amp;authuser=jay.agg%40gmail.com&amp;usp=drive_fs</v>
      </c>
      <c r="B1636" s="73" t="str">
        <f>IFERROR(__xludf.DUMMYFUNCTION("""COMPUTED_VALUE"""),"Meethai &amp; Cake")</f>
        <v>Meethai &amp; Cake</v>
      </c>
      <c r="C1636" s="73" t="str">
        <f>IFERROR(__xludf.DUMMYFUNCTION("""COMPUTED_VALUE"""),"Meethai 1kg")</f>
        <v>Meethai 1kg</v>
      </c>
      <c r="D1636" s="73" t="str">
        <f>IFERROR(__xludf.DUMMYFUNCTION("""COMPUTED_VALUE"""),"Top 314*182*38 mm | 12.3*7.2*1.5 inch")</f>
        <v>Top 314*182*38 mm | 12.3*7.2*1.5 inch</v>
      </c>
      <c r="E1636" s="77">
        <f>IFERROR(__xludf.DUMMYFUNCTION("""COMPUTED_VALUE"""),2.0)</f>
        <v>2</v>
      </c>
      <c r="F1636" s="77">
        <f>IFERROR(__xludf.DUMMYFUNCTION("""COMPUTED_VALUE"""),2029.0)</f>
        <v>2029</v>
      </c>
      <c r="G1636" s="77">
        <f>IFERROR(__xludf.DUMMYFUNCTION("""COMPUTED_VALUE"""),20.0)</f>
        <v>20</v>
      </c>
      <c r="H1636" s="77">
        <f>IFERROR(__xludf.DUMMYFUNCTION("""COMPUTED_VALUE"""),28.0)</f>
        <v>28</v>
      </c>
      <c r="I1636" s="77">
        <f>IFERROR(__xludf.DUMMYFUNCTION("""COMPUTED_VALUE"""),100.0)</f>
        <v>100</v>
      </c>
      <c r="J1636" s="73"/>
      <c r="K1636" s="73"/>
      <c r="L1636" s="73"/>
      <c r="M1636" s="77"/>
      <c r="N1636" s="77">
        <f>IFERROR(__xludf.DUMMYFUNCTION("""COMPUTED_VALUE"""),1.0)</f>
        <v>1</v>
      </c>
      <c r="O1636" s="49"/>
      <c r="P1636" s="49" t="str">
        <f>IFERROR(__xludf.DUMMYFUNCTION("""COMPUTED_VALUE"""),"Offset")</f>
        <v>Offset</v>
      </c>
      <c r="Q1636" s="49" t="str">
        <f>IFERROR(__xludf.DUMMYFUNCTION("""COMPUTED_VALUE"""),"Packaging")</f>
        <v>Packaging</v>
      </c>
      <c r="R1636" s="49" t="str">
        <f>IFERROR(__xludf.DUMMYFUNCTION("""COMPUTED_VALUE"""),"Meethai &amp; Cake")</f>
        <v>Meethai &amp; Cake</v>
      </c>
    </row>
    <row r="1637">
      <c r="A1637" s="156" t="str">
        <f>IFERROR(__xludf.DUMMYFUNCTION("""COMPUTED_VALUE"""),"https://drive.google.com/open?id=10abcV5_otU87DkrjsKiPznbHvMh97chO&amp;authuser=jay.agg%40gmail.com&amp;usp=drive_fs")</f>
        <v>https://drive.google.com/open?id=10abcV5_otU87DkrjsKiPznbHvMh97chO&amp;authuser=jay.agg%40gmail.com&amp;usp=drive_fs</v>
      </c>
      <c r="B1637" s="73" t="str">
        <f>IFERROR(__xludf.DUMMYFUNCTION("""COMPUTED_VALUE"""),"Meethai &amp; Cake")</f>
        <v>Meethai &amp; Cake</v>
      </c>
      <c r="C1637" s="73" t="str">
        <f>IFERROR(__xludf.DUMMYFUNCTION("""COMPUTED_VALUE"""),"Meethai 1kg")</f>
        <v>Meethai 1kg</v>
      </c>
      <c r="D1637" s="73" t="str">
        <f>IFERROR(__xludf.DUMMYFUNCTION("""COMPUTED_VALUE"""),"Bottom 314*182*38 mm | 12.3*7.2*1.5 inch")</f>
        <v>Bottom 314*182*38 mm | 12.3*7.2*1.5 inch</v>
      </c>
      <c r="E1637" s="77">
        <f>IFERROR(__xludf.DUMMYFUNCTION("""COMPUTED_VALUE"""),2.0)</f>
        <v>2</v>
      </c>
      <c r="F1637" s="77">
        <f>IFERROR(__xludf.DUMMYFUNCTION("""COMPUTED_VALUE"""),2029.0)</f>
        <v>2029</v>
      </c>
      <c r="G1637" s="77">
        <f>IFERROR(__xludf.DUMMYFUNCTION("""COMPUTED_VALUE"""),20.0)</f>
        <v>20</v>
      </c>
      <c r="H1637" s="77">
        <f>IFERROR(__xludf.DUMMYFUNCTION("""COMPUTED_VALUE"""),28.0)</f>
        <v>28</v>
      </c>
      <c r="I1637" s="77">
        <f>IFERROR(__xludf.DUMMYFUNCTION("""COMPUTED_VALUE"""),100.0)</f>
        <v>100</v>
      </c>
      <c r="J1637" s="73"/>
      <c r="K1637" s="73"/>
      <c r="L1637" s="73"/>
      <c r="M1637" s="77"/>
      <c r="N1637" s="77">
        <f>IFERROR(__xludf.DUMMYFUNCTION("""COMPUTED_VALUE"""),1.0)</f>
        <v>1</v>
      </c>
      <c r="O1637" s="49"/>
      <c r="P1637" s="49" t="str">
        <f>IFERROR(__xludf.DUMMYFUNCTION("""COMPUTED_VALUE"""),"Offset")</f>
        <v>Offset</v>
      </c>
      <c r="Q1637" s="49" t="str">
        <f>IFERROR(__xludf.DUMMYFUNCTION("""COMPUTED_VALUE"""),"Packaging")</f>
        <v>Packaging</v>
      </c>
      <c r="R1637" s="49" t="str">
        <f>IFERROR(__xludf.DUMMYFUNCTION("""COMPUTED_VALUE"""),"Meethai &amp; Cake")</f>
        <v>Meethai &amp; Cake</v>
      </c>
    </row>
    <row r="1638">
      <c r="A1638" s="156" t="str">
        <f>IFERROR(__xludf.DUMMYFUNCTION("""COMPUTED_VALUE"""),"https://drive.google.com/open?id=1KFHiXHbeq92-AUDS0yNwhtecv5YBMBLL&amp;authuser=jay.agg%40gmail.com&amp;usp=drive_fs")</f>
        <v>https://drive.google.com/open?id=1KFHiXHbeq92-AUDS0yNwhtecv5YBMBLL&amp;authuser=jay.agg%40gmail.com&amp;usp=drive_fs</v>
      </c>
      <c r="B1638" s="73" t="str">
        <f>IFERROR(__xludf.DUMMYFUNCTION("""COMPUTED_VALUE"""),"Meethai &amp; Cake")</f>
        <v>Meethai &amp; Cake</v>
      </c>
      <c r="C1638" s="73" t="str">
        <f>IFERROR(__xludf.DUMMYFUNCTION("""COMPUTED_VALUE"""),"Meethai 500g")</f>
        <v>Meethai 500g</v>
      </c>
      <c r="D1638" s="73" t="str">
        <f>IFERROR(__xludf.DUMMYFUNCTION("""COMPUTED_VALUE"""),"213*153*38 mm | 8.3*6*1.5 inch | 24*18")</f>
        <v>213*153*38 mm | 8.3*6*1.5 inch | 24*18</v>
      </c>
      <c r="E1638" s="77">
        <f>IFERROR(__xludf.DUMMYFUNCTION("""COMPUTED_VALUE"""),2.0)</f>
        <v>2</v>
      </c>
      <c r="F1638" s="77">
        <f>IFERROR(__xludf.DUMMYFUNCTION("""COMPUTED_VALUE"""),2840.0)</f>
        <v>2840</v>
      </c>
      <c r="G1638" s="77">
        <f>IFERROR(__xludf.DUMMYFUNCTION("""COMPUTED_VALUE"""),25.0)</f>
        <v>25</v>
      </c>
      <c r="H1638" s="77">
        <f>IFERROR(__xludf.DUMMYFUNCTION("""COMPUTED_VALUE"""),30.0)</f>
        <v>30</v>
      </c>
      <c r="I1638" s="77">
        <f>IFERROR(__xludf.DUMMYFUNCTION("""COMPUTED_VALUE"""),100.0)</f>
        <v>100</v>
      </c>
      <c r="J1638" s="73"/>
      <c r="K1638" s="73"/>
      <c r="L1638" s="73"/>
      <c r="M1638" s="77"/>
      <c r="N1638" s="77">
        <f>IFERROR(__xludf.DUMMYFUNCTION("""COMPUTED_VALUE"""),1.0)</f>
        <v>1</v>
      </c>
      <c r="O1638" s="49"/>
      <c r="P1638" s="49" t="str">
        <f>IFERROR(__xludf.DUMMYFUNCTION("""COMPUTED_VALUE"""),"Offset")</f>
        <v>Offset</v>
      </c>
      <c r="Q1638" s="49" t="str">
        <f>IFERROR(__xludf.DUMMYFUNCTION("""COMPUTED_VALUE"""),"Packaging")</f>
        <v>Packaging</v>
      </c>
      <c r="R1638" s="49" t="str">
        <f>IFERROR(__xludf.DUMMYFUNCTION("""COMPUTED_VALUE"""),"Meethai &amp; Cake")</f>
        <v>Meethai &amp; Cake</v>
      </c>
    </row>
    <row r="1639">
      <c r="A1639" s="156" t="str">
        <f>IFERROR(__xludf.DUMMYFUNCTION("""COMPUTED_VALUE"""),"https://drive.google.com/open?id=119nbtwAkR396ui_3K1kkQDPAUWOR-TTU&amp;authuser=jay.agg%40gmail.com&amp;usp=drive_fs")</f>
        <v>https://drive.google.com/open?id=119nbtwAkR396ui_3K1kkQDPAUWOR-TTU&amp;authuser=jay.agg%40gmail.com&amp;usp=drive_fs</v>
      </c>
      <c r="B1639" s="73" t="str">
        <f>IFERROR(__xludf.DUMMYFUNCTION("""COMPUTED_VALUE"""),"Meethai &amp; Cake")</f>
        <v>Meethai &amp; Cake</v>
      </c>
      <c r="C1639" s="73" t="str">
        <f>IFERROR(__xludf.DUMMYFUNCTION("""COMPUTED_VALUE"""),"Meethai 400g")</f>
        <v>Meethai 400g</v>
      </c>
      <c r="D1639" s="73" t="str">
        <f>IFERROR(__xludf.DUMMYFUNCTION("""COMPUTED_VALUE"""),"136*87*39 mm | 5.3*3.4*1.5 inch")</f>
        <v>136*87*39 mm | 5.3*3.4*1.5 inch</v>
      </c>
      <c r="E1639" s="77">
        <f>IFERROR(__xludf.DUMMYFUNCTION("""COMPUTED_VALUE"""),4.0)</f>
        <v>4</v>
      </c>
      <c r="F1639" s="77">
        <f>IFERROR(__xludf.DUMMYFUNCTION("""COMPUTED_VALUE"""),1926.0)</f>
        <v>1926</v>
      </c>
      <c r="G1639" s="77">
        <f>IFERROR(__xludf.DUMMYFUNCTION("""COMPUTED_VALUE"""),18.0)</f>
        <v>18</v>
      </c>
      <c r="H1639" s="77">
        <f>IFERROR(__xludf.DUMMYFUNCTION("""COMPUTED_VALUE"""),23.0)</f>
        <v>23</v>
      </c>
      <c r="I1639" s="77">
        <f>IFERROR(__xludf.DUMMYFUNCTION("""COMPUTED_VALUE"""),100.0)</f>
        <v>100</v>
      </c>
      <c r="J1639" s="73"/>
      <c r="K1639" s="73"/>
      <c r="L1639" s="73"/>
      <c r="M1639" s="77"/>
      <c r="N1639" s="77">
        <f>IFERROR(__xludf.DUMMYFUNCTION("""COMPUTED_VALUE"""),1.0)</f>
        <v>1</v>
      </c>
      <c r="O1639" s="49"/>
      <c r="P1639" s="49" t="str">
        <f>IFERROR(__xludf.DUMMYFUNCTION("""COMPUTED_VALUE"""),"Offset")</f>
        <v>Offset</v>
      </c>
      <c r="Q1639" s="49" t="str">
        <f>IFERROR(__xludf.DUMMYFUNCTION("""COMPUTED_VALUE"""),"Packaging")</f>
        <v>Packaging</v>
      </c>
      <c r="R1639" s="49" t="str">
        <f>IFERROR(__xludf.DUMMYFUNCTION("""COMPUTED_VALUE"""),"Meethai &amp; Cake")</f>
        <v>Meethai &amp; Cake</v>
      </c>
    </row>
    <row r="1640">
      <c r="A1640" s="156" t="str">
        <f>IFERROR(__xludf.DUMMYFUNCTION("""COMPUTED_VALUE"""),"https://drive.google.com/open?id=12BTGEAyRzcHPz2sq6LbApXNh9ah-DYoP&amp;authuser=jay.agg%40gmail.com&amp;usp=drive_fs")</f>
        <v>https://drive.google.com/open?id=12BTGEAyRzcHPz2sq6LbApXNh9ah-DYoP&amp;authuser=jay.agg%40gmail.com&amp;usp=drive_fs</v>
      </c>
      <c r="B1640" s="73" t="str">
        <f>IFERROR(__xludf.DUMMYFUNCTION("""COMPUTED_VALUE"""),"Meethai &amp; Cake")</f>
        <v>Meethai &amp; Cake</v>
      </c>
      <c r="C1640" s="73" t="str">
        <f>IFERROR(__xludf.DUMMYFUNCTION("""COMPUTED_VALUE"""),"Ladoo")</f>
        <v>Ladoo</v>
      </c>
      <c r="D1640" s="73" t="str">
        <f>IFERROR(__xludf.DUMMYFUNCTION("""COMPUTED_VALUE"""),"100*100*45 mm | 4*4*1.75 inch")</f>
        <v>100*100*45 mm | 4*4*1.75 inch</v>
      </c>
      <c r="E1640" s="77">
        <f>IFERROR(__xludf.DUMMYFUNCTION("""COMPUTED_VALUE"""),4.0)</f>
        <v>4</v>
      </c>
      <c r="F1640" s="77">
        <f>IFERROR(__xludf.DUMMYFUNCTION("""COMPUTED_VALUE"""),1926.0)</f>
        <v>1926</v>
      </c>
      <c r="G1640" s="77">
        <f>IFERROR(__xludf.DUMMYFUNCTION("""COMPUTED_VALUE"""),15.0)</f>
        <v>15</v>
      </c>
      <c r="H1640" s="77">
        <f>IFERROR(__xludf.DUMMYFUNCTION("""COMPUTED_VALUE"""),25.0)</f>
        <v>25</v>
      </c>
      <c r="I1640" s="77">
        <f>IFERROR(__xludf.DUMMYFUNCTION("""COMPUTED_VALUE"""),100.0)</f>
        <v>100</v>
      </c>
      <c r="J1640" s="73"/>
      <c r="K1640" s="73"/>
      <c r="L1640" s="73"/>
      <c r="M1640" s="77"/>
      <c r="N1640" s="77">
        <f>IFERROR(__xludf.DUMMYFUNCTION("""COMPUTED_VALUE"""),1.0)</f>
        <v>1</v>
      </c>
      <c r="O1640" s="49"/>
      <c r="P1640" s="49" t="str">
        <f>IFERROR(__xludf.DUMMYFUNCTION("""COMPUTED_VALUE"""),"Offset")</f>
        <v>Offset</v>
      </c>
      <c r="Q1640" s="49" t="str">
        <f>IFERROR(__xludf.DUMMYFUNCTION("""COMPUTED_VALUE"""),"Packaging")</f>
        <v>Packaging</v>
      </c>
      <c r="R1640" s="49" t="str">
        <f>IFERROR(__xludf.DUMMYFUNCTION("""COMPUTED_VALUE"""),"Meethai &amp; Cake")</f>
        <v>Meethai &amp; Cake</v>
      </c>
    </row>
    <row r="1641">
      <c r="A1641" s="156" t="str">
        <f>IFERROR(__xludf.DUMMYFUNCTION("""COMPUTED_VALUE"""),"https://drive.google.com/open?id=12V20aGB-4tMTiJ-t90vOKyZk6cmTnX5A&amp;authuser=jay.agg%40gmail.com&amp;usp=drive_fs")</f>
        <v>https://drive.google.com/open?id=12V20aGB-4tMTiJ-t90vOKyZk6cmTnX5A&amp;authuser=jay.agg%40gmail.com&amp;usp=drive_fs</v>
      </c>
      <c r="B1641" s="73" t="str">
        <f>IFERROR(__xludf.DUMMYFUNCTION("""COMPUTED_VALUE"""),"Meethai &amp; Cake")</f>
        <v>Meethai &amp; Cake</v>
      </c>
      <c r="C1641" s="73" t="str">
        <f>IFERROR(__xludf.DUMMYFUNCTION("""COMPUTED_VALUE"""),"Meethai 1kg")</f>
        <v>Meethai 1kg</v>
      </c>
      <c r="D1641" s="73" t="str">
        <f>IFERROR(__xludf.DUMMYFUNCTION("""COMPUTED_VALUE"""),"Set 270*185*38 mm | 10.6*7.3*1.5 inch | 22*14")</f>
        <v>Set 270*185*38 mm | 10.6*7.3*1.5 inch | 22*14</v>
      </c>
      <c r="E1641" s="77">
        <f>IFERROR(__xludf.DUMMYFUNCTION("""COMPUTED_VALUE"""),1.0)</f>
        <v>1</v>
      </c>
      <c r="F1641" s="77">
        <f>IFERROR(__xludf.DUMMYFUNCTION("""COMPUTED_VALUE"""),1926.0)</f>
        <v>1926</v>
      </c>
      <c r="G1641" s="77">
        <f>IFERROR(__xludf.DUMMYFUNCTION("""COMPUTED_VALUE"""),18.0)</f>
        <v>18</v>
      </c>
      <c r="H1641" s="77">
        <f>IFERROR(__xludf.DUMMYFUNCTION("""COMPUTED_VALUE"""),25.0)</f>
        <v>25</v>
      </c>
      <c r="I1641" s="77">
        <f>IFERROR(__xludf.DUMMYFUNCTION("""COMPUTED_VALUE"""),100.0)</f>
        <v>100</v>
      </c>
      <c r="J1641" s="73"/>
      <c r="K1641" s="73"/>
      <c r="L1641" s="73"/>
      <c r="M1641" s="77"/>
      <c r="N1641" s="77">
        <f>IFERROR(__xludf.DUMMYFUNCTION("""COMPUTED_VALUE"""),1.0)</f>
        <v>1</v>
      </c>
      <c r="O1641" s="49"/>
      <c r="P1641" s="49" t="str">
        <f>IFERROR(__xludf.DUMMYFUNCTION("""COMPUTED_VALUE"""),"Offset")</f>
        <v>Offset</v>
      </c>
      <c r="Q1641" s="49" t="str">
        <f>IFERROR(__xludf.DUMMYFUNCTION("""COMPUTED_VALUE"""),"Packaging")</f>
        <v>Packaging</v>
      </c>
      <c r="R1641" s="49" t="str">
        <f>IFERROR(__xludf.DUMMYFUNCTION("""COMPUTED_VALUE"""),"Meethai &amp; Cake")</f>
        <v>Meethai &amp; Cake</v>
      </c>
    </row>
    <row r="1642">
      <c r="A1642" s="156" t="str">
        <f>IFERROR(__xludf.DUMMYFUNCTION("""COMPUTED_VALUE"""),"https://drive.google.com/open?id=12X1-4HHc90n4Y4DUJcw46rq8zsiynzxJ&amp;authuser=jay.agg%40gmail.com&amp;usp=drive_fs")</f>
        <v>https://drive.google.com/open?id=12X1-4HHc90n4Y4DUJcw46rq8zsiynzxJ&amp;authuser=jay.agg%40gmail.com&amp;usp=drive_fs</v>
      </c>
      <c r="B1642" s="73" t="str">
        <f>IFERROR(__xludf.DUMMYFUNCTION("""COMPUTED_VALUE"""),"Meethai &amp; Cake")</f>
        <v>Meethai &amp; Cake</v>
      </c>
      <c r="C1642" s="73" t="str">
        <f>IFERROR(__xludf.DUMMYFUNCTION("""COMPUTED_VALUE"""),"Meethai 1kg")</f>
        <v>Meethai 1kg</v>
      </c>
      <c r="D1642" s="73" t="str">
        <f>IFERROR(__xludf.DUMMYFUNCTION("""COMPUTED_VALUE"""),"Set Duplex 270*185*38 mm | 10.6*7.3*1.5 inch")</f>
        <v>Set Duplex 270*185*38 mm | 10.6*7.3*1.5 inch</v>
      </c>
      <c r="E1642" s="77">
        <f>IFERROR(__xludf.DUMMYFUNCTION("""COMPUTED_VALUE"""),1.0)</f>
        <v>1</v>
      </c>
      <c r="F1642" s="77">
        <f>IFERROR(__xludf.DUMMYFUNCTION("""COMPUTED_VALUE"""),1926.0)</f>
        <v>1926</v>
      </c>
      <c r="G1642" s="77">
        <f>IFERROR(__xludf.DUMMYFUNCTION("""COMPUTED_VALUE"""),20.0)</f>
        <v>20</v>
      </c>
      <c r="H1642" s="77">
        <f>IFERROR(__xludf.DUMMYFUNCTION("""COMPUTED_VALUE"""),28.0)</f>
        <v>28</v>
      </c>
      <c r="I1642" s="77">
        <f>IFERROR(__xludf.DUMMYFUNCTION("""COMPUTED_VALUE"""),100.0)</f>
        <v>100</v>
      </c>
      <c r="J1642" s="73"/>
      <c r="K1642" s="73"/>
      <c r="L1642" s="73"/>
      <c r="M1642" s="77"/>
      <c r="N1642" s="77">
        <f>IFERROR(__xludf.DUMMYFUNCTION("""COMPUTED_VALUE"""),1.0)</f>
        <v>1</v>
      </c>
      <c r="O1642" s="49"/>
      <c r="P1642" s="49" t="str">
        <f>IFERROR(__xludf.DUMMYFUNCTION("""COMPUTED_VALUE"""),"Offset")</f>
        <v>Offset</v>
      </c>
      <c r="Q1642" s="49" t="str">
        <f>IFERROR(__xludf.DUMMYFUNCTION("""COMPUTED_VALUE"""),"Packaging")</f>
        <v>Packaging</v>
      </c>
      <c r="R1642" s="49" t="str">
        <f>IFERROR(__xludf.DUMMYFUNCTION("""COMPUTED_VALUE"""),"Meethai &amp; Cake")</f>
        <v>Meethai &amp; Cake</v>
      </c>
    </row>
    <row r="1643">
      <c r="A1643" s="156" t="str">
        <f>IFERROR(__xludf.DUMMYFUNCTION("""COMPUTED_VALUE"""),"https://drive.google.com/open?id=12Z9WTfJtpICN7QjT-Lc5Q_jEasc_ZNeR&amp;authuser=jay.agg%40gmail.com&amp;usp=drive_fs")</f>
        <v>https://drive.google.com/open?id=12Z9WTfJtpICN7QjT-Lc5Q_jEasc_ZNeR&amp;authuser=jay.agg%40gmail.com&amp;usp=drive_fs</v>
      </c>
      <c r="B1643" s="73" t="str">
        <f>IFERROR(__xludf.DUMMYFUNCTION("""COMPUTED_VALUE"""),"Meethai &amp; Cake")</f>
        <v>Meethai &amp; Cake</v>
      </c>
      <c r="C1643" s="73" t="str">
        <f>IFERROR(__xludf.DUMMYFUNCTION("""COMPUTED_VALUE"""),"Meethai 1kg")</f>
        <v>Meethai 1kg</v>
      </c>
      <c r="D1643" s="73" t="str">
        <f>IFERROR(__xludf.DUMMYFUNCTION("""COMPUTED_VALUE"""),"Tray 270*185*38 mm | 10.6*7.3*1.5 inch")</f>
        <v>Tray 270*185*38 mm | 10.6*7.3*1.5 inch</v>
      </c>
      <c r="E1643" s="77">
        <f>IFERROR(__xludf.DUMMYFUNCTION("""COMPUTED_VALUE"""),2.0)</f>
        <v>2</v>
      </c>
      <c r="F1643" s="77">
        <f>IFERROR(__xludf.DUMMYFUNCTION("""COMPUTED_VALUE"""),1926.0)</f>
        <v>1926</v>
      </c>
      <c r="G1643" s="77">
        <f>IFERROR(__xludf.DUMMYFUNCTION("""COMPUTED_VALUE"""),18.0)</f>
        <v>18</v>
      </c>
      <c r="H1643" s="77">
        <f>IFERROR(__xludf.DUMMYFUNCTION("""COMPUTED_VALUE"""),25.0)</f>
        <v>25</v>
      </c>
      <c r="I1643" s="77">
        <f>IFERROR(__xludf.DUMMYFUNCTION("""COMPUTED_VALUE"""),100.0)</f>
        <v>100</v>
      </c>
      <c r="J1643" s="73"/>
      <c r="K1643" s="73"/>
      <c r="L1643" s="73"/>
      <c r="M1643" s="77"/>
      <c r="N1643" s="77">
        <f>IFERROR(__xludf.DUMMYFUNCTION("""COMPUTED_VALUE"""),1.0)</f>
        <v>1</v>
      </c>
      <c r="O1643" s="49"/>
      <c r="P1643" s="49" t="str">
        <f>IFERROR(__xludf.DUMMYFUNCTION("""COMPUTED_VALUE"""),"Offset")</f>
        <v>Offset</v>
      </c>
      <c r="Q1643" s="49" t="str">
        <f>IFERROR(__xludf.DUMMYFUNCTION("""COMPUTED_VALUE"""),"Packaging")</f>
        <v>Packaging</v>
      </c>
      <c r="R1643" s="49" t="str">
        <f>IFERROR(__xludf.DUMMYFUNCTION("""COMPUTED_VALUE"""),"Meethai &amp; Cake")</f>
        <v>Meethai &amp; Cake</v>
      </c>
    </row>
    <row r="1644">
      <c r="A1644" s="156" t="str">
        <f>IFERROR(__xludf.DUMMYFUNCTION("""COMPUTED_VALUE"""),"https://drive.google.com/open?id=12M_o2tHcL9u78ycjP18fnvEewrEBpr3u&amp;authuser=jay.agg%40gmail.com&amp;usp=drive_fs")</f>
        <v>https://drive.google.com/open?id=12M_o2tHcL9u78ycjP18fnvEewrEBpr3u&amp;authuser=jay.agg%40gmail.com&amp;usp=drive_fs</v>
      </c>
      <c r="B1644" s="73" t="str">
        <f>IFERROR(__xludf.DUMMYFUNCTION("""COMPUTED_VALUE"""),"Meethai &amp; Cake")</f>
        <v>Meethai &amp; Cake</v>
      </c>
      <c r="C1644" s="73" t="str">
        <f>IFERROR(__xludf.DUMMYFUNCTION("""COMPUTED_VALUE"""),"Meethai 500g")</f>
        <v>Meethai 500g</v>
      </c>
      <c r="D1644" s="73" t="str">
        <f>IFERROR(__xludf.DUMMYFUNCTION("""COMPUTED_VALUE"""),"Set 190*140*38 mm | 7.5*5.5*1.5 inch | 22*9")</f>
        <v>Set 190*140*38 mm | 7.5*5.5*1.5 inch | 22*9</v>
      </c>
      <c r="E1644" s="77">
        <f>IFERROR(__xludf.DUMMYFUNCTION("""COMPUTED_VALUE"""),1.0)</f>
        <v>1</v>
      </c>
      <c r="F1644" s="77">
        <f>IFERROR(__xludf.DUMMYFUNCTION("""COMPUTED_VALUE"""),1926.0)</f>
        <v>1926</v>
      </c>
      <c r="G1644" s="77">
        <f>IFERROR(__xludf.DUMMYFUNCTION("""COMPUTED_VALUE"""),13.0)</f>
        <v>13</v>
      </c>
      <c r="H1644" s="77">
        <f>IFERROR(__xludf.DUMMYFUNCTION("""COMPUTED_VALUE"""),23.0)</f>
        <v>23</v>
      </c>
      <c r="I1644" s="77">
        <f>IFERROR(__xludf.DUMMYFUNCTION("""COMPUTED_VALUE"""),100.0)</f>
        <v>100</v>
      </c>
      <c r="J1644" s="73"/>
      <c r="K1644" s="73"/>
      <c r="L1644" s="73"/>
      <c r="M1644" s="77"/>
      <c r="N1644" s="77">
        <f>IFERROR(__xludf.DUMMYFUNCTION("""COMPUTED_VALUE"""),1.0)</f>
        <v>1</v>
      </c>
      <c r="O1644" s="49"/>
      <c r="P1644" s="49" t="str">
        <f>IFERROR(__xludf.DUMMYFUNCTION("""COMPUTED_VALUE"""),"Offset")</f>
        <v>Offset</v>
      </c>
      <c r="Q1644" s="49" t="str">
        <f>IFERROR(__xludf.DUMMYFUNCTION("""COMPUTED_VALUE"""),"Packaging")</f>
        <v>Packaging</v>
      </c>
      <c r="R1644" s="49" t="str">
        <f>IFERROR(__xludf.DUMMYFUNCTION("""COMPUTED_VALUE"""),"Meethai &amp; Cake")</f>
        <v>Meethai &amp; Cake</v>
      </c>
    </row>
    <row r="1645">
      <c r="A1645" s="156" t="str">
        <f>IFERROR(__xludf.DUMMYFUNCTION("""COMPUTED_VALUE"""),"https://drive.google.com/open?id=12NXhdgqIscOowfzDgX-pOrdj7P-Ggldn&amp;authuser=jay.agg%40gmail.com&amp;usp=drive_fs")</f>
        <v>https://drive.google.com/open?id=12NXhdgqIscOowfzDgX-pOrdj7P-Ggldn&amp;authuser=jay.agg%40gmail.com&amp;usp=drive_fs</v>
      </c>
      <c r="B1645" s="73" t="str">
        <f>IFERROR(__xludf.DUMMYFUNCTION("""COMPUTED_VALUE"""),"Meethai &amp; Cake")</f>
        <v>Meethai &amp; Cake</v>
      </c>
      <c r="C1645" s="73" t="str">
        <f>IFERROR(__xludf.DUMMYFUNCTION("""COMPUTED_VALUE"""),"Meethai 500g")</f>
        <v>Meethai 500g</v>
      </c>
      <c r="D1645" s="73" t="str">
        <f>IFERROR(__xludf.DUMMYFUNCTION("""COMPUTED_VALUE"""),"Set Duplex 190*140*38 mm | 7.5*5.5*1.5 inch | 22*9")</f>
        <v>Set Duplex 190*140*38 mm | 7.5*5.5*1.5 inch | 22*9</v>
      </c>
      <c r="E1645" s="77">
        <f>IFERROR(__xludf.DUMMYFUNCTION("""COMPUTED_VALUE"""),1.0)</f>
        <v>1</v>
      </c>
      <c r="F1645" s="77">
        <f>IFERROR(__xludf.DUMMYFUNCTION("""COMPUTED_VALUE"""),1926.0)</f>
        <v>1926</v>
      </c>
      <c r="G1645" s="77">
        <f>IFERROR(__xludf.DUMMYFUNCTION("""COMPUTED_VALUE"""),15.0)</f>
        <v>15</v>
      </c>
      <c r="H1645" s="77">
        <f>IFERROR(__xludf.DUMMYFUNCTION("""COMPUTED_VALUE"""),25.0)</f>
        <v>25</v>
      </c>
      <c r="I1645" s="77">
        <f>IFERROR(__xludf.DUMMYFUNCTION("""COMPUTED_VALUE"""),100.0)</f>
        <v>100</v>
      </c>
      <c r="J1645" s="73"/>
      <c r="K1645" s="73"/>
      <c r="L1645" s="73"/>
      <c r="M1645" s="77"/>
      <c r="N1645" s="77">
        <f>IFERROR(__xludf.DUMMYFUNCTION("""COMPUTED_VALUE"""),1.0)</f>
        <v>1</v>
      </c>
      <c r="O1645" s="49"/>
      <c r="P1645" s="49" t="str">
        <f>IFERROR(__xludf.DUMMYFUNCTION("""COMPUTED_VALUE"""),"Offset")</f>
        <v>Offset</v>
      </c>
      <c r="Q1645" s="49" t="str">
        <f>IFERROR(__xludf.DUMMYFUNCTION("""COMPUTED_VALUE"""),"Packaging")</f>
        <v>Packaging</v>
      </c>
      <c r="R1645" s="49" t="str">
        <f>IFERROR(__xludf.DUMMYFUNCTION("""COMPUTED_VALUE"""),"Meethai &amp; Cake")</f>
        <v>Meethai &amp; Cake</v>
      </c>
    </row>
    <row r="1646">
      <c r="A1646" s="156" t="str">
        <f>IFERROR(__xludf.DUMMYFUNCTION("""COMPUTED_VALUE"""),"https://drive.google.com/open?id=12SEFI3JINJF50-12PjJKbVvY8MIqG9vo&amp;authuser=jay.agg%40gmail.com&amp;usp=drive_fs")</f>
        <v>https://drive.google.com/open?id=12SEFI3JINJF50-12PjJKbVvY8MIqG9vo&amp;authuser=jay.agg%40gmail.com&amp;usp=drive_fs</v>
      </c>
      <c r="B1646" s="73" t="str">
        <f>IFERROR(__xludf.DUMMYFUNCTION("""COMPUTED_VALUE"""),"Meethai &amp; Cake")</f>
        <v>Meethai &amp; Cake</v>
      </c>
      <c r="C1646" s="73" t="str">
        <f>IFERROR(__xludf.DUMMYFUNCTION("""COMPUTED_VALUE"""),"Meethai 500g")</f>
        <v>Meethai 500g</v>
      </c>
      <c r="D1646" s="73" t="str">
        <f>IFERROR(__xludf.DUMMYFUNCTION("""COMPUTED_VALUE"""),"Tray 190*140*38 mm | 7.5*5.5*1.5 inch ")</f>
        <v>Tray 190*140*38 mm | 7.5*5.5*1.5 inch </v>
      </c>
      <c r="E1646" s="77">
        <f>IFERROR(__xludf.DUMMYFUNCTION("""COMPUTED_VALUE"""),2.0)</f>
        <v>2</v>
      </c>
      <c r="F1646" s="77">
        <f>IFERROR(__xludf.DUMMYFUNCTION("""COMPUTED_VALUE"""),1926.0)</f>
        <v>1926</v>
      </c>
      <c r="G1646" s="77">
        <f>IFERROR(__xludf.DUMMYFUNCTION("""COMPUTED_VALUE"""),14.0)</f>
        <v>14</v>
      </c>
      <c r="H1646" s="77">
        <f>IFERROR(__xludf.DUMMYFUNCTION("""COMPUTED_VALUE"""),22.0)</f>
        <v>22</v>
      </c>
      <c r="I1646" s="77">
        <f>IFERROR(__xludf.DUMMYFUNCTION("""COMPUTED_VALUE"""),100.0)</f>
        <v>100</v>
      </c>
      <c r="J1646" s="73"/>
      <c r="K1646" s="73"/>
      <c r="L1646" s="73"/>
      <c r="M1646" s="77"/>
      <c r="N1646" s="77">
        <f>IFERROR(__xludf.DUMMYFUNCTION("""COMPUTED_VALUE"""),1.0)</f>
        <v>1</v>
      </c>
      <c r="O1646" s="49"/>
      <c r="P1646" s="49" t="str">
        <f>IFERROR(__xludf.DUMMYFUNCTION("""COMPUTED_VALUE"""),"Offset")</f>
        <v>Offset</v>
      </c>
      <c r="Q1646" s="49" t="str">
        <f>IFERROR(__xludf.DUMMYFUNCTION("""COMPUTED_VALUE"""),"Packaging")</f>
        <v>Packaging</v>
      </c>
      <c r="R1646" s="49" t="str">
        <f>IFERROR(__xludf.DUMMYFUNCTION("""COMPUTED_VALUE"""),"Meethai &amp; Cake")</f>
        <v>Meethai &amp; Cake</v>
      </c>
    </row>
    <row r="1647">
      <c r="A1647" s="156" t="str">
        <f>IFERROR(__xludf.DUMMYFUNCTION("""COMPUTED_VALUE"""),"https://drive.google.com/open?id=1HA0WKRmSK1wuyXBxyFPxDzSBE0WDh8UE&amp;authuser=jay.agg%40gmail.com&amp;usp=drive_fs")</f>
        <v>https://drive.google.com/open?id=1HA0WKRmSK1wuyXBxyFPxDzSBE0WDh8UE&amp;authuser=jay.agg%40gmail.com&amp;usp=drive_fs</v>
      </c>
      <c r="B1647" s="73" t="str">
        <f>IFERROR(__xludf.DUMMYFUNCTION("""COMPUTED_VALUE"""),"Meethai &amp; Cake")</f>
        <v>Meethai &amp; Cake</v>
      </c>
      <c r="C1647" s="73" t="str">
        <f>IFERROR(__xludf.DUMMYFUNCTION("""COMPUTED_VALUE"""),"Ladoo")</f>
        <v>Ladoo</v>
      </c>
      <c r="D1647" s="73" t="str">
        <f>IFERROR(__xludf.DUMMYFUNCTION("""COMPUTED_VALUE"""),"215*160*50 mm | 6.2*2*8.5 inch")</f>
        <v>215*160*50 mm | 6.2*2*8.5 inch</v>
      </c>
      <c r="E1647" s="77">
        <f>IFERROR(__xludf.DUMMYFUNCTION("""COMPUTED_VALUE"""),2.0)</f>
        <v>2</v>
      </c>
      <c r="F1647" s="77">
        <f>IFERROR(__xludf.DUMMYFUNCTION("""COMPUTED_VALUE"""),1926.0)</f>
        <v>1926</v>
      </c>
      <c r="G1647" s="77">
        <f>IFERROR(__xludf.DUMMYFUNCTION("""COMPUTED_VALUE"""),18.0)</f>
        <v>18</v>
      </c>
      <c r="H1647" s="77">
        <f>IFERROR(__xludf.DUMMYFUNCTION("""COMPUTED_VALUE"""),25.0)</f>
        <v>25</v>
      </c>
      <c r="I1647" s="77">
        <f>IFERROR(__xludf.DUMMYFUNCTION("""COMPUTED_VALUE"""),100.0)</f>
        <v>100</v>
      </c>
      <c r="J1647" s="73"/>
      <c r="K1647" s="73"/>
      <c r="L1647" s="73"/>
      <c r="M1647" s="77">
        <f>IFERROR(__xludf.DUMMYFUNCTION("""COMPUTED_VALUE"""),0.1)</f>
        <v>0.1</v>
      </c>
      <c r="N1647" s="77">
        <f>IFERROR(__xludf.DUMMYFUNCTION("""COMPUTED_VALUE"""),1.0)</f>
        <v>1</v>
      </c>
      <c r="O1647" s="49"/>
      <c r="P1647" s="49" t="str">
        <f>IFERROR(__xludf.DUMMYFUNCTION("""COMPUTED_VALUE"""),"Offset")</f>
        <v>Offset</v>
      </c>
      <c r="Q1647" s="49" t="str">
        <f>IFERROR(__xludf.DUMMYFUNCTION("""COMPUTED_VALUE"""),"Packaging")</f>
        <v>Packaging</v>
      </c>
      <c r="R1647" s="49" t="str">
        <f>IFERROR(__xludf.DUMMYFUNCTION("""COMPUTED_VALUE"""),"Meethai &amp; Cake")</f>
        <v>Meethai &amp; Cake</v>
      </c>
    </row>
    <row r="1648">
      <c r="A1648" s="156" t="str">
        <f>IFERROR(__xludf.DUMMYFUNCTION("""COMPUTED_VALUE"""),"https://drive.google.com/open?id=1TYdzw2MbUlaBN9NhTpeMkoUrPbyqfpD_&amp;authuser=jay.agg%40gmail.com&amp;usp=drive_fs")</f>
        <v>https://drive.google.com/open?id=1TYdzw2MbUlaBN9NhTpeMkoUrPbyqfpD_&amp;authuser=jay.agg%40gmail.com&amp;usp=drive_fs</v>
      </c>
      <c r="B1648" s="73" t="str">
        <f>IFERROR(__xludf.DUMMYFUNCTION("""COMPUTED_VALUE"""),"Meethai &amp; Cake")</f>
        <v>Meethai &amp; Cake</v>
      </c>
      <c r="C1648" s="73" t="str">
        <f>IFERROR(__xludf.DUMMYFUNCTION("""COMPUTED_VALUE"""),"Meethai 250g")</f>
        <v>Meethai 250g</v>
      </c>
      <c r="D1648" s="73" t="str">
        <f>IFERROR(__xludf.DUMMYFUNCTION("""COMPUTED_VALUE"""),"165*120*45 mm | 6.5*4.7*1.8 inch")</f>
        <v>165*120*45 mm | 6.5*4.7*1.8 inch</v>
      </c>
      <c r="E1648" s="77">
        <f>IFERROR(__xludf.DUMMYFUNCTION("""COMPUTED_VALUE"""),2.0)</f>
        <v>2</v>
      </c>
      <c r="F1648" s="77">
        <f>IFERROR(__xludf.DUMMYFUNCTION("""COMPUTED_VALUE"""),1926.0)</f>
        <v>1926</v>
      </c>
      <c r="G1648" s="77">
        <f>IFERROR(__xludf.DUMMYFUNCTION("""COMPUTED_VALUE"""),14.0)</f>
        <v>14</v>
      </c>
      <c r="H1648" s="77">
        <f>IFERROR(__xludf.DUMMYFUNCTION("""COMPUTED_VALUE"""),22.0)</f>
        <v>22</v>
      </c>
      <c r="I1648" s="77">
        <f>IFERROR(__xludf.DUMMYFUNCTION("""COMPUTED_VALUE"""),100.0)</f>
        <v>100</v>
      </c>
      <c r="J1648" s="73"/>
      <c r="K1648" s="73"/>
      <c r="L1648" s="73"/>
      <c r="M1648" s="77"/>
      <c r="N1648" s="77">
        <f>IFERROR(__xludf.DUMMYFUNCTION("""COMPUTED_VALUE"""),1.0)</f>
        <v>1</v>
      </c>
      <c r="O1648" s="49"/>
      <c r="P1648" s="49" t="str">
        <f>IFERROR(__xludf.DUMMYFUNCTION("""COMPUTED_VALUE"""),"Offset")</f>
        <v>Offset</v>
      </c>
      <c r="Q1648" s="49" t="str">
        <f>IFERROR(__xludf.DUMMYFUNCTION("""COMPUTED_VALUE"""),"Packaging")</f>
        <v>Packaging</v>
      </c>
      <c r="R1648" s="49" t="str">
        <f>IFERROR(__xludf.DUMMYFUNCTION("""COMPUTED_VALUE"""),"Meethai &amp; Cake")</f>
        <v>Meethai &amp; Cake</v>
      </c>
    </row>
    <row r="1649">
      <c r="A1649" s="156" t="str">
        <f>IFERROR(__xludf.DUMMYFUNCTION("""COMPUTED_VALUE"""),"https://drive.google.com/open?id=19REsjbpwHHbbWr61hOoLE3q9oalpUrrz&amp;usp=drive_fs")</f>
        <v>https://drive.google.com/open?id=19REsjbpwHHbbWr61hOoLE3q9oalpUrrz&amp;usp=drive_fs</v>
      </c>
      <c r="B1649" s="73" t="str">
        <f>IFERROR(__xludf.DUMMYFUNCTION("""COMPUTED_VALUE"""),"Meethai &amp; Cake")</f>
        <v>Meethai &amp; Cake</v>
      </c>
      <c r="C1649" s="73" t="str">
        <f>IFERROR(__xludf.DUMMYFUNCTION("""COMPUTED_VALUE"""),"Meethai 500g")</f>
        <v>Meethai 500g</v>
      </c>
      <c r="D1649" s="73" t="str">
        <f>IFERROR(__xludf.DUMMYFUNCTION("""COMPUTED_VALUE"""),"200*150*35 mm | 7.8*5.9*1.4 inch | 22*18")</f>
        <v>200*150*35 mm | 7.8*5.9*1.4 inch | 22*18</v>
      </c>
      <c r="E1649" s="77">
        <f>IFERROR(__xludf.DUMMYFUNCTION("""COMPUTED_VALUE"""),2.0)</f>
        <v>2</v>
      </c>
      <c r="F1649" s="77">
        <f>IFERROR(__xludf.DUMMYFUNCTION("""COMPUTED_VALUE"""),1926.0)</f>
        <v>1926</v>
      </c>
      <c r="G1649" s="77">
        <f>IFERROR(__xludf.DUMMYFUNCTION("""COMPUTED_VALUE"""),18.0)</f>
        <v>18</v>
      </c>
      <c r="H1649" s="77">
        <f>IFERROR(__xludf.DUMMYFUNCTION("""COMPUTED_VALUE"""),23.0)</f>
        <v>23</v>
      </c>
      <c r="I1649" s="77">
        <f>IFERROR(__xludf.DUMMYFUNCTION("""COMPUTED_VALUE"""),100.0)</f>
        <v>100</v>
      </c>
      <c r="J1649" s="73"/>
      <c r="K1649" s="73"/>
      <c r="L1649" s="73"/>
      <c r="M1649" s="77"/>
      <c r="N1649" s="77">
        <f>IFERROR(__xludf.DUMMYFUNCTION("""COMPUTED_VALUE"""),1.0)</f>
        <v>1</v>
      </c>
      <c r="O1649" s="49"/>
      <c r="P1649" s="49" t="str">
        <f>IFERROR(__xludf.DUMMYFUNCTION("""COMPUTED_VALUE"""),"Offset")</f>
        <v>Offset</v>
      </c>
      <c r="Q1649" s="49" t="str">
        <f>IFERROR(__xludf.DUMMYFUNCTION("""COMPUTED_VALUE"""),"Packaging")</f>
        <v>Packaging</v>
      </c>
      <c r="R1649" s="49" t="str">
        <f>IFERROR(__xludf.DUMMYFUNCTION("""COMPUTED_VALUE"""),"Meethai &amp; Cake")</f>
        <v>Meethai &amp; Cake</v>
      </c>
    </row>
    <row r="1650">
      <c r="A1650" s="156" t="str">
        <f>IFERROR(__xludf.DUMMYFUNCTION("""COMPUTED_VALUE"""),"https://drive.google.com/open?id=19Ro-MrmGOlF00pk4bKh7143k87xL9oT2&amp;usp=drive_fs")</f>
        <v>https://drive.google.com/open?id=19Ro-MrmGOlF00pk4bKh7143k87xL9oT2&amp;usp=drive_fs</v>
      </c>
      <c r="B1650" s="73" t="str">
        <f>IFERROR(__xludf.DUMMYFUNCTION("""COMPUTED_VALUE"""),"Meethai &amp; Cake")</f>
        <v>Meethai &amp; Cake</v>
      </c>
      <c r="C1650" s="73" t="str">
        <f>IFERROR(__xludf.DUMMYFUNCTION("""COMPUTED_VALUE"""),"Meethai 500g")</f>
        <v>Meethai 500g</v>
      </c>
      <c r="D1650" s="73" t="str">
        <f>IFERROR(__xludf.DUMMYFUNCTION("""COMPUTED_VALUE"""),"Tray 200*150*35 mm | 7.8*5.9*1.4 inch")</f>
        <v>Tray 200*150*35 mm | 7.8*5.9*1.4 inch</v>
      </c>
      <c r="E1650" s="77">
        <f>IFERROR(__xludf.DUMMYFUNCTION("""COMPUTED_VALUE"""),2.0)</f>
        <v>2</v>
      </c>
      <c r="F1650" s="77">
        <f>IFERROR(__xludf.DUMMYFUNCTION("""COMPUTED_VALUE"""),1926.0)</f>
        <v>1926</v>
      </c>
      <c r="G1650" s="77">
        <f>IFERROR(__xludf.DUMMYFUNCTION("""COMPUTED_VALUE"""),18.0)</f>
        <v>18</v>
      </c>
      <c r="H1650" s="77">
        <f>IFERROR(__xludf.DUMMYFUNCTION("""COMPUTED_VALUE"""),23.0)</f>
        <v>23</v>
      </c>
      <c r="I1650" s="77">
        <f>IFERROR(__xludf.DUMMYFUNCTION("""COMPUTED_VALUE"""),100.0)</f>
        <v>100</v>
      </c>
      <c r="J1650" s="73"/>
      <c r="K1650" s="73"/>
      <c r="L1650" s="73"/>
      <c r="M1650" s="77"/>
      <c r="N1650" s="77">
        <f>IFERROR(__xludf.DUMMYFUNCTION("""COMPUTED_VALUE"""),1.0)</f>
        <v>1</v>
      </c>
      <c r="O1650" s="49"/>
      <c r="P1650" s="49" t="str">
        <f>IFERROR(__xludf.DUMMYFUNCTION("""COMPUTED_VALUE"""),"Offset")</f>
        <v>Offset</v>
      </c>
      <c r="Q1650" s="49" t="str">
        <f>IFERROR(__xludf.DUMMYFUNCTION("""COMPUTED_VALUE"""),"Packaging")</f>
        <v>Packaging</v>
      </c>
      <c r="R1650" s="49" t="str">
        <f>IFERROR(__xludf.DUMMYFUNCTION("""COMPUTED_VALUE"""),"Meethai &amp; Cake")</f>
        <v>Meethai &amp; Cake</v>
      </c>
    </row>
    <row r="1651">
      <c r="A1651" s="156" t="str">
        <f>IFERROR(__xludf.DUMMYFUNCTION("""COMPUTED_VALUE"""),"https://drive.google.com/open?id=1cK0uID3ln6MzbsDMnvg6z3rcLgNwCSpi&amp;usp=drive_fs")</f>
        <v>https://drive.google.com/open?id=1cK0uID3ln6MzbsDMnvg6z3rcLgNwCSpi&amp;usp=drive_fs</v>
      </c>
      <c r="B1651" s="73" t="str">
        <f>IFERROR(__xludf.DUMMYFUNCTION("""COMPUTED_VALUE"""),"Meethai &amp; Cake")</f>
        <v>Meethai &amp; Cake</v>
      </c>
      <c r="C1651" s="73" t="str">
        <f>IFERROR(__xludf.DUMMYFUNCTION("""COMPUTED_VALUE"""),"Waffle")</f>
        <v>Waffle</v>
      </c>
      <c r="D1651" s="73" t="str">
        <f>IFERROR(__xludf.DUMMYFUNCTION("""COMPUTED_VALUE"""),"203*203*38 mm | 8*8*1.5 inch")</f>
        <v>203*203*38 mm | 8*8*1.5 inch</v>
      </c>
      <c r="E1651" s="77">
        <f>IFERROR(__xludf.DUMMYFUNCTION("""COMPUTED_VALUE"""),1.0)</f>
        <v>1</v>
      </c>
      <c r="F1651" s="77">
        <f>IFERROR(__xludf.DUMMYFUNCTION("""COMPUTED_VALUE"""),1926.0)</f>
        <v>1926</v>
      </c>
      <c r="G1651" s="77">
        <f>IFERROR(__xludf.DUMMYFUNCTION("""COMPUTED_VALUE"""),12.0)</f>
        <v>12</v>
      </c>
      <c r="H1651" s="77">
        <f>IFERROR(__xludf.DUMMYFUNCTION("""COMPUTED_VALUE"""),23.0)</f>
        <v>23</v>
      </c>
      <c r="I1651" s="77">
        <f>IFERROR(__xludf.DUMMYFUNCTION("""COMPUTED_VALUE"""),100.0)</f>
        <v>100</v>
      </c>
      <c r="J1651" s="73"/>
      <c r="K1651" s="73"/>
      <c r="L1651" s="73"/>
      <c r="M1651" s="77"/>
      <c r="N1651" s="77">
        <f>IFERROR(__xludf.DUMMYFUNCTION("""COMPUTED_VALUE"""),1.0)</f>
        <v>1</v>
      </c>
      <c r="O1651" s="49"/>
      <c r="P1651" s="49" t="str">
        <f>IFERROR(__xludf.DUMMYFUNCTION("""COMPUTED_VALUE"""),"Offset")</f>
        <v>Offset</v>
      </c>
      <c r="Q1651" s="49" t="str">
        <f>IFERROR(__xludf.DUMMYFUNCTION("""COMPUTED_VALUE"""),"Packaging")</f>
        <v>Packaging</v>
      </c>
      <c r="R1651" s="49" t="str">
        <f>IFERROR(__xludf.DUMMYFUNCTION("""COMPUTED_VALUE"""),"Meethai &amp; Cake")</f>
        <v>Meethai &amp; Cake</v>
      </c>
    </row>
    <row r="1652">
      <c r="A1652" s="156" t="str">
        <f>IFERROR(__xludf.DUMMYFUNCTION("""COMPUTED_VALUE"""),"https://drive.google.com/open?id=1aEbfzdVAWkzUK5jGIeD455ew2wlnIBwd&amp;authuser=jay.agg%40gmail.com&amp;usp=drive_fs")</f>
        <v>https://drive.google.com/open?id=1aEbfzdVAWkzUK5jGIeD455ew2wlnIBwd&amp;authuser=jay.agg%40gmail.com&amp;usp=drive_fs</v>
      </c>
      <c r="B1652" s="73" t="str">
        <f>IFERROR(__xludf.DUMMYFUNCTION("""COMPUTED_VALUE"""),"Misc")</f>
        <v>Misc</v>
      </c>
      <c r="C1652" s="73" t="str">
        <f>IFERROR(__xludf.DUMMYFUNCTION("""COMPUTED_VALUE"""),"Misc")</f>
        <v>Misc</v>
      </c>
      <c r="D1652" s="73" t="str">
        <f>IFERROR(__xludf.DUMMYFUNCTION("""COMPUTED_VALUE"""),"20*60*55 mm")</f>
        <v>20*60*55 mm</v>
      </c>
      <c r="E1652" s="77">
        <f>IFERROR(__xludf.DUMMYFUNCTION("""COMPUTED_VALUE"""),15.0)</f>
        <v>15</v>
      </c>
      <c r="F1652" s="77">
        <f>IFERROR(__xludf.DUMMYFUNCTION("""COMPUTED_VALUE"""),1926.0)</f>
        <v>1926</v>
      </c>
      <c r="G1652" s="77">
        <f>IFERROR(__xludf.DUMMYFUNCTION("""COMPUTED_VALUE"""),20.0)</f>
        <v>20</v>
      </c>
      <c r="H1652" s="77">
        <f>IFERROR(__xludf.DUMMYFUNCTION("""COMPUTED_VALUE"""),21.0)</f>
        <v>21</v>
      </c>
      <c r="I1652" s="77">
        <f>IFERROR(__xludf.DUMMYFUNCTION("""COMPUTED_VALUE"""),100.0)</f>
        <v>100</v>
      </c>
      <c r="J1652" s="73"/>
      <c r="K1652" s="73"/>
      <c r="L1652" s="73"/>
      <c r="M1652" s="77">
        <f>IFERROR(__xludf.DUMMYFUNCTION("""COMPUTED_VALUE"""),0.1)</f>
        <v>0.1</v>
      </c>
      <c r="N1652" s="77">
        <f>IFERROR(__xludf.DUMMYFUNCTION("""COMPUTED_VALUE"""),1.0)</f>
        <v>1</v>
      </c>
      <c r="O1652" s="49"/>
      <c r="P1652" s="49" t="str">
        <f>IFERROR(__xludf.DUMMYFUNCTION("""COMPUTED_VALUE"""),"Offset")</f>
        <v>Offset</v>
      </c>
      <c r="Q1652" s="49" t="str">
        <f>IFERROR(__xludf.DUMMYFUNCTION("""COMPUTED_VALUE"""),"Packaging")</f>
        <v>Packaging</v>
      </c>
      <c r="R1652" s="49" t="str">
        <f>IFERROR(__xludf.DUMMYFUNCTION("""COMPUTED_VALUE"""),"Misc")</f>
        <v>Misc</v>
      </c>
    </row>
    <row r="1653">
      <c r="A1653" s="156" t="str">
        <f>IFERROR(__xludf.DUMMYFUNCTION("""COMPUTED_VALUE"""),"https://drive.google.com/open?id=1aFdFJDvyL0DVq5FrlK3q-1P8AlKdwvsX&amp;authuser=jay.agg%40gmail.com&amp;usp=drive_fs")</f>
        <v>https://drive.google.com/open?id=1aFdFJDvyL0DVq5FrlK3q-1P8AlKdwvsX&amp;authuser=jay.agg%40gmail.com&amp;usp=drive_fs</v>
      </c>
      <c r="B1653" s="73" t="str">
        <f>IFERROR(__xludf.DUMMYFUNCTION("""COMPUTED_VALUE"""),"Misc")</f>
        <v>Misc</v>
      </c>
      <c r="C1653" s="73" t="str">
        <f>IFERROR(__xludf.DUMMYFUNCTION("""COMPUTED_VALUE"""),"Misc")</f>
        <v>Misc</v>
      </c>
      <c r="D1653" s="73" t="str">
        <f>IFERROR(__xludf.DUMMYFUNCTION("""COMPUTED_VALUE"""),"60*60*70 mm")</f>
        <v>60*60*70 mm</v>
      </c>
      <c r="E1653" s="77">
        <f>IFERROR(__xludf.DUMMYFUNCTION("""COMPUTED_VALUE"""),4.0)</f>
        <v>4</v>
      </c>
      <c r="F1653" s="77">
        <f>IFERROR(__xludf.DUMMYFUNCTION("""COMPUTED_VALUE"""),1926.0)</f>
        <v>1926</v>
      </c>
      <c r="G1653" s="77">
        <f>IFERROR(__xludf.DUMMYFUNCTION("""COMPUTED_VALUE"""),15.0)</f>
        <v>15</v>
      </c>
      <c r="H1653" s="77">
        <f>IFERROR(__xludf.DUMMYFUNCTION("""COMPUTED_VALUE"""),20.0)</f>
        <v>20</v>
      </c>
      <c r="I1653" s="77">
        <f>IFERROR(__xludf.DUMMYFUNCTION("""COMPUTED_VALUE"""),100.0)</f>
        <v>100</v>
      </c>
      <c r="J1653" s="73"/>
      <c r="K1653" s="73"/>
      <c r="L1653" s="73"/>
      <c r="M1653" s="77">
        <f>IFERROR(__xludf.DUMMYFUNCTION("""COMPUTED_VALUE"""),0.1)</f>
        <v>0.1</v>
      </c>
      <c r="N1653" s="77">
        <f>IFERROR(__xludf.DUMMYFUNCTION("""COMPUTED_VALUE"""),1.0)</f>
        <v>1</v>
      </c>
      <c r="O1653" s="49"/>
      <c r="P1653" s="49" t="str">
        <f>IFERROR(__xludf.DUMMYFUNCTION("""COMPUTED_VALUE"""),"Offset")</f>
        <v>Offset</v>
      </c>
      <c r="Q1653" s="49" t="str">
        <f>IFERROR(__xludf.DUMMYFUNCTION("""COMPUTED_VALUE"""),"Packaging")</f>
        <v>Packaging</v>
      </c>
      <c r="R1653" s="49" t="str">
        <f>IFERROR(__xludf.DUMMYFUNCTION("""COMPUTED_VALUE"""),"Misc")</f>
        <v>Misc</v>
      </c>
    </row>
    <row r="1654">
      <c r="A1654" s="156" t="str">
        <f>IFERROR(__xludf.DUMMYFUNCTION("""COMPUTED_VALUE"""),"https://drive.google.com/open?id=1aKHb4bIFlqb9VEElAU9bElJpCmCrWMw_&amp;authuser=jay.agg%40gmail.com&amp;usp=drive_fs")</f>
        <v>https://drive.google.com/open?id=1aKHb4bIFlqb9VEElAU9bElJpCmCrWMw_&amp;authuser=jay.agg%40gmail.com&amp;usp=drive_fs</v>
      </c>
      <c r="B1654" s="73" t="str">
        <f>IFERROR(__xludf.DUMMYFUNCTION("""COMPUTED_VALUE"""),"Misc")</f>
        <v>Misc</v>
      </c>
      <c r="C1654" s="73" t="str">
        <f>IFERROR(__xludf.DUMMYFUNCTION("""COMPUTED_VALUE"""),"Gas Lighter")</f>
        <v>Gas Lighter</v>
      </c>
      <c r="D1654" s="73" t="str">
        <f>IFERROR(__xludf.DUMMYFUNCTION("""COMPUTED_VALUE"""),"Lighter 2.5*1*7 inch")</f>
        <v>Lighter 2.5*1*7 inch</v>
      </c>
      <c r="E1654" s="77">
        <f>IFERROR(__xludf.DUMMYFUNCTION("""COMPUTED_VALUE"""),6.0)</f>
        <v>6</v>
      </c>
      <c r="F1654" s="77">
        <f>IFERROR(__xludf.DUMMYFUNCTION("""COMPUTED_VALUE"""),1926.0)</f>
        <v>1926</v>
      </c>
      <c r="G1654" s="77">
        <f>IFERROR(__xludf.DUMMYFUNCTION("""COMPUTED_VALUE"""),19.5)</f>
        <v>19.5</v>
      </c>
      <c r="H1654" s="77">
        <f>IFERROR(__xludf.DUMMYFUNCTION("""COMPUTED_VALUE"""),23.0)</f>
        <v>23</v>
      </c>
      <c r="I1654" s="77">
        <f>IFERROR(__xludf.DUMMYFUNCTION("""COMPUTED_VALUE"""),100.0)</f>
        <v>100</v>
      </c>
      <c r="J1654" s="73"/>
      <c r="K1654" s="73"/>
      <c r="L1654" s="73"/>
      <c r="M1654" s="77">
        <f>IFERROR(__xludf.DUMMYFUNCTION("""COMPUTED_VALUE"""),0.1)</f>
        <v>0.1</v>
      </c>
      <c r="N1654" s="77">
        <f>IFERROR(__xludf.DUMMYFUNCTION("""COMPUTED_VALUE"""),1.0)</f>
        <v>1</v>
      </c>
      <c r="O1654" s="49"/>
      <c r="P1654" s="49" t="str">
        <f>IFERROR(__xludf.DUMMYFUNCTION("""COMPUTED_VALUE"""),"Offset")</f>
        <v>Offset</v>
      </c>
      <c r="Q1654" s="49" t="str">
        <f>IFERROR(__xludf.DUMMYFUNCTION("""COMPUTED_VALUE"""),"Packaging")</f>
        <v>Packaging</v>
      </c>
      <c r="R1654" s="49" t="str">
        <f>IFERROR(__xludf.DUMMYFUNCTION("""COMPUTED_VALUE"""),"Misc")</f>
        <v>Misc</v>
      </c>
    </row>
    <row r="1655">
      <c r="A1655" s="156" t="str">
        <f>IFERROR(__xludf.DUMMYFUNCTION("""COMPUTED_VALUE"""),"https://drive.google.com/open?id=1a4mReNw_xGXA0bWR-xsgh2_2qec7KzqY&amp;authuser=jay.agg%40gmail.com&amp;usp=drive_fs")</f>
        <v>https://drive.google.com/open?id=1a4mReNw_xGXA0bWR-xsgh2_2qec7KzqY&amp;authuser=jay.agg%40gmail.com&amp;usp=drive_fs</v>
      </c>
      <c r="B1655" s="73" t="str">
        <f>IFERROR(__xludf.DUMMYFUNCTION("""COMPUTED_VALUE"""),"Misc")</f>
        <v>Misc</v>
      </c>
      <c r="C1655" s="73" t="str">
        <f>IFERROR(__xludf.DUMMYFUNCTION("""COMPUTED_VALUE"""),"Vashi Karan")</f>
        <v>Vashi Karan</v>
      </c>
      <c r="D1655" s="73" t="str">
        <f>IFERROR(__xludf.DUMMYFUNCTION("""COMPUTED_VALUE"""),"70*16*75 mm")</f>
        <v>70*16*75 mm</v>
      </c>
      <c r="E1655" s="77">
        <f>IFERROR(__xludf.DUMMYFUNCTION("""COMPUTED_VALUE"""),12.0)</f>
        <v>12</v>
      </c>
      <c r="F1655" s="77">
        <f>IFERROR(__xludf.DUMMYFUNCTION("""COMPUTED_VALUE"""),1926.0)</f>
        <v>1926</v>
      </c>
      <c r="G1655" s="77">
        <f>IFERROR(__xludf.DUMMYFUNCTION("""COMPUTED_VALUE"""),18.0)</f>
        <v>18</v>
      </c>
      <c r="H1655" s="77">
        <f>IFERROR(__xludf.DUMMYFUNCTION("""COMPUTED_VALUE"""),23.0)</f>
        <v>23</v>
      </c>
      <c r="I1655" s="77">
        <f>IFERROR(__xludf.DUMMYFUNCTION("""COMPUTED_VALUE"""),100.0)</f>
        <v>100</v>
      </c>
      <c r="J1655" s="73"/>
      <c r="K1655" s="73"/>
      <c r="L1655" s="73"/>
      <c r="M1655" s="77">
        <f>IFERROR(__xludf.DUMMYFUNCTION("""COMPUTED_VALUE"""),0.1)</f>
        <v>0.1</v>
      </c>
      <c r="N1655" s="77">
        <f>IFERROR(__xludf.DUMMYFUNCTION("""COMPUTED_VALUE"""),1.0)</f>
        <v>1</v>
      </c>
      <c r="O1655" s="49"/>
      <c r="P1655" s="49" t="str">
        <f>IFERROR(__xludf.DUMMYFUNCTION("""COMPUTED_VALUE"""),"Offset")</f>
        <v>Offset</v>
      </c>
      <c r="Q1655" s="49" t="str">
        <f>IFERROR(__xludf.DUMMYFUNCTION("""COMPUTED_VALUE"""),"Packaging")</f>
        <v>Packaging</v>
      </c>
      <c r="R1655" s="49" t="str">
        <f>IFERROR(__xludf.DUMMYFUNCTION("""COMPUTED_VALUE"""),"Misc")</f>
        <v>Misc</v>
      </c>
    </row>
    <row r="1656">
      <c r="A1656" s="156" t="str">
        <f>IFERROR(__xludf.DUMMYFUNCTION("""COMPUTED_VALUE"""),"https://drive.google.com/open?id=1aEJNmL2GFzqbQLUDY5TPXmxgOPMfWvDW&amp;authuser=jay.agg%40gmail.com&amp;usp=drive_fs")</f>
        <v>https://drive.google.com/open?id=1aEJNmL2GFzqbQLUDY5TPXmxgOPMfWvDW&amp;authuser=jay.agg%40gmail.com&amp;usp=drive_fs</v>
      </c>
      <c r="B1656" s="73" t="str">
        <f>IFERROR(__xludf.DUMMYFUNCTION("""COMPUTED_VALUE"""),"Misc")</f>
        <v>Misc</v>
      </c>
      <c r="C1656" s="73" t="str">
        <f>IFERROR(__xludf.DUMMYFUNCTION("""COMPUTED_VALUE"""),"Vashi Karan")</f>
        <v>Vashi Karan</v>
      </c>
      <c r="D1656" s="73" t="str">
        <f>IFERROR(__xludf.DUMMYFUNCTION("""COMPUTED_VALUE"""),"16*16*45 mm")</f>
        <v>16*16*45 mm</v>
      </c>
      <c r="E1656" s="77">
        <f>IFERROR(__xludf.DUMMYFUNCTION("""COMPUTED_VALUE"""),48.0)</f>
        <v>48</v>
      </c>
      <c r="F1656" s="77">
        <f>IFERROR(__xludf.DUMMYFUNCTION("""COMPUTED_VALUE"""),1926.0)</f>
        <v>1926</v>
      </c>
      <c r="G1656" s="77">
        <f>IFERROR(__xludf.DUMMYFUNCTION("""COMPUTED_VALUE"""),18.0)</f>
        <v>18</v>
      </c>
      <c r="H1656" s="77">
        <f>IFERROR(__xludf.DUMMYFUNCTION("""COMPUTED_VALUE"""),25.0)</f>
        <v>25</v>
      </c>
      <c r="I1656" s="77">
        <f>IFERROR(__xludf.DUMMYFUNCTION("""COMPUTED_VALUE"""),100.0)</f>
        <v>100</v>
      </c>
      <c r="J1656" s="73"/>
      <c r="K1656" s="73"/>
      <c r="L1656" s="73"/>
      <c r="M1656" s="77">
        <f>IFERROR(__xludf.DUMMYFUNCTION("""COMPUTED_VALUE"""),0.1)</f>
        <v>0.1</v>
      </c>
      <c r="N1656" s="77">
        <f>IFERROR(__xludf.DUMMYFUNCTION("""COMPUTED_VALUE"""),1.0)</f>
        <v>1</v>
      </c>
      <c r="O1656" s="49"/>
      <c r="P1656" s="49" t="str">
        <f>IFERROR(__xludf.DUMMYFUNCTION("""COMPUTED_VALUE"""),"Offset")</f>
        <v>Offset</v>
      </c>
      <c r="Q1656" s="49" t="str">
        <f>IFERROR(__xludf.DUMMYFUNCTION("""COMPUTED_VALUE"""),"Packaging")</f>
        <v>Packaging</v>
      </c>
      <c r="R1656" s="49" t="str">
        <f>IFERROR(__xludf.DUMMYFUNCTION("""COMPUTED_VALUE"""),"Misc")</f>
        <v>Misc</v>
      </c>
    </row>
    <row r="1657">
      <c r="A1657" s="156" t="str">
        <f>IFERROR(__xludf.DUMMYFUNCTION("""COMPUTED_VALUE"""),"https://drive.google.com/open?id=1a1N4FNifq7F6B7rsEl3Ko2j-R5dnTBT_&amp;authuser=jay.agg%40gmail.com&amp;usp=drive_fs")</f>
        <v>https://drive.google.com/open?id=1a1N4FNifq7F6B7rsEl3Ko2j-R5dnTBT_&amp;authuser=jay.agg%40gmail.com&amp;usp=drive_fs</v>
      </c>
      <c r="B1657" s="73" t="str">
        <f>IFERROR(__xludf.DUMMYFUNCTION("""COMPUTED_VALUE"""),"Misc")</f>
        <v>Misc</v>
      </c>
      <c r="C1657" s="73" t="str">
        <f>IFERROR(__xludf.DUMMYFUNCTION("""COMPUTED_VALUE"""),"Shringar")</f>
        <v>Shringar</v>
      </c>
      <c r="D1657" s="73" t="str">
        <f>IFERROR(__xludf.DUMMYFUNCTION("""COMPUTED_VALUE"""),"115*25*165 mm")</f>
        <v>115*25*165 mm</v>
      </c>
      <c r="E1657" s="77">
        <f>IFERROR(__xludf.DUMMYFUNCTION("""COMPUTED_VALUE"""),4.0)</f>
        <v>4</v>
      </c>
      <c r="F1657" s="77">
        <f>IFERROR(__xludf.DUMMYFUNCTION("""COMPUTED_VALUE"""),1926.0)</f>
        <v>1926</v>
      </c>
      <c r="G1657" s="77">
        <f>IFERROR(__xludf.DUMMYFUNCTION("""COMPUTED_VALUE"""),18.0)</f>
        <v>18</v>
      </c>
      <c r="H1657" s="77">
        <f>IFERROR(__xludf.DUMMYFUNCTION("""COMPUTED_VALUE"""),23.0)</f>
        <v>23</v>
      </c>
      <c r="I1657" s="77">
        <f>IFERROR(__xludf.DUMMYFUNCTION("""COMPUTED_VALUE"""),100.0)</f>
        <v>100</v>
      </c>
      <c r="J1657" s="73"/>
      <c r="K1657" s="73"/>
      <c r="L1657" s="73"/>
      <c r="M1657" s="77">
        <f>IFERROR(__xludf.DUMMYFUNCTION("""COMPUTED_VALUE"""),0.1)</f>
        <v>0.1</v>
      </c>
      <c r="N1657" s="77">
        <f>IFERROR(__xludf.DUMMYFUNCTION("""COMPUTED_VALUE"""),1.0)</f>
        <v>1</v>
      </c>
      <c r="O1657" s="49"/>
      <c r="P1657" s="49" t="str">
        <f>IFERROR(__xludf.DUMMYFUNCTION("""COMPUTED_VALUE"""),"Offset")</f>
        <v>Offset</v>
      </c>
      <c r="Q1657" s="49" t="str">
        <f>IFERROR(__xludf.DUMMYFUNCTION("""COMPUTED_VALUE"""),"Packaging")</f>
        <v>Packaging</v>
      </c>
      <c r="R1657" s="49" t="str">
        <f>IFERROR(__xludf.DUMMYFUNCTION("""COMPUTED_VALUE"""),"Misc")</f>
        <v>Misc</v>
      </c>
    </row>
    <row r="1658">
      <c r="A1658" s="156" t="str">
        <f>IFERROR(__xludf.DUMMYFUNCTION("""COMPUTED_VALUE"""),"https://drive.google.com/open?id=1a3Kl6TKZg8my-p4xktjyVXOEKcSwuD7D&amp;authuser=jay.agg%40gmail.com&amp;usp=drive_fs")</f>
        <v>https://drive.google.com/open?id=1a3Kl6TKZg8my-p4xktjyVXOEKcSwuD7D&amp;authuser=jay.agg%40gmail.com&amp;usp=drive_fs</v>
      </c>
      <c r="B1658" s="73" t="str">
        <f>IFERROR(__xludf.DUMMYFUNCTION("""COMPUTED_VALUE"""),"Misc")</f>
        <v>Misc</v>
      </c>
      <c r="C1658" s="73" t="str">
        <f>IFERROR(__xludf.DUMMYFUNCTION("""COMPUTED_VALUE"""),"Shringar")</f>
        <v>Shringar</v>
      </c>
      <c r="D1658" s="73" t="str">
        <f>IFERROR(__xludf.DUMMYFUNCTION("""COMPUTED_VALUE"""),"Tray 115*25*165 mm")</f>
        <v>Tray 115*25*165 mm</v>
      </c>
      <c r="E1658" s="77">
        <f>IFERROR(__xludf.DUMMYFUNCTION("""COMPUTED_VALUE"""),4.0)</f>
        <v>4</v>
      </c>
      <c r="F1658" s="77">
        <f>IFERROR(__xludf.DUMMYFUNCTION("""COMPUTED_VALUE"""),1926.0)</f>
        <v>1926</v>
      </c>
      <c r="G1658" s="77">
        <f>IFERROR(__xludf.DUMMYFUNCTION("""COMPUTED_VALUE"""),18.0)</f>
        <v>18</v>
      </c>
      <c r="H1658" s="77">
        <f>IFERROR(__xludf.DUMMYFUNCTION("""COMPUTED_VALUE"""),23.0)</f>
        <v>23</v>
      </c>
      <c r="I1658" s="77">
        <f>IFERROR(__xludf.DUMMYFUNCTION("""COMPUTED_VALUE"""),100.0)</f>
        <v>100</v>
      </c>
      <c r="J1658" s="73"/>
      <c r="K1658" s="73"/>
      <c r="L1658" s="73"/>
      <c r="M1658" s="77"/>
      <c r="N1658" s="77">
        <f>IFERROR(__xludf.DUMMYFUNCTION("""COMPUTED_VALUE"""),1.0)</f>
        <v>1</v>
      </c>
      <c r="O1658" s="49"/>
      <c r="P1658" s="49" t="str">
        <f>IFERROR(__xludf.DUMMYFUNCTION("""COMPUTED_VALUE"""),"Offset")</f>
        <v>Offset</v>
      </c>
      <c r="Q1658" s="49" t="str">
        <f>IFERROR(__xludf.DUMMYFUNCTION("""COMPUTED_VALUE"""),"Packaging")</f>
        <v>Packaging</v>
      </c>
      <c r="R1658" s="49" t="str">
        <f>IFERROR(__xludf.DUMMYFUNCTION("""COMPUTED_VALUE"""),"Misc")</f>
        <v>Misc</v>
      </c>
    </row>
    <row r="1659">
      <c r="A1659" s="156" t="str">
        <f>IFERROR(__xludf.DUMMYFUNCTION("""COMPUTED_VALUE"""),"https://drive.google.com/open?id=1a0BIJshnwUOKbN7yAWwc-25So9H5FzvG&amp;authuser=jay.agg%40gmail.com&amp;usp=drive_fs")</f>
        <v>https://drive.google.com/open?id=1a0BIJshnwUOKbN7yAWwc-25So9H5FzvG&amp;authuser=jay.agg%40gmail.com&amp;usp=drive_fs</v>
      </c>
      <c r="B1659" s="73" t="str">
        <f>IFERROR(__xludf.DUMMYFUNCTION("""COMPUTED_VALUE"""),"Misc")</f>
        <v>Misc</v>
      </c>
      <c r="C1659" s="73" t="str">
        <f>IFERROR(__xludf.DUMMYFUNCTION("""COMPUTED_VALUE"""),"Bowl")</f>
        <v>Bowl</v>
      </c>
      <c r="D1659" s="73" t="str">
        <f>IFERROR(__xludf.DUMMYFUNCTION("""COMPUTED_VALUE"""),"100*30*100 mm")</f>
        <v>100*30*100 mm</v>
      </c>
      <c r="E1659" s="77">
        <f>IFERROR(__xludf.DUMMYFUNCTION("""COMPUTED_VALUE"""),6.0)</f>
        <v>6</v>
      </c>
      <c r="F1659" s="77">
        <f>IFERROR(__xludf.DUMMYFUNCTION("""COMPUTED_VALUE"""),1926.0)</f>
        <v>1926</v>
      </c>
      <c r="G1659" s="77">
        <f>IFERROR(__xludf.DUMMYFUNCTION("""COMPUTED_VALUE"""),19.5)</f>
        <v>19.5</v>
      </c>
      <c r="H1659" s="77">
        <f>IFERROR(__xludf.DUMMYFUNCTION("""COMPUTED_VALUE"""),23.0)</f>
        <v>23</v>
      </c>
      <c r="I1659" s="77">
        <f>IFERROR(__xludf.DUMMYFUNCTION("""COMPUTED_VALUE"""),100.0)</f>
        <v>100</v>
      </c>
      <c r="J1659" s="73"/>
      <c r="K1659" s="73"/>
      <c r="L1659" s="73"/>
      <c r="M1659" s="77">
        <f>IFERROR(__xludf.DUMMYFUNCTION("""COMPUTED_VALUE"""),0.1)</f>
        <v>0.1</v>
      </c>
      <c r="N1659" s="77">
        <f>IFERROR(__xludf.DUMMYFUNCTION("""COMPUTED_VALUE"""),1.0)</f>
        <v>1</v>
      </c>
      <c r="O1659" s="49"/>
      <c r="P1659" s="49" t="str">
        <f>IFERROR(__xludf.DUMMYFUNCTION("""COMPUTED_VALUE"""),"Offset")</f>
        <v>Offset</v>
      </c>
      <c r="Q1659" s="49" t="str">
        <f>IFERROR(__xludf.DUMMYFUNCTION("""COMPUTED_VALUE"""),"Packaging")</f>
        <v>Packaging</v>
      </c>
      <c r="R1659" s="49" t="str">
        <f>IFERROR(__xludf.DUMMYFUNCTION("""COMPUTED_VALUE"""),"Misc")</f>
        <v>Misc</v>
      </c>
    </row>
    <row r="1660">
      <c r="A1660" s="156" t="str">
        <f>IFERROR(__xludf.DUMMYFUNCTION("""COMPUTED_VALUE"""),"https://drive.google.com/open?id=1_zrBDHhbziDPRwB4MtklXL43yuO09JjM&amp;authuser=jay.agg%40gmail.com&amp;usp=drive_fs")</f>
        <v>https://drive.google.com/open?id=1_zrBDHhbziDPRwB4MtklXL43yuO09JjM&amp;authuser=jay.agg%40gmail.com&amp;usp=drive_fs</v>
      </c>
      <c r="B1660" s="73" t="str">
        <f>IFERROR(__xludf.DUMMYFUNCTION("""COMPUTED_VALUE"""),"Misc")</f>
        <v>Misc</v>
      </c>
      <c r="C1660" s="73" t="str">
        <f>IFERROR(__xludf.DUMMYFUNCTION("""COMPUTED_VALUE"""),"Misc")</f>
        <v>Misc</v>
      </c>
      <c r="D1660" s="73" t="str">
        <f>IFERROR(__xludf.DUMMYFUNCTION("""COMPUTED_VALUE"""),"147*18.5*193 mm")</f>
        <v>147*18.5*193 mm</v>
      </c>
      <c r="E1660" s="77">
        <f>IFERROR(__xludf.DUMMYFUNCTION("""COMPUTED_VALUE"""),2.0)</f>
        <v>2</v>
      </c>
      <c r="F1660" s="77">
        <f>IFERROR(__xludf.DUMMYFUNCTION("""COMPUTED_VALUE"""),1926.0)</f>
        <v>1926</v>
      </c>
      <c r="G1660" s="77">
        <f>IFERROR(__xludf.DUMMYFUNCTION("""COMPUTED_VALUE"""),15.5)</f>
        <v>15.5</v>
      </c>
      <c r="H1660" s="77">
        <f>IFERROR(__xludf.DUMMYFUNCTION("""COMPUTED_VALUE"""),20.5)</f>
        <v>20.5</v>
      </c>
      <c r="I1660" s="77">
        <f>IFERROR(__xludf.DUMMYFUNCTION("""COMPUTED_VALUE"""),100.0)</f>
        <v>100</v>
      </c>
      <c r="J1660" s="73"/>
      <c r="K1660" s="73"/>
      <c r="L1660" s="73"/>
      <c r="M1660" s="77">
        <f>IFERROR(__xludf.DUMMYFUNCTION("""COMPUTED_VALUE"""),0.1)</f>
        <v>0.1</v>
      </c>
      <c r="N1660" s="77">
        <f>IFERROR(__xludf.DUMMYFUNCTION("""COMPUTED_VALUE"""),1.0)</f>
        <v>1</v>
      </c>
      <c r="O1660" s="49"/>
      <c r="P1660" s="49" t="str">
        <f>IFERROR(__xludf.DUMMYFUNCTION("""COMPUTED_VALUE"""),"Offset")</f>
        <v>Offset</v>
      </c>
      <c r="Q1660" s="49" t="str">
        <f>IFERROR(__xludf.DUMMYFUNCTION("""COMPUTED_VALUE"""),"Packaging")</f>
        <v>Packaging</v>
      </c>
      <c r="R1660" s="49" t="str">
        <f>IFERROR(__xludf.DUMMYFUNCTION("""COMPUTED_VALUE"""),"Misc")</f>
        <v>Misc</v>
      </c>
    </row>
    <row r="1661">
      <c r="A1661" s="156" t="str">
        <f>IFERROR(__xludf.DUMMYFUNCTION("""COMPUTED_VALUE"""),"https://drive.google.com/open?id=1lkgJI4j1k_AjCniFadLnwXjntNQYr8d-&amp;authuser=jay.agg%40gmail.com&amp;usp=drive_fs")</f>
        <v>https://drive.google.com/open?id=1lkgJI4j1k_AjCniFadLnwXjntNQYr8d-&amp;authuser=jay.agg%40gmail.com&amp;usp=drive_fs</v>
      </c>
      <c r="B1661" s="73" t="str">
        <f>IFERROR(__xludf.DUMMYFUNCTION("""COMPUTED_VALUE"""),"Misc")</f>
        <v>Misc</v>
      </c>
      <c r="C1661" s="73" t="str">
        <f>IFERROR(__xludf.DUMMYFUNCTION("""COMPUTED_VALUE"""),"Misc")</f>
        <v>Misc</v>
      </c>
      <c r="D1661" s="73" t="str">
        <f>IFERROR(__xludf.DUMMYFUNCTION("""COMPUTED_VALUE"""),"125*125*125 mm")</f>
        <v>125*125*125 mm</v>
      </c>
      <c r="E1661" s="77">
        <f>IFERROR(__xludf.DUMMYFUNCTION("""COMPUTED_VALUE"""),1.0)</f>
        <v>1</v>
      </c>
      <c r="F1661" s="77">
        <f>IFERROR(__xludf.DUMMYFUNCTION("""COMPUTED_VALUE"""),1926.0)</f>
        <v>1926</v>
      </c>
      <c r="G1661" s="77">
        <f>IFERROR(__xludf.DUMMYFUNCTION("""COMPUTED_VALUE"""),18.0)</f>
        <v>18</v>
      </c>
      <c r="H1661" s="77">
        <f>IFERROR(__xludf.DUMMYFUNCTION("""COMPUTED_VALUE"""),21.0)</f>
        <v>21</v>
      </c>
      <c r="I1661" s="77">
        <f>IFERROR(__xludf.DUMMYFUNCTION("""COMPUTED_VALUE"""),100.0)</f>
        <v>100</v>
      </c>
      <c r="J1661" s="73"/>
      <c r="K1661" s="73"/>
      <c r="L1661" s="73"/>
      <c r="M1661" s="77">
        <f>IFERROR(__xludf.DUMMYFUNCTION("""COMPUTED_VALUE"""),0.1)</f>
        <v>0.1</v>
      </c>
      <c r="N1661" s="77">
        <f>IFERROR(__xludf.DUMMYFUNCTION("""COMPUTED_VALUE"""),1.0)</f>
        <v>1</v>
      </c>
      <c r="O1661" s="49"/>
      <c r="P1661" s="49" t="str">
        <f>IFERROR(__xludf.DUMMYFUNCTION("""COMPUTED_VALUE"""),"Offset")</f>
        <v>Offset</v>
      </c>
      <c r="Q1661" s="49" t="str">
        <f>IFERROR(__xludf.DUMMYFUNCTION("""COMPUTED_VALUE"""),"Packaging")</f>
        <v>Packaging</v>
      </c>
      <c r="R1661" s="49" t="str">
        <f>IFERROR(__xludf.DUMMYFUNCTION("""COMPUTED_VALUE"""),"Misc")</f>
        <v>Misc</v>
      </c>
    </row>
    <row r="1662">
      <c r="A1662" s="156" t="str">
        <f>IFERROR(__xludf.DUMMYFUNCTION("""COMPUTED_VALUE"""),"https://drive.google.com/open?id=1oNvXnhHi0jvh69SNoVociLqv5Jjxz-vS&amp;authuser=jay.agg%40gmail.com&amp;usp=drive_fs")</f>
        <v>https://drive.google.com/open?id=1oNvXnhHi0jvh69SNoVociLqv5Jjxz-vS&amp;authuser=jay.agg%40gmail.com&amp;usp=drive_fs</v>
      </c>
      <c r="B1662" s="73" t="str">
        <f>IFERROR(__xludf.DUMMYFUNCTION("""COMPUTED_VALUE"""),"Misc")</f>
        <v>Misc</v>
      </c>
      <c r="C1662" s="73" t="str">
        <f>IFERROR(__xludf.DUMMYFUNCTION("""COMPUTED_VALUE"""),"Gift")</f>
        <v>Gift</v>
      </c>
      <c r="D1662" s="73" t="str">
        <f>IFERROR(__xludf.DUMMYFUNCTION("""COMPUTED_VALUE"""),"7.5*3.5*6.7 inch")</f>
        <v>7.5*3.5*6.7 inch</v>
      </c>
      <c r="E1662" s="77">
        <f>IFERROR(__xludf.DUMMYFUNCTION("""COMPUTED_VALUE"""),1.0)</f>
        <v>1</v>
      </c>
      <c r="F1662" s="77">
        <f>IFERROR(__xludf.DUMMYFUNCTION("""COMPUTED_VALUE"""),1926.0)</f>
        <v>1926</v>
      </c>
      <c r="G1662" s="77">
        <f>IFERROR(__xludf.DUMMYFUNCTION("""COMPUTED_VALUE"""),18.0)</f>
        <v>18</v>
      </c>
      <c r="H1662" s="77">
        <f>IFERROR(__xludf.DUMMYFUNCTION("""COMPUTED_VALUE"""),23.0)</f>
        <v>23</v>
      </c>
      <c r="I1662" s="77">
        <f>IFERROR(__xludf.DUMMYFUNCTION("""COMPUTED_VALUE"""),100.0)</f>
        <v>100</v>
      </c>
      <c r="J1662" s="73"/>
      <c r="K1662" s="73"/>
      <c r="L1662" s="73"/>
      <c r="M1662" s="77">
        <f>IFERROR(__xludf.DUMMYFUNCTION("""COMPUTED_VALUE"""),0.1)</f>
        <v>0.1</v>
      </c>
      <c r="N1662" s="77">
        <f>IFERROR(__xludf.DUMMYFUNCTION("""COMPUTED_VALUE"""),1.0)</f>
        <v>1</v>
      </c>
      <c r="O1662" s="49"/>
      <c r="P1662" s="49" t="str">
        <f>IFERROR(__xludf.DUMMYFUNCTION("""COMPUTED_VALUE"""),"Offset")</f>
        <v>Offset</v>
      </c>
      <c r="Q1662" s="49" t="str">
        <f>IFERROR(__xludf.DUMMYFUNCTION("""COMPUTED_VALUE"""),"Packaging")</f>
        <v>Packaging</v>
      </c>
      <c r="R1662" s="49" t="str">
        <f>IFERROR(__xludf.DUMMYFUNCTION("""COMPUTED_VALUE"""),"Misc")</f>
        <v>Misc</v>
      </c>
    </row>
    <row r="1663">
      <c r="A1663" s="156" t="str">
        <f>IFERROR(__xludf.DUMMYFUNCTION("""COMPUTED_VALUE"""),"https://drive.google.com/open?id=1r_IM5uLV3OqmklQ1dmJH84ac8jDRwCqh&amp;authuser=jay.agg%40gmail.com&amp;usp=drive_fs")</f>
        <v>https://drive.google.com/open?id=1r_IM5uLV3OqmklQ1dmJH84ac8jDRwCqh&amp;authuser=jay.agg%40gmail.com&amp;usp=drive_fs</v>
      </c>
      <c r="B1663" s="73" t="str">
        <f>IFERROR(__xludf.DUMMYFUNCTION("""COMPUTED_VALUE"""),"Misc")</f>
        <v>Misc</v>
      </c>
      <c r="C1663" s="73" t="str">
        <f>IFERROR(__xludf.DUMMYFUNCTION("""COMPUTED_VALUE"""),"Rakhi")</f>
        <v>Rakhi</v>
      </c>
      <c r="D1663" s="73" t="str">
        <f>IFERROR(__xludf.DUMMYFUNCTION("""COMPUTED_VALUE"""),"Top 27*88*257 mm")</f>
        <v>Top 27*88*257 mm</v>
      </c>
      <c r="E1663" s="77">
        <f>IFERROR(__xludf.DUMMYFUNCTION("""COMPUTED_VALUE"""),3.0)</f>
        <v>3</v>
      </c>
      <c r="F1663" s="77">
        <f>IFERROR(__xludf.DUMMYFUNCTION("""COMPUTED_VALUE"""),1926.0)</f>
        <v>1926</v>
      </c>
      <c r="G1663" s="77">
        <f>IFERROR(__xludf.DUMMYFUNCTION("""COMPUTED_VALUE"""),18.0)</f>
        <v>18</v>
      </c>
      <c r="H1663" s="77">
        <f>IFERROR(__xludf.DUMMYFUNCTION("""COMPUTED_VALUE"""),25.0)</f>
        <v>25</v>
      </c>
      <c r="I1663" s="77">
        <f>IFERROR(__xludf.DUMMYFUNCTION("""COMPUTED_VALUE"""),100.0)</f>
        <v>100</v>
      </c>
      <c r="J1663" s="73"/>
      <c r="K1663" s="73"/>
      <c r="L1663" s="73"/>
      <c r="M1663" s="77">
        <f>IFERROR(__xludf.DUMMYFUNCTION("""COMPUTED_VALUE"""),0.1)</f>
        <v>0.1</v>
      </c>
      <c r="N1663" s="77">
        <f>IFERROR(__xludf.DUMMYFUNCTION("""COMPUTED_VALUE"""),1.0)</f>
        <v>1</v>
      </c>
      <c r="O1663" s="49"/>
      <c r="P1663" s="49" t="str">
        <f>IFERROR(__xludf.DUMMYFUNCTION("""COMPUTED_VALUE"""),"Offset")</f>
        <v>Offset</v>
      </c>
      <c r="Q1663" s="49" t="str">
        <f>IFERROR(__xludf.DUMMYFUNCTION("""COMPUTED_VALUE"""),"Packaging")</f>
        <v>Packaging</v>
      </c>
      <c r="R1663" s="49" t="str">
        <f>IFERROR(__xludf.DUMMYFUNCTION("""COMPUTED_VALUE"""),"Misc")</f>
        <v>Misc</v>
      </c>
    </row>
    <row r="1664">
      <c r="A1664" s="156" t="str">
        <f>IFERROR(__xludf.DUMMYFUNCTION("""COMPUTED_VALUE"""),"https://drive.google.com/open?id=1rbLBfu-CR5g_0Rk3YTblUDfsfzSpQE9k&amp;authuser=jay.agg%40gmail.com&amp;usp=drive_fs")</f>
        <v>https://drive.google.com/open?id=1rbLBfu-CR5g_0Rk3YTblUDfsfzSpQE9k&amp;authuser=jay.agg%40gmail.com&amp;usp=drive_fs</v>
      </c>
      <c r="B1664" s="73" t="str">
        <f>IFERROR(__xludf.DUMMYFUNCTION("""COMPUTED_VALUE"""),"Misc")</f>
        <v>Misc</v>
      </c>
      <c r="C1664" s="73" t="str">
        <f>IFERROR(__xludf.DUMMYFUNCTION("""COMPUTED_VALUE"""),"Rakhi")</f>
        <v>Rakhi</v>
      </c>
      <c r="D1664" s="73" t="str">
        <f>IFERROR(__xludf.DUMMYFUNCTION("""COMPUTED_VALUE"""),"Bottom 27*88*257 mm")</f>
        <v>Bottom 27*88*257 mm</v>
      </c>
      <c r="E1664" s="77">
        <f>IFERROR(__xludf.DUMMYFUNCTION("""COMPUTED_VALUE"""),3.0)</f>
        <v>3</v>
      </c>
      <c r="F1664" s="77">
        <f>IFERROR(__xludf.DUMMYFUNCTION("""COMPUTED_VALUE"""),1926.0)</f>
        <v>1926</v>
      </c>
      <c r="G1664" s="77">
        <f>IFERROR(__xludf.DUMMYFUNCTION("""COMPUTED_VALUE"""),18.0)</f>
        <v>18</v>
      </c>
      <c r="H1664" s="77">
        <f>IFERROR(__xludf.DUMMYFUNCTION("""COMPUTED_VALUE"""),25.0)</f>
        <v>25</v>
      </c>
      <c r="I1664" s="77">
        <f>IFERROR(__xludf.DUMMYFUNCTION("""COMPUTED_VALUE"""),100.0)</f>
        <v>100</v>
      </c>
      <c r="J1664" s="73"/>
      <c r="K1664" s="73"/>
      <c r="L1664" s="73"/>
      <c r="M1664" s="77">
        <f>IFERROR(__xludf.DUMMYFUNCTION("""COMPUTED_VALUE"""),0.1)</f>
        <v>0.1</v>
      </c>
      <c r="N1664" s="77">
        <f>IFERROR(__xludf.DUMMYFUNCTION("""COMPUTED_VALUE"""),1.0)</f>
        <v>1</v>
      </c>
      <c r="O1664" s="49"/>
      <c r="P1664" s="49" t="str">
        <f>IFERROR(__xludf.DUMMYFUNCTION("""COMPUTED_VALUE"""),"Offset")</f>
        <v>Offset</v>
      </c>
      <c r="Q1664" s="49" t="str">
        <f>IFERROR(__xludf.DUMMYFUNCTION("""COMPUTED_VALUE"""),"Packaging")</f>
        <v>Packaging</v>
      </c>
      <c r="R1664" s="49" t="str">
        <f>IFERROR(__xludf.DUMMYFUNCTION("""COMPUTED_VALUE"""),"Misc")</f>
        <v>Misc</v>
      </c>
    </row>
    <row r="1665">
      <c r="A1665" s="156" t="str">
        <f>IFERROR(__xludf.DUMMYFUNCTION("""COMPUTED_VALUE"""),"https://drive.google.com/open?id=1rbXNU2953IpxMMNCnrswfWNCq1SksYS3&amp;authuser=jay.agg%40gmail.com&amp;usp=drive_fs")</f>
        <v>https://drive.google.com/open?id=1rbXNU2953IpxMMNCnrswfWNCq1SksYS3&amp;authuser=jay.agg%40gmail.com&amp;usp=drive_fs</v>
      </c>
      <c r="B1665" s="73" t="str">
        <f>IFERROR(__xludf.DUMMYFUNCTION("""COMPUTED_VALUE"""),"Misc")</f>
        <v>Misc</v>
      </c>
      <c r="C1665" s="73" t="str">
        <f>IFERROR(__xludf.DUMMYFUNCTION("""COMPUTED_VALUE"""),"Rakhi")</f>
        <v>Rakhi</v>
      </c>
      <c r="D1665" s="73" t="str">
        <f>IFERROR(__xludf.DUMMYFUNCTION("""COMPUTED_VALUE"""),"Tray 27*88*257 mm")</f>
        <v>Tray 27*88*257 mm</v>
      </c>
      <c r="E1665" s="77">
        <f>IFERROR(__xludf.DUMMYFUNCTION("""COMPUTED_VALUE"""),3.0)</f>
        <v>3</v>
      </c>
      <c r="F1665" s="77">
        <f>IFERROR(__xludf.DUMMYFUNCTION("""COMPUTED_VALUE"""),1926.0)</f>
        <v>1926</v>
      </c>
      <c r="G1665" s="77">
        <f>IFERROR(__xludf.DUMMYFUNCTION("""COMPUTED_VALUE"""),18.0)</f>
        <v>18</v>
      </c>
      <c r="H1665" s="77">
        <f>IFERROR(__xludf.DUMMYFUNCTION("""COMPUTED_VALUE"""),25.0)</f>
        <v>25</v>
      </c>
      <c r="I1665" s="77">
        <f>IFERROR(__xludf.DUMMYFUNCTION("""COMPUTED_VALUE"""),100.0)</f>
        <v>100</v>
      </c>
      <c r="J1665" s="73"/>
      <c r="K1665" s="73"/>
      <c r="L1665" s="73"/>
      <c r="M1665" s="77"/>
      <c r="N1665" s="77">
        <f>IFERROR(__xludf.DUMMYFUNCTION("""COMPUTED_VALUE"""),1.0)</f>
        <v>1</v>
      </c>
      <c r="O1665" s="49"/>
      <c r="P1665" s="49" t="str">
        <f>IFERROR(__xludf.DUMMYFUNCTION("""COMPUTED_VALUE"""),"Offset")</f>
        <v>Offset</v>
      </c>
      <c r="Q1665" s="49" t="str">
        <f>IFERROR(__xludf.DUMMYFUNCTION("""COMPUTED_VALUE"""),"Packaging")</f>
        <v>Packaging</v>
      </c>
      <c r="R1665" s="49" t="str">
        <f>IFERROR(__xludf.DUMMYFUNCTION("""COMPUTED_VALUE"""),"Misc")</f>
        <v>Misc</v>
      </c>
    </row>
    <row r="1666">
      <c r="A1666" s="156" t="str">
        <f>IFERROR(__xludf.DUMMYFUNCTION("""COMPUTED_VALUE"""),"https://drive.google.com/open?id=1x7mHQfv86pLbkSlxuME5w2_yg6r7mc8K&amp;authuser=jay.agg%40gmail.com&amp;usp=drive_fs")</f>
        <v>https://drive.google.com/open?id=1x7mHQfv86pLbkSlxuME5w2_yg6r7mc8K&amp;authuser=jay.agg%40gmail.com&amp;usp=drive_fs</v>
      </c>
      <c r="B1666" s="73" t="str">
        <f>IFERROR(__xludf.DUMMYFUNCTION("""COMPUTED_VALUE"""),"Misc")</f>
        <v>Misc</v>
      </c>
      <c r="C1666" s="73" t="str">
        <f>IFERROR(__xludf.DUMMYFUNCTION("""COMPUTED_VALUE"""),"Cigarette Paper")</f>
        <v>Cigarette Paper</v>
      </c>
      <c r="D1666" s="73" t="str">
        <f>IFERROR(__xludf.DUMMYFUNCTION("""COMPUTED_VALUE"""),"120*62*32 mm")</f>
        <v>120*62*32 mm</v>
      </c>
      <c r="E1666" s="77">
        <f>IFERROR(__xludf.DUMMYFUNCTION("""COMPUTED_VALUE"""),4.0)</f>
        <v>4</v>
      </c>
      <c r="F1666" s="77">
        <f>IFERROR(__xludf.DUMMYFUNCTION("""COMPUTED_VALUE"""),1926.0)</f>
        <v>1926</v>
      </c>
      <c r="G1666" s="77">
        <f>IFERROR(__xludf.DUMMYFUNCTION("""COMPUTED_VALUE"""),15.5)</f>
        <v>15.5</v>
      </c>
      <c r="H1666" s="77">
        <f>IFERROR(__xludf.DUMMYFUNCTION("""COMPUTED_VALUE"""),20.5)</f>
        <v>20.5</v>
      </c>
      <c r="I1666" s="77">
        <f>IFERROR(__xludf.DUMMYFUNCTION("""COMPUTED_VALUE"""),100.0)</f>
        <v>100</v>
      </c>
      <c r="J1666" s="73"/>
      <c r="K1666" s="73"/>
      <c r="L1666" s="73"/>
      <c r="M1666" s="77">
        <f>IFERROR(__xludf.DUMMYFUNCTION("""COMPUTED_VALUE"""),0.15)</f>
        <v>0.15</v>
      </c>
      <c r="N1666" s="77">
        <f>IFERROR(__xludf.DUMMYFUNCTION("""COMPUTED_VALUE"""),1.0)</f>
        <v>1</v>
      </c>
      <c r="O1666" s="49"/>
      <c r="P1666" s="49" t="str">
        <f>IFERROR(__xludf.DUMMYFUNCTION("""COMPUTED_VALUE"""),"Offset")</f>
        <v>Offset</v>
      </c>
      <c r="Q1666" s="49" t="str">
        <f>IFERROR(__xludf.DUMMYFUNCTION("""COMPUTED_VALUE"""),"Packaging")</f>
        <v>Packaging</v>
      </c>
      <c r="R1666" s="49" t="str">
        <f>IFERROR(__xludf.DUMMYFUNCTION("""COMPUTED_VALUE"""),"Misc")</f>
        <v>Misc</v>
      </c>
    </row>
    <row r="1667">
      <c r="A1667" s="156" t="str">
        <f>IFERROR(__xludf.DUMMYFUNCTION("""COMPUTED_VALUE"""),"https://drive.google.com/open?id=1-iuHpOUAOJO4noMgjiDFSuPSxqA_YI2S&amp;authuser=jay.agg%40gmail.com&amp;usp=drive_fs")</f>
        <v>https://drive.google.com/open?id=1-iuHpOUAOJO4noMgjiDFSuPSxqA_YI2S&amp;authuser=jay.agg%40gmail.com&amp;usp=drive_fs</v>
      </c>
      <c r="B1667" s="73" t="str">
        <f>IFERROR(__xludf.DUMMYFUNCTION("""COMPUTED_VALUE"""),"Misc")</f>
        <v>Misc</v>
      </c>
      <c r="C1667" s="73" t="str">
        <f>IFERROR(__xludf.DUMMYFUNCTION("""COMPUTED_VALUE"""),"Cigarette Paper")</f>
        <v>Cigarette Paper</v>
      </c>
      <c r="D1667" s="73" t="str">
        <f>IFERROR(__xludf.DUMMYFUNCTION("""COMPUTED_VALUE"""),"115*12.75*12.75 mm")</f>
        <v>115*12.75*12.75 mm</v>
      </c>
      <c r="E1667" s="77">
        <f>IFERROR(__xludf.DUMMYFUNCTION("""COMPUTED_VALUE"""),16.0)</f>
        <v>16</v>
      </c>
      <c r="F1667" s="77">
        <f>IFERROR(__xludf.DUMMYFUNCTION("""COMPUTED_VALUE"""),1926.0)</f>
        <v>1926</v>
      </c>
      <c r="G1667" s="77">
        <f>IFERROR(__xludf.DUMMYFUNCTION("""COMPUTED_VALUE"""),12.5)</f>
        <v>12.5</v>
      </c>
      <c r="H1667" s="77">
        <f>IFERROR(__xludf.DUMMYFUNCTION("""COMPUTED_VALUE"""),20.0)</f>
        <v>20</v>
      </c>
      <c r="I1667" s="77">
        <f>IFERROR(__xludf.DUMMYFUNCTION("""COMPUTED_VALUE"""),100.0)</f>
        <v>100</v>
      </c>
      <c r="J1667" s="73"/>
      <c r="K1667" s="73"/>
      <c r="L1667" s="73"/>
      <c r="M1667" s="77">
        <f>IFERROR(__xludf.DUMMYFUNCTION("""COMPUTED_VALUE"""),0.1)</f>
        <v>0.1</v>
      </c>
      <c r="N1667" s="77">
        <f>IFERROR(__xludf.DUMMYFUNCTION("""COMPUTED_VALUE"""),1.0)</f>
        <v>1</v>
      </c>
      <c r="O1667" s="49"/>
      <c r="P1667" s="49" t="str">
        <f>IFERROR(__xludf.DUMMYFUNCTION("""COMPUTED_VALUE"""),"Offset")</f>
        <v>Offset</v>
      </c>
      <c r="Q1667" s="49" t="str">
        <f>IFERROR(__xludf.DUMMYFUNCTION("""COMPUTED_VALUE"""),"Packaging")</f>
        <v>Packaging</v>
      </c>
      <c r="R1667" s="49" t="str">
        <f>IFERROR(__xludf.DUMMYFUNCTION("""COMPUTED_VALUE"""),"Misc")</f>
        <v>Misc</v>
      </c>
    </row>
    <row r="1668">
      <c r="A1668" s="156" t="str">
        <f>IFERROR(__xludf.DUMMYFUNCTION("""COMPUTED_VALUE"""),"https://drive.google.com/open?id=1-jaT3KM-AnuDANWhRNLyOM923_Sg0Fv0&amp;authuser=jay.agg%40gmail.com&amp;usp=drive_fs")</f>
        <v>https://drive.google.com/open?id=1-jaT3KM-AnuDANWhRNLyOM923_Sg0Fv0&amp;authuser=jay.agg%40gmail.com&amp;usp=drive_fs</v>
      </c>
      <c r="B1668" s="73" t="str">
        <f>IFERROR(__xludf.DUMMYFUNCTION("""COMPUTED_VALUE"""),"Misc")</f>
        <v>Misc</v>
      </c>
      <c r="C1668" s="73" t="str">
        <f>IFERROR(__xludf.DUMMYFUNCTION("""COMPUTED_VALUE"""),"Cigarette Paper")</f>
        <v>Cigarette Paper</v>
      </c>
      <c r="D1668" s="73" t="str">
        <f>IFERROR(__xludf.DUMMYFUNCTION("""COMPUTED_VALUE"""),"197*93*135 mm")</f>
        <v>197*93*135 mm</v>
      </c>
      <c r="E1668" s="77">
        <f>IFERROR(__xludf.DUMMYFUNCTION("""COMPUTED_VALUE"""),1.0)</f>
        <v>1</v>
      </c>
      <c r="F1668" s="77">
        <f>IFERROR(__xludf.DUMMYFUNCTION("""COMPUTED_VALUE"""),1926.0)</f>
        <v>1926</v>
      </c>
      <c r="G1668" s="77">
        <f>IFERROR(__xludf.DUMMYFUNCTION("""COMPUTED_VALUE"""),15.0)</f>
        <v>15</v>
      </c>
      <c r="H1668" s="77">
        <f>IFERROR(__xludf.DUMMYFUNCTION("""COMPUTED_VALUE"""),25.0)</f>
        <v>25</v>
      </c>
      <c r="I1668" s="77">
        <f>IFERROR(__xludf.DUMMYFUNCTION("""COMPUTED_VALUE"""),100.0)</f>
        <v>100</v>
      </c>
      <c r="J1668" s="73"/>
      <c r="K1668" s="73"/>
      <c r="L1668" s="73"/>
      <c r="M1668" s="77">
        <f>IFERROR(__xludf.DUMMYFUNCTION("""COMPUTED_VALUE"""),0.1)</f>
        <v>0.1</v>
      </c>
      <c r="N1668" s="77">
        <f>IFERROR(__xludf.DUMMYFUNCTION("""COMPUTED_VALUE"""),1.0)</f>
        <v>1</v>
      </c>
      <c r="O1668" s="49"/>
      <c r="P1668" s="49" t="str">
        <f>IFERROR(__xludf.DUMMYFUNCTION("""COMPUTED_VALUE"""),"Offset")</f>
        <v>Offset</v>
      </c>
      <c r="Q1668" s="49" t="str">
        <f>IFERROR(__xludf.DUMMYFUNCTION("""COMPUTED_VALUE"""),"Packaging")</f>
        <v>Packaging</v>
      </c>
      <c r="R1668" s="49" t="str">
        <f>IFERROR(__xludf.DUMMYFUNCTION("""COMPUTED_VALUE"""),"Misc")</f>
        <v>Misc</v>
      </c>
    </row>
    <row r="1669">
      <c r="A1669" s="156" t="str">
        <f>IFERROR(__xludf.DUMMYFUNCTION("""COMPUTED_VALUE"""),"https://drive.google.com/open?id=112Ao5xqino_9TjJnrIWPerR9hRzmO8lW&amp;authuser=jay.agg%40gmail.com&amp;usp=drive_fs")</f>
        <v>https://drive.google.com/open?id=112Ao5xqino_9TjJnrIWPerR9hRzmO8lW&amp;authuser=jay.agg%40gmail.com&amp;usp=drive_fs</v>
      </c>
      <c r="B1669" s="73" t="str">
        <f>IFERROR(__xludf.DUMMYFUNCTION("""COMPUTED_VALUE"""),"Misc")</f>
        <v>Misc</v>
      </c>
      <c r="C1669" s="73" t="str">
        <f>IFERROR(__xludf.DUMMYFUNCTION("""COMPUTED_VALUE"""),"Gift Box")</f>
        <v>Gift Box</v>
      </c>
      <c r="D1669" s="73" t="str">
        <f>IFERROR(__xludf.DUMMYFUNCTION("""COMPUTED_VALUE"""),"100*30*180 mm Tray")</f>
        <v>100*30*180 mm Tray</v>
      </c>
      <c r="E1669" s="77">
        <f>IFERROR(__xludf.DUMMYFUNCTION("""COMPUTED_VALUE"""),4.0)</f>
        <v>4</v>
      </c>
      <c r="F1669" s="77">
        <f>IFERROR(__xludf.DUMMYFUNCTION("""COMPUTED_VALUE"""),1926.0)</f>
        <v>1926</v>
      </c>
      <c r="G1669" s="77">
        <f>IFERROR(__xludf.DUMMYFUNCTION("""COMPUTED_VALUE"""),19.0)</f>
        <v>19</v>
      </c>
      <c r="H1669" s="77">
        <f>IFERROR(__xludf.DUMMYFUNCTION("""COMPUTED_VALUE"""),26.0)</f>
        <v>26</v>
      </c>
      <c r="I1669" s="77">
        <f>IFERROR(__xludf.DUMMYFUNCTION("""COMPUTED_VALUE"""),100.0)</f>
        <v>100</v>
      </c>
      <c r="J1669" s="73"/>
      <c r="K1669" s="73"/>
      <c r="L1669" s="73"/>
      <c r="M1669" s="77">
        <f>IFERROR(__xludf.DUMMYFUNCTION("""COMPUTED_VALUE"""),0.3)</f>
        <v>0.3</v>
      </c>
      <c r="N1669" s="77">
        <f>IFERROR(__xludf.DUMMYFUNCTION("""COMPUTED_VALUE"""),1.0)</f>
        <v>1</v>
      </c>
      <c r="O1669" s="49"/>
      <c r="P1669" s="49" t="str">
        <f>IFERROR(__xludf.DUMMYFUNCTION("""COMPUTED_VALUE"""),"Offset")</f>
        <v>Offset</v>
      </c>
      <c r="Q1669" s="49" t="str">
        <f>IFERROR(__xludf.DUMMYFUNCTION("""COMPUTED_VALUE"""),"Packaging")</f>
        <v>Packaging</v>
      </c>
      <c r="R1669" s="49" t="str">
        <f>IFERROR(__xludf.DUMMYFUNCTION("""COMPUTED_VALUE"""),"Misc")</f>
        <v>Misc</v>
      </c>
    </row>
    <row r="1670">
      <c r="A1670" s="156" t="str">
        <f>IFERROR(__xludf.DUMMYFUNCTION("""COMPUTED_VALUE"""),"https://drive.google.com/open?id=110bKlZbyqy-2w8HTZh0R7vf3qxOqBQgD&amp;authuser=jay.agg%40gmail.com&amp;usp=drive_fs")</f>
        <v>https://drive.google.com/open?id=110bKlZbyqy-2w8HTZh0R7vf3qxOqBQgD&amp;authuser=jay.agg%40gmail.com&amp;usp=drive_fs</v>
      </c>
      <c r="B1670" s="73" t="str">
        <f>IFERROR(__xludf.DUMMYFUNCTION("""COMPUTED_VALUE"""),"Misc")</f>
        <v>Misc</v>
      </c>
      <c r="C1670" s="73" t="str">
        <f>IFERROR(__xludf.DUMMYFUNCTION("""COMPUTED_VALUE"""),"Gift Box")</f>
        <v>Gift Box</v>
      </c>
      <c r="D1670" s="73" t="str">
        <f>IFERROR(__xludf.DUMMYFUNCTION("""COMPUTED_VALUE"""),"100*30*180 mm W 2.75*5.5 inch")</f>
        <v>100*30*180 mm W 2.75*5.5 inch</v>
      </c>
      <c r="E1670" s="77">
        <f>IFERROR(__xludf.DUMMYFUNCTION("""COMPUTED_VALUE"""),4.0)</f>
        <v>4</v>
      </c>
      <c r="F1670" s="77">
        <f>IFERROR(__xludf.DUMMYFUNCTION("""COMPUTED_VALUE"""),1926.0)</f>
        <v>1926</v>
      </c>
      <c r="G1670" s="77">
        <f>IFERROR(__xludf.DUMMYFUNCTION("""COMPUTED_VALUE"""),15.0)</f>
        <v>15</v>
      </c>
      <c r="H1670" s="77">
        <f>IFERROR(__xludf.DUMMYFUNCTION("""COMPUTED_VALUE"""),25.0)</f>
        <v>25</v>
      </c>
      <c r="I1670" s="77">
        <f>IFERROR(__xludf.DUMMYFUNCTION("""COMPUTED_VALUE"""),100.0)</f>
        <v>100</v>
      </c>
      <c r="J1670" s="73"/>
      <c r="K1670" s="73"/>
      <c r="L1670" s="73"/>
      <c r="M1670" s="77">
        <f>IFERROR(__xludf.DUMMYFUNCTION("""COMPUTED_VALUE"""),0.1)</f>
        <v>0.1</v>
      </c>
      <c r="N1670" s="77">
        <f>IFERROR(__xludf.DUMMYFUNCTION("""COMPUTED_VALUE"""),1.0)</f>
        <v>1</v>
      </c>
      <c r="O1670" s="49"/>
      <c r="P1670" s="49" t="str">
        <f>IFERROR(__xludf.DUMMYFUNCTION("""COMPUTED_VALUE"""),"Offset")</f>
        <v>Offset</v>
      </c>
      <c r="Q1670" s="49" t="str">
        <f>IFERROR(__xludf.DUMMYFUNCTION("""COMPUTED_VALUE"""),"Packaging")</f>
        <v>Packaging</v>
      </c>
      <c r="R1670" s="49" t="str">
        <f>IFERROR(__xludf.DUMMYFUNCTION("""COMPUTED_VALUE"""),"Misc")</f>
        <v>Misc</v>
      </c>
    </row>
    <row r="1671">
      <c r="A1671" s="156" t="str">
        <f>IFERROR(__xludf.DUMMYFUNCTION("""COMPUTED_VALUE"""),"https://drive.google.com/open?id=115Eyh9c7SfH1NbJRxMV3kA9D8qAPdNg1&amp;authuser=jay.agg%40gmail.com&amp;usp=drive_fs")</f>
        <v>https://drive.google.com/open?id=115Eyh9c7SfH1NbJRxMV3kA9D8qAPdNg1&amp;authuser=jay.agg%40gmail.com&amp;usp=drive_fs</v>
      </c>
      <c r="B1671" s="73" t="str">
        <f>IFERROR(__xludf.DUMMYFUNCTION("""COMPUTED_VALUE"""),"Misc")</f>
        <v>Misc</v>
      </c>
      <c r="C1671" s="73" t="str">
        <f>IFERROR(__xludf.DUMMYFUNCTION("""COMPUTED_VALUE"""),"Misc")</f>
        <v>Misc</v>
      </c>
      <c r="D1671" s="73" t="str">
        <f>IFERROR(__xludf.DUMMYFUNCTION("""COMPUTED_VALUE"""),"72*92*200 mm")</f>
        <v>72*92*200 mm</v>
      </c>
      <c r="E1671" s="77">
        <f>IFERROR(__xludf.DUMMYFUNCTION("""COMPUTED_VALUE"""),2.0)</f>
        <v>2</v>
      </c>
      <c r="F1671" s="77">
        <f>IFERROR(__xludf.DUMMYFUNCTION("""COMPUTED_VALUE"""),2029.0)</f>
        <v>2029</v>
      </c>
      <c r="G1671" s="77">
        <f>IFERROR(__xludf.DUMMYFUNCTION("""COMPUTED_VALUE"""),13.8)</f>
        <v>13.8</v>
      </c>
      <c r="H1671" s="77">
        <f>IFERROR(__xludf.DUMMYFUNCTION("""COMPUTED_VALUE"""),15.9)</f>
        <v>15.9</v>
      </c>
      <c r="I1671" s="77">
        <f>IFERROR(__xludf.DUMMYFUNCTION("""COMPUTED_VALUE"""),100.0)</f>
        <v>100</v>
      </c>
      <c r="J1671" s="73"/>
      <c r="K1671" s="73"/>
      <c r="L1671" s="73"/>
      <c r="M1671" s="77">
        <f>IFERROR(__xludf.DUMMYFUNCTION("""COMPUTED_VALUE"""),0.1)</f>
        <v>0.1</v>
      </c>
      <c r="N1671" s="77">
        <f>IFERROR(__xludf.DUMMYFUNCTION("""COMPUTED_VALUE"""),1.0)</f>
        <v>1</v>
      </c>
      <c r="O1671" s="49"/>
      <c r="P1671" s="49" t="str">
        <f>IFERROR(__xludf.DUMMYFUNCTION("""COMPUTED_VALUE"""),"Offset")</f>
        <v>Offset</v>
      </c>
      <c r="Q1671" s="49" t="str">
        <f>IFERROR(__xludf.DUMMYFUNCTION("""COMPUTED_VALUE"""),"Packaging")</f>
        <v>Packaging</v>
      </c>
      <c r="R1671" s="49" t="str">
        <f>IFERROR(__xludf.DUMMYFUNCTION("""COMPUTED_VALUE"""),"Misc")</f>
        <v>Misc</v>
      </c>
    </row>
    <row r="1672">
      <c r="A1672" s="156" t="str">
        <f>IFERROR(__xludf.DUMMYFUNCTION("""COMPUTED_VALUE"""),"https://drive.google.com/open?id=11LXsbUcKEo2quLWga2Tzzq7vP08rVQgX&amp;authuser=jay.agg%40gmail.com&amp;usp=drive_fs")</f>
        <v>https://drive.google.com/open?id=11LXsbUcKEo2quLWga2Tzzq7vP08rVQgX&amp;authuser=jay.agg%40gmail.com&amp;usp=drive_fs</v>
      </c>
      <c r="B1672" s="73" t="str">
        <f>IFERROR(__xludf.DUMMYFUNCTION("""COMPUTED_VALUE"""),"Misc")</f>
        <v>Misc</v>
      </c>
      <c r="C1672" s="73" t="str">
        <f>IFERROR(__xludf.DUMMYFUNCTION("""COMPUTED_VALUE"""),"Smoke Pods")</f>
        <v>Smoke Pods</v>
      </c>
      <c r="D1672" s="73" t="str">
        <f>IFERROR(__xludf.DUMMYFUNCTION("""COMPUTED_VALUE"""),"76*76*90 mm | 3*3*3.5 inch")</f>
        <v>76*76*90 mm | 3*3*3.5 inch</v>
      </c>
      <c r="E1672" s="77">
        <f>IFERROR(__xludf.DUMMYFUNCTION("""COMPUTED_VALUE"""),4.0)</f>
        <v>4</v>
      </c>
      <c r="F1672" s="77">
        <f>IFERROR(__xludf.DUMMYFUNCTION("""COMPUTED_VALUE"""),1926.0)</f>
        <v>1926</v>
      </c>
      <c r="G1672" s="77">
        <f>IFERROR(__xludf.DUMMYFUNCTION("""COMPUTED_VALUE"""),19.0)</f>
        <v>19</v>
      </c>
      <c r="H1672" s="77">
        <f>IFERROR(__xludf.DUMMYFUNCTION("""COMPUTED_VALUE"""),26.0)</f>
        <v>26</v>
      </c>
      <c r="I1672" s="77">
        <f>IFERROR(__xludf.DUMMYFUNCTION("""COMPUTED_VALUE"""),100.0)</f>
        <v>100</v>
      </c>
      <c r="J1672" s="73"/>
      <c r="K1672" s="73"/>
      <c r="L1672" s="73"/>
      <c r="M1672" s="77">
        <f>IFERROR(__xludf.DUMMYFUNCTION("""COMPUTED_VALUE"""),0.1)</f>
        <v>0.1</v>
      </c>
      <c r="N1672" s="77">
        <f>IFERROR(__xludf.DUMMYFUNCTION("""COMPUTED_VALUE"""),1.0)</f>
        <v>1</v>
      </c>
      <c r="O1672" s="49"/>
      <c r="P1672" s="49" t="str">
        <f>IFERROR(__xludf.DUMMYFUNCTION("""COMPUTED_VALUE"""),"Offset")</f>
        <v>Offset</v>
      </c>
      <c r="Q1672" s="49" t="str">
        <f>IFERROR(__xludf.DUMMYFUNCTION("""COMPUTED_VALUE"""),"Packaging")</f>
        <v>Packaging</v>
      </c>
      <c r="R1672" s="49" t="str">
        <f>IFERROR(__xludf.DUMMYFUNCTION("""COMPUTED_VALUE"""),"Misc")</f>
        <v>Misc</v>
      </c>
    </row>
    <row r="1673">
      <c r="A1673" s="156" t="str">
        <f>IFERROR(__xludf.DUMMYFUNCTION("""COMPUTED_VALUE"""),"https://drive.google.com/open?id=11QlGBx770zXHab9g9hLz7IHTOSZQVPMO&amp;authuser=jay.agg%40gmail.com&amp;usp=drive_fs")</f>
        <v>https://drive.google.com/open?id=11QlGBx770zXHab9g9hLz7IHTOSZQVPMO&amp;authuser=jay.agg%40gmail.com&amp;usp=drive_fs</v>
      </c>
      <c r="B1673" s="73" t="str">
        <f>IFERROR(__xludf.DUMMYFUNCTION("""COMPUTED_VALUE"""),"Misc")</f>
        <v>Misc</v>
      </c>
      <c r="C1673" s="73" t="str">
        <f>IFERROR(__xludf.DUMMYFUNCTION("""COMPUTED_VALUE"""),"Smoke Pods")</f>
        <v>Smoke Pods</v>
      </c>
      <c r="D1673" s="73" t="str">
        <f>IFERROR(__xludf.DUMMYFUNCTION("""COMPUTED_VALUE"""),"76*38*76 mm | 3*1.5*3 inch")</f>
        <v>76*38*76 mm | 3*1.5*3 inch</v>
      </c>
      <c r="E1673" s="77">
        <f>IFERROR(__xludf.DUMMYFUNCTION("""COMPUTED_VALUE"""),6.0)</f>
        <v>6</v>
      </c>
      <c r="F1673" s="77">
        <f>IFERROR(__xludf.DUMMYFUNCTION("""COMPUTED_VALUE"""),1926.0)</f>
        <v>1926</v>
      </c>
      <c r="G1673" s="77">
        <f>IFERROR(__xludf.DUMMYFUNCTION("""COMPUTED_VALUE"""),18.0)</f>
        <v>18</v>
      </c>
      <c r="H1673" s="77">
        <f>IFERROR(__xludf.DUMMYFUNCTION("""COMPUTED_VALUE"""),21.0)</f>
        <v>21</v>
      </c>
      <c r="I1673" s="77">
        <f>IFERROR(__xludf.DUMMYFUNCTION("""COMPUTED_VALUE"""),100.0)</f>
        <v>100</v>
      </c>
      <c r="J1673" s="73"/>
      <c r="K1673" s="73"/>
      <c r="L1673" s="73"/>
      <c r="M1673" s="77">
        <f>IFERROR(__xludf.DUMMYFUNCTION("""COMPUTED_VALUE"""),0.1)</f>
        <v>0.1</v>
      </c>
      <c r="N1673" s="77">
        <f>IFERROR(__xludf.DUMMYFUNCTION("""COMPUTED_VALUE"""),1.0)</f>
        <v>1</v>
      </c>
      <c r="O1673" s="49"/>
      <c r="P1673" s="49" t="str">
        <f>IFERROR(__xludf.DUMMYFUNCTION("""COMPUTED_VALUE"""),"Offset")</f>
        <v>Offset</v>
      </c>
      <c r="Q1673" s="49" t="str">
        <f>IFERROR(__xludf.DUMMYFUNCTION("""COMPUTED_VALUE"""),"Packaging")</f>
        <v>Packaging</v>
      </c>
      <c r="R1673" s="49" t="str">
        <f>IFERROR(__xludf.DUMMYFUNCTION("""COMPUTED_VALUE"""),"Misc")</f>
        <v>Misc</v>
      </c>
    </row>
    <row r="1674">
      <c r="A1674" s="156" t="str">
        <f>IFERROR(__xludf.DUMMYFUNCTION("""COMPUTED_VALUE"""),"https://drive.google.com/open?id=1IPMi69sXMAuKZIKvrDpuPkaXxkXFxk7F&amp;authuser=jay.agg%40gmail.com&amp;usp=drive_fs")</f>
        <v>https://drive.google.com/open?id=1IPMi69sXMAuKZIKvrDpuPkaXxkXFxk7F&amp;authuser=jay.agg%40gmail.com&amp;usp=drive_fs</v>
      </c>
      <c r="B1674" s="73" t="str">
        <f>IFERROR(__xludf.DUMMYFUNCTION("""COMPUTED_VALUE"""),"Misc")</f>
        <v>Misc</v>
      </c>
      <c r="C1674" s="73" t="str">
        <f>IFERROR(__xludf.DUMMYFUNCTION("""COMPUTED_VALUE"""),"PolyBag")</f>
        <v>PolyBag</v>
      </c>
      <c r="D1674" s="73" t="str">
        <f>IFERROR(__xludf.DUMMYFUNCTION("""COMPUTED_VALUE"""),"80*30*220 mm")</f>
        <v>80*30*220 mm</v>
      </c>
      <c r="E1674" s="77">
        <f>IFERROR(__xludf.DUMMYFUNCTION("""COMPUTED_VALUE"""),4.0)</f>
        <v>4</v>
      </c>
      <c r="F1674" s="77">
        <f>IFERROR(__xludf.DUMMYFUNCTION("""COMPUTED_VALUE"""),1926.0)</f>
        <v>1926</v>
      </c>
      <c r="G1674" s="77">
        <f>IFERROR(__xludf.DUMMYFUNCTION("""COMPUTED_VALUE"""),19.5)</f>
        <v>19.5</v>
      </c>
      <c r="H1674" s="77">
        <f>IFERROR(__xludf.DUMMYFUNCTION("""COMPUTED_VALUE"""),23.0)</f>
        <v>23</v>
      </c>
      <c r="I1674" s="77">
        <f>IFERROR(__xludf.DUMMYFUNCTION("""COMPUTED_VALUE"""),100.0)</f>
        <v>100</v>
      </c>
      <c r="J1674" s="73"/>
      <c r="K1674" s="73"/>
      <c r="L1674" s="73"/>
      <c r="M1674" s="77">
        <f>IFERROR(__xludf.DUMMYFUNCTION("""COMPUTED_VALUE"""),0.1)</f>
        <v>0.1</v>
      </c>
      <c r="N1674" s="77">
        <f>IFERROR(__xludf.DUMMYFUNCTION("""COMPUTED_VALUE"""),1.0)</f>
        <v>1</v>
      </c>
      <c r="O1674" s="49"/>
      <c r="P1674" s="49" t="str">
        <f>IFERROR(__xludf.DUMMYFUNCTION("""COMPUTED_VALUE"""),"Offset")</f>
        <v>Offset</v>
      </c>
      <c r="Q1674" s="49" t="str">
        <f>IFERROR(__xludf.DUMMYFUNCTION("""COMPUTED_VALUE"""),"Packaging")</f>
        <v>Packaging</v>
      </c>
      <c r="R1674" s="49" t="str">
        <f>IFERROR(__xludf.DUMMYFUNCTION("""COMPUTED_VALUE"""),"Misc")</f>
        <v>Misc</v>
      </c>
    </row>
    <row r="1675">
      <c r="A1675" s="156" t="str">
        <f>IFERROR(__xludf.DUMMYFUNCTION("""COMPUTED_VALUE"""),"https://drive.google.com/open?id=1KNWTOEuSZDiIHH9Ypek-LajBbxH5IB1D&amp;authuser=jay.agg%40gmail.com&amp;usp=drive_fs")</f>
        <v>https://drive.google.com/open?id=1KNWTOEuSZDiIHH9Ypek-LajBbxH5IB1D&amp;authuser=jay.agg%40gmail.com&amp;usp=drive_fs</v>
      </c>
      <c r="B1675" s="73" t="str">
        <f>IFERROR(__xludf.DUMMYFUNCTION("""COMPUTED_VALUE"""),"Misc")</f>
        <v>Misc</v>
      </c>
      <c r="C1675" s="73" t="str">
        <f>IFERROR(__xludf.DUMMYFUNCTION("""COMPUTED_VALUE"""),"Rakhi")</f>
        <v>Rakhi</v>
      </c>
      <c r="D1675" s="73" t="str">
        <f>IFERROR(__xludf.DUMMYFUNCTION("""COMPUTED_VALUE"""),"140*70*25 mm Tray")</f>
        <v>140*70*25 mm Tray</v>
      </c>
      <c r="E1675" s="77">
        <f>IFERROR(__xludf.DUMMYFUNCTION("""COMPUTED_VALUE"""),4.0)</f>
        <v>4</v>
      </c>
      <c r="F1675" s="77">
        <f>IFERROR(__xludf.DUMMYFUNCTION("""COMPUTED_VALUE"""),1926.0)</f>
        <v>1926</v>
      </c>
      <c r="G1675" s="77">
        <f>IFERROR(__xludf.DUMMYFUNCTION("""COMPUTED_VALUE"""),18.0)</f>
        <v>18</v>
      </c>
      <c r="H1675" s="77">
        <f>IFERROR(__xludf.DUMMYFUNCTION("""COMPUTED_VALUE"""),23.0)</f>
        <v>23</v>
      </c>
      <c r="I1675" s="77">
        <f>IFERROR(__xludf.DUMMYFUNCTION("""COMPUTED_VALUE"""),100.0)</f>
        <v>100</v>
      </c>
      <c r="J1675" s="73"/>
      <c r="K1675" s="73"/>
      <c r="L1675" s="73"/>
      <c r="M1675" s="77">
        <f>IFERROR(__xludf.DUMMYFUNCTION("""COMPUTED_VALUE"""),0.4)</f>
        <v>0.4</v>
      </c>
      <c r="N1675" s="77">
        <f>IFERROR(__xludf.DUMMYFUNCTION("""COMPUTED_VALUE"""),1.0)</f>
        <v>1</v>
      </c>
      <c r="O1675" s="49"/>
      <c r="P1675" s="49" t="str">
        <f>IFERROR(__xludf.DUMMYFUNCTION("""COMPUTED_VALUE"""),"Offset")</f>
        <v>Offset</v>
      </c>
      <c r="Q1675" s="49" t="str">
        <f>IFERROR(__xludf.DUMMYFUNCTION("""COMPUTED_VALUE"""),"Packaging")</f>
        <v>Packaging</v>
      </c>
      <c r="R1675" s="49" t="str">
        <f>IFERROR(__xludf.DUMMYFUNCTION("""COMPUTED_VALUE"""),"Misc")</f>
        <v>Misc</v>
      </c>
    </row>
    <row r="1676">
      <c r="A1676" s="156" t="str">
        <f>IFERROR(__xludf.DUMMYFUNCTION("""COMPUTED_VALUE"""),"https://drive.google.com/open?id=1KODiRts8-Adx0nL065sGPIGdkNubRjxn&amp;authuser=jay.agg%40gmail.com&amp;usp=drive_fs")</f>
        <v>https://drive.google.com/open?id=1KODiRts8-Adx0nL065sGPIGdkNubRjxn&amp;authuser=jay.agg%40gmail.com&amp;usp=drive_fs</v>
      </c>
      <c r="B1676" s="73" t="str">
        <f>IFERROR(__xludf.DUMMYFUNCTION("""COMPUTED_VALUE"""),"Misc")</f>
        <v>Misc</v>
      </c>
      <c r="C1676" s="73" t="str">
        <f>IFERROR(__xludf.DUMMYFUNCTION("""COMPUTED_VALUE"""),"Rakhi")</f>
        <v>Rakhi</v>
      </c>
      <c r="D1676" s="73" t="str">
        <f>IFERROR(__xludf.DUMMYFUNCTION("""COMPUTED_VALUE"""),"Sleeve 140*70*25 mm")</f>
        <v>Sleeve 140*70*25 mm</v>
      </c>
      <c r="E1676" s="77">
        <f>IFERROR(__xludf.DUMMYFUNCTION("""COMPUTED_VALUE"""),8.0)</f>
        <v>8</v>
      </c>
      <c r="F1676" s="77">
        <f>IFERROR(__xludf.DUMMYFUNCTION("""COMPUTED_VALUE"""),1926.0)</f>
        <v>1926</v>
      </c>
      <c r="G1676" s="77">
        <f>IFERROR(__xludf.DUMMYFUNCTION("""COMPUTED_VALUE"""),18.0)</f>
        <v>18</v>
      </c>
      <c r="H1676" s="77">
        <f>IFERROR(__xludf.DUMMYFUNCTION("""COMPUTED_VALUE"""),23.0)</f>
        <v>23</v>
      </c>
      <c r="I1676" s="77">
        <f>IFERROR(__xludf.DUMMYFUNCTION("""COMPUTED_VALUE"""),100.0)</f>
        <v>100</v>
      </c>
      <c r="J1676" s="73"/>
      <c r="K1676" s="73"/>
      <c r="L1676" s="73"/>
      <c r="M1676" s="77">
        <f>IFERROR(__xludf.DUMMYFUNCTION("""COMPUTED_VALUE"""),0.1)</f>
        <v>0.1</v>
      </c>
      <c r="N1676" s="77">
        <f>IFERROR(__xludf.DUMMYFUNCTION("""COMPUTED_VALUE"""),1.0)</f>
        <v>1</v>
      </c>
      <c r="O1676" s="49"/>
      <c r="P1676" s="49" t="str">
        <f>IFERROR(__xludf.DUMMYFUNCTION("""COMPUTED_VALUE"""),"Offset")</f>
        <v>Offset</v>
      </c>
      <c r="Q1676" s="49" t="str">
        <f>IFERROR(__xludf.DUMMYFUNCTION("""COMPUTED_VALUE"""),"Packaging")</f>
        <v>Packaging</v>
      </c>
      <c r="R1676" s="49" t="str">
        <f>IFERROR(__xludf.DUMMYFUNCTION("""COMPUTED_VALUE"""),"Misc")</f>
        <v>Misc</v>
      </c>
    </row>
    <row r="1677">
      <c r="A1677" s="156" t="str">
        <f>IFERROR(__xludf.DUMMYFUNCTION("""COMPUTED_VALUE"""),"https://drive.google.com/open?id=16wAu8oqzG1Wfumi8pCDgcq8asHgonHdF&amp;authuser=jay.agg%40gmail.com&amp;usp=drive_fs")</f>
        <v>https://drive.google.com/open?id=16wAu8oqzG1Wfumi8pCDgcq8asHgonHdF&amp;authuser=jay.agg%40gmail.com&amp;usp=drive_fs</v>
      </c>
      <c r="B1677" s="73" t="str">
        <f>IFERROR(__xludf.DUMMYFUNCTION("""COMPUTED_VALUE"""),"Misc")</f>
        <v>Misc</v>
      </c>
      <c r="C1677" s="73" t="str">
        <f>IFERROR(__xludf.DUMMYFUNCTION("""COMPUTED_VALUE"""),"Misc")</f>
        <v>Misc</v>
      </c>
      <c r="D1677" s="73" t="str">
        <f>IFERROR(__xludf.DUMMYFUNCTION("""COMPUTED_VALUE"""),"39*39*130 mm")</f>
        <v>39*39*130 mm</v>
      </c>
      <c r="E1677" s="77">
        <f>IFERROR(__xludf.DUMMYFUNCTION("""COMPUTED_VALUE"""),6.0)</f>
        <v>6</v>
      </c>
      <c r="F1677" s="77">
        <f>IFERROR(__xludf.DUMMYFUNCTION("""COMPUTED_VALUE"""),1926.0)</f>
        <v>1926</v>
      </c>
      <c r="G1677" s="77">
        <f>IFERROR(__xludf.DUMMYFUNCTION("""COMPUTED_VALUE"""),18.0)</f>
        <v>18</v>
      </c>
      <c r="H1677" s="77">
        <f>IFERROR(__xludf.DUMMYFUNCTION("""COMPUTED_VALUE"""),21.0)</f>
        <v>21</v>
      </c>
      <c r="I1677" s="77">
        <f>IFERROR(__xludf.DUMMYFUNCTION("""COMPUTED_VALUE"""),100.0)</f>
        <v>100</v>
      </c>
      <c r="J1677" s="73"/>
      <c r="K1677" s="73"/>
      <c r="L1677" s="73"/>
      <c r="M1677" s="77">
        <f>IFERROR(__xludf.DUMMYFUNCTION("""COMPUTED_VALUE"""),0.1)</f>
        <v>0.1</v>
      </c>
      <c r="N1677" s="77">
        <f>IFERROR(__xludf.DUMMYFUNCTION("""COMPUTED_VALUE"""),1.0)</f>
        <v>1</v>
      </c>
      <c r="O1677" s="49"/>
      <c r="P1677" s="49" t="str">
        <f>IFERROR(__xludf.DUMMYFUNCTION("""COMPUTED_VALUE"""),"Offset")</f>
        <v>Offset</v>
      </c>
      <c r="Q1677" s="49" t="str">
        <f>IFERROR(__xludf.DUMMYFUNCTION("""COMPUTED_VALUE"""),"Packaging")</f>
        <v>Packaging</v>
      </c>
      <c r="R1677" s="49" t="str">
        <f>IFERROR(__xludf.DUMMYFUNCTION("""COMPUTED_VALUE"""),"Misc")</f>
        <v>Misc</v>
      </c>
    </row>
    <row r="1678">
      <c r="A1678" s="156" t="str">
        <f>IFERROR(__xludf.DUMMYFUNCTION("""COMPUTED_VALUE"""),"https://drive.google.com/open?id=19gbaQIuxrMBG7HvBwhrxto62Z7njdrJ0&amp;authuser=jay.agg%40gmail.com&amp;usp=drive_fs")</f>
        <v>https://drive.google.com/open?id=19gbaQIuxrMBG7HvBwhrxto62Z7njdrJ0&amp;authuser=jay.agg%40gmail.com&amp;usp=drive_fs</v>
      </c>
      <c r="B1678" s="73" t="str">
        <f>IFERROR(__xludf.DUMMYFUNCTION("""COMPUTED_VALUE"""),"Misc")</f>
        <v>Misc</v>
      </c>
      <c r="C1678" s="73" t="str">
        <f>IFERROR(__xludf.DUMMYFUNCTION("""COMPUTED_VALUE"""),"Misc")</f>
        <v>Misc</v>
      </c>
      <c r="D1678" s="73" t="str">
        <f>IFERROR(__xludf.DUMMYFUNCTION("""COMPUTED_VALUE"""),"60*20*90 mm")</f>
        <v>60*20*90 mm</v>
      </c>
      <c r="E1678" s="77">
        <f>IFERROR(__xludf.DUMMYFUNCTION("""COMPUTED_VALUE"""),9.0)</f>
        <v>9</v>
      </c>
      <c r="F1678" s="77">
        <f>IFERROR(__xludf.DUMMYFUNCTION("""COMPUTED_VALUE"""),1926.0)</f>
        <v>1926</v>
      </c>
      <c r="G1678" s="77">
        <f>IFERROR(__xludf.DUMMYFUNCTION("""COMPUTED_VALUE"""),18.0)</f>
        <v>18</v>
      </c>
      <c r="H1678" s="77">
        <f>IFERROR(__xludf.DUMMYFUNCTION("""COMPUTED_VALUE"""),21.0)</f>
        <v>21</v>
      </c>
      <c r="I1678" s="77">
        <f>IFERROR(__xludf.DUMMYFUNCTION("""COMPUTED_VALUE"""),100.0)</f>
        <v>100</v>
      </c>
      <c r="J1678" s="73"/>
      <c r="K1678" s="73"/>
      <c r="L1678" s="73"/>
      <c r="M1678" s="77">
        <f>IFERROR(__xludf.DUMMYFUNCTION("""COMPUTED_VALUE"""),0.1)</f>
        <v>0.1</v>
      </c>
      <c r="N1678" s="77">
        <f>IFERROR(__xludf.DUMMYFUNCTION("""COMPUTED_VALUE"""),1.0)</f>
        <v>1</v>
      </c>
      <c r="O1678" s="49"/>
      <c r="P1678" s="49" t="str">
        <f>IFERROR(__xludf.DUMMYFUNCTION("""COMPUTED_VALUE"""),"Offset")</f>
        <v>Offset</v>
      </c>
      <c r="Q1678" s="49" t="str">
        <f>IFERROR(__xludf.DUMMYFUNCTION("""COMPUTED_VALUE"""),"Packaging")</f>
        <v>Packaging</v>
      </c>
      <c r="R1678" s="49" t="str">
        <f>IFERROR(__xludf.DUMMYFUNCTION("""COMPUTED_VALUE"""),"Misc")</f>
        <v>Misc</v>
      </c>
    </row>
    <row r="1679">
      <c r="A1679" s="156" t="str">
        <f>IFERROR(__xludf.DUMMYFUNCTION("""COMPUTED_VALUE"""),"https://drive.google.com/open?id=1NDJewmHkV0iWUUnK410iooog4gqrkJrS&amp;authuser=jay.agg%40gmail.com&amp;usp=drive_fs")</f>
        <v>https://drive.google.com/open?id=1NDJewmHkV0iWUUnK410iooog4gqrkJrS&amp;authuser=jay.agg%40gmail.com&amp;usp=drive_fs</v>
      </c>
      <c r="B1679" s="73" t="str">
        <f>IFERROR(__xludf.DUMMYFUNCTION("""COMPUTED_VALUE"""),"Misc")</f>
        <v>Misc</v>
      </c>
      <c r="C1679" s="73" t="str">
        <f>IFERROR(__xludf.DUMMYFUNCTION("""COMPUTED_VALUE"""),"Misc")</f>
        <v>Misc</v>
      </c>
      <c r="D1679" s="73" t="str">
        <f>IFERROR(__xludf.DUMMYFUNCTION("""COMPUTED_VALUE"""),"Outer 60*20*90 mm | 95*45*305 m")</f>
        <v>Outer 60*20*90 mm | 95*45*305 m</v>
      </c>
      <c r="E1679" s="77">
        <f>IFERROR(__xludf.DUMMYFUNCTION("""COMPUTED_VALUE"""),2.0)</f>
        <v>2</v>
      </c>
      <c r="F1679" s="77">
        <f>IFERROR(__xludf.DUMMYFUNCTION("""COMPUTED_VALUE"""),1926.0)</f>
        <v>1926</v>
      </c>
      <c r="G1679" s="77">
        <f>IFERROR(__xludf.DUMMYFUNCTION("""COMPUTED_VALUE"""),18.0)</f>
        <v>18</v>
      </c>
      <c r="H1679" s="77">
        <f>IFERROR(__xludf.DUMMYFUNCTION("""COMPUTED_VALUE"""),23.0)</f>
        <v>23</v>
      </c>
      <c r="I1679" s="77">
        <f>IFERROR(__xludf.DUMMYFUNCTION("""COMPUTED_VALUE"""),100.0)</f>
        <v>100</v>
      </c>
      <c r="J1679" s="73"/>
      <c r="K1679" s="73"/>
      <c r="L1679" s="73"/>
      <c r="M1679" s="77">
        <f>IFERROR(__xludf.DUMMYFUNCTION("""COMPUTED_VALUE"""),0.1)</f>
        <v>0.1</v>
      </c>
      <c r="N1679" s="77">
        <f>IFERROR(__xludf.DUMMYFUNCTION("""COMPUTED_VALUE"""),1.0)</f>
        <v>1</v>
      </c>
      <c r="O1679" s="49"/>
      <c r="P1679" s="49" t="str">
        <f>IFERROR(__xludf.DUMMYFUNCTION("""COMPUTED_VALUE"""),"Offset")</f>
        <v>Offset</v>
      </c>
      <c r="Q1679" s="49" t="str">
        <f>IFERROR(__xludf.DUMMYFUNCTION("""COMPUTED_VALUE"""),"Packaging")</f>
        <v>Packaging</v>
      </c>
      <c r="R1679" s="49" t="str">
        <f>IFERROR(__xludf.DUMMYFUNCTION("""COMPUTED_VALUE"""),"Misc")</f>
        <v>Misc</v>
      </c>
    </row>
    <row r="1680">
      <c r="A1680" s="156" t="str">
        <f>IFERROR(__xludf.DUMMYFUNCTION("""COMPUTED_VALUE"""),"https://drive.google.com/open?id=1N_EKAmwOJs2EZBSe8FH-b_A-OJilN5B2&amp;authuser=jay.agg%40gmail.com&amp;usp=drive_fs")</f>
        <v>https://drive.google.com/open?id=1N_EKAmwOJs2EZBSe8FH-b_A-OJilN5B2&amp;authuser=jay.agg%40gmail.com&amp;usp=drive_fs</v>
      </c>
      <c r="B1680" s="73" t="str">
        <f>IFERROR(__xludf.DUMMYFUNCTION("""COMPUTED_VALUE"""),"Misc")</f>
        <v>Misc</v>
      </c>
      <c r="C1680" s="73" t="str">
        <f>IFERROR(__xludf.DUMMYFUNCTION("""COMPUTED_VALUE"""),"Misc")</f>
        <v>Misc</v>
      </c>
      <c r="D1680" s="73" t="str">
        <f>IFERROR(__xludf.DUMMYFUNCTION("""COMPUTED_VALUE"""),"76*76*30 mm Sleeve")</f>
        <v>76*76*30 mm Sleeve</v>
      </c>
      <c r="E1680" s="77">
        <f>IFERROR(__xludf.DUMMYFUNCTION("""COMPUTED_VALUE"""),10.0)</f>
        <v>10</v>
      </c>
      <c r="F1680" s="77">
        <f>IFERROR(__xludf.DUMMYFUNCTION("""COMPUTED_VALUE"""),1926.0)</f>
        <v>1926</v>
      </c>
      <c r="G1680" s="77">
        <f>IFERROR(__xludf.DUMMYFUNCTION("""COMPUTED_VALUE"""),15.75)</f>
        <v>15.75</v>
      </c>
      <c r="H1680" s="77">
        <f>IFERROR(__xludf.DUMMYFUNCTION("""COMPUTED_VALUE"""),20.75)</f>
        <v>20.75</v>
      </c>
      <c r="I1680" s="77">
        <f>IFERROR(__xludf.DUMMYFUNCTION("""COMPUTED_VALUE"""),100.0)</f>
        <v>100</v>
      </c>
      <c r="J1680" s="73"/>
      <c r="K1680" s="73"/>
      <c r="L1680" s="73"/>
      <c r="M1680" s="77">
        <f>IFERROR(__xludf.DUMMYFUNCTION("""COMPUTED_VALUE"""),0.1)</f>
        <v>0.1</v>
      </c>
      <c r="N1680" s="77">
        <f>IFERROR(__xludf.DUMMYFUNCTION("""COMPUTED_VALUE"""),1.0)</f>
        <v>1</v>
      </c>
      <c r="O1680" s="49"/>
      <c r="P1680" s="49" t="str">
        <f>IFERROR(__xludf.DUMMYFUNCTION("""COMPUTED_VALUE"""),"Offset")</f>
        <v>Offset</v>
      </c>
      <c r="Q1680" s="49" t="str">
        <f>IFERROR(__xludf.DUMMYFUNCTION("""COMPUTED_VALUE"""),"Packaging")</f>
        <v>Packaging</v>
      </c>
      <c r="R1680" s="49" t="str">
        <f>IFERROR(__xludf.DUMMYFUNCTION("""COMPUTED_VALUE"""),"Misc")</f>
        <v>Misc</v>
      </c>
    </row>
    <row r="1681">
      <c r="A1681" s="156" t="str">
        <f>IFERROR(__xludf.DUMMYFUNCTION("""COMPUTED_VALUE"""),"https://drive.google.com/open?id=1NaWfCCOuyirGwZn6_wYendcKgmGp3xYt&amp;authuser=jay.agg%40gmail.com&amp;usp=drive_fs")</f>
        <v>https://drive.google.com/open?id=1NaWfCCOuyirGwZn6_wYendcKgmGp3xYt&amp;authuser=jay.agg%40gmail.com&amp;usp=drive_fs</v>
      </c>
      <c r="B1681" s="73" t="str">
        <f>IFERROR(__xludf.DUMMYFUNCTION("""COMPUTED_VALUE"""),"Misc")</f>
        <v>Misc</v>
      </c>
      <c r="C1681" s="73" t="str">
        <f>IFERROR(__xludf.DUMMYFUNCTION("""COMPUTED_VALUE"""),"Misc")</f>
        <v>Misc</v>
      </c>
      <c r="D1681" s="73" t="str">
        <f>IFERROR(__xludf.DUMMYFUNCTION("""COMPUTED_VALUE"""),"76*76*30  mm Tray")</f>
        <v>76*76*30  mm Tray</v>
      </c>
      <c r="E1681" s="77">
        <f>IFERROR(__xludf.DUMMYFUNCTION("""COMPUTED_VALUE"""),5.0)</f>
        <v>5</v>
      </c>
      <c r="F1681" s="77">
        <f>IFERROR(__xludf.DUMMYFUNCTION("""COMPUTED_VALUE"""),2029.0)</f>
        <v>2029</v>
      </c>
      <c r="G1681" s="77">
        <f>IFERROR(__xludf.DUMMYFUNCTION("""COMPUTED_VALUE"""),19.0)</f>
        <v>19</v>
      </c>
      <c r="H1681" s="77">
        <f>IFERROR(__xludf.DUMMYFUNCTION("""COMPUTED_VALUE"""),26.0)</f>
        <v>26</v>
      </c>
      <c r="I1681" s="77">
        <f>IFERROR(__xludf.DUMMYFUNCTION("""COMPUTED_VALUE"""),100.0)</f>
        <v>100</v>
      </c>
      <c r="J1681" s="73"/>
      <c r="K1681" s="73"/>
      <c r="L1681" s="73"/>
      <c r="M1681" s="77">
        <f>IFERROR(__xludf.DUMMYFUNCTION("""COMPUTED_VALUE"""),0.1)</f>
        <v>0.1</v>
      </c>
      <c r="N1681" s="77">
        <f>IFERROR(__xludf.DUMMYFUNCTION("""COMPUTED_VALUE"""),1.0)</f>
        <v>1</v>
      </c>
      <c r="O1681" s="49"/>
      <c r="P1681" s="49" t="str">
        <f>IFERROR(__xludf.DUMMYFUNCTION("""COMPUTED_VALUE"""),"Offset")</f>
        <v>Offset</v>
      </c>
      <c r="Q1681" s="49" t="str">
        <f>IFERROR(__xludf.DUMMYFUNCTION("""COMPUTED_VALUE"""),"Packaging")</f>
        <v>Packaging</v>
      </c>
      <c r="R1681" s="49" t="str">
        <f>IFERROR(__xludf.DUMMYFUNCTION("""COMPUTED_VALUE"""),"Misc")</f>
        <v>Misc</v>
      </c>
    </row>
    <row r="1682">
      <c r="A1682" s="156" t="str">
        <f>IFERROR(__xludf.DUMMYFUNCTION("""COMPUTED_VALUE"""),"https://drive.google.com/open?id=1NoQ9H8pjXJdpKdcMXc9jvrE2IrcqYIyQ&amp;authuser=jay.agg%40gmail.com&amp;usp=drive_fs")</f>
        <v>https://drive.google.com/open?id=1NoQ9H8pjXJdpKdcMXc9jvrE2IrcqYIyQ&amp;authuser=jay.agg%40gmail.com&amp;usp=drive_fs</v>
      </c>
      <c r="B1682" s="73" t="str">
        <f>IFERROR(__xludf.DUMMYFUNCTION("""COMPUTED_VALUE"""),"Misc")</f>
        <v>Misc</v>
      </c>
      <c r="C1682" s="73" t="str">
        <f>IFERROR(__xludf.DUMMYFUNCTION("""COMPUTED_VALUE"""),"Misc")</f>
        <v>Misc</v>
      </c>
      <c r="D1682" s="73" t="str">
        <f>IFERROR(__xludf.DUMMYFUNCTION("""COMPUTED_VALUE"""),"72*72*195 mm | 2.85*2.85*7.6 inch")</f>
        <v>72*72*195 mm | 2.85*2.85*7.6 inch</v>
      </c>
      <c r="E1682" s="77">
        <f>IFERROR(__xludf.DUMMYFUNCTION("""COMPUTED_VALUE"""),2.0)</f>
        <v>2</v>
      </c>
      <c r="F1682" s="77">
        <f>IFERROR(__xludf.DUMMYFUNCTION("""COMPUTED_VALUE"""),1926.0)</f>
        <v>1926</v>
      </c>
      <c r="G1682" s="77">
        <f>IFERROR(__xludf.DUMMYFUNCTION("""COMPUTED_VALUE"""),15.0)</f>
        <v>15</v>
      </c>
      <c r="H1682" s="77">
        <f>IFERROR(__xludf.DUMMYFUNCTION("""COMPUTED_VALUE"""),25.0)</f>
        <v>25</v>
      </c>
      <c r="I1682" s="77">
        <f>IFERROR(__xludf.DUMMYFUNCTION("""COMPUTED_VALUE"""),100.0)</f>
        <v>100</v>
      </c>
      <c r="J1682" s="73"/>
      <c r="K1682" s="73"/>
      <c r="L1682" s="73"/>
      <c r="M1682" s="77">
        <f>IFERROR(__xludf.DUMMYFUNCTION("""COMPUTED_VALUE"""),0.1)</f>
        <v>0.1</v>
      </c>
      <c r="N1682" s="77">
        <f>IFERROR(__xludf.DUMMYFUNCTION("""COMPUTED_VALUE"""),1.0)</f>
        <v>1</v>
      </c>
      <c r="O1682" s="49"/>
      <c r="P1682" s="49" t="str">
        <f>IFERROR(__xludf.DUMMYFUNCTION("""COMPUTED_VALUE"""),"Offset")</f>
        <v>Offset</v>
      </c>
      <c r="Q1682" s="49" t="str">
        <f>IFERROR(__xludf.DUMMYFUNCTION("""COMPUTED_VALUE"""),"Packaging")</f>
        <v>Packaging</v>
      </c>
      <c r="R1682" s="49" t="str">
        <f>IFERROR(__xludf.DUMMYFUNCTION("""COMPUTED_VALUE"""),"Misc")</f>
        <v>Misc</v>
      </c>
    </row>
    <row r="1683">
      <c r="A1683" s="156" t="str">
        <f>IFERROR(__xludf.DUMMYFUNCTION("""COMPUTED_VALUE"""),"https://drive.google.com/open?id=1Nye8HYLifb1y58D1mBk7eMQ6gHDV4WCB&amp;authuser=jay.agg%40gmail.com&amp;usp=drive_fs")</f>
        <v>https://drive.google.com/open?id=1Nye8HYLifb1y58D1mBk7eMQ6gHDV4WCB&amp;authuser=jay.agg%40gmail.com&amp;usp=drive_fs</v>
      </c>
      <c r="B1683" s="73" t="str">
        <f>IFERROR(__xludf.DUMMYFUNCTION("""COMPUTED_VALUE"""),"Misc")</f>
        <v>Misc</v>
      </c>
      <c r="C1683" s="73" t="str">
        <f>IFERROR(__xludf.DUMMYFUNCTION("""COMPUTED_VALUE"""),"Sipper")</f>
        <v>Sipper</v>
      </c>
      <c r="D1683" s="73" t="str">
        <f>IFERROR(__xludf.DUMMYFUNCTION("""COMPUTED_VALUE"""),"102*102*229 mm | 4*4*9 inch")</f>
        <v>102*102*229 mm | 4*4*9 inch</v>
      </c>
      <c r="E1683" s="77">
        <f>IFERROR(__xludf.DUMMYFUNCTION("""COMPUTED_VALUE"""),1.0)</f>
        <v>1</v>
      </c>
      <c r="F1683" s="77">
        <f>IFERROR(__xludf.DUMMYFUNCTION("""COMPUTED_VALUE"""),1926.0)</f>
        <v>1926</v>
      </c>
      <c r="G1683" s="77">
        <f>IFERROR(__xludf.DUMMYFUNCTION("""COMPUTED_VALUE"""),18.0)</f>
        <v>18</v>
      </c>
      <c r="H1683" s="77">
        <f>IFERROR(__xludf.DUMMYFUNCTION("""COMPUTED_VALUE"""),19.0)</f>
        <v>19</v>
      </c>
      <c r="I1683" s="77">
        <f>IFERROR(__xludf.DUMMYFUNCTION("""COMPUTED_VALUE"""),100.0)</f>
        <v>100</v>
      </c>
      <c r="J1683" s="73"/>
      <c r="K1683" s="73"/>
      <c r="L1683" s="73"/>
      <c r="M1683" s="77">
        <f>IFERROR(__xludf.DUMMYFUNCTION("""COMPUTED_VALUE"""),0.1)</f>
        <v>0.1</v>
      </c>
      <c r="N1683" s="77">
        <f>IFERROR(__xludf.DUMMYFUNCTION("""COMPUTED_VALUE"""),1.0)</f>
        <v>1</v>
      </c>
      <c r="O1683" s="49"/>
      <c r="P1683" s="49" t="str">
        <f>IFERROR(__xludf.DUMMYFUNCTION("""COMPUTED_VALUE"""),"Offset")</f>
        <v>Offset</v>
      </c>
      <c r="Q1683" s="49" t="str">
        <f>IFERROR(__xludf.DUMMYFUNCTION("""COMPUTED_VALUE"""),"Packaging")</f>
        <v>Packaging</v>
      </c>
      <c r="R1683" s="49" t="str">
        <f>IFERROR(__xludf.DUMMYFUNCTION("""COMPUTED_VALUE"""),"Misc")</f>
        <v>Misc</v>
      </c>
    </row>
    <row r="1684">
      <c r="A1684" s="156" t="str">
        <f>IFERROR(__xludf.DUMMYFUNCTION("""COMPUTED_VALUE"""),"https://drive.google.com/open?id=1CRU4JBp3WYLIKLHP3IjdtE_j0DEw390i&amp;authuser=jay.agg%40gmail.com&amp;usp=drive_fs")</f>
        <v>https://drive.google.com/open?id=1CRU4JBp3WYLIKLHP3IjdtE_j0DEw390i&amp;authuser=jay.agg%40gmail.com&amp;usp=drive_fs</v>
      </c>
      <c r="B1684" s="73" t="str">
        <f>IFERROR(__xludf.DUMMYFUNCTION("""COMPUTED_VALUE"""),"Misc")</f>
        <v>Misc</v>
      </c>
      <c r="C1684" s="73" t="str">
        <f>IFERROR(__xludf.DUMMYFUNCTION("""COMPUTED_VALUE"""),"Watch")</f>
        <v>Watch</v>
      </c>
      <c r="D1684" s="73" t="str">
        <f>IFERROR(__xludf.DUMMYFUNCTION("""COMPUTED_VALUE"""),"170*64*38 mmTop Bottom")</f>
        <v>170*64*38 mmTop Bottom</v>
      </c>
      <c r="E1684" s="77">
        <f>IFERROR(__xludf.DUMMYFUNCTION("""COMPUTED_VALUE"""),2.0)</f>
        <v>2</v>
      </c>
      <c r="F1684" s="77">
        <f>IFERROR(__xludf.DUMMYFUNCTION("""COMPUTED_VALUE"""),2029.0)</f>
        <v>2029</v>
      </c>
      <c r="G1684" s="77">
        <f>IFERROR(__xludf.DUMMYFUNCTION("""COMPUTED_VALUE"""),20.0)</f>
        <v>20</v>
      </c>
      <c r="H1684" s="77">
        <f>IFERROR(__xludf.DUMMYFUNCTION("""COMPUTED_VALUE"""),28.0)</f>
        <v>28</v>
      </c>
      <c r="I1684" s="77">
        <f>IFERROR(__xludf.DUMMYFUNCTION("""COMPUTED_VALUE"""),100.0)</f>
        <v>100</v>
      </c>
      <c r="J1684" s="73"/>
      <c r="K1684" s="73"/>
      <c r="L1684" s="73"/>
      <c r="M1684" s="77"/>
      <c r="N1684" s="77">
        <f>IFERROR(__xludf.DUMMYFUNCTION("""COMPUTED_VALUE"""),1.0)</f>
        <v>1</v>
      </c>
      <c r="O1684" s="49"/>
      <c r="P1684" s="49" t="str">
        <f>IFERROR(__xludf.DUMMYFUNCTION("""COMPUTED_VALUE"""),"Offset")</f>
        <v>Offset</v>
      </c>
      <c r="Q1684" s="49" t="str">
        <f>IFERROR(__xludf.DUMMYFUNCTION("""COMPUTED_VALUE"""),"Packaging")</f>
        <v>Packaging</v>
      </c>
      <c r="R1684" s="49" t="str">
        <f>IFERROR(__xludf.DUMMYFUNCTION("""COMPUTED_VALUE"""),"Misc")</f>
        <v>Misc</v>
      </c>
    </row>
    <row r="1685">
      <c r="A1685" s="156" t="str">
        <f>IFERROR(__xludf.DUMMYFUNCTION("""COMPUTED_VALUE"""),"https://drive.google.com/open?id=1FvmgvW1Fs5QO6I9IpVcW0yiyjKB-Ph4H&amp;authuser=jay.agg%40gmail.com&amp;usp=drive_fs")</f>
        <v>https://drive.google.com/open?id=1FvmgvW1Fs5QO6I9IpVcW0yiyjKB-Ph4H&amp;authuser=jay.agg%40gmail.com&amp;usp=drive_fs</v>
      </c>
      <c r="B1685" s="73" t="str">
        <f>IFERROR(__xludf.DUMMYFUNCTION("""COMPUTED_VALUE"""),"Misc")</f>
        <v>Misc</v>
      </c>
      <c r="C1685" s="73" t="str">
        <f>IFERROR(__xludf.DUMMYFUNCTION("""COMPUTED_VALUE"""),"Misc")</f>
        <v>Misc</v>
      </c>
      <c r="D1685" s="73" t="str">
        <f>IFERROR(__xludf.DUMMYFUNCTION("""COMPUTED_VALUE"""),"28*28*70 mm")</f>
        <v>28*28*70 mm</v>
      </c>
      <c r="E1685" s="77">
        <f>IFERROR(__xludf.DUMMYFUNCTION("""COMPUTED_VALUE"""),12.0)</f>
        <v>12</v>
      </c>
      <c r="F1685" s="77">
        <f>IFERROR(__xludf.DUMMYFUNCTION("""COMPUTED_VALUE"""),1926.0)</f>
        <v>1926</v>
      </c>
      <c r="G1685" s="77">
        <f>IFERROR(__xludf.DUMMYFUNCTION("""COMPUTED_VALUE"""),15.75)</f>
        <v>15.75</v>
      </c>
      <c r="H1685" s="77">
        <f>IFERROR(__xludf.DUMMYFUNCTION("""COMPUTED_VALUE"""),20.75)</f>
        <v>20.75</v>
      </c>
      <c r="I1685" s="77">
        <f>IFERROR(__xludf.DUMMYFUNCTION("""COMPUTED_VALUE"""),100.0)</f>
        <v>100</v>
      </c>
      <c r="J1685" s="73"/>
      <c r="K1685" s="73"/>
      <c r="L1685" s="73"/>
      <c r="M1685" s="77">
        <f>IFERROR(__xludf.DUMMYFUNCTION("""COMPUTED_VALUE"""),0.1)</f>
        <v>0.1</v>
      </c>
      <c r="N1685" s="77">
        <f>IFERROR(__xludf.DUMMYFUNCTION("""COMPUTED_VALUE"""),1.0)</f>
        <v>1</v>
      </c>
      <c r="O1685" s="49"/>
      <c r="P1685" s="49" t="str">
        <f>IFERROR(__xludf.DUMMYFUNCTION("""COMPUTED_VALUE"""),"Offset")</f>
        <v>Offset</v>
      </c>
      <c r="Q1685" s="49" t="str">
        <f>IFERROR(__xludf.DUMMYFUNCTION("""COMPUTED_VALUE"""),"Packaging")</f>
        <v>Packaging</v>
      </c>
      <c r="R1685" s="49" t="str">
        <f>IFERROR(__xludf.DUMMYFUNCTION("""COMPUTED_VALUE"""),"Misc")</f>
        <v>Misc</v>
      </c>
    </row>
    <row r="1686">
      <c r="A1686" s="156" t="str">
        <f>IFERROR(__xludf.DUMMYFUNCTION("""COMPUTED_VALUE"""),"https://drive.google.com/open?id=1H6nXTaWRHYNCEhpLFhSxhKSoWTm1WZ1X&amp;authuser=jay.agg%40gmail.com&amp;usp=drive_fs")</f>
        <v>https://drive.google.com/open?id=1H6nXTaWRHYNCEhpLFhSxhKSoWTm1WZ1X&amp;authuser=jay.agg%40gmail.com&amp;usp=drive_fs</v>
      </c>
      <c r="B1686" s="73" t="str">
        <f>IFERROR(__xludf.DUMMYFUNCTION("""COMPUTED_VALUE"""),"Misc")</f>
        <v>Misc</v>
      </c>
      <c r="C1686" s="73" t="str">
        <f>IFERROR(__xludf.DUMMYFUNCTION("""COMPUTED_VALUE"""),"Sleeve")</f>
        <v>Sleeve</v>
      </c>
      <c r="D1686" s="73" t="str">
        <f>IFERROR(__xludf.DUMMYFUNCTION("""COMPUTED_VALUE"""),"109*109*200 mm | 4.3*4.3*7.9 inch")</f>
        <v>109*109*200 mm | 4.3*4.3*7.9 inch</v>
      </c>
      <c r="E1686" s="77">
        <f>IFERROR(__xludf.DUMMYFUNCTION("""COMPUTED_VALUE"""),3.0)</f>
        <v>3</v>
      </c>
      <c r="F1686" s="77">
        <f>IFERROR(__xludf.DUMMYFUNCTION("""COMPUTED_VALUE"""),1926.0)</f>
        <v>1926</v>
      </c>
      <c r="G1686" s="77">
        <f>IFERROR(__xludf.DUMMYFUNCTION("""COMPUTED_VALUE"""),18.0)</f>
        <v>18</v>
      </c>
      <c r="H1686" s="77">
        <f>IFERROR(__xludf.DUMMYFUNCTION("""COMPUTED_VALUE"""),25.0)</f>
        <v>25</v>
      </c>
      <c r="I1686" s="77">
        <f>IFERROR(__xludf.DUMMYFUNCTION("""COMPUTED_VALUE"""),100.0)</f>
        <v>100</v>
      </c>
      <c r="J1686" s="73"/>
      <c r="K1686" s="73"/>
      <c r="L1686" s="73"/>
      <c r="M1686" s="77">
        <f>IFERROR(__xludf.DUMMYFUNCTION("""COMPUTED_VALUE"""),0.1)</f>
        <v>0.1</v>
      </c>
      <c r="N1686" s="77">
        <f>IFERROR(__xludf.DUMMYFUNCTION("""COMPUTED_VALUE"""),1.0)</f>
        <v>1</v>
      </c>
      <c r="O1686" s="49"/>
      <c r="P1686" s="49" t="str">
        <f>IFERROR(__xludf.DUMMYFUNCTION("""COMPUTED_VALUE"""),"Offset")</f>
        <v>Offset</v>
      </c>
      <c r="Q1686" s="49" t="str">
        <f>IFERROR(__xludf.DUMMYFUNCTION("""COMPUTED_VALUE"""),"Packaging")</f>
        <v>Packaging</v>
      </c>
      <c r="R1686" s="49" t="str">
        <f>IFERROR(__xludf.DUMMYFUNCTION("""COMPUTED_VALUE"""),"Misc")</f>
        <v>Misc</v>
      </c>
    </row>
    <row r="1687">
      <c r="A1687" s="156" t="str">
        <f>IFERROR(__xludf.DUMMYFUNCTION("""COMPUTED_VALUE"""),"https://drive.google.com/open?id=1UCJbkR0Ww_y-POU5eel3SDSgL7o6NG3w&amp;authuser=jay.agg%40gmail.com&amp;usp=drive_fs")</f>
        <v>https://drive.google.com/open?id=1UCJbkR0Ww_y-POU5eel3SDSgL7o6NG3w&amp;authuser=jay.agg%40gmail.com&amp;usp=drive_fs</v>
      </c>
      <c r="B1687" s="73" t="str">
        <f>IFERROR(__xludf.DUMMYFUNCTION("""COMPUTED_VALUE"""),"Misc")</f>
        <v>Misc</v>
      </c>
      <c r="C1687" s="73" t="str">
        <f>IFERROR(__xludf.DUMMYFUNCTION("""COMPUTED_VALUE"""),"Food")</f>
        <v>Food</v>
      </c>
      <c r="D1687" s="73" t="str">
        <f>IFERROR(__xludf.DUMMYFUNCTION("""COMPUTED_VALUE"""),"152*25*203 mm | 6*1*8 inch IL")</f>
        <v>152*25*203 mm | 6*1*8 inch IL</v>
      </c>
      <c r="E1687" s="77">
        <f>IFERROR(__xludf.DUMMYFUNCTION("""COMPUTED_VALUE"""),2.0)</f>
        <v>2</v>
      </c>
      <c r="F1687" s="77">
        <f>IFERROR(__xludf.DUMMYFUNCTION("""COMPUTED_VALUE"""),2029.0)</f>
        <v>2029</v>
      </c>
      <c r="G1687" s="77">
        <f>IFERROR(__xludf.DUMMYFUNCTION("""COMPUTED_VALUE"""),15.75)</f>
        <v>15.75</v>
      </c>
      <c r="H1687" s="77">
        <f>IFERROR(__xludf.DUMMYFUNCTION("""COMPUTED_VALUE"""),20.75)</f>
        <v>20.75</v>
      </c>
      <c r="I1687" s="77">
        <f>IFERROR(__xludf.DUMMYFUNCTION("""COMPUTED_VALUE"""),100.0)</f>
        <v>100</v>
      </c>
      <c r="J1687" s="73"/>
      <c r="K1687" s="73"/>
      <c r="L1687" s="73"/>
      <c r="M1687" s="77">
        <f>IFERROR(__xludf.DUMMYFUNCTION("""COMPUTED_VALUE"""),0.28)</f>
        <v>0.28</v>
      </c>
      <c r="N1687" s="77">
        <f>IFERROR(__xludf.DUMMYFUNCTION("""COMPUTED_VALUE"""),1.0)</f>
        <v>1</v>
      </c>
      <c r="O1687" s="49"/>
      <c r="P1687" s="49" t="str">
        <f>IFERROR(__xludf.DUMMYFUNCTION("""COMPUTED_VALUE"""),"Offset")</f>
        <v>Offset</v>
      </c>
      <c r="Q1687" s="49" t="str">
        <f>IFERROR(__xludf.DUMMYFUNCTION("""COMPUTED_VALUE"""),"Packaging")</f>
        <v>Packaging</v>
      </c>
      <c r="R1687" s="49" t="str">
        <f>IFERROR(__xludf.DUMMYFUNCTION("""COMPUTED_VALUE"""),"Misc")</f>
        <v>Misc</v>
      </c>
    </row>
    <row r="1688">
      <c r="A1688" s="156" t="str">
        <f>IFERROR(__xludf.DUMMYFUNCTION("""COMPUTED_VALUE"""),"https://drive.google.com/open?id=1WUu9wWDVR3Cj-DFnBvB42Sal6aNOUAi-&amp;authuser=jay.agg%40gmail.com&amp;usp=drive_fs")</f>
        <v>https://drive.google.com/open?id=1WUu9wWDVR3Cj-DFnBvB42Sal6aNOUAi-&amp;authuser=jay.agg%40gmail.com&amp;usp=drive_fs</v>
      </c>
      <c r="B1688" s="73" t="str">
        <f>IFERROR(__xludf.DUMMYFUNCTION("""COMPUTED_VALUE"""),"Misc")</f>
        <v>Misc</v>
      </c>
      <c r="C1688" s="73" t="str">
        <f>IFERROR(__xludf.DUMMYFUNCTION("""COMPUTED_VALUE"""),"Maxima")</f>
        <v>Maxima</v>
      </c>
      <c r="D1688" s="73" t="str">
        <f>IFERROR(__xludf.DUMMYFUNCTION("""COMPUTED_VALUE"""),"Sleeve 90*68*85 mm")</f>
        <v>Sleeve 90*68*85 mm</v>
      </c>
      <c r="E1688" s="77">
        <f>IFERROR(__xludf.DUMMYFUNCTION("""COMPUTED_VALUE"""),4.0)</f>
        <v>4</v>
      </c>
      <c r="F1688" s="77">
        <f>IFERROR(__xludf.DUMMYFUNCTION("""COMPUTED_VALUE"""),1926.0)</f>
        <v>1926</v>
      </c>
      <c r="G1688" s="77">
        <f>IFERROR(__xludf.DUMMYFUNCTION("""COMPUTED_VALUE"""),13.0)</f>
        <v>13</v>
      </c>
      <c r="H1688" s="77">
        <f>IFERROR(__xludf.DUMMYFUNCTION("""COMPUTED_VALUE"""),14.0)</f>
        <v>14</v>
      </c>
      <c r="I1688" s="77">
        <f>IFERROR(__xludf.DUMMYFUNCTION("""COMPUTED_VALUE"""),100.0)</f>
        <v>100</v>
      </c>
      <c r="J1688" s="73"/>
      <c r="K1688" s="73"/>
      <c r="L1688" s="73"/>
      <c r="M1688" s="77">
        <f>IFERROR(__xludf.DUMMYFUNCTION("""COMPUTED_VALUE"""),0.1)</f>
        <v>0.1</v>
      </c>
      <c r="N1688" s="77">
        <f>IFERROR(__xludf.DUMMYFUNCTION("""COMPUTED_VALUE"""),1.0)</f>
        <v>1</v>
      </c>
      <c r="O1688" s="49"/>
      <c r="P1688" s="49" t="str">
        <f>IFERROR(__xludf.DUMMYFUNCTION("""COMPUTED_VALUE"""),"Offset")</f>
        <v>Offset</v>
      </c>
      <c r="Q1688" s="49" t="str">
        <f>IFERROR(__xludf.DUMMYFUNCTION("""COMPUTED_VALUE"""),"Packaging")</f>
        <v>Packaging</v>
      </c>
      <c r="R1688" s="49" t="str">
        <f>IFERROR(__xludf.DUMMYFUNCTION("""COMPUTED_VALUE"""),"Misc")</f>
        <v>Misc</v>
      </c>
    </row>
    <row r="1689">
      <c r="A1689" s="156" t="str">
        <f>IFERROR(__xludf.DUMMYFUNCTION("""COMPUTED_VALUE"""),"https://drive.google.com/open?id=1-3Hz7aWWnvSvSXDb9AT-al_1lrS63QyB&amp;authuser=jay.agg%40gmail.com&amp;usp=drive_fs")</f>
        <v>https://drive.google.com/open?id=1-3Hz7aWWnvSvSXDb9AT-al_1lrS63QyB&amp;authuser=jay.agg%40gmail.com&amp;usp=drive_fs</v>
      </c>
      <c r="B1689" s="73" t="str">
        <f>IFERROR(__xludf.DUMMYFUNCTION("""COMPUTED_VALUE"""),"Misc")</f>
        <v>Misc</v>
      </c>
      <c r="C1689" s="73" t="str">
        <f>IFERROR(__xludf.DUMMYFUNCTION("""COMPUTED_VALUE"""),"Misc")</f>
        <v>Misc</v>
      </c>
      <c r="D1689" s="73" t="str">
        <f>IFERROR(__xludf.DUMMYFUNCTION("""COMPUTED_VALUE"""),"34*45 124*84*90 mm | 4.8*3.3*3.5 inch")</f>
        <v>34*45 124*84*90 mm | 4.8*3.3*3.5 inch</v>
      </c>
      <c r="E1689" s="77">
        <f>IFERROR(__xludf.DUMMYFUNCTION("""COMPUTED_VALUE"""),2.0)</f>
        <v>2</v>
      </c>
      <c r="F1689" s="77">
        <f>IFERROR(__xludf.DUMMYFUNCTION("""COMPUTED_VALUE"""),2029.0)</f>
        <v>2029</v>
      </c>
      <c r="G1689" s="77">
        <f>IFERROR(__xludf.DUMMYFUNCTION("""COMPUTED_VALUE"""),20.0)</f>
        <v>20</v>
      </c>
      <c r="H1689" s="77">
        <f>IFERROR(__xludf.DUMMYFUNCTION("""COMPUTED_VALUE"""),28.0)</f>
        <v>28</v>
      </c>
      <c r="I1689" s="77">
        <f>IFERROR(__xludf.DUMMYFUNCTION("""COMPUTED_VALUE"""),100.0)</f>
        <v>100</v>
      </c>
      <c r="J1689" s="73"/>
      <c r="K1689" s="73"/>
      <c r="L1689" s="73"/>
      <c r="M1689" s="77">
        <f>IFERROR(__xludf.DUMMYFUNCTION("""COMPUTED_VALUE"""),0.1)</f>
        <v>0.1</v>
      </c>
      <c r="N1689" s="77">
        <f>IFERROR(__xludf.DUMMYFUNCTION("""COMPUTED_VALUE"""),1.0)</f>
        <v>1</v>
      </c>
      <c r="O1689" s="49"/>
      <c r="P1689" s="49" t="str">
        <f>IFERROR(__xludf.DUMMYFUNCTION("""COMPUTED_VALUE"""),"Offset")</f>
        <v>Offset</v>
      </c>
      <c r="Q1689" s="49" t="str">
        <f>IFERROR(__xludf.DUMMYFUNCTION("""COMPUTED_VALUE"""),"Packaging")</f>
        <v>Packaging</v>
      </c>
      <c r="R1689" s="49" t="str">
        <f>IFERROR(__xludf.DUMMYFUNCTION("""COMPUTED_VALUE"""),"Misc")</f>
        <v>Misc</v>
      </c>
    </row>
    <row r="1690">
      <c r="A1690" s="156" t="str">
        <f>IFERROR(__xludf.DUMMYFUNCTION("""COMPUTED_VALUE"""),"https://drive.google.com/open?id=1-5FwVpT8j0PQTYmm51EoF1dDu1tV2MK_&amp;authuser=jay.agg%40gmail.com&amp;usp=drive_fs")</f>
        <v>https://drive.google.com/open?id=1-5FwVpT8j0PQTYmm51EoF1dDu1tV2MK_&amp;authuser=jay.agg%40gmail.com&amp;usp=drive_fs</v>
      </c>
      <c r="B1690" s="73" t="str">
        <f>IFERROR(__xludf.DUMMYFUNCTION("""COMPUTED_VALUE"""),"Misc")</f>
        <v>Misc</v>
      </c>
      <c r="C1690" s="73" t="str">
        <f>IFERROR(__xludf.DUMMYFUNCTION("""COMPUTED_VALUE"""),"Misc")</f>
        <v>Misc</v>
      </c>
      <c r="D1690" s="73" t="str">
        <f>IFERROR(__xludf.DUMMYFUNCTION("""COMPUTED_VALUE"""),"40*30 140*95*60 mm | 5.5*3.7*2.4 inch")</f>
        <v>40*30 140*95*60 mm | 5.5*3.7*2.4 inch</v>
      </c>
      <c r="E1690" s="77">
        <f>IFERROR(__xludf.DUMMYFUNCTION("""COMPUTED_VALUE"""),2.0)</f>
        <v>2</v>
      </c>
      <c r="F1690" s="77">
        <f>IFERROR(__xludf.DUMMYFUNCTION("""COMPUTED_VALUE"""),2029.0)</f>
        <v>2029</v>
      </c>
      <c r="G1690" s="77">
        <f>IFERROR(__xludf.DUMMYFUNCTION("""COMPUTED_VALUE"""),20.0)</f>
        <v>20</v>
      </c>
      <c r="H1690" s="77">
        <f>IFERROR(__xludf.DUMMYFUNCTION("""COMPUTED_VALUE"""),28.0)</f>
        <v>28</v>
      </c>
      <c r="I1690" s="77">
        <f>IFERROR(__xludf.DUMMYFUNCTION("""COMPUTED_VALUE"""),100.0)</f>
        <v>100</v>
      </c>
      <c r="J1690" s="73"/>
      <c r="K1690" s="73"/>
      <c r="L1690" s="73"/>
      <c r="M1690" s="77">
        <f>IFERROR(__xludf.DUMMYFUNCTION("""COMPUTED_VALUE"""),0.1)</f>
        <v>0.1</v>
      </c>
      <c r="N1690" s="77">
        <f>IFERROR(__xludf.DUMMYFUNCTION("""COMPUTED_VALUE"""),1.0)</f>
        <v>1</v>
      </c>
      <c r="O1690" s="49"/>
      <c r="P1690" s="49" t="str">
        <f>IFERROR(__xludf.DUMMYFUNCTION("""COMPUTED_VALUE"""),"Offset")</f>
        <v>Offset</v>
      </c>
      <c r="Q1690" s="49" t="str">
        <f>IFERROR(__xludf.DUMMYFUNCTION("""COMPUTED_VALUE"""),"Packaging")</f>
        <v>Packaging</v>
      </c>
      <c r="R1690" s="49" t="str">
        <f>IFERROR(__xludf.DUMMYFUNCTION("""COMPUTED_VALUE"""),"Misc")</f>
        <v>Misc</v>
      </c>
    </row>
    <row r="1691">
      <c r="A1691" s="156" t="str">
        <f>IFERROR(__xludf.DUMMYFUNCTION("""COMPUTED_VALUE"""),"https://drive.google.com/open?id=11zSCmDHcxjWWCn6-1YoGWwJOvqL_JVp7&amp;authuser=jay.agg%40gmail.com&amp;usp=drive_fs")</f>
        <v>https://drive.google.com/open?id=11zSCmDHcxjWWCn6-1YoGWwJOvqL_JVp7&amp;authuser=jay.agg%40gmail.com&amp;usp=drive_fs</v>
      </c>
      <c r="B1691" s="73" t="str">
        <f>IFERROR(__xludf.DUMMYFUNCTION("""COMPUTED_VALUE"""),"Misc")</f>
        <v>Misc</v>
      </c>
      <c r="C1691" s="73" t="str">
        <f>IFERROR(__xludf.DUMMYFUNCTION("""COMPUTED_VALUE"""),"Misc")</f>
        <v>Misc</v>
      </c>
      <c r="D1691" s="73" t="str">
        <f>IFERROR(__xludf.DUMMYFUNCTION("""COMPUTED_VALUE"""),"70*127*277 mm | 5*2.7*10.9 inch")</f>
        <v>70*127*277 mm | 5*2.7*10.9 inch</v>
      </c>
      <c r="E1691" s="77">
        <f>IFERROR(__xludf.DUMMYFUNCTION("""COMPUTED_VALUE"""),1.0)</f>
        <v>1</v>
      </c>
      <c r="F1691" s="77">
        <f>IFERROR(__xludf.DUMMYFUNCTION("""COMPUTED_VALUE"""),1926.0)</f>
        <v>1926</v>
      </c>
      <c r="G1691" s="77">
        <f>IFERROR(__xludf.DUMMYFUNCTION("""COMPUTED_VALUE"""),18.0)</f>
        <v>18</v>
      </c>
      <c r="H1691" s="77">
        <f>IFERROR(__xludf.DUMMYFUNCTION("""COMPUTED_VALUE"""),23.0)</f>
        <v>23</v>
      </c>
      <c r="I1691" s="77">
        <f>IFERROR(__xludf.DUMMYFUNCTION("""COMPUTED_VALUE"""),100.0)</f>
        <v>100</v>
      </c>
      <c r="J1691" s="73"/>
      <c r="K1691" s="73"/>
      <c r="L1691" s="73"/>
      <c r="M1691" s="77">
        <f>IFERROR(__xludf.DUMMYFUNCTION("""COMPUTED_VALUE"""),0.1)</f>
        <v>0.1</v>
      </c>
      <c r="N1691" s="77">
        <f>IFERROR(__xludf.DUMMYFUNCTION("""COMPUTED_VALUE"""),1.0)</f>
        <v>1</v>
      </c>
      <c r="O1691" s="49"/>
      <c r="P1691" s="49" t="str">
        <f>IFERROR(__xludf.DUMMYFUNCTION("""COMPUTED_VALUE"""),"Offset")</f>
        <v>Offset</v>
      </c>
      <c r="Q1691" s="49" t="str">
        <f>IFERROR(__xludf.DUMMYFUNCTION("""COMPUTED_VALUE"""),"Packaging")</f>
        <v>Packaging</v>
      </c>
      <c r="R1691" s="49" t="str">
        <f>IFERROR(__xludf.DUMMYFUNCTION("""COMPUTED_VALUE"""),"Misc")</f>
        <v>Misc</v>
      </c>
    </row>
    <row r="1692">
      <c r="A1692" s="156" t="str">
        <f>IFERROR(__xludf.DUMMYFUNCTION("""COMPUTED_VALUE"""),"https://drive.google.com/open?id=12-MMIvjb-Czv2e2cxR4rS299s9MjKLtP&amp;authuser=jay.agg%40gmail.com&amp;usp=drive_fs")</f>
        <v>https://drive.google.com/open?id=12-MMIvjb-Czv2e2cxR4rS299s9MjKLtP&amp;authuser=jay.agg%40gmail.com&amp;usp=drive_fs</v>
      </c>
      <c r="B1692" s="73" t="str">
        <f>IFERROR(__xludf.DUMMYFUNCTION("""COMPUTED_VALUE"""),"Misc")</f>
        <v>Misc</v>
      </c>
      <c r="C1692" s="73" t="str">
        <f>IFERROR(__xludf.DUMMYFUNCTION("""COMPUTED_VALUE"""),"Misc")</f>
        <v>Misc</v>
      </c>
      <c r="D1692" s="73" t="str">
        <f>IFERROR(__xludf.DUMMYFUNCTION("""COMPUTED_VALUE"""),"150*59*75 mm | 5.9*2.3*2.9 inch")</f>
        <v>150*59*75 mm | 5.9*2.3*2.9 inch</v>
      </c>
      <c r="E1692" s="77">
        <f>IFERROR(__xludf.DUMMYFUNCTION("""COMPUTED_VALUE"""),3.0)</f>
        <v>3</v>
      </c>
      <c r="F1692" s="77">
        <f>IFERROR(__xludf.DUMMYFUNCTION("""COMPUTED_VALUE"""),1926.0)</f>
        <v>1926</v>
      </c>
      <c r="G1692" s="77">
        <f>IFERROR(__xludf.DUMMYFUNCTION("""COMPUTED_VALUE"""),18.0)</f>
        <v>18</v>
      </c>
      <c r="H1692" s="77">
        <f>IFERROR(__xludf.DUMMYFUNCTION("""COMPUTED_VALUE"""),21.0)</f>
        <v>21</v>
      </c>
      <c r="I1692" s="77">
        <f>IFERROR(__xludf.DUMMYFUNCTION("""COMPUTED_VALUE"""),100.0)</f>
        <v>100</v>
      </c>
      <c r="J1692" s="73"/>
      <c r="K1692" s="73"/>
      <c r="L1692" s="73"/>
      <c r="M1692" s="77">
        <f>IFERROR(__xludf.DUMMYFUNCTION("""COMPUTED_VALUE"""),0.1)</f>
        <v>0.1</v>
      </c>
      <c r="N1692" s="77">
        <f>IFERROR(__xludf.DUMMYFUNCTION("""COMPUTED_VALUE"""),1.0)</f>
        <v>1</v>
      </c>
      <c r="O1692" s="49"/>
      <c r="P1692" s="49" t="str">
        <f>IFERROR(__xludf.DUMMYFUNCTION("""COMPUTED_VALUE"""),"Offset")</f>
        <v>Offset</v>
      </c>
      <c r="Q1692" s="49" t="str">
        <f>IFERROR(__xludf.DUMMYFUNCTION("""COMPUTED_VALUE"""),"Packaging")</f>
        <v>Packaging</v>
      </c>
      <c r="R1692" s="49" t="str">
        <f>IFERROR(__xludf.DUMMYFUNCTION("""COMPUTED_VALUE"""),"Misc")</f>
        <v>Misc</v>
      </c>
    </row>
    <row r="1693">
      <c r="A1693" s="156" t="str">
        <f>IFERROR(__xludf.DUMMYFUNCTION("""COMPUTED_VALUE"""),"https://drive.google.com/open?id=12CqjSlKhdRU-70uFo4KrEifBwDjnRVwt&amp;authuser=jay.agg%40gmail.com&amp;usp=drive_fs")</f>
        <v>https://drive.google.com/open?id=12CqjSlKhdRU-70uFo4KrEifBwDjnRVwt&amp;authuser=jay.agg%40gmail.com&amp;usp=drive_fs</v>
      </c>
      <c r="B1693" s="73" t="str">
        <f>IFERROR(__xludf.DUMMYFUNCTION("""COMPUTED_VALUE"""),"Misc")</f>
        <v>Misc</v>
      </c>
      <c r="C1693" s="73" t="str">
        <f>IFERROR(__xludf.DUMMYFUNCTION("""COMPUTED_VALUE"""),"Misc")</f>
        <v>Misc</v>
      </c>
      <c r="D1693" s="73" t="str">
        <f>IFERROR(__xludf.DUMMYFUNCTION("""COMPUTED_VALUE"""),"12*7.5*13.5 inch")</f>
        <v>12*7.5*13.5 inch</v>
      </c>
      <c r="E1693" s="77">
        <f>IFERROR(__xludf.DUMMYFUNCTION("""COMPUTED_VALUE"""),1.0)</f>
        <v>1</v>
      </c>
      <c r="F1693" s="77">
        <f>IFERROR(__xludf.DUMMYFUNCTION("""COMPUTED_VALUE"""),2840.0)</f>
        <v>2840</v>
      </c>
      <c r="G1693" s="77">
        <f>IFERROR(__xludf.DUMMYFUNCTION("""COMPUTED_VALUE"""),31.5)</f>
        <v>31.5</v>
      </c>
      <c r="H1693" s="77">
        <f>IFERROR(__xludf.DUMMYFUNCTION("""COMPUTED_VALUE"""),41.5)</f>
        <v>41.5</v>
      </c>
      <c r="I1693" s="77">
        <f>IFERROR(__xludf.DUMMYFUNCTION("""COMPUTED_VALUE"""),100.0)</f>
        <v>100</v>
      </c>
      <c r="J1693" s="73"/>
      <c r="K1693" s="73"/>
      <c r="L1693" s="73"/>
      <c r="M1693" s="77">
        <f>IFERROR(__xludf.DUMMYFUNCTION("""COMPUTED_VALUE"""),0.15)</f>
        <v>0.15</v>
      </c>
      <c r="N1693" s="77">
        <f>IFERROR(__xludf.DUMMYFUNCTION("""COMPUTED_VALUE"""),1.0)</f>
        <v>1</v>
      </c>
      <c r="O1693" s="49"/>
      <c r="P1693" s="49" t="str">
        <f>IFERROR(__xludf.DUMMYFUNCTION("""COMPUTED_VALUE"""),"Offset")</f>
        <v>Offset</v>
      </c>
      <c r="Q1693" s="49" t="str">
        <f>IFERROR(__xludf.DUMMYFUNCTION("""COMPUTED_VALUE"""),"Packaging")</f>
        <v>Packaging</v>
      </c>
      <c r="R1693" s="49" t="str">
        <f>IFERROR(__xludf.DUMMYFUNCTION("""COMPUTED_VALUE"""),"Misc")</f>
        <v>Misc</v>
      </c>
    </row>
    <row r="1694">
      <c r="A1694" s="156" t="str">
        <f>IFERROR(__xludf.DUMMYFUNCTION("""COMPUTED_VALUE"""),"https://drive.google.com/open?id=12HIr3MLq-Gfk4eUQU-HM_chT36krSnOH&amp;authuser=jay.agg%40gmail.com&amp;usp=drive_fs")</f>
        <v>https://drive.google.com/open?id=12HIr3MLq-Gfk4eUQU-HM_chT36krSnOH&amp;authuser=jay.agg%40gmail.com&amp;usp=drive_fs</v>
      </c>
      <c r="B1694" s="73" t="str">
        <f>IFERROR(__xludf.DUMMYFUNCTION("""COMPUTED_VALUE"""),"Misc")</f>
        <v>Misc</v>
      </c>
      <c r="C1694" s="73" t="str">
        <f>IFERROR(__xludf.DUMMYFUNCTION("""COMPUTED_VALUE"""),"Misc")</f>
        <v>Misc</v>
      </c>
      <c r="D1694" s="73" t="str">
        <f>IFERROR(__xludf.DUMMYFUNCTION("""COMPUTED_VALUE"""),"Tray 50*25*12 mm")</f>
        <v>Tray 50*25*12 mm</v>
      </c>
      <c r="E1694" s="77">
        <f>IFERROR(__xludf.DUMMYFUNCTION("""COMPUTED_VALUE"""),54.0)</f>
        <v>54</v>
      </c>
      <c r="F1694" s="77">
        <f>IFERROR(__xludf.DUMMYFUNCTION("""COMPUTED_VALUE"""),1926.0)</f>
        <v>1926</v>
      </c>
      <c r="G1694" s="77">
        <f>IFERROR(__xludf.DUMMYFUNCTION("""COMPUTED_VALUE"""),18.0)</f>
        <v>18</v>
      </c>
      <c r="H1694" s="77">
        <f>IFERROR(__xludf.DUMMYFUNCTION("""COMPUTED_VALUE"""),23.0)</f>
        <v>23</v>
      </c>
      <c r="I1694" s="77">
        <f>IFERROR(__xludf.DUMMYFUNCTION("""COMPUTED_VALUE"""),100.0)</f>
        <v>100</v>
      </c>
      <c r="J1694" s="73"/>
      <c r="K1694" s="73"/>
      <c r="L1694" s="73"/>
      <c r="M1694" s="77">
        <f>IFERROR(__xludf.DUMMYFUNCTION("""COMPUTED_VALUE"""),0.25)</f>
        <v>0.25</v>
      </c>
      <c r="N1694" s="77">
        <f>IFERROR(__xludf.DUMMYFUNCTION("""COMPUTED_VALUE"""),1.0)</f>
        <v>1</v>
      </c>
      <c r="O1694" s="49"/>
      <c r="P1694" s="49" t="str">
        <f>IFERROR(__xludf.DUMMYFUNCTION("""COMPUTED_VALUE"""),"Offset")</f>
        <v>Offset</v>
      </c>
      <c r="Q1694" s="49" t="str">
        <f>IFERROR(__xludf.DUMMYFUNCTION("""COMPUTED_VALUE"""),"Packaging")</f>
        <v>Packaging</v>
      </c>
      <c r="R1694" s="49" t="str">
        <f>IFERROR(__xludf.DUMMYFUNCTION("""COMPUTED_VALUE"""),"Misc")</f>
        <v>Misc</v>
      </c>
    </row>
    <row r="1695">
      <c r="A1695" s="156" t="str">
        <f>IFERROR(__xludf.DUMMYFUNCTION("""COMPUTED_VALUE"""),"https://drive.google.com/open?id=12HIr3MLq-Gfk4eUQU-HM_chT36krSnOH&amp;authuser=jay.agg%40gmail.com&amp;usp=drive_fs")</f>
        <v>https://drive.google.com/open?id=12HIr3MLq-Gfk4eUQU-HM_chT36krSnOH&amp;authuser=jay.agg%40gmail.com&amp;usp=drive_fs</v>
      </c>
      <c r="B1695" s="73" t="str">
        <f>IFERROR(__xludf.DUMMYFUNCTION("""COMPUTED_VALUE"""),"Misc")</f>
        <v>Misc</v>
      </c>
      <c r="C1695" s="73" t="str">
        <f>IFERROR(__xludf.DUMMYFUNCTION("""COMPUTED_VALUE"""),"Misc")</f>
        <v>Misc</v>
      </c>
      <c r="D1695" s="73" t="str">
        <f>IFERROR(__xludf.DUMMYFUNCTION("""COMPUTED_VALUE"""),"50*25*12 mm | 2*1*0.5 inch")</f>
        <v>50*25*12 mm | 2*1*0.5 inch</v>
      </c>
      <c r="E1695" s="77">
        <f>IFERROR(__xludf.DUMMYFUNCTION("""COMPUTED_VALUE"""),70.0)</f>
        <v>70</v>
      </c>
      <c r="F1695" s="77">
        <f>IFERROR(__xludf.DUMMYFUNCTION("""COMPUTED_VALUE"""),1926.0)</f>
        <v>1926</v>
      </c>
      <c r="G1695" s="77">
        <f>IFERROR(__xludf.DUMMYFUNCTION("""COMPUTED_VALUE"""),18.0)</f>
        <v>18</v>
      </c>
      <c r="H1695" s="77">
        <f>IFERROR(__xludf.DUMMYFUNCTION("""COMPUTED_VALUE"""),21.0)</f>
        <v>21</v>
      </c>
      <c r="I1695" s="77">
        <f>IFERROR(__xludf.DUMMYFUNCTION("""COMPUTED_VALUE"""),100.0)</f>
        <v>100</v>
      </c>
      <c r="J1695" s="73"/>
      <c r="K1695" s="73"/>
      <c r="L1695" s="73"/>
      <c r="M1695" s="77">
        <f>IFERROR(__xludf.DUMMYFUNCTION("""COMPUTED_VALUE"""),0.12)</f>
        <v>0.12</v>
      </c>
      <c r="N1695" s="77">
        <f>IFERROR(__xludf.DUMMYFUNCTION("""COMPUTED_VALUE"""),1.0)</f>
        <v>1</v>
      </c>
      <c r="O1695" s="49"/>
      <c r="P1695" s="49" t="str">
        <f>IFERROR(__xludf.DUMMYFUNCTION("""COMPUTED_VALUE"""),"Offset")</f>
        <v>Offset</v>
      </c>
      <c r="Q1695" s="49" t="str">
        <f>IFERROR(__xludf.DUMMYFUNCTION("""COMPUTED_VALUE"""),"Packaging")</f>
        <v>Packaging</v>
      </c>
      <c r="R1695" s="49" t="str">
        <f>IFERROR(__xludf.DUMMYFUNCTION("""COMPUTED_VALUE"""),"Misc")</f>
        <v>Misc</v>
      </c>
    </row>
    <row r="1696">
      <c r="A1696" s="156" t="str">
        <f>IFERROR(__xludf.DUMMYFUNCTION("""COMPUTED_VALUE"""),"https://drive.google.com/open?id=12TQQy06vq0UZMsfn_9LCSV13k6mNw2cX&amp;authuser=jay.agg%40gmail.com&amp;usp=drive_fs")</f>
        <v>https://drive.google.com/open?id=12TQQy06vq0UZMsfn_9LCSV13k6mNw2cX&amp;authuser=jay.agg%40gmail.com&amp;usp=drive_fs</v>
      </c>
      <c r="B1696" s="73" t="str">
        <f>IFERROR(__xludf.DUMMYFUNCTION("""COMPUTED_VALUE"""),"Misc")</f>
        <v>Misc</v>
      </c>
      <c r="C1696" s="73" t="str">
        <f>IFERROR(__xludf.DUMMYFUNCTION("""COMPUTED_VALUE"""),"Smoke Cones")</f>
        <v>Smoke Cones</v>
      </c>
      <c r="D1696" s="73" t="str">
        <f>IFERROR(__xludf.DUMMYFUNCTION("""COMPUTED_VALUE"""),"Tray 4.6*4.8 inch")</f>
        <v>Tray 4.6*4.8 inch</v>
      </c>
      <c r="E1696" s="77">
        <f>IFERROR(__xludf.DUMMYFUNCTION("""COMPUTED_VALUE"""),2.0)</f>
        <v>2</v>
      </c>
      <c r="F1696" s="77">
        <f>IFERROR(__xludf.DUMMYFUNCTION("""COMPUTED_VALUE"""),1926.0)</f>
        <v>1926</v>
      </c>
      <c r="G1696" s="77">
        <f>IFERROR(__xludf.DUMMYFUNCTION("""COMPUTED_VALUE"""),18.0)</f>
        <v>18</v>
      </c>
      <c r="H1696" s="77">
        <f>IFERROR(__xludf.DUMMYFUNCTION("""COMPUTED_VALUE"""),21.0)</f>
        <v>21</v>
      </c>
      <c r="I1696" s="77">
        <f>IFERROR(__xludf.DUMMYFUNCTION("""COMPUTED_VALUE"""),100.0)</f>
        <v>100</v>
      </c>
      <c r="J1696" s="73"/>
      <c r="K1696" s="73"/>
      <c r="L1696" s="73"/>
      <c r="M1696" s="77"/>
      <c r="N1696" s="77">
        <f>IFERROR(__xludf.DUMMYFUNCTION("""COMPUTED_VALUE"""),1.0)</f>
        <v>1</v>
      </c>
      <c r="O1696" s="49"/>
      <c r="P1696" s="49" t="str">
        <f>IFERROR(__xludf.DUMMYFUNCTION("""COMPUTED_VALUE"""),"Offset")</f>
        <v>Offset</v>
      </c>
      <c r="Q1696" s="49" t="str">
        <f>IFERROR(__xludf.DUMMYFUNCTION("""COMPUTED_VALUE"""),"Packaging")</f>
        <v>Packaging</v>
      </c>
      <c r="R1696" s="49" t="str">
        <f>IFERROR(__xludf.DUMMYFUNCTION("""COMPUTED_VALUE"""),"Misc")</f>
        <v>Misc</v>
      </c>
    </row>
    <row r="1697">
      <c r="A1697" s="156" t="str">
        <f>IFERROR(__xludf.DUMMYFUNCTION("""COMPUTED_VALUE"""),"https://drive.google.com/open?id=12Yc9qliQdnw5mSwPp7BwotV8eTAyOyVK&amp;authuser=jay.agg%40gmail.com&amp;usp=drive_fs")</f>
        <v>https://drive.google.com/open?id=12Yc9qliQdnw5mSwPp7BwotV8eTAyOyVK&amp;authuser=jay.agg%40gmail.com&amp;usp=drive_fs</v>
      </c>
      <c r="B1697" s="73" t="str">
        <f>IFERROR(__xludf.DUMMYFUNCTION("""COMPUTED_VALUE"""),"Misc")</f>
        <v>Misc</v>
      </c>
      <c r="C1697" s="73" t="str">
        <f>IFERROR(__xludf.DUMMYFUNCTION("""COMPUTED_VALUE"""),"Smoke Cones")</f>
        <v>Smoke Cones</v>
      </c>
      <c r="D1697" s="73" t="str">
        <f>IFERROR(__xludf.DUMMYFUNCTION("""COMPUTED_VALUE"""),"Cone Tray 120*53*13 mm")</f>
        <v>Cone Tray 120*53*13 mm</v>
      </c>
      <c r="E1697" s="77">
        <f>IFERROR(__xludf.DUMMYFUNCTION("""COMPUTED_VALUE"""),15.0)</f>
        <v>15</v>
      </c>
      <c r="F1697" s="77">
        <f>IFERROR(__xludf.DUMMYFUNCTION("""COMPUTED_VALUE"""),1926.0)</f>
        <v>1926</v>
      </c>
      <c r="G1697" s="77">
        <f>IFERROR(__xludf.DUMMYFUNCTION("""COMPUTED_VALUE"""),18.0)</f>
        <v>18</v>
      </c>
      <c r="H1697" s="77">
        <f>IFERROR(__xludf.DUMMYFUNCTION("""COMPUTED_VALUE"""),21.0)</f>
        <v>21</v>
      </c>
      <c r="I1697" s="77">
        <f>IFERROR(__xludf.DUMMYFUNCTION("""COMPUTED_VALUE"""),100.0)</f>
        <v>100</v>
      </c>
      <c r="J1697" s="73"/>
      <c r="K1697" s="73"/>
      <c r="L1697" s="73"/>
      <c r="M1697" s="77">
        <f>IFERROR(__xludf.DUMMYFUNCTION("""COMPUTED_VALUE"""),0.22)</f>
        <v>0.22</v>
      </c>
      <c r="N1697" s="77">
        <f>IFERROR(__xludf.DUMMYFUNCTION("""COMPUTED_VALUE"""),1.0)</f>
        <v>1</v>
      </c>
      <c r="O1697" s="49"/>
      <c r="P1697" s="49" t="str">
        <f>IFERROR(__xludf.DUMMYFUNCTION("""COMPUTED_VALUE"""),"Offset")</f>
        <v>Offset</v>
      </c>
      <c r="Q1697" s="49" t="str">
        <f>IFERROR(__xludf.DUMMYFUNCTION("""COMPUTED_VALUE"""),"Packaging")</f>
        <v>Packaging</v>
      </c>
      <c r="R1697" s="49" t="str">
        <f>IFERROR(__xludf.DUMMYFUNCTION("""COMPUTED_VALUE"""),"Misc")</f>
        <v>Misc</v>
      </c>
    </row>
    <row r="1698">
      <c r="A1698" s="156" t="str">
        <f>IFERROR(__xludf.DUMMYFUNCTION("""COMPUTED_VALUE"""),"https://drive.google.com/open?id=12V51HEZfKbDLYlo8xtKITSnspDKi8tVm&amp;authuser=jay.agg%40gmail.com&amp;usp=drive_fs")</f>
        <v>https://drive.google.com/open?id=12V51HEZfKbDLYlo8xtKITSnspDKi8tVm&amp;authuser=jay.agg%40gmail.com&amp;usp=drive_fs</v>
      </c>
      <c r="B1698" s="73" t="str">
        <f>IFERROR(__xludf.DUMMYFUNCTION("""COMPUTED_VALUE"""),"Misc")</f>
        <v>Misc</v>
      </c>
      <c r="C1698" s="73" t="str">
        <f>IFERROR(__xludf.DUMMYFUNCTION("""COMPUTED_VALUE"""),"Smoke Cones")</f>
        <v>Smoke Cones</v>
      </c>
      <c r="D1698" s="73" t="str">
        <f>IFERROR(__xludf.DUMMYFUNCTION("""COMPUTED_VALUE"""),"12 Sleeve | 1 Outer 120*55*15 mm | 4.7*2.16*0.6 inch")</f>
        <v>12 Sleeve | 1 Outer 120*55*15 mm | 4.7*2.16*0.6 inch</v>
      </c>
      <c r="E1698" s="77">
        <f>IFERROR(__xludf.DUMMYFUNCTION("""COMPUTED_VALUE"""),1.0)</f>
        <v>1</v>
      </c>
      <c r="F1698" s="77">
        <f>IFERROR(__xludf.DUMMYFUNCTION("""COMPUTED_VALUE"""),1926.0)</f>
        <v>1926</v>
      </c>
      <c r="G1698" s="77">
        <f>IFERROR(__xludf.DUMMYFUNCTION("""COMPUTED_VALUE"""),18.0)</f>
        <v>18</v>
      </c>
      <c r="H1698" s="77">
        <f>IFERROR(__xludf.DUMMYFUNCTION("""COMPUTED_VALUE"""),25.0)</f>
        <v>25</v>
      </c>
      <c r="I1698" s="77">
        <f>IFERROR(__xludf.DUMMYFUNCTION("""COMPUTED_VALUE"""),100.0)</f>
        <v>100</v>
      </c>
      <c r="J1698" s="73"/>
      <c r="K1698" s="73"/>
      <c r="L1698" s="73"/>
      <c r="M1698" s="77">
        <f>IFERROR(__xludf.DUMMYFUNCTION("""COMPUTED_VALUE"""),2.08)</f>
        <v>2.08</v>
      </c>
      <c r="N1698" s="77">
        <f>IFERROR(__xludf.DUMMYFUNCTION("""COMPUTED_VALUE"""),1.0)</f>
        <v>1</v>
      </c>
      <c r="O1698" s="49"/>
      <c r="P1698" s="49" t="str">
        <f>IFERROR(__xludf.DUMMYFUNCTION("""COMPUTED_VALUE"""),"Offset")</f>
        <v>Offset</v>
      </c>
      <c r="Q1698" s="49" t="str">
        <f>IFERROR(__xludf.DUMMYFUNCTION("""COMPUTED_VALUE"""),"Packaging")</f>
        <v>Packaging</v>
      </c>
      <c r="R1698" s="49" t="str">
        <f>IFERROR(__xludf.DUMMYFUNCTION("""COMPUTED_VALUE"""),"Misc")</f>
        <v>Misc</v>
      </c>
    </row>
    <row r="1699">
      <c r="A1699" s="156" t="str">
        <f>IFERROR(__xludf.DUMMYFUNCTION("""COMPUTED_VALUE"""),"https://drive.google.com/open?id=12_i0T3We7yW8UCho5Pj4ePiOQZX19fGL&amp;authuser=jay.agg%40gmail.com&amp;usp=drive_fs")</f>
        <v>https://drive.google.com/open?id=12_i0T3We7yW8UCho5Pj4ePiOQZX19fGL&amp;authuser=jay.agg%40gmail.com&amp;usp=drive_fs</v>
      </c>
      <c r="B1699" s="73" t="str">
        <f>IFERROR(__xludf.DUMMYFUNCTION("""COMPUTED_VALUE"""),"Misc")</f>
        <v>Misc</v>
      </c>
      <c r="C1699" s="73" t="str">
        <f>IFERROR(__xludf.DUMMYFUNCTION("""COMPUTED_VALUE"""),"Smoke Cones")</f>
        <v>Smoke Cones</v>
      </c>
      <c r="D1699" s="73" t="str">
        <f>IFERROR(__xludf.DUMMYFUNCTION("""COMPUTED_VALUE"""),"Cones Holder 4 Partitions 70*110 mm")</f>
        <v>Cones Holder 4 Partitions 70*110 mm</v>
      </c>
      <c r="E1699" s="77">
        <f>IFERROR(__xludf.DUMMYFUNCTION("""COMPUTED_VALUE"""),30.0)</f>
        <v>30</v>
      </c>
      <c r="F1699" s="77">
        <f>IFERROR(__xludf.DUMMYFUNCTION("""COMPUTED_VALUE"""),1926.0)</f>
        <v>1926</v>
      </c>
      <c r="G1699" s="77">
        <f>IFERROR(__xludf.DUMMYFUNCTION("""COMPUTED_VALUE"""),18.0)</f>
        <v>18</v>
      </c>
      <c r="H1699" s="77">
        <f>IFERROR(__xludf.DUMMYFUNCTION("""COMPUTED_VALUE"""),23.0)</f>
        <v>23</v>
      </c>
      <c r="I1699" s="77">
        <f>IFERROR(__xludf.DUMMYFUNCTION("""COMPUTED_VALUE"""),100.0)</f>
        <v>100</v>
      </c>
      <c r="J1699" s="73"/>
      <c r="K1699" s="73"/>
      <c r="L1699" s="73"/>
      <c r="M1699" s="77"/>
      <c r="N1699" s="77">
        <f>IFERROR(__xludf.DUMMYFUNCTION("""COMPUTED_VALUE"""),1.0)</f>
        <v>1</v>
      </c>
      <c r="O1699" s="49"/>
      <c r="P1699" s="49" t="str">
        <f>IFERROR(__xludf.DUMMYFUNCTION("""COMPUTED_VALUE"""),"Offset")</f>
        <v>Offset</v>
      </c>
      <c r="Q1699" s="49" t="str">
        <f>IFERROR(__xludf.DUMMYFUNCTION("""COMPUTED_VALUE"""),"Commercial")</f>
        <v>Commercial</v>
      </c>
      <c r="R1699" s="49" t="str">
        <f>IFERROR(__xludf.DUMMYFUNCTION("""COMPUTED_VALUE"""),"Misc")</f>
        <v>Misc</v>
      </c>
    </row>
    <row r="1700">
      <c r="A1700" s="156" t="str">
        <f>IFERROR(__xludf.DUMMYFUNCTION("""COMPUTED_VALUE"""),"https://drive.google.com/open?id=12d7UEbAp_vNKXfAMh0A5H84PP7D3Ow_k&amp;authuser=jay.agg%40gmail.com&amp;usp=drive_fs")</f>
        <v>https://drive.google.com/open?id=12d7UEbAp_vNKXfAMh0A5H84PP7D3Ow_k&amp;authuser=jay.agg%40gmail.com&amp;usp=drive_fs</v>
      </c>
      <c r="B1700" s="73" t="str">
        <f>IFERROR(__xludf.DUMMYFUNCTION("""COMPUTED_VALUE"""),"Misc")</f>
        <v>Misc</v>
      </c>
      <c r="C1700" s="73" t="str">
        <f>IFERROR(__xludf.DUMMYFUNCTION("""COMPUTED_VALUE"""),"Smoke Cones")</f>
        <v>Smoke Cones</v>
      </c>
      <c r="D1700" s="73" t="str">
        <f>IFERROR(__xludf.DUMMYFUNCTION("""COMPUTED_VALUE"""),"24 Sleeve | 1 Outer 120*36*15 mm | 4.7*1.47*0.6 inch")</f>
        <v>24 Sleeve | 1 Outer 120*36*15 mm | 4.7*1.47*0.6 inch</v>
      </c>
      <c r="E1700" s="77">
        <f>IFERROR(__xludf.DUMMYFUNCTION("""COMPUTED_VALUE"""),1.0)</f>
        <v>1</v>
      </c>
      <c r="F1700" s="77">
        <f>IFERROR(__xludf.DUMMYFUNCTION("""COMPUTED_VALUE"""),2840.0)</f>
        <v>2840</v>
      </c>
      <c r="G1700" s="77">
        <f>IFERROR(__xludf.DUMMYFUNCTION("""COMPUTED_VALUE"""),21.0)</f>
        <v>21</v>
      </c>
      <c r="H1700" s="77">
        <f>IFERROR(__xludf.DUMMYFUNCTION("""COMPUTED_VALUE"""),40.0)</f>
        <v>40</v>
      </c>
      <c r="I1700" s="77">
        <f>IFERROR(__xludf.DUMMYFUNCTION("""COMPUTED_VALUE"""),100.0)</f>
        <v>100</v>
      </c>
      <c r="J1700" s="73"/>
      <c r="K1700" s="73"/>
      <c r="L1700" s="73"/>
      <c r="M1700" s="77">
        <f>IFERROR(__xludf.DUMMYFUNCTION("""COMPUTED_VALUE"""),3.88)</f>
        <v>3.88</v>
      </c>
      <c r="N1700" s="77">
        <f>IFERROR(__xludf.DUMMYFUNCTION("""COMPUTED_VALUE"""),1.0)</f>
        <v>1</v>
      </c>
      <c r="O1700" s="49"/>
      <c r="P1700" s="49" t="str">
        <f>IFERROR(__xludf.DUMMYFUNCTION("""COMPUTED_VALUE"""),"Offset")</f>
        <v>Offset</v>
      </c>
      <c r="Q1700" s="49" t="str">
        <f>IFERROR(__xludf.DUMMYFUNCTION("""COMPUTED_VALUE"""),"Packaging")</f>
        <v>Packaging</v>
      </c>
      <c r="R1700" s="49" t="str">
        <f>IFERROR(__xludf.DUMMYFUNCTION("""COMPUTED_VALUE"""),"Misc")</f>
        <v>Misc</v>
      </c>
    </row>
    <row r="1701">
      <c r="A1701" s="156" t="str">
        <f>IFERROR(__xludf.DUMMYFUNCTION("""COMPUTED_VALUE"""),"https://drive.google.com/open?id=12b-mr1RUvNYMspWZBh73NkFbNzij_rxn&amp;authuser=jay.agg%40gmail.com&amp;usp=drive_fs")</f>
        <v>https://drive.google.com/open?id=12b-mr1RUvNYMspWZBh73NkFbNzij_rxn&amp;authuser=jay.agg%40gmail.com&amp;usp=drive_fs</v>
      </c>
      <c r="B1701" s="73" t="str">
        <f>IFERROR(__xludf.DUMMYFUNCTION("""COMPUTED_VALUE"""),"Misc")</f>
        <v>Misc</v>
      </c>
      <c r="C1701" s="73" t="str">
        <f>IFERROR(__xludf.DUMMYFUNCTION("""COMPUTED_VALUE"""),"Smoke Cones")</f>
        <v>Smoke Cones</v>
      </c>
      <c r="D1701" s="73" t="str">
        <f>IFERROR(__xludf.DUMMYFUNCTION("""COMPUTED_VALUE"""),"Cone Tray 120*34*13 mm")</f>
        <v>Cone Tray 120*34*13 mm</v>
      </c>
      <c r="E1701" s="77">
        <f>IFERROR(__xludf.DUMMYFUNCTION("""COMPUTED_VALUE"""),18.0)</f>
        <v>18</v>
      </c>
      <c r="F1701" s="77">
        <f>IFERROR(__xludf.DUMMYFUNCTION("""COMPUTED_VALUE"""),2029.0)</f>
        <v>2029</v>
      </c>
      <c r="G1701" s="77">
        <f>IFERROR(__xludf.DUMMYFUNCTION("""COMPUTED_VALUE"""),15.75)</f>
        <v>15.75</v>
      </c>
      <c r="H1701" s="77">
        <f>IFERROR(__xludf.DUMMYFUNCTION("""COMPUTED_VALUE"""),20.75)</f>
        <v>20.75</v>
      </c>
      <c r="I1701" s="77">
        <f>IFERROR(__xludf.DUMMYFUNCTION("""COMPUTED_VALUE"""),100.0)</f>
        <v>100</v>
      </c>
      <c r="J1701" s="73"/>
      <c r="K1701" s="73"/>
      <c r="L1701" s="73"/>
      <c r="M1701" s="77">
        <f>IFERROR(__xludf.DUMMYFUNCTION("""COMPUTED_VALUE"""),0.12)</f>
        <v>0.12</v>
      </c>
      <c r="N1701" s="77">
        <f>IFERROR(__xludf.DUMMYFUNCTION("""COMPUTED_VALUE"""),1.0)</f>
        <v>1</v>
      </c>
      <c r="O1701" s="49"/>
      <c r="P1701" s="49" t="str">
        <f>IFERROR(__xludf.DUMMYFUNCTION("""COMPUTED_VALUE"""),"Offset")</f>
        <v>Offset</v>
      </c>
      <c r="Q1701" s="49" t="str">
        <f>IFERROR(__xludf.DUMMYFUNCTION("""COMPUTED_VALUE"""),"Packaging")</f>
        <v>Packaging</v>
      </c>
      <c r="R1701" s="49" t="str">
        <f>IFERROR(__xludf.DUMMYFUNCTION("""COMPUTED_VALUE"""),"Misc")</f>
        <v>Misc</v>
      </c>
    </row>
    <row r="1702">
      <c r="A1702" s="156" t="str">
        <f>IFERROR(__xludf.DUMMYFUNCTION("""COMPUTED_VALUE"""),"https://drive.google.com/open?id=1BnuJ4jUgURfg3w_Qt2F4uif21-hBTTqt&amp;authuser=jay.agg%40gmail.com&amp;usp=drive_fs")</f>
        <v>https://drive.google.com/open?id=1BnuJ4jUgURfg3w_Qt2F4uif21-hBTTqt&amp;authuser=jay.agg%40gmail.com&amp;usp=drive_fs</v>
      </c>
      <c r="B1702" s="73" t="str">
        <f>IFERROR(__xludf.DUMMYFUNCTION("""COMPUTED_VALUE"""),"Misc")</f>
        <v>Misc</v>
      </c>
      <c r="C1702" s="73" t="str">
        <f>IFERROR(__xludf.DUMMYFUNCTION("""COMPUTED_VALUE"""),"Misc")</f>
        <v>Misc</v>
      </c>
      <c r="D1702" s="73" t="str">
        <f>IFERROR(__xludf.DUMMYFUNCTION("""COMPUTED_VALUE"""),"80*80*170 mm | 3.15*3.15*6.7 inch")</f>
        <v>80*80*170 mm | 3.15*3.15*6.7 inch</v>
      </c>
      <c r="E1702" s="77">
        <f>IFERROR(__xludf.DUMMYFUNCTION("""COMPUTED_VALUE"""),2.0)</f>
        <v>2</v>
      </c>
      <c r="F1702" s="77">
        <f>IFERROR(__xludf.DUMMYFUNCTION("""COMPUTED_VALUE"""),2029.0)</f>
        <v>2029</v>
      </c>
      <c r="G1702" s="77">
        <f>IFERROR(__xludf.DUMMYFUNCTION("""COMPUTED_VALUE"""),14.0)</f>
        <v>14</v>
      </c>
      <c r="H1702" s="77">
        <f>IFERROR(__xludf.DUMMYFUNCTION("""COMPUTED_VALUE"""),26.0)</f>
        <v>26</v>
      </c>
      <c r="I1702" s="77">
        <f>IFERROR(__xludf.DUMMYFUNCTION("""COMPUTED_VALUE"""),100.0)</f>
        <v>100</v>
      </c>
      <c r="J1702" s="73"/>
      <c r="K1702" s="73"/>
      <c r="L1702" s="73">
        <f>IFERROR(__xludf.DUMMYFUNCTION("""COMPUTED_VALUE"""),1.5)</f>
        <v>1.5</v>
      </c>
      <c r="M1702" s="77">
        <f>IFERROR(__xludf.DUMMYFUNCTION("""COMPUTED_VALUE"""),0.35)</f>
        <v>0.35</v>
      </c>
      <c r="N1702" s="77">
        <f>IFERROR(__xludf.DUMMYFUNCTION("""COMPUTED_VALUE"""),1.0)</f>
        <v>1</v>
      </c>
      <c r="O1702" s="49"/>
      <c r="P1702" s="49" t="str">
        <f>IFERROR(__xludf.DUMMYFUNCTION("""COMPUTED_VALUE"""),"Offset")</f>
        <v>Offset</v>
      </c>
      <c r="Q1702" s="49" t="str">
        <f>IFERROR(__xludf.DUMMYFUNCTION("""COMPUTED_VALUE"""),"Packaging")</f>
        <v>Packaging</v>
      </c>
      <c r="R1702" s="49" t="str">
        <f>IFERROR(__xludf.DUMMYFUNCTION("""COMPUTED_VALUE"""),"Misc")</f>
        <v>Misc</v>
      </c>
    </row>
    <row r="1703">
      <c r="A1703" s="156" t="str">
        <f>IFERROR(__xludf.DUMMYFUNCTION("""COMPUTED_VALUE"""),"https://drive.google.com/open?id=1CBt-MY17SZcCIiqpcSwjMALWwW-RQelJ&amp;authuser=jay.agg%40gmail.com&amp;usp=drive_fs")</f>
        <v>https://drive.google.com/open?id=1CBt-MY17SZcCIiqpcSwjMALWwW-RQelJ&amp;authuser=jay.agg%40gmail.com&amp;usp=drive_fs</v>
      </c>
      <c r="B1703" s="73" t="str">
        <f>IFERROR(__xludf.DUMMYFUNCTION("""COMPUTED_VALUE"""),"Misc")</f>
        <v>Misc</v>
      </c>
      <c r="C1703" s="73" t="str">
        <f>IFERROR(__xludf.DUMMYFUNCTION("""COMPUTED_VALUE"""),"Misc")</f>
        <v>Misc</v>
      </c>
      <c r="D1703" s="73" t="str">
        <f>IFERROR(__xludf.DUMMYFUNCTION("""COMPUTED_VALUE"""),"Outer 50pcs 30*115 mm")</f>
        <v>Outer 50pcs 30*115 mm</v>
      </c>
      <c r="E1703" s="77">
        <f>IFERROR(__xludf.DUMMYFUNCTION("""COMPUTED_VALUE"""),8.0)</f>
        <v>8</v>
      </c>
      <c r="F1703" s="77">
        <f>IFERROR(__xludf.DUMMYFUNCTION("""COMPUTED_VALUE"""),2029.0)</f>
        <v>2029</v>
      </c>
      <c r="G1703" s="77">
        <f>IFERROR(__xludf.DUMMYFUNCTION("""COMPUTED_VALUE"""),20.0)</f>
        <v>20</v>
      </c>
      <c r="H1703" s="77">
        <f>IFERROR(__xludf.DUMMYFUNCTION("""COMPUTED_VALUE"""),28.0)</f>
        <v>28</v>
      </c>
      <c r="I1703" s="77">
        <f>IFERROR(__xludf.DUMMYFUNCTION("""COMPUTED_VALUE"""),100.0)</f>
        <v>100</v>
      </c>
      <c r="J1703" s="73"/>
      <c r="K1703" s="73"/>
      <c r="L1703" s="73"/>
      <c r="M1703" s="77">
        <f>IFERROR(__xludf.DUMMYFUNCTION("""COMPUTED_VALUE"""),0.18)</f>
        <v>0.18</v>
      </c>
      <c r="N1703" s="77">
        <f>IFERROR(__xludf.DUMMYFUNCTION("""COMPUTED_VALUE"""),1.0)</f>
        <v>1</v>
      </c>
      <c r="O1703" s="49"/>
      <c r="P1703" s="49" t="str">
        <f>IFERROR(__xludf.DUMMYFUNCTION("""COMPUTED_VALUE"""),"Offset")</f>
        <v>Offset</v>
      </c>
      <c r="Q1703" s="49" t="str">
        <f>IFERROR(__xludf.DUMMYFUNCTION("""COMPUTED_VALUE"""),"Packaging")</f>
        <v>Packaging</v>
      </c>
      <c r="R1703" s="49" t="str">
        <f>IFERROR(__xludf.DUMMYFUNCTION("""COMPUTED_VALUE"""),"Misc")</f>
        <v>Misc</v>
      </c>
    </row>
    <row r="1704">
      <c r="A1704" s="156" t="str">
        <f>IFERROR(__xludf.DUMMYFUNCTION("""COMPUTED_VALUE"""),"https://drive.google.com/open?id=1CDTbKfP19eJWmf1410aKOSRFI_9DTCHP&amp;authuser=jay.agg%40gmail.com&amp;usp=drive_fs")</f>
        <v>https://drive.google.com/open?id=1CDTbKfP19eJWmf1410aKOSRFI_9DTCHP&amp;authuser=jay.agg%40gmail.com&amp;usp=drive_fs</v>
      </c>
      <c r="B1704" s="73" t="str">
        <f>IFERROR(__xludf.DUMMYFUNCTION("""COMPUTED_VALUE"""),"Misc")</f>
        <v>Misc</v>
      </c>
      <c r="C1704" s="73" t="str">
        <f>IFERROR(__xludf.DUMMYFUNCTION("""COMPUTED_VALUE"""),"Misc")</f>
        <v>Misc</v>
      </c>
      <c r="D1704" s="73" t="str">
        <f>IFERROR(__xludf.DUMMYFUNCTION("""COMPUTED_VALUE"""),"30*115 mm")</f>
        <v>30*115 mm</v>
      </c>
      <c r="E1704" s="77">
        <f>IFERROR(__xludf.DUMMYFUNCTION("""COMPUTED_VALUE"""),24.0)</f>
        <v>24</v>
      </c>
      <c r="F1704" s="77">
        <f>IFERROR(__xludf.DUMMYFUNCTION("""COMPUTED_VALUE"""),1926.0)</f>
        <v>1926</v>
      </c>
      <c r="G1704" s="77">
        <f>IFERROR(__xludf.DUMMYFUNCTION("""COMPUTED_VALUE"""),15.75)</f>
        <v>15.75</v>
      </c>
      <c r="H1704" s="77">
        <f>IFERROR(__xludf.DUMMYFUNCTION("""COMPUTED_VALUE"""),20.75)</f>
        <v>20.75</v>
      </c>
      <c r="I1704" s="77">
        <f>IFERROR(__xludf.DUMMYFUNCTION("""COMPUTED_VALUE"""),100.0)</f>
        <v>100</v>
      </c>
      <c r="J1704" s="73"/>
      <c r="K1704" s="73"/>
      <c r="L1704" s="73"/>
      <c r="M1704" s="77">
        <f>IFERROR(__xludf.DUMMYFUNCTION("""COMPUTED_VALUE"""),0.18)</f>
        <v>0.18</v>
      </c>
      <c r="N1704" s="77">
        <f>IFERROR(__xludf.DUMMYFUNCTION("""COMPUTED_VALUE"""),1.0)</f>
        <v>1</v>
      </c>
      <c r="O1704" s="49"/>
      <c r="P1704" s="49" t="str">
        <f>IFERROR(__xludf.DUMMYFUNCTION("""COMPUTED_VALUE"""),"Offset")</f>
        <v>Offset</v>
      </c>
      <c r="Q1704" s="49" t="str">
        <f>IFERROR(__xludf.DUMMYFUNCTION("""COMPUTED_VALUE"""),"Packaging")</f>
        <v>Packaging</v>
      </c>
      <c r="R1704" s="49" t="str">
        <f>IFERROR(__xludf.DUMMYFUNCTION("""COMPUTED_VALUE"""),"Misc")</f>
        <v>Misc</v>
      </c>
    </row>
    <row r="1705">
      <c r="A1705" s="156" t="str">
        <f>IFERROR(__xludf.DUMMYFUNCTION("""COMPUTED_VALUE"""),"https://drive.google.com/open?id=1DI9LPTgvn41rrhOCSB2dzzspdlPVzMLK&amp;authuser=jay.agg%40gmail.com&amp;usp=drive_fs")</f>
        <v>https://drive.google.com/open?id=1DI9LPTgvn41rrhOCSB2dzzspdlPVzMLK&amp;authuser=jay.agg%40gmail.com&amp;usp=drive_fs</v>
      </c>
      <c r="B1705" s="73" t="str">
        <f>IFERROR(__xludf.DUMMYFUNCTION("""COMPUTED_VALUE"""),"Misc")</f>
        <v>Misc</v>
      </c>
      <c r="C1705" s="73" t="str">
        <f>IFERROR(__xludf.DUMMYFUNCTION("""COMPUTED_VALUE"""),"Smoke Cones")</f>
        <v>Smoke Cones</v>
      </c>
      <c r="D1705" s="73" t="str">
        <f>IFERROR(__xludf.DUMMYFUNCTION("""COMPUTED_VALUE"""),"Cones Holder Set")</f>
        <v>Cones Holder Set</v>
      </c>
      <c r="E1705" s="77">
        <f>IFERROR(__xludf.DUMMYFUNCTION("""COMPUTED_VALUE"""),1.0)</f>
        <v>1</v>
      </c>
      <c r="F1705" s="77">
        <f>IFERROR(__xludf.DUMMYFUNCTION("""COMPUTED_VALUE"""),2029.0)</f>
        <v>2029</v>
      </c>
      <c r="G1705" s="77">
        <f>IFERROR(__xludf.DUMMYFUNCTION("""COMPUTED_VALUE"""),20.0)</f>
        <v>20</v>
      </c>
      <c r="H1705" s="77">
        <f>IFERROR(__xludf.DUMMYFUNCTION("""COMPUTED_VALUE"""),28.0)</f>
        <v>28</v>
      </c>
      <c r="I1705" s="77">
        <f>IFERROR(__xludf.DUMMYFUNCTION("""COMPUTED_VALUE"""),100.0)</f>
        <v>100</v>
      </c>
      <c r="J1705" s="73"/>
      <c r="K1705" s="73"/>
      <c r="L1705" s="73"/>
      <c r="M1705" s="77">
        <f>IFERROR(__xludf.DUMMYFUNCTION("""COMPUTED_VALUE"""),2.0)</f>
        <v>2</v>
      </c>
      <c r="N1705" s="77">
        <f>IFERROR(__xludf.DUMMYFUNCTION("""COMPUTED_VALUE"""),1.0)</f>
        <v>1</v>
      </c>
      <c r="O1705" s="49"/>
      <c r="P1705" s="49" t="str">
        <f>IFERROR(__xludf.DUMMYFUNCTION("""COMPUTED_VALUE"""),"Offset")</f>
        <v>Offset</v>
      </c>
      <c r="Q1705" s="49" t="str">
        <f>IFERROR(__xludf.DUMMYFUNCTION("""COMPUTED_VALUE"""),"Packaging")</f>
        <v>Packaging</v>
      </c>
      <c r="R1705" s="49" t="str">
        <f>IFERROR(__xludf.DUMMYFUNCTION("""COMPUTED_VALUE"""),"Misc")</f>
        <v>Misc</v>
      </c>
    </row>
    <row r="1706">
      <c r="A1706" s="156" t="str">
        <f>IFERROR(__xludf.DUMMYFUNCTION("""COMPUTED_VALUE"""),"https://drive.google.com/open?id=1DQLlyFMW_lGkfw6deDFs8zQhBDlkCS1G&amp;authuser=jay.agg%40gmail.com&amp;usp=drive_fs")</f>
        <v>https://drive.google.com/open?id=1DQLlyFMW_lGkfw6deDFs8zQhBDlkCS1G&amp;authuser=jay.agg%40gmail.com&amp;usp=drive_fs</v>
      </c>
      <c r="B1706" s="73" t="str">
        <f>IFERROR(__xludf.DUMMYFUNCTION("""COMPUTED_VALUE"""),"Misc")</f>
        <v>Misc</v>
      </c>
      <c r="C1706" s="73" t="str">
        <f>IFERROR(__xludf.DUMMYFUNCTION("""COMPUTED_VALUE"""),"Smoke Cones")</f>
        <v>Smoke Cones</v>
      </c>
      <c r="D1706" s="73" t="str">
        <f>IFERROR(__xludf.DUMMYFUNCTION("""COMPUTED_VALUE"""),"Cones Outer 130*126*310 mm")</f>
        <v>Cones Outer 130*126*310 mm</v>
      </c>
      <c r="E1706" s="77">
        <f>IFERROR(__xludf.DUMMYFUNCTION("""COMPUTED_VALUE"""),2.0)</f>
        <v>2</v>
      </c>
      <c r="F1706" s="77">
        <f>IFERROR(__xludf.DUMMYFUNCTION("""COMPUTED_VALUE"""),2840.0)</f>
        <v>2840</v>
      </c>
      <c r="G1706" s="77">
        <f>IFERROR(__xludf.DUMMYFUNCTION("""COMPUTED_VALUE"""),21.0)</f>
        <v>21</v>
      </c>
      <c r="H1706" s="77">
        <f>IFERROR(__xludf.DUMMYFUNCTION("""COMPUTED_VALUE"""),40.0)</f>
        <v>40</v>
      </c>
      <c r="I1706" s="77">
        <f>IFERROR(__xludf.DUMMYFUNCTION("""COMPUTED_VALUE"""),100.0)</f>
        <v>100</v>
      </c>
      <c r="J1706" s="73"/>
      <c r="K1706" s="73"/>
      <c r="L1706" s="73"/>
      <c r="M1706" s="77">
        <f>IFERROR(__xludf.DUMMYFUNCTION("""COMPUTED_VALUE"""),2.5)</f>
        <v>2.5</v>
      </c>
      <c r="N1706" s="77">
        <f>IFERROR(__xludf.DUMMYFUNCTION("""COMPUTED_VALUE"""),1.0)</f>
        <v>1</v>
      </c>
      <c r="O1706" s="49"/>
      <c r="P1706" s="49" t="str">
        <f>IFERROR(__xludf.DUMMYFUNCTION("""COMPUTED_VALUE"""),"Offset")</f>
        <v>Offset</v>
      </c>
      <c r="Q1706" s="49" t="str">
        <f>IFERROR(__xludf.DUMMYFUNCTION("""COMPUTED_VALUE"""),"Packaging")</f>
        <v>Packaging</v>
      </c>
      <c r="R1706" s="49" t="str">
        <f>IFERROR(__xludf.DUMMYFUNCTION("""COMPUTED_VALUE"""),"Misc")</f>
        <v>Misc</v>
      </c>
    </row>
    <row r="1707">
      <c r="A1707" s="156" t="str">
        <f>IFERROR(__xludf.DUMMYFUNCTION("""COMPUTED_VALUE"""),"https://drive.google.com/open?id=1H-XxAKeHsanCT7RXBVtCY-L5Cn1hEkq5&amp;authuser=jay.agg%40gmail.com&amp;usp=drive_fs")</f>
        <v>https://drive.google.com/open?id=1H-XxAKeHsanCT7RXBVtCY-L5Cn1hEkq5&amp;authuser=jay.agg%40gmail.com&amp;usp=drive_fs</v>
      </c>
      <c r="B1707" s="73" t="str">
        <f>IFERROR(__xludf.DUMMYFUNCTION("""COMPUTED_VALUE"""),"Misc")</f>
        <v>Misc</v>
      </c>
      <c r="C1707" s="73" t="str">
        <f>IFERROR(__xludf.DUMMYFUNCTION("""COMPUTED_VALUE"""),"Misc")</f>
        <v>Misc</v>
      </c>
      <c r="D1707" s="73" t="str">
        <f>IFERROR(__xludf.DUMMYFUNCTION("""COMPUTED_VALUE"""),"51*38*76 mm | 2*1.5*3 inch")</f>
        <v>51*38*76 mm | 2*1.5*3 inch</v>
      </c>
      <c r="E1707" s="77">
        <f>IFERROR(__xludf.DUMMYFUNCTION("""COMPUTED_VALUE"""),9.0)</f>
        <v>9</v>
      </c>
      <c r="F1707" s="77">
        <f>IFERROR(__xludf.DUMMYFUNCTION("""COMPUTED_VALUE"""),1926.0)</f>
        <v>1926</v>
      </c>
      <c r="G1707" s="77">
        <f>IFERROR(__xludf.DUMMYFUNCTION("""COMPUTED_VALUE"""),18.0)</f>
        <v>18</v>
      </c>
      <c r="H1707" s="77">
        <f>IFERROR(__xludf.DUMMYFUNCTION("""COMPUTED_VALUE"""),23.0)</f>
        <v>23</v>
      </c>
      <c r="I1707" s="77">
        <f>IFERROR(__xludf.DUMMYFUNCTION("""COMPUTED_VALUE"""),100.0)</f>
        <v>100</v>
      </c>
      <c r="J1707" s="73"/>
      <c r="K1707" s="73"/>
      <c r="L1707" s="73"/>
      <c r="M1707" s="77">
        <f>IFERROR(__xludf.DUMMYFUNCTION("""COMPUTED_VALUE"""),0.1)</f>
        <v>0.1</v>
      </c>
      <c r="N1707" s="77">
        <f>IFERROR(__xludf.DUMMYFUNCTION("""COMPUTED_VALUE"""),1.0)</f>
        <v>1</v>
      </c>
      <c r="O1707" s="49"/>
      <c r="P1707" s="49" t="str">
        <f>IFERROR(__xludf.DUMMYFUNCTION("""COMPUTED_VALUE"""),"Offset")</f>
        <v>Offset</v>
      </c>
      <c r="Q1707" s="49" t="str">
        <f>IFERROR(__xludf.DUMMYFUNCTION("""COMPUTED_VALUE"""),"Packaging")</f>
        <v>Packaging</v>
      </c>
      <c r="R1707" s="49" t="str">
        <f>IFERROR(__xludf.DUMMYFUNCTION("""COMPUTED_VALUE"""),"Misc")</f>
        <v>Misc</v>
      </c>
    </row>
    <row r="1708">
      <c r="A1708" s="156" t="str">
        <f>IFERROR(__xludf.DUMMYFUNCTION("""COMPUTED_VALUE"""),"https://drive.google.com/open?id=15HezeF0SBLq3pkBPoxoBqSeN79vXDACI&amp;authuser=jay.agg%40gmail.com&amp;usp=drive_fs")</f>
        <v>https://drive.google.com/open?id=15HezeF0SBLq3pkBPoxoBqSeN79vXDACI&amp;authuser=jay.agg%40gmail.com&amp;usp=drive_fs</v>
      </c>
      <c r="B1708" s="73" t="str">
        <f>IFERROR(__xludf.DUMMYFUNCTION("""COMPUTED_VALUE"""),"Misc")</f>
        <v>Misc</v>
      </c>
      <c r="C1708" s="73" t="str">
        <f>IFERROR(__xludf.DUMMYFUNCTION("""COMPUTED_VALUE"""),"Misc")</f>
        <v>Misc</v>
      </c>
      <c r="D1708" s="73" t="str">
        <f>IFERROR(__xludf.DUMMYFUNCTION("""COMPUTED_VALUE"""),"44*44*145 mm | 1.7*1.7*5.7 inch")</f>
        <v>44*44*145 mm | 1.7*1.7*5.7 inch</v>
      </c>
      <c r="E1708" s="77">
        <f>IFERROR(__xludf.DUMMYFUNCTION("""COMPUTED_VALUE"""),6.0)</f>
        <v>6</v>
      </c>
      <c r="F1708" s="77">
        <f>IFERROR(__xludf.DUMMYFUNCTION("""COMPUTED_VALUE"""),2029.0)</f>
        <v>2029</v>
      </c>
      <c r="G1708" s="77">
        <f>IFERROR(__xludf.DUMMYFUNCTION("""COMPUTED_VALUE"""),19.5)</f>
        <v>19.5</v>
      </c>
      <c r="H1708" s="77">
        <f>IFERROR(__xludf.DUMMYFUNCTION("""COMPUTED_VALUE"""),23.0)</f>
        <v>23</v>
      </c>
      <c r="I1708" s="77">
        <f>IFERROR(__xludf.DUMMYFUNCTION("""COMPUTED_VALUE"""),100.0)</f>
        <v>100</v>
      </c>
      <c r="J1708" s="73"/>
      <c r="K1708" s="73"/>
      <c r="L1708" s="73"/>
      <c r="M1708" s="77">
        <f>IFERROR(__xludf.DUMMYFUNCTION("""COMPUTED_VALUE"""),0.1)</f>
        <v>0.1</v>
      </c>
      <c r="N1708" s="77">
        <f>IFERROR(__xludf.DUMMYFUNCTION("""COMPUTED_VALUE"""),1.0)</f>
        <v>1</v>
      </c>
      <c r="O1708" s="49"/>
      <c r="P1708" s="49" t="str">
        <f>IFERROR(__xludf.DUMMYFUNCTION("""COMPUTED_VALUE"""),"Offset")</f>
        <v>Offset</v>
      </c>
      <c r="Q1708" s="49" t="str">
        <f>IFERROR(__xludf.DUMMYFUNCTION("""COMPUTED_VALUE"""),"Packaging")</f>
        <v>Packaging</v>
      </c>
      <c r="R1708" s="49" t="str">
        <f>IFERROR(__xludf.DUMMYFUNCTION("""COMPUTED_VALUE"""),"Misc")</f>
        <v>Misc</v>
      </c>
    </row>
    <row r="1709">
      <c r="A1709" s="156" t="str">
        <f>IFERROR(__xludf.DUMMYFUNCTION("""COMPUTED_VALUE"""),"https://drive.google.com/open?id=15ghmS6mwlgT0zML__FpRsCrOxckgMpXZ&amp;authuser=jay.agg%40gmail.com&amp;usp=drive_fs")</f>
        <v>https://drive.google.com/open?id=15ghmS6mwlgT0zML__FpRsCrOxckgMpXZ&amp;authuser=jay.agg%40gmail.com&amp;usp=drive_fs</v>
      </c>
      <c r="B1709" s="73" t="str">
        <f>IFERROR(__xludf.DUMMYFUNCTION("""COMPUTED_VALUE"""),"Misc")</f>
        <v>Misc</v>
      </c>
      <c r="C1709" s="73" t="str">
        <f>IFERROR(__xludf.DUMMYFUNCTION("""COMPUTED_VALUE"""),"Misc")</f>
        <v>Misc</v>
      </c>
      <c r="D1709" s="73" t="str">
        <f>IFERROR(__xludf.DUMMYFUNCTION("""COMPUTED_VALUE"""),"46*21.5*113.75 mm | 1.8*0.9*4.48 inch")</f>
        <v>46*21.5*113.75 mm | 1.8*0.9*4.48 inch</v>
      </c>
      <c r="E1709" s="77">
        <f>IFERROR(__xludf.DUMMYFUNCTION("""COMPUTED_VALUE"""),12.0)</f>
        <v>12</v>
      </c>
      <c r="F1709" s="77">
        <f>IFERROR(__xludf.DUMMYFUNCTION("""COMPUTED_VALUE"""),1926.0)</f>
        <v>1926</v>
      </c>
      <c r="G1709" s="77">
        <f>IFERROR(__xludf.DUMMYFUNCTION("""COMPUTED_VALUE"""),19.0)</f>
        <v>19</v>
      </c>
      <c r="H1709" s="77">
        <f>IFERROR(__xludf.DUMMYFUNCTION("""COMPUTED_VALUE"""),26.0)</f>
        <v>26</v>
      </c>
      <c r="I1709" s="77">
        <f>IFERROR(__xludf.DUMMYFUNCTION("""COMPUTED_VALUE"""),100.0)</f>
        <v>100</v>
      </c>
      <c r="J1709" s="73"/>
      <c r="K1709" s="73"/>
      <c r="L1709" s="73"/>
      <c r="M1709" s="77">
        <f>IFERROR(__xludf.DUMMYFUNCTION("""COMPUTED_VALUE"""),0.1)</f>
        <v>0.1</v>
      </c>
      <c r="N1709" s="77">
        <f>IFERROR(__xludf.DUMMYFUNCTION("""COMPUTED_VALUE"""),1.0)</f>
        <v>1</v>
      </c>
      <c r="O1709" s="49"/>
      <c r="P1709" s="49" t="str">
        <f>IFERROR(__xludf.DUMMYFUNCTION("""COMPUTED_VALUE"""),"Offset")</f>
        <v>Offset</v>
      </c>
      <c r="Q1709" s="49" t="str">
        <f>IFERROR(__xludf.DUMMYFUNCTION("""COMPUTED_VALUE"""),"Packaging")</f>
        <v>Packaging</v>
      </c>
      <c r="R1709" s="49" t="str">
        <f>IFERROR(__xludf.DUMMYFUNCTION("""COMPUTED_VALUE"""),"Misc")</f>
        <v>Misc</v>
      </c>
    </row>
    <row r="1710">
      <c r="A1710" s="156" t="str">
        <f>IFERROR(__xludf.DUMMYFUNCTION("""COMPUTED_VALUE"""),"https://drive.google.com/open?id=1PXlU5qb3i7Y5LSnDGngRkAqg0Ks4CxNm&amp;authuser=jay.agg%40gmail.com&amp;usp=drive_fs")</f>
        <v>https://drive.google.com/open?id=1PXlU5qb3i7Y5LSnDGngRkAqg0Ks4CxNm&amp;authuser=jay.agg%40gmail.com&amp;usp=drive_fs</v>
      </c>
      <c r="B1710" s="73" t="str">
        <f>IFERROR(__xludf.DUMMYFUNCTION("""COMPUTED_VALUE"""),"Misc")</f>
        <v>Misc</v>
      </c>
      <c r="C1710" s="73" t="str">
        <f>IFERROR(__xludf.DUMMYFUNCTION("""COMPUTED_VALUE"""),"Misc")</f>
        <v>Misc</v>
      </c>
      <c r="D1710" s="73" t="str">
        <f>IFERROR(__xludf.DUMMYFUNCTION("""COMPUTED_VALUE"""),"70*20*80 mm | 2.7*0.8*3.15 inch")</f>
        <v>70*20*80 mm | 2.7*0.8*3.15 inch</v>
      </c>
      <c r="E1710" s="77">
        <f>IFERROR(__xludf.DUMMYFUNCTION("""COMPUTED_VALUE"""),12.0)</f>
        <v>12</v>
      </c>
      <c r="F1710" s="77">
        <f>IFERROR(__xludf.DUMMYFUNCTION("""COMPUTED_VALUE"""),2029.0)</f>
        <v>2029</v>
      </c>
      <c r="G1710" s="77">
        <f>IFERROR(__xludf.DUMMYFUNCTION("""COMPUTED_VALUE"""),19.5)</f>
        <v>19.5</v>
      </c>
      <c r="H1710" s="77">
        <f>IFERROR(__xludf.DUMMYFUNCTION("""COMPUTED_VALUE"""),23.0)</f>
        <v>23</v>
      </c>
      <c r="I1710" s="77">
        <f>IFERROR(__xludf.DUMMYFUNCTION("""COMPUTED_VALUE"""),100.0)</f>
        <v>100</v>
      </c>
      <c r="J1710" s="73"/>
      <c r="K1710" s="73"/>
      <c r="L1710" s="73"/>
      <c r="M1710" s="77">
        <f>IFERROR(__xludf.DUMMYFUNCTION("""COMPUTED_VALUE"""),0.1)</f>
        <v>0.1</v>
      </c>
      <c r="N1710" s="77">
        <f>IFERROR(__xludf.DUMMYFUNCTION("""COMPUTED_VALUE"""),1.0)</f>
        <v>1</v>
      </c>
      <c r="O1710" s="49"/>
      <c r="P1710" s="49" t="str">
        <f>IFERROR(__xludf.DUMMYFUNCTION("""COMPUTED_VALUE"""),"Offset")</f>
        <v>Offset</v>
      </c>
      <c r="Q1710" s="49" t="str">
        <f>IFERROR(__xludf.DUMMYFUNCTION("""COMPUTED_VALUE"""),"Packaging")</f>
        <v>Packaging</v>
      </c>
      <c r="R1710" s="49" t="str">
        <f>IFERROR(__xludf.DUMMYFUNCTION("""COMPUTED_VALUE"""),"Misc")</f>
        <v>Misc</v>
      </c>
    </row>
    <row r="1711">
      <c r="A1711" s="156" t="str">
        <f>IFERROR(__xludf.DUMMYFUNCTION("""COMPUTED_VALUE"""),"https://drive.google.com/open?id=1PiBukSUJ10wcNvtXeyGWNqe1_8llMk7E&amp;authuser=jay.agg%40gmail.com&amp;usp=drive_fs")</f>
        <v>https://drive.google.com/open?id=1PiBukSUJ10wcNvtXeyGWNqe1_8llMk7E&amp;authuser=jay.agg%40gmail.com&amp;usp=drive_fs</v>
      </c>
      <c r="B1711" s="73" t="str">
        <f>IFERROR(__xludf.DUMMYFUNCTION("""COMPUTED_VALUE"""),"Misc")</f>
        <v>Misc</v>
      </c>
      <c r="C1711" s="73" t="str">
        <f>IFERROR(__xludf.DUMMYFUNCTION("""COMPUTED_VALUE"""),"Misc")</f>
        <v>Misc</v>
      </c>
      <c r="D1711" s="73" t="str">
        <f>IFERROR(__xludf.DUMMYFUNCTION("""COMPUTED_VALUE"""),"50*20*100 mm | 2*0.8*4 inch")</f>
        <v>50*20*100 mm | 2*0.8*4 inch</v>
      </c>
      <c r="E1711" s="77">
        <f>IFERROR(__xludf.DUMMYFUNCTION("""COMPUTED_VALUE"""),12.0)</f>
        <v>12</v>
      </c>
      <c r="F1711" s="77">
        <f>IFERROR(__xludf.DUMMYFUNCTION("""COMPUTED_VALUE"""),1926.0)</f>
        <v>1926</v>
      </c>
      <c r="G1711" s="77">
        <f>IFERROR(__xludf.DUMMYFUNCTION("""COMPUTED_VALUE"""),18.0)</f>
        <v>18</v>
      </c>
      <c r="H1711" s="77">
        <f>IFERROR(__xludf.DUMMYFUNCTION("""COMPUTED_VALUE"""),25.0)</f>
        <v>25</v>
      </c>
      <c r="I1711" s="77">
        <f>IFERROR(__xludf.DUMMYFUNCTION("""COMPUTED_VALUE"""),100.0)</f>
        <v>100</v>
      </c>
      <c r="J1711" s="73"/>
      <c r="K1711" s="73"/>
      <c r="L1711" s="73"/>
      <c r="M1711" s="77">
        <f>IFERROR(__xludf.DUMMYFUNCTION("""COMPUTED_VALUE"""),0.1)</f>
        <v>0.1</v>
      </c>
      <c r="N1711" s="77">
        <f>IFERROR(__xludf.DUMMYFUNCTION("""COMPUTED_VALUE"""),1.0)</f>
        <v>1</v>
      </c>
      <c r="O1711" s="49"/>
      <c r="P1711" s="49" t="str">
        <f>IFERROR(__xludf.DUMMYFUNCTION("""COMPUTED_VALUE"""),"Offset")</f>
        <v>Offset</v>
      </c>
      <c r="Q1711" s="49" t="str">
        <f>IFERROR(__xludf.DUMMYFUNCTION("""COMPUTED_VALUE"""),"Packaging")</f>
        <v>Packaging</v>
      </c>
      <c r="R1711" s="49" t="str">
        <f>IFERROR(__xludf.DUMMYFUNCTION("""COMPUTED_VALUE"""),"Misc")</f>
        <v>Misc</v>
      </c>
    </row>
    <row r="1712">
      <c r="A1712" s="156" t="str">
        <f>IFERROR(__xludf.DUMMYFUNCTION("""COMPUTED_VALUE"""),"https://drive.google.com/open?id=1Pj_fSrLZP9D7oGowjNRCEK4qqsxcu3sU&amp;authuser=jay.agg%40gmail.com&amp;usp=drive_fs")</f>
        <v>https://drive.google.com/open?id=1Pj_fSrLZP9D7oGowjNRCEK4qqsxcu3sU&amp;authuser=jay.agg%40gmail.com&amp;usp=drive_fs</v>
      </c>
      <c r="B1712" s="73" t="str">
        <f>IFERROR(__xludf.DUMMYFUNCTION("""COMPUTED_VALUE"""),"Misc")</f>
        <v>Misc</v>
      </c>
      <c r="C1712" s="73" t="str">
        <f>IFERROR(__xludf.DUMMYFUNCTION("""COMPUTED_VALUE"""),"Misc")</f>
        <v>Misc</v>
      </c>
      <c r="D1712" s="73" t="str">
        <f>IFERROR(__xludf.DUMMYFUNCTION("""COMPUTED_VALUE"""),"130*25*160 mm | 5.1*1*6.3 inch W 2*3 inch")</f>
        <v>130*25*160 mm | 5.1*1*6.3 inch W 2*3 inch</v>
      </c>
      <c r="E1712" s="77">
        <f>IFERROR(__xludf.DUMMYFUNCTION("""COMPUTED_VALUE"""),4.0)</f>
        <v>4</v>
      </c>
      <c r="F1712" s="77">
        <f>IFERROR(__xludf.DUMMYFUNCTION("""COMPUTED_VALUE"""),2029.0)</f>
        <v>2029</v>
      </c>
      <c r="G1712" s="77">
        <f>IFERROR(__xludf.DUMMYFUNCTION("""COMPUTED_VALUE"""),19.0)</f>
        <v>19</v>
      </c>
      <c r="H1712" s="77">
        <f>IFERROR(__xludf.DUMMYFUNCTION("""COMPUTED_VALUE"""),26.0)</f>
        <v>26</v>
      </c>
      <c r="I1712" s="77">
        <f>IFERROR(__xludf.DUMMYFUNCTION("""COMPUTED_VALUE"""),100.0)</f>
        <v>100</v>
      </c>
      <c r="J1712" s="73"/>
      <c r="K1712" s="73"/>
      <c r="L1712" s="73">
        <f>IFERROR(__xludf.DUMMYFUNCTION("""COMPUTED_VALUE"""),1.0)</f>
        <v>1</v>
      </c>
      <c r="M1712" s="77">
        <f>IFERROR(__xludf.DUMMYFUNCTION("""COMPUTED_VALUE"""),0.1)</f>
        <v>0.1</v>
      </c>
      <c r="N1712" s="77">
        <f>IFERROR(__xludf.DUMMYFUNCTION("""COMPUTED_VALUE"""),1.0)</f>
        <v>1</v>
      </c>
      <c r="O1712" s="49"/>
      <c r="P1712" s="49" t="str">
        <f>IFERROR(__xludf.DUMMYFUNCTION("""COMPUTED_VALUE"""),"Offset")</f>
        <v>Offset</v>
      </c>
      <c r="Q1712" s="49" t="str">
        <f>IFERROR(__xludf.DUMMYFUNCTION("""COMPUTED_VALUE"""),"Packaging")</f>
        <v>Packaging</v>
      </c>
      <c r="R1712" s="49" t="str">
        <f>IFERROR(__xludf.DUMMYFUNCTION("""COMPUTED_VALUE"""),"Misc")</f>
        <v>Misc</v>
      </c>
    </row>
    <row r="1713">
      <c r="A1713" s="156" t="str">
        <f>IFERROR(__xludf.DUMMYFUNCTION("""COMPUTED_VALUE"""),"https://drive.google.com/open?id=1D8UDOya_hVwtLHfig4xse8PqP1TM9Bxv&amp;authuser=jay.agg%40gmail.com&amp;usp=drive_fs")</f>
        <v>https://drive.google.com/open?id=1D8UDOya_hVwtLHfig4xse8PqP1TM9Bxv&amp;authuser=jay.agg%40gmail.com&amp;usp=drive_fs</v>
      </c>
      <c r="B1713" s="73" t="str">
        <f>IFERROR(__xludf.DUMMYFUNCTION("""COMPUTED_VALUE"""),"Misc")</f>
        <v>Misc</v>
      </c>
      <c r="C1713" s="73" t="str">
        <f>IFERROR(__xludf.DUMMYFUNCTION("""COMPUTED_VALUE"""),"Baby Bibs")</f>
        <v>Baby Bibs</v>
      </c>
      <c r="D1713" s="73" t="str">
        <f>IFERROR(__xludf.DUMMYFUNCTION("""COMPUTED_VALUE"""),"100*50*230 mm | 4*2*9 inch")</f>
        <v>100*50*230 mm | 4*2*9 inch</v>
      </c>
      <c r="E1713" s="77">
        <f>IFERROR(__xludf.DUMMYFUNCTION("""COMPUTED_VALUE"""),2.0)</f>
        <v>2</v>
      </c>
      <c r="F1713" s="77">
        <f>IFERROR(__xludf.DUMMYFUNCTION("""COMPUTED_VALUE"""),2029.0)</f>
        <v>2029</v>
      </c>
      <c r="G1713" s="77">
        <f>IFERROR(__xludf.DUMMYFUNCTION("""COMPUTED_VALUE"""),15.0)</f>
        <v>15</v>
      </c>
      <c r="H1713" s="77">
        <f>IFERROR(__xludf.DUMMYFUNCTION("""COMPUTED_VALUE"""),25.0)</f>
        <v>25</v>
      </c>
      <c r="I1713" s="77">
        <f>IFERROR(__xludf.DUMMYFUNCTION("""COMPUTED_VALUE"""),100.0)</f>
        <v>100</v>
      </c>
      <c r="J1713" s="73"/>
      <c r="K1713" s="73"/>
      <c r="L1713" s="73"/>
      <c r="M1713" s="77">
        <f>IFERROR(__xludf.DUMMYFUNCTION("""COMPUTED_VALUE"""),0.1)</f>
        <v>0.1</v>
      </c>
      <c r="N1713" s="77">
        <f>IFERROR(__xludf.DUMMYFUNCTION("""COMPUTED_VALUE"""),1.0)</f>
        <v>1</v>
      </c>
      <c r="O1713" s="49"/>
      <c r="P1713" s="49" t="str">
        <f>IFERROR(__xludf.DUMMYFUNCTION("""COMPUTED_VALUE"""),"Offset")</f>
        <v>Offset</v>
      </c>
      <c r="Q1713" s="49" t="str">
        <f>IFERROR(__xludf.DUMMYFUNCTION("""COMPUTED_VALUE"""),"Packaging")</f>
        <v>Packaging</v>
      </c>
      <c r="R1713" s="49" t="str">
        <f>IFERROR(__xludf.DUMMYFUNCTION("""COMPUTED_VALUE"""),"Misc")</f>
        <v>Misc</v>
      </c>
    </row>
    <row r="1714">
      <c r="A1714" s="156" t="str">
        <f>IFERROR(__xludf.DUMMYFUNCTION("""COMPUTED_VALUE"""),"https://drive.google.com/open?id=1DdIQoi2loL8HCwH67FhueVJIxM2l-KQO&amp;authuser=jay.agg%40gmail.com&amp;usp=drive_fs")</f>
        <v>https://drive.google.com/open?id=1DdIQoi2loL8HCwH67FhueVJIxM2l-KQO&amp;authuser=jay.agg%40gmail.com&amp;usp=drive_fs</v>
      </c>
      <c r="B1714" s="73" t="str">
        <f>IFERROR(__xludf.DUMMYFUNCTION("""COMPUTED_VALUE"""),"Misc")</f>
        <v>Misc</v>
      </c>
      <c r="C1714" s="73" t="str">
        <f>IFERROR(__xludf.DUMMYFUNCTION("""COMPUTED_VALUE"""),"Pesticide")</f>
        <v>Pesticide</v>
      </c>
      <c r="D1714" s="73" t="str">
        <f>IFERROR(__xludf.DUMMYFUNCTION("""COMPUTED_VALUE"""),"48*48*78 mm | 1.9*1.9*3 inch")</f>
        <v>48*48*78 mm | 1.9*1.9*3 inch</v>
      </c>
      <c r="E1714" s="77">
        <f>IFERROR(__xludf.DUMMYFUNCTION("""COMPUTED_VALUE"""),9.0)</f>
        <v>9</v>
      </c>
      <c r="F1714" s="77">
        <f>IFERROR(__xludf.DUMMYFUNCTION("""COMPUTED_VALUE"""),2029.0)</f>
        <v>2029</v>
      </c>
      <c r="G1714" s="77">
        <f>IFERROR(__xludf.DUMMYFUNCTION("""COMPUTED_VALUE"""),20.0)</f>
        <v>20</v>
      </c>
      <c r="H1714" s="77">
        <f>IFERROR(__xludf.DUMMYFUNCTION("""COMPUTED_VALUE"""),25.0)</f>
        <v>25</v>
      </c>
      <c r="I1714" s="77">
        <f>IFERROR(__xludf.DUMMYFUNCTION("""COMPUTED_VALUE"""),100.0)</f>
        <v>100</v>
      </c>
      <c r="J1714" s="73"/>
      <c r="K1714" s="73"/>
      <c r="L1714" s="73"/>
      <c r="M1714" s="77">
        <f>IFERROR(__xludf.DUMMYFUNCTION("""COMPUTED_VALUE"""),0.1)</f>
        <v>0.1</v>
      </c>
      <c r="N1714" s="77">
        <f>IFERROR(__xludf.DUMMYFUNCTION("""COMPUTED_VALUE"""),1.0)</f>
        <v>1</v>
      </c>
      <c r="O1714" s="49"/>
      <c r="P1714" s="49" t="str">
        <f>IFERROR(__xludf.DUMMYFUNCTION("""COMPUTED_VALUE"""),"Offset")</f>
        <v>Offset</v>
      </c>
      <c r="Q1714" s="49" t="str">
        <f>IFERROR(__xludf.DUMMYFUNCTION("""COMPUTED_VALUE"""),"Packaging")</f>
        <v>Packaging</v>
      </c>
      <c r="R1714" s="49" t="str">
        <f>IFERROR(__xludf.DUMMYFUNCTION("""COMPUTED_VALUE"""),"Misc")</f>
        <v>Misc</v>
      </c>
    </row>
    <row r="1715">
      <c r="A1715" s="156" t="str">
        <f>IFERROR(__xludf.DUMMYFUNCTION("""COMPUTED_VALUE"""),"https://drive.google.com/open?id=1EwKgctvRe78YNHrYLmjrt0H8ZBjXCrXk&amp;authuser=jay.agg%40gmail.com&amp;usp=drive_fs")</f>
        <v>https://drive.google.com/open?id=1EwKgctvRe78YNHrYLmjrt0H8ZBjXCrXk&amp;authuser=jay.agg%40gmail.com&amp;usp=drive_fs</v>
      </c>
      <c r="B1715" s="73" t="str">
        <f>IFERROR(__xludf.DUMMYFUNCTION("""COMPUTED_VALUE"""),"Misc")</f>
        <v>Misc</v>
      </c>
      <c r="C1715" s="73" t="str">
        <f>IFERROR(__xludf.DUMMYFUNCTION("""COMPUTED_VALUE"""),"Misc")</f>
        <v>Misc</v>
      </c>
      <c r="D1715" s="73" t="str">
        <f>IFERROR(__xludf.DUMMYFUNCTION("""COMPUTED_VALUE"""),"152*102*203 mm | 6*4*8 inch")</f>
        <v>152*102*203 mm | 6*4*8 inch</v>
      </c>
      <c r="E1715" s="77">
        <f>IFERROR(__xludf.DUMMYFUNCTION("""COMPUTED_VALUE"""),1.0)</f>
        <v>1</v>
      </c>
      <c r="F1715" s="77">
        <f>IFERROR(__xludf.DUMMYFUNCTION("""COMPUTED_VALUE"""),1926.0)</f>
        <v>1926</v>
      </c>
      <c r="G1715" s="77">
        <f>IFERROR(__xludf.DUMMYFUNCTION("""COMPUTED_VALUE"""),15.75)</f>
        <v>15.75</v>
      </c>
      <c r="H1715" s="77">
        <f>IFERROR(__xludf.DUMMYFUNCTION("""COMPUTED_VALUE"""),20.75)</f>
        <v>20.75</v>
      </c>
      <c r="I1715" s="77">
        <f>IFERROR(__xludf.DUMMYFUNCTION("""COMPUTED_VALUE"""),100.0)</f>
        <v>100</v>
      </c>
      <c r="J1715" s="73"/>
      <c r="K1715" s="73"/>
      <c r="L1715" s="73"/>
      <c r="M1715" s="77">
        <f>IFERROR(__xludf.DUMMYFUNCTION("""COMPUTED_VALUE"""),0.12)</f>
        <v>0.12</v>
      </c>
      <c r="N1715" s="77">
        <f>IFERROR(__xludf.DUMMYFUNCTION("""COMPUTED_VALUE"""),1.0)</f>
        <v>1</v>
      </c>
      <c r="O1715" s="49"/>
      <c r="P1715" s="49" t="str">
        <f>IFERROR(__xludf.DUMMYFUNCTION("""COMPUTED_VALUE"""),"Offset")</f>
        <v>Offset</v>
      </c>
      <c r="Q1715" s="49" t="str">
        <f>IFERROR(__xludf.DUMMYFUNCTION("""COMPUTED_VALUE"""),"Packaging")</f>
        <v>Packaging</v>
      </c>
      <c r="R1715" s="49" t="str">
        <f>IFERROR(__xludf.DUMMYFUNCTION("""COMPUTED_VALUE"""),"Misc")</f>
        <v>Misc</v>
      </c>
    </row>
    <row r="1716">
      <c r="A1716" s="156" t="str">
        <f>IFERROR(__xludf.DUMMYFUNCTION("""COMPUTED_VALUE"""),"https://drive.google.com/open?id=1EzzMv7DyOgblPe1nVLD28mtM7oNqK5l7&amp;authuser=jay.agg%40gmail.com&amp;usp=drive_fs")</f>
        <v>https://drive.google.com/open?id=1EzzMv7DyOgblPe1nVLD28mtM7oNqK5l7&amp;authuser=jay.agg%40gmail.com&amp;usp=drive_fs</v>
      </c>
      <c r="B1716" s="73" t="str">
        <f>IFERROR(__xludf.DUMMYFUNCTION("""COMPUTED_VALUE"""),"Misc")</f>
        <v>Misc</v>
      </c>
      <c r="C1716" s="73" t="str">
        <f>IFERROR(__xludf.DUMMYFUNCTION("""COMPUTED_VALUE"""),"Misc")</f>
        <v>Misc</v>
      </c>
      <c r="D1716" s="73" t="str">
        <f>IFERROR(__xludf.DUMMYFUNCTION("""COMPUTED_VALUE"""),"240*170*120 mm | 9.5*6.7*4.7 inch LB")</f>
        <v>240*170*120 mm | 9.5*6.7*4.7 inch LB</v>
      </c>
      <c r="E1716" s="77">
        <f>IFERROR(__xludf.DUMMYFUNCTION("""COMPUTED_VALUE"""),1.0)</f>
        <v>1</v>
      </c>
      <c r="F1716" s="77">
        <f>IFERROR(__xludf.DUMMYFUNCTION("""COMPUTED_VALUE"""),2029.0)</f>
        <v>2029</v>
      </c>
      <c r="G1716" s="77">
        <f>IFERROR(__xludf.DUMMYFUNCTION("""COMPUTED_VALUE"""),20.0)</f>
        <v>20</v>
      </c>
      <c r="H1716" s="77">
        <f>IFERROR(__xludf.DUMMYFUNCTION("""COMPUTED_VALUE"""),28.0)</f>
        <v>28</v>
      </c>
      <c r="I1716" s="77">
        <f>IFERROR(__xludf.DUMMYFUNCTION("""COMPUTED_VALUE"""),100.0)</f>
        <v>100</v>
      </c>
      <c r="J1716" s="73"/>
      <c r="K1716" s="73"/>
      <c r="L1716" s="73"/>
      <c r="M1716" s="77">
        <f>IFERROR(__xludf.DUMMYFUNCTION("""COMPUTED_VALUE"""),0.4)</f>
        <v>0.4</v>
      </c>
      <c r="N1716" s="77">
        <f>IFERROR(__xludf.DUMMYFUNCTION("""COMPUTED_VALUE"""),1.0)</f>
        <v>1</v>
      </c>
      <c r="O1716" s="49"/>
      <c r="P1716" s="49" t="str">
        <f>IFERROR(__xludf.DUMMYFUNCTION("""COMPUTED_VALUE"""),"Offset")</f>
        <v>Offset</v>
      </c>
      <c r="Q1716" s="49" t="str">
        <f>IFERROR(__xludf.DUMMYFUNCTION("""COMPUTED_VALUE"""),"Packaging")</f>
        <v>Packaging</v>
      </c>
      <c r="R1716" s="49" t="str">
        <f>IFERROR(__xludf.DUMMYFUNCTION("""COMPUTED_VALUE"""),"Misc")</f>
        <v>Misc</v>
      </c>
    </row>
    <row r="1717">
      <c r="A1717" s="156" t="str">
        <f>IFERROR(__xludf.DUMMYFUNCTION("""COMPUTED_VALUE"""),"https://drive.google.com/open?id=1SpG4SVMwK0Z4WCMWvPzzp3aagVzjEsj8&amp;authuser=jay.agg%40gmail.com&amp;usp=drive_fs")</f>
        <v>https://drive.google.com/open?id=1SpG4SVMwK0Z4WCMWvPzzp3aagVzjEsj8&amp;authuser=jay.agg%40gmail.com&amp;usp=drive_fs</v>
      </c>
      <c r="B1717" s="73" t="str">
        <f>IFERROR(__xludf.DUMMYFUNCTION("""COMPUTED_VALUE"""),"Misc")</f>
        <v>Misc</v>
      </c>
      <c r="C1717" s="73" t="str">
        <f>IFERROR(__xludf.DUMMYFUNCTION("""COMPUTED_VALUE"""),"Misc")</f>
        <v>Misc</v>
      </c>
      <c r="D1717" s="73" t="str">
        <f>IFERROR(__xludf.DUMMYFUNCTION("""COMPUTED_VALUE"""),"64*32*102 mm | 2.5*1.25*4 inch")</f>
        <v>64*32*102 mm | 2.5*1.25*4 inch</v>
      </c>
      <c r="E1717" s="77">
        <f>IFERROR(__xludf.DUMMYFUNCTION("""COMPUTED_VALUE"""),9.0)</f>
        <v>9</v>
      </c>
      <c r="F1717" s="77">
        <f>IFERROR(__xludf.DUMMYFUNCTION("""COMPUTED_VALUE"""),2029.0)</f>
        <v>2029</v>
      </c>
      <c r="G1717" s="77">
        <f>IFERROR(__xludf.DUMMYFUNCTION("""COMPUTED_VALUE"""),20.0)</f>
        <v>20</v>
      </c>
      <c r="H1717" s="77">
        <f>IFERROR(__xludf.DUMMYFUNCTION("""COMPUTED_VALUE"""),25.0)</f>
        <v>25</v>
      </c>
      <c r="I1717" s="77">
        <f>IFERROR(__xludf.DUMMYFUNCTION("""COMPUTED_VALUE"""),100.0)</f>
        <v>100</v>
      </c>
      <c r="J1717" s="73"/>
      <c r="K1717" s="73"/>
      <c r="L1717" s="73"/>
      <c r="M1717" s="77">
        <f>IFERROR(__xludf.DUMMYFUNCTION("""COMPUTED_VALUE"""),0.1)</f>
        <v>0.1</v>
      </c>
      <c r="N1717" s="77">
        <f>IFERROR(__xludf.DUMMYFUNCTION("""COMPUTED_VALUE"""),1.0)</f>
        <v>1</v>
      </c>
      <c r="O1717" s="49"/>
      <c r="P1717" s="49" t="str">
        <f>IFERROR(__xludf.DUMMYFUNCTION("""COMPUTED_VALUE"""),"Offset")</f>
        <v>Offset</v>
      </c>
      <c r="Q1717" s="49" t="str">
        <f>IFERROR(__xludf.DUMMYFUNCTION("""COMPUTED_VALUE"""),"Packaging")</f>
        <v>Packaging</v>
      </c>
      <c r="R1717" s="49" t="str">
        <f>IFERROR(__xludf.DUMMYFUNCTION("""COMPUTED_VALUE"""),"Misc")</f>
        <v>Misc</v>
      </c>
    </row>
    <row r="1718">
      <c r="A1718" s="156" t="str">
        <f>IFERROR(__xludf.DUMMYFUNCTION("""COMPUTED_VALUE"""),"https://drive.google.com/open?id=1JF3ew30KZGziAMsnA3EcVjCnXZV4Tq8o&amp;authuser=jay.agg%40gmail.com&amp;usp=drive_fs")</f>
        <v>https://drive.google.com/open?id=1JF3ew30KZGziAMsnA3EcVjCnXZV4Tq8o&amp;authuser=jay.agg%40gmail.com&amp;usp=drive_fs</v>
      </c>
      <c r="B1718" s="73" t="str">
        <f>IFERROR(__xludf.DUMMYFUNCTION("""COMPUTED_VALUE"""),"Misc")</f>
        <v>Misc</v>
      </c>
      <c r="C1718" s="73" t="str">
        <f>IFERROR(__xludf.DUMMYFUNCTION("""COMPUTED_VALUE"""),"Misc")</f>
        <v>Misc</v>
      </c>
      <c r="D1718" s="73" t="str">
        <f>IFERROR(__xludf.DUMMYFUNCTION("""COMPUTED_VALUE"""),"115*45*140 mm | 4.5*1.8*5.5 inch")</f>
        <v>115*45*140 mm | 4.5*1.8*5.5 inch</v>
      </c>
      <c r="E1718" s="77">
        <f>IFERROR(__xludf.DUMMYFUNCTION("""COMPUTED_VALUE"""),4.0)</f>
        <v>4</v>
      </c>
      <c r="F1718" s="77">
        <f>IFERROR(__xludf.DUMMYFUNCTION("""COMPUTED_VALUE"""),2029.0)</f>
        <v>2029</v>
      </c>
      <c r="G1718" s="77">
        <f>IFERROR(__xludf.DUMMYFUNCTION("""COMPUTED_VALUE"""),19.0)</f>
        <v>19</v>
      </c>
      <c r="H1718" s="77">
        <f>IFERROR(__xludf.DUMMYFUNCTION("""COMPUTED_VALUE"""),26.0)</f>
        <v>26</v>
      </c>
      <c r="I1718" s="77">
        <f>IFERROR(__xludf.DUMMYFUNCTION("""COMPUTED_VALUE"""),100.0)</f>
        <v>100</v>
      </c>
      <c r="J1718" s="73"/>
      <c r="K1718" s="73"/>
      <c r="L1718" s="73"/>
      <c r="M1718" s="77">
        <f>IFERROR(__xludf.DUMMYFUNCTION("""COMPUTED_VALUE"""),0.1)</f>
        <v>0.1</v>
      </c>
      <c r="N1718" s="77">
        <f>IFERROR(__xludf.DUMMYFUNCTION("""COMPUTED_VALUE"""),1.0)</f>
        <v>1</v>
      </c>
      <c r="O1718" s="49"/>
      <c r="P1718" s="49" t="str">
        <f>IFERROR(__xludf.DUMMYFUNCTION("""COMPUTED_VALUE"""),"Offset")</f>
        <v>Offset</v>
      </c>
      <c r="Q1718" s="49" t="str">
        <f>IFERROR(__xludf.DUMMYFUNCTION("""COMPUTED_VALUE"""),"Packaging")</f>
        <v>Packaging</v>
      </c>
      <c r="R1718" s="49" t="str">
        <f>IFERROR(__xludf.DUMMYFUNCTION("""COMPUTED_VALUE"""),"Misc")</f>
        <v>Misc</v>
      </c>
    </row>
    <row r="1719">
      <c r="A1719" s="156" t="str">
        <f>IFERROR(__xludf.DUMMYFUNCTION("""COMPUTED_VALUE"""),"https://drive.google.com/open?id=1JOs-mYoUdwbNJ0MsqRbrHGkT1eCiQdSP&amp;authuser=jay.agg%40gmail.com&amp;usp=drive_fs")</f>
        <v>https://drive.google.com/open?id=1JOs-mYoUdwbNJ0MsqRbrHGkT1eCiQdSP&amp;authuser=jay.agg%40gmail.com&amp;usp=drive_fs</v>
      </c>
      <c r="B1719" s="73" t="str">
        <f>IFERROR(__xludf.DUMMYFUNCTION("""COMPUTED_VALUE"""),"Misc")</f>
        <v>Misc</v>
      </c>
      <c r="C1719" s="73" t="str">
        <f>IFERROR(__xludf.DUMMYFUNCTION("""COMPUTED_VALUE"""),"Misc")</f>
        <v>Misc</v>
      </c>
      <c r="D1719" s="73" t="str">
        <f>IFERROR(__xludf.DUMMYFUNCTION("""COMPUTED_VALUE"""),"105*45*120 mm | 4.1*1.8*4.7 inch")</f>
        <v>105*45*120 mm | 4.1*1.8*4.7 inch</v>
      </c>
      <c r="E1719" s="77">
        <f>IFERROR(__xludf.DUMMYFUNCTION("""COMPUTED_VALUE"""),4.0)</f>
        <v>4</v>
      </c>
      <c r="F1719" s="77">
        <f>IFERROR(__xludf.DUMMYFUNCTION("""COMPUTED_VALUE"""),2029.0)</f>
        <v>2029</v>
      </c>
      <c r="G1719" s="77">
        <f>IFERROR(__xludf.DUMMYFUNCTION("""COMPUTED_VALUE"""),18.0)</f>
        <v>18</v>
      </c>
      <c r="H1719" s="77">
        <f>IFERROR(__xludf.DUMMYFUNCTION("""COMPUTED_VALUE"""),25.0)</f>
        <v>25</v>
      </c>
      <c r="I1719" s="77">
        <f>IFERROR(__xludf.DUMMYFUNCTION("""COMPUTED_VALUE"""),100.0)</f>
        <v>100</v>
      </c>
      <c r="J1719" s="73"/>
      <c r="K1719" s="73"/>
      <c r="L1719" s="73"/>
      <c r="M1719" s="77">
        <f>IFERROR(__xludf.DUMMYFUNCTION("""COMPUTED_VALUE"""),0.1)</f>
        <v>0.1</v>
      </c>
      <c r="N1719" s="77">
        <f>IFERROR(__xludf.DUMMYFUNCTION("""COMPUTED_VALUE"""),1.0)</f>
        <v>1</v>
      </c>
      <c r="O1719" s="49"/>
      <c r="P1719" s="49" t="str">
        <f>IFERROR(__xludf.DUMMYFUNCTION("""COMPUTED_VALUE"""),"Offset")</f>
        <v>Offset</v>
      </c>
      <c r="Q1719" s="49" t="str">
        <f>IFERROR(__xludf.DUMMYFUNCTION("""COMPUTED_VALUE"""),"Packaging")</f>
        <v>Packaging</v>
      </c>
      <c r="R1719" s="49" t="str">
        <f>IFERROR(__xludf.DUMMYFUNCTION("""COMPUTED_VALUE"""),"Misc")</f>
        <v>Misc</v>
      </c>
    </row>
    <row r="1720">
      <c r="A1720" s="156" t="str">
        <f>IFERROR(__xludf.DUMMYFUNCTION("""COMPUTED_VALUE"""),"https://drive.google.com/open?id=1JRTUPnj-Fa5PoN3YUDJjbbuR1SoGJ6__&amp;authuser=jay.agg%40gmail.com&amp;usp=drive_fs")</f>
        <v>https://drive.google.com/open?id=1JRTUPnj-Fa5PoN3YUDJjbbuR1SoGJ6__&amp;authuser=jay.agg%40gmail.com&amp;usp=drive_fs</v>
      </c>
      <c r="B1720" s="73" t="str">
        <f>IFERROR(__xludf.DUMMYFUNCTION("""COMPUTED_VALUE"""),"Misc")</f>
        <v>Misc</v>
      </c>
      <c r="C1720" s="73" t="str">
        <f>IFERROR(__xludf.DUMMYFUNCTION("""COMPUTED_VALUE"""),"Misc")</f>
        <v>Misc</v>
      </c>
      <c r="D1720" s="73" t="str">
        <f>IFERROR(__xludf.DUMMYFUNCTION("""COMPUTED_VALUE"""),"280*38*356 mm | 11*1.5*14 inch")</f>
        <v>280*38*356 mm | 11*1.5*14 inch</v>
      </c>
      <c r="E1720" s="77">
        <f>IFERROR(__xludf.DUMMYFUNCTION("""COMPUTED_VALUE"""),2.0)</f>
        <v>2</v>
      </c>
      <c r="F1720" s="77">
        <f>IFERROR(__xludf.DUMMYFUNCTION("""COMPUTED_VALUE"""),2840.0)</f>
        <v>2840</v>
      </c>
      <c r="G1720" s="77">
        <f>IFERROR(__xludf.DUMMYFUNCTION("""COMPUTED_VALUE"""),26.0)</f>
        <v>26</v>
      </c>
      <c r="H1720" s="77">
        <f>IFERROR(__xludf.DUMMYFUNCTION("""COMPUTED_VALUE"""),38.0)</f>
        <v>38</v>
      </c>
      <c r="I1720" s="77">
        <f>IFERROR(__xludf.DUMMYFUNCTION("""COMPUTED_VALUE"""),100.0)</f>
        <v>100</v>
      </c>
      <c r="J1720" s="73"/>
      <c r="K1720" s="73"/>
      <c r="L1720" s="73"/>
      <c r="M1720" s="77">
        <f>IFERROR(__xludf.DUMMYFUNCTION("""COMPUTED_VALUE"""),0.1)</f>
        <v>0.1</v>
      </c>
      <c r="N1720" s="77">
        <f>IFERROR(__xludf.DUMMYFUNCTION("""COMPUTED_VALUE"""),1.0)</f>
        <v>1</v>
      </c>
      <c r="O1720" s="49"/>
      <c r="P1720" s="49" t="str">
        <f>IFERROR(__xludf.DUMMYFUNCTION("""COMPUTED_VALUE"""),"Offset")</f>
        <v>Offset</v>
      </c>
      <c r="Q1720" s="49" t="str">
        <f>IFERROR(__xludf.DUMMYFUNCTION("""COMPUTED_VALUE"""),"Packaging")</f>
        <v>Packaging</v>
      </c>
      <c r="R1720" s="49" t="str">
        <f>IFERROR(__xludf.DUMMYFUNCTION("""COMPUTED_VALUE"""),"Misc")</f>
        <v>Misc</v>
      </c>
    </row>
    <row r="1721">
      <c r="A1721" s="156" t="str">
        <f>IFERROR(__xludf.DUMMYFUNCTION("""COMPUTED_VALUE"""),"https://drive.google.com/open?id=1JSU5KuBIETzchUDRbOL0h4pYB7R2Hi04&amp;authuser=jay.agg%40gmail.com&amp;usp=drive_fs")</f>
        <v>https://drive.google.com/open?id=1JSU5KuBIETzchUDRbOL0h4pYB7R2Hi04&amp;authuser=jay.agg%40gmail.com&amp;usp=drive_fs</v>
      </c>
      <c r="B1721" s="73" t="str">
        <f>IFERROR(__xludf.DUMMYFUNCTION("""COMPUTED_VALUE"""),"Misc")</f>
        <v>Misc</v>
      </c>
      <c r="C1721" s="73" t="str">
        <f>IFERROR(__xludf.DUMMYFUNCTION("""COMPUTED_VALUE"""),"Misc")</f>
        <v>Misc</v>
      </c>
      <c r="D1721" s="73" t="str">
        <f>IFERROR(__xludf.DUMMYFUNCTION("""COMPUTED_VALUE"""),"305*38*330 mm | 12*1.5*13 inch")</f>
        <v>305*38*330 mm | 12*1.5*13 inch</v>
      </c>
      <c r="E1721" s="77">
        <f>IFERROR(__xludf.DUMMYFUNCTION("""COMPUTED_VALUE"""),2.0)</f>
        <v>2</v>
      </c>
      <c r="F1721" s="77">
        <f>IFERROR(__xludf.DUMMYFUNCTION("""COMPUTED_VALUE"""),2840.0)</f>
        <v>2840</v>
      </c>
      <c r="G1721" s="77">
        <f>IFERROR(__xludf.DUMMYFUNCTION("""COMPUTED_VALUE"""),28.0)</f>
        <v>28</v>
      </c>
      <c r="H1721" s="77">
        <f>IFERROR(__xludf.DUMMYFUNCTION("""COMPUTED_VALUE"""),35.0)</f>
        <v>35</v>
      </c>
      <c r="I1721" s="77">
        <f>IFERROR(__xludf.DUMMYFUNCTION("""COMPUTED_VALUE"""),100.0)</f>
        <v>100</v>
      </c>
      <c r="J1721" s="73"/>
      <c r="K1721" s="73"/>
      <c r="L1721" s="73"/>
      <c r="M1721" s="77">
        <f>IFERROR(__xludf.DUMMYFUNCTION("""COMPUTED_VALUE"""),0.1)</f>
        <v>0.1</v>
      </c>
      <c r="N1721" s="77">
        <f>IFERROR(__xludf.DUMMYFUNCTION("""COMPUTED_VALUE"""),1.0)</f>
        <v>1</v>
      </c>
      <c r="O1721" s="49"/>
      <c r="P1721" s="49" t="str">
        <f>IFERROR(__xludf.DUMMYFUNCTION("""COMPUTED_VALUE"""),"Offset")</f>
        <v>Offset</v>
      </c>
      <c r="Q1721" s="49" t="str">
        <f>IFERROR(__xludf.DUMMYFUNCTION("""COMPUTED_VALUE"""),"Packaging")</f>
        <v>Packaging</v>
      </c>
      <c r="R1721" s="49" t="str">
        <f>IFERROR(__xludf.DUMMYFUNCTION("""COMPUTED_VALUE"""),"Misc")</f>
        <v>Misc</v>
      </c>
    </row>
    <row r="1722">
      <c r="A1722" s="156" t="str">
        <f>IFERROR(__xludf.DUMMYFUNCTION("""COMPUTED_VALUE"""),"https://drive.google.com/open?id=1WW6RQDMEEMhmQ8CCLcn7FMcj0SiSi6DT&amp;authuser=jay.agg%40gmail.com&amp;usp=drive_fs")</f>
        <v>https://drive.google.com/open?id=1WW6RQDMEEMhmQ8CCLcn7FMcj0SiSi6DT&amp;authuser=jay.agg%40gmail.com&amp;usp=drive_fs</v>
      </c>
      <c r="B1722" s="73" t="str">
        <f>IFERROR(__xludf.DUMMYFUNCTION("""COMPUTED_VALUE"""),"Misc")</f>
        <v>Misc</v>
      </c>
      <c r="C1722" s="73" t="str">
        <f>IFERROR(__xludf.DUMMYFUNCTION("""COMPUTED_VALUE"""),"Misc")</f>
        <v>Misc</v>
      </c>
      <c r="D1722" s="73" t="str">
        <f>IFERROR(__xludf.DUMMYFUNCTION("""COMPUTED_VALUE"""),"252*102*42 mm | 9.9*4*1.6 inch")</f>
        <v>252*102*42 mm | 9.9*4*1.6 inch</v>
      </c>
      <c r="E1722" s="77">
        <f>IFERROR(__xludf.DUMMYFUNCTION("""COMPUTED_VALUE"""),3.0)</f>
        <v>3</v>
      </c>
      <c r="F1722" s="77">
        <f>IFERROR(__xludf.DUMMYFUNCTION("""COMPUTED_VALUE"""),2029.0)</f>
        <v>2029</v>
      </c>
      <c r="G1722" s="77">
        <f>IFERROR(__xludf.DUMMYFUNCTION("""COMPUTED_VALUE"""),20.0)</f>
        <v>20</v>
      </c>
      <c r="H1722" s="77">
        <f>IFERROR(__xludf.DUMMYFUNCTION("""COMPUTED_VALUE"""),28.0)</f>
        <v>28</v>
      </c>
      <c r="I1722" s="77">
        <f>IFERROR(__xludf.DUMMYFUNCTION("""COMPUTED_VALUE"""),100.0)</f>
        <v>100</v>
      </c>
      <c r="J1722" s="73"/>
      <c r="K1722" s="73"/>
      <c r="L1722" s="73"/>
      <c r="M1722" s="77">
        <f>IFERROR(__xludf.DUMMYFUNCTION("""COMPUTED_VALUE"""),0.1)</f>
        <v>0.1</v>
      </c>
      <c r="N1722" s="77">
        <f>IFERROR(__xludf.DUMMYFUNCTION("""COMPUTED_VALUE"""),1.0)</f>
        <v>1</v>
      </c>
      <c r="O1722" s="49"/>
      <c r="P1722" s="49" t="str">
        <f>IFERROR(__xludf.DUMMYFUNCTION("""COMPUTED_VALUE"""),"Offset")</f>
        <v>Offset</v>
      </c>
      <c r="Q1722" s="49" t="str">
        <f>IFERROR(__xludf.DUMMYFUNCTION("""COMPUTED_VALUE"""),"Packaging")</f>
        <v>Packaging</v>
      </c>
      <c r="R1722" s="49" t="str">
        <f>IFERROR(__xludf.DUMMYFUNCTION("""COMPUTED_VALUE"""),"Misc")</f>
        <v>Misc</v>
      </c>
    </row>
    <row r="1723">
      <c r="A1723" s="156" t="str">
        <f>IFERROR(__xludf.DUMMYFUNCTION("""COMPUTED_VALUE"""),"https://drive.google.com/open?id=1RuPf2FF9RqvePEGfc-Gt9LSOJfWURP-d&amp;authuser=jay.agg%40gmail.com&amp;usp=drive_fs")</f>
        <v>https://drive.google.com/open?id=1RuPf2FF9RqvePEGfc-Gt9LSOJfWURP-d&amp;authuser=jay.agg%40gmail.com&amp;usp=drive_fs</v>
      </c>
      <c r="B1723" s="73" t="str">
        <f>IFERROR(__xludf.DUMMYFUNCTION("""COMPUTED_VALUE"""),"Misc")</f>
        <v>Misc</v>
      </c>
      <c r="C1723" s="73" t="str">
        <f>IFERROR(__xludf.DUMMYFUNCTION("""COMPUTED_VALUE"""),"Misc")</f>
        <v>Misc</v>
      </c>
      <c r="D1723" s="73" t="str">
        <f>IFERROR(__xludf.DUMMYFUNCTION("""COMPUTED_VALUE"""),"140*38*203 mm |  5.5*1.5*8 inch")</f>
        <v>140*38*203 mm |  5.5*1.5*8 inch</v>
      </c>
      <c r="E1723" s="77">
        <f>IFERROR(__xludf.DUMMYFUNCTION("""COMPUTED_VALUE"""),2.0)</f>
        <v>2</v>
      </c>
      <c r="F1723" s="77">
        <f>IFERROR(__xludf.DUMMYFUNCTION("""COMPUTED_VALUE"""),1926.0)</f>
        <v>1926</v>
      </c>
      <c r="G1723" s="77">
        <f>IFERROR(__xludf.DUMMYFUNCTION("""COMPUTED_VALUE"""),18.0)</f>
        <v>18</v>
      </c>
      <c r="H1723" s="77">
        <f>IFERROR(__xludf.DUMMYFUNCTION("""COMPUTED_VALUE"""),23.0)</f>
        <v>23</v>
      </c>
      <c r="I1723" s="77">
        <f>IFERROR(__xludf.DUMMYFUNCTION("""COMPUTED_VALUE"""),100.0)</f>
        <v>100</v>
      </c>
      <c r="J1723" s="73"/>
      <c r="K1723" s="73"/>
      <c r="L1723" s="73"/>
      <c r="M1723" s="77">
        <f>IFERROR(__xludf.DUMMYFUNCTION("""COMPUTED_VALUE"""),0.1)</f>
        <v>0.1</v>
      </c>
      <c r="N1723" s="77">
        <f>IFERROR(__xludf.DUMMYFUNCTION("""COMPUTED_VALUE"""),1.0)</f>
        <v>1</v>
      </c>
      <c r="O1723" s="49"/>
      <c r="P1723" s="49" t="str">
        <f>IFERROR(__xludf.DUMMYFUNCTION("""COMPUTED_VALUE"""),"Offset")</f>
        <v>Offset</v>
      </c>
      <c r="Q1723" s="49" t="str">
        <f>IFERROR(__xludf.DUMMYFUNCTION("""COMPUTED_VALUE"""),"Packaging")</f>
        <v>Packaging</v>
      </c>
      <c r="R1723" s="49" t="str">
        <f>IFERROR(__xludf.DUMMYFUNCTION("""COMPUTED_VALUE"""),"Misc")</f>
        <v>Misc</v>
      </c>
    </row>
    <row r="1724">
      <c r="A1724" s="156" t="str">
        <f>IFERROR(__xludf.DUMMYFUNCTION("""COMPUTED_VALUE"""),"https://drive.google.com/open?id=1S9bZRJOD1fqaLtqt0Rxr48plOd6hHZfn&amp;authuser=jay.agg%40gmail.com&amp;usp=drive_fs")</f>
        <v>https://drive.google.com/open?id=1S9bZRJOD1fqaLtqt0Rxr48plOd6hHZfn&amp;authuser=jay.agg%40gmail.com&amp;usp=drive_fs</v>
      </c>
      <c r="B1724" s="73" t="str">
        <f>IFERROR(__xludf.DUMMYFUNCTION("""COMPUTED_VALUE"""),"Power Plus")</f>
        <v>Power Plus</v>
      </c>
      <c r="C1724" s="73" t="str">
        <f>IFERROR(__xludf.DUMMYFUNCTION("""COMPUTED_VALUE"""),"Misc")</f>
        <v>Misc</v>
      </c>
      <c r="D1724" s="73" t="str">
        <f>IFERROR(__xludf.DUMMYFUNCTION("""COMPUTED_VALUE"""),"87*87*121 mm | 3.4*3.4*4.7 inch IL")</f>
        <v>87*87*121 mm | 3.4*3.4*4.7 inch IL</v>
      </c>
      <c r="E1724" s="77">
        <f>IFERROR(__xludf.DUMMYFUNCTION("""COMPUTED_VALUE"""),4.0)</f>
        <v>4</v>
      </c>
      <c r="F1724" s="77">
        <f>IFERROR(__xludf.DUMMYFUNCTION("""COMPUTED_VALUE"""),2029.0)</f>
        <v>2029</v>
      </c>
      <c r="G1724" s="77">
        <f>IFERROR(__xludf.DUMMYFUNCTION("""COMPUTED_VALUE"""),20.75)</f>
        <v>20.75</v>
      </c>
      <c r="H1724" s="77">
        <f>IFERROR(__xludf.DUMMYFUNCTION("""COMPUTED_VALUE"""),31.5)</f>
        <v>31.5</v>
      </c>
      <c r="I1724" s="77">
        <f>IFERROR(__xludf.DUMMYFUNCTION("""COMPUTED_VALUE"""),100.0)</f>
        <v>100</v>
      </c>
      <c r="J1724" s="73"/>
      <c r="K1724" s="73"/>
      <c r="L1724" s="73"/>
      <c r="M1724" s="77">
        <f>IFERROR(__xludf.DUMMYFUNCTION("""COMPUTED_VALUE"""),0.1)</f>
        <v>0.1</v>
      </c>
      <c r="N1724" s="77">
        <f>IFERROR(__xludf.DUMMYFUNCTION("""COMPUTED_VALUE"""),1.0)</f>
        <v>1</v>
      </c>
      <c r="O1724" s="49"/>
      <c r="P1724" s="49" t="str">
        <f>IFERROR(__xludf.DUMMYFUNCTION("""COMPUTED_VALUE"""),"Offset")</f>
        <v>Offset</v>
      </c>
      <c r="Q1724" s="49" t="str">
        <f>IFERROR(__xludf.DUMMYFUNCTION("""COMPUTED_VALUE"""),"Packaging")</f>
        <v>Packaging</v>
      </c>
      <c r="R1724" s="49" t="str">
        <f>IFERROR(__xludf.DUMMYFUNCTION("""COMPUTED_VALUE"""),"Power Plus")</f>
        <v>Power Plus</v>
      </c>
    </row>
    <row r="1725">
      <c r="A1725" s="156" t="str">
        <f>IFERROR(__xludf.DUMMYFUNCTION("""COMPUTED_VALUE"""),"https://drive.google.com/open?id=1RzahXEnEEwUyta01tfJEkeSWYIr6YbE_&amp;authuser=jay.agg%40gmail.com&amp;usp=drive_fs")</f>
        <v>https://drive.google.com/open?id=1RzahXEnEEwUyta01tfJEkeSWYIr6YbE_&amp;authuser=jay.agg%40gmail.com&amp;usp=drive_fs</v>
      </c>
      <c r="B1725" s="73" t="str">
        <f>IFERROR(__xludf.DUMMYFUNCTION("""COMPUTED_VALUE"""),"Power Plus")</f>
        <v>Power Plus</v>
      </c>
      <c r="C1725" s="73" t="str">
        <f>IFERROR(__xludf.DUMMYFUNCTION("""COMPUTED_VALUE"""),"Sipper")</f>
        <v>Sipper</v>
      </c>
      <c r="D1725" s="73" t="str">
        <f>IFERROR(__xludf.DUMMYFUNCTION("""COMPUTED_VALUE"""),"90*90*170 mm | 3.5*3.5*6.7 inch IL")</f>
        <v>90*90*170 mm | 3.5*3.5*6.7 inch IL</v>
      </c>
      <c r="E1725" s="77">
        <f>IFERROR(__xludf.DUMMYFUNCTION("""COMPUTED_VALUE"""),2.0)</f>
        <v>2</v>
      </c>
      <c r="F1725" s="77">
        <f>IFERROR(__xludf.DUMMYFUNCTION("""COMPUTED_VALUE"""),1926.0)</f>
        <v>1926</v>
      </c>
      <c r="G1725" s="77">
        <f>IFERROR(__xludf.DUMMYFUNCTION("""COMPUTED_VALUE"""),15.0)</f>
        <v>15</v>
      </c>
      <c r="H1725" s="77">
        <f>IFERROR(__xludf.DUMMYFUNCTION("""COMPUTED_VALUE"""),25.0)</f>
        <v>25</v>
      </c>
      <c r="I1725" s="77">
        <f>IFERROR(__xludf.DUMMYFUNCTION("""COMPUTED_VALUE"""),100.0)</f>
        <v>100</v>
      </c>
      <c r="J1725" s="73"/>
      <c r="K1725" s="73"/>
      <c r="L1725" s="73">
        <f>IFERROR(__xludf.DUMMYFUNCTION("""COMPUTED_VALUE"""),2.24)</f>
        <v>2.24</v>
      </c>
      <c r="M1725" s="77">
        <f>IFERROR(__xludf.DUMMYFUNCTION("""COMPUTED_VALUE"""),0.12)</f>
        <v>0.12</v>
      </c>
      <c r="N1725" s="77">
        <f>IFERROR(__xludf.DUMMYFUNCTION("""COMPUTED_VALUE"""),1.0)</f>
        <v>1</v>
      </c>
      <c r="O1725" s="49"/>
      <c r="P1725" s="49" t="str">
        <f>IFERROR(__xludf.DUMMYFUNCTION("""COMPUTED_VALUE"""),"Offset")</f>
        <v>Offset</v>
      </c>
      <c r="Q1725" s="49" t="str">
        <f>IFERROR(__xludf.DUMMYFUNCTION("""COMPUTED_VALUE"""),"Packaging")</f>
        <v>Packaging</v>
      </c>
      <c r="R1725" s="49" t="str">
        <f>IFERROR(__xludf.DUMMYFUNCTION("""COMPUTED_VALUE"""),"Power Plus")</f>
        <v>Power Plus</v>
      </c>
    </row>
    <row r="1726">
      <c r="A1726" s="156" t="str">
        <f>IFERROR(__xludf.DUMMYFUNCTION("""COMPUTED_VALUE"""),"https://drive.google.com/open?id=1Rz75A626ixvuza7bQxwq19kbeTmnMQnh&amp;authuser=jay.agg%40gmail.com&amp;usp=drive_fs")</f>
        <v>https://drive.google.com/open?id=1Rz75A626ixvuza7bQxwq19kbeTmnMQnh&amp;authuser=jay.agg%40gmail.com&amp;usp=drive_fs</v>
      </c>
      <c r="B1726" s="73" t="str">
        <f>IFERROR(__xludf.DUMMYFUNCTION("""COMPUTED_VALUE"""),"Power Plus")</f>
        <v>Power Plus</v>
      </c>
      <c r="C1726" s="73" t="str">
        <f>IFERROR(__xludf.DUMMYFUNCTION("""COMPUTED_VALUE"""),"Foggy")</f>
        <v>Foggy</v>
      </c>
      <c r="D1726" s="73" t="str">
        <f>IFERROR(__xludf.DUMMYFUNCTION("""COMPUTED_VALUE"""),"90*90*130 mm | 3.5*3.5*5.1 inch IL")</f>
        <v>90*90*130 mm | 3.5*3.5*5.1 inch IL</v>
      </c>
      <c r="E1726" s="77">
        <f>IFERROR(__xludf.DUMMYFUNCTION("""COMPUTED_VALUE"""),2.0)</f>
        <v>2</v>
      </c>
      <c r="F1726" s="77">
        <f>IFERROR(__xludf.DUMMYFUNCTION("""COMPUTED_VALUE"""),1926.0)</f>
        <v>1926</v>
      </c>
      <c r="G1726" s="77">
        <f>IFERROR(__xludf.DUMMYFUNCTION("""COMPUTED_VALUE"""),15.75)</f>
        <v>15.75</v>
      </c>
      <c r="H1726" s="77">
        <f>IFERROR(__xludf.DUMMYFUNCTION("""COMPUTED_VALUE"""),20.75)</f>
        <v>20.75</v>
      </c>
      <c r="I1726" s="77">
        <f>IFERROR(__xludf.DUMMYFUNCTION("""COMPUTED_VALUE"""),100.0)</f>
        <v>100</v>
      </c>
      <c r="J1726" s="73"/>
      <c r="K1726" s="73"/>
      <c r="L1726" s="73">
        <f>IFERROR(__xludf.DUMMYFUNCTION("""COMPUTED_VALUE"""),1.82)</f>
        <v>1.82</v>
      </c>
      <c r="M1726" s="77">
        <f>IFERROR(__xludf.DUMMYFUNCTION("""COMPUTED_VALUE"""),0.12)</f>
        <v>0.12</v>
      </c>
      <c r="N1726" s="77">
        <f>IFERROR(__xludf.DUMMYFUNCTION("""COMPUTED_VALUE"""),1.0)</f>
        <v>1</v>
      </c>
      <c r="O1726" s="49"/>
      <c r="P1726" s="49" t="str">
        <f>IFERROR(__xludf.DUMMYFUNCTION("""COMPUTED_VALUE"""),"Offset")</f>
        <v>Offset</v>
      </c>
      <c r="Q1726" s="49" t="str">
        <f>IFERROR(__xludf.DUMMYFUNCTION("""COMPUTED_VALUE"""),"Packaging")</f>
        <v>Packaging</v>
      </c>
      <c r="R1726" s="49" t="str">
        <f>IFERROR(__xludf.DUMMYFUNCTION("""COMPUTED_VALUE"""),"Power Plus")</f>
        <v>Power Plus</v>
      </c>
    </row>
    <row r="1727">
      <c r="A1727" s="156" t="str">
        <f>IFERROR(__xludf.DUMMYFUNCTION("""COMPUTED_VALUE"""),"https://drive.google.com/open?id=1RxH2_HEYVKutEOMDG1XkgXATp21eDM0F&amp;authuser=jay.agg%40gmail.com&amp;usp=drive_fs")</f>
        <v>https://drive.google.com/open?id=1RxH2_HEYVKutEOMDG1XkgXATp21eDM0F&amp;authuser=jay.agg%40gmail.com&amp;usp=drive_fs</v>
      </c>
      <c r="B1727" s="73" t="str">
        <f>IFERROR(__xludf.DUMMYFUNCTION("""COMPUTED_VALUE"""),"Power Plus")</f>
        <v>Power Plus</v>
      </c>
      <c r="C1727" s="73" t="str">
        <f>IFERROR(__xludf.DUMMYFUNCTION("""COMPUTED_VALUE"""),"OSCAR")</f>
        <v>OSCAR</v>
      </c>
      <c r="D1727" s="73" t="str">
        <f>IFERROR(__xludf.DUMMYFUNCTION("""COMPUTED_VALUE"""),"90*105*105 mm | 4.1*3.5*4.1 inch IL")</f>
        <v>90*105*105 mm | 4.1*3.5*4.1 inch IL</v>
      </c>
      <c r="E1727" s="77">
        <f>IFERROR(__xludf.DUMMYFUNCTION("""COMPUTED_VALUE"""),2.0)</f>
        <v>2</v>
      </c>
      <c r="F1727" s="77">
        <f>IFERROR(__xludf.DUMMYFUNCTION("""COMPUTED_VALUE"""),1926.0)</f>
        <v>1926</v>
      </c>
      <c r="G1727" s="77">
        <f>IFERROR(__xludf.DUMMYFUNCTION("""COMPUTED_VALUE"""),18.0)</f>
        <v>18</v>
      </c>
      <c r="H1727" s="77">
        <f>IFERROR(__xludf.DUMMYFUNCTION("""COMPUTED_VALUE"""),19.0)</f>
        <v>19</v>
      </c>
      <c r="I1727" s="77">
        <f>IFERROR(__xludf.DUMMYFUNCTION("""COMPUTED_VALUE"""),100.0)</f>
        <v>100</v>
      </c>
      <c r="J1727" s="73"/>
      <c r="K1727" s="73"/>
      <c r="L1727" s="73">
        <f>IFERROR(__xludf.DUMMYFUNCTION("""COMPUTED_VALUE"""),1.78)</f>
        <v>1.78</v>
      </c>
      <c r="M1727" s="77">
        <f>IFERROR(__xludf.DUMMYFUNCTION("""COMPUTED_VALUE"""),0.12)</f>
        <v>0.12</v>
      </c>
      <c r="N1727" s="77">
        <f>IFERROR(__xludf.DUMMYFUNCTION("""COMPUTED_VALUE"""),1.0)</f>
        <v>1</v>
      </c>
      <c r="O1727" s="49"/>
      <c r="P1727" s="49" t="str">
        <f>IFERROR(__xludf.DUMMYFUNCTION("""COMPUTED_VALUE"""),"Offset")</f>
        <v>Offset</v>
      </c>
      <c r="Q1727" s="49" t="str">
        <f>IFERROR(__xludf.DUMMYFUNCTION("""COMPUTED_VALUE"""),"Packaging")</f>
        <v>Packaging</v>
      </c>
      <c r="R1727" s="49" t="str">
        <f>IFERROR(__xludf.DUMMYFUNCTION("""COMPUTED_VALUE"""),"Power Plus")</f>
        <v>Power Plus</v>
      </c>
    </row>
    <row r="1728">
      <c r="A1728" s="156" t="str">
        <f>IFERROR(__xludf.DUMMYFUNCTION("""COMPUTED_VALUE"""),"https://drive.google.com/open?id=1cBop9ZgFH3pMTwMQxBtgc3vDrJLJUY6f&amp;authuser=jay.agg%40gmail.com&amp;usp=drive_fs")</f>
        <v>https://drive.google.com/open?id=1cBop9ZgFH3pMTwMQxBtgc3vDrJLJUY6f&amp;authuser=jay.agg%40gmail.com&amp;usp=drive_fs</v>
      </c>
      <c r="B1728" s="73" t="str">
        <f>IFERROR(__xludf.DUMMYFUNCTION("""COMPUTED_VALUE"""),"Misc")</f>
        <v>Misc</v>
      </c>
      <c r="C1728" s="73" t="str">
        <f>IFERROR(__xludf.DUMMYFUNCTION("""COMPUTED_VALUE"""),"Seeds")</f>
        <v>Seeds</v>
      </c>
      <c r="D1728" s="73" t="str">
        <f>IFERROR(__xludf.DUMMYFUNCTION("""COMPUTED_VALUE"""),"102*64*152 mm | 4*2.5*6 inch")</f>
        <v>102*64*152 mm | 4*2.5*6 inch</v>
      </c>
      <c r="E1728" s="77">
        <f>IFERROR(__xludf.DUMMYFUNCTION("""COMPUTED_VALUE"""),2.0)</f>
        <v>2</v>
      </c>
      <c r="F1728" s="77">
        <f>IFERROR(__xludf.DUMMYFUNCTION("""COMPUTED_VALUE"""),1926.0)</f>
        <v>1926</v>
      </c>
      <c r="G1728" s="77">
        <f>IFERROR(__xludf.DUMMYFUNCTION("""COMPUTED_VALUE"""),15.75)</f>
        <v>15.75</v>
      </c>
      <c r="H1728" s="77">
        <f>IFERROR(__xludf.DUMMYFUNCTION("""COMPUTED_VALUE"""),20.75)</f>
        <v>20.75</v>
      </c>
      <c r="I1728" s="77">
        <f>IFERROR(__xludf.DUMMYFUNCTION("""COMPUTED_VALUE"""),100.0)</f>
        <v>100</v>
      </c>
      <c r="J1728" s="73"/>
      <c r="K1728" s="73"/>
      <c r="L1728" s="73"/>
      <c r="M1728" s="77">
        <f>IFERROR(__xludf.DUMMYFUNCTION("""COMPUTED_VALUE"""),0.1)</f>
        <v>0.1</v>
      </c>
      <c r="N1728" s="77">
        <f>IFERROR(__xludf.DUMMYFUNCTION("""COMPUTED_VALUE"""),1.0)</f>
        <v>1</v>
      </c>
      <c r="O1728" s="49"/>
      <c r="P1728" s="49" t="str">
        <f>IFERROR(__xludf.DUMMYFUNCTION("""COMPUTED_VALUE"""),"Offset")</f>
        <v>Offset</v>
      </c>
      <c r="Q1728" s="49" t="str">
        <f>IFERROR(__xludf.DUMMYFUNCTION("""COMPUTED_VALUE"""),"Packaging")</f>
        <v>Packaging</v>
      </c>
      <c r="R1728" s="49" t="str">
        <f>IFERROR(__xludf.DUMMYFUNCTION("""COMPUTED_VALUE"""),"Misc")</f>
        <v>Misc</v>
      </c>
    </row>
    <row r="1729">
      <c r="A1729" s="156" t="str">
        <f>IFERROR(__xludf.DUMMYFUNCTION("""COMPUTED_VALUE"""),"https://drive.google.com/open?id=1cE4dZQ4dySI4ONeQjtlmYbXeAZ5v4g-k&amp;authuser=jay.agg%40gmail.com&amp;usp=drive_fs")</f>
        <v>https://drive.google.com/open?id=1cE4dZQ4dySI4ONeQjtlmYbXeAZ5v4g-k&amp;authuser=jay.agg%40gmail.com&amp;usp=drive_fs</v>
      </c>
      <c r="B1729" s="73" t="str">
        <f>IFERROR(__xludf.DUMMYFUNCTION("""COMPUTED_VALUE"""),"Misc")</f>
        <v>Misc</v>
      </c>
      <c r="C1729" s="73" t="str">
        <f>IFERROR(__xludf.DUMMYFUNCTION("""COMPUTED_VALUE"""),"Eye Wear")</f>
        <v>Eye Wear</v>
      </c>
      <c r="D1729" s="73" t="str">
        <f>IFERROR(__xludf.DUMMYFUNCTION("""COMPUTED_VALUE"""),"70*50*172 mm | 2.75*2*6.72 inch ")</f>
        <v>70*50*172 mm | 2.75*2*6.72 inch </v>
      </c>
      <c r="E1729" s="77">
        <f>IFERROR(__xludf.DUMMYFUNCTION("""COMPUTED_VALUE"""),4.0)</f>
        <v>4</v>
      </c>
      <c r="F1729" s="77">
        <f>IFERROR(__xludf.DUMMYFUNCTION("""COMPUTED_VALUE"""),2029.0)</f>
        <v>2029</v>
      </c>
      <c r="G1729" s="77">
        <f>IFERROR(__xludf.DUMMYFUNCTION("""COMPUTED_VALUE"""),22.0)</f>
        <v>22</v>
      </c>
      <c r="H1729" s="77">
        <f>IFERROR(__xludf.DUMMYFUNCTION("""COMPUTED_VALUE"""),28.0)</f>
        <v>28</v>
      </c>
      <c r="I1729" s="77">
        <f>IFERROR(__xludf.DUMMYFUNCTION("""COMPUTED_VALUE"""),100.0)</f>
        <v>100</v>
      </c>
      <c r="J1729" s="73"/>
      <c r="K1729" s="73"/>
      <c r="L1729" s="73">
        <f>IFERROR(__xludf.DUMMYFUNCTION("""COMPUTED_VALUE"""),1.5)</f>
        <v>1.5</v>
      </c>
      <c r="M1729" s="77">
        <f>IFERROR(__xludf.DUMMYFUNCTION("""COMPUTED_VALUE"""),0.1)</f>
        <v>0.1</v>
      </c>
      <c r="N1729" s="77">
        <f>IFERROR(__xludf.DUMMYFUNCTION("""COMPUTED_VALUE"""),1.0)</f>
        <v>1</v>
      </c>
      <c r="O1729" s="49"/>
      <c r="P1729" s="49" t="str">
        <f>IFERROR(__xludf.DUMMYFUNCTION("""COMPUTED_VALUE"""),"Offset")</f>
        <v>Offset</v>
      </c>
      <c r="Q1729" s="49" t="str">
        <f>IFERROR(__xludf.DUMMYFUNCTION("""COMPUTED_VALUE"""),"Packaging")</f>
        <v>Packaging</v>
      </c>
      <c r="R1729" s="49" t="str">
        <f>IFERROR(__xludf.DUMMYFUNCTION("""COMPUTED_VALUE"""),"Misc")</f>
        <v>Misc</v>
      </c>
    </row>
    <row r="1730">
      <c r="A1730" s="156" t="str">
        <f>IFERROR(__xludf.DUMMYFUNCTION("""COMPUTED_VALUE"""),"https://drive.google.com/open?id=1cQ-hws4HSbipr5Ll88bsi-1dli5t2lK7&amp;authuser=jay.agg%40gmail.com&amp;usp=drive_fs")</f>
        <v>https://drive.google.com/open?id=1cQ-hws4HSbipr5Ll88bsi-1dli5t2lK7&amp;authuser=jay.agg%40gmail.com&amp;usp=drive_fs</v>
      </c>
      <c r="B1730" s="73" t="str">
        <f>IFERROR(__xludf.DUMMYFUNCTION("""COMPUTED_VALUE"""),"Misc")</f>
        <v>Misc</v>
      </c>
      <c r="C1730" s="73" t="str">
        <f>IFERROR(__xludf.DUMMYFUNCTION("""COMPUTED_VALUE"""),"Eye Wear")</f>
        <v>Eye Wear</v>
      </c>
      <c r="D1730" s="73" t="str">
        <f>IFERROR(__xludf.DUMMYFUNCTION("""COMPUTED_VALUE"""),"60*50*170 mm | 2.3*2*6.7 inch")</f>
        <v>60*50*170 mm | 2.3*2*6.7 inch</v>
      </c>
      <c r="E1730" s="77">
        <f>IFERROR(__xludf.DUMMYFUNCTION("""COMPUTED_VALUE"""),4.0)</f>
        <v>4</v>
      </c>
      <c r="F1730" s="77">
        <f>IFERROR(__xludf.DUMMYFUNCTION("""COMPUTED_VALUE"""),1926.0)</f>
        <v>1926</v>
      </c>
      <c r="G1730" s="77">
        <f>IFERROR(__xludf.DUMMYFUNCTION("""COMPUTED_VALUE"""),19.5)</f>
        <v>19.5</v>
      </c>
      <c r="H1730" s="77">
        <f>IFERROR(__xludf.DUMMYFUNCTION("""COMPUTED_VALUE"""),23.0)</f>
        <v>23</v>
      </c>
      <c r="I1730" s="77">
        <f>IFERROR(__xludf.DUMMYFUNCTION("""COMPUTED_VALUE"""),100.0)</f>
        <v>100</v>
      </c>
      <c r="J1730" s="73"/>
      <c r="K1730" s="73"/>
      <c r="L1730" s="73">
        <f>IFERROR(__xludf.DUMMYFUNCTION("""COMPUTED_VALUE"""),1.5)</f>
        <v>1.5</v>
      </c>
      <c r="M1730" s="77">
        <f>IFERROR(__xludf.DUMMYFUNCTION("""COMPUTED_VALUE"""),0.1)</f>
        <v>0.1</v>
      </c>
      <c r="N1730" s="77">
        <f>IFERROR(__xludf.DUMMYFUNCTION("""COMPUTED_VALUE"""),1.0)</f>
        <v>1</v>
      </c>
      <c r="O1730" s="49"/>
      <c r="P1730" s="49" t="str">
        <f>IFERROR(__xludf.DUMMYFUNCTION("""COMPUTED_VALUE"""),"Offset")</f>
        <v>Offset</v>
      </c>
      <c r="Q1730" s="49" t="str">
        <f>IFERROR(__xludf.DUMMYFUNCTION("""COMPUTED_VALUE"""),"Packaging")</f>
        <v>Packaging</v>
      </c>
      <c r="R1730" s="49" t="str">
        <f>IFERROR(__xludf.DUMMYFUNCTION("""COMPUTED_VALUE"""),"Misc")</f>
        <v>Misc</v>
      </c>
    </row>
    <row r="1731">
      <c r="A1731" s="156" t="str">
        <f>IFERROR(__xludf.DUMMYFUNCTION("""COMPUTED_VALUE"""),"https://drive.google.com/open?id=1ds6IESPKLBs5ibM6447nFdQWecV3Ikq6&amp;authuser=jay.agg%40gmail.com&amp;usp=drive_fs")</f>
        <v>https://drive.google.com/open?id=1ds6IESPKLBs5ibM6447nFdQWecV3Ikq6&amp;authuser=jay.agg%40gmail.com&amp;usp=drive_fs</v>
      </c>
      <c r="B1731" s="73" t="str">
        <f>IFERROR(__xludf.DUMMYFUNCTION("""COMPUTED_VALUE"""),"Misc")</f>
        <v>Misc</v>
      </c>
      <c r="C1731" s="73" t="str">
        <f>IFERROR(__xludf.DUMMYFUNCTION("""COMPUTED_VALUE"""),"Flower Box")</f>
        <v>Flower Box</v>
      </c>
      <c r="D1731" s="73" t="str">
        <f>IFERROR(__xludf.DUMMYFUNCTION("""COMPUTED_VALUE"""),"200*200*200 mm | 7.9*7.9*7.9 inch LB")</f>
        <v>200*200*200 mm | 7.9*7.9*7.9 inch LB</v>
      </c>
      <c r="E1731" s="77">
        <f>IFERROR(__xludf.DUMMYFUNCTION("""COMPUTED_VALUE"""),1.0)</f>
        <v>1</v>
      </c>
      <c r="F1731" s="77">
        <f>IFERROR(__xludf.DUMMYFUNCTION("""COMPUTED_VALUE"""),1926.0)</f>
        <v>1926</v>
      </c>
      <c r="G1731" s="77">
        <f>IFERROR(__xludf.DUMMYFUNCTION("""COMPUTED_VALUE"""),19.0)</f>
        <v>19</v>
      </c>
      <c r="H1731" s="77">
        <f>IFERROR(__xludf.DUMMYFUNCTION("""COMPUTED_VALUE"""),26.0)</f>
        <v>26</v>
      </c>
      <c r="I1731" s="77">
        <f>IFERROR(__xludf.DUMMYFUNCTION("""COMPUTED_VALUE"""),100.0)</f>
        <v>100</v>
      </c>
      <c r="J1731" s="73"/>
      <c r="K1731" s="73"/>
      <c r="L1731" s="73"/>
      <c r="M1731" s="77">
        <f>IFERROR(__xludf.DUMMYFUNCTION("""COMPUTED_VALUE"""),0.3)</f>
        <v>0.3</v>
      </c>
      <c r="N1731" s="77">
        <f>IFERROR(__xludf.DUMMYFUNCTION("""COMPUTED_VALUE"""),1.0)</f>
        <v>1</v>
      </c>
      <c r="O1731" s="49"/>
      <c r="P1731" s="49" t="str">
        <f>IFERROR(__xludf.DUMMYFUNCTION("""COMPUTED_VALUE"""),"Offset")</f>
        <v>Offset</v>
      </c>
      <c r="Q1731" s="49" t="str">
        <f>IFERROR(__xludf.DUMMYFUNCTION("""COMPUTED_VALUE"""),"Packaging")</f>
        <v>Packaging</v>
      </c>
      <c r="R1731" s="49" t="str">
        <f>IFERROR(__xludf.DUMMYFUNCTION("""COMPUTED_VALUE"""),"Misc")</f>
        <v>Misc</v>
      </c>
    </row>
    <row r="1732">
      <c r="A1732" s="156" t="str">
        <f>IFERROR(__xludf.DUMMYFUNCTION("""COMPUTED_VALUE"""),"https://drive.google.com/open?id=1ePPtsJTB71sBimBKOySLubOpfhpnADTJ&amp;authuser=jay.agg%40gmail.com&amp;usp=drive_fs")</f>
        <v>https://drive.google.com/open?id=1ePPtsJTB71sBimBKOySLubOpfhpnADTJ&amp;authuser=jay.agg%40gmail.com&amp;usp=drive_fs</v>
      </c>
      <c r="B1732" s="73" t="str">
        <f>IFERROR(__xludf.DUMMYFUNCTION("""COMPUTED_VALUE"""),"Misc")</f>
        <v>Misc</v>
      </c>
      <c r="C1732" s="73" t="str">
        <f>IFERROR(__xludf.DUMMYFUNCTION("""COMPUTED_VALUE"""),"Flower Box")</f>
        <v>Flower Box</v>
      </c>
      <c r="D1732" s="73" t="str">
        <f>IFERROR(__xludf.DUMMYFUNCTION("""COMPUTED_VALUE"""),"120*60*200 mm | 4.7*2.3*10.6 inch")</f>
        <v>120*60*200 mm | 4.7*2.3*10.6 inch</v>
      </c>
      <c r="E1732" s="77">
        <f>IFERROR(__xludf.DUMMYFUNCTION("""COMPUTED_VALUE"""),1.0)</f>
        <v>1</v>
      </c>
      <c r="F1732" s="77">
        <f>IFERROR(__xludf.DUMMYFUNCTION("""COMPUTED_VALUE"""),1926.0)</f>
        <v>1926</v>
      </c>
      <c r="G1732" s="77">
        <f>IFERROR(__xludf.DUMMYFUNCTION("""COMPUTED_VALUE"""),15.75)</f>
        <v>15.75</v>
      </c>
      <c r="H1732" s="77">
        <f>IFERROR(__xludf.DUMMYFUNCTION("""COMPUTED_VALUE"""),20.75)</f>
        <v>20.75</v>
      </c>
      <c r="I1732" s="77">
        <f>IFERROR(__xludf.DUMMYFUNCTION("""COMPUTED_VALUE"""),100.0)</f>
        <v>100</v>
      </c>
      <c r="J1732" s="73"/>
      <c r="K1732" s="73"/>
      <c r="L1732" s="73"/>
      <c r="M1732" s="77">
        <f>IFERROR(__xludf.DUMMYFUNCTION("""COMPUTED_VALUE"""),0.1)</f>
        <v>0.1</v>
      </c>
      <c r="N1732" s="77">
        <f>IFERROR(__xludf.DUMMYFUNCTION("""COMPUTED_VALUE"""),1.0)</f>
        <v>1</v>
      </c>
      <c r="O1732" s="49"/>
      <c r="P1732" s="49" t="str">
        <f>IFERROR(__xludf.DUMMYFUNCTION("""COMPUTED_VALUE"""),"Offset")</f>
        <v>Offset</v>
      </c>
      <c r="Q1732" s="49" t="str">
        <f>IFERROR(__xludf.DUMMYFUNCTION("""COMPUTED_VALUE"""),"Packaging")</f>
        <v>Packaging</v>
      </c>
      <c r="R1732" s="49" t="str">
        <f>IFERROR(__xludf.DUMMYFUNCTION("""COMPUTED_VALUE"""),"Misc")</f>
        <v>Misc</v>
      </c>
    </row>
    <row r="1733">
      <c r="A1733" s="156" t="str">
        <f>IFERROR(__xludf.DUMMYFUNCTION("""COMPUTED_VALUE"""),"https://drive.google.com/open?id=1echw208nuRQhzBpnFbrHEnBPkVD7BbQq&amp;authuser=jay.agg%40gmail.com&amp;usp=drive_fs")</f>
        <v>https://drive.google.com/open?id=1echw208nuRQhzBpnFbrHEnBPkVD7BbQq&amp;authuser=jay.agg%40gmail.com&amp;usp=drive_fs</v>
      </c>
      <c r="B1733" s="73" t="str">
        <f>IFERROR(__xludf.DUMMYFUNCTION("""COMPUTED_VALUE"""),"Misc")</f>
        <v>Misc</v>
      </c>
      <c r="C1733" s="73" t="str">
        <f>IFERROR(__xludf.DUMMYFUNCTION("""COMPUTED_VALUE"""),"Misc")</f>
        <v>Misc</v>
      </c>
      <c r="D1733" s="73" t="str">
        <f>IFERROR(__xludf.DUMMYFUNCTION("""COMPUTED_VALUE"""),"210*40*210 mm | 8.2*1.6*8.2 inch")</f>
        <v>210*40*210 mm | 8.2*1.6*8.2 inch</v>
      </c>
      <c r="E1733" s="77">
        <f>IFERROR(__xludf.DUMMYFUNCTION("""COMPUTED_VALUE"""),1.0)</f>
        <v>1</v>
      </c>
      <c r="F1733" s="77">
        <f>IFERROR(__xludf.DUMMYFUNCTION("""COMPUTED_VALUE"""),1926.0)</f>
        <v>1926</v>
      </c>
      <c r="G1733" s="77">
        <f>IFERROR(__xludf.DUMMYFUNCTION("""COMPUTED_VALUE"""),15.75)</f>
        <v>15.75</v>
      </c>
      <c r="H1733" s="77">
        <f>IFERROR(__xludf.DUMMYFUNCTION("""COMPUTED_VALUE"""),20.75)</f>
        <v>20.75</v>
      </c>
      <c r="I1733" s="77">
        <f>IFERROR(__xludf.DUMMYFUNCTION("""COMPUTED_VALUE"""),100.0)</f>
        <v>100</v>
      </c>
      <c r="J1733" s="73"/>
      <c r="K1733" s="73"/>
      <c r="L1733" s="73"/>
      <c r="M1733" s="77">
        <f>IFERROR(__xludf.DUMMYFUNCTION("""COMPUTED_VALUE"""),0.1)</f>
        <v>0.1</v>
      </c>
      <c r="N1733" s="77">
        <f>IFERROR(__xludf.DUMMYFUNCTION("""COMPUTED_VALUE"""),1.0)</f>
        <v>1</v>
      </c>
      <c r="O1733" s="49"/>
      <c r="P1733" s="49" t="str">
        <f>IFERROR(__xludf.DUMMYFUNCTION("""COMPUTED_VALUE"""),"Offset")</f>
        <v>Offset</v>
      </c>
      <c r="Q1733" s="49" t="str">
        <f>IFERROR(__xludf.DUMMYFUNCTION("""COMPUTED_VALUE"""),"Packaging")</f>
        <v>Packaging</v>
      </c>
      <c r="R1733" s="49" t="str">
        <f>IFERROR(__xludf.DUMMYFUNCTION("""COMPUTED_VALUE"""),"Misc")</f>
        <v>Misc</v>
      </c>
    </row>
    <row r="1734">
      <c r="A1734" s="156" t="str">
        <f>IFERROR(__xludf.DUMMYFUNCTION("""COMPUTED_VALUE"""),"https://drive.google.com/open?id=1eaD0QuaOdqg0X8EFMNJF_GwKwxyK9sVQ&amp;authuser=jay.agg%40gmail.com&amp;usp=drive_fs")</f>
        <v>https://drive.google.com/open?id=1eaD0QuaOdqg0X8EFMNJF_GwKwxyK9sVQ&amp;authuser=jay.agg%40gmail.com&amp;usp=drive_fs</v>
      </c>
      <c r="B1734" s="73" t="str">
        <f>IFERROR(__xludf.DUMMYFUNCTION("""COMPUTED_VALUE"""),"Misc")</f>
        <v>Misc</v>
      </c>
      <c r="C1734" s="73" t="str">
        <f>IFERROR(__xludf.DUMMYFUNCTION("""COMPUTED_VALUE"""),"Misc")</f>
        <v>Misc</v>
      </c>
      <c r="D1734" s="73" t="str">
        <f>IFERROR(__xludf.DUMMYFUNCTION("""COMPUTED_VALUE"""),"152*32*169 mm | 6*1.2*6.6 inch")</f>
        <v>152*32*169 mm | 6*1.2*6.6 inch</v>
      </c>
      <c r="E1734" s="77">
        <f>IFERROR(__xludf.DUMMYFUNCTION("""COMPUTED_VALUE"""),2.0)</f>
        <v>2</v>
      </c>
      <c r="F1734" s="77">
        <f>IFERROR(__xludf.DUMMYFUNCTION("""COMPUTED_VALUE"""),1926.0)</f>
        <v>1926</v>
      </c>
      <c r="G1734" s="77">
        <f>IFERROR(__xludf.DUMMYFUNCTION("""COMPUTED_VALUE"""),15.75)</f>
        <v>15.75</v>
      </c>
      <c r="H1734" s="77">
        <f>IFERROR(__xludf.DUMMYFUNCTION("""COMPUTED_VALUE"""),20.75)</f>
        <v>20.75</v>
      </c>
      <c r="I1734" s="77">
        <f>IFERROR(__xludf.DUMMYFUNCTION("""COMPUTED_VALUE"""),100.0)</f>
        <v>100</v>
      </c>
      <c r="J1734" s="73"/>
      <c r="K1734" s="73"/>
      <c r="L1734" s="73"/>
      <c r="M1734" s="77">
        <f>IFERROR(__xludf.DUMMYFUNCTION("""COMPUTED_VALUE"""),0.1)</f>
        <v>0.1</v>
      </c>
      <c r="N1734" s="77">
        <f>IFERROR(__xludf.DUMMYFUNCTION("""COMPUTED_VALUE"""),1.0)</f>
        <v>1</v>
      </c>
      <c r="O1734" s="49"/>
      <c r="P1734" s="49" t="str">
        <f>IFERROR(__xludf.DUMMYFUNCTION("""COMPUTED_VALUE"""),"Offset")</f>
        <v>Offset</v>
      </c>
      <c r="Q1734" s="49" t="str">
        <f>IFERROR(__xludf.DUMMYFUNCTION("""COMPUTED_VALUE"""),"Packaging")</f>
        <v>Packaging</v>
      </c>
      <c r="R1734" s="49" t="str">
        <f>IFERROR(__xludf.DUMMYFUNCTION("""COMPUTED_VALUE"""),"Misc")</f>
        <v>Misc</v>
      </c>
    </row>
    <row r="1735">
      <c r="A1735" s="156" t="str">
        <f>IFERROR(__xludf.DUMMYFUNCTION("""COMPUTED_VALUE"""),"https://drive.google.com/open?id=1h6OOg2NvjnuL5RtpHa_O8h-vzKFxfHtB&amp;authuser=jay.agg%40gmail.com&amp;usp=drive_fs")</f>
        <v>https://drive.google.com/open?id=1h6OOg2NvjnuL5RtpHa_O8h-vzKFxfHtB&amp;authuser=jay.agg%40gmail.com&amp;usp=drive_fs</v>
      </c>
      <c r="B1735" s="73" t="str">
        <f>IFERROR(__xludf.DUMMYFUNCTION("""COMPUTED_VALUE"""),"Misc")</f>
        <v>Misc</v>
      </c>
      <c r="C1735" s="73" t="str">
        <f>IFERROR(__xludf.DUMMYFUNCTION("""COMPUTED_VALUE"""),"Seeds")</f>
        <v>Seeds</v>
      </c>
      <c r="D1735" s="73" t="str">
        <f>IFERROR(__xludf.DUMMYFUNCTION("""COMPUTED_VALUE"""),"102*76*305 mm | 4*3*12 inch")</f>
        <v>102*76*305 mm | 4*3*12 inch</v>
      </c>
      <c r="E1735" s="77">
        <f>IFERROR(__xludf.DUMMYFUNCTION("""COMPUTED_VALUE"""),1.0)</f>
        <v>1</v>
      </c>
      <c r="F1735" s="77">
        <f>IFERROR(__xludf.DUMMYFUNCTION("""COMPUTED_VALUE"""),1926.0)</f>
        <v>1926</v>
      </c>
      <c r="G1735" s="77">
        <f>IFERROR(__xludf.DUMMYFUNCTION("""COMPUTED_VALUE"""),15.75)</f>
        <v>15.75</v>
      </c>
      <c r="H1735" s="77">
        <f>IFERROR(__xludf.DUMMYFUNCTION("""COMPUTED_VALUE"""),20.75)</f>
        <v>20.75</v>
      </c>
      <c r="I1735" s="77">
        <f>IFERROR(__xludf.DUMMYFUNCTION("""COMPUTED_VALUE"""),100.0)</f>
        <v>100</v>
      </c>
      <c r="J1735" s="73"/>
      <c r="K1735" s="73"/>
      <c r="L1735" s="73"/>
      <c r="M1735" s="77">
        <f>IFERROR(__xludf.DUMMYFUNCTION("""COMPUTED_VALUE"""),0.1)</f>
        <v>0.1</v>
      </c>
      <c r="N1735" s="77">
        <f>IFERROR(__xludf.DUMMYFUNCTION("""COMPUTED_VALUE"""),1.0)</f>
        <v>1</v>
      </c>
      <c r="O1735" s="49"/>
      <c r="P1735" s="49" t="str">
        <f>IFERROR(__xludf.DUMMYFUNCTION("""COMPUTED_VALUE"""),"Offset")</f>
        <v>Offset</v>
      </c>
      <c r="Q1735" s="49" t="str">
        <f>IFERROR(__xludf.DUMMYFUNCTION("""COMPUTED_VALUE"""),"Packaging")</f>
        <v>Packaging</v>
      </c>
      <c r="R1735" s="49" t="str">
        <f>IFERROR(__xludf.DUMMYFUNCTION("""COMPUTED_VALUE"""),"Misc")</f>
        <v>Misc</v>
      </c>
    </row>
    <row r="1736">
      <c r="A1736" s="156" t="str">
        <f>IFERROR(__xludf.DUMMYFUNCTION("""COMPUTED_VALUE"""),"https://drive.google.com/open?id=1fIg8vj3h1r8Qyryj9lV6gQ0nUCBtSkUr&amp;authuser=jay.agg%40gmail.com&amp;usp=drive_fs")</f>
        <v>https://drive.google.com/open?id=1fIg8vj3h1r8Qyryj9lV6gQ0nUCBtSkUr&amp;authuser=jay.agg%40gmail.com&amp;usp=drive_fs</v>
      </c>
      <c r="B1736" s="73" t="str">
        <f>IFERROR(__xludf.DUMMYFUNCTION("""COMPUTED_VALUE"""),"Misc")</f>
        <v>Misc</v>
      </c>
      <c r="C1736" s="73" t="str">
        <f>IFERROR(__xludf.DUMMYFUNCTION("""COMPUTED_VALUE"""),"Seeds")</f>
        <v>Seeds</v>
      </c>
      <c r="D1736" s="73" t="str">
        <f>IFERROR(__xludf.DUMMYFUNCTION("""COMPUTED_VALUE"""),"130*70*170 mm | 5.1*2.7*6.7 inch")</f>
        <v>130*70*170 mm | 5.1*2.7*6.7 inch</v>
      </c>
      <c r="E1736" s="77">
        <f>IFERROR(__xludf.DUMMYFUNCTION("""COMPUTED_VALUE"""),2.0)</f>
        <v>2</v>
      </c>
      <c r="F1736" s="77">
        <f>IFERROR(__xludf.DUMMYFUNCTION("""COMPUTED_VALUE"""),1926.0)</f>
        <v>1926</v>
      </c>
      <c r="G1736" s="77">
        <f>IFERROR(__xludf.DUMMYFUNCTION("""COMPUTED_VALUE"""),18.0)</f>
        <v>18</v>
      </c>
      <c r="H1736" s="77">
        <f>IFERROR(__xludf.DUMMYFUNCTION("""COMPUTED_VALUE"""),24.0)</f>
        <v>24</v>
      </c>
      <c r="I1736" s="77">
        <f>IFERROR(__xludf.DUMMYFUNCTION("""COMPUTED_VALUE"""),100.0)</f>
        <v>100</v>
      </c>
      <c r="J1736" s="73"/>
      <c r="K1736" s="73"/>
      <c r="L1736" s="73"/>
      <c r="M1736" s="77">
        <f>IFERROR(__xludf.DUMMYFUNCTION("""COMPUTED_VALUE"""),0.1)</f>
        <v>0.1</v>
      </c>
      <c r="N1736" s="77">
        <f>IFERROR(__xludf.DUMMYFUNCTION("""COMPUTED_VALUE"""),1.0)</f>
        <v>1</v>
      </c>
      <c r="O1736" s="49"/>
      <c r="P1736" s="49" t="str">
        <f>IFERROR(__xludf.DUMMYFUNCTION("""COMPUTED_VALUE"""),"Offset")</f>
        <v>Offset</v>
      </c>
      <c r="Q1736" s="49" t="str">
        <f>IFERROR(__xludf.DUMMYFUNCTION("""COMPUTED_VALUE"""),"Packaging")</f>
        <v>Packaging</v>
      </c>
      <c r="R1736" s="49" t="str">
        <f>IFERROR(__xludf.DUMMYFUNCTION("""COMPUTED_VALUE"""),"Misc")</f>
        <v>Misc</v>
      </c>
    </row>
    <row r="1737">
      <c r="A1737" s="156" t="str">
        <f>IFERROR(__xludf.DUMMYFUNCTION("""COMPUTED_VALUE"""),"https://drive.google.com/open?id=18yxWm_V7GA6VDXBBDdMjfnf92c2Qae-T&amp;authuser=jay.agg%40gmail.com&amp;usp=drive_fs")</f>
        <v>https://drive.google.com/open?id=18yxWm_V7GA6VDXBBDdMjfnf92c2Qae-T&amp;authuser=jay.agg%40gmail.com&amp;usp=drive_fs</v>
      </c>
      <c r="B1737" s="73" t="str">
        <f>IFERROR(__xludf.DUMMYFUNCTION("""COMPUTED_VALUE"""),"Misc")</f>
        <v>Misc</v>
      </c>
      <c r="C1737" s="73" t="str">
        <f>IFERROR(__xludf.DUMMYFUNCTION("""COMPUTED_VALUE"""),"Misc")</f>
        <v>Misc</v>
      </c>
      <c r="D1737" s="73" t="str">
        <f>IFERROR(__xludf.DUMMYFUNCTION("""COMPUTED_VALUE"""),"90*13*110 mm | 3.5*0.5*4.3 inch")</f>
        <v>90*13*110 mm | 3.5*0.5*4.3 inch</v>
      </c>
      <c r="E1737" s="77">
        <f>IFERROR(__xludf.DUMMYFUNCTION("""COMPUTED_VALUE"""),9.0)</f>
        <v>9</v>
      </c>
      <c r="F1737" s="77">
        <f>IFERROR(__xludf.DUMMYFUNCTION("""COMPUTED_VALUE"""),1926.0)</f>
        <v>1926</v>
      </c>
      <c r="G1737" s="77">
        <f>IFERROR(__xludf.DUMMYFUNCTION("""COMPUTED_VALUE"""),19.0)</f>
        <v>19</v>
      </c>
      <c r="H1737" s="77">
        <f>IFERROR(__xludf.DUMMYFUNCTION("""COMPUTED_VALUE"""),26.0)</f>
        <v>26</v>
      </c>
      <c r="I1737" s="77">
        <f>IFERROR(__xludf.DUMMYFUNCTION("""COMPUTED_VALUE"""),100.0)</f>
        <v>100</v>
      </c>
      <c r="J1737" s="73"/>
      <c r="K1737" s="73"/>
      <c r="L1737" s="73"/>
      <c r="M1737" s="77">
        <f>IFERROR(__xludf.DUMMYFUNCTION("""COMPUTED_VALUE"""),0.1)</f>
        <v>0.1</v>
      </c>
      <c r="N1737" s="77">
        <f>IFERROR(__xludf.DUMMYFUNCTION("""COMPUTED_VALUE"""),1.0)</f>
        <v>1</v>
      </c>
      <c r="O1737" s="49"/>
      <c r="P1737" s="49" t="str">
        <f>IFERROR(__xludf.DUMMYFUNCTION("""COMPUTED_VALUE"""),"Offset")</f>
        <v>Offset</v>
      </c>
      <c r="Q1737" s="49" t="str">
        <f>IFERROR(__xludf.DUMMYFUNCTION("""COMPUTED_VALUE"""),"Packaging")</f>
        <v>Packaging</v>
      </c>
      <c r="R1737" s="49" t="str">
        <f>IFERROR(__xludf.DUMMYFUNCTION("""COMPUTED_VALUE"""),"Misc")</f>
        <v>Misc</v>
      </c>
    </row>
    <row r="1738">
      <c r="A1738" s="156" t="str">
        <f>IFERROR(__xludf.DUMMYFUNCTION("""COMPUTED_VALUE"""),"https://drive.google.com/open?id=1085cajIG52cTIi4Dh7fZY0OZWmWY3HIa&amp;authuser=jay.agg%40gmail.com&amp;usp=drive_fs")</f>
        <v>https://drive.google.com/open?id=1085cajIG52cTIi4Dh7fZY0OZWmWY3HIa&amp;authuser=jay.agg%40gmail.com&amp;usp=drive_fs</v>
      </c>
      <c r="B1738" s="73" t="str">
        <f>IFERROR(__xludf.DUMMYFUNCTION("""COMPUTED_VALUE"""),"Misc")</f>
        <v>Misc</v>
      </c>
      <c r="C1738" s="73" t="str">
        <f>IFERROR(__xludf.DUMMYFUNCTION("""COMPUTED_VALUE"""),"Seeds")</f>
        <v>Seeds</v>
      </c>
      <c r="D1738" s="73" t="str">
        <f>IFERROR(__xludf.DUMMYFUNCTION("""COMPUTED_VALUE"""),"115*35*195 mm | 4.5*1.4*7.7 inch")</f>
        <v>115*35*195 mm | 4.5*1.4*7.7 inch</v>
      </c>
      <c r="E1738" s="77">
        <f>IFERROR(__xludf.DUMMYFUNCTION("""COMPUTED_VALUE"""),2.0)</f>
        <v>2</v>
      </c>
      <c r="F1738" s="77">
        <f>IFERROR(__xludf.DUMMYFUNCTION("""COMPUTED_VALUE"""),1926.0)</f>
        <v>1926</v>
      </c>
      <c r="G1738" s="77">
        <f>IFERROR(__xludf.DUMMYFUNCTION("""COMPUTED_VALUE"""),13.0)</f>
        <v>13</v>
      </c>
      <c r="H1738" s="77">
        <f>IFERROR(__xludf.DUMMYFUNCTION("""COMPUTED_VALUE"""),23.0)</f>
        <v>23</v>
      </c>
      <c r="I1738" s="77">
        <f>IFERROR(__xludf.DUMMYFUNCTION("""COMPUTED_VALUE"""),100.0)</f>
        <v>100</v>
      </c>
      <c r="J1738" s="73"/>
      <c r="K1738" s="73"/>
      <c r="L1738" s="73"/>
      <c r="M1738" s="77">
        <f>IFERROR(__xludf.DUMMYFUNCTION("""COMPUTED_VALUE"""),0.1)</f>
        <v>0.1</v>
      </c>
      <c r="N1738" s="77">
        <f>IFERROR(__xludf.DUMMYFUNCTION("""COMPUTED_VALUE"""),1.0)</f>
        <v>1</v>
      </c>
      <c r="O1738" s="49"/>
      <c r="P1738" s="49" t="str">
        <f>IFERROR(__xludf.DUMMYFUNCTION("""COMPUTED_VALUE"""),"Offset")</f>
        <v>Offset</v>
      </c>
      <c r="Q1738" s="49" t="str">
        <f>IFERROR(__xludf.DUMMYFUNCTION("""COMPUTED_VALUE"""),"Packaging")</f>
        <v>Packaging</v>
      </c>
      <c r="R1738" s="49" t="str">
        <f>IFERROR(__xludf.DUMMYFUNCTION("""COMPUTED_VALUE"""),"Misc")</f>
        <v>Misc</v>
      </c>
    </row>
    <row r="1739">
      <c r="A1739" s="156" t="str">
        <f>IFERROR(__xludf.DUMMYFUNCTION("""COMPUTED_VALUE"""),"https://drive.google.com/open?id=1JKfKrr_qXJw7eWeh6I2d4W6KgDe_PK3U&amp;authuser=jay.agg%40gmail.com&amp;usp=drive_fs")</f>
        <v>https://drive.google.com/open?id=1JKfKrr_qXJw7eWeh6I2d4W6KgDe_PK3U&amp;authuser=jay.agg%40gmail.com&amp;usp=drive_fs</v>
      </c>
      <c r="B1739" s="73" t="str">
        <f>IFERROR(__xludf.DUMMYFUNCTION("""COMPUTED_VALUE"""),"Misc")</f>
        <v>Misc</v>
      </c>
      <c r="C1739" s="73" t="str">
        <f>IFERROR(__xludf.DUMMYFUNCTION("""COMPUTED_VALUE"""),"Misc")</f>
        <v>Misc</v>
      </c>
      <c r="D1739" s="73" t="str">
        <f>IFERROR(__xludf.DUMMYFUNCTION("""COMPUTED_VALUE"""),"102*76*38 mm | 4*3*1.5 inch")</f>
        <v>102*76*38 mm | 4*3*1.5 inch</v>
      </c>
      <c r="E1739" s="77">
        <f>IFERROR(__xludf.DUMMYFUNCTION("""COMPUTED_VALUE"""),4.0)</f>
        <v>4</v>
      </c>
      <c r="F1739" s="77">
        <f>IFERROR(__xludf.DUMMYFUNCTION("""COMPUTED_VALUE"""),1926.0)</f>
        <v>1926</v>
      </c>
      <c r="G1739" s="77">
        <f>IFERROR(__xludf.DUMMYFUNCTION("""COMPUTED_VALUE"""),19.5)</f>
        <v>19.5</v>
      </c>
      <c r="H1739" s="77">
        <f>IFERROR(__xludf.DUMMYFUNCTION("""COMPUTED_VALUE"""),23.0)</f>
        <v>23</v>
      </c>
      <c r="I1739" s="77">
        <f>IFERROR(__xludf.DUMMYFUNCTION("""COMPUTED_VALUE"""),100.0)</f>
        <v>100</v>
      </c>
      <c r="J1739" s="73"/>
      <c r="K1739" s="73"/>
      <c r="L1739" s="73"/>
      <c r="M1739" s="77"/>
      <c r="N1739" s="77">
        <f>IFERROR(__xludf.DUMMYFUNCTION("""COMPUTED_VALUE"""),1.0)</f>
        <v>1</v>
      </c>
      <c r="O1739" s="49"/>
      <c r="P1739" s="49" t="str">
        <f>IFERROR(__xludf.DUMMYFUNCTION("""COMPUTED_VALUE"""),"Offset")</f>
        <v>Offset</v>
      </c>
      <c r="Q1739" s="49" t="str">
        <f>IFERROR(__xludf.DUMMYFUNCTION("""COMPUTED_VALUE"""),"Packaging")</f>
        <v>Packaging</v>
      </c>
      <c r="R1739" s="49" t="str">
        <f>IFERROR(__xludf.DUMMYFUNCTION("""COMPUTED_VALUE"""),"Misc")</f>
        <v>Misc</v>
      </c>
    </row>
    <row r="1740">
      <c r="A1740" s="156" t="str">
        <f>IFERROR(__xludf.DUMMYFUNCTION("""COMPUTED_VALUE"""),"https://drive.google.com/open?id=115_fcBczXc1rHugupP-vxOty5C2CmPQ2&amp;authuser=jay.agg%40gmail.com&amp;usp=drive_fs")</f>
        <v>https://drive.google.com/open?id=115_fcBczXc1rHugupP-vxOty5C2CmPQ2&amp;authuser=jay.agg%40gmail.com&amp;usp=drive_fs</v>
      </c>
      <c r="B1740" s="73" t="str">
        <f>IFERROR(__xludf.DUMMYFUNCTION("""COMPUTED_VALUE"""),"Misc")</f>
        <v>Misc</v>
      </c>
      <c r="C1740" s="73" t="str">
        <f>IFERROR(__xludf.DUMMYFUNCTION("""COMPUTED_VALUE"""),"Glass")</f>
        <v>Glass</v>
      </c>
      <c r="D1740" s="73" t="str">
        <f>IFERROR(__xludf.DUMMYFUNCTION("""COMPUTED_VALUE"""),"483*38*648 mm | 19*1.5*25.5 inch | 30*43")</f>
        <v>483*38*648 mm | 19*1.5*25.5 inch | 30*43</v>
      </c>
      <c r="E1740" s="77">
        <f>IFERROR(__xludf.DUMMYFUNCTION("""COMPUTED_VALUE"""),1.0)</f>
        <v>1</v>
      </c>
      <c r="F1740" s="77">
        <f>IFERROR(__xludf.DUMMYFUNCTION("""COMPUTED_VALUE"""),2840.0)</f>
        <v>2840</v>
      </c>
      <c r="G1740" s="77">
        <f>IFERROR(__xludf.DUMMYFUNCTION("""COMPUTED_VALUE"""),20.0)</f>
        <v>20</v>
      </c>
      <c r="H1740" s="77">
        <f>IFERROR(__xludf.DUMMYFUNCTION("""COMPUTED_VALUE"""),43.0)</f>
        <v>43</v>
      </c>
      <c r="I1740" s="77">
        <f>IFERROR(__xludf.DUMMYFUNCTION("""COMPUTED_VALUE"""),100.0)</f>
        <v>100</v>
      </c>
      <c r="J1740" s="73"/>
      <c r="K1740" s="73"/>
      <c r="L1740" s="73"/>
      <c r="M1740" s="77">
        <f>IFERROR(__xludf.DUMMYFUNCTION("""COMPUTED_VALUE"""),0.1)</f>
        <v>0.1</v>
      </c>
      <c r="N1740" s="77">
        <f>IFERROR(__xludf.DUMMYFUNCTION("""COMPUTED_VALUE"""),1.0)</f>
        <v>1</v>
      </c>
      <c r="O1740" s="49"/>
      <c r="P1740" s="49" t="str">
        <f>IFERROR(__xludf.DUMMYFUNCTION("""COMPUTED_VALUE"""),"Offset")</f>
        <v>Offset</v>
      </c>
      <c r="Q1740" s="49" t="str">
        <f>IFERROR(__xludf.DUMMYFUNCTION("""COMPUTED_VALUE"""),"Packaging")</f>
        <v>Packaging</v>
      </c>
      <c r="R1740" s="49" t="str">
        <f>IFERROR(__xludf.DUMMYFUNCTION("""COMPUTED_VALUE"""),"Misc")</f>
        <v>Misc</v>
      </c>
    </row>
    <row r="1741">
      <c r="A1741" s="156" t="str">
        <f>IFERROR(__xludf.DUMMYFUNCTION("""COMPUTED_VALUE"""),"https://drive.google.com/open?id=1R41it4XeN6XtLX0NA8LqCGh4WCp3AobM&amp;authuser=jay.agg%40gmail.com&amp;usp=drive_fs")</f>
        <v>https://drive.google.com/open?id=1R41it4XeN6XtLX0NA8LqCGh4WCp3AobM&amp;authuser=jay.agg%40gmail.com&amp;usp=drive_fs</v>
      </c>
      <c r="B1741" s="73" t="str">
        <f>IFERROR(__xludf.DUMMYFUNCTION("""COMPUTED_VALUE"""),"Misc")</f>
        <v>Misc</v>
      </c>
      <c r="C1741" s="73" t="str">
        <f>IFERROR(__xludf.DUMMYFUNCTION("""COMPUTED_VALUE"""),"Glass")</f>
        <v>Glass</v>
      </c>
      <c r="D1741" s="73" t="str">
        <f>IFERROR(__xludf.DUMMYFUNCTION("""COMPUTED_VALUE"""),"80*60*180 mm | 3.15*2.4*7 inch")</f>
        <v>80*60*180 mm | 3.15*2.4*7 inch</v>
      </c>
      <c r="E1741" s="77">
        <f>IFERROR(__xludf.DUMMYFUNCTION("""COMPUTED_VALUE"""),2.0)</f>
        <v>2</v>
      </c>
      <c r="F1741" s="77">
        <f>IFERROR(__xludf.DUMMYFUNCTION("""COMPUTED_VALUE"""),1926.0)</f>
        <v>1926</v>
      </c>
      <c r="G1741" s="77">
        <f>IFERROR(__xludf.DUMMYFUNCTION("""COMPUTED_VALUE"""),15.0)</f>
        <v>15</v>
      </c>
      <c r="H1741" s="77">
        <f>IFERROR(__xludf.DUMMYFUNCTION("""COMPUTED_VALUE"""),25.0)</f>
        <v>25</v>
      </c>
      <c r="I1741" s="77">
        <f>IFERROR(__xludf.DUMMYFUNCTION("""COMPUTED_VALUE"""),100.0)</f>
        <v>100</v>
      </c>
      <c r="J1741" s="73"/>
      <c r="K1741" s="73"/>
      <c r="L1741" s="73"/>
      <c r="M1741" s="77">
        <f>IFERROR(__xludf.DUMMYFUNCTION("""COMPUTED_VALUE"""),0.62)</f>
        <v>0.62</v>
      </c>
      <c r="N1741" s="77">
        <f>IFERROR(__xludf.DUMMYFUNCTION("""COMPUTED_VALUE"""),1.0)</f>
        <v>1</v>
      </c>
      <c r="O1741" s="49"/>
      <c r="P1741" s="49" t="str">
        <f>IFERROR(__xludf.DUMMYFUNCTION("""COMPUTED_VALUE"""),"Offset")</f>
        <v>Offset</v>
      </c>
      <c r="Q1741" s="49" t="str">
        <f>IFERROR(__xludf.DUMMYFUNCTION("""COMPUTED_VALUE"""),"Packaging")</f>
        <v>Packaging</v>
      </c>
      <c r="R1741" s="49" t="str">
        <f>IFERROR(__xludf.DUMMYFUNCTION("""COMPUTED_VALUE"""),"Misc")</f>
        <v>Misc</v>
      </c>
    </row>
    <row r="1742">
      <c r="A1742" s="156" t="str">
        <f>IFERROR(__xludf.DUMMYFUNCTION("""COMPUTED_VALUE"""),"https://drive.google.com/open?id=1UqH2hTcCO6_8s9_nyWBnRZVuSW1x0py6&amp;authuser=jay.agg%40gmail.com&amp;usp=drive_fs")</f>
        <v>https://drive.google.com/open?id=1UqH2hTcCO6_8s9_nyWBnRZVuSW1x0py6&amp;authuser=jay.agg%40gmail.com&amp;usp=drive_fs</v>
      </c>
      <c r="B1742" s="73" t="str">
        <f>IFERROR(__xludf.DUMMYFUNCTION("""COMPUTED_VALUE"""),"Misc")</f>
        <v>Misc</v>
      </c>
      <c r="C1742" s="73" t="str">
        <f>IFERROR(__xludf.DUMMYFUNCTION("""COMPUTED_VALUE"""),"Misc")</f>
        <v>Misc</v>
      </c>
      <c r="D1742" s="73" t="str">
        <f>IFERROR(__xludf.DUMMYFUNCTION("""COMPUTED_VALUE"""),"102*102*152 mm | 4*4*6 inch IL")</f>
        <v>102*102*152 mm | 4*4*6 inch IL</v>
      </c>
      <c r="E1742" s="77">
        <f>IFERROR(__xludf.DUMMYFUNCTION("""COMPUTED_VALUE"""),2.0)</f>
        <v>2</v>
      </c>
      <c r="F1742" s="77">
        <f>IFERROR(__xludf.DUMMYFUNCTION("""COMPUTED_VALUE"""),1926.0)</f>
        <v>1926</v>
      </c>
      <c r="G1742" s="77">
        <f>IFERROR(__xludf.DUMMYFUNCTION("""COMPUTED_VALUE"""),18.0)</f>
        <v>18</v>
      </c>
      <c r="H1742" s="77">
        <f>IFERROR(__xludf.DUMMYFUNCTION("""COMPUTED_VALUE"""),23.0)</f>
        <v>23</v>
      </c>
      <c r="I1742" s="77">
        <f>IFERROR(__xludf.DUMMYFUNCTION("""COMPUTED_VALUE"""),100.0)</f>
        <v>100</v>
      </c>
      <c r="J1742" s="73"/>
      <c r="K1742" s="73"/>
      <c r="L1742" s="73"/>
      <c r="M1742" s="77">
        <f>IFERROR(__xludf.DUMMYFUNCTION("""COMPUTED_VALUE"""),0.1)</f>
        <v>0.1</v>
      </c>
      <c r="N1742" s="77">
        <f>IFERROR(__xludf.DUMMYFUNCTION("""COMPUTED_VALUE"""),1.0)</f>
        <v>1</v>
      </c>
      <c r="O1742" s="49"/>
      <c r="P1742" s="49" t="str">
        <f>IFERROR(__xludf.DUMMYFUNCTION("""COMPUTED_VALUE"""),"Offset")</f>
        <v>Offset</v>
      </c>
      <c r="Q1742" s="49" t="str">
        <f>IFERROR(__xludf.DUMMYFUNCTION("""COMPUTED_VALUE"""),"Packaging")</f>
        <v>Packaging</v>
      </c>
      <c r="R1742" s="49" t="str">
        <f>IFERROR(__xludf.DUMMYFUNCTION("""COMPUTED_VALUE"""),"Misc")</f>
        <v>Misc</v>
      </c>
    </row>
    <row r="1743">
      <c r="A1743" s="156" t="str">
        <f>IFERROR(__xludf.DUMMYFUNCTION("""COMPUTED_VALUE"""),"https://drive.google.com/open?id=1VMmaAT-rE--4tTk3mdoUqEb0DDx6IDT3&amp;authuser=jay.agg%40gmail.com&amp;usp=drive_fs")</f>
        <v>https://drive.google.com/open?id=1VMmaAT-rE--4tTk3mdoUqEb0DDx6IDT3&amp;authuser=jay.agg%40gmail.com&amp;usp=drive_fs</v>
      </c>
      <c r="B1743" s="73" t="str">
        <f>IFERROR(__xludf.DUMMYFUNCTION("""COMPUTED_VALUE"""),"Misc")</f>
        <v>Misc</v>
      </c>
      <c r="C1743" s="73" t="str">
        <f>IFERROR(__xludf.DUMMYFUNCTION("""COMPUTED_VALUE"""),"Mug")</f>
        <v>Mug</v>
      </c>
      <c r="D1743" s="73" t="str">
        <f>IFERROR(__xludf.DUMMYFUNCTION("""COMPUTED_VALUE"""),"114*89*102 mm | 4.5*3.5*4 inch IL | 28*18")</f>
        <v>114*89*102 mm | 4.5*3.5*4 inch IL | 28*18</v>
      </c>
      <c r="E1743" s="77">
        <f>IFERROR(__xludf.DUMMYFUNCTION("""COMPUTED_VALUE"""),3.0)</f>
        <v>3</v>
      </c>
      <c r="F1743" s="77">
        <f>IFERROR(__xludf.DUMMYFUNCTION("""COMPUTED_VALUE"""),2029.0)</f>
        <v>2029</v>
      </c>
      <c r="G1743" s="77">
        <f>IFERROR(__xludf.DUMMYFUNCTION("""COMPUTED_VALUE"""),18.0)</f>
        <v>18</v>
      </c>
      <c r="H1743" s="77">
        <f>IFERROR(__xludf.DUMMYFUNCTION("""COMPUTED_VALUE"""),28.0)</f>
        <v>28</v>
      </c>
      <c r="I1743" s="77">
        <f>IFERROR(__xludf.DUMMYFUNCTION("""COMPUTED_VALUE"""),100.0)</f>
        <v>100</v>
      </c>
      <c r="J1743" s="73"/>
      <c r="K1743" s="73"/>
      <c r="L1743" s="73"/>
      <c r="M1743" s="77">
        <f>IFERROR(__xludf.DUMMYFUNCTION("""COMPUTED_VALUE"""),0.1)</f>
        <v>0.1</v>
      </c>
      <c r="N1743" s="77">
        <f>IFERROR(__xludf.DUMMYFUNCTION("""COMPUTED_VALUE"""),1.0)</f>
        <v>1</v>
      </c>
      <c r="O1743" s="49"/>
      <c r="P1743" s="49" t="str">
        <f>IFERROR(__xludf.DUMMYFUNCTION("""COMPUTED_VALUE"""),"Offset")</f>
        <v>Offset</v>
      </c>
      <c r="Q1743" s="49" t="str">
        <f>IFERROR(__xludf.DUMMYFUNCTION("""COMPUTED_VALUE"""),"Packaging")</f>
        <v>Packaging</v>
      </c>
      <c r="R1743" s="49" t="str">
        <f>IFERROR(__xludf.DUMMYFUNCTION("""COMPUTED_VALUE"""),"Misc")</f>
        <v>Misc</v>
      </c>
    </row>
    <row r="1744">
      <c r="A1744" s="156" t="str">
        <f>IFERROR(__xludf.DUMMYFUNCTION("""COMPUTED_VALUE"""),"https://drive.google.com/open?id=1YjCDLKqnxbDv51Wn7FWrbW2C5wj1EvOu&amp;authuser=jay.agg%40gmail.com&amp;usp=drive_fs")</f>
        <v>https://drive.google.com/open?id=1YjCDLKqnxbDv51Wn7FWrbW2C5wj1EvOu&amp;authuser=jay.agg%40gmail.com&amp;usp=drive_fs</v>
      </c>
      <c r="B1744" s="73" t="str">
        <f>IFERROR(__xludf.DUMMYFUNCTION("""COMPUTED_VALUE"""),"Misc")</f>
        <v>Misc</v>
      </c>
      <c r="C1744" s="73" t="str">
        <f>IFERROR(__xludf.DUMMYFUNCTION("""COMPUTED_VALUE"""),"Misc")</f>
        <v>Misc</v>
      </c>
      <c r="D1744" s="73" t="str">
        <f>IFERROR(__xludf.DUMMYFUNCTION("""COMPUTED_VALUE"""),"100*100*140 mm | 4*4*5.5 inch IL")</f>
        <v>100*100*140 mm | 4*4*5.5 inch IL</v>
      </c>
      <c r="E1744" s="77">
        <f>IFERROR(__xludf.DUMMYFUNCTION("""COMPUTED_VALUE"""),2.0)</f>
        <v>2</v>
      </c>
      <c r="F1744" s="77">
        <f>IFERROR(__xludf.DUMMYFUNCTION("""COMPUTED_VALUE"""),1926.0)</f>
        <v>1926</v>
      </c>
      <c r="G1744" s="77">
        <f>IFERROR(__xludf.DUMMYFUNCTION("""COMPUTED_VALUE"""),18.0)</f>
        <v>18</v>
      </c>
      <c r="H1744" s="77">
        <f>IFERROR(__xludf.DUMMYFUNCTION("""COMPUTED_VALUE"""),23.0)</f>
        <v>23</v>
      </c>
      <c r="I1744" s="77">
        <f>IFERROR(__xludf.DUMMYFUNCTION("""COMPUTED_VALUE"""),100.0)</f>
        <v>100</v>
      </c>
      <c r="J1744" s="73"/>
      <c r="K1744" s="73"/>
      <c r="L1744" s="73"/>
      <c r="M1744" s="77">
        <f>IFERROR(__xludf.DUMMYFUNCTION("""COMPUTED_VALUE"""),0.1)</f>
        <v>0.1</v>
      </c>
      <c r="N1744" s="77">
        <f>IFERROR(__xludf.DUMMYFUNCTION("""COMPUTED_VALUE"""),1.0)</f>
        <v>1</v>
      </c>
      <c r="O1744" s="49"/>
      <c r="P1744" s="49" t="str">
        <f>IFERROR(__xludf.DUMMYFUNCTION("""COMPUTED_VALUE"""),"Offset")</f>
        <v>Offset</v>
      </c>
      <c r="Q1744" s="49" t="str">
        <f>IFERROR(__xludf.DUMMYFUNCTION("""COMPUTED_VALUE"""),"Packaging")</f>
        <v>Packaging</v>
      </c>
      <c r="R1744" s="49" t="str">
        <f>IFERROR(__xludf.DUMMYFUNCTION("""COMPUTED_VALUE"""),"Misc")</f>
        <v>Misc</v>
      </c>
    </row>
    <row r="1745">
      <c r="A1745" s="156" t="str">
        <f>IFERROR(__xludf.DUMMYFUNCTION("""COMPUTED_VALUE"""),"https://drive.google.com/open?id=1YmffX6jwOYjdhkco76C42K59BlWYFzNv&amp;authuser=jay.agg%40gmail.com&amp;usp=drive_fs")</f>
        <v>https://drive.google.com/open?id=1YmffX6jwOYjdhkco76C42K59BlWYFzNv&amp;authuser=jay.agg%40gmail.com&amp;usp=drive_fs</v>
      </c>
      <c r="B1745" s="73" t="str">
        <f>IFERROR(__xludf.DUMMYFUNCTION("""COMPUTED_VALUE"""),"Misc")</f>
        <v>Misc</v>
      </c>
      <c r="C1745" s="73" t="str">
        <f>IFERROR(__xludf.DUMMYFUNCTION("""COMPUTED_VALUE"""),"Misc")</f>
        <v>Misc</v>
      </c>
      <c r="D1745" s="73" t="str">
        <f>IFERROR(__xludf.DUMMYFUNCTION("""COMPUTED_VALUE"""),"100*70*110 mm | 4*2.75*4.3 inch IL")</f>
        <v>100*70*110 mm | 4*2.75*4.3 inch IL</v>
      </c>
      <c r="E1745" s="77">
        <f>IFERROR(__xludf.DUMMYFUNCTION("""COMPUTED_VALUE"""),4.0)</f>
        <v>4</v>
      </c>
      <c r="F1745" s="77">
        <f>IFERROR(__xludf.DUMMYFUNCTION("""COMPUTED_VALUE"""),2029.0)</f>
        <v>2029</v>
      </c>
      <c r="G1745" s="77">
        <f>IFERROR(__xludf.DUMMYFUNCTION("""COMPUTED_VALUE"""),20.0)</f>
        <v>20</v>
      </c>
      <c r="H1745" s="77">
        <f>IFERROR(__xludf.DUMMYFUNCTION("""COMPUTED_VALUE"""),28.0)</f>
        <v>28</v>
      </c>
      <c r="I1745" s="77">
        <f>IFERROR(__xludf.DUMMYFUNCTION("""COMPUTED_VALUE"""),100.0)</f>
        <v>100</v>
      </c>
      <c r="J1745" s="73"/>
      <c r="K1745" s="73"/>
      <c r="L1745" s="73"/>
      <c r="M1745" s="77">
        <f>IFERROR(__xludf.DUMMYFUNCTION("""COMPUTED_VALUE"""),0.1)</f>
        <v>0.1</v>
      </c>
      <c r="N1745" s="77">
        <f>IFERROR(__xludf.DUMMYFUNCTION("""COMPUTED_VALUE"""),1.0)</f>
        <v>1</v>
      </c>
      <c r="O1745" s="49"/>
      <c r="P1745" s="49" t="str">
        <f>IFERROR(__xludf.DUMMYFUNCTION("""COMPUTED_VALUE"""),"Offset")</f>
        <v>Offset</v>
      </c>
      <c r="Q1745" s="49" t="str">
        <f>IFERROR(__xludf.DUMMYFUNCTION("""COMPUTED_VALUE"""),"Packaging")</f>
        <v>Packaging</v>
      </c>
      <c r="R1745" s="49" t="str">
        <f>IFERROR(__xludf.DUMMYFUNCTION("""COMPUTED_VALUE"""),"Misc")</f>
        <v>Misc</v>
      </c>
    </row>
    <row r="1746">
      <c r="A1746" s="156" t="str">
        <f>IFERROR(__xludf.DUMMYFUNCTION("""COMPUTED_VALUE"""),"https://drive.google.com/open?id=1Yn33Dafcrqwo-vemaOvRziU6i7Y-6ia7&amp;authuser=jay.agg%40gmail.com&amp;usp=drive_fs")</f>
        <v>https://drive.google.com/open?id=1Yn33Dafcrqwo-vemaOvRziU6i7Y-6ia7&amp;authuser=jay.agg%40gmail.com&amp;usp=drive_fs</v>
      </c>
      <c r="B1746" s="73" t="str">
        <f>IFERROR(__xludf.DUMMYFUNCTION("""COMPUTED_VALUE"""),"Misc")</f>
        <v>Misc</v>
      </c>
      <c r="C1746" s="73" t="str">
        <f>IFERROR(__xludf.DUMMYFUNCTION("""COMPUTED_VALUE"""),"Misc")</f>
        <v>Misc</v>
      </c>
      <c r="D1746" s="73" t="str">
        <f>IFERROR(__xludf.DUMMYFUNCTION("""COMPUTED_VALUE"""),"100*40*110 mm | 4*1.6*4.3 inch IL")</f>
        <v>100*40*110 mm | 4*1.6*4.3 inch IL</v>
      </c>
      <c r="E1746" s="77">
        <f>IFERROR(__xludf.DUMMYFUNCTION("""COMPUTED_VALUE"""),3.0)</f>
        <v>3</v>
      </c>
      <c r="F1746" s="77">
        <f>IFERROR(__xludf.DUMMYFUNCTION("""COMPUTED_VALUE"""),1926.0)</f>
        <v>1926</v>
      </c>
      <c r="G1746" s="77">
        <f>IFERROR(__xludf.DUMMYFUNCTION("""COMPUTED_VALUE"""),14.0)</f>
        <v>14</v>
      </c>
      <c r="H1746" s="77">
        <f>IFERROR(__xludf.DUMMYFUNCTION("""COMPUTED_VALUE"""),22.0)</f>
        <v>22</v>
      </c>
      <c r="I1746" s="77">
        <f>IFERROR(__xludf.DUMMYFUNCTION("""COMPUTED_VALUE"""),100.0)</f>
        <v>100</v>
      </c>
      <c r="J1746" s="73"/>
      <c r="K1746" s="73"/>
      <c r="L1746" s="73"/>
      <c r="M1746" s="77">
        <f>IFERROR(__xludf.DUMMYFUNCTION("""COMPUTED_VALUE"""),0.1)</f>
        <v>0.1</v>
      </c>
      <c r="N1746" s="77">
        <f>IFERROR(__xludf.DUMMYFUNCTION("""COMPUTED_VALUE"""),1.0)</f>
        <v>1</v>
      </c>
      <c r="O1746" s="49"/>
      <c r="P1746" s="49" t="str">
        <f>IFERROR(__xludf.DUMMYFUNCTION("""COMPUTED_VALUE"""),"Offset")</f>
        <v>Offset</v>
      </c>
      <c r="Q1746" s="49" t="str">
        <f>IFERROR(__xludf.DUMMYFUNCTION("""COMPUTED_VALUE"""),"Packaging")</f>
        <v>Packaging</v>
      </c>
      <c r="R1746" s="49" t="str">
        <f>IFERROR(__xludf.DUMMYFUNCTION("""COMPUTED_VALUE"""),"Misc")</f>
        <v>Misc</v>
      </c>
    </row>
    <row r="1747">
      <c r="A1747" s="156" t="str">
        <f>IFERROR(__xludf.DUMMYFUNCTION("""COMPUTED_VALUE"""),"https://drive.google.com/open?id=1-6eD4oux6I4rMCWpaHOYYpjz7HiFX16R&amp;authuser=jay.agg%40gmail.com&amp;usp=drive_fs")</f>
        <v>https://drive.google.com/open?id=1-6eD4oux6I4rMCWpaHOYYpjz7HiFX16R&amp;authuser=jay.agg%40gmail.com&amp;usp=drive_fs</v>
      </c>
      <c r="B1747" s="73" t="str">
        <f>IFERROR(__xludf.DUMMYFUNCTION("""COMPUTED_VALUE"""),"Misc")</f>
        <v>Misc</v>
      </c>
      <c r="C1747" s="73" t="str">
        <f>IFERROR(__xludf.DUMMYFUNCTION("""COMPUTED_VALUE"""),"Misc")</f>
        <v>Misc</v>
      </c>
      <c r="D1747" s="73" t="str">
        <f>IFERROR(__xludf.DUMMYFUNCTION("""COMPUTED_VALUE"""),"180*32*240 mm | 7*1.26*9.5 inch | 26*18")</f>
        <v>180*32*240 mm | 7*1.26*9.5 inch | 26*18</v>
      </c>
      <c r="E1747" s="77">
        <f>IFERROR(__xludf.DUMMYFUNCTION("""COMPUTED_VALUE"""),2.0)</f>
        <v>2</v>
      </c>
      <c r="F1747" s="77">
        <f>IFERROR(__xludf.DUMMYFUNCTION("""COMPUTED_VALUE"""),1926.0)</f>
        <v>1926</v>
      </c>
      <c r="G1747" s="77">
        <f>IFERROR(__xludf.DUMMYFUNCTION("""COMPUTED_VALUE"""),18.0)</f>
        <v>18</v>
      </c>
      <c r="H1747" s="77">
        <f>IFERROR(__xludf.DUMMYFUNCTION("""COMPUTED_VALUE"""),25.0)</f>
        <v>25</v>
      </c>
      <c r="I1747" s="77">
        <f>IFERROR(__xludf.DUMMYFUNCTION("""COMPUTED_VALUE"""),100.0)</f>
        <v>100</v>
      </c>
      <c r="J1747" s="73"/>
      <c r="K1747" s="73"/>
      <c r="L1747" s="73"/>
      <c r="M1747" s="77">
        <f>IFERROR(__xludf.DUMMYFUNCTION("""COMPUTED_VALUE"""),0.1)</f>
        <v>0.1</v>
      </c>
      <c r="N1747" s="77">
        <f>IFERROR(__xludf.DUMMYFUNCTION("""COMPUTED_VALUE"""),1.0)</f>
        <v>1</v>
      </c>
      <c r="O1747" s="49"/>
      <c r="P1747" s="49" t="str">
        <f>IFERROR(__xludf.DUMMYFUNCTION("""COMPUTED_VALUE"""),"Offset")</f>
        <v>Offset</v>
      </c>
      <c r="Q1747" s="49" t="str">
        <f>IFERROR(__xludf.DUMMYFUNCTION("""COMPUTED_VALUE"""),"Packaging")</f>
        <v>Packaging</v>
      </c>
      <c r="R1747" s="49" t="str">
        <f>IFERROR(__xludf.DUMMYFUNCTION("""COMPUTED_VALUE"""),"Misc")</f>
        <v>Misc</v>
      </c>
    </row>
    <row r="1748">
      <c r="A1748" s="156" t="str">
        <f>IFERROR(__xludf.DUMMYFUNCTION("""COMPUTED_VALUE"""),"https://drive.google.com/open?id=1h8OwU-0tNTzh46eyVn2Q8FzlOZDzDIhj&amp;authuser=jay.agg%40gmail.com&amp;usp=drive_fs")</f>
        <v>https://drive.google.com/open?id=1h8OwU-0tNTzh46eyVn2Q8FzlOZDzDIhj&amp;authuser=jay.agg%40gmail.com&amp;usp=drive_fs</v>
      </c>
      <c r="B1748" s="73" t="str">
        <f>IFERROR(__xludf.DUMMYFUNCTION("""COMPUTED_VALUE"""),"Misc")</f>
        <v>Misc</v>
      </c>
      <c r="C1748" s="73" t="str">
        <f>IFERROR(__xludf.DUMMYFUNCTION("""COMPUTED_VALUE"""),"Misc")</f>
        <v>Misc</v>
      </c>
      <c r="D1748" s="73" t="str">
        <f>IFERROR(__xludf.DUMMYFUNCTION("""COMPUTED_VALUE"""),"15.5*15.5*78 mm | 0.6*0.6*3 inch")</f>
        <v>15.5*15.5*78 mm | 0.6*0.6*3 inch</v>
      </c>
      <c r="E1748" s="77">
        <f>IFERROR(__xludf.DUMMYFUNCTION("""COMPUTED_VALUE"""),36.0)</f>
        <v>36</v>
      </c>
      <c r="F1748" s="77">
        <f>IFERROR(__xludf.DUMMYFUNCTION("""COMPUTED_VALUE"""),1926.0)</f>
        <v>1926</v>
      </c>
      <c r="G1748" s="77">
        <f>IFERROR(__xludf.DUMMYFUNCTION("""COMPUTED_VALUE"""),18.0)</f>
        <v>18</v>
      </c>
      <c r="H1748" s="77">
        <f>IFERROR(__xludf.DUMMYFUNCTION("""COMPUTED_VALUE"""),25.0)</f>
        <v>25</v>
      </c>
      <c r="I1748" s="77">
        <f>IFERROR(__xludf.DUMMYFUNCTION("""COMPUTED_VALUE"""),100.0)</f>
        <v>100</v>
      </c>
      <c r="J1748" s="73"/>
      <c r="K1748" s="73"/>
      <c r="L1748" s="73"/>
      <c r="M1748" s="77">
        <f>IFERROR(__xludf.DUMMYFUNCTION("""COMPUTED_VALUE"""),0.1)</f>
        <v>0.1</v>
      </c>
      <c r="N1748" s="77">
        <f>IFERROR(__xludf.DUMMYFUNCTION("""COMPUTED_VALUE"""),1.0)</f>
        <v>1</v>
      </c>
      <c r="O1748" s="49"/>
      <c r="P1748" s="49" t="str">
        <f>IFERROR(__xludf.DUMMYFUNCTION("""COMPUTED_VALUE"""),"Offset")</f>
        <v>Offset</v>
      </c>
      <c r="Q1748" s="49" t="str">
        <f>IFERROR(__xludf.DUMMYFUNCTION("""COMPUTED_VALUE"""),"Packaging")</f>
        <v>Packaging</v>
      </c>
      <c r="R1748" s="49" t="str">
        <f>IFERROR(__xludf.DUMMYFUNCTION("""COMPUTED_VALUE"""),"Misc")</f>
        <v>Misc</v>
      </c>
    </row>
    <row r="1749">
      <c r="A1749" s="156" t="str">
        <f>IFERROR(__xludf.DUMMYFUNCTION("""COMPUTED_VALUE"""),"https://drive.google.com/open?id=1DULiFApXwniSi3bBBRNBTx4tYxp9J1Lr&amp;authuser=jay.agg%40gmail.com&amp;usp=drive_fs")</f>
        <v>https://drive.google.com/open?id=1DULiFApXwniSi3bBBRNBTx4tYxp9J1Lr&amp;authuser=jay.agg%40gmail.com&amp;usp=drive_fs</v>
      </c>
      <c r="B1749" s="73" t="str">
        <f>IFERROR(__xludf.DUMMYFUNCTION("""COMPUTED_VALUE"""),"Misc")</f>
        <v>Misc</v>
      </c>
      <c r="C1749" s="73" t="str">
        <f>IFERROR(__xludf.DUMMYFUNCTION("""COMPUTED_VALUE"""),"Mirror")</f>
        <v>Mirror</v>
      </c>
      <c r="D1749" s="73" t="str">
        <f>IFERROR(__xludf.DUMMYFUNCTION("""COMPUTED_VALUE"""),"185*35*280 mm | 7.3*1.4*11 inch | 30*18*5")</f>
        <v>185*35*280 mm | 7.3*1.4*11 inch | 30*18*5</v>
      </c>
      <c r="E1749" s="77">
        <f>IFERROR(__xludf.DUMMYFUNCTION("""COMPUTED_VALUE"""),2.0)</f>
        <v>2</v>
      </c>
      <c r="F1749" s="77">
        <f>IFERROR(__xludf.DUMMYFUNCTION("""COMPUTED_VALUE"""),2029.0)</f>
        <v>2029</v>
      </c>
      <c r="G1749" s="77">
        <f>IFERROR(__xludf.DUMMYFUNCTION("""COMPUTED_VALUE"""),20.0)</f>
        <v>20</v>
      </c>
      <c r="H1749" s="77">
        <f>IFERROR(__xludf.DUMMYFUNCTION("""COMPUTED_VALUE"""),30.0)</f>
        <v>30</v>
      </c>
      <c r="I1749" s="77">
        <f>IFERROR(__xludf.DUMMYFUNCTION("""COMPUTED_VALUE"""),100.0)</f>
        <v>100</v>
      </c>
      <c r="J1749" s="73"/>
      <c r="K1749" s="73"/>
      <c r="L1749" s="73"/>
      <c r="M1749" s="77">
        <f>IFERROR(__xludf.DUMMYFUNCTION("""COMPUTED_VALUE"""),0.1)</f>
        <v>0.1</v>
      </c>
      <c r="N1749" s="77">
        <f>IFERROR(__xludf.DUMMYFUNCTION("""COMPUTED_VALUE"""),1.0)</f>
        <v>1</v>
      </c>
      <c r="O1749" s="49"/>
      <c r="P1749" s="49" t="str">
        <f>IFERROR(__xludf.DUMMYFUNCTION("""COMPUTED_VALUE"""),"Offset")</f>
        <v>Offset</v>
      </c>
      <c r="Q1749" s="49" t="str">
        <f>IFERROR(__xludf.DUMMYFUNCTION("""COMPUTED_VALUE"""),"Packaging")</f>
        <v>Packaging</v>
      </c>
      <c r="R1749" s="49" t="str">
        <f>IFERROR(__xludf.DUMMYFUNCTION("""COMPUTED_VALUE"""),"Misc")</f>
        <v>Misc</v>
      </c>
    </row>
    <row r="1750">
      <c r="A1750" s="156" t="str">
        <f>IFERROR(__xludf.DUMMYFUNCTION("""COMPUTED_VALUE"""),"https://drive.google.com/open?id=1GbLDUpYtp1lgw41jfeYosIhguW0AGhPl&amp;authuser=jay.agg%40gmail.com&amp;usp=drive_fs")</f>
        <v>https://drive.google.com/open?id=1GbLDUpYtp1lgw41jfeYosIhguW0AGhPl&amp;authuser=jay.agg%40gmail.com&amp;usp=drive_fs</v>
      </c>
      <c r="B1750" s="73" t="str">
        <f>IFERROR(__xludf.DUMMYFUNCTION("""COMPUTED_VALUE"""),"Misc")</f>
        <v>Misc</v>
      </c>
      <c r="C1750" s="73" t="str">
        <f>IFERROR(__xludf.DUMMYFUNCTION("""COMPUTED_VALUE"""),"Misc")</f>
        <v>Misc</v>
      </c>
      <c r="D1750" s="73" t="str">
        <f>IFERROR(__xludf.DUMMYFUNCTION("""COMPUTED_VALUE"""),"105*40*215 mm | 4.1*1.5*8.5 inch IL")</f>
        <v>105*40*215 mm | 4.1*1.5*8.5 inch IL</v>
      </c>
      <c r="E1750" s="77">
        <f>IFERROR(__xludf.DUMMYFUNCTION("""COMPUTED_VALUE"""),2.0)</f>
        <v>2</v>
      </c>
      <c r="F1750" s="77">
        <f>IFERROR(__xludf.DUMMYFUNCTION("""COMPUTED_VALUE"""),1926.0)</f>
        <v>1926</v>
      </c>
      <c r="G1750" s="77">
        <f>IFERROR(__xludf.DUMMYFUNCTION("""COMPUTED_VALUE"""),12.0)</f>
        <v>12</v>
      </c>
      <c r="H1750" s="77">
        <f>IFERROR(__xludf.DUMMYFUNCTION("""COMPUTED_VALUE"""),23.0)</f>
        <v>23</v>
      </c>
      <c r="I1750" s="77">
        <f>IFERROR(__xludf.DUMMYFUNCTION("""COMPUTED_VALUE"""),100.0)</f>
        <v>100</v>
      </c>
      <c r="J1750" s="73"/>
      <c r="K1750" s="73"/>
      <c r="L1750" s="73"/>
      <c r="M1750" s="77">
        <f>IFERROR(__xludf.DUMMYFUNCTION("""COMPUTED_VALUE"""),0.1)</f>
        <v>0.1</v>
      </c>
      <c r="N1750" s="77">
        <f>IFERROR(__xludf.DUMMYFUNCTION("""COMPUTED_VALUE"""),1.0)</f>
        <v>1</v>
      </c>
      <c r="O1750" s="49"/>
      <c r="P1750" s="49" t="str">
        <f>IFERROR(__xludf.DUMMYFUNCTION("""COMPUTED_VALUE"""),"Offset")</f>
        <v>Offset</v>
      </c>
      <c r="Q1750" s="49" t="str">
        <f>IFERROR(__xludf.DUMMYFUNCTION("""COMPUTED_VALUE"""),"Packaging")</f>
        <v>Packaging</v>
      </c>
      <c r="R1750" s="49" t="str">
        <f>IFERROR(__xludf.DUMMYFUNCTION("""COMPUTED_VALUE"""),"Misc")</f>
        <v>Misc</v>
      </c>
    </row>
    <row r="1751">
      <c r="A1751" s="156" t="str">
        <f>IFERROR(__xludf.DUMMYFUNCTION("""COMPUTED_VALUE"""),"https://drive.google.com/open?id=1-w1hWAXoT234ne2Xvkwpd4KdEaNX_uhC&amp;authuser=jay.agg%40gmail.com&amp;usp=drive_fs")</f>
        <v>https://drive.google.com/open?id=1-w1hWAXoT234ne2Xvkwpd4KdEaNX_uhC&amp;authuser=jay.agg%40gmail.com&amp;usp=drive_fs</v>
      </c>
      <c r="B1751" s="73" t="str">
        <f>IFERROR(__xludf.DUMMYFUNCTION("""COMPUTED_VALUE"""),"Purifier")</f>
        <v>Purifier</v>
      </c>
      <c r="C1751" s="73" t="str">
        <f>IFERROR(__xludf.DUMMYFUNCTION("""COMPUTED_VALUE"""),"Misc")</f>
        <v>Misc</v>
      </c>
      <c r="D1751" s="73" t="str">
        <f>IFERROR(__xludf.DUMMYFUNCTION("""COMPUTED_VALUE"""),"75*75*305 mm | 3*3*12 inch | 22*26")</f>
        <v>75*75*305 mm | 3*3*12 inch | 22*26</v>
      </c>
      <c r="E1751" s="77">
        <f>IFERROR(__xludf.DUMMYFUNCTION("""COMPUTED_VALUE"""),2.0)</f>
        <v>2</v>
      </c>
      <c r="F1751" s="77">
        <f>IFERROR(__xludf.DUMMYFUNCTION("""COMPUTED_VALUE"""),2029.0)</f>
        <v>2029</v>
      </c>
      <c r="G1751" s="77">
        <f>IFERROR(__xludf.DUMMYFUNCTION("""COMPUTED_VALUE"""),20.0)</f>
        <v>20</v>
      </c>
      <c r="H1751" s="77">
        <f>IFERROR(__xludf.DUMMYFUNCTION("""COMPUTED_VALUE"""),28.0)</f>
        <v>28</v>
      </c>
      <c r="I1751" s="77">
        <f>IFERROR(__xludf.DUMMYFUNCTION("""COMPUTED_VALUE"""),100.0)</f>
        <v>100</v>
      </c>
      <c r="J1751" s="73"/>
      <c r="K1751" s="73"/>
      <c r="L1751" s="73"/>
      <c r="M1751" s="77">
        <f>IFERROR(__xludf.DUMMYFUNCTION("""COMPUTED_VALUE"""),0.1)</f>
        <v>0.1</v>
      </c>
      <c r="N1751" s="77">
        <f>IFERROR(__xludf.DUMMYFUNCTION("""COMPUTED_VALUE"""),1.0)</f>
        <v>1</v>
      </c>
      <c r="O1751" s="49"/>
      <c r="P1751" s="49" t="str">
        <f>IFERROR(__xludf.DUMMYFUNCTION("""COMPUTED_VALUE"""),"Offset")</f>
        <v>Offset</v>
      </c>
      <c r="Q1751" s="49" t="str">
        <f>IFERROR(__xludf.DUMMYFUNCTION("""COMPUTED_VALUE"""),"Packaging")</f>
        <v>Packaging</v>
      </c>
      <c r="R1751" s="49" t="str">
        <f>IFERROR(__xludf.DUMMYFUNCTION("""COMPUTED_VALUE"""),"Purifier")</f>
        <v>Purifier</v>
      </c>
    </row>
    <row r="1752">
      <c r="A1752" s="156" t="str">
        <f>IFERROR(__xludf.DUMMYFUNCTION("""COMPUTED_VALUE"""),"https://drive.google.com/open?id=101XJFfEc9DGTHke2DImduGe-Rc5g75_t&amp;authuser=jay.agg%40gmail.com&amp;usp=drive_fs")</f>
        <v>https://drive.google.com/open?id=101XJFfEc9DGTHke2DImduGe-Rc5g75_t&amp;authuser=jay.agg%40gmail.com&amp;usp=drive_fs</v>
      </c>
      <c r="B1752" s="73" t="str">
        <f>IFERROR(__xludf.DUMMYFUNCTION("""COMPUTED_VALUE"""),"Purifier")</f>
        <v>Purifier</v>
      </c>
      <c r="C1752" s="73" t="str">
        <f>IFERROR(__xludf.DUMMYFUNCTION("""COMPUTED_VALUE"""),"Misc")</f>
        <v>Misc</v>
      </c>
      <c r="D1752" s="73" t="str">
        <f>IFERROR(__xludf.DUMMYFUNCTION("""COMPUTED_VALUE"""),"315*76*257 mm | 10.125*3*12.37 inch LB | 32*17")</f>
        <v>315*76*257 mm | 10.125*3*12.37 inch LB | 32*17</v>
      </c>
      <c r="E1752" s="77">
        <f>IFERROR(__xludf.DUMMYFUNCTION("""COMPUTED_VALUE"""),1.0)</f>
        <v>1</v>
      </c>
      <c r="F1752" s="77">
        <f>IFERROR(__xludf.DUMMYFUNCTION("""COMPUTED_VALUE"""),2840.0)</f>
        <v>2840</v>
      </c>
      <c r="G1752" s="77">
        <f>IFERROR(__xludf.DUMMYFUNCTION("""COMPUTED_VALUE"""),32.0)</f>
        <v>32</v>
      </c>
      <c r="H1752" s="77">
        <f>IFERROR(__xludf.DUMMYFUNCTION("""COMPUTED_VALUE"""),17.0)</f>
        <v>17</v>
      </c>
      <c r="I1752" s="77">
        <f>IFERROR(__xludf.DUMMYFUNCTION("""COMPUTED_VALUE"""),100.0)</f>
        <v>100</v>
      </c>
      <c r="J1752" s="73"/>
      <c r="K1752" s="73"/>
      <c r="L1752" s="73">
        <f>IFERROR(__xludf.DUMMYFUNCTION("""COMPUTED_VALUE"""),1.0)</f>
        <v>1</v>
      </c>
      <c r="M1752" s="77">
        <f>IFERROR(__xludf.DUMMYFUNCTION("""COMPUTED_VALUE"""),0.1)</f>
        <v>0.1</v>
      </c>
      <c r="N1752" s="77">
        <f>IFERROR(__xludf.DUMMYFUNCTION("""COMPUTED_VALUE"""),1.0)</f>
        <v>1</v>
      </c>
      <c r="O1752" s="49"/>
      <c r="P1752" s="49" t="str">
        <f>IFERROR(__xludf.DUMMYFUNCTION("""COMPUTED_VALUE"""),"Offset")</f>
        <v>Offset</v>
      </c>
      <c r="Q1752" s="49" t="str">
        <f>IFERROR(__xludf.DUMMYFUNCTION("""COMPUTED_VALUE"""),"Packaging")</f>
        <v>Packaging</v>
      </c>
      <c r="R1752" s="49" t="str">
        <f>IFERROR(__xludf.DUMMYFUNCTION("""COMPUTED_VALUE"""),"Purifier")</f>
        <v>Purifier</v>
      </c>
    </row>
    <row r="1753">
      <c r="A1753" s="156" t="str">
        <f>IFERROR(__xludf.DUMMYFUNCTION("""COMPUTED_VALUE"""),"https://drive.google.com/open?id=13RYBkSbsngpvtNKhUWzX7zitlsiA7dXy&amp;authuser=jay.agg%40gmail.com&amp;usp=drive_fs")</f>
        <v>https://drive.google.com/open?id=13RYBkSbsngpvtNKhUWzX7zitlsiA7dXy&amp;authuser=jay.agg%40gmail.com&amp;usp=drive_fs</v>
      </c>
      <c r="B1753" s="73" t="str">
        <f>IFERROR(__xludf.DUMMYFUNCTION("""COMPUTED_VALUE"""),"Misc")</f>
        <v>Misc</v>
      </c>
      <c r="C1753" s="73" t="str">
        <f>IFERROR(__xludf.DUMMYFUNCTION("""COMPUTED_VALUE"""),"Rakhi")</f>
        <v>Rakhi</v>
      </c>
      <c r="D1753" s="73" t="str">
        <f>IFERROR(__xludf.DUMMYFUNCTION("""COMPUTED_VALUE"""),"Top 218*129*23 mm | 8.5*5*1 inch")</f>
        <v>Top 218*129*23 mm | 8.5*5*1 inch</v>
      </c>
      <c r="E1753" s="77">
        <f>IFERROR(__xludf.DUMMYFUNCTION("""COMPUTED_VALUE"""),2.0)</f>
        <v>2</v>
      </c>
      <c r="F1753" s="77">
        <f>IFERROR(__xludf.DUMMYFUNCTION("""COMPUTED_VALUE"""),1926.0)</f>
        <v>1926</v>
      </c>
      <c r="G1753" s="77">
        <f>IFERROR(__xludf.DUMMYFUNCTION("""COMPUTED_VALUE"""),19.0)</f>
        <v>19</v>
      </c>
      <c r="H1753" s="77">
        <f>IFERROR(__xludf.DUMMYFUNCTION("""COMPUTED_VALUE"""),26.0)</f>
        <v>26</v>
      </c>
      <c r="I1753" s="77">
        <f>IFERROR(__xludf.DUMMYFUNCTION("""COMPUTED_VALUE"""),100.0)</f>
        <v>100</v>
      </c>
      <c r="J1753" s="73"/>
      <c r="K1753" s="73"/>
      <c r="L1753" s="73"/>
      <c r="M1753" s="77"/>
      <c r="N1753" s="77">
        <f>IFERROR(__xludf.DUMMYFUNCTION("""COMPUTED_VALUE"""),1.0)</f>
        <v>1</v>
      </c>
      <c r="O1753" s="49"/>
      <c r="P1753" s="49" t="str">
        <f>IFERROR(__xludf.DUMMYFUNCTION("""COMPUTED_VALUE"""),"Offset")</f>
        <v>Offset</v>
      </c>
      <c r="Q1753" s="49" t="str">
        <f>IFERROR(__xludf.DUMMYFUNCTION("""COMPUTED_VALUE"""),"Packaging")</f>
        <v>Packaging</v>
      </c>
      <c r="R1753" s="49" t="str">
        <f>IFERROR(__xludf.DUMMYFUNCTION("""COMPUTED_VALUE"""),"Misc")</f>
        <v>Misc</v>
      </c>
    </row>
    <row r="1754">
      <c r="A1754" s="156" t="str">
        <f>IFERROR(__xludf.DUMMYFUNCTION("""COMPUTED_VALUE"""),"https://drive.google.com/open?id=13RYBkSbsngpvtNKhUWzX7zitlsiA7dXy&amp;authuser=jay.agg%40gmail.com&amp;usp=drive_fs")</f>
        <v>https://drive.google.com/open?id=13RYBkSbsngpvtNKhUWzX7zitlsiA7dXy&amp;authuser=jay.agg%40gmail.com&amp;usp=drive_fs</v>
      </c>
      <c r="B1754" s="73" t="str">
        <f>IFERROR(__xludf.DUMMYFUNCTION("""COMPUTED_VALUE"""),"Misc")</f>
        <v>Misc</v>
      </c>
      <c r="C1754" s="73" t="str">
        <f>IFERROR(__xludf.DUMMYFUNCTION("""COMPUTED_VALUE"""),"Rakhi")</f>
        <v>Rakhi</v>
      </c>
      <c r="D1754" s="73" t="str">
        <f>IFERROR(__xludf.DUMMYFUNCTION("""COMPUTED_VALUE"""),"Bottom 218*129*23 mm | 8.5*5*1 inch")</f>
        <v>Bottom 218*129*23 mm | 8.5*5*1 inch</v>
      </c>
      <c r="E1754" s="77">
        <f>IFERROR(__xludf.DUMMYFUNCTION("""COMPUTED_VALUE"""),2.0)</f>
        <v>2</v>
      </c>
      <c r="F1754" s="77">
        <f>IFERROR(__xludf.DUMMYFUNCTION("""COMPUTED_VALUE"""),1926.0)</f>
        <v>1926</v>
      </c>
      <c r="G1754" s="77">
        <f>IFERROR(__xludf.DUMMYFUNCTION("""COMPUTED_VALUE"""),19.0)</f>
        <v>19</v>
      </c>
      <c r="H1754" s="77">
        <f>IFERROR(__xludf.DUMMYFUNCTION("""COMPUTED_VALUE"""),26.0)</f>
        <v>26</v>
      </c>
      <c r="I1754" s="77">
        <f>IFERROR(__xludf.DUMMYFUNCTION("""COMPUTED_VALUE"""),100.0)</f>
        <v>100</v>
      </c>
      <c r="J1754" s="73"/>
      <c r="K1754" s="73"/>
      <c r="L1754" s="73"/>
      <c r="M1754" s="77"/>
      <c r="N1754" s="77">
        <f>IFERROR(__xludf.DUMMYFUNCTION("""COMPUTED_VALUE"""),1.0)</f>
        <v>1</v>
      </c>
      <c r="O1754" s="49"/>
      <c r="P1754" s="49" t="str">
        <f>IFERROR(__xludf.DUMMYFUNCTION("""COMPUTED_VALUE"""),"Offset")</f>
        <v>Offset</v>
      </c>
      <c r="Q1754" s="49" t="str">
        <f>IFERROR(__xludf.DUMMYFUNCTION("""COMPUTED_VALUE"""),"Packaging")</f>
        <v>Packaging</v>
      </c>
      <c r="R1754" s="49" t="str">
        <f>IFERROR(__xludf.DUMMYFUNCTION("""COMPUTED_VALUE"""),"Misc")</f>
        <v>Misc</v>
      </c>
    </row>
    <row r="1755">
      <c r="A1755" s="156" t="str">
        <f>IFERROR(__xludf.DUMMYFUNCTION("""COMPUTED_VALUE"""),"https://drive.google.com/open?id=14ym6rDpnw3eKaCM7-3-64f8qYkIwEa21&amp;usp=drive_fs")</f>
        <v>https://drive.google.com/open?id=14ym6rDpnw3eKaCM7-3-64f8qYkIwEa21&amp;usp=drive_fs</v>
      </c>
      <c r="B1755" s="73" t="str">
        <f>IFERROR(__xludf.DUMMYFUNCTION("""COMPUTED_VALUE"""),"Misc")</f>
        <v>Misc</v>
      </c>
      <c r="C1755" s="73" t="str">
        <f>IFERROR(__xludf.DUMMYFUNCTION("""COMPUTED_VALUE"""),"Needle")</f>
        <v>Needle</v>
      </c>
      <c r="D1755" s="73" t="str">
        <f>IFERROR(__xludf.DUMMYFUNCTION("""COMPUTED_VALUE"""),"39*36.5*3.5 mm | 1.5*1.4*0.1 inch")</f>
        <v>39*36.5*3.5 mm | 1.5*1.4*0.1 inch</v>
      </c>
      <c r="E1755" s="77">
        <f>IFERROR(__xludf.DUMMYFUNCTION("""COMPUTED_VALUE"""),60.0)</f>
        <v>60</v>
      </c>
      <c r="F1755" s="77">
        <f>IFERROR(__xludf.DUMMYFUNCTION("""COMPUTED_VALUE"""),1926.0)</f>
        <v>1926</v>
      </c>
      <c r="G1755" s="77">
        <f>IFERROR(__xludf.DUMMYFUNCTION("""COMPUTED_VALUE"""),18.0)</f>
        <v>18</v>
      </c>
      <c r="H1755" s="77">
        <f>IFERROR(__xludf.DUMMYFUNCTION("""COMPUTED_VALUE"""),23.0)</f>
        <v>23</v>
      </c>
      <c r="I1755" s="77">
        <f>IFERROR(__xludf.DUMMYFUNCTION("""COMPUTED_VALUE"""),100.0)</f>
        <v>100</v>
      </c>
      <c r="J1755" s="73"/>
      <c r="K1755" s="73"/>
      <c r="L1755" s="73"/>
      <c r="M1755" s="77">
        <f>IFERROR(__xludf.DUMMYFUNCTION("""COMPUTED_VALUE"""),0.4)</f>
        <v>0.4</v>
      </c>
      <c r="N1755" s="77">
        <f>IFERROR(__xludf.DUMMYFUNCTION("""COMPUTED_VALUE"""),1.0)</f>
        <v>1</v>
      </c>
      <c r="O1755" s="49"/>
      <c r="P1755" s="49" t="str">
        <f>IFERROR(__xludf.DUMMYFUNCTION("""COMPUTED_VALUE"""),"Offset")</f>
        <v>Offset</v>
      </c>
      <c r="Q1755" s="49" t="str">
        <f>IFERROR(__xludf.DUMMYFUNCTION("""COMPUTED_VALUE"""),"Packaging")</f>
        <v>Packaging</v>
      </c>
      <c r="R1755" s="49" t="str">
        <f>IFERROR(__xludf.DUMMYFUNCTION("""COMPUTED_VALUE"""),"Misc")</f>
        <v>Misc</v>
      </c>
    </row>
    <row r="1756">
      <c r="A1756" s="156" t="str">
        <f>IFERROR(__xludf.DUMMYFUNCTION("""COMPUTED_VALUE"""),"https://drive.google.com/open?id=1K8kP9jAp6XdK2mKmINJiZiTPSnGVzvg_&amp;usp=drive_fs")</f>
        <v>https://drive.google.com/open?id=1K8kP9jAp6XdK2mKmINJiZiTPSnGVzvg_&amp;usp=drive_fs</v>
      </c>
      <c r="B1756" s="73" t="str">
        <f>IFERROR(__xludf.DUMMYFUNCTION("""COMPUTED_VALUE"""),"Misc")</f>
        <v>Misc</v>
      </c>
      <c r="C1756" s="73" t="str">
        <f>IFERROR(__xludf.DUMMYFUNCTION("""COMPUTED_VALUE"""),"Razor")</f>
        <v>Razor</v>
      </c>
      <c r="D1756" s="73" t="str">
        <f>IFERROR(__xludf.DUMMYFUNCTION("""COMPUTED_VALUE"""),"60*11*155 mm | 2.3*0.4*6.1 inch")</f>
        <v>60*11*155 mm | 2.3*0.4*6.1 inch</v>
      </c>
      <c r="E1756" s="77">
        <f>IFERROR(__xludf.DUMMYFUNCTION("""COMPUTED_VALUE"""),8.0)</f>
        <v>8</v>
      </c>
      <c r="F1756" s="77">
        <f>IFERROR(__xludf.DUMMYFUNCTION("""COMPUTED_VALUE"""),1926.0)</f>
        <v>1926</v>
      </c>
      <c r="G1756" s="77">
        <f>IFERROR(__xludf.DUMMYFUNCTION("""COMPUTED_VALUE"""),18.0)</f>
        <v>18</v>
      </c>
      <c r="H1756" s="77">
        <f>IFERROR(__xludf.DUMMYFUNCTION("""COMPUTED_VALUE"""),25.0)</f>
        <v>25</v>
      </c>
      <c r="I1756" s="77">
        <f>IFERROR(__xludf.DUMMYFUNCTION("""COMPUTED_VALUE"""),100.0)</f>
        <v>100</v>
      </c>
      <c r="J1756" s="73"/>
      <c r="K1756" s="73"/>
      <c r="L1756" s="73"/>
      <c r="M1756" s="77">
        <f>IFERROR(__xludf.DUMMYFUNCTION("""COMPUTED_VALUE"""),0.1)</f>
        <v>0.1</v>
      </c>
      <c r="N1756" s="77">
        <f>IFERROR(__xludf.DUMMYFUNCTION("""COMPUTED_VALUE"""),1.0)</f>
        <v>1</v>
      </c>
      <c r="O1756" s="49"/>
      <c r="P1756" s="49" t="str">
        <f>IFERROR(__xludf.DUMMYFUNCTION("""COMPUTED_VALUE"""),"Offset")</f>
        <v>Offset</v>
      </c>
      <c r="Q1756" s="49" t="str">
        <f>IFERROR(__xludf.DUMMYFUNCTION("""COMPUTED_VALUE"""),"Packaging")</f>
        <v>Packaging</v>
      </c>
      <c r="R1756" s="49" t="str">
        <f>IFERROR(__xludf.DUMMYFUNCTION("""COMPUTED_VALUE"""),"Misc")</f>
        <v>Misc</v>
      </c>
    </row>
    <row r="1757">
      <c r="A1757" s="156" t="str">
        <f>IFERROR(__xludf.DUMMYFUNCTION("""COMPUTED_VALUE"""),"https://drive.google.com/open?id=1K9CpkbAu-L10QDbsDHQ0XKeLFaB9TnF2&amp;usp=drive_fs")</f>
        <v>https://drive.google.com/open?id=1K9CpkbAu-L10QDbsDHQ0XKeLFaB9TnF2&amp;usp=drive_fs</v>
      </c>
      <c r="B1757" s="73" t="str">
        <f>IFERROR(__xludf.DUMMYFUNCTION("""COMPUTED_VALUE"""),"Misc")</f>
        <v>Misc</v>
      </c>
      <c r="C1757" s="73" t="str">
        <f>IFERROR(__xludf.DUMMYFUNCTION("""COMPUTED_VALUE"""),"Razor")</f>
        <v>Razor</v>
      </c>
      <c r="D1757" s="73" t="str">
        <f>IFERROR(__xludf.DUMMYFUNCTION("""COMPUTED_VALUE"""),"Tray 60*11*155 mm | 2.3*0.4*6.1 inch")</f>
        <v>Tray 60*11*155 mm | 2.3*0.4*6.1 inch</v>
      </c>
      <c r="E1757" s="77">
        <f>IFERROR(__xludf.DUMMYFUNCTION("""COMPUTED_VALUE"""),8.0)</f>
        <v>8</v>
      </c>
      <c r="F1757" s="77">
        <f>IFERROR(__xludf.DUMMYFUNCTION("""COMPUTED_VALUE"""),1926.0)</f>
        <v>1926</v>
      </c>
      <c r="G1757" s="77">
        <f>IFERROR(__xludf.DUMMYFUNCTION("""COMPUTED_VALUE"""),12.0)</f>
        <v>12</v>
      </c>
      <c r="H1757" s="77">
        <f>IFERROR(__xludf.DUMMYFUNCTION("""COMPUTED_VALUE"""),13.0)</f>
        <v>13</v>
      </c>
      <c r="I1757" s="77">
        <f>IFERROR(__xludf.DUMMYFUNCTION("""COMPUTED_VALUE"""),100.0)</f>
        <v>100</v>
      </c>
      <c r="J1757" s="73"/>
      <c r="K1757" s="73"/>
      <c r="L1757" s="73"/>
      <c r="M1757" s="77">
        <f>IFERROR(__xludf.DUMMYFUNCTION("""COMPUTED_VALUE"""),0.1)</f>
        <v>0.1</v>
      </c>
      <c r="N1757" s="77">
        <f>IFERROR(__xludf.DUMMYFUNCTION("""COMPUTED_VALUE"""),1.0)</f>
        <v>1</v>
      </c>
      <c r="O1757" s="49"/>
      <c r="P1757" s="49" t="str">
        <f>IFERROR(__xludf.DUMMYFUNCTION("""COMPUTED_VALUE"""),"Offset")</f>
        <v>Offset</v>
      </c>
      <c r="Q1757" s="49" t="str">
        <f>IFERROR(__xludf.DUMMYFUNCTION("""COMPUTED_VALUE"""),"Packaging")</f>
        <v>Packaging</v>
      </c>
      <c r="R1757" s="49" t="str">
        <f>IFERROR(__xludf.DUMMYFUNCTION("""COMPUTED_VALUE"""),"Misc")</f>
        <v>Misc</v>
      </c>
    </row>
    <row r="1758">
      <c r="A1758" s="73"/>
      <c r="B1758" s="73" t="str">
        <f>IFERROR(__xludf.DUMMYFUNCTION("""COMPUTED_VALUE"""),"Misc")</f>
        <v>Misc</v>
      </c>
      <c r="C1758" s="73" t="str">
        <f>IFERROR(__xludf.DUMMYFUNCTION("""COMPUTED_VALUE"""),"Misc")</f>
        <v>Misc</v>
      </c>
      <c r="D1758" s="73" t="str">
        <f>IFERROR(__xludf.DUMMYFUNCTION("""COMPUTED_VALUE"""),"240*240*100 mm | 9.5*9.5*4 inch | 28*29")</f>
        <v>240*240*100 mm | 9.5*9.5*4 inch | 28*29</v>
      </c>
      <c r="E1758" s="77">
        <f>IFERROR(__xludf.DUMMYFUNCTION("""COMPUTED_VALUE"""),1.0)</f>
        <v>1</v>
      </c>
      <c r="F1758" s="77">
        <f>IFERROR(__xludf.DUMMYFUNCTION("""COMPUTED_VALUE"""),2840.0)</f>
        <v>2840</v>
      </c>
      <c r="G1758" s="77">
        <f>IFERROR(__xludf.DUMMYFUNCTION("""COMPUTED_VALUE"""),28.0)</f>
        <v>28</v>
      </c>
      <c r="H1758" s="77">
        <f>IFERROR(__xludf.DUMMYFUNCTION("""COMPUTED_VALUE"""),30.0)</f>
        <v>30</v>
      </c>
      <c r="I1758" s="77">
        <f>IFERROR(__xludf.DUMMYFUNCTION("""COMPUTED_VALUE"""),100.0)</f>
        <v>100</v>
      </c>
      <c r="J1758" s="73"/>
      <c r="K1758" s="73"/>
      <c r="L1758" s="73"/>
      <c r="M1758" s="77"/>
      <c r="N1758" s="77">
        <f>IFERROR(__xludf.DUMMYFUNCTION("""COMPUTED_VALUE"""),1.0)</f>
        <v>1</v>
      </c>
      <c r="O1758" s="49"/>
      <c r="P1758" s="49" t="str">
        <f>IFERROR(__xludf.DUMMYFUNCTION("""COMPUTED_VALUE"""),"Offset")</f>
        <v>Offset</v>
      </c>
      <c r="Q1758" s="49" t="str">
        <f>IFERROR(__xludf.DUMMYFUNCTION("""COMPUTED_VALUE"""),"Packaging")</f>
        <v>Packaging</v>
      </c>
      <c r="R1758" s="49" t="str">
        <f>IFERROR(__xludf.DUMMYFUNCTION("""COMPUTED_VALUE"""),"Misc")</f>
        <v>Misc</v>
      </c>
    </row>
    <row r="1759">
      <c r="A1759" s="156" t="str">
        <f>IFERROR(__xludf.DUMMYFUNCTION("""COMPUTED_VALUE"""),"https://drive.google.com/open?id=12c0lphAkGg2uL6LLvhXHT1VhtUqkRl6j&amp;usp=drive_fs")</f>
        <v>https://drive.google.com/open?id=12c0lphAkGg2uL6LLvhXHT1VhtUqkRl6j&amp;usp=drive_fs</v>
      </c>
      <c r="B1759" s="73" t="str">
        <f>IFERROR(__xludf.DUMMYFUNCTION("""COMPUTED_VALUE"""),"Misc")</f>
        <v>Misc</v>
      </c>
      <c r="C1759" s="73" t="str">
        <f>IFERROR(__xludf.DUMMYFUNCTION("""COMPUTED_VALUE"""),"Difusser")</f>
        <v>Difusser</v>
      </c>
      <c r="D1759" s="73" t="str">
        <f>IFERROR(__xludf.DUMMYFUNCTION("""COMPUTED_VALUE"""),"125*95*140 mm | 4.9*3.7*5.5 inch IL")</f>
        <v>125*95*140 mm | 4.9*3.7*5.5 inch IL</v>
      </c>
      <c r="E1759" s="77">
        <f>IFERROR(__xludf.DUMMYFUNCTION("""COMPUTED_VALUE"""),2.0)</f>
        <v>2</v>
      </c>
      <c r="F1759" s="77">
        <f>IFERROR(__xludf.DUMMYFUNCTION("""COMPUTED_VALUE"""),1926.0)</f>
        <v>1926</v>
      </c>
      <c r="G1759" s="77">
        <f>IFERROR(__xludf.DUMMYFUNCTION("""COMPUTED_VALUE"""),18.0)</f>
        <v>18</v>
      </c>
      <c r="H1759" s="77">
        <f>IFERROR(__xludf.DUMMYFUNCTION("""COMPUTED_VALUE"""),23.0)</f>
        <v>23</v>
      </c>
      <c r="I1759" s="77">
        <f>IFERROR(__xludf.DUMMYFUNCTION("""COMPUTED_VALUE"""),100.0)</f>
        <v>100</v>
      </c>
      <c r="J1759" s="73"/>
      <c r="K1759" s="73"/>
      <c r="L1759" s="73"/>
      <c r="M1759" s="77">
        <f>IFERROR(__xludf.DUMMYFUNCTION("""COMPUTED_VALUE"""),0.12)</f>
        <v>0.12</v>
      </c>
      <c r="N1759" s="77">
        <f>IFERROR(__xludf.DUMMYFUNCTION("""COMPUTED_VALUE"""),1.0)</f>
        <v>1</v>
      </c>
      <c r="O1759" s="49"/>
      <c r="P1759" s="49" t="str">
        <f>IFERROR(__xludf.DUMMYFUNCTION("""COMPUTED_VALUE"""),"Offset")</f>
        <v>Offset</v>
      </c>
      <c r="Q1759" s="49" t="str">
        <f>IFERROR(__xludf.DUMMYFUNCTION("""COMPUTED_VALUE"""),"Packaging")</f>
        <v>Packaging</v>
      </c>
      <c r="R1759" s="49" t="str">
        <f>IFERROR(__xludf.DUMMYFUNCTION("""COMPUTED_VALUE"""),"Misc")</f>
        <v>Misc</v>
      </c>
    </row>
    <row r="1760">
      <c r="A1760" s="156" t="str">
        <f>IFERROR(__xludf.DUMMYFUNCTION("""COMPUTED_VALUE"""),"https://drive.google.com/open?id=13tz-NvwjO1dddqbJFUmxrllU0Pca9DjS&amp;usp=drive_fs")</f>
        <v>https://drive.google.com/open?id=13tz-NvwjO1dddqbJFUmxrllU0Pca9DjS&amp;usp=drive_fs</v>
      </c>
      <c r="B1760" s="73" t="str">
        <f>IFERROR(__xludf.DUMMYFUNCTION("""COMPUTED_VALUE"""),"Misc")</f>
        <v>Misc</v>
      </c>
      <c r="C1760" s="73" t="str">
        <f>IFERROR(__xludf.DUMMYFUNCTION("""COMPUTED_VALUE"""),"Misc")</f>
        <v>Misc</v>
      </c>
      <c r="D1760" s="73" t="str">
        <f>IFERROR(__xludf.DUMMYFUNCTION("""COMPUTED_VALUE"""),"95*28*122 mm | 3.74*1.1*4.8 inch")</f>
        <v>95*28*122 mm | 3.74*1.1*4.8 inch</v>
      </c>
      <c r="E1760" s="77">
        <f>IFERROR(__xludf.DUMMYFUNCTION("""COMPUTED_VALUE"""),4.0)</f>
        <v>4</v>
      </c>
      <c r="F1760" s="77">
        <f>IFERROR(__xludf.DUMMYFUNCTION("""COMPUTED_VALUE"""),1926.0)</f>
        <v>1926</v>
      </c>
      <c r="G1760" s="77">
        <f>IFERROR(__xludf.DUMMYFUNCTION("""COMPUTED_VALUE"""),15.75)</f>
        <v>15.75</v>
      </c>
      <c r="H1760" s="77">
        <f>IFERROR(__xludf.DUMMYFUNCTION("""COMPUTED_VALUE"""),20.75)</f>
        <v>20.75</v>
      </c>
      <c r="I1760" s="77">
        <f>IFERROR(__xludf.DUMMYFUNCTION("""COMPUTED_VALUE"""),100.0)</f>
        <v>100</v>
      </c>
      <c r="J1760" s="73"/>
      <c r="K1760" s="73"/>
      <c r="L1760" s="73"/>
      <c r="M1760" s="77">
        <f>IFERROR(__xludf.DUMMYFUNCTION("""COMPUTED_VALUE"""),0.12)</f>
        <v>0.12</v>
      </c>
      <c r="N1760" s="77">
        <f>IFERROR(__xludf.DUMMYFUNCTION("""COMPUTED_VALUE"""),1.0)</f>
        <v>1</v>
      </c>
      <c r="O1760" s="49"/>
      <c r="P1760" s="49" t="str">
        <f>IFERROR(__xludf.DUMMYFUNCTION("""COMPUTED_VALUE"""),"Offset")</f>
        <v>Offset</v>
      </c>
      <c r="Q1760" s="49" t="str">
        <f>IFERROR(__xludf.DUMMYFUNCTION("""COMPUTED_VALUE"""),"Packaging")</f>
        <v>Packaging</v>
      </c>
      <c r="R1760" s="49" t="str">
        <f>IFERROR(__xludf.DUMMYFUNCTION("""COMPUTED_VALUE"""),"Misc")</f>
        <v>Misc</v>
      </c>
    </row>
    <row r="1761">
      <c r="A1761" s="156" t="str">
        <f>IFERROR(__xludf.DUMMYFUNCTION("""COMPUTED_VALUE"""),"https://drive.google.com/open?id=1d6xTX_v4ws-txlwwyCrU3kcGxaN9WlDv&amp;usp=drive_fs")</f>
        <v>https://drive.google.com/open?id=1d6xTX_v4ws-txlwwyCrU3kcGxaN9WlDv&amp;usp=drive_fs</v>
      </c>
      <c r="B1761" s="73" t="str">
        <f>IFERROR(__xludf.DUMMYFUNCTION("""COMPUTED_VALUE"""),"Misc")</f>
        <v>Misc</v>
      </c>
      <c r="C1761" s="73" t="str">
        <f>IFERROR(__xludf.DUMMYFUNCTION("""COMPUTED_VALUE"""),"Candle")</f>
        <v>Candle</v>
      </c>
      <c r="D1761" s="73" t="str">
        <f>IFERROR(__xludf.DUMMYFUNCTION("""COMPUTED_VALUE"""),"54*54*42 mm | 2.1*2.1*1.6 inch")</f>
        <v>54*54*42 mm | 2.1*2.1*1.6 inch</v>
      </c>
      <c r="E1761" s="77">
        <f>IFERROR(__xludf.DUMMYFUNCTION("""COMPUTED_VALUE"""),6.0)</f>
        <v>6</v>
      </c>
      <c r="F1761" s="77">
        <f>IFERROR(__xludf.DUMMYFUNCTION("""COMPUTED_VALUE"""),1926.0)</f>
        <v>1926</v>
      </c>
      <c r="G1761" s="77">
        <f>IFERROR(__xludf.DUMMYFUNCTION("""COMPUTED_VALUE"""),15.75)</f>
        <v>15.75</v>
      </c>
      <c r="H1761" s="77">
        <f>IFERROR(__xludf.DUMMYFUNCTION("""COMPUTED_VALUE"""),20.75)</f>
        <v>20.75</v>
      </c>
      <c r="I1761" s="77">
        <f>IFERROR(__xludf.DUMMYFUNCTION("""COMPUTED_VALUE"""),100.0)</f>
        <v>100</v>
      </c>
      <c r="J1761" s="73"/>
      <c r="K1761" s="73"/>
      <c r="L1761" s="73"/>
      <c r="M1761" s="77">
        <f>IFERROR(__xludf.DUMMYFUNCTION("""COMPUTED_VALUE"""),0.1)</f>
        <v>0.1</v>
      </c>
      <c r="N1761" s="77">
        <f>IFERROR(__xludf.DUMMYFUNCTION("""COMPUTED_VALUE"""),1.0)</f>
        <v>1</v>
      </c>
      <c r="O1761" s="49"/>
      <c r="P1761" s="49" t="str">
        <f>IFERROR(__xludf.DUMMYFUNCTION("""COMPUTED_VALUE"""),"Offset")</f>
        <v>Offset</v>
      </c>
      <c r="Q1761" s="49" t="str">
        <f>IFERROR(__xludf.DUMMYFUNCTION("""COMPUTED_VALUE"""),"Packaging")</f>
        <v>Packaging</v>
      </c>
      <c r="R1761" s="49" t="str">
        <f>IFERROR(__xludf.DUMMYFUNCTION("""COMPUTED_VALUE"""),"Misc")</f>
        <v>Misc</v>
      </c>
    </row>
    <row r="1762">
      <c r="A1762" s="73"/>
      <c r="B1762" s="73" t="str">
        <f>IFERROR(__xludf.DUMMYFUNCTION("""COMPUTED_VALUE"""),"Aryan")</f>
        <v>Aryan</v>
      </c>
      <c r="C1762" s="73" t="str">
        <f>IFERROR(__xludf.DUMMYFUNCTION("""COMPUTED_VALUE"""),"Pack Of Four")</f>
        <v>Pack Of Four</v>
      </c>
      <c r="D1762" s="73" t="str">
        <f>IFERROR(__xludf.DUMMYFUNCTION("""COMPUTED_VALUE"""),"240*195*25 mm | 9.5*7.6*1 inch")</f>
        <v>240*195*25 mm | 9.5*7.6*1 inch</v>
      </c>
      <c r="E1762" s="77">
        <f>IFERROR(__xludf.DUMMYFUNCTION("""COMPUTED_VALUE"""),1.0)</f>
        <v>1</v>
      </c>
      <c r="F1762" s="77">
        <f>IFERROR(__xludf.DUMMYFUNCTION("""COMPUTED_VALUE"""),2029.0)</f>
        <v>2029</v>
      </c>
      <c r="G1762" s="77">
        <f>IFERROR(__xludf.DUMMYFUNCTION("""COMPUTED_VALUE"""),20.0)</f>
        <v>20</v>
      </c>
      <c r="H1762" s="77">
        <f>IFERROR(__xludf.DUMMYFUNCTION("""COMPUTED_VALUE"""),28.0)</f>
        <v>28</v>
      </c>
      <c r="I1762" s="77">
        <f>IFERROR(__xludf.DUMMYFUNCTION("""COMPUTED_VALUE"""),100.0)</f>
        <v>100</v>
      </c>
      <c r="J1762" s="73"/>
      <c r="K1762" s="73"/>
      <c r="L1762" s="73"/>
      <c r="M1762" s="77"/>
      <c r="N1762" s="77">
        <f>IFERROR(__xludf.DUMMYFUNCTION("""COMPUTED_VALUE"""),1.0)</f>
        <v>1</v>
      </c>
      <c r="O1762" s="49"/>
      <c r="P1762" s="49" t="str">
        <f>IFERROR(__xludf.DUMMYFUNCTION("""COMPUTED_VALUE"""),"Offset")</f>
        <v>Offset</v>
      </c>
      <c r="Q1762" s="49" t="str">
        <f>IFERROR(__xludf.DUMMYFUNCTION("""COMPUTED_VALUE"""),"Packaging")</f>
        <v>Packaging</v>
      </c>
      <c r="R1762" s="49" t="str">
        <f>IFERROR(__xludf.DUMMYFUNCTION("""COMPUTED_VALUE"""),"Aryan")</f>
        <v>Aryan</v>
      </c>
    </row>
    <row r="1763">
      <c r="A1763" s="156" t="str">
        <f>IFERROR(__xludf.DUMMYFUNCTION("""COMPUTED_VALUE"""),"https://drive.google.com/open?id=1hIVHpjm9fJ3O9XiZZ8_byjebGCu3Z_kx&amp;authuser=jay.agg%40gmail.com&amp;usp=drive_fs")</f>
        <v>https://drive.google.com/open?id=1hIVHpjm9fJ3O9XiZZ8_byjebGCu3Z_kx&amp;authuser=jay.agg%40gmail.com&amp;usp=drive_fs</v>
      </c>
      <c r="B1763" s="73" t="str">
        <f>IFERROR(__xludf.DUMMYFUNCTION("""COMPUTED_VALUE"""),"Mobile Accessories")</f>
        <v>Mobile Accessories</v>
      </c>
      <c r="C1763" s="73" t="str">
        <f>IFERROR(__xludf.DUMMYFUNCTION("""COMPUTED_VALUE"""),"Travel Charger")</f>
        <v>Travel Charger</v>
      </c>
      <c r="D1763" s="73" t="str">
        <f>IFERROR(__xludf.DUMMYFUNCTION("""COMPUTED_VALUE"""),"65*34*100 mm | 2.5*1.3*3.9 inch Hanger IL")</f>
        <v>65*34*100 mm | 2.5*1.3*3.9 inch Hanger IL</v>
      </c>
      <c r="E1763" s="77">
        <f>IFERROR(__xludf.DUMMYFUNCTION("""COMPUTED_VALUE"""),6.0)</f>
        <v>6</v>
      </c>
      <c r="F1763" s="77">
        <f>IFERROR(__xludf.DUMMYFUNCTION("""COMPUTED_VALUE"""),1926.0)</f>
        <v>1926</v>
      </c>
      <c r="G1763" s="77">
        <f>IFERROR(__xludf.DUMMYFUNCTION("""COMPUTED_VALUE"""),15.0)</f>
        <v>15</v>
      </c>
      <c r="H1763" s="77">
        <f>IFERROR(__xludf.DUMMYFUNCTION("""COMPUTED_VALUE"""),25.0)</f>
        <v>25</v>
      </c>
      <c r="I1763" s="77">
        <f>IFERROR(__xludf.DUMMYFUNCTION("""COMPUTED_VALUE"""),100.0)</f>
        <v>100</v>
      </c>
      <c r="J1763" s="73"/>
      <c r="K1763" s="73"/>
      <c r="L1763" s="73"/>
      <c r="M1763" s="77">
        <f>IFERROR(__xludf.DUMMYFUNCTION("""COMPUTED_VALUE"""),0.1)</f>
        <v>0.1</v>
      </c>
      <c r="N1763" s="77">
        <f>IFERROR(__xludf.DUMMYFUNCTION("""COMPUTED_VALUE"""),1.0)</f>
        <v>1</v>
      </c>
      <c r="O1763" s="49"/>
      <c r="P1763" s="49" t="str">
        <f>IFERROR(__xludf.DUMMYFUNCTION("""COMPUTED_VALUE"""),"Offset")</f>
        <v>Offset</v>
      </c>
      <c r="Q1763" s="49" t="str">
        <f>IFERROR(__xludf.DUMMYFUNCTION("""COMPUTED_VALUE"""),"Packaging")</f>
        <v>Packaging</v>
      </c>
      <c r="R1763" s="49" t="str">
        <f>IFERROR(__xludf.DUMMYFUNCTION("""COMPUTED_VALUE"""),"Mobile Accessories")</f>
        <v>Mobile Accessories</v>
      </c>
    </row>
    <row r="1764">
      <c r="A1764" s="156" t="str">
        <f>IFERROR(__xludf.DUMMYFUNCTION("""COMPUTED_VALUE"""),"https://drive.google.com/open?id=1hFEgIpFalw3pcdFpNESh8x08K9mAQxX2&amp;authuser=jay.agg%40gmail.com&amp;usp=drive_fs")</f>
        <v>https://drive.google.com/open?id=1hFEgIpFalw3pcdFpNESh8x08K9mAQxX2&amp;authuser=jay.agg%40gmail.com&amp;usp=drive_fs</v>
      </c>
      <c r="B1764" s="73" t="str">
        <f>IFERROR(__xludf.DUMMYFUNCTION("""COMPUTED_VALUE"""),"Mobile Accessories")</f>
        <v>Mobile Accessories</v>
      </c>
      <c r="C1764" s="73" t="str">
        <f>IFERROR(__xludf.DUMMYFUNCTION("""COMPUTED_VALUE"""),"USB Cable")</f>
        <v>USB Cable</v>
      </c>
      <c r="D1764" s="73" t="str">
        <f>IFERROR(__xludf.DUMMYFUNCTION("""COMPUTED_VALUE"""),"76*25*152 mm | 2.9*1*5.9 inch Hanger IL")</f>
        <v>76*25*152 mm | 2.9*1*5.9 inch Hanger IL</v>
      </c>
      <c r="E1764" s="77">
        <f>IFERROR(__xludf.DUMMYFUNCTION("""COMPUTED_VALUE"""),6.0)</f>
        <v>6</v>
      </c>
      <c r="F1764" s="77">
        <f>IFERROR(__xludf.DUMMYFUNCTION("""COMPUTED_VALUE"""),1926.0)</f>
        <v>1926</v>
      </c>
      <c r="G1764" s="77">
        <f>IFERROR(__xludf.DUMMYFUNCTION("""COMPUTED_VALUE"""),19.0)</f>
        <v>19</v>
      </c>
      <c r="H1764" s="77">
        <f>IFERROR(__xludf.DUMMYFUNCTION("""COMPUTED_VALUE"""),26.0)</f>
        <v>26</v>
      </c>
      <c r="I1764" s="77">
        <f>IFERROR(__xludf.DUMMYFUNCTION("""COMPUTED_VALUE"""),100.0)</f>
        <v>100</v>
      </c>
      <c r="J1764" s="73"/>
      <c r="K1764" s="73"/>
      <c r="L1764" s="73"/>
      <c r="M1764" s="77">
        <f>IFERROR(__xludf.DUMMYFUNCTION("""COMPUTED_VALUE"""),0.1)</f>
        <v>0.1</v>
      </c>
      <c r="N1764" s="77">
        <f>IFERROR(__xludf.DUMMYFUNCTION("""COMPUTED_VALUE"""),1.0)</f>
        <v>1</v>
      </c>
      <c r="O1764" s="49"/>
      <c r="P1764" s="49" t="str">
        <f>IFERROR(__xludf.DUMMYFUNCTION("""COMPUTED_VALUE"""),"Offset")</f>
        <v>Offset</v>
      </c>
      <c r="Q1764" s="49" t="str">
        <f>IFERROR(__xludf.DUMMYFUNCTION("""COMPUTED_VALUE"""),"Packaging")</f>
        <v>Packaging</v>
      </c>
      <c r="R1764" s="49" t="str">
        <f>IFERROR(__xludf.DUMMYFUNCTION("""COMPUTED_VALUE"""),"Mobile Accessories")</f>
        <v>Mobile Accessories</v>
      </c>
    </row>
    <row r="1765">
      <c r="A1765" s="156" t="str">
        <f>IFERROR(__xludf.DUMMYFUNCTION("""COMPUTED_VALUE"""),"https://drive.google.com/open?id=1ksBA95fw0HAUYfVc7XKjopOjARo6DX-6&amp;authuser=jay.agg%40gmail.com&amp;usp=drive_fs")</f>
        <v>https://drive.google.com/open?id=1ksBA95fw0HAUYfVc7XKjopOjARo6DX-6&amp;authuser=jay.agg%40gmail.com&amp;usp=drive_fs</v>
      </c>
      <c r="B1765" s="73" t="str">
        <f>IFERROR(__xludf.DUMMYFUNCTION("""COMPUTED_VALUE"""),"Mobile Accessories")</f>
        <v>Mobile Accessories</v>
      </c>
      <c r="C1765" s="73" t="str">
        <f>IFERROR(__xludf.DUMMYFUNCTION("""COMPUTED_VALUE"""),"Bluetooth Wireless")</f>
        <v>Bluetooth Wireless</v>
      </c>
      <c r="D1765" s="73" t="str">
        <f>IFERROR(__xludf.DUMMYFUNCTION("""COMPUTED_VALUE"""),"190*38*203 mm | 7.5*1.5*8 inch")</f>
        <v>190*38*203 mm | 7.5*1.5*8 inch</v>
      </c>
      <c r="E1765" s="77">
        <f>IFERROR(__xludf.DUMMYFUNCTION("""COMPUTED_VALUE"""),2.0)</f>
        <v>2</v>
      </c>
      <c r="F1765" s="77">
        <f>IFERROR(__xludf.DUMMYFUNCTION("""COMPUTED_VALUE"""),1926.0)</f>
        <v>1926</v>
      </c>
      <c r="G1765" s="77">
        <f>IFERROR(__xludf.DUMMYFUNCTION("""COMPUTED_VALUE"""),19.5)</f>
        <v>19.5</v>
      </c>
      <c r="H1765" s="77">
        <f>IFERROR(__xludf.DUMMYFUNCTION("""COMPUTED_VALUE"""),23.0)</f>
        <v>23</v>
      </c>
      <c r="I1765" s="77">
        <f>IFERROR(__xludf.DUMMYFUNCTION("""COMPUTED_VALUE"""),100.0)</f>
        <v>100</v>
      </c>
      <c r="J1765" s="73"/>
      <c r="K1765" s="73"/>
      <c r="L1765" s="73"/>
      <c r="M1765" s="77">
        <f>IFERROR(__xludf.DUMMYFUNCTION("""COMPUTED_VALUE"""),0.1)</f>
        <v>0.1</v>
      </c>
      <c r="N1765" s="77">
        <f>IFERROR(__xludf.DUMMYFUNCTION("""COMPUTED_VALUE"""),1.0)</f>
        <v>1</v>
      </c>
      <c r="O1765" s="49"/>
      <c r="P1765" s="49" t="str">
        <f>IFERROR(__xludf.DUMMYFUNCTION("""COMPUTED_VALUE"""),"Offset")</f>
        <v>Offset</v>
      </c>
      <c r="Q1765" s="49" t="str">
        <f>IFERROR(__xludf.DUMMYFUNCTION("""COMPUTED_VALUE"""),"Packaging")</f>
        <v>Packaging</v>
      </c>
      <c r="R1765" s="49" t="str">
        <f>IFERROR(__xludf.DUMMYFUNCTION("""COMPUTED_VALUE"""),"Mobile Accessories")</f>
        <v>Mobile Accessories</v>
      </c>
    </row>
    <row r="1766">
      <c r="A1766" s="156" t="str">
        <f>IFERROR(__xludf.DUMMYFUNCTION("""COMPUTED_VALUE"""),"https://drive.google.com/open?id=1hKe8-aMwQ_bQ_z4_JX1IxHpj1ulvL04N&amp;authuser=jay.agg%40gmail.com&amp;usp=drive_fs")</f>
        <v>https://drive.google.com/open?id=1hKe8-aMwQ_bQ_z4_JX1IxHpj1ulvL04N&amp;authuser=jay.agg%40gmail.com&amp;usp=drive_fs</v>
      </c>
      <c r="B1766" s="73" t="str">
        <f>IFERROR(__xludf.DUMMYFUNCTION("""COMPUTED_VALUE"""),"Mobile Accessories")</f>
        <v>Mobile Accessories</v>
      </c>
      <c r="C1766" s="73" t="str">
        <f>IFERROR(__xludf.DUMMYFUNCTION("""COMPUTED_VALUE"""),"USB Cable")</f>
        <v>USB Cable</v>
      </c>
      <c r="D1766" s="73" t="str">
        <f>IFERROR(__xludf.DUMMYFUNCTION("""COMPUTED_VALUE"""),"22*53*163 mm | 0.9*2*6.5 inch Hanger")</f>
        <v>22*53*163 mm | 0.9*2*6.5 inch Hanger</v>
      </c>
      <c r="E1766" s="77">
        <f>IFERROR(__xludf.DUMMYFUNCTION("""COMPUTED_VALUE"""),8.0)</f>
        <v>8</v>
      </c>
      <c r="F1766" s="77">
        <f>IFERROR(__xludf.DUMMYFUNCTION("""COMPUTED_VALUE"""),1926.0)</f>
        <v>1926</v>
      </c>
      <c r="G1766" s="77">
        <f>IFERROR(__xludf.DUMMYFUNCTION("""COMPUTED_VALUE"""),19.0)</f>
        <v>19</v>
      </c>
      <c r="H1766" s="77">
        <f>IFERROR(__xludf.DUMMYFUNCTION("""COMPUTED_VALUE"""),26.0)</f>
        <v>26</v>
      </c>
      <c r="I1766" s="77">
        <f>IFERROR(__xludf.DUMMYFUNCTION("""COMPUTED_VALUE"""),100.0)</f>
        <v>100</v>
      </c>
      <c r="J1766" s="73"/>
      <c r="K1766" s="73"/>
      <c r="L1766" s="73"/>
      <c r="M1766" s="77">
        <f>IFERROR(__xludf.DUMMYFUNCTION("""COMPUTED_VALUE"""),0.1)</f>
        <v>0.1</v>
      </c>
      <c r="N1766" s="77">
        <f>IFERROR(__xludf.DUMMYFUNCTION("""COMPUTED_VALUE"""),1.0)</f>
        <v>1</v>
      </c>
      <c r="O1766" s="49"/>
      <c r="P1766" s="49" t="str">
        <f>IFERROR(__xludf.DUMMYFUNCTION("""COMPUTED_VALUE"""),"Offset")</f>
        <v>Offset</v>
      </c>
      <c r="Q1766" s="49" t="str">
        <f>IFERROR(__xludf.DUMMYFUNCTION("""COMPUTED_VALUE"""),"Packaging")</f>
        <v>Packaging</v>
      </c>
      <c r="R1766" s="49" t="str">
        <f>IFERROR(__xludf.DUMMYFUNCTION("""COMPUTED_VALUE"""),"Mobile Accessories")</f>
        <v>Mobile Accessories</v>
      </c>
    </row>
    <row r="1767">
      <c r="A1767" s="156" t="str">
        <f>IFERROR(__xludf.DUMMYFUNCTION("""COMPUTED_VALUE"""),"https://drive.google.com/open?id=1gyrlpDBXlHwjgPSezB-6UcGcTMDr8TLP&amp;authuser=jay.agg%40gmail.com&amp;usp=drive_fs")</f>
        <v>https://drive.google.com/open?id=1gyrlpDBXlHwjgPSezB-6UcGcTMDr8TLP&amp;authuser=jay.agg%40gmail.com&amp;usp=drive_fs</v>
      </c>
      <c r="B1767" s="73" t="str">
        <f>IFERROR(__xludf.DUMMYFUNCTION("""COMPUTED_VALUE"""),"Mobile Accessories")</f>
        <v>Mobile Accessories</v>
      </c>
      <c r="C1767" s="73" t="str">
        <f>IFERROR(__xludf.DUMMYFUNCTION("""COMPUTED_VALUE"""),"Travel Charger")</f>
        <v>Travel Charger</v>
      </c>
      <c r="D1767" s="73" t="str">
        <f>IFERROR(__xludf.DUMMYFUNCTION("""COMPUTED_VALUE"""),"80x30x90 mm | 3.14*1.2*3.5 inch Hanger")</f>
        <v>80x30x90 mm | 3.14*1.2*3.5 inch Hanger</v>
      </c>
      <c r="E1767" s="77">
        <f>IFERROR(__xludf.DUMMYFUNCTION("""COMPUTED_VALUE"""),6.0)</f>
        <v>6</v>
      </c>
      <c r="F1767" s="77">
        <f>IFERROR(__xludf.DUMMYFUNCTION("""COMPUTED_VALUE"""),1926.0)</f>
        <v>1926</v>
      </c>
      <c r="G1767" s="77">
        <f>IFERROR(__xludf.DUMMYFUNCTION("""COMPUTED_VALUE"""),20.0)</f>
        <v>20</v>
      </c>
      <c r="H1767" s="77">
        <f>IFERROR(__xludf.DUMMYFUNCTION("""COMPUTED_VALUE"""),21.0)</f>
        <v>21</v>
      </c>
      <c r="I1767" s="77">
        <f>IFERROR(__xludf.DUMMYFUNCTION("""COMPUTED_VALUE"""),100.0)</f>
        <v>100</v>
      </c>
      <c r="J1767" s="73"/>
      <c r="K1767" s="73"/>
      <c r="L1767" s="73"/>
      <c r="M1767" s="77">
        <f>IFERROR(__xludf.DUMMYFUNCTION("""COMPUTED_VALUE"""),0.1)</f>
        <v>0.1</v>
      </c>
      <c r="N1767" s="77">
        <f>IFERROR(__xludf.DUMMYFUNCTION("""COMPUTED_VALUE"""),1.0)</f>
        <v>1</v>
      </c>
      <c r="O1767" s="49"/>
      <c r="P1767" s="49" t="str">
        <f>IFERROR(__xludf.DUMMYFUNCTION("""COMPUTED_VALUE"""),"Offset")</f>
        <v>Offset</v>
      </c>
      <c r="Q1767" s="49" t="str">
        <f>IFERROR(__xludf.DUMMYFUNCTION("""COMPUTED_VALUE"""),"Packaging")</f>
        <v>Packaging</v>
      </c>
      <c r="R1767" s="49" t="str">
        <f>IFERROR(__xludf.DUMMYFUNCTION("""COMPUTED_VALUE"""),"Mobile Accessories")</f>
        <v>Mobile Accessories</v>
      </c>
    </row>
    <row r="1768">
      <c r="A1768" s="156" t="str">
        <f>IFERROR(__xludf.DUMMYFUNCTION("""COMPUTED_VALUE"""),"https://drive.google.com/open?id=1h-zSd5QssytVb2QuzepNhvmeLe10ggs5&amp;authuser=jay.agg%40gmail.com&amp;usp=drive_fs")</f>
        <v>https://drive.google.com/open?id=1h-zSd5QssytVb2QuzepNhvmeLe10ggs5&amp;authuser=jay.agg%40gmail.com&amp;usp=drive_fs</v>
      </c>
      <c r="B1768" s="73" t="str">
        <f>IFERROR(__xludf.DUMMYFUNCTION("""COMPUTED_VALUE"""),"Mobile Accessories")</f>
        <v>Mobile Accessories</v>
      </c>
      <c r="C1768" s="73" t="str">
        <f>IFERROR(__xludf.DUMMYFUNCTION("""COMPUTED_VALUE"""),"Travel Charger")</f>
        <v>Travel Charger</v>
      </c>
      <c r="D1768" s="73" t="str">
        <f>IFERROR(__xludf.DUMMYFUNCTION("""COMPUTED_VALUE"""),"80x30x90 mm")</f>
        <v>80x30x90 mm</v>
      </c>
      <c r="E1768" s="77">
        <f>IFERROR(__xludf.DUMMYFUNCTION("""COMPUTED_VALUE"""),8.0)</f>
        <v>8</v>
      </c>
      <c r="F1768" s="77">
        <f>IFERROR(__xludf.DUMMYFUNCTION("""COMPUTED_VALUE"""),1926.0)</f>
        <v>1926</v>
      </c>
      <c r="G1768" s="77">
        <f>IFERROR(__xludf.DUMMYFUNCTION("""COMPUTED_VALUE"""),19.5)</f>
        <v>19.5</v>
      </c>
      <c r="H1768" s="77">
        <f>IFERROR(__xludf.DUMMYFUNCTION("""COMPUTED_VALUE"""),23.0)</f>
        <v>23</v>
      </c>
      <c r="I1768" s="77">
        <f>IFERROR(__xludf.DUMMYFUNCTION("""COMPUTED_VALUE"""),100.0)</f>
        <v>100</v>
      </c>
      <c r="J1768" s="73"/>
      <c r="K1768" s="73"/>
      <c r="L1768" s="73"/>
      <c r="M1768" s="77">
        <f>IFERROR(__xludf.DUMMYFUNCTION("""COMPUTED_VALUE"""),0.1)</f>
        <v>0.1</v>
      </c>
      <c r="N1768" s="77">
        <f>IFERROR(__xludf.DUMMYFUNCTION("""COMPUTED_VALUE"""),1.0)</f>
        <v>1</v>
      </c>
      <c r="O1768" s="49"/>
      <c r="P1768" s="49" t="str">
        <f>IFERROR(__xludf.DUMMYFUNCTION("""COMPUTED_VALUE"""),"Offset")</f>
        <v>Offset</v>
      </c>
      <c r="Q1768" s="49" t="str">
        <f>IFERROR(__xludf.DUMMYFUNCTION("""COMPUTED_VALUE"""),"Packaging")</f>
        <v>Packaging</v>
      </c>
      <c r="R1768" s="49" t="str">
        <f>IFERROR(__xludf.DUMMYFUNCTION("""COMPUTED_VALUE"""),"Mobile Accessories")</f>
        <v>Mobile Accessories</v>
      </c>
    </row>
    <row r="1769">
      <c r="A1769" s="156" t="str">
        <f>IFERROR(__xludf.DUMMYFUNCTION("""COMPUTED_VALUE"""),"https://drive.google.com/open?id=1gglcthFMFJU-7diszURozUMRMd2Um7d8&amp;authuser=jay.agg%40gmail.com&amp;usp=drive_fs")</f>
        <v>https://drive.google.com/open?id=1gglcthFMFJU-7diszURozUMRMd2Um7d8&amp;authuser=jay.agg%40gmail.com&amp;usp=drive_fs</v>
      </c>
      <c r="B1769" s="73" t="str">
        <f>IFERROR(__xludf.DUMMYFUNCTION("""COMPUTED_VALUE"""),"Mobile Accessories")</f>
        <v>Mobile Accessories</v>
      </c>
      <c r="C1769" s="73" t="str">
        <f>IFERROR(__xludf.DUMMYFUNCTION("""COMPUTED_VALUE"""),"Travel Charger")</f>
        <v>Travel Charger</v>
      </c>
      <c r="D1769" s="73" t="str">
        <f>IFERROR(__xludf.DUMMYFUNCTION("""COMPUTED_VALUE"""),"34*85*140 mm | Hanger")</f>
        <v>34*85*140 mm | Hanger</v>
      </c>
      <c r="E1769" s="77">
        <f>IFERROR(__xludf.DUMMYFUNCTION("""COMPUTED_VALUE"""),4.0)</f>
        <v>4</v>
      </c>
      <c r="F1769" s="77">
        <f>IFERROR(__xludf.DUMMYFUNCTION("""COMPUTED_VALUE"""),1926.0)</f>
        <v>1926</v>
      </c>
      <c r="G1769" s="77">
        <f>IFERROR(__xludf.DUMMYFUNCTION("""COMPUTED_VALUE"""),18.0)</f>
        <v>18</v>
      </c>
      <c r="H1769" s="77">
        <f>IFERROR(__xludf.DUMMYFUNCTION("""COMPUTED_VALUE"""),21.0)</f>
        <v>21</v>
      </c>
      <c r="I1769" s="77">
        <f>IFERROR(__xludf.DUMMYFUNCTION("""COMPUTED_VALUE"""),100.0)</f>
        <v>100</v>
      </c>
      <c r="J1769" s="73"/>
      <c r="K1769" s="73"/>
      <c r="L1769" s="73"/>
      <c r="M1769" s="77">
        <f>IFERROR(__xludf.DUMMYFUNCTION("""COMPUTED_VALUE"""),0.1)</f>
        <v>0.1</v>
      </c>
      <c r="N1769" s="77">
        <f>IFERROR(__xludf.DUMMYFUNCTION("""COMPUTED_VALUE"""),1.0)</f>
        <v>1</v>
      </c>
      <c r="O1769" s="49"/>
      <c r="P1769" s="49" t="str">
        <f>IFERROR(__xludf.DUMMYFUNCTION("""COMPUTED_VALUE"""),"Offset")</f>
        <v>Offset</v>
      </c>
      <c r="Q1769" s="49" t="str">
        <f>IFERROR(__xludf.DUMMYFUNCTION("""COMPUTED_VALUE"""),"Packaging")</f>
        <v>Packaging</v>
      </c>
      <c r="R1769" s="49" t="str">
        <f>IFERROR(__xludf.DUMMYFUNCTION("""COMPUTED_VALUE"""),"Mobile Accessories")</f>
        <v>Mobile Accessories</v>
      </c>
    </row>
    <row r="1770">
      <c r="A1770" s="156" t="str">
        <f>IFERROR(__xludf.DUMMYFUNCTION("""COMPUTED_VALUE"""),"https://drive.google.com/open?id=1gjf7PmSuuvP6KjYB2px_a3UADas6O_Lc&amp;authuser=jay.agg%40gmail.com&amp;usp=drive_fs")</f>
        <v>https://drive.google.com/open?id=1gjf7PmSuuvP6KjYB2px_a3UADas6O_Lc&amp;authuser=jay.agg%40gmail.com&amp;usp=drive_fs</v>
      </c>
      <c r="B1770" s="73" t="str">
        <f>IFERROR(__xludf.DUMMYFUNCTION("""COMPUTED_VALUE"""),"Mobile Accessories")</f>
        <v>Mobile Accessories</v>
      </c>
      <c r="C1770" s="73" t="str">
        <f>IFERROR(__xludf.DUMMYFUNCTION("""COMPUTED_VALUE"""),"Travel Charger")</f>
        <v>Travel Charger</v>
      </c>
      <c r="D1770" s="73" t="str">
        <f>IFERROR(__xludf.DUMMYFUNCTION("""COMPUTED_VALUE"""),"Tray 34*85*140 mm")</f>
        <v>Tray 34*85*140 mm</v>
      </c>
      <c r="E1770" s="77">
        <f>IFERROR(__xludf.DUMMYFUNCTION("""COMPUTED_VALUE"""),12.0)</f>
        <v>12</v>
      </c>
      <c r="F1770" s="77">
        <f>IFERROR(__xludf.DUMMYFUNCTION("""COMPUTED_VALUE"""),1926.0)</f>
        <v>1926</v>
      </c>
      <c r="G1770" s="77">
        <f>IFERROR(__xludf.DUMMYFUNCTION("""COMPUTED_VALUE"""),18.0)</f>
        <v>18</v>
      </c>
      <c r="H1770" s="77">
        <f>IFERROR(__xludf.DUMMYFUNCTION("""COMPUTED_VALUE"""),23.0)</f>
        <v>23</v>
      </c>
      <c r="I1770" s="77">
        <f>IFERROR(__xludf.DUMMYFUNCTION("""COMPUTED_VALUE"""),100.0)</f>
        <v>100</v>
      </c>
      <c r="J1770" s="73"/>
      <c r="K1770" s="73"/>
      <c r="L1770" s="73"/>
      <c r="M1770" s="77"/>
      <c r="N1770" s="77">
        <f>IFERROR(__xludf.DUMMYFUNCTION("""COMPUTED_VALUE"""),1.0)</f>
        <v>1</v>
      </c>
      <c r="O1770" s="49"/>
      <c r="P1770" s="49" t="str">
        <f>IFERROR(__xludf.DUMMYFUNCTION("""COMPUTED_VALUE"""),"Offset")</f>
        <v>Offset</v>
      </c>
      <c r="Q1770" s="49" t="str">
        <f>IFERROR(__xludf.DUMMYFUNCTION("""COMPUTED_VALUE"""),"Packaging")</f>
        <v>Packaging</v>
      </c>
      <c r="R1770" s="49" t="str">
        <f>IFERROR(__xludf.DUMMYFUNCTION("""COMPUTED_VALUE"""),"Mobile Accessories")</f>
        <v>Mobile Accessories</v>
      </c>
    </row>
    <row r="1771">
      <c r="A1771" s="156" t="str">
        <f>IFERROR(__xludf.DUMMYFUNCTION("""COMPUTED_VALUE"""),"https://drive.google.com/open?id=1fmOXy-7CjsvQqY_Ylts-rijXxZ6tMDTt&amp;authuser=jay.agg%40gmail.com&amp;usp=drive_fs")</f>
        <v>https://drive.google.com/open?id=1fmOXy-7CjsvQqY_Ylts-rijXxZ6tMDTt&amp;authuser=jay.agg%40gmail.com&amp;usp=drive_fs</v>
      </c>
      <c r="B1771" s="73" t="str">
        <f>IFERROR(__xludf.DUMMYFUNCTION("""COMPUTED_VALUE"""),"Mobile Accessories")</f>
        <v>Mobile Accessories</v>
      </c>
      <c r="C1771" s="73" t="str">
        <f>IFERROR(__xludf.DUMMYFUNCTION("""COMPUTED_VALUE"""),"USB Cable")</f>
        <v>USB Cable</v>
      </c>
      <c r="D1771" s="73" t="str">
        <f>IFERROR(__xludf.DUMMYFUNCTION("""COMPUTED_VALUE"""),"25*51*203 | 1*2*8 inch with Hanger")</f>
        <v>25*51*203 | 1*2*8 inch with Hanger</v>
      </c>
      <c r="E1771" s="77">
        <f>IFERROR(__xludf.DUMMYFUNCTION("""COMPUTED_VALUE"""),4.0)</f>
        <v>4</v>
      </c>
      <c r="F1771" s="77">
        <f>IFERROR(__xludf.DUMMYFUNCTION("""COMPUTED_VALUE"""),1926.0)</f>
        <v>1926</v>
      </c>
      <c r="G1771" s="77">
        <f>IFERROR(__xludf.DUMMYFUNCTION("""COMPUTED_VALUE"""),14.0)</f>
        <v>14</v>
      </c>
      <c r="H1771" s="77">
        <f>IFERROR(__xludf.DUMMYFUNCTION("""COMPUTED_VALUE"""),22.0)</f>
        <v>22</v>
      </c>
      <c r="I1771" s="77">
        <f>IFERROR(__xludf.DUMMYFUNCTION("""COMPUTED_VALUE"""),100.0)</f>
        <v>100</v>
      </c>
      <c r="J1771" s="73"/>
      <c r="K1771" s="73"/>
      <c r="L1771" s="73"/>
      <c r="M1771" s="77">
        <f>IFERROR(__xludf.DUMMYFUNCTION("""COMPUTED_VALUE"""),0.1)</f>
        <v>0.1</v>
      </c>
      <c r="N1771" s="77">
        <f>IFERROR(__xludf.DUMMYFUNCTION("""COMPUTED_VALUE"""),1.0)</f>
        <v>1</v>
      </c>
      <c r="O1771" s="49"/>
      <c r="P1771" s="49" t="str">
        <f>IFERROR(__xludf.DUMMYFUNCTION("""COMPUTED_VALUE"""),"Offset")</f>
        <v>Offset</v>
      </c>
      <c r="Q1771" s="49" t="str">
        <f>IFERROR(__xludf.DUMMYFUNCTION("""COMPUTED_VALUE"""),"Packaging")</f>
        <v>Packaging</v>
      </c>
      <c r="R1771" s="49" t="str">
        <f>IFERROR(__xludf.DUMMYFUNCTION("""COMPUTED_VALUE"""),"Mobile Accessories")</f>
        <v>Mobile Accessories</v>
      </c>
    </row>
    <row r="1772">
      <c r="A1772" s="156" t="str">
        <f>IFERROR(__xludf.DUMMYFUNCTION("""COMPUTED_VALUE"""),"https://drive.google.com/open?id=1geepcndjsW3u5bfNrj9NfcLzrcNXR4QU&amp;authuser=jay.agg%40gmail.com&amp;usp=drive_fs")</f>
        <v>https://drive.google.com/open?id=1geepcndjsW3u5bfNrj9NfcLzrcNXR4QU&amp;authuser=jay.agg%40gmail.com&amp;usp=drive_fs</v>
      </c>
      <c r="B1772" s="73" t="str">
        <f>IFERROR(__xludf.DUMMYFUNCTION("""COMPUTED_VALUE"""),"Mobile Accessories")</f>
        <v>Mobile Accessories</v>
      </c>
      <c r="C1772" s="73" t="str">
        <f>IFERROR(__xludf.DUMMYFUNCTION("""COMPUTED_VALUE"""),"USB Cable")</f>
        <v>USB Cable</v>
      </c>
      <c r="D1772" s="73" t="str">
        <f>IFERROR(__xludf.DUMMYFUNCTION("""COMPUTED_VALUE"""),"0.95*2.6*3.25 inch")</f>
        <v>0.95*2.6*3.25 inch</v>
      </c>
      <c r="E1772" s="77">
        <f>IFERROR(__xludf.DUMMYFUNCTION("""COMPUTED_VALUE"""),9.0)</f>
        <v>9</v>
      </c>
      <c r="F1772" s="77">
        <f>IFERROR(__xludf.DUMMYFUNCTION("""COMPUTED_VALUE"""),1926.0)</f>
        <v>1926</v>
      </c>
      <c r="G1772" s="77">
        <f>IFERROR(__xludf.DUMMYFUNCTION("""COMPUTED_VALUE"""),18.0)</f>
        <v>18</v>
      </c>
      <c r="H1772" s="77">
        <f>IFERROR(__xludf.DUMMYFUNCTION("""COMPUTED_VALUE"""),23.0)</f>
        <v>23</v>
      </c>
      <c r="I1772" s="77">
        <f>IFERROR(__xludf.DUMMYFUNCTION("""COMPUTED_VALUE"""),100.0)</f>
        <v>100</v>
      </c>
      <c r="J1772" s="73"/>
      <c r="K1772" s="73"/>
      <c r="L1772" s="73">
        <f>IFERROR(__xludf.DUMMYFUNCTION("""COMPUTED_VALUE"""),1.0)</f>
        <v>1</v>
      </c>
      <c r="M1772" s="77">
        <f>IFERROR(__xludf.DUMMYFUNCTION("""COMPUTED_VALUE"""),0.1)</f>
        <v>0.1</v>
      </c>
      <c r="N1772" s="77">
        <f>IFERROR(__xludf.DUMMYFUNCTION("""COMPUTED_VALUE"""),1.0)</f>
        <v>1</v>
      </c>
      <c r="O1772" s="49"/>
      <c r="P1772" s="49" t="str">
        <f>IFERROR(__xludf.DUMMYFUNCTION("""COMPUTED_VALUE"""),"Offset")</f>
        <v>Offset</v>
      </c>
      <c r="Q1772" s="49" t="str">
        <f>IFERROR(__xludf.DUMMYFUNCTION("""COMPUTED_VALUE"""),"Packaging")</f>
        <v>Packaging</v>
      </c>
      <c r="R1772" s="49" t="str">
        <f>IFERROR(__xludf.DUMMYFUNCTION("""COMPUTED_VALUE"""),"Mobile Accessories")</f>
        <v>Mobile Accessories</v>
      </c>
    </row>
    <row r="1773">
      <c r="A1773" s="156" t="str">
        <f>IFERROR(__xludf.DUMMYFUNCTION("""COMPUTED_VALUE"""),"https://drive.google.com/open?id=1W4mdNjGATl9j2RFddcULb14cRmqeW9Ll&amp;authuser=jay.agg%40gmail.com&amp;usp=drive_fs")</f>
        <v>https://drive.google.com/open?id=1W4mdNjGATl9j2RFddcULb14cRmqeW9Ll&amp;authuser=jay.agg%40gmail.com&amp;usp=drive_fs</v>
      </c>
      <c r="B1773" s="73" t="str">
        <f>IFERROR(__xludf.DUMMYFUNCTION("""COMPUTED_VALUE"""),"Mobile Accessories")</f>
        <v>Mobile Accessories</v>
      </c>
      <c r="C1773" s="73" t="str">
        <f>IFERROR(__xludf.DUMMYFUNCTION("""COMPUTED_VALUE"""),"Bluetooth Wireless")</f>
        <v>Bluetooth Wireless</v>
      </c>
      <c r="D1773" s="73" t="str">
        <f>IFERROR(__xludf.DUMMYFUNCTION("""COMPUTED_VALUE"""),"160*25*190 mm")</f>
        <v>160*25*190 mm</v>
      </c>
      <c r="E1773" s="77">
        <f>IFERROR(__xludf.DUMMYFUNCTION("""COMPUTED_VALUE"""),2.0)</f>
        <v>2</v>
      </c>
      <c r="F1773" s="77">
        <f>IFERROR(__xludf.DUMMYFUNCTION("""COMPUTED_VALUE"""),1926.0)</f>
        <v>1926</v>
      </c>
      <c r="G1773" s="77">
        <f>IFERROR(__xludf.DUMMYFUNCTION("""COMPUTED_VALUE"""),15.5)</f>
        <v>15.5</v>
      </c>
      <c r="H1773" s="77">
        <f>IFERROR(__xludf.DUMMYFUNCTION("""COMPUTED_VALUE"""),20.5)</f>
        <v>20.5</v>
      </c>
      <c r="I1773" s="77">
        <f>IFERROR(__xludf.DUMMYFUNCTION("""COMPUTED_VALUE"""),100.0)</f>
        <v>100</v>
      </c>
      <c r="J1773" s="73"/>
      <c r="K1773" s="73"/>
      <c r="L1773" s="73"/>
      <c r="M1773" s="77">
        <f>IFERROR(__xludf.DUMMYFUNCTION("""COMPUTED_VALUE"""),0.1)</f>
        <v>0.1</v>
      </c>
      <c r="N1773" s="77">
        <f>IFERROR(__xludf.DUMMYFUNCTION("""COMPUTED_VALUE"""),1.0)</f>
        <v>1</v>
      </c>
      <c r="O1773" s="49"/>
      <c r="P1773" s="49" t="str">
        <f>IFERROR(__xludf.DUMMYFUNCTION("""COMPUTED_VALUE"""),"Offset")</f>
        <v>Offset</v>
      </c>
      <c r="Q1773" s="49" t="str">
        <f>IFERROR(__xludf.DUMMYFUNCTION("""COMPUTED_VALUE"""),"Packaging")</f>
        <v>Packaging</v>
      </c>
      <c r="R1773" s="49" t="str">
        <f>IFERROR(__xludf.DUMMYFUNCTION("""COMPUTED_VALUE"""),"Mobile Accessories")</f>
        <v>Mobile Accessories</v>
      </c>
    </row>
    <row r="1774">
      <c r="A1774" s="156" t="str">
        <f>IFERROR(__xludf.DUMMYFUNCTION("""COMPUTED_VALUE"""),"https://drive.google.com/open?id=1gb8LSt6dLjusaNoxMHrweXpHtqAPwlwB&amp;authuser=jay.agg%40gmail.com&amp;usp=drive_fs")</f>
        <v>https://drive.google.com/open?id=1gb8LSt6dLjusaNoxMHrweXpHtqAPwlwB&amp;authuser=jay.agg%40gmail.com&amp;usp=drive_fs</v>
      </c>
      <c r="B1774" s="73" t="str">
        <f>IFERROR(__xludf.DUMMYFUNCTION("""COMPUTED_VALUE"""),"Mobile Accessories")</f>
        <v>Mobile Accessories</v>
      </c>
      <c r="C1774" s="73" t="str">
        <f>IFERROR(__xludf.DUMMYFUNCTION("""COMPUTED_VALUE"""),"Bluetooth Wireless")</f>
        <v>Bluetooth Wireless</v>
      </c>
      <c r="D1774" s="73" t="str">
        <f>IFERROR(__xludf.DUMMYFUNCTION("""COMPUTED_VALUE"""),"Bt 160*25*190 Tray")</f>
        <v>Bt 160*25*190 Tray</v>
      </c>
      <c r="E1774" s="77">
        <f>IFERROR(__xludf.DUMMYFUNCTION("""COMPUTED_VALUE"""),4.0)</f>
        <v>4</v>
      </c>
      <c r="F1774" s="77">
        <f>IFERROR(__xludf.DUMMYFUNCTION("""COMPUTED_VALUE"""),1926.0)</f>
        <v>1926</v>
      </c>
      <c r="G1774" s="77">
        <f>IFERROR(__xludf.DUMMYFUNCTION("""COMPUTED_VALUE"""),15.0)</f>
        <v>15</v>
      </c>
      <c r="H1774" s="77">
        <f>IFERROR(__xludf.DUMMYFUNCTION("""COMPUTED_VALUE"""),20.0)</f>
        <v>20</v>
      </c>
      <c r="I1774" s="77">
        <f>IFERROR(__xludf.DUMMYFUNCTION("""COMPUTED_VALUE"""),100.0)</f>
        <v>100</v>
      </c>
      <c r="J1774" s="73"/>
      <c r="K1774" s="73"/>
      <c r="L1774" s="73"/>
      <c r="M1774" s="77"/>
      <c r="N1774" s="77">
        <f>IFERROR(__xludf.DUMMYFUNCTION("""COMPUTED_VALUE"""),1.0)</f>
        <v>1</v>
      </c>
      <c r="O1774" s="49"/>
      <c r="P1774" s="49" t="str">
        <f>IFERROR(__xludf.DUMMYFUNCTION("""COMPUTED_VALUE"""),"Offset")</f>
        <v>Offset</v>
      </c>
      <c r="Q1774" s="49" t="str">
        <f>IFERROR(__xludf.DUMMYFUNCTION("""COMPUTED_VALUE"""),"Packaging")</f>
        <v>Packaging</v>
      </c>
      <c r="R1774" s="49" t="str">
        <f>IFERROR(__xludf.DUMMYFUNCTION("""COMPUTED_VALUE"""),"Mobile Accessories")</f>
        <v>Mobile Accessories</v>
      </c>
    </row>
    <row r="1775">
      <c r="A1775" s="156" t="str">
        <f>IFERROR(__xludf.DUMMYFUNCTION("""COMPUTED_VALUE"""),"https://drive.google.com/open?id=1fblmbAqQIqWpkNawgseaBbqDoexsvh6Q&amp;authuser=jay.agg%40gmail.com&amp;usp=drive_fs")</f>
        <v>https://drive.google.com/open?id=1fblmbAqQIqWpkNawgseaBbqDoexsvh6Q&amp;authuser=jay.agg%40gmail.com&amp;usp=drive_fs</v>
      </c>
      <c r="B1775" s="73" t="str">
        <f>IFERROR(__xludf.DUMMYFUNCTION("""COMPUTED_VALUE"""),"Mobile Accessories")</f>
        <v>Mobile Accessories</v>
      </c>
      <c r="C1775" s="73" t="str">
        <f>IFERROR(__xludf.DUMMYFUNCTION("""COMPUTED_VALUE"""),"USB Cable")</f>
        <v>USB Cable</v>
      </c>
      <c r="D1775" s="73" t="str">
        <f>IFERROR(__xludf.DUMMYFUNCTION("""COMPUTED_VALUE"""),"60*15*125 m | Hanger")</f>
        <v>60*15*125 m | Hanger</v>
      </c>
      <c r="E1775" s="77">
        <f>IFERROR(__xludf.DUMMYFUNCTION("""COMPUTED_VALUE"""),6.0)</f>
        <v>6</v>
      </c>
      <c r="F1775" s="77">
        <f>IFERROR(__xludf.DUMMYFUNCTION("""COMPUTED_VALUE"""),1926.0)</f>
        <v>1926</v>
      </c>
      <c r="G1775" s="77">
        <f>IFERROR(__xludf.DUMMYFUNCTION("""COMPUTED_VALUE"""),15.0)</f>
        <v>15</v>
      </c>
      <c r="H1775" s="77">
        <f>IFERROR(__xludf.DUMMYFUNCTION("""COMPUTED_VALUE"""),20.0)</f>
        <v>20</v>
      </c>
      <c r="I1775" s="77">
        <f>IFERROR(__xludf.DUMMYFUNCTION("""COMPUTED_VALUE"""),100.0)</f>
        <v>100</v>
      </c>
      <c r="J1775" s="73"/>
      <c r="K1775" s="73"/>
      <c r="L1775" s="73"/>
      <c r="M1775" s="77">
        <f>IFERROR(__xludf.DUMMYFUNCTION("""COMPUTED_VALUE"""),0.1)</f>
        <v>0.1</v>
      </c>
      <c r="N1775" s="77">
        <f>IFERROR(__xludf.DUMMYFUNCTION("""COMPUTED_VALUE"""),1.0)</f>
        <v>1</v>
      </c>
      <c r="O1775" s="49"/>
      <c r="P1775" s="49" t="str">
        <f>IFERROR(__xludf.DUMMYFUNCTION("""COMPUTED_VALUE"""),"Offset")</f>
        <v>Offset</v>
      </c>
      <c r="Q1775" s="49" t="str">
        <f>IFERROR(__xludf.DUMMYFUNCTION("""COMPUTED_VALUE"""),"Packaging")</f>
        <v>Packaging</v>
      </c>
      <c r="R1775" s="49" t="str">
        <f>IFERROR(__xludf.DUMMYFUNCTION("""COMPUTED_VALUE"""),"Mobile Accessories")</f>
        <v>Mobile Accessories</v>
      </c>
    </row>
    <row r="1776">
      <c r="A1776" s="156" t="str">
        <f>IFERROR(__xludf.DUMMYFUNCTION("""COMPUTED_VALUE"""),"https://drive.google.com/open?id=1gUd91goCxMhIUyGHSAkJNWqcCtpWmhZg&amp;authuser=jay.agg%40gmail.com&amp;usp=drive_fs")</f>
        <v>https://drive.google.com/open?id=1gUd91goCxMhIUyGHSAkJNWqcCtpWmhZg&amp;authuser=jay.agg%40gmail.com&amp;usp=drive_fs</v>
      </c>
      <c r="B1776" s="73" t="str">
        <f>IFERROR(__xludf.DUMMYFUNCTION("""COMPUTED_VALUE"""),"Mobile Accessories")</f>
        <v>Mobile Accessories</v>
      </c>
      <c r="C1776" s="73" t="str">
        <f>IFERROR(__xludf.DUMMYFUNCTION("""COMPUTED_VALUE"""),"Bluetooth Wireless")</f>
        <v>Bluetooth Wireless</v>
      </c>
      <c r="D1776" s="73" t="str">
        <f>IFERROR(__xludf.DUMMYFUNCTION("""COMPUTED_VALUE"""),"143*100*20 W 75*48 mm")</f>
        <v>143*100*20 W 75*48 mm</v>
      </c>
      <c r="E1776" s="77">
        <f>IFERROR(__xludf.DUMMYFUNCTION("""COMPUTED_VALUE"""),4.0)</f>
        <v>4</v>
      </c>
      <c r="F1776" s="77">
        <f>IFERROR(__xludf.DUMMYFUNCTION("""COMPUTED_VALUE"""),1926.0)</f>
        <v>1926</v>
      </c>
      <c r="G1776" s="77">
        <f>IFERROR(__xludf.DUMMYFUNCTION("""COMPUTED_VALUE"""),15.5)</f>
        <v>15.5</v>
      </c>
      <c r="H1776" s="77">
        <f>IFERROR(__xludf.DUMMYFUNCTION("""COMPUTED_VALUE"""),20.5)</f>
        <v>20.5</v>
      </c>
      <c r="I1776" s="77">
        <f>IFERROR(__xludf.DUMMYFUNCTION("""COMPUTED_VALUE"""),100.0)</f>
        <v>100</v>
      </c>
      <c r="J1776" s="73"/>
      <c r="K1776" s="73"/>
      <c r="L1776" s="73">
        <f>IFERROR(__xludf.DUMMYFUNCTION("""COMPUTED_VALUE"""),1.0)</f>
        <v>1</v>
      </c>
      <c r="M1776" s="77">
        <f>IFERROR(__xludf.DUMMYFUNCTION("""COMPUTED_VALUE"""),0.1)</f>
        <v>0.1</v>
      </c>
      <c r="N1776" s="77">
        <f>IFERROR(__xludf.DUMMYFUNCTION("""COMPUTED_VALUE"""),1.0)</f>
        <v>1</v>
      </c>
      <c r="O1776" s="49"/>
      <c r="P1776" s="49" t="str">
        <f>IFERROR(__xludf.DUMMYFUNCTION("""COMPUTED_VALUE"""),"Offset")</f>
        <v>Offset</v>
      </c>
      <c r="Q1776" s="49" t="str">
        <f>IFERROR(__xludf.DUMMYFUNCTION("""COMPUTED_VALUE"""),"Packaging")</f>
        <v>Packaging</v>
      </c>
      <c r="R1776" s="49" t="str">
        <f>IFERROR(__xludf.DUMMYFUNCTION("""COMPUTED_VALUE"""),"Mobile Accessories")</f>
        <v>Mobile Accessories</v>
      </c>
    </row>
    <row r="1777">
      <c r="A1777" s="156" t="str">
        <f>IFERROR(__xludf.DUMMYFUNCTION("""COMPUTED_VALUE"""),"https://drive.google.com/open?id=1gU0aMCU-uHPRJ5JRR74AS5b5o3lI3FZp&amp;authuser=jay.agg%40gmail.com&amp;usp=drive_fs")</f>
        <v>https://drive.google.com/open?id=1gU0aMCU-uHPRJ5JRR74AS5b5o3lI3FZp&amp;authuser=jay.agg%40gmail.com&amp;usp=drive_fs</v>
      </c>
      <c r="B1777" s="73" t="str">
        <f>IFERROR(__xludf.DUMMYFUNCTION("""COMPUTED_VALUE"""),"Mobile Accessories")</f>
        <v>Mobile Accessories</v>
      </c>
      <c r="C1777" s="73" t="str">
        <f>IFERROR(__xludf.DUMMYFUNCTION("""COMPUTED_VALUE"""),"Bluetooth Wireless")</f>
        <v>Bluetooth Wireless</v>
      </c>
      <c r="D1777" s="73" t="str">
        <f>IFERROR(__xludf.DUMMYFUNCTION("""COMPUTED_VALUE"""),"160*70*30 W 75*55 mm")</f>
        <v>160*70*30 W 75*55 mm</v>
      </c>
      <c r="E1777" s="77">
        <f>IFERROR(__xludf.DUMMYFUNCTION("""COMPUTED_VALUE"""),6.0)</f>
        <v>6</v>
      </c>
      <c r="F1777" s="77">
        <f>IFERROR(__xludf.DUMMYFUNCTION("""COMPUTED_VALUE"""),1926.0)</f>
        <v>1926</v>
      </c>
      <c r="G1777" s="77">
        <f>IFERROR(__xludf.DUMMYFUNCTION("""COMPUTED_VALUE"""),18.0)</f>
        <v>18</v>
      </c>
      <c r="H1777" s="77">
        <f>IFERROR(__xludf.DUMMYFUNCTION("""COMPUTED_VALUE"""),25.0)</f>
        <v>25</v>
      </c>
      <c r="I1777" s="77">
        <f>IFERROR(__xludf.DUMMYFUNCTION("""COMPUTED_VALUE"""),100.0)</f>
        <v>100</v>
      </c>
      <c r="J1777" s="73"/>
      <c r="K1777" s="73"/>
      <c r="L1777" s="73">
        <f>IFERROR(__xludf.DUMMYFUNCTION("""COMPUTED_VALUE"""),1.0)</f>
        <v>1</v>
      </c>
      <c r="M1777" s="77">
        <f>IFERROR(__xludf.DUMMYFUNCTION("""COMPUTED_VALUE"""),0.1)</f>
        <v>0.1</v>
      </c>
      <c r="N1777" s="77">
        <f>IFERROR(__xludf.DUMMYFUNCTION("""COMPUTED_VALUE"""),1.0)</f>
        <v>1</v>
      </c>
      <c r="O1777" s="49"/>
      <c r="P1777" s="49" t="str">
        <f>IFERROR(__xludf.DUMMYFUNCTION("""COMPUTED_VALUE"""),"Offset")</f>
        <v>Offset</v>
      </c>
      <c r="Q1777" s="49" t="str">
        <f>IFERROR(__xludf.DUMMYFUNCTION("""COMPUTED_VALUE"""),"Packaging")</f>
        <v>Packaging</v>
      </c>
      <c r="R1777" s="49" t="str">
        <f>IFERROR(__xludf.DUMMYFUNCTION("""COMPUTED_VALUE"""),"Mobile Accessories")</f>
        <v>Mobile Accessories</v>
      </c>
    </row>
    <row r="1778">
      <c r="A1778" s="156" t="str">
        <f>IFERROR(__xludf.DUMMYFUNCTION("""COMPUTED_VALUE"""),"https://drive.google.com/open?id=1gJCaGHQjJnOfn4vUVlg7oiUaCJoeDC7T&amp;authuser=jay.agg%40gmail.com&amp;usp=drive_fs")</f>
        <v>https://drive.google.com/open?id=1gJCaGHQjJnOfn4vUVlg7oiUaCJoeDC7T&amp;authuser=jay.agg%40gmail.com&amp;usp=drive_fs</v>
      </c>
      <c r="B1778" s="73" t="str">
        <f>IFERROR(__xludf.DUMMYFUNCTION("""COMPUTED_VALUE"""),"Mobile Accessories")</f>
        <v>Mobile Accessories</v>
      </c>
      <c r="C1778" s="73" t="str">
        <f>IFERROR(__xludf.DUMMYFUNCTION("""COMPUTED_VALUE"""),"Bluetooth Wireless")</f>
        <v>Bluetooth Wireless</v>
      </c>
      <c r="D1778" s="73" t="str">
        <f>IFERROR(__xludf.DUMMYFUNCTION("""COMPUTED_VALUE"""),"90*50*15 mm")</f>
        <v>90*50*15 mm</v>
      </c>
      <c r="E1778" s="77">
        <f>IFERROR(__xludf.DUMMYFUNCTION("""COMPUTED_VALUE"""),15.0)</f>
        <v>15</v>
      </c>
      <c r="F1778" s="77">
        <f>IFERROR(__xludf.DUMMYFUNCTION("""COMPUTED_VALUE"""),1926.0)</f>
        <v>1926</v>
      </c>
      <c r="G1778" s="77">
        <f>IFERROR(__xludf.DUMMYFUNCTION("""COMPUTED_VALUE"""),18.0)</f>
        <v>18</v>
      </c>
      <c r="H1778" s="77">
        <f>IFERROR(__xludf.DUMMYFUNCTION("""COMPUTED_VALUE"""),25.0)</f>
        <v>25</v>
      </c>
      <c r="I1778" s="77">
        <f>IFERROR(__xludf.DUMMYFUNCTION("""COMPUTED_VALUE"""),100.0)</f>
        <v>100</v>
      </c>
      <c r="J1778" s="73"/>
      <c r="K1778" s="73"/>
      <c r="L1778" s="73"/>
      <c r="M1778" s="77">
        <f>IFERROR(__xludf.DUMMYFUNCTION("""COMPUTED_VALUE"""),0.1)</f>
        <v>0.1</v>
      </c>
      <c r="N1778" s="77">
        <f>IFERROR(__xludf.DUMMYFUNCTION("""COMPUTED_VALUE"""),1.0)</f>
        <v>1</v>
      </c>
      <c r="O1778" s="49"/>
      <c r="P1778" s="49" t="str">
        <f>IFERROR(__xludf.DUMMYFUNCTION("""COMPUTED_VALUE"""),"Offset")</f>
        <v>Offset</v>
      </c>
      <c r="Q1778" s="49" t="str">
        <f>IFERROR(__xludf.DUMMYFUNCTION("""COMPUTED_VALUE"""),"Packaging")</f>
        <v>Packaging</v>
      </c>
      <c r="R1778" s="49" t="str">
        <f>IFERROR(__xludf.DUMMYFUNCTION("""COMPUTED_VALUE"""),"Mobile Accessories")</f>
        <v>Mobile Accessories</v>
      </c>
    </row>
    <row r="1779">
      <c r="A1779" s="156" t="str">
        <f>IFERROR(__xludf.DUMMYFUNCTION("""COMPUTED_VALUE"""),"https://drive.google.com/open?id=1fr_jYpDHzUaf8OKZpevlOxdGg0MdcrBi&amp;authuser=jay.agg%40gmail.com&amp;usp=drive_fs")</f>
        <v>https://drive.google.com/open?id=1fr_jYpDHzUaf8OKZpevlOxdGg0MdcrBi&amp;authuser=jay.agg%40gmail.com&amp;usp=drive_fs</v>
      </c>
      <c r="B1779" s="73" t="str">
        <f>IFERROR(__xludf.DUMMYFUNCTION("""COMPUTED_VALUE"""),"Mobile Accessories")</f>
        <v>Mobile Accessories</v>
      </c>
      <c r="C1779" s="73" t="str">
        <f>IFERROR(__xludf.DUMMYFUNCTION("""COMPUTED_VALUE"""),"Bluetooth Wireless")</f>
        <v>Bluetooth Wireless</v>
      </c>
      <c r="D1779" s="73" t="str">
        <f>IFERROR(__xludf.DUMMYFUNCTION("""COMPUTED_VALUE"""),"150*55*20 W 50*40 mm")</f>
        <v>150*55*20 W 50*40 mm</v>
      </c>
      <c r="E1779" s="77">
        <f>IFERROR(__xludf.DUMMYFUNCTION("""COMPUTED_VALUE"""),9.0)</f>
        <v>9</v>
      </c>
      <c r="F1779" s="77">
        <f>IFERROR(__xludf.DUMMYFUNCTION("""COMPUTED_VALUE"""),1926.0)</f>
        <v>1926</v>
      </c>
      <c r="G1779" s="77">
        <f>IFERROR(__xludf.DUMMYFUNCTION("""COMPUTED_VALUE"""),19.5)</f>
        <v>19.5</v>
      </c>
      <c r="H1779" s="77">
        <f>IFERROR(__xludf.DUMMYFUNCTION("""COMPUTED_VALUE"""),23.0)</f>
        <v>23</v>
      </c>
      <c r="I1779" s="77">
        <f>IFERROR(__xludf.DUMMYFUNCTION("""COMPUTED_VALUE"""),100.0)</f>
        <v>100</v>
      </c>
      <c r="J1779" s="73"/>
      <c r="K1779" s="73"/>
      <c r="L1779" s="73">
        <f>IFERROR(__xludf.DUMMYFUNCTION("""COMPUTED_VALUE"""),1.0)</f>
        <v>1</v>
      </c>
      <c r="M1779" s="77">
        <f>IFERROR(__xludf.DUMMYFUNCTION("""COMPUTED_VALUE"""),0.1)</f>
        <v>0.1</v>
      </c>
      <c r="N1779" s="77">
        <f>IFERROR(__xludf.DUMMYFUNCTION("""COMPUTED_VALUE"""),1.0)</f>
        <v>1</v>
      </c>
      <c r="O1779" s="49"/>
      <c r="P1779" s="49" t="str">
        <f>IFERROR(__xludf.DUMMYFUNCTION("""COMPUTED_VALUE"""),"Offset")</f>
        <v>Offset</v>
      </c>
      <c r="Q1779" s="49" t="str">
        <f>IFERROR(__xludf.DUMMYFUNCTION("""COMPUTED_VALUE"""),"Packaging")</f>
        <v>Packaging</v>
      </c>
      <c r="R1779" s="49" t="str">
        <f>IFERROR(__xludf.DUMMYFUNCTION("""COMPUTED_VALUE"""),"Mobile Accessories")</f>
        <v>Mobile Accessories</v>
      </c>
    </row>
    <row r="1780">
      <c r="A1780" s="156" t="str">
        <f>IFERROR(__xludf.DUMMYFUNCTION("""COMPUTED_VALUE"""),"https://drive.google.com/open?id=1f12I8xEZ3zQbQ4XY-hpWgONGcKuMheKA&amp;authuser=jay.agg%40gmail.com&amp;usp=drive_fs")</f>
        <v>https://drive.google.com/open?id=1f12I8xEZ3zQbQ4XY-hpWgONGcKuMheKA&amp;authuser=jay.agg%40gmail.com&amp;usp=drive_fs</v>
      </c>
      <c r="B1780" s="73" t="str">
        <f>IFERROR(__xludf.DUMMYFUNCTION("""COMPUTED_VALUE"""),"Mobile Accessories")</f>
        <v>Mobile Accessories</v>
      </c>
      <c r="C1780" s="73" t="str">
        <f>IFERROR(__xludf.DUMMYFUNCTION("""COMPUTED_VALUE"""),"USB Cable")</f>
        <v>USB Cable</v>
      </c>
      <c r="D1780" s="73" t="str">
        <f>IFERROR(__xludf.DUMMYFUNCTION("""COMPUTED_VALUE"""),"70*17*160 mm with Hanger")</f>
        <v>70*17*160 mm with Hanger</v>
      </c>
      <c r="E1780" s="77">
        <f>IFERROR(__xludf.DUMMYFUNCTION("""COMPUTED_VALUE"""),6.0)</f>
        <v>6</v>
      </c>
      <c r="F1780" s="77">
        <f>IFERROR(__xludf.DUMMYFUNCTION("""COMPUTED_VALUE"""),1926.0)</f>
        <v>1926</v>
      </c>
      <c r="G1780" s="77">
        <f>IFERROR(__xludf.DUMMYFUNCTION("""COMPUTED_VALUE"""),18.0)</f>
        <v>18</v>
      </c>
      <c r="H1780" s="77">
        <f>IFERROR(__xludf.DUMMYFUNCTION("""COMPUTED_VALUE"""),23.0)</f>
        <v>23</v>
      </c>
      <c r="I1780" s="77">
        <f>IFERROR(__xludf.DUMMYFUNCTION("""COMPUTED_VALUE"""),100.0)</f>
        <v>100</v>
      </c>
      <c r="J1780" s="73"/>
      <c r="K1780" s="73"/>
      <c r="L1780" s="73"/>
      <c r="M1780" s="77">
        <f>IFERROR(__xludf.DUMMYFUNCTION("""COMPUTED_VALUE"""),0.1)</f>
        <v>0.1</v>
      </c>
      <c r="N1780" s="77">
        <f>IFERROR(__xludf.DUMMYFUNCTION("""COMPUTED_VALUE"""),1.0)</f>
        <v>1</v>
      </c>
      <c r="O1780" s="49"/>
      <c r="P1780" s="49" t="str">
        <f>IFERROR(__xludf.DUMMYFUNCTION("""COMPUTED_VALUE"""),"Offset")</f>
        <v>Offset</v>
      </c>
      <c r="Q1780" s="49" t="str">
        <f>IFERROR(__xludf.DUMMYFUNCTION("""COMPUTED_VALUE"""),"Packaging")</f>
        <v>Packaging</v>
      </c>
      <c r="R1780" s="49" t="str">
        <f>IFERROR(__xludf.DUMMYFUNCTION("""COMPUTED_VALUE"""),"Mobile Accessories")</f>
        <v>Mobile Accessories</v>
      </c>
    </row>
    <row r="1781">
      <c r="A1781" s="156" t="str">
        <f>IFERROR(__xludf.DUMMYFUNCTION("""COMPUTED_VALUE"""),"https://drive.google.com/open?id=1fBHwkNOCZOSQBvJVx-DzOjlkd9QwypCt&amp;authuser=jay.agg%40gmail.com&amp;usp=drive_fs")</f>
        <v>https://drive.google.com/open?id=1fBHwkNOCZOSQBvJVx-DzOjlkd9QwypCt&amp;authuser=jay.agg%40gmail.com&amp;usp=drive_fs</v>
      </c>
      <c r="B1781" s="73" t="str">
        <f>IFERROR(__xludf.DUMMYFUNCTION("""COMPUTED_VALUE"""),"Mobile Accessories")</f>
        <v>Mobile Accessories</v>
      </c>
      <c r="C1781" s="73" t="str">
        <f>IFERROR(__xludf.DUMMYFUNCTION("""COMPUTED_VALUE"""),"USB Cable Outer")</f>
        <v>USB Cable Outer</v>
      </c>
      <c r="D1781" s="73" t="str">
        <f>IFERROR(__xludf.DUMMYFUNCTION("""COMPUTED_VALUE"""),"70*17*160 Outer IL")</f>
        <v>70*17*160 Outer IL</v>
      </c>
      <c r="E1781" s="77">
        <f>IFERROR(__xludf.DUMMYFUNCTION("""COMPUTED_VALUE"""),2.0)</f>
        <v>2</v>
      </c>
      <c r="F1781" s="77">
        <f>IFERROR(__xludf.DUMMYFUNCTION("""COMPUTED_VALUE"""),1926.0)</f>
        <v>1926</v>
      </c>
      <c r="G1781" s="77">
        <f>IFERROR(__xludf.DUMMYFUNCTION("""COMPUTED_VALUE"""),19.5)</f>
        <v>19.5</v>
      </c>
      <c r="H1781" s="77">
        <f>IFERROR(__xludf.DUMMYFUNCTION("""COMPUTED_VALUE"""),23.0)</f>
        <v>23</v>
      </c>
      <c r="I1781" s="77">
        <f>IFERROR(__xludf.DUMMYFUNCTION("""COMPUTED_VALUE"""),100.0)</f>
        <v>100</v>
      </c>
      <c r="J1781" s="73"/>
      <c r="K1781" s="73"/>
      <c r="L1781" s="73"/>
      <c r="M1781" s="77">
        <f>IFERROR(__xludf.DUMMYFUNCTION("""COMPUTED_VALUE"""),0.1)</f>
        <v>0.1</v>
      </c>
      <c r="N1781" s="77">
        <f>IFERROR(__xludf.DUMMYFUNCTION("""COMPUTED_VALUE"""),1.0)</f>
        <v>1</v>
      </c>
      <c r="O1781" s="49"/>
      <c r="P1781" s="49" t="str">
        <f>IFERROR(__xludf.DUMMYFUNCTION("""COMPUTED_VALUE"""),"Offset")</f>
        <v>Offset</v>
      </c>
      <c r="Q1781" s="49" t="str">
        <f>IFERROR(__xludf.DUMMYFUNCTION("""COMPUTED_VALUE"""),"Packaging")</f>
        <v>Packaging</v>
      </c>
      <c r="R1781" s="49" t="str">
        <f>IFERROR(__xludf.DUMMYFUNCTION("""COMPUTED_VALUE"""),"Mobile Accessories")</f>
        <v>Mobile Accessories</v>
      </c>
    </row>
    <row r="1782">
      <c r="A1782" s="156" t="str">
        <f>IFERROR(__xludf.DUMMYFUNCTION("""COMPUTED_VALUE"""),"https://drive.google.com/open?id=1fKL3Pzwx0RgrWftye_LHDgKqpabAxnLa&amp;authuser=jay.agg%40gmail.com&amp;usp=drive_fs")</f>
        <v>https://drive.google.com/open?id=1fKL3Pzwx0RgrWftye_LHDgKqpabAxnLa&amp;authuser=jay.agg%40gmail.com&amp;usp=drive_fs</v>
      </c>
      <c r="B1782" s="73" t="str">
        <f>IFERROR(__xludf.DUMMYFUNCTION("""COMPUTED_VALUE"""),"Mobile Accessories")</f>
        <v>Mobile Accessories</v>
      </c>
      <c r="C1782" s="73" t="str">
        <f>IFERROR(__xludf.DUMMYFUNCTION("""COMPUTED_VALUE"""),"Bluetooth Wireless")</f>
        <v>Bluetooth Wireless</v>
      </c>
      <c r="D1782" s="73" t="str">
        <f>IFERROR(__xludf.DUMMYFUNCTION("""COMPUTED_VALUE"""),"55*16*146 mm")</f>
        <v>55*16*146 mm</v>
      </c>
      <c r="E1782" s="77">
        <f>IFERROR(__xludf.DUMMYFUNCTION("""COMPUTED_VALUE"""),8.0)</f>
        <v>8</v>
      </c>
      <c r="F1782" s="77">
        <f>IFERROR(__xludf.DUMMYFUNCTION("""COMPUTED_VALUE"""),1926.0)</f>
        <v>1926</v>
      </c>
      <c r="G1782" s="77">
        <f>IFERROR(__xludf.DUMMYFUNCTION("""COMPUTED_VALUE"""),15.0)</f>
        <v>15</v>
      </c>
      <c r="H1782" s="77">
        <f>IFERROR(__xludf.DUMMYFUNCTION("""COMPUTED_VALUE"""),25.0)</f>
        <v>25</v>
      </c>
      <c r="I1782" s="77">
        <f>IFERROR(__xludf.DUMMYFUNCTION("""COMPUTED_VALUE"""),100.0)</f>
        <v>100</v>
      </c>
      <c r="J1782" s="73"/>
      <c r="K1782" s="73"/>
      <c r="L1782" s="73"/>
      <c r="M1782" s="77">
        <f>IFERROR(__xludf.DUMMYFUNCTION("""COMPUTED_VALUE"""),0.1)</f>
        <v>0.1</v>
      </c>
      <c r="N1782" s="77">
        <f>IFERROR(__xludf.DUMMYFUNCTION("""COMPUTED_VALUE"""),1.0)</f>
        <v>1</v>
      </c>
      <c r="O1782" s="49"/>
      <c r="P1782" s="49" t="str">
        <f>IFERROR(__xludf.DUMMYFUNCTION("""COMPUTED_VALUE"""),"Offset")</f>
        <v>Offset</v>
      </c>
      <c r="Q1782" s="49" t="str">
        <f>IFERROR(__xludf.DUMMYFUNCTION("""COMPUTED_VALUE"""),"Packaging")</f>
        <v>Packaging</v>
      </c>
      <c r="R1782" s="49" t="str">
        <f>IFERROR(__xludf.DUMMYFUNCTION("""COMPUTED_VALUE"""),"Mobile Accessories")</f>
        <v>Mobile Accessories</v>
      </c>
    </row>
    <row r="1783">
      <c r="A1783" s="156" t="str">
        <f>IFERROR(__xludf.DUMMYFUNCTION("""COMPUTED_VALUE"""),"https://drive.google.com/open?id=1fSunjE4TYG2EIK8V_pslGY-8c-0r5Z-l&amp;authuser=jay.agg%40gmail.com&amp;usp=drive_fs")</f>
        <v>https://drive.google.com/open?id=1fSunjE4TYG2EIK8V_pslGY-8c-0r5Z-l&amp;authuser=jay.agg%40gmail.com&amp;usp=drive_fs</v>
      </c>
      <c r="B1783" s="73" t="str">
        <f>IFERROR(__xludf.DUMMYFUNCTION("""COMPUTED_VALUE"""),"Mobile Accessories")</f>
        <v>Mobile Accessories</v>
      </c>
      <c r="C1783" s="73" t="str">
        <f>IFERROR(__xludf.DUMMYFUNCTION("""COMPUTED_VALUE"""),"Bluetooth Wireless")</f>
        <v>Bluetooth Wireless</v>
      </c>
      <c r="D1783" s="73" t="str">
        <f>IFERROR(__xludf.DUMMYFUNCTION("""COMPUTED_VALUE"""),"55*16*146 mm with Hanger")</f>
        <v>55*16*146 mm with Hanger</v>
      </c>
      <c r="E1783" s="77">
        <f>IFERROR(__xludf.DUMMYFUNCTION("""COMPUTED_VALUE"""),8.0)</f>
        <v>8</v>
      </c>
      <c r="F1783" s="77">
        <f>IFERROR(__xludf.DUMMYFUNCTION("""COMPUTED_VALUE"""),1926.0)</f>
        <v>1926</v>
      </c>
      <c r="G1783" s="77">
        <f>IFERROR(__xludf.DUMMYFUNCTION("""COMPUTED_VALUE"""),18.0)</f>
        <v>18</v>
      </c>
      <c r="H1783" s="77">
        <f>IFERROR(__xludf.DUMMYFUNCTION("""COMPUTED_VALUE"""),25.0)</f>
        <v>25</v>
      </c>
      <c r="I1783" s="77">
        <f>IFERROR(__xludf.DUMMYFUNCTION("""COMPUTED_VALUE"""),100.0)</f>
        <v>100</v>
      </c>
      <c r="J1783" s="73"/>
      <c r="K1783" s="73"/>
      <c r="L1783" s="73"/>
      <c r="M1783" s="77">
        <f>IFERROR(__xludf.DUMMYFUNCTION("""COMPUTED_VALUE"""),0.1)</f>
        <v>0.1</v>
      </c>
      <c r="N1783" s="77">
        <f>IFERROR(__xludf.DUMMYFUNCTION("""COMPUTED_VALUE"""),1.0)</f>
        <v>1</v>
      </c>
      <c r="O1783" s="49"/>
      <c r="P1783" s="49" t="str">
        <f>IFERROR(__xludf.DUMMYFUNCTION("""COMPUTED_VALUE"""),"Offset")</f>
        <v>Offset</v>
      </c>
      <c r="Q1783" s="49" t="str">
        <f>IFERROR(__xludf.DUMMYFUNCTION("""COMPUTED_VALUE"""),"Packaging")</f>
        <v>Packaging</v>
      </c>
      <c r="R1783" s="49" t="str">
        <f>IFERROR(__xludf.DUMMYFUNCTION("""COMPUTED_VALUE"""),"Mobile Accessories")</f>
        <v>Mobile Accessories</v>
      </c>
    </row>
    <row r="1784">
      <c r="A1784" s="156" t="str">
        <f>IFERROR(__xludf.DUMMYFUNCTION("""COMPUTED_VALUE"""),"https://drive.google.com/open?id=1f_PZQdMe4hhpTCzI6kuh06HxRll4n_mn&amp;authuser=jay.agg%40gmail.com&amp;usp=drive_fs")</f>
        <v>https://drive.google.com/open?id=1f_PZQdMe4hhpTCzI6kuh06HxRll4n_mn&amp;authuser=jay.agg%40gmail.com&amp;usp=drive_fs</v>
      </c>
      <c r="B1784" s="73" t="str">
        <f>IFERROR(__xludf.DUMMYFUNCTION("""COMPUTED_VALUE"""),"Mobile Accessories")</f>
        <v>Mobile Accessories</v>
      </c>
      <c r="C1784" s="73" t="str">
        <f>IFERROR(__xludf.DUMMYFUNCTION("""COMPUTED_VALUE"""),"Bluetooth Wireless Outer")</f>
        <v>Bluetooth Wireless Outer</v>
      </c>
      <c r="D1784" s="73" t="str">
        <f>IFERROR(__xludf.DUMMYFUNCTION("""COMPUTED_VALUE"""),"55*16*146 mm 10pcs IL")</f>
        <v>55*16*146 mm 10pcs IL</v>
      </c>
      <c r="E1784" s="77">
        <f>IFERROR(__xludf.DUMMYFUNCTION("""COMPUTED_VALUE"""),2.0)</f>
        <v>2</v>
      </c>
      <c r="F1784" s="77">
        <f>IFERROR(__xludf.DUMMYFUNCTION("""COMPUTED_VALUE"""),1926.0)</f>
        <v>1926</v>
      </c>
      <c r="G1784" s="77">
        <f>IFERROR(__xludf.DUMMYFUNCTION("""COMPUTED_VALUE"""),18.0)</f>
        <v>18</v>
      </c>
      <c r="H1784" s="77">
        <f>IFERROR(__xludf.DUMMYFUNCTION("""COMPUTED_VALUE"""),23.0)</f>
        <v>23</v>
      </c>
      <c r="I1784" s="77">
        <f>IFERROR(__xludf.DUMMYFUNCTION("""COMPUTED_VALUE"""),100.0)</f>
        <v>100</v>
      </c>
      <c r="J1784" s="73"/>
      <c r="K1784" s="73"/>
      <c r="L1784" s="73"/>
      <c r="M1784" s="77">
        <f>IFERROR(__xludf.DUMMYFUNCTION("""COMPUTED_VALUE"""),0.1)</f>
        <v>0.1</v>
      </c>
      <c r="N1784" s="77">
        <f>IFERROR(__xludf.DUMMYFUNCTION("""COMPUTED_VALUE"""),1.0)</f>
        <v>1</v>
      </c>
      <c r="O1784" s="49"/>
      <c r="P1784" s="49" t="str">
        <f>IFERROR(__xludf.DUMMYFUNCTION("""COMPUTED_VALUE"""),"Offset")</f>
        <v>Offset</v>
      </c>
      <c r="Q1784" s="49" t="str">
        <f>IFERROR(__xludf.DUMMYFUNCTION("""COMPUTED_VALUE"""),"Packaging")</f>
        <v>Packaging</v>
      </c>
      <c r="R1784" s="49" t="str">
        <f>IFERROR(__xludf.DUMMYFUNCTION("""COMPUTED_VALUE"""),"Mobile Accessories")</f>
        <v>Mobile Accessories</v>
      </c>
    </row>
    <row r="1785">
      <c r="A1785" s="156" t="str">
        <f>IFERROR(__xludf.DUMMYFUNCTION("""COMPUTED_VALUE"""),"https://drive.google.com/open?id=1f7RYAaOM8h2Vu3oBTUaMxQkXJlrf3aI2&amp;authuser=jay.agg%40gmail.com&amp;usp=drive_fs")</f>
        <v>https://drive.google.com/open?id=1f7RYAaOM8h2Vu3oBTUaMxQkXJlrf3aI2&amp;authuser=jay.agg%40gmail.com&amp;usp=drive_fs</v>
      </c>
      <c r="B1785" s="73" t="str">
        <f>IFERROR(__xludf.DUMMYFUNCTION("""COMPUTED_VALUE"""),"Mobile Accessories")</f>
        <v>Mobile Accessories</v>
      </c>
      <c r="C1785" s="73" t="str">
        <f>IFERROR(__xludf.DUMMYFUNCTION("""COMPUTED_VALUE"""),"USB Cable")</f>
        <v>USB Cable</v>
      </c>
      <c r="D1785" s="73" t="str">
        <f>IFERROR(__xludf.DUMMYFUNCTION("""COMPUTED_VALUE"""),"60*15*140 mm with Hanger")</f>
        <v>60*15*140 mm with Hanger</v>
      </c>
      <c r="E1785" s="77">
        <f>IFERROR(__xludf.DUMMYFUNCTION("""COMPUTED_VALUE"""),6.0)</f>
        <v>6</v>
      </c>
      <c r="F1785" s="77">
        <f>IFERROR(__xludf.DUMMYFUNCTION("""COMPUTED_VALUE"""),1926.0)</f>
        <v>1926</v>
      </c>
      <c r="G1785" s="77">
        <f>IFERROR(__xludf.DUMMYFUNCTION("""COMPUTED_VALUE"""),18.0)</f>
        <v>18</v>
      </c>
      <c r="H1785" s="77">
        <f>IFERROR(__xludf.DUMMYFUNCTION("""COMPUTED_VALUE"""),21.0)</f>
        <v>21</v>
      </c>
      <c r="I1785" s="77">
        <f>IFERROR(__xludf.DUMMYFUNCTION("""COMPUTED_VALUE"""),100.0)</f>
        <v>100</v>
      </c>
      <c r="J1785" s="73"/>
      <c r="K1785" s="73"/>
      <c r="L1785" s="73"/>
      <c r="M1785" s="77">
        <f>IFERROR(__xludf.DUMMYFUNCTION("""COMPUTED_VALUE"""),0.1)</f>
        <v>0.1</v>
      </c>
      <c r="N1785" s="77">
        <f>IFERROR(__xludf.DUMMYFUNCTION("""COMPUTED_VALUE"""),1.0)</f>
        <v>1</v>
      </c>
      <c r="O1785" s="49"/>
      <c r="P1785" s="49" t="str">
        <f>IFERROR(__xludf.DUMMYFUNCTION("""COMPUTED_VALUE"""),"Offset")</f>
        <v>Offset</v>
      </c>
      <c r="Q1785" s="49" t="str">
        <f>IFERROR(__xludf.DUMMYFUNCTION("""COMPUTED_VALUE"""),"Packaging")</f>
        <v>Packaging</v>
      </c>
      <c r="R1785" s="49" t="str">
        <f>IFERROR(__xludf.DUMMYFUNCTION("""COMPUTED_VALUE"""),"Mobile Accessories")</f>
        <v>Mobile Accessories</v>
      </c>
    </row>
    <row r="1786">
      <c r="A1786" s="156" t="str">
        <f>IFERROR(__xludf.DUMMYFUNCTION("""COMPUTED_VALUE"""),"https://drive.google.com/open?id=1ewDLf-Wni_9fV3SS5ImoeLcSeD9Y0vrw&amp;authuser=jay.agg%40gmail.com&amp;usp=drive_fs")</f>
        <v>https://drive.google.com/open?id=1ewDLf-Wni_9fV3SS5ImoeLcSeD9Y0vrw&amp;authuser=jay.agg%40gmail.com&amp;usp=drive_fs</v>
      </c>
      <c r="B1786" s="73" t="str">
        <f>IFERROR(__xludf.DUMMYFUNCTION("""COMPUTED_VALUE"""),"Mobile Accessories")</f>
        <v>Mobile Accessories</v>
      </c>
      <c r="C1786" s="73" t="str">
        <f>IFERROR(__xludf.DUMMYFUNCTION("""COMPUTED_VALUE"""),"Car Charger")</f>
        <v>Car Charger</v>
      </c>
      <c r="D1786" s="73" t="str">
        <f>IFERROR(__xludf.DUMMYFUNCTION("""COMPUTED_VALUE"""),"76*30*173 mm (w 56*90)")</f>
        <v>76*30*173 mm (w 56*90)</v>
      </c>
      <c r="E1786" s="77">
        <f>IFERROR(__xludf.DUMMYFUNCTION("""COMPUTED_VALUE"""),4.0)</f>
        <v>4</v>
      </c>
      <c r="F1786" s="77">
        <f>IFERROR(__xludf.DUMMYFUNCTION("""COMPUTED_VALUE"""),1926.0)</f>
        <v>1926</v>
      </c>
      <c r="G1786" s="77">
        <f>IFERROR(__xludf.DUMMYFUNCTION("""COMPUTED_VALUE"""),18.0)</f>
        <v>18</v>
      </c>
      <c r="H1786" s="77">
        <f>IFERROR(__xludf.DUMMYFUNCTION("""COMPUTED_VALUE"""),19.0)</f>
        <v>19</v>
      </c>
      <c r="I1786" s="77">
        <f>IFERROR(__xludf.DUMMYFUNCTION("""COMPUTED_VALUE"""),100.0)</f>
        <v>100</v>
      </c>
      <c r="J1786" s="73"/>
      <c r="K1786" s="73"/>
      <c r="L1786" s="73">
        <f>IFERROR(__xludf.DUMMYFUNCTION("""COMPUTED_VALUE"""),1.1)</f>
        <v>1.1</v>
      </c>
      <c r="M1786" s="77">
        <f>IFERROR(__xludf.DUMMYFUNCTION("""COMPUTED_VALUE"""),0.1)</f>
        <v>0.1</v>
      </c>
      <c r="N1786" s="77">
        <f>IFERROR(__xludf.DUMMYFUNCTION("""COMPUTED_VALUE"""),1.0)</f>
        <v>1</v>
      </c>
      <c r="O1786" s="49"/>
      <c r="P1786" s="49" t="str">
        <f>IFERROR(__xludf.DUMMYFUNCTION("""COMPUTED_VALUE"""),"Offset")</f>
        <v>Offset</v>
      </c>
      <c r="Q1786" s="49" t="str">
        <f>IFERROR(__xludf.DUMMYFUNCTION("""COMPUTED_VALUE"""),"Packaging")</f>
        <v>Packaging</v>
      </c>
      <c r="R1786" s="49" t="str">
        <f>IFERROR(__xludf.DUMMYFUNCTION("""COMPUTED_VALUE"""),"Mobile Accessories")</f>
        <v>Mobile Accessories</v>
      </c>
    </row>
    <row r="1787">
      <c r="A1787" s="156" t="str">
        <f>IFERROR(__xludf.DUMMYFUNCTION("""COMPUTED_VALUE"""),"https://drive.google.com/open?id=1f0RST6CKfRcylkPnl2DD3RP54QLBPLeb&amp;authuser=jay.agg%40gmail.com&amp;usp=drive_fs")</f>
        <v>https://drive.google.com/open?id=1f0RST6CKfRcylkPnl2DD3RP54QLBPLeb&amp;authuser=jay.agg%40gmail.com&amp;usp=drive_fs</v>
      </c>
      <c r="B1787" s="73" t="str">
        <f>IFERROR(__xludf.DUMMYFUNCTION("""COMPUTED_VALUE"""),"Mobile Accessories")</f>
        <v>Mobile Accessories</v>
      </c>
      <c r="C1787" s="73" t="str">
        <f>IFERROR(__xludf.DUMMYFUNCTION("""COMPUTED_VALUE"""),"USB Charger")</f>
        <v>USB Charger</v>
      </c>
      <c r="D1787" s="73" t="str">
        <f>IFERROR(__xludf.DUMMYFUNCTION("""COMPUTED_VALUE"""),"73*28*160 mm (w 54*72.5)")</f>
        <v>73*28*160 mm (w 54*72.5)</v>
      </c>
      <c r="E1787" s="77">
        <f>IFERROR(__xludf.DUMMYFUNCTION("""COMPUTED_VALUE"""),6.0)</f>
        <v>6</v>
      </c>
      <c r="F1787" s="77">
        <f>IFERROR(__xludf.DUMMYFUNCTION("""COMPUTED_VALUE"""),1926.0)</f>
        <v>1926</v>
      </c>
      <c r="G1787" s="77">
        <f>IFERROR(__xludf.DUMMYFUNCTION("""COMPUTED_VALUE"""),18.0)</f>
        <v>18</v>
      </c>
      <c r="H1787" s="77">
        <f>IFERROR(__xludf.DUMMYFUNCTION("""COMPUTED_VALUE"""),28.0)</f>
        <v>28</v>
      </c>
      <c r="I1787" s="77">
        <f>IFERROR(__xludf.DUMMYFUNCTION("""COMPUTED_VALUE"""),100.0)</f>
        <v>100</v>
      </c>
      <c r="J1787" s="73"/>
      <c r="K1787" s="73"/>
      <c r="L1787" s="73">
        <f>IFERROR(__xludf.DUMMYFUNCTION("""COMPUTED_VALUE"""),1.0)</f>
        <v>1</v>
      </c>
      <c r="M1787" s="77">
        <f>IFERROR(__xludf.DUMMYFUNCTION("""COMPUTED_VALUE"""),0.1)</f>
        <v>0.1</v>
      </c>
      <c r="N1787" s="77">
        <f>IFERROR(__xludf.DUMMYFUNCTION("""COMPUTED_VALUE"""),1.0)</f>
        <v>1</v>
      </c>
      <c r="O1787" s="49"/>
      <c r="P1787" s="49" t="str">
        <f>IFERROR(__xludf.DUMMYFUNCTION("""COMPUTED_VALUE"""),"Offset")</f>
        <v>Offset</v>
      </c>
      <c r="Q1787" s="49" t="str">
        <f>IFERROR(__xludf.DUMMYFUNCTION("""COMPUTED_VALUE"""),"Packaging")</f>
        <v>Packaging</v>
      </c>
      <c r="R1787" s="49" t="str">
        <f>IFERROR(__xludf.DUMMYFUNCTION("""COMPUTED_VALUE"""),"Mobile Accessories")</f>
        <v>Mobile Accessories</v>
      </c>
    </row>
    <row r="1788">
      <c r="A1788" s="156" t="str">
        <f>IFERROR(__xludf.DUMMYFUNCTION("""COMPUTED_VALUE"""),"https://drive.google.com/open?id=1ex_lUNgzXyCpgLn63JNh8PMxYZT1JgV2&amp;authuser=jay.agg%40gmail.com&amp;usp=drive_fs")</f>
        <v>https://drive.google.com/open?id=1ex_lUNgzXyCpgLn63JNh8PMxYZT1JgV2&amp;authuser=jay.agg%40gmail.com&amp;usp=drive_fs</v>
      </c>
      <c r="B1788" s="73" t="str">
        <f>IFERROR(__xludf.DUMMYFUNCTION("""COMPUTED_VALUE"""),"Mobile Accessories")</f>
        <v>Mobile Accessories</v>
      </c>
      <c r="C1788" s="73" t="str">
        <f>IFERROR(__xludf.DUMMYFUNCTION("""COMPUTED_VALUE"""),"Car + USB")</f>
        <v>Car + USB</v>
      </c>
      <c r="D1788" s="73" t="str">
        <f>IFERROR(__xludf.DUMMYFUNCTION("""COMPUTED_VALUE"""),"MOQ 76*30*172 4 | 73*28*160")</f>
        <v>MOQ 76*30*172 4 | 73*28*160</v>
      </c>
      <c r="E1788" s="77">
        <f>IFERROR(__xludf.DUMMYFUNCTION("""COMPUTED_VALUE"""),6.0)</f>
        <v>6</v>
      </c>
      <c r="F1788" s="77">
        <f>IFERROR(__xludf.DUMMYFUNCTION("""COMPUTED_VALUE"""),2029.0)</f>
        <v>2029</v>
      </c>
      <c r="G1788" s="77">
        <f>IFERROR(__xludf.DUMMYFUNCTION("""COMPUTED_VALUE"""),20.0)</f>
        <v>20</v>
      </c>
      <c r="H1788" s="77">
        <f>IFERROR(__xludf.DUMMYFUNCTION("""COMPUTED_VALUE"""),28.0)</f>
        <v>28</v>
      </c>
      <c r="I1788" s="77">
        <f>IFERROR(__xludf.DUMMYFUNCTION("""COMPUTED_VALUE"""),100.0)</f>
        <v>100</v>
      </c>
      <c r="J1788" s="73"/>
      <c r="K1788" s="73"/>
      <c r="L1788" s="73">
        <f>IFERROR(__xludf.DUMMYFUNCTION("""COMPUTED_VALUE"""),1.05)</f>
        <v>1.05</v>
      </c>
      <c r="M1788" s="77">
        <f>IFERROR(__xludf.DUMMYFUNCTION("""COMPUTED_VALUE"""),0.1)</f>
        <v>0.1</v>
      </c>
      <c r="N1788" s="77">
        <f>IFERROR(__xludf.DUMMYFUNCTION("""COMPUTED_VALUE"""),1.0)</f>
        <v>1</v>
      </c>
      <c r="O1788" s="49"/>
      <c r="P1788" s="49" t="str">
        <f>IFERROR(__xludf.DUMMYFUNCTION("""COMPUTED_VALUE"""),"Offset")</f>
        <v>Offset</v>
      </c>
      <c r="Q1788" s="49" t="str">
        <f>IFERROR(__xludf.DUMMYFUNCTION("""COMPUTED_VALUE"""),"Packaging")</f>
        <v>Packaging</v>
      </c>
      <c r="R1788" s="49" t="str">
        <f>IFERROR(__xludf.DUMMYFUNCTION("""COMPUTED_VALUE"""),"Mobile Accessories")</f>
        <v>Mobile Accessories</v>
      </c>
    </row>
    <row r="1789">
      <c r="A1789" s="156" t="str">
        <f>IFERROR(__xludf.DUMMYFUNCTION("""COMPUTED_VALUE"""),"https://drive.google.com/open?id=1hHhPsgLVcl5Zg3q9msESpaN7bTE5ka6X&amp;authuser=jay.agg%40gmail.com&amp;usp=drive_fs")</f>
        <v>https://drive.google.com/open?id=1hHhPsgLVcl5Zg3q9msESpaN7bTE5ka6X&amp;authuser=jay.agg%40gmail.com&amp;usp=drive_fs</v>
      </c>
      <c r="B1789" s="73" t="str">
        <f>IFERROR(__xludf.DUMMYFUNCTION("""COMPUTED_VALUE"""),"Mobile Accessories")</f>
        <v>Mobile Accessories</v>
      </c>
      <c r="C1789" s="73" t="str">
        <f>IFERROR(__xludf.DUMMYFUNCTION("""COMPUTED_VALUE"""),"USB Cable Outer")</f>
        <v>USB Cable Outer</v>
      </c>
      <c r="D1789" s="73" t="str">
        <f>IFERROR(__xludf.DUMMYFUNCTION("""COMPUTED_VALUE"""),"76x25x152 mm Outer")</f>
        <v>76x25x152 mm Outer</v>
      </c>
      <c r="E1789" s="77">
        <f>IFERROR(__xludf.DUMMYFUNCTION("""COMPUTED_VALUE"""),1.0)</f>
        <v>1</v>
      </c>
      <c r="F1789" s="77">
        <f>IFERROR(__xludf.DUMMYFUNCTION("""COMPUTED_VALUE"""),1926.0)</f>
        <v>1926</v>
      </c>
      <c r="G1789" s="77">
        <f>IFERROR(__xludf.DUMMYFUNCTION("""COMPUTED_VALUE"""),18.0)</f>
        <v>18</v>
      </c>
      <c r="H1789" s="77">
        <f>IFERROR(__xludf.DUMMYFUNCTION("""COMPUTED_VALUE"""),23.0)</f>
        <v>23</v>
      </c>
      <c r="I1789" s="77">
        <f>IFERROR(__xludf.DUMMYFUNCTION("""COMPUTED_VALUE"""),100.0)</f>
        <v>100</v>
      </c>
      <c r="J1789" s="73"/>
      <c r="K1789" s="73"/>
      <c r="L1789" s="73"/>
      <c r="M1789" s="77">
        <f>IFERROR(__xludf.DUMMYFUNCTION("""COMPUTED_VALUE"""),0.1)</f>
        <v>0.1</v>
      </c>
      <c r="N1789" s="77">
        <f>IFERROR(__xludf.DUMMYFUNCTION("""COMPUTED_VALUE"""),1.0)</f>
        <v>1</v>
      </c>
      <c r="O1789" s="49"/>
      <c r="P1789" s="49" t="str">
        <f>IFERROR(__xludf.DUMMYFUNCTION("""COMPUTED_VALUE"""),"Offset")</f>
        <v>Offset</v>
      </c>
      <c r="Q1789" s="49" t="str">
        <f>IFERROR(__xludf.DUMMYFUNCTION("""COMPUTED_VALUE"""),"Packaging")</f>
        <v>Packaging</v>
      </c>
      <c r="R1789" s="49" t="str">
        <f>IFERROR(__xludf.DUMMYFUNCTION("""COMPUTED_VALUE"""),"Mobile Accessories")</f>
        <v>Mobile Accessories</v>
      </c>
    </row>
    <row r="1790">
      <c r="A1790" s="156" t="str">
        <f>IFERROR(__xludf.DUMMYFUNCTION("""COMPUTED_VALUE"""),"https://drive.google.com/open?id=1eZyQeZBQq9qcFgEgi6dAOn6y4uY5rKF_&amp;authuser=jay.agg%40gmail.com&amp;usp=drive_fs")</f>
        <v>https://drive.google.com/open?id=1eZyQeZBQq9qcFgEgi6dAOn6y4uY5rKF_&amp;authuser=jay.agg%40gmail.com&amp;usp=drive_fs</v>
      </c>
      <c r="B1790" s="73" t="str">
        <f>IFERROR(__xludf.DUMMYFUNCTION("""COMPUTED_VALUE"""),"Mobile Accessories")</f>
        <v>Mobile Accessories</v>
      </c>
      <c r="C1790" s="73" t="str">
        <f>IFERROR(__xludf.DUMMYFUNCTION("""COMPUTED_VALUE"""),"Mizi")</f>
        <v>Mizi</v>
      </c>
      <c r="D1790" s="73" t="str">
        <f>IFERROR(__xludf.DUMMYFUNCTION("""COMPUTED_VALUE"""),"51*26*178 mm")</f>
        <v>51*26*178 mm</v>
      </c>
      <c r="E1790" s="77">
        <f>IFERROR(__xludf.DUMMYFUNCTION("""COMPUTED_VALUE"""),6.0)</f>
        <v>6</v>
      </c>
      <c r="F1790" s="77">
        <f>IFERROR(__xludf.DUMMYFUNCTION("""COMPUTED_VALUE"""),1926.0)</f>
        <v>1926</v>
      </c>
      <c r="G1790" s="77">
        <f>IFERROR(__xludf.DUMMYFUNCTION("""COMPUTED_VALUE"""),20.0)</f>
        <v>20</v>
      </c>
      <c r="H1790" s="77">
        <f>IFERROR(__xludf.DUMMYFUNCTION("""COMPUTED_VALUE"""),21.0)</f>
        <v>21</v>
      </c>
      <c r="I1790" s="77">
        <f>IFERROR(__xludf.DUMMYFUNCTION("""COMPUTED_VALUE"""),100.0)</f>
        <v>100</v>
      </c>
      <c r="J1790" s="73"/>
      <c r="K1790" s="73"/>
      <c r="L1790" s="73"/>
      <c r="M1790" s="77">
        <f>IFERROR(__xludf.DUMMYFUNCTION("""COMPUTED_VALUE"""),0.1)</f>
        <v>0.1</v>
      </c>
      <c r="N1790" s="77">
        <f>IFERROR(__xludf.DUMMYFUNCTION("""COMPUTED_VALUE"""),1.0)</f>
        <v>1</v>
      </c>
      <c r="O1790" s="49"/>
      <c r="P1790" s="49" t="str">
        <f>IFERROR(__xludf.DUMMYFUNCTION("""COMPUTED_VALUE"""),"Offset")</f>
        <v>Offset</v>
      </c>
      <c r="Q1790" s="49" t="str">
        <f>IFERROR(__xludf.DUMMYFUNCTION("""COMPUTED_VALUE"""),"Packaging")</f>
        <v>Packaging</v>
      </c>
      <c r="R1790" s="49" t="str">
        <f>IFERROR(__xludf.DUMMYFUNCTION("""COMPUTED_VALUE"""),"Mobile Accessories")</f>
        <v>Mobile Accessories</v>
      </c>
    </row>
    <row r="1791">
      <c r="A1791" s="156" t="str">
        <f>IFERROR(__xludf.DUMMYFUNCTION("""COMPUTED_VALUE"""),"https://drive.google.com/open?id=1eghXV9fm_0cCaTcn8CyYB3EU-zMdG0KI&amp;authuser=jay.agg%40gmail.com&amp;usp=drive_fs")</f>
        <v>https://drive.google.com/open?id=1eghXV9fm_0cCaTcn8CyYB3EU-zMdG0KI&amp;authuser=jay.agg%40gmail.com&amp;usp=drive_fs</v>
      </c>
      <c r="B1791" s="73" t="str">
        <f>IFERROR(__xludf.DUMMYFUNCTION("""COMPUTED_VALUE"""),"Mobile Accessories")</f>
        <v>Mobile Accessories</v>
      </c>
      <c r="C1791" s="73" t="str">
        <f>IFERROR(__xludf.DUMMYFUNCTION("""COMPUTED_VALUE"""),"Mizi Tray")</f>
        <v>Mizi Tray</v>
      </c>
      <c r="D1791" s="73" t="str">
        <f>IFERROR(__xludf.DUMMYFUNCTION("""COMPUTED_VALUE"""),"Tray 51*26*178 mm")</f>
        <v>Tray 51*26*178 mm</v>
      </c>
      <c r="E1791" s="77">
        <f>IFERROR(__xludf.DUMMYFUNCTION("""COMPUTED_VALUE"""),6.0)</f>
        <v>6</v>
      </c>
      <c r="F1791" s="77">
        <f>IFERROR(__xludf.DUMMYFUNCTION("""COMPUTED_VALUE"""),1926.0)</f>
        <v>1926</v>
      </c>
      <c r="G1791" s="77">
        <f>IFERROR(__xludf.DUMMYFUNCTION("""COMPUTED_VALUE"""),18.0)</f>
        <v>18</v>
      </c>
      <c r="H1791" s="77">
        <f>IFERROR(__xludf.DUMMYFUNCTION("""COMPUTED_VALUE"""),22.0)</f>
        <v>22</v>
      </c>
      <c r="I1791" s="77">
        <f>IFERROR(__xludf.DUMMYFUNCTION("""COMPUTED_VALUE"""),100.0)</f>
        <v>100</v>
      </c>
      <c r="J1791" s="73"/>
      <c r="K1791" s="73"/>
      <c r="L1791" s="73"/>
      <c r="M1791" s="77"/>
      <c r="N1791" s="77">
        <f>IFERROR(__xludf.DUMMYFUNCTION("""COMPUTED_VALUE"""),1.0)</f>
        <v>1</v>
      </c>
      <c r="O1791" s="49"/>
      <c r="P1791" s="49" t="str">
        <f>IFERROR(__xludf.DUMMYFUNCTION("""COMPUTED_VALUE"""),"Offset")</f>
        <v>Offset</v>
      </c>
      <c r="Q1791" s="49" t="str">
        <f>IFERROR(__xludf.DUMMYFUNCTION("""COMPUTED_VALUE"""),"Packaging")</f>
        <v>Packaging</v>
      </c>
      <c r="R1791" s="49" t="str">
        <f>IFERROR(__xludf.DUMMYFUNCTION("""COMPUTED_VALUE"""),"Mobile Accessories")</f>
        <v>Mobile Accessories</v>
      </c>
    </row>
    <row r="1792">
      <c r="A1792" s="156" t="str">
        <f>IFERROR(__xludf.DUMMYFUNCTION("""COMPUTED_VALUE"""),"https://drive.google.com/open?id=1eiBdJ0jgsiYV1jSEgZOyzjmbIdD7LBsB&amp;authuser=jay.agg%40gmail.com&amp;usp=drive_fs")</f>
        <v>https://drive.google.com/open?id=1eiBdJ0jgsiYV1jSEgZOyzjmbIdD7LBsB&amp;authuser=jay.agg%40gmail.com&amp;usp=drive_fs</v>
      </c>
      <c r="B1792" s="73" t="str">
        <f>IFERROR(__xludf.DUMMYFUNCTION("""COMPUTED_VALUE"""),"Mobile Accessories")</f>
        <v>Mobile Accessories</v>
      </c>
      <c r="C1792" s="73" t="str">
        <f>IFERROR(__xludf.DUMMYFUNCTION("""COMPUTED_VALUE"""),"Mizi")</f>
        <v>Mizi</v>
      </c>
      <c r="D1792" s="73" t="str">
        <f>IFERROR(__xludf.DUMMYFUNCTION("""COMPUTED_VALUE"""),"90*90*32 mm")</f>
        <v>90*90*32 mm</v>
      </c>
      <c r="E1792" s="77">
        <f>IFERROR(__xludf.DUMMYFUNCTION("""COMPUTED_VALUE"""),6.0)</f>
        <v>6</v>
      </c>
      <c r="F1792" s="77">
        <f>IFERROR(__xludf.DUMMYFUNCTION("""COMPUTED_VALUE"""),1926.0)</f>
        <v>1926</v>
      </c>
      <c r="G1792" s="77">
        <f>IFERROR(__xludf.DUMMYFUNCTION("""COMPUTED_VALUE"""),18.0)</f>
        <v>18</v>
      </c>
      <c r="H1792" s="77">
        <f>IFERROR(__xludf.DUMMYFUNCTION("""COMPUTED_VALUE"""),21.0)</f>
        <v>21</v>
      </c>
      <c r="I1792" s="77">
        <f>IFERROR(__xludf.DUMMYFUNCTION("""COMPUTED_VALUE"""),100.0)</f>
        <v>100</v>
      </c>
      <c r="J1792" s="73"/>
      <c r="K1792" s="73"/>
      <c r="L1792" s="73"/>
      <c r="M1792" s="77">
        <f>IFERROR(__xludf.DUMMYFUNCTION("""COMPUTED_VALUE"""),0.1)</f>
        <v>0.1</v>
      </c>
      <c r="N1792" s="77">
        <f>IFERROR(__xludf.DUMMYFUNCTION("""COMPUTED_VALUE"""),1.0)</f>
        <v>1</v>
      </c>
      <c r="O1792" s="49"/>
      <c r="P1792" s="49" t="str">
        <f>IFERROR(__xludf.DUMMYFUNCTION("""COMPUTED_VALUE"""),"Offset")</f>
        <v>Offset</v>
      </c>
      <c r="Q1792" s="49" t="str">
        <f>IFERROR(__xludf.DUMMYFUNCTION("""COMPUTED_VALUE"""),"Packaging")</f>
        <v>Packaging</v>
      </c>
      <c r="R1792" s="49" t="str">
        <f>IFERROR(__xludf.DUMMYFUNCTION("""COMPUTED_VALUE"""),"Mobile Accessories")</f>
        <v>Mobile Accessories</v>
      </c>
    </row>
    <row r="1793">
      <c r="A1793" s="156" t="str">
        <f>IFERROR(__xludf.DUMMYFUNCTION("""COMPUTED_VALUE"""),"https://drive.google.com/open?id=1ek0d_XG1kFklmxSUZcn7j_kTqlEFODY_&amp;authuser=jay.agg%40gmail.com&amp;usp=drive_fs")</f>
        <v>https://drive.google.com/open?id=1ek0d_XG1kFklmxSUZcn7j_kTqlEFODY_&amp;authuser=jay.agg%40gmail.com&amp;usp=drive_fs</v>
      </c>
      <c r="B1793" s="73" t="str">
        <f>IFERROR(__xludf.DUMMYFUNCTION("""COMPUTED_VALUE"""),"Mobile Accessories")</f>
        <v>Mobile Accessories</v>
      </c>
      <c r="C1793" s="73" t="str">
        <f>IFERROR(__xludf.DUMMYFUNCTION("""COMPUTED_VALUE"""),"Mizi Tray")</f>
        <v>Mizi Tray</v>
      </c>
      <c r="D1793" s="73" t="str">
        <f>IFERROR(__xludf.DUMMYFUNCTION("""COMPUTED_VALUE"""),"Tray 90*90*32 mm")</f>
        <v>Tray 90*90*32 mm</v>
      </c>
      <c r="E1793" s="77">
        <f>IFERROR(__xludf.DUMMYFUNCTION("""COMPUTED_VALUE"""),6.0)</f>
        <v>6</v>
      </c>
      <c r="F1793" s="77">
        <f>IFERROR(__xludf.DUMMYFUNCTION("""COMPUTED_VALUE"""),1926.0)</f>
        <v>1926</v>
      </c>
      <c r="G1793" s="77">
        <f>IFERROR(__xludf.DUMMYFUNCTION("""COMPUTED_VALUE"""),18.0)</f>
        <v>18</v>
      </c>
      <c r="H1793" s="77">
        <f>IFERROR(__xludf.DUMMYFUNCTION("""COMPUTED_VALUE"""),25.0)</f>
        <v>25</v>
      </c>
      <c r="I1793" s="77">
        <f>IFERROR(__xludf.DUMMYFUNCTION("""COMPUTED_VALUE"""),100.0)</f>
        <v>100</v>
      </c>
      <c r="J1793" s="73"/>
      <c r="K1793" s="73"/>
      <c r="L1793" s="73"/>
      <c r="M1793" s="77"/>
      <c r="N1793" s="77">
        <f>IFERROR(__xludf.DUMMYFUNCTION("""COMPUTED_VALUE"""),1.0)</f>
        <v>1</v>
      </c>
      <c r="O1793" s="49"/>
      <c r="P1793" s="49" t="str">
        <f>IFERROR(__xludf.DUMMYFUNCTION("""COMPUTED_VALUE"""),"Offset")</f>
        <v>Offset</v>
      </c>
      <c r="Q1793" s="49" t="str">
        <f>IFERROR(__xludf.DUMMYFUNCTION("""COMPUTED_VALUE"""),"Packaging")</f>
        <v>Packaging</v>
      </c>
      <c r="R1793" s="49" t="str">
        <f>IFERROR(__xludf.DUMMYFUNCTION("""COMPUTED_VALUE"""),"Mobile Accessories")</f>
        <v>Mobile Accessories</v>
      </c>
    </row>
    <row r="1794">
      <c r="A1794" s="156" t="str">
        <f>IFERROR(__xludf.DUMMYFUNCTION("""COMPUTED_VALUE"""),"https://drive.google.com/open?id=1eKZ-k6RF8-8-nwtkdQoPBD_MnVuw_rc_&amp;authuser=jay.agg%40gmail.com&amp;usp=drive_fs")</f>
        <v>https://drive.google.com/open?id=1eKZ-k6RF8-8-nwtkdQoPBD_MnVuw_rc_&amp;authuser=jay.agg%40gmail.com&amp;usp=drive_fs</v>
      </c>
      <c r="B1794" s="73" t="str">
        <f>IFERROR(__xludf.DUMMYFUNCTION("""COMPUTED_VALUE"""),"Mobile Accessories")</f>
        <v>Mobile Accessories</v>
      </c>
      <c r="C1794" s="73" t="str">
        <f>IFERROR(__xludf.DUMMYFUNCTION("""COMPUTED_VALUE"""),"USB Charger")</f>
        <v>USB Charger</v>
      </c>
      <c r="D1794" s="73" t="str">
        <f>IFERROR(__xludf.DUMMYFUNCTION("""COMPUTED_VALUE"""),"70*35*120 W 87*50 m")</f>
        <v>70*35*120 W 87*50 m</v>
      </c>
      <c r="E1794" s="77">
        <f>IFERROR(__xludf.DUMMYFUNCTION("""COMPUTED_VALUE"""),6.0)</f>
        <v>6</v>
      </c>
      <c r="F1794" s="77">
        <f>IFERROR(__xludf.DUMMYFUNCTION("""COMPUTED_VALUE"""),1926.0)</f>
        <v>1926</v>
      </c>
      <c r="G1794" s="77">
        <f>IFERROR(__xludf.DUMMYFUNCTION("""COMPUTED_VALUE"""),18.0)</f>
        <v>18</v>
      </c>
      <c r="H1794" s="77">
        <f>IFERROR(__xludf.DUMMYFUNCTION("""COMPUTED_VALUE"""),23.0)</f>
        <v>23</v>
      </c>
      <c r="I1794" s="77">
        <f>IFERROR(__xludf.DUMMYFUNCTION("""COMPUTED_VALUE"""),100.0)</f>
        <v>100</v>
      </c>
      <c r="J1794" s="73"/>
      <c r="K1794" s="73"/>
      <c r="L1794" s="73">
        <f>IFERROR(__xludf.DUMMYFUNCTION("""COMPUTED_VALUE"""),1.2)</f>
        <v>1.2</v>
      </c>
      <c r="M1794" s="77">
        <f>IFERROR(__xludf.DUMMYFUNCTION("""COMPUTED_VALUE"""),0.1)</f>
        <v>0.1</v>
      </c>
      <c r="N1794" s="77">
        <f>IFERROR(__xludf.DUMMYFUNCTION("""COMPUTED_VALUE"""),1.0)</f>
        <v>1</v>
      </c>
      <c r="O1794" s="49"/>
      <c r="P1794" s="49" t="str">
        <f>IFERROR(__xludf.DUMMYFUNCTION("""COMPUTED_VALUE"""),"Offset")</f>
        <v>Offset</v>
      </c>
      <c r="Q1794" s="49" t="str">
        <f>IFERROR(__xludf.DUMMYFUNCTION("""COMPUTED_VALUE"""),"Packaging")</f>
        <v>Packaging</v>
      </c>
      <c r="R1794" s="49" t="str">
        <f>IFERROR(__xludf.DUMMYFUNCTION("""COMPUTED_VALUE"""),"Mobile Accessories")</f>
        <v>Mobile Accessories</v>
      </c>
    </row>
    <row r="1795">
      <c r="A1795" s="156" t="str">
        <f>IFERROR(__xludf.DUMMYFUNCTION("""COMPUTED_VALUE"""),"https://drive.google.com/open?id=1eOjHq8hKNypz5oPu93gI4Ka_MVsagRu0&amp;authuser=jay.agg%40gmail.com&amp;usp=drive_fs")</f>
        <v>https://drive.google.com/open?id=1eOjHq8hKNypz5oPu93gI4Ka_MVsagRu0&amp;authuser=jay.agg%40gmail.com&amp;usp=drive_fs</v>
      </c>
      <c r="B1795" s="73" t="str">
        <f>IFERROR(__xludf.DUMMYFUNCTION("""COMPUTED_VALUE"""),"Mobile Accessories")</f>
        <v>Mobile Accessories</v>
      </c>
      <c r="C1795" s="73" t="str">
        <f>IFERROR(__xludf.DUMMYFUNCTION("""COMPUTED_VALUE"""),"USB Tray")</f>
        <v>USB Tray</v>
      </c>
      <c r="D1795" s="73" t="str">
        <f>IFERROR(__xludf.DUMMYFUNCTION("""COMPUTED_VALUE"""),"Tray 70*35*120")</f>
        <v>Tray 70*35*120</v>
      </c>
      <c r="E1795" s="77">
        <f>IFERROR(__xludf.DUMMYFUNCTION("""COMPUTED_VALUE"""),14.0)</f>
        <v>14</v>
      </c>
      <c r="F1795" s="77">
        <f>IFERROR(__xludf.DUMMYFUNCTION("""COMPUTED_VALUE"""),1926.0)</f>
        <v>1926</v>
      </c>
      <c r="G1795" s="77">
        <f>IFERROR(__xludf.DUMMYFUNCTION("""COMPUTED_VALUE"""),16.0)</f>
        <v>16</v>
      </c>
      <c r="H1795" s="77">
        <f>IFERROR(__xludf.DUMMYFUNCTION("""COMPUTED_VALUE"""),21.0)</f>
        <v>21</v>
      </c>
      <c r="I1795" s="77">
        <f>IFERROR(__xludf.DUMMYFUNCTION("""COMPUTED_VALUE"""),100.0)</f>
        <v>100</v>
      </c>
      <c r="J1795" s="73"/>
      <c r="K1795" s="73"/>
      <c r="L1795" s="73"/>
      <c r="M1795" s="77">
        <f>IFERROR(__xludf.DUMMYFUNCTION("""COMPUTED_VALUE"""),0.1)</f>
        <v>0.1</v>
      </c>
      <c r="N1795" s="77">
        <f>IFERROR(__xludf.DUMMYFUNCTION("""COMPUTED_VALUE"""),1.0)</f>
        <v>1</v>
      </c>
      <c r="O1795" s="49"/>
      <c r="P1795" s="49" t="str">
        <f>IFERROR(__xludf.DUMMYFUNCTION("""COMPUTED_VALUE"""),"Offset")</f>
        <v>Offset</v>
      </c>
      <c r="Q1795" s="49" t="str">
        <f>IFERROR(__xludf.DUMMYFUNCTION("""COMPUTED_VALUE"""),"Packaging")</f>
        <v>Packaging</v>
      </c>
      <c r="R1795" s="49" t="str">
        <f>IFERROR(__xludf.DUMMYFUNCTION("""COMPUTED_VALUE"""),"Mobile Accessories")</f>
        <v>Mobile Accessories</v>
      </c>
    </row>
    <row r="1796">
      <c r="A1796" s="156" t="str">
        <f>IFERROR(__xludf.DUMMYFUNCTION("""COMPUTED_VALUE"""),"https://drive.google.com/open?id=1eElE9qE9R0ZzhfUCQa3DOiRqZMs7Dvv2&amp;authuser=jay.agg%40gmail.com&amp;usp=drive_fs")</f>
        <v>https://drive.google.com/open?id=1eElE9qE9R0ZzhfUCQa3DOiRqZMs7Dvv2&amp;authuser=jay.agg%40gmail.com&amp;usp=drive_fs</v>
      </c>
      <c r="B1796" s="73" t="str">
        <f>IFERROR(__xludf.DUMMYFUNCTION("""COMPUTED_VALUE"""),"Mobile Accessories")</f>
        <v>Mobile Accessories</v>
      </c>
      <c r="C1796" s="73" t="str">
        <f>IFERROR(__xludf.DUMMYFUNCTION("""COMPUTED_VALUE"""),"USB Charger")</f>
        <v>USB Charger</v>
      </c>
      <c r="D1796" s="73" t="str">
        <f>IFERROR(__xludf.DUMMYFUNCTION("""COMPUTED_VALUE"""),"55*20*150 mm")</f>
        <v>55*20*150 mm</v>
      </c>
      <c r="E1796" s="77">
        <f>IFERROR(__xludf.DUMMYFUNCTION("""COMPUTED_VALUE"""),6.0)</f>
        <v>6</v>
      </c>
      <c r="F1796" s="77">
        <f>IFERROR(__xludf.DUMMYFUNCTION("""COMPUTED_VALUE"""),1926.0)</f>
        <v>1926</v>
      </c>
      <c r="G1796" s="77">
        <f>IFERROR(__xludf.DUMMYFUNCTION("""COMPUTED_VALUE"""),13.0)</f>
        <v>13</v>
      </c>
      <c r="H1796" s="77">
        <f>IFERROR(__xludf.DUMMYFUNCTION("""COMPUTED_VALUE"""),25.0)</f>
        <v>25</v>
      </c>
      <c r="I1796" s="77">
        <f>IFERROR(__xludf.DUMMYFUNCTION("""COMPUTED_VALUE"""),100.0)</f>
        <v>100</v>
      </c>
      <c r="J1796" s="73"/>
      <c r="K1796" s="73"/>
      <c r="L1796" s="73"/>
      <c r="M1796" s="77">
        <f>IFERROR(__xludf.DUMMYFUNCTION("""COMPUTED_VALUE"""),0.1)</f>
        <v>0.1</v>
      </c>
      <c r="N1796" s="77">
        <f>IFERROR(__xludf.DUMMYFUNCTION("""COMPUTED_VALUE"""),1.0)</f>
        <v>1</v>
      </c>
      <c r="O1796" s="49"/>
      <c r="P1796" s="49" t="str">
        <f>IFERROR(__xludf.DUMMYFUNCTION("""COMPUTED_VALUE"""),"Offset")</f>
        <v>Offset</v>
      </c>
      <c r="Q1796" s="49" t="str">
        <f>IFERROR(__xludf.DUMMYFUNCTION("""COMPUTED_VALUE"""),"Packaging")</f>
        <v>Packaging</v>
      </c>
      <c r="R1796" s="49" t="str">
        <f>IFERROR(__xludf.DUMMYFUNCTION("""COMPUTED_VALUE"""),"Mobile Accessories")</f>
        <v>Mobile Accessories</v>
      </c>
    </row>
    <row r="1797">
      <c r="A1797" s="156" t="str">
        <f>IFERROR(__xludf.DUMMYFUNCTION("""COMPUTED_VALUE"""),"https://drive.google.com/open?id=1eCeNEYt6ThzZOztVZDJy_9blD4RKw0vT&amp;authuser=jay.agg%40gmail.com&amp;usp=drive_fs")</f>
        <v>https://drive.google.com/open?id=1eCeNEYt6ThzZOztVZDJy_9blD4RKw0vT&amp;authuser=jay.agg%40gmail.com&amp;usp=drive_fs</v>
      </c>
      <c r="B1797" s="73" t="str">
        <f>IFERROR(__xludf.DUMMYFUNCTION("""COMPUTED_VALUE"""),"Mobile Accessories")</f>
        <v>Mobile Accessories</v>
      </c>
      <c r="C1797" s="73" t="str">
        <f>IFERROR(__xludf.DUMMYFUNCTION("""COMPUTED_VALUE"""),"Screen Guard")</f>
        <v>Screen Guard</v>
      </c>
      <c r="D1797" s="73" t="str">
        <f>IFERROR(__xludf.DUMMYFUNCTION("""COMPUTED_VALUE"""),"118*13*178 mm")</f>
        <v>118*13*178 mm</v>
      </c>
      <c r="E1797" s="77">
        <f>IFERROR(__xludf.DUMMYFUNCTION("""COMPUTED_VALUE"""),4.0)</f>
        <v>4</v>
      </c>
      <c r="F1797" s="77">
        <f>IFERROR(__xludf.DUMMYFUNCTION("""COMPUTED_VALUE"""),1926.0)</f>
        <v>1926</v>
      </c>
      <c r="G1797" s="77">
        <f>IFERROR(__xludf.DUMMYFUNCTION("""COMPUTED_VALUE"""),18.0)</f>
        <v>18</v>
      </c>
      <c r="H1797" s="77">
        <f>IFERROR(__xludf.DUMMYFUNCTION("""COMPUTED_VALUE"""),23.0)</f>
        <v>23</v>
      </c>
      <c r="I1797" s="77">
        <f>IFERROR(__xludf.DUMMYFUNCTION("""COMPUTED_VALUE"""),100.0)</f>
        <v>100</v>
      </c>
      <c r="J1797" s="73"/>
      <c r="K1797" s="73"/>
      <c r="L1797" s="73"/>
      <c r="M1797" s="77">
        <f>IFERROR(__xludf.DUMMYFUNCTION("""COMPUTED_VALUE"""),0.1)</f>
        <v>0.1</v>
      </c>
      <c r="N1797" s="77">
        <f>IFERROR(__xludf.DUMMYFUNCTION("""COMPUTED_VALUE"""),1.0)</f>
        <v>1</v>
      </c>
      <c r="O1797" s="49"/>
      <c r="P1797" s="49" t="str">
        <f>IFERROR(__xludf.DUMMYFUNCTION("""COMPUTED_VALUE"""),"Offset")</f>
        <v>Offset</v>
      </c>
      <c r="Q1797" s="49" t="str">
        <f>IFERROR(__xludf.DUMMYFUNCTION("""COMPUTED_VALUE"""),"Packaging")</f>
        <v>Packaging</v>
      </c>
      <c r="R1797" s="49" t="str">
        <f>IFERROR(__xludf.DUMMYFUNCTION("""COMPUTED_VALUE"""),"Mobile Accessories")</f>
        <v>Mobile Accessories</v>
      </c>
    </row>
    <row r="1798">
      <c r="A1798" s="156" t="str">
        <f>IFERROR(__xludf.DUMMYFUNCTION("""COMPUTED_VALUE"""),"https://drive.google.com/open?id=1f5FUAd9u-m8AB00D1GqD2SJnp8YwAzIr&amp;authuser=jay.agg%40gmail.com&amp;usp=drive_fs")</f>
        <v>https://drive.google.com/open?id=1f5FUAd9u-m8AB00D1GqD2SJnp8YwAzIr&amp;authuser=jay.agg%40gmail.com&amp;usp=drive_fs</v>
      </c>
      <c r="B1798" s="73" t="str">
        <f>IFERROR(__xludf.DUMMYFUNCTION("""COMPUTED_VALUE"""),"Mobile Accessories")</f>
        <v>Mobile Accessories</v>
      </c>
      <c r="C1798" s="73" t="str">
        <f>IFERROR(__xludf.DUMMYFUNCTION("""COMPUTED_VALUE"""),"USB Charger")</f>
        <v>USB Charger</v>
      </c>
      <c r="D1798" s="73" t="str">
        <f>IFERROR(__xludf.DUMMYFUNCTION("""COMPUTED_VALUE"""),"60*20*150 mm with Hanger")</f>
        <v>60*20*150 mm with Hanger</v>
      </c>
      <c r="E1798" s="77">
        <f>IFERROR(__xludf.DUMMYFUNCTION("""COMPUTED_VALUE"""),6.0)</f>
        <v>6</v>
      </c>
      <c r="F1798" s="77">
        <f>IFERROR(__xludf.DUMMYFUNCTION("""COMPUTED_VALUE"""),1926.0)</f>
        <v>1926</v>
      </c>
      <c r="G1798" s="77">
        <f>IFERROR(__xludf.DUMMYFUNCTION("""COMPUTED_VALUE"""),18.0)</f>
        <v>18</v>
      </c>
      <c r="H1798" s="77">
        <f>IFERROR(__xludf.DUMMYFUNCTION("""COMPUTED_VALUE"""),21.0)</f>
        <v>21</v>
      </c>
      <c r="I1798" s="77">
        <f>IFERROR(__xludf.DUMMYFUNCTION("""COMPUTED_VALUE"""),100.0)</f>
        <v>100</v>
      </c>
      <c r="J1798" s="73"/>
      <c r="K1798" s="73"/>
      <c r="L1798" s="73"/>
      <c r="M1798" s="77">
        <f>IFERROR(__xludf.DUMMYFUNCTION("""COMPUTED_VALUE"""),0.1)</f>
        <v>0.1</v>
      </c>
      <c r="N1798" s="77">
        <f>IFERROR(__xludf.DUMMYFUNCTION("""COMPUTED_VALUE"""),1.0)</f>
        <v>1</v>
      </c>
      <c r="O1798" s="49"/>
      <c r="P1798" s="49" t="str">
        <f>IFERROR(__xludf.DUMMYFUNCTION("""COMPUTED_VALUE"""),"Offset")</f>
        <v>Offset</v>
      </c>
      <c r="Q1798" s="49" t="str">
        <f>IFERROR(__xludf.DUMMYFUNCTION("""COMPUTED_VALUE"""),"Packaging")</f>
        <v>Packaging</v>
      </c>
      <c r="R1798" s="49" t="str">
        <f>IFERROR(__xludf.DUMMYFUNCTION("""COMPUTED_VALUE"""),"Mobile Accessories")</f>
        <v>Mobile Accessories</v>
      </c>
    </row>
    <row r="1799">
      <c r="A1799" s="156" t="str">
        <f>IFERROR(__xludf.DUMMYFUNCTION("""COMPUTED_VALUE"""),"https://drive.google.com/open?id=1e42Uw9c3EZH1H7itwAgTZlp3qcbLfZYf&amp;authuser=jay.agg%40gmail.com&amp;usp=drive_fs")</f>
        <v>https://drive.google.com/open?id=1e42Uw9c3EZH1H7itwAgTZlp3qcbLfZYf&amp;authuser=jay.agg%40gmail.com&amp;usp=drive_fs</v>
      </c>
      <c r="B1799" s="73" t="str">
        <f>IFERROR(__xludf.DUMMYFUNCTION("""COMPUTED_VALUE"""),"Mobile Accessories")</f>
        <v>Mobile Accessories</v>
      </c>
      <c r="C1799" s="73" t="str">
        <f>IFERROR(__xludf.DUMMYFUNCTION("""COMPUTED_VALUE"""),"Travel Charger")</f>
        <v>Travel Charger</v>
      </c>
      <c r="D1799" s="73" t="str">
        <f>IFERROR(__xludf.DUMMYFUNCTION("""COMPUTED_VALUE"""),"26*46*66 mm")</f>
        <v>26*46*66 mm</v>
      </c>
      <c r="E1799" s="77">
        <f>IFERROR(__xludf.DUMMYFUNCTION("""COMPUTED_VALUE"""),15.0)</f>
        <v>15</v>
      </c>
      <c r="F1799" s="77">
        <f>IFERROR(__xludf.DUMMYFUNCTION("""COMPUTED_VALUE"""),1926.0)</f>
        <v>1926</v>
      </c>
      <c r="G1799" s="77">
        <f>IFERROR(__xludf.DUMMYFUNCTION("""COMPUTED_VALUE"""),19.5)</f>
        <v>19.5</v>
      </c>
      <c r="H1799" s="77">
        <f>IFERROR(__xludf.DUMMYFUNCTION("""COMPUTED_VALUE"""),23.0)</f>
        <v>23</v>
      </c>
      <c r="I1799" s="77">
        <f>IFERROR(__xludf.DUMMYFUNCTION("""COMPUTED_VALUE"""),100.0)</f>
        <v>100</v>
      </c>
      <c r="J1799" s="73"/>
      <c r="K1799" s="73"/>
      <c r="L1799" s="73"/>
      <c r="M1799" s="77">
        <f>IFERROR(__xludf.DUMMYFUNCTION("""COMPUTED_VALUE"""),0.1)</f>
        <v>0.1</v>
      </c>
      <c r="N1799" s="77">
        <f>IFERROR(__xludf.DUMMYFUNCTION("""COMPUTED_VALUE"""),1.0)</f>
        <v>1</v>
      </c>
      <c r="O1799" s="49"/>
      <c r="P1799" s="49" t="str">
        <f>IFERROR(__xludf.DUMMYFUNCTION("""COMPUTED_VALUE"""),"Offset")</f>
        <v>Offset</v>
      </c>
      <c r="Q1799" s="49" t="str">
        <f>IFERROR(__xludf.DUMMYFUNCTION("""COMPUTED_VALUE"""),"Packaging")</f>
        <v>Packaging</v>
      </c>
      <c r="R1799" s="49" t="str">
        <f>IFERROR(__xludf.DUMMYFUNCTION("""COMPUTED_VALUE"""),"Mobile Accessories")</f>
        <v>Mobile Accessories</v>
      </c>
    </row>
    <row r="1800">
      <c r="A1800" s="156" t="str">
        <f>IFERROR(__xludf.DUMMYFUNCTION("""COMPUTED_VALUE"""),"https://drive.google.com/open?id=1AKevjG06AbOFADAHOIQI0kUrjumE9ltJ&amp;authuser=jay.agg%40gmail.com&amp;usp=drive_fs")</f>
        <v>https://drive.google.com/open?id=1AKevjG06AbOFADAHOIQI0kUrjumE9ltJ&amp;authuser=jay.agg%40gmail.com&amp;usp=drive_fs</v>
      </c>
      <c r="B1800" s="73" t="str">
        <f>IFERROR(__xludf.DUMMYFUNCTION("""COMPUTED_VALUE"""),"Mobile Accessories")</f>
        <v>Mobile Accessories</v>
      </c>
      <c r="C1800" s="73" t="str">
        <f>IFERROR(__xludf.DUMMYFUNCTION("""COMPUTED_VALUE"""),"Travel Charger")</f>
        <v>Travel Charger</v>
      </c>
      <c r="D1800" s="73" t="str">
        <f>IFERROR(__xludf.DUMMYFUNCTION("""COMPUTED_VALUE"""),"110*90*50 mm")</f>
        <v>110*90*50 mm</v>
      </c>
      <c r="E1800" s="77">
        <f>IFERROR(__xludf.DUMMYFUNCTION("""COMPUTED_VALUE"""),3.0)</f>
        <v>3</v>
      </c>
      <c r="F1800" s="77">
        <f>IFERROR(__xludf.DUMMYFUNCTION("""COMPUTED_VALUE"""),1926.0)</f>
        <v>1926</v>
      </c>
      <c r="G1800" s="77">
        <f>IFERROR(__xludf.DUMMYFUNCTION("""COMPUTED_VALUE"""),14.0)</f>
        <v>14</v>
      </c>
      <c r="H1800" s="77">
        <f>IFERROR(__xludf.DUMMYFUNCTION("""COMPUTED_VALUE"""),22.0)</f>
        <v>22</v>
      </c>
      <c r="I1800" s="77">
        <f>IFERROR(__xludf.DUMMYFUNCTION("""COMPUTED_VALUE"""),100.0)</f>
        <v>100</v>
      </c>
      <c r="J1800" s="73"/>
      <c r="K1800" s="73"/>
      <c r="L1800" s="73"/>
      <c r="M1800" s="77">
        <f>IFERROR(__xludf.DUMMYFUNCTION("""COMPUTED_VALUE"""),0.1)</f>
        <v>0.1</v>
      </c>
      <c r="N1800" s="77">
        <f>IFERROR(__xludf.DUMMYFUNCTION("""COMPUTED_VALUE"""),1.0)</f>
        <v>1</v>
      </c>
      <c r="O1800" s="49"/>
      <c r="P1800" s="49" t="str">
        <f>IFERROR(__xludf.DUMMYFUNCTION("""COMPUTED_VALUE"""),"Offset")</f>
        <v>Offset</v>
      </c>
      <c r="Q1800" s="49" t="str">
        <f>IFERROR(__xludf.DUMMYFUNCTION("""COMPUTED_VALUE"""),"Packaging")</f>
        <v>Packaging</v>
      </c>
      <c r="R1800" s="49" t="str">
        <f>IFERROR(__xludf.DUMMYFUNCTION("""COMPUTED_VALUE"""),"Mobile Accessories")</f>
        <v>Mobile Accessories</v>
      </c>
    </row>
    <row r="1801">
      <c r="A1801" s="156" t="str">
        <f>IFERROR(__xludf.DUMMYFUNCTION("""COMPUTED_VALUE"""),"https://drive.google.com/open?id=1AMIL7mNMhMgrMz4VOhJoecGlhE_HwcV_&amp;authuser=jay.agg%40gmail.com&amp;usp=drive_fs")</f>
        <v>https://drive.google.com/open?id=1AMIL7mNMhMgrMz4VOhJoecGlhE_HwcV_&amp;authuser=jay.agg%40gmail.com&amp;usp=drive_fs</v>
      </c>
      <c r="B1801" s="73" t="str">
        <f>IFERROR(__xludf.DUMMYFUNCTION("""COMPUTED_VALUE"""),"Mobile Accessories")</f>
        <v>Mobile Accessories</v>
      </c>
      <c r="C1801" s="73" t="str">
        <f>IFERROR(__xludf.DUMMYFUNCTION("""COMPUTED_VALUE"""),"Mobile Cover")</f>
        <v>Mobile Cover</v>
      </c>
      <c r="D1801" s="73" t="str">
        <f>IFERROR(__xludf.DUMMYFUNCTION("""COMPUTED_VALUE"""),"102*25*178 mm")</f>
        <v>102*25*178 mm</v>
      </c>
      <c r="E1801" s="77">
        <f>IFERROR(__xludf.DUMMYFUNCTION("""COMPUTED_VALUE"""),2.0)</f>
        <v>2</v>
      </c>
      <c r="F1801" s="77">
        <f>IFERROR(__xludf.DUMMYFUNCTION("""COMPUTED_VALUE"""),1926.0)</f>
        <v>1926</v>
      </c>
      <c r="G1801" s="77">
        <f>IFERROR(__xludf.DUMMYFUNCTION("""COMPUTED_VALUE"""),11.5)</f>
        <v>11.5</v>
      </c>
      <c r="H1801" s="77">
        <f>IFERROR(__xludf.DUMMYFUNCTION("""COMPUTED_VALUE"""),19.5)</f>
        <v>19.5</v>
      </c>
      <c r="I1801" s="77">
        <f>IFERROR(__xludf.DUMMYFUNCTION("""COMPUTED_VALUE"""),100.0)</f>
        <v>100</v>
      </c>
      <c r="J1801" s="73"/>
      <c r="K1801" s="73"/>
      <c r="L1801" s="73">
        <f>IFERROR(__xludf.DUMMYFUNCTION("""COMPUTED_VALUE"""),2.0)</f>
        <v>2</v>
      </c>
      <c r="M1801" s="77">
        <f>IFERROR(__xludf.DUMMYFUNCTION("""COMPUTED_VALUE"""),0.1)</f>
        <v>0.1</v>
      </c>
      <c r="N1801" s="77">
        <f>IFERROR(__xludf.DUMMYFUNCTION("""COMPUTED_VALUE"""),1.0)</f>
        <v>1</v>
      </c>
      <c r="O1801" s="49"/>
      <c r="P1801" s="49" t="str">
        <f>IFERROR(__xludf.DUMMYFUNCTION("""COMPUTED_VALUE"""),"Offset")</f>
        <v>Offset</v>
      </c>
      <c r="Q1801" s="49" t="str">
        <f>IFERROR(__xludf.DUMMYFUNCTION("""COMPUTED_VALUE"""),"Packaging")</f>
        <v>Packaging</v>
      </c>
      <c r="R1801" s="49" t="str">
        <f>IFERROR(__xludf.DUMMYFUNCTION("""COMPUTED_VALUE"""),"Mobile Accessories")</f>
        <v>Mobile Accessories</v>
      </c>
    </row>
    <row r="1802">
      <c r="A1802" s="156" t="str">
        <f>IFERROR(__xludf.DUMMYFUNCTION("""COMPUTED_VALUE"""),"https://drive.google.com/open?id=1lKphdvb6qrQzvgMHI4_EhRqZIWFjiG6d&amp;authuser=jay.agg%40gmail.com&amp;usp=drive_fs")</f>
        <v>https://drive.google.com/open?id=1lKphdvb6qrQzvgMHI4_EhRqZIWFjiG6d&amp;authuser=jay.agg%40gmail.com&amp;usp=drive_fs</v>
      </c>
      <c r="B1802" s="73" t="str">
        <f>IFERROR(__xludf.DUMMYFUNCTION("""COMPUTED_VALUE"""),"Mobile Accessories")</f>
        <v>Mobile Accessories</v>
      </c>
      <c r="C1802" s="73" t="str">
        <f>IFERROR(__xludf.DUMMYFUNCTION("""COMPUTED_VALUE"""),"USB Charger")</f>
        <v>USB Charger</v>
      </c>
      <c r="D1802" s="73" t="str">
        <f>IFERROR(__xludf.DUMMYFUNCTION("""COMPUTED_VALUE"""),"80*34*124 mm IL")</f>
        <v>80*34*124 mm IL</v>
      </c>
      <c r="E1802" s="77">
        <f>IFERROR(__xludf.DUMMYFUNCTION("""COMPUTED_VALUE"""),6.0)</f>
        <v>6</v>
      </c>
      <c r="F1802" s="77">
        <f>IFERROR(__xludf.DUMMYFUNCTION("""COMPUTED_VALUE"""),1926.0)</f>
        <v>1926</v>
      </c>
      <c r="G1802" s="77">
        <f>IFERROR(__xludf.DUMMYFUNCTION("""COMPUTED_VALUE"""),20.0)</f>
        <v>20</v>
      </c>
      <c r="H1802" s="77">
        <f>IFERROR(__xludf.DUMMYFUNCTION("""COMPUTED_VALUE"""),25.0)</f>
        <v>25</v>
      </c>
      <c r="I1802" s="77">
        <f>IFERROR(__xludf.DUMMYFUNCTION("""COMPUTED_VALUE"""),100.0)</f>
        <v>100</v>
      </c>
      <c r="J1802" s="73"/>
      <c r="K1802" s="73"/>
      <c r="L1802" s="73"/>
      <c r="M1802" s="77">
        <f>IFERROR(__xludf.DUMMYFUNCTION("""COMPUTED_VALUE"""),0.1)</f>
        <v>0.1</v>
      </c>
      <c r="N1802" s="77">
        <f>IFERROR(__xludf.DUMMYFUNCTION("""COMPUTED_VALUE"""),1.0)</f>
        <v>1</v>
      </c>
      <c r="O1802" s="49"/>
      <c r="P1802" s="49" t="str">
        <f>IFERROR(__xludf.DUMMYFUNCTION("""COMPUTED_VALUE"""),"Offset")</f>
        <v>Offset</v>
      </c>
      <c r="Q1802" s="49" t="str">
        <f>IFERROR(__xludf.DUMMYFUNCTION("""COMPUTED_VALUE"""),"Packaging")</f>
        <v>Packaging</v>
      </c>
      <c r="R1802" s="49" t="str">
        <f>IFERROR(__xludf.DUMMYFUNCTION("""COMPUTED_VALUE"""),"Mobile Accessories")</f>
        <v>Mobile Accessories</v>
      </c>
    </row>
    <row r="1803">
      <c r="A1803" s="156" t="str">
        <f>IFERROR(__xludf.DUMMYFUNCTION("""COMPUTED_VALUE"""),"https://drive.google.com/open?id=1mZCN6r9EeK0xKTkw3uHDW6o9XngL_JZ6&amp;authuser=jay.agg%40gmail.com&amp;usp=drive_fs")</f>
        <v>https://drive.google.com/open?id=1mZCN6r9EeK0xKTkw3uHDW6o9XngL_JZ6&amp;authuser=jay.agg%40gmail.com&amp;usp=drive_fs</v>
      </c>
      <c r="B1803" s="73" t="str">
        <f>IFERROR(__xludf.DUMMYFUNCTION("""COMPUTED_VALUE"""),"Mobile Accessories")</f>
        <v>Mobile Accessories</v>
      </c>
      <c r="C1803" s="73" t="str">
        <f>IFERROR(__xludf.DUMMYFUNCTION("""COMPUTED_VALUE"""),"Travel Charger")</f>
        <v>Travel Charger</v>
      </c>
      <c r="D1803" s="73" t="str">
        <f>IFERROR(__xludf.DUMMYFUNCTION("""COMPUTED_VALUE"""),"72*38*80 mm")</f>
        <v>72*38*80 mm</v>
      </c>
      <c r="E1803" s="77">
        <f>IFERROR(__xludf.DUMMYFUNCTION("""COMPUTED_VALUE"""),6.0)</f>
        <v>6</v>
      </c>
      <c r="F1803" s="77">
        <f>IFERROR(__xludf.DUMMYFUNCTION("""COMPUTED_VALUE"""),1926.0)</f>
        <v>1926</v>
      </c>
      <c r="G1803" s="77">
        <f>IFERROR(__xludf.DUMMYFUNCTION("""COMPUTED_VALUE"""),19.0)</f>
        <v>19</v>
      </c>
      <c r="H1803" s="77">
        <f>IFERROR(__xludf.DUMMYFUNCTION("""COMPUTED_VALUE"""),20.0)</f>
        <v>20</v>
      </c>
      <c r="I1803" s="77">
        <f>IFERROR(__xludf.DUMMYFUNCTION("""COMPUTED_VALUE"""),100.0)</f>
        <v>100</v>
      </c>
      <c r="J1803" s="73"/>
      <c r="K1803" s="73"/>
      <c r="L1803" s="73"/>
      <c r="M1803" s="77">
        <f>IFERROR(__xludf.DUMMYFUNCTION("""COMPUTED_VALUE"""),0.1)</f>
        <v>0.1</v>
      </c>
      <c r="N1803" s="77">
        <f>IFERROR(__xludf.DUMMYFUNCTION("""COMPUTED_VALUE"""),1.0)</f>
        <v>1</v>
      </c>
      <c r="O1803" s="49"/>
      <c r="P1803" s="49" t="str">
        <f>IFERROR(__xludf.DUMMYFUNCTION("""COMPUTED_VALUE"""),"Offset")</f>
        <v>Offset</v>
      </c>
      <c r="Q1803" s="49" t="str">
        <f>IFERROR(__xludf.DUMMYFUNCTION("""COMPUTED_VALUE"""),"Packaging")</f>
        <v>Packaging</v>
      </c>
      <c r="R1803" s="49" t="str">
        <f>IFERROR(__xludf.DUMMYFUNCTION("""COMPUTED_VALUE"""),"Mobile Accessories")</f>
        <v>Mobile Accessories</v>
      </c>
    </row>
    <row r="1804">
      <c r="A1804" s="156" t="str">
        <f>IFERROR(__xludf.DUMMYFUNCTION("""COMPUTED_VALUE"""),"https://drive.google.com/open?id=1mv6ygU6Qud7Nr1A4AcAqcZejExgv3gD1&amp;authuser=jay.agg%40gmail.com&amp;usp=drive_fs")</f>
        <v>https://drive.google.com/open?id=1mv6ygU6Qud7Nr1A4AcAqcZejExgv3gD1&amp;authuser=jay.agg%40gmail.com&amp;usp=drive_fs</v>
      </c>
      <c r="B1804" s="73" t="str">
        <f>IFERROR(__xludf.DUMMYFUNCTION("""COMPUTED_VALUE"""),"Mobile Accessories")</f>
        <v>Mobile Accessories</v>
      </c>
      <c r="C1804" s="73" t="str">
        <f>IFERROR(__xludf.DUMMYFUNCTION("""COMPUTED_VALUE"""),"Travel Charger")</f>
        <v>Travel Charger</v>
      </c>
      <c r="D1804" s="73" t="str">
        <f>IFERROR(__xludf.DUMMYFUNCTION("""COMPUTED_VALUE"""),"Outer 72*38*80 mm 10 Box")</f>
        <v>Outer 72*38*80 mm 10 Box</v>
      </c>
      <c r="E1804" s="77">
        <f>IFERROR(__xludf.DUMMYFUNCTION("""COMPUTED_VALUE"""),1.0)</f>
        <v>1</v>
      </c>
      <c r="F1804" s="77">
        <f>IFERROR(__xludf.DUMMYFUNCTION("""COMPUTED_VALUE"""),1926.0)</f>
        <v>1926</v>
      </c>
      <c r="G1804" s="77">
        <f>IFERROR(__xludf.DUMMYFUNCTION("""COMPUTED_VALUE"""),19.0)</f>
        <v>19</v>
      </c>
      <c r="H1804" s="77">
        <f>IFERROR(__xludf.DUMMYFUNCTION("""COMPUTED_VALUE"""),20.0)</f>
        <v>20</v>
      </c>
      <c r="I1804" s="77">
        <f>IFERROR(__xludf.DUMMYFUNCTION("""COMPUTED_VALUE"""),100.0)</f>
        <v>100</v>
      </c>
      <c r="J1804" s="73"/>
      <c r="K1804" s="73"/>
      <c r="L1804" s="73"/>
      <c r="M1804" s="77">
        <f>IFERROR(__xludf.DUMMYFUNCTION("""COMPUTED_VALUE"""),0.1)</f>
        <v>0.1</v>
      </c>
      <c r="N1804" s="77">
        <f>IFERROR(__xludf.DUMMYFUNCTION("""COMPUTED_VALUE"""),1.0)</f>
        <v>1</v>
      </c>
      <c r="O1804" s="49"/>
      <c r="P1804" s="49" t="str">
        <f>IFERROR(__xludf.DUMMYFUNCTION("""COMPUTED_VALUE"""),"Offset")</f>
        <v>Offset</v>
      </c>
      <c r="Q1804" s="49" t="str">
        <f>IFERROR(__xludf.DUMMYFUNCTION("""COMPUTED_VALUE"""),"Packaging")</f>
        <v>Packaging</v>
      </c>
      <c r="R1804" s="49" t="str">
        <f>IFERROR(__xludf.DUMMYFUNCTION("""COMPUTED_VALUE"""),"Mobile Accessories")</f>
        <v>Mobile Accessories</v>
      </c>
    </row>
    <row r="1805">
      <c r="A1805" s="156" t="str">
        <f>IFERROR(__xludf.DUMMYFUNCTION("""COMPUTED_VALUE"""),"https://drive.google.com/open?id=1nB1U6fGscNfOsdWpxk2awVG29lN7Dg0e&amp;authuser=jay.agg%40gmail.com&amp;usp=drive_fs")</f>
        <v>https://drive.google.com/open?id=1nB1U6fGscNfOsdWpxk2awVG29lN7Dg0e&amp;authuser=jay.agg%40gmail.com&amp;usp=drive_fs</v>
      </c>
      <c r="B1805" s="73" t="str">
        <f>IFERROR(__xludf.DUMMYFUNCTION("""COMPUTED_VALUE"""),"Mobile Accessories")</f>
        <v>Mobile Accessories</v>
      </c>
      <c r="C1805" s="73" t="str">
        <f>IFERROR(__xludf.DUMMYFUNCTION("""COMPUTED_VALUE"""),"Travel Charger")</f>
        <v>Travel Charger</v>
      </c>
      <c r="D1805" s="73" t="str">
        <f>IFERROR(__xludf.DUMMYFUNCTION("""COMPUTED_VALUE"""),"76*38*76 mm")</f>
        <v>76*38*76 mm</v>
      </c>
      <c r="E1805" s="77">
        <f>IFERROR(__xludf.DUMMYFUNCTION("""COMPUTED_VALUE"""),6.0)</f>
        <v>6</v>
      </c>
      <c r="F1805" s="77">
        <f>IFERROR(__xludf.DUMMYFUNCTION("""COMPUTED_VALUE"""),1926.0)</f>
        <v>1926</v>
      </c>
      <c r="G1805" s="77">
        <f>IFERROR(__xludf.DUMMYFUNCTION("""COMPUTED_VALUE"""),19.0)</f>
        <v>19</v>
      </c>
      <c r="H1805" s="77">
        <f>IFERROR(__xludf.DUMMYFUNCTION("""COMPUTED_VALUE"""),20.0)</f>
        <v>20</v>
      </c>
      <c r="I1805" s="77">
        <f>IFERROR(__xludf.DUMMYFUNCTION("""COMPUTED_VALUE"""),100.0)</f>
        <v>100</v>
      </c>
      <c r="J1805" s="73"/>
      <c r="K1805" s="73"/>
      <c r="L1805" s="73"/>
      <c r="M1805" s="77">
        <f>IFERROR(__xludf.DUMMYFUNCTION("""COMPUTED_VALUE"""),0.1)</f>
        <v>0.1</v>
      </c>
      <c r="N1805" s="77">
        <f>IFERROR(__xludf.DUMMYFUNCTION("""COMPUTED_VALUE"""),1.0)</f>
        <v>1</v>
      </c>
      <c r="O1805" s="49"/>
      <c r="P1805" s="49" t="str">
        <f>IFERROR(__xludf.DUMMYFUNCTION("""COMPUTED_VALUE"""),"Offset")</f>
        <v>Offset</v>
      </c>
      <c r="Q1805" s="49" t="str">
        <f>IFERROR(__xludf.DUMMYFUNCTION("""COMPUTED_VALUE"""),"Packaging")</f>
        <v>Packaging</v>
      </c>
      <c r="R1805" s="49" t="str">
        <f>IFERROR(__xludf.DUMMYFUNCTION("""COMPUTED_VALUE"""),"Mobile Accessories")</f>
        <v>Mobile Accessories</v>
      </c>
    </row>
    <row r="1806">
      <c r="A1806" s="156" t="str">
        <f>IFERROR(__xludf.DUMMYFUNCTION("""COMPUTED_VALUE"""),"https://drive.google.com/open?id=1oGAnCLi9-elEkpmVJtjTxgbo1DQEOt8u&amp;authuser=jay.agg%40gmail.com&amp;usp=drive_fs")</f>
        <v>https://drive.google.com/open?id=1oGAnCLi9-elEkpmVJtjTxgbo1DQEOt8u&amp;authuser=jay.agg%40gmail.com&amp;usp=drive_fs</v>
      </c>
      <c r="B1806" s="73" t="str">
        <f>IFERROR(__xludf.DUMMYFUNCTION("""COMPUTED_VALUE"""),"Mobile Accessories")</f>
        <v>Mobile Accessories</v>
      </c>
      <c r="C1806" s="73" t="str">
        <f>IFERROR(__xludf.DUMMYFUNCTION("""COMPUTED_VALUE"""),"Screen Guard")</f>
        <v>Screen Guard</v>
      </c>
      <c r="D1806" s="73" t="str">
        <f>IFERROR(__xludf.DUMMYFUNCTION("""COMPUTED_VALUE"""),"100*190 mm")</f>
        <v>100*190 mm</v>
      </c>
      <c r="E1806" s="77">
        <f>IFERROR(__xludf.DUMMYFUNCTION("""COMPUTED_VALUE"""),5.0)</f>
        <v>5</v>
      </c>
      <c r="F1806" s="77">
        <f>IFERROR(__xludf.DUMMYFUNCTION("""COMPUTED_VALUE"""),1926.0)</f>
        <v>1926</v>
      </c>
      <c r="G1806" s="77">
        <f>IFERROR(__xludf.DUMMYFUNCTION("""COMPUTED_VALUE"""),18.0)</f>
        <v>18</v>
      </c>
      <c r="H1806" s="77">
        <f>IFERROR(__xludf.DUMMYFUNCTION("""COMPUTED_VALUE"""),23.0)</f>
        <v>23</v>
      </c>
      <c r="I1806" s="77">
        <f>IFERROR(__xludf.DUMMYFUNCTION("""COMPUTED_VALUE"""),100.0)</f>
        <v>100</v>
      </c>
      <c r="J1806" s="73"/>
      <c r="K1806" s="73"/>
      <c r="L1806" s="73"/>
      <c r="M1806" s="77">
        <f>IFERROR(__xludf.DUMMYFUNCTION("""COMPUTED_VALUE"""),0.1)</f>
        <v>0.1</v>
      </c>
      <c r="N1806" s="77">
        <f>IFERROR(__xludf.DUMMYFUNCTION("""COMPUTED_VALUE"""),1.0)</f>
        <v>1</v>
      </c>
      <c r="O1806" s="49"/>
      <c r="P1806" s="49" t="str">
        <f>IFERROR(__xludf.DUMMYFUNCTION("""COMPUTED_VALUE"""),"Offset")</f>
        <v>Offset</v>
      </c>
      <c r="Q1806" s="49" t="str">
        <f>IFERROR(__xludf.DUMMYFUNCTION("""COMPUTED_VALUE"""),"Packaging")</f>
        <v>Packaging</v>
      </c>
      <c r="R1806" s="49" t="str">
        <f>IFERROR(__xludf.DUMMYFUNCTION("""COMPUTED_VALUE"""),"Mobile Accessories")</f>
        <v>Mobile Accessories</v>
      </c>
    </row>
    <row r="1807">
      <c r="A1807" s="156" t="str">
        <f>IFERROR(__xludf.DUMMYFUNCTION("""COMPUTED_VALUE"""),"https://drive.google.com/open?id=1oIEgGvAGi2M1PaPXlAqYDU30pVROQoM6&amp;authuser=jay.agg%40gmail.com&amp;usp=drive_fs")</f>
        <v>https://drive.google.com/open?id=1oIEgGvAGi2M1PaPXlAqYDU30pVROQoM6&amp;authuser=jay.agg%40gmail.com&amp;usp=drive_fs</v>
      </c>
      <c r="B1807" s="73" t="str">
        <f>IFERROR(__xludf.DUMMYFUNCTION("""COMPUTED_VALUE"""),"Mobile Accessories")</f>
        <v>Mobile Accessories</v>
      </c>
      <c r="C1807" s="73" t="str">
        <f>IFERROR(__xludf.DUMMYFUNCTION("""COMPUTED_VALUE"""),"Screen Guard")</f>
        <v>Screen Guard</v>
      </c>
      <c r="D1807" s="73" t="str">
        <f>IFERROR(__xludf.DUMMYFUNCTION("""COMPUTED_VALUE"""),"100*185 mm")</f>
        <v>100*185 mm</v>
      </c>
      <c r="E1807" s="77">
        <f>IFERROR(__xludf.DUMMYFUNCTION("""COMPUTED_VALUE"""),5.0)</f>
        <v>5</v>
      </c>
      <c r="F1807" s="77">
        <f>IFERROR(__xludf.DUMMYFUNCTION("""COMPUTED_VALUE"""),1926.0)</f>
        <v>1926</v>
      </c>
      <c r="G1807" s="77">
        <f>IFERROR(__xludf.DUMMYFUNCTION("""COMPUTED_VALUE"""),19.5)</f>
        <v>19.5</v>
      </c>
      <c r="H1807" s="77">
        <f>IFERROR(__xludf.DUMMYFUNCTION("""COMPUTED_VALUE"""),23.0)</f>
        <v>23</v>
      </c>
      <c r="I1807" s="77">
        <f>IFERROR(__xludf.DUMMYFUNCTION("""COMPUTED_VALUE"""),100.0)</f>
        <v>100</v>
      </c>
      <c r="J1807" s="73"/>
      <c r="K1807" s="73"/>
      <c r="L1807" s="73"/>
      <c r="M1807" s="77">
        <f>IFERROR(__xludf.DUMMYFUNCTION("""COMPUTED_VALUE"""),0.1)</f>
        <v>0.1</v>
      </c>
      <c r="N1807" s="77">
        <f>IFERROR(__xludf.DUMMYFUNCTION("""COMPUTED_VALUE"""),1.0)</f>
        <v>1</v>
      </c>
      <c r="O1807" s="49"/>
      <c r="P1807" s="49" t="str">
        <f>IFERROR(__xludf.DUMMYFUNCTION("""COMPUTED_VALUE"""),"Offset")</f>
        <v>Offset</v>
      </c>
      <c r="Q1807" s="49" t="str">
        <f>IFERROR(__xludf.DUMMYFUNCTION("""COMPUTED_VALUE"""),"Packaging")</f>
        <v>Packaging</v>
      </c>
      <c r="R1807" s="49" t="str">
        <f>IFERROR(__xludf.DUMMYFUNCTION("""COMPUTED_VALUE"""),"Mobile Accessories")</f>
        <v>Mobile Accessories</v>
      </c>
    </row>
    <row r="1808">
      <c r="A1808" s="156" t="str">
        <f>IFERROR(__xludf.DUMMYFUNCTION("""COMPUTED_VALUE"""),"https://drive.google.com/open?id=1oKlfRS__wjoB9ZEGLc-p48pCHlofcLOO&amp;authuser=jay.agg%40gmail.com&amp;usp=drive_fs")</f>
        <v>https://drive.google.com/open?id=1oKlfRS__wjoB9ZEGLc-p48pCHlofcLOO&amp;authuser=jay.agg%40gmail.com&amp;usp=drive_fs</v>
      </c>
      <c r="B1808" s="73" t="str">
        <f>IFERROR(__xludf.DUMMYFUNCTION("""COMPUTED_VALUE"""),"Mobile Accessories")</f>
        <v>Mobile Accessories</v>
      </c>
      <c r="C1808" s="73" t="str">
        <f>IFERROR(__xludf.DUMMYFUNCTION("""COMPUTED_VALUE"""),"Screen Guard")</f>
        <v>Screen Guard</v>
      </c>
      <c r="D1808" s="73" t="str">
        <f>IFERROR(__xludf.DUMMYFUNCTION("""COMPUTED_VALUE"""),"Outer 100*185 mm")</f>
        <v>Outer 100*185 mm</v>
      </c>
      <c r="E1808" s="77">
        <f>IFERROR(__xludf.DUMMYFUNCTION("""COMPUTED_VALUE"""),5.0)</f>
        <v>5</v>
      </c>
      <c r="F1808" s="77">
        <f>IFERROR(__xludf.DUMMYFUNCTION("""COMPUTED_VALUE"""),1926.0)</f>
        <v>1926</v>
      </c>
      <c r="G1808" s="77">
        <f>IFERROR(__xludf.DUMMYFUNCTION("""COMPUTED_VALUE"""),18.0)</f>
        <v>18</v>
      </c>
      <c r="H1808" s="77">
        <f>IFERROR(__xludf.DUMMYFUNCTION("""COMPUTED_VALUE"""),23.0)</f>
        <v>23</v>
      </c>
      <c r="I1808" s="77">
        <f>IFERROR(__xludf.DUMMYFUNCTION("""COMPUTED_VALUE"""),100.0)</f>
        <v>100</v>
      </c>
      <c r="J1808" s="73"/>
      <c r="K1808" s="73"/>
      <c r="L1808" s="73"/>
      <c r="M1808" s="77">
        <f>IFERROR(__xludf.DUMMYFUNCTION("""COMPUTED_VALUE"""),0.1)</f>
        <v>0.1</v>
      </c>
      <c r="N1808" s="77">
        <f>IFERROR(__xludf.DUMMYFUNCTION("""COMPUTED_VALUE"""),1.0)</f>
        <v>1</v>
      </c>
      <c r="O1808" s="49"/>
      <c r="P1808" s="49" t="str">
        <f>IFERROR(__xludf.DUMMYFUNCTION("""COMPUTED_VALUE"""),"Offset")</f>
        <v>Offset</v>
      </c>
      <c r="Q1808" s="49" t="str">
        <f>IFERROR(__xludf.DUMMYFUNCTION("""COMPUTED_VALUE"""),"Packaging")</f>
        <v>Packaging</v>
      </c>
      <c r="R1808" s="49" t="str">
        <f>IFERROR(__xludf.DUMMYFUNCTION("""COMPUTED_VALUE"""),"Mobile Accessories")</f>
        <v>Mobile Accessories</v>
      </c>
    </row>
    <row r="1809">
      <c r="A1809" s="156" t="str">
        <f>IFERROR(__xludf.DUMMYFUNCTION("""COMPUTED_VALUE"""),"https://drive.google.com/open?id=1oMIjZtHV15oz8EgWw4sJ8upGEtNRfTIH&amp;authuser=jay.agg%40gmail.com&amp;usp=drive_fs")</f>
        <v>https://drive.google.com/open?id=1oMIjZtHV15oz8EgWw4sJ8upGEtNRfTIH&amp;authuser=jay.agg%40gmail.com&amp;usp=drive_fs</v>
      </c>
      <c r="B1809" s="73" t="str">
        <f>IFERROR(__xludf.DUMMYFUNCTION("""COMPUTED_VALUE"""),"Mobile Accessories")</f>
        <v>Mobile Accessories</v>
      </c>
      <c r="C1809" s="73" t="str">
        <f>IFERROR(__xludf.DUMMYFUNCTION("""COMPUTED_VALUE"""),"Screen Guard")</f>
        <v>Screen Guard</v>
      </c>
      <c r="D1809" s="73" t="str">
        <f>IFERROR(__xludf.DUMMYFUNCTION("""COMPUTED_VALUE"""),"Inner 98*165 mm 100*185mm")</f>
        <v>Inner 98*165 mm 100*185mm</v>
      </c>
      <c r="E1809" s="77">
        <f>IFERROR(__xludf.DUMMYFUNCTION("""COMPUTED_VALUE"""),5.0)</f>
        <v>5</v>
      </c>
      <c r="F1809" s="77">
        <f>IFERROR(__xludf.DUMMYFUNCTION("""COMPUTED_VALUE"""),1926.0)</f>
        <v>1926</v>
      </c>
      <c r="G1809" s="77">
        <f>IFERROR(__xludf.DUMMYFUNCTION("""COMPUTED_VALUE"""),14.0)</f>
        <v>14</v>
      </c>
      <c r="H1809" s="77">
        <f>IFERROR(__xludf.DUMMYFUNCTION("""COMPUTED_VALUE"""),22.0)</f>
        <v>22</v>
      </c>
      <c r="I1809" s="77">
        <f>IFERROR(__xludf.DUMMYFUNCTION("""COMPUTED_VALUE"""),100.0)</f>
        <v>100</v>
      </c>
      <c r="J1809" s="73"/>
      <c r="K1809" s="73"/>
      <c r="L1809" s="73"/>
      <c r="M1809" s="77">
        <f>IFERROR(__xludf.DUMMYFUNCTION("""COMPUTED_VALUE"""),0.1)</f>
        <v>0.1</v>
      </c>
      <c r="N1809" s="77">
        <f>IFERROR(__xludf.DUMMYFUNCTION("""COMPUTED_VALUE"""),1.0)</f>
        <v>1</v>
      </c>
      <c r="O1809" s="49"/>
      <c r="P1809" s="49" t="str">
        <f>IFERROR(__xludf.DUMMYFUNCTION("""COMPUTED_VALUE"""),"Offset")</f>
        <v>Offset</v>
      </c>
      <c r="Q1809" s="49" t="str">
        <f>IFERROR(__xludf.DUMMYFUNCTION("""COMPUTED_VALUE"""),"Packaging")</f>
        <v>Packaging</v>
      </c>
      <c r="R1809" s="49" t="str">
        <f>IFERROR(__xludf.DUMMYFUNCTION("""COMPUTED_VALUE"""),"Mobile Accessories")</f>
        <v>Mobile Accessories</v>
      </c>
    </row>
    <row r="1810">
      <c r="A1810" s="156" t="str">
        <f>IFERROR(__xludf.DUMMYFUNCTION("""COMPUTED_VALUE"""),"https://drive.google.com/open?id=1rD8uxiCrh0C7JIu2w_7NiWs9j4sqa77p&amp;authuser=jay.agg%40gmail.com&amp;usp=drive_fs")</f>
        <v>https://drive.google.com/open?id=1rD8uxiCrh0C7JIu2w_7NiWs9j4sqa77p&amp;authuser=jay.agg%40gmail.com&amp;usp=drive_fs</v>
      </c>
      <c r="B1810" s="73" t="str">
        <f>IFERROR(__xludf.DUMMYFUNCTION("""COMPUTED_VALUE"""),"Mobile Accessories")</f>
        <v>Mobile Accessories</v>
      </c>
      <c r="C1810" s="73" t="str">
        <f>IFERROR(__xludf.DUMMYFUNCTION("""COMPUTED_VALUE"""),"USB Cable")</f>
        <v>USB Cable</v>
      </c>
      <c r="D1810" s="73" t="str">
        <f>IFERROR(__xludf.DUMMYFUNCTION("""COMPUTED_VALUE"""),"60*20*140 mm IL")</f>
        <v>60*20*140 mm IL</v>
      </c>
      <c r="E1810" s="77">
        <f>IFERROR(__xludf.DUMMYFUNCTION("""COMPUTED_VALUE"""),6.0)</f>
        <v>6</v>
      </c>
      <c r="F1810" s="77">
        <f>IFERROR(__xludf.DUMMYFUNCTION("""COMPUTED_VALUE"""),1926.0)</f>
        <v>1926</v>
      </c>
      <c r="G1810" s="77">
        <f>IFERROR(__xludf.DUMMYFUNCTION("""COMPUTED_VALUE"""),15.5)</f>
        <v>15.5</v>
      </c>
      <c r="H1810" s="77">
        <f>IFERROR(__xludf.DUMMYFUNCTION("""COMPUTED_VALUE"""),20.5)</f>
        <v>20.5</v>
      </c>
      <c r="I1810" s="77">
        <f>IFERROR(__xludf.DUMMYFUNCTION("""COMPUTED_VALUE"""),100.0)</f>
        <v>100</v>
      </c>
      <c r="J1810" s="73"/>
      <c r="K1810" s="73"/>
      <c r="L1810" s="73"/>
      <c r="M1810" s="77">
        <f>IFERROR(__xludf.DUMMYFUNCTION("""COMPUTED_VALUE"""),0.1)</f>
        <v>0.1</v>
      </c>
      <c r="N1810" s="77">
        <f>IFERROR(__xludf.DUMMYFUNCTION("""COMPUTED_VALUE"""),1.0)</f>
        <v>1</v>
      </c>
      <c r="O1810" s="49"/>
      <c r="P1810" s="49" t="str">
        <f>IFERROR(__xludf.DUMMYFUNCTION("""COMPUTED_VALUE"""),"Offset")</f>
        <v>Offset</v>
      </c>
      <c r="Q1810" s="49" t="str">
        <f>IFERROR(__xludf.DUMMYFUNCTION("""COMPUTED_VALUE"""),"Packaging")</f>
        <v>Packaging</v>
      </c>
      <c r="R1810" s="49" t="str">
        <f>IFERROR(__xludf.DUMMYFUNCTION("""COMPUTED_VALUE"""),"Mobile Accessories")</f>
        <v>Mobile Accessories</v>
      </c>
    </row>
    <row r="1811">
      <c r="A1811" s="156" t="str">
        <f>IFERROR(__xludf.DUMMYFUNCTION("""COMPUTED_VALUE"""),"https://drive.google.com/open?id=1xHdrRyE_0245dtf4TAAO_QHLAmwZ4umh&amp;authuser=jay.agg%40gmail.com&amp;usp=drive_fs")</f>
        <v>https://drive.google.com/open?id=1xHdrRyE_0245dtf4TAAO_QHLAmwZ4umh&amp;authuser=jay.agg%40gmail.com&amp;usp=drive_fs</v>
      </c>
      <c r="B1811" s="73" t="str">
        <f>IFERROR(__xludf.DUMMYFUNCTION("""COMPUTED_VALUE"""),"Mobile Accessories")</f>
        <v>Mobile Accessories</v>
      </c>
      <c r="C1811" s="73" t="str">
        <f>IFERROR(__xludf.DUMMYFUNCTION("""COMPUTED_VALUE"""),"USB Cable")</f>
        <v>USB Cable</v>
      </c>
      <c r="D1811" s="73" t="str">
        <f>IFERROR(__xludf.DUMMYFUNCTION("""COMPUTED_VALUE"""),"50*16*130 mm")</f>
        <v>50*16*130 mm</v>
      </c>
      <c r="E1811" s="77">
        <f>IFERROR(__xludf.DUMMYFUNCTION("""COMPUTED_VALUE"""),9.0)</f>
        <v>9</v>
      </c>
      <c r="F1811" s="77">
        <f>IFERROR(__xludf.DUMMYFUNCTION("""COMPUTED_VALUE"""),1926.0)</f>
        <v>1926</v>
      </c>
      <c r="G1811" s="77">
        <f>IFERROR(__xludf.DUMMYFUNCTION("""COMPUTED_VALUE"""),18.0)</f>
        <v>18</v>
      </c>
      <c r="H1811" s="77">
        <f>IFERROR(__xludf.DUMMYFUNCTION("""COMPUTED_VALUE"""),21.0)</f>
        <v>21</v>
      </c>
      <c r="I1811" s="77">
        <f>IFERROR(__xludf.DUMMYFUNCTION("""COMPUTED_VALUE"""),100.0)</f>
        <v>100</v>
      </c>
      <c r="J1811" s="73"/>
      <c r="K1811" s="73"/>
      <c r="L1811" s="73"/>
      <c r="M1811" s="77">
        <f>IFERROR(__xludf.DUMMYFUNCTION("""COMPUTED_VALUE"""),0.1)</f>
        <v>0.1</v>
      </c>
      <c r="N1811" s="77">
        <f>IFERROR(__xludf.DUMMYFUNCTION("""COMPUTED_VALUE"""),1.0)</f>
        <v>1</v>
      </c>
      <c r="O1811" s="49"/>
      <c r="P1811" s="49" t="str">
        <f>IFERROR(__xludf.DUMMYFUNCTION("""COMPUTED_VALUE"""),"Offset")</f>
        <v>Offset</v>
      </c>
      <c r="Q1811" s="49" t="str">
        <f>IFERROR(__xludf.DUMMYFUNCTION("""COMPUTED_VALUE"""),"Packaging")</f>
        <v>Packaging</v>
      </c>
      <c r="R1811" s="49" t="str">
        <f>IFERROR(__xludf.DUMMYFUNCTION("""COMPUTED_VALUE"""),"Mobile Accessories")</f>
        <v>Mobile Accessories</v>
      </c>
    </row>
    <row r="1812">
      <c r="A1812" s="156" t="str">
        <f>IFERROR(__xludf.DUMMYFUNCTION("""COMPUTED_VALUE"""),"https://drive.google.com/open?id=1xjitj3aSp67m6DjhAvrEqxIc4qR6cdb-&amp;authuser=jay.agg%40gmail.com&amp;usp=drive_fs")</f>
        <v>https://drive.google.com/open?id=1xjitj3aSp67m6DjhAvrEqxIc4qR6cdb-&amp;authuser=jay.agg%40gmail.com&amp;usp=drive_fs</v>
      </c>
      <c r="B1812" s="73" t="str">
        <f>IFERROR(__xludf.DUMMYFUNCTION("""COMPUTED_VALUE"""),"Mobile Accessories")</f>
        <v>Mobile Accessories</v>
      </c>
      <c r="C1812" s="73" t="str">
        <f>IFERROR(__xludf.DUMMYFUNCTION("""COMPUTED_VALUE"""),"Travel Charger")</f>
        <v>Travel Charger</v>
      </c>
      <c r="D1812" s="73" t="str">
        <f>IFERROR(__xludf.DUMMYFUNCTION("""COMPUTED_VALUE"""),"90*33*120 mm")</f>
        <v>90*33*120 mm</v>
      </c>
      <c r="E1812" s="77">
        <f>IFERROR(__xludf.DUMMYFUNCTION("""COMPUTED_VALUE"""),4.0)</f>
        <v>4</v>
      </c>
      <c r="F1812" s="77">
        <f>IFERROR(__xludf.DUMMYFUNCTION("""COMPUTED_VALUE"""),1926.0)</f>
        <v>1926</v>
      </c>
      <c r="G1812" s="77">
        <f>IFERROR(__xludf.DUMMYFUNCTION("""COMPUTED_VALUE"""),15.5)</f>
        <v>15.5</v>
      </c>
      <c r="H1812" s="77">
        <f>IFERROR(__xludf.DUMMYFUNCTION("""COMPUTED_VALUE"""),20.5)</f>
        <v>20.5</v>
      </c>
      <c r="I1812" s="77">
        <f>IFERROR(__xludf.DUMMYFUNCTION("""COMPUTED_VALUE"""),100.0)</f>
        <v>100</v>
      </c>
      <c r="J1812" s="73"/>
      <c r="K1812" s="73"/>
      <c r="L1812" s="73"/>
      <c r="M1812" s="77">
        <f>IFERROR(__xludf.DUMMYFUNCTION("""COMPUTED_VALUE"""),0.1)</f>
        <v>0.1</v>
      </c>
      <c r="N1812" s="77">
        <f>IFERROR(__xludf.DUMMYFUNCTION("""COMPUTED_VALUE"""),1.0)</f>
        <v>1</v>
      </c>
      <c r="O1812" s="49"/>
      <c r="P1812" s="49" t="str">
        <f>IFERROR(__xludf.DUMMYFUNCTION("""COMPUTED_VALUE"""),"Offset")</f>
        <v>Offset</v>
      </c>
      <c r="Q1812" s="49" t="str">
        <f>IFERROR(__xludf.DUMMYFUNCTION("""COMPUTED_VALUE"""),"Packaging")</f>
        <v>Packaging</v>
      </c>
      <c r="R1812" s="49" t="str">
        <f>IFERROR(__xludf.DUMMYFUNCTION("""COMPUTED_VALUE"""),"Mobile Accessories")</f>
        <v>Mobile Accessories</v>
      </c>
    </row>
    <row r="1813">
      <c r="A1813" s="156" t="str">
        <f>IFERROR(__xludf.DUMMYFUNCTION("""COMPUTED_VALUE"""),"https://drive.google.com/open?id=1-ztSxRXLFf_oiO3vUXpV_Ne9VEKbrzl4&amp;authuser=jay.agg%40gmail.com&amp;usp=drive_fs")</f>
        <v>https://drive.google.com/open?id=1-ztSxRXLFf_oiO3vUXpV_Ne9VEKbrzl4&amp;authuser=jay.agg%40gmail.com&amp;usp=drive_fs</v>
      </c>
      <c r="B1813" s="73" t="str">
        <f>IFERROR(__xludf.DUMMYFUNCTION("""COMPUTED_VALUE"""),"Mobile Accessories")</f>
        <v>Mobile Accessories</v>
      </c>
      <c r="C1813" s="73" t="str">
        <f>IFERROR(__xludf.DUMMYFUNCTION("""COMPUTED_VALUE"""),"Travel Charger")</f>
        <v>Travel Charger</v>
      </c>
      <c r="D1813" s="73" t="str">
        <f>IFERROR(__xludf.DUMMYFUNCTION("""COMPUTED_VALUE"""),"76*38*102 mm | 3*1.5*4 inch IL with Hanger")</f>
        <v>76*38*102 mm | 3*1.5*4 inch IL with Hanger</v>
      </c>
      <c r="E1813" s="77">
        <f>IFERROR(__xludf.DUMMYFUNCTION("""COMPUTED_VALUE"""),4.0)</f>
        <v>4</v>
      </c>
      <c r="F1813" s="77">
        <f>IFERROR(__xludf.DUMMYFUNCTION("""COMPUTED_VALUE"""),1926.0)</f>
        <v>1926</v>
      </c>
      <c r="G1813" s="77">
        <f>IFERROR(__xludf.DUMMYFUNCTION("""COMPUTED_VALUE"""),15.5)</f>
        <v>15.5</v>
      </c>
      <c r="H1813" s="77">
        <f>IFERROR(__xludf.DUMMYFUNCTION("""COMPUTED_VALUE"""),20.5)</f>
        <v>20.5</v>
      </c>
      <c r="I1813" s="77">
        <f>IFERROR(__xludf.DUMMYFUNCTION("""COMPUTED_VALUE"""),100.0)</f>
        <v>100</v>
      </c>
      <c r="J1813" s="73"/>
      <c r="K1813" s="73"/>
      <c r="L1813" s="73"/>
      <c r="M1813" s="77">
        <f>IFERROR(__xludf.DUMMYFUNCTION("""COMPUTED_VALUE"""),0.1)</f>
        <v>0.1</v>
      </c>
      <c r="N1813" s="77">
        <f>IFERROR(__xludf.DUMMYFUNCTION("""COMPUTED_VALUE"""),1.0)</f>
        <v>1</v>
      </c>
      <c r="O1813" s="49"/>
      <c r="P1813" s="49" t="str">
        <f>IFERROR(__xludf.DUMMYFUNCTION("""COMPUTED_VALUE"""),"Offset")</f>
        <v>Offset</v>
      </c>
      <c r="Q1813" s="49" t="str">
        <f>IFERROR(__xludf.DUMMYFUNCTION("""COMPUTED_VALUE"""),"Packaging")</f>
        <v>Packaging</v>
      </c>
      <c r="R1813" s="49" t="str">
        <f>IFERROR(__xludf.DUMMYFUNCTION("""COMPUTED_VALUE"""),"Mobile Accessories")</f>
        <v>Mobile Accessories</v>
      </c>
    </row>
    <row r="1814">
      <c r="A1814" s="156" t="str">
        <f>IFERROR(__xludf.DUMMYFUNCTION("""COMPUTED_VALUE"""),"https://drive.google.com/open?id=1-zuLf0x0lGcutqte-LCMc7kCV4t05duA&amp;authuser=jay.agg%40gmail.com&amp;usp=drive_fs")</f>
        <v>https://drive.google.com/open?id=1-zuLf0x0lGcutqte-LCMc7kCV4t05duA&amp;authuser=jay.agg%40gmail.com&amp;usp=drive_fs</v>
      </c>
      <c r="B1814" s="73" t="str">
        <f>IFERROR(__xludf.DUMMYFUNCTION("""COMPUTED_VALUE"""),"Mobile Accessories")</f>
        <v>Mobile Accessories</v>
      </c>
      <c r="C1814" s="73" t="str">
        <f>IFERROR(__xludf.DUMMYFUNCTION("""COMPUTED_VALUE"""),"Bluetooth Wireless")</f>
        <v>Bluetooth Wireless</v>
      </c>
      <c r="D1814" s="73" t="str">
        <f>IFERROR(__xludf.DUMMYFUNCTION("""COMPUTED_VALUE"""),"69*18*170 mm with Hanger")</f>
        <v>69*18*170 mm with Hanger</v>
      </c>
      <c r="E1814" s="77">
        <f>IFERROR(__xludf.DUMMYFUNCTION("""COMPUTED_VALUE"""),4.0)</f>
        <v>4</v>
      </c>
      <c r="F1814" s="77">
        <f>IFERROR(__xludf.DUMMYFUNCTION("""COMPUTED_VALUE"""),1926.0)</f>
        <v>1926</v>
      </c>
      <c r="G1814" s="77">
        <f>IFERROR(__xludf.DUMMYFUNCTION("""COMPUTED_VALUE"""),15.5)</f>
        <v>15.5</v>
      </c>
      <c r="H1814" s="77">
        <f>IFERROR(__xludf.DUMMYFUNCTION("""COMPUTED_VALUE"""),20.5)</f>
        <v>20.5</v>
      </c>
      <c r="I1814" s="77">
        <f>IFERROR(__xludf.DUMMYFUNCTION("""COMPUTED_VALUE"""),100.0)</f>
        <v>100</v>
      </c>
      <c r="J1814" s="73"/>
      <c r="K1814" s="73"/>
      <c r="L1814" s="73"/>
      <c r="M1814" s="77">
        <f>IFERROR(__xludf.DUMMYFUNCTION("""COMPUTED_VALUE"""),0.1)</f>
        <v>0.1</v>
      </c>
      <c r="N1814" s="77">
        <f>IFERROR(__xludf.DUMMYFUNCTION("""COMPUTED_VALUE"""),1.0)</f>
        <v>1</v>
      </c>
      <c r="O1814" s="49"/>
      <c r="P1814" s="49" t="str">
        <f>IFERROR(__xludf.DUMMYFUNCTION("""COMPUTED_VALUE"""),"Offset")</f>
        <v>Offset</v>
      </c>
      <c r="Q1814" s="49" t="str">
        <f>IFERROR(__xludf.DUMMYFUNCTION("""COMPUTED_VALUE"""),"Packaging")</f>
        <v>Packaging</v>
      </c>
      <c r="R1814" s="49" t="str">
        <f>IFERROR(__xludf.DUMMYFUNCTION("""COMPUTED_VALUE"""),"Mobile Accessories")</f>
        <v>Mobile Accessories</v>
      </c>
    </row>
    <row r="1815">
      <c r="A1815" s="156" t="str">
        <f>IFERROR(__xludf.DUMMYFUNCTION("""COMPUTED_VALUE"""),"https://drive.google.com/open?id=10mtUGeKtNpkZvSElUKa-gh49QBjThUK3&amp;authuser=jay.agg%40gmail.com&amp;usp=drive_fs")</f>
        <v>https://drive.google.com/open?id=10mtUGeKtNpkZvSElUKa-gh49QBjThUK3&amp;authuser=jay.agg%40gmail.com&amp;usp=drive_fs</v>
      </c>
      <c r="B1815" s="73" t="str">
        <f>IFERROR(__xludf.DUMMYFUNCTION("""COMPUTED_VALUE"""),"Mobile Accessories")</f>
        <v>Mobile Accessories</v>
      </c>
      <c r="C1815" s="73" t="str">
        <f>IFERROR(__xludf.DUMMYFUNCTION("""COMPUTED_VALUE"""),"Travel Charger")</f>
        <v>Travel Charger</v>
      </c>
      <c r="D1815" s="73" t="str">
        <f>IFERROR(__xludf.DUMMYFUNCTION("""COMPUTED_VALUE"""),"70*30*110 mm with Hanger")</f>
        <v>70*30*110 mm with Hanger</v>
      </c>
      <c r="E1815" s="77">
        <f>IFERROR(__xludf.DUMMYFUNCTION("""COMPUTED_VALUE"""),6.0)</f>
        <v>6</v>
      </c>
      <c r="F1815" s="77">
        <f>IFERROR(__xludf.DUMMYFUNCTION("""COMPUTED_VALUE"""),1926.0)</f>
        <v>1926</v>
      </c>
      <c r="G1815" s="77">
        <f>IFERROR(__xludf.DUMMYFUNCTION("""COMPUTED_VALUE"""),18.0)</f>
        <v>18</v>
      </c>
      <c r="H1815" s="77">
        <f>IFERROR(__xludf.DUMMYFUNCTION("""COMPUTED_VALUE"""),25.0)</f>
        <v>25</v>
      </c>
      <c r="I1815" s="77">
        <f>IFERROR(__xludf.DUMMYFUNCTION("""COMPUTED_VALUE"""),100.0)</f>
        <v>100</v>
      </c>
      <c r="J1815" s="73"/>
      <c r="K1815" s="73"/>
      <c r="L1815" s="73"/>
      <c r="M1815" s="77">
        <f>IFERROR(__xludf.DUMMYFUNCTION("""COMPUTED_VALUE"""),0.1)</f>
        <v>0.1</v>
      </c>
      <c r="N1815" s="77">
        <f>IFERROR(__xludf.DUMMYFUNCTION("""COMPUTED_VALUE"""),1.0)</f>
        <v>1</v>
      </c>
      <c r="O1815" s="49"/>
      <c r="P1815" s="49" t="str">
        <f>IFERROR(__xludf.DUMMYFUNCTION("""COMPUTED_VALUE"""),"Offset")</f>
        <v>Offset</v>
      </c>
      <c r="Q1815" s="49" t="str">
        <f>IFERROR(__xludf.DUMMYFUNCTION("""COMPUTED_VALUE"""),"Packaging")</f>
        <v>Packaging</v>
      </c>
      <c r="R1815" s="49" t="str">
        <f>IFERROR(__xludf.DUMMYFUNCTION("""COMPUTED_VALUE"""),"Mobile Accessories")</f>
        <v>Mobile Accessories</v>
      </c>
    </row>
    <row r="1816">
      <c r="A1816" s="156" t="str">
        <f>IFERROR(__xludf.DUMMYFUNCTION("""COMPUTED_VALUE"""),"https://drive.google.com/open?id=10pzcVABCsbHq2oJNtMXtduAvjt7--uSA&amp;authuser=jay.agg%40gmail.com&amp;usp=drive_fs")</f>
        <v>https://drive.google.com/open?id=10pzcVABCsbHq2oJNtMXtduAvjt7--uSA&amp;authuser=jay.agg%40gmail.com&amp;usp=drive_fs</v>
      </c>
      <c r="B1816" s="73" t="str">
        <f>IFERROR(__xludf.DUMMYFUNCTION("""COMPUTED_VALUE"""),"Mobile Accessories")</f>
        <v>Mobile Accessories</v>
      </c>
      <c r="C1816" s="73" t="str">
        <f>IFERROR(__xludf.DUMMYFUNCTION("""COMPUTED_VALUE"""),"Bluetooth Wireless")</f>
        <v>Bluetooth Wireless</v>
      </c>
      <c r="D1816" s="73" t="str">
        <f>IFERROR(__xludf.DUMMYFUNCTION("""COMPUTED_VALUE"""),"68*20*160 mm")</f>
        <v>68*20*160 mm</v>
      </c>
      <c r="E1816" s="77">
        <f>IFERROR(__xludf.DUMMYFUNCTION("""COMPUTED_VALUE"""),6.0)</f>
        <v>6</v>
      </c>
      <c r="F1816" s="77">
        <f>IFERROR(__xludf.DUMMYFUNCTION("""COMPUTED_VALUE"""),1926.0)</f>
        <v>1926</v>
      </c>
      <c r="G1816" s="77">
        <f>IFERROR(__xludf.DUMMYFUNCTION("""COMPUTED_VALUE"""),18.0)</f>
        <v>18</v>
      </c>
      <c r="H1816" s="77">
        <f>IFERROR(__xludf.DUMMYFUNCTION("""COMPUTED_VALUE"""),23.0)</f>
        <v>23</v>
      </c>
      <c r="I1816" s="77">
        <f>IFERROR(__xludf.DUMMYFUNCTION("""COMPUTED_VALUE"""),100.0)</f>
        <v>100</v>
      </c>
      <c r="J1816" s="73"/>
      <c r="K1816" s="73"/>
      <c r="L1816" s="73"/>
      <c r="M1816" s="77">
        <f>IFERROR(__xludf.DUMMYFUNCTION("""COMPUTED_VALUE"""),0.1)</f>
        <v>0.1</v>
      </c>
      <c r="N1816" s="77">
        <f>IFERROR(__xludf.DUMMYFUNCTION("""COMPUTED_VALUE"""),1.0)</f>
        <v>1</v>
      </c>
      <c r="O1816" s="49"/>
      <c r="P1816" s="49" t="str">
        <f>IFERROR(__xludf.DUMMYFUNCTION("""COMPUTED_VALUE"""),"Offset")</f>
        <v>Offset</v>
      </c>
      <c r="Q1816" s="49" t="str">
        <f>IFERROR(__xludf.DUMMYFUNCTION("""COMPUTED_VALUE"""),"Packaging")</f>
        <v>Packaging</v>
      </c>
      <c r="R1816" s="49" t="str">
        <f>IFERROR(__xludf.DUMMYFUNCTION("""COMPUTED_VALUE"""),"Mobile Accessories")</f>
        <v>Mobile Accessories</v>
      </c>
    </row>
    <row r="1817">
      <c r="A1817" s="156" t="str">
        <f>IFERROR(__xludf.DUMMYFUNCTION("""COMPUTED_VALUE"""),"https://drive.google.com/open?id=11Y53_yicVeujFZAJaIJpWOUyDXQ9nL7v&amp;authuser=jay.agg%40gmail.com&amp;usp=drive_fs")</f>
        <v>https://drive.google.com/open?id=11Y53_yicVeujFZAJaIJpWOUyDXQ9nL7v&amp;authuser=jay.agg%40gmail.com&amp;usp=drive_fs</v>
      </c>
      <c r="B1817" s="73" t="str">
        <f>IFERROR(__xludf.DUMMYFUNCTION("""COMPUTED_VALUE"""),"Mobile Accessories")</f>
        <v>Mobile Accessories</v>
      </c>
      <c r="C1817" s="73" t="str">
        <f>IFERROR(__xludf.DUMMYFUNCTION("""COMPUTED_VALUE"""),"Travel Charger")</f>
        <v>Travel Charger</v>
      </c>
      <c r="D1817" s="73" t="str">
        <f>IFERROR(__xludf.DUMMYFUNCTION("""COMPUTED_VALUE"""),"76*28*92 mm | 3*1.5*3.5 inch")</f>
        <v>76*28*92 mm | 3*1.5*3.5 inch</v>
      </c>
      <c r="E1817" s="77">
        <f>IFERROR(__xludf.DUMMYFUNCTION("""COMPUTED_VALUE"""),8.0)</f>
        <v>8</v>
      </c>
      <c r="F1817" s="77">
        <f>IFERROR(__xludf.DUMMYFUNCTION("""COMPUTED_VALUE"""),1926.0)</f>
        <v>1926</v>
      </c>
      <c r="G1817" s="77">
        <f>IFERROR(__xludf.DUMMYFUNCTION("""COMPUTED_VALUE"""),18.0)</f>
        <v>18</v>
      </c>
      <c r="H1817" s="77">
        <f>IFERROR(__xludf.DUMMYFUNCTION("""COMPUTED_VALUE"""),23.0)</f>
        <v>23</v>
      </c>
      <c r="I1817" s="77">
        <f>IFERROR(__xludf.DUMMYFUNCTION("""COMPUTED_VALUE"""),100.0)</f>
        <v>100</v>
      </c>
      <c r="J1817" s="73"/>
      <c r="K1817" s="73"/>
      <c r="L1817" s="73"/>
      <c r="M1817" s="77">
        <f>IFERROR(__xludf.DUMMYFUNCTION("""COMPUTED_VALUE"""),0.1)</f>
        <v>0.1</v>
      </c>
      <c r="N1817" s="77">
        <f>IFERROR(__xludf.DUMMYFUNCTION("""COMPUTED_VALUE"""),1.0)</f>
        <v>1</v>
      </c>
      <c r="O1817" s="49"/>
      <c r="P1817" s="49" t="str">
        <f>IFERROR(__xludf.DUMMYFUNCTION("""COMPUTED_VALUE"""),"Offset")</f>
        <v>Offset</v>
      </c>
      <c r="Q1817" s="49" t="str">
        <f>IFERROR(__xludf.DUMMYFUNCTION("""COMPUTED_VALUE"""),"Packaging")</f>
        <v>Packaging</v>
      </c>
      <c r="R1817" s="49" t="str">
        <f>IFERROR(__xludf.DUMMYFUNCTION("""COMPUTED_VALUE"""),"Mobile Accessories")</f>
        <v>Mobile Accessories</v>
      </c>
    </row>
    <row r="1818">
      <c r="A1818" s="156" t="str">
        <f>IFERROR(__xludf.DUMMYFUNCTION("""COMPUTED_VALUE"""),"https://drive.google.com/open?id=11aDyCc80iBRp0UbPy2X3r4eXvNs_wSro&amp;authuser=jay.agg%40gmail.com&amp;usp=drive_fs")</f>
        <v>https://drive.google.com/open?id=11aDyCc80iBRp0UbPy2X3r4eXvNs_wSro&amp;authuser=jay.agg%40gmail.com&amp;usp=drive_fs</v>
      </c>
      <c r="B1818" s="73" t="str">
        <f>IFERROR(__xludf.DUMMYFUNCTION("""COMPUTED_VALUE"""),"Mobile Accessories")</f>
        <v>Mobile Accessories</v>
      </c>
      <c r="C1818" s="73" t="str">
        <f>IFERROR(__xludf.DUMMYFUNCTION("""COMPUTED_VALUE"""),"Travel Charger")</f>
        <v>Travel Charger</v>
      </c>
      <c r="D1818" s="73" t="str">
        <f>IFERROR(__xludf.DUMMYFUNCTION("""COMPUTED_VALUE"""),"Outer 76*28*92 mm IL 10 Box")</f>
        <v>Outer 76*28*92 mm IL 10 Box</v>
      </c>
      <c r="E1818" s="77">
        <f>IFERROR(__xludf.DUMMYFUNCTION("""COMPUTED_VALUE"""),1.0)</f>
        <v>1</v>
      </c>
      <c r="F1818" s="77">
        <f>IFERROR(__xludf.DUMMYFUNCTION("""COMPUTED_VALUE"""),1926.0)</f>
        <v>1926</v>
      </c>
      <c r="G1818" s="77">
        <f>IFERROR(__xludf.DUMMYFUNCTION("""COMPUTED_VALUE"""),15.0)</f>
        <v>15</v>
      </c>
      <c r="H1818" s="77">
        <f>IFERROR(__xludf.DUMMYFUNCTION("""COMPUTED_VALUE"""),25.0)</f>
        <v>25</v>
      </c>
      <c r="I1818" s="77">
        <f>IFERROR(__xludf.DUMMYFUNCTION("""COMPUTED_VALUE"""),100.0)</f>
        <v>100</v>
      </c>
      <c r="J1818" s="73"/>
      <c r="K1818" s="73"/>
      <c r="L1818" s="73"/>
      <c r="M1818" s="77">
        <f>IFERROR(__xludf.DUMMYFUNCTION("""COMPUTED_VALUE"""),0.1)</f>
        <v>0.1</v>
      </c>
      <c r="N1818" s="77">
        <f>IFERROR(__xludf.DUMMYFUNCTION("""COMPUTED_VALUE"""),1.0)</f>
        <v>1</v>
      </c>
      <c r="O1818" s="49"/>
      <c r="P1818" s="49" t="str">
        <f>IFERROR(__xludf.DUMMYFUNCTION("""COMPUTED_VALUE"""),"Offset")</f>
        <v>Offset</v>
      </c>
      <c r="Q1818" s="49" t="str">
        <f>IFERROR(__xludf.DUMMYFUNCTION("""COMPUTED_VALUE"""),"Packaging")</f>
        <v>Packaging</v>
      </c>
      <c r="R1818" s="49" t="str">
        <f>IFERROR(__xludf.DUMMYFUNCTION("""COMPUTED_VALUE"""),"Mobile Accessories")</f>
        <v>Mobile Accessories</v>
      </c>
    </row>
    <row r="1819">
      <c r="A1819" s="156" t="str">
        <f>IFERROR(__xludf.DUMMYFUNCTION("""COMPUTED_VALUE"""),"https://drive.google.com/open?id=11bl4DlREu3HtfNHnXHtVYE2xj2VbqgVq&amp;authuser=jay.agg%40gmail.com&amp;usp=drive_fs")</f>
        <v>https://drive.google.com/open?id=11bl4DlREu3HtfNHnXHtVYE2xj2VbqgVq&amp;authuser=jay.agg%40gmail.com&amp;usp=drive_fs</v>
      </c>
      <c r="B1819" s="73" t="str">
        <f>IFERROR(__xludf.DUMMYFUNCTION("""COMPUTED_VALUE"""),"Mobile Accessories")</f>
        <v>Mobile Accessories</v>
      </c>
      <c r="C1819" s="73" t="str">
        <f>IFERROR(__xludf.DUMMYFUNCTION("""COMPUTED_VALUE"""),"Travel Charger")</f>
        <v>Travel Charger</v>
      </c>
      <c r="D1819" s="73" t="str">
        <f>IFERROR(__xludf.DUMMYFUNCTION("""COMPUTED_VALUE"""),"76*32*92 mm | 3*1.26*3.6 inch IL")</f>
        <v>76*32*92 mm | 3*1.26*3.6 inch IL</v>
      </c>
      <c r="E1819" s="77">
        <f>IFERROR(__xludf.DUMMYFUNCTION("""COMPUTED_VALUE"""),8.0)</f>
        <v>8</v>
      </c>
      <c r="F1819" s="77">
        <f>IFERROR(__xludf.DUMMYFUNCTION("""COMPUTED_VALUE"""),1926.0)</f>
        <v>1926</v>
      </c>
      <c r="G1819" s="77">
        <f>IFERROR(__xludf.DUMMYFUNCTION("""COMPUTED_VALUE"""),18.0)</f>
        <v>18</v>
      </c>
      <c r="H1819" s="77">
        <f>IFERROR(__xludf.DUMMYFUNCTION("""COMPUTED_VALUE"""),23.0)</f>
        <v>23</v>
      </c>
      <c r="I1819" s="77">
        <f>IFERROR(__xludf.DUMMYFUNCTION("""COMPUTED_VALUE"""),100.0)</f>
        <v>100</v>
      </c>
      <c r="J1819" s="73"/>
      <c r="K1819" s="73"/>
      <c r="L1819" s="73"/>
      <c r="M1819" s="77">
        <f>IFERROR(__xludf.DUMMYFUNCTION("""COMPUTED_VALUE"""),0.1)</f>
        <v>0.1</v>
      </c>
      <c r="N1819" s="77">
        <f>IFERROR(__xludf.DUMMYFUNCTION("""COMPUTED_VALUE"""),1.0)</f>
        <v>1</v>
      </c>
      <c r="O1819" s="49"/>
      <c r="P1819" s="49" t="str">
        <f>IFERROR(__xludf.DUMMYFUNCTION("""COMPUTED_VALUE"""),"Offset")</f>
        <v>Offset</v>
      </c>
      <c r="Q1819" s="49" t="str">
        <f>IFERROR(__xludf.DUMMYFUNCTION("""COMPUTED_VALUE"""),"Packaging")</f>
        <v>Packaging</v>
      </c>
      <c r="R1819" s="49" t="str">
        <f>IFERROR(__xludf.DUMMYFUNCTION("""COMPUTED_VALUE"""),"Mobile Accessories")</f>
        <v>Mobile Accessories</v>
      </c>
    </row>
    <row r="1820">
      <c r="A1820" s="156" t="str">
        <f>IFERROR(__xludf.DUMMYFUNCTION("""COMPUTED_VALUE"""),"https://drive.google.com/open?id=11qfTuNp12o3YfUVD7ZplEXDq7XZJSPTF&amp;authuser=jay.agg%40gmail.com&amp;usp=drive_fs")</f>
        <v>https://drive.google.com/open?id=11qfTuNp12o3YfUVD7ZplEXDq7XZJSPTF&amp;authuser=jay.agg%40gmail.com&amp;usp=drive_fs</v>
      </c>
      <c r="B1820" s="73" t="str">
        <f>IFERROR(__xludf.DUMMYFUNCTION("""COMPUTED_VALUE"""),"Mobile Accessories")</f>
        <v>Mobile Accessories</v>
      </c>
      <c r="C1820" s="73" t="str">
        <f>IFERROR(__xludf.DUMMYFUNCTION("""COMPUTED_VALUE"""),"Travel Charger")</f>
        <v>Travel Charger</v>
      </c>
      <c r="D1820" s="73" t="str">
        <f>IFERROR(__xludf.DUMMYFUNCTION("""COMPUTED_VALUE"""),"Outer 76*32*92 mm 10 Box")</f>
        <v>Outer 76*32*92 mm 10 Box</v>
      </c>
      <c r="E1820" s="77">
        <f>IFERROR(__xludf.DUMMYFUNCTION("""COMPUTED_VALUE"""),1.0)</f>
        <v>1</v>
      </c>
      <c r="F1820" s="77">
        <f>IFERROR(__xludf.DUMMYFUNCTION("""COMPUTED_VALUE"""),1926.0)</f>
        <v>1926</v>
      </c>
      <c r="G1820" s="77">
        <f>IFERROR(__xludf.DUMMYFUNCTION("""COMPUTED_VALUE"""),19.0)</f>
        <v>19</v>
      </c>
      <c r="H1820" s="77">
        <f>IFERROR(__xludf.DUMMYFUNCTION("""COMPUTED_VALUE"""),26.0)</f>
        <v>26</v>
      </c>
      <c r="I1820" s="77">
        <f>IFERROR(__xludf.DUMMYFUNCTION("""COMPUTED_VALUE"""),100.0)</f>
        <v>100</v>
      </c>
      <c r="J1820" s="73"/>
      <c r="K1820" s="73"/>
      <c r="L1820" s="73"/>
      <c r="M1820" s="77">
        <f>IFERROR(__xludf.DUMMYFUNCTION("""COMPUTED_VALUE"""),0.1)</f>
        <v>0.1</v>
      </c>
      <c r="N1820" s="77">
        <f>IFERROR(__xludf.DUMMYFUNCTION("""COMPUTED_VALUE"""),1.0)</f>
        <v>1</v>
      </c>
      <c r="O1820" s="49"/>
      <c r="P1820" s="49" t="str">
        <f>IFERROR(__xludf.DUMMYFUNCTION("""COMPUTED_VALUE"""),"Offset")</f>
        <v>Offset</v>
      </c>
      <c r="Q1820" s="49" t="str">
        <f>IFERROR(__xludf.DUMMYFUNCTION("""COMPUTED_VALUE"""),"Packaging")</f>
        <v>Packaging</v>
      </c>
      <c r="R1820" s="49" t="str">
        <f>IFERROR(__xludf.DUMMYFUNCTION("""COMPUTED_VALUE"""),"Mobile Accessories")</f>
        <v>Mobile Accessories</v>
      </c>
    </row>
    <row r="1821">
      <c r="A1821" s="156" t="str">
        <f>IFERROR(__xludf.DUMMYFUNCTION("""COMPUTED_VALUE"""),"https://drive.google.com/open?id=11tN9hSORpbl2QCzp93pXNP1_mc5b6Kip&amp;authuser=jay.agg%40gmail.com&amp;usp=drive_fs")</f>
        <v>https://drive.google.com/open?id=11tN9hSORpbl2QCzp93pXNP1_mc5b6Kip&amp;authuser=jay.agg%40gmail.com&amp;usp=drive_fs</v>
      </c>
      <c r="B1821" s="73" t="str">
        <f>IFERROR(__xludf.DUMMYFUNCTION("""COMPUTED_VALUE"""),"Mobile Accessories")</f>
        <v>Mobile Accessories</v>
      </c>
      <c r="C1821" s="73" t="str">
        <f>IFERROR(__xludf.DUMMYFUNCTION("""COMPUTED_VALUE"""),"Travel Charger")</f>
        <v>Travel Charger</v>
      </c>
      <c r="D1821" s="73" t="str">
        <f>IFERROR(__xludf.DUMMYFUNCTION("""COMPUTED_VALUE"""),"76*30*64 mm")</f>
        <v>76*30*64 mm</v>
      </c>
      <c r="E1821" s="77">
        <f>IFERROR(__xludf.DUMMYFUNCTION("""COMPUTED_VALUE"""),10.0)</f>
        <v>10</v>
      </c>
      <c r="F1821" s="77">
        <f>IFERROR(__xludf.DUMMYFUNCTION("""COMPUTED_VALUE"""),1926.0)</f>
        <v>1926</v>
      </c>
      <c r="G1821" s="77">
        <f>IFERROR(__xludf.DUMMYFUNCTION("""COMPUTED_VALUE"""),18.0)</f>
        <v>18</v>
      </c>
      <c r="H1821" s="77">
        <f>IFERROR(__xludf.DUMMYFUNCTION("""COMPUTED_VALUE"""),25.0)</f>
        <v>25</v>
      </c>
      <c r="I1821" s="77">
        <f>IFERROR(__xludf.DUMMYFUNCTION("""COMPUTED_VALUE"""),100.0)</f>
        <v>100</v>
      </c>
      <c r="J1821" s="73"/>
      <c r="K1821" s="73"/>
      <c r="L1821" s="73"/>
      <c r="M1821" s="77">
        <f>IFERROR(__xludf.DUMMYFUNCTION("""COMPUTED_VALUE"""),0.1)</f>
        <v>0.1</v>
      </c>
      <c r="N1821" s="77">
        <f>IFERROR(__xludf.DUMMYFUNCTION("""COMPUTED_VALUE"""),1.0)</f>
        <v>1</v>
      </c>
      <c r="O1821" s="49"/>
      <c r="P1821" s="49" t="str">
        <f>IFERROR(__xludf.DUMMYFUNCTION("""COMPUTED_VALUE"""),"Offset")</f>
        <v>Offset</v>
      </c>
      <c r="Q1821" s="49" t="str">
        <f>IFERROR(__xludf.DUMMYFUNCTION("""COMPUTED_VALUE"""),"Packaging")</f>
        <v>Packaging</v>
      </c>
      <c r="R1821" s="49" t="str">
        <f>IFERROR(__xludf.DUMMYFUNCTION("""COMPUTED_VALUE"""),"Mobile Accessories")</f>
        <v>Mobile Accessories</v>
      </c>
    </row>
    <row r="1822">
      <c r="A1822" s="156" t="str">
        <f>IFERROR(__xludf.DUMMYFUNCTION("""COMPUTED_VALUE"""),"https://drive.google.com/open?id=1HhcMrKNgOVvmZ24VMIRpOCNX8jsrmGxO&amp;authuser=jay.agg%40gmail.com&amp;usp=drive_fs")</f>
        <v>https://drive.google.com/open?id=1HhcMrKNgOVvmZ24VMIRpOCNX8jsrmGxO&amp;authuser=jay.agg%40gmail.com&amp;usp=drive_fs</v>
      </c>
      <c r="B1822" s="73" t="str">
        <f>IFERROR(__xludf.DUMMYFUNCTION("""COMPUTED_VALUE"""),"Mobile Accessories")</f>
        <v>Mobile Accessories</v>
      </c>
      <c r="C1822" s="73" t="str">
        <f>IFERROR(__xludf.DUMMYFUNCTION("""COMPUTED_VALUE"""),"USB Cable")</f>
        <v>USB Cable</v>
      </c>
      <c r="D1822" s="73" t="str">
        <f>IFERROR(__xludf.DUMMYFUNCTION("""COMPUTED_VALUE"""),"41*16.5*164 mm with Hanger")</f>
        <v>41*16.5*164 mm with Hanger</v>
      </c>
      <c r="E1822" s="77">
        <f>IFERROR(__xludf.DUMMYFUNCTION("""COMPUTED_VALUE"""),6.0)</f>
        <v>6</v>
      </c>
      <c r="F1822" s="77">
        <f>IFERROR(__xludf.DUMMYFUNCTION("""COMPUTED_VALUE"""),1926.0)</f>
        <v>1926</v>
      </c>
      <c r="G1822" s="77">
        <f>IFERROR(__xludf.DUMMYFUNCTION("""COMPUTED_VALUE"""),15.0)</f>
        <v>15</v>
      </c>
      <c r="H1822" s="77">
        <f>IFERROR(__xludf.DUMMYFUNCTION("""COMPUTED_VALUE"""),20.0)</f>
        <v>20</v>
      </c>
      <c r="I1822" s="77">
        <f>IFERROR(__xludf.DUMMYFUNCTION("""COMPUTED_VALUE"""),100.0)</f>
        <v>100</v>
      </c>
      <c r="J1822" s="73"/>
      <c r="K1822" s="73"/>
      <c r="L1822" s="73"/>
      <c r="M1822" s="77">
        <f>IFERROR(__xludf.DUMMYFUNCTION("""COMPUTED_VALUE"""),0.1)</f>
        <v>0.1</v>
      </c>
      <c r="N1822" s="77">
        <f>IFERROR(__xludf.DUMMYFUNCTION("""COMPUTED_VALUE"""),1.0)</f>
        <v>1</v>
      </c>
      <c r="O1822" s="49"/>
      <c r="P1822" s="49" t="str">
        <f>IFERROR(__xludf.DUMMYFUNCTION("""COMPUTED_VALUE"""),"Offset")</f>
        <v>Offset</v>
      </c>
      <c r="Q1822" s="49" t="str">
        <f>IFERROR(__xludf.DUMMYFUNCTION("""COMPUTED_VALUE"""),"Packaging")</f>
        <v>Packaging</v>
      </c>
      <c r="R1822" s="49" t="str">
        <f>IFERROR(__xludf.DUMMYFUNCTION("""COMPUTED_VALUE"""),"Mobile Accessories")</f>
        <v>Mobile Accessories</v>
      </c>
    </row>
    <row r="1823">
      <c r="A1823" s="156" t="str">
        <f>IFERROR(__xludf.DUMMYFUNCTION("""COMPUTED_VALUE"""),"https://drive.google.com/open?id=13pp7Pk_T-8LE_zsqlgQJMDkdcL092OGt&amp;authuser=jay.agg%40gmail.com&amp;usp=drive_fs")</f>
        <v>https://drive.google.com/open?id=13pp7Pk_T-8LE_zsqlgQJMDkdcL092OGt&amp;authuser=jay.agg%40gmail.com&amp;usp=drive_fs</v>
      </c>
      <c r="B1823" s="73" t="str">
        <f>IFERROR(__xludf.DUMMYFUNCTION("""COMPUTED_VALUE"""),"Mobile Accessories")</f>
        <v>Mobile Accessories</v>
      </c>
      <c r="C1823" s="73" t="str">
        <f>IFERROR(__xludf.DUMMYFUNCTION("""COMPUTED_VALUE"""),"USB Cable")</f>
        <v>USB Cable</v>
      </c>
      <c r="D1823" s="73" t="str">
        <f>IFERROR(__xludf.DUMMYFUNCTION("""COMPUTED_VALUE"""),"80*25*190 mm with Hanger")</f>
        <v>80*25*190 mm with Hanger</v>
      </c>
      <c r="E1823" s="77">
        <f>IFERROR(__xludf.DUMMYFUNCTION("""COMPUTED_VALUE"""),4.0)</f>
        <v>4</v>
      </c>
      <c r="F1823" s="77">
        <f>IFERROR(__xludf.DUMMYFUNCTION("""COMPUTED_VALUE"""),1926.0)</f>
        <v>1926</v>
      </c>
      <c r="G1823" s="77">
        <f>IFERROR(__xludf.DUMMYFUNCTION("""COMPUTED_VALUE"""),18.0)</f>
        <v>18</v>
      </c>
      <c r="H1823" s="77">
        <f>IFERROR(__xludf.DUMMYFUNCTION("""COMPUTED_VALUE"""),21.0)</f>
        <v>21</v>
      </c>
      <c r="I1823" s="77">
        <f>IFERROR(__xludf.DUMMYFUNCTION("""COMPUTED_VALUE"""),100.0)</f>
        <v>100</v>
      </c>
      <c r="J1823" s="73"/>
      <c r="K1823" s="73"/>
      <c r="L1823" s="73">
        <f>IFERROR(__xludf.DUMMYFUNCTION("""COMPUTED_VALUE"""),0.5)</f>
        <v>0.5</v>
      </c>
      <c r="M1823" s="77">
        <f>IFERROR(__xludf.DUMMYFUNCTION("""COMPUTED_VALUE"""),0.1)</f>
        <v>0.1</v>
      </c>
      <c r="N1823" s="77">
        <f>IFERROR(__xludf.DUMMYFUNCTION("""COMPUTED_VALUE"""),1.0)</f>
        <v>1</v>
      </c>
      <c r="O1823" s="49"/>
      <c r="P1823" s="49" t="str">
        <f>IFERROR(__xludf.DUMMYFUNCTION("""COMPUTED_VALUE"""),"Offset")</f>
        <v>Offset</v>
      </c>
      <c r="Q1823" s="49" t="str">
        <f>IFERROR(__xludf.DUMMYFUNCTION("""COMPUTED_VALUE"""),"Packaging")</f>
        <v>Packaging</v>
      </c>
      <c r="R1823" s="49" t="str">
        <f>IFERROR(__xludf.DUMMYFUNCTION("""COMPUTED_VALUE"""),"Mobile Accessories")</f>
        <v>Mobile Accessories</v>
      </c>
    </row>
    <row r="1824">
      <c r="A1824" s="156" t="str">
        <f>IFERROR(__xludf.DUMMYFUNCTION("""COMPUTED_VALUE"""),"https://drive.google.com/open?id=1Kh4pSBv4KFZIqqqDLFPDWoxctHpHqKOx&amp;authuser=jay.agg%40gmail.com&amp;usp=drive_fs")</f>
        <v>https://drive.google.com/open?id=1Kh4pSBv4KFZIqqqDLFPDWoxctHpHqKOx&amp;authuser=jay.agg%40gmail.com&amp;usp=drive_fs</v>
      </c>
      <c r="B1824" s="73" t="str">
        <f>IFERROR(__xludf.DUMMYFUNCTION("""COMPUTED_VALUE"""),"Mobile Accessories")</f>
        <v>Mobile Accessories</v>
      </c>
      <c r="C1824" s="73" t="str">
        <f>IFERROR(__xludf.DUMMYFUNCTION("""COMPUTED_VALUE"""),"BQI")</f>
        <v>BQI</v>
      </c>
      <c r="D1824" s="73" t="str">
        <f>IFERROR(__xludf.DUMMYFUNCTION("""COMPUTED_VALUE"""),"76*32*121 mm")</f>
        <v>76*32*121 mm</v>
      </c>
      <c r="E1824" s="77">
        <f>IFERROR(__xludf.DUMMYFUNCTION("""COMPUTED_VALUE"""),4.0)</f>
        <v>4</v>
      </c>
      <c r="F1824" s="77">
        <f>IFERROR(__xludf.DUMMYFUNCTION("""COMPUTED_VALUE"""),1926.0)</f>
        <v>1926</v>
      </c>
      <c r="G1824" s="77">
        <f>IFERROR(__xludf.DUMMYFUNCTION("""COMPUTED_VALUE"""),18.0)</f>
        <v>18</v>
      </c>
      <c r="H1824" s="77">
        <f>IFERROR(__xludf.DUMMYFUNCTION("""COMPUTED_VALUE"""),21.0)</f>
        <v>21</v>
      </c>
      <c r="I1824" s="77">
        <f>IFERROR(__xludf.DUMMYFUNCTION("""COMPUTED_VALUE"""),100.0)</f>
        <v>100</v>
      </c>
      <c r="J1824" s="73"/>
      <c r="K1824" s="73"/>
      <c r="L1824" s="73"/>
      <c r="M1824" s="77">
        <f>IFERROR(__xludf.DUMMYFUNCTION("""COMPUTED_VALUE"""),0.1)</f>
        <v>0.1</v>
      </c>
      <c r="N1824" s="77">
        <f>IFERROR(__xludf.DUMMYFUNCTION("""COMPUTED_VALUE"""),1.0)</f>
        <v>1</v>
      </c>
      <c r="O1824" s="49"/>
      <c r="P1824" s="49" t="str">
        <f>IFERROR(__xludf.DUMMYFUNCTION("""COMPUTED_VALUE"""),"Offset")</f>
        <v>Offset</v>
      </c>
      <c r="Q1824" s="49" t="str">
        <f>IFERROR(__xludf.DUMMYFUNCTION("""COMPUTED_VALUE"""),"Packaging")</f>
        <v>Packaging</v>
      </c>
      <c r="R1824" s="49" t="str">
        <f>IFERROR(__xludf.DUMMYFUNCTION("""COMPUTED_VALUE"""),"Mobile Accessories")</f>
        <v>Mobile Accessories</v>
      </c>
    </row>
    <row r="1825">
      <c r="A1825" s="156" t="str">
        <f>IFERROR(__xludf.DUMMYFUNCTION("""COMPUTED_VALUE"""),"https://drive.google.com/open?id=1KbqFz6PhFpOa3RmTKSp8evoWR-8YllGJ&amp;authuser=jay.agg%40gmail.com&amp;usp=drive_fs")</f>
        <v>https://drive.google.com/open?id=1KbqFz6PhFpOa3RmTKSp8evoWR-8YllGJ&amp;authuser=jay.agg%40gmail.com&amp;usp=drive_fs</v>
      </c>
      <c r="B1825" s="73" t="str">
        <f>IFERROR(__xludf.DUMMYFUNCTION("""COMPUTED_VALUE"""),"Mobile Accessories")</f>
        <v>Mobile Accessories</v>
      </c>
      <c r="C1825" s="73" t="str">
        <f>IFERROR(__xludf.DUMMYFUNCTION("""COMPUTED_VALUE"""),"BQI")</f>
        <v>BQI</v>
      </c>
      <c r="D1825" s="73" t="str">
        <f>IFERROR(__xludf.DUMMYFUNCTION("""COMPUTED_VALUE"""),"60*18*155 mm")</f>
        <v>60*18*155 mm</v>
      </c>
      <c r="E1825" s="77">
        <f>IFERROR(__xludf.DUMMYFUNCTION("""COMPUTED_VALUE"""),8.0)</f>
        <v>8</v>
      </c>
      <c r="F1825" s="77">
        <f>IFERROR(__xludf.DUMMYFUNCTION("""COMPUTED_VALUE"""),2029.0)</f>
        <v>2029</v>
      </c>
      <c r="G1825" s="77">
        <f>IFERROR(__xludf.DUMMYFUNCTION("""COMPUTED_VALUE"""),20.0)</f>
        <v>20</v>
      </c>
      <c r="H1825" s="77">
        <f>IFERROR(__xludf.DUMMYFUNCTION("""COMPUTED_VALUE"""),28.0)</f>
        <v>28</v>
      </c>
      <c r="I1825" s="77">
        <f>IFERROR(__xludf.DUMMYFUNCTION("""COMPUTED_VALUE"""),100.0)</f>
        <v>100</v>
      </c>
      <c r="J1825" s="73"/>
      <c r="K1825" s="73"/>
      <c r="L1825" s="73"/>
      <c r="M1825" s="77">
        <f>IFERROR(__xludf.DUMMYFUNCTION("""COMPUTED_VALUE"""),0.1)</f>
        <v>0.1</v>
      </c>
      <c r="N1825" s="77">
        <f>IFERROR(__xludf.DUMMYFUNCTION("""COMPUTED_VALUE"""),1.0)</f>
        <v>1</v>
      </c>
      <c r="O1825" s="49"/>
      <c r="P1825" s="49" t="str">
        <f>IFERROR(__xludf.DUMMYFUNCTION("""COMPUTED_VALUE"""),"Offset")</f>
        <v>Offset</v>
      </c>
      <c r="Q1825" s="49" t="str">
        <f>IFERROR(__xludf.DUMMYFUNCTION("""COMPUTED_VALUE"""),"Packaging")</f>
        <v>Packaging</v>
      </c>
      <c r="R1825" s="49" t="str">
        <f>IFERROR(__xludf.DUMMYFUNCTION("""COMPUTED_VALUE"""),"Mobile Accessories")</f>
        <v>Mobile Accessories</v>
      </c>
    </row>
    <row r="1826">
      <c r="A1826" s="156" t="str">
        <f>IFERROR(__xludf.DUMMYFUNCTION("""COMPUTED_VALUE"""),"https://drive.google.com/open?id=1KSvb19Yb_jXw_e4WmojY9aMpd-w89L7H&amp;authuser=jay.agg%40gmail.com&amp;usp=drive_fs")</f>
        <v>https://drive.google.com/open?id=1KSvb19Yb_jXw_e4WmojY9aMpd-w89L7H&amp;authuser=jay.agg%40gmail.com&amp;usp=drive_fs</v>
      </c>
      <c r="B1826" s="73" t="str">
        <f>IFERROR(__xludf.DUMMYFUNCTION("""COMPUTED_VALUE"""),"Mobile Accessories")</f>
        <v>Mobile Accessories</v>
      </c>
      <c r="C1826" s="73" t="str">
        <f>IFERROR(__xludf.DUMMYFUNCTION("""COMPUTED_VALUE"""),"BQI")</f>
        <v>BQI</v>
      </c>
      <c r="D1826" s="73" t="str">
        <f>IFERROR(__xludf.DUMMYFUNCTION("""COMPUTED_VALUE"""),"60*18*110 mm")</f>
        <v>60*18*110 mm</v>
      </c>
      <c r="E1826" s="77">
        <f>IFERROR(__xludf.DUMMYFUNCTION("""COMPUTED_VALUE"""),6.0)</f>
        <v>6</v>
      </c>
      <c r="F1826" s="77">
        <f>IFERROR(__xludf.DUMMYFUNCTION("""COMPUTED_VALUE"""),1926.0)</f>
        <v>1926</v>
      </c>
      <c r="G1826" s="77">
        <f>IFERROR(__xludf.DUMMYFUNCTION("""COMPUTED_VALUE"""),15.75)</f>
        <v>15.75</v>
      </c>
      <c r="H1826" s="77">
        <f>IFERROR(__xludf.DUMMYFUNCTION("""COMPUTED_VALUE"""),20.75)</f>
        <v>20.75</v>
      </c>
      <c r="I1826" s="77">
        <f>IFERROR(__xludf.DUMMYFUNCTION("""COMPUTED_VALUE"""),100.0)</f>
        <v>100</v>
      </c>
      <c r="J1826" s="73"/>
      <c r="K1826" s="73"/>
      <c r="L1826" s="73"/>
      <c r="M1826" s="77">
        <f>IFERROR(__xludf.DUMMYFUNCTION("""COMPUTED_VALUE"""),0.1)</f>
        <v>0.1</v>
      </c>
      <c r="N1826" s="77">
        <f>IFERROR(__xludf.DUMMYFUNCTION("""COMPUTED_VALUE"""),1.0)</f>
        <v>1</v>
      </c>
      <c r="O1826" s="49"/>
      <c r="P1826" s="49" t="str">
        <f>IFERROR(__xludf.DUMMYFUNCTION("""COMPUTED_VALUE"""),"Offset")</f>
        <v>Offset</v>
      </c>
      <c r="Q1826" s="49" t="str">
        <f>IFERROR(__xludf.DUMMYFUNCTION("""COMPUTED_VALUE"""),"Packaging")</f>
        <v>Packaging</v>
      </c>
      <c r="R1826" s="49" t="str">
        <f>IFERROR(__xludf.DUMMYFUNCTION("""COMPUTED_VALUE"""),"Mobile Accessories")</f>
        <v>Mobile Accessories</v>
      </c>
    </row>
    <row r="1827">
      <c r="A1827" s="156" t="str">
        <f>IFERROR(__xludf.DUMMYFUNCTION("""COMPUTED_VALUE"""),"https://drive.google.com/open?id=1KT2usLxTc4TQXw0DREk8npMKl8ruo_EU&amp;authuser=jay.agg%40gmail.com&amp;usp=drive_fs")</f>
        <v>https://drive.google.com/open?id=1KT2usLxTc4TQXw0DREk8npMKl8ruo_EU&amp;authuser=jay.agg%40gmail.com&amp;usp=drive_fs</v>
      </c>
      <c r="B1827" s="73" t="str">
        <f>IFERROR(__xludf.DUMMYFUNCTION("""COMPUTED_VALUE"""),"Mobile Accessories")</f>
        <v>Mobile Accessories</v>
      </c>
      <c r="C1827" s="73" t="str">
        <f>IFERROR(__xludf.DUMMYFUNCTION("""COMPUTED_VALUE"""),"BQI")</f>
        <v>BQI</v>
      </c>
      <c r="D1827" s="73" t="str">
        <f>IFERROR(__xludf.DUMMYFUNCTION("""COMPUTED_VALUE"""),"183*41*206 mm")</f>
        <v>183*41*206 mm</v>
      </c>
      <c r="E1827" s="77">
        <f>IFERROR(__xludf.DUMMYFUNCTION("""COMPUTED_VALUE"""),2.0)</f>
        <v>2</v>
      </c>
      <c r="F1827" s="77">
        <f>IFERROR(__xludf.DUMMYFUNCTION("""COMPUTED_VALUE"""),1926.0)</f>
        <v>1926</v>
      </c>
      <c r="G1827" s="77">
        <f>IFERROR(__xludf.DUMMYFUNCTION("""COMPUTED_VALUE"""),18.0)</f>
        <v>18</v>
      </c>
      <c r="H1827" s="77">
        <f>IFERROR(__xludf.DUMMYFUNCTION("""COMPUTED_VALUE"""),25.0)</f>
        <v>25</v>
      </c>
      <c r="I1827" s="77">
        <f>IFERROR(__xludf.DUMMYFUNCTION("""COMPUTED_VALUE"""),100.0)</f>
        <v>100</v>
      </c>
      <c r="J1827" s="73"/>
      <c r="K1827" s="73"/>
      <c r="L1827" s="73"/>
      <c r="M1827" s="77">
        <f>IFERROR(__xludf.DUMMYFUNCTION("""COMPUTED_VALUE"""),0.1)</f>
        <v>0.1</v>
      </c>
      <c r="N1827" s="77">
        <f>IFERROR(__xludf.DUMMYFUNCTION("""COMPUTED_VALUE"""),1.0)</f>
        <v>1</v>
      </c>
      <c r="O1827" s="49"/>
      <c r="P1827" s="49" t="str">
        <f>IFERROR(__xludf.DUMMYFUNCTION("""COMPUTED_VALUE"""),"Offset")</f>
        <v>Offset</v>
      </c>
      <c r="Q1827" s="49" t="str">
        <f>IFERROR(__xludf.DUMMYFUNCTION("""COMPUTED_VALUE"""),"Packaging")</f>
        <v>Packaging</v>
      </c>
      <c r="R1827" s="49" t="str">
        <f>IFERROR(__xludf.DUMMYFUNCTION("""COMPUTED_VALUE"""),"Mobile Accessories")</f>
        <v>Mobile Accessories</v>
      </c>
    </row>
    <row r="1828">
      <c r="A1828" s="156" t="str">
        <f>IFERROR(__xludf.DUMMYFUNCTION("""COMPUTED_VALUE"""),"https://drive.google.com/open?id=1KSauhoJ0ASePuN-KeApF8bQwrGkSMbVf&amp;authuser=jay.agg%40gmail.com&amp;usp=drive_fs")</f>
        <v>https://drive.google.com/open?id=1KSauhoJ0ASePuN-KeApF8bQwrGkSMbVf&amp;authuser=jay.agg%40gmail.com&amp;usp=drive_fs</v>
      </c>
      <c r="B1828" s="73" t="str">
        <f>IFERROR(__xludf.DUMMYFUNCTION("""COMPUTED_VALUE"""),"Mobile Accessories")</f>
        <v>Mobile Accessories</v>
      </c>
      <c r="C1828" s="73" t="str">
        <f>IFERROR(__xludf.DUMMYFUNCTION("""COMPUTED_VALUE"""),"BQI")</f>
        <v>BQI</v>
      </c>
      <c r="D1828" s="73" t="str">
        <f>IFERROR(__xludf.DUMMYFUNCTION("""COMPUTED_VALUE"""),"70*30*100 mm")</f>
        <v>70*30*100 mm</v>
      </c>
      <c r="E1828" s="77">
        <f>IFERROR(__xludf.DUMMYFUNCTION("""COMPUTED_VALUE"""),6.0)</f>
        <v>6</v>
      </c>
      <c r="F1828" s="77">
        <f>IFERROR(__xludf.DUMMYFUNCTION("""COMPUTED_VALUE"""),1926.0)</f>
        <v>1926</v>
      </c>
      <c r="G1828" s="77">
        <f>IFERROR(__xludf.DUMMYFUNCTION("""COMPUTED_VALUE"""),15.0)</f>
        <v>15</v>
      </c>
      <c r="H1828" s="77">
        <f>IFERROR(__xludf.DUMMYFUNCTION("""COMPUTED_VALUE"""),25.0)</f>
        <v>25</v>
      </c>
      <c r="I1828" s="77">
        <f>IFERROR(__xludf.DUMMYFUNCTION("""COMPUTED_VALUE"""),100.0)</f>
        <v>100</v>
      </c>
      <c r="J1828" s="73"/>
      <c r="K1828" s="73"/>
      <c r="L1828" s="73"/>
      <c r="M1828" s="77">
        <f>IFERROR(__xludf.DUMMYFUNCTION("""COMPUTED_VALUE"""),0.1)</f>
        <v>0.1</v>
      </c>
      <c r="N1828" s="77">
        <f>IFERROR(__xludf.DUMMYFUNCTION("""COMPUTED_VALUE"""),1.0)</f>
        <v>1</v>
      </c>
      <c r="O1828" s="49"/>
      <c r="P1828" s="49" t="str">
        <f>IFERROR(__xludf.DUMMYFUNCTION("""COMPUTED_VALUE"""),"Offset")</f>
        <v>Offset</v>
      </c>
      <c r="Q1828" s="49" t="str">
        <f>IFERROR(__xludf.DUMMYFUNCTION("""COMPUTED_VALUE"""),"Packaging")</f>
        <v>Packaging</v>
      </c>
      <c r="R1828" s="49" t="str">
        <f>IFERROR(__xludf.DUMMYFUNCTION("""COMPUTED_VALUE"""),"Mobile Accessories")</f>
        <v>Mobile Accessories</v>
      </c>
    </row>
    <row r="1829">
      <c r="A1829" s="156" t="str">
        <f>IFERROR(__xludf.DUMMYFUNCTION("""COMPUTED_VALUE"""),"https://drive.google.com/open?id=17M-cdR88I5zuVpzQpZ-QA2CuGk9UzMwE&amp;authuser=jay.agg%40gmail.com&amp;usp=drive_fs")</f>
        <v>https://drive.google.com/open?id=17M-cdR88I5zuVpzQpZ-QA2CuGk9UzMwE&amp;authuser=jay.agg%40gmail.com&amp;usp=drive_fs</v>
      </c>
      <c r="B1829" s="73" t="str">
        <f>IFERROR(__xludf.DUMMYFUNCTION("""COMPUTED_VALUE"""),"Mobile Accessories")</f>
        <v>Mobile Accessories</v>
      </c>
      <c r="C1829" s="73" t="str">
        <f>IFERROR(__xludf.DUMMYFUNCTION("""COMPUTED_VALUE"""),"Travel Charger")</f>
        <v>Travel Charger</v>
      </c>
      <c r="D1829" s="73" t="str">
        <f>IFERROR(__xludf.DUMMYFUNCTION("""COMPUTED_VALUE"""),"85*28*147 mm IL")</f>
        <v>85*28*147 mm IL</v>
      </c>
      <c r="E1829" s="77">
        <f>IFERROR(__xludf.DUMMYFUNCTION("""COMPUTED_VALUE"""),6.0)</f>
        <v>6</v>
      </c>
      <c r="F1829" s="77">
        <f>IFERROR(__xludf.DUMMYFUNCTION("""COMPUTED_VALUE"""),2029.0)</f>
        <v>2029</v>
      </c>
      <c r="G1829" s="77">
        <f>IFERROR(__xludf.DUMMYFUNCTION("""COMPUTED_VALUE"""),20.0)</f>
        <v>20</v>
      </c>
      <c r="H1829" s="77">
        <f>IFERROR(__xludf.DUMMYFUNCTION("""COMPUTED_VALUE"""),28.0)</f>
        <v>28</v>
      </c>
      <c r="I1829" s="77">
        <f>IFERROR(__xludf.DUMMYFUNCTION("""COMPUTED_VALUE"""),100.0)</f>
        <v>100</v>
      </c>
      <c r="J1829" s="73"/>
      <c r="K1829" s="73"/>
      <c r="L1829" s="73"/>
      <c r="M1829" s="77">
        <f>IFERROR(__xludf.DUMMYFUNCTION("""COMPUTED_VALUE"""),0.1)</f>
        <v>0.1</v>
      </c>
      <c r="N1829" s="77">
        <f>IFERROR(__xludf.DUMMYFUNCTION("""COMPUTED_VALUE"""),1.0)</f>
        <v>1</v>
      </c>
      <c r="O1829" s="49"/>
      <c r="P1829" s="49" t="str">
        <f>IFERROR(__xludf.DUMMYFUNCTION("""COMPUTED_VALUE"""),"Offset")</f>
        <v>Offset</v>
      </c>
      <c r="Q1829" s="49" t="str">
        <f>IFERROR(__xludf.DUMMYFUNCTION("""COMPUTED_VALUE"""),"Packaging")</f>
        <v>Packaging</v>
      </c>
      <c r="R1829" s="49" t="str">
        <f>IFERROR(__xludf.DUMMYFUNCTION("""COMPUTED_VALUE"""),"Mobile Accessories")</f>
        <v>Mobile Accessories</v>
      </c>
    </row>
    <row r="1830">
      <c r="A1830" s="156" t="str">
        <f>IFERROR(__xludf.DUMMYFUNCTION("""COMPUTED_VALUE"""),"https://drive.google.com/open?id=18fP_8SuY2p9mFWweHe6JGLIAzl-RegyU&amp;authuser=jay.agg%40gmail.com&amp;usp=drive_fs")</f>
        <v>https://drive.google.com/open?id=18fP_8SuY2p9mFWweHe6JGLIAzl-RegyU&amp;authuser=jay.agg%40gmail.com&amp;usp=drive_fs</v>
      </c>
      <c r="B1830" s="73" t="str">
        <f>IFERROR(__xludf.DUMMYFUNCTION("""COMPUTED_VALUE"""),"Mobile Accessories")</f>
        <v>Mobile Accessories</v>
      </c>
      <c r="C1830" s="73" t="str">
        <f>IFERROR(__xludf.DUMMYFUNCTION("""COMPUTED_VALUE"""),"Travel Charger")</f>
        <v>Travel Charger</v>
      </c>
      <c r="D1830" s="73" t="str">
        <f>IFERROR(__xludf.DUMMYFUNCTION("""COMPUTED_VALUE"""),"80*50*120 mm")</f>
        <v>80*50*120 mm</v>
      </c>
      <c r="E1830" s="77">
        <f>IFERROR(__xludf.DUMMYFUNCTION("""COMPUTED_VALUE"""),4.0)</f>
        <v>4</v>
      </c>
      <c r="F1830" s="77">
        <f>IFERROR(__xludf.DUMMYFUNCTION("""COMPUTED_VALUE"""),1926.0)</f>
        <v>1926</v>
      </c>
      <c r="G1830" s="77">
        <f>IFERROR(__xludf.DUMMYFUNCTION("""COMPUTED_VALUE"""),18.0)</f>
        <v>18</v>
      </c>
      <c r="H1830" s="77">
        <f>IFERROR(__xludf.DUMMYFUNCTION("""COMPUTED_VALUE"""),23.0)</f>
        <v>23</v>
      </c>
      <c r="I1830" s="77">
        <f>IFERROR(__xludf.DUMMYFUNCTION("""COMPUTED_VALUE"""),100.0)</f>
        <v>100</v>
      </c>
      <c r="J1830" s="73"/>
      <c r="K1830" s="73"/>
      <c r="L1830" s="73"/>
      <c r="M1830" s="77">
        <f>IFERROR(__xludf.DUMMYFUNCTION("""COMPUTED_VALUE"""),0.1)</f>
        <v>0.1</v>
      </c>
      <c r="N1830" s="77">
        <f>IFERROR(__xludf.DUMMYFUNCTION("""COMPUTED_VALUE"""),1.0)</f>
        <v>1</v>
      </c>
      <c r="O1830" s="49"/>
      <c r="P1830" s="49" t="str">
        <f>IFERROR(__xludf.DUMMYFUNCTION("""COMPUTED_VALUE"""),"Offset")</f>
        <v>Offset</v>
      </c>
      <c r="Q1830" s="49" t="str">
        <f>IFERROR(__xludf.DUMMYFUNCTION("""COMPUTED_VALUE"""),"Packaging")</f>
        <v>Packaging</v>
      </c>
      <c r="R1830" s="49" t="str">
        <f>IFERROR(__xludf.DUMMYFUNCTION("""COMPUTED_VALUE"""),"Mobile Accessories")</f>
        <v>Mobile Accessories</v>
      </c>
    </row>
    <row r="1831">
      <c r="A1831" s="156" t="str">
        <f>IFERROR(__xludf.DUMMYFUNCTION("""COMPUTED_VALUE"""),"https://drive.google.com/open?id=19I9Lb8ySema2fDB6BgtJYsxpt2EzhdFu&amp;authuser=jay.agg%40gmail.com&amp;usp=drive_fs")</f>
        <v>https://drive.google.com/open?id=19I9Lb8ySema2fDB6BgtJYsxpt2EzhdFu&amp;authuser=jay.agg%40gmail.com&amp;usp=drive_fs</v>
      </c>
      <c r="B1831" s="73" t="str">
        <f>IFERROR(__xludf.DUMMYFUNCTION("""COMPUTED_VALUE"""),"Mobile Accessories")</f>
        <v>Mobile Accessories</v>
      </c>
      <c r="C1831" s="73" t="str">
        <f>IFERROR(__xludf.DUMMYFUNCTION("""COMPUTED_VALUE"""),"USB Cable")</f>
        <v>USB Cable</v>
      </c>
      <c r="D1831" s="73" t="str">
        <f>IFERROR(__xludf.DUMMYFUNCTION("""COMPUTED_VALUE"""),"66*25*130 mm | 2.6*1*5.1 inch")</f>
        <v>66*25*130 mm | 2.6*1*5.1 inch</v>
      </c>
      <c r="E1831" s="77">
        <f>IFERROR(__xludf.DUMMYFUNCTION("""COMPUTED_VALUE"""),6.0)</f>
        <v>6</v>
      </c>
      <c r="F1831" s="77">
        <f>IFERROR(__xludf.DUMMYFUNCTION("""COMPUTED_VALUE"""),1926.0)</f>
        <v>1926</v>
      </c>
      <c r="G1831" s="77">
        <f>IFERROR(__xludf.DUMMYFUNCTION("""COMPUTED_VALUE"""),15.0)</f>
        <v>15</v>
      </c>
      <c r="H1831" s="77">
        <f>IFERROR(__xludf.DUMMYFUNCTION("""COMPUTED_VALUE"""),25.0)</f>
        <v>25</v>
      </c>
      <c r="I1831" s="77">
        <f>IFERROR(__xludf.DUMMYFUNCTION("""COMPUTED_VALUE"""),100.0)</f>
        <v>100</v>
      </c>
      <c r="J1831" s="73"/>
      <c r="K1831" s="73"/>
      <c r="L1831" s="73"/>
      <c r="M1831" s="77">
        <f>IFERROR(__xludf.DUMMYFUNCTION("""COMPUTED_VALUE"""),0.1)</f>
        <v>0.1</v>
      </c>
      <c r="N1831" s="77">
        <f>IFERROR(__xludf.DUMMYFUNCTION("""COMPUTED_VALUE"""),1.0)</f>
        <v>1</v>
      </c>
      <c r="O1831" s="49"/>
      <c r="P1831" s="49" t="str">
        <f>IFERROR(__xludf.DUMMYFUNCTION("""COMPUTED_VALUE"""),"Offset")</f>
        <v>Offset</v>
      </c>
      <c r="Q1831" s="49" t="str">
        <f>IFERROR(__xludf.DUMMYFUNCTION("""COMPUTED_VALUE"""),"Packaging")</f>
        <v>Packaging</v>
      </c>
      <c r="R1831" s="49" t="str">
        <f>IFERROR(__xludf.DUMMYFUNCTION("""COMPUTED_VALUE"""),"Mobile Accessories")</f>
        <v>Mobile Accessories</v>
      </c>
    </row>
    <row r="1832">
      <c r="A1832" s="156" t="str">
        <f>IFERROR(__xludf.DUMMYFUNCTION("""COMPUTED_VALUE"""),"https://drive.google.com/open?id=19K_Mv2y63vefiW8VWjrlQBHVRWJwfi5v&amp;authuser=jay.agg%40gmail.com&amp;usp=drive_fs")</f>
        <v>https://drive.google.com/open?id=19K_Mv2y63vefiW8VWjrlQBHVRWJwfi5v&amp;authuser=jay.agg%40gmail.com&amp;usp=drive_fs</v>
      </c>
      <c r="B1832" s="73" t="str">
        <f>IFERROR(__xludf.DUMMYFUNCTION("""COMPUTED_VALUE"""),"Mobile Accessories")</f>
        <v>Mobile Accessories</v>
      </c>
      <c r="C1832" s="73" t="str">
        <f>IFERROR(__xludf.DUMMYFUNCTION("""COMPUTED_VALUE"""),"USB Cable")</f>
        <v>USB Cable</v>
      </c>
      <c r="D1832" s="73" t="str">
        <f>IFERROR(__xludf.DUMMYFUNCTION("""COMPUTED_VALUE"""),"Outer 66*25*130 mm | 2.6*1*5.1 inch")</f>
        <v>Outer 66*25*130 mm | 2.6*1*5.1 inch</v>
      </c>
      <c r="E1832" s="77">
        <f>IFERROR(__xludf.DUMMYFUNCTION("""COMPUTED_VALUE"""),1.0)</f>
        <v>1</v>
      </c>
      <c r="F1832" s="77">
        <f>IFERROR(__xludf.DUMMYFUNCTION("""COMPUTED_VALUE"""),1926.0)</f>
        <v>1926</v>
      </c>
      <c r="G1832" s="77">
        <f>IFERROR(__xludf.DUMMYFUNCTION("""COMPUTED_VALUE"""),18.0)</f>
        <v>18</v>
      </c>
      <c r="H1832" s="77">
        <f>IFERROR(__xludf.DUMMYFUNCTION("""COMPUTED_VALUE"""),25.0)</f>
        <v>25</v>
      </c>
      <c r="I1832" s="77">
        <f>IFERROR(__xludf.DUMMYFUNCTION("""COMPUTED_VALUE"""),100.0)</f>
        <v>100</v>
      </c>
      <c r="J1832" s="73"/>
      <c r="K1832" s="73"/>
      <c r="L1832" s="73"/>
      <c r="M1832" s="77">
        <f>IFERROR(__xludf.DUMMYFUNCTION("""COMPUTED_VALUE"""),0.1)</f>
        <v>0.1</v>
      </c>
      <c r="N1832" s="77">
        <f>IFERROR(__xludf.DUMMYFUNCTION("""COMPUTED_VALUE"""),1.0)</f>
        <v>1</v>
      </c>
      <c r="O1832" s="49"/>
      <c r="P1832" s="49" t="str">
        <f>IFERROR(__xludf.DUMMYFUNCTION("""COMPUTED_VALUE"""),"Offset")</f>
        <v>Offset</v>
      </c>
      <c r="Q1832" s="49" t="str">
        <f>IFERROR(__xludf.DUMMYFUNCTION("""COMPUTED_VALUE"""),"Packaging")</f>
        <v>Packaging</v>
      </c>
      <c r="R1832" s="49" t="str">
        <f>IFERROR(__xludf.DUMMYFUNCTION("""COMPUTED_VALUE"""),"Mobile Accessories")</f>
        <v>Mobile Accessories</v>
      </c>
    </row>
    <row r="1833">
      <c r="A1833" s="156" t="str">
        <f>IFERROR(__xludf.DUMMYFUNCTION("""COMPUTED_VALUE"""),"https://drive.google.com/open?id=19LWo4UDht15nGAbPvwbNRgDdeCSvvkhR&amp;authuser=jay.agg%40gmail.com&amp;usp=drive_fs")</f>
        <v>https://drive.google.com/open?id=19LWo4UDht15nGAbPvwbNRgDdeCSvvkhR&amp;authuser=jay.agg%40gmail.com&amp;usp=drive_fs</v>
      </c>
      <c r="B1833" s="73" t="str">
        <f>IFERROR(__xludf.DUMMYFUNCTION("""COMPUTED_VALUE"""),"Mobile Accessories")</f>
        <v>Mobile Accessories</v>
      </c>
      <c r="C1833" s="73" t="str">
        <f>IFERROR(__xludf.DUMMYFUNCTION("""COMPUTED_VALUE"""),"Travel Charger")</f>
        <v>Travel Charger</v>
      </c>
      <c r="D1833" s="73" t="str">
        <f>IFERROR(__xludf.DUMMYFUNCTION("""COMPUTED_VALUE"""),"Tray 85*28*147 mm")</f>
        <v>Tray 85*28*147 mm</v>
      </c>
      <c r="E1833" s="77">
        <f>IFERROR(__xludf.DUMMYFUNCTION("""COMPUTED_VALUE"""),12.0)</f>
        <v>12</v>
      </c>
      <c r="F1833" s="77">
        <f>IFERROR(__xludf.DUMMYFUNCTION("""COMPUTED_VALUE"""),1926.0)</f>
        <v>1926</v>
      </c>
      <c r="G1833" s="77">
        <f>IFERROR(__xludf.DUMMYFUNCTION("""COMPUTED_VALUE"""),15.75)</f>
        <v>15.75</v>
      </c>
      <c r="H1833" s="77">
        <f>IFERROR(__xludf.DUMMYFUNCTION("""COMPUTED_VALUE"""),20.75)</f>
        <v>20.75</v>
      </c>
      <c r="I1833" s="77">
        <f>IFERROR(__xludf.DUMMYFUNCTION("""COMPUTED_VALUE"""),100.0)</f>
        <v>100</v>
      </c>
      <c r="J1833" s="73"/>
      <c r="K1833" s="73"/>
      <c r="L1833" s="73"/>
      <c r="M1833" s="77">
        <f>IFERROR(__xludf.DUMMYFUNCTION("""COMPUTED_VALUE"""),0.1)</f>
        <v>0.1</v>
      </c>
      <c r="N1833" s="77">
        <f>IFERROR(__xludf.DUMMYFUNCTION("""COMPUTED_VALUE"""),1.0)</f>
        <v>1</v>
      </c>
      <c r="O1833" s="49"/>
      <c r="P1833" s="49" t="str">
        <f>IFERROR(__xludf.DUMMYFUNCTION("""COMPUTED_VALUE"""),"Offset")</f>
        <v>Offset</v>
      </c>
      <c r="Q1833" s="49" t="str">
        <f>IFERROR(__xludf.DUMMYFUNCTION("""COMPUTED_VALUE"""),"Packaging")</f>
        <v>Packaging</v>
      </c>
      <c r="R1833" s="49" t="str">
        <f>IFERROR(__xludf.DUMMYFUNCTION("""COMPUTED_VALUE"""),"Mobile Accessories")</f>
        <v>Mobile Accessories</v>
      </c>
    </row>
    <row r="1834">
      <c r="A1834" s="156" t="str">
        <f>IFERROR(__xludf.DUMMYFUNCTION("""COMPUTED_VALUE"""),"https://drive.google.com/open?id=1A6zJNLe71G8BiIzYrBjt0iRve1q4oMOS&amp;authuser=jay.agg%40gmail.com&amp;usp=drive_fs")</f>
        <v>https://drive.google.com/open?id=1A6zJNLe71G8BiIzYrBjt0iRve1q4oMOS&amp;authuser=jay.agg%40gmail.com&amp;usp=drive_fs</v>
      </c>
      <c r="B1834" s="73" t="str">
        <f>IFERROR(__xludf.DUMMYFUNCTION("""COMPUTED_VALUE"""),"Mobile Accessories")</f>
        <v>Mobile Accessories</v>
      </c>
      <c r="C1834" s="73" t="str">
        <f>IFERROR(__xludf.DUMMYFUNCTION("""COMPUTED_VALUE"""),"Bluetooth Wireless")</f>
        <v>Bluetooth Wireless</v>
      </c>
      <c r="D1834" s="73" t="str">
        <f>IFERROR(__xludf.DUMMYFUNCTION("""COMPUTED_VALUE"""),"165*28*200 mm | W 75*45 mm")</f>
        <v>165*28*200 mm | W 75*45 mm</v>
      </c>
      <c r="E1834" s="77">
        <f>IFERROR(__xludf.DUMMYFUNCTION("""COMPUTED_VALUE"""),2.0)</f>
        <v>2</v>
      </c>
      <c r="F1834" s="77">
        <f>IFERROR(__xludf.DUMMYFUNCTION("""COMPUTED_VALUE"""),1926.0)</f>
        <v>1926</v>
      </c>
      <c r="G1834" s="77">
        <f>IFERROR(__xludf.DUMMYFUNCTION("""COMPUTED_VALUE"""),18.0)</f>
        <v>18</v>
      </c>
      <c r="H1834" s="77">
        <f>IFERROR(__xludf.DUMMYFUNCTION("""COMPUTED_VALUE"""),23.0)</f>
        <v>23</v>
      </c>
      <c r="I1834" s="77">
        <f>IFERROR(__xludf.DUMMYFUNCTION("""COMPUTED_VALUE"""),100.0)</f>
        <v>100</v>
      </c>
      <c r="J1834" s="73"/>
      <c r="K1834" s="73"/>
      <c r="L1834" s="73">
        <f>IFERROR(__xludf.DUMMYFUNCTION("""COMPUTED_VALUE"""),1.0)</f>
        <v>1</v>
      </c>
      <c r="M1834" s="77">
        <f>IFERROR(__xludf.DUMMYFUNCTION("""COMPUTED_VALUE"""),0.1)</f>
        <v>0.1</v>
      </c>
      <c r="N1834" s="77">
        <f>IFERROR(__xludf.DUMMYFUNCTION("""COMPUTED_VALUE"""),1.0)</f>
        <v>1</v>
      </c>
      <c r="O1834" s="49"/>
      <c r="P1834" s="49" t="str">
        <f>IFERROR(__xludf.DUMMYFUNCTION("""COMPUTED_VALUE"""),"Offset")</f>
        <v>Offset</v>
      </c>
      <c r="Q1834" s="49" t="str">
        <f>IFERROR(__xludf.DUMMYFUNCTION("""COMPUTED_VALUE"""),"Packaging")</f>
        <v>Packaging</v>
      </c>
      <c r="R1834" s="49" t="str">
        <f>IFERROR(__xludf.DUMMYFUNCTION("""COMPUTED_VALUE"""),"Mobile Accessories")</f>
        <v>Mobile Accessories</v>
      </c>
    </row>
    <row r="1835">
      <c r="A1835" s="156" t="str">
        <f>IFERROR(__xludf.DUMMYFUNCTION("""COMPUTED_VALUE"""),"https://drive.google.com/open?id=1NI-wvizjoWmHeLgaFRvfPXg1QnlZq7jD&amp;authuser=jay.agg%40gmail.com&amp;usp=drive_fs")</f>
        <v>https://drive.google.com/open?id=1NI-wvizjoWmHeLgaFRvfPXg1QnlZq7jD&amp;authuser=jay.agg%40gmail.com&amp;usp=drive_fs</v>
      </c>
      <c r="B1835" s="73" t="str">
        <f>IFERROR(__xludf.DUMMYFUNCTION("""COMPUTED_VALUE"""),"Mobile Accessories")</f>
        <v>Mobile Accessories</v>
      </c>
      <c r="C1835" s="73" t="str">
        <f>IFERROR(__xludf.DUMMYFUNCTION("""COMPUTED_VALUE"""),"USB Cable")</f>
        <v>USB Cable</v>
      </c>
      <c r="D1835" s="73" t="str">
        <f>IFERROR(__xludf.DUMMYFUNCTION("""COMPUTED_VALUE"""),"30*30*175 mm with Hanger")</f>
        <v>30*30*175 mm with Hanger</v>
      </c>
      <c r="E1835" s="77">
        <f>IFERROR(__xludf.DUMMYFUNCTION("""COMPUTED_VALUE"""),6.0)</f>
        <v>6</v>
      </c>
      <c r="F1835" s="77">
        <f>IFERROR(__xludf.DUMMYFUNCTION("""COMPUTED_VALUE"""),1926.0)</f>
        <v>1926</v>
      </c>
      <c r="G1835" s="77">
        <f>IFERROR(__xludf.DUMMYFUNCTION("""COMPUTED_VALUE"""),15.75)</f>
        <v>15.75</v>
      </c>
      <c r="H1835" s="77">
        <f>IFERROR(__xludf.DUMMYFUNCTION("""COMPUTED_VALUE"""),20.75)</f>
        <v>20.75</v>
      </c>
      <c r="I1835" s="77">
        <f>IFERROR(__xludf.DUMMYFUNCTION("""COMPUTED_VALUE"""),100.0)</f>
        <v>100</v>
      </c>
      <c r="J1835" s="73"/>
      <c r="K1835" s="73"/>
      <c r="L1835" s="73"/>
      <c r="M1835" s="77">
        <f>IFERROR(__xludf.DUMMYFUNCTION("""COMPUTED_VALUE"""),0.1)</f>
        <v>0.1</v>
      </c>
      <c r="N1835" s="77">
        <f>IFERROR(__xludf.DUMMYFUNCTION("""COMPUTED_VALUE"""),1.0)</f>
        <v>1</v>
      </c>
      <c r="O1835" s="49"/>
      <c r="P1835" s="49" t="str">
        <f>IFERROR(__xludf.DUMMYFUNCTION("""COMPUTED_VALUE"""),"Offset")</f>
        <v>Offset</v>
      </c>
      <c r="Q1835" s="49" t="str">
        <f>IFERROR(__xludf.DUMMYFUNCTION("""COMPUTED_VALUE"""),"Packaging")</f>
        <v>Packaging</v>
      </c>
      <c r="R1835" s="49" t="str">
        <f>IFERROR(__xludf.DUMMYFUNCTION("""COMPUTED_VALUE"""),"Mobile Accessories")</f>
        <v>Mobile Accessories</v>
      </c>
    </row>
    <row r="1836">
      <c r="A1836" s="156" t="str">
        <f>IFERROR(__xludf.DUMMYFUNCTION("""COMPUTED_VALUE"""),"https://drive.google.com/open?id=1O0HK4BEngequgqsna5LVTgULui1w9h48&amp;authuser=jay.agg%40gmail.com&amp;usp=drive_fs")</f>
        <v>https://drive.google.com/open?id=1O0HK4BEngequgqsna5LVTgULui1w9h48&amp;authuser=jay.agg%40gmail.com&amp;usp=drive_fs</v>
      </c>
      <c r="B1836" s="73" t="str">
        <f>IFERROR(__xludf.DUMMYFUNCTION("""COMPUTED_VALUE"""),"Mobile Accessories")</f>
        <v>Mobile Accessories</v>
      </c>
      <c r="C1836" s="73" t="str">
        <f>IFERROR(__xludf.DUMMYFUNCTION("""COMPUTED_VALUE"""),"Head Phone")</f>
        <v>Head Phone</v>
      </c>
      <c r="D1836" s="73" t="str">
        <f>IFERROR(__xludf.DUMMYFUNCTION("""COMPUTED_VALUE"""),"102*20*102 mm | 4*.75*4 inch with Hanger")</f>
        <v>102*20*102 mm | 4*.75*4 inch with Hanger</v>
      </c>
      <c r="E1836" s="77">
        <f>IFERROR(__xludf.DUMMYFUNCTION("""COMPUTED_VALUE"""),4.0)</f>
        <v>4</v>
      </c>
      <c r="F1836" s="77">
        <f>IFERROR(__xludf.DUMMYFUNCTION("""COMPUTED_VALUE"""),1926.0)</f>
        <v>1926</v>
      </c>
      <c r="G1836" s="77">
        <f>IFERROR(__xludf.DUMMYFUNCTION("""COMPUTED_VALUE"""),15.75)</f>
        <v>15.75</v>
      </c>
      <c r="H1836" s="77">
        <f>IFERROR(__xludf.DUMMYFUNCTION("""COMPUTED_VALUE"""),20.75)</f>
        <v>20.75</v>
      </c>
      <c r="I1836" s="77">
        <f>IFERROR(__xludf.DUMMYFUNCTION("""COMPUTED_VALUE"""),100.0)</f>
        <v>100</v>
      </c>
      <c r="J1836" s="73"/>
      <c r="K1836" s="73"/>
      <c r="L1836" s="73"/>
      <c r="M1836" s="77">
        <f>IFERROR(__xludf.DUMMYFUNCTION("""COMPUTED_VALUE"""),0.1)</f>
        <v>0.1</v>
      </c>
      <c r="N1836" s="77">
        <f>IFERROR(__xludf.DUMMYFUNCTION("""COMPUTED_VALUE"""),1.0)</f>
        <v>1</v>
      </c>
      <c r="O1836" s="49"/>
      <c r="P1836" s="49" t="str">
        <f>IFERROR(__xludf.DUMMYFUNCTION("""COMPUTED_VALUE"""),"Offset")</f>
        <v>Offset</v>
      </c>
      <c r="Q1836" s="49" t="str">
        <f>IFERROR(__xludf.DUMMYFUNCTION("""COMPUTED_VALUE"""),"Packaging")</f>
        <v>Packaging</v>
      </c>
      <c r="R1836" s="49" t="str">
        <f>IFERROR(__xludf.DUMMYFUNCTION("""COMPUTED_VALUE"""),"Mobile Accessories")</f>
        <v>Mobile Accessories</v>
      </c>
    </row>
    <row r="1837">
      <c r="A1837" s="156" t="str">
        <f>IFERROR(__xludf.DUMMYFUNCTION("""COMPUTED_VALUE"""),"https://drive.google.com/open?id=1OHegWMwKHsAF2U_boxq892EXrBYTrspZ&amp;authuser=jay.agg%40gmail.com&amp;usp=drive_fs")</f>
        <v>https://drive.google.com/open?id=1OHegWMwKHsAF2U_boxq892EXrBYTrspZ&amp;authuser=jay.agg%40gmail.com&amp;usp=drive_fs</v>
      </c>
      <c r="B1837" s="73" t="str">
        <f>IFERROR(__xludf.DUMMYFUNCTION("""COMPUTED_VALUE"""),"Mobile Accessories")</f>
        <v>Mobile Accessories</v>
      </c>
      <c r="C1837" s="73" t="str">
        <f>IFERROR(__xludf.DUMMYFUNCTION("""COMPUTED_VALUE"""),"BQI")</f>
        <v>BQI</v>
      </c>
      <c r="D1837" s="73" t="str">
        <f>IFERROR(__xludf.DUMMYFUNCTION("""COMPUTED_VALUE"""),"Tray 76*32*121 mm")</f>
        <v>Tray 76*32*121 mm</v>
      </c>
      <c r="E1837" s="77">
        <f>IFERROR(__xludf.DUMMYFUNCTION("""COMPUTED_VALUE"""),12.0)</f>
        <v>12</v>
      </c>
      <c r="F1837" s="77">
        <f>IFERROR(__xludf.DUMMYFUNCTION("""COMPUTED_VALUE"""),1926.0)</f>
        <v>1926</v>
      </c>
      <c r="G1837" s="77">
        <f>IFERROR(__xludf.DUMMYFUNCTION("""COMPUTED_VALUE"""),18.0)</f>
        <v>18</v>
      </c>
      <c r="H1837" s="77">
        <f>IFERROR(__xludf.DUMMYFUNCTION("""COMPUTED_VALUE"""),25.0)</f>
        <v>25</v>
      </c>
      <c r="I1837" s="77">
        <f>IFERROR(__xludf.DUMMYFUNCTION("""COMPUTED_VALUE"""),100.0)</f>
        <v>100</v>
      </c>
      <c r="J1837" s="73"/>
      <c r="K1837" s="73"/>
      <c r="L1837" s="73"/>
      <c r="M1837" s="77">
        <f>IFERROR(__xludf.DUMMYFUNCTION("""COMPUTED_VALUE"""),0.2)</f>
        <v>0.2</v>
      </c>
      <c r="N1837" s="77">
        <f>IFERROR(__xludf.DUMMYFUNCTION("""COMPUTED_VALUE"""),1.0)</f>
        <v>1</v>
      </c>
      <c r="O1837" s="49"/>
      <c r="P1837" s="49" t="str">
        <f>IFERROR(__xludf.DUMMYFUNCTION("""COMPUTED_VALUE"""),"Offset")</f>
        <v>Offset</v>
      </c>
      <c r="Q1837" s="49" t="str">
        <f>IFERROR(__xludf.DUMMYFUNCTION("""COMPUTED_VALUE"""),"Packaging")</f>
        <v>Packaging</v>
      </c>
      <c r="R1837" s="49" t="str">
        <f>IFERROR(__xludf.DUMMYFUNCTION("""COMPUTED_VALUE"""),"Mobile Accessories")</f>
        <v>Mobile Accessories</v>
      </c>
    </row>
    <row r="1838">
      <c r="A1838" s="156" t="str">
        <f>IFERROR(__xludf.DUMMYFUNCTION("""COMPUTED_VALUE"""),"https://drive.google.com/open?id=1Brcna8bD0RMe2WMxzNganRmYnX5UoD65&amp;authuser=jay.agg%40gmail.com&amp;usp=drive_fs")</f>
        <v>https://drive.google.com/open?id=1Brcna8bD0RMe2WMxzNganRmYnX5UoD65&amp;authuser=jay.agg%40gmail.com&amp;usp=drive_fs</v>
      </c>
      <c r="B1838" s="73" t="str">
        <f>IFERROR(__xludf.DUMMYFUNCTION("""COMPUTED_VALUE"""),"Mobile Accessories")</f>
        <v>Mobile Accessories</v>
      </c>
      <c r="C1838" s="73" t="str">
        <f>IFERROR(__xludf.DUMMYFUNCTION("""COMPUTED_VALUE"""),"Bluetooth Wireless")</f>
        <v>Bluetooth Wireless</v>
      </c>
      <c r="D1838" s="73" t="str">
        <f>IFERROR(__xludf.DUMMYFUNCTION("""COMPUTED_VALUE"""),"157*26*194 mm | 6*1*7.6 inch W 2.25*1.25")</f>
        <v>157*26*194 mm | 6*1*7.6 inch W 2.25*1.25</v>
      </c>
      <c r="E1838" s="77">
        <f>IFERROR(__xludf.DUMMYFUNCTION("""COMPUTED_VALUE"""),2.0)</f>
        <v>2</v>
      </c>
      <c r="F1838" s="77">
        <f>IFERROR(__xludf.DUMMYFUNCTION("""COMPUTED_VALUE"""),1926.0)</f>
        <v>1926</v>
      </c>
      <c r="G1838" s="77">
        <f>IFERROR(__xludf.DUMMYFUNCTION("""COMPUTED_VALUE"""),15.75)</f>
        <v>15.75</v>
      </c>
      <c r="H1838" s="77">
        <f>IFERROR(__xludf.DUMMYFUNCTION("""COMPUTED_VALUE"""),20.75)</f>
        <v>20.75</v>
      </c>
      <c r="I1838" s="77">
        <f>IFERROR(__xludf.DUMMYFUNCTION("""COMPUTED_VALUE"""),100.0)</f>
        <v>100</v>
      </c>
      <c r="J1838" s="73"/>
      <c r="K1838" s="73"/>
      <c r="L1838" s="73"/>
      <c r="M1838" s="77">
        <f>IFERROR(__xludf.DUMMYFUNCTION("""COMPUTED_VALUE"""),0.1)</f>
        <v>0.1</v>
      </c>
      <c r="N1838" s="77">
        <f>IFERROR(__xludf.DUMMYFUNCTION("""COMPUTED_VALUE"""),1.0)</f>
        <v>1</v>
      </c>
      <c r="O1838" s="49"/>
      <c r="P1838" s="49" t="str">
        <f>IFERROR(__xludf.DUMMYFUNCTION("""COMPUTED_VALUE"""),"Offset")</f>
        <v>Offset</v>
      </c>
      <c r="Q1838" s="49" t="str">
        <f>IFERROR(__xludf.DUMMYFUNCTION("""COMPUTED_VALUE"""),"Packaging")</f>
        <v>Packaging</v>
      </c>
      <c r="R1838" s="49" t="str">
        <f>IFERROR(__xludf.DUMMYFUNCTION("""COMPUTED_VALUE"""),"Mobile Accessories")</f>
        <v>Mobile Accessories</v>
      </c>
    </row>
    <row r="1839">
      <c r="A1839" s="156" t="str">
        <f>IFERROR(__xludf.DUMMYFUNCTION("""COMPUTED_VALUE"""),"https://drive.google.com/open?id=1HB3xIrhDd098ddpekm2LJxsbfhB7Pd0I&amp;authuser=jay.agg%40gmail.com&amp;usp=drive_fs")</f>
        <v>https://drive.google.com/open?id=1HB3xIrhDd098ddpekm2LJxsbfhB7Pd0I&amp;authuser=jay.agg%40gmail.com&amp;usp=drive_fs</v>
      </c>
      <c r="B1839" s="73" t="str">
        <f>IFERROR(__xludf.DUMMYFUNCTION("""COMPUTED_VALUE"""),"Mobile Accessories")</f>
        <v>Mobile Accessories</v>
      </c>
      <c r="C1839" s="73" t="str">
        <f>IFERROR(__xludf.DUMMYFUNCTION("""COMPUTED_VALUE"""),"Travel Charger")</f>
        <v>Travel Charger</v>
      </c>
      <c r="D1839" s="73" t="str">
        <f>IFERROR(__xludf.DUMMYFUNCTION("""COMPUTED_VALUE"""),"56*81*132 mm IL W 5*2 inch")</f>
        <v>56*81*132 mm IL W 5*2 inch</v>
      </c>
      <c r="E1839" s="77">
        <f>IFERROR(__xludf.DUMMYFUNCTION("""COMPUTED_VALUE"""),4.0)</f>
        <v>4</v>
      </c>
      <c r="F1839" s="77">
        <f>IFERROR(__xludf.DUMMYFUNCTION("""COMPUTED_VALUE"""),2029.0)</f>
        <v>2029</v>
      </c>
      <c r="G1839" s="77">
        <f>IFERROR(__xludf.DUMMYFUNCTION("""COMPUTED_VALUE"""),19.5)</f>
        <v>19.5</v>
      </c>
      <c r="H1839" s="77">
        <f>IFERROR(__xludf.DUMMYFUNCTION("""COMPUTED_VALUE"""),23.0)</f>
        <v>23</v>
      </c>
      <c r="I1839" s="77">
        <f>IFERROR(__xludf.DUMMYFUNCTION("""COMPUTED_VALUE"""),100.0)</f>
        <v>100</v>
      </c>
      <c r="J1839" s="73"/>
      <c r="K1839" s="73"/>
      <c r="L1839" s="73">
        <f>IFERROR(__xludf.DUMMYFUNCTION("""COMPUTED_VALUE"""),2.0)</f>
        <v>2</v>
      </c>
      <c r="M1839" s="77">
        <f>IFERROR(__xludf.DUMMYFUNCTION("""COMPUTED_VALUE"""),0.1)</f>
        <v>0.1</v>
      </c>
      <c r="N1839" s="77">
        <f>IFERROR(__xludf.DUMMYFUNCTION("""COMPUTED_VALUE"""),1.0)</f>
        <v>1</v>
      </c>
      <c r="O1839" s="49"/>
      <c r="P1839" s="49" t="str">
        <f>IFERROR(__xludf.DUMMYFUNCTION("""COMPUTED_VALUE"""),"Offset")</f>
        <v>Offset</v>
      </c>
      <c r="Q1839" s="49" t="str">
        <f>IFERROR(__xludf.DUMMYFUNCTION("""COMPUTED_VALUE"""),"Packaging")</f>
        <v>Packaging</v>
      </c>
      <c r="R1839" s="49" t="str">
        <f>IFERROR(__xludf.DUMMYFUNCTION("""COMPUTED_VALUE"""),"Mobile Accessories")</f>
        <v>Mobile Accessories</v>
      </c>
    </row>
    <row r="1840">
      <c r="A1840" s="156" t="str">
        <f>IFERROR(__xludf.DUMMYFUNCTION("""COMPUTED_VALUE"""),"https://drive.google.com/open?id=1HCASeHmQZp2HMxTzBuhJ78PcxKRzG52A&amp;authuser=jay.agg%40gmail.com&amp;usp=drive_fs")</f>
        <v>https://drive.google.com/open?id=1HCASeHmQZp2HMxTzBuhJ78PcxKRzG52A&amp;authuser=jay.agg%40gmail.com&amp;usp=drive_fs</v>
      </c>
      <c r="B1840" s="73" t="str">
        <f>IFERROR(__xludf.DUMMYFUNCTION("""COMPUTED_VALUE"""),"Mobile Accessories")</f>
        <v>Mobile Accessories</v>
      </c>
      <c r="C1840" s="73" t="str">
        <f>IFERROR(__xludf.DUMMYFUNCTION("""COMPUTED_VALUE"""),"Tray")</f>
        <v>Tray</v>
      </c>
      <c r="D1840" s="73" t="str">
        <f>IFERROR(__xludf.DUMMYFUNCTION("""COMPUTED_VALUE"""),"56*81*132 mm Tray 56*54*79 mm")</f>
        <v>56*81*132 mm Tray 56*54*79 mm</v>
      </c>
      <c r="E1840" s="77">
        <f>IFERROR(__xludf.DUMMYFUNCTION("""COMPUTED_VALUE"""),10.0)</f>
        <v>10</v>
      </c>
      <c r="F1840" s="77">
        <f>IFERROR(__xludf.DUMMYFUNCTION("""COMPUTED_VALUE"""),1926.0)</f>
        <v>1926</v>
      </c>
      <c r="G1840" s="77">
        <f>IFERROR(__xludf.DUMMYFUNCTION("""COMPUTED_VALUE"""),15.75)</f>
        <v>15.75</v>
      </c>
      <c r="H1840" s="77">
        <f>IFERROR(__xludf.DUMMYFUNCTION("""COMPUTED_VALUE"""),20.75)</f>
        <v>20.75</v>
      </c>
      <c r="I1840" s="77">
        <f>IFERROR(__xludf.DUMMYFUNCTION("""COMPUTED_VALUE"""),100.0)</f>
        <v>100</v>
      </c>
      <c r="J1840" s="73"/>
      <c r="K1840" s="73"/>
      <c r="L1840" s="73"/>
      <c r="M1840" s="77">
        <f>IFERROR(__xludf.DUMMYFUNCTION("""COMPUTED_VALUE"""),0.1)</f>
        <v>0.1</v>
      </c>
      <c r="N1840" s="77">
        <f>IFERROR(__xludf.DUMMYFUNCTION("""COMPUTED_VALUE"""),1.0)</f>
        <v>1</v>
      </c>
      <c r="O1840" s="49"/>
      <c r="P1840" s="49" t="str">
        <f>IFERROR(__xludf.DUMMYFUNCTION("""COMPUTED_VALUE"""),"Offset")</f>
        <v>Offset</v>
      </c>
      <c r="Q1840" s="49" t="str">
        <f>IFERROR(__xludf.DUMMYFUNCTION("""COMPUTED_VALUE"""),"Packaging")</f>
        <v>Packaging</v>
      </c>
      <c r="R1840" s="49" t="str">
        <f>IFERROR(__xludf.DUMMYFUNCTION("""COMPUTED_VALUE"""),"Mobile Accessories")</f>
        <v>Mobile Accessories</v>
      </c>
    </row>
    <row r="1841">
      <c r="A1841" s="156" t="str">
        <f>IFERROR(__xludf.DUMMYFUNCTION("""COMPUTED_VALUE"""),"https://drive.google.com/open?id=1TuUtLDGApeO5HVS-ZGerrw41Ns29WzjB&amp;authuser=jay.agg%40gmail.com&amp;usp=drive_fs")</f>
        <v>https://drive.google.com/open?id=1TuUtLDGApeO5HVS-ZGerrw41Ns29WzjB&amp;authuser=jay.agg%40gmail.com&amp;usp=drive_fs</v>
      </c>
      <c r="B1841" s="73" t="str">
        <f>IFERROR(__xludf.DUMMYFUNCTION("""COMPUTED_VALUE"""),"Mobile Accessories")</f>
        <v>Mobile Accessories</v>
      </c>
      <c r="C1841" s="73" t="str">
        <f>IFERROR(__xludf.DUMMYFUNCTION("""COMPUTED_VALUE"""),"Combined")</f>
        <v>Combined</v>
      </c>
      <c r="D1841" s="73" t="str">
        <f>IFERROR(__xludf.DUMMYFUNCTION("""COMPUTED_VALUE"""),"165*28*200 | 157*194*26 mm")</f>
        <v>165*28*200 | 157*194*26 mm</v>
      </c>
      <c r="E1841" s="77">
        <f>IFERROR(__xludf.DUMMYFUNCTION("""COMPUTED_VALUE"""),2.0)</f>
        <v>2</v>
      </c>
      <c r="F1841" s="77">
        <f>IFERROR(__xludf.DUMMYFUNCTION("""COMPUTED_VALUE"""),1926.0)</f>
        <v>1926</v>
      </c>
      <c r="G1841" s="77">
        <f>IFERROR(__xludf.DUMMYFUNCTION("""COMPUTED_VALUE"""),18.0)</f>
        <v>18</v>
      </c>
      <c r="H1841" s="77">
        <f>IFERROR(__xludf.DUMMYFUNCTION("""COMPUTED_VALUE"""),23.0)</f>
        <v>23</v>
      </c>
      <c r="I1841" s="77">
        <f>IFERROR(__xludf.DUMMYFUNCTION("""COMPUTED_VALUE"""),100.0)</f>
        <v>100</v>
      </c>
      <c r="J1841" s="73"/>
      <c r="K1841" s="73"/>
      <c r="L1841" s="73">
        <f>IFERROR(__xludf.DUMMYFUNCTION("""COMPUTED_VALUE"""),1.0)</f>
        <v>1</v>
      </c>
      <c r="M1841" s="77">
        <f>IFERROR(__xludf.DUMMYFUNCTION("""COMPUTED_VALUE"""),0.1)</f>
        <v>0.1</v>
      </c>
      <c r="N1841" s="77">
        <f>IFERROR(__xludf.DUMMYFUNCTION("""COMPUTED_VALUE"""),1.0)</f>
        <v>1</v>
      </c>
      <c r="O1841" s="49"/>
      <c r="P1841" s="49" t="str">
        <f>IFERROR(__xludf.DUMMYFUNCTION("""COMPUTED_VALUE"""),"Offset")</f>
        <v>Offset</v>
      </c>
      <c r="Q1841" s="49" t="str">
        <f>IFERROR(__xludf.DUMMYFUNCTION("""COMPUTED_VALUE"""),"Packaging")</f>
        <v>Packaging</v>
      </c>
      <c r="R1841" s="49" t="str">
        <f>IFERROR(__xludf.DUMMYFUNCTION("""COMPUTED_VALUE"""),"Mobile Accessories")</f>
        <v>Mobile Accessories</v>
      </c>
    </row>
    <row r="1842">
      <c r="A1842" s="156" t="str">
        <f>IFERROR(__xludf.DUMMYFUNCTION("""COMPUTED_VALUE"""),"https://drive.google.com/open?id=1W472Lc2qIvGoUt7kTno8kHWFFh0f69eU&amp;authuser=jay.agg%40gmail.com&amp;usp=drive_fs")</f>
        <v>https://drive.google.com/open?id=1W472Lc2qIvGoUt7kTno8kHWFFh0f69eU&amp;authuser=jay.agg%40gmail.com&amp;usp=drive_fs</v>
      </c>
      <c r="B1842" s="73" t="str">
        <f>IFERROR(__xludf.DUMMYFUNCTION("""COMPUTED_VALUE"""),"Mobile Accessories")</f>
        <v>Mobile Accessories</v>
      </c>
      <c r="C1842" s="73" t="str">
        <f>IFERROR(__xludf.DUMMYFUNCTION("""COMPUTED_VALUE"""),"USB Cable")</f>
        <v>USB Cable</v>
      </c>
      <c r="D1842" s="73" t="str">
        <f>IFERROR(__xludf.DUMMYFUNCTION("""COMPUTED_VALUE"""),"55*17*160 mm | 2.1*0.7*6.3 inch")</f>
        <v>55*17*160 mm | 2.1*0.7*6.3 inch</v>
      </c>
      <c r="E1842" s="77">
        <f>IFERROR(__xludf.DUMMYFUNCTION("""COMPUTED_VALUE"""),8.0)</f>
        <v>8</v>
      </c>
      <c r="F1842" s="77">
        <f>IFERROR(__xludf.DUMMYFUNCTION("""COMPUTED_VALUE"""),2029.0)</f>
        <v>2029</v>
      </c>
      <c r="G1842" s="77">
        <f>IFERROR(__xludf.DUMMYFUNCTION("""COMPUTED_VALUE"""),20.0)</f>
        <v>20</v>
      </c>
      <c r="H1842" s="77">
        <f>IFERROR(__xludf.DUMMYFUNCTION("""COMPUTED_VALUE"""),25.0)</f>
        <v>25</v>
      </c>
      <c r="I1842" s="77">
        <f>IFERROR(__xludf.DUMMYFUNCTION("""COMPUTED_VALUE"""),100.0)</f>
        <v>100</v>
      </c>
      <c r="J1842" s="73"/>
      <c r="K1842" s="73"/>
      <c r="L1842" s="73"/>
      <c r="M1842" s="77">
        <f>IFERROR(__xludf.DUMMYFUNCTION("""COMPUTED_VALUE"""),0.1)</f>
        <v>0.1</v>
      </c>
      <c r="N1842" s="77">
        <f>IFERROR(__xludf.DUMMYFUNCTION("""COMPUTED_VALUE"""),1.0)</f>
        <v>1</v>
      </c>
      <c r="O1842" s="49"/>
      <c r="P1842" s="49" t="str">
        <f>IFERROR(__xludf.DUMMYFUNCTION("""COMPUTED_VALUE"""),"Offset")</f>
        <v>Offset</v>
      </c>
      <c r="Q1842" s="49" t="str">
        <f>IFERROR(__xludf.DUMMYFUNCTION("""COMPUTED_VALUE"""),"Packaging")</f>
        <v>Packaging</v>
      </c>
      <c r="R1842" s="49" t="str">
        <f>IFERROR(__xludf.DUMMYFUNCTION("""COMPUTED_VALUE"""),"Mobile Accessories")</f>
        <v>Mobile Accessories</v>
      </c>
    </row>
    <row r="1843">
      <c r="A1843" s="156" t="str">
        <f>IFERROR(__xludf.DUMMYFUNCTION("""COMPUTED_VALUE"""),"https://drive.google.com/open?id=1RmMD0NC3KkMZRSTWo0I-2YviLNly9wcN&amp;authuser=jay.agg%40gmail.com&amp;usp=drive_fs")</f>
        <v>https://drive.google.com/open?id=1RmMD0NC3KkMZRSTWo0I-2YviLNly9wcN&amp;authuser=jay.agg%40gmail.com&amp;usp=drive_fs</v>
      </c>
      <c r="B1843" s="73" t="str">
        <f>IFERROR(__xludf.DUMMYFUNCTION("""COMPUTED_VALUE"""),"Mobile Accessories")</f>
        <v>Mobile Accessories</v>
      </c>
      <c r="C1843" s="73" t="str">
        <f>IFERROR(__xludf.DUMMYFUNCTION("""COMPUTED_VALUE"""),"Bluetooth Wireless")</f>
        <v>Bluetooth Wireless</v>
      </c>
      <c r="D1843" s="73" t="str">
        <f>IFERROR(__xludf.DUMMYFUNCTION("""COMPUTED_VALUE"""),"165*28*200 mm | 6.5*1.1*7.8 inch W 90*45 mm")</f>
        <v>165*28*200 mm | 6.5*1.1*7.8 inch W 90*45 mm</v>
      </c>
      <c r="E1843" s="77">
        <f>IFERROR(__xludf.DUMMYFUNCTION("""COMPUTED_VALUE"""),2.0)</f>
        <v>2</v>
      </c>
      <c r="F1843" s="77">
        <f>IFERROR(__xludf.DUMMYFUNCTION("""COMPUTED_VALUE"""),1926.0)</f>
        <v>1926</v>
      </c>
      <c r="G1843" s="77">
        <f>IFERROR(__xludf.DUMMYFUNCTION("""COMPUTED_VALUE"""),18.0)</f>
        <v>18</v>
      </c>
      <c r="H1843" s="77">
        <f>IFERROR(__xludf.DUMMYFUNCTION("""COMPUTED_VALUE"""),23.0)</f>
        <v>23</v>
      </c>
      <c r="I1843" s="77">
        <f>IFERROR(__xludf.DUMMYFUNCTION("""COMPUTED_VALUE"""),100.0)</f>
        <v>100</v>
      </c>
      <c r="J1843" s="73"/>
      <c r="K1843" s="73"/>
      <c r="L1843" s="73">
        <f>IFERROR(__xludf.DUMMYFUNCTION("""COMPUTED_VALUE"""),1.5)</f>
        <v>1.5</v>
      </c>
      <c r="M1843" s="77">
        <f>IFERROR(__xludf.DUMMYFUNCTION("""COMPUTED_VALUE"""),0.1)</f>
        <v>0.1</v>
      </c>
      <c r="N1843" s="77">
        <f>IFERROR(__xludf.DUMMYFUNCTION("""COMPUTED_VALUE"""),1.0)</f>
        <v>1</v>
      </c>
      <c r="O1843" s="49"/>
      <c r="P1843" s="49" t="str">
        <f>IFERROR(__xludf.DUMMYFUNCTION("""COMPUTED_VALUE"""),"Offset")</f>
        <v>Offset</v>
      </c>
      <c r="Q1843" s="49" t="str">
        <f>IFERROR(__xludf.DUMMYFUNCTION("""COMPUTED_VALUE"""),"Packaging")</f>
        <v>Packaging</v>
      </c>
      <c r="R1843" s="49" t="str">
        <f>IFERROR(__xludf.DUMMYFUNCTION("""COMPUTED_VALUE"""),"Mobile Accessories")</f>
        <v>Mobile Accessories</v>
      </c>
    </row>
    <row r="1844">
      <c r="A1844" s="156" t="str">
        <f>IFERROR(__xludf.DUMMYFUNCTION("""COMPUTED_VALUE"""),"https://drive.google.com/open?id=1TVXDdTO9futFNXxRjRouhRZJGuw-73oi&amp;authuser=jay.agg%40gmail.com&amp;usp=drive_fs")</f>
        <v>https://drive.google.com/open?id=1TVXDdTO9futFNXxRjRouhRZJGuw-73oi&amp;authuser=jay.agg%40gmail.com&amp;usp=drive_fs</v>
      </c>
      <c r="B1844" s="73" t="str">
        <f>IFERROR(__xludf.DUMMYFUNCTION("""COMPUTED_VALUE"""),"Mobile Accessories")</f>
        <v>Mobile Accessories</v>
      </c>
      <c r="C1844" s="73" t="str">
        <f>IFERROR(__xludf.DUMMYFUNCTION("""COMPUTED_VALUE"""),"Case")</f>
        <v>Case</v>
      </c>
      <c r="D1844" s="73" t="str">
        <f>IFERROR(__xludf.DUMMYFUNCTION("""COMPUTED_VALUE"""),"95*15*180 mm | 3.74*0.6*7 inch W 2*6 inch")</f>
        <v>95*15*180 mm | 3.74*0.6*7 inch W 2*6 inch</v>
      </c>
      <c r="E1844" s="77">
        <f>IFERROR(__xludf.DUMMYFUNCTION("""COMPUTED_VALUE"""),4.0)</f>
        <v>4</v>
      </c>
      <c r="F1844" s="77">
        <f>IFERROR(__xludf.DUMMYFUNCTION("""COMPUTED_VALUE"""),2029.0)</f>
        <v>2029</v>
      </c>
      <c r="G1844" s="77">
        <f>IFERROR(__xludf.DUMMYFUNCTION("""COMPUTED_VALUE"""),19.0)</f>
        <v>19</v>
      </c>
      <c r="H1844" s="77">
        <f>IFERROR(__xludf.DUMMYFUNCTION("""COMPUTED_VALUE"""),20.0)</f>
        <v>20</v>
      </c>
      <c r="I1844" s="77">
        <f>IFERROR(__xludf.DUMMYFUNCTION("""COMPUTED_VALUE"""),100.0)</f>
        <v>100</v>
      </c>
      <c r="J1844" s="73"/>
      <c r="K1844" s="73"/>
      <c r="L1844" s="73">
        <f>IFERROR(__xludf.DUMMYFUNCTION("""COMPUTED_VALUE"""),1.7)</f>
        <v>1.7</v>
      </c>
      <c r="M1844" s="77">
        <f>IFERROR(__xludf.DUMMYFUNCTION("""COMPUTED_VALUE"""),0.1)</f>
        <v>0.1</v>
      </c>
      <c r="N1844" s="77">
        <f>IFERROR(__xludf.DUMMYFUNCTION("""COMPUTED_VALUE"""),1.0)</f>
        <v>1</v>
      </c>
      <c r="O1844" s="49"/>
      <c r="P1844" s="49" t="str">
        <f>IFERROR(__xludf.DUMMYFUNCTION("""COMPUTED_VALUE"""),"Offset")</f>
        <v>Offset</v>
      </c>
      <c r="Q1844" s="49" t="str">
        <f>IFERROR(__xludf.DUMMYFUNCTION("""COMPUTED_VALUE"""),"Packaging")</f>
        <v>Packaging</v>
      </c>
      <c r="R1844" s="49" t="str">
        <f>IFERROR(__xludf.DUMMYFUNCTION("""COMPUTED_VALUE"""),"Mobile Accessories")</f>
        <v>Mobile Accessories</v>
      </c>
    </row>
    <row r="1845">
      <c r="A1845" s="156" t="str">
        <f>IFERROR(__xludf.DUMMYFUNCTION("""COMPUTED_VALUE"""),"https://drive.google.com/open?id=1YgxAizKUS2SH82sexfKAkGGz_vXcR8jj&amp;authuser=jay.agg%40gmail.com&amp;usp=drive_fs")</f>
        <v>https://drive.google.com/open?id=1YgxAizKUS2SH82sexfKAkGGz_vXcR8jj&amp;authuser=jay.agg%40gmail.com&amp;usp=drive_fs</v>
      </c>
      <c r="B1845" s="73" t="str">
        <f>IFERROR(__xludf.DUMMYFUNCTION("""COMPUTED_VALUE"""),"Mobile Accessories")</f>
        <v>Mobile Accessories</v>
      </c>
      <c r="C1845" s="73" t="str">
        <f>IFERROR(__xludf.DUMMYFUNCTION("""COMPUTED_VALUE"""),"Charger Tray")</f>
        <v>Charger Tray</v>
      </c>
      <c r="D1845" s="73" t="str">
        <f>IFERROR(__xludf.DUMMYFUNCTION("""COMPUTED_VALUE"""),"Holder 80*34*124 mm IL")</f>
        <v>Holder 80*34*124 mm IL</v>
      </c>
      <c r="E1845" s="77">
        <f>IFERROR(__xludf.DUMMYFUNCTION("""COMPUTED_VALUE"""),24.0)</f>
        <v>24</v>
      </c>
      <c r="F1845" s="77">
        <f>IFERROR(__xludf.DUMMYFUNCTION("""COMPUTED_VALUE"""),1926.0)</f>
        <v>1926</v>
      </c>
      <c r="G1845" s="77">
        <f>IFERROR(__xludf.DUMMYFUNCTION("""COMPUTED_VALUE"""),19.5)</f>
        <v>19.5</v>
      </c>
      <c r="H1845" s="77">
        <f>IFERROR(__xludf.DUMMYFUNCTION("""COMPUTED_VALUE"""),23.0)</f>
        <v>23</v>
      </c>
      <c r="I1845" s="77">
        <f>IFERROR(__xludf.DUMMYFUNCTION("""COMPUTED_VALUE"""),100.0)</f>
        <v>100</v>
      </c>
      <c r="J1845" s="73"/>
      <c r="K1845" s="73"/>
      <c r="L1845" s="73"/>
      <c r="M1845" s="77">
        <f>IFERROR(__xludf.DUMMYFUNCTION("""COMPUTED_VALUE"""),0.1)</f>
        <v>0.1</v>
      </c>
      <c r="N1845" s="77">
        <f>IFERROR(__xludf.DUMMYFUNCTION("""COMPUTED_VALUE"""),1.0)</f>
        <v>1</v>
      </c>
      <c r="O1845" s="49"/>
      <c r="P1845" s="49" t="str">
        <f>IFERROR(__xludf.DUMMYFUNCTION("""COMPUTED_VALUE"""),"Offset")</f>
        <v>Offset</v>
      </c>
      <c r="Q1845" s="49" t="str">
        <f>IFERROR(__xludf.DUMMYFUNCTION("""COMPUTED_VALUE"""),"Packaging")</f>
        <v>Packaging</v>
      </c>
      <c r="R1845" s="49" t="str">
        <f>IFERROR(__xludf.DUMMYFUNCTION("""COMPUTED_VALUE"""),"Mobile Accessories")</f>
        <v>Mobile Accessories</v>
      </c>
    </row>
    <row r="1846">
      <c r="A1846" s="156" t="str">
        <f>IFERROR(__xludf.DUMMYFUNCTION("""COMPUTED_VALUE"""),"https://drive.google.com/open?id=12LVcKi_Bf7Ww5HUC6UzCcRUAa4wOQ1Iq&amp;authuser=jay.agg%40gmail.com&amp;usp=drive_fs")</f>
        <v>https://drive.google.com/open?id=12LVcKi_Bf7Ww5HUC6UzCcRUAa4wOQ1Iq&amp;authuser=jay.agg%40gmail.com&amp;usp=drive_fs</v>
      </c>
      <c r="B1846" s="73" t="str">
        <f>IFERROR(__xludf.DUMMYFUNCTION("""COMPUTED_VALUE"""),"Mobile Accessories")</f>
        <v>Mobile Accessories</v>
      </c>
      <c r="C1846" s="73" t="str">
        <f>IFERROR(__xludf.DUMMYFUNCTION("""COMPUTED_VALUE"""),"USB Cable")</f>
        <v>USB Cable</v>
      </c>
      <c r="D1846" s="73" t="str">
        <f>IFERROR(__xludf.DUMMYFUNCTION("""COMPUTED_VALUE"""),"70*20*200 mm | 2.7*0.8*7.8 inch")</f>
        <v>70*20*200 mm | 2.7*0.8*7.8 inch</v>
      </c>
      <c r="E1846" s="77">
        <f>IFERROR(__xludf.DUMMYFUNCTION("""COMPUTED_VALUE"""),4.0)</f>
        <v>4</v>
      </c>
      <c r="F1846" s="77">
        <f>IFERROR(__xludf.DUMMYFUNCTION("""COMPUTED_VALUE"""),1926.0)</f>
        <v>1926</v>
      </c>
      <c r="G1846" s="77">
        <f>IFERROR(__xludf.DUMMYFUNCTION("""COMPUTED_VALUE"""),15.75)</f>
        <v>15.75</v>
      </c>
      <c r="H1846" s="77">
        <f>IFERROR(__xludf.DUMMYFUNCTION("""COMPUTED_VALUE"""),20.75)</f>
        <v>20.75</v>
      </c>
      <c r="I1846" s="77">
        <f>IFERROR(__xludf.DUMMYFUNCTION("""COMPUTED_VALUE"""),100.0)</f>
        <v>100</v>
      </c>
      <c r="J1846" s="73"/>
      <c r="K1846" s="73"/>
      <c r="L1846" s="73"/>
      <c r="M1846" s="77">
        <f>IFERROR(__xludf.DUMMYFUNCTION("""COMPUTED_VALUE"""),0.1)</f>
        <v>0.1</v>
      </c>
      <c r="N1846" s="77">
        <f>IFERROR(__xludf.DUMMYFUNCTION("""COMPUTED_VALUE"""),1.0)</f>
        <v>1</v>
      </c>
      <c r="O1846" s="49"/>
      <c r="P1846" s="49" t="str">
        <f>IFERROR(__xludf.DUMMYFUNCTION("""COMPUTED_VALUE"""),"Offset")</f>
        <v>Offset</v>
      </c>
      <c r="Q1846" s="49" t="str">
        <f>IFERROR(__xludf.DUMMYFUNCTION("""COMPUTED_VALUE"""),"Packaging")</f>
        <v>Packaging</v>
      </c>
      <c r="R1846" s="49" t="str">
        <f>IFERROR(__xludf.DUMMYFUNCTION("""COMPUTED_VALUE"""),"Mobile Accessories")</f>
        <v>Mobile Accessories</v>
      </c>
    </row>
    <row r="1847">
      <c r="A1847" s="156" t="str">
        <f>IFERROR(__xludf.DUMMYFUNCTION("""COMPUTED_VALUE"""),"https://drive.google.com/open?id=17nTZG9GX7n0_V0dmHNv7QopbcNEvxGaI&amp;authuser=jay.agg%40gmail.com&amp;usp=drive_fs")</f>
        <v>https://drive.google.com/open?id=17nTZG9GX7n0_V0dmHNv7QopbcNEvxGaI&amp;authuser=jay.agg%40gmail.com&amp;usp=drive_fs</v>
      </c>
      <c r="B1847" s="73" t="str">
        <f>IFERROR(__xludf.DUMMYFUNCTION("""COMPUTED_VALUE"""),"Mobile Accessories")</f>
        <v>Mobile Accessories</v>
      </c>
      <c r="C1847" s="73" t="str">
        <f>IFERROR(__xludf.DUMMYFUNCTION("""COMPUTED_VALUE"""),"Mizi")</f>
        <v>Mizi</v>
      </c>
      <c r="D1847" s="73" t="str">
        <f>IFERROR(__xludf.DUMMYFUNCTION("""COMPUTED_VALUE"""),"254*12*381 mm | 10*0.48*15 inch")</f>
        <v>254*12*381 mm | 10*0.48*15 inch</v>
      </c>
      <c r="E1847" s="77">
        <f>IFERROR(__xludf.DUMMYFUNCTION("""COMPUTED_VALUE"""),1.0)</f>
        <v>1</v>
      </c>
      <c r="F1847" s="77">
        <f>IFERROR(__xludf.DUMMYFUNCTION("""COMPUTED_VALUE"""),1926.0)</f>
        <v>1926</v>
      </c>
      <c r="G1847" s="77">
        <f>IFERROR(__xludf.DUMMYFUNCTION("""COMPUTED_VALUE"""),18.0)</f>
        <v>18</v>
      </c>
      <c r="H1847" s="77">
        <f>IFERROR(__xludf.DUMMYFUNCTION("""COMPUTED_VALUE"""),23.0)</f>
        <v>23</v>
      </c>
      <c r="I1847" s="77">
        <f>IFERROR(__xludf.DUMMYFUNCTION("""COMPUTED_VALUE"""),100.0)</f>
        <v>100</v>
      </c>
      <c r="J1847" s="73"/>
      <c r="K1847" s="73"/>
      <c r="L1847" s="73"/>
      <c r="M1847" s="77">
        <f>IFERROR(__xludf.DUMMYFUNCTION("""COMPUTED_VALUE"""),0.1)</f>
        <v>0.1</v>
      </c>
      <c r="N1847" s="77">
        <f>IFERROR(__xludf.DUMMYFUNCTION("""COMPUTED_VALUE"""),1.0)</f>
        <v>1</v>
      </c>
      <c r="O1847" s="49"/>
      <c r="P1847" s="49" t="str">
        <f>IFERROR(__xludf.DUMMYFUNCTION("""COMPUTED_VALUE"""),"Offset")</f>
        <v>Offset</v>
      </c>
      <c r="Q1847" s="49" t="str">
        <f>IFERROR(__xludf.DUMMYFUNCTION("""COMPUTED_VALUE"""),"Packaging")</f>
        <v>Packaging</v>
      </c>
      <c r="R1847" s="49" t="str">
        <f>IFERROR(__xludf.DUMMYFUNCTION("""COMPUTED_VALUE"""),"Mobile Accessories")</f>
        <v>Mobile Accessories</v>
      </c>
    </row>
    <row r="1848">
      <c r="A1848" s="156" t="str">
        <f>IFERROR(__xludf.DUMMYFUNCTION("""COMPUTED_VALUE"""),"https://drive.google.com/open?id=11Ssj4ssWzixBU1uxPlVv1UUN400BTPyj&amp;authuser=jay.agg%40gmail.com&amp;usp=drive_fs")</f>
        <v>https://drive.google.com/open?id=11Ssj4ssWzixBU1uxPlVv1UUN400BTPyj&amp;authuser=jay.agg%40gmail.com&amp;usp=drive_fs</v>
      </c>
      <c r="B1848" s="73" t="str">
        <f>IFERROR(__xludf.DUMMYFUNCTION("""COMPUTED_VALUE"""),"Mobile Accessories")</f>
        <v>Mobile Accessories</v>
      </c>
      <c r="C1848" s="73" t="str">
        <f>IFERROR(__xludf.DUMMYFUNCTION("""COMPUTED_VALUE"""),"Misc")</f>
        <v>Misc</v>
      </c>
      <c r="D1848" s="73" t="str">
        <f>IFERROR(__xludf.DUMMYFUNCTION("""COMPUTED_VALUE"""),"90*50*150 mm | 3.5*1.2*5.9 inch")</f>
        <v>90*50*150 mm | 3.5*1.2*5.9 inch</v>
      </c>
      <c r="E1848" s="77">
        <f>IFERROR(__xludf.DUMMYFUNCTION("""COMPUTED_VALUE"""),4.0)</f>
        <v>4</v>
      </c>
      <c r="F1848" s="77">
        <f>IFERROR(__xludf.DUMMYFUNCTION("""COMPUTED_VALUE"""),1926.0)</f>
        <v>1926</v>
      </c>
      <c r="G1848" s="77">
        <f>IFERROR(__xludf.DUMMYFUNCTION("""COMPUTED_VALUE"""),18.0)</f>
        <v>18</v>
      </c>
      <c r="H1848" s="77">
        <f>IFERROR(__xludf.DUMMYFUNCTION("""COMPUTED_VALUE"""),21.0)</f>
        <v>21</v>
      </c>
      <c r="I1848" s="77">
        <f>IFERROR(__xludf.DUMMYFUNCTION("""COMPUTED_VALUE"""),100.0)</f>
        <v>100</v>
      </c>
      <c r="J1848" s="73"/>
      <c r="K1848" s="73"/>
      <c r="L1848" s="73"/>
      <c r="M1848" s="77">
        <f>IFERROR(__xludf.DUMMYFUNCTION("""COMPUTED_VALUE"""),0.1)</f>
        <v>0.1</v>
      </c>
      <c r="N1848" s="77">
        <f>IFERROR(__xludf.DUMMYFUNCTION("""COMPUTED_VALUE"""),1.0)</f>
        <v>1</v>
      </c>
      <c r="O1848" s="49"/>
      <c r="P1848" s="49" t="str">
        <f>IFERROR(__xludf.DUMMYFUNCTION("""COMPUTED_VALUE"""),"Offset")</f>
        <v>Offset</v>
      </c>
      <c r="Q1848" s="49" t="str">
        <f>IFERROR(__xludf.DUMMYFUNCTION("""COMPUTED_VALUE"""),"Packaging")</f>
        <v>Packaging</v>
      </c>
      <c r="R1848" s="49" t="str">
        <f>IFERROR(__xludf.DUMMYFUNCTION("""COMPUTED_VALUE"""),"Mobile Accessories")</f>
        <v>Mobile Accessories</v>
      </c>
    </row>
    <row r="1849">
      <c r="A1849" s="156" t="str">
        <f>IFERROR(__xludf.DUMMYFUNCTION("""COMPUTED_VALUE"""),"https://drive.google.com/open?id=19Z4dw9weOsQYA_zcVBI3_2jaBNqVQCJs&amp;authuser=jay.agg%40gmail.com&amp;usp=drive_fs")</f>
        <v>https://drive.google.com/open?id=19Z4dw9weOsQYA_zcVBI3_2jaBNqVQCJs&amp;authuser=jay.agg%40gmail.com&amp;usp=drive_fs</v>
      </c>
      <c r="B1849" s="73" t="str">
        <f>IFERROR(__xludf.DUMMYFUNCTION("""COMPUTED_VALUE"""),"Mobile Accessories")</f>
        <v>Mobile Accessories</v>
      </c>
      <c r="C1849" s="73" t="str">
        <f>IFERROR(__xludf.DUMMYFUNCTION("""COMPUTED_VALUE"""),"Misc")</f>
        <v>Misc</v>
      </c>
      <c r="D1849" s="73" t="str">
        <f>IFERROR(__xludf.DUMMYFUNCTION("""COMPUTED_VALUE"""),"100*30*200 mm | 3.9*1.2*7.9 inch")</f>
        <v>100*30*200 mm | 3.9*1.2*7.9 inch</v>
      </c>
      <c r="E1849" s="77">
        <f>IFERROR(__xludf.DUMMYFUNCTION("""COMPUTED_VALUE"""),2.0)</f>
        <v>2</v>
      </c>
      <c r="F1849" s="77">
        <f>IFERROR(__xludf.DUMMYFUNCTION("""COMPUTED_VALUE"""),1926.0)</f>
        <v>1926</v>
      </c>
      <c r="G1849" s="77">
        <f>IFERROR(__xludf.DUMMYFUNCTION("""COMPUTED_VALUE"""),12.0)</f>
        <v>12</v>
      </c>
      <c r="H1849" s="77">
        <f>IFERROR(__xludf.DUMMYFUNCTION("""COMPUTED_VALUE"""),23.0)</f>
        <v>23</v>
      </c>
      <c r="I1849" s="77">
        <f>IFERROR(__xludf.DUMMYFUNCTION("""COMPUTED_VALUE"""),100.0)</f>
        <v>100</v>
      </c>
      <c r="J1849" s="73"/>
      <c r="K1849" s="73"/>
      <c r="L1849" s="73"/>
      <c r="M1849" s="77">
        <f>IFERROR(__xludf.DUMMYFUNCTION("""COMPUTED_VALUE"""),0.1)</f>
        <v>0.1</v>
      </c>
      <c r="N1849" s="77">
        <f>IFERROR(__xludf.DUMMYFUNCTION("""COMPUTED_VALUE"""),1.0)</f>
        <v>1</v>
      </c>
      <c r="O1849" s="49"/>
      <c r="P1849" s="49" t="str">
        <f>IFERROR(__xludf.DUMMYFUNCTION("""COMPUTED_VALUE"""),"Offset")</f>
        <v>Offset</v>
      </c>
      <c r="Q1849" s="49" t="str">
        <f>IFERROR(__xludf.DUMMYFUNCTION("""COMPUTED_VALUE"""),"Packaging")</f>
        <v>Packaging</v>
      </c>
      <c r="R1849" s="49" t="str">
        <f>IFERROR(__xludf.DUMMYFUNCTION("""COMPUTED_VALUE"""),"Mobile Accessories")</f>
        <v>Mobile Accessories</v>
      </c>
    </row>
    <row r="1850">
      <c r="A1850" s="156" t="str">
        <f>IFERROR(__xludf.DUMMYFUNCTION("""COMPUTED_VALUE"""),"https://drive.google.com/open?id=1DI-iQg6YHye_Ej8jl0WHJPqTsxYKuIGz&amp;authuser=jay.agg%40gmail.com&amp;usp=drive_fs")</f>
        <v>https://drive.google.com/open?id=1DI-iQg6YHye_Ej8jl0WHJPqTsxYKuIGz&amp;authuser=jay.agg%40gmail.com&amp;usp=drive_fs</v>
      </c>
      <c r="B1850" s="73" t="str">
        <f>IFERROR(__xludf.DUMMYFUNCTION("""COMPUTED_VALUE"""),"Mobile Accessories")</f>
        <v>Mobile Accessories</v>
      </c>
      <c r="C1850" s="73" t="str">
        <f>IFERROR(__xludf.DUMMYFUNCTION("""COMPUTED_VALUE"""),"Misc")</f>
        <v>Misc</v>
      </c>
      <c r="D1850" s="73" t="str">
        <f>IFERROR(__xludf.DUMMYFUNCTION("""COMPUTED_VALUE"""),"70*33*152 mm | 2.7*1.3*6 inch Holder")</f>
        <v>70*33*152 mm | 2.7*1.3*6 inch Holder</v>
      </c>
      <c r="E1850" s="77">
        <f>IFERROR(__xludf.DUMMYFUNCTION("""COMPUTED_VALUE"""),6.0)</f>
        <v>6</v>
      </c>
      <c r="F1850" s="77">
        <f>IFERROR(__xludf.DUMMYFUNCTION("""COMPUTED_VALUE"""),1926.0)</f>
        <v>1926</v>
      </c>
      <c r="G1850" s="77">
        <f>IFERROR(__xludf.DUMMYFUNCTION("""COMPUTED_VALUE"""),19.0)</f>
        <v>19</v>
      </c>
      <c r="H1850" s="77">
        <f>IFERROR(__xludf.DUMMYFUNCTION("""COMPUTED_VALUE"""),26.0)</f>
        <v>26</v>
      </c>
      <c r="I1850" s="77">
        <f>IFERROR(__xludf.DUMMYFUNCTION("""COMPUTED_VALUE"""),100.0)</f>
        <v>100</v>
      </c>
      <c r="J1850" s="73"/>
      <c r="K1850" s="73"/>
      <c r="L1850" s="73"/>
      <c r="M1850" s="77">
        <f>IFERROR(__xludf.DUMMYFUNCTION("""COMPUTED_VALUE"""),0.1)</f>
        <v>0.1</v>
      </c>
      <c r="N1850" s="77">
        <f>IFERROR(__xludf.DUMMYFUNCTION("""COMPUTED_VALUE"""),1.0)</f>
        <v>1</v>
      </c>
      <c r="O1850" s="49"/>
      <c r="P1850" s="49" t="str">
        <f>IFERROR(__xludf.DUMMYFUNCTION("""COMPUTED_VALUE"""),"Offset")</f>
        <v>Offset</v>
      </c>
      <c r="Q1850" s="49" t="str">
        <f>IFERROR(__xludf.DUMMYFUNCTION("""COMPUTED_VALUE"""),"Packaging")</f>
        <v>Packaging</v>
      </c>
      <c r="R1850" s="49" t="str">
        <f>IFERROR(__xludf.DUMMYFUNCTION("""COMPUTED_VALUE"""),"Mobile Accessories")</f>
        <v>Mobile Accessories</v>
      </c>
    </row>
    <row r="1851">
      <c r="A1851" s="156" t="str">
        <f>IFERROR(__xludf.DUMMYFUNCTION("""COMPUTED_VALUE"""),"https://drive.google.com/open?id=1GAbfZlw_5yBtDp4CBf6opegaYfl5bti4&amp;authuser=jay.agg%40gmail.com&amp;usp=drive_fs")</f>
        <v>https://drive.google.com/open?id=1GAbfZlw_5yBtDp4CBf6opegaYfl5bti4&amp;authuser=jay.agg%40gmail.com&amp;usp=drive_fs</v>
      </c>
      <c r="B1851" s="73" t="str">
        <f>IFERROR(__xludf.DUMMYFUNCTION("""COMPUTED_VALUE"""),"Mobile Accessories")</f>
        <v>Mobile Accessories</v>
      </c>
      <c r="C1851" s="73" t="str">
        <f>IFERROR(__xludf.DUMMYFUNCTION("""COMPUTED_VALUE"""),"Cashify")</f>
        <v>Cashify</v>
      </c>
      <c r="D1851" s="73" t="str">
        <f>IFERROR(__xludf.DUMMYFUNCTION("""COMPUTED_VALUE"""),"81*34*83 mm | 3.2*1.3*3.3 inch W 2.3*2.3 inch")</f>
        <v>81*34*83 mm | 3.2*1.3*3.3 inch W 2.3*2.3 inch</v>
      </c>
      <c r="E1851" s="77">
        <f>IFERROR(__xludf.DUMMYFUNCTION("""COMPUTED_VALUE"""),4.0)</f>
        <v>4</v>
      </c>
      <c r="F1851" s="77">
        <f>IFERROR(__xludf.DUMMYFUNCTION("""COMPUTED_VALUE"""),1926.0)</f>
        <v>1926</v>
      </c>
      <c r="G1851" s="77">
        <f>IFERROR(__xludf.DUMMYFUNCTION("""COMPUTED_VALUE"""),15.75)</f>
        <v>15.75</v>
      </c>
      <c r="H1851" s="77">
        <f>IFERROR(__xludf.DUMMYFUNCTION("""COMPUTED_VALUE"""),20.75)</f>
        <v>20.75</v>
      </c>
      <c r="I1851" s="77">
        <f>IFERROR(__xludf.DUMMYFUNCTION("""COMPUTED_VALUE"""),100.0)</f>
        <v>100</v>
      </c>
      <c r="J1851" s="73"/>
      <c r="K1851" s="73"/>
      <c r="L1851" s="73">
        <f>IFERROR(__xludf.DUMMYFUNCTION("""COMPUTED_VALUE"""),1.5)</f>
        <v>1.5</v>
      </c>
      <c r="M1851" s="77">
        <f>IFERROR(__xludf.DUMMYFUNCTION("""COMPUTED_VALUE"""),0.18)</f>
        <v>0.18</v>
      </c>
      <c r="N1851" s="77">
        <f>IFERROR(__xludf.DUMMYFUNCTION("""COMPUTED_VALUE"""),1.0)</f>
        <v>1</v>
      </c>
      <c r="O1851" s="49"/>
      <c r="P1851" s="49" t="str">
        <f>IFERROR(__xludf.DUMMYFUNCTION("""COMPUTED_VALUE"""),"Offset")</f>
        <v>Offset</v>
      </c>
      <c r="Q1851" s="49" t="str">
        <f>IFERROR(__xludf.DUMMYFUNCTION("""COMPUTED_VALUE"""),"Packaging")</f>
        <v>Packaging</v>
      </c>
      <c r="R1851" s="49" t="str">
        <f>IFERROR(__xludf.DUMMYFUNCTION("""COMPUTED_VALUE"""),"Mobile Accessories")</f>
        <v>Mobile Accessories</v>
      </c>
    </row>
    <row r="1852">
      <c r="A1852" s="156" t="str">
        <f>IFERROR(__xludf.DUMMYFUNCTION("""COMPUTED_VALUE"""),"https://drive.google.com/open?id=1P5cirJ40Og5s-Z960sUu395NTwbFgAcY&amp;authuser=jay.agg%40gmail.com&amp;usp=drive_fs")</f>
        <v>https://drive.google.com/open?id=1P5cirJ40Og5s-Z960sUu395NTwbFgAcY&amp;authuser=jay.agg%40gmail.com&amp;usp=drive_fs</v>
      </c>
      <c r="B1852" s="73" t="str">
        <f>IFERROR(__xludf.DUMMYFUNCTION("""COMPUTED_VALUE"""),"Mobile Accessories")</f>
        <v>Mobile Accessories</v>
      </c>
      <c r="C1852" s="73" t="str">
        <f>IFERROR(__xludf.DUMMYFUNCTION("""COMPUTED_VALUE"""),"Travel Charger")</f>
        <v>Travel Charger</v>
      </c>
      <c r="D1852" s="73" t="str">
        <f>IFERROR(__xludf.DUMMYFUNCTION("""COMPUTED_VALUE"""),"70*30*110 mm | 2.7*1.2*4.3 inch")</f>
        <v>70*30*110 mm | 2.7*1.2*4.3 inch</v>
      </c>
      <c r="E1852" s="77">
        <f>IFERROR(__xludf.DUMMYFUNCTION("""COMPUTED_VALUE"""),6.0)</f>
        <v>6</v>
      </c>
      <c r="F1852" s="77">
        <f>IFERROR(__xludf.DUMMYFUNCTION("""COMPUTED_VALUE"""),2029.0)</f>
        <v>2029</v>
      </c>
      <c r="G1852" s="77">
        <f>IFERROR(__xludf.DUMMYFUNCTION("""COMPUTED_VALUE"""),18.0)</f>
        <v>18</v>
      </c>
      <c r="H1852" s="77">
        <f>IFERROR(__xludf.DUMMYFUNCTION("""COMPUTED_VALUE"""),23.0)</f>
        <v>23</v>
      </c>
      <c r="I1852" s="77">
        <f>IFERROR(__xludf.DUMMYFUNCTION("""COMPUTED_VALUE"""),100.0)</f>
        <v>100</v>
      </c>
      <c r="J1852" s="73"/>
      <c r="K1852" s="73"/>
      <c r="L1852" s="73"/>
      <c r="M1852" s="77">
        <f>IFERROR(__xludf.DUMMYFUNCTION("""COMPUTED_VALUE"""),0.1)</f>
        <v>0.1</v>
      </c>
      <c r="N1852" s="77">
        <f>IFERROR(__xludf.DUMMYFUNCTION("""COMPUTED_VALUE"""),1.0)</f>
        <v>1</v>
      </c>
      <c r="O1852" s="49"/>
      <c r="P1852" s="49" t="str">
        <f>IFERROR(__xludf.DUMMYFUNCTION("""COMPUTED_VALUE"""),"Offset")</f>
        <v>Offset</v>
      </c>
      <c r="Q1852" s="49" t="str">
        <f>IFERROR(__xludf.DUMMYFUNCTION("""COMPUTED_VALUE"""),"Packaging")</f>
        <v>Packaging</v>
      </c>
      <c r="R1852" s="49" t="str">
        <f>IFERROR(__xludf.DUMMYFUNCTION("""COMPUTED_VALUE"""),"Mobile Accessories")</f>
        <v>Mobile Accessories</v>
      </c>
    </row>
    <row r="1853">
      <c r="A1853" s="156" t="str">
        <f>IFERROR(__xludf.DUMMYFUNCTION("""COMPUTED_VALUE"""),"https://drive.google.com/open?id=1XSUeHNu4gYcUT3s9MjYBljmBwokHxr4o&amp;authuser=jay.agg%40gmail.com&amp;usp=drive_fs")</f>
        <v>https://drive.google.com/open?id=1XSUeHNu4gYcUT3s9MjYBljmBwokHxr4o&amp;authuser=jay.agg%40gmail.com&amp;usp=drive_fs</v>
      </c>
      <c r="B1853" s="73" t="str">
        <f>IFERROR(__xludf.DUMMYFUNCTION("""COMPUTED_VALUE"""),"Mobile Accessories")</f>
        <v>Mobile Accessories</v>
      </c>
      <c r="C1853" s="73" t="str">
        <f>IFERROR(__xludf.DUMMYFUNCTION("""COMPUTED_VALUE"""),"Travel Charger")</f>
        <v>Travel Charger</v>
      </c>
      <c r="D1853" s="73" t="str">
        <f>IFERROR(__xludf.DUMMYFUNCTION("""COMPUTED_VALUE"""),"100*33*127 mm | 4*1.3*5 inch W 2*2.5 inch")</f>
        <v>100*33*127 mm | 4*1.3*5 inch W 2*2.5 inch</v>
      </c>
      <c r="E1853" s="77">
        <f>IFERROR(__xludf.DUMMYFUNCTION("""COMPUTED_VALUE"""),4.0)</f>
        <v>4</v>
      </c>
      <c r="F1853" s="77">
        <f>IFERROR(__xludf.DUMMYFUNCTION("""COMPUTED_VALUE"""),1926.0)</f>
        <v>1926</v>
      </c>
      <c r="G1853" s="77">
        <f>IFERROR(__xludf.DUMMYFUNCTION("""COMPUTED_VALUE"""),18.0)</f>
        <v>18</v>
      </c>
      <c r="H1853" s="77">
        <f>IFERROR(__xludf.DUMMYFUNCTION("""COMPUTED_VALUE"""),23.0)</f>
        <v>23</v>
      </c>
      <c r="I1853" s="77">
        <f>IFERROR(__xludf.DUMMYFUNCTION("""COMPUTED_VALUE"""),100.0)</f>
        <v>100</v>
      </c>
      <c r="J1853" s="73"/>
      <c r="K1853" s="73"/>
      <c r="L1853" s="73">
        <f>IFERROR(__xludf.DUMMYFUNCTION("""COMPUTED_VALUE"""),1.5)</f>
        <v>1.5</v>
      </c>
      <c r="M1853" s="77">
        <f>IFERROR(__xludf.DUMMYFUNCTION("""COMPUTED_VALUE"""),0.1)</f>
        <v>0.1</v>
      </c>
      <c r="N1853" s="77">
        <f>IFERROR(__xludf.DUMMYFUNCTION("""COMPUTED_VALUE"""),1.0)</f>
        <v>1</v>
      </c>
      <c r="O1853" s="49"/>
      <c r="P1853" s="49" t="str">
        <f>IFERROR(__xludf.DUMMYFUNCTION("""COMPUTED_VALUE"""),"Offset")</f>
        <v>Offset</v>
      </c>
      <c r="Q1853" s="49" t="str">
        <f>IFERROR(__xludf.DUMMYFUNCTION("""COMPUTED_VALUE"""),"Packaging")</f>
        <v>Packaging</v>
      </c>
      <c r="R1853" s="49" t="str">
        <f>IFERROR(__xludf.DUMMYFUNCTION("""COMPUTED_VALUE"""),"Mobile Accessories")</f>
        <v>Mobile Accessories</v>
      </c>
    </row>
    <row r="1854">
      <c r="A1854" s="156" t="str">
        <f>IFERROR(__xludf.DUMMYFUNCTION("""COMPUTED_VALUE"""),"https://drive.google.com/open?id=1XSUeHNu4gYcUT3s9MjYBljmBwokHxr4o&amp;authuser=jay.agg%40gmail.com&amp;usp=drive_fs")</f>
        <v>https://drive.google.com/open?id=1XSUeHNu4gYcUT3s9MjYBljmBwokHxr4o&amp;authuser=jay.agg%40gmail.com&amp;usp=drive_fs</v>
      </c>
      <c r="B1854" s="73" t="str">
        <f>IFERROR(__xludf.DUMMYFUNCTION("""COMPUTED_VALUE"""),"Mobile Accessories")</f>
        <v>Mobile Accessories</v>
      </c>
      <c r="C1854" s="73" t="str">
        <f>IFERROR(__xludf.DUMMYFUNCTION("""COMPUTED_VALUE"""),"Travel Charger")</f>
        <v>Travel Charger</v>
      </c>
      <c r="D1854" s="73" t="str">
        <f>IFERROR(__xludf.DUMMYFUNCTION("""COMPUTED_VALUE"""),"Tray 100*33*127 mm | 4*1.3*5 inch")</f>
        <v>Tray 100*33*127 mm | 4*1.3*5 inch</v>
      </c>
      <c r="E1854" s="77">
        <f>IFERROR(__xludf.DUMMYFUNCTION("""COMPUTED_VALUE"""),2.0)</f>
        <v>2</v>
      </c>
      <c r="F1854" s="77">
        <f>IFERROR(__xludf.DUMMYFUNCTION("""COMPUTED_VALUE"""),1926.0)</f>
        <v>1926</v>
      </c>
      <c r="G1854" s="77">
        <f>IFERROR(__xludf.DUMMYFUNCTION("""COMPUTED_VALUE"""),12.0)</f>
        <v>12</v>
      </c>
      <c r="H1854" s="77">
        <f>IFERROR(__xludf.DUMMYFUNCTION("""COMPUTED_VALUE"""),23.0)</f>
        <v>23</v>
      </c>
      <c r="I1854" s="77">
        <f>IFERROR(__xludf.DUMMYFUNCTION("""COMPUTED_VALUE"""),100.0)</f>
        <v>100</v>
      </c>
      <c r="J1854" s="73"/>
      <c r="K1854" s="73"/>
      <c r="L1854" s="73"/>
      <c r="M1854" s="77">
        <f>IFERROR(__xludf.DUMMYFUNCTION("""COMPUTED_VALUE"""),0.3)</f>
        <v>0.3</v>
      </c>
      <c r="N1854" s="77">
        <f>IFERROR(__xludf.DUMMYFUNCTION("""COMPUTED_VALUE"""),1.0)</f>
        <v>1</v>
      </c>
      <c r="O1854" s="49"/>
      <c r="P1854" s="49" t="str">
        <f>IFERROR(__xludf.DUMMYFUNCTION("""COMPUTED_VALUE"""),"Offset")</f>
        <v>Offset</v>
      </c>
      <c r="Q1854" s="49" t="str">
        <f>IFERROR(__xludf.DUMMYFUNCTION("""COMPUTED_VALUE"""),"Packaging")</f>
        <v>Packaging</v>
      </c>
      <c r="R1854" s="49" t="str">
        <f>IFERROR(__xludf.DUMMYFUNCTION("""COMPUTED_VALUE"""),"Mobile Accessories")</f>
        <v>Mobile Accessories</v>
      </c>
    </row>
    <row r="1855">
      <c r="A1855" s="156" t="str">
        <f>IFERROR(__xludf.DUMMYFUNCTION("""COMPUTED_VALUE"""),"https://drive.google.com/open?id=1bwie9jDVp9kvp0yMeeqmrx9FuffOS6Ug&amp;authuser=jay.agg%40gmail.com&amp;usp=drive_fs")</f>
        <v>https://drive.google.com/open?id=1bwie9jDVp9kvp0yMeeqmrx9FuffOS6Ug&amp;authuser=jay.agg%40gmail.com&amp;usp=drive_fs</v>
      </c>
      <c r="B1855" s="73" t="str">
        <f>IFERROR(__xludf.DUMMYFUNCTION("""COMPUTED_VALUE"""),"Mobile Accessories")</f>
        <v>Mobile Accessories</v>
      </c>
      <c r="C1855" s="73" t="str">
        <f>IFERROR(__xludf.DUMMYFUNCTION("""COMPUTED_VALUE"""),"Bluetooth Wireless")</f>
        <v>Bluetooth Wireless</v>
      </c>
      <c r="D1855" s="73" t="str">
        <f>IFERROR(__xludf.DUMMYFUNCTION("""COMPUTED_VALUE"""),"90*20*140 mm | 3.5*0.8*5.5 inch")</f>
        <v>90*20*140 mm | 3.5*0.8*5.5 inch</v>
      </c>
      <c r="E1855" s="77">
        <f>IFERROR(__xludf.DUMMYFUNCTION("""COMPUTED_VALUE"""),6.0)</f>
        <v>6</v>
      </c>
      <c r="F1855" s="77">
        <f>IFERROR(__xludf.DUMMYFUNCTION("""COMPUTED_VALUE"""),2029.0)</f>
        <v>2029</v>
      </c>
      <c r="G1855" s="77">
        <f>IFERROR(__xludf.DUMMYFUNCTION("""COMPUTED_VALUE"""),19.0)</f>
        <v>19</v>
      </c>
      <c r="H1855" s="77">
        <f>IFERROR(__xludf.DUMMYFUNCTION("""COMPUTED_VALUE"""),26.0)</f>
        <v>26</v>
      </c>
      <c r="I1855" s="77">
        <f>IFERROR(__xludf.DUMMYFUNCTION("""COMPUTED_VALUE"""),100.0)</f>
        <v>100</v>
      </c>
      <c r="J1855" s="73"/>
      <c r="K1855" s="73"/>
      <c r="L1855" s="73"/>
      <c r="M1855" s="77">
        <f>IFERROR(__xludf.DUMMYFUNCTION("""COMPUTED_VALUE"""),0.1)</f>
        <v>0.1</v>
      </c>
      <c r="N1855" s="77">
        <f>IFERROR(__xludf.DUMMYFUNCTION("""COMPUTED_VALUE"""),1.0)</f>
        <v>1</v>
      </c>
      <c r="O1855" s="49"/>
      <c r="P1855" s="49" t="str">
        <f>IFERROR(__xludf.DUMMYFUNCTION("""COMPUTED_VALUE"""),"Offset")</f>
        <v>Offset</v>
      </c>
      <c r="Q1855" s="49" t="str">
        <f>IFERROR(__xludf.DUMMYFUNCTION("""COMPUTED_VALUE"""),"Packaging")</f>
        <v>Packaging</v>
      </c>
      <c r="R1855" s="49" t="str">
        <f>IFERROR(__xludf.DUMMYFUNCTION("""COMPUTED_VALUE"""),"Mobile Accessories")</f>
        <v>Mobile Accessories</v>
      </c>
    </row>
    <row r="1856">
      <c r="A1856" s="156" t="str">
        <f>IFERROR(__xludf.DUMMYFUNCTION("""COMPUTED_VALUE"""),"https://drive.google.com/open?id=1c2d8BMo9nDDidUQWdCpS04Sih0j7Jv_b&amp;authuser=jay.agg%40gmail.com&amp;usp=drive_fs")</f>
        <v>https://drive.google.com/open?id=1c2d8BMo9nDDidUQWdCpS04Sih0j7Jv_b&amp;authuser=jay.agg%40gmail.com&amp;usp=drive_fs</v>
      </c>
      <c r="B1856" s="73" t="str">
        <f>IFERROR(__xludf.DUMMYFUNCTION("""COMPUTED_VALUE"""),"Mobile Accessories")</f>
        <v>Mobile Accessories</v>
      </c>
      <c r="C1856" s="73" t="str">
        <f>IFERROR(__xludf.DUMMYFUNCTION("""COMPUTED_VALUE"""),"Bluetooth Wireless")</f>
        <v>Bluetooth Wireless</v>
      </c>
      <c r="D1856" s="73" t="str">
        <f>IFERROR(__xludf.DUMMYFUNCTION("""COMPUTED_VALUE"""),"140*20*200 mm | 5.5*0.8*7.9 inch")</f>
        <v>140*20*200 mm | 5.5*0.8*7.9 inch</v>
      </c>
      <c r="E1856" s="77">
        <f>IFERROR(__xludf.DUMMYFUNCTION("""COMPUTED_VALUE"""),4.0)</f>
        <v>4</v>
      </c>
      <c r="F1856" s="77">
        <f>IFERROR(__xludf.DUMMYFUNCTION("""COMPUTED_VALUE"""),2029.0)</f>
        <v>2029</v>
      </c>
      <c r="G1856" s="77">
        <f>IFERROR(__xludf.DUMMYFUNCTION("""COMPUTED_VALUE"""),20.0)</f>
        <v>20</v>
      </c>
      <c r="H1856" s="77">
        <f>IFERROR(__xludf.DUMMYFUNCTION("""COMPUTED_VALUE"""),28.0)</f>
        <v>28</v>
      </c>
      <c r="I1856" s="77">
        <f>IFERROR(__xludf.DUMMYFUNCTION("""COMPUTED_VALUE"""),100.0)</f>
        <v>100</v>
      </c>
      <c r="J1856" s="73"/>
      <c r="K1856" s="73"/>
      <c r="L1856" s="73"/>
      <c r="M1856" s="77">
        <f>IFERROR(__xludf.DUMMYFUNCTION("""COMPUTED_VALUE"""),0.1)</f>
        <v>0.1</v>
      </c>
      <c r="N1856" s="77">
        <f>IFERROR(__xludf.DUMMYFUNCTION("""COMPUTED_VALUE"""),1.0)</f>
        <v>1</v>
      </c>
      <c r="O1856" s="49"/>
      <c r="P1856" s="49" t="str">
        <f>IFERROR(__xludf.DUMMYFUNCTION("""COMPUTED_VALUE"""),"Offset")</f>
        <v>Offset</v>
      </c>
      <c r="Q1856" s="49" t="str">
        <f>IFERROR(__xludf.DUMMYFUNCTION("""COMPUTED_VALUE"""),"Packaging")</f>
        <v>Packaging</v>
      </c>
      <c r="R1856" s="49" t="str">
        <f>IFERROR(__xludf.DUMMYFUNCTION("""COMPUTED_VALUE"""),"Mobile Accessories")</f>
        <v>Mobile Accessories</v>
      </c>
    </row>
    <row r="1857">
      <c r="A1857" s="156" t="str">
        <f>IFERROR(__xludf.DUMMYFUNCTION("""COMPUTED_VALUE"""),"https://drive.google.com/open?id=1a0vK4Yc5d_KTKXjRdtFeUQ8yzIqYCSh7&amp;authuser=jay.agg%40gmail.com&amp;usp=drive_fs")</f>
        <v>https://drive.google.com/open?id=1a0vK4Yc5d_KTKXjRdtFeUQ8yzIqYCSh7&amp;authuser=jay.agg%40gmail.com&amp;usp=drive_fs</v>
      </c>
      <c r="B1857" s="73" t="str">
        <f>IFERROR(__xludf.DUMMYFUNCTION("""COMPUTED_VALUE"""),"Mobile Accessories")</f>
        <v>Mobile Accessories</v>
      </c>
      <c r="C1857" s="73" t="str">
        <f>IFERROR(__xludf.DUMMYFUNCTION("""COMPUTED_VALUE"""),"Travel Charger")</f>
        <v>Travel Charger</v>
      </c>
      <c r="D1857" s="73" t="str">
        <f>IFERROR(__xludf.DUMMYFUNCTION("""COMPUTED_VALUE"""),"65*20*135 mm | 2.5*0.8*5.3 inch")</f>
        <v>65*20*135 mm | 2.5*0.8*5.3 inch</v>
      </c>
      <c r="E1857" s="77">
        <f>IFERROR(__xludf.DUMMYFUNCTION("""COMPUTED_VALUE"""),6.0)</f>
        <v>6</v>
      </c>
      <c r="F1857" s="77">
        <f>IFERROR(__xludf.DUMMYFUNCTION("""COMPUTED_VALUE"""),1926.0)</f>
        <v>1926</v>
      </c>
      <c r="G1857" s="77">
        <f>IFERROR(__xludf.DUMMYFUNCTION("""COMPUTED_VALUE"""),18.0)</f>
        <v>18</v>
      </c>
      <c r="H1857" s="77">
        <f>IFERROR(__xludf.DUMMYFUNCTION("""COMPUTED_VALUE"""),23.0)</f>
        <v>23</v>
      </c>
      <c r="I1857" s="77">
        <f>IFERROR(__xludf.DUMMYFUNCTION("""COMPUTED_VALUE"""),100.0)</f>
        <v>100</v>
      </c>
      <c r="J1857" s="73"/>
      <c r="K1857" s="73"/>
      <c r="L1857" s="73"/>
      <c r="M1857" s="77">
        <f>IFERROR(__xludf.DUMMYFUNCTION("""COMPUTED_VALUE"""),0.1)</f>
        <v>0.1</v>
      </c>
      <c r="N1857" s="77">
        <f>IFERROR(__xludf.DUMMYFUNCTION("""COMPUTED_VALUE"""),1.0)</f>
        <v>1</v>
      </c>
      <c r="O1857" s="49"/>
      <c r="P1857" s="49" t="str">
        <f>IFERROR(__xludf.DUMMYFUNCTION("""COMPUTED_VALUE"""),"Offset")</f>
        <v>Offset</v>
      </c>
      <c r="Q1857" s="49" t="str">
        <f>IFERROR(__xludf.DUMMYFUNCTION("""COMPUTED_VALUE"""),"Packaging")</f>
        <v>Packaging</v>
      </c>
      <c r="R1857" s="49" t="str">
        <f>IFERROR(__xludf.DUMMYFUNCTION("""COMPUTED_VALUE"""),"Mobile Accessories")</f>
        <v>Mobile Accessories</v>
      </c>
    </row>
    <row r="1858">
      <c r="A1858" s="156" t="str">
        <f>IFERROR(__xludf.DUMMYFUNCTION("""COMPUTED_VALUE"""),"https://drive.google.com/open?id=1hHeyP_VZM_U_574WDDhEsT060aKxy6Qe&amp;authuser=jay.agg%40gmail.com&amp;usp=drive_fs")</f>
        <v>https://drive.google.com/open?id=1hHeyP_VZM_U_574WDDhEsT060aKxy6Qe&amp;authuser=jay.agg%40gmail.com&amp;usp=drive_fs</v>
      </c>
      <c r="B1858" s="73" t="str">
        <f>IFERROR(__xludf.DUMMYFUNCTION("""COMPUTED_VALUE"""),"Mobile Accessories")</f>
        <v>Mobile Accessories</v>
      </c>
      <c r="C1858" s="73" t="str">
        <f>IFERROR(__xludf.DUMMYFUNCTION("""COMPUTED_VALUE"""),"USB Cable")</f>
        <v>USB Cable</v>
      </c>
      <c r="D1858" s="73" t="str">
        <f>IFERROR(__xludf.DUMMYFUNCTION("""COMPUTED_VALUE"""),"63*20*120 mm | 2.5*0.5*4.7 inch")</f>
        <v>63*20*120 mm | 2.5*0.5*4.7 inch</v>
      </c>
      <c r="E1858" s="77">
        <f>IFERROR(__xludf.DUMMYFUNCTION("""COMPUTED_VALUE"""),6.0)</f>
        <v>6</v>
      </c>
      <c r="F1858" s="77">
        <f>IFERROR(__xludf.DUMMYFUNCTION("""COMPUTED_VALUE"""),1926.0)</f>
        <v>1926</v>
      </c>
      <c r="G1858" s="77">
        <f>IFERROR(__xludf.DUMMYFUNCTION("""COMPUTED_VALUE"""),15.0)</f>
        <v>15</v>
      </c>
      <c r="H1858" s="77">
        <f>IFERROR(__xludf.DUMMYFUNCTION("""COMPUTED_VALUE"""),25.0)</f>
        <v>25</v>
      </c>
      <c r="I1858" s="77">
        <f>IFERROR(__xludf.DUMMYFUNCTION("""COMPUTED_VALUE"""),100.0)</f>
        <v>100</v>
      </c>
      <c r="J1858" s="73"/>
      <c r="K1858" s="73"/>
      <c r="L1858" s="73"/>
      <c r="M1858" s="77">
        <f>IFERROR(__xludf.DUMMYFUNCTION("""COMPUTED_VALUE"""),0.1)</f>
        <v>0.1</v>
      </c>
      <c r="N1858" s="77">
        <f>IFERROR(__xludf.DUMMYFUNCTION("""COMPUTED_VALUE"""),1.0)</f>
        <v>1</v>
      </c>
      <c r="O1858" s="49"/>
      <c r="P1858" s="49" t="str">
        <f>IFERROR(__xludf.DUMMYFUNCTION("""COMPUTED_VALUE"""),"Offset")</f>
        <v>Offset</v>
      </c>
      <c r="Q1858" s="49" t="str">
        <f>IFERROR(__xludf.DUMMYFUNCTION("""COMPUTED_VALUE"""),"Packaging")</f>
        <v>Packaging</v>
      </c>
      <c r="R1858" s="49" t="str">
        <f>IFERROR(__xludf.DUMMYFUNCTION("""COMPUTED_VALUE"""),"Mobile Accessories")</f>
        <v>Mobile Accessories</v>
      </c>
    </row>
    <row r="1859">
      <c r="A1859" s="156" t="str">
        <f>IFERROR(__xludf.DUMMYFUNCTION("""COMPUTED_VALUE"""),"https://drive.google.com/open?id=16NCOFjBd2p5u2A7QLXY1oKjx9phOpqYD&amp;authuser=jay.agg%40gmail.com&amp;usp=drive_fs")</f>
        <v>https://drive.google.com/open?id=16NCOFjBd2p5u2A7QLXY1oKjx9phOpqYD&amp;authuser=jay.agg%40gmail.com&amp;usp=drive_fs</v>
      </c>
      <c r="B1859" s="73" t="str">
        <f>IFERROR(__xludf.DUMMYFUNCTION("""COMPUTED_VALUE"""),"Mobile Accessories")</f>
        <v>Mobile Accessories</v>
      </c>
      <c r="C1859" s="73" t="str">
        <f>IFERROR(__xludf.DUMMYFUNCTION("""COMPUTED_VALUE"""),"Travel Charger")</f>
        <v>Travel Charger</v>
      </c>
      <c r="D1859" s="73" t="str">
        <f>IFERROR(__xludf.DUMMYFUNCTION("""COMPUTED_VALUE"""),"90*35*115 mm | 3.5*1.4*4.5 inch")</f>
        <v>90*35*115 mm | 3.5*1.4*4.5 inch</v>
      </c>
      <c r="E1859" s="77">
        <f>IFERROR(__xludf.DUMMYFUNCTION("""COMPUTED_VALUE"""),4.0)</f>
        <v>4</v>
      </c>
      <c r="F1859" s="77">
        <f>IFERROR(__xludf.DUMMYFUNCTION("""COMPUTED_VALUE"""),1926.0)</f>
        <v>1926</v>
      </c>
      <c r="G1859" s="77">
        <f>IFERROR(__xludf.DUMMYFUNCTION("""COMPUTED_VALUE"""),15.75)</f>
        <v>15.75</v>
      </c>
      <c r="H1859" s="77">
        <f>IFERROR(__xludf.DUMMYFUNCTION("""COMPUTED_VALUE"""),20.75)</f>
        <v>20.75</v>
      </c>
      <c r="I1859" s="77">
        <f>IFERROR(__xludf.DUMMYFUNCTION("""COMPUTED_VALUE"""),100.0)</f>
        <v>100</v>
      </c>
      <c r="J1859" s="73"/>
      <c r="K1859" s="73"/>
      <c r="L1859" s="73"/>
      <c r="M1859" s="77">
        <f>IFERROR(__xludf.DUMMYFUNCTION("""COMPUTED_VALUE"""),0.1)</f>
        <v>0.1</v>
      </c>
      <c r="N1859" s="77">
        <f>IFERROR(__xludf.DUMMYFUNCTION("""COMPUTED_VALUE"""),1.0)</f>
        <v>1</v>
      </c>
      <c r="O1859" s="49"/>
      <c r="P1859" s="49" t="str">
        <f>IFERROR(__xludf.DUMMYFUNCTION("""COMPUTED_VALUE"""),"Offset")</f>
        <v>Offset</v>
      </c>
      <c r="Q1859" s="49" t="str">
        <f>IFERROR(__xludf.DUMMYFUNCTION("""COMPUTED_VALUE"""),"Packaging")</f>
        <v>Packaging</v>
      </c>
      <c r="R1859" s="49" t="str">
        <f>IFERROR(__xludf.DUMMYFUNCTION("""COMPUTED_VALUE"""),"Mobile Accessories")</f>
        <v>Mobile Accessories</v>
      </c>
    </row>
    <row r="1860">
      <c r="A1860" s="156" t="str">
        <f>IFERROR(__xludf.DUMMYFUNCTION("""COMPUTED_VALUE"""),"https://drive.google.com/open?id=17AK4TTtz2h1zqqdwSz-GfGfTnclqx9fE&amp;authuser=jay.agg%40gmail.com&amp;usp=drive_fs")</f>
        <v>https://drive.google.com/open?id=17AK4TTtz2h1zqqdwSz-GfGfTnclqx9fE&amp;authuser=jay.agg%40gmail.com&amp;usp=drive_fs</v>
      </c>
      <c r="B1860" s="73" t="str">
        <f>IFERROR(__xludf.DUMMYFUNCTION("""COMPUTED_VALUE"""),"Mobile Accessories")</f>
        <v>Mobile Accessories</v>
      </c>
      <c r="C1860" s="73" t="str">
        <f>IFERROR(__xludf.DUMMYFUNCTION("""COMPUTED_VALUE"""),"Travel Charger")</f>
        <v>Travel Charger</v>
      </c>
      <c r="D1860" s="73" t="str">
        <f>IFERROR(__xludf.DUMMYFUNCTION("""COMPUTED_VALUE"""),"85*30*140 mm | 3.3*1.2*5.5 inch")</f>
        <v>85*30*140 mm | 3.3*1.2*5.5 inch</v>
      </c>
      <c r="E1860" s="77">
        <f>IFERROR(__xludf.DUMMYFUNCTION("""COMPUTED_VALUE"""),6.0)</f>
        <v>6</v>
      </c>
      <c r="F1860" s="77">
        <f>IFERROR(__xludf.DUMMYFUNCTION("""COMPUTED_VALUE"""),1926.0)</f>
        <v>1926</v>
      </c>
      <c r="G1860" s="77">
        <f>IFERROR(__xludf.DUMMYFUNCTION("""COMPUTED_VALUE"""),19.0)</f>
        <v>19</v>
      </c>
      <c r="H1860" s="77">
        <f>IFERROR(__xludf.DUMMYFUNCTION("""COMPUTED_VALUE"""),26.0)</f>
        <v>26</v>
      </c>
      <c r="I1860" s="77">
        <f>IFERROR(__xludf.DUMMYFUNCTION("""COMPUTED_VALUE"""),100.0)</f>
        <v>100</v>
      </c>
      <c r="J1860" s="73"/>
      <c r="K1860" s="73"/>
      <c r="L1860" s="73"/>
      <c r="M1860" s="77">
        <f>IFERROR(__xludf.DUMMYFUNCTION("""COMPUTED_VALUE"""),0.1)</f>
        <v>0.1</v>
      </c>
      <c r="N1860" s="77">
        <f>IFERROR(__xludf.DUMMYFUNCTION("""COMPUTED_VALUE"""),1.0)</f>
        <v>1</v>
      </c>
      <c r="O1860" s="49"/>
      <c r="P1860" s="49" t="str">
        <f>IFERROR(__xludf.DUMMYFUNCTION("""COMPUTED_VALUE"""),"Offset")</f>
        <v>Offset</v>
      </c>
      <c r="Q1860" s="49" t="str">
        <f>IFERROR(__xludf.DUMMYFUNCTION("""COMPUTED_VALUE"""),"Packaging")</f>
        <v>Packaging</v>
      </c>
      <c r="R1860" s="49" t="str">
        <f>IFERROR(__xludf.DUMMYFUNCTION("""COMPUTED_VALUE"""),"Mobile Accessories")</f>
        <v>Mobile Accessories</v>
      </c>
    </row>
    <row r="1861">
      <c r="A1861" s="156" t="str">
        <f>IFERROR(__xludf.DUMMYFUNCTION("""COMPUTED_VALUE"""),"https://drive.google.com/open?id=17GKWsaEs1sEHY2Gic_Ifm6NVkqeoL4qA&amp;authuser=jay.agg%40gmail.com&amp;usp=drive_fs")</f>
        <v>https://drive.google.com/open?id=17GKWsaEs1sEHY2Gic_Ifm6NVkqeoL4qA&amp;authuser=jay.agg%40gmail.com&amp;usp=drive_fs</v>
      </c>
      <c r="B1861" s="73" t="str">
        <f>IFERROR(__xludf.DUMMYFUNCTION("""COMPUTED_VALUE"""),"Mobile Accessories")</f>
        <v>Mobile Accessories</v>
      </c>
      <c r="C1861" s="73" t="str">
        <f>IFERROR(__xludf.DUMMYFUNCTION("""COMPUTED_VALUE"""),"Travel Charger")</f>
        <v>Travel Charger</v>
      </c>
      <c r="D1861" s="73" t="str">
        <f>IFERROR(__xludf.DUMMYFUNCTION("""COMPUTED_VALUE"""),"Tray 85*30*100 mm")</f>
        <v>Tray 85*30*100 mm</v>
      </c>
      <c r="E1861" s="77">
        <f>IFERROR(__xludf.DUMMYFUNCTION("""COMPUTED_VALUE"""),10.0)</f>
        <v>10</v>
      </c>
      <c r="F1861" s="77">
        <f>IFERROR(__xludf.DUMMYFUNCTION("""COMPUTED_VALUE"""),1926.0)</f>
        <v>1926</v>
      </c>
      <c r="G1861" s="77">
        <f>IFERROR(__xludf.DUMMYFUNCTION("""COMPUTED_VALUE"""),18.0)</f>
        <v>18</v>
      </c>
      <c r="H1861" s="77">
        <f>IFERROR(__xludf.DUMMYFUNCTION("""COMPUTED_VALUE"""),23.0)</f>
        <v>23</v>
      </c>
      <c r="I1861" s="77">
        <f>IFERROR(__xludf.DUMMYFUNCTION("""COMPUTED_VALUE"""),100.0)</f>
        <v>100</v>
      </c>
      <c r="J1861" s="73"/>
      <c r="K1861" s="73"/>
      <c r="L1861" s="73"/>
      <c r="M1861" s="77">
        <f>IFERROR(__xludf.DUMMYFUNCTION("""COMPUTED_VALUE"""),0.1)</f>
        <v>0.1</v>
      </c>
      <c r="N1861" s="77">
        <f>IFERROR(__xludf.DUMMYFUNCTION("""COMPUTED_VALUE"""),1.0)</f>
        <v>1</v>
      </c>
      <c r="O1861" s="49"/>
      <c r="P1861" s="49" t="str">
        <f>IFERROR(__xludf.DUMMYFUNCTION("""COMPUTED_VALUE"""),"Offset")</f>
        <v>Offset</v>
      </c>
      <c r="Q1861" s="49" t="str">
        <f>IFERROR(__xludf.DUMMYFUNCTION("""COMPUTED_VALUE"""),"Packaging")</f>
        <v>Packaging</v>
      </c>
      <c r="R1861" s="49" t="str">
        <f>IFERROR(__xludf.DUMMYFUNCTION("""COMPUTED_VALUE"""),"Mobile Accessories")</f>
        <v>Mobile Accessories</v>
      </c>
    </row>
    <row r="1862">
      <c r="A1862" s="156" t="str">
        <f>IFERROR(__xludf.DUMMYFUNCTION("""COMPUTED_VALUE"""),"https://drive.google.com/open?id=17HULbzCp75mQjv2bUNTN_N0OkxiMX_YG&amp;authuser=jay.agg%40gmail.com&amp;usp=drive_fs")</f>
        <v>https://drive.google.com/open?id=17HULbzCp75mQjv2bUNTN_N0OkxiMX_YG&amp;authuser=jay.agg%40gmail.com&amp;usp=drive_fs</v>
      </c>
      <c r="B1862" s="73" t="str">
        <f>IFERROR(__xludf.DUMMYFUNCTION("""COMPUTED_VALUE"""),"Mobile Accessories")</f>
        <v>Mobile Accessories</v>
      </c>
      <c r="C1862" s="73" t="str">
        <f>IFERROR(__xludf.DUMMYFUNCTION("""COMPUTED_VALUE"""),"USB Cable")</f>
        <v>USB Cable</v>
      </c>
      <c r="D1862" s="73" t="str">
        <f>IFERROR(__xludf.DUMMYFUNCTION("""COMPUTED_VALUE"""),"40*15*150 mm | 1.5*0.6*5.9 inch")</f>
        <v>40*15*150 mm | 1.5*0.6*5.9 inch</v>
      </c>
      <c r="E1862" s="77">
        <f>IFERROR(__xludf.DUMMYFUNCTION("""COMPUTED_VALUE"""),8.0)</f>
        <v>8</v>
      </c>
      <c r="F1862" s="77">
        <f>IFERROR(__xludf.DUMMYFUNCTION("""COMPUTED_VALUE"""),1926.0)</f>
        <v>1926</v>
      </c>
      <c r="G1862" s="77">
        <f>IFERROR(__xludf.DUMMYFUNCTION("""COMPUTED_VALUE"""),15.75)</f>
        <v>15.75</v>
      </c>
      <c r="H1862" s="77">
        <f>IFERROR(__xludf.DUMMYFUNCTION("""COMPUTED_VALUE"""),20.75)</f>
        <v>20.75</v>
      </c>
      <c r="I1862" s="77">
        <f>IFERROR(__xludf.DUMMYFUNCTION("""COMPUTED_VALUE"""),100.0)</f>
        <v>100</v>
      </c>
      <c r="J1862" s="73"/>
      <c r="K1862" s="73"/>
      <c r="L1862" s="73"/>
      <c r="M1862" s="77">
        <f>IFERROR(__xludf.DUMMYFUNCTION("""COMPUTED_VALUE"""),0.1)</f>
        <v>0.1</v>
      </c>
      <c r="N1862" s="77">
        <f>IFERROR(__xludf.DUMMYFUNCTION("""COMPUTED_VALUE"""),1.0)</f>
        <v>1</v>
      </c>
      <c r="O1862" s="49"/>
      <c r="P1862" s="49" t="str">
        <f>IFERROR(__xludf.DUMMYFUNCTION("""COMPUTED_VALUE"""),"Offset")</f>
        <v>Offset</v>
      </c>
      <c r="Q1862" s="49" t="str">
        <f>IFERROR(__xludf.DUMMYFUNCTION("""COMPUTED_VALUE"""),"Packaging")</f>
        <v>Packaging</v>
      </c>
      <c r="R1862" s="49" t="str">
        <f>IFERROR(__xludf.DUMMYFUNCTION("""COMPUTED_VALUE"""),"Mobile Accessories")</f>
        <v>Mobile Accessories</v>
      </c>
    </row>
    <row r="1863">
      <c r="A1863" s="156" t="str">
        <f>IFERROR(__xludf.DUMMYFUNCTION("""COMPUTED_VALUE"""),"https://drive.google.com/open?id=17HjKIYWtfY8YBWD24jMT6dKd3tMCY-Wd&amp;authuser=jay.agg%40gmail.com&amp;usp=drive_fs")</f>
        <v>https://drive.google.com/open?id=17HjKIYWtfY8YBWD24jMT6dKd3tMCY-Wd&amp;authuser=jay.agg%40gmail.com&amp;usp=drive_fs</v>
      </c>
      <c r="B1863" s="73" t="str">
        <f>IFERROR(__xludf.DUMMYFUNCTION("""COMPUTED_VALUE"""),"Mobile Accessories")</f>
        <v>Mobile Accessories</v>
      </c>
      <c r="C1863" s="73" t="str">
        <f>IFERROR(__xludf.DUMMYFUNCTION("""COMPUTED_VALUE"""),"USB Cable")</f>
        <v>USB Cable</v>
      </c>
      <c r="D1863" s="73" t="str">
        <f>IFERROR(__xludf.DUMMYFUNCTION("""COMPUTED_VALUE"""),"53*22*163 mm | 2*0.9*6.5 inch")</f>
        <v>53*22*163 mm | 2*0.9*6.5 inch</v>
      </c>
      <c r="E1863" s="77">
        <f>IFERROR(__xludf.DUMMYFUNCTION("""COMPUTED_VALUE"""),8.0)</f>
        <v>8</v>
      </c>
      <c r="F1863" s="77">
        <f>IFERROR(__xludf.DUMMYFUNCTION("""COMPUTED_VALUE"""),1926.0)</f>
        <v>1926</v>
      </c>
      <c r="G1863" s="77">
        <f>IFERROR(__xludf.DUMMYFUNCTION("""COMPUTED_VALUE"""),19.0)</f>
        <v>19</v>
      </c>
      <c r="H1863" s="77">
        <f>IFERROR(__xludf.DUMMYFUNCTION("""COMPUTED_VALUE"""),26.0)</f>
        <v>26</v>
      </c>
      <c r="I1863" s="77">
        <f>IFERROR(__xludf.DUMMYFUNCTION("""COMPUTED_VALUE"""),100.0)</f>
        <v>100</v>
      </c>
      <c r="J1863" s="73"/>
      <c r="K1863" s="73"/>
      <c r="L1863" s="73"/>
      <c r="M1863" s="77">
        <f>IFERROR(__xludf.DUMMYFUNCTION("""COMPUTED_VALUE"""),0.1)</f>
        <v>0.1</v>
      </c>
      <c r="N1863" s="77">
        <f>IFERROR(__xludf.DUMMYFUNCTION("""COMPUTED_VALUE"""),1.0)</f>
        <v>1</v>
      </c>
      <c r="O1863" s="49"/>
      <c r="P1863" s="49" t="str">
        <f>IFERROR(__xludf.DUMMYFUNCTION("""COMPUTED_VALUE"""),"Offset")</f>
        <v>Offset</v>
      </c>
      <c r="Q1863" s="49" t="str">
        <f>IFERROR(__xludf.DUMMYFUNCTION("""COMPUTED_VALUE"""),"Packaging")</f>
        <v>Packaging</v>
      </c>
      <c r="R1863" s="49" t="str">
        <f>IFERROR(__xludf.DUMMYFUNCTION("""COMPUTED_VALUE"""),"Mobile Accessories")</f>
        <v>Mobile Accessories</v>
      </c>
    </row>
    <row r="1864">
      <c r="A1864" s="156" t="str">
        <f>IFERROR(__xludf.DUMMYFUNCTION("""COMPUTED_VALUE"""),"https://drive.google.com/open?id=1AZyjluSlVFWg_-vHuybojM4S_Kb18jJH&amp;authuser=jay.agg%40gmail.com&amp;usp=drive_fs")</f>
        <v>https://drive.google.com/open?id=1AZyjluSlVFWg_-vHuybojM4S_Kb18jJH&amp;authuser=jay.agg%40gmail.com&amp;usp=drive_fs</v>
      </c>
      <c r="B1864" s="73" t="str">
        <f>IFERROR(__xludf.DUMMYFUNCTION("""COMPUTED_VALUE"""),"Mobile Accessories")</f>
        <v>Mobile Accessories</v>
      </c>
      <c r="C1864" s="73" t="str">
        <f>IFERROR(__xludf.DUMMYFUNCTION("""COMPUTED_VALUE"""),"Bluetooth Wireless")</f>
        <v>Bluetooth Wireless</v>
      </c>
      <c r="D1864" s="73" t="str">
        <f>IFERROR(__xludf.DUMMYFUNCTION("""COMPUTED_VALUE"""),"78*34*122 mm | 3*1.4*4.8 inch IL")</f>
        <v>78*34*122 mm | 3*1.4*4.8 inch IL</v>
      </c>
      <c r="E1864" s="77">
        <f>IFERROR(__xludf.DUMMYFUNCTION("""COMPUTED_VALUE"""),4.0)</f>
        <v>4</v>
      </c>
      <c r="F1864" s="77">
        <f>IFERROR(__xludf.DUMMYFUNCTION("""COMPUTED_VALUE"""),1926.0)</f>
        <v>1926</v>
      </c>
      <c r="G1864" s="77">
        <f>IFERROR(__xludf.DUMMYFUNCTION("""COMPUTED_VALUE"""),15.75)</f>
        <v>15.75</v>
      </c>
      <c r="H1864" s="77">
        <f>IFERROR(__xludf.DUMMYFUNCTION("""COMPUTED_VALUE"""),20.75)</f>
        <v>20.75</v>
      </c>
      <c r="I1864" s="77">
        <f>IFERROR(__xludf.DUMMYFUNCTION("""COMPUTED_VALUE"""),100.0)</f>
        <v>100</v>
      </c>
      <c r="J1864" s="73"/>
      <c r="K1864" s="73"/>
      <c r="L1864" s="73"/>
      <c r="M1864" s="77">
        <f>IFERROR(__xludf.DUMMYFUNCTION("""COMPUTED_VALUE"""),0.1)</f>
        <v>0.1</v>
      </c>
      <c r="N1864" s="77">
        <f>IFERROR(__xludf.DUMMYFUNCTION("""COMPUTED_VALUE"""),1.0)</f>
        <v>1</v>
      </c>
      <c r="O1864" s="49"/>
      <c r="P1864" s="49" t="str">
        <f>IFERROR(__xludf.DUMMYFUNCTION("""COMPUTED_VALUE"""),"Offset")</f>
        <v>Offset</v>
      </c>
      <c r="Q1864" s="49" t="str">
        <f>IFERROR(__xludf.DUMMYFUNCTION("""COMPUTED_VALUE"""),"Packaging")</f>
        <v>Packaging</v>
      </c>
      <c r="R1864" s="49" t="str">
        <f>IFERROR(__xludf.DUMMYFUNCTION("""COMPUTED_VALUE"""),"Mobile Accessories")</f>
        <v>Mobile Accessories</v>
      </c>
    </row>
    <row r="1865">
      <c r="A1865" s="156" t="str">
        <f>IFERROR(__xludf.DUMMYFUNCTION("""COMPUTED_VALUE"""),"https://drive.google.com/open?id=1AZyjluSlVFWg_-vHuybojM4S_Kb18jJH&amp;authuser=jay.agg%40gmail.com&amp;usp=drive_fs")</f>
        <v>https://drive.google.com/open?id=1AZyjluSlVFWg_-vHuybojM4S_Kb18jJH&amp;authuser=jay.agg%40gmail.com&amp;usp=drive_fs</v>
      </c>
      <c r="B1865" s="73" t="str">
        <f>IFERROR(__xludf.DUMMYFUNCTION("""COMPUTED_VALUE"""),"Mobile Accessories")</f>
        <v>Mobile Accessories</v>
      </c>
      <c r="C1865" s="73" t="str">
        <f>IFERROR(__xludf.DUMMYFUNCTION("""COMPUTED_VALUE"""),"Ambrane")</f>
        <v>Ambrane</v>
      </c>
      <c r="D1865" s="73" t="str">
        <f>IFERROR(__xludf.DUMMYFUNCTION("""COMPUTED_VALUE"""),"97*20*100 mm | 3.8*0.8*3.9 inch")</f>
        <v>97*20*100 mm | 3.8*0.8*3.9 inch</v>
      </c>
      <c r="E1865" s="77">
        <f>IFERROR(__xludf.DUMMYFUNCTION("""COMPUTED_VALUE"""),8.0)</f>
        <v>8</v>
      </c>
      <c r="F1865" s="77">
        <f>IFERROR(__xludf.DUMMYFUNCTION("""COMPUTED_VALUE"""),2029.0)</f>
        <v>2029</v>
      </c>
      <c r="G1865" s="77">
        <f>IFERROR(__xludf.DUMMYFUNCTION("""COMPUTED_VALUE"""),20.0)</f>
        <v>20</v>
      </c>
      <c r="H1865" s="77">
        <f>IFERROR(__xludf.DUMMYFUNCTION("""COMPUTED_VALUE"""),28.0)</f>
        <v>28</v>
      </c>
      <c r="I1865" s="77">
        <f>IFERROR(__xludf.DUMMYFUNCTION("""COMPUTED_VALUE"""),100.0)</f>
        <v>100</v>
      </c>
      <c r="J1865" s="73"/>
      <c r="K1865" s="73"/>
      <c r="L1865" s="73"/>
      <c r="M1865" s="77">
        <f>IFERROR(__xludf.DUMMYFUNCTION("""COMPUTED_VALUE"""),0.1)</f>
        <v>0.1</v>
      </c>
      <c r="N1865" s="77">
        <f>IFERROR(__xludf.DUMMYFUNCTION("""COMPUTED_VALUE"""),1.0)</f>
        <v>1</v>
      </c>
      <c r="O1865" s="49"/>
      <c r="P1865" s="49" t="str">
        <f>IFERROR(__xludf.DUMMYFUNCTION("""COMPUTED_VALUE"""),"Offset")</f>
        <v>Offset</v>
      </c>
      <c r="Q1865" s="49" t="str">
        <f>IFERROR(__xludf.DUMMYFUNCTION("""COMPUTED_VALUE"""),"Packaging")</f>
        <v>Packaging</v>
      </c>
      <c r="R1865" s="49" t="str">
        <f>IFERROR(__xludf.DUMMYFUNCTION("""COMPUTED_VALUE"""),"Mobile Accessories")</f>
        <v>Mobile Accessories</v>
      </c>
    </row>
    <row r="1866">
      <c r="A1866" s="156" t="str">
        <f>IFERROR(__xludf.DUMMYFUNCTION("""COMPUTED_VALUE"""),"https://drive.google.com/open?id=1Bs3BJXBMXT7nUqoBUfarZQXKZ3Ms-8Q7&amp;authuser=jay.agg%40gmail.com&amp;usp=drive_fs")</f>
        <v>https://drive.google.com/open?id=1Bs3BJXBMXT7nUqoBUfarZQXKZ3Ms-8Q7&amp;authuser=jay.agg%40gmail.com&amp;usp=drive_fs</v>
      </c>
      <c r="B1866" s="73" t="str">
        <f>IFERROR(__xludf.DUMMYFUNCTION("""COMPUTED_VALUE"""),"Mobile Accessories")</f>
        <v>Mobile Accessories</v>
      </c>
      <c r="C1866" s="73" t="str">
        <f>IFERROR(__xludf.DUMMYFUNCTION("""COMPUTED_VALUE"""),"Head Phone")</f>
        <v>Head Phone</v>
      </c>
      <c r="D1866" s="73" t="str">
        <f>IFERROR(__xludf.DUMMYFUNCTION("""COMPUTED_VALUE"""),"65*20*170 mm | 2.5*0.8*6.7 inch")</f>
        <v>65*20*170 mm | 2.5*0.8*6.7 inch</v>
      </c>
      <c r="E1866" s="77">
        <f>IFERROR(__xludf.DUMMYFUNCTION("""COMPUTED_VALUE"""),6.0)</f>
        <v>6</v>
      </c>
      <c r="F1866" s="77">
        <f>IFERROR(__xludf.DUMMYFUNCTION("""COMPUTED_VALUE"""),1926.0)</f>
        <v>1926</v>
      </c>
      <c r="G1866" s="77">
        <f>IFERROR(__xludf.DUMMYFUNCTION("""COMPUTED_VALUE"""),19.5)</f>
        <v>19.5</v>
      </c>
      <c r="H1866" s="77">
        <f>IFERROR(__xludf.DUMMYFUNCTION("""COMPUTED_VALUE"""),23.0)</f>
        <v>23</v>
      </c>
      <c r="I1866" s="77">
        <f>IFERROR(__xludf.DUMMYFUNCTION("""COMPUTED_VALUE"""),100.0)</f>
        <v>100</v>
      </c>
      <c r="J1866" s="73"/>
      <c r="K1866" s="73"/>
      <c r="L1866" s="73"/>
      <c r="M1866" s="77">
        <f>IFERROR(__xludf.DUMMYFUNCTION("""COMPUTED_VALUE"""),0.1)</f>
        <v>0.1</v>
      </c>
      <c r="N1866" s="77">
        <f>IFERROR(__xludf.DUMMYFUNCTION("""COMPUTED_VALUE"""),1.0)</f>
        <v>1</v>
      </c>
      <c r="O1866" s="49"/>
      <c r="P1866" s="49" t="str">
        <f>IFERROR(__xludf.DUMMYFUNCTION("""COMPUTED_VALUE"""),"Offset")</f>
        <v>Offset</v>
      </c>
      <c r="Q1866" s="49" t="str">
        <f>IFERROR(__xludf.DUMMYFUNCTION("""COMPUTED_VALUE"""),"Packaging")</f>
        <v>Packaging</v>
      </c>
      <c r="R1866" s="49" t="str">
        <f>IFERROR(__xludf.DUMMYFUNCTION("""COMPUTED_VALUE"""),"Mobile Accessories")</f>
        <v>Mobile Accessories</v>
      </c>
    </row>
    <row r="1867">
      <c r="A1867" s="156" t="str">
        <f>IFERROR(__xludf.DUMMYFUNCTION("""COMPUTED_VALUE"""),"https://drive.google.com/open?id=1CVP33VHWZ9H_-N30RkdWoZ5_ttH26j3k&amp;authuser=jay.agg%40gmail.com&amp;usp=drive_fs")</f>
        <v>https://drive.google.com/open?id=1CVP33VHWZ9H_-N30RkdWoZ5_ttH26j3k&amp;authuser=jay.agg%40gmail.com&amp;usp=drive_fs</v>
      </c>
      <c r="B1867" s="73" t="str">
        <f>IFERROR(__xludf.DUMMYFUNCTION("""COMPUTED_VALUE"""),"Mobile Accessories")</f>
        <v>Mobile Accessories</v>
      </c>
      <c r="C1867" s="73" t="str">
        <f>IFERROR(__xludf.DUMMYFUNCTION("""COMPUTED_VALUE"""),"Bluetooth Wireless")</f>
        <v>Bluetooth Wireless</v>
      </c>
      <c r="D1867" s="73" t="str">
        <f>IFERROR(__xludf.DUMMYFUNCTION("""COMPUTED_VALUE"""),"125*26*205 mm | 5*1*8 inch")</f>
        <v>125*26*205 mm | 5*1*8 inch</v>
      </c>
      <c r="E1867" s="77">
        <f>IFERROR(__xludf.DUMMYFUNCTION("""COMPUTED_VALUE"""),2.0)</f>
        <v>2</v>
      </c>
      <c r="F1867" s="77">
        <f>IFERROR(__xludf.DUMMYFUNCTION("""COMPUTED_VALUE"""),1926.0)</f>
        <v>1926</v>
      </c>
      <c r="G1867" s="77">
        <f>IFERROR(__xludf.DUMMYFUNCTION("""COMPUTED_VALUE"""),13.0)</f>
        <v>13</v>
      </c>
      <c r="H1867" s="77">
        <f>IFERROR(__xludf.DUMMYFUNCTION("""COMPUTED_VALUE"""),23.0)</f>
        <v>23</v>
      </c>
      <c r="I1867" s="77">
        <f>IFERROR(__xludf.DUMMYFUNCTION("""COMPUTED_VALUE"""),100.0)</f>
        <v>100</v>
      </c>
      <c r="J1867" s="73"/>
      <c r="K1867" s="73"/>
      <c r="L1867" s="73"/>
      <c r="M1867" s="77">
        <f>IFERROR(__xludf.DUMMYFUNCTION("""COMPUTED_VALUE"""),0.1)</f>
        <v>0.1</v>
      </c>
      <c r="N1867" s="77">
        <f>IFERROR(__xludf.DUMMYFUNCTION("""COMPUTED_VALUE"""),1.0)</f>
        <v>1</v>
      </c>
      <c r="O1867" s="49"/>
      <c r="P1867" s="49" t="str">
        <f>IFERROR(__xludf.DUMMYFUNCTION("""COMPUTED_VALUE"""),"Offset")</f>
        <v>Offset</v>
      </c>
      <c r="Q1867" s="49" t="str">
        <f>IFERROR(__xludf.DUMMYFUNCTION("""COMPUTED_VALUE"""),"Packaging")</f>
        <v>Packaging</v>
      </c>
      <c r="R1867" s="49" t="str">
        <f>IFERROR(__xludf.DUMMYFUNCTION("""COMPUTED_VALUE"""),"Mobile Accessories")</f>
        <v>Mobile Accessories</v>
      </c>
    </row>
    <row r="1868">
      <c r="A1868" s="156" t="str">
        <f>IFERROR(__xludf.DUMMYFUNCTION("""COMPUTED_VALUE"""),"https://drive.google.com/open?id=1NFB5thMglqEaSsk_-iEgjBeKLs_lszlm&amp;authuser=jay.agg%40gmail.com&amp;usp=drive_fs")</f>
        <v>https://drive.google.com/open?id=1NFB5thMglqEaSsk_-iEgjBeKLs_lszlm&amp;authuser=jay.agg%40gmail.com&amp;usp=drive_fs</v>
      </c>
      <c r="B1868" s="73" t="str">
        <f>IFERROR(__xludf.DUMMYFUNCTION("""COMPUTED_VALUE"""),"Mobile")</f>
        <v>Mobile</v>
      </c>
      <c r="C1868" s="73" t="str">
        <f>IFERROR(__xludf.DUMMYFUNCTION("""COMPUTED_VALUE"""),"Lava")</f>
        <v>Lava</v>
      </c>
      <c r="D1868" s="73" t="str">
        <f>IFERROR(__xludf.DUMMYFUNCTION("""COMPUTED_VALUE"""),"70*44*142 mm | 2.7*1.7*5.6 inch | 22*19.25")</f>
        <v>70*44*142 mm | 2.7*1.7*5.6 inch | 22*19.25</v>
      </c>
      <c r="E1868" s="77">
        <f>IFERROR(__xludf.DUMMYFUNCTION("""COMPUTED_VALUE"""),4.0)</f>
        <v>4</v>
      </c>
      <c r="F1868" s="77">
        <f>IFERROR(__xludf.DUMMYFUNCTION("""COMPUTED_VALUE"""),1926.0)</f>
        <v>1926</v>
      </c>
      <c r="G1868" s="77">
        <f>IFERROR(__xludf.DUMMYFUNCTION("""COMPUTED_VALUE"""),19.5)</f>
        <v>19.5</v>
      </c>
      <c r="H1868" s="77">
        <f>IFERROR(__xludf.DUMMYFUNCTION("""COMPUTED_VALUE"""),23.0)</f>
        <v>23</v>
      </c>
      <c r="I1868" s="77">
        <f>IFERROR(__xludf.DUMMYFUNCTION("""COMPUTED_VALUE"""),100.0)</f>
        <v>100</v>
      </c>
      <c r="J1868" s="73"/>
      <c r="K1868" s="73"/>
      <c r="L1868" s="73">
        <f>IFERROR(__xludf.DUMMYFUNCTION("""COMPUTED_VALUE"""),1.2)</f>
        <v>1.2</v>
      </c>
      <c r="M1868" s="77"/>
      <c r="N1868" s="77">
        <f>IFERROR(__xludf.DUMMYFUNCTION("""COMPUTED_VALUE"""),1.0)</f>
        <v>1</v>
      </c>
      <c r="O1868" s="49"/>
      <c r="P1868" s="49" t="str">
        <f>IFERROR(__xludf.DUMMYFUNCTION("""COMPUTED_VALUE"""),"Offset")</f>
        <v>Offset</v>
      </c>
      <c r="Q1868" s="49" t="str">
        <f>IFERROR(__xludf.DUMMYFUNCTION("""COMPUTED_VALUE"""),"Packaging")</f>
        <v>Packaging</v>
      </c>
      <c r="R1868" s="49" t="str">
        <f>IFERROR(__xludf.DUMMYFUNCTION("""COMPUTED_VALUE"""),"Mobile")</f>
        <v>Mobile</v>
      </c>
    </row>
    <row r="1869">
      <c r="A1869" s="156" t="str">
        <f>IFERROR(__xludf.DUMMYFUNCTION("""COMPUTED_VALUE"""),"https://drive.google.com/open?id=1NHBQh_M-agNIZjAg331eHGrolzhVgV7p&amp;authuser=jay.agg%40gmail.com&amp;usp=drive_fs")</f>
        <v>https://drive.google.com/open?id=1NHBQh_M-agNIZjAg331eHGrolzhVgV7p&amp;authuser=jay.agg%40gmail.com&amp;usp=drive_fs</v>
      </c>
      <c r="B1869" s="73" t="str">
        <f>IFERROR(__xludf.DUMMYFUNCTION("""COMPUTED_VALUE"""),"Mobile")</f>
        <v>Mobile</v>
      </c>
      <c r="C1869" s="73" t="str">
        <f>IFERROR(__xludf.DUMMYFUNCTION("""COMPUTED_VALUE"""),"Lava")</f>
        <v>Lava</v>
      </c>
      <c r="D1869" s="73" t="str">
        <f>IFERROR(__xludf.DUMMYFUNCTION("""COMPUTED_VALUE"""),"Tray 70*44*142 mm | 2.7*1.7*5.6 inch | 22*14")</f>
        <v>Tray 70*44*142 mm | 2.7*1.7*5.6 inch | 22*14</v>
      </c>
      <c r="E1869" s="77">
        <f>IFERROR(__xludf.DUMMYFUNCTION("""COMPUTED_VALUE"""),8.0)</f>
        <v>8</v>
      </c>
      <c r="F1869" s="77">
        <f>IFERROR(__xludf.DUMMYFUNCTION("""COMPUTED_VALUE"""),1926.0)</f>
        <v>1926</v>
      </c>
      <c r="G1869" s="77">
        <f>IFERROR(__xludf.DUMMYFUNCTION("""COMPUTED_VALUE"""),22.0)</f>
        <v>22</v>
      </c>
      <c r="H1869" s="77">
        <f>IFERROR(__xludf.DUMMYFUNCTION("""COMPUTED_VALUE"""),14.0)</f>
        <v>14</v>
      </c>
      <c r="I1869" s="77">
        <f>IFERROR(__xludf.DUMMYFUNCTION("""COMPUTED_VALUE"""),100.0)</f>
        <v>100</v>
      </c>
      <c r="J1869" s="73"/>
      <c r="K1869" s="73"/>
      <c r="L1869" s="73"/>
      <c r="M1869" s="77"/>
      <c r="N1869" s="77">
        <f>IFERROR(__xludf.DUMMYFUNCTION("""COMPUTED_VALUE"""),1.0)</f>
        <v>1</v>
      </c>
      <c r="O1869" s="49"/>
      <c r="P1869" s="49" t="str">
        <f>IFERROR(__xludf.DUMMYFUNCTION("""COMPUTED_VALUE"""),"Offset")</f>
        <v>Offset</v>
      </c>
      <c r="Q1869" s="49" t="str">
        <f>IFERROR(__xludf.DUMMYFUNCTION("""COMPUTED_VALUE"""),"Packaging")</f>
        <v>Packaging</v>
      </c>
      <c r="R1869" s="49" t="str">
        <f>IFERROR(__xludf.DUMMYFUNCTION("""COMPUTED_VALUE"""),"Mobile")</f>
        <v>Mobile</v>
      </c>
    </row>
    <row r="1870">
      <c r="A1870" s="156" t="str">
        <f>IFERROR(__xludf.DUMMYFUNCTION("""COMPUTED_VALUE"""),"https://drive.google.com/open?id=1QzScwO412dZQ4jkgTxtwYpD8IhD3_sT5&amp;authuser=jay.agg%40gmail.com&amp;usp=drive_fs")</f>
        <v>https://drive.google.com/open?id=1QzScwO412dZQ4jkgTxtwYpD8IhD3_sT5&amp;authuser=jay.agg%40gmail.com&amp;usp=drive_fs</v>
      </c>
      <c r="B1870" s="73" t="str">
        <f>IFERROR(__xludf.DUMMYFUNCTION("""COMPUTED_VALUE"""),"Mobile Accessories")</f>
        <v>Mobile Accessories</v>
      </c>
      <c r="C1870" s="73" t="str">
        <f>IFERROR(__xludf.DUMMYFUNCTION("""COMPUTED_VALUE"""),"USB Cable")</f>
        <v>USB Cable</v>
      </c>
      <c r="D1870" s="73" t="str">
        <f>IFERROR(__xludf.DUMMYFUNCTION("""COMPUTED_VALUE"""),"72*18*178 mm | 2.8*0.8*7 inch")</f>
        <v>72*18*178 mm | 2.8*0.8*7 inch</v>
      </c>
      <c r="E1870" s="77">
        <f>IFERROR(__xludf.DUMMYFUNCTION("""COMPUTED_VALUE"""),4.0)</f>
        <v>4</v>
      </c>
      <c r="F1870" s="77">
        <f>IFERROR(__xludf.DUMMYFUNCTION("""COMPUTED_VALUE"""),1926.0)</f>
        <v>1926</v>
      </c>
      <c r="G1870" s="77">
        <f>IFERROR(__xludf.DUMMYFUNCTION("""COMPUTED_VALUE"""),15.75)</f>
        <v>15.75</v>
      </c>
      <c r="H1870" s="77">
        <f>IFERROR(__xludf.DUMMYFUNCTION("""COMPUTED_VALUE"""),20.75)</f>
        <v>20.75</v>
      </c>
      <c r="I1870" s="77">
        <f>IFERROR(__xludf.DUMMYFUNCTION("""COMPUTED_VALUE"""),100.0)</f>
        <v>100</v>
      </c>
      <c r="J1870" s="73"/>
      <c r="K1870" s="73"/>
      <c r="L1870" s="73"/>
      <c r="M1870" s="77">
        <f>IFERROR(__xludf.DUMMYFUNCTION("""COMPUTED_VALUE"""),0.1)</f>
        <v>0.1</v>
      </c>
      <c r="N1870" s="77">
        <f>IFERROR(__xludf.DUMMYFUNCTION("""COMPUTED_VALUE"""),1.0)</f>
        <v>1</v>
      </c>
      <c r="O1870" s="49"/>
      <c r="P1870" s="49" t="str">
        <f>IFERROR(__xludf.DUMMYFUNCTION("""COMPUTED_VALUE"""),"Offset")</f>
        <v>Offset</v>
      </c>
      <c r="Q1870" s="49" t="str">
        <f>IFERROR(__xludf.DUMMYFUNCTION("""COMPUTED_VALUE"""),"Packaging")</f>
        <v>Packaging</v>
      </c>
      <c r="R1870" s="49" t="str">
        <f>IFERROR(__xludf.DUMMYFUNCTION("""COMPUTED_VALUE"""),"Mobile Accessories")</f>
        <v>Mobile Accessories</v>
      </c>
    </row>
    <row r="1871">
      <c r="A1871" s="73"/>
      <c r="B1871" s="73" t="str">
        <f>IFERROR(__xludf.DUMMYFUNCTION("""COMPUTED_VALUE"""),"Mobile")</f>
        <v>Mobile</v>
      </c>
      <c r="C1871" s="73" t="str">
        <f>IFERROR(__xludf.DUMMYFUNCTION("""COMPUTED_VALUE"""),"Cashify")</f>
        <v>Cashify</v>
      </c>
      <c r="D1871" s="73" t="str">
        <f>IFERROR(__xludf.DUMMYFUNCTION("""COMPUTED_VALUE"""),"190*100*45 mm | 7.5*4*1.8 inch | 24*8")</f>
        <v>190*100*45 mm | 7.5*4*1.8 inch | 24*8</v>
      </c>
      <c r="E1871" s="77">
        <f>IFERROR(__xludf.DUMMYFUNCTION("""COMPUTED_VALUE"""),1.0)</f>
        <v>1</v>
      </c>
      <c r="F1871" s="77">
        <f>IFERROR(__xludf.DUMMYFUNCTION("""COMPUTED_VALUE"""),1926.0)</f>
        <v>1926</v>
      </c>
      <c r="G1871" s="77">
        <f>IFERROR(__xludf.DUMMYFUNCTION("""COMPUTED_VALUE"""),14.0)</f>
        <v>14</v>
      </c>
      <c r="H1871" s="77">
        <f>IFERROR(__xludf.DUMMYFUNCTION("""COMPUTED_VALUE"""),22.0)</f>
        <v>22</v>
      </c>
      <c r="I1871" s="77">
        <f>IFERROR(__xludf.DUMMYFUNCTION("""COMPUTED_VALUE"""),100.0)</f>
        <v>100</v>
      </c>
      <c r="J1871" s="73"/>
      <c r="K1871" s="73"/>
      <c r="L1871" s="73"/>
      <c r="M1871" s="77"/>
      <c r="N1871" s="77">
        <f>IFERROR(__xludf.DUMMYFUNCTION("""COMPUTED_VALUE"""),1.0)</f>
        <v>1</v>
      </c>
      <c r="O1871" s="49"/>
      <c r="P1871" s="49" t="str">
        <f>IFERROR(__xludf.DUMMYFUNCTION("""COMPUTED_VALUE"""),"Offset")</f>
        <v>Offset</v>
      </c>
      <c r="Q1871" s="49" t="str">
        <f>IFERROR(__xludf.DUMMYFUNCTION("""COMPUTED_VALUE"""),"Packaging")</f>
        <v>Packaging</v>
      </c>
      <c r="R1871" s="49" t="str">
        <f>IFERROR(__xludf.DUMMYFUNCTION("""COMPUTED_VALUE"""),"Mobile")</f>
        <v>Mobile</v>
      </c>
    </row>
    <row r="1872">
      <c r="A1872" s="156" t="str">
        <f>IFERROR(__xludf.DUMMYFUNCTION("""COMPUTED_VALUE"""),"https://drive.google.com/open?id=1TsRvXKWhOEoBfewaqDySdMJVHKGWrhUa&amp;authuser=jay.agg%40gmail.com&amp;usp=drive_fs")</f>
        <v>https://drive.google.com/open?id=1TsRvXKWhOEoBfewaqDySdMJVHKGWrhUa&amp;authuser=jay.agg%40gmail.com&amp;usp=drive_fs</v>
      </c>
      <c r="B1872" s="73" t="str">
        <f>IFERROR(__xludf.DUMMYFUNCTION("""COMPUTED_VALUE"""),"Mobile Accessories")</f>
        <v>Mobile Accessories</v>
      </c>
      <c r="C1872" s="73" t="str">
        <f>IFERROR(__xludf.DUMMYFUNCTION("""COMPUTED_VALUE"""),"Screen Guard")</f>
        <v>Screen Guard</v>
      </c>
      <c r="D1872" s="73" t="str">
        <f>IFERROR(__xludf.DUMMYFUNCTION("""COMPUTED_VALUE"""),"89*178*12 mm | 3.5*0.5*7 inch")</f>
        <v>89*178*12 mm | 3.5*0.5*7 inch</v>
      </c>
      <c r="E1872" s="77">
        <f>IFERROR(__xludf.DUMMYFUNCTION("""COMPUTED_VALUE"""),6.0)</f>
        <v>6</v>
      </c>
      <c r="F1872" s="77">
        <f>IFERROR(__xludf.DUMMYFUNCTION("""COMPUTED_VALUE"""),1926.0)</f>
        <v>1926</v>
      </c>
      <c r="G1872" s="77">
        <f>IFERROR(__xludf.DUMMYFUNCTION("""COMPUTED_VALUE"""),18.0)</f>
        <v>18</v>
      </c>
      <c r="H1872" s="77">
        <f>IFERROR(__xludf.DUMMYFUNCTION("""COMPUTED_VALUE"""),25.0)</f>
        <v>25</v>
      </c>
      <c r="I1872" s="77">
        <f>IFERROR(__xludf.DUMMYFUNCTION("""COMPUTED_VALUE"""),100.0)</f>
        <v>100</v>
      </c>
      <c r="J1872" s="73"/>
      <c r="K1872" s="73"/>
      <c r="L1872" s="73"/>
      <c r="M1872" s="77">
        <f>IFERROR(__xludf.DUMMYFUNCTION("""COMPUTED_VALUE"""),0.1)</f>
        <v>0.1</v>
      </c>
      <c r="N1872" s="77">
        <f>IFERROR(__xludf.DUMMYFUNCTION("""COMPUTED_VALUE"""),1.0)</f>
        <v>1</v>
      </c>
      <c r="O1872" s="49"/>
      <c r="P1872" s="49" t="str">
        <f>IFERROR(__xludf.DUMMYFUNCTION("""COMPUTED_VALUE"""),"Offset")</f>
        <v>Offset</v>
      </c>
      <c r="Q1872" s="49" t="str">
        <f>IFERROR(__xludf.DUMMYFUNCTION("""COMPUTED_VALUE"""),"Packaging")</f>
        <v>Packaging</v>
      </c>
      <c r="R1872" s="49" t="str">
        <f>IFERROR(__xludf.DUMMYFUNCTION("""COMPUTED_VALUE"""),"Mobile Accessories")</f>
        <v>Mobile Accessories</v>
      </c>
    </row>
    <row r="1873">
      <c r="A1873" s="156" t="str">
        <f>IFERROR(__xludf.DUMMYFUNCTION("""COMPUTED_VALUE"""),"https://drive.google.com/open?id=1Um4Owdo76TznadEzSpAeEnrjQZ2ynQFQ&amp;authuser=jay.agg%40gmail.com&amp;usp=drive_fs")</f>
        <v>https://drive.google.com/open?id=1Um4Owdo76TznadEzSpAeEnrjQZ2ynQFQ&amp;authuser=jay.agg%40gmail.com&amp;usp=drive_fs</v>
      </c>
      <c r="B1873" s="73" t="str">
        <f>IFERROR(__xludf.DUMMYFUNCTION("""COMPUTED_VALUE"""),"Mobile Accessories")</f>
        <v>Mobile Accessories</v>
      </c>
      <c r="C1873" s="73" t="str">
        <f>IFERROR(__xludf.DUMMYFUNCTION("""COMPUTED_VALUE"""),"USB Cable")</f>
        <v>USB Cable</v>
      </c>
      <c r="D1873" s="73" t="str">
        <f>IFERROR(__xludf.DUMMYFUNCTION("""COMPUTED_VALUE"""),"60*35*150 mm | 2.3*1.4*5.9 inch with Hanger")</f>
        <v>60*35*150 mm | 2.3*1.4*5.9 inch with Hanger</v>
      </c>
      <c r="E1873" s="77">
        <f>IFERROR(__xludf.DUMMYFUNCTION("""COMPUTED_VALUE"""),6.0)</f>
        <v>6</v>
      </c>
      <c r="F1873" s="77">
        <f>IFERROR(__xludf.DUMMYFUNCTION("""COMPUTED_VALUE"""),1926.0)</f>
        <v>1926</v>
      </c>
      <c r="G1873" s="77">
        <f>IFERROR(__xludf.DUMMYFUNCTION("""COMPUTED_VALUE"""),18.0)</f>
        <v>18</v>
      </c>
      <c r="H1873" s="77">
        <f>IFERROR(__xludf.DUMMYFUNCTION("""COMPUTED_VALUE"""),25.0)</f>
        <v>25</v>
      </c>
      <c r="I1873" s="77">
        <f>IFERROR(__xludf.DUMMYFUNCTION("""COMPUTED_VALUE"""),100.0)</f>
        <v>100</v>
      </c>
      <c r="J1873" s="73"/>
      <c r="K1873" s="73"/>
      <c r="L1873" s="73"/>
      <c r="M1873" s="77">
        <f>IFERROR(__xludf.DUMMYFUNCTION("""COMPUTED_VALUE"""),0.1)</f>
        <v>0.1</v>
      </c>
      <c r="N1873" s="77">
        <f>IFERROR(__xludf.DUMMYFUNCTION("""COMPUTED_VALUE"""),1.0)</f>
        <v>1</v>
      </c>
      <c r="O1873" s="49"/>
      <c r="P1873" s="49" t="str">
        <f>IFERROR(__xludf.DUMMYFUNCTION("""COMPUTED_VALUE"""),"Offset")</f>
        <v>Offset</v>
      </c>
      <c r="Q1873" s="49" t="str">
        <f>IFERROR(__xludf.DUMMYFUNCTION("""COMPUTED_VALUE"""),"Packaging")</f>
        <v>Packaging</v>
      </c>
      <c r="R1873" s="49" t="str">
        <f>IFERROR(__xludf.DUMMYFUNCTION("""COMPUTED_VALUE"""),"Mobile Accessories")</f>
        <v>Mobile Accessories</v>
      </c>
    </row>
    <row r="1874">
      <c r="A1874" s="156" t="str">
        <f>IFERROR(__xludf.DUMMYFUNCTION("""COMPUTED_VALUE"""),"https://drive.google.com/open?id=1UpNxeD07yd8ktkJV4T18Xj92McpTF_I3&amp;authuser=jay.agg%40gmail.com&amp;usp=drive_fs")</f>
        <v>https://drive.google.com/open?id=1UpNxeD07yd8ktkJV4T18Xj92McpTF_I3&amp;authuser=jay.agg%40gmail.com&amp;usp=drive_fs</v>
      </c>
      <c r="B1874" s="73" t="str">
        <f>IFERROR(__xludf.DUMMYFUNCTION("""COMPUTED_VALUE"""),"Mobile Accessories")</f>
        <v>Mobile Accessories</v>
      </c>
      <c r="C1874" s="73" t="str">
        <f>IFERROR(__xludf.DUMMYFUNCTION("""COMPUTED_VALUE"""),"USB Cable")</f>
        <v>USB Cable</v>
      </c>
      <c r="D1874" s="73" t="str">
        <f>IFERROR(__xludf.DUMMYFUNCTION("""COMPUTED_VALUE"""),"45*20*150 mm | 1.7*0.8*5.9 inch with Hanger")</f>
        <v>45*20*150 mm | 1.7*0.8*5.9 inch with Hanger</v>
      </c>
      <c r="E1874" s="77">
        <f>IFERROR(__xludf.DUMMYFUNCTION("""COMPUTED_VALUE"""),8.0)</f>
        <v>8</v>
      </c>
      <c r="F1874" s="77">
        <f>IFERROR(__xludf.DUMMYFUNCTION("""COMPUTED_VALUE"""),1926.0)</f>
        <v>1926</v>
      </c>
      <c r="G1874" s="77">
        <f>IFERROR(__xludf.DUMMYFUNCTION("""COMPUTED_VALUE"""),18.0)</f>
        <v>18</v>
      </c>
      <c r="H1874" s="77">
        <f>IFERROR(__xludf.DUMMYFUNCTION("""COMPUTED_VALUE"""),23.0)</f>
        <v>23</v>
      </c>
      <c r="I1874" s="77">
        <f>IFERROR(__xludf.DUMMYFUNCTION("""COMPUTED_VALUE"""),100.0)</f>
        <v>100</v>
      </c>
      <c r="J1874" s="73"/>
      <c r="K1874" s="73"/>
      <c r="L1874" s="73"/>
      <c r="M1874" s="77">
        <f>IFERROR(__xludf.DUMMYFUNCTION("""COMPUTED_VALUE"""),0.1)</f>
        <v>0.1</v>
      </c>
      <c r="N1874" s="77">
        <f>IFERROR(__xludf.DUMMYFUNCTION("""COMPUTED_VALUE"""),1.0)</f>
        <v>1</v>
      </c>
      <c r="O1874" s="49"/>
      <c r="P1874" s="49" t="str">
        <f>IFERROR(__xludf.DUMMYFUNCTION("""COMPUTED_VALUE"""),"Offset")</f>
        <v>Offset</v>
      </c>
      <c r="Q1874" s="49" t="str">
        <f>IFERROR(__xludf.DUMMYFUNCTION("""COMPUTED_VALUE"""),"Packaging")</f>
        <v>Packaging</v>
      </c>
      <c r="R1874" s="49" t="str">
        <f>IFERROR(__xludf.DUMMYFUNCTION("""COMPUTED_VALUE"""),"Mobile Accessories")</f>
        <v>Mobile Accessories</v>
      </c>
    </row>
    <row r="1875">
      <c r="A1875" s="156" t="str">
        <f>IFERROR(__xludf.DUMMYFUNCTION("""COMPUTED_VALUE"""),"https://drive.google.com/open?id=122dUccBPLtRzneGGz94GyghY-_8T7Ivs&amp;authuser=jay.agg%40gmail.com&amp;usp=drive_fs")</f>
        <v>https://drive.google.com/open?id=122dUccBPLtRzneGGz94GyghY-_8T7Ivs&amp;authuser=jay.agg%40gmail.com&amp;usp=drive_fs</v>
      </c>
      <c r="B1875" s="73" t="str">
        <f>IFERROR(__xludf.DUMMYFUNCTION("""COMPUTED_VALUE"""),"Mobile Accessories")</f>
        <v>Mobile Accessories</v>
      </c>
      <c r="C1875" s="73" t="str">
        <f>IFERROR(__xludf.DUMMYFUNCTION("""COMPUTED_VALUE"""),"Speaker")</f>
        <v>Speaker</v>
      </c>
      <c r="D1875" s="73" t="str">
        <f>IFERROR(__xludf.DUMMYFUNCTION("""COMPUTED_VALUE"""),"182*182*415 mm | 7.16*7.16*16.4 inch | 24*30")</f>
        <v>182*182*415 mm | 7.16*7.16*16.4 inch | 24*30</v>
      </c>
      <c r="E1875" s="77">
        <f>IFERROR(__xludf.DUMMYFUNCTION("""COMPUTED_VALUE"""),1.0)</f>
        <v>1</v>
      </c>
      <c r="F1875" s="77">
        <f>IFERROR(__xludf.DUMMYFUNCTION("""COMPUTED_VALUE"""),2840.0)</f>
        <v>2840</v>
      </c>
      <c r="G1875" s="77">
        <f>IFERROR(__xludf.DUMMYFUNCTION("""COMPUTED_VALUE"""),25.0)</f>
        <v>25</v>
      </c>
      <c r="H1875" s="77">
        <f>IFERROR(__xludf.DUMMYFUNCTION("""COMPUTED_VALUE"""),30.0)</f>
        <v>30</v>
      </c>
      <c r="I1875" s="77">
        <f>IFERROR(__xludf.DUMMYFUNCTION("""COMPUTED_VALUE"""),100.0)</f>
        <v>100</v>
      </c>
      <c r="J1875" s="73"/>
      <c r="K1875" s="73"/>
      <c r="L1875" s="73"/>
      <c r="M1875" s="77">
        <f>IFERROR(__xludf.DUMMYFUNCTION("""COMPUTED_VALUE"""),0.5)</f>
        <v>0.5</v>
      </c>
      <c r="N1875" s="77">
        <f>IFERROR(__xludf.DUMMYFUNCTION("""COMPUTED_VALUE"""),1.0)</f>
        <v>1</v>
      </c>
      <c r="O1875" s="49"/>
      <c r="P1875" s="49" t="str">
        <f>IFERROR(__xludf.DUMMYFUNCTION("""COMPUTED_VALUE"""),"Offset")</f>
        <v>Offset</v>
      </c>
      <c r="Q1875" s="49" t="str">
        <f>IFERROR(__xludf.DUMMYFUNCTION("""COMPUTED_VALUE"""),"Packaging")</f>
        <v>Packaging</v>
      </c>
      <c r="R1875" s="49" t="str">
        <f>IFERROR(__xludf.DUMMYFUNCTION("""COMPUTED_VALUE"""),"Mobile Accessories")</f>
        <v>Mobile Accessories</v>
      </c>
    </row>
    <row r="1876">
      <c r="A1876" s="156" t="str">
        <f>IFERROR(__xludf.DUMMYFUNCTION("""COMPUTED_VALUE"""),"https://drive.google.com/open?id=122f2_83lz72nz498vK4YOojn4OjkG_2k&amp;authuser=jay.agg%40gmail.com&amp;usp=drive_fs")</f>
        <v>https://drive.google.com/open?id=122f2_83lz72nz498vK4YOojn4OjkG_2k&amp;authuser=jay.agg%40gmail.com&amp;usp=drive_fs</v>
      </c>
      <c r="B1876" s="73" t="str">
        <f>IFERROR(__xludf.DUMMYFUNCTION("""COMPUTED_VALUE"""),"Mobile Accessories")</f>
        <v>Mobile Accessories</v>
      </c>
      <c r="C1876" s="73" t="str">
        <f>IFERROR(__xludf.DUMMYFUNCTION("""COMPUTED_VALUE"""),"Bluetooth Wireless")</f>
        <v>Bluetooth Wireless</v>
      </c>
      <c r="D1876" s="73" t="str">
        <f>IFERROR(__xludf.DUMMYFUNCTION("""COMPUTED_VALUE"""),"92*38*203 mm | 3.6*1.5*8 inch")</f>
        <v>92*38*203 mm | 3.6*1.5*8 inch</v>
      </c>
      <c r="E1876" s="77">
        <f>IFERROR(__xludf.DUMMYFUNCTION("""COMPUTED_VALUE"""),2.0)</f>
        <v>2</v>
      </c>
      <c r="F1876" s="77">
        <f>IFERROR(__xludf.DUMMYFUNCTION("""COMPUTED_VALUE"""),1926.0)</f>
        <v>1926</v>
      </c>
      <c r="G1876" s="77">
        <f>IFERROR(__xludf.DUMMYFUNCTION("""COMPUTED_VALUE"""),14.0)</f>
        <v>14</v>
      </c>
      <c r="H1876" s="77">
        <f>IFERROR(__xludf.DUMMYFUNCTION("""COMPUTED_VALUE"""),22.0)</f>
        <v>22</v>
      </c>
      <c r="I1876" s="77">
        <f>IFERROR(__xludf.DUMMYFUNCTION("""COMPUTED_VALUE"""),100.0)</f>
        <v>100</v>
      </c>
      <c r="J1876" s="73"/>
      <c r="K1876" s="73"/>
      <c r="L1876" s="73">
        <f>IFERROR(__xludf.DUMMYFUNCTION("""COMPUTED_VALUE"""),0.7)</f>
        <v>0.7</v>
      </c>
      <c r="M1876" s="77">
        <f>IFERROR(__xludf.DUMMYFUNCTION("""COMPUTED_VALUE"""),0.1)</f>
        <v>0.1</v>
      </c>
      <c r="N1876" s="77">
        <f>IFERROR(__xludf.DUMMYFUNCTION("""COMPUTED_VALUE"""),1.0)</f>
        <v>1</v>
      </c>
      <c r="O1876" s="49"/>
      <c r="P1876" s="49" t="str">
        <f>IFERROR(__xludf.DUMMYFUNCTION("""COMPUTED_VALUE"""),"Offset")</f>
        <v>Offset</v>
      </c>
      <c r="Q1876" s="49" t="str">
        <f>IFERROR(__xludf.DUMMYFUNCTION("""COMPUTED_VALUE"""),"Packaging")</f>
        <v>Packaging</v>
      </c>
      <c r="R1876" s="49" t="str">
        <f>IFERROR(__xludf.DUMMYFUNCTION("""COMPUTED_VALUE"""),"Mobile Accessories")</f>
        <v>Mobile Accessories</v>
      </c>
    </row>
    <row r="1877">
      <c r="A1877" s="156" t="str">
        <f>IFERROR(__xludf.DUMMYFUNCTION("""COMPUTED_VALUE"""),"https://drive.google.com/open?id=1YgCRJee892XlmQPkRvEmTyTlr8FKfJ7G&amp;authuser=jay.agg%40gmail.com&amp;usp=drive_fs")</f>
        <v>https://drive.google.com/open?id=1YgCRJee892XlmQPkRvEmTyTlr8FKfJ7G&amp;authuser=jay.agg%40gmail.com&amp;usp=drive_fs</v>
      </c>
      <c r="B1877" s="73" t="str">
        <f>IFERROR(__xludf.DUMMYFUNCTION("""COMPUTED_VALUE"""),"Mobile Accessories")</f>
        <v>Mobile Accessories</v>
      </c>
      <c r="C1877" s="73" t="str">
        <f>IFERROR(__xludf.DUMMYFUNCTION("""COMPUTED_VALUE"""),"Speaker")</f>
        <v>Speaker</v>
      </c>
      <c r="D1877" s="73" t="str">
        <f>IFERROR(__xludf.DUMMYFUNCTION("""COMPUTED_VALUE"""),"80*80*127 mm | 3.1*3.1*5 inch IL |  28*19")</f>
        <v>80*80*127 mm | 3.1*3.1*5 inch IL |  28*19</v>
      </c>
      <c r="E1877" s="77">
        <f>IFERROR(__xludf.DUMMYFUNCTION("""COMPUTED_VALUE"""),2.0)</f>
        <v>2</v>
      </c>
      <c r="F1877" s="77">
        <f>IFERROR(__xludf.DUMMYFUNCTION("""COMPUTED_VALUE"""),1926.0)</f>
        <v>1926</v>
      </c>
      <c r="G1877" s="77">
        <f>IFERROR(__xludf.DUMMYFUNCTION("""COMPUTED_VALUE"""),14.0)</f>
        <v>14</v>
      </c>
      <c r="H1877" s="77">
        <f>IFERROR(__xludf.DUMMYFUNCTION("""COMPUTED_VALUE"""),22.0)</f>
        <v>22</v>
      </c>
      <c r="I1877" s="77">
        <f>IFERROR(__xludf.DUMMYFUNCTION("""COMPUTED_VALUE"""),100.0)</f>
        <v>100</v>
      </c>
      <c r="J1877" s="73"/>
      <c r="K1877" s="73"/>
      <c r="L1877" s="73"/>
      <c r="M1877" s="77"/>
      <c r="N1877" s="77">
        <f>IFERROR(__xludf.DUMMYFUNCTION("""COMPUTED_VALUE"""),1.0)</f>
        <v>1</v>
      </c>
      <c r="O1877" s="49"/>
      <c r="P1877" s="49" t="str">
        <f>IFERROR(__xludf.DUMMYFUNCTION("""COMPUTED_VALUE"""),"Offset")</f>
        <v>Offset</v>
      </c>
      <c r="Q1877" s="49" t="str">
        <f>IFERROR(__xludf.DUMMYFUNCTION("""COMPUTED_VALUE"""),"Packaging")</f>
        <v>Packaging</v>
      </c>
      <c r="R1877" s="49" t="str">
        <f>IFERROR(__xludf.DUMMYFUNCTION("""COMPUTED_VALUE"""),"Mobile Accessories")</f>
        <v>Mobile Accessories</v>
      </c>
    </row>
    <row r="1878">
      <c r="A1878" s="156" t="str">
        <f>IFERROR(__xludf.DUMMYFUNCTION("""COMPUTED_VALUE"""),"https://drive.google.com/open?id=1Yz8toFC4OGeiiWMrdoMIvHsUKDe4lf-Q&amp;authuser=jay.agg%40gmail.com&amp;usp=drive_fs")</f>
        <v>https://drive.google.com/open?id=1Yz8toFC4OGeiiWMrdoMIvHsUKDe4lf-Q&amp;authuser=jay.agg%40gmail.com&amp;usp=drive_fs</v>
      </c>
      <c r="B1878" s="73" t="str">
        <f>IFERROR(__xludf.DUMMYFUNCTION("""COMPUTED_VALUE"""),"Mobile Accessories")</f>
        <v>Mobile Accessories</v>
      </c>
      <c r="C1878" s="73" t="str">
        <f>IFERROR(__xludf.DUMMYFUNCTION("""COMPUTED_VALUE"""),"Bluetooth Wireless")</f>
        <v>Bluetooth Wireless</v>
      </c>
      <c r="D1878" s="73" t="str">
        <f>IFERROR(__xludf.DUMMYFUNCTION("""COMPUTED_VALUE"""),"102*51*127 mm | 4*2*5 inch with Tray")</f>
        <v>102*51*127 mm | 4*2*5 inch with Tray</v>
      </c>
      <c r="E1878" s="77">
        <f>IFERROR(__xludf.DUMMYFUNCTION("""COMPUTED_VALUE"""),2.0)</f>
        <v>2</v>
      </c>
      <c r="F1878" s="77">
        <f>IFERROR(__xludf.DUMMYFUNCTION("""COMPUTED_VALUE"""),1926.0)</f>
        <v>1926</v>
      </c>
      <c r="G1878" s="77">
        <f>IFERROR(__xludf.DUMMYFUNCTION("""COMPUTED_VALUE"""),19.0)</f>
        <v>19</v>
      </c>
      <c r="H1878" s="77">
        <f>IFERROR(__xludf.DUMMYFUNCTION("""COMPUTED_VALUE"""),26.0)</f>
        <v>26</v>
      </c>
      <c r="I1878" s="77">
        <f>IFERROR(__xludf.DUMMYFUNCTION("""COMPUTED_VALUE"""),100.0)</f>
        <v>100</v>
      </c>
      <c r="J1878" s="73"/>
      <c r="K1878" s="73"/>
      <c r="L1878" s="73"/>
      <c r="M1878" s="77">
        <f>IFERROR(__xludf.DUMMYFUNCTION("""COMPUTED_VALUE"""),0.2)</f>
        <v>0.2</v>
      </c>
      <c r="N1878" s="77">
        <f>IFERROR(__xludf.DUMMYFUNCTION("""COMPUTED_VALUE"""),1.0)</f>
        <v>1</v>
      </c>
      <c r="O1878" s="49"/>
      <c r="P1878" s="49" t="str">
        <f>IFERROR(__xludf.DUMMYFUNCTION("""COMPUTED_VALUE"""),"Offset")</f>
        <v>Offset</v>
      </c>
      <c r="Q1878" s="49" t="str">
        <f>IFERROR(__xludf.DUMMYFUNCTION("""COMPUTED_VALUE"""),"Packaging")</f>
        <v>Packaging</v>
      </c>
      <c r="R1878" s="49" t="str">
        <f>IFERROR(__xludf.DUMMYFUNCTION("""COMPUTED_VALUE"""),"Mobile Accessories")</f>
        <v>Mobile Accessories</v>
      </c>
    </row>
    <row r="1879">
      <c r="A1879" s="156" t="str">
        <f>IFERROR(__xludf.DUMMYFUNCTION("""COMPUTED_VALUE"""),"https://drive.google.com/open?id=1YzZC65UjSPgnSgEDgtj55Z2T1Q2GXb-e&amp;authuser=jay.agg%40gmail.com&amp;usp=drive_fs")</f>
        <v>https://drive.google.com/open?id=1YzZC65UjSPgnSgEDgtj55Z2T1Q2GXb-e&amp;authuser=jay.agg%40gmail.com&amp;usp=drive_fs</v>
      </c>
      <c r="B1879" s="73" t="str">
        <f>IFERROR(__xludf.DUMMYFUNCTION("""COMPUTED_VALUE"""),"Mobile Accessories")</f>
        <v>Mobile Accessories</v>
      </c>
      <c r="C1879" s="73" t="str">
        <f>IFERROR(__xludf.DUMMYFUNCTION("""COMPUTED_VALUE"""),"Screen Guard")</f>
        <v>Screen Guard</v>
      </c>
      <c r="D1879" s="73" t="str">
        <f>IFERROR(__xludf.DUMMYFUNCTION("""COMPUTED_VALUE"""),"152*25*254 mm | 6*1*10 inch")</f>
        <v>152*25*254 mm | 6*1*10 inch</v>
      </c>
      <c r="E1879" s="77">
        <f>IFERROR(__xludf.DUMMYFUNCTION("""COMPUTED_VALUE"""),2.0)</f>
        <v>2</v>
      </c>
      <c r="F1879" s="77">
        <f>IFERROR(__xludf.DUMMYFUNCTION("""COMPUTED_VALUE"""),2029.0)</f>
        <v>2029</v>
      </c>
      <c r="G1879" s="77">
        <f>IFERROR(__xludf.DUMMYFUNCTION("""COMPUTED_VALUE"""),19.0)</f>
        <v>19</v>
      </c>
      <c r="H1879" s="77">
        <f>IFERROR(__xludf.DUMMYFUNCTION("""COMPUTED_VALUE"""),26.0)</f>
        <v>26</v>
      </c>
      <c r="I1879" s="77">
        <f>IFERROR(__xludf.DUMMYFUNCTION("""COMPUTED_VALUE"""),100.0)</f>
        <v>100</v>
      </c>
      <c r="J1879" s="73"/>
      <c r="K1879" s="73"/>
      <c r="L1879" s="73"/>
      <c r="M1879" s="77">
        <f>IFERROR(__xludf.DUMMYFUNCTION("""COMPUTED_VALUE"""),0.1)</f>
        <v>0.1</v>
      </c>
      <c r="N1879" s="77">
        <f>IFERROR(__xludf.DUMMYFUNCTION("""COMPUTED_VALUE"""),1.0)</f>
        <v>1</v>
      </c>
      <c r="O1879" s="49"/>
      <c r="P1879" s="49" t="str">
        <f>IFERROR(__xludf.DUMMYFUNCTION("""COMPUTED_VALUE"""),"Offset")</f>
        <v>Offset</v>
      </c>
      <c r="Q1879" s="49" t="str">
        <f>IFERROR(__xludf.DUMMYFUNCTION("""COMPUTED_VALUE"""),"Packaging")</f>
        <v>Packaging</v>
      </c>
      <c r="R1879" s="49" t="str">
        <f>IFERROR(__xludf.DUMMYFUNCTION("""COMPUTED_VALUE"""),"Mobile Accessories")</f>
        <v>Mobile Accessories</v>
      </c>
    </row>
    <row r="1880">
      <c r="A1880" s="156" t="str">
        <f>IFERROR(__xludf.DUMMYFUNCTION("""COMPUTED_VALUE"""),"https://drive.google.com/open?id=10Aosq1_XFgdrcXI42USwpmTWCyHJzZtD&amp;authuser=jay.agg%40gmail.com&amp;usp=drive_fs")</f>
        <v>https://drive.google.com/open?id=10Aosq1_XFgdrcXI42USwpmTWCyHJzZtD&amp;authuser=jay.agg%40gmail.com&amp;usp=drive_fs</v>
      </c>
      <c r="B1880" s="73" t="str">
        <f>IFERROR(__xludf.DUMMYFUNCTION("""COMPUTED_VALUE"""),"Mobile Accessories")</f>
        <v>Mobile Accessories</v>
      </c>
      <c r="C1880" s="73" t="str">
        <f>IFERROR(__xludf.DUMMYFUNCTION("""COMPUTED_VALUE"""),"Bluetooth Wireless")</f>
        <v>Bluetooth Wireless</v>
      </c>
      <c r="D1880" s="73" t="str">
        <f>IFERROR(__xludf.DUMMYFUNCTION("""COMPUTED_VALUE"""),"155*20*195 mm | 6.1*0.8*7.7 inch | 22*15")</f>
        <v>155*20*195 mm | 6.1*0.8*7.7 inch | 22*15</v>
      </c>
      <c r="E1880" s="77">
        <f>IFERROR(__xludf.DUMMYFUNCTION("""COMPUTED_VALUE"""),2.0)</f>
        <v>2</v>
      </c>
      <c r="F1880" s="77">
        <f>IFERROR(__xludf.DUMMYFUNCTION("""COMPUTED_VALUE"""),1926.0)</f>
        <v>1926</v>
      </c>
      <c r="G1880" s="77">
        <f>IFERROR(__xludf.DUMMYFUNCTION("""COMPUTED_VALUE"""),15.75)</f>
        <v>15.75</v>
      </c>
      <c r="H1880" s="77">
        <f>IFERROR(__xludf.DUMMYFUNCTION("""COMPUTED_VALUE"""),20.75)</f>
        <v>20.75</v>
      </c>
      <c r="I1880" s="77">
        <f>IFERROR(__xludf.DUMMYFUNCTION("""COMPUTED_VALUE"""),100.0)</f>
        <v>100</v>
      </c>
      <c r="J1880" s="73"/>
      <c r="K1880" s="73"/>
      <c r="L1880" s="73"/>
      <c r="M1880" s="77">
        <f>IFERROR(__xludf.DUMMYFUNCTION("""COMPUTED_VALUE"""),0.1)</f>
        <v>0.1</v>
      </c>
      <c r="N1880" s="77">
        <f>IFERROR(__xludf.DUMMYFUNCTION("""COMPUTED_VALUE"""),1.0)</f>
        <v>1</v>
      </c>
      <c r="O1880" s="49"/>
      <c r="P1880" s="49" t="str">
        <f>IFERROR(__xludf.DUMMYFUNCTION("""COMPUTED_VALUE"""),"Offset")</f>
        <v>Offset</v>
      </c>
      <c r="Q1880" s="49" t="str">
        <f>IFERROR(__xludf.DUMMYFUNCTION("""COMPUTED_VALUE"""),"Packaging")</f>
        <v>Packaging</v>
      </c>
      <c r="R1880" s="49" t="str">
        <f>IFERROR(__xludf.DUMMYFUNCTION("""COMPUTED_VALUE"""),"Mobile Accessories")</f>
        <v>Mobile Accessories</v>
      </c>
    </row>
    <row r="1881">
      <c r="A1881" s="156" t="str">
        <f>IFERROR(__xludf.DUMMYFUNCTION("""COMPUTED_VALUE"""),"https://drive.google.com/open?id=1MZlhJskq2J1_HjqnWSvrK3Di3iIwHVxZ&amp;usp=drive_fs")</f>
        <v>https://drive.google.com/open?id=1MZlhJskq2J1_HjqnWSvrK3Di3iIwHVxZ&amp;usp=drive_fs</v>
      </c>
      <c r="B1881" s="73" t="str">
        <f>IFERROR(__xludf.DUMMYFUNCTION("""COMPUTED_VALUE"""),"Maxobull")</f>
        <v>Maxobull</v>
      </c>
      <c r="C1881" s="73" t="str">
        <f>IFERROR(__xludf.DUMMYFUNCTION("""COMPUTED_VALUE"""),"Charger")</f>
        <v>Charger</v>
      </c>
      <c r="D1881" s="73" t="str">
        <f>IFERROR(__xludf.DUMMYFUNCTION("""COMPUTED_VALUE"""),"85*41*155 mm | 3.3*1.6*6.1 inch")</f>
        <v>85*41*155 mm | 3.3*1.6*6.1 inch</v>
      </c>
      <c r="E1881" s="77">
        <f>IFERROR(__xludf.DUMMYFUNCTION("""COMPUTED_VALUE"""),2.0)</f>
        <v>2</v>
      </c>
      <c r="F1881" s="77">
        <f>IFERROR(__xludf.DUMMYFUNCTION("""COMPUTED_VALUE"""),1926.0)</f>
        <v>1926</v>
      </c>
      <c r="G1881" s="77">
        <f>IFERROR(__xludf.DUMMYFUNCTION("""COMPUTED_VALUE"""),12.0)</f>
        <v>12</v>
      </c>
      <c r="H1881" s="77">
        <f>IFERROR(__xludf.DUMMYFUNCTION("""COMPUTED_VALUE"""),23.0)</f>
        <v>23</v>
      </c>
      <c r="I1881" s="77">
        <f>IFERROR(__xludf.DUMMYFUNCTION("""COMPUTED_VALUE"""),100.0)</f>
        <v>100</v>
      </c>
      <c r="J1881" s="73"/>
      <c r="K1881" s="73"/>
      <c r="L1881" s="73"/>
      <c r="M1881" s="77">
        <f>IFERROR(__xludf.DUMMYFUNCTION("""COMPUTED_VALUE"""),0.1)</f>
        <v>0.1</v>
      </c>
      <c r="N1881" s="77">
        <f>IFERROR(__xludf.DUMMYFUNCTION("""COMPUTED_VALUE"""),1.0)</f>
        <v>1</v>
      </c>
      <c r="O1881" s="49"/>
      <c r="P1881" s="49" t="str">
        <f>IFERROR(__xludf.DUMMYFUNCTION("""COMPUTED_VALUE"""),"Offset")</f>
        <v>Offset</v>
      </c>
      <c r="Q1881" s="49" t="str">
        <f>IFERROR(__xludf.DUMMYFUNCTION("""COMPUTED_VALUE"""),"Packaging")</f>
        <v>Packaging</v>
      </c>
      <c r="R1881" s="49" t="str">
        <f>IFERROR(__xludf.DUMMYFUNCTION("""COMPUTED_VALUE"""),"Maxobull")</f>
        <v>Maxobull</v>
      </c>
    </row>
    <row r="1882">
      <c r="A1882" s="156" t="str">
        <f>IFERROR(__xludf.DUMMYFUNCTION("""COMPUTED_VALUE"""),"https://drive.google.com/open?id=1OdeBZ3Ubs70xtp6VKfM2bBWK_4zcBxKy&amp;usp=drive_fs")</f>
        <v>https://drive.google.com/open?id=1OdeBZ3Ubs70xtp6VKfM2bBWK_4zcBxKy&amp;usp=drive_fs</v>
      </c>
      <c r="B1882" s="73" t="str">
        <f>IFERROR(__xludf.DUMMYFUNCTION("""COMPUTED_VALUE"""),"Mobile Accessories")</f>
        <v>Mobile Accessories</v>
      </c>
      <c r="C1882" s="73" t="str">
        <f>IFERROR(__xludf.DUMMYFUNCTION("""COMPUTED_VALUE"""),"Strap")</f>
        <v>Strap</v>
      </c>
      <c r="D1882" s="73" t="str">
        <f>IFERROR(__xludf.DUMMYFUNCTION("""COMPUTED_VALUE"""),"220*60*20 mm | 8.7*2.4*0.8 inch")</f>
        <v>220*60*20 mm | 8.7*2.4*0.8 inch</v>
      </c>
      <c r="E1882" s="77">
        <f>IFERROR(__xludf.DUMMYFUNCTION("""COMPUTED_VALUE"""),1.0)</f>
        <v>1</v>
      </c>
      <c r="F1882" s="77">
        <f>IFERROR(__xludf.DUMMYFUNCTION("""COMPUTED_VALUE"""),1926.0)</f>
        <v>1926</v>
      </c>
      <c r="G1882" s="77">
        <f>IFERROR(__xludf.DUMMYFUNCTION("""COMPUTED_VALUE"""),14.0)</f>
        <v>14</v>
      </c>
      <c r="H1882" s="77">
        <f>IFERROR(__xludf.DUMMYFUNCTION("""COMPUTED_VALUE"""),15.75)</f>
        <v>15.75</v>
      </c>
      <c r="I1882" s="77">
        <f>IFERROR(__xludf.DUMMYFUNCTION("""COMPUTED_VALUE"""),100.0)</f>
        <v>100</v>
      </c>
      <c r="J1882" s="73"/>
      <c r="K1882" s="73"/>
      <c r="L1882" s="73">
        <f>IFERROR(__xludf.DUMMYFUNCTION("""COMPUTED_VALUE"""),1.5)</f>
        <v>1.5</v>
      </c>
      <c r="M1882" s="77"/>
      <c r="N1882" s="77">
        <f>IFERROR(__xludf.DUMMYFUNCTION("""COMPUTED_VALUE"""),1.0)</f>
        <v>1</v>
      </c>
      <c r="O1882" s="49"/>
      <c r="P1882" s="49" t="str">
        <f>IFERROR(__xludf.DUMMYFUNCTION("""COMPUTED_VALUE"""),"Offset")</f>
        <v>Offset</v>
      </c>
      <c r="Q1882" s="49" t="str">
        <f>IFERROR(__xludf.DUMMYFUNCTION("""COMPUTED_VALUE"""),"Packaging")</f>
        <v>Packaging</v>
      </c>
      <c r="R1882" s="49" t="str">
        <f>IFERROR(__xludf.DUMMYFUNCTION("""COMPUTED_VALUE"""),"Mobile Accessories")</f>
        <v>Mobile Accessories</v>
      </c>
    </row>
    <row r="1883">
      <c r="A1883" s="156" t="str">
        <f>IFERROR(__xludf.DUMMYFUNCTION("""COMPUTED_VALUE"""),"https://drive.google.com/open?id=195IXaazbSUSn_llZiMcFcRxWBKwIIwpj&amp;usp=drive_fs")</f>
        <v>https://drive.google.com/open?id=195IXaazbSUSn_llZiMcFcRxWBKwIIwpj&amp;usp=drive_fs</v>
      </c>
      <c r="B1883" s="73" t="str">
        <f>IFERROR(__xludf.DUMMYFUNCTION("""COMPUTED_VALUE"""),"Mobile Accessories")</f>
        <v>Mobile Accessories</v>
      </c>
      <c r="C1883" s="73" t="str">
        <f>IFERROR(__xludf.DUMMYFUNCTION("""COMPUTED_VALUE"""),"Bluetooth Wireless")</f>
        <v>Bluetooth Wireless</v>
      </c>
      <c r="D1883" s="73" t="str">
        <f>IFERROR(__xludf.DUMMYFUNCTION("""COMPUTED_VALUE"""),"200*75*200 mm | 7.8*3*7.8 inch | 24*15")</f>
        <v>200*75*200 mm | 7.8*3*7.8 inch | 24*15</v>
      </c>
      <c r="E1883" s="77">
        <f>IFERROR(__xludf.DUMMYFUNCTION("""COMPUTED_VALUE"""),1.0)</f>
        <v>1</v>
      </c>
      <c r="F1883" s="77">
        <f>IFERROR(__xludf.DUMMYFUNCTION("""COMPUTED_VALUE"""),1926.0)</f>
        <v>1926</v>
      </c>
      <c r="G1883" s="77">
        <f>IFERROR(__xludf.DUMMYFUNCTION("""COMPUTED_VALUE"""),15.0)</f>
        <v>15</v>
      </c>
      <c r="H1883" s="77">
        <f>IFERROR(__xludf.DUMMYFUNCTION("""COMPUTED_VALUE"""),25.0)</f>
        <v>25</v>
      </c>
      <c r="I1883" s="77">
        <f>IFERROR(__xludf.DUMMYFUNCTION("""COMPUTED_VALUE"""),100.0)</f>
        <v>100</v>
      </c>
      <c r="J1883" s="73"/>
      <c r="K1883" s="73"/>
      <c r="L1883" s="73"/>
      <c r="M1883" s="77">
        <f>IFERROR(__xludf.DUMMYFUNCTION("""COMPUTED_VALUE"""),0.5)</f>
        <v>0.5</v>
      </c>
      <c r="N1883" s="77">
        <f>IFERROR(__xludf.DUMMYFUNCTION("""COMPUTED_VALUE"""),1.0)</f>
        <v>1</v>
      </c>
      <c r="O1883" s="49"/>
      <c r="P1883" s="49" t="str">
        <f>IFERROR(__xludf.DUMMYFUNCTION("""COMPUTED_VALUE"""),"Offset")</f>
        <v>Offset</v>
      </c>
      <c r="Q1883" s="49" t="str">
        <f>IFERROR(__xludf.DUMMYFUNCTION("""COMPUTED_VALUE"""),"Packaging")</f>
        <v>Packaging</v>
      </c>
      <c r="R1883" s="49" t="str">
        <f>IFERROR(__xludf.DUMMYFUNCTION("""COMPUTED_VALUE"""),"Mobile Accessories")</f>
        <v>Mobile Accessories</v>
      </c>
    </row>
    <row r="1884">
      <c r="A1884" s="156" t="str">
        <f>IFERROR(__xludf.DUMMYFUNCTION("""COMPUTED_VALUE"""),"https://drive.google.com/open?id=1BwbDHultEoBbMTmxTawpZEmwacQVxIAB&amp;usp=drive_fs")</f>
        <v>https://drive.google.com/open?id=1BwbDHultEoBbMTmxTawpZEmwacQVxIAB&amp;usp=drive_fs</v>
      </c>
      <c r="B1884" s="73" t="str">
        <f>IFERROR(__xludf.DUMMYFUNCTION("""COMPUTED_VALUE"""),"Readymer")</f>
        <v>Readymer</v>
      </c>
      <c r="C1884" s="73" t="str">
        <f>IFERROR(__xludf.DUMMYFUNCTION("""COMPUTED_VALUE"""),"PD Charger")</f>
        <v>PD Charger</v>
      </c>
      <c r="D1884" s="73" t="str">
        <f>IFERROR(__xludf.DUMMYFUNCTION("""COMPUTED_VALUE"""),"102*55*152 mm| 4*2.15*6 inch | W64")</f>
        <v>102*55*152 mm| 4*2.15*6 inch | W64</v>
      </c>
      <c r="E1884" s="77">
        <f>IFERROR(__xludf.DUMMYFUNCTION("""COMPUTED_VALUE"""),1.0)</f>
        <v>1</v>
      </c>
      <c r="F1884" s="77">
        <f>IFERROR(__xludf.DUMMYFUNCTION("""COMPUTED_VALUE"""),1926.0)</f>
        <v>1926</v>
      </c>
      <c r="G1884" s="77">
        <f>IFERROR(__xludf.DUMMYFUNCTION("""COMPUTED_VALUE"""),12.0)</f>
        <v>12</v>
      </c>
      <c r="H1884" s="77">
        <f>IFERROR(__xludf.DUMMYFUNCTION("""COMPUTED_VALUE"""),23.0)</f>
        <v>23</v>
      </c>
      <c r="I1884" s="77">
        <f>IFERROR(__xludf.DUMMYFUNCTION("""COMPUTED_VALUE"""),100.0)</f>
        <v>100</v>
      </c>
      <c r="J1884" s="73"/>
      <c r="K1884" s="73"/>
      <c r="L1884" s="73">
        <f>IFERROR(__xludf.DUMMYFUNCTION("""COMPUTED_VALUE"""),1.0)</f>
        <v>1</v>
      </c>
      <c r="M1884" s="77">
        <f>IFERROR(__xludf.DUMMYFUNCTION("""COMPUTED_VALUE"""),0.4)</f>
        <v>0.4</v>
      </c>
      <c r="N1884" s="77">
        <f>IFERROR(__xludf.DUMMYFUNCTION("""COMPUTED_VALUE"""),1.0)</f>
        <v>1</v>
      </c>
      <c r="O1884" s="49"/>
      <c r="P1884" s="49" t="str">
        <f>IFERROR(__xludf.DUMMYFUNCTION("""COMPUTED_VALUE"""),"Offset")</f>
        <v>Offset</v>
      </c>
      <c r="Q1884" s="49" t="str">
        <f>IFERROR(__xludf.DUMMYFUNCTION("""COMPUTED_VALUE"""),"Packaging")</f>
        <v>Packaging</v>
      </c>
      <c r="R1884" s="49" t="str">
        <f>IFERROR(__xludf.DUMMYFUNCTION("""COMPUTED_VALUE"""),"Readymer")</f>
        <v>Readymer</v>
      </c>
    </row>
    <row r="1885">
      <c r="A1885" s="156" t="str">
        <f>IFERROR(__xludf.DUMMYFUNCTION("""COMPUTED_VALUE"""),"https://drive.google.com/open?id=1ByvD7x5kWjK2pyE6tiCF7UWbRNMzZUhQ&amp;usp=drive_fs")</f>
        <v>https://drive.google.com/open?id=1ByvD7x5kWjK2pyE6tiCF7UWbRNMzZUhQ&amp;usp=drive_fs</v>
      </c>
      <c r="B1885" s="73" t="str">
        <f>IFERROR(__xludf.DUMMYFUNCTION("""COMPUTED_VALUE"""),"Readymer")</f>
        <v>Readymer</v>
      </c>
      <c r="C1885" s="73" t="str">
        <f>IFERROR(__xludf.DUMMYFUNCTION("""COMPUTED_VALUE"""),"Meedy")</f>
        <v>Meedy</v>
      </c>
      <c r="D1885" s="73" t="str">
        <f>IFERROR(__xludf.DUMMYFUNCTION("""COMPUTED_VALUE"""),"115*80*70 mm | 4.5*3.15*2.75 inch IL")</f>
        <v>115*80*70 mm | 4.5*3.15*2.75 inch IL</v>
      </c>
      <c r="E1885" s="77">
        <f>IFERROR(__xludf.DUMMYFUNCTION("""COMPUTED_VALUE"""),3.0)</f>
        <v>3</v>
      </c>
      <c r="F1885" s="77">
        <f>IFERROR(__xludf.DUMMYFUNCTION("""COMPUTED_VALUE"""),1926.0)</f>
        <v>1926</v>
      </c>
      <c r="G1885" s="77">
        <f>IFERROR(__xludf.DUMMYFUNCTION("""COMPUTED_VALUE"""),18.0)</f>
        <v>18</v>
      </c>
      <c r="H1885" s="77">
        <f>IFERROR(__xludf.DUMMYFUNCTION("""COMPUTED_VALUE"""),23.0)</f>
        <v>23</v>
      </c>
      <c r="I1885" s="77">
        <f>IFERROR(__xludf.DUMMYFUNCTION("""COMPUTED_VALUE"""),100.0)</f>
        <v>100</v>
      </c>
      <c r="J1885" s="73"/>
      <c r="K1885" s="73"/>
      <c r="L1885" s="73"/>
      <c r="M1885" s="77">
        <f>IFERROR(__xludf.DUMMYFUNCTION("""COMPUTED_VALUE"""),0.2)</f>
        <v>0.2</v>
      </c>
      <c r="N1885" s="77">
        <f>IFERROR(__xludf.DUMMYFUNCTION("""COMPUTED_VALUE"""),1.0)</f>
        <v>1</v>
      </c>
      <c r="O1885" s="49"/>
      <c r="P1885" s="49" t="str">
        <f>IFERROR(__xludf.DUMMYFUNCTION("""COMPUTED_VALUE"""),"Offset")</f>
        <v>Offset</v>
      </c>
      <c r="Q1885" s="49" t="str">
        <f>IFERROR(__xludf.DUMMYFUNCTION("""COMPUTED_VALUE"""),"Packaging")</f>
        <v>Packaging</v>
      </c>
      <c r="R1885" s="49" t="str">
        <f>IFERROR(__xludf.DUMMYFUNCTION("""COMPUTED_VALUE"""),"Readymer")</f>
        <v>Readymer</v>
      </c>
    </row>
    <row r="1886">
      <c r="A1886" s="156" t="str">
        <f>IFERROR(__xludf.DUMMYFUNCTION("""COMPUTED_VALUE"""),"https://drive.google.com/open?id=1BzQM7IwFu-xAlJdC03m_KcrzA97-_xag&amp;usp=drive_fs")</f>
        <v>https://drive.google.com/open?id=1BzQM7IwFu-xAlJdC03m_KcrzA97-_xag&amp;usp=drive_fs</v>
      </c>
      <c r="B1886" s="73" t="str">
        <f>IFERROR(__xludf.DUMMYFUNCTION("""COMPUTED_VALUE"""),"Readymer")</f>
        <v>Readymer</v>
      </c>
      <c r="C1886" s="73" t="str">
        <f>IFERROR(__xludf.DUMMYFUNCTION("""COMPUTED_VALUE"""),"Sonic")</f>
        <v>Sonic</v>
      </c>
      <c r="D1886" s="73" t="str">
        <f>IFERROR(__xludf.DUMMYFUNCTION("""COMPUTED_VALUE"""),"115*115*70 mm | 4.5*4.5*2.75 inch IL")</f>
        <v>115*115*70 mm | 4.5*4.5*2.75 inch IL</v>
      </c>
      <c r="E1886" s="77">
        <f>IFERROR(__xludf.DUMMYFUNCTION("""COMPUTED_VALUE"""),2.0)</f>
        <v>2</v>
      </c>
      <c r="F1886" s="77">
        <f>IFERROR(__xludf.DUMMYFUNCTION("""COMPUTED_VALUE"""),1926.0)</f>
        <v>1926</v>
      </c>
      <c r="G1886" s="77">
        <f>IFERROR(__xludf.DUMMYFUNCTION("""COMPUTED_VALUE"""),15.75)</f>
        <v>15.75</v>
      </c>
      <c r="H1886" s="77">
        <f>IFERROR(__xludf.DUMMYFUNCTION("""COMPUTED_VALUE"""),20.75)</f>
        <v>20.75</v>
      </c>
      <c r="I1886" s="77">
        <f>IFERROR(__xludf.DUMMYFUNCTION("""COMPUTED_VALUE"""),100.0)</f>
        <v>100</v>
      </c>
      <c r="J1886" s="73"/>
      <c r="K1886" s="73"/>
      <c r="L1886" s="73"/>
      <c r="M1886" s="77">
        <f>IFERROR(__xludf.DUMMYFUNCTION("""COMPUTED_VALUE"""),0.2)</f>
        <v>0.2</v>
      </c>
      <c r="N1886" s="77">
        <f>IFERROR(__xludf.DUMMYFUNCTION("""COMPUTED_VALUE"""),1.0)</f>
        <v>1</v>
      </c>
      <c r="O1886" s="49"/>
      <c r="P1886" s="49" t="str">
        <f>IFERROR(__xludf.DUMMYFUNCTION("""COMPUTED_VALUE"""),"Offset")</f>
        <v>Offset</v>
      </c>
      <c r="Q1886" s="49" t="str">
        <f>IFERROR(__xludf.DUMMYFUNCTION("""COMPUTED_VALUE"""),"Packaging")</f>
        <v>Packaging</v>
      </c>
      <c r="R1886" s="49" t="str">
        <f>IFERROR(__xludf.DUMMYFUNCTION("""COMPUTED_VALUE"""),"Readymer")</f>
        <v>Readymer</v>
      </c>
    </row>
    <row r="1887">
      <c r="A1887" s="156" t="str">
        <f>IFERROR(__xludf.DUMMYFUNCTION("""COMPUTED_VALUE"""),"https://drive.google.com/open?id=1C1JNL_BlzvPwtmQ9htpO4bNVWfzwZrIj&amp;usp=drive_fs")</f>
        <v>https://drive.google.com/open?id=1C1JNL_BlzvPwtmQ9htpO4bNVWfzwZrIj&amp;usp=drive_fs</v>
      </c>
      <c r="B1887" s="73" t="str">
        <f>IFERROR(__xludf.DUMMYFUNCTION("""COMPUTED_VALUE"""),"Readymer")</f>
        <v>Readymer</v>
      </c>
      <c r="C1887" s="73" t="str">
        <f>IFERROR(__xludf.DUMMYFUNCTION("""COMPUTED_VALUE"""),"Earphone")</f>
        <v>Earphone</v>
      </c>
      <c r="D1887" s="73" t="str">
        <f>IFERROR(__xludf.DUMMYFUNCTION("""COMPUTED_VALUE"""),"65*23*160 mm | 2.5*0.9*7.3 inch")</f>
        <v>65*23*160 mm | 2.5*0.9*7.3 inch</v>
      </c>
      <c r="E1887" s="77">
        <f>IFERROR(__xludf.DUMMYFUNCTION("""COMPUTED_VALUE"""),6.0)</f>
        <v>6</v>
      </c>
      <c r="F1887" s="77">
        <f>IFERROR(__xludf.DUMMYFUNCTION("""COMPUTED_VALUE"""),1926.0)</f>
        <v>1926</v>
      </c>
      <c r="G1887" s="77">
        <f>IFERROR(__xludf.DUMMYFUNCTION("""COMPUTED_VALUE"""),18.0)</f>
        <v>18</v>
      </c>
      <c r="H1887" s="77">
        <f>IFERROR(__xludf.DUMMYFUNCTION("""COMPUTED_VALUE"""),25.0)</f>
        <v>25</v>
      </c>
      <c r="I1887" s="77">
        <f>IFERROR(__xludf.DUMMYFUNCTION("""COMPUTED_VALUE"""),100.0)</f>
        <v>100</v>
      </c>
      <c r="J1887" s="73"/>
      <c r="K1887" s="73"/>
      <c r="L1887" s="73">
        <f>IFERROR(__xludf.DUMMYFUNCTION("""COMPUTED_VALUE"""),0.8)</f>
        <v>0.8</v>
      </c>
      <c r="M1887" s="77">
        <f>IFERROR(__xludf.DUMMYFUNCTION("""COMPUTED_VALUE"""),0.1)</f>
        <v>0.1</v>
      </c>
      <c r="N1887" s="77">
        <f>IFERROR(__xludf.DUMMYFUNCTION("""COMPUTED_VALUE"""),1.0)</f>
        <v>1</v>
      </c>
      <c r="O1887" s="49"/>
      <c r="P1887" s="49" t="str">
        <f>IFERROR(__xludf.DUMMYFUNCTION("""COMPUTED_VALUE"""),"Offset")</f>
        <v>Offset</v>
      </c>
      <c r="Q1887" s="49" t="str">
        <f>IFERROR(__xludf.DUMMYFUNCTION("""COMPUTED_VALUE"""),"Packaging")</f>
        <v>Packaging</v>
      </c>
      <c r="R1887" s="49" t="str">
        <f>IFERROR(__xludf.DUMMYFUNCTION("""COMPUTED_VALUE"""),"Readymer")</f>
        <v>Readymer</v>
      </c>
    </row>
    <row r="1888">
      <c r="A1888" s="156" t="str">
        <f>IFERROR(__xludf.DUMMYFUNCTION("""COMPUTED_VALUE"""),"https://drive.google.com/open?id=1COF-M_SVKhLQTRitRH71cPZ8vsOfS9L4&amp;usp=drive_fs")</f>
        <v>https://drive.google.com/open?id=1COF-M_SVKhLQTRitRH71cPZ8vsOfS9L4&amp;usp=drive_fs</v>
      </c>
      <c r="B1888" s="73" t="str">
        <f>IFERROR(__xludf.DUMMYFUNCTION("""COMPUTED_VALUE"""),"Readymer")</f>
        <v>Readymer</v>
      </c>
      <c r="C1888" s="73" t="str">
        <f>IFERROR(__xludf.DUMMYFUNCTION("""COMPUTED_VALUE"""),"PD Charger")</f>
        <v>PD Charger</v>
      </c>
      <c r="D1888" s="73" t="str">
        <f>IFERROR(__xludf.DUMMYFUNCTION("""COMPUTED_VALUE"""),"85*80*160 mm | 4.7*3.15*6.3 inch")</f>
        <v>85*80*160 mm | 4.7*3.15*6.3 inch</v>
      </c>
      <c r="E1888" s="77">
        <f>IFERROR(__xludf.DUMMYFUNCTION("""COMPUTED_VALUE"""),2.0)</f>
        <v>2</v>
      </c>
      <c r="F1888" s="77">
        <f>IFERROR(__xludf.DUMMYFUNCTION("""COMPUTED_VALUE"""),1926.0)</f>
        <v>1926</v>
      </c>
      <c r="G1888" s="77">
        <f>IFERROR(__xludf.DUMMYFUNCTION("""COMPUTED_VALUE"""),18.0)</f>
        <v>18</v>
      </c>
      <c r="H1888" s="77">
        <f>IFERROR(__xludf.DUMMYFUNCTION("""COMPUTED_VALUE"""),25.0)</f>
        <v>25</v>
      </c>
      <c r="I1888" s="77">
        <f>IFERROR(__xludf.DUMMYFUNCTION("""COMPUTED_VALUE"""),100.0)</f>
        <v>100</v>
      </c>
      <c r="J1888" s="73"/>
      <c r="K1888" s="73"/>
      <c r="L1888" s="73"/>
      <c r="M1888" s="77">
        <f>IFERROR(__xludf.DUMMYFUNCTION("""COMPUTED_VALUE"""),0.1)</f>
        <v>0.1</v>
      </c>
      <c r="N1888" s="77">
        <f>IFERROR(__xludf.DUMMYFUNCTION("""COMPUTED_VALUE"""),1.0)</f>
        <v>1</v>
      </c>
      <c r="O1888" s="49"/>
      <c r="P1888" s="49" t="str">
        <f>IFERROR(__xludf.DUMMYFUNCTION("""COMPUTED_VALUE"""),"Offset")</f>
        <v>Offset</v>
      </c>
      <c r="Q1888" s="49" t="str">
        <f>IFERROR(__xludf.DUMMYFUNCTION("""COMPUTED_VALUE"""),"Packaging")</f>
        <v>Packaging</v>
      </c>
      <c r="R1888" s="49" t="str">
        <f>IFERROR(__xludf.DUMMYFUNCTION("""COMPUTED_VALUE"""),"Readymer")</f>
        <v>Readymer</v>
      </c>
    </row>
    <row r="1889">
      <c r="A1889" s="156" t="str">
        <f>IFERROR(__xludf.DUMMYFUNCTION("""COMPUTED_VALUE"""),"https://drive.google.com/open?id=1SSOqoq8rZzFU7EJFqdN8IqbzfJbsD0iz&amp;usp=drive_fs")</f>
        <v>https://drive.google.com/open?id=1SSOqoq8rZzFU7EJFqdN8IqbzfJbsD0iz&amp;usp=drive_fs</v>
      </c>
      <c r="B1889" s="73" t="str">
        <f>IFERROR(__xludf.DUMMYFUNCTION("""COMPUTED_VALUE"""),"Readymer")</f>
        <v>Readymer</v>
      </c>
      <c r="C1889" s="73" t="str">
        <f>IFERROR(__xludf.DUMMYFUNCTION("""COMPUTED_VALUE"""),"Butterfly")</f>
        <v>Butterfly</v>
      </c>
      <c r="D1889" s="73" t="str">
        <f>IFERROR(__xludf.DUMMYFUNCTION("""COMPUTED_VALUE"""),"75*20*125 mm | 3*0.8*4.9 inch")</f>
        <v>75*20*125 mm | 3*0.8*4.9 inch</v>
      </c>
      <c r="E1889" s="77">
        <f>IFERROR(__xludf.DUMMYFUNCTION("""COMPUTED_VALUE"""),6.0)</f>
        <v>6</v>
      </c>
      <c r="F1889" s="77">
        <f>IFERROR(__xludf.DUMMYFUNCTION("""COMPUTED_VALUE"""),1926.0)</f>
        <v>1926</v>
      </c>
      <c r="G1889" s="77">
        <f>IFERROR(__xludf.DUMMYFUNCTION("""COMPUTED_VALUE"""),18.0)</f>
        <v>18</v>
      </c>
      <c r="H1889" s="77">
        <f>IFERROR(__xludf.DUMMYFUNCTION("""COMPUTED_VALUE"""),25.0)</f>
        <v>25</v>
      </c>
      <c r="I1889" s="77">
        <f>IFERROR(__xludf.DUMMYFUNCTION("""COMPUTED_VALUE"""),100.0)</f>
        <v>100</v>
      </c>
      <c r="J1889" s="73"/>
      <c r="K1889" s="73"/>
      <c r="L1889" s="73"/>
      <c r="M1889" s="77">
        <f>IFERROR(__xludf.DUMMYFUNCTION("""COMPUTED_VALUE"""),0.1)</f>
        <v>0.1</v>
      </c>
      <c r="N1889" s="77">
        <f>IFERROR(__xludf.DUMMYFUNCTION("""COMPUTED_VALUE"""),1.0)</f>
        <v>1</v>
      </c>
      <c r="O1889" s="49"/>
      <c r="P1889" s="49" t="str">
        <f>IFERROR(__xludf.DUMMYFUNCTION("""COMPUTED_VALUE"""),"Offset")</f>
        <v>Offset</v>
      </c>
      <c r="Q1889" s="49" t="str">
        <f>IFERROR(__xludf.DUMMYFUNCTION("""COMPUTED_VALUE"""),"Packaging")</f>
        <v>Packaging</v>
      </c>
      <c r="R1889" s="49" t="str">
        <f>IFERROR(__xludf.DUMMYFUNCTION("""COMPUTED_VALUE"""),"Readymer")</f>
        <v>Readymer</v>
      </c>
    </row>
    <row r="1890">
      <c r="A1890" s="156" t="str">
        <f>IFERROR(__xludf.DUMMYFUNCTION("""COMPUTED_VALUE"""),"https://drive.google.com/open?id=1SUDtdgkX89kfBR2T2Ptobqht3Mr_fFqh&amp;usp=drive_fs")</f>
        <v>https://drive.google.com/open?id=1SUDtdgkX89kfBR2T2Ptobqht3Mr_fFqh&amp;usp=drive_fs</v>
      </c>
      <c r="B1890" s="73" t="str">
        <f>IFERROR(__xludf.DUMMYFUNCTION("""COMPUTED_VALUE"""),"Readymer")</f>
        <v>Readymer</v>
      </c>
      <c r="C1890" s="73" t="str">
        <f>IFERROR(__xludf.DUMMYFUNCTION("""COMPUTED_VALUE"""),"Z Hero")</f>
        <v>Z Hero</v>
      </c>
      <c r="D1890" s="73" t="str">
        <f>IFERROR(__xludf.DUMMYFUNCTION("""COMPUTED_VALUE"""),"75*40*125 mm | 3*1.5*4.9 inch")</f>
        <v>75*40*125 mm | 3*1.5*4.9 inch</v>
      </c>
      <c r="E1890" s="77">
        <f>IFERROR(__xludf.DUMMYFUNCTION("""COMPUTED_VALUE"""),6.0)</f>
        <v>6</v>
      </c>
      <c r="F1890" s="77">
        <f>IFERROR(__xludf.DUMMYFUNCTION("""COMPUTED_VALUE"""),1926.0)</f>
        <v>1926</v>
      </c>
      <c r="G1890" s="77">
        <f>IFERROR(__xludf.DUMMYFUNCTION("""COMPUTED_VALUE"""),20.0)</f>
        <v>20</v>
      </c>
      <c r="H1890" s="77">
        <f>IFERROR(__xludf.DUMMYFUNCTION("""COMPUTED_VALUE"""),28.0)</f>
        <v>28</v>
      </c>
      <c r="I1890" s="77">
        <f>IFERROR(__xludf.DUMMYFUNCTION("""COMPUTED_VALUE"""),100.0)</f>
        <v>100</v>
      </c>
      <c r="J1890" s="73"/>
      <c r="K1890" s="73"/>
      <c r="L1890" s="73"/>
      <c r="M1890" s="77">
        <f>IFERROR(__xludf.DUMMYFUNCTION("""COMPUTED_VALUE"""),0.1)</f>
        <v>0.1</v>
      </c>
      <c r="N1890" s="77">
        <f>IFERROR(__xludf.DUMMYFUNCTION("""COMPUTED_VALUE"""),1.0)</f>
        <v>1</v>
      </c>
      <c r="O1890" s="49"/>
      <c r="P1890" s="49" t="str">
        <f>IFERROR(__xludf.DUMMYFUNCTION("""COMPUTED_VALUE"""),"Offset")</f>
        <v>Offset</v>
      </c>
      <c r="Q1890" s="49" t="str">
        <f>IFERROR(__xludf.DUMMYFUNCTION("""COMPUTED_VALUE"""),"Packaging")</f>
        <v>Packaging</v>
      </c>
      <c r="R1890" s="49" t="str">
        <f>IFERROR(__xludf.DUMMYFUNCTION("""COMPUTED_VALUE"""),"Readymer")</f>
        <v>Readymer</v>
      </c>
    </row>
    <row r="1891">
      <c r="A1891" s="156" t="str">
        <f>IFERROR(__xludf.DUMMYFUNCTION("""COMPUTED_VALUE"""),"https://drive.google.com/open?id=1SYz6I2_NSCRRSYBZL8t54Yi-Z-3YUPa-&amp;usp=drive_fs")</f>
        <v>https://drive.google.com/open?id=1SYz6I2_NSCRRSYBZL8t54Yi-Z-3YUPa-&amp;usp=drive_fs</v>
      </c>
      <c r="B1891" s="73" t="str">
        <f>IFERROR(__xludf.DUMMYFUNCTION("""COMPUTED_VALUE"""),"Readymer")</f>
        <v>Readymer</v>
      </c>
      <c r="C1891" s="73" t="str">
        <f>IFERROR(__xludf.DUMMYFUNCTION("""COMPUTED_VALUE"""),"Gan Charger")</f>
        <v>Gan Charger</v>
      </c>
      <c r="D1891" s="73" t="str">
        <f>IFERROR(__xludf.DUMMYFUNCTION("""COMPUTED_VALUE"""),"85*50*160 mm | 3.3*2*6.3 inch")</f>
        <v>85*50*160 mm | 3.3*2*6.3 inch</v>
      </c>
      <c r="E1891" s="77">
        <f>IFERROR(__xludf.DUMMYFUNCTION("""COMPUTED_VALUE"""),2.0)</f>
        <v>2</v>
      </c>
      <c r="F1891" s="77">
        <f>IFERROR(__xludf.DUMMYFUNCTION("""COMPUTED_VALUE"""),1926.0)</f>
        <v>1926</v>
      </c>
      <c r="G1891" s="77">
        <f>IFERROR(__xludf.DUMMYFUNCTION("""COMPUTED_VALUE"""),12.0)</f>
        <v>12</v>
      </c>
      <c r="H1891" s="77">
        <f>IFERROR(__xludf.DUMMYFUNCTION("""COMPUTED_VALUE"""),23.0)</f>
        <v>23</v>
      </c>
      <c r="I1891" s="77">
        <f>IFERROR(__xludf.DUMMYFUNCTION("""COMPUTED_VALUE"""),100.0)</f>
        <v>100</v>
      </c>
      <c r="J1891" s="73"/>
      <c r="K1891" s="73"/>
      <c r="L1891" s="73"/>
      <c r="M1891" s="77">
        <f>IFERROR(__xludf.DUMMYFUNCTION("""COMPUTED_VALUE"""),0.1)</f>
        <v>0.1</v>
      </c>
      <c r="N1891" s="77">
        <f>IFERROR(__xludf.DUMMYFUNCTION("""COMPUTED_VALUE"""),1.0)</f>
        <v>1</v>
      </c>
      <c r="O1891" s="49"/>
      <c r="P1891" s="49" t="str">
        <f>IFERROR(__xludf.DUMMYFUNCTION("""COMPUTED_VALUE"""),"Offset")</f>
        <v>Offset</v>
      </c>
      <c r="Q1891" s="49" t="str">
        <f>IFERROR(__xludf.DUMMYFUNCTION("""COMPUTED_VALUE"""),"Packaging")</f>
        <v>Packaging</v>
      </c>
      <c r="R1891" s="49" t="str">
        <f>IFERROR(__xludf.DUMMYFUNCTION("""COMPUTED_VALUE"""),"Readymer")</f>
        <v>Readymer</v>
      </c>
    </row>
    <row r="1892">
      <c r="A1892" s="156" t="str">
        <f>IFERROR(__xludf.DUMMYFUNCTION("""COMPUTED_VALUE"""),"https://drive.google.com/open?id=1Kk2B26XvZmlA8GJ8tPzZBQlUjz3OXj3d&amp;usp=drive_fs")</f>
        <v>https://drive.google.com/open?id=1Kk2B26XvZmlA8GJ8tPzZBQlUjz3OXj3d&amp;usp=drive_fs</v>
      </c>
      <c r="B1892" s="73" t="str">
        <f>IFERROR(__xludf.DUMMYFUNCTION("""COMPUTED_VALUE"""),"Mobile Accessories")</f>
        <v>Mobile Accessories</v>
      </c>
      <c r="C1892" s="73" t="str">
        <f>IFERROR(__xludf.DUMMYFUNCTION("""COMPUTED_VALUE"""),"Headphone")</f>
        <v>Headphone</v>
      </c>
      <c r="D1892" s="73" t="str">
        <f>IFERROR(__xludf.DUMMYFUNCTION("""COMPUTED_VALUE"""),"76*20*102 mm | 3*0.8*4 inch")</f>
        <v>76*20*102 mm | 3*0.8*4 inch</v>
      </c>
      <c r="E1892" s="77">
        <f>IFERROR(__xludf.DUMMYFUNCTION("""COMPUTED_VALUE"""),6.0)</f>
        <v>6</v>
      </c>
      <c r="F1892" s="77">
        <f>IFERROR(__xludf.DUMMYFUNCTION("""COMPUTED_VALUE"""),1926.0)</f>
        <v>1926</v>
      </c>
      <c r="G1892" s="77">
        <f>IFERROR(__xludf.DUMMYFUNCTION("""COMPUTED_VALUE"""),15.0)</f>
        <v>15</v>
      </c>
      <c r="H1892" s="77">
        <f>IFERROR(__xludf.DUMMYFUNCTION("""COMPUTED_VALUE"""),25.0)</f>
        <v>25</v>
      </c>
      <c r="I1892" s="77">
        <f>IFERROR(__xludf.DUMMYFUNCTION("""COMPUTED_VALUE"""),100.0)</f>
        <v>100</v>
      </c>
      <c r="J1892" s="73"/>
      <c r="K1892" s="73"/>
      <c r="L1892" s="73"/>
      <c r="M1892" s="77">
        <f>IFERROR(__xludf.DUMMYFUNCTION("""COMPUTED_VALUE"""),0.1)</f>
        <v>0.1</v>
      </c>
      <c r="N1892" s="77">
        <f>IFERROR(__xludf.DUMMYFUNCTION("""COMPUTED_VALUE"""),1.0)</f>
        <v>1</v>
      </c>
      <c r="O1892" s="49"/>
      <c r="P1892" s="49" t="str">
        <f>IFERROR(__xludf.DUMMYFUNCTION("""COMPUTED_VALUE"""),"Offset")</f>
        <v>Offset</v>
      </c>
      <c r="Q1892" s="49" t="str">
        <f>IFERROR(__xludf.DUMMYFUNCTION("""COMPUTED_VALUE"""),"Packaging")</f>
        <v>Packaging</v>
      </c>
      <c r="R1892" s="49" t="str">
        <f>IFERROR(__xludf.DUMMYFUNCTION("""COMPUTED_VALUE"""),"Mobile Accessories")</f>
        <v>Mobile Accessories</v>
      </c>
    </row>
    <row r="1893">
      <c r="A1893" s="156" t="str">
        <f>IFERROR(__xludf.DUMMYFUNCTION("""COMPUTED_VALUE"""),"https://drive.google.com/open?id=13bU-Ea3-N5Jl3ZE23nOyJwcYXMIxeovC&amp;usp=drive_fs")</f>
        <v>https://drive.google.com/open?id=13bU-Ea3-N5Jl3ZE23nOyJwcYXMIxeovC&amp;usp=drive_fs</v>
      </c>
      <c r="B1893" s="73" t="str">
        <f>IFERROR(__xludf.DUMMYFUNCTION("""COMPUTED_VALUE"""),"Mobile Accessories")</f>
        <v>Mobile Accessories</v>
      </c>
      <c r="C1893" s="73" t="str">
        <f>IFERROR(__xludf.DUMMYFUNCTION("""COMPUTED_VALUE"""),"Charger")</f>
        <v>Charger</v>
      </c>
      <c r="D1893" s="73" t="str">
        <f>IFERROR(__xludf.DUMMYFUNCTION("""COMPUTED_VALUE"""),"80*30*110 mm | 3.15*1.2*4.3 inch")</f>
        <v>80*30*110 mm | 3.15*1.2*4.3 inch</v>
      </c>
      <c r="E1893" s="77">
        <f>IFERROR(__xludf.DUMMYFUNCTION("""COMPUTED_VALUE"""),8.0)</f>
        <v>8</v>
      </c>
      <c r="F1893" s="77">
        <f>IFERROR(__xludf.DUMMYFUNCTION("""COMPUTED_VALUE"""),2029.0)</f>
        <v>2029</v>
      </c>
      <c r="G1893" s="77">
        <f>IFERROR(__xludf.DUMMYFUNCTION("""COMPUTED_VALUE"""),19.0)</f>
        <v>19</v>
      </c>
      <c r="H1893" s="77">
        <f>IFERROR(__xludf.DUMMYFUNCTION("""COMPUTED_VALUE"""),26.0)</f>
        <v>26</v>
      </c>
      <c r="I1893" s="77">
        <f>IFERROR(__xludf.DUMMYFUNCTION("""COMPUTED_VALUE"""),100.0)</f>
        <v>100</v>
      </c>
      <c r="J1893" s="73"/>
      <c r="K1893" s="73"/>
      <c r="L1893" s="73"/>
      <c r="M1893" s="77">
        <f>IFERROR(__xludf.DUMMYFUNCTION("""COMPUTED_VALUE"""),0.1)</f>
        <v>0.1</v>
      </c>
      <c r="N1893" s="77">
        <f>IFERROR(__xludf.DUMMYFUNCTION("""COMPUTED_VALUE"""),1.0)</f>
        <v>1</v>
      </c>
      <c r="O1893" s="49"/>
      <c r="P1893" s="49" t="str">
        <f>IFERROR(__xludf.DUMMYFUNCTION("""COMPUTED_VALUE"""),"Offset")</f>
        <v>Offset</v>
      </c>
      <c r="Q1893" s="49" t="str">
        <f>IFERROR(__xludf.DUMMYFUNCTION("""COMPUTED_VALUE"""),"Packaging")</f>
        <v>Packaging</v>
      </c>
      <c r="R1893" s="49" t="str">
        <f>IFERROR(__xludf.DUMMYFUNCTION("""COMPUTED_VALUE"""),"Mobile Accessories")</f>
        <v>Mobile Accessories</v>
      </c>
    </row>
    <row r="1894">
      <c r="A1894" s="156" t="str">
        <f>IFERROR(__xludf.DUMMYFUNCTION("""COMPUTED_VALUE"""),"https://drive.google.com/open?id=14TUpx4FWooVgLTGqTB54WJ2D-hXZR3lg&amp;usp=drive_fs")</f>
        <v>https://drive.google.com/open?id=14TUpx4FWooVgLTGqTB54WJ2D-hXZR3lg&amp;usp=drive_fs</v>
      </c>
      <c r="B1894" s="73" t="str">
        <f>IFERROR(__xludf.DUMMYFUNCTION("""COMPUTED_VALUE"""),"Readymer")</f>
        <v>Readymer</v>
      </c>
      <c r="C1894" s="73" t="str">
        <f>IFERROR(__xludf.DUMMYFUNCTION("""COMPUTED_VALUE"""),"TWS")</f>
        <v>TWS</v>
      </c>
      <c r="D1894" s="73" t="str">
        <f>IFERROR(__xludf.DUMMYFUNCTION("""COMPUTED_VALUE"""),"97*33*117 mm | 3.7*1.2*4.5 inch")</f>
        <v>97*33*117 mm | 3.7*1.2*4.5 inch</v>
      </c>
      <c r="E1894" s="77">
        <f>IFERROR(__xludf.DUMMYFUNCTION("""COMPUTED_VALUE"""),4.0)</f>
        <v>4</v>
      </c>
      <c r="F1894" s="77">
        <f>IFERROR(__xludf.DUMMYFUNCTION("""COMPUTED_VALUE"""),1926.0)</f>
        <v>1926</v>
      </c>
      <c r="G1894" s="77">
        <f>IFERROR(__xludf.DUMMYFUNCTION("""COMPUTED_VALUE"""),15.0)</f>
        <v>15</v>
      </c>
      <c r="H1894" s="77">
        <f>IFERROR(__xludf.DUMMYFUNCTION("""COMPUTED_VALUE"""),25.0)</f>
        <v>25</v>
      </c>
      <c r="I1894" s="77">
        <f>IFERROR(__xludf.DUMMYFUNCTION("""COMPUTED_VALUE"""),100.0)</f>
        <v>100</v>
      </c>
      <c r="J1894" s="73"/>
      <c r="K1894" s="73"/>
      <c r="L1894" s="73">
        <f>IFERROR(__xludf.DUMMYFUNCTION("""COMPUTED_VALUE"""),1.0)</f>
        <v>1</v>
      </c>
      <c r="M1894" s="77">
        <f>IFERROR(__xludf.DUMMYFUNCTION("""COMPUTED_VALUE"""),0.1)</f>
        <v>0.1</v>
      </c>
      <c r="N1894" s="77">
        <f>IFERROR(__xludf.DUMMYFUNCTION("""COMPUTED_VALUE"""),1.0)</f>
        <v>1</v>
      </c>
      <c r="O1894" s="49"/>
      <c r="P1894" s="49" t="str">
        <f>IFERROR(__xludf.DUMMYFUNCTION("""COMPUTED_VALUE"""),"Offset")</f>
        <v>Offset</v>
      </c>
      <c r="Q1894" s="49" t="str">
        <f>IFERROR(__xludf.DUMMYFUNCTION("""COMPUTED_VALUE"""),"Packaging")</f>
        <v>Packaging</v>
      </c>
      <c r="R1894" s="49" t="str">
        <f>IFERROR(__xludf.DUMMYFUNCTION("""COMPUTED_VALUE"""),"Readymer")</f>
        <v>Readymer</v>
      </c>
    </row>
    <row r="1895">
      <c r="A1895" s="156" t="str">
        <f>IFERROR(__xludf.DUMMYFUNCTION("""COMPUTED_VALUE"""),"https://drive.google.com/open?id=15whr5kfQ-ZTo6t6CWmIhmlirn-86ZlhY&amp;usp=drive_fs")</f>
        <v>https://drive.google.com/open?id=15whr5kfQ-ZTo6t6CWmIhmlirn-86ZlhY&amp;usp=drive_fs</v>
      </c>
      <c r="B1895" s="73" t="str">
        <f>IFERROR(__xludf.DUMMYFUNCTION("""COMPUTED_VALUE"""),"Readymer")</f>
        <v>Readymer</v>
      </c>
      <c r="C1895" s="73" t="str">
        <f>IFERROR(__xludf.DUMMYFUNCTION("""COMPUTED_VALUE"""),"Power Bank")</f>
        <v>Power Bank</v>
      </c>
      <c r="D1895" s="73" t="str">
        <f>IFERROR(__xludf.DUMMYFUNCTION("""COMPUTED_VALUE"""),"100*26*185 | 85*30*160 mm")</f>
        <v>100*26*185 | 85*30*160 mm</v>
      </c>
      <c r="E1895" s="77">
        <f>IFERROR(__xludf.DUMMYFUNCTION("""COMPUTED_VALUE"""),4.0)</f>
        <v>4</v>
      </c>
      <c r="F1895" s="77">
        <f>IFERROR(__xludf.DUMMYFUNCTION("""COMPUTED_VALUE"""),2029.0)</f>
        <v>2029</v>
      </c>
      <c r="G1895" s="77">
        <f>IFERROR(__xludf.DUMMYFUNCTION("""COMPUTED_VALUE"""),20.0)</f>
        <v>20</v>
      </c>
      <c r="H1895" s="77">
        <f>IFERROR(__xludf.DUMMYFUNCTION("""COMPUTED_VALUE"""),23.0)</f>
        <v>23</v>
      </c>
      <c r="I1895" s="77">
        <f>IFERROR(__xludf.DUMMYFUNCTION("""COMPUTED_VALUE"""),100.0)</f>
        <v>100</v>
      </c>
      <c r="J1895" s="73"/>
      <c r="K1895" s="73"/>
      <c r="L1895" s="73"/>
      <c r="M1895" s="77">
        <f>IFERROR(__xludf.DUMMYFUNCTION("""COMPUTED_VALUE"""),0.14)</f>
        <v>0.14</v>
      </c>
      <c r="N1895" s="77">
        <f>IFERROR(__xludf.DUMMYFUNCTION("""COMPUTED_VALUE"""),1.0)</f>
        <v>1</v>
      </c>
      <c r="O1895" s="49"/>
      <c r="P1895" s="49" t="str">
        <f>IFERROR(__xludf.DUMMYFUNCTION("""COMPUTED_VALUE"""),"Offset")</f>
        <v>Offset</v>
      </c>
      <c r="Q1895" s="49" t="str">
        <f>IFERROR(__xludf.DUMMYFUNCTION("""COMPUTED_VALUE"""),"Packaging")</f>
        <v>Packaging</v>
      </c>
      <c r="R1895" s="49" t="str">
        <f>IFERROR(__xludf.DUMMYFUNCTION("""COMPUTED_VALUE"""),"Readymer")</f>
        <v>Readymer</v>
      </c>
    </row>
    <row r="1896">
      <c r="A1896" s="156" t="str">
        <f>IFERROR(__xludf.DUMMYFUNCTION("""COMPUTED_VALUE"""),"https://drive.google.com/open?id=10X2BG7cYDYlpSJG3mQKHtoHj6eC2p2fd&amp;usp=drive_fs")</f>
        <v>https://drive.google.com/open?id=10X2BG7cYDYlpSJG3mQKHtoHj6eC2p2fd&amp;usp=drive_fs</v>
      </c>
      <c r="B1896" s="73" t="str">
        <f>IFERROR(__xludf.DUMMYFUNCTION("""COMPUTED_VALUE"""),"Mobile Accessories")</f>
        <v>Mobile Accessories</v>
      </c>
      <c r="C1896" s="73" t="str">
        <f>IFERROR(__xludf.DUMMYFUNCTION("""COMPUTED_VALUE"""),"USB Cable")</f>
        <v>USB Cable</v>
      </c>
      <c r="D1896" s="73" t="str">
        <f>IFERROR(__xludf.DUMMYFUNCTION("""COMPUTED_VALUE"""),"55*15*147 mm | 2.1*0.6*5.8 inch")</f>
        <v>55*15*147 mm | 2.1*0.6*5.8 inch</v>
      </c>
      <c r="E1896" s="77">
        <f>IFERROR(__xludf.DUMMYFUNCTION("""COMPUTED_VALUE"""),9.0)</f>
        <v>9</v>
      </c>
      <c r="F1896" s="77">
        <f>IFERROR(__xludf.DUMMYFUNCTION("""COMPUTED_VALUE"""),1926.0)</f>
        <v>1926</v>
      </c>
      <c r="G1896" s="77">
        <f>IFERROR(__xludf.DUMMYFUNCTION("""COMPUTED_VALUE"""),18.0)</f>
        <v>18</v>
      </c>
      <c r="H1896" s="77">
        <f>IFERROR(__xludf.DUMMYFUNCTION("""COMPUTED_VALUE"""),25.0)</f>
        <v>25</v>
      </c>
      <c r="I1896" s="77">
        <f>IFERROR(__xludf.DUMMYFUNCTION("""COMPUTED_VALUE"""),100.0)</f>
        <v>100</v>
      </c>
      <c r="J1896" s="73"/>
      <c r="K1896" s="73"/>
      <c r="L1896" s="73"/>
      <c r="M1896" s="77">
        <f>IFERROR(__xludf.DUMMYFUNCTION("""COMPUTED_VALUE"""),0.12)</f>
        <v>0.12</v>
      </c>
      <c r="N1896" s="77">
        <f>IFERROR(__xludf.DUMMYFUNCTION("""COMPUTED_VALUE"""),1.0)</f>
        <v>1</v>
      </c>
      <c r="O1896" s="49"/>
      <c r="P1896" s="49" t="str">
        <f>IFERROR(__xludf.DUMMYFUNCTION("""COMPUTED_VALUE"""),"Offset")</f>
        <v>Offset</v>
      </c>
      <c r="Q1896" s="49" t="str">
        <f>IFERROR(__xludf.DUMMYFUNCTION("""COMPUTED_VALUE"""),"Packaging")</f>
        <v>Packaging</v>
      </c>
      <c r="R1896" s="49" t="str">
        <f>IFERROR(__xludf.DUMMYFUNCTION("""COMPUTED_VALUE"""),"Mobile Accessories")</f>
        <v>Mobile Accessories</v>
      </c>
    </row>
    <row r="1897">
      <c r="A1897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897" s="73" t="str">
        <f>IFERROR(__xludf.DUMMYFUNCTION("""COMPUTED_VALUE"""),"Flyer")</f>
        <v>Flyer</v>
      </c>
      <c r="C1897" s="73" t="str">
        <f>IFERROR(__xludf.DUMMYFUNCTION("""COMPUTED_VALUE"""),"A5")</f>
        <v>A5</v>
      </c>
      <c r="D1897" s="73" t="str">
        <f>IFERROR(__xludf.DUMMYFUNCTION("""COMPUTED_VALUE"""),"148 × 210 millimeters or 5.8 × 8.3 inches")</f>
        <v>148 × 210 millimeters or 5.8 × 8.3 inches</v>
      </c>
      <c r="E1897" s="77">
        <f>IFERROR(__xludf.DUMMYFUNCTION("""COMPUTED_VALUE"""),8.0)</f>
        <v>8</v>
      </c>
      <c r="F1897" s="77">
        <f>IFERROR(__xludf.DUMMYFUNCTION("""COMPUTED_VALUE"""),1926.0)</f>
        <v>1926</v>
      </c>
      <c r="G1897" s="77">
        <f>IFERROR(__xludf.DUMMYFUNCTION("""COMPUTED_VALUE"""),18.0)</f>
        <v>18</v>
      </c>
      <c r="H1897" s="77">
        <f>IFERROR(__xludf.DUMMYFUNCTION("""COMPUTED_VALUE"""),25.0)</f>
        <v>25</v>
      </c>
      <c r="I1897" s="77">
        <f>IFERROR(__xludf.DUMMYFUNCTION("""COMPUTED_VALUE"""),100.0)</f>
        <v>100</v>
      </c>
      <c r="J1897" s="73"/>
      <c r="K1897" s="73"/>
      <c r="L1897" s="73"/>
      <c r="M1897" s="77">
        <f>IFERROR(__xludf.DUMMYFUNCTION("""COMPUTED_VALUE"""),0.03)</f>
        <v>0.03</v>
      </c>
      <c r="N1897" s="77">
        <f>IFERROR(__xludf.DUMMYFUNCTION("""COMPUTED_VALUE"""),1.0)</f>
        <v>1</v>
      </c>
      <c r="O1897" s="49">
        <f>IFERROR(__xludf.DUMMYFUNCTION("""COMPUTED_VALUE"""),4.5)</f>
        <v>4.5</v>
      </c>
      <c r="P1897" s="49" t="str">
        <f>IFERROR(__xludf.DUMMYFUNCTION("""COMPUTED_VALUE"""),"Offset")</f>
        <v>Offset</v>
      </c>
      <c r="Q1897" s="49" t="str">
        <f>IFERROR(__xludf.DUMMYFUNCTION("""COMPUTED_VALUE"""),"Commercial")</f>
        <v>Commercial</v>
      </c>
      <c r="R1897" s="49" t="str">
        <f>IFERROR(__xludf.DUMMYFUNCTION("""COMPUTED_VALUE"""),"Flyer")</f>
        <v>Flyer</v>
      </c>
    </row>
    <row r="1898">
      <c r="A1898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898" s="73" t="str">
        <f>IFERROR(__xludf.DUMMYFUNCTION("""COMPUTED_VALUE"""),"Flyer")</f>
        <v>Flyer</v>
      </c>
      <c r="C1898" s="73" t="str">
        <f>IFERROR(__xludf.DUMMYFUNCTION("""COMPUTED_VALUE"""),"A4")</f>
        <v>A4</v>
      </c>
      <c r="D1898" s="73" t="str">
        <f>IFERROR(__xludf.DUMMYFUNCTION("""COMPUTED_VALUE"""),"210 x 297 mm | 8.3 x 11.7 inches")</f>
        <v>210 x 297 mm | 8.3 x 11.7 inches</v>
      </c>
      <c r="E1898" s="77">
        <f>IFERROR(__xludf.DUMMYFUNCTION("""COMPUTED_VALUE"""),4.0)</f>
        <v>4</v>
      </c>
      <c r="F1898" s="77">
        <f>IFERROR(__xludf.DUMMYFUNCTION("""COMPUTED_VALUE"""),1926.0)</f>
        <v>1926</v>
      </c>
      <c r="G1898" s="77">
        <f>IFERROR(__xludf.DUMMYFUNCTION("""COMPUTED_VALUE"""),18.0)</f>
        <v>18</v>
      </c>
      <c r="H1898" s="77">
        <f>IFERROR(__xludf.DUMMYFUNCTION("""COMPUTED_VALUE"""),25.0)</f>
        <v>25</v>
      </c>
      <c r="I1898" s="77">
        <f>IFERROR(__xludf.DUMMYFUNCTION("""COMPUTED_VALUE"""),100.0)</f>
        <v>100</v>
      </c>
      <c r="J1898" s="73"/>
      <c r="K1898" s="73"/>
      <c r="L1898" s="73"/>
      <c r="M1898" s="77">
        <f>IFERROR(__xludf.DUMMYFUNCTION("""COMPUTED_VALUE"""),0.03)</f>
        <v>0.03</v>
      </c>
      <c r="N1898" s="77">
        <f>IFERROR(__xludf.DUMMYFUNCTION("""COMPUTED_VALUE"""),1.0)</f>
        <v>1</v>
      </c>
      <c r="O1898" s="49"/>
      <c r="P1898" s="49" t="str">
        <f>IFERROR(__xludf.DUMMYFUNCTION("""COMPUTED_VALUE"""),"Offset")</f>
        <v>Offset</v>
      </c>
      <c r="Q1898" s="49" t="str">
        <f>IFERROR(__xludf.DUMMYFUNCTION("""COMPUTED_VALUE"""),"Commercial")</f>
        <v>Commercial</v>
      </c>
      <c r="R1898" s="49" t="str">
        <f>IFERROR(__xludf.DUMMYFUNCTION("""COMPUTED_VALUE"""),"Flyer")</f>
        <v>Flyer</v>
      </c>
    </row>
    <row r="1899">
      <c r="A1899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899" s="73" t="str">
        <f>IFERROR(__xludf.DUMMYFUNCTION("""COMPUTED_VALUE"""),"Letter Head")</f>
        <v>Letter Head</v>
      </c>
      <c r="C1899" s="73" t="str">
        <f>IFERROR(__xludf.DUMMYFUNCTION("""COMPUTED_VALUE"""),"A4")</f>
        <v>A4</v>
      </c>
      <c r="D1899" s="73" t="str">
        <f>IFERROR(__xludf.DUMMYFUNCTION("""COMPUTED_VALUE"""),"210 x 297 mm | 8-1/4 x 11-3/4")</f>
        <v>210 x 297 mm | 8-1/4 x 11-3/4</v>
      </c>
      <c r="E1899" s="77">
        <f>IFERROR(__xludf.DUMMYFUNCTION("""COMPUTED_VALUE"""),4.0)</f>
        <v>4</v>
      </c>
      <c r="F1899" s="77">
        <f>IFERROR(__xludf.DUMMYFUNCTION("""COMPUTED_VALUE"""),1926.0)</f>
        <v>1926</v>
      </c>
      <c r="G1899" s="77">
        <f>IFERROR(__xludf.DUMMYFUNCTION("""COMPUTED_VALUE"""),18.0)</f>
        <v>18</v>
      </c>
      <c r="H1899" s="77">
        <f>IFERROR(__xludf.DUMMYFUNCTION("""COMPUTED_VALUE"""),25.0)</f>
        <v>25</v>
      </c>
      <c r="I1899" s="77">
        <f>IFERROR(__xludf.DUMMYFUNCTION("""COMPUTED_VALUE"""),100.0)</f>
        <v>100</v>
      </c>
      <c r="J1899" s="73"/>
      <c r="K1899" s="73"/>
      <c r="L1899" s="73"/>
      <c r="M1899" s="77">
        <f>IFERROR(__xludf.DUMMYFUNCTION("""COMPUTED_VALUE"""),0.03)</f>
        <v>0.03</v>
      </c>
      <c r="N1899" s="77">
        <f>IFERROR(__xludf.DUMMYFUNCTION("""COMPUTED_VALUE"""),1.0)</f>
        <v>1</v>
      </c>
      <c r="O1899" s="49">
        <f>IFERROR(__xludf.DUMMYFUNCTION("""COMPUTED_VALUE"""),2.1)</f>
        <v>2.1</v>
      </c>
      <c r="P1899" s="49" t="str">
        <f>IFERROR(__xludf.DUMMYFUNCTION("""COMPUTED_VALUE"""),"Offset")</f>
        <v>Offset</v>
      </c>
      <c r="Q1899" s="49" t="str">
        <f>IFERROR(__xludf.DUMMYFUNCTION("""COMPUTED_VALUE"""),"Commercial")</f>
        <v>Commercial</v>
      </c>
      <c r="R1899" s="49" t="str">
        <f>IFERROR(__xludf.DUMMYFUNCTION("""COMPUTED_VALUE"""),"Letter Head")</f>
        <v>Letter Head</v>
      </c>
    </row>
    <row r="1900">
      <c r="A1900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0" s="73" t="str">
        <f>IFERROR(__xludf.DUMMYFUNCTION("""COMPUTED_VALUE"""),"Cashify")</f>
        <v>Cashify</v>
      </c>
      <c r="C1900" s="73" t="str">
        <f>IFERROR(__xludf.DUMMYFUNCTION("""COMPUTED_VALUE"""),"Warranty Card")</f>
        <v>Warranty Card</v>
      </c>
      <c r="D1900" s="73" t="str">
        <f>IFERROR(__xludf.DUMMYFUNCTION("""COMPUTED_VALUE"""),"2.3*3.5 inches")</f>
        <v>2.3*3.5 inches</v>
      </c>
      <c r="E1900" s="77">
        <f>IFERROR(__xludf.DUMMYFUNCTION("""COMPUTED_VALUE"""),36.0)</f>
        <v>36</v>
      </c>
      <c r="F1900" s="77">
        <f>IFERROR(__xludf.DUMMYFUNCTION("""COMPUTED_VALUE"""),1926.0)</f>
        <v>1926</v>
      </c>
      <c r="G1900" s="77">
        <f>IFERROR(__xludf.DUMMYFUNCTION("""COMPUTED_VALUE"""),18.0)</f>
        <v>18</v>
      </c>
      <c r="H1900" s="77">
        <f>IFERROR(__xludf.DUMMYFUNCTION("""COMPUTED_VALUE"""),23.0)</f>
        <v>23</v>
      </c>
      <c r="I1900" s="77">
        <f>IFERROR(__xludf.DUMMYFUNCTION("""COMPUTED_VALUE"""),100.0)</f>
        <v>100</v>
      </c>
      <c r="J1900" s="73"/>
      <c r="K1900" s="73"/>
      <c r="L1900" s="73"/>
      <c r="M1900" s="77">
        <f>IFERROR(__xludf.DUMMYFUNCTION("""COMPUTED_VALUE"""),0.03)</f>
        <v>0.03</v>
      </c>
      <c r="N1900" s="77">
        <f>IFERROR(__xludf.DUMMYFUNCTION("""COMPUTED_VALUE"""),1.0)</f>
        <v>1</v>
      </c>
      <c r="O1900" s="49"/>
      <c r="P1900" s="49" t="str">
        <f>IFERROR(__xludf.DUMMYFUNCTION("""COMPUTED_VALUE"""),"Offset")</f>
        <v>Offset</v>
      </c>
      <c r="Q1900" s="49" t="str">
        <f>IFERROR(__xludf.DUMMYFUNCTION("""COMPUTED_VALUE"""),"Commercial")</f>
        <v>Commercial</v>
      </c>
      <c r="R1900" s="49" t="str">
        <f>IFERROR(__xludf.DUMMYFUNCTION("""COMPUTED_VALUE"""),"Cashify")</f>
        <v>Cashify</v>
      </c>
    </row>
    <row r="1901">
      <c r="A1901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1" s="73" t="str">
        <f>IFERROR(__xludf.DUMMYFUNCTION("""COMPUTED_VALUE"""),"Gumming Sticker")</f>
        <v>Gumming Sticker</v>
      </c>
      <c r="C1901" s="73" t="str">
        <f>IFERROR(__xludf.DUMMYFUNCTION("""COMPUTED_VALUE"""),"AD Chromo")</f>
        <v>AD Chromo</v>
      </c>
      <c r="D1901" s="73"/>
      <c r="E1901" s="77"/>
      <c r="F1901" s="77"/>
      <c r="G1901" s="77"/>
      <c r="H1901" s="77"/>
      <c r="I1901" s="77"/>
      <c r="J1901" s="73"/>
      <c r="K1901" s="73"/>
      <c r="L1901" s="73"/>
      <c r="M1901" s="77"/>
      <c r="N1901" s="77">
        <f>IFERROR(__xludf.DUMMYFUNCTION("""COMPUTED_VALUE"""),1.0)</f>
        <v>1</v>
      </c>
      <c r="O1901" s="49"/>
      <c r="P1901" s="49" t="str">
        <f>IFERROR(__xludf.DUMMYFUNCTION("""COMPUTED_VALUE"""),"Offset")</f>
        <v>Offset</v>
      </c>
      <c r="Q1901" s="49" t="str">
        <f>IFERROR(__xludf.DUMMYFUNCTION("""COMPUTED_VALUE"""),"Commercial")</f>
        <v>Commercial</v>
      </c>
      <c r="R1901" s="49" t="str">
        <f>IFERROR(__xludf.DUMMYFUNCTION("""COMPUTED_VALUE"""),"Gumming Sticker")</f>
        <v>Gumming Sticker</v>
      </c>
    </row>
    <row r="1902">
      <c r="A1902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2" s="73" t="str">
        <f>IFERROR(__xludf.DUMMYFUNCTION("""COMPUTED_VALUE"""),"Gumming Sticker")</f>
        <v>Gumming Sticker</v>
      </c>
      <c r="C1902" s="73" t="str">
        <f>IFERROR(__xludf.DUMMYFUNCTION("""COMPUTED_VALUE"""),"WC Chromo")</f>
        <v>WC Chromo</v>
      </c>
      <c r="D1902" s="73"/>
      <c r="E1902" s="77"/>
      <c r="F1902" s="77"/>
      <c r="G1902" s="77"/>
      <c r="H1902" s="77"/>
      <c r="I1902" s="77"/>
      <c r="J1902" s="73"/>
      <c r="K1902" s="73"/>
      <c r="L1902" s="73"/>
      <c r="M1902" s="77"/>
      <c r="N1902" s="77">
        <f>IFERROR(__xludf.DUMMYFUNCTION("""COMPUTED_VALUE"""),1.0)</f>
        <v>1</v>
      </c>
      <c r="O1902" s="49"/>
      <c r="P1902" s="49" t="str">
        <f>IFERROR(__xludf.DUMMYFUNCTION("""COMPUTED_VALUE"""),"Offset")</f>
        <v>Offset</v>
      </c>
      <c r="Q1902" s="49" t="str">
        <f>IFERROR(__xludf.DUMMYFUNCTION("""COMPUTED_VALUE"""),"Commercial")</f>
        <v>Commercial</v>
      </c>
      <c r="R1902" s="49" t="str">
        <f>IFERROR(__xludf.DUMMYFUNCTION("""COMPUTED_VALUE"""),"Gumming Sticker")</f>
        <v>Gumming Sticker</v>
      </c>
    </row>
    <row r="1903">
      <c r="A1903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3" s="73" t="str">
        <f>IFERROR(__xludf.DUMMYFUNCTION("""COMPUTED_VALUE"""),"Hospital")</f>
        <v>Hospital</v>
      </c>
      <c r="C1903" s="73" t="str">
        <f>IFERROR(__xludf.DUMMYFUNCTION("""COMPUTED_VALUE"""),"Folder")</f>
        <v>Folder</v>
      </c>
      <c r="D1903" s="73" t="str">
        <f>IFERROR(__xludf.DUMMYFUNCTION("""COMPUTED_VALUE"""),"9*12 inches Close")</f>
        <v>9*12 inches Close</v>
      </c>
      <c r="E1903" s="77">
        <f>IFERROR(__xludf.DUMMYFUNCTION("""COMPUTED_VALUE"""),2.0)</f>
        <v>2</v>
      </c>
      <c r="F1903" s="77">
        <f>IFERROR(__xludf.DUMMYFUNCTION("""COMPUTED_VALUE"""),1926.0)</f>
        <v>1926</v>
      </c>
      <c r="G1903" s="77">
        <f>IFERROR(__xludf.DUMMYFUNCTION("""COMPUTED_VALUE"""),18.0)</f>
        <v>18</v>
      </c>
      <c r="H1903" s="77">
        <f>IFERROR(__xludf.DUMMYFUNCTION("""COMPUTED_VALUE"""),25.0)</f>
        <v>25</v>
      </c>
      <c r="I1903" s="77">
        <f>IFERROR(__xludf.DUMMYFUNCTION("""COMPUTED_VALUE"""),100.0)</f>
        <v>100</v>
      </c>
      <c r="J1903" s="73"/>
      <c r="K1903" s="73"/>
      <c r="L1903" s="73"/>
      <c r="M1903" s="77"/>
      <c r="N1903" s="77">
        <f>IFERROR(__xludf.DUMMYFUNCTION("""COMPUTED_VALUE"""),1.0)</f>
        <v>1</v>
      </c>
      <c r="O1903" s="49"/>
      <c r="P1903" s="49" t="str">
        <f>IFERROR(__xludf.DUMMYFUNCTION("""COMPUTED_VALUE"""),"Offset")</f>
        <v>Offset</v>
      </c>
      <c r="Q1903" s="49" t="str">
        <f>IFERROR(__xludf.DUMMYFUNCTION("""COMPUTED_VALUE"""),"Commercial")</f>
        <v>Commercial</v>
      </c>
      <c r="R1903" s="49" t="str">
        <f>IFERROR(__xludf.DUMMYFUNCTION("""COMPUTED_VALUE"""),"Hospital")</f>
        <v>Hospital</v>
      </c>
    </row>
    <row r="1904">
      <c r="A1904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4" s="73" t="str">
        <f>IFERROR(__xludf.DUMMYFUNCTION("""COMPUTED_VALUE"""),"Hospital")</f>
        <v>Hospital</v>
      </c>
      <c r="C1904" s="73" t="str">
        <f>IFERROR(__xludf.DUMMYFUNCTION("""COMPUTED_VALUE"""),"Folder")</f>
        <v>Folder</v>
      </c>
      <c r="D1904" s="73" t="str">
        <f>IFERROR(__xludf.DUMMYFUNCTION("""COMPUTED_VALUE"""),"9*12 inches Pocket 7.5*3.7 inches")</f>
        <v>9*12 inches Pocket 7.5*3.7 inches</v>
      </c>
      <c r="E1904" s="77">
        <f>IFERROR(__xludf.DUMMYFUNCTION("""COMPUTED_VALUE"""),12.0)</f>
        <v>12</v>
      </c>
      <c r="F1904" s="77">
        <f>IFERROR(__xludf.DUMMYFUNCTION("""COMPUTED_VALUE"""),1926.0)</f>
        <v>1926</v>
      </c>
      <c r="G1904" s="77">
        <f>IFERROR(__xludf.DUMMYFUNCTION("""COMPUTED_VALUE"""),18.0)</f>
        <v>18</v>
      </c>
      <c r="H1904" s="77">
        <f>IFERROR(__xludf.DUMMYFUNCTION("""COMPUTED_VALUE"""),25.0)</f>
        <v>25</v>
      </c>
      <c r="I1904" s="77">
        <f>IFERROR(__xludf.DUMMYFUNCTION("""COMPUTED_VALUE"""),100.0)</f>
        <v>100</v>
      </c>
      <c r="J1904" s="73"/>
      <c r="K1904" s="73"/>
      <c r="L1904" s="73"/>
      <c r="M1904" s="77">
        <f>IFERROR(__xludf.DUMMYFUNCTION("""COMPUTED_VALUE"""),1.0)</f>
        <v>1</v>
      </c>
      <c r="N1904" s="77">
        <f>IFERROR(__xludf.DUMMYFUNCTION("""COMPUTED_VALUE"""),1.0)</f>
        <v>1</v>
      </c>
      <c r="O1904" s="49"/>
      <c r="P1904" s="49" t="str">
        <f>IFERROR(__xludf.DUMMYFUNCTION("""COMPUTED_VALUE"""),"Offset")</f>
        <v>Offset</v>
      </c>
      <c r="Q1904" s="49" t="str">
        <f>IFERROR(__xludf.DUMMYFUNCTION("""COMPUTED_VALUE"""),"Commercial")</f>
        <v>Commercial</v>
      </c>
      <c r="R1904" s="49" t="str">
        <f>IFERROR(__xludf.DUMMYFUNCTION("""COMPUTED_VALUE"""),"Hospital")</f>
        <v>Hospital</v>
      </c>
    </row>
    <row r="1905">
      <c r="A1905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5" s="73" t="str">
        <f>IFERROR(__xludf.DUMMYFUNCTION("""COMPUTED_VALUE"""),"Poster")</f>
        <v>Poster</v>
      </c>
      <c r="C1905" s="73" t="str">
        <f>IFERROR(__xludf.DUMMYFUNCTION("""COMPUTED_VALUE"""),"Art Card")</f>
        <v>Art Card</v>
      </c>
      <c r="D1905" s="73" t="str">
        <f>IFERROR(__xludf.DUMMYFUNCTION("""COMPUTED_VALUE"""),"29.7 x 42.0cm, 11.69 x 16.53 inches")</f>
        <v>29.7 x 42.0cm, 11.69 x 16.53 inches</v>
      </c>
      <c r="E1905" s="77">
        <f>IFERROR(__xludf.DUMMYFUNCTION("""COMPUTED_VALUE"""),2.0)</f>
        <v>2</v>
      </c>
      <c r="F1905" s="77">
        <f>IFERROR(__xludf.DUMMYFUNCTION("""COMPUTED_VALUE"""),1926.0)</f>
        <v>1926</v>
      </c>
      <c r="G1905" s="77">
        <f>IFERROR(__xludf.DUMMYFUNCTION("""COMPUTED_VALUE"""),18.0)</f>
        <v>18</v>
      </c>
      <c r="H1905" s="77">
        <f>IFERROR(__xludf.DUMMYFUNCTION("""COMPUTED_VALUE"""),24.0)</f>
        <v>24</v>
      </c>
      <c r="I1905" s="77">
        <f>IFERROR(__xludf.DUMMYFUNCTION("""COMPUTED_VALUE"""),100.0)</f>
        <v>100</v>
      </c>
      <c r="J1905" s="73"/>
      <c r="K1905" s="73"/>
      <c r="L1905" s="73"/>
      <c r="M1905" s="77"/>
      <c r="N1905" s="77">
        <f>IFERROR(__xludf.DUMMYFUNCTION("""COMPUTED_VALUE"""),1.0)</f>
        <v>1</v>
      </c>
      <c r="O1905" s="49"/>
      <c r="P1905" s="49" t="str">
        <f>IFERROR(__xludf.DUMMYFUNCTION("""COMPUTED_VALUE"""),"Offset")</f>
        <v>Offset</v>
      </c>
      <c r="Q1905" s="49" t="str">
        <f>IFERROR(__xludf.DUMMYFUNCTION("""COMPUTED_VALUE"""),"Commercial")</f>
        <v>Commercial</v>
      </c>
      <c r="R1905" s="49" t="str">
        <f>IFERROR(__xludf.DUMMYFUNCTION("""COMPUTED_VALUE"""),"Poster")</f>
        <v>Poster</v>
      </c>
    </row>
    <row r="1906">
      <c r="A1906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6" s="73" t="str">
        <f>IFERROR(__xludf.DUMMYFUNCTION("""COMPUTED_VALUE"""),"Mizi")</f>
        <v>Mizi</v>
      </c>
      <c r="C1906" s="73" t="str">
        <f>IFERROR(__xludf.DUMMYFUNCTION("""COMPUTED_VALUE"""),"Thumbs Up")</f>
        <v>Thumbs Up</v>
      </c>
      <c r="D1906" s="73" t="str">
        <f>IFERROR(__xludf.DUMMYFUNCTION("""COMPUTED_VALUE"""),"2.8*2 inches ")</f>
        <v>2.8*2 inches </v>
      </c>
      <c r="E1906" s="77">
        <f>IFERROR(__xludf.DUMMYFUNCTION("""COMPUTED_VALUE"""),84.0)</f>
        <v>84</v>
      </c>
      <c r="F1906" s="77">
        <f>IFERROR(__xludf.DUMMYFUNCTION("""COMPUTED_VALUE"""),1926.0)</f>
        <v>1926</v>
      </c>
      <c r="G1906" s="77">
        <f>IFERROR(__xludf.DUMMYFUNCTION("""COMPUTED_VALUE"""),18.0)</f>
        <v>18</v>
      </c>
      <c r="H1906" s="77">
        <f>IFERROR(__xludf.DUMMYFUNCTION("""COMPUTED_VALUE"""),25.0)</f>
        <v>25</v>
      </c>
      <c r="I1906" s="77">
        <f>IFERROR(__xludf.DUMMYFUNCTION("""COMPUTED_VALUE"""),100.0)</f>
        <v>100</v>
      </c>
      <c r="J1906" s="73"/>
      <c r="K1906" s="73"/>
      <c r="L1906" s="73"/>
      <c r="M1906" s="77"/>
      <c r="N1906" s="77">
        <f>IFERROR(__xludf.DUMMYFUNCTION("""COMPUTED_VALUE"""),1.0)</f>
        <v>1</v>
      </c>
      <c r="O1906" s="49"/>
      <c r="P1906" s="49" t="str">
        <f>IFERROR(__xludf.DUMMYFUNCTION("""COMPUTED_VALUE"""),"Offset")</f>
        <v>Offset</v>
      </c>
      <c r="Q1906" s="49" t="str">
        <f>IFERROR(__xludf.DUMMYFUNCTION("""COMPUTED_VALUE"""),"Commercial")</f>
        <v>Commercial</v>
      </c>
      <c r="R1906" s="49" t="str">
        <f>IFERROR(__xludf.DUMMYFUNCTION("""COMPUTED_VALUE"""),"Mizi")</f>
        <v>Mizi</v>
      </c>
    </row>
    <row r="1907">
      <c r="A1907" s="156" t="str">
        <f>IFERROR(__xludf.DUMMYFUNCTION("""COMPUTED_VALUE"""),"https://drive.google.com/open?id=1MpUlyn5Pt1wbs484JlIy1BrK0mSarnzf&amp;authuser=jay.agg%40gmail.com&amp;usp=drive_fs")</f>
        <v>https://drive.google.com/open?id=1MpUlyn5Pt1wbs484JlIy1BrK0mSarnzf&amp;authuser=jay.agg%40gmail.com&amp;usp=drive_fs</v>
      </c>
      <c r="B1907" s="73" t="str">
        <f>IFERROR(__xludf.DUMMYFUNCTION("""COMPUTED_VALUE"""),"Mizi")</f>
        <v>Mizi</v>
      </c>
      <c r="C1907" s="73" t="str">
        <f>IFERROR(__xludf.DUMMYFUNCTION("""COMPUTED_VALUE"""),"Brochure")</f>
        <v>Brochure</v>
      </c>
      <c r="D1907" s="73" t="str">
        <f>IFERROR(__xludf.DUMMYFUNCTION("""COMPUTED_VALUE"""),"2*3 inches 3 Folds Open Size (8*3)")</f>
        <v>2*3 inches 3 Folds Open Size (8*3)</v>
      </c>
      <c r="E1907" s="77">
        <f>IFERROR(__xludf.DUMMYFUNCTION("""COMPUTED_VALUE"""),16.0)</f>
        <v>16</v>
      </c>
      <c r="F1907" s="77">
        <f>IFERROR(__xludf.DUMMYFUNCTION("""COMPUTED_VALUE"""),1926.0)</f>
        <v>1926</v>
      </c>
      <c r="G1907" s="77">
        <f>IFERROR(__xludf.DUMMYFUNCTION("""COMPUTED_VALUE"""),18.0)</f>
        <v>18</v>
      </c>
      <c r="H1907" s="77">
        <f>IFERROR(__xludf.DUMMYFUNCTION("""COMPUTED_VALUE"""),25.0)</f>
        <v>25</v>
      </c>
      <c r="I1907" s="77">
        <f>IFERROR(__xludf.DUMMYFUNCTION("""COMPUTED_VALUE"""),100.0)</f>
        <v>100</v>
      </c>
      <c r="J1907" s="73"/>
      <c r="K1907" s="73"/>
      <c r="L1907" s="73"/>
      <c r="M1907" s="77"/>
      <c r="N1907" s="77">
        <f>IFERROR(__xludf.DUMMYFUNCTION("""COMPUTED_VALUE"""),1.0)</f>
        <v>1</v>
      </c>
      <c r="O1907" s="49"/>
      <c r="P1907" s="49" t="str">
        <f>IFERROR(__xludf.DUMMYFUNCTION("""COMPUTED_VALUE"""),"Offset")</f>
        <v>Offset</v>
      </c>
      <c r="Q1907" s="49" t="str">
        <f>IFERROR(__xludf.DUMMYFUNCTION("""COMPUTED_VALUE"""),"Commercial")</f>
        <v>Commercial</v>
      </c>
      <c r="R1907" s="49" t="str">
        <f>IFERROR(__xludf.DUMMYFUNCTION("""COMPUTED_VALUE"""),"Mizi")</f>
        <v>Mizi</v>
      </c>
    </row>
    <row r="1908">
      <c r="A1908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8" s="73" t="str">
        <f>IFERROR(__xludf.DUMMYFUNCTION("""COMPUTED_VALUE"""),"Art Card")</f>
        <v>Art Card</v>
      </c>
      <c r="C1908" s="73" t="str">
        <f>IFERROR(__xludf.DUMMYFUNCTION("""COMPUTED_VALUE"""),"Art Card")</f>
        <v>Art Card</v>
      </c>
      <c r="D1908" s="73"/>
      <c r="E1908" s="77"/>
      <c r="F1908" s="77"/>
      <c r="G1908" s="77"/>
      <c r="H1908" s="77"/>
      <c r="I1908" s="77">
        <f>IFERROR(__xludf.DUMMYFUNCTION("""COMPUTED_VALUE"""),100.0)</f>
        <v>100</v>
      </c>
      <c r="J1908" s="73"/>
      <c r="K1908" s="73"/>
      <c r="L1908" s="73"/>
      <c r="M1908" s="77"/>
      <c r="N1908" s="77">
        <f>IFERROR(__xludf.DUMMYFUNCTION("""COMPUTED_VALUE"""),1.0)</f>
        <v>1</v>
      </c>
      <c r="O1908" s="49"/>
      <c r="P1908" s="49" t="str">
        <f>IFERROR(__xludf.DUMMYFUNCTION("""COMPUTED_VALUE"""),"Offset")</f>
        <v>Offset</v>
      </c>
      <c r="Q1908" s="49" t="str">
        <f>IFERROR(__xludf.DUMMYFUNCTION("""COMPUTED_VALUE"""),"Commercial")</f>
        <v>Commercial</v>
      </c>
      <c r="R1908" s="49" t="str">
        <f>IFERROR(__xludf.DUMMYFUNCTION("""COMPUTED_VALUE"""),"Art Card")</f>
        <v>Art Card</v>
      </c>
    </row>
    <row r="1909">
      <c r="A1909" s="156" t="str">
        <f>IFERROR(__xludf.DUMMYFUNCTION("""COMPUTED_VALUE"""),"https://drive.google.com/open?id=1lGTcPJhDe8dDbqwEnyeWOeNDd8qptLSd&amp;authuser=jay.agg%40gmail.com&amp;usp=drive_fs")</f>
        <v>https://drive.google.com/open?id=1lGTcPJhDe8dDbqwEnyeWOeNDd8qptLSd&amp;authuser=jay.agg%40gmail.com&amp;usp=drive_fs</v>
      </c>
      <c r="B1909" s="73" t="str">
        <f>IFERROR(__xludf.DUMMYFUNCTION("""COMPUTED_VALUE"""),"Covid Kit")</f>
        <v>Covid Kit</v>
      </c>
      <c r="C1909" s="73" t="str">
        <f>IFERROR(__xludf.DUMMYFUNCTION("""COMPUTED_VALUE"""),"Flyer")</f>
        <v>Flyer</v>
      </c>
      <c r="D1909" s="73" t="str">
        <f>IFERROR(__xludf.DUMMYFUNCTION("""COMPUTED_VALUE"""),"340*170 mm")</f>
        <v>340*170 mm</v>
      </c>
      <c r="E1909" s="77">
        <f>IFERROR(__xludf.DUMMYFUNCTION("""COMPUTED_VALUE"""),3.0)</f>
        <v>3</v>
      </c>
      <c r="F1909" s="77">
        <f>IFERROR(__xludf.DUMMYFUNCTION("""COMPUTED_VALUE"""),1926.0)</f>
        <v>1926</v>
      </c>
      <c r="G1909" s="77">
        <f>IFERROR(__xludf.DUMMYFUNCTION("""COMPUTED_VALUE"""),15.75)</f>
        <v>15.75</v>
      </c>
      <c r="H1909" s="77">
        <f>IFERROR(__xludf.DUMMYFUNCTION("""COMPUTED_VALUE"""),20.75)</f>
        <v>20.75</v>
      </c>
      <c r="I1909" s="77">
        <f>IFERROR(__xludf.DUMMYFUNCTION("""COMPUTED_VALUE"""),100.0)</f>
        <v>100</v>
      </c>
      <c r="J1909" s="73"/>
      <c r="K1909" s="73"/>
      <c r="L1909" s="73"/>
      <c r="M1909" s="77"/>
      <c r="N1909" s="77">
        <f>IFERROR(__xludf.DUMMYFUNCTION("""COMPUTED_VALUE"""),2.0)</f>
        <v>2</v>
      </c>
      <c r="O1909" s="49"/>
      <c r="P1909" s="49" t="str">
        <f>IFERROR(__xludf.DUMMYFUNCTION("""COMPUTED_VALUE"""),"Offset")</f>
        <v>Offset</v>
      </c>
      <c r="Q1909" s="49" t="str">
        <f>IFERROR(__xludf.DUMMYFUNCTION("""COMPUTED_VALUE"""),"Commercial")</f>
        <v>Commercial</v>
      </c>
      <c r="R1909" s="49" t="str">
        <f>IFERROR(__xludf.DUMMYFUNCTION("""COMPUTED_VALUE"""),"Covid Kit")</f>
        <v>Covid Kit</v>
      </c>
    </row>
    <row r="1910">
      <c r="A1910" s="156" t="str">
        <f>IFERROR(__xludf.DUMMYFUNCTION("""COMPUTED_VALUE"""),"https://drive.google.com/open?id=14ZgFjtk4ixUvZY8HCgSt1u9T2wW2pDH_&amp;authuser=jay.agg%40gmail.com&amp;usp=drive_fs")</f>
        <v>https://drive.google.com/open?id=14ZgFjtk4ixUvZY8HCgSt1u9T2wW2pDH_&amp;authuser=jay.agg%40gmail.com&amp;usp=drive_fs</v>
      </c>
      <c r="B1910" s="73" t="str">
        <f>IFERROR(__xludf.DUMMYFUNCTION("""COMPUTED_VALUE"""),"Tent Card")</f>
        <v>Tent Card</v>
      </c>
      <c r="C1910" s="73" t="str">
        <f>IFERROR(__xludf.DUMMYFUNCTION("""COMPUTED_VALUE"""),"A5")</f>
        <v>A5</v>
      </c>
      <c r="D1910" s="73" t="str">
        <f>IFERROR(__xludf.DUMMYFUNCTION("""COMPUTED_VALUE"""),"125*178 mm | 5*7 inch")</f>
        <v>125*178 mm | 5*7 inch</v>
      </c>
      <c r="E1910" s="77">
        <f>IFERROR(__xludf.DUMMYFUNCTION("""COMPUTED_VALUE"""),5.0)</f>
        <v>5</v>
      </c>
      <c r="F1910" s="77">
        <f>IFERROR(__xludf.DUMMYFUNCTION("""COMPUTED_VALUE"""),1926.0)</f>
        <v>1926</v>
      </c>
      <c r="G1910" s="77">
        <f>IFERROR(__xludf.DUMMYFUNCTION("""COMPUTED_VALUE"""),18.0)</f>
        <v>18</v>
      </c>
      <c r="H1910" s="77">
        <f>IFERROR(__xludf.DUMMYFUNCTION("""COMPUTED_VALUE"""),25.0)</f>
        <v>25</v>
      </c>
      <c r="I1910" s="77">
        <f>IFERROR(__xludf.DUMMYFUNCTION("""COMPUTED_VALUE"""),100.0)</f>
        <v>100</v>
      </c>
      <c r="J1910" s="73"/>
      <c r="K1910" s="73"/>
      <c r="L1910" s="73"/>
      <c r="M1910" s="77">
        <f>IFERROR(__xludf.DUMMYFUNCTION("""COMPUTED_VALUE"""),0.5)</f>
        <v>0.5</v>
      </c>
      <c r="N1910" s="77">
        <f>IFERROR(__xludf.DUMMYFUNCTION("""COMPUTED_VALUE"""),1.0)</f>
        <v>1</v>
      </c>
      <c r="O1910" s="49"/>
      <c r="P1910" s="49" t="str">
        <f>IFERROR(__xludf.DUMMYFUNCTION("""COMPUTED_VALUE"""),"Offset")</f>
        <v>Offset</v>
      </c>
      <c r="Q1910" s="49" t="str">
        <f>IFERROR(__xludf.DUMMYFUNCTION("""COMPUTED_VALUE"""),"Commercial")</f>
        <v>Commercial</v>
      </c>
      <c r="R1910" s="49" t="str">
        <f>IFERROR(__xludf.DUMMYFUNCTION("""COMPUTED_VALUE"""),"Tent Card")</f>
        <v>Tent Card</v>
      </c>
    </row>
    <row r="1911">
      <c r="A1911" s="156" t="str">
        <f>IFERROR(__xludf.DUMMYFUNCTION("""COMPUTED_VALUE"""),"https://drive.google.com/open?id=1Km3vKxcP6AK0KnTLdlJZLhCSAjBgPXGM&amp;authuser=jay.agg%40gmail.com&amp;usp=drive_fs")</f>
        <v>https://drive.google.com/open?id=1Km3vKxcP6AK0KnTLdlJZLhCSAjBgPXGM&amp;authuser=jay.agg%40gmail.com&amp;usp=drive_fs</v>
      </c>
      <c r="B1911" s="73" t="str">
        <f>IFERROR(__xludf.DUMMYFUNCTION("""COMPUTED_VALUE"""),"Gumming Sticker")</f>
        <v>Gumming Sticker</v>
      </c>
      <c r="C1911" s="73" t="str">
        <f>IFERROR(__xludf.DUMMYFUNCTION("""COMPUTED_VALUE"""),"Swab")</f>
        <v>Swab</v>
      </c>
      <c r="D1911" s="73" t="str">
        <f>IFERROR(__xludf.DUMMYFUNCTION("""COMPUTED_VALUE"""),"45*50 mm")</f>
        <v>45*50 mm</v>
      </c>
      <c r="E1911" s="77">
        <f>IFERROR(__xludf.DUMMYFUNCTION("""COMPUTED_VALUE"""),60.0)</f>
        <v>60</v>
      </c>
      <c r="F1911" s="77">
        <f>IFERROR(__xludf.DUMMYFUNCTION("""COMPUTED_VALUE"""),1926.0)</f>
        <v>1926</v>
      </c>
      <c r="G1911" s="77">
        <f>IFERROR(__xludf.DUMMYFUNCTION("""COMPUTED_VALUE"""),18.0)</f>
        <v>18</v>
      </c>
      <c r="H1911" s="77">
        <f>IFERROR(__xludf.DUMMYFUNCTION("""COMPUTED_VALUE"""),25.0)</f>
        <v>25</v>
      </c>
      <c r="I1911" s="77">
        <f>IFERROR(__xludf.DUMMYFUNCTION("""COMPUTED_VALUE"""),100.0)</f>
        <v>100</v>
      </c>
      <c r="J1911" s="73"/>
      <c r="K1911" s="73"/>
      <c r="L1911" s="73"/>
      <c r="M1911" s="77"/>
      <c r="N1911" s="77">
        <f>IFERROR(__xludf.DUMMYFUNCTION("""COMPUTED_VALUE"""),1.0)</f>
        <v>1</v>
      </c>
      <c r="O1911" s="49">
        <f>IFERROR(__xludf.DUMMYFUNCTION("""COMPUTED_VALUE"""),6.0)</f>
        <v>6</v>
      </c>
      <c r="P1911" s="49" t="str">
        <f>IFERROR(__xludf.DUMMYFUNCTION("""COMPUTED_VALUE"""),"Offset")</f>
        <v>Offset</v>
      </c>
      <c r="Q1911" s="49" t="str">
        <f>IFERROR(__xludf.DUMMYFUNCTION("""COMPUTED_VALUE"""),"Commercial")</f>
        <v>Commercial</v>
      </c>
      <c r="R1911" s="49" t="str">
        <f>IFERROR(__xludf.DUMMYFUNCTION("""COMPUTED_VALUE"""),"Gumming Sticker")</f>
        <v>Gumming Sticker</v>
      </c>
    </row>
    <row r="1912">
      <c r="A1912" s="156" t="str">
        <f>IFERROR(__xludf.DUMMYFUNCTION("""COMPUTED_VALUE"""),"https://drive.google.com/open?id=1UHFO5vYGglxzts3NaOsfsLTVwS7d6n69&amp;authuser=jay.agg%40gmail.com&amp;usp=drive_fs")</f>
        <v>https://drive.google.com/open?id=1UHFO5vYGglxzts3NaOsfsLTVwS7d6n69&amp;authuser=jay.agg%40gmail.com&amp;usp=drive_fs</v>
      </c>
      <c r="B1912" s="73" t="str">
        <f>IFERROR(__xludf.DUMMYFUNCTION("""COMPUTED_VALUE"""),"Envelop")</f>
        <v>Envelop</v>
      </c>
      <c r="C1912" s="73" t="str">
        <f>IFERROR(__xludf.DUMMYFUNCTION("""COMPUTED_VALUE"""),"A4")</f>
        <v>A4</v>
      </c>
      <c r="D1912" s="73" t="str">
        <f>IFERROR(__xludf.DUMMYFUNCTION("""COMPUTED_VALUE"""),"220*305 mm | 8.6*12 inch")</f>
        <v>220*305 mm | 8.6*12 inch</v>
      </c>
      <c r="E1912" s="77">
        <f>IFERROR(__xludf.DUMMYFUNCTION("""COMPUTED_VALUE"""),2.0)</f>
        <v>2</v>
      </c>
      <c r="F1912" s="77">
        <f>IFERROR(__xludf.DUMMYFUNCTION("""COMPUTED_VALUE"""),2029.0)</f>
        <v>2029</v>
      </c>
      <c r="G1912" s="77">
        <f>IFERROR(__xludf.DUMMYFUNCTION("""COMPUTED_VALUE"""),20.0)</f>
        <v>20</v>
      </c>
      <c r="H1912" s="77">
        <f>IFERROR(__xludf.DUMMYFUNCTION("""COMPUTED_VALUE"""),30.0)</f>
        <v>30</v>
      </c>
      <c r="I1912" s="77">
        <f>IFERROR(__xludf.DUMMYFUNCTION("""COMPUTED_VALUE"""),100.0)</f>
        <v>100</v>
      </c>
      <c r="J1912" s="73"/>
      <c r="K1912" s="73"/>
      <c r="L1912" s="73"/>
      <c r="M1912" s="77">
        <f>IFERROR(__xludf.DUMMYFUNCTION("""COMPUTED_VALUE"""),0.3)</f>
        <v>0.3</v>
      </c>
      <c r="N1912" s="77">
        <f>IFERROR(__xludf.DUMMYFUNCTION("""COMPUTED_VALUE"""),1.0)</f>
        <v>1</v>
      </c>
      <c r="O1912" s="49"/>
      <c r="P1912" s="49" t="str">
        <f>IFERROR(__xludf.DUMMYFUNCTION("""COMPUTED_VALUE"""),"Offset")</f>
        <v>Offset</v>
      </c>
      <c r="Q1912" s="49" t="str">
        <f>IFERROR(__xludf.DUMMYFUNCTION("""COMPUTED_VALUE"""),"Commercial")</f>
        <v>Commercial</v>
      </c>
      <c r="R1912" s="49" t="str">
        <f>IFERROR(__xludf.DUMMYFUNCTION("""COMPUTED_VALUE"""),"Envelop")</f>
        <v>Envelop</v>
      </c>
    </row>
    <row r="1913">
      <c r="A1913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13" s="73" t="str">
        <f>IFERROR(__xludf.DUMMYFUNCTION("""COMPUTED_VALUE"""),"Dangler")</f>
        <v>Dangler</v>
      </c>
      <c r="C1913" s="73" t="str">
        <f>IFERROR(__xludf.DUMMYFUNCTION("""COMPUTED_VALUE"""),"A4")</f>
        <v>A4</v>
      </c>
      <c r="D1913" s="73" t="str">
        <f>IFERROR(__xludf.DUMMYFUNCTION("""COMPUTED_VALUE"""),"8.3*11.7 inch")</f>
        <v>8.3*11.7 inch</v>
      </c>
      <c r="E1913" s="77">
        <f>IFERROR(__xludf.DUMMYFUNCTION("""COMPUTED_VALUE"""),4.0)</f>
        <v>4</v>
      </c>
      <c r="F1913" s="77">
        <f>IFERROR(__xludf.DUMMYFUNCTION("""COMPUTED_VALUE"""),1926.0)</f>
        <v>1926</v>
      </c>
      <c r="G1913" s="77">
        <f>IFERROR(__xludf.DUMMYFUNCTION("""COMPUTED_VALUE"""),18.0)</f>
        <v>18</v>
      </c>
      <c r="H1913" s="77">
        <f>IFERROR(__xludf.DUMMYFUNCTION("""COMPUTED_VALUE"""),25.0)</f>
        <v>25</v>
      </c>
      <c r="I1913" s="77">
        <f>IFERROR(__xludf.DUMMYFUNCTION("""COMPUTED_VALUE"""),100.0)</f>
        <v>100</v>
      </c>
      <c r="J1913" s="73"/>
      <c r="K1913" s="73"/>
      <c r="L1913" s="73"/>
      <c r="M1913" s="77"/>
      <c r="N1913" s="77">
        <f>IFERROR(__xludf.DUMMYFUNCTION("""COMPUTED_VALUE"""),1.0)</f>
        <v>1</v>
      </c>
      <c r="O1913" s="49"/>
      <c r="P1913" s="49" t="str">
        <f>IFERROR(__xludf.DUMMYFUNCTION("""COMPUTED_VALUE"""),"Offset")</f>
        <v>Offset</v>
      </c>
      <c r="Q1913" s="49" t="str">
        <f>IFERROR(__xludf.DUMMYFUNCTION("""COMPUTED_VALUE"""),"Commercial")</f>
        <v>Commercial</v>
      </c>
      <c r="R1913" s="49" t="str">
        <f>IFERROR(__xludf.DUMMYFUNCTION("""COMPUTED_VALUE"""),"Dangler")</f>
        <v>Dangler</v>
      </c>
    </row>
    <row r="1914">
      <c r="A1914" s="156" t="str">
        <f>IFERROR(__xludf.DUMMYFUNCTION("""COMPUTED_VALUE"""),"https://drive.google.com/open?id=16QquY8bEJohLFNmwCcmrh_kQH7_Sdq2Z&amp;authuser=jay.agg%40gmail.com&amp;usp=drive_fs")</f>
        <v>https://drive.google.com/open?id=16QquY8bEJohLFNmwCcmrh_kQH7_Sdq2Z&amp;authuser=jay.agg%40gmail.com&amp;usp=drive_fs</v>
      </c>
      <c r="B1914" s="73" t="str">
        <f>IFERROR(__xludf.DUMMYFUNCTION("""COMPUTED_VALUE"""),"Cashify")</f>
        <v>Cashify</v>
      </c>
      <c r="C1914" s="73" t="str">
        <f>IFERROR(__xludf.DUMMYFUNCTION("""COMPUTED_VALUE"""),"Dangler")</f>
        <v>Dangler</v>
      </c>
      <c r="D1914" s="73" t="str">
        <f>IFERROR(__xludf.DUMMYFUNCTION("""COMPUTED_VALUE"""),"7.25*7.25 inch")</f>
        <v>7.25*7.25 inch</v>
      </c>
      <c r="E1914" s="77">
        <f>IFERROR(__xludf.DUMMYFUNCTION("""COMPUTED_VALUE"""),6.0)</f>
        <v>6</v>
      </c>
      <c r="F1914" s="77">
        <f>IFERROR(__xludf.DUMMYFUNCTION("""COMPUTED_VALUE"""),1926.0)</f>
        <v>1926</v>
      </c>
      <c r="G1914" s="77">
        <f>IFERROR(__xludf.DUMMYFUNCTION("""COMPUTED_VALUE"""),18.0)</f>
        <v>18</v>
      </c>
      <c r="H1914" s="77">
        <f>IFERROR(__xludf.DUMMYFUNCTION("""COMPUTED_VALUE"""),23.0)</f>
        <v>23</v>
      </c>
      <c r="I1914" s="77">
        <f>IFERROR(__xludf.DUMMYFUNCTION("""COMPUTED_VALUE"""),100.0)</f>
        <v>100</v>
      </c>
      <c r="J1914" s="73"/>
      <c r="K1914" s="73"/>
      <c r="L1914" s="73"/>
      <c r="M1914" s="77"/>
      <c r="N1914" s="77">
        <f>IFERROR(__xludf.DUMMYFUNCTION("""COMPUTED_VALUE"""),1.0)</f>
        <v>1</v>
      </c>
      <c r="O1914" s="49"/>
      <c r="P1914" s="49" t="str">
        <f>IFERROR(__xludf.DUMMYFUNCTION("""COMPUTED_VALUE"""),"Offset")</f>
        <v>Offset</v>
      </c>
      <c r="Q1914" s="49" t="str">
        <f>IFERROR(__xludf.DUMMYFUNCTION("""COMPUTED_VALUE"""),"Commercial")</f>
        <v>Commercial</v>
      </c>
      <c r="R1914" s="49" t="str">
        <f>IFERROR(__xludf.DUMMYFUNCTION("""COMPUTED_VALUE"""),"Cashify")</f>
        <v>Cashify</v>
      </c>
    </row>
    <row r="1915">
      <c r="A1915" s="156" t="str">
        <f>IFERROR(__xludf.DUMMYFUNCTION("""COMPUTED_VALUE"""),"https://drive.google.com/open?id=16NQDHMOJH-LU7bzQdw4XaRNCFN08NYa0&amp;authuser=jay.agg%40gmail.com&amp;usp=drive_fs")</f>
        <v>https://drive.google.com/open?id=16NQDHMOJH-LU7bzQdw4XaRNCFN08NYa0&amp;authuser=jay.agg%40gmail.com&amp;usp=drive_fs</v>
      </c>
      <c r="B1915" s="73" t="str">
        <f>IFERROR(__xludf.DUMMYFUNCTION("""COMPUTED_VALUE"""),"Art Card")</f>
        <v>Art Card</v>
      </c>
      <c r="C1915" s="73" t="str">
        <f>IFERROR(__xludf.DUMMYFUNCTION("""COMPUTED_VALUE"""),"Business Card")</f>
        <v>Business Card</v>
      </c>
      <c r="D1915" s="73" t="str">
        <f>IFERROR(__xludf.DUMMYFUNCTION("""COMPUTED_VALUE"""),"88*55 mm | 3.5*2.1 inch")</f>
        <v>88*55 mm | 3.5*2.1 inch</v>
      </c>
      <c r="E1915" s="77">
        <f>IFERROR(__xludf.DUMMYFUNCTION("""COMPUTED_VALUE"""),50.0)</f>
        <v>50</v>
      </c>
      <c r="F1915" s="77">
        <f>IFERROR(__xludf.DUMMYFUNCTION("""COMPUTED_VALUE"""),1926.0)</f>
        <v>1926</v>
      </c>
      <c r="G1915" s="77">
        <f>IFERROR(__xludf.DUMMYFUNCTION("""COMPUTED_VALUE"""),18.0)</f>
        <v>18</v>
      </c>
      <c r="H1915" s="77">
        <f>IFERROR(__xludf.DUMMYFUNCTION("""COMPUTED_VALUE"""),23.0)</f>
        <v>23</v>
      </c>
      <c r="I1915" s="77">
        <f>IFERROR(__xludf.DUMMYFUNCTION("""COMPUTED_VALUE"""),100.0)</f>
        <v>100</v>
      </c>
      <c r="J1915" s="73"/>
      <c r="K1915" s="73"/>
      <c r="L1915" s="73"/>
      <c r="M1915" s="77"/>
      <c r="N1915" s="77">
        <f>IFERROR(__xludf.DUMMYFUNCTION("""COMPUTED_VALUE"""),1.0)</f>
        <v>1</v>
      </c>
      <c r="O1915" s="49"/>
      <c r="P1915" s="49" t="str">
        <f>IFERROR(__xludf.DUMMYFUNCTION("""COMPUTED_VALUE"""),"Offset")</f>
        <v>Offset</v>
      </c>
      <c r="Q1915" s="49" t="str">
        <f>IFERROR(__xludf.DUMMYFUNCTION("""COMPUTED_VALUE"""),"Commercial")</f>
        <v>Commercial</v>
      </c>
      <c r="R1915" s="49" t="str">
        <f>IFERROR(__xludf.DUMMYFUNCTION("""COMPUTED_VALUE"""),"Art Card")</f>
        <v>Art Card</v>
      </c>
    </row>
    <row r="1916">
      <c r="A1916" s="73"/>
      <c r="B1916" s="73" t="str">
        <f>IFERROR(__xludf.DUMMYFUNCTION("""COMPUTED_VALUE"""),"Mizi")</f>
        <v>Mizi</v>
      </c>
      <c r="C1916" s="73" t="str">
        <f>IFERROR(__xludf.DUMMYFUNCTION("""COMPUTED_VALUE"""),"Brochure")</f>
        <v>Brochure</v>
      </c>
      <c r="D1916" s="73" t="str">
        <f>IFERROR(__xludf.DUMMYFUNCTION("""COMPUTED_VALUE"""),"2*2.9 inch 6 folds Open Size (12*2.9)")</f>
        <v>2*2.9 inch 6 folds Open Size (12*2.9)</v>
      </c>
      <c r="E1916" s="77">
        <f>IFERROR(__xludf.DUMMYFUNCTION("""COMPUTED_VALUE"""),12.0)</f>
        <v>12</v>
      </c>
      <c r="F1916" s="77">
        <f>IFERROR(__xludf.DUMMYFUNCTION("""COMPUTED_VALUE"""),1926.0)</f>
        <v>1926</v>
      </c>
      <c r="G1916" s="77">
        <f>IFERROR(__xludf.DUMMYFUNCTION("""COMPUTED_VALUE"""),18.0)</f>
        <v>18</v>
      </c>
      <c r="H1916" s="77">
        <f>IFERROR(__xludf.DUMMYFUNCTION("""COMPUTED_VALUE"""),25.0)</f>
        <v>25</v>
      </c>
      <c r="I1916" s="77">
        <f>IFERROR(__xludf.DUMMYFUNCTION("""COMPUTED_VALUE"""),100.0)</f>
        <v>100</v>
      </c>
      <c r="J1916" s="73"/>
      <c r="K1916" s="73"/>
      <c r="L1916" s="73"/>
      <c r="M1916" s="77"/>
      <c r="N1916" s="77">
        <f>IFERROR(__xludf.DUMMYFUNCTION("""COMPUTED_VALUE"""),1.0)</f>
        <v>1</v>
      </c>
      <c r="O1916" s="49"/>
      <c r="P1916" s="49" t="str">
        <f>IFERROR(__xludf.DUMMYFUNCTION("""COMPUTED_VALUE"""),"Offset")</f>
        <v>Offset</v>
      </c>
      <c r="Q1916" s="49" t="str">
        <f>IFERROR(__xludf.DUMMYFUNCTION("""COMPUTED_VALUE"""),"Commercial")</f>
        <v>Commercial</v>
      </c>
      <c r="R1916" s="49" t="str">
        <f>IFERROR(__xludf.DUMMYFUNCTION("""COMPUTED_VALUE"""),"Mizi")</f>
        <v>Mizi</v>
      </c>
    </row>
    <row r="1917">
      <c r="A1917" s="73"/>
      <c r="B1917" s="73" t="str">
        <f>IFERROR(__xludf.DUMMYFUNCTION("""COMPUTED_VALUE"""),"Mizi")</f>
        <v>Mizi</v>
      </c>
      <c r="C1917" s="73" t="str">
        <f>IFERROR(__xludf.DUMMYFUNCTION("""COMPUTED_VALUE"""),"Brochure")</f>
        <v>Brochure</v>
      </c>
      <c r="D1917" s="73" t="str">
        <f>IFERROR(__xludf.DUMMYFUNCTION("""COMPUTED_VALUE"""),"2*2.9 inch 8 folds Open Size (16*2.9)")</f>
        <v>2*2.9 inch 8 folds Open Size (16*2.9)</v>
      </c>
      <c r="E1917" s="77">
        <f>IFERROR(__xludf.DUMMYFUNCTION("""COMPUTED_VALUE"""),8.0)</f>
        <v>8</v>
      </c>
      <c r="F1917" s="77">
        <f>IFERROR(__xludf.DUMMYFUNCTION("""COMPUTED_VALUE"""),1926.0)</f>
        <v>1926</v>
      </c>
      <c r="G1917" s="77">
        <f>IFERROR(__xludf.DUMMYFUNCTION("""COMPUTED_VALUE"""),18.0)</f>
        <v>18</v>
      </c>
      <c r="H1917" s="77">
        <f>IFERROR(__xludf.DUMMYFUNCTION("""COMPUTED_VALUE"""),25.0)</f>
        <v>25</v>
      </c>
      <c r="I1917" s="77">
        <f>IFERROR(__xludf.DUMMYFUNCTION("""COMPUTED_VALUE"""),100.0)</f>
        <v>100</v>
      </c>
      <c r="J1917" s="73"/>
      <c r="K1917" s="73"/>
      <c r="L1917" s="73"/>
      <c r="M1917" s="77"/>
      <c r="N1917" s="77">
        <f>IFERROR(__xludf.DUMMYFUNCTION("""COMPUTED_VALUE"""),1.0)</f>
        <v>1</v>
      </c>
      <c r="O1917" s="49"/>
      <c r="P1917" s="49" t="str">
        <f>IFERROR(__xludf.DUMMYFUNCTION("""COMPUTED_VALUE"""),"Offset")</f>
        <v>Offset</v>
      </c>
      <c r="Q1917" s="49" t="str">
        <f>IFERROR(__xludf.DUMMYFUNCTION("""COMPUTED_VALUE"""),"Commercial")</f>
        <v>Commercial</v>
      </c>
      <c r="R1917" s="49" t="str">
        <f>IFERROR(__xludf.DUMMYFUNCTION("""COMPUTED_VALUE"""),"Mizi")</f>
        <v>Mizi</v>
      </c>
    </row>
    <row r="1918">
      <c r="A1918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18" s="73" t="str">
        <f>IFERROR(__xludf.DUMMYFUNCTION("""COMPUTED_VALUE"""),"Safety Product")</f>
        <v>Safety Product</v>
      </c>
      <c r="C1918" s="73" t="str">
        <f>IFERROR(__xludf.DUMMYFUNCTION("""COMPUTED_VALUE"""),"Mask")</f>
        <v>Mask</v>
      </c>
      <c r="D1918" s="73" t="str">
        <f>IFERROR(__xludf.DUMMYFUNCTION("""COMPUTED_VALUE"""),"152x152x25 mm")</f>
        <v>152x152x25 mm</v>
      </c>
      <c r="E1918" s="77">
        <f>IFERROR(__xludf.DUMMYFUNCTION("""COMPUTED_VALUE"""),4.0)</f>
        <v>4</v>
      </c>
      <c r="F1918" s="77">
        <f>IFERROR(__xludf.DUMMYFUNCTION("""COMPUTED_VALUE"""),2029.0)</f>
        <v>2029</v>
      </c>
      <c r="G1918" s="77">
        <f>IFERROR(__xludf.DUMMYFUNCTION("""COMPUTED_VALUE"""),20.0)</f>
        <v>20</v>
      </c>
      <c r="H1918" s="77">
        <f>IFERROR(__xludf.DUMMYFUNCTION("""COMPUTED_VALUE"""),30.0)</f>
        <v>30</v>
      </c>
      <c r="I1918" s="77">
        <f>IFERROR(__xludf.DUMMYFUNCTION("""COMPUTED_VALUE"""),100.0)</f>
        <v>100</v>
      </c>
      <c r="J1918" s="73"/>
      <c r="K1918" s="73"/>
      <c r="L1918" s="73"/>
      <c r="M1918" s="77">
        <f>IFERROR(__xludf.DUMMYFUNCTION("""COMPUTED_VALUE"""),0.1)</f>
        <v>0.1</v>
      </c>
      <c r="N1918" s="77">
        <f>IFERROR(__xludf.DUMMYFUNCTION("""COMPUTED_VALUE"""),1.0)</f>
        <v>1</v>
      </c>
      <c r="O1918" s="49"/>
      <c r="P1918" s="49" t="str">
        <f>IFERROR(__xludf.DUMMYFUNCTION("""COMPUTED_VALUE"""),"Offset")</f>
        <v>Offset</v>
      </c>
      <c r="Q1918" s="49" t="str">
        <f>IFERROR(__xludf.DUMMYFUNCTION("""COMPUTED_VALUE"""),"Packaging")</f>
        <v>Packaging</v>
      </c>
      <c r="R1918" s="49" t="str">
        <f>IFERROR(__xludf.DUMMYFUNCTION("""COMPUTED_VALUE"""),"Safety Product")</f>
        <v>Safety Product</v>
      </c>
    </row>
    <row r="1919">
      <c r="A1919" s="156" t="str">
        <f>IFERROR(__xludf.DUMMYFUNCTION("""COMPUTED_VALUE"""),"https://drive.google.com/open?id=1an5CMDBewYe74ImHHlBr6Fkqe1xKNv4A&amp;authuser=jay.agg%40gmail.com&amp;usp=drive_fs")</f>
        <v>https://drive.google.com/open?id=1an5CMDBewYe74ImHHlBr6Fkqe1xKNv4A&amp;authuser=jay.agg%40gmail.com&amp;usp=drive_fs</v>
      </c>
      <c r="B1919" s="73" t="str">
        <f>IFERROR(__xludf.DUMMYFUNCTION("""COMPUTED_VALUE"""),"Safety Product")</f>
        <v>Safety Product</v>
      </c>
      <c r="C1919" s="73" t="str">
        <f>IFERROR(__xludf.DUMMYFUNCTION("""COMPUTED_VALUE"""),"Mask")</f>
        <v>Mask</v>
      </c>
      <c r="D1919" s="73" t="str">
        <f>IFERROR(__xludf.DUMMYFUNCTION("""COMPUTED_VALUE"""),"5x6x.75 inch")</f>
        <v>5x6x.75 inch</v>
      </c>
      <c r="E1919" s="77">
        <f>IFERROR(__xludf.DUMMYFUNCTION("""COMPUTED_VALUE"""),4.0)</f>
        <v>4</v>
      </c>
      <c r="F1919" s="77">
        <f>IFERROR(__xludf.DUMMYFUNCTION("""COMPUTED_VALUE"""),1926.0)</f>
        <v>1926</v>
      </c>
      <c r="G1919" s="77">
        <f>IFERROR(__xludf.DUMMYFUNCTION("""COMPUTED_VALUE"""),19.0)</f>
        <v>19</v>
      </c>
      <c r="H1919" s="77">
        <f>IFERROR(__xludf.DUMMYFUNCTION("""COMPUTED_VALUE"""),26.0)</f>
        <v>26</v>
      </c>
      <c r="I1919" s="77">
        <f>IFERROR(__xludf.DUMMYFUNCTION("""COMPUTED_VALUE"""),100.0)</f>
        <v>100</v>
      </c>
      <c r="J1919" s="73"/>
      <c r="K1919" s="73"/>
      <c r="L1919" s="73"/>
      <c r="M1919" s="77">
        <f>IFERROR(__xludf.DUMMYFUNCTION("""COMPUTED_VALUE"""),0.1)</f>
        <v>0.1</v>
      </c>
      <c r="N1919" s="77">
        <f>IFERROR(__xludf.DUMMYFUNCTION("""COMPUTED_VALUE"""),1.0)</f>
        <v>1</v>
      </c>
      <c r="O1919" s="49"/>
      <c r="P1919" s="49" t="str">
        <f>IFERROR(__xludf.DUMMYFUNCTION("""COMPUTED_VALUE"""),"Offset")</f>
        <v>Offset</v>
      </c>
      <c r="Q1919" s="49" t="str">
        <f>IFERROR(__xludf.DUMMYFUNCTION("""COMPUTED_VALUE"""),"Packaging")</f>
        <v>Packaging</v>
      </c>
      <c r="R1919" s="49" t="str">
        <f>IFERROR(__xludf.DUMMYFUNCTION("""COMPUTED_VALUE"""),"Safety Product")</f>
        <v>Safety Product</v>
      </c>
    </row>
    <row r="1920">
      <c r="A1920" s="156" t="str">
        <f>IFERROR(__xludf.DUMMYFUNCTION("""COMPUTED_VALUE"""),"https://drive.google.com/open?id=1aZhE49nbNks5v5NF8xTOwqNgOWqHetPT&amp;authuser=jay.agg%40gmail.com&amp;usp=drive_fs")</f>
        <v>https://drive.google.com/open?id=1aZhE49nbNks5v5NF8xTOwqNgOWqHetPT&amp;authuser=jay.agg%40gmail.com&amp;usp=drive_fs</v>
      </c>
      <c r="B1920" s="73" t="str">
        <f>IFERROR(__xludf.DUMMYFUNCTION("""COMPUTED_VALUE"""),"Safety Product")</f>
        <v>Safety Product</v>
      </c>
      <c r="C1920" s="73" t="str">
        <f>IFERROR(__xludf.DUMMYFUNCTION("""COMPUTED_VALUE"""),"Mask")</f>
        <v>Mask</v>
      </c>
      <c r="D1920" s="73" t="str">
        <f>IFERROR(__xludf.DUMMYFUNCTION("""COMPUTED_VALUE"""),"20pcs 120*120*150 mm | 4.7*4.7*5.9 inch")</f>
        <v>20pcs 120*120*150 mm | 4.7*4.7*5.9 inch</v>
      </c>
      <c r="E1920" s="77">
        <f>IFERROR(__xludf.DUMMYFUNCTION("""COMPUTED_VALUE"""),2.0)</f>
        <v>2</v>
      </c>
      <c r="F1920" s="77">
        <f>IFERROR(__xludf.DUMMYFUNCTION("""COMPUTED_VALUE"""),2029.0)</f>
        <v>2029</v>
      </c>
      <c r="G1920" s="77">
        <f>IFERROR(__xludf.DUMMYFUNCTION("""COMPUTED_VALUE"""),20.0)</f>
        <v>20</v>
      </c>
      <c r="H1920" s="77">
        <f>IFERROR(__xludf.DUMMYFUNCTION("""COMPUTED_VALUE"""),24.0)</f>
        <v>24</v>
      </c>
      <c r="I1920" s="77">
        <f>IFERROR(__xludf.DUMMYFUNCTION("""COMPUTED_VALUE"""),100.0)</f>
        <v>100</v>
      </c>
      <c r="J1920" s="73"/>
      <c r="K1920" s="73"/>
      <c r="L1920" s="73"/>
      <c r="M1920" s="77">
        <f>IFERROR(__xludf.DUMMYFUNCTION("""COMPUTED_VALUE"""),0.1)</f>
        <v>0.1</v>
      </c>
      <c r="N1920" s="77">
        <f>IFERROR(__xludf.DUMMYFUNCTION("""COMPUTED_VALUE"""),1.0)</f>
        <v>1</v>
      </c>
      <c r="O1920" s="49"/>
      <c r="P1920" s="49" t="str">
        <f>IFERROR(__xludf.DUMMYFUNCTION("""COMPUTED_VALUE"""),"Offset")</f>
        <v>Offset</v>
      </c>
      <c r="Q1920" s="49" t="str">
        <f>IFERROR(__xludf.DUMMYFUNCTION("""COMPUTED_VALUE"""),"Packaging")</f>
        <v>Packaging</v>
      </c>
      <c r="R1920" s="49" t="str">
        <f>IFERROR(__xludf.DUMMYFUNCTION("""COMPUTED_VALUE"""),"Safety Product")</f>
        <v>Safety Product</v>
      </c>
    </row>
    <row r="1921">
      <c r="A1921" s="156" t="str">
        <f>IFERROR(__xludf.DUMMYFUNCTION("""COMPUTED_VALUE"""),"https://drive.google.com/open?id=1aW4-M_og5WaVQQ4iizA2NS19wRQUIaUE&amp;authuser=jay.agg%40gmail.com&amp;usp=drive_fs")</f>
        <v>https://drive.google.com/open?id=1aW4-M_og5WaVQQ4iizA2NS19wRQUIaUE&amp;authuser=jay.agg%40gmail.com&amp;usp=drive_fs</v>
      </c>
      <c r="B1921" s="73" t="str">
        <f>IFERROR(__xludf.DUMMYFUNCTION("""COMPUTED_VALUE"""),"Safety Product")</f>
        <v>Safety Product</v>
      </c>
      <c r="C1921" s="73" t="str">
        <f>IFERROR(__xludf.DUMMYFUNCTION("""COMPUTED_VALUE"""),"Gloves")</f>
        <v>Gloves</v>
      </c>
      <c r="D1921" s="73" t="str">
        <f>IFERROR(__xludf.DUMMYFUNCTION("""COMPUTED_VALUE"""),"64*127*228 mm | 9*5*2.5 inch")</f>
        <v>64*127*228 mm | 9*5*2.5 inch</v>
      </c>
      <c r="E1921" s="77">
        <f>IFERROR(__xludf.DUMMYFUNCTION("""COMPUTED_VALUE"""),2.0)</f>
        <v>2</v>
      </c>
      <c r="F1921" s="77">
        <f>IFERROR(__xludf.DUMMYFUNCTION("""COMPUTED_VALUE"""),2029.0)</f>
        <v>2029</v>
      </c>
      <c r="G1921" s="77">
        <f>IFERROR(__xludf.DUMMYFUNCTION("""COMPUTED_VALUE"""),17.5)</f>
        <v>17.5</v>
      </c>
      <c r="H1921" s="77">
        <f>IFERROR(__xludf.DUMMYFUNCTION("""COMPUTED_VALUE"""),28.0)</f>
        <v>28</v>
      </c>
      <c r="I1921" s="77">
        <f>IFERROR(__xludf.DUMMYFUNCTION("""COMPUTED_VALUE"""),100.0)</f>
        <v>100</v>
      </c>
      <c r="J1921" s="73"/>
      <c r="K1921" s="73"/>
      <c r="L1921" s="73"/>
      <c r="M1921" s="77">
        <f>IFERROR(__xludf.DUMMYFUNCTION("""COMPUTED_VALUE"""),0.1)</f>
        <v>0.1</v>
      </c>
      <c r="N1921" s="77">
        <f>IFERROR(__xludf.DUMMYFUNCTION("""COMPUTED_VALUE"""),1.0)</f>
        <v>1</v>
      </c>
      <c r="O1921" s="49"/>
      <c r="P1921" s="49" t="str">
        <f>IFERROR(__xludf.DUMMYFUNCTION("""COMPUTED_VALUE"""),"Offset")</f>
        <v>Offset</v>
      </c>
      <c r="Q1921" s="49" t="str">
        <f>IFERROR(__xludf.DUMMYFUNCTION("""COMPUTED_VALUE"""),"Packaging")</f>
        <v>Packaging</v>
      </c>
      <c r="R1921" s="49" t="str">
        <f>IFERROR(__xludf.DUMMYFUNCTION("""COMPUTED_VALUE"""),"Safety Product")</f>
        <v>Safety Product</v>
      </c>
    </row>
    <row r="1922">
      <c r="A1922" s="156" t="str">
        <f>IFERROR(__xludf.DUMMYFUNCTION("""COMPUTED_VALUE"""),"https://drive.google.com/open?id=1aUqTN3Yfja9uGrvVFJCXOeSB61Z_WUGg&amp;authuser=jay.agg%40gmail.com&amp;usp=drive_fs")</f>
        <v>https://drive.google.com/open?id=1aUqTN3Yfja9uGrvVFJCXOeSB61Z_WUGg&amp;authuser=jay.agg%40gmail.com&amp;usp=drive_fs</v>
      </c>
      <c r="B1922" s="73" t="str">
        <f>IFERROR(__xludf.DUMMYFUNCTION("""COMPUTED_VALUE"""),"Safety Product")</f>
        <v>Safety Product</v>
      </c>
      <c r="C1922" s="73" t="str">
        <f>IFERROR(__xludf.DUMMYFUNCTION("""COMPUTED_VALUE"""),"Mask")</f>
        <v>Mask</v>
      </c>
      <c r="D1922" s="73" t="str">
        <f>IFERROR(__xludf.DUMMYFUNCTION("""COMPUTED_VALUE"""),"203*102*76 mm | 8*4*3 inch")</f>
        <v>203*102*76 mm | 8*4*3 inch</v>
      </c>
      <c r="E1922" s="77">
        <f>IFERROR(__xludf.DUMMYFUNCTION("""COMPUTED_VALUE"""),2.0)</f>
        <v>2</v>
      </c>
      <c r="F1922" s="77">
        <f>IFERROR(__xludf.DUMMYFUNCTION("""COMPUTED_VALUE"""),1926.0)</f>
        <v>1926</v>
      </c>
      <c r="G1922" s="77">
        <f>IFERROR(__xludf.DUMMYFUNCTION("""COMPUTED_VALUE"""),18.0)</f>
        <v>18</v>
      </c>
      <c r="H1922" s="77">
        <f>IFERROR(__xludf.DUMMYFUNCTION("""COMPUTED_VALUE"""),25.0)</f>
        <v>25</v>
      </c>
      <c r="I1922" s="77">
        <f>IFERROR(__xludf.DUMMYFUNCTION("""COMPUTED_VALUE"""),100.0)</f>
        <v>100</v>
      </c>
      <c r="J1922" s="73"/>
      <c r="K1922" s="73"/>
      <c r="L1922" s="73"/>
      <c r="M1922" s="77">
        <f>IFERROR(__xludf.DUMMYFUNCTION("""COMPUTED_VALUE"""),0.1)</f>
        <v>0.1</v>
      </c>
      <c r="N1922" s="77">
        <f>IFERROR(__xludf.DUMMYFUNCTION("""COMPUTED_VALUE"""),1.0)</f>
        <v>1</v>
      </c>
      <c r="O1922" s="49"/>
      <c r="P1922" s="49" t="str">
        <f>IFERROR(__xludf.DUMMYFUNCTION("""COMPUTED_VALUE"""),"Offset")</f>
        <v>Offset</v>
      </c>
      <c r="Q1922" s="49" t="str">
        <f>IFERROR(__xludf.DUMMYFUNCTION("""COMPUTED_VALUE"""),"Packaging")</f>
        <v>Packaging</v>
      </c>
      <c r="R1922" s="49" t="str">
        <f>IFERROR(__xludf.DUMMYFUNCTION("""COMPUTED_VALUE"""),"Safety Product")</f>
        <v>Safety Product</v>
      </c>
    </row>
    <row r="1923">
      <c r="A1923" s="156" t="str">
        <f>IFERROR(__xludf.DUMMYFUNCTION("""COMPUTED_VALUE"""),"https://drive.google.com/open?id=1aUiaC-vF4683g7c5wBnETHAU2BoeMozw&amp;authuser=jay.agg%40gmail.com&amp;usp=drive_fs")</f>
        <v>https://drive.google.com/open?id=1aUiaC-vF4683g7c5wBnETHAU2BoeMozw&amp;authuser=jay.agg%40gmail.com&amp;usp=drive_fs</v>
      </c>
      <c r="B1923" s="73" t="str">
        <f>IFERROR(__xludf.DUMMYFUNCTION("""COMPUTED_VALUE"""),"Safety Product")</f>
        <v>Safety Product</v>
      </c>
      <c r="C1923" s="73" t="str">
        <f>IFERROR(__xludf.DUMMYFUNCTION("""COMPUTED_VALUE"""),"Mask")</f>
        <v>Mask</v>
      </c>
      <c r="D1923" s="73" t="str">
        <f>IFERROR(__xludf.DUMMYFUNCTION("""COMPUTED_VALUE"""),"125*20*160 mm | 5*.75*6.25 inch")</f>
        <v>125*20*160 mm | 5*.75*6.25 inch</v>
      </c>
      <c r="E1923" s="77">
        <f>IFERROR(__xludf.DUMMYFUNCTION("""COMPUTED_VALUE"""),4.0)</f>
        <v>4</v>
      </c>
      <c r="F1923" s="77">
        <f>IFERROR(__xludf.DUMMYFUNCTION("""COMPUTED_VALUE"""),1926.0)</f>
        <v>1926</v>
      </c>
      <c r="G1923" s="77">
        <f>IFERROR(__xludf.DUMMYFUNCTION("""COMPUTED_VALUE"""),18.0)</f>
        <v>18</v>
      </c>
      <c r="H1923" s="77">
        <f>IFERROR(__xludf.DUMMYFUNCTION("""COMPUTED_VALUE"""),25.0)</f>
        <v>25</v>
      </c>
      <c r="I1923" s="77">
        <f>IFERROR(__xludf.DUMMYFUNCTION("""COMPUTED_VALUE"""),100.0)</f>
        <v>100</v>
      </c>
      <c r="J1923" s="73"/>
      <c r="K1923" s="73"/>
      <c r="L1923" s="73"/>
      <c r="M1923" s="77">
        <f>IFERROR(__xludf.DUMMYFUNCTION("""COMPUTED_VALUE"""),0.1)</f>
        <v>0.1</v>
      </c>
      <c r="N1923" s="77">
        <f>IFERROR(__xludf.DUMMYFUNCTION("""COMPUTED_VALUE"""),1.0)</f>
        <v>1</v>
      </c>
      <c r="O1923" s="49"/>
      <c r="P1923" s="49" t="str">
        <f>IFERROR(__xludf.DUMMYFUNCTION("""COMPUTED_VALUE"""),"Offset")</f>
        <v>Offset</v>
      </c>
      <c r="Q1923" s="49" t="str">
        <f>IFERROR(__xludf.DUMMYFUNCTION("""COMPUTED_VALUE"""),"Packaging")</f>
        <v>Packaging</v>
      </c>
      <c r="R1923" s="49" t="str">
        <f>IFERROR(__xludf.DUMMYFUNCTION("""COMPUTED_VALUE"""),"Safety Product")</f>
        <v>Safety Product</v>
      </c>
    </row>
    <row r="1924">
      <c r="A1924" s="156" t="str">
        <f>IFERROR(__xludf.DUMMYFUNCTION("""COMPUTED_VALUE"""),"https://drive.google.com/open?id=1kHug4D5B3xmPw98bs17ceLDkoSYJEXP9&amp;authuser=jay.agg%40gmail.com&amp;usp=drive_fs")</f>
        <v>https://drive.google.com/open?id=1kHug4D5B3xmPw98bs17ceLDkoSYJEXP9&amp;authuser=jay.agg%40gmail.com&amp;usp=drive_fs</v>
      </c>
      <c r="B1924" s="73" t="str">
        <f>IFERROR(__xludf.DUMMYFUNCTION("""COMPUTED_VALUE"""),"Safety Product")</f>
        <v>Safety Product</v>
      </c>
      <c r="C1924" s="73" t="str">
        <f>IFERROR(__xludf.DUMMYFUNCTION("""COMPUTED_VALUE"""),"Mask")</f>
        <v>Mask</v>
      </c>
      <c r="D1924" s="73" t="str">
        <f>IFERROR(__xludf.DUMMYFUNCTION("""COMPUTED_VALUE"""),"180*80*100 mm | 7*3*4 inch")</f>
        <v>180*80*100 mm | 7*3*4 inch</v>
      </c>
      <c r="E1924" s="77">
        <f>IFERROR(__xludf.DUMMYFUNCTION("""COMPUTED_VALUE"""),2.0)</f>
        <v>2</v>
      </c>
      <c r="F1924" s="77">
        <f>IFERROR(__xludf.DUMMYFUNCTION("""COMPUTED_VALUE"""),1926.0)</f>
        <v>1926</v>
      </c>
      <c r="G1924" s="77">
        <f>IFERROR(__xludf.DUMMYFUNCTION("""COMPUTED_VALUE"""),18.0)</f>
        <v>18</v>
      </c>
      <c r="H1924" s="77">
        <f>IFERROR(__xludf.DUMMYFUNCTION("""COMPUTED_VALUE"""),21.0)</f>
        <v>21</v>
      </c>
      <c r="I1924" s="77">
        <f>IFERROR(__xludf.DUMMYFUNCTION("""COMPUTED_VALUE"""),100.0)</f>
        <v>100</v>
      </c>
      <c r="J1924" s="73"/>
      <c r="K1924" s="73"/>
      <c r="L1924" s="73"/>
      <c r="M1924" s="77">
        <f>IFERROR(__xludf.DUMMYFUNCTION("""COMPUTED_VALUE"""),0.1)</f>
        <v>0.1</v>
      </c>
      <c r="N1924" s="77">
        <f>IFERROR(__xludf.DUMMYFUNCTION("""COMPUTED_VALUE"""),1.0)</f>
        <v>1</v>
      </c>
      <c r="O1924" s="49"/>
      <c r="P1924" s="49" t="str">
        <f>IFERROR(__xludf.DUMMYFUNCTION("""COMPUTED_VALUE"""),"Offset")</f>
        <v>Offset</v>
      </c>
      <c r="Q1924" s="49" t="str">
        <f>IFERROR(__xludf.DUMMYFUNCTION("""COMPUTED_VALUE"""),"Packaging")</f>
        <v>Packaging</v>
      </c>
      <c r="R1924" s="49" t="str">
        <f>IFERROR(__xludf.DUMMYFUNCTION("""COMPUTED_VALUE"""),"Safety Product")</f>
        <v>Safety Product</v>
      </c>
    </row>
    <row r="1925">
      <c r="A1925" s="156" t="str">
        <f>IFERROR(__xludf.DUMMYFUNCTION("""COMPUTED_VALUE"""),"https://drive.google.com/open?id=1kcneFD5NOIG2Vho_TXTG9oHyo678Cj_y&amp;authuser=jay.agg%40gmail.com&amp;usp=drive_fs")</f>
        <v>https://drive.google.com/open?id=1kcneFD5NOIG2Vho_TXTG9oHyo678Cj_y&amp;authuser=jay.agg%40gmail.com&amp;usp=drive_fs</v>
      </c>
      <c r="B1925" s="73" t="str">
        <f>IFERROR(__xludf.DUMMYFUNCTION("""COMPUTED_VALUE"""),"Safety Product")</f>
        <v>Safety Product</v>
      </c>
      <c r="C1925" s="73" t="str">
        <f>IFERROR(__xludf.DUMMYFUNCTION("""COMPUTED_VALUE"""),"Mask")</f>
        <v>Mask</v>
      </c>
      <c r="D1925" s="73" t="str">
        <f>IFERROR(__xludf.DUMMYFUNCTION("""COMPUTED_VALUE"""),"Envelop 170*120 mm | 6.7*1.9 inch")</f>
        <v>Envelop 170*120 mm | 6.7*1.9 inch</v>
      </c>
      <c r="E1925" s="77">
        <f>IFERROR(__xludf.DUMMYFUNCTION("""COMPUTED_VALUE"""),4.0)</f>
        <v>4</v>
      </c>
      <c r="F1925" s="77">
        <f>IFERROR(__xludf.DUMMYFUNCTION("""COMPUTED_VALUE"""),1926.0)</f>
        <v>1926</v>
      </c>
      <c r="G1925" s="77">
        <f>IFERROR(__xludf.DUMMYFUNCTION("""COMPUTED_VALUE"""),18.0)</f>
        <v>18</v>
      </c>
      <c r="H1925" s="77">
        <f>IFERROR(__xludf.DUMMYFUNCTION("""COMPUTED_VALUE"""),23.0)</f>
        <v>23</v>
      </c>
      <c r="I1925" s="77">
        <f>IFERROR(__xludf.DUMMYFUNCTION("""COMPUTED_VALUE"""),100.0)</f>
        <v>100</v>
      </c>
      <c r="J1925" s="73"/>
      <c r="K1925" s="73"/>
      <c r="L1925" s="73"/>
      <c r="M1925" s="77">
        <f>IFERROR(__xludf.DUMMYFUNCTION("""COMPUTED_VALUE"""),0.16)</f>
        <v>0.16</v>
      </c>
      <c r="N1925" s="77">
        <f>IFERROR(__xludf.DUMMYFUNCTION("""COMPUTED_VALUE"""),1.0)</f>
        <v>1</v>
      </c>
      <c r="O1925" s="49"/>
      <c r="P1925" s="49" t="str">
        <f>IFERROR(__xludf.DUMMYFUNCTION("""COMPUTED_VALUE"""),"Offset")</f>
        <v>Offset</v>
      </c>
      <c r="Q1925" s="49" t="str">
        <f>IFERROR(__xludf.DUMMYFUNCTION("""COMPUTED_VALUE"""),"Packaging")</f>
        <v>Packaging</v>
      </c>
      <c r="R1925" s="49" t="str">
        <f>IFERROR(__xludf.DUMMYFUNCTION("""COMPUTED_VALUE"""),"Safety Product")</f>
        <v>Safety Product</v>
      </c>
    </row>
    <row r="1926">
      <c r="A1926" s="156" t="str">
        <f>IFERROR(__xludf.DUMMYFUNCTION("""COMPUTED_VALUE"""),"https://drive.google.com/open?id=1kgr2vxS8_nkwFA1LUohYONJiz8sJAFXk&amp;authuser=jay.agg%40gmail.com&amp;usp=drive_fs")</f>
        <v>https://drive.google.com/open?id=1kgr2vxS8_nkwFA1LUohYONJiz8sJAFXk&amp;authuser=jay.agg%40gmail.com&amp;usp=drive_fs</v>
      </c>
      <c r="B1926" s="73" t="str">
        <f>IFERROR(__xludf.DUMMYFUNCTION("""COMPUTED_VALUE"""),"Safety Product")</f>
        <v>Safety Product</v>
      </c>
      <c r="C1926" s="73" t="str">
        <f>IFERROR(__xludf.DUMMYFUNCTION("""COMPUTED_VALUE"""),"Mask Outer")</f>
        <v>Mask Outer</v>
      </c>
      <c r="D1926" s="73" t="str">
        <f>IFERROR(__xludf.DUMMYFUNCTION("""COMPUTED_VALUE"""),"Outer 170*120 mm 50pcs")</f>
        <v>Outer 170*120 mm 50pcs</v>
      </c>
      <c r="E1926" s="77">
        <f>IFERROR(__xludf.DUMMYFUNCTION("""COMPUTED_VALUE"""),3.0)</f>
        <v>3</v>
      </c>
      <c r="F1926" s="77">
        <f>IFERROR(__xludf.DUMMYFUNCTION("""COMPUTED_VALUE"""),1926.0)</f>
        <v>1926</v>
      </c>
      <c r="G1926" s="77">
        <f>IFERROR(__xludf.DUMMYFUNCTION("""COMPUTED_VALUE"""),18.0)</f>
        <v>18</v>
      </c>
      <c r="H1926" s="77">
        <f>IFERROR(__xludf.DUMMYFUNCTION("""COMPUTED_VALUE"""),25.0)</f>
        <v>25</v>
      </c>
      <c r="I1926" s="77">
        <f>IFERROR(__xludf.DUMMYFUNCTION("""COMPUTED_VALUE"""),100.0)</f>
        <v>100</v>
      </c>
      <c r="J1926" s="73"/>
      <c r="K1926" s="73"/>
      <c r="L1926" s="73"/>
      <c r="M1926" s="77">
        <f>IFERROR(__xludf.DUMMYFUNCTION("""COMPUTED_VALUE"""),0.1)</f>
        <v>0.1</v>
      </c>
      <c r="N1926" s="77">
        <f>IFERROR(__xludf.DUMMYFUNCTION("""COMPUTED_VALUE"""),1.0)</f>
        <v>1</v>
      </c>
      <c r="O1926" s="49"/>
      <c r="P1926" s="49" t="str">
        <f>IFERROR(__xludf.DUMMYFUNCTION("""COMPUTED_VALUE"""),"Offset")</f>
        <v>Offset</v>
      </c>
      <c r="Q1926" s="49" t="str">
        <f>IFERROR(__xludf.DUMMYFUNCTION("""COMPUTED_VALUE"""),"Packaging")</f>
        <v>Packaging</v>
      </c>
      <c r="R1926" s="49" t="str">
        <f>IFERROR(__xludf.DUMMYFUNCTION("""COMPUTED_VALUE"""),"Safety Product")</f>
        <v>Safety Product</v>
      </c>
    </row>
    <row r="1927">
      <c r="A1927" s="156" t="str">
        <f>IFERROR(__xludf.DUMMYFUNCTION("""COMPUTED_VALUE"""),"https://drive.google.com/open?id=1l9wv1vyEdQa8QK_TyX1phOH_FDO3HwTb&amp;authuser=jay.agg%40gmail.com&amp;usp=drive_fs")</f>
        <v>https://drive.google.com/open?id=1l9wv1vyEdQa8QK_TyX1phOH_FDO3HwTb&amp;authuser=jay.agg%40gmail.com&amp;usp=drive_fs</v>
      </c>
      <c r="B1927" s="73" t="str">
        <f>IFERROR(__xludf.DUMMYFUNCTION("""COMPUTED_VALUE"""),"Safety Product")</f>
        <v>Safety Product</v>
      </c>
      <c r="C1927" s="73" t="str">
        <f>IFERROR(__xludf.DUMMYFUNCTION("""COMPUTED_VALUE"""),"Covid Kit")</f>
        <v>Covid Kit</v>
      </c>
      <c r="D1927" s="73" t="str">
        <f>IFERROR(__xludf.DUMMYFUNCTION("""COMPUTED_VALUE"""),"183*183*53 mm | 7.3*7.3*2 inch Bottom")</f>
        <v>183*183*53 mm | 7.3*7.3*2 inch Bottom</v>
      </c>
      <c r="E1927" s="77">
        <f>IFERROR(__xludf.DUMMYFUNCTION("""COMPUTED_VALUE"""),1.0)</f>
        <v>1</v>
      </c>
      <c r="F1927" s="77">
        <f>IFERROR(__xludf.DUMMYFUNCTION("""COMPUTED_VALUE"""),1926.0)</f>
        <v>1926</v>
      </c>
      <c r="G1927" s="77">
        <f>IFERROR(__xludf.DUMMYFUNCTION("""COMPUTED_VALUE"""),18.0)</f>
        <v>18</v>
      </c>
      <c r="H1927" s="77">
        <f>IFERROR(__xludf.DUMMYFUNCTION("""COMPUTED_VALUE"""),19.0)</f>
        <v>19</v>
      </c>
      <c r="I1927" s="77">
        <f>IFERROR(__xludf.DUMMYFUNCTION("""COMPUTED_VALUE"""),100.0)</f>
        <v>100</v>
      </c>
      <c r="J1927" s="73"/>
      <c r="K1927" s="73"/>
      <c r="L1927" s="73"/>
      <c r="M1927" s="77"/>
      <c r="N1927" s="77">
        <f>IFERROR(__xludf.DUMMYFUNCTION("""COMPUTED_VALUE"""),1.0)</f>
        <v>1</v>
      </c>
      <c r="O1927" s="49"/>
      <c r="P1927" s="49" t="str">
        <f>IFERROR(__xludf.DUMMYFUNCTION("""COMPUTED_VALUE"""),"Offset")</f>
        <v>Offset</v>
      </c>
      <c r="Q1927" s="49" t="str">
        <f>IFERROR(__xludf.DUMMYFUNCTION("""COMPUTED_VALUE"""),"Packaging")</f>
        <v>Packaging</v>
      </c>
      <c r="R1927" s="49" t="str">
        <f>IFERROR(__xludf.DUMMYFUNCTION("""COMPUTED_VALUE"""),"Safety Product")</f>
        <v>Safety Product</v>
      </c>
    </row>
    <row r="1928">
      <c r="A1928" s="156" t="str">
        <f>IFERROR(__xludf.DUMMYFUNCTION("""COMPUTED_VALUE"""),"https://drive.google.com/open?id=1l9LS-dTYvbKqJHVtCTJzqXTvyESiNfvt&amp;authuser=jay.agg%40gmail.com&amp;usp=drive_fs")</f>
        <v>https://drive.google.com/open?id=1l9LS-dTYvbKqJHVtCTJzqXTvyESiNfvt&amp;authuser=jay.agg%40gmail.com&amp;usp=drive_fs</v>
      </c>
      <c r="B1928" s="73" t="str">
        <f>IFERROR(__xludf.DUMMYFUNCTION("""COMPUTED_VALUE"""),"Safety Product")</f>
        <v>Safety Product</v>
      </c>
      <c r="C1928" s="73" t="str">
        <f>IFERROR(__xludf.DUMMYFUNCTION("""COMPUTED_VALUE"""),"Covid Kit")</f>
        <v>Covid Kit</v>
      </c>
      <c r="D1928" s="73" t="str">
        <f>IFERROR(__xludf.DUMMYFUNCTION("""COMPUTED_VALUE"""),"187*187*53 mm | 7.3*7.3*2 inch  TOP")</f>
        <v>187*187*53 mm | 7.3*7.3*2 inch  TOP</v>
      </c>
      <c r="E1928" s="77">
        <f>IFERROR(__xludf.DUMMYFUNCTION("""COMPUTED_VALUE"""),1.0)</f>
        <v>1</v>
      </c>
      <c r="F1928" s="77">
        <f>IFERROR(__xludf.DUMMYFUNCTION("""COMPUTED_VALUE"""),1926.0)</f>
        <v>1926</v>
      </c>
      <c r="G1928" s="77">
        <f>IFERROR(__xludf.DUMMYFUNCTION("""COMPUTED_VALUE"""),18.0)</f>
        <v>18</v>
      </c>
      <c r="H1928" s="77">
        <f>IFERROR(__xludf.DUMMYFUNCTION("""COMPUTED_VALUE"""),19.0)</f>
        <v>19</v>
      </c>
      <c r="I1928" s="77">
        <f>IFERROR(__xludf.DUMMYFUNCTION("""COMPUTED_VALUE"""),100.0)</f>
        <v>100</v>
      </c>
      <c r="J1928" s="73"/>
      <c r="K1928" s="73"/>
      <c r="L1928" s="73"/>
      <c r="M1928" s="77"/>
      <c r="N1928" s="77">
        <f>IFERROR(__xludf.DUMMYFUNCTION("""COMPUTED_VALUE"""),1.0)</f>
        <v>1</v>
      </c>
      <c r="O1928" s="49"/>
      <c r="P1928" s="49" t="str">
        <f>IFERROR(__xludf.DUMMYFUNCTION("""COMPUTED_VALUE"""),"Offset")</f>
        <v>Offset</v>
      </c>
      <c r="Q1928" s="49" t="str">
        <f>IFERROR(__xludf.DUMMYFUNCTION("""COMPUTED_VALUE"""),"Packaging")</f>
        <v>Packaging</v>
      </c>
      <c r="R1928" s="49" t="str">
        <f>IFERROR(__xludf.DUMMYFUNCTION("""COMPUTED_VALUE"""),"Safety Product")</f>
        <v>Safety Product</v>
      </c>
    </row>
    <row r="1929">
      <c r="A1929" s="156" t="str">
        <f>IFERROR(__xludf.DUMMYFUNCTION("""COMPUTED_VALUE"""),"https://drive.google.com/open?id=1ppt9a3zwe3675KKsqJl_J-T8zDDOt5Iy&amp;authuser=jay.agg%40gmail.com&amp;usp=drive_fs")</f>
        <v>https://drive.google.com/open?id=1ppt9a3zwe3675KKsqJl_J-T8zDDOt5Iy&amp;authuser=jay.agg%40gmail.com&amp;usp=drive_fs</v>
      </c>
      <c r="B1929" s="73" t="str">
        <f>IFERROR(__xludf.DUMMYFUNCTION("""COMPUTED_VALUE"""),"Safety Product")</f>
        <v>Safety Product</v>
      </c>
      <c r="C1929" s="73" t="str">
        <f>IFERROR(__xludf.DUMMYFUNCTION("""COMPUTED_VALUE"""),"Mask")</f>
        <v>Mask</v>
      </c>
      <c r="D1929" s="73" t="str">
        <f>IFERROR(__xludf.DUMMYFUNCTION("""COMPUTED_VALUE"""),"203*102*76 mm | 8*4*3 inch IL")</f>
        <v>203*102*76 mm | 8*4*3 inch IL</v>
      </c>
      <c r="E1929" s="77">
        <f>IFERROR(__xludf.DUMMYFUNCTION("""COMPUTED_VALUE"""),1.0)</f>
        <v>1</v>
      </c>
      <c r="F1929" s="77">
        <f>IFERROR(__xludf.DUMMYFUNCTION("""COMPUTED_VALUE"""),1926.0)</f>
        <v>1926</v>
      </c>
      <c r="G1929" s="77">
        <f>IFERROR(__xludf.DUMMYFUNCTION("""COMPUTED_VALUE"""),13.0)</f>
        <v>13</v>
      </c>
      <c r="H1929" s="77">
        <f>IFERROR(__xludf.DUMMYFUNCTION("""COMPUTED_VALUE"""),25.0)</f>
        <v>25</v>
      </c>
      <c r="I1929" s="77">
        <f>IFERROR(__xludf.DUMMYFUNCTION("""COMPUTED_VALUE"""),100.0)</f>
        <v>100</v>
      </c>
      <c r="J1929" s="73"/>
      <c r="K1929" s="73"/>
      <c r="L1929" s="73"/>
      <c r="M1929" s="77">
        <f>IFERROR(__xludf.DUMMYFUNCTION("""COMPUTED_VALUE"""),0.1)</f>
        <v>0.1</v>
      </c>
      <c r="N1929" s="77">
        <f>IFERROR(__xludf.DUMMYFUNCTION("""COMPUTED_VALUE"""),1.0)</f>
        <v>1</v>
      </c>
      <c r="O1929" s="49"/>
      <c r="P1929" s="49" t="str">
        <f>IFERROR(__xludf.DUMMYFUNCTION("""COMPUTED_VALUE"""),"Offset")</f>
        <v>Offset</v>
      </c>
      <c r="Q1929" s="49" t="str">
        <f>IFERROR(__xludf.DUMMYFUNCTION("""COMPUTED_VALUE"""),"Packaging")</f>
        <v>Packaging</v>
      </c>
      <c r="R1929" s="49" t="str">
        <f>IFERROR(__xludf.DUMMYFUNCTION("""COMPUTED_VALUE"""),"Safety Product")</f>
        <v>Safety Product</v>
      </c>
    </row>
    <row r="1930">
      <c r="A1930" s="156" t="str">
        <f>IFERROR(__xludf.DUMMYFUNCTION("""COMPUTED_VALUE"""),"https://drive.google.com/open?id=1r7zJXkiJaYoCgVxBJkwyPXAVQ0-RWrlj&amp;authuser=jay.agg%40gmail.com&amp;usp=drive_fs")</f>
        <v>https://drive.google.com/open?id=1r7zJXkiJaYoCgVxBJkwyPXAVQ0-RWrlj&amp;authuser=jay.agg%40gmail.com&amp;usp=drive_fs</v>
      </c>
      <c r="B1930" s="73" t="str">
        <f>IFERROR(__xludf.DUMMYFUNCTION("""COMPUTED_VALUE"""),"Safety Product")</f>
        <v>Safety Product</v>
      </c>
      <c r="C1930" s="73" t="str">
        <f>IFERROR(__xludf.DUMMYFUNCTION("""COMPUTED_VALUE"""),"Mask")</f>
        <v>Mask</v>
      </c>
      <c r="D1930" s="73" t="str">
        <f>IFERROR(__xludf.DUMMYFUNCTION("""COMPUTED_VALUE"""),"Type 2 203*102*76 mm | 8*4*3 inch IL")</f>
        <v>Type 2 203*102*76 mm | 8*4*3 inch IL</v>
      </c>
      <c r="E1930" s="77">
        <f>IFERROR(__xludf.DUMMYFUNCTION("""COMPUTED_VALUE"""),2.0)</f>
        <v>2</v>
      </c>
      <c r="F1930" s="77">
        <f>IFERROR(__xludf.DUMMYFUNCTION("""COMPUTED_VALUE"""),1926.0)</f>
        <v>1926</v>
      </c>
      <c r="G1930" s="77">
        <f>IFERROR(__xludf.DUMMYFUNCTION("""COMPUTED_VALUE"""),18.0)</f>
        <v>18</v>
      </c>
      <c r="H1930" s="77">
        <f>IFERROR(__xludf.DUMMYFUNCTION("""COMPUTED_VALUE"""),25.0)</f>
        <v>25</v>
      </c>
      <c r="I1930" s="77">
        <f>IFERROR(__xludf.DUMMYFUNCTION("""COMPUTED_VALUE"""),100.0)</f>
        <v>100</v>
      </c>
      <c r="J1930" s="73"/>
      <c r="K1930" s="73"/>
      <c r="L1930" s="73"/>
      <c r="M1930" s="77">
        <f>IFERROR(__xludf.DUMMYFUNCTION("""COMPUTED_VALUE"""),0.1)</f>
        <v>0.1</v>
      </c>
      <c r="N1930" s="77">
        <f>IFERROR(__xludf.DUMMYFUNCTION("""COMPUTED_VALUE"""),1.0)</f>
        <v>1</v>
      </c>
      <c r="O1930" s="49"/>
      <c r="P1930" s="49" t="str">
        <f>IFERROR(__xludf.DUMMYFUNCTION("""COMPUTED_VALUE"""),"Offset")</f>
        <v>Offset</v>
      </c>
      <c r="Q1930" s="49" t="str">
        <f>IFERROR(__xludf.DUMMYFUNCTION("""COMPUTED_VALUE"""),"Packaging")</f>
        <v>Packaging</v>
      </c>
      <c r="R1930" s="49" t="str">
        <f>IFERROR(__xludf.DUMMYFUNCTION("""COMPUTED_VALUE"""),"Safety Product")</f>
        <v>Safety Product</v>
      </c>
    </row>
    <row r="1931">
      <c r="A1931" s="156" t="str">
        <f>IFERROR(__xludf.DUMMYFUNCTION("""COMPUTED_VALUE"""),"https://drive.google.com/open?id=1sc6Tx7R2rybjk_RUgA23O0CvpyuQ4EHm&amp;authuser=jay.agg%40gmail.com&amp;usp=drive_fs")</f>
        <v>https://drive.google.com/open?id=1sc6Tx7R2rybjk_RUgA23O0CvpyuQ4EHm&amp;authuser=jay.agg%40gmail.com&amp;usp=drive_fs</v>
      </c>
      <c r="B1931" s="73" t="str">
        <f>IFERROR(__xludf.DUMMYFUNCTION("""COMPUTED_VALUE"""),"Safety Product")</f>
        <v>Safety Product</v>
      </c>
      <c r="C1931" s="73" t="str">
        <f>IFERROR(__xludf.DUMMYFUNCTION("""COMPUTED_VALUE"""),"Mask")</f>
        <v>Mask</v>
      </c>
      <c r="D1931" s="73" t="str">
        <f>IFERROR(__xludf.DUMMYFUNCTION("""COMPUTED_VALUE"""),"203*152*102 mm | 8*4*6 inch LB")</f>
        <v>203*152*102 mm | 8*4*6 inch LB</v>
      </c>
      <c r="E1931" s="77">
        <f>IFERROR(__xludf.DUMMYFUNCTION("""COMPUTED_VALUE"""),1.0)</f>
        <v>1</v>
      </c>
      <c r="F1931" s="77">
        <f>IFERROR(__xludf.DUMMYFUNCTION("""COMPUTED_VALUE"""),1926.0)</f>
        <v>1926</v>
      </c>
      <c r="G1931" s="77">
        <f>IFERROR(__xludf.DUMMYFUNCTION("""COMPUTED_VALUE"""),15.0)</f>
        <v>15</v>
      </c>
      <c r="H1931" s="77">
        <f>IFERROR(__xludf.DUMMYFUNCTION("""COMPUTED_VALUE"""),25.0)</f>
        <v>25</v>
      </c>
      <c r="I1931" s="77">
        <f>IFERROR(__xludf.DUMMYFUNCTION("""COMPUTED_VALUE"""),100.0)</f>
        <v>100</v>
      </c>
      <c r="J1931" s="73"/>
      <c r="K1931" s="73"/>
      <c r="L1931" s="73"/>
      <c r="M1931" s="77">
        <f>IFERROR(__xludf.DUMMYFUNCTION("""COMPUTED_VALUE"""),0.1)</f>
        <v>0.1</v>
      </c>
      <c r="N1931" s="77">
        <f>IFERROR(__xludf.DUMMYFUNCTION("""COMPUTED_VALUE"""),1.0)</f>
        <v>1</v>
      </c>
      <c r="O1931" s="49"/>
      <c r="P1931" s="49" t="str">
        <f>IFERROR(__xludf.DUMMYFUNCTION("""COMPUTED_VALUE"""),"Offset")</f>
        <v>Offset</v>
      </c>
      <c r="Q1931" s="49" t="str">
        <f>IFERROR(__xludf.DUMMYFUNCTION("""COMPUTED_VALUE"""),"Packaging")</f>
        <v>Packaging</v>
      </c>
      <c r="R1931" s="49" t="str">
        <f>IFERROR(__xludf.DUMMYFUNCTION("""COMPUTED_VALUE"""),"Safety Product")</f>
        <v>Safety Product</v>
      </c>
    </row>
    <row r="1932">
      <c r="A1932" s="156" t="str">
        <f>IFERROR(__xludf.DUMMYFUNCTION("""COMPUTED_VALUE"""),"https://drive.google.com/open?id=1ygrVRyYCHNIbeF4n4pPY6TM1ZI3HRK9n&amp;authuser=jay.agg%40gmail.com&amp;usp=drive_fs")</f>
        <v>https://drive.google.com/open?id=1ygrVRyYCHNIbeF4n4pPY6TM1ZI3HRK9n&amp;authuser=jay.agg%40gmail.com&amp;usp=drive_fs</v>
      </c>
      <c r="B1932" s="73" t="str">
        <f>IFERROR(__xludf.DUMMYFUNCTION("""COMPUTED_VALUE"""),"Safety Product")</f>
        <v>Safety Product</v>
      </c>
      <c r="C1932" s="73" t="str">
        <f>IFERROR(__xludf.DUMMYFUNCTION("""COMPUTED_VALUE"""),"Senitizer")</f>
        <v>Senitizer</v>
      </c>
      <c r="D1932" s="73" t="str">
        <f>IFERROR(__xludf.DUMMYFUNCTION("""COMPUTED_VALUE"""),"140*20*196.6 mm")</f>
        <v>140*20*196.6 mm</v>
      </c>
      <c r="E1932" s="77">
        <f>IFERROR(__xludf.DUMMYFUNCTION("""COMPUTED_VALUE"""),2.0)</f>
        <v>2</v>
      </c>
      <c r="F1932" s="77">
        <f>IFERROR(__xludf.DUMMYFUNCTION("""COMPUTED_VALUE"""),1926.0)</f>
        <v>1926</v>
      </c>
      <c r="G1932" s="77">
        <f>IFERROR(__xludf.DUMMYFUNCTION("""COMPUTED_VALUE"""),19.0)</f>
        <v>19</v>
      </c>
      <c r="H1932" s="77">
        <f>IFERROR(__xludf.DUMMYFUNCTION("""COMPUTED_VALUE"""),26.0)</f>
        <v>26</v>
      </c>
      <c r="I1932" s="77">
        <f>IFERROR(__xludf.DUMMYFUNCTION("""COMPUTED_VALUE"""),100.0)</f>
        <v>100</v>
      </c>
      <c r="J1932" s="73"/>
      <c r="K1932" s="73"/>
      <c r="L1932" s="73"/>
      <c r="M1932" s="77">
        <f>IFERROR(__xludf.DUMMYFUNCTION("""COMPUTED_VALUE"""),0.5)</f>
        <v>0.5</v>
      </c>
      <c r="N1932" s="77">
        <f>IFERROR(__xludf.DUMMYFUNCTION("""COMPUTED_VALUE"""),1.0)</f>
        <v>1</v>
      </c>
      <c r="O1932" s="49"/>
      <c r="P1932" s="49" t="str">
        <f>IFERROR(__xludf.DUMMYFUNCTION("""COMPUTED_VALUE"""),"Offset")</f>
        <v>Offset</v>
      </c>
      <c r="Q1932" s="49" t="str">
        <f>IFERROR(__xludf.DUMMYFUNCTION("""COMPUTED_VALUE"""),"Packaging")</f>
        <v>Packaging</v>
      </c>
      <c r="R1932" s="49" t="str">
        <f>IFERROR(__xludf.DUMMYFUNCTION("""COMPUTED_VALUE"""),"Safety Product")</f>
        <v>Safety Product</v>
      </c>
    </row>
    <row r="1933">
      <c r="A1933" s="156" t="str">
        <f>IFERROR(__xludf.DUMMYFUNCTION("""COMPUTED_VALUE"""),"https://drive.google.com/open?id=132hJCp7SAKBPmiRbcXPCGonhEm5Xe_CX&amp;authuser=jay.agg%40gmail.com&amp;usp=drive_fs")</f>
        <v>https://drive.google.com/open?id=132hJCp7SAKBPmiRbcXPCGonhEm5Xe_CX&amp;authuser=jay.agg%40gmail.com&amp;usp=drive_fs</v>
      </c>
      <c r="B1933" s="73" t="str">
        <f>IFERROR(__xludf.DUMMYFUNCTION("""COMPUTED_VALUE"""),"Safety Product")</f>
        <v>Safety Product</v>
      </c>
      <c r="C1933" s="73" t="str">
        <f>IFERROR(__xludf.DUMMYFUNCTION("""COMPUTED_VALUE"""),"Mask")</f>
        <v>Mask</v>
      </c>
      <c r="D1933" s="73" t="str">
        <f>IFERROR(__xludf.DUMMYFUNCTION("""COMPUTED_VALUE"""),"140*70*127 mm | 5.5*2.75*5 inch")</f>
        <v>140*70*127 mm | 5.5*2.75*5 inch</v>
      </c>
      <c r="E1933" s="77">
        <f>IFERROR(__xludf.DUMMYFUNCTION("""COMPUTED_VALUE"""),2.0)</f>
        <v>2</v>
      </c>
      <c r="F1933" s="77">
        <f>IFERROR(__xludf.DUMMYFUNCTION("""COMPUTED_VALUE"""),1926.0)</f>
        <v>1926</v>
      </c>
      <c r="G1933" s="77">
        <f>IFERROR(__xludf.DUMMYFUNCTION("""COMPUTED_VALUE"""),18.0)</f>
        <v>18</v>
      </c>
      <c r="H1933" s="77">
        <f>IFERROR(__xludf.DUMMYFUNCTION("""COMPUTED_VALUE"""),21.0)</f>
        <v>21</v>
      </c>
      <c r="I1933" s="77">
        <f>IFERROR(__xludf.DUMMYFUNCTION("""COMPUTED_VALUE"""),100.0)</f>
        <v>100</v>
      </c>
      <c r="J1933" s="73"/>
      <c r="K1933" s="73"/>
      <c r="L1933" s="73"/>
      <c r="M1933" s="77">
        <f>IFERROR(__xludf.DUMMYFUNCTION("""COMPUTED_VALUE"""),0.1)</f>
        <v>0.1</v>
      </c>
      <c r="N1933" s="77">
        <f>IFERROR(__xludf.DUMMYFUNCTION("""COMPUTED_VALUE"""),1.0)</f>
        <v>1</v>
      </c>
      <c r="O1933" s="49"/>
      <c r="P1933" s="49" t="str">
        <f>IFERROR(__xludf.DUMMYFUNCTION("""COMPUTED_VALUE"""),"Offset")</f>
        <v>Offset</v>
      </c>
      <c r="Q1933" s="49" t="str">
        <f>IFERROR(__xludf.DUMMYFUNCTION("""COMPUTED_VALUE"""),"Packaging")</f>
        <v>Packaging</v>
      </c>
      <c r="R1933" s="49" t="str">
        <f>IFERROR(__xludf.DUMMYFUNCTION("""COMPUTED_VALUE"""),"Safety Product")</f>
        <v>Safety Product</v>
      </c>
    </row>
    <row r="1934">
      <c r="A1934" s="156" t="str">
        <f>IFERROR(__xludf.DUMMYFUNCTION("""COMPUTED_VALUE"""),"https://drive.google.com/open?id=1LHaKv8BlL995tIH1gf0V5h7crjmYdx6u&amp;authuser=jay.agg%40gmail.com&amp;usp=drive_fs")</f>
        <v>https://drive.google.com/open?id=1LHaKv8BlL995tIH1gf0V5h7crjmYdx6u&amp;authuser=jay.agg%40gmail.com&amp;usp=drive_fs</v>
      </c>
      <c r="B1934" s="73" t="str">
        <f>IFERROR(__xludf.DUMMYFUNCTION("""COMPUTED_VALUE"""),"Safety Product")</f>
        <v>Safety Product</v>
      </c>
      <c r="C1934" s="73" t="str">
        <f>IFERROR(__xludf.DUMMYFUNCTION("""COMPUTED_VALUE"""),"Mask")</f>
        <v>Mask</v>
      </c>
      <c r="D1934" s="73" t="str">
        <f>IFERROR(__xludf.DUMMYFUNCTION("""COMPUTED_VALUE"""),"140*140*127 mm | 5.5*5.5*5 inch")</f>
        <v>140*140*127 mm | 5.5*5.5*5 inch</v>
      </c>
      <c r="E1934" s="77">
        <f>IFERROR(__xludf.DUMMYFUNCTION("""COMPUTED_VALUE"""),1.0)</f>
        <v>1</v>
      </c>
      <c r="F1934" s="77">
        <f>IFERROR(__xludf.DUMMYFUNCTION("""COMPUTED_VALUE"""),1926.0)</f>
        <v>1926</v>
      </c>
      <c r="G1934" s="77">
        <f>IFERROR(__xludf.DUMMYFUNCTION("""COMPUTED_VALUE"""),18.0)</f>
        <v>18</v>
      </c>
      <c r="H1934" s="77">
        <f>IFERROR(__xludf.DUMMYFUNCTION("""COMPUTED_VALUE"""),23.0)</f>
        <v>23</v>
      </c>
      <c r="I1934" s="77">
        <f>IFERROR(__xludf.DUMMYFUNCTION("""COMPUTED_VALUE"""),100.0)</f>
        <v>100</v>
      </c>
      <c r="J1934" s="73"/>
      <c r="K1934" s="73"/>
      <c r="L1934" s="73"/>
      <c r="M1934" s="77">
        <f>IFERROR(__xludf.DUMMYFUNCTION("""COMPUTED_VALUE"""),0.1)</f>
        <v>0.1</v>
      </c>
      <c r="N1934" s="77">
        <f>IFERROR(__xludf.DUMMYFUNCTION("""COMPUTED_VALUE"""),1.0)</f>
        <v>1</v>
      </c>
      <c r="O1934" s="49"/>
      <c r="P1934" s="49" t="str">
        <f>IFERROR(__xludf.DUMMYFUNCTION("""COMPUTED_VALUE"""),"Offset")</f>
        <v>Offset</v>
      </c>
      <c r="Q1934" s="49" t="str">
        <f>IFERROR(__xludf.DUMMYFUNCTION("""COMPUTED_VALUE"""),"Packaging")</f>
        <v>Packaging</v>
      </c>
      <c r="R1934" s="49" t="str">
        <f>IFERROR(__xludf.DUMMYFUNCTION("""COMPUTED_VALUE"""),"Safety Product")</f>
        <v>Safety Product</v>
      </c>
    </row>
    <row r="1935">
      <c r="A1935" s="156" t="str">
        <f>IFERROR(__xludf.DUMMYFUNCTION("""COMPUTED_VALUE"""),"https://drive.google.com/open?id=15tMZKSWUz-j4PiYjy-F4KVUe3ik_8HTr&amp;authuser=jay.agg%40gmail.com&amp;usp=drive_fs")</f>
        <v>https://drive.google.com/open?id=15tMZKSWUz-j4PiYjy-F4KVUe3ik_8HTr&amp;authuser=jay.agg%40gmail.com&amp;usp=drive_fs</v>
      </c>
      <c r="B1935" s="73" t="str">
        <f>IFERROR(__xludf.DUMMYFUNCTION("""COMPUTED_VALUE"""),"Safety Product")</f>
        <v>Safety Product</v>
      </c>
      <c r="C1935" s="73" t="str">
        <f>IFERROR(__xludf.DUMMYFUNCTION("""COMPUTED_VALUE"""),"Gloves")</f>
        <v>Gloves</v>
      </c>
      <c r="D1935" s="73" t="str">
        <f>IFERROR(__xludf.DUMMYFUNCTION("""COMPUTED_VALUE"""),"100*60*200 mm | 3.9*1.1*7.9 inch")</f>
        <v>100*60*200 mm | 3.9*1.1*7.9 inch</v>
      </c>
      <c r="E1935" s="77">
        <f>IFERROR(__xludf.DUMMYFUNCTION("""COMPUTED_VALUE"""),4.0)</f>
        <v>4</v>
      </c>
      <c r="F1935" s="77">
        <f>IFERROR(__xludf.DUMMYFUNCTION("""COMPUTED_VALUE"""),2029.0)</f>
        <v>2029</v>
      </c>
      <c r="G1935" s="77">
        <f>IFERROR(__xludf.DUMMYFUNCTION("""COMPUTED_VALUE"""),20.0)</f>
        <v>20</v>
      </c>
      <c r="H1935" s="77">
        <f>IFERROR(__xludf.DUMMYFUNCTION("""COMPUTED_VALUE"""),23.0)</f>
        <v>23</v>
      </c>
      <c r="I1935" s="77">
        <f>IFERROR(__xludf.DUMMYFUNCTION("""COMPUTED_VALUE"""),100.0)</f>
        <v>100</v>
      </c>
      <c r="J1935" s="73"/>
      <c r="K1935" s="73"/>
      <c r="L1935" s="73"/>
      <c r="M1935" s="77">
        <f>IFERROR(__xludf.DUMMYFUNCTION("""COMPUTED_VALUE"""),0.1)</f>
        <v>0.1</v>
      </c>
      <c r="N1935" s="77">
        <f>IFERROR(__xludf.DUMMYFUNCTION("""COMPUTED_VALUE"""),1.0)</f>
        <v>1</v>
      </c>
      <c r="O1935" s="49"/>
      <c r="P1935" s="49" t="str">
        <f>IFERROR(__xludf.DUMMYFUNCTION("""COMPUTED_VALUE"""),"Offset")</f>
        <v>Offset</v>
      </c>
      <c r="Q1935" s="49" t="str">
        <f>IFERROR(__xludf.DUMMYFUNCTION("""COMPUTED_VALUE"""),"Packaging")</f>
        <v>Packaging</v>
      </c>
      <c r="R1935" s="49" t="str">
        <f>IFERROR(__xludf.DUMMYFUNCTION("""COMPUTED_VALUE"""),"Safety Product")</f>
        <v>Safety Product</v>
      </c>
    </row>
    <row r="1936">
      <c r="A1936" s="156" t="str">
        <f>IFERROR(__xludf.DUMMYFUNCTION("""COMPUTED_VALUE"""),"https://drive.google.com/open?id=18XQQZQF9yCRB5QfaOh8y-eDw00VH8XRn&amp;authuser=jay.agg%40gmail.com&amp;usp=drive_fs")</f>
        <v>https://drive.google.com/open?id=18XQQZQF9yCRB5QfaOh8y-eDw00VH8XRn&amp;authuser=jay.agg%40gmail.com&amp;usp=drive_fs</v>
      </c>
      <c r="B1936" s="73" t="str">
        <f>IFERROR(__xludf.DUMMYFUNCTION("""COMPUTED_VALUE"""),"Safety Product")</f>
        <v>Safety Product</v>
      </c>
      <c r="C1936" s="73" t="str">
        <f>IFERROR(__xludf.DUMMYFUNCTION("""COMPUTED_VALUE"""),"Mask")</f>
        <v>Mask</v>
      </c>
      <c r="D1936" s="73" t="str">
        <f>IFERROR(__xludf.DUMMYFUNCTION("""COMPUTED_VALUE"""),"190*105*127 mm | 7.5*4*5 inch")</f>
        <v>190*105*127 mm | 7.5*4*5 inch</v>
      </c>
      <c r="E1936" s="77">
        <f>IFERROR(__xludf.DUMMYFUNCTION("""COMPUTED_VALUE"""),1.0)</f>
        <v>1</v>
      </c>
      <c r="F1936" s="77">
        <f>IFERROR(__xludf.DUMMYFUNCTION("""COMPUTED_VALUE"""),1926.0)</f>
        <v>1926</v>
      </c>
      <c r="G1936" s="77">
        <f>IFERROR(__xludf.DUMMYFUNCTION("""COMPUTED_VALUE"""),15.0)</f>
        <v>15</v>
      </c>
      <c r="H1936" s="77">
        <f>IFERROR(__xludf.DUMMYFUNCTION("""COMPUTED_VALUE"""),25.0)</f>
        <v>25</v>
      </c>
      <c r="I1936" s="77">
        <f>IFERROR(__xludf.DUMMYFUNCTION("""COMPUTED_VALUE"""),100.0)</f>
        <v>100</v>
      </c>
      <c r="J1936" s="73"/>
      <c r="K1936" s="73"/>
      <c r="L1936" s="73"/>
      <c r="M1936" s="77">
        <f>IFERROR(__xludf.DUMMYFUNCTION("""COMPUTED_VALUE"""),0.1)</f>
        <v>0.1</v>
      </c>
      <c r="N1936" s="77">
        <f>IFERROR(__xludf.DUMMYFUNCTION("""COMPUTED_VALUE"""),1.0)</f>
        <v>1</v>
      </c>
      <c r="O1936" s="49"/>
      <c r="P1936" s="49" t="str">
        <f>IFERROR(__xludf.DUMMYFUNCTION("""COMPUTED_VALUE"""),"Offset")</f>
        <v>Offset</v>
      </c>
      <c r="Q1936" s="49" t="str">
        <f>IFERROR(__xludf.DUMMYFUNCTION("""COMPUTED_VALUE"""),"Packaging")</f>
        <v>Packaging</v>
      </c>
      <c r="R1936" s="49" t="str">
        <f>IFERROR(__xludf.DUMMYFUNCTION("""COMPUTED_VALUE"""),"Safety Product")</f>
        <v>Safety Product</v>
      </c>
    </row>
    <row r="1937">
      <c r="A1937" s="156" t="str">
        <f>IFERROR(__xludf.DUMMYFUNCTION("""COMPUTED_VALUE"""),"https://drive.google.com/open?id=1NIM49-1dk9bUFnRaPZaxGVTztPeAazzm&amp;authuser=jay.agg%40gmail.com&amp;usp=drive_fs")</f>
        <v>https://drive.google.com/open?id=1NIM49-1dk9bUFnRaPZaxGVTztPeAazzm&amp;authuser=jay.agg%40gmail.com&amp;usp=drive_fs</v>
      </c>
      <c r="B1937" s="73" t="str">
        <f>IFERROR(__xludf.DUMMYFUNCTION("""COMPUTED_VALUE"""),"Safety Product")</f>
        <v>Safety Product</v>
      </c>
      <c r="C1937" s="73" t="str">
        <f>IFERROR(__xludf.DUMMYFUNCTION("""COMPUTED_VALUE"""),"Mask")</f>
        <v>Mask</v>
      </c>
      <c r="D1937" s="73" t="str">
        <f>IFERROR(__xludf.DUMMYFUNCTION("""COMPUTED_VALUE"""),"210*100*115 mm | 8.25*4*4.5 inch")</f>
        <v>210*100*115 mm | 8.25*4*4.5 inch</v>
      </c>
      <c r="E1937" s="77">
        <f>IFERROR(__xludf.DUMMYFUNCTION("""COMPUTED_VALUE"""),1.0)</f>
        <v>1</v>
      </c>
      <c r="F1937" s="77">
        <f>IFERROR(__xludf.DUMMYFUNCTION("""COMPUTED_VALUE"""),1926.0)</f>
        <v>1926</v>
      </c>
      <c r="G1937" s="77">
        <f>IFERROR(__xludf.DUMMYFUNCTION("""COMPUTED_VALUE"""),15.0)</f>
        <v>15</v>
      </c>
      <c r="H1937" s="77">
        <f>IFERROR(__xludf.DUMMYFUNCTION("""COMPUTED_VALUE"""),25.0)</f>
        <v>25</v>
      </c>
      <c r="I1937" s="77">
        <f>IFERROR(__xludf.DUMMYFUNCTION("""COMPUTED_VALUE"""),100.0)</f>
        <v>100</v>
      </c>
      <c r="J1937" s="73"/>
      <c r="K1937" s="73"/>
      <c r="L1937" s="73"/>
      <c r="M1937" s="77">
        <f>IFERROR(__xludf.DUMMYFUNCTION("""COMPUTED_VALUE"""),0.1)</f>
        <v>0.1</v>
      </c>
      <c r="N1937" s="77">
        <f>IFERROR(__xludf.DUMMYFUNCTION("""COMPUTED_VALUE"""),1.0)</f>
        <v>1</v>
      </c>
      <c r="O1937" s="49"/>
      <c r="P1937" s="49" t="str">
        <f>IFERROR(__xludf.DUMMYFUNCTION("""COMPUTED_VALUE"""),"Offset")</f>
        <v>Offset</v>
      </c>
      <c r="Q1937" s="49" t="str">
        <f>IFERROR(__xludf.DUMMYFUNCTION("""COMPUTED_VALUE"""),"Packaging")</f>
        <v>Packaging</v>
      </c>
      <c r="R1937" s="49" t="str">
        <f>IFERROR(__xludf.DUMMYFUNCTION("""COMPUTED_VALUE"""),"Safety Product")</f>
        <v>Safety Product</v>
      </c>
    </row>
    <row r="1938">
      <c r="A1938" s="156" t="str">
        <f>IFERROR(__xludf.DUMMYFUNCTION("""COMPUTED_VALUE"""),"https://drive.google.com/open?id=1NIMZ4mcTtm0DazVPOrRylU4bJTc_O5hy&amp;authuser=jay.agg%40gmail.com&amp;usp=drive_fs")</f>
        <v>https://drive.google.com/open?id=1NIMZ4mcTtm0DazVPOrRylU4bJTc_O5hy&amp;authuser=jay.agg%40gmail.com&amp;usp=drive_fs</v>
      </c>
      <c r="B1938" s="73" t="str">
        <f>IFERROR(__xludf.DUMMYFUNCTION("""COMPUTED_VALUE"""),"Safety Product")</f>
        <v>Safety Product</v>
      </c>
      <c r="C1938" s="73" t="str">
        <f>IFERROR(__xludf.DUMMYFUNCTION("""COMPUTED_VALUE"""),"Gloves")</f>
        <v>Gloves</v>
      </c>
      <c r="D1938" s="73" t="str">
        <f>IFERROR(__xludf.DUMMYFUNCTION("""COMPUTED_VALUE"""),"195*130*70 mm | 7.6*5*2.75 inch")</f>
        <v>195*130*70 mm | 7.6*5*2.75 inch</v>
      </c>
      <c r="E1938" s="77">
        <f>IFERROR(__xludf.DUMMYFUNCTION("""COMPUTED_VALUE"""),2.0)</f>
        <v>2</v>
      </c>
      <c r="F1938" s="77">
        <f>IFERROR(__xludf.DUMMYFUNCTION("""COMPUTED_VALUE"""),1926.0)</f>
        <v>1926</v>
      </c>
      <c r="G1938" s="77">
        <f>IFERROR(__xludf.DUMMYFUNCTION("""COMPUTED_VALUE"""),18.0)</f>
        <v>18</v>
      </c>
      <c r="H1938" s="77">
        <f>IFERROR(__xludf.DUMMYFUNCTION("""COMPUTED_VALUE"""),25.0)</f>
        <v>25</v>
      </c>
      <c r="I1938" s="77">
        <f>IFERROR(__xludf.DUMMYFUNCTION("""COMPUTED_VALUE"""),100.0)</f>
        <v>100</v>
      </c>
      <c r="J1938" s="73"/>
      <c r="K1938" s="73"/>
      <c r="L1938" s="73"/>
      <c r="M1938" s="77">
        <f>IFERROR(__xludf.DUMMYFUNCTION("""COMPUTED_VALUE"""),0.1)</f>
        <v>0.1</v>
      </c>
      <c r="N1938" s="77">
        <f>IFERROR(__xludf.DUMMYFUNCTION("""COMPUTED_VALUE"""),1.0)</f>
        <v>1</v>
      </c>
      <c r="O1938" s="49"/>
      <c r="P1938" s="49" t="str">
        <f>IFERROR(__xludf.DUMMYFUNCTION("""COMPUTED_VALUE"""),"Offset")</f>
        <v>Offset</v>
      </c>
      <c r="Q1938" s="49" t="str">
        <f>IFERROR(__xludf.DUMMYFUNCTION("""COMPUTED_VALUE"""),"Packaging")</f>
        <v>Packaging</v>
      </c>
      <c r="R1938" s="49" t="str">
        <f>IFERROR(__xludf.DUMMYFUNCTION("""COMPUTED_VALUE"""),"Safety Product")</f>
        <v>Safety Product</v>
      </c>
    </row>
    <row r="1939">
      <c r="A1939" s="156" t="str">
        <f>IFERROR(__xludf.DUMMYFUNCTION("""COMPUTED_VALUE"""),"https://drive.google.com/open?id=1BoQBoC_PBBbEfX9tmjKAXSBHsvtLYEh-&amp;authuser=jay.agg%40gmail.com&amp;usp=drive_fs")</f>
        <v>https://drive.google.com/open?id=1BoQBoC_PBBbEfX9tmjKAXSBHsvtLYEh-&amp;authuser=jay.agg%40gmail.com&amp;usp=drive_fs</v>
      </c>
      <c r="B1939" s="73" t="str">
        <f>IFERROR(__xludf.DUMMYFUNCTION("""COMPUTED_VALUE"""),"Safety Product")</f>
        <v>Safety Product</v>
      </c>
      <c r="C1939" s="73" t="str">
        <f>IFERROR(__xludf.DUMMYFUNCTION("""COMPUTED_VALUE"""),"Gloves")</f>
        <v>Gloves</v>
      </c>
      <c r="D1939" s="73" t="str">
        <f>IFERROR(__xludf.DUMMYFUNCTION("""COMPUTED_VALUE"""),"220*115*70 mm | 8.6*4.5*2.7 inch")</f>
        <v>220*115*70 mm | 8.6*4.5*2.7 inch</v>
      </c>
      <c r="E1939" s="77">
        <f>IFERROR(__xludf.DUMMYFUNCTION("""COMPUTED_VALUE"""),2.0)</f>
        <v>2</v>
      </c>
      <c r="F1939" s="77">
        <f>IFERROR(__xludf.DUMMYFUNCTION("""COMPUTED_VALUE"""),2029.0)</f>
        <v>2029</v>
      </c>
      <c r="G1939" s="77">
        <f>IFERROR(__xludf.DUMMYFUNCTION("""COMPUTED_VALUE"""),17.0)</f>
        <v>17</v>
      </c>
      <c r="H1939" s="77">
        <f>IFERROR(__xludf.DUMMYFUNCTION("""COMPUTED_VALUE"""),28.0)</f>
        <v>28</v>
      </c>
      <c r="I1939" s="77">
        <f>IFERROR(__xludf.DUMMYFUNCTION("""COMPUTED_VALUE"""),100.0)</f>
        <v>100</v>
      </c>
      <c r="J1939" s="73"/>
      <c r="K1939" s="73"/>
      <c r="L1939" s="73"/>
      <c r="M1939" s="77">
        <f>IFERROR(__xludf.DUMMYFUNCTION("""COMPUTED_VALUE"""),0.1)</f>
        <v>0.1</v>
      </c>
      <c r="N1939" s="77">
        <f>IFERROR(__xludf.DUMMYFUNCTION("""COMPUTED_VALUE"""),1.0)</f>
        <v>1</v>
      </c>
      <c r="O1939" s="49"/>
      <c r="P1939" s="49" t="str">
        <f>IFERROR(__xludf.DUMMYFUNCTION("""COMPUTED_VALUE"""),"Offset")</f>
        <v>Offset</v>
      </c>
      <c r="Q1939" s="49" t="str">
        <f>IFERROR(__xludf.DUMMYFUNCTION("""COMPUTED_VALUE"""),"Packaging")</f>
        <v>Packaging</v>
      </c>
      <c r="R1939" s="49" t="str">
        <f>IFERROR(__xludf.DUMMYFUNCTION("""COMPUTED_VALUE"""),"Safety Product")</f>
        <v>Safety Product</v>
      </c>
    </row>
    <row r="1940">
      <c r="A1940" s="156" t="str">
        <f>IFERROR(__xludf.DUMMYFUNCTION("""COMPUTED_VALUE"""),"https://drive.google.com/open?id=1UgBVUI5wLMOT9nkAjjyjXEgu8aZiwxVg&amp;authuser=jay.agg%40gmail.com&amp;usp=drive_fs")</f>
        <v>https://drive.google.com/open?id=1UgBVUI5wLMOT9nkAjjyjXEgu8aZiwxVg&amp;authuser=jay.agg%40gmail.com&amp;usp=drive_fs</v>
      </c>
      <c r="B1940" s="73" t="str">
        <f>IFERROR(__xludf.DUMMYFUNCTION("""COMPUTED_VALUE"""),"Safety Product")</f>
        <v>Safety Product</v>
      </c>
      <c r="C1940" s="73" t="str">
        <f>IFERROR(__xludf.DUMMYFUNCTION("""COMPUTED_VALUE"""),"Mask")</f>
        <v>Mask</v>
      </c>
      <c r="D1940" s="73" t="str">
        <f>IFERROR(__xludf.DUMMYFUNCTION("""COMPUTED_VALUE"""),"190*98*90 mm | 7.5*3.8*3.5 inch")</f>
        <v>190*98*90 mm | 7.5*3.8*3.5 inch</v>
      </c>
      <c r="E1940" s="77">
        <f>IFERROR(__xludf.DUMMYFUNCTION("""COMPUTED_VALUE"""),2.0)</f>
        <v>2</v>
      </c>
      <c r="F1940" s="77">
        <f>IFERROR(__xludf.DUMMYFUNCTION("""COMPUTED_VALUE"""),1926.0)</f>
        <v>1926</v>
      </c>
      <c r="G1940" s="77">
        <f>IFERROR(__xludf.DUMMYFUNCTION("""COMPUTED_VALUE"""),18.0)</f>
        <v>18</v>
      </c>
      <c r="H1940" s="77">
        <f>IFERROR(__xludf.DUMMYFUNCTION("""COMPUTED_VALUE"""),24.0)</f>
        <v>24</v>
      </c>
      <c r="I1940" s="77">
        <f>IFERROR(__xludf.DUMMYFUNCTION("""COMPUTED_VALUE"""),100.0)</f>
        <v>100</v>
      </c>
      <c r="J1940" s="73"/>
      <c r="K1940" s="73"/>
      <c r="L1940" s="73"/>
      <c r="M1940" s="77">
        <f>IFERROR(__xludf.DUMMYFUNCTION("""COMPUTED_VALUE"""),0.1)</f>
        <v>0.1</v>
      </c>
      <c r="N1940" s="77">
        <f>IFERROR(__xludf.DUMMYFUNCTION("""COMPUTED_VALUE"""),1.0)</f>
        <v>1</v>
      </c>
      <c r="O1940" s="49"/>
      <c r="P1940" s="49" t="str">
        <f>IFERROR(__xludf.DUMMYFUNCTION("""COMPUTED_VALUE"""),"Offset")</f>
        <v>Offset</v>
      </c>
      <c r="Q1940" s="49" t="str">
        <f>IFERROR(__xludf.DUMMYFUNCTION("""COMPUTED_VALUE"""),"Packaging")</f>
        <v>Packaging</v>
      </c>
      <c r="R1940" s="49" t="str">
        <f>IFERROR(__xludf.DUMMYFUNCTION("""COMPUTED_VALUE"""),"Safety Product")</f>
        <v>Safety Product</v>
      </c>
    </row>
    <row r="1941">
      <c r="A1941" s="156" t="str">
        <f>IFERROR(__xludf.DUMMYFUNCTION("""COMPUTED_VALUE"""),"https://drive.google.com/open?id=1VREwrNDUe3eCRR5sK2CifnUl7CQKKjGX&amp;authuser=jay.agg%40gmail.com&amp;usp=drive_fs")</f>
        <v>https://drive.google.com/open?id=1VREwrNDUe3eCRR5sK2CifnUl7CQKKjGX&amp;authuser=jay.agg%40gmail.com&amp;usp=drive_fs</v>
      </c>
      <c r="B1941" s="73" t="str">
        <f>IFERROR(__xludf.DUMMYFUNCTION("""COMPUTED_VALUE"""),"Safety Product")</f>
        <v>Safety Product</v>
      </c>
      <c r="C1941" s="73" t="str">
        <f>IFERROR(__xludf.DUMMYFUNCTION("""COMPUTED_VALUE"""),"Pee Buddy")</f>
        <v>Pee Buddy</v>
      </c>
      <c r="D1941" s="73" t="str">
        <f>IFERROR(__xludf.DUMMYFUNCTION("""COMPUTED_VALUE"""),"92*20*235 mm | 3.6*0.8*9.3 inch")</f>
        <v>92*20*235 mm | 3.6*0.8*9.3 inch</v>
      </c>
      <c r="E1941" s="77">
        <f>IFERROR(__xludf.DUMMYFUNCTION("""COMPUTED_VALUE"""),4.0)</f>
        <v>4</v>
      </c>
      <c r="F1941" s="77">
        <f>IFERROR(__xludf.DUMMYFUNCTION("""COMPUTED_VALUE"""),1926.0)</f>
        <v>1926</v>
      </c>
      <c r="G1941" s="77">
        <f>IFERROR(__xludf.DUMMYFUNCTION("""COMPUTED_VALUE"""),19.5)</f>
        <v>19.5</v>
      </c>
      <c r="H1941" s="77">
        <f>IFERROR(__xludf.DUMMYFUNCTION("""COMPUTED_VALUE"""),23.0)</f>
        <v>23</v>
      </c>
      <c r="I1941" s="77">
        <f>IFERROR(__xludf.DUMMYFUNCTION("""COMPUTED_VALUE"""),100.0)</f>
        <v>100</v>
      </c>
      <c r="J1941" s="73"/>
      <c r="K1941" s="73"/>
      <c r="L1941" s="73"/>
      <c r="M1941" s="77">
        <f>IFERROR(__xludf.DUMMYFUNCTION("""COMPUTED_VALUE"""),0.1)</f>
        <v>0.1</v>
      </c>
      <c r="N1941" s="77">
        <f>IFERROR(__xludf.DUMMYFUNCTION("""COMPUTED_VALUE"""),1.0)</f>
        <v>1</v>
      </c>
      <c r="O1941" s="49"/>
      <c r="P1941" s="49" t="str">
        <f>IFERROR(__xludf.DUMMYFUNCTION("""COMPUTED_VALUE"""),"Offset")</f>
        <v>Offset</v>
      </c>
      <c r="Q1941" s="49" t="str">
        <f>IFERROR(__xludf.DUMMYFUNCTION("""COMPUTED_VALUE"""),"Packaging")</f>
        <v>Packaging</v>
      </c>
      <c r="R1941" s="49" t="str">
        <f>IFERROR(__xludf.DUMMYFUNCTION("""COMPUTED_VALUE"""),"Safety Product")</f>
        <v>Safety Product</v>
      </c>
    </row>
    <row r="1942">
      <c r="A1942" s="156" t="str">
        <f>IFERROR(__xludf.DUMMYFUNCTION("""COMPUTED_VALUE"""),"https://drive.google.com/open?id=1VU0AJQGMn3yy57nWyJ5fGlHACwfcfQ2B&amp;authuser=jay.agg%40gmail.com&amp;usp=drive_fs")</f>
        <v>https://drive.google.com/open?id=1VU0AJQGMn3yy57nWyJ5fGlHACwfcfQ2B&amp;authuser=jay.agg%40gmail.com&amp;usp=drive_fs</v>
      </c>
      <c r="B1942" s="73" t="str">
        <f>IFERROR(__xludf.DUMMYFUNCTION("""COMPUTED_VALUE"""),"Safety Product")</f>
        <v>Safety Product</v>
      </c>
      <c r="C1942" s="73" t="str">
        <f>IFERROR(__xludf.DUMMYFUNCTION("""COMPUTED_VALUE"""),"Pee Buddy")</f>
        <v>Pee Buddy</v>
      </c>
      <c r="D1942" s="73" t="str">
        <f>IFERROR(__xludf.DUMMYFUNCTION("""COMPUTED_VALUE"""),"177*251 mm | 7*10 inch")</f>
        <v>177*251 mm | 7*10 inch</v>
      </c>
      <c r="E1942" s="77">
        <f>IFERROR(__xludf.DUMMYFUNCTION("""COMPUTED_VALUE"""),4.0)</f>
        <v>4</v>
      </c>
      <c r="F1942" s="77">
        <f>IFERROR(__xludf.DUMMYFUNCTION("""COMPUTED_VALUE"""),1926.0)</f>
        <v>1926</v>
      </c>
      <c r="G1942" s="77">
        <f>IFERROR(__xludf.DUMMYFUNCTION("""COMPUTED_VALUE"""),15.75)</f>
        <v>15.75</v>
      </c>
      <c r="H1942" s="77">
        <f>IFERROR(__xludf.DUMMYFUNCTION("""COMPUTED_VALUE"""),20.75)</f>
        <v>20.75</v>
      </c>
      <c r="I1942" s="77">
        <f>IFERROR(__xludf.DUMMYFUNCTION("""COMPUTED_VALUE"""),100.0)</f>
        <v>100</v>
      </c>
      <c r="J1942" s="73"/>
      <c r="K1942" s="73"/>
      <c r="L1942" s="73"/>
      <c r="M1942" s="77">
        <f>IFERROR(__xludf.DUMMYFUNCTION("""COMPUTED_VALUE"""),0.16)</f>
        <v>0.16</v>
      </c>
      <c r="N1942" s="77">
        <f>IFERROR(__xludf.DUMMYFUNCTION("""COMPUTED_VALUE"""),1.0)</f>
        <v>1</v>
      </c>
      <c r="O1942" s="49"/>
      <c r="P1942" s="49" t="str">
        <f>IFERROR(__xludf.DUMMYFUNCTION("""COMPUTED_VALUE"""),"Offset")</f>
        <v>Offset</v>
      </c>
      <c r="Q1942" s="49" t="str">
        <f>IFERROR(__xludf.DUMMYFUNCTION("""COMPUTED_VALUE"""),"Packaging")</f>
        <v>Packaging</v>
      </c>
      <c r="R1942" s="49" t="str">
        <f>IFERROR(__xludf.DUMMYFUNCTION("""COMPUTED_VALUE"""),"Safety Product")</f>
        <v>Safety Product</v>
      </c>
    </row>
    <row r="1943">
      <c r="A1943" s="156" t="str">
        <f>IFERROR(__xludf.DUMMYFUNCTION("""COMPUTED_VALUE"""),"https://drive.google.com/open?id=1VVZH6xAd3hC2qix7f76UtuOXMndP98Z9&amp;authuser=jay.agg%40gmail.com&amp;usp=drive_fs")</f>
        <v>https://drive.google.com/open?id=1VVZH6xAd3hC2qix7f76UtuOXMndP98Z9&amp;authuser=jay.agg%40gmail.com&amp;usp=drive_fs</v>
      </c>
      <c r="B1943" s="73" t="str">
        <f>IFERROR(__xludf.DUMMYFUNCTION("""COMPUTED_VALUE"""),"Safety Product")</f>
        <v>Safety Product</v>
      </c>
      <c r="C1943" s="73" t="str">
        <f>IFERROR(__xludf.DUMMYFUNCTION("""COMPUTED_VALUE"""),"Menstrual Cup")</f>
        <v>Menstrual Cup</v>
      </c>
      <c r="D1943" s="73" t="str">
        <f>IFERROR(__xludf.DUMMYFUNCTION("""COMPUTED_VALUE"""),"65*55*100 mm | 2.6*2.16*3.9 inch")</f>
        <v>65*55*100 mm | 2.6*2.16*3.9 inch</v>
      </c>
      <c r="E1943" s="77">
        <f>IFERROR(__xludf.DUMMYFUNCTION("""COMPUTED_VALUE"""),6.0)</f>
        <v>6</v>
      </c>
      <c r="F1943" s="77">
        <f>IFERROR(__xludf.DUMMYFUNCTION("""COMPUTED_VALUE"""),2029.0)</f>
        <v>2029</v>
      </c>
      <c r="G1943" s="77">
        <f>IFERROR(__xludf.DUMMYFUNCTION("""COMPUTED_VALUE"""),20.0)</f>
        <v>20</v>
      </c>
      <c r="H1943" s="77">
        <f>IFERROR(__xludf.DUMMYFUNCTION("""COMPUTED_VALUE"""),28.0)</f>
        <v>28</v>
      </c>
      <c r="I1943" s="77">
        <f>IFERROR(__xludf.DUMMYFUNCTION("""COMPUTED_VALUE"""),100.0)</f>
        <v>100</v>
      </c>
      <c r="J1943" s="73"/>
      <c r="K1943" s="73"/>
      <c r="L1943" s="73"/>
      <c r="M1943" s="77">
        <f>IFERROR(__xludf.DUMMYFUNCTION("""COMPUTED_VALUE"""),0.1)</f>
        <v>0.1</v>
      </c>
      <c r="N1943" s="77">
        <f>IFERROR(__xludf.DUMMYFUNCTION("""COMPUTED_VALUE"""),1.0)</f>
        <v>1</v>
      </c>
      <c r="O1943" s="49"/>
      <c r="P1943" s="49" t="str">
        <f>IFERROR(__xludf.DUMMYFUNCTION("""COMPUTED_VALUE"""),"Offset")</f>
        <v>Offset</v>
      </c>
      <c r="Q1943" s="49" t="str">
        <f>IFERROR(__xludf.DUMMYFUNCTION("""COMPUTED_VALUE"""),"Packaging")</f>
        <v>Packaging</v>
      </c>
      <c r="R1943" s="49" t="str">
        <f>IFERROR(__xludf.DUMMYFUNCTION("""COMPUTED_VALUE"""),"Safety Product")</f>
        <v>Safety Product</v>
      </c>
    </row>
    <row r="1944">
      <c r="A1944" s="156" t="str">
        <f>IFERROR(__xludf.DUMMYFUNCTION("""COMPUTED_VALUE"""),"https://drive.google.com/open?id=1T9f66pR2twqyKE8JPZpkKenZ5eTSE4g2&amp;authuser=jay.agg%40gmail.com&amp;usp=drive_fs")</f>
        <v>https://drive.google.com/open?id=1T9f66pR2twqyKE8JPZpkKenZ5eTSE4g2&amp;authuser=jay.agg%40gmail.com&amp;usp=drive_fs</v>
      </c>
      <c r="B1944" s="73" t="str">
        <f>IFERROR(__xludf.DUMMYFUNCTION("""COMPUTED_VALUE"""),"Safety Product")</f>
        <v>Safety Product</v>
      </c>
      <c r="C1944" s="73" t="str">
        <f>IFERROR(__xludf.DUMMYFUNCTION("""COMPUTED_VALUE"""),"Menstrual Cup")</f>
        <v>Menstrual Cup</v>
      </c>
      <c r="D1944" s="73" t="str">
        <f>IFERROR(__xludf.DUMMYFUNCTION("""COMPUTED_VALUE"""),"60*56*100 mm | 2.3*2.2*3.9 inch W 1.5*1.5 inch")</f>
        <v>60*56*100 mm | 2.3*2.2*3.9 inch W 1.5*1.5 inch</v>
      </c>
      <c r="E1944" s="77">
        <f>IFERROR(__xludf.DUMMYFUNCTION("""COMPUTED_VALUE"""),6.0)</f>
        <v>6</v>
      </c>
      <c r="F1944" s="77">
        <f>IFERROR(__xludf.DUMMYFUNCTION("""COMPUTED_VALUE"""),2029.0)</f>
        <v>2029</v>
      </c>
      <c r="G1944" s="77">
        <f>IFERROR(__xludf.DUMMYFUNCTION("""COMPUTED_VALUE"""),19.5)</f>
        <v>19.5</v>
      </c>
      <c r="H1944" s="77">
        <f>IFERROR(__xludf.DUMMYFUNCTION("""COMPUTED_VALUE"""),23.0)</f>
        <v>23</v>
      </c>
      <c r="I1944" s="77">
        <f>IFERROR(__xludf.DUMMYFUNCTION("""COMPUTED_VALUE"""),100.0)</f>
        <v>100</v>
      </c>
      <c r="J1944" s="73"/>
      <c r="K1944" s="73"/>
      <c r="L1944" s="73">
        <f>IFERROR(__xludf.DUMMYFUNCTION("""COMPUTED_VALUE"""),1.0)</f>
        <v>1</v>
      </c>
      <c r="M1944" s="77">
        <f>IFERROR(__xludf.DUMMYFUNCTION("""COMPUTED_VALUE"""),0.1)</f>
        <v>0.1</v>
      </c>
      <c r="N1944" s="77">
        <f>IFERROR(__xludf.DUMMYFUNCTION("""COMPUTED_VALUE"""),1.0)</f>
        <v>1</v>
      </c>
      <c r="O1944" s="49"/>
      <c r="P1944" s="49" t="str">
        <f>IFERROR(__xludf.DUMMYFUNCTION("""COMPUTED_VALUE"""),"Offset")</f>
        <v>Offset</v>
      </c>
      <c r="Q1944" s="49" t="str">
        <f>IFERROR(__xludf.DUMMYFUNCTION("""COMPUTED_VALUE"""),"Packaging")</f>
        <v>Packaging</v>
      </c>
      <c r="R1944" s="49" t="str">
        <f>IFERROR(__xludf.DUMMYFUNCTION("""COMPUTED_VALUE"""),"Safety Product")</f>
        <v>Safety Product</v>
      </c>
    </row>
    <row r="1945">
      <c r="A1945" s="156" t="str">
        <f>IFERROR(__xludf.DUMMYFUNCTION("""COMPUTED_VALUE"""),"https://drive.google.com/open?id=119x5njRbYsg3PsWzGZRi1jLzMtLVgdpk&amp;authuser=jay.agg%40gmail.com&amp;usp=drive_fs")</f>
        <v>https://drive.google.com/open?id=119x5njRbYsg3PsWzGZRi1jLzMtLVgdpk&amp;authuser=jay.agg%40gmail.com&amp;usp=drive_fs</v>
      </c>
      <c r="B1945" s="73" t="str">
        <f>IFERROR(__xludf.DUMMYFUNCTION("""COMPUTED_VALUE"""),"Safety Product")</f>
        <v>Safety Product</v>
      </c>
      <c r="C1945" s="73" t="str">
        <f>IFERROR(__xludf.DUMMYFUNCTION("""COMPUTED_VALUE"""),"Menstrual Cup")</f>
        <v>Menstrual Cup</v>
      </c>
      <c r="D1945" s="73" t="str">
        <f>IFERROR(__xludf.DUMMYFUNCTION("""COMPUTED_VALUE"""),"42*37*129 mm | 1.6*1.6*5 inch")</f>
        <v>42*37*129 mm | 1.6*1.6*5 inch</v>
      </c>
      <c r="E1945" s="77">
        <f>IFERROR(__xludf.DUMMYFUNCTION("""COMPUTED_VALUE"""),6.0)</f>
        <v>6</v>
      </c>
      <c r="F1945" s="77">
        <f>IFERROR(__xludf.DUMMYFUNCTION("""COMPUTED_VALUE"""),1926.0)</f>
        <v>1926</v>
      </c>
      <c r="G1945" s="77">
        <f>IFERROR(__xludf.DUMMYFUNCTION("""COMPUTED_VALUE"""),18.0)</f>
        <v>18</v>
      </c>
      <c r="H1945" s="77">
        <f>IFERROR(__xludf.DUMMYFUNCTION("""COMPUTED_VALUE"""),21.0)</f>
        <v>21</v>
      </c>
      <c r="I1945" s="77">
        <f>IFERROR(__xludf.DUMMYFUNCTION("""COMPUTED_VALUE"""),100.0)</f>
        <v>100</v>
      </c>
      <c r="J1945" s="73"/>
      <c r="K1945" s="73"/>
      <c r="L1945" s="73"/>
      <c r="M1945" s="77">
        <f>IFERROR(__xludf.DUMMYFUNCTION("""COMPUTED_VALUE"""),0.1)</f>
        <v>0.1</v>
      </c>
      <c r="N1945" s="77">
        <f>IFERROR(__xludf.DUMMYFUNCTION("""COMPUTED_VALUE"""),1.0)</f>
        <v>1</v>
      </c>
      <c r="O1945" s="49"/>
      <c r="P1945" s="49" t="str">
        <f>IFERROR(__xludf.DUMMYFUNCTION("""COMPUTED_VALUE"""),"Offset")</f>
        <v>Offset</v>
      </c>
      <c r="Q1945" s="49" t="str">
        <f>IFERROR(__xludf.DUMMYFUNCTION("""COMPUTED_VALUE"""),"Packaging")</f>
        <v>Packaging</v>
      </c>
      <c r="R1945" s="49" t="str">
        <f>IFERROR(__xludf.DUMMYFUNCTION("""COMPUTED_VALUE"""),"Safety Product")</f>
        <v>Safety Product</v>
      </c>
    </row>
    <row r="1946">
      <c r="A1946" s="156" t="str">
        <f>IFERROR(__xludf.DUMMYFUNCTION("""COMPUTED_VALUE"""),"https://drive.google.com/open?id=1BFb9dG-s75MwnYiCIP_OWQ1fmLiOMXWo&amp;authuser=jay.agg%40gmail.com&amp;usp=drive_fs")</f>
        <v>https://drive.google.com/open?id=1BFb9dG-s75MwnYiCIP_OWQ1fmLiOMXWo&amp;authuser=jay.agg%40gmail.com&amp;usp=drive_fs</v>
      </c>
      <c r="B1946" s="73" t="str">
        <f>IFERROR(__xludf.DUMMYFUNCTION("""COMPUTED_VALUE"""),"Safety Product")</f>
        <v>Safety Product</v>
      </c>
      <c r="C1946" s="73" t="str">
        <f>IFERROR(__xludf.DUMMYFUNCTION("""COMPUTED_VALUE"""),"Gloves")</f>
        <v>Gloves</v>
      </c>
      <c r="D1946" s="73" t="str">
        <f>IFERROR(__xludf.DUMMYFUNCTION("""COMPUTED_VALUE"""),"132*64*193 mm | 5.2*2.5*7.6 inch")</f>
        <v>132*64*193 mm | 5.2*2.5*7.6 inch</v>
      </c>
      <c r="E1946" s="77">
        <f>IFERROR(__xludf.DUMMYFUNCTION("""COMPUTED_VALUE"""),2.0)</f>
        <v>2</v>
      </c>
      <c r="F1946" s="77">
        <f>IFERROR(__xludf.DUMMYFUNCTION("""COMPUTED_VALUE"""),2029.0)</f>
        <v>2029</v>
      </c>
      <c r="G1946" s="77">
        <f>IFERROR(__xludf.DUMMYFUNCTION("""COMPUTED_VALUE"""),18.0)</f>
        <v>18</v>
      </c>
      <c r="H1946" s="77">
        <f>IFERROR(__xludf.DUMMYFUNCTION("""COMPUTED_VALUE"""),25.0)</f>
        <v>25</v>
      </c>
      <c r="I1946" s="77">
        <f>IFERROR(__xludf.DUMMYFUNCTION("""COMPUTED_VALUE"""),100.0)</f>
        <v>100</v>
      </c>
      <c r="J1946" s="73"/>
      <c r="K1946" s="73"/>
      <c r="L1946" s="73"/>
      <c r="M1946" s="77">
        <f>IFERROR(__xludf.DUMMYFUNCTION("""COMPUTED_VALUE"""),0.1)</f>
        <v>0.1</v>
      </c>
      <c r="N1946" s="77">
        <f>IFERROR(__xludf.DUMMYFUNCTION("""COMPUTED_VALUE"""),1.0)</f>
        <v>1</v>
      </c>
      <c r="O1946" s="49"/>
      <c r="P1946" s="49" t="str">
        <f>IFERROR(__xludf.DUMMYFUNCTION("""COMPUTED_VALUE"""),"Offset")</f>
        <v>Offset</v>
      </c>
      <c r="Q1946" s="49" t="str">
        <f>IFERROR(__xludf.DUMMYFUNCTION("""COMPUTED_VALUE"""),"Packaging")</f>
        <v>Packaging</v>
      </c>
      <c r="R1946" s="49" t="str">
        <f>IFERROR(__xludf.DUMMYFUNCTION("""COMPUTED_VALUE"""),"Safety Product")</f>
        <v>Safety Product</v>
      </c>
    </row>
    <row r="1947">
      <c r="A1947" s="156" t="str">
        <f>IFERROR(__xludf.DUMMYFUNCTION("""COMPUTED_VALUE"""),"https://drive.google.com/open?id=1BLyVflSLPcwbuXVbvoH8q3tEPc2NLBzm&amp;authuser=jay.agg%40gmail.com&amp;usp=drive_fs")</f>
        <v>https://drive.google.com/open?id=1BLyVflSLPcwbuXVbvoH8q3tEPc2NLBzm&amp;authuser=jay.agg%40gmail.com&amp;usp=drive_fs</v>
      </c>
      <c r="B1947" s="73" t="str">
        <f>IFERROR(__xludf.DUMMYFUNCTION("""COMPUTED_VALUE"""),"Safety Product")</f>
        <v>Safety Product</v>
      </c>
      <c r="C1947" s="73" t="str">
        <f>IFERROR(__xludf.DUMMYFUNCTION("""COMPUTED_VALUE"""),"Gloves")</f>
        <v>Gloves</v>
      </c>
      <c r="D1947" s="73" t="str">
        <f>IFERROR(__xludf.DUMMYFUNCTION("""COMPUTED_VALUE"""),"125*64*193 mm | 4.9*2.5*7.6 inch")</f>
        <v>125*64*193 mm | 4.9*2.5*7.6 inch</v>
      </c>
      <c r="E1947" s="77">
        <f>IFERROR(__xludf.DUMMYFUNCTION("""COMPUTED_VALUE"""),2.0)</f>
        <v>2</v>
      </c>
      <c r="F1947" s="77">
        <f>IFERROR(__xludf.DUMMYFUNCTION("""COMPUTED_VALUE"""),2029.0)</f>
        <v>2029</v>
      </c>
      <c r="G1947" s="77">
        <f>IFERROR(__xludf.DUMMYFUNCTION("""COMPUTED_VALUE"""),17.5)</f>
        <v>17.5</v>
      </c>
      <c r="H1947" s="77">
        <f>IFERROR(__xludf.DUMMYFUNCTION("""COMPUTED_VALUE"""),28.0)</f>
        <v>28</v>
      </c>
      <c r="I1947" s="77">
        <f>IFERROR(__xludf.DUMMYFUNCTION("""COMPUTED_VALUE"""),100.0)</f>
        <v>100</v>
      </c>
      <c r="J1947" s="73"/>
      <c r="K1947" s="73"/>
      <c r="L1947" s="73"/>
      <c r="M1947" s="77">
        <f>IFERROR(__xludf.DUMMYFUNCTION("""COMPUTED_VALUE"""),0.1)</f>
        <v>0.1</v>
      </c>
      <c r="N1947" s="77">
        <f>IFERROR(__xludf.DUMMYFUNCTION("""COMPUTED_VALUE"""),1.0)</f>
        <v>1</v>
      </c>
      <c r="O1947" s="49"/>
      <c r="P1947" s="49" t="str">
        <f>IFERROR(__xludf.DUMMYFUNCTION("""COMPUTED_VALUE"""),"Offset")</f>
        <v>Offset</v>
      </c>
      <c r="Q1947" s="49" t="str">
        <f>IFERROR(__xludf.DUMMYFUNCTION("""COMPUTED_VALUE"""),"Packaging")</f>
        <v>Packaging</v>
      </c>
      <c r="R1947" s="49" t="str">
        <f>IFERROR(__xludf.DUMMYFUNCTION("""COMPUTED_VALUE"""),"Safety Product")</f>
        <v>Safety Product</v>
      </c>
    </row>
    <row r="1948">
      <c r="A1948" s="156" t="str">
        <f>IFERROR(__xludf.DUMMYFUNCTION("""COMPUTED_VALUE"""),"https://drive.google.com/open?id=1C6ZnEqjF8Jcl2mEjD_9Gdn7SVnS0sVpX&amp;authuser=jay.agg%40gmail.com&amp;usp=drive_fs")</f>
        <v>https://drive.google.com/open?id=1C6ZnEqjF8Jcl2mEjD_9Gdn7SVnS0sVpX&amp;authuser=jay.agg%40gmail.com&amp;usp=drive_fs</v>
      </c>
      <c r="B1948" s="73" t="str">
        <f>IFERROR(__xludf.DUMMYFUNCTION("""COMPUTED_VALUE"""),"Safety Product")</f>
        <v>Safety Product</v>
      </c>
      <c r="C1948" s="73" t="str">
        <f>IFERROR(__xludf.DUMMYFUNCTION("""COMPUTED_VALUE"""),"Oximeter")</f>
        <v>Oximeter</v>
      </c>
      <c r="D1948" s="73" t="str">
        <f>IFERROR(__xludf.DUMMYFUNCTION("""COMPUTED_VALUE"""),"57*30*31 mm | 2.2*1.2*1.22 inch IL")</f>
        <v>57*30*31 mm | 2.2*1.2*1.22 inch IL</v>
      </c>
      <c r="E1948" s="77">
        <f>IFERROR(__xludf.DUMMYFUNCTION("""COMPUTED_VALUE"""),16.0)</f>
        <v>16</v>
      </c>
      <c r="F1948" s="77">
        <f>IFERROR(__xludf.DUMMYFUNCTION("""COMPUTED_VALUE"""),2029.0)</f>
        <v>2029</v>
      </c>
      <c r="G1948" s="77">
        <f>IFERROR(__xludf.DUMMYFUNCTION("""COMPUTED_VALUE"""),15.0)</f>
        <v>15</v>
      </c>
      <c r="H1948" s="77">
        <f>IFERROR(__xludf.DUMMYFUNCTION("""COMPUTED_VALUE"""),25.0)</f>
        <v>25</v>
      </c>
      <c r="I1948" s="77">
        <f>IFERROR(__xludf.DUMMYFUNCTION("""COMPUTED_VALUE"""),100.0)</f>
        <v>100</v>
      </c>
      <c r="J1948" s="73"/>
      <c r="K1948" s="73"/>
      <c r="L1948" s="73"/>
      <c r="M1948" s="77">
        <f>IFERROR(__xludf.DUMMYFUNCTION("""COMPUTED_VALUE"""),0.1)</f>
        <v>0.1</v>
      </c>
      <c r="N1948" s="77">
        <f>IFERROR(__xludf.DUMMYFUNCTION("""COMPUTED_VALUE"""),1.0)</f>
        <v>1</v>
      </c>
      <c r="O1948" s="49"/>
      <c r="P1948" s="49" t="str">
        <f>IFERROR(__xludf.DUMMYFUNCTION("""COMPUTED_VALUE"""),"Offset")</f>
        <v>Offset</v>
      </c>
      <c r="Q1948" s="49" t="str">
        <f>IFERROR(__xludf.DUMMYFUNCTION("""COMPUTED_VALUE"""),"Packaging")</f>
        <v>Packaging</v>
      </c>
      <c r="R1948" s="49" t="str">
        <f>IFERROR(__xludf.DUMMYFUNCTION("""COMPUTED_VALUE"""),"Safety Product")</f>
        <v>Safety Product</v>
      </c>
    </row>
    <row r="1949">
      <c r="A1949" s="156" t="str">
        <f>IFERROR(__xludf.DUMMYFUNCTION("""COMPUTED_VALUE"""),"https://drive.google.com/open?id=1E0ff2Mzed10Rhqg7TxP2BLIrT7nYhorO&amp;authuser=jay.agg%40gmail.com&amp;usp=drive_fs")</f>
        <v>https://drive.google.com/open?id=1E0ff2Mzed10Rhqg7TxP2BLIrT7nYhorO&amp;authuser=jay.agg%40gmail.com&amp;usp=drive_fs</v>
      </c>
      <c r="B1949" s="73" t="str">
        <f>IFERROR(__xludf.DUMMYFUNCTION("""COMPUTED_VALUE"""),"Safety Product")</f>
        <v>Safety Product</v>
      </c>
      <c r="C1949" s="73" t="str">
        <f>IFERROR(__xludf.DUMMYFUNCTION("""COMPUTED_VALUE"""),"Gloves")</f>
        <v>Gloves</v>
      </c>
      <c r="D1949" s="73" t="str">
        <f>IFERROR(__xludf.DUMMYFUNCTION("""COMPUTED_VALUE"""),"131*55*212 mm | 5.1*2.1*8.3 inch")</f>
        <v>131*55*212 mm | 5.1*2.1*8.3 inch</v>
      </c>
      <c r="E1949" s="77">
        <f>IFERROR(__xludf.DUMMYFUNCTION("""COMPUTED_VALUE"""),4.0)</f>
        <v>4</v>
      </c>
      <c r="F1949" s="77">
        <f>IFERROR(__xludf.DUMMYFUNCTION("""COMPUTED_VALUE"""),2840.0)</f>
        <v>2840</v>
      </c>
      <c r="G1949" s="77">
        <f>IFERROR(__xludf.DUMMYFUNCTION("""COMPUTED_VALUE"""),25.0)</f>
        <v>25</v>
      </c>
      <c r="H1949" s="77">
        <f>IFERROR(__xludf.DUMMYFUNCTION("""COMPUTED_VALUE"""),36.0)</f>
        <v>36</v>
      </c>
      <c r="I1949" s="77">
        <f>IFERROR(__xludf.DUMMYFUNCTION("""COMPUTED_VALUE"""),100.0)</f>
        <v>100</v>
      </c>
      <c r="J1949" s="73"/>
      <c r="K1949" s="73"/>
      <c r="L1949" s="73"/>
      <c r="M1949" s="77">
        <f>IFERROR(__xludf.DUMMYFUNCTION("""COMPUTED_VALUE"""),0.12)</f>
        <v>0.12</v>
      </c>
      <c r="N1949" s="77">
        <f>IFERROR(__xludf.DUMMYFUNCTION("""COMPUTED_VALUE"""),1.0)</f>
        <v>1</v>
      </c>
      <c r="O1949" s="49"/>
      <c r="P1949" s="49" t="str">
        <f>IFERROR(__xludf.DUMMYFUNCTION("""COMPUTED_VALUE"""),"Offset")</f>
        <v>Offset</v>
      </c>
      <c r="Q1949" s="49" t="str">
        <f>IFERROR(__xludf.DUMMYFUNCTION("""COMPUTED_VALUE"""),"Packaging")</f>
        <v>Packaging</v>
      </c>
      <c r="R1949" s="49" t="str">
        <f>IFERROR(__xludf.DUMMYFUNCTION("""COMPUTED_VALUE"""),"Safety Product")</f>
        <v>Safety Product</v>
      </c>
    </row>
    <row r="1950">
      <c r="A1950" s="156" t="str">
        <f>IFERROR(__xludf.DUMMYFUNCTION("""COMPUTED_VALUE"""),"https://drive.google.com/open?id=1EtkqClGoPAil0pHMmlUMOZwsmeqjKAhP&amp;authuser=jay.agg%40gmail.com&amp;usp=drive_fs")</f>
        <v>https://drive.google.com/open?id=1EtkqClGoPAil0pHMmlUMOZwsmeqjKAhP&amp;authuser=jay.agg%40gmail.com&amp;usp=drive_fs</v>
      </c>
      <c r="B1950" s="73" t="str">
        <f>IFERROR(__xludf.DUMMYFUNCTION("""COMPUTED_VALUE"""),"Safety Product")</f>
        <v>Safety Product</v>
      </c>
      <c r="C1950" s="73" t="str">
        <f>IFERROR(__xludf.DUMMYFUNCTION("""COMPUTED_VALUE"""),"Ear Bud")</f>
        <v>Ear Bud</v>
      </c>
      <c r="D1950" s="73" t="str">
        <f>IFERROR(__xludf.DUMMYFUNCTION("""COMPUTED_VALUE"""),"75*24*84 mm | 3*1*3.3 inch with Hanger")</f>
        <v>75*24*84 mm | 3*1*3.3 inch with Hanger</v>
      </c>
      <c r="E1950" s="77">
        <f>IFERROR(__xludf.DUMMYFUNCTION("""COMPUTED_VALUE"""),8.0)</f>
        <v>8</v>
      </c>
      <c r="F1950" s="77">
        <f>IFERROR(__xludf.DUMMYFUNCTION("""COMPUTED_VALUE"""),1926.0)</f>
        <v>1926</v>
      </c>
      <c r="G1950" s="77">
        <f>IFERROR(__xludf.DUMMYFUNCTION("""COMPUTED_VALUE"""),18.0)</f>
        <v>18</v>
      </c>
      <c r="H1950" s="77">
        <f>IFERROR(__xludf.DUMMYFUNCTION("""COMPUTED_VALUE"""),25.0)</f>
        <v>25</v>
      </c>
      <c r="I1950" s="77">
        <f>IFERROR(__xludf.DUMMYFUNCTION("""COMPUTED_VALUE"""),100.0)</f>
        <v>100</v>
      </c>
      <c r="J1950" s="73"/>
      <c r="K1950" s="73"/>
      <c r="L1950" s="73"/>
      <c r="M1950" s="77">
        <f>IFERROR(__xludf.DUMMYFUNCTION("""COMPUTED_VALUE"""),0.1)</f>
        <v>0.1</v>
      </c>
      <c r="N1950" s="77">
        <f>IFERROR(__xludf.DUMMYFUNCTION("""COMPUTED_VALUE"""),1.0)</f>
        <v>1</v>
      </c>
      <c r="O1950" s="49"/>
      <c r="P1950" s="49" t="str">
        <f>IFERROR(__xludf.DUMMYFUNCTION("""COMPUTED_VALUE"""),"Offset")</f>
        <v>Offset</v>
      </c>
      <c r="Q1950" s="49" t="str">
        <f>IFERROR(__xludf.DUMMYFUNCTION("""COMPUTED_VALUE"""),"Packaging")</f>
        <v>Packaging</v>
      </c>
      <c r="R1950" s="49" t="str">
        <f>IFERROR(__xludf.DUMMYFUNCTION("""COMPUTED_VALUE"""),"Safety Product")</f>
        <v>Safety Product</v>
      </c>
    </row>
    <row r="1951">
      <c r="A1951" s="156" t="str">
        <f>IFERROR(__xludf.DUMMYFUNCTION("""COMPUTED_VALUE"""),"https://drive.google.com/open?id=1TrcyqeqdVGcF60o8hyBOSVxGjkLqiEcF&amp;authuser=jay.agg%40gmail.com&amp;usp=drive_fs")</f>
        <v>https://drive.google.com/open?id=1TrcyqeqdVGcF60o8hyBOSVxGjkLqiEcF&amp;authuser=jay.agg%40gmail.com&amp;usp=drive_fs</v>
      </c>
      <c r="B1951" s="73" t="str">
        <f>IFERROR(__xludf.DUMMYFUNCTION("""COMPUTED_VALUE"""),"Safety Product")</f>
        <v>Safety Product</v>
      </c>
      <c r="C1951" s="73" t="str">
        <f>IFERROR(__xludf.DUMMYFUNCTION("""COMPUTED_VALUE"""),"Misc")</f>
        <v>Misc</v>
      </c>
      <c r="D1951" s="73" t="str">
        <f>IFERROR(__xludf.DUMMYFUNCTION("""COMPUTED_VALUE"""),"228*127*152 mm | 9*5*6 inch LB")</f>
        <v>228*127*152 mm | 9*5*6 inch LB</v>
      </c>
      <c r="E1951" s="77">
        <f>IFERROR(__xludf.DUMMYFUNCTION("""COMPUTED_VALUE"""),1.0)</f>
        <v>1</v>
      </c>
      <c r="F1951" s="77">
        <f>IFERROR(__xludf.DUMMYFUNCTION("""COMPUTED_VALUE"""),2029.0)</f>
        <v>2029</v>
      </c>
      <c r="G1951" s="77">
        <f>IFERROR(__xludf.DUMMYFUNCTION("""COMPUTED_VALUE"""),20.75)</f>
        <v>20.75</v>
      </c>
      <c r="H1951" s="77">
        <f>IFERROR(__xludf.DUMMYFUNCTION("""COMPUTED_VALUE"""),31.5)</f>
        <v>31.5</v>
      </c>
      <c r="I1951" s="77">
        <f>IFERROR(__xludf.DUMMYFUNCTION("""COMPUTED_VALUE"""),100.0)</f>
        <v>100</v>
      </c>
      <c r="J1951" s="73"/>
      <c r="K1951" s="73"/>
      <c r="L1951" s="73"/>
      <c r="M1951" s="77">
        <f>IFERROR(__xludf.DUMMYFUNCTION("""COMPUTED_VALUE"""),0.22)</f>
        <v>0.22</v>
      </c>
      <c r="N1951" s="77">
        <f>IFERROR(__xludf.DUMMYFUNCTION("""COMPUTED_VALUE"""),1.0)</f>
        <v>1</v>
      </c>
      <c r="O1951" s="49"/>
      <c r="P1951" s="49" t="str">
        <f>IFERROR(__xludf.DUMMYFUNCTION("""COMPUTED_VALUE"""),"Offset")</f>
        <v>Offset</v>
      </c>
      <c r="Q1951" s="49" t="str">
        <f>IFERROR(__xludf.DUMMYFUNCTION("""COMPUTED_VALUE"""),"Packaging")</f>
        <v>Packaging</v>
      </c>
      <c r="R1951" s="49" t="str">
        <f>IFERROR(__xludf.DUMMYFUNCTION("""COMPUTED_VALUE"""),"Safety Product")</f>
        <v>Safety Product</v>
      </c>
    </row>
    <row r="1952">
      <c r="A1952" s="156" t="str">
        <f>IFERROR(__xludf.DUMMYFUNCTION("""COMPUTED_VALUE"""),"https://drive.google.com/open?id=1CVjOibiP1XKiqEYR7SOAOjKOvR0srYg0&amp;authuser=jay.agg%40gmail.com&amp;usp=drive_fs")</f>
        <v>https://drive.google.com/open?id=1CVjOibiP1XKiqEYR7SOAOjKOvR0srYg0&amp;authuser=jay.agg%40gmail.com&amp;usp=drive_fs</v>
      </c>
      <c r="B1952" s="73" t="str">
        <f>IFERROR(__xludf.DUMMYFUNCTION("""COMPUTED_VALUE"""),"Safety Product")</f>
        <v>Safety Product</v>
      </c>
      <c r="C1952" s="73" t="str">
        <f>IFERROR(__xludf.DUMMYFUNCTION("""COMPUTED_VALUE"""),"Gloves")</f>
        <v>Gloves</v>
      </c>
      <c r="D1952" s="73" t="str">
        <f>IFERROR(__xludf.DUMMYFUNCTION("""COMPUTED_VALUE"""),"215*125*70 mm | 8.5*4.9*2.75 inch")</f>
        <v>215*125*70 mm | 8.5*4.9*2.75 inch</v>
      </c>
      <c r="E1952" s="77">
        <f>IFERROR(__xludf.DUMMYFUNCTION("""COMPUTED_VALUE"""),1.0)</f>
        <v>1</v>
      </c>
      <c r="F1952" s="77">
        <f>IFERROR(__xludf.DUMMYFUNCTION("""COMPUTED_VALUE"""),1926.0)</f>
        <v>1926</v>
      </c>
      <c r="G1952" s="77">
        <f>IFERROR(__xludf.DUMMYFUNCTION("""COMPUTED_VALUE"""),16.0)</f>
        <v>16</v>
      </c>
      <c r="H1952" s="77">
        <f>IFERROR(__xludf.DUMMYFUNCTION("""COMPUTED_VALUE"""),17.0)</f>
        <v>17</v>
      </c>
      <c r="I1952" s="77">
        <f>IFERROR(__xludf.DUMMYFUNCTION("""COMPUTED_VALUE"""),100.0)</f>
        <v>100</v>
      </c>
      <c r="J1952" s="73"/>
      <c r="K1952" s="73"/>
      <c r="L1952" s="73"/>
      <c r="M1952" s="77">
        <f>IFERROR(__xludf.DUMMYFUNCTION("""COMPUTED_VALUE"""),0.1)</f>
        <v>0.1</v>
      </c>
      <c r="N1952" s="77">
        <f>IFERROR(__xludf.DUMMYFUNCTION("""COMPUTED_VALUE"""),1.0)</f>
        <v>1</v>
      </c>
      <c r="O1952" s="49"/>
      <c r="P1952" s="49" t="str">
        <f>IFERROR(__xludf.DUMMYFUNCTION("""COMPUTED_VALUE"""),"Offset")</f>
        <v>Offset</v>
      </c>
      <c r="Q1952" s="49" t="str">
        <f>IFERROR(__xludf.DUMMYFUNCTION("""COMPUTED_VALUE"""),"Packaging")</f>
        <v>Packaging</v>
      </c>
      <c r="R1952" s="49" t="str">
        <f>IFERROR(__xludf.DUMMYFUNCTION("""COMPUTED_VALUE"""),"Safety Product")</f>
        <v>Safety Product</v>
      </c>
    </row>
    <row r="1953">
      <c r="A1953" s="156" t="str">
        <f>IFERROR(__xludf.DUMMYFUNCTION("""COMPUTED_VALUE"""),"https://drive.google.com/open?id=10LYhdPPIlAoiJSn_98BazZ6pyPn_IPCx&amp;authuser=jay.agg%40gmail.com&amp;usp=drive_fs")</f>
        <v>https://drive.google.com/open?id=10LYhdPPIlAoiJSn_98BazZ6pyPn_IPCx&amp;authuser=jay.agg%40gmail.com&amp;usp=drive_fs</v>
      </c>
      <c r="B1953" s="73" t="str">
        <f>IFERROR(__xludf.DUMMYFUNCTION("""COMPUTED_VALUE"""),"The Man Company")</f>
        <v>The Man Company</v>
      </c>
      <c r="C1953" s="73" t="str">
        <f>IFERROR(__xludf.DUMMYFUNCTION("""COMPUTED_VALUE"""),"Mask Box")</f>
        <v>Mask Box</v>
      </c>
      <c r="D1953" s="73" t="str">
        <f>IFERROR(__xludf.DUMMYFUNCTION("""COMPUTED_VALUE"""),"161*127*80 mm | 6.3*5*3.15 inch IL | 22*25")</f>
        <v>161*127*80 mm | 6.3*5*3.15 inch IL | 22*25</v>
      </c>
      <c r="E1953" s="77">
        <f>IFERROR(__xludf.DUMMYFUNCTION("""COMPUTED_VALUE"""),2.0)</f>
        <v>2</v>
      </c>
      <c r="F1953" s="77">
        <f>IFERROR(__xludf.DUMMYFUNCTION("""COMPUTED_VALUE"""),2840.0)</f>
        <v>2840</v>
      </c>
      <c r="G1953" s="77">
        <f>IFERROR(__xludf.DUMMYFUNCTION("""COMPUTED_VALUE"""),22.0)</f>
        <v>22</v>
      </c>
      <c r="H1953" s="77">
        <f>IFERROR(__xludf.DUMMYFUNCTION("""COMPUTED_VALUE"""),28.0)</f>
        <v>28</v>
      </c>
      <c r="I1953" s="77">
        <f>IFERROR(__xludf.DUMMYFUNCTION("""COMPUTED_VALUE"""),100.0)</f>
        <v>100</v>
      </c>
      <c r="J1953" s="73"/>
      <c r="K1953" s="73"/>
      <c r="L1953" s="73"/>
      <c r="M1953" s="77">
        <f>IFERROR(__xludf.DUMMYFUNCTION("""COMPUTED_VALUE"""),0.2)</f>
        <v>0.2</v>
      </c>
      <c r="N1953" s="77">
        <f>IFERROR(__xludf.DUMMYFUNCTION("""COMPUTED_VALUE"""),1.0)</f>
        <v>1</v>
      </c>
      <c r="O1953" s="49"/>
      <c r="P1953" s="49" t="str">
        <f>IFERROR(__xludf.DUMMYFUNCTION("""COMPUTED_VALUE"""),"Offset")</f>
        <v>Offset</v>
      </c>
      <c r="Q1953" s="49" t="str">
        <f>IFERROR(__xludf.DUMMYFUNCTION("""COMPUTED_VALUE"""),"Packaging")</f>
        <v>Packaging</v>
      </c>
      <c r="R1953" s="49" t="str">
        <f>IFERROR(__xludf.DUMMYFUNCTION("""COMPUTED_VALUE"""),"The Man Company")</f>
        <v>The Man Company</v>
      </c>
    </row>
    <row r="1954">
      <c r="A1954" s="156" t="str">
        <f>IFERROR(__xludf.DUMMYFUNCTION("""COMPUTED_VALUE"""),"https://drive.google.com/open?id=15FZ6wmmVQmF6GB-FGsymBS1Tf7eKyw0-&amp;authuser=jay.agg%40gmail.com&amp;usp=drive_fs")</f>
        <v>https://drive.google.com/open?id=15FZ6wmmVQmF6GB-FGsymBS1Tf7eKyw0-&amp;authuser=jay.agg%40gmail.com&amp;usp=drive_fs</v>
      </c>
      <c r="B1954" s="73" t="str">
        <f>IFERROR(__xludf.DUMMYFUNCTION("""COMPUTED_VALUE"""),"Safety Product")</f>
        <v>Safety Product</v>
      </c>
      <c r="C1954" s="73" t="str">
        <f>IFERROR(__xludf.DUMMYFUNCTION("""COMPUTED_VALUE"""),"Mask")</f>
        <v>Mask</v>
      </c>
      <c r="D1954" s="73" t="str">
        <f>IFERROR(__xludf.DUMMYFUNCTION("""COMPUTED_VALUE"""),"190*115*111 mm | 7.5*4.5*4.4 inch LB")</f>
        <v>190*115*111 mm | 7.5*4.5*4.4 inch LB</v>
      </c>
      <c r="E1954" s="77">
        <f>IFERROR(__xludf.DUMMYFUNCTION("""COMPUTED_VALUE"""),2.0)</f>
        <v>2</v>
      </c>
      <c r="F1954" s="77">
        <f>IFERROR(__xludf.DUMMYFUNCTION("""COMPUTED_VALUE"""),2029.0)</f>
        <v>2029</v>
      </c>
      <c r="G1954" s="77">
        <f>IFERROR(__xludf.DUMMYFUNCTION("""COMPUTED_VALUE"""),20.0)</f>
        <v>20</v>
      </c>
      <c r="H1954" s="77">
        <f>IFERROR(__xludf.DUMMYFUNCTION("""COMPUTED_VALUE"""),25.0)</f>
        <v>25</v>
      </c>
      <c r="I1954" s="77">
        <f>IFERROR(__xludf.DUMMYFUNCTION("""COMPUTED_VALUE"""),100.0)</f>
        <v>100</v>
      </c>
      <c r="J1954" s="73"/>
      <c r="K1954" s="73"/>
      <c r="L1954" s="73"/>
      <c r="M1954" s="77">
        <f>IFERROR(__xludf.DUMMYFUNCTION("""COMPUTED_VALUE"""),0.18)</f>
        <v>0.18</v>
      </c>
      <c r="N1954" s="77">
        <f>IFERROR(__xludf.DUMMYFUNCTION("""COMPUTED_VALUE"""),1.0)</f>
        <v>1</v>
      </c>
      <c r="O1954" s="49"/>
      <c r="P1954" s="49" t="str">
        <f>IFERROR(__xludf.DUMMYFUNCTION("""COMPUTED_VALUE"""),"Offset")</f>
        <v>Offset</v>
      </c>
      <c r="Q1954" s="49" t="str">
        <f>IFERROR(__xludf.DUMMYFUNCTION("""COMPUTED_VALUE"""),"Packaging")</f>
        <v>Packaging</v>
      </c>
      <c r="R1954" s="49" t="str">
        <f>IFERROR(__xludf.DUMMYFUNCTION("""COMPUTED_VALUE"""),"Safety Product")</f>
        <v>Safety Product</v>
      </c>
    </row>
    <row r="1955">
      <c r="A1955" s="156" t="str">
        <f>IFERROR(__xludf.DUMMYFUNCTION("""COMPUTED_VALUE"""),"https://drive.google.com/open?id=11EwwKW5nD3l2kosrBUvPoLj5XD5H5lZx&amp;usp=drive_fs")</f>
        <v>https://drive.google.com/open?id=11EwwKW5nD3l2kosrBUvPoLj5XD5H5lZx&amp;usp=drive_fs</v>
      </c>
      <c r="B1955" s="73" t="str">
        <f>IFERROR(__xludf.DUMMYFUNCTION("""COMPUTED_VALUE"""),"Safety Product")</f>
        <v>Safety Product</v>
      </c>
      <c r="C1955" s="73" t="str">
        <f>IFERROR(__xludf.DUMMYFUNCTION("""COMPUTED_VALUE"""),"Menstrual Cup")</f>
        <v>Menstrual Cup</v>
      </c>
      <c r="D1955" s="73" t="str">
        <f>IFERROR(__xludf.DUMMYFUNCTION("""COMPUTED_VALUE"""),"90*83*47 mm |  3.5*3.3*1.85 inch")</f>
        <v>90*83*47 mm |  3.5*3.3*1.85 inch</v>
      </c>
      <c r="E1955" s="77">
        <f>IFERROR(__xludf.DUMMYFUNCTION("""COMPUTED_VALUE"""),3.0)</f>
        <v>3</v>
      </c>
      <c r="F1955" s="77">
        <f>IFERROR(__xludf.DUMMYFUNCTION("""COMPUTED_VALUE"""),1926.0)</f>
        <v>1926</v>
      </c>
      <c r="G1955" s="77">
        <f>IFERROR(__xludf.DUMMYFUNCTION("""COMPUTED_VALUE"""),15.0)</f>
        <v>15</v>
      </c>
      <c r="H1955" s="77">
        <f>IFERROR(__xludf.DUMMYFUNCTION("""COMPUTED_VALUE"""),25.0)</f>
        <v>25</v>
      </c>
      <c r="I1955" s="77">
        <f>IFERROR(__xludf.DUMMYFUNCTION("""COMPUTED_VALUE"""),100.0)</f>
        <v>100</v>
      </c>
      <c r="J1955" s="73"/>
      <c r="K1955" s="73"/>
      <c r="L1955" s="73"/>
      <c r="M1955" s="77">
        <f>IFERROR(__xludf.DUMMYFUNCTION("""COMPUTED_VALUE"""),0.1)</f>
        <v>0.1</v>
      </c>
      <c r="N1955" s="77">
        <f>IFERROR(__xludf.DUMMYFUNCTION("""COMPUTED_VALUE"""),1.0)</f>
        <v>1</v>
      </c>
      <c r="O1955" s="49"/>
      <c r="P1955" s="49" t="str">
        <f>IFERROR(__xludf.DUMMYFUNCTION("""COMPUTED_VALUE"""),"Offset")</f>
        <v>Offset</v>
      </c>
      <c r="Q1955" s="49" t="str">
        <f>IFERROR(__xludf.DUMMYFUNCTION("""COMPUTED_VALUE"""),"Packaging")</f>
        <v>Packaging</v>
      </c>
      <c r="R1955" s="49" t="str">
        <f>IFERROR(__xludf.DUMMYFUNCTION("""COMPUTED_VALUE"""),"Safety Product")</f>
        <v>Safety Product</v>
      </c>
    </row>
    <row r="1956">
      <c r="A1956" s="156" t="str">
        <f>IFERROR(__xludf.DUMMYFUNCTION("""COMPUTED_VALUE"""),"https://drive.google.com/open?id=11pfml--W8qNDG5nhI5sUXygZ61_njZ98&amp;usp=drive_fs")</f>
        <v>https://drive.google.com/open?id=11pfml--W8qNDG5nhI5sUXygZ61_njZ98&amp;usp=drive_fs</v>
      </c>
      <c r="B1956" s="73" t="str">
        <f>IFERROR(__xludf.DUMMYFUNCTION("""COMPUTED_VALUE"""),"Safety Product")</f>
        <v>Safety Product</v>
      </c>
      <c r="C1956" s="73" t="str">
        <f>IFERROR(__xludf.DUMMYFUNCTION("""COMPUTED_VALUE"""),"Condom")</f>
        <v>Condom</v>
      </c>
      <c r="D1956" s="73" t="str">
        <f>IFERROR(__xludf.DUMMYFUNCTION("""COMPUTED_VALUE"""),"62*18*68 mm | 2.4*0.8*2.7 inch")</f>
        <v>62*18*68 mm | 2.4*0.8*2.7 inch</v>
      </c>
      <c r="E1956" s="77">
        <f>IFERROR(__xludf.DUMMYFUNCTION("""COMPUTED_VALUE"""),12.0)</f>
        <v>12</v>
      </c>
      <c r="F1956" s="77">
        <f>IFERROR(__xludf.DUMMYFUNCTION("""COMPUTED_VALUE"""),1926.0)</f>
        <v>1926</v>
      </c>
      <c r="G1956" s="77">
        <f>IFERROR(__xludf.DUMMYFUNCTION("""COMPUTED_VALUE"""),18.0)</f>
        <v>18</v>
      </c>
      <c r="H1956" s="77">
        <f>IFERROR(__xludf.DUMMYFUNCTION("""COMPUTED_VALUE"""),23.0)</f>
        <v>23</v>
      </c>
      <c r="I1956" s="77">
        <f>IFERROR(__xludf.DUMMYFUNCTION("""COMPUTED_VALUE"""),100.0)</f>
        <v>100</v>
      </c>
      <c r="J1956" s="73"/>
      <c r="K1956" s="73"/>
      <c r="L1956" s="73"/>
      <c r="M1956" s="77">
        <f>IFERROR(__xludf.DUMMYFUNCTION("""COMPUTED_VALUE"""),0.1)</f>
        <v>0.1</v>
      </c>
      <c r="N1956" s="77">
        <f>IFERROR(__xludf.DUMMYFUNCTION("""COMPUTED_VALUE"""),1.0)</f>
        <v>1</v>
      </c>
      <c r="O1956" s="49"/>
      <c r="P1956" s="49" t="str">
        <f>IFERROR(__xludf.DUMMYFUNCTION("""COMPUTED_VALUE"""),"Offset")</f>
        <v>Offset</v>
      </c>
      <c r="Q1956" s="49" t="str">
        <f>IFERROR(__xludf.DUMMYFUNCTION("""COMPUTED_VALUE"""),"Packaging")</f>
        <v>Packaging</v>
      </c>
      <c r="R1956" s="49" t="str">
        <f>IFERROR(__xludf.DUMMYFUNCTION("""COMPUTED_VALUE"""),"Safety Product")</f>
        <v>Safety Product</v>
      </c>
    </row>
    <row r="1957">
      <c r="A1957" s="156" t="str">
        <f>IFERROR(__xludf.DUMMYFUNCTION("""COMPUTED_VALUE"""),"https://drive.google.com/open?id=1NRVuu0I3p467Yfx3XRSyWAFKEKUk5NvN&amp;usp=drive_fs")</f>
        <v>https://drive.google.com/open?id=1NRVuu0I3p467Yfx3XRSyWAFKEKUk5NvN&amp;usp=drive_fs</v>
      </c>
      <c r="B1957" s="73" t="str">
        <f>IFERROR(__xludf.DUMMYFUNCTION("""COMPUTED_VALUE"""),"Safety Product")</f>
        <v>Safety Product</v>
      </c>
      <c r="C1957" s="73" t="str">
        <f>IFERROR(__xludf.DUMMYFUNCTION("""COMPUTED_VALUE"""),"Condom")</f>
        <v>Condom</v>
      </c>
      <c r="D1957" s="73" t="str">
        <f>IFERROR(__xludf.DUMMYFUNCTION("""COMPUTED_VALUE"""),"66*35*128 mm | 2.6*1.4*5 inch")</f>
        <v>66*35*128 mm | 2.6*1.4*5 inch</v>
      </c>
      <c r="E1957" s="77">
        <f>IFERROR(__xludf.DUMMYFUNCTION("""COMPUTED_VALUE"""),6.0)</f>
        <v>6</v>
      </c>
      <c r="F1957" s="77">
        <f>IFERROR(__xludf.DUMMYFUNCTION("""COMPUTED_VALUE"""),1926.0)</f>
        <v>1926</v>
      </c>
      <c r="G1957" s="77">
        <f>IFERROR(__xludf.DUMMYFUNCTION("""COMPUTED_VALUE"""),18.0)</f>
        <v>18</v>
      </c>
      <c r="H1957" s="77">
        <f>IFERROR(__xludf.DUMMYFUNCTION("""COMPUTED_VALUE"""),25.0)</f>
        <v>25</v>
      </c>
      <c r="I1957" s="77">
        <f>IFERROR(__xludf.DUMMYFUNCTION("""COMPUTED_VALUE"""),100.0)</f>
        <v>100</v>
      </c>
      <c r="J1957" s="73"/>
      <c r="K1957" s="73"/>
      <c r="L1957" s="73"/>
      <c r="M1957" s="77">
        <f>IFERROR(__xludf.DUMMYFUNCTION("""COMPUTED_VALUE"""),0.1)</f>
        <v>0.1</v>
      </c>
      <c r="N1957" s="77">
        <f>IFERROR(__xludf.DUMMYFUNCTION("""COMPUTED_VALUE"""),1.0)</f>
        <v>1</v>
      </c>
      <c r="O1957" s="49"/>
      <c r="P1957" s="49" t="str">
        <f>IFERROR(__xludf.DUMMYFUNCTION("""COMPUTED_VALUE"""),"Offset")</f>
        <v>Offset</v>
      </c>
      <c r="Q1957" s="49" t="str">
        <f>IFERROR(__xludf.DUMMYFUNCTION("""COMPUTED_VALUE"""),"Packaging")</f>
        <v>Packaging</v>
      </c>
      <c r="R1957" s="49" t="str">
        <f>IFERROR(__xludf.DUMMYFUNCTION("""COMPUTED_VALUE"""),"Safety Product")</f>
        <v>Safety Product</v>
      </c>
    </row>
    <row r="1958">
      <c r="A1958" s="156" t="str">
        <f>IFERROR(__xludf.DUMMYFUNCTION("""COMPUTED_VALUE"""),"https://drive.google.com/open?id=1OhFTsX8xGqXDihpiMiq2H5UZWsaBPPXI&amp;usp=drive_fs")</f>
        <v>https://drive.google.com/open?id=1OhFTsX8xGqXDihpiMiq2H5UZWsaBPPXI&amp;usp=drive_fs</v>
      </c>
      <c r="B1958" s="73" t="str">
        <f>IFERROR(__xludf.DUMMYFUNCTION("""COMPUTED_VALUE"""),"Safety Product")</f>
        <v>Safety Product</v>
      </c>
      <c r="C1958" s="73" t="str">
        <f>IFERROR(__xludf.DUMMYFUNCTION("""COMPUTED_VALUE"""),"Menstrual Cup")</f>
        <v>Menstrual Cup</v>
      </c>
      <c r="D1958" s="73" t="str">
        <f>IFERROR(__xludf.DUMMYFUNCTION("""COMPUTED_VALUE"""),"95.5*62.5*137 mm | 3.75*2.5*5.4 inch")</f>
        <v>95.5*62.5*137 mm | 3.75*2.5*5.4 inch</v>
      </c>
      <c r="E1958" s="77">
        <f>IFERROR(__xludf.DUMMYFUNCTION("""COMPUTED_VALUE"""),4.0)</f>
        <v>4</v>
      </c>
      <c r="F1958" s="77">
        <f>IFERROR(__xludf.DUMMYFUNCTION("""COMPUTED_VALUE"""),2029.0)</f>
        <v>2029</v>
      </c>
      <c r="G1958" s="77">
        <f>IFERROR(__xludf.DUMMYFUNCTION("""COMPUTED_VALUE"""),19.0)</f>
        <v>19</v>
      </c>
      <c r="H1958" s="77">
        <f>IFERROR(__xludf.DUMMYFUNCTION("""COMPUTED_VALUE"""),26.0)</f>
        <v>26</v>
      </c>
      <c r="I1958" s="77">
        <f>IFERROR(__xludf.DUMMYFUNCTION("""COMPUTED_VALUE"""),100.0)</f>
        <v>100</v>
      </c>
      <c r="J1958" s="73"/>
      <c r="K1958" s="73"/>
      <c r="L1958" s="73"/>
      <c r="M1958" s="77">
        <f>IFERROR(__xludf.DUMMYFUNCTION("""COMPUTED_VALUE"""),0.1)</f>
        <v>0.1</v>
      </c>
      <c r="N1958" s="77">
        <f>IFERROR(__xludf.DUMMYFUNCTION("""COMPUTED_VALUE"""),1.0)</f>
        <v>1</v>
      </c>
      <c r="O1958" s="49"/>
      <c r="P1958" s="49" t="str">
        <f>IFERROR(__xludf.DUMMYFUNCTION("""COMPUTED_VALUE"""),"Offset")</f>
        <v>Offset</v>
      </c>
      <c r="Q1958" s="49" t="str">
        <f>IFERROR(__xludf.DUMMYFUNCTION("""COMPUTED_VALUE"""),"Packaging")</f>
        <v>Packaging</v>
      </c>
      <c r="R1958" s="49" t="str">
        <f>IFERROR(__xludf.DUMMYFUNCTION("""COMPUTED_VALUE"""),"Safety Product")</f>
        <v>Safety Product</v>
      </c>
    </row>
    <row r="1959">
      <c r="A1959" s="156" t="str">
        <f>IFERROR(__xludf.DUMMYFUNCTION("""COMPUTED_VALUE"""),"https://drive.google.com/open?id=16UTm1Lc8Xim55KAtOHFaI082ra3Ro8di&amp;usp=drive_fs")</f>
        <v>https://drive.google.com/open?id=16UTm1Lc8Xim55KAtOHFaI082ra3Ro8di&amp;usp=drive_fs</v>
      </c>
      <c r="B1959" s="73" t="str">
        <f>IFERROR(__xludf.DUMMYFUNCTION("""COMPUTED_VALUE"""),"Safety Product")</f>
        <v>Safety Product</v>
      </c>
      <c r="C1959" s="73" t="str">
        <f>IFERROR(__xludf.DUMMYFUNCTION("""COMPUTED_VALUE"""),"Helmet")</f>
        <v>Helmet</v>
      </c>
      <c r="D1959" s="73" t="str">
        <f>IFERROR(__xludf.DUMMYFUNCTION("""COMPUTED_VALUE"""),"295*235*165 mm | 11.6*9.2*6.5 inch IL | 22*38")</f>
        <v>295*235*165 mm | 11.6*9.2*6.5 inch IL | 22*38</v>
      </c>
      <c r="E1959" s="77">
        <f>IFERROR(__xludf.DUMMYFUNCTION("""COMPUTED_VALUE"""),1.0)</f>
        <v>1</v>
      </c>
      <c r="F1959" s="77">
        <f>IFERROR(__xludf.DUMMYFUNCTION("""COMPUTED_VALUE"""),2840.0)</f>
        <v>2840</v>
      </c>
      <c r="G1959" s="77">
        <f>IFERROR(__xludf.DUMMYFUNCTION("""COMPUTED_VALUE"""),22.0)</f>
        <v>22</v>
      </c>
      <c r="H1959" s="77">
        <f>IFERROR(__xludf.DUMMYFUNCTION("""COMPUTED_VALUE"""),38.0)</f>
        <v>38</v>
      </c>
      <c r="I1959" s="77">
        <f>IFERROR(__xludf.DUMMYFUNCTION("""COMPUTED_VALUE"""),100.0)</f>
        <v>100</v>
      </c>
      <c r="J1959" s="73"/>
      <c r="K1959" s="73"/>
      <c r="L1959" s="73"/>
      <c r="M1959" s="77">
        <f>IFERROR(__xludf.DUMMYFUNCTION("""COMPUTED_VALUE"""),0.25)</f>
        <v>0.25</v>
      </c>
      <c r="N1959" s="77">
        <f>IFERROR(__xludf.DUMMYFUNCTION("""COMPUTED_VALUE"""),1.0)</f>
        <v>1</v>
      </c>
      <c r="O1959" s="49"/>
      <c r="P1959" s="49" t="str">
        <f>IFERROR(__xludf.DUMMYFUNCTION("""COMPUTED_VALUE"""),"Offset")</f>
        <v>Offset</v>
      </c>
      <c r="Q1959" s="49" t="str">
        <f>IFERROR(__xludf.DUMMYFUNCTION("""COMPUTED_VALUE"""),"Packaging")</f>
        <v>Packaging</v>
      </c>
      <c r="R1959" s="49" t="str">
        <f>IFERROR(__xludf.DUMMYFUNCTION("""COMPUTED_VALUE"""),"Safety Product")</f>
        <v>Safety Product</v>
      </c>
    </row>
    <row r="1960">
      <c r="A1960" s="156" t="str">
        <f>IFERROR(__xludf.DUMMYFUNCTION("""COMPUTED_VALUE"""),"https://drive.google.com/open?id=18ASYfyzOOV0ljVDm23rMcAWH0d2piy9j&amp;usp=drive_fs")</f>
        <v>https://drive.google.com/open?id=18ASYfyzOOV0ljVDm23rMcAWH0d2piy9j&amp;usp=drive_fs</v>
      </c>
      <c r="B1960" s="73" t="str">
        <f>IFERROR(__xludf.DUMMYFUNCTION("""COMPUTED_VALUE"""),"Safety Product")</f>
        <v>Safety Product</v>
      </c>
      <c r="C1960" s="73" t="str">
        <f>IFERROR(__xludf.DUMMYFUNCTION("""COMPUTED_VALUE"""),"Gloves")</f>
        <v>Gloves</v>
      </c>
      <c r="D1960" s="73" t="str">
        <f>IFERROR(__xludf.DUMMYFUNCTION("""COMPUTED_VALUE"""),"212*65*120 mm | 8.3*2.6*4.7 inch")</f>
        <v>212*65*120 mm | 8.3*2.6*4.7 inch</v>
      </c>
      <c r="E1960" s="77">
        <f>IFERROR(__xludf.DUMMYFUNCTION("""COMPUTED_VALUE"""),2.0)</f>
        <v>2</v>
      </c>
      <c r="F1960" s="77">
        <f>IFERROR(__xludf.DUMMYFUNCTION("""COMPUTED_VALUE"""),2029.0)</f>
        <v>2029</v>
      </c>
      <c r="G1960" s="77">
        <f>IFERROR(__xludf.DUMMYFUNCTION("""COMPUTED_VALUE"""),19.0)</f>
        <v>19</v>
      </c>
      <c r="H1960" s="77">
        <f>IFERROR(__xludf.DUMMYFUNCTION("""COMPUTED_VALUE"""),26.0)</f>
        <v>26</v>
      </c>
      <c r="I1960" s="77">
        <f>IFERROR(__xludf.DUMMYFUNCTION("""COMPUTED_VALUE"""),100.0)</f>
        <v>100</v>
      </c>
      <c r="J1960" s="73"/>
      <c r="K1960" s="73"/>
      <c r="L1960" s="73"/>
      <c r="M1960" s="77">
        <f>IFERROR(__xludf.DUMMYFUNCTION("""COMPUTED_VALUE"""),0.12)</f>
        <v>0.12</v>
      </c>
      <c r="N1960" s="77">
        <f>IFERROR(__xludf.DUMMYFUNCTION("""COMPUTED_VALUE"""),1.0)</f>
        <v>1</v>
      </c>
      <c r="O1960" s="49"/>
      <c r="P1960" s="49" t="str">
        <f>IFERROR(__xludf.DUMMYFUNCTION("""COMPUTED_VALUE"""),"Offset")</f>
        <v>Offset</v>
      </c>
      <c r="Q1960" s="49" t="str">
        <f>IFERROR(__xludf.DUMMYFUNCTION("""COMPUTED_VALUE"""),"Packaging")</f>
        <v>Packaging</v>
      </c>
      <c r="R1960" s="49" t="str">
        <f>IFERROR(__xludf.DUMMYFUNCTION("""COMPUTED_VALUE"""),"Safety Product")</f>
        <v>Safety Product</v>
      </c>
    </row>
    <row r="1961">
      <c r="A1961" s="156" t="str">
        <f>IFERROR(__xludf.DUMMYFUNCTION("""COMPUTED_VALUE"""),"https://drive.google.com/open?id=1Qt7H0qUkKnBrSde5uh5hA3Y1BoFEXSFW&amp;usp=drive_fs")</f>
        <v>https://drive.google.com/open?id=1Qt7H0qUkKnBrSde5uh5hA3Y1BoFEXSFW&amp;usp=drive_fs</v>
      </c>
      <c r="B1961" s="73" t="str">
        <f>IFERROR(__xludf.DUMMYFUNCTION("""COMPUTED_VALUE"""),"Safety Product")</f>
        <v>Safety Product</v>
      </c>
      <c r="C1961" s="73" t="str">
        <f>IFERROR(__xludf.DUMMYFUNCTION("""COMPUTED_VALUE"""),"Menstrual Cup")</f>
        <v>Menstrual Cup</v>
      </c>
      <c r="D1961" s="73" t="str">
        <f>IFERROR(__xludf.DUMMYFUNCTION("""COMPUTED_VALUE"""),"85*35*90 mm | 3.3*1.4*3.5 inch")</f>
        <v>85*35*90 mm | 3.3*1.4*3.5 inch</v>
      </c>
      <c r="E1961" s="77">
        <f>IFERROR(__xludf.DUMMYFUNCTION("""COMPUTED_VALUE"""),6.0)</f>
        <v>6</v>
      </c>
      <c r="F1961" s="77">
        <f>IFERROR(__xludf.DUMMYFUNCTION("""COMPUTED_VALUE"""),1926.0)</f>
        <v>1926</v>
      </c>
      <c r="G1961" s="77">
        <f>IFERROR(__xludf.DUMMYFUNCTION("""COMPUTED_VALUE"""),19.5)</f>
        <v>19.5</v>
      </c>
      <c r="H1961" s="77">
        <f>IFERROR(__xludf.DUMMYFUNCTION("""COMPUTED_VALUE"""),23.0)</f>
        <v>23</v>
      </c>
      <c r="I1961" s="77">
        <f>IFERROR(__xludf.DUMMYFUNCTION("""COMPUTED_VALUE"""),100.0)</f>
        <v>100</v>
      </c>
      <c r="J1961" s="73"/>
      <c r="K1961" s="73"/>
      <c r="L1961" s="73"/>
      <c r="M1961" s="77">
        <f>IFERROR(__xludf.DUMMYFUNCTION("""COMPUTED_VALUE"""),0.1)</f>
        <v>0.1</v>
      </c>
      <c r="N1961" s="77">
        <f>IFERROR(__xludf.DUMMYFUNCTION("""COMPUTED_VALUE"""),1.0)</f>
        <v>1</v>
      </c>
      <c r="O1961" s="49"/>
      <c r="P1961" s="49" t="str">
        <f>IFERROR(__xludf.DUMMYFUNCTION("""COMPUTED_VALUE"""),"Offset")</f>
        <v>Offset</v>
      </c>
      <c r="Q1961" s="49" t="str">
        <f>IFERROR(__xludf.DUMMYFUNCTION("""COMPUTED_VALUE"""),"Packaging")</f>
        <v>Packaging</v>
      </c>
      <c r="R1961" s="49" t="str">
        <f>IFERROR(__xludf.DUMMYFUNCTION("""COMPUTED_VALUE"""),"Safety Product")</f>
        <v>Safety Product</v>
      </c>
    </row>
    <row r="1962">
      <c r="A1962" s="156" t="str">
        <f>IFERROR(__xludf.DUMMYFUNCTION("""COMPUTED_VALUE"""),"https://drive.google.com/open?id=1c6wZa1_7tY_F2JNsEYBi-ZabcocIsDPO&amp;authuser=jay.agg%40gmail.com&amp;usp=drive_fs")</f>
        <v>https://drive.google.com/open?id=1c6wZa1_7tY_F2JNsEYBi-ZabcocIsDPO&amp;authuser=jay.agg%40gmail.com&amp;usp=drive_fs</v>
      </c>
      <c r="B1962" s="73" t="str">
        <f>IFERROR(__xludf.DUMMYFUNCTION("""COMPUTED_VALUE"""),"Stationery")</f>
        <v>Stationery</v>
      </c>
      <c r="C1962" s="73" t="str">
        <f>IFERROR(__xludf.DUMMYFUNCTION("""COMPUTED_VALUE"""),"Pen")</f>
        <v>Pen</v>
      </c>
      <c r="D1962" s="73" t="str">
        <f>IFERROR(__xludf.DUMMYFUNCTION("""COMPUTED_VALUE"""),"85*23*145 mm")</f>
        <v>85*23*145 mm</v>
      </c>
      <c r="E1962" s="77">
        <f>IFERROR(__xludf.DUMMYFUNCTION("""COMPUTED_VALUE"""),6.0)</f>
        <v>6</v>
      </c>
      <c r="F1962" s="77">
        <f>IFERROR(__xludf.DUMMYFUNCTION("""COMPUTED_VALUE"""),1926.0)</f>
        <v>1926</v>
      </c>
      <c r="G1962" s="77">
        <f>IFERROR(__xludf.DUMMYFUNCTION("""COMPUTED_VALUE"""),18.0)</f>
        <v>18</v>
      </c>
      <c r="H1962" s="77">
        <f>IFERROR(__xludf.DUMMYFUNCTION("""COMPUTED_VALUE"""),24.0)</f>
        <v>24</v>
      </c>
      <c r="I1962" s="77">
        <f>IFERROR(__xludf.DUMMYFUNCTION("""COMPUTED_VALUE"""),100.0)</f>
        <v>100</v>
      </c>
      <c r="J1962" s="73"/>
      <c r="K1962" s="73"/>
      <c r="L1962" s="73"/>
      <c r="M1962" s="77">
        <f>IFERROR(__xludf.DUMMYFUNCTION("""COMPUTED_VALUE"""),0.1)</f>
        <v>0.1</v>
      </c>
      <c r="N1962" s="77">
        <f>IFERROR(__xludf.DUMMYFUNCTION("""COMPUTED_VALUE"""),1.0)</f>
        <v>1</v>
      </c>
      <c r="O1962" s="49"/>
      <c r="P1962" s="49" t="str">
        <f>IFERROR(__xludf.DUMMYFUNCTION("""COMPUTED_VALUE"""),"Offset")</f>
        <v>Offset</v>
      </c>
      <c r="Q1962" s="49" t="str">
        <f>IFERROR(__xludf.DUMMYFUNCTION("""COMPUTED_VALUE"""),"Packaging")</f>
        <v>Packaging</v>
      </c>
      <c r="R1962" s="49" t="str">
        <f>IFERROR(__xludf.DUMMYFUNCTION("""COMPUTED_VALUE"""),"Stationery")</f>
        <v>Stationery</v>
      </c>
    </row>
    <row r="1963">
      <c r="A1963" s="156" t="str">
        <f>IFERROR(__xludf.DUMMYFUNCTION("""COMPUTED_VALUE"""),"https://drive.google.com/open?id=1c7VnR2r1wUIRaRQFPcQdQjUEoyEhm3Ry&amp;authuser=jay.agg%40gmail.com&amp;usp=drive_fs")</f>
        <v>https://drive.google.com/open?id=1c7VnR2r1wUIRaRQFPcQdQjUEoyEhm3Ry&amp;authuser=jay.agg%40gmail.com&amp;usp=drive_fs</v>
      </c>
      <c r="B1963" s="73" t="str">
        <f>IFERROR(__xludf.DUMMYFUNCTION("""COMPUTED_VALUE"""),"Stationery")</f>
        <v>Stationery</v>
      </c>
      <c r="C1963" s="73" t="str">
        <f>IFERROR(__xludf.DUMMYFUNCTION("""COMPUTED_VALUE"""),"Pen")</f>
        <v>Pen</v>
      </c>
      <c r="D1963" s="73" t="str">
        <f>IFERROR(__xludf.DUMMYFUNCTION("""COMPUTED_VALUE"""),"47*47*143 mm")</f>
        <v>47*47*143 mm</v>
      </c>
      <c r="E1963" s="77">
        <f>IFERROR(__xludf.DUMMYFUNCTION("""COMPUTED_VALUE"""),6.0)</f>
        <v>6</v>
      </c>
      <c r="F1963" s="77">
        <f>IFERROR(__xludf.DUMMYFUNCTION("""COMPUTED_VALUE"""),1926.0)</f>
        <v>1926</v>
      </c>
      <c r="G1963" s="77">
        <f>IFERROR(__xludf.DUMMYFUNCTION("""COMPUTED_VALUE"""),20.0)</f>
        <v>20</v>
      </c>
      <c r="H1963" s="77">
        <f>IFERROR(__xludf.DUMMYFUNCTION("""COMPUTED_VALUE"""),24.0)</f>
        <v>24</v>
      </c>
      <c r="I1963" s="77">
        <f>IFERROR(__xludf.DUMMYFUNCTION("""COMPUTED_VALUE"""),100.0)</f>
        <v>100</v>
      </c>
      <c r="J1963" s="73"/>
      <c r="K1963" s="73"/>
      <c r="L1963" s="73"/>
      <c r="M1963" s="77">
        <f>IFERROR(__xludf.DUMMYFUNCTION("""COMPUTED_VALUE"""),0.1)</f>
        <v>0.1</v>
      </c>
      <c r="N1963" s="77">
        <f>IFERROR(__xludf.DUMMYFUNCTION("""COMPUTED_VALUE"""),1.0)</f>
        <v>1</v>
      </c>
      <c r="O1963" s="49"/>
      <c r="P1963" s="49" t="str">
        <f>IFERROR(__xludf.DUMMYFUNCTION("""COMPUTED_VALUE"""),"Offset")</f>
        <v>Offset</v>
      </c>
      <c r="Q1963" s="49" t="str">
        <f>IFERROR(__xludf.DUMMYFUNCTION("""COMPUTED_VALUE"""),"Packaging")</f>
        <v>Packaging</v>
      </c>
      <c r="R1963" s="49" t="str">
        <f>IFERROR(__xludf.DUMMYFUNCTION("""COMPUTED_VALUE"""),"Stationery")</f>
        <v>Stationery</v>
      </c>
    </row>
    <row r="1964">
      <c r="A1964" s="156" t="str">
        <f>IFERROR(__xludf.DUMMYFUNCTION("""COMPUTED_VALUE"""),"https://drive.google.com/open?id=1cG4F570DE8TZdmEFMVHicJq2Ozl4BktK&amp;authuser=jay.agg%40gmail.com&amp;usp=drive_fs")</f>
        <v>https://drive.google.com/open?id=1cG4F570DE8TZdmEFMVHicJq2Ozl4BktK&amp;authuser=jay.agg%40gmail.com&amp;usp=drive_fs</v>
      </c>
      <c r="B1964" s="73" t="str">
        <f>IFERROR(__xludf.DUMMYFUNCTION("""COMPUTED_VALUE"""),"Stationery")</f>
        <v>Stationery</v>
      </c>
      <c r="C1964" s="73" t="str">
        <f>IFERROR(__xludf.DUMMYFUNCTION("""COMPUTED_VALUE"""),"Chalk Box")</f>
        <v>Chalk Box</v>
      </c>
      <c r="D1964" s="73" t="str">
        <f>IFERROR(__xludf.DUMMYFUNCTION("""COMPUTED_VALUE"""),"124*80*110 mm")</f>
        <v>124*80*110 mm</v>
      </c>
      <c r="E1964" s="77">
        <f>IFERROR(__xludf.DUMMYFUNCTION("""COMPUTED_VALUE"""),2.0)</f>
        <v>2</v>
      </c>
      <c r="F1964" s="77">
        <f>IFERROR(__xludf.DUMMYFUNCTION("""COMPUTED_VALUE"""),1926.0)</f>
        <v>1926</v>
      </c>
      <c r="G1964" s="77">
        <f>IFERROR(__xludf.DUMMYFUNCTION("""COMPUTED_VALUE"""),18.0)</f>
        <v>18</v>
      </c>
      <c r="H1964" s="77">
        <f>IFERROR(__xludf.DUMMYFUNCTION("""COMPUTED_VALUE"""),21.0)</f>
        <v>21</v>
      </c>
      <c r="I1964" s="77">
        <f>IFERROR(__xludf.DUMMYFUNCTION("""COMPUTED_VALUE"""),100.0)</f>
        <v>100</v>
      </c>
      <c r="J1964" s="73"/>
      <c r="K1964" s="73"/>
      <c r="L1964" s="73"/>
      <c r="M1964" s="77">
        <f>IFERROR(__xludf.DUMMYFUNCTION("""COMPUTED_VALUE"""),0.1)</f>
        <v>0.1</v>
      </c>
      <c r="N1964" s="77">
        <f>IFERROR(__xludf.DUMMYFUNCTION("""COMPUTED_VALUE"""),1.0)</f>
        <v>1</v>
      </c>
      <c r="O1964" s="49"/>
      <c r="P1964" s="49" t="str">
        <f>IFERROR(__xludf.DUMMYFUNCTION("""COMPUTED_VALUE"""),"Offset")</f>
        <v>Offset</v>
      </c>
      <c r="Q1964" s="49" t="str">
        <f>IFERROR(__xludf.DUMMYFUNCTION("""COMPUTED_VALUE"""),"Packaging")</f>
        <v>Packaging</v>
      </c>
      <c r="R1964" s="49" t="str">
        <f>IFERROR(__xludf.DUMMYFUNCTION("""COMPUTED_VALUE"""),"Stationery")</f>
        <v>Stationery</v>
      </c>
    </row>
    <row r="1965">
      <c r="A1965" s="156" t="str">
        <f>IFERROR(__xludf.DUMMYFUNCTION("""COMPUTED_VALUE"""),"https://drive.google.com/open?id=1cGCy0seFMOVCBxKqv6q5yzaAH_MDz2x5&amp;authuser=jay.agg%40gmail.com&amp;usp=drive_fs")</f>
        <v>https://drive.google.com/open?id=1cGCy0seFMOVCBxKqv6q5yzaAH_MDz2x5&amp;authuser=jay.agg%40gmail.com&amp;usp=drive_fs</v>
      </c>
      <c r="B1965" s="73" t="str">
        <f>IFERROR(__xludf.DUMMYFUNCTION("""COMPUTED_VALUE"""),"Stationery")</f>
        <v>Stationery</v>
      </c>
      <c r="C1965" s="73" t="str">
        <f>IFERROR(__xludf.DUMMYFUNCTION("""COMPUTED_VALUE"""),"Chalk Box")</f>
        <v>Chalk Box</v>
      </c>
      <c r="D1965" s="73" t="str">
        <f>IFERROR(__xludf.DUMMYFUNCTION("""COMPUTED_VALUE"""),"110*95*80 mm")</f>
        <v>110*95*80 mm</v>
      </c>
      <c r="E1965" s="77">
        <f>IFERROR(__xludf.DUMMYFUNCTION("""COMPUTED_VALUE"""),2.0)</f>
        <v>2</v>
      </c>
      <c r="F1965" s="77">
        <f>IFERROR(__xludf.DUMMYFUNCTION("""COMPUTED_VALUE"""),1926.0)</f>
        <v>1926</v>
      </c>
      <c r="G1965" s="77">
        <f>IFERROR(__xludf.DUMMYFUNCTION("""COMPUTED_VALUE"""),15.75)</f>
        <v>15.75</v>
      </c>
      <c r="H1965" s="77">
        <f>IFERROR(__xludf.DUMMYFUNCTION("""COMPUTED_VALUE"""),20.75)</f>
        <v>20.75</v>
      </c>
      <c r="I1965" s="77">
        <f>IFERROR(__xludf.DUMMYFUNCTION("""COMPUTED_VALUE"""),100.0)</f>
        <v>100</v>
      </c>
      <c r="J1965" s="73"/>
      <c r="K1965" s="73"/>
      <c r="L1965" s="73"/>
      <c r="M1965" s="77">
        <f>IFERROR(__xludf.DUMMYFUNCTION("""COMPUTED_VALUE"""),0.1)</f>
        <v>0.1</v>
      </c>
      <c r="N1965" s="77">
        <f>IFERROR(__xludf.DUMMYFUNCTION("""COMPUTED_VALUE"""),1.0)</f>
        <v>1</v>
      </c>
      <c r="O1965" s="49"/>
      <c r="P1965" s="49" t="str">
        <f>IFERROR(__xludf.DUMMYFUNCTION("""COMPUTED_VALUE"""),"Offset")</f>
        <v>Offset</v>
      </c>
      <c r="Q1965" s="49" t="str">
        <f>IFERROR(__xludf.DUMMYFUNCTION("""COMPUTED_VALUE"""),"Packaging")</f>
        <v>Packaging</v>
      </c>
      <c r="R1965" s="49" t="str">
        <f>IFERROR(__xludf.DUMMYFUNCTION("""COMPUTED_VALUE"""),"Stationery")</f>
        <v>Stationery</v>
      </c>
    </row>
    <row r="1966">
      <c r="A1966" s="156" t="str">
        <f>IFERROR(__xludf.DUMMYFUNCTION("""COMPUTED_VALUE"""),"https://drive.google.com/open?id=1cJUsz6Yy9cgIh3myniNaPCpKem3IcZyI&amp;authuser=jay.agg%40gmail.com&amp;usp=drive_fs")</f>
        <v>https://drive.google.com/open?id=1cJUsz6Yy9cgIh3myniNaPCpKem3IcZyI&amp;authuser=jay.agg%40gmail.com&amp;usp=drive_fs</v>
      </c>
      <c r="B1966" s="73" t="str">
        <f>IFERROR(__xludf.DUMMYFUNCTION("""COMPUTED_VALUE"""),"Stationery")</f>
        <v>Stationery</v>
      </c>
      <c r="C1966" s="73" t="str">
        <f>IFERROR(__xludf.DUMMYFUNCTION("""COMPUTED_VALUE"""),"Chalk Box")</f>
        <v>Chalk Box</v>
      </c>
      <c r="D1966" s="73" t="str">
        <f>IFERROR(__xludf.DUMMYFUNCTION("""COMPUTED_VALUE"""),"55*46*80 mm")</f>
        <v>55*46*80 mm</v>
      </c>
      <c r="E1966" s="77">
        <f>IFERROR(__xludf.DUMMYFUNCTION("""COMPUTED_VALUE"""),6.0)</f>
        <v>6</v>
      </c>
      <c r="F1966" s="77">
        <f>IFERROR(__xludf.DUMMYFUNCTION("""COMPUTED_VALUE"""),1926.0)</f>
        <v>1926</v>
      </c>
      <c r="G1966" s="77">
        <f>IFERROR(__xludf.DUMMYFUNCTION("""COMPUTED_VALUE"""),18.0)</f>
        <v>18</v>
      </c>
      <c r="H1966" s="77">
        <f>IFERROR(__xludf.DUMMYFUNCTION("""COMPUTED_VALUE"""),23.0)</f>
        <v>23</v>
      </c>
      <c r="I1966" s="77">
        <f>IFERROR(__xludf.DUMMYFUNCTION("""COMPUTED_VALUE"""),100.0)</f>
        <v>100</v>
      </c>
      <c r="J1966" s="73"/>
      <c r="K1966" s="73"/>
      <c r="L1966" s="73"/>
      <c r="M1966" s="77">
        <f>IFERROR(__xludf.DUMMYFUNCTION("""COMPUTED_VALUE"""),0.1)</f>
        <v>0.1</v>
      </c>
      <c r="N1966" s="77">
        <f>IFERROR(__xludf.DUMMYFUNCTION("""COMPUTED_VALUE"""),1.0)</f>
        <v>1</v>
      </c>
      <c r="O1966" s="49"/>
      <c r="P1966" s="49" t="str">
        <f>IFERROR(__xludf.DUMMYFUNCTION("""COMPUTED_VALUE"""),"Offset")</f>
        <v>Offset</v>
      </c>
      <c r="Q1966" s="49" t="str">
        <f>IFERROR(__xludf.DUMMYFUNCTION("""COMPUTED_VALUE"""),"Packaging")</f>
        <v>Packaging</v>
      </c>
      <c r="R1966" s="49" t="str">
        <f>IFERROR(__xludf.DUMMYFUNCTION("""COMPUTED_VALUE"""),"Stationery")</f>
        <v>Stationery</v>
      </c>
    </row>
    <row r="1967">
      <c r="A1967" s="156" t="str">
        <f>IFERROR(__xludf.DUMMYFUNCTION("""COMPUTED_VALUE"""),"https://drive.google.com/open?id=1cdWJyuBwrj5h3FE7t2k_bK3_uDenWx-u&amp;authuser=jay.agg%40gmail.com&amp;usp=drive_fs")</f>
        <v>https://drive.google.com/open?id=1cdWJyuBwrj5h3FE7t2k_bK3_uDenWx-u&amp;authuser=jay.agg%40gmail.com&amp;usp=drive_fs</v>
      </c>
      <c r="B1967" s="73" t="str">
        <f>IFERROR(__xludf.DUMMYFUNCTION("""COMPUTED_VALUE"""),"Stationery")</f>
        <v>Stationery</v>
      </c>
      <c r="C1967" s="73" t="str">
        <f>IFERROR(__xludf.DUMMYFUNCTION("""COMPUTED_VALUE"""),"Chalk Box")</f>
        <v>Chalk Box</v>
      </c>
      <c r="D1967" s="73" t="str">
        <f>IFERROR(__xludf.DUMMYFUNCTION("""COMPUTED_VALUE"""),"49*44*80 mm")</f>
        <v>49*44*80 mm</v>
      </c>
      <c r="E1967" s="77">
        <f>IFERROR(__xludf.DUMMYFUNCTION("""COMPUTED_VALUE"""),6.0)</f>
        <v>6</v>
      </c>
      <c r="F1967" s="77">
        <f>IFERROR(__xludf.DUMMYFUNCTION("""COMPUTED_VALUE"""),1926.0)</f>
        <v>1926</v>
      </c>
      <c r="G1967" s="77">
        <f>IFERROR(__xludf.DUMMYFUNCTION("""COMPUTED_VALUE"""),18.0)</f>
        <v>18</v>
      </c>
      <c r="H1967" s="77">
        <f>IFERROR(__xludf.DUMMYFUNCTION("""COMPUTED_VALUE"""),21.0)</f>
        <v>21</v>
      </c>
      <c r="I1967" s="77">
        <f>IFERROR(__xludf.DUMMYFUNCTION("""COMPUTED_VALUE"""),100.0)</f>
        <v>100</v>
      </c>
      <c r="J1967" s="73"/>
      <c r="K1967" s="73"/>
      <c r="L1967" s="73"/>
      <c r="M1967" s="77">
        <f>IFERROR(__xludf.DUMMYFUNCTION("""COMPUTED_VALUE"""),0.1)</f>
        <v>0.1</v>
      </c>
      <c r="N1967" s="77">
        <f>IFERROR(__xludf.DUMMYFUNCTION("""COMPUTED_VALUE"""),1.0)</f>
        <v>1</v>
      </c>
      <c r="O1967" s="49"/>
      <c r="P1967" s="49" t="str">
        <f>IFERROR(__xludf.DUMMYFUNCTION("""COMPUTED_VALUE"""),"Offset")</f>
        <v>Offset</v>
      </c>
      <c r="Q1967" s="49" t="str">
        <f>IFERROR(__xludf.DUMMYFUNCTION("""COMPUTED_VALUE"""),"Packaging")</f>
        <v>Packaging</v>
      </c>
      <c r="R1967" s="49" t="str">
        <f>IFERROR(__xludf.DUMMYFUNCTION("""COMPUTED_VALUE"""),"Stationery")</f>
        <v>Stationery</v>
      </c>
    </row>
    <row r="1968">
      <c r="A1968" s="156" t="str">
        <f>IFERROR(__xludf.DUMMYFUNCTION("""COMPUTED_VALUE"""),"https://drive.google.com/open?id=1qDxzrpF_NOLqyITKD8JAkW2_3ySz0qVY&amp;authuser=jay.agg%40gmail.com&amp;usp=drive_fs")</f>
        <v>https://drive.google.com/open?id=1qDxzrpF_NOLqyITKD8JAkW2_3ySz0qVY&amp;authuser=jay.agg%40gmail.com&amp;usp=drive_fs</v>
      </c>
      <c r="B1968" s="73" t="str">
        <f>IFERROR(__xludf.DUMMYFUNCTION("""COMPUTED_VALUE"""),"Stationery")</f>
        <v>Stationery</v>
      </c>
      <c r="C1968" s="73" t="str">
        <f>IFERROR(__xludf.DUMMYFUNCTION("""COMPUTED_VALUE"""),"Pencil")</f>
        <v>Pencil</v>
      </c>
      <c r="D1968" s="73" t="str">
        <f>IFERROR(__xludf.DUMMYFUNCTION("""COMPUTED_VALUE"""),"76*10*185 mm")</f>
        <v>76*10*185 mm</v>
      </c>
      <c r="E1968" s="77">
        <f>IFERROR(__xludf.DUMMYFUNCTION("""COMPUTED_VALUE"""),6.0)</f>
        <v>6</v>
      </c>
      <c r="F1968" s="77">
        <f>IFERROR(__xludf.DUMMYFUNCTION("""COMPUTED_VALUE"""),1926.0)</f>
        <v>1926</v>
      </c>
      <c r="G1968" s="77">
        <f>IFERROR(__xludf.DUMMYFUNCTION("""COMPUTED_VALUE"""),18.0)</f>
        <v>18</v>
      </c>
      <c r="H1968" s="77">
        <f>IFERROR(__xludf.DUMMYFUNCTION("""COMPUTED_VALUE"""),23.0)</f>
        <v>23</v>
      </c>
      <c r="I1968" s="77">
        <f>IFERROR(__xludf.DUMMYFUNCTION("""COMPUTED_VALUE"""),100.0)</f>
        <v>100</v>
      </c>
      <c r="J1968" s="73"/>
      <c r="K1968" s="73"/>
      <c r="L1968" s="73"/>
      <c r="M1968" s="77">
        <f>IFERROR(__xludf.DUMMYFUNCTION("""COMPUTED_VALUE"""),0.1)</f>
        <v>0.1</v>
      </c>
      <c r="N1968" s="77">
        <f>IFERROR(__xludf.DUMMYFUNCTION("""COMPUTED_VALUE"""),1.0)</f>
        <v>1</v>
      </c>
      <c r="O1968" s="49"/>
      <c r="P1968" s="49" t="str">
        <f>IFERROR(__xludf.DUMMYFUNCTION("""COMPUTED_VALUE"""),"Offset")</f>
        <v>Offset</v>
      </c>
      <c r="Q1968" s="49" t="str">
        <f>IFERROR(__xludf.DUMMYFUNCTION("""COMPUTED_VALUE"""),"Packaging")</f>
        <v>Packaging</v>
      </c>
      <c r="R1968" s="49" t="str">
        <f>IFERROR(__xludf.DUMMYFUNCTION("""COMPUTED_VALUE"""),"Stationery")</f>
        <v>Stationery</v>
      </c>
    </row>
    <row r="1969">
      <c r="A1969" s="156" t="str">
        <f>IFERROR(__xludf.DUMMYFUNCTION("""COMPUTED_VALUE"""),"https://drive.google.com/open?id=1qD1LKuU-yoPCZbT05ZB7lmmWSkJG3bib&amp;authuser=jay.agg%40gmail.com&amp;usp=drive_fs")</f>
        <v>https://drive.google.com/open?id=1qD1LKuU-yoPCZbT05ZB7lmmWSkJG3bib&amp;authuser=jay.agg%40gmail.com&amp;usp=drive_fs</v>
      </c>
      <c r="B1969" s="73" t="str">
        <f>IFERROR(__xludf.DUMMYFUNCTION("""COMPUTED_VALUE"""),"Stationery")</f>
        <v>Stationery</v>
      </c>
      <c r="C1969" s="73" t="str">
        <f>IFERROR(__xludf.DUMMYFUNCTION("""COMPUTED_VALUE"""),"Pencil")</f>
        <v>Pencil</v>
      </c>
      <c r="D1969" s="73" t="str">
        <f>IFERROR(__xludf.DUMMYFUNCTION("""COMPUTED_VALUE"""),"100*15*165 mm")</f>
        <v>100*15*165 mm</v>
      </c>
      <c r="E1969" s="77">
        <f>IFERROR(__xludf.DUMMYFUNCTION("""COMPUTED_VALUE"""),6.0)</f>
        <v>6</v>
      </c>
      <c r="F1969" s="77">
        <f>IFERROR(__xludf.DUMMYFUNCTION("""COMPUTED_VALUE"""),1926.0)</f>
        <v>1926</v>
      </c>
      <c r="G1969" s="77">
        <f>IFERROR(__xludf.DUMMYFUNCTION("""COMPUTED_VALUE"""),19.0)</f>
        <v>19</v>
      </c>
      <c r="H1969" s="77">
        <f>IFERROR(__xludf.DUMMYFUNCTION("""COMPUTED_VALUE"""),26.0)</f>
        <v>26</v>
      </c>
      <c r="I1969" s="77">
        <f>IFERROR(__xludf.DUMMYFUNCTION("""COMPUTED_VALUE"""),100.0)</f>
        <v>100</v>
      </c>
      <c r="J1969" s="73"/>
      <c r="K1969" s="73"/>
      <c r="L1969" s="73"/>
      <c r="M1969" s="77">
        <f>IFERROR(__xludf.DUMMYFUNCTION("""COMPUTED_VALUE"""),0.1)</f>
        <v>0.1</v>
      </c>
      <c r="N1969" s="77">
        <f>IFERROR(__xludf.DUMMYFUNCTION("""COMPUTED_VALUE"""),1.0)</f>
        <v>1</v>
      </c>
      <c r="O1969" s="49"/>
      <c r="P1969" s="49" t="str">
        <f>IFERROR(__xludf.DUMMYFUNCTION("""COMPUTED_VALUE"""),"Offset")</f>
        <v>Offset</v>
      </c>
      <c r="Q1969" s="49" t="str">
        <f>IFERROR(__xludf.DUMMYFUNCTION("""COMPUTED_VALUE"""),"Packaging")</f>
        <v>Packaging</v>
      </c>
      <c r="R1969" s="49" t="str">
        <f>IFERROR(__xludf.DUMMYFUNCTION("""COMPUTED_VALUE"""),"Stationery")</f>
        <v>Stationery</v>
      </c>
    </row>
    <row r="1970">
      <c r="A1970" s="156" t="str">
        <f>IFERROR(__xludf.DUMMYFUNCTION("""COMPUTED_VALUE"""),"https://drive.google.com/open?id=1rdEXc8ueTaoCfCTLxBLO3hE3PIp9LI1l&amp;authuser=jay.agg%40gmail.com&amp;usp=drive_fs")</f>
        <v>https://drive.google.com/open?id=1rdEXc8ueTaoCfCTLxBLO3hE3PIp9LI1l&amp;authuser=jay.agg%40gmail.com&amp;usp=drive_fs</v>
      </c>
      <c r="B1970" s="73" t="str">
        <f>IFERROR(__xludf.DUMMYFUNCTION("""COMPUTED_VALUE"""),"Stationery")</f>
        <v>Stationery</v>
      </c>
      <c r="C1970" s="73" t="str">
        <f>IFERROR(__xludf.DUMMYFUNCTION("""COMPUTED_VALUE"""),"Pencil")</f>
        <v>Pencil</v>
      </c>
      <c r="D1970" s="73" t="str">
        <f>IFERROR(__xludf.DUMMYFUNCTION("""COMPUTED_VALUE"""),"60*16*225 mm")</f>
        <v>60*16*225 mm</v>
      </c>
      <c r="E1970" s="77">
        <f>IFERROR(__xludf.DUMMYFUNCTION("""COMPUTED_VALUE"""),4.0)</f>
        <v>4</v>
      </c>
      <c r="F1970" s="77">
        <f>IFERROR(__xludf.DUMMYFUNCTION("""COMPUTED_VALUE"""),1926.0)</f>
        <v>1926</v>
      </c>
      <c r="G1970" s="77">
        <f>IFERROR(__xludf.DUMMYFUNCTION("""COMPUTED_VALUE"""),13.0)</f>
        <v>13</v>
      </c>
      <c r="H1970" s="77">
        <f>IFERROR(__xludf.DUMMYFUNCTION("""COMPUTED_VALUE"""),23.0)</f>
        <v>23</v>
      </c>
      <c r="I1970" s="77">
        <f>IFERROR(__xludf.DUMMYFUNCTION("""COMPUTED_VALUE"""),100.0)</f>
        <v>100</v>
      </c>
      <c r="J1970" s="73"/>
      <c r="K1970" s="73"/>
      <c r="L1970" s="73"/>
      <c r="M1970" s="77">
        <f>IFERROR(__xludf.DUMMYFUNCTION("""COMPUTED_VALUE"""),0.1)</f>
        <v>0.1</v>
      </c>
      <c r="N1970" s="77">
        <f>IFERROR(__xludf.DUMMYFUNCTION("""COMPUTED_VALUE"""),1.0)</f>
        <v>1</v>
      </c>
      <c r="O1970" s="49"/>
      <c r="P1970" s="49" t="str">
        <f>IFERROR(__xludf.DUMMYFUNCTION("""COMPUTED_VALUE"""),"Offset")</f>
        <v>Offset</v>
      </c>
      <c r="Q1970" s="49" t="str">
        <f>IFERROR(__xludf.DUMMYFUNCTION("""COMPUTED_VALUE"""),"Packaging")</f>
        <v>Packaging</v>
      </c>
      <c r="R1970" s="49" t="str">
        <f>IFERROR(__xludf.DUMMYFUNCTION("""COMPUTED_VALUE"""),"Stationery")</f>
        <v>Stationery</v>
      </c>
    </row>
    <row r="1971">
      <c r="A1971" s="156" t="str">
        <f>IFERROR(__xludf.DUMMYFUNCTION("""COMPUTED_VALUE"""),"https://drive.google.com/open?id=1rn9qubLuNyivrWE_Z7_ILZythfqL3goj&amp;authuser=jay.agg%40gmail.com&amp;usp=drive_fs")</f>
        <v>https://drive.google.com/open?id=1rn9qubLuNyivrWE_Z7_ILZythfqL3goj&amp;authuser=jay.agg%40gmail.com&amp;usp=drive_fs</v>
      </c>
      <c r="B1971" s="73" t="str">
        <f>IFERROR(__xludf.DUMMYFUNCTION("""COMPUTED_VALUE"""),"Stationery")</f>
        <v>Stationery</v>
      </c>
      <c r="C1971" s="73" t="str">
        <f>IFERROR(__xludf.DUMMYFUNCTION("""COMPUTED_VALUE"""),"Pencil")</f>
        <v>Pencil</v>
      </c>
      <c r="D1971" s="73" t="str">
        <f>IFERROR(__xludf.DUMMYFUNCTION("""COMPUTED_VALUE"""),"Cover 32*32*225 mm")</f>
        <v>Cover 32*32*225 mm</v>
      </c>
      <c r="E1971" s="77">
        <f>IFERROR(__xludf.DUMMYFUNCTION("""COMPUTED_VALUE"""),8.0)</f>
        <v>8</v>
      </c>
      <c r="F1971" s="77">
        <f>IFERROR(__xludf.DUMMYFUNCTION("""COMPUTED_VALUE"""),1926.0)</f>
        <v>1926</v>
      </c>
      <c r="G1971" s="77">
        <f>IFERROR(__xludf.DUMMYFUNCTION("""COMPUTED_VALUE"""),18.0)</f>
        <v>18</v>
      </c>
      <c r="H1971" s="77">
        <f>IFERROR(__xludf.DUMMYFUNCTION("""COMPUTED_VALUE"""),23.0)</f>
        <v>23</v>
      </c>
      <c r="I1971" s="77">
        <f>IFERROR(__xludf.DUMMYFUNCTION("""COMPUTED_VALUE"""),100.0)</f>
        <v>100</v>
      </c>
      <c r="J1971" s="73"/>
      <c r="K1971" s="73"/>
      <c r="L1971" s="73"/>
      <c r="M1971" s="77">
        <f>IFERROR(__xludf.DUMMYFUNCTION("""COMPUTED_VALUE"""),0.1)</f>
        <v>0.1</v>
      </c>
      <c r="N1971" s="77">
        <f>IFERROR(__xludf.DUMMYFUNCTION("""COMPUTED_VALUE"""),1.0)</f>
        <v>1</v>
      </c>
      <c r="O1971" s="49"/>
      <c r="P1971" s="49" t="str">
        <f>IFERROR(__xludf.DUMMYFUNCTION("""COMPUTED_VALUE"""),"Offset")</f>
        <v>Offset</v>
      </c>
      <c r="Q1971" s="49" t="str">
        <f>IFERROR(__xludf.DUMMYFUNCTION("""COMPUTED_VALUE"""),"Packaging")</f>
        <v>Packaging</v>
      </c>
      <c r="R1971" s="49" t="str">
        <f>IFERROR(__xludf.DUMMYFUNCTION("""COMPUTED_VALUE"""),"Stationery")</f>
        <v>Stationery</v>
      </c>
    </row>
    <row r="1972">
      <c r="A1972" s="156" t="str">
        <f>IFERROR(__xludf.DUMMYFUNCTION("""COMPUTED_VALUE"""),"https://drive.google.com/open?id=1rsruCraol7t-mu1pjj7mGlvmzDoPqKuT&amp;authuser=jay.agg%40gmail.com&amp;usp=drive_fs")</f>
        <v>https://drive.google.com/open?id=1rsruCraol7t-mu1pjj7mGlvmzDoPqKuT&amp;authuser=jay.agg%40gmail.com&amp;usp=drive_fs</v>
      </c>
      <c r="B1972" s="73" t="str">
        <f>IFERROR(__xludf.DUMMYFUNCTION("""COMPUTED_VALUE"""),"Stationery")</f>
        <v>Stationery</v>
      </c>
      <c r="C1972" s="73" t="str">
        <f>IFERROR(__xludf.DUMMYFUNCTION("""COMPUTED_VALUE"""),"Pencil")</f>
        <v>Pencil</v>
      </c>
      <c r="D1972" s="73" t="str">
        <f>IFERROR(__xludf.DUMMYFUNCTION("""COMPUTED_VALUE"""),"Box 32*32*225 mm")</f>
        <v>Box 32*32*225 mm</v>
      </c>
      <c r="E1972" s="77">
        <f>IFERROR(__xludf.DUMMYFUNCTION("""COMPUTED_VALUE"""),3.0)</f>
        <v>3</v>
      </c>
      <c r="F1972" s="77">
        <f>IFERROR(__xludf.DUMMYFUNCTION("""COMPUTED_VALUE"""),1926.0)</f>
        <v>1926</v>
      </c>
      <c r="G1972" s="77">
        <f>IFERROR(__xludf.DUMMYFUNCTION("""COMPUTED_VALUE"""),15.75)</f>
        <v>15.75</v>
      </c>
      <c r="H1972" s="77">
        <f>IFERROR(__xludf.DUMMYFUNCTION("""COMPUTED_VALUE"""),20.75)</f>
        <v>20.75</v>
      </c>
      <c r="I1972" s="77">
        <f>IFERROR(__xludf.DUMMYFUNCTION("""COMPUTED_VALUE"""),100.0)</f>
        <v>100</v>
      </c>
      <c r="J1972" s="73"/>
      <c r="K1972" s="73"/>
      <c r="L1972" s="73"/>
      <c r="M1972" s="77"/>
      <c r="N1972" s="77">
        <f>IFERROR(__xludf.DUMMYFUNCTION("""COMPUTED_VALUE"""),1.0)</f>
        <v>1</v>
      </c>
      <c r="O1972" s="49"/>
      <c r="P1972" s="49" t="str">
        <f>IFERROR(__xludf.DUMMYFUNCTION("""COMPUTED_VALUE"""),"Offset")</f>
        <v>Offset</v>
      </c>
      <c r="Q1972" s="49" t="str">
        <f>IFERROR(__xludf.DUMMYFUNCTION("""COMPUTED_VALUE"""),"Packaging")</f>
        <v>Packaging</v>
      </c>
      <c r="R1972" s="49" t="str">
        <f>IFERROR(__xludf.DUMMYFUNCTION("""COMPUTED_VALUE"""),"Stationery")</f>
        <v>Stationery</v>
      </c>
    </row>
    <row r="1973">
      <c r="A1973" s="156" t="str">
        <f>IFERROR(__xludf.DUMMYFUNCTION("""COMPUTED_VALUE"""),"https://drive.google.com/open?id=15jeXEyVAs6lFFXNVR46XTRaNN_t8BFqj&amp;authuser=jay.agg%40gmail.com&amp;usp=drive_fs")</f>
        <v>https://drive.google.com/open?id=15jeXEyVAs6lFFXNVR46XTRaNN_t8BFqj&amp;authuser=jay.agg%40gmail.com&amp;usp=drive_fs</v>
      </c>
      <c r="B1973" s="73" t="str">
        <f>IFERROR(__xludf.DUMMYFUNCTION("""COMPUTED_VALUE"""),"Stationery")</f>
        <v>Stationery</v>
      </c>
      <c r="C1973" s="73" t="str">
        <f>IFERROR(__xludf.DUMMYFUNCTION("""COMPUTED_VALUE"""),"File")</f>
        <v>File</v>
      </c>
      <c r="D1973" s="73" t="str">
        <f>IFERROR(__xludf.DUMMYFUNCTION("""COMPUTED_VALUE"""),"215*20*300 mm")</f>
        <v>215*20*300 mm</v>
      </c>
      <c r="E1973" s="77">
        <f>IFERROR(__xludf.DUMMYFUNCTION("""COMPUTED_VALUE"""),1.0)</f>
        <v>1</v>
      </c>
      <c r="F1973" s="77">
        <f>IFERROR(__xludf.DUMMYFUNCTION("""COMPUTED_VALUE"""),1926.0)</f>
        <v>1926</v>
      </c>
      <c r="G1973" s="77">
        <f>IFERROR(__xludf.DUMMYFUNCTION("""COMPUTED_VALUE"""),15.75)</f>
        <v>15.75</v>
      </c>
      <c r="H1973" s="77">
        <f>IFERROR(__xludf.DUMMYFUNCTION("""COMPUTED_VALUE"""),20.75)</f>
        <v>20.75</v>
      </c>
      <c r="I1973" s="77">
        <f>IFERROR(__xludf.DUMMYFUNCTION("""COMPUTED_VALUE"""),100.0)</f>
        <v>100</v>
      </c>
      <c r="J1973" s="73"/>
      <c r="K1973" s="73"/>
      <c r="L1973" s="73"/>
      <c r="M1973" s="77">
        <f>IFERROR(__xludf.DUMMYFUNCTION("""COMPUTED_VALUE"""),0.1)</f>
        <v>0.1</v>
      </c>
      <c r="N1973" s="77">
        <f>IFERROR(__xludf.DUMMYFUNCTION("""COMPUTED_VALUE"""),1.0)</f>
        <v>1</v>
      </c>
      <c r="O1973" s="49"/>
      <c r="P1973" s="49" t="str">
        <f>IFERROR(__xludf.DUMMYFUNCTION("""COMPUTED_VALUE"""),"Offset")</f>
        <v>Offset</v>
      </c>
      <c r="Q1973" s="49" t="str">
        <f>IFERROR(__xludf.DUMMYFUNCTION("""COMPUTED_VALUE"""),"Packaging")</f>
        <v>Packaging</v>
      </c>
      <c r="R1973" s="49" t="str">
        <f>IFERROR(__xludf.DUMMYFUNCTION("""COMPUTED_VALUE"""),"Stationery")</f>
        <v>Stationery</v>
      </c>
    </row>
    <row r="1974">
      <c r="A1974" s="156" t="str">
        <f>IFERROR(__xludf.DUMMYFUNCTION("""COMPUTED_VALUE"""),"https://drive.google.com/open?id=15o4chvdjtWtdLmCa8Ly8ONqfJcBDHdyH&amp;authuser=jay.agg%40gmail.com&amp;usp=drive_fs")</f>
        <v>https://drive.google.com/open?id=15o4chvdjtWtdLmCa8Ly8ONqfJcBDHdyH&amp;authuser=jay.agg%40gmail.com&amp;usp=drive_fs</v>
      </c>
      <c r="B1974" s="73" t="str">
        <f>IFERROR(__xludf.DUMMYFUNCTION("""COMPUTED_VALUE"""),"Stationery")</f>
        <v>Stationery</v>
      </c>
      <c r="C1974" s="73" t="str">
        <f>IFERROR(__xludf.DUMMYFUNCTION("""COMPUTED_VALUE"""),"Note Book")</f>
        <v>Note Book</v>
      </c>
      <c r="D1974" s="73" t="str">
        <f>IFERROR(__xludf.DUMMYFUNCTION("""COMPUTED_VALUE"""),"150*18*213 mm")</f>
        <v>150*18*213 mm</v>
      </c>
      <c r="E1974" s="77">
        <f>IFERROR(__xludf.DUMMYFUNCTION("""COMPUTED_VALUE"""),2.0)</f>
        <v>2</v>
      </c>
      <c r="F1974" s="77">
        <f>IFERROR(__xludf.DUMMYFUNCTION("""COMPUTED_VALUE"""),1926.0)</f>
        <v>1926</v>
      </c>
      <c r="G1974" s="77">
        <f>IFERROR(__xludf.DUMMYFUNCTION("""COMPUTED_VALUE"""),15.75)</f>
        <v>15.75</v>
      </c>
      <c r="H1974" s="77">
        <f>IFERROR(__xludf.DUMMYFUNCTION("""COMPUTED_VALUE"""),20.75)</f>
        <v>20.75</v>
      </c>
      <c r="I1974" s="77">
        <f>IFERROR(__xludf.DUMMYFUNCTION("""COMPUTED_VALUE"""),100.0)</f>
        <v>100</v>
      </c>
      <c r="J1974" s="73"/>
      <c r="K1974" s="73"/>
      <c r="L1974" s="73"/>
      <c r="M1974" s="77">
        <f>IFERROR(__xludf.DUMMYFUNCTION("""COMPUTED_VALUE"""),0.1)</f>
        <v>0.1</v>
      </c>
      <c r="N1974" s="77">
        <f>IFERROR(__xludf.DUMMYFUNCTION("""COMPUTED_VALUE"""),1.0)</f>
        <v>1</v>
      </c>
      <c r="O1974" s="49"/>
      <c r="P1974" s="49" t="str">
        <f>IFERROR(__xludf.DUMMYFUNCTION("""COMPUTED_VALUE"""),"Offset")</f>
        <v>Offset</v>
      </c>
      <c r="Q1974" s="49" t="str">
        <f>IFERROR(__xludf.DUMMYFUNCTION("""COMPUTED_VALUE"""),"Packaging")</f>
        <v>Packaging</v>
      </c>
      <c r="R1974" s="49" t="str">
        <f>IFERROR(__xludf.DUMMYFUNCTION("""COMPUTED_VALUE"""),"Stationery")</f>
        <v>Stationery</v>
      </c>
    </row>
    <row r="1975">
      <c r="A1975" s="156" t="str">
        <f>IFERROR(__xludf.DUMMYFUNCTION("""COMPUTED_VALUE"""),"https://drive.google.com/open?id=15pGqMU9i2_05VF925Yc7cIOIOTEtZnq-&amp;authuser=jay.agg%40gmail.com&amp;usp=drive_fs")</f>
        <v>https://drive.google.com/open?id=15pGqMU9i2_05VF925Yc7cIOIOTEtZnq-&amp;authuser=jay.agg%40gmail.com&amp;usp=drive_fs</v>
      </c>
      <c r="B1975" s="73" t="str">
        <f>IFERROR(__xludf.DUMMYFUNCTION("""COMPUTED_VALUE"""),"Stationery")</f>
        <v>Stationery</v>
      </c>
      <c r="C1975" s="73" t="str">
        <f>IFERROR(__xludf.DUMMYFUNCTION("""COMPUTED_VALUE"""),"Note Book")</f>
        <v>Note Book</v>
      </c>
      <c r="D1975" s="73" t="str">
        <f>IFERROR(__xludf.DUMMYFUNCTION("""COMPUTED_VALUE"""),"183*18*223 mm")</f>
        <v>183*18*223 mm</v>
      </c>
      <c r="E1975" s="77">
        <f>IFERROR(__xludf.DUMMYFUNCTION("""COMPUTED_VALUE"""),2.0)</f>
        <v>2</v>
      </c>
      <c r="F1975" s="77">
        <f>IFERROR(__xludf.DUMMYFUNCTION("""COMPUTED_VALUE"""),1926.0)</f>
        <v>1926</v>
      </c>
      <c r="G1975" s="77">
        <f>IFERROR(__xludf.DUMMYFUNCTION("""COMPUTED_VALUE"""),18.0)</f>
        <v>18</v>
      </c>
      <c r="H1975" s="77">
        <f>IFERROR(__xludf.DUMMYFUNCTION("""COMPUTED_VALUE"""),23.0)</f>
        <v>23</v>
      </c>
      <c r="I1975" s="77">
        <f>IFERROR(__xludf.DUMMYFUNCTION("""COMPUTED_VALUE"""),100.0)</f>
        <v>100</v>
      </c>
      <c r="J1975" s="73"/>
      <c r="K1975" s="73"/>
      <c r="L1975" s="73"/>
      <c r="M1975" s="77">
        <f>IFERROR(__xludf.DUMMYFUNCTION("""COMPUTED_VALUE"""),0.1)</f>
        <v>0.1</v>
      </c>
      <c r="N1975" s="77">
        <f>IFERROR(__xludf.DUMMYFUNCTION("""COMPUTED_VALUE"""),1.0)</f>
        <v>1</v>
      </c>
      <c r="O1975" s="49"/>
      <c r="P1975" s="49" t="str">
        <f>IFERROR(__xludf.DUMMYFUNCTION("""COMPUTED_VALUE"""),"Offset")</f>
        <v>Offset</v>
      </c>
      <c r="Q1975" s="49" t="str">
        <f>IFERROR(__xludf.DUMMYFUNCTION("""COMPUTED_VALUE"""),"Packaging")</f>
        <v>Packaging</v>
      </c>
      <c r="R1975" s="49" t="str">
        <f>IFERROR(__xludf.DUMMYFUNCTION("""COMPUTED_VALUE"""),"Stationery")</f>
        <v>Stationery</v>
      </c>
    </row>
    <row r="1976">
      <c r="A1976" s="156" t="str">
        <f>IFERROR(__xludf.DUMMYFUNCTION("""COMPUTED_VALUE"""),"https://drive.google.com/open?id=1_N05N0l2_etTeNOB1u6aoPReBeUtiiXD&amp;authuser=jay.agg%40gmail.com&amp;usp=drive_fs")</f>
        <v>https://drive.google.com/open?id=1_N05N0l2_etTeNOB1u6aoPReBeUtiiXD&amp;authuser=jay.agg%40gmail.com&amp;usp=drive_fs</v>
      </c>
      <c r="B1976" s="73" t="str">
        <f>IFERROR(__xludf.DUMMYFUNCTION("""COMPUTED_VALUE"""),"Stationery")</f>
        <v>Stationery</v>
      </c>
      <c r="C1976" s="73" t="str">
        <f>IFERROR(__xludf.DUMMYFUNCTION("""COMPUTED_VALUE"""),"Note Book")</f>
        <v>Note Book</v>
      </c>
      <c r="D1976" s="73" t="str">
        <f>IFERROR(__xludf.DUMMYFUNCTION("""COMPUTED_VALUE"""),"150*28*213 mm | 5.9*1.1*8.4 inch")</f>
        <v>150*28*213 mm | 5.9*1.1*8.4 inch</v>
      </c>
      <c r="E1976" s="77">
        <f>IFERROR(__xludf.DUMMYFUNCTION("""COMPUTED_VALUE"""),2.0)</f>
        <v>2</v>
      </c>
      <c r="F1976" s="77">
        <f>IFERROR(__xludf.DUMMYFUNCTION("""COMPUTED_VALUE"""),1926.0)</f>
        <v>1926</v>
      </c>
      <c r="G1976" s="77">
        <f>IFERROR(__xludf.DUMMYFUNCTION("""COMPUTED_VALUE"""),15.0)</f>
        <v>15</v>
      </c>
      <c r="H1976" s="77">
        <f>IFERROR(__xludf.DUMMYFUNCTION("""COMPUTED_VALUE"""),25.0)</f>
        <v>25</v>
      </c>
      <c r="I1976" s="77">
        <f>IFERROR(__xludf.DUMMYFUNCTION("""COMPUTED_VALUE"""),100.0)</f>
        <v>100</v>
      </c>
      <c r="J1976" s="73"/>
      <c r="K1976" s="73"/>
      <c r="L1976" s="73"/>
      <c r="M1976" s="77">
        <f>IFERROR(__xludf.DUMMYFUNCTION("""COMPUTED_VALUE"""),0.1)</f>
        <v>0.1</v>
      </c>
      <c r="N1976" s="77">
        <f>IFERROR(__xludf.DUMMYFUNCTION("""COMPUTED_VALUE"""),1.0)</f>
        <v>1</v>
      </c>
      <c r="O1976" s="49"/>
      <c r="P1976" s="49" t="str">
        <f>IFERROR(__xludf.DUMMYFUNCTION("""COMPUTED_VALUE"""),"Offset")</f>
        <v>Offset</v>
      </c>
      <c r="Q1976" s="49" t="str">
        <f>IFERROR(__xludf.DUMMYFUNCTION("""COMPUTED_VALUE"""),"Packaging")</f>
        <v>Packaging</v>
      </c>
      <c r="R1976" s="49" t="str">
        <f>IFERROR(__xludf.DUMMYFUNCTION("""COMPUTED_VALUE"""),"Stationery")</f>
        <v>Stationery</v>
      </c>
    </row>
    <row r="1977">
      <c r="A1977" s="156" t="str">
        <f>IFERROR(__xludf.DUMMYFUNCTION("""COMPUTED_VALUE"""),"https://drive.google.com/open?id=1Pn6qTQSCWs62VgMjfn6JG5WbnQ0Hf8PS&amp;authuser=jay.agg%40gmail.com&amp;usp=drive_fs")</f>
        <v>https://drive.google.com/open?id=1Pn6qTQSCWs62VgMjfn6JG5WbnQ0Hf8PS&amp;authuser=jay.agg%40gmail.com&amp;usp=drive_fs</v>
      </c>
      <c r="B1977" s="73" t="str">
        <f>IFERROR(__xludf.DUMMYFUNCTION("""COMPUTED_VALUE"""),"Stationery")</f>
        <v>Stationery</v>
      </c>
      <c r="C1977" s="73" t="str">
        <f>IFERROR(__xludf.DUMMYFUNCTION("""COMPUTED_VALUE"""),"Eraser")</f>
        <v>Eraser</v>
      </c>
      <c r="D1977" s="73" t="str">
        <f>IFERROR(__xludf.DUMMYFUNCTION("""COMPUTED_VALUE"""),"15*15*38 mm | 0.6*0.6*1.5 inch")</f>
        <v>15*15*38 mm | 0.6*0.6*1.5 inch</v>
      </c>
      <c r="E1977" s="77">
        <f>IFERROR(__xludf.DUMMYFUNCTION("""COMPUTED_VALUE"""),140.0)</f>
        <v>140</v>
      </c>
      <c r="F1977" s="77">
        <f>IFERROR(__xludf.DUMMYFUNCTION("""COMPUTED_VALUE"""),2840.0)</f>
        <v>2840</v>
      </c>
      <c r="G1977" s="77">
        <f>IFERROR(__xludf.DUMMYFUNCTION("""COMPUTED_VALUE"""),28.0)</f>
        <v>28</v>
      </c>
      <c r="H1977" s="77">
        <f>IFERROR(__xludf.DUMMYFUNCTION("""COMPUTED_VALUE"""),40.0)</f>
        <v>40</v>
      </c>
      <c r="I1977" s="77">
        <f>IFERROR(__xludf.DUMMYFUNCTION("""COMPUTED_VALUE"""),100.0)</f>
        <v>100</v>
      </c>
      <c r="J1977" s="73"/>
      <c r="K1977" s="73"/>
      <c r="L1977" s="73"/>
      <c r="M1977" s="77">
        <f>IFERROR(__xludf.DUMMYFUNCTION("""COMPUTED_VALUE"""),0.13)</f>
        <v>0.13</v>
      </c>
      <c r="N1977" s="77">
        <f>IFERROR(__xludf.DUMMYFUNCTION("""COMPUTED_VALUE"""),1.0)</f>
        <v>1</v>
      </c>
      <c r="O1977" s="49"/>
      <c r="P1977" s="49" t="str">
        <f>IFERROR(__xludf.DUMMYFUNCTION("""COMPUTED_VALUE"""),"Offset")</f>
        <v>Offset</v>
      </c>
      <c r="Q1977" s="49" t="str">
        <f>IFERROR(__xludf.DUMMYFUNCTION("""COMPUTED_VALUE"""),"Packaging")</f>
        <v>Packaging</v>
      </c>
      <c r="R1977" s="49" t="str">
        <f>IFERROR(__xludf.DUMMYFUNCTION("""COMPUTED_VALUE"""),"Stationery")</f>
        <v>Stationery</v>
      </c>
    </row>
    <row r="1978">
      <c r="A1978" s="156" t="str">
        <f>IFERROR(__xludf.DUMMYFUNCTION("""COMPUTED_VALUE"""),"https://drive.google.com/open?id=17DLgKKAOCDlH4_hUZWnaQl-WrUJhkm79&amp;authuser=jay.agg%40gmail.com&amp;usp=drive_fs")</f>
        <v>https://drive.google.com/open?id=17DLgKKAOCDlH4_hUZWnaQl-WrUJhkm79&amp;authuser=jay.agg%40gmail.com&amp;usp=drive_fs</v>
      </c>
      <c r="B1978" s="73" t="str">
        <f>IFERROR(__xludf.DUMMYFUNCTION("""COMPUTED_VALUE"""),"Stationery")</f>
        <v>Stationery</v>
      </c>
      <c r="C1978" s="73" t="str">
        <f>IFERROR(__xludf.DUMMYFUNCTION("""COMPUTED_VALUE"""),"Misc")</f>
        <v>Misc</v>
      </c>
      <c r="D1978" s="73" t="str">
        <f>IFERROR(__xludf.DUMMYFUNCTION("""COMPUTED_VALUE"""),"75*25*100 mm | 3*1*4 inch")</f>
        <v>75*25*100 mm | 3*1*4 inch</v>
      </c>
      <c r="E1978" s="77">
        <f>IFERROR(__xludf.DUMMYFUNCTION("""COMPUTED_VALUE"""),8.0)</f>
        <v>8</v>
      </c>
      <c r="F1978" s="77">
        <f>IFERROR(__xludf.DUMMYFUNCTION("""COMPUTED_VALUE"""),2029.0)</f>
        <v>2029</v>
      </c>
      <c r="G1978" s="77">
        <f>IFERROR(__xludf.DUMMYFUNCTION("""COMPUTED_VALUE"""),18.0)</f>
        <v>18</v>
      </c>
      <c r="H1978" s="77">
        <f>IFERROR(__xludf.DUMMYFUNCTION("""COMPUTED_VALUE"""),25.0)</f>
        <v>25</v>
      </c>
      <c r="I1978" s="77">
        <f>IFERROR(__xludf.DUMMYFUNCTION("""COMPUTED_VALUE"""),100.0)</f>
        <v>100</v>
      </c>
      <c r="J1978" s="73"/>
      <c r="K1978" s="73"/>
      <c r="L1978" s="73"/>
      <c r="M1978" s="77">
        <f>IFERROR(__xludf.DUMMYFUNCTION("""COMPUTED_VALUE"""),0.1)</f>
        <v>0.1</v>
      </c>
      <c r="N1978" s="77">
        <f>IFERROR(__xludf.DUMMYFUNCTION("""COMPUTED_VALUE"""),1.0)</f>
        <v>1</v>
      </c>
      <c r="O1978" s="49"/>
      <c r="P1978" s="49" t="str">
        <f>IFERROR(__xludf.DUMMYFUNCTION("""COMPUTED_VALUE"""),"Offset")</f>
        <v>Offset</v>
      </c>
      <c r="Q1978" s="49" t="str">
        <f>IFERROR(__xludf.DUMMYFUNCTION("""COMPUTED_VALUE"""),"Packaging")</f>
        <v>Packaging</v>
      </c>
      <c r="R1978" s="49" t="str">
        <f>IFERROR(__xludf.DUMMYFUNCTION("""COMPUTED_VALUE"""),"Stationery")</f>
        <v>Stationery</v>
      </c>
    </row>
    <row r="1979">
      <c r="A1979" s="156" t="str">
        <f>IFERROR(__xludf.DUMMYFUNCTION("""COMPUTED_VALUE"""),"https://drive.google.com/open?id=17KqWkKfBKd8f3BUG-_9yoV8_Ug1i5PM1&amp;authuser=jay.agg%40gmail.com&amp;usp=drive_fs")</f>
        <v>https://drive.google.com/open?id=17KqWkKfBKd8f3BUG-_9yoV8_Ug1i5PM1&amp;authuser=jay.agg%40gmail.com&amp;usp=drive_fs</v>
      </c>
      <c r="B1979" s="73" t="str">
        <f>IFERROR(__xludf.DUMMYFUNCTION("""COMPUTED_VALUE"""),"Stationery")</f>
        <v>Stationery</v>
      </c>
      <c r="C1979" s="73" t="str">
        <f>IFERROR(__xludf.DUMMYFUNCTION("""COMPUTED_VALUE"""),"Eraser")</f>
        <v>Eraser</v>
      </c>
      <c r="D1979" s="73" t="str">
        <f>IFERROR(__xludf.DUMMYFUNCTION("""COMPUTED_VALUE"""),"Outer 24pcs15*15*38 mm | 94*80*32 mm")</f>
        <v>Outer 24pcs15*15*38 mm | 94*80*32 mm</v>
      </c>
      <c r="E1979" s="77">
        <f>IFERROR(__xludf.DUMMYFUNCTION("""COMPUTED_VALUE"""),6.0)</f>
        <v>6</v>
      </c>
      <c r="F1979" s="77">
        <f>IFERROR(__xludf.DUMMYFUNCTION("""COMPUTED_VALUE"""),2029.0)</f>
        <v>2029</v>
      </c>
      <c r="G1979" s="77">
        <f>IFERROR(__xludf.DUMMYFUNCTION("""COMPUTED_VALUE"""),20.75)</f>
        <v>20.75</v>
      </c>
      <c r="H1979" s="77">
        <f>IFERROR(__xludf.DUMMYFUNCTION("""COMPUTED_VALUE"""),31.5)</f>
        <v>31.5</v>
      </c>
      <c r="I1979" s="77">
        <f>IFERROR(__xludf.DUMMYFUNCTION("""COMPUTED_VALUE"""),100.0)</f>
        <v>100</v>
      </c>
      <c r="J1979" s="73"/>
      <c r="K1979" s="73"/>
      <c r="L1979" s="73"/>
      <c r="M1979" s="77">
        <f>IFERROR(__xludf.DUMMYFUNCTION("""COMPUTED_VALUE"""),0.16)</f>
        <v>0.16</v>
      </c>
      <c r="N1979" s="77">
        <f>IFERROR(__xludf.DUMMYFUNCTION("""COMPUTED_VALUE"""),1.0)</f>
        <v>1</v>
      </c>
      <c r="O1979" s="49"/>
      <c r="P1979" s="49" t="str">
        <f>IFERROR(__xludf.DUMMYFUNCTION("""COMPUTED_VALUE"""),"Offset")</f>
        <v>Offset</v>
      </c>
      <c r="Q1979" s="49" t="str">
        <f>IFERROR(__xludf.DUMMYFUNCTION("""COMPUTED_VALUE"""),"Packaging")</f>
        <v>Packaging</v>
      </c>
      <c r="R1979" s="49" t="str">
        <f>IFERROR(__xludf.DUMMYFUNCTION("""COMPUTED_VALUE"""),"Stationery")</f>
        <v>Stationery</v>
      </c>
    </row>
    <row r="1980">
      <c r="A1980" s="156" t="str">
        <f>IFERROR(__xludf.DUMMYFUNCTION("""COMPUTED_VALUE"""),"https://drive.google.com/open?id=1DIPSsSWrK6EbM8GeWh0jtuvFEf3L40VZ&amp;authuser=jay.agg%40gmail.com&amp;usp=drive_fs")</f>
        <v>https://drive.google.com/open?id=1DIPSsSWrK6EbM8GeWh0jtuvFEf3L40VZ&amp;authuser=jay.agg%40gmail.com&amp;usp=drive_fs</v>
      </c>
      <c r="B1980" s="73" t="str">
        <f>IFERROR(__xludf.DUMMYFUNCTION("""COMPUTED_VALUE"""),"Stationery")</f>
        <v>Stationery</v>
      </c>
      <c r="C1980" s="73" t="str">
        <f>IFERROR(__xludf.DUMMYFUNCTION("""COMPUTED_VALUE"""),"Note Book")</f>
        <v>Note Book</v>
      </c>
      <c r="D1980" s="73" t="str">
        <f>IFERROR(__xludf.DUMMYFUNCTION("""COMPUTED_VALUE"""),"185*18*235 mm | 7.2*0.7*9.2 inch")</f>
        <v>185*18*235 mm | 7.2*0.7*9.2 inch</v>
      </c>
      <c r="E1980" s="77">
        <f>IFERROR(__xludf.DUMMYFUNCTION("""COMPUTED_VALUE"""),2.0)</f>
        <v>2</v>
      </c>
      <c r="F1980" s="77">
        <f>IFERROR(__xludf.DUMMYFUNCTION("""COMPUTED_VALUE"""),2029.0)</f>
        <v>2029</v>
      </c>
      <c r="G1980" s="77">
        <f>IFERROR(__xludf.DUMMYFUNCTION("""COMPUTED_VALUE"""),18.0)</f>
        <v>18</v>
      </c>
      <c r="H1980" s="77">
        <f>IFERROR(__xludf.DUMMYFUNCTION("""COMPUTED_VALUE"""),23.0)</f>
        <v>23</v>
      </c>
      <c r="I1980" s="77">
        <f>IFERROR(__xludf.DUMMYFUNCTION("""COMPUTED_VALUE"""),100.0)</f>
        <v>100</v>
      </c>
      <c r="J1980" s="73"/>
      <c r="K1980" s="73"/>
      <c r="L1980" s="73"/>
      <c r="M1980" s="77">
        <f>IFERROR(__xludf.DUMMYFUNCTION("""COMPUTED_VALUE"""),0.1)</f>
        <v>0.1</v>
      </c>
      <c r="N1980" s="77">
        <f>IFERROR(__xludf.DUMMYFUNCTION("""COMPUTED_VALUE"""),1.0)</f>
        <v>1</v>
      </c>
      <c r="O1980" s="49"/>
      <c r="P1980" s="49" t="str">
        <f>IFERROR(__xludf.DUMMYFUNCTION("""COMPUTED_VALUE"""),"Offset")</f>
        <v>Offset</v>
      </c>
      <c r="Q1980" s="49" t="str">
        <f>IFERROR(__xludf.DUMMYFUNCTION("""COMPUTED_VALUE"""),"Packaging")</f>
        <v>Packaging</v>
      </c>
      <c r="R1980" s="49" t="str">
        <f>IFERROR(__xludf.DUMMYFUNCTION("""COMPUTED_VALUE"""),"Stationery")</f>
        <v>Stationery</v>
      </c>
    </row>
    <row r="1981">
      <c r="A1981" s="156" t="str">
        <f>IFERROR(__xludf.DUMMYFUNCTION("""COMPUTED_VALUE"""),"https://drive.google.com/open?id=1SfwFaU9dSeTon3Rl0emBCy46wPe6rNGR&amp;authuser=jay.agg%40gmail.com&amp;usp=drive_fs")</f>
        <v>https://drive.google.com/open?id=1SfwFaU9dSeTon3Rl0emBCy46wPe6rNGR&amp;authuser=jay.agg%40gmail.com&amp;usp=drive_fs</v>
      </c>
      <c r="B1981" s="73" t="str">
        <f>IFERROR(__xludf.DUMMYFUNCTION("""COMPUTED_VALUE"""),"Stationery")</f>
        <v>Stationery</v>
      </c>
      <c r="C1981" s="73" t="str">
        <f>IFERROR(__xludf.DUMMYFUNCTION("""COMPUTED_VALUE"""),"Misc")</f>
        <v>Misc</v>
      </c>
      <c r="D1981" s="73" t="str">
        <f>IFERROR(__xludf.DUMMYFUNCTION("""COMPUTED_VALUE"""),"38*38*368 mm | 1.5*1.5*14.5 inch")</f>
        <v>38*38*368 mm | 1.5*1.5*14.5 inch</v>
      </c>
      <c r="E1981" s="77">
        <f>IFERROR(__xludf.DUMMYFUNCTION("""COMPUTED_VALUE"""),4.0)</f>
        <v>4</v>
      </c>
      <c r="F1981" s="77">
        <f>IFERROR(__xludf.DUMMYFUNCTION("""COMPUTED_VALUE"""),2029.0)</f>
        <v>2029</v>
      </c>
      <c r="G1981" s="77">
        <f>IFERROR(__xludf.DUMMYFUNCTION("""COMPUTED_VALUE"""),19.0)</f>
        <v>19</v>
      </c>
      <c r="H1981" s="77">
        <f>IFERROR(__xludf.DUMMYFUNCTION("""COMPUTED_VALUE"""),26.0)</f>
        <v>26</v>
      </c>
      <c r="I1981" s="77">
        <f>IFERROR(__xludf.DUMMYFUNCTION("""COMPUTED_VALUE"""),100.0)</f>
        <v>100</v>
      </c>
      <c r="J1981" s="73"/>
      <c r="K1981" s="73"/>
      <c r="L1981" s="73"/>
      <c r="M1981" s="77">
        <f>IFERROR(__xludf.DUMMYFUNCTION("""COMPUTED_VALUE"""),0.1)</f>
        <v>0.1</v>
      </c>
      <c r="N1981" s="77">
        <f>IFERROR(__xludf.DUMMYFUNCTION("""COMPUTED_VALUE"""),1.0)</f>
        <v>1</v>
      </c>
      <c r="O1981" s="49"/>
      <c r="P1981" s="49" t="str">
        <f>IFERROR(__xludf.DUMMYFUNCTION("""COMPUTED_VALUE"""),"Offset")</f>
        <v>Offset</v>
      </c>
      <c r="Q1981" s="49" t="str">
        <f>IFERROR(__xludf.DUMMYFUNCTION("""COMPUTED_VALUE"""),"Packaging")</f>
        <v>Packaging</v>
      </c>
      <c r="R1981" s="49" t="str">
        <f>IFERROR(__xludf.DUMMYFUNCTION("""COMPUTED_VALUE"""),"Stationery")</f>
        <v>Stationery</v>
      </c>
    </row>
    <row r="1982">
      <c r="A1982" s="156" t="str">
        <f>IFERROR(__xludf.DUMMYFUNCTION("""COMPUTED_VALUE"""),"https://drive.google.com/open?id=1JTBc_y6LhLYkSwdkEfIgpeTVxe0Mizc0&amp;authuser=jay.agg%40gmail.com&amp;usp=drive_fs")</f>
        <v>https://drive.google.com/open?id=1JTBc_y6LhLYkSwdkEfIgpeTVxe0Mizc0&amp;authuser=jay.agg%40gmail.com&amp;usp=drive_fs</v>
      </c>
      <c r="B1982" s="73" t="str">
        <f>IFERROR(__xludf.DUMMYFUNCTION("""COMPUTED_VALUE"""),"Stationery")</f>
        <v>Stationery</v>
      </c>
      <c r="C1982" s="73" t="str">
        <f>IFERROR(__xludf.DUMMYFUNCTION("""COMPUTED_VALUE"""),"Pencil")</f>
        <v>Pencil</v>
      </c>
      <c r="D1982" s="73" t="str">
        <f>IFERROR(__xludf.DUMMYFUNCTION("""COMPUTED_VALUE"""),"60*16*185 mm | 2.3*0.6*7.3 inch")</f>
        <v>60*16*185 mm | 2.3*0.6*7.3 inch</v>
      </c>
      <c r="E1982" s="77">
        <f>IFERROR(__xludf.DUMMYFUNCTION("""COMPUTED_VALUE"""),9.0)</f>
        <v>9</v>
      </c>
      <c r="F1982" s="77">
        <f>IFERROR(__xludf.DUMMYFUNCTION("""COMPUTED_VALUE"""),2029.0)</f>
        <v>2029</v>
      </c>
      <c r="G1982" s="77">
        <f>IFERROR(__xludf.DUMMYFUNCTION("""COMPUTED_VALUE"""),20.0)</f>
        <v>20</v>
      </c>
      <c r="H1982" s="77">
        <f>IFERROR(__xludf.DUMMYFUNCTION("""COMPUTED_VALUE"""),28.0)</f>
        <v>28</v>
      </c>
      <c r="I1982" s="77">
        <f>IFERROR(__xludf.DUMMYFUNCTION("""COMPUTED_VALUE"""),100.0)</f>
        <v>100</v>
      </c>
      <c r="J1982" s="73"/>
      <c r="K1982" s="73"/>
      <c r="L1982" s="73"/>
      <c r="M1982" s="77">
        <f>IFERROR(__xludf.DUMMYFUNCTION("""COMPUTED_VALUE"""),0.1)</f>
        <v>0.1</v>
      </c>
      <c r="N1982" s="77">
        <f>IFERROR(__xludf.DUMMYFUNCTION("""COMPUTED_VALUE"""),1.0)</f>
        <v>1</v>
      </c>
      <c r="O1982" s="49"/>
      <c r="P1982" s="49" t="str">
        <f>IFERROR(__xludf.DUMMYFUNCTION("""COMPUTED_VALUE"""),"Offset")</f>
        <v>Offset</v>
      </c>
      <c r="Q1982" s="49" t="str">
        <f>IFERROR(__xludf.DUMMYFUNCTION("""COMPUTED_VALUE"""),"Packaging")</f>
        <v>Packaging</v>
      </c>
      <c r="R1982" s="49" t="str">
        <f>IFERROR(__xludf.DUMMYFUNCTION("""COMPUTED_VALUE"""),"Stationery")</f>
        <v>Stationery</v>
      </c>
    </row>
    <row r="1983">
      <c r="A1983" s="156" t="str">
        <f>IFERROR(__xludf.DUMMYFUNCTION("""COMPUTED_VALUE"""),"https://drive.google.com/open?id=1JT_e-4jC-uR9aNpZJhLHItxIpvaTNwGg&amp;authuser=jay.agg%40gmail.com&amp;usp=drive_fs")</f>
        <v>https://drive.google.com/open?id=1JT_e-4jC-uR9aNpZJhLHItxIpvaTNwGg&amp;authuser=jay.agg%40gmail.com&amp;usp=drive_fs</v>
      </c>
      <c r="B1983" s="73" t="str">
        <f>IFERROR(__xludf.DUMMYFUNCTION("""COMPUTED_VALUE"""),"Stationery")</f>
        <v>Stationery</v>
      </c>
      <c r="C1983" s="73" t="str">
        <f>IFERROR(__xludf.DUMMYFUNCTION("""COMPUTED_VALUE"""),"Pencil")</f>
        <v>Pencil</v>
      </c>
      <c r="D1983" s="73" t="str">
        <f>IFERROR(__xludf.DUMMYFUNCTION("""COMPUTED_VALUE"""),"Outer 60*16*185 mm | 125*68*187 mm")</f>
        <v>Outer 60*16*185 mm | 125*68*187 mm</v>
      </c>
      <c r="E1983" s="77">
        <f>IFERROR(__xludf.DUMMYFUNCTION("""COMPUTED_VALUE"""),2.0)</f>
        <v>2</v>
      </c>
      <c r="F1983" s="77">
        <f>IFERROR(__xludf.DUMMYFUNCTION("""COMPUTED_VALUE"""),2029.0)</f>
        <v>2029</v>
      </c>
      <c r="G1983" s="77">
        <f>IFERROR(__xludf.DUMMYFUNCTION("""COMPUTED_VALUE"""),18.0)</f>
        <v>18</v>
      </c>
      <c r="H1983" s="77">
        <f>IFERROR(__xludf.DUMMYFUNCTION("""COMPUTED_VALUE"""),25.0)</f>
        <v>25</v>
      </c>
      <c r="I1983" s="77">
        <f>IFERROR(__xludf.DUMMYFUNCTION("""COMPUTED_VALUE"""),100.0)</f>
        <v>100</v>
      </c>
      <c r="J1983" s="73"/>
      <c r="K1983" s="73"/>
      <c r="L1983" s="73"/>
      <c r="M1983" s="77">
        <f>IFERROR(__xludf.DUMMYFUNCTION("""COMPUTED_VALUE"""),0.1)</f>
        <v>0.1</v>
      </c>
      <c r="N1983" s="77">
        <f>IFERROR(__xludf.DUMMYFUNCTION("""COMPUTED_VALUE"""),1.0)</f>
        <v>1</v>
      </c>
      <c r="O1983" s="49"/>
      <c r="P1983" s="49" t="str">
        <f>IFERROR(__xludf.DUMMYFUNCTION("""COMPUTED_VALUE"""),"Offset")</f>
        <v>Offset</v>
      </c>
      <c r="Q1983" s="49" t="str">
        <f>IFERROR(__xludf.DUMMYFUNCTION("""COMPUTED_VALUE"""),"Packaging")</f>
        <v>Packaging</v>
      </c>
      <c r="R1983" s="49" t="str">
        <f>IFERROR(__xludf.DUMMYFUNCTION("""COMPUTED_VALUE"""),"Stationery")</f>
        <v>Stationery</v>
      </c>
    </row>
    <row r="1984">
      <c r="A1984" s="156" t="str">
        <f>IFERROR(__xludf.DUMMYFUNCTION("""COMPUTED_VALUE"""),"https://drive.google.com/open?id=1W_Y9ZmQ6FB5WrT--4oZK-1Xt7_zb-S1a&amp;authuser=jay.agg%40gmail.com&amp;usp=drive_fs")</f>
        <v>https://drive.google.com/open?id=1W_Y9ZmQ6FB5WrT--4oZK-1Xt7_zb-S1a&amp;authuser=jay.agg%40gmail.com&amp;usp=drive_fs</v>
      </c>
      <c r="B1984" s="73" t="str">
        <f>IFERROR(__xludf.DUMMYFUNCTION("""COMPUTED_VALUE"""),"Stationery")</f>
        <v>Stationery</v>
      </c>
      <c r="C1984" s="73" t="str">
        <f>IFERROR(__xludf.DUMMYFUNCTION("""COMPUTED_VALUE"""),"Pen")</f>
        <v>Pen</v>
      </c>
      <c r="D1984" s="73" t="str">
        <f>IFERROR(__xludf.DUMMYFUNCTION("""COMPUTED_VALUE"""),"72*27*150 mm | 2.8*1*5.9 inch")</f>
        <v>72*27*150 mm | 2.8*1*5.9 inch</v>
      </c>
      <c r="E1984" s="77">
        <f>IFERROR(__xludf.DUMMYFUNCTION("""COMPUTED_VALUE"""),6.0)</f>
        <v>6</v>
      </c>
      <c r="F1984" s="77">
        <f>IFERROR(__xludf.DUMMYFUNCTION("""COMPUTED_VALUE"""),1926.0)</f>
        <v>1926</v>
      </c>
      <c r="G1984" s="77">
        <f>IFERROR(__xludf.DUMMYFUNCTION("""COMPUTED_VALUE"""),18.0)</f>
        <v>18</v>
      </c>
      <c r="H1984" s="77">
        <f>IFERROR(__xludf.DUMMYFUNCTION("""COMPUTED_VALUE"""),25.0)</f>
        <v>25</v>
      </c>
      <c r="I1984" s="77">
        <f>IFERROR(__xludf.DUMMYFUNCTION("""COMPUTED_VALUE"""),100.0)</f>
        <v>100</v>
      </c>
      <c r="J1984" s="73"/>
      <c r="K1984" s="73"/>
      <c r="L1984" s="73"/>
      <c r="M1984" s="77">
        <f>IFERROR(__xludf.DUMMYFUNCTION("""COMPUTED_VALUE"""),0.1)</f>
        <v>0.1</v>
      </c>
      <c r="N1984" s="77">
        <f>IFERROR(__xludf.DUMMYFUNCTION("""COMPUTED_VALUE"""),1.0)</f>
        <v>1</v>
      </c>
      <c r="O1984" s="49"/>
      <c r="P1984" s="49" t="str">
        <f>IFERROR(__xludf.DUMMYFUNCTION("""COMPUTED_VALUE"""),"Offset")</f>
        <v>Offset</v>
      </c>
      <c r="Q1984" s="49" t="str">
        <f>IFERROR(__xludf.DUMMYFUNCTION("""COMPUTED_VALUE"""),"Packaging")</f>
        <v>Packaging</v>
      </c>
      <c r="R1984" s="49" t="str">
        <f>IFERROR(__xludf.DUMMYFUNCTION("""COMPUTED_VALUE"""),"Stationery")</f>
        <v>Stationery</v>
      </c>
    </row>
    <row r="1985">
      <c r="A1985" s="156" t="str">
        <f>IFERROR(__xludf.DUMMYFUNCTION("""COMPUTED_VALUE"""),"https://drive.google.com/open?id=1eJiz7rgSV0XDTWQVK8jwGhtO9xNjR8_5&amp;authuser=jay.agg%40gmail.com&amp;usp=drive_fs")</f>
        <v>https://drive.google.com/open?id=1eJiz7rgSV0XDTWQVK8jwGhtO9xNjR8_5&amp;authuser=jay.agg%40gmail.com&amp;usp=drive_fs</v>
      </c>
      <c r="B1985" s="73" t="str">
        <f>IFERROR(__xludf.DUMMYFUNCTION("""COMPUTED_VALUE"""),"Stationery")</f>
        <v>Stationery</v>
      </c>
      <c r="C1985" s="73" t="str">
        <f>IFERROR(__xludf.DUMMYFUNCTION("""COMPUTED_VALUE"""),"Note Book")</f>
        <v>Note Book</v>
      </c>
      <c r="D1985" s="73" t="str">
        <f>IFERROR(__xludf.DUMMYFUNCTION("""COMPUTED_VALUE"""),"105*23*215 mm | 4.1*0.9*8.5 inch")</f>
        <v>105*23*215 mm | 4.1*0.9*8.5 inch</v>
      </c>
      <c r="E1985" s="77">
        <f>IFERROR(__xludf.DUMMYFUNCTION("""COMPUTED_VALUE"""),2.0)</f>
        <v>2</v>
      </c>
      <c r="F1985" s="77">
        <f>IFERROR(__xludf.DUMMYFUNCTION("""COMPUTED_VALUE"""),1926.0)</f>
        <v>1926</v>
      </c>
      <c r="G1985" s="77">
        <f>IFERROR(__xludf.DUMMYFUNCTION("""COMPUTED_VALUE"""),12.0)</f>
        <v>12</v>
      </c>
      <c r="H1985" s="77">
        <f>IFERROR(__xludf.DUMMYFUNCTION("""COMPUTED_VALUE"""),23.0)</f>
        <v>23</v>
      </c>
      <c r="I1985" s="77">
        <f>IFERROR(__xludf.DUMMYFUNCTION("""COMPUTED_VALUE"""),100.0)</f>
        <v>100</v>
      </c>
      <c r="J1985" s="73"/>
      <c r="K1985" s="73"/>
      <c r="L1985" s="73"/>
      <c r="M1985" s="77">
        <f>IFERROR(__xludf.DUMMYFUNCTION("""COMPUTED_VALUE"""),0.1)</f>
        <v>0.1</v>
      </c>
      <c r="N1985" s="77">
        <f>IFERROR(__xludf.DUMMYFUNCTION("""COMPUTED_VALUE"""),1.0)</f>
        <v>1</v>
      </c>
      <c r="O1985" s="49"/>
      <c r="P1985" s="49" t="str">
        <f>IFERROR(__xludf.DUMMYFUNCTION("""COMPUTED_VALUE"""),"Offset")</f>
        <v>Offset</v>
      </c>
      <c r="Q1985" s="49" t="str">
        <f>IFERROR(__xludf.DUMMYFUNCTION("""COMPUTED_VALUE"""),"Packaging")</f>
        <v>Packaging</v>
      </c>
      <c r="R1985" s="49" t="str">
        <f>IFERROR(__xludf.DUMMYFUNCTION("""COMPUTED_VALUE"""),"Stationery")</f>
        <v>Stationery</v>
      </c>
    </row>
    <row r="1986">
      <c r="A1986" s="156" t="str">
        <f>IFERROR(__xludf.DUMMYFUNCTION("""COMPUTED_VALUE"""),"https://drive.google.com/open?id=1eQ9DRF6yC-pz9ISEQXa1Qp_y39-858H3&amp;authuser=jay.agg%40gmail.com&amp;usp=drive_fs")</f>
        <v>https://drive.google.com/open?id=1eQ9DRF6yC-pz9ISEQXa1Qp_y39-858H3&amp;authuser=jay.agg%40gmail.com&amp;usp=drive_fs</v>
      </c>
      <c r="B1986" s="73" t="str">
        <f>IFERROR(__xludf.DUMMYFUNCTION("""COMPUTED_VALUE"""),"Stationery")</f>
        <v>Stationery</v>
      </c>
      <c r="C1986" s="73" t="str">
        <f>IFERROR(__xludf.DUMMYFUNCTION("""COMPUTED_VALUE"""),"Pen")</f>
        <v>Pen</v>
      </c>
      <c r="D1986" s="73" t="str">
        <f>IFERROR(__xludf.DUMMYFUNCTION("""COMPUTED_VALUE"""),"80*34*152 mm | 3.15*1.3*6 inch")</f>
        <v>80*34*152 mm | 3.15*1.3*6 inch</v>
      </c>
      <c r="E1986" s="77">
        <f>IFERROR(__xludf.DUMMYFUNCTION("""COMPUTED_VALUE"""),6.0)</f>
        <v>6</v>
      </c>
      <c r="F1986" s="77">
        <f>IFERROR(__xludf.DUMMYFUNCTION("""COMPUTED_VALUE"""),2029.0)</f>
        <v>2029</v>
      </c>
      <c r="G1986" s="77">
        <f>IFERROR(__xludf.DUMMYFUNCTION("""COMPUTED_VALUE"""),19.0)</f>
        <v>19</v>
      </c>
      <c r="H1986" s="77">
        <f>IFERROR(__xludf.DUMMYFUNCTION("""COMPUTED_VALUE"""),26.0)</f>
        <v>26</v>
      </c>
      <c r="I1986" s="77">
        <f>IFERROR(__xludf.DUMMYFUNCTION("""COMPUTED_VALUE"""),100.0)</f>
        <v>100</v>
      </c>
      <c r="J1986" s="73"/>
      <c r="K1986" s="73"/>
      <c r="L1986" s="73"/>
      <c r="M1986" s="77">
        <f>IFERROR(__xludf.DUMMYFUNCTION("""COMPUTED_VALUE"""),0.1)</f>
        <v>0.1</v>
      </c>
      <c r="N1986" s="77">
        <f>IFERROR(__xludf.DUMMYFUNCTION("""COMPUTED_VALUE"""),1.0)</f>
        <v>1</v>
      </c>
      <c r="O1986" s="49"/>
      <c r="P1986" s="49" t="str">
        <f>IFERROR(__xludf.DUMMYFUNCTION("""COMPUTED_VALUE"""),"Offset")</f>
        <v>Offset</v>
      </c>
      <c r="Q1986" s="49" t="str">
        <f>IFERROR(__xludf.DUMMYFUNCTION("""COMPUTED_VALUE"""),"Packaging")</f>
        <v>Packaging</v>
      </c>
      <c r="R1986" s="49" t="str">
        <f>IFERROR(__xludf.DUMMYFUNCTION("""COMPUTED_VALUE"""),"Stationery")</f>
        <v>Stationery</v>
      </c>
    </row>
    <row r="1987">
      <c r="A1987" s="156" t="str">
        <f>IFERROR(__xludf.DUMMYFUNCTION("""COMPUTED_VALUE"""),"https://drive.google.com/open?id=1_u-jekuWuSGMhw_JHQZTXUqn6fjPCHcd&amp;authuser=jay.agg%40gmail.com&amp;usp=drive_fs")</f>
        <v>https://drive.google.com/open?id=1_u-jekuWuSGMhw_JHQZTXUqn6fjPCHcd&amp;authuser=jay.agg%40gmail.com&amp;usp=drive_fs</v>
      </c>
      <c r="B1987" s="73" t="str">
        <f>IFERROR(__xludf.DUMMYFUNCTION("""COMPUTED_VALUE"""),"Stationery")</f>
        <v>Stationery</v>
      </c>
      <c r="C1987" s="73" t="str">
        <f>IFERROR(__xludf.DUMMYFUNCTION("""COMPUTED_VALUE"""),"Note Book")</f>
        <v>Note Book</v>
      </c>
      <c r="D1987" s="73" t="str">
        <f>IFERROR(__xludf.DUMMYFUNCTION("""COMPUTED_VALUE"""),"150*18*223 mm | 5.9*0.7*8.8 inch")</f>
        <v>150*18*223 mm | 5.9*0.7*8.8 inch</v>
      </c>
      <c r="E1987" s="77">
        <f>IFERROR(__xludf.DUMMYFUNCTION("""COMPUTED_VALUE"""),2.0)</f>
        <v>2</v>
      </c>
      <c r="F1987" s="77">
        <f>IFERROR(__xludf.DUMMYFUNCTION("""COMPUTED_VALUE"""),1926.0)</f>
        <v>1926</v>
      </c>
      <c r="G1987" s="77">
        <f>IFERROR(__xludf.DUMMYFUNCTION("""COMPUTED_VALUE"""),14.0)</f>
        <v>14</v>
      </c>
      <c r="H1987" s="77">
        <f>IFERROR(__xludf.DUMMYFUNCTION("""COMPUTED_VALUE"""),22.0)</f>
        <v>22</v>
      </c>
      <c r="I1987" s="77">
        <f>IFERROR(__xludf.DUMMYFUNCTION("""COMPUTED_VALUE"""),100.0)</f>
        <v>100</v>
      </c>
      <c r="J1987" s="73"/>
      <c r="K1987" s="73"/>
      <c r="L1987" s="73"/>
      <c r="M1987" s="77">
        <f>IFERROR(__xludf.DUMMYFUNCTION("""COMPUTED_VALUE"""),0.1)</f>
        <v>0.1</v>
      </c>
      <c r="N1987" s="77">
        <f>IFERROR(__xludf.DUMMYFUNCTION("""COMPUTED_VALUE"""),1.0)</f>
        <v>1</v>
      </c>
      <c r="O1987" s="49"/>
      <c r="P1987" s="49" t="str">
        <f>IFERROR(__xludf.DUMMYFUNCTION("""COMPUTED_VALUE"""),"Offset")</f>
        <v>Offset</v>
      </c>
      <c r="Q1987" s="49" t="str">
        <f>IFERROR(__xludf.DUMMYFUNCTION("""COMPUTED_VALUE"""),"Packaging")</f>
        <v>Packaging</v>
      </c>
      <c r="R1987" s="49" t="str">
        <f>IFERROR(__xludf.DUMMYFUNCTION("""COMPUTED_VALUE"""),"Stationery")</f>
        <v>Stationery</v>
      </c>
    </row>
    <row r="1988">
      <c r="A1988" s="156" t="str">
        <f>IFERROR(__xludf.DUMMYFUNCTION("""COMPUTED_VALUE"""),"https://drive.google.com/open?id=1pYQoCjnY1T8YXjtVF8ZMdd2gLCZYp7ud&amp;authuser=jay.agg%40gmail.com&amp;usp=drive_fs")</f>
        <v>https://drive.google.com/open?id=1pYQoCjnY1T8YXjtVF8ZMdd2gLCZYp7ud&amp;authuser=jay.agg%40gmail.com&amp;usp=drive_fs</v>
      </c>
      <c r="B1988" s="73" t="str">
        <f>IFERROR(__xludf.DUMMYFUNCTION("""COMPUTED_VALUE"""),"Stationery")</f>
        <v>Stationery</v>
      </c>
      <c r="C1988" s="73" t="str">
        <f>IFERROR(__xludf.DUMMYFUNCTION("""COMPUTED_VALUE"""),"Pen")</f>
        <v>Pen</v>
      </c>
      <c r="D1988" s="73" t="str">
        <f>IFERROR(__xludf.DUMMYFUNCTION("""COMPUTED_VALUE"""),"48*48*145 mm | 1.9*1.9*5.7 inch")</f>
        <v>48*48*145 mm | 1.9*1.9*5.7 inch</v>
      </c>
      <c r="E1988" s="77">
        <f>IFERROR(__xludf.DUMMYFUNCTION("""COMPUTED_VALUE"""),6.0)</f>
        <v>6</v>
      </c>
      <c r="F1988" s="77">
        <f>IFERROR(__xludf.DUMMYFUNCTION("""COMPUTED_VALUE"""),1926.0)</f>
        <v>1926</v>
      </c>
      <c r="G1988" s="77">
        <f>IFERROR(__xludf.DUMMYFUNCTION("""COMPUTED_VALUE"""),19.0)</f>
        <v>19</v>
      </c>
      <c r="H1988" s="77">
        <f>IFERROR(__xludf.DUMMYFUNCTION("""COMPUTED_VALUE"""),26.0)</f>
        <v>26</v>
      </c>
      <c r="I1988" s="77">
        <f>IFERROR(__xludf.DUMMYFUNCTION("""COMPUTED_VALUE"""),100.0)</f>
        <v>100</v>
      </c>
      <c r="J1988" s="73"/>
      <c r="K1988" s="73"/>
      <c r="L1988" s="73"/>
      <c r="M1988" s="77">
        <f>IFERROR(__xludf.DUMMYFUNCTION("""COMPUTED_VALUE"""),0.1)</f>
        <v>0.1</v>
      </c>
      <c r="N1988" s="77">
        <f>IFERROR(__xludf.DUMMYFUNCTION("""COMPUTED_VALUE"""),1.0)</f>
        <v>1</v>
      </c>
      <c r="O1988" s="49"/>
      <c r="P1988" s="49" t="str">
        <f>IFERROR(__xludf.DUMMYFUNCTION("""COMPUTED_VALUE"""),"Offset")</f>
        <v>Offset</v>
      </c>
      <c r="Q1988" s="49" t="str">
        <f>IFERROR(__xludf.DUMMYFUNCTION("""COMPUTED_VALUE"""),"Packaging")</f>
        <v>Packaging</v>
      </c>
      <c r="R1988" s="49" t="str">
        <f>IFERROR(__xludf.DUMMYFUNCTION("""COMPUTED_VALUE"""),"Stationery")</f>
        <v>Stationery</v>
      </c>
    </row>
    <row r="1989">
      <c r="A1989" s="156" t="str">
        <f>IFERROR(__xludf.DUMMYFUNCTION("""COMPUTED_VALUE"""),"https://drive.google.com/open?id=1-uFbOwfht1QRiVMqglKVmUxuTQWyBZju&amp;authuser=jay.agg%40gmail.com&amp;usp=drive_fs")</f>
        <v>https://drive.google.com/open?id=1-uFbOwfht1QRiVMqglKVmUxuTQWyBZju&amp;authuser=jay.agg%40gmail.com&amp;usp=drive_fs</v>
      </c>
      <c r="B1989" s="73" t="str">
        <f>IFERROR(__xludf.DUMMYFUNCTION("""COMPUTED_VALUE"""),"Stationery")</f>
        <v>Stationery</v>
      </c>
      <c r="C1989" s="73" t="str">
        <f>IFERROR(__xludf.DUMMYFUNCTION("""COMPUTED_VALUE"""),"Chalk Box")</f>
        <v>Chalk Box</v>
      </c>
      <c r="D1989" s="73" t="str">
        <f>IFERROR(__xludf.DUMMYFUNCTION("""COMPUTED_VALUE"""),"70*90*70 mm | 2.7*3.5*2.7 inch")</f>
        <v>70*90*70 mm | 2.7*3.5*2.7 inch</v>
      </c>
      <c r="E1989" s="77">
        <f>IFERROR(__xludf.DUMMYFUNCTION("""COMPUTED_VALUE"""),3.0)</f>
        <v>3</v>
      </c>
      <c r="F1989" s="77">
        <f>IFERROR(__xludf.DUMMYFUNCTION("""COMPUTED_VALUE"""),1926.0)</f>
        <v>1926</v>
      </c>
      <c r="G1989" s="77">
        <f>IFERROR(__xludf.DUMMYFUNCTION("""COMPUTED_VALUE"""),14.0)</f>
        <v>14</v>
      </c>
      <c r="H1989" s="77">
        <f>IFERROR(__xludf.DUMMYFUNCTION("""COMPUTED_VALUE"""),22.0)</f>
        <v>22</v>
      </c>
      <c r="I1989" s="77">
        <f>IFERROR(__xludf.DUMMYFUNCTION("""COMPUTED_VALUE"""),100.0)</f>
        <v>100</v>
      </c>
      <c r="J1989" s="73"/>
      <c r="K1989" s="73"/>
      <c r="L1989" s="73"/>
      <c r="M1989" s="77">
        <f>IFERROR(__xludf.DUMMYFUNCTION("""COMPUTED_VALUE"""),0.1)</f>
        <v>0.1</v>
      </c>
      <c r="N1989" s="77">
        <f>IFERROR(__xludf.DUMMYFUNCTION("""COMPUTED_VALUE"""),1.0)</f>
        <v>1</v>
      </c>
      <c r="O1989" s="49"/>
      <c r="P1989" s="49" t="str">
        <f>IFERROR(__xludf.DUMMYFUNCTION("""COMPUTED_VALUE"""),"Offset")</f>
        <v>Offset</v>
      </c>
      <c r="Q1989" s="49" t="str">
        <f>IFERROR(__xludf.DUMMYFUNCTION("""COMPUTED_VALUE"""),"Packaging")</f>
        <v>Packaging</v>
      </c>
      <c r="R1989" s="49" t="str">
        <f>IFERROR(__xludf.DUMMYFUNCTION("""COMPUTED_VALUE"""),"Stationery")</f>
        <v>Stationery</v>
      </c>
    </row>
    <row r="1990">
      <c r="A1990" s="156" t="str">
        <f>IFERROR(__xludf.DUMMYFUNCTION("""COMPUTED_VALUE"""),"https://drive.google.com/open?id=1BstTcPBpwqYE5QsPG7YdRrqOoEt0dfAL&amp;authuser=jay.agg%40gmail.com&amp;usp=drive_fs")</f>
        <v>https://drive.google.com/open?id=1BstTcPBpwqYE5QsPG7YdRrqOoEt0dfAL&amp;authuser=jay.agg%40gmail.com&amp;usp=drive_fs</v>
      </c>
      <c r="B1990" s="73" t="str">
        <f>IFERROR(__xludf.DUMMYFUNCTION("""COMPUTED_VALUE"""),"Stationery")</f>
        <v>Stationery</v>
      </c>
      <c r="C1990" s="73" t="str">
        <f>IFERROR(__xludf.DUMMYFUNCTION("""COMPUTED_VALUE"""),"Pen")</f>
        <v>Pen</v>
      </c>
      <c r="D1990" s="73" t="str">
        <f>IFERROR(__xludf.DUMMYFUNCTION("""COMPUTED_VALUE"""),"60*30*145 mm | 2.3*1.2*5.7 inch")</f>
        <v>60*30*145 mm | 2.3*1.2*5.7 inch</v>
      </c>
      <c r="E1990" s="77">
        <f>IFERROR(__xludf.DUMMYFUNCTION("""COMPUTED_VALUE"""),6.0)</f>
        <v>6</v>
      </c>
      <c r="F1990" s="77">
        <f>IFERROR(__xludf.DUMMYFUNCTION("""COMPUTED_VALUE"""),1926.0)</f>
        <v>1926</v>
      </c>
      <c r="G1990" s="77">
        <f>IFERROR(__xludf.DUMMYFUNCTION("""COMPUTED_VALUE"""),18.0)</f>
        <v>18</v>
      </c>
      <c r="H1990" s="77">
        <f>IFERROR(__xludf.DUMMYFUNCTION("""COMPUTED_VALUE"""),23.0)</f>
        <v>23</v>
      </c>
      <c r="I1990" s="77">
        <f>IFERROR(__xludf.DUMMYFUNCTION("""COMPUTED_VALUE"""),100.0)</f>
        <v>100</v>
      </c>
      <c r="J1990" s="73"/>
      <c r="K1990" s="73"/>
      <c r="L1990" s="73"/>
      <c r="M1990" s="77">
        <f>IFERROR(__xludf.DUMMYFUNCTION("""COMPUTED_VALUE"""),0.1)</f>
        <v>0.1</v>
      </c>
      <c r="N1990" s="77">
        <f>IFERROR(__xludf.DUMMYFUNCTION("""COMPUTED_VALUE"""),1.0)</f>
        <v>1</v>
      </c>
      <c r="O1990" s="49"/>
      <c r="P1990" s="49" t="str">
        <f>IFERROR(__xludf.DUMMYFUNCTION("""COMPUTED_VALUE"""),"Offset")</f>
        <v>Offset</v>
      </c>
      <c r="Q1990" s="49" t="str">
        <f>IFERROR(__xludf.DUMMYFUNCTION("""COMPUTED_VALUE"""),"Packaging")</f>
        <v>Packaging</v>
      </c>
      <c r="R1990" s="49" t="str">
        <f>IFERROR(__xludf.DUMMYFUNCTION("""COMPUTED_VALUE"""),"Stationery")</f>
        <v>Stationery</v>
      </c>
    </row>
    <row r="1991">
      <c r="A1991" s="156" t="str">
        <f>IFERROR(__xludf.DUMMYFUNCTION("""COMPUTED_VALUE"""),"https://drive.google.com/open?id=1CJL5ZUvDIeNqiqybITlnCnSeVF1PGYIg&amp;authuser=jay.agg%40gmail.com&amp;usp=drive_fs")</f>
        <v>https://drive.google.com/open?id=1CJL5ZUvDIeNqiqybITlnCnSeVF1PGYIg&amp;authuser=jay.agg%40gmail.com&amp;usp=drive_fs</v>
      </c>
      <c r="B1991" s="73" t="str">
        <f>IFERROR(__xludf.DUMMYFUNCTION("""COMPUTED_VALUE"""),"Stationery")</f>
        <v>Stationery</v>
      </c>
      <c r="C1991" s="73" t="str">
        <f>IFERROR(__xludf.DUMMYFUNCTION("""COMPUTED_VALUE"""),"Pen")</f>
        <v>Pen</v>
      </c>
      <c r="D1991" s="73" t="str">
        <f>IFERROR(__xludf.DUMMYFUNCTION("""COMPUTED_VALUE"""),"20*20*150 mm | 0.8*0.8*5.9 inch")</f>
        <v>20*20*150 mm | 0.8*0.8*5.9 inch</v>
      </c>
      <c r="E1991" s="77">
        <f>IFERROR(__xludf.DUMMYFUNCTION("""COMPUTED_VALUE"""),12.0)</f>
        <v>12</v>
      </c>
      <c r="F1991" s="77">
        <f>IFERROR(__xludf.DUMMYFUNCTION("""COMPUTED_VALUE"""),1926.0)</f>
        <v>1926</v>
      </c>
      <c r="G1991" s="77">
        <f>IFERROR(__xludf.DUMMYFUNCTION("""COMPUTED_VALUE"""),18.0)</f>
        <v>18</v>
      </c>
      <c r="H1991" s="77">
        <f>IFERROR(__xludf.DUMMYFUNCTION("""COMPUTED_VALUE"""),23.0)</f>
        <v>23</v>
      </c>
      <c r="I1991" s="77">
        <f>IFERROR(__xludf.DUMMYFUNCTION("""COMPUTED_VALUE"""),100.0)</f>
        <v>100</v>
      </c>
      <c r="J1991" s="73"/>
      <c r="K1991" s="73"/>
      <c r="L1991" s="73"/>
      <c r="M1991" s="77">
        <f>IFERROR(__xludf.DUMMYFUNCTION("""COMPUTED_VALUE"""),0.1)</f>
        <v>0.1</v>
      </c>
      <c r="N1991" s="77">
        <f>IFERROR(__xludf.DUMMYFUNCTION("""COMPUTED_VALUE"""),1.0)</f>
        <v>1</v>
      </c>
      <c r="O1991" s="49"/>
      <c r="P1991" s="49" t="str">
        <f>IFERROR(__xludf.DUMMYFUNCTION("""COMPUTED_VALUE"""),"Offset")</f>
        <v>Offset</v>
      </c>
      <c r="Q1991" s="49" t="str">
        <f>IFERROR(__xludf.DUMMYFUNCTION("""COMPUTED_VALUE"""),"Packaging")</f>
        <v>Packaging</v>
      </c>
      <c r="R1991" s="49" t="str">
        <f>IFERROR(__xludf.DUMMYFUNCTION("""COMPUTED_VALUE"""),"Stationery")</f>
        <v>Stationery</v>
      </c>
    </row>
    <row r="1992">
      <c r="A1992" s="156" t="str">
        <f>IFERROR(__xludf.DUMMYFUNCTION("""COMPUTED_VALUE"""),"https://drive.google.com/open?id=10RVoN3SbIXaehRIPnMKkA2ynu2TpqEfx&amp;authuser=jay.agg%40gmail.com&amp;usp=drive_fs")</f>
        <v>https://drive.google.com/open?id=10RVoN3SbIXaehRIPnMKkA2ynu2TpqEfx&amp;authuser=jay.agg%40gmail.com&amp;usp=drive_fs</v>
      </c>
      <c r="B1992" s="73" t="str">
        <f>IFERROR(__xludf.DUMMYFUNCTION("""COMPUTED_VALUE"""),"Stationery")</f>
        <v>Stationery</v>
      </c>
      <c r="C1992" s="73" t="str">
        <f>IFERROR(__xludf.DUMMYFUNCTION("""COMPUTED_VALUE"""),"Note Book")</f>
        <v>Note Book</v>
      </c>
      <c r="D1992" s="73" t="str">
        <f>IFERROR(__xludf.DUMMYFUNCTION("""COMPUTED_VALUE"""),"160*25*220 mm | 6.7*1*8.7 inch")</f>
        <v>160*25*220 mm | 6.7*1*8.7 inch</v>
      </c>
      <c r="E1992" s="77">
        <f>IFERROR(__xludf.DUMMYFUNCTION("""COMPUTED_VALUE"""),2.0)</f>
        <v>2</v>
      </c>
      <c r="F1992" s="77">
        <f>IFERROR(__xludf.DUMMYFUNCTION("""COMPUTED_VALUE"""),1926.0)</f>
        <v>1926</v>
      </c>
      <c r="G1992" s="77">
        <f>IFERROR(__xludf.DUMMYFUNCTION("""COMPUTED_VALUE"""),18.0)</f>
        <v>18</v>
      </c>
      <c r="H1992" s="77">
        <f>IFERROR(__xludf.DUMMYFUNCTION("""COMPUTED_VALUE"""),23.0)</f>
        <v>23</v>
      </c>
      <c r="I1992" s="77">
        <f>IFERROR(__xludf.DUMMYFUNCTION("""COMPUTED_VALUE"""),100.0)</f>
        <v>100</v>
      </c>
      <c r="J1992" s="73"/>
      <c r="K1992" s="73"/>
      <c r="L1992" s="73"/>
      <c r="M1992" s="77">
        <f>IFERROR(__xludf.DUMMYFUNCTION("""COMPUTED_VALUE"""),0.1)</f>
        <v>0.1</v>
      </c>
      <c r="N1992" s="77">
        <f>IFERROR(__xludf.DUMMYFUNCTION("""COMPUTED_VALUE"""),1.0)</f>
        <v>1</v>
      </c>
      <c r="O1992" s="49"/>
      <c r="P1992" s="49" t="str">
        <f>IFERROR(__xludf.DUMMYFUNCTION("""COMPUTED_VALUE"""),"Offset")</f>
        <v>Offset</v>
      </c>
      <c r="Q1992" s="49" t="str">
        <f>IFERROR(__xludf.DUMMYFUNCTION("""COMPUTED_VALUE"""),"Packaging")</f>
        <v>Packaging</v>
      </c>
      <c r="R1992" s="49" t="str">
        <f>IFERROR(__xludf.DUMMYFUNCTION("""COMPUTED_VALUE"""),"Stationery")</f>
        <v>Stationery</v>
      </c>
    </row>
    <row r="1993">
      <c r="A1993" s="156" t="str">
        <f>IFERROR(__xludf.DUMMYFUNCTION("""COMPUTED_VALUE"""),"https://drive.google.com/open?id=10RuDJR2IQDfXWlkOFCfrtmYavV2DDRZK&amp;authuser=jay.agg%40gmail.com&amp;usp=drive_fs")</f>
        <v>https://drive.google.com/open?id=10RuDJR2IQDfXWlkOFCfrtmYavV2DDRZK&amp;authuser=jay.agg%40gmail.com&amp;usp=drive_fs</v>
      </c>
      <c r="B1993" s="73" t="str">
        <f>IFERROR(__xludf.DUMMYFUNCTION("""COMPUTED_VALUE"""),"Stationery")</f>
        <v>Stationery</v>
      </c>
      <c r="C1993" s="73" t="str">
        <f>IFERROR(__xludf.DUMMYFUNCTION("""COMPUTED_VALUE"""),"Note Book")</f>
        <v>Note Book</v>
      </c>
      <c r="D1993" s="73" t="str">
        <f>IFERROR(__xludf.DUMMYFUNCTION("""COMPUTED_VALUE"""),"60*10*160 mm | 2.4*0.4*6.3 inch")</f>
        <v>60*10*160 mm | 2.4*0.4*6.3 inch</v>
      </c>
      <c r="E1993" s="77">
        <f>IFERROR(__xludf.DUMMYFUNCTION("""COMPUTED_VALUE"""),8.0)</f>
        <v>8</v>
      </c>
      <c r="F1993" s="77">
        <f>IFERROR(__xludf.DUMMYFUNCTION("""COMPUTED_VALUE"""),1926.0)</f>
        <v>1926</v>
      </c>
      <c r="G1993" s="77">
        <f>IFERROR(__xludf.DUMMYFUNCTION("""COMPUTED_VALUE"""),18.0)</f>
        <v>18</v>
      </c>
      <c r="H1993" s="77">
        <f>IFERROR(__xludf.DUMMYFUNCTION("""COMPUTED_VALUE"""),25.0)</f>
        <v>25</v>
      </c>
      <c r="I1993" s="77">
        <f>IFERROR(__xludf.DUMMYFUNCTION("""COMPUTED_VALUE"""),100.0)</f>
        <v>100</v>
      </c>
      <c r="J1993" s="73"/>
      <c r="K1993" s="73"/>
      <c r="L1993" s="73"/>
      <c r="M1993" s="77">
        <f>IFERROR(__xludf.DUMMYFUNCTION("""COMPUTED_VALUE"""),0.1)</f>
        <v>0.1</v>
      </c>
      <c r="N1993" s="77">
        <f>IFERROR(__xludf.DUMMYFUNCTION("""COMPUTED_VALUE"""),1.0)</f>
        <v>1</v>
      </c>
      <c r="O1993" s="49"/>
      <c r="P1993" s="49" t="str">
        <f>IFERROR(__xludf.DUMMYFUNCTION("""COMPUTED_VALUE"""),"Offset")</f>
        <v>Offset</v>
      </c>
      <c r="Q1993" s="49" t="str">
        <f>IFERROR(__xludf.DUMMYFUNCTION("""COMPUTED_VALUE"""),"Packaging")</f>
        <v>Packaging</v>
      </c>
      <c r="R1993" s="49" t="str">
        <f>IFERROR(__xludf.DUMMYFUNCTION("""COMPUTED_VALUE"""),"Stationery")</f>
        <v>Stationery</v>
      </c>
    </row>
    <row r="1994">
      <c r="A1994" s="156" t="str">
        <f>IFERROR(__xludf.DUMMYFUNCTION("""COMPUTED_VALUE"""),"https://drive.google.com/open?id=1QxUTbzreYg0Oe2eDW2K2Vo-jnWE8P5Bs&amp;authuser=jay.agg%40gmail.com&amp;usp=drive_fs")</f>
        <v>https://drive.google.com/open?id=1QxUTbzreYg0Oe2eDW2K2Vo-jnWE8P5Bs&amp;authuser=jay.agg%40gmail.com&amp;usp=drive_fs</v>
      </c>
      <c r="B1994" s="73" t="str">
        <f>IFERROR(__xludf.DUMMYFUNCTION("""COMPUTED_VALUE"""),"Stationery")</f>
        <v>Stationery</v>
      </c>
      <c r="C1994" s="73" t="str">
        <f>IFERROR(__xludf.DUMMYFUNCTION("""COMPUTED_VALUE"""),"Misc")</f>
        <v>Misc</v>
      </c>
      <c r="D1994" s="73" t="str">
        <f>IFERROR(__xludf.DUMMYFUNCTION("""COMPUTED_VALUE"""),"15*15*80 mm | 0.6*0.6*3.15 inch")</f>
        <v>15*15*80 mm | 0.6*0.6*3.15 inch</v>
      </c>
      <c r="E1994" s="77">
        <f>IFERROR(__xludf.DUMMYFUNCTION("""COMPUTED_VALUE"""),18.0)</f>
        <v>18</v>
      </c>
      <c r="F1994" s="77">
        <f>IFERROR(__xludf.DUMMYFUNCTION("""COMPUTED_VALUE"""),1926.0)</f>
        <v>1926</v>
      </c>
      <c r="G1994" s="77">
        <f>IFERROR(__xludf.DUMMYFUNCTION("""COMPUTED_VALUE"""),15.0)</f>
        <v>15</v>
      </c>
      <c r="H1994" s="77">
        <f>IFERROR(__xludf.DUMMYFUNCTION("""COMPUTED_VALUE"""),20.0)</f>
        <v>20</v>
      </c>
      <c r="I1994" s="77">
        <f>IFERROR(__xludf.DUMMYFUNCTION("""COMPUTED_VALUE"""),100.0)</f>
        <v>100</v>
      </c>
      <c r="J1994" s="73"/>
      <c r="K1994" s="73"/>
      <c r="L1994" s="73"/>
      <c r="M1994" s="77"/>
      <c r="N1994" s="77">
        <f>IFERROR(__xludf.DUMMYFUNCTION("""COMPUTED_VALUE"""),1.0)</f>
        <v>1</v>
      </c>
      <c r="O1994" s="49"/>
      <c r="P1994" s="49" t="str">
        <f>IFERROR(__xludf.DUMMYFUNCTION("""COMPUTED_VALUE"""),"Offset")</f>
        <v>Offset</v>
      </c>
      <c r="Q1994" s="49" t="str">
        <f>IFERROR(__xludf.DUMMYFUNCTION("""COMPUTED_VALUE"""),"Packaging")</f>
        <v>Packaging</v>
      </c>
      <c r="R1994" s="49" t="str">
        <f>IFERROR(__xludf.DUMMYFUNCTION("""COMPUTED_VALUE"""),"Stationery")</f>
        <v>Stationery</v>
      </c>
    </row>
    <row r="1995">
      <c r="A1995" s="156" t="str">
        <f>IFERROR(__xludf.DUMMYFUNCTION("""COMPUTED_VALUE"""),"https://drive.google.com/open?id=1R7nGwqnFnYRRdKnvbNa_v1JuAL6J6V9r&amp;authuser=jay.agg%40gmail.com&amp;usp=drive_fs")</f>
        <v>https://drive.google.com/open?id=1R7nGwqnFnYRRdKnvbNa_v1JuAL6J6V9r&amp;authuser=jay.agg%40gmail.com&amp;usp=drive_fs</v>
      </c>
      <c r="B1995" s="73" t="str">
        <f>IFERROR(__xludf.DUMMYFUNCTION("""COMPUTED_VALUE"""),"Stationery")</f>
        <v>Stationery</v>
      </c>
      <c r="C1995" s="73" t="str">
        <f>IFERROR(__xludf.DUMMYFUNCTION("""COMPUTED_VALUE"""),"Bookmark")</f>
        <v>Bookmark</v>
      </c>
      <c r="D1995" s="73" t="str">
        <f>IFERROR(__xludf.DUMMYFUNCTION("""COMPUTED_VALUE"""),"60*12*110 mm | 2.3*0.5*6.3 inch")</f>
        <v>60*12*110 mm | 2.3*0.5*6.3 inch</v>
      </c>
      <c r="E1995" s="77">
        <f>IFERROR(__xludf.DUMMYFUNCTION("""COMPUTED_VALUE"""),8.0)</f>
        <v>8</v>
      </c>
      <c r="F1995" s="77">
        <f>IFERROR(__xludf.DUMMYFUNCTION("""COMPUTED_VALUE"""),1926.0)</f>
        <v>1926</v>
      </c>
      <c r="G1995" s="77">
        <f>IFERROR(__xludf.DUMMYFUNCTION("""COMPUTED_VALUE"""),18.0)</f>
        <v>18</v>
      </c>
      <c r="H1995" s="77">
        <f>IFERROR(__xludf.DUMMYFUNCTION("""COMPUTED_VALUE"""),25.0)</f>
        <v>25</v>
      </c>
      <c r="I1995" s="77">
        <f>IFERROR(__xludf.DUMMYFUNCTION("""COMPUTED_VALUE"""),100.0)</f>
        <v>100</v>
      </c>
      <c r="J1995" s="73"/>
      <c r="K1995" s="73"/>
      <c r="L1995" s="73"/>
      <c r="M1995" s="77">
        <f>IFERROR(__xludf.DUMMYFUNCTION("""COMPUTED_VALUE"""),0.1)</f>
        <v>0.1</v>
      </c>
      <c r="N1995" s="77">
        <f>IFERROR(__xludf.DUMMYFUNCTION("""COMPUTED_VALUE"""),1.0)</f>
        <v>1</v>
      </c>
      <c r="O1995" s="49"/>
      <c r="P1995" s="49" t="str">
        <f>IFERROR(__xludf.DUMMYFUNCTION("""COMPUTED_VALUE"""),"Offset")</f>
        <v>Offset</v>
      </c>
      <c r="Q1995" s="49" t="str">
        <f>IFERROR(__xludf.DUMMYFUNCTION("""COMPUTED_VALUE"""),"Packaging")</f>
        <v>Packaging</v>
      </c>
      <c r="R1995" s="49" t="str">
        <f>IFERROR(__xludf.DUMMYFUNCTION("""COMPUTED_VALUE"""),"Stationery")</f>
        <v>Stationery</v>
      </c>
    </row>
    <row r="1996">
      <c r="A1996" s="156" t="str">
        <f>IFERROR(__xludf.DUMMYFUNCTION("""COMPUTED_VALUE"""),"https://drive.google.com/open?id=128vadS46mNxLYmQ5hMuDHo4qOE-aluWK&amp;authuser=jay.agg%40gmail.com&amp;usp=drive_fs")</f>
        <v>https://drive.google.com/open?id=128vadS46mNxLYmQ5hMuDHo4qOE-aluWK&amp;authuser=jay.agg%40gmail.com&amp;usp=drive_fs</v>
      </c>
      <c r="B1996" s="73" t="str">
        <f>IFERROR(__xludf.DUMMYFUNCTION("""COMPUTED_VALUE"""),"Stationery")</f>
        <v>Stationery</v>
      </c>
      <c r="C1996" s="73" t="str">
        <f>IFERROR(__xludf.DUMMYFUNCTION("""COMPUTED_VALUE"""),"Note Book")</f>
        <v>Note Book</v>
      </c>
      <c r="D1996" s="73" t="str">
        <f>IFERROR(__xludf.DUMMYFUNCTION("""COMPUTED_VALUE"""),"230*20*310 mm | 9*0.8*12.2 inch")</f>
        <v>230*20*310 mm | 9*0.8*12.2 inch</v>
      </c>
      <c r="E1996" s="77">
        <f>IFERROR(__xludf.DUMMYFUNCTION("""COMPUTED_VALUE"""),1.0)</f>
        <v>1</v>
      </c>
      <c r="F1996" s="77">
        <f>IFERROR(__xludf.DUMMYFUNCTION("""COMPUTED_VALUE"""),1926.0)</f>
        <v>1926</v>
      </c>
      <c r="G1996" s="77">
        <f>IFERROR(__xludf.DUMMYFUNCTION("""COMPUTED_VALUE"""),15.75)</f>
        <v>15.75</v>
      </c>
      <c r="H1996" s="77">
        <f>IFERROR(__xludf.DUMMYFUNCTION("""COMPUTED_VALUE"""),20.75)</f>
        <v>20.75</v>
      </c>
      <c r="I1996" s="77">
        <f>IFERROR(__xludf.DUMMYFUNCTION("""COMPUTED_VALUE"""),100.0)</f>
        <v>100</v>
      </c>
      <c r="J1996" s="73"/>
      <c r="K1996" s="73"/>
      <c r="L1996" s="73"/>
      <c r="M1996" s="77">
        <f>IFERROR(__xludf.DUMMYFUNCTION("""COMPUTED_VALUE"""),0.12)</f>
        <v>0.12</v>
      </c>
      <c r="N1996" s="77">
        <f>IFERROR(__xludf.DUMMYFUNCTION("""COMPUTED_VALUE"""),1.0)</f>
        <v>1</v>
      </c>
      <c r="O1996" s="49"/>
      <c r="P1996" s="49" t="str">
        <f>IFERROR(__xludf.DUMMYFUNCTION("""COMPUTED_VALUE"""),"Offset")</f>
        <v>Offset</v>
      </c>
      <c r="Q1996" s="49" t="str">
        <f>IFERROR(__xludf.DUMMYFUNCTION("""COMPUTED_VALUE"""),"Packaging")</f>
        <v>Packaging</v>
      </c>
      <c r="R1996" s="49" t="str">
        <f>IFERROR(__xludf.DUMMYFUNCTION("""COMPUTED_VALUE"""),"Stationery")</f>
        <v>Stationery</v>
      </c>
    </row>
    <row r="1997">
      <c r="A1997" s="156" t="str">
        <f>IFERROR(__xludf.DUMMYFUNCTION("""COMPUTED_VALUE"""),"https://drive.google.com/open?id=1-NcvP9BRvX7niCUgPD4VT8oXDE0QY4Fm&amp;usp=drive_fs")</f>
        <v>https://drive.google.com/open?id=1-NcvP9BRvX7niCUgPD4VT8oXDE0QY4Fm&amp;usp=drive_fs</v>
      </c>
      <c r="B1997" s="73" t="str">
        <f>IFERROR(__xludf.DUMMYFUNCTION("""COMPUTED_VALUE"""),"Stationery")</f>
        <v>Stationery</v>
      </c>
      <c r="C1997" s="73" t="str">
        <f>IFERROR(__xludf.DUMMYFUNCTION("""COMPUTED_VALUE"""),"Tape")</f>
        <v>Tape</v>
      </c>
      <c r="D1997" s="73" t="str">
        <f>IFERROR(__xludf.DUMMYFUNCTION("""COMPUTED_VALUE"""),"178*178*12 mm | 7*7*0.5 inch")</f>
        <v>178*178*12 mm | 7*7*0.5 inch</v>
      </c>
      <c r="E1997" s="77">
        <f>IFERROR(__xludf.DUMMYFUNCTION("""COMPUTED_VALUE"""),2.0)</f>
        <v>2</v>
      </c>
      <c r="F1997" s="77">
        <f>IFERROR(__xludf.DUMMYFUNCTION("""COMPUTED_VALUE"""),1926.0)</f>
        <v>1926</v>
      </c>
      <c r="G1997" s="77">
        <f>IFERROR(__xludf.DUMMYFUNCTION("""COMPUTED_VALUE"""),15.75)</f>
        <v>15.75</v>
      </c>
      <c r="H1997" s="77">
        <f>IFERROR(__xludf.DUMMYFUNCTION("""COMPUTED_VALUE"""),20.75)</f>
        <v>20.75</v>
      </c>
      <c r="I1997" s="77">
        <f>IFERROR(__xludf.DUMMYFUNCTION("""COMPUTED_VALUE"""),100.0)</f>
        <v>100</v>
      </c>
      <c r="J1997" s="73"/>
      <c r="K1997" s="73"/>
      <c r="L1997" s="73"/>
      <c r="M1997" s="77">
        <f>IFERROR(__xludf.DUMMYFUNCTION("""COMPUTED_VALUE"""),0.1)</f>
        <v>0.1</v>
      </c>
      <c r="N1997" s="77">
        <f>IFERROR(__xludf.DUMMYFUNCTION("""COMPUTED_VALUE"""),1.0)</f>
        <v>1</v>
      </c>
      <c r="O1997" s="49"/>
      <c r="P1997" s="49" t="str">
        <f>IFERROR(__xludf.DUMMYFUNCTION("""COMPUTED_VALUE"""),"Offset")</f>
        <v>Offset</v>
      </c>
      <c r="Q1997" s="49" t="str">
        <f>IFERROR(__xludf.DUMMYFUNCTION("""COMPUTED_VALUE"""),"Packaging")</f>
        <v>Packaging</v>
      </c>
      <c r="R1997" s="49" t="str">
        <f>IFERROR(__xludf.DUMMYFUNCTION("""COMPUTED_VALUE"""),"Stationery")</f>
        <v>Stationery</v>
      </c>
    </row>
    <row r="1998">
      <c r="A1998" s="156" t="str">
        <f>IFERROR(__xludf.DUMMYFUNCTION("""COMPUTED_VALUE"""),"https://drive.google.com/open?id=141ftr5aQ6uRP-_C-OtSlnmc2c0O0LpmV&amp;usp=drive_fs")</f>
        <v>https://drive.google.com/open?id=141ftr5aQ6uRP-_C-OtSlnmc2c0O0LpmV&amp;usp=drive_fs</v>
      </c>
      <c r="B1998" s="73" t="str">
        <f>IFERROR(__xludf.DUMMYFUNCTION("""COMPUTED_VALUE"""),"Stationery")</f>
        <v>Stationery</v>
      </c>
      <c r="C1998" s="73" t="str">
        <f>IFERROR(__xludf.DUMMYFUNCTION("""COMPUTED_VALUE"""),"Note Book")</f>
        <v>Note Book</v>
      </c>
      <c r="D1998" s="73" t="str">
        <f>IFERROR(__xludf.DUMMYFUNCTION("""COMPUTED_VALUE"""),"180*15*225 mm | 7*0.6*8.9 inch")</f>
        <v>180*15*225 mm | 7*0.6*8.9 inch</v>
      </c>
      <c r="E1998" s="77">
        <f>IFERROR(__xludf.DUMMYFUNCTION("""COMPUTED_VALUE"""),2.0)</f>
        <v>2</v>
      </c>
      <c r="F1998" s="77">
        <f>IFERROR(__xludf.DUMMYFUNCTION("""COMPUTED_VALUE"""),1926.0)</f>
        <v>1926</v>
      </c>
      <c r="G1998" s="77">
        <f>IFERROR(__xludf.DUMMYFUNCTION("""COMPUTED_VALUE"""),18.0)</f>
        <v>18</v>
      </c>
      <c r="H1998" s="77">
        <f>IFERROR(__xludf.DUMMYFUNCTION("""COMPUTED_VALUE"""),23.0)</f>
        <v>23</v>
      </c>
      <c r="I1998" s="77">
        <f>IFERROR(__xludf.DUMMYFUNCTION("""COMPUTED_VALUE"""),100.0)</f>
        <v>100</v>
      </c>
      <c r="J1998" s="73"/>
      <c r="K1998" s="73"/>
      <c r="L1998" s="73"/>
      <c r="M1998" s="77">
        <f>IFERROR(__xludf.DUMMYFUNCTION("""COMPUTED_VALUE"""),0.1)</f>
        <v>0.1</v>
      </c>
      <c r="N1998" s="77">
        <f>IFERROR(__xludf.DUMMYFUNCTION("""COMPUTED_VALUE"""),1.0)</f>
        <v>1</v>
      </c>
      <c r="O1998" s="49"/>
      <c r="P1998" s="49" t="str">
        <f>IFERROR(__xludf.DUMMYFUNCTION("""COMPUTED_VALUE"""),"Offset")</f>
        <v>Offset</v>
      </c>
      <c r="Q1998" s="49" t="str">
        <f>IFERROR(__xludf.DUMMYFUNCTION("""COMPUTED_VALUE"""),"Packaging")</f>
        <v>Packaging</v>
      </c>
      <c r="R1998" s="49" t="str">
        <f>IFERROR(__xludf.DUMMYFUNCTION("""COMPUTED_VALUE"""),"Stationery")</f>
        <v>Stationery</v>
      </c>
    </row>
    <row r="1999">
      <c r="A1999" s="156" t="str">
        <f>IFERROR(__xludf.DUMMYFUNCTION("""COMPUTED_VALUE"""),"https://drive.google.com/open?id=18Cjd8cHg4GVGO4KYSh-enPA1ipt4XrJW&amp;usp=drive_fs")</f>
        <v>https://drive.google.com/open?id=18Cjd8cHg4GVGO4KYSh-enPA1ipt4XrJW&amp;usp=drive_fs</v>
      </c>
      <c r="B1999" s="73" t="str">
        <f>IFERROR(__xludf.DUMMYFUNCTION("""COMPUTED_VALUE"""),"Stationery")</f>
        <v>Stationery</v>
      </c>
      <c r="C1999" s="73" t="str">
        <f>IFERROR(__xludf.DUMMYFUNCTION("""COMPUTED_VALUE"""),"Bag")</f>
        <v>Bag</v>
      </c>
      <c r="D1999" s="73" t="str">
        <f>IFERROR(__xludf.DUMMYFUNCTION("""COMPUTED_VALUE"""),"213*136*95 mm | 8.4*5.4*3.8 inch | 22*26")</f>
        <v>213*136*95 mm | 8.4*5.4*3.8 inch | 22*26</v>
      </c>
      <c r="E1999" s="77">
        <f>IFERROR(__xludf.DUMMYFUNCTION("""COMPUTED_VALUE"""),1.0)</f>
        <v>1</v>
      </c>
      <c r="F1999" s="77">
        <f>IFERROR(__xludf.DUMMYFUNCTION("""COMPUTED_VALUE"""),2029.0)</f>
        <v>2029</v>
      </c>
      <c r="G1999" s="77">
        <f>IFERROR(__xludf.DUMMYFUNCTION("""COMPUTED_VALUE"""),20.0)</f>
        <v>20</v>
      </c>
      <c r="H1999" s="77">
        <f>IFERROR(__xludf.DUMMYFUNCTION("""COMPUTED_VALUE"""),28.0)</f>
        <v>28</v>
      </c>
      <c r="I1999" s="77">
        <f>IFERROR(__xludf.DUMMYFUNCTION("""COMPUTED_VALUE"""),100.0)</f>
        <v>100</v>
      </c>
      <c r="J1999" s="73"/>
      <c r="K1999" s="73"/>
      <c r="L1999" s="73"/>
      <c r="M1999" s="77">
        <f>IFERROR(__xludf.DUMMYFUNCTION("""COMPUTED_VALUE"""),0.3)</f>
        <v>0.3</v>
      </c>
      <c r="N1999" s="77">
        <f>IFERROR(__xludf.DUMMYFUNCTION("""COMPUTED_VALUE"""),1.0)</f>
        <v>1</v>
      </c>
      <c r="O1999" s="49"/>
      <c r="P1999" s="49" t="str">
        <f>IFERROR(__xludf.DUMMYFUNCTION("""COMPUTED_VALUE"""),"Offset")</f>
        <v>Offset</v>
      </c>
      <c r="Q1999" s="49" t="str">
        <f>IFERROR(__xludf.DUMMYFUNCTION("""COMPUTED_VALUE"""),"Packaging")</f>
        <v>Packaging</v>
      </c>
      <c r="R1999" s="49" t="str">
        <f>IFERROR(__xludf.DUMMYFUNCTION("""COMPUTED_VALUE"""),"Stationery")</f>
        <v>Stationery</v>
      </c>
    </row>
    <row r="2000">
      <c r="A2000" s="156" t="str">
        <f>IFERROR(__xludf.DUMMYFUNCTION("""COMPUTED_VALUE"""),"https://drive.google.com/open?id=1QKWAVd5gbn1uZB7PJ2LubbGvRU-JnMV3&amp;usp=drive_fs")</f>
        <v>https://drive.google.com/open?id=1QKWAVd5gbn1uZB7PJ2LubbGvRU-JnMV3&amp;usp=drive_fs</v>
      </c>
      <c r="B2000" s="73" t="str">
        <f>IFERROR(__xludf.DUMMYFUNCTION("""COMPUTED_VALUE"""),"Stationery")</f>
        <v>Stationery</v>
      </c>
      <c r="C2000" s="73" t="str">
        <f>IFERROR(__xludf.DUMMYFUNCTION("""COMPUTED_VALUE"""),"Misc")</f>
        <v>Misc</v>
      </c>
      <c r="D2000" s="73" t="str">
        <f>IFERROR(__xludf.DUMMYFUNCTION("""COMPUTED_VALUE"""),"Sleeve 250*269*41 mm | 9.8*10.6*1.6 inch")</f>
        <v>Sleeve 250*269*41 mm | 9.8*10.6*1.6 inch</v>
      </c>
      <c r="E2000" s="77">
        <f>IFERROR(__xludf.DUMMYFUNCTION("""COMPUTED_VALUE"""),1.0)</f>
        <v>1</v>
      </c>
      <c r="F2000" s="77">
        <f>IFERROR(__xludf.DUMMYFUNCTION("""COMPUTED_VALUE"""),1926.0)</f>
        <v>1926</v>
      </c>
      <c r="G2000" s="77">
        <f>IFERROR(__xludf.DUMMYFUNCTION("""COMPUTED_VALUE"""),12.0)</f>
        <v>12</v>
      </c>
      <c r="H2000" s="77">
        <f>IFERROR(__xludf.DUMMYFUNCTION("""COMPUTED_VALUE"""),25.0)</f>
        <v>25</v>
      </c>
      <c r="I2000" s="77">
        <f>IFERROR(__xludf.DUMMYFUNCTION("""COMPUTED_VALUE"""),100.0)</f>
        <v>100</v>
      </c>
      <c r="J2000" s="73"/>
      <c r="K2000" s="73"/>
      <c r="L2000" s="73"/>
      <c r="M2000" s="77">
        <f>IFERROR(__xludf.DUMMYFUNCTION("""COMPUTED_VALUE"""),0.12)</f>
        <v>0.12</v>
      </c>
      <c r="N2000" s="77">
        <f>IFERROR(__xludf.DUMMYFUNCTION("""COMPUTED_VALUE"""),1.0)</f>
        <v>1</v>
      </c>
      <c r="O2000" s="49"/>
      <c r="P2000" s="49" t="str">
        <f>IFERROR(__xludf.DUMMYFUNCTION("""COMPUTED_VALUE"""),"Offset")</f>
        <v>Offset</v>
      </c>
      <c r="Q2000" s="49" t="str">
        <f>IFERROR(__xludf.DUMMYFUNCTION("""COMPUTED_VALUE"""),"Packaging")</f>
        <v>Packaging</v>
      </c>
      <c r="R2000" s="49" t="str">
        <f>IFERROR(__xludf.DUMMYFUNCTION("""COMPUTED_VALUE"""),"Stationery")</f>
        <v>Stationery</v>
      </c>
    </row>
    <row r="2001">
      <c r="A2001" s="73"/>
      <c r="B2001" s="73"/>
      <c r="C2001" s="73"/>
      <c r="D2001" s="73"/>
      <c r="E2001" s="77"/>
      <c r="F2001" s="77"/>
      <c r="G2001" s="77"/>
      <c r="H2001" s="77"/>
      <c r="I2001" s="77"/>
      <c r="J2001" s="73"/>
      <c r="K2001" s="73"/>
      <c r="L2001" s="73"/>
      <c r="M2001" s="77"/>
      <c r="N2001" s="77"/>
      <c r="R2001" s="4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6"/>
    <hyperlink r:id="rId35" ref="A37"/>
    <hyperlink r:id="rId36" ref="A38"/>
    <hyperlink r:id="rId37" ref="A39"/>
    <hyperlink r:id="rId38" ref="A40"/>
    <hyperlink r:id="rId39" ref="A41"/>
    <hyperlink r:id="rId40" ref="A44"/>
    <hyperlink r:id="rId41" ref="A45"/>
    <hyperlink r:id="rId42" ref="A46"/>
    <hyperlink r:id="rId43" ref="A50"/>
    <hyperlink r:id="rId44" ref="A51"/>
    <hyperlink r:id="rId45" ref="A52"/>
    <hyperlink r:id="rId46" ref="A53"/>
    <hyperlink r:id="rId47" ref="A54"/>
    <hyperlink r:id="rId48" ref="A55"/>
    <hyperlink r:id="rId49" ref="A56"/>
    <hyperlink r:id="rId50" ref="A57"/>
    <hyperlink r:id="rId51" ref="A58"/>
    <hyperlink r:id="rId52" ref="A59"/>
    <hyperlink r:id="rId53" ref="A60"/>
    <hyperlink r:id="rId54" ref="A61"/>
    <hyperlink r:id="rId55" ref="A62"/>
    <hyperlink r:id="rId56" ref="A63"/>
    <hyperlink r:id="rId57" ref="A64"/>
    <hyperlink r:id="rId58" ref="A65"/>
    <hyperlink r:id="rId59" ref="A66"/>
    <hyperlink r:id="rId60" ref="A67"/>
    <hyperlink r:id="rId61" ref="A68"/>
    <hyperlink r:id="rId62" ref="A69"/>
    <hyperlink r:id="rId63" ref="A70"/>
    <hyperlink r:id="rId64" ref="A71"/>
    <hyperlink r:id="rId65" ref="A72"/>
    <hyperlink r:id="rId66" ref="A73"/>
    <hyperlink r:id="rId67" ref="A74"/>
    <hyperlink r:id="rId68" ref="A75"/>
    <hyperlink r:id="rId69" ref="A76"/>
    <hyperlink r:id="rId70" ref="A77"/>
    <hyperlink r:id="rId71" ref="A78"/>
    <hyperlink r:id="rId72" ref="A79"/>
    <hyperlink r:id="rId73" ref="A80"/>
    <hyperlink r:id="rId74" ref="A81"/>
    <hyperlink r:id="rId75" ref="A82"/>
    <hyperlink r:id="rId76" ref="A83"/>
    <hyperlink r:id="rId77" ref="A84"/>
    <hyperlink r:id="rId78" ref="A85"/>
    <hyperlink r:id="rId79" ref="A86"/>
    <hyperlink r:id="rId80" ref="A87"/>
    <hyperlink r:id="rId81" ref="A88"/>
    <hyperlink r:id="rId82" ref="A89"/>
    <hyperlink r:id="rId83" ref="A90"/>
    <hyperlink r:id="rId84" ref="A91"/>
    <hyperlink r:id="rId85" ref="A92"/>
    <hyperlink r:id="rId86" ref="A93"/>
    <hyperlink r:id="rId87" ref="A94"/>
    <hyperlink r:id="rId88" ref="A95"/>
    <hyperlink r:id="rId89" ref="A96"/>
    <hyperlink r:id="rId90" ref="A97"/>
    <hyperlink r:id="rId91" ref="A98"/>
    <hyperlink r:id="rId92" ref="A99"/>
    <hyperlink r:id="rId93" ref="A100"/>
    <hyperlink r:id="rId94" ref="A101"/>
    <hyperlink r:id="rId95" ref="A102"/>
    <hyperlink r:id="rId96" ref="A103"/>
    <hyperlink r:id="rId97" ref="A104"/>
    <hyperlink r:id="rId98" ref="A105"/>
    <hyperlink r:id="rId99" ref="A106"/>
    <hyperlink r:id="rId100" ref="A107"/>
    <hyperlink r:id="rId101" ref="A108"/>
    <hyperlink r:id="rId102" ref="A109"/>
    <hyperlink r:id="rId103" ref="A110"/>
    <hyperlink r:id="rId104" ref="A111"/>
    <hyperlink r:id="rId105" ref="A112"/>
    <hyperlink r:id="rId106" ref="A113"/>
    <hyperlink r:id="rId107" ref="A114"/>
    <hyperlink r:id="rId108" ref="A115"/>
    <hyperlink r:id="rId109" ref="A116"/>
    <hyperlink r:id="rId110" ref="A117"/>
    <hyperlink r:id="rId111" ref="A118"/>
    <hyperlink r:id="rId112" ref="A119"/>
    <hyperlink r:id="rId113" ref="A120"/>
    <hyperlink r:id="rId114" ref="A121"/>
    <hyperlink r:id="rId115" ref="A122"/>
    <hyperlink r:id="rId116" ref="A123"/>
    <hyperlink r:id="rId117" ref="A124"/>
    <hyperlink r:id="rId118" ref="A125"/>
    <hyperlink r:id="rId119" ref="A126"/>
    <hyperlink r:id="rId120" ref="A127"/>
    <hyperlink r:id="rId121" ref="A128"/>
    <hyperlink r:id="rId122" ref="A129"/>
    <hyperlink r:id="rId123" ref="A130"/>
    <hyperlink r:id="rId124" ref="A131"/>
    <hyperlink r:id="rId125" ref="A132"/>
    <hyperlink r:id="rId126" ref="A133"/>
    <hyperlink r:id="rId127" ref="A134"/>
    <hyperlink r:id="rId128" ref="A135"/>
    <hyperlink r:id="rId129" ref="A136"/>
    <hyperlink r:id="rId130" ref="A137"/>
    <hyperlink r:id="rId131" ref="A138"/>
    <hyperlink r:id="rId132" ref="A139"/>
    <hyperlink r:id="rId133" ref="A140"/>
    <hyperlink r:id="rId134" ref="A141"/>
    <hyperlink r:id="rId135" ref="A142"/>
    <hyperlink r:id="rId136" ref="A143"/>
    <hyperlink r:id="rId137" ref="A144"/>
    <hyperlink r:id="rId138" ref="A145"/>
    <hyperlink r:id="rId139" ref="A146"/>
    <hyperlink r:id="rId140" ref="A147"/>
    <hyperlink r:id="rId141" ref="A148"/>
    <hyperlink r:id="rId142" ref="A149"/>
    <hyperlink r:id="rId143" ref="A150"/>
    <hyperlink r:id="rId144" ref="A151"/>
    <hyperlink r:id="rId145" ref="A152"/>
    <hyperlink r:id="rId146" ref="A153"/>
    <hyperlink r:id="rId147" ref="A154"/>
    <hyperlink r:id="rId148" ref="A155"/>
    <hyperlink r:id="rId149" ref="A156"/>
    <hyperlink r:id="rId150" ref="A157"/>
    <hyperlink r:id="rId151" ref="A158"/>
    <hyperlink r:id="rId152" ref="A159"/>
    <hyperlink r:id="rId153" ref="A160"/>
    <hyperlink r:id="rId154" ref="A161"/>
    <hyperlink r:id="rId155" ref="A162"/>
    <hyperlink r:id="rId156" ref="A163"/>
    <hyperlink r:id="rId157" ref="A164"/>
    <hyperlink r:id="rId158" ref="A165"/>
    <hyperlink r:id="rId159" ref="A166"/>
    <hyperlink r:id="rId160" ref="A167"/>
    <hyperlink r:id="rId161" ref="A168"/>
    <hyperlink r:id="rId162" ref="A169"/>
    <hyperlink r:id="rId163" ref="A170"/>
    <hyperlink r:id="rId164" ref="A171"/>
    <hyperlink r:id="rId165" ref="A172"/>
    <hyperlink r:id="rId166" ref="A173"/>
    <hyperlink r:id="rId167" ref="A174"/>
    <hyperlink r:id="rId168" ref="A175"/>
    <hyperlink r:id="rId169" ref="A176"/>
    <hyperlink r:id="rId170" ref="A177"/>
    <hyperlink r:id="rId171" ref="A178"/>
    <hyperlink r:id="rId172" ref="A179"/>
    <hyperlink r:id="rId173" ref="A180"/>
    <hyperlink r:id="rId174" ref="A181"/>
    <hyperlink r:id="rId175" ref="A182"/>
    <hyperlink r:id="rId176" ref="A183"/>
    <hyperlink r:id="rId177" ref="A184"/>
    <hyperlink r:id="rId178" ref="A185"/>
    <hyperlink r:id="rId179" ref="A186"/>
    <hyperlink r:id="rId180" ref="A187"/>
    <hyperlink r:id="rId181" ref="A188"/>
    <hyperlink r:id="rId182" ref="A189"/>
    <hyperlink r:id="rId183" ref="A190"/>
    <hyperlink r:id="rId184" ref="A191"/>
    <hyperlink r:id="rId185" ref="A192"/>
    <hyperlink r:id="rId186" ref="A193"/>
    <hyperlink r:id="rId187" ref="A194"/>
    <hyperlink r:id="rId188" ref="A195"/>
    <hyperlink r:id="rId189" ref="A196"/>
    <hyperlink r:id="rId190" ref="A197"/>
    <hyperlink r:id="rId191" ref="A198"/>
    <hyperlink r:id="rId192" ref="A199"/>
    <hyperlink r:id="rId193" ref="A200"/>
    <hyperlink r:id="rId194" ref="A201"/>
    <hyperlink r:id="rId195" ref="A202"/>
    <hyperlink r:id="rId196" ref="A203"/>
    <hyperlink r:id="rId197" ref="A204"/>
    <hyperlink r:id="rId198" ref="A205"/>
    <hyperlink r:id="rId199" ref="A206"/>
    <hyperlink r:id="rId200" ref="A207"/>
    <hyperlink r:id="rId201" ref="A208"/>
    <hyperlink r:id="rId202" ref="A209"/>
    <hyperlink r:id="rId203" ref="A210"/>
    <hyperlink r:id="rId204" ref="A211"/>
    <hyperlink r:id="rId205" ref="A212"/>
    <hyperlink r:id="rId206" ref="A213"/>
    <hyperlink r:id="rId207" ref="A214"/>
    <hyperlink r:id="rId208" ref="A215"/>
    <hyperlink r:id="rId209" ref="A216"/>
    <hyperlink r:id="rId210" ref="A217"/>
    <hyperlink r:id="rId211" ref="A218"/>
    <hyperlink r:id="rId212" ref="A219"/>
    <hyperlink r:id="rId213" ref="A220"/>
    <hyperlink r:id="rId214" ref="A221"/>
    <hyperlink r:id="rId215" ref="A222"/>
    <hyperlink r:id="rId216" ref="A223"/>
    <hyperlink r:id="rId217" ref="A224"/>
    <hyperlink r:id="rId218" ref="A225"/>
    <hyperlink r:id="rId219" ref="A226"/>
    <hyperlink r:id="rId220" ref="A227"/>
    <hyperlink r:id="rId221" ref="A228"/>
    <hyperlink r:id="rId222" ref="A229"/>
    <hyperlink r:id="rId223" ref="A230"/>
    <hyperlink r:id="rId224" ref="A231"/>
    <hyperlink r:id="rId225" ref="A232"/>
    <hyperlink r:id="rId226" ref="A233"/>
    <hyperlink r:id="rId227" ref="A234"/>
    <hyperlink r:id="rId228" ref="A235"/>
    <hyperlink r:id="rId229" ref="A236"/>
    <hyperlink r:id="rId230" ref="A237"/>
    <hyperlink r:id="rId231" ref="A238"/>
    <hyperlink r:id="rId232" ref="A239"/>
    <hyperlink r:id="rId233" ref="A240"/>
    <hyperlink r:id="rId234" ref="A241"/>
    <hyperlink r:id="rId235" ref="A242"/>
    <hyperlink r:id="rId236" ref="A243"/>
    <hyperlink r:id="rId237" ref="A244"/>
    <hyperlink r:id="rId238" ref="A245"/>
    <hyperlink r:id="rId239" ref="A246"/>
    <hyperlink r:id="rId240" ref="A247"/>
    <hyperlink r:id="rId241" ref="A248"/>
    <hyperlink r:id="rId242" ref="A249"/>
    <hyperlink r:id="rId243" ref="A250"/>
    <hyperlink r:id="rId244" ref="A251"/>
    <hyperlink r:id="rId245" ref="A252"/>
    <hyperlink r:id="rId246" ref="A253"/>
    <hyperlink r:id="rId247" ref="A254"/>
    <hyperlink r:id="rId248" ref="A255"/>
    <hyperlink r:id="rId249" ref="A256"/>
    <hyperlink r:id="rId250" ref="A257"/>
    <hyperlink r:id="rId251" ref="A258"/>
    <hyperlink r:id="rId252" ref="A259"/>
    <hyperlink r:id="rId253" ref="A260"/>
    <hyperlink r:id="rId254" ref="A261"/>
    <hyperlink r:id="rId255" ref="A262"/>
    <hyperlink r:id="rId256" ref="A263"/>
    <hyperlink r:id="rId257" ref="A264"/>
    <hyperlink r:id="rId258" ref="A265"/>
    <hyperlink r:id="rId259" ref="A266"/>
    <hyperlink r:id="rId260" ref="A267"/>
    <hyperlink r:id="rId261" ref="A268"/>
    <hyperlink r:id="rId262" ref="A269"/>
    <hyperlink r:id="rId263" ref="A270"/>
    <hyperlink r:id="rId264" ref="A271"/>
    <hyperlink r:id="rId265" ref="A272"/>
    <hyperlink r:id="rId266" ref="A273"/>
    <hyperlink r:id="rId267" ref="A274"/>
    <hyperlink r:id="rId268" ref="A275"/>
    <hyperlink r:id="rId269" ref="A276"/>
    <hyperlink r:id="rId270" ref="A277"/>
    <hyperlink r:id="rId271" ref="A278"/>
    <hyperlink r:id="rId272" ref="A279"/>
    <hyperlink r:id="rId273" ref="A280"/>
    <hyperlink r:id="rId274" ref="A281"/>
    <hyperlink r:id="rId275" ref="A282"/>
    <hyperlink r:id="rId276" ref="A283"/>
    <hyperlink r:id="rId277" ref="A284"/>
    <hyperlink r:id="rId278" ref="A285"/>
    <hyperlink r:id="rId279" ref="A286"/>
    <hyperlink r:id="rId280" ref="A287"/>
    <hyperlink r:id="rId281" ref="A288"/>
    <hyperlink r:id="rId282" ref="A289"/>
    <hyperlink r:id="rId283" ref="A290"/>
    <hyperlink r:id="rId284" ref="A291"/>
    <hyperlink r:id="rId285" ref="A292"/>
    <hyperlink r:id="rId286" ref="A293"/>
    <hyperlink r:id="rId287" ref="A294"/>
    <hyperlink r:id="rId288" ref="A295"/>
    <hyperlink r:id="rId289" ref="A296"/>
    <hyperlink r:id="rId290" ref="A297"/>
    <hyperlink r:id="rId291" ref="A298"/>
    <hyperlink r:id="rId292" ref="A299"/>
    <hyperlink r:id="rId293" ref="A300"/>
    <hyperlink r:id="rId294" ref="A301"/>
    <hyperlink r:id="rId295" ref="A302"/>
    <hyperlink r:id="rId296" ref="A303"/>
    <hyperlink r:id="rId297" ref="A304"/>
    <hyperlink r:id="rId298" ref="A305"/>
    <hyperlink r:id="rId299" ref="A306"/>
    <hyperlink r:id="rId300" ref="A307"/>
    <hyperlink r:id="rId301" ref="A308"/>
    <hyperlink r:id="rId302" ref="A309"/>
    <hyperlink r:id="rId303" ref="A310"/>
    <hyperlink r:id="rId304" ref="A311"/>
    <hyperlink r:id="rId305" ref="A312"/>
    <hyperlink r:id="rId306" ref="A313"/>
    <hyperlink r:id="rId307" ref="A314"/>
    <hyperlink r:id="rId308" ref="A315"/>
    <hyperlink r:id="rId309" ref="A316"/>
    <hyperlink r:id="rId310" ref="A317"/>
    <hyperlink r:id="rId311" ref="A318"/>
    <hyperlink r:id="rId312" ref="A319"/>
    <hyperlink r:id="rId313" ref="A320"/>
    <hyperlink r:id="rId314" ref="A321"/>
    <hyperlink r:id="rId315" ref="A322"/>
    <hyperlink r:id="rId316" ref="A323"/>
    <hyperlink r:id="rId317" ref="A324"/>
    <hyperlink r:id="rId318" ref="A325"/>
    <hyperlink r:id="rId319" ref="A326"/>
    <hyperlink r:id="rId320" ref="A327"/>
    <hyperlink r:id="rId321" ref="A328"/>
    <hyperlink r:id="rId322" ref="A329"/>
    <hyperlink r:id="rId323" ref="A330"/>
    <hyperlink r:id="rId324" ref="A331"/>
    <hyperlink r:id="rId325" ref="A332"/>
    <hyperlink r:id="rId326" ref="A333"/>
    <hyperlink r:id="rId327" ref="A334"/>
    <hyperlink r:id="rId328" ref="A335"/>
    <hyperlink r:id="rId329" ref="A336"/>
    <hyperlink r:id="rId330" ref="A337"/>
    <hyperlink r:id="rId331" ref="A338"/>
    <hyperlink r:id="rId332" ref="A339"/>
    <hyperlink r:id="rId333" ref="A340"/>
    <hyperlink r:id="rId334" ref="A341"/>
    <hyperlink r:id="rId335" ref="A342"/>
    <hyperlink r:id="rId336" ref="A343"/>
    <hyperlink r:id="rId337" ref="A344"/>
    <hyperlink r:id="rId338" ref="A345"/>
    <hyperlink r:id="rId339" ref="A346"/>
    <hyperlink r:id="rId340" ref="A347"/>
    <hyperlink r:id="rId341" ref="A348"/>
    <hyperlink r:id="rId342" ref="A349"/>
    <hyperlink r:id="rId343" ref="A350"/>
    <hyperlink r:id="rId344" ref="A351"/>
    <hyperlink r:id="rId345" ref="A352"/>
    <hyperlink r:id="rId346" ref="A353"/>
    <hyperlink r:id="rId347" ref="A354"/>
    <hyperlink r:id="rId348" ref="A355"/>
    <hyperlink r:id="rId349" ref="A356"/>
    <hyperlink r:id="rId350" ref="A357"/>
    <hyperlink r:id="rId351" ref="A358"/>
    <hyperlink r:id="rId352" ref="A359"/>
    <hyperlink r:id="rId353" ref="A360"/>
    <hyperlink r:id="rId354" ref="A361"/>
    <hyperlink r:id="rId355" ref="A362"/>
    <hyperlink r:id="rId356" ref="A363"/>
    <hyperlink r:id="rId357" ref="A364"/>
    <hyperlink r:id="rId358" ref="A365"/>
    <hyperlink r:id="rId359" ref="A366"/>
    <hyperlink r:id="rId360" ref="A367"/>
    <hyperlink r:id="rId361" ref="A368"/>
    <hyperlink r:id="rId362" ref="A369"/>
    <hyperlink r:id="rId363" ref="A370"/>
    <hyperlink r:id="rId364" ref="A371"/>
    <hyperlink r:id="rId365" ref="A372"/>
    <hyperlink r:id="rId366" ref="A373"/>
    <hyperlink r:id="rId367" ref="A374"/>
    <hyperlink r:id="rId368" ref="A375"/>
    <hyperlink r:id="rId369" ref="A376"/>
    <hyperlink r:id="rId370" ref="A377"/>
    <hyperlink r:id="rId371" ref="A378"/>
    <hyperlink r:id="rId372" ref="A379"/>
    <hyperlink r:id="rId373" ref="A380"/>
    <hyperlink r:id="rId374" ref="A381"/>
    <hyperlink r:id="rId375" ref="A382"/>
    <hyperlink r:id="rId376" ref="A383"/>
    <hyperlink r:id="rId377" ref="A384"/>
    <hyperlink r:id="rId378" ref="A385"/>
    <hyperlink r:id="rId379" ref="A386"/>
    <hyperlink r:id="rId380" ref="A387"/>
    <hyperlink r:id="rId381" ref="A388"/>
    <hyperlink r:id="rId382" ref="A389"/>
    <hyperlink r:id="rId383" ref="A390"/>
    <hyperlink r:id="rId384" ref="A391"/>
    <hyperlink r:id="rId385" ref="A392"/>
    <hyperlink r:id="rId386" ref="A393"/>
    <hyperlink r:id="rId387" ref="A394"/>
    <hyperlink r:id="rId388" ref="A395"/>
    <hyperlink r:id="rId389" ref="A396"/>
    <hyperlink r:id="rId390" ref="A397"/>
    <hyperlink r:id="rId391" ref="A398"/>
    <hyperlink r:id="rId392" ref="A399"/>
    <hyperlink r:id="rId393" ref="A400"/>
    <hyperlink r:id="rId394" ref="A401"/>
    <hyperlink r:id="rId395" ref="A402"/>
    <hyperlink r:id="rId396" ref="A403"/>
    <hyperlink r:id="rId397" ref="A404"/>
    <hyperlink r:id="rId398" ref="A405"/>
    <hyperlink r:id="rId399" ref="A406"/>
    <hyperlink r:id="rId400" ref="A407"/>
    <hyperlink r:id="rId401" ref="A408"/>
    <hyperlink r:id="rId402" ref="A409"/>
    <hyperlink r:id="rId403" ref="A410"/>
    <hyperlink r:id="rId404" ref="A411"/>
    <hyperlink r:id="rId405" ref="A412"/>
    <hyperlink r:id="rId406" ref="A413"/>
    <hyperlink r:id="rId407" ref="A414"/>
    <hyperlink r:id="rId408" ref="A415"/>
    <hyperlink r:id="rId409" ref="A416"/>
    <hyperlink r:id="rId410" ref="A417"/>
    <hyperlink r:id="rId411" ref="A418"/>
    <hyperlink r:id="rId412" ref="A419"/>
    <hyperlink r:id="rId413" ref="A420"/>
    <hyperlink r:id="rId414" ref="A421"/>
    <hyperlink r:id="rId415" ref="A422"/>
    <hyperlink r:id="rId416" ref="A423"/>
    <hyperlink r:id="rId417" ref="A424"/>
    <hyperlink r:id="rId418" ref="A425"/>
    <hyperlink r:id="rId419" ref="A426"/>
    <hyperlink r:id="rId420" ref="A427"/>
    <hyperlink r:id="rId421" ref="A428"/>
    <hyperlink r:id="rId422" ref="A429"/>
    <hyperlink r:id="rId423" ref="A430"/>
    <hyperlink r:id="rId424" ref="A431"/>
    <hyperlink r:id="rId425" ref="A432"/>
    <hyperlink r:id="rId426" ref="A433"/>
    <hyperlink r:id="rId427" ref="A434"/>
    <hyperlink r:id="rId428" ref="A435"/>
    <hyperlink r:id="rId429" ref="A436"/>
    <hyperlink r:id="rId430" ref="A437"/>
    <hyperlink r:id="rId431" ref="A438"/>
    <hyperlink r:id="rId432" ref="A439"/>
    <hyperlink r:id="rId433" ref="A440"/>
    <hyperlink r:id="rId434" ref="A441"/>
    <hyperlink r:id="rId435" ref="A442"/>
    <hyperlink r:id="rId436" ref="A443"/>
    <hyperlink r:id="rId437" ref="A444"/>
    <hyperlink r:id="rId438" ref="A445"/>
    <hyperlink r:id="rId439" ref="A446"/>
    <hyperlink r:id="rId440" ref="A447"/>
    <hyperlink r:id="rId441" ref="A448"/>
    <hyperlink r:id="rId442" ref="A449"/>
    <hyperlink r:id="rId443" ref="A450"/>
    <hyperlink r:id="rId444" ref="A451"/>
    <hyperlink r:id="rId445" ref="A452"/>
    <hyperlink r:id="rId446" ref="A453"/>
    <hyperlink r:id="rId447" ref="A454"/>
    <hyperlink r:id="rId448" ref="A455"/>
    <hyperlink r:id="rId449" ref="A456"/>
    <hyperlink r:id="rId450" ref="A457"/>
    <hyperlink r:id="rId451" ref="A458"/>
    <hyperlink r:id="rId452" ref="A459"/>
    <hyperlink r:id="rId453" ref="A460"/>
    <hyperlink r:id="rId454" ref="A461"/>
    <hyperlink r:id="rId455" ref="A462"/>
    <hyperlink r:id="rId456" ref="A463"/>
    <hyperlink r:id="rId457" ref="A464"/>
    <hyperlink r:id="rId458" ref="A465"/>
    <hyperlink r:id="rId459" ref="A466"/>
    <hyperlink r:id="rId460" ref="A467"/>
    <hyperlink r:id="rId461" ref="A468"/>
    <hyperlink r:id="rId462" ref="A469"/>
    <hyperlink r:id="rId463" ref="A470"/>
    <hyperlink r:id="rId464" ref="A471"/>
    <hyperlink r:id="rId465" ref="A472"/>
    <hyperlink r:id="rId466" ref="A473"/>
    <hyperlink r:id="rId467" ref="A474"/>
    <hyperlink r:id="rId468" ref="A475"/>
    <hyperlink r:id="rId469" ref="A476"/>
    <hyperlink r:id="rId470" ref="A477"/>
    <hyperlink r:id="rId471" ref="A478"/>
    <hyperlink r:id="rId472" ref="A479"/>
    <hyperlink r:id="rId473" ref="A480"/>
    <hyperlink r:id="rId474" ref="A481"/>
    <hyperlink r:id="rId475" ref="A482"/>
    <hyperlink r:id="rId476" ref="A483"/>
    <hyperlink r:id="rId477" ref="A484"/>
    <hyperlink r:id="rId478" ref="A485"/>
    <hyperlink r:id="rId479" ref="A486"/>
    <hyperlink r:id="rId480" ref="A487"/>
    <hyperlink r:id="rId481" ref="A488"/>
    <hyperlink r:id="rId482" ref="A489"/>
    <hyperlink r:id="rId483" ref="A490"/>
    <hyperlink r:id="rId484" ref="A491"/>
    <hyperlink r:id="rId485" ref="A492"/>
    <hyperlink r:id="rId486" ref="A493"/>
    <hyperlink r:id="rId487" ref="A497"/>
    <hyperlink r:id="rId488" ref="A498"/>
    <hyperlink r:id="rId489" ref="A499"/>
    <hyperlink r:id="rId490" ref="A500"/>
    <hyperlink r:id="rId491" ref="A501"/>
    <hyperlink r:id="rId492" ref="A502"/>
    <hyperlink r:id="rId493" ref="A503"/>
    <hyperlink r:id="rId494" ref="A504"/>
    <hyperlink r:id="rId495" ref="A505"/>
    <hyperlink r:id="rId496" ref="A506"/>
    <hyperlink r:id="rId497" ref="A507"/>
    <hyperlink r:id="rId498" ref="A508"/>
    <hyperlink r:id="rId499" ref="A509"/>
    <hyperlink r:id="rId500" ref="A510"/>
    <hyperlink r:id="rId501" ref="A511"/>
    <hyperlink r:id="rId502" ref="A512"/>
    <hyperlink r:id="rId503" ref="A513"/>
    <hyperlink r:id="rId504" ref="A515"/>
    <hyperlink r:id="rId505" ref="A516"/>
    <hyperlink r:id="rId506" ref="A517"/>
    <hyperlink r:id="rId507" ref="A518"/>
    <hyperlink r:id="rId508" ref="A519"/>
    <hyperlink r:id="rId509" ref="A520"/>
    <hyperlink r:id="rId510" ref="A521"/>
    <hyperlink r:id="rId511" ref="A522"/>
    <hyperlink r:id="rId512" ref="A523"/>
    <hyperlink r:id="rId513" ref="A524"/>
    <hyperlink r:id="rId514" ref="A525"/>
    <hyperlink r:id="rId515" ref="A526"/>
    <hyperlink r:id="rId516" ref="A527"/>
    <hyperlink r:id="rId517" ref="A528"/>
    <hyperlink r:id="rId518" ref="A529"/>
    <hyperlink r:id="rId519" ref="A530"/>
    <hyperlink r:id="rId520" ref="A531"/>
    <hyperlink r:id="rId521" ref="A532"/>
    <hyperlink r:id="rId522" ref="A533"/>
    <hyperlink r:id="rId523" ref="A534"/>
    <hyperlink r:id="rId524" ref="A535"/>
    <hyperlink r:id="rId525" ref="A536"/>
    <hyperlink r:id="rId526" ref="A537"/>
    <hyperlink r:id="rId527" ref="A538"/>
    <hyperlink r:id="rId528" ref="A539"/>
    <hyperlink r:id="rId529" ref="A540"/>
    <hyperlink r:id="rId530" ref="A541"/>
    <hyperlink r:id="rId531" ref="A542"/>
    <hyperlink r:id="rId532" ref="A543"/>
    <hyperlink r:id="rId533" ref="A544"/>
    <hyperlink r:id="rId534" ref="A545"/>
    <hyperlink r:id="rId535" ref="A546"/>
    <hyperlink r:id="rId536" ref="A547"/>
    <hyperlink r:id="rId537" ref="A548"/>
    <hyperlink r:id="rId538" ref="A549"/>
    <hyperlink r:id="rId539" ref="A550"/>
    <hyperlink r:id="rId540" ref="A551"/>
    <hyperlink r:id="rId541" ref="A552"/>
    <hyperlink r:id="rId542" ref="A553"/>
    <hyperlink r:id="rId543" ref="A554"/>
    <hyperlink r:id="rId544" ref="A555"/>
    <hyperlink r:id="rId545" ref="A556"/>
    <hyperlink r:id="rId546" ref="A557"/>
    <hyperlink r:id="rId547" ref="A558"/>
    <hyperlink r:id="rId548" ref="A560"/>
    <hyperlink r:id="rId549" ref="A561"/>
    <hyperlink r:id="rId550" ref="A562"/>
    <hyperlink r:id="rId551" ref="A563"/>
    <hyperlink r:id="rId552" ref="A564"/>
    <hyperlink r:id="rId553" ref="A565"/>
    <hyperlink r:id="rId554" ref="A566"/>
    <hyperlink r:id="rId555" ref="A567"/>
    <hyperlink r:id="rId556" ref="A568"/>
    <hyperlink r:id="rId557" ref="A569"/>
    <hyperlink r:id="rId558" ref="A570"/>
    <hyperlink r:id="rId559" ref="A571"/>
    <hyperlink r:id="rId560" ref="A572"/>
    <hyperlink r:id="rId561" ref="A573"/>
    <hyperlink r:id="rId562" ref="A574"/>
    <hyperlink r:id="rId563" ref="A575"/>
    <hyperlink r:id="rId564" ref="A576"/>
    <hyperlink r:id="rId565" ref="A577"/>
    <hyperlink r:id="rId566" ref="A579"/>
    <hyperlink r:id="rId567" ref="A580"/>
    <hyperlink r:id="rId568" ref="A581"/>
    <hyperlink r:id="rId569" ref="A587"/>
    <hyperlink r:id="rId570" ref="A588"/>
    <hyperlink r:id="rId571" ref="A589"/>
    <hyperlink r:id="rId572" ref="A590"/>
    <hyperlink r:id="rId573" ref="A591"/>
    <hyperlink r:id="rId574" ref="A592"/>
    <hyperlink r:id="rId575" ref="A593"/>
    <hyperlink r:id="rId576" ref="A594"/>
    <hyperlink r:id="rId577" ref="A595"/>
    <hyperlink r:id="rId578" ref="A596"/>
    <hyperlink r:id="rId579" ref="A597"/>
    <hyperlink r:id="rId580" ref="A598"/>
    <hyperlink r:id="rId581" ref="A599"/>
    <hyperlink r:id="rId582" ref="A600"/>
    <hyperlink r:id="rId583" ref="A601"/>
    <hyperlink r:id="rId584" ref="A602"/>
    <hyperlink r:id="rId585" ref="A603"/>
    <hyperlink r:id="rId586" ref="A604"/>
    <hyperlink r:id="rId587" ref="A605"/>
    <hyperlink r:id="rId588" ref="A606"/>
    <hyperlink r:id="rId589" ref="A607"/>
    <hyperlink r:id="rId590" ref="A608"/>
    <hyperlink r:id="rId591" ref="A609"/>
    <hyperlink r:id="rId592" ref="A610"/>
    <hyperlink r:id="rId593" ref="A611"/>
    <hyperlink r:id="rId594" ref="A612"/>
    <hyperlink r:id="rId595" ref="A613"/>
    <hyperlink r:id="rId596" ref="A614"/>
    <hyperlink r:id="rId597" ref="A615"/>
    <hyperlink r:id="rId598" ref="A616"/>
    <hyperlink r:id="rId599" ref="A617"/>
    <hyperlink r:id="rId600" ref="A618"/>
    <hyperlink r:id="rId601" ref="A619"/>
    <hyperlink r:id="rId602" ref="A620"/>
    <hyperlink r:id="rId603" ref="A621"/>
    <hyperlink r:id="rId604" ref="A622"/>
    <hyperlink r:id="rId605" ref="A623"/>
    <hyperlink r:id="rId606" ref="A624"/>
    <hyperlink r:id="rId607" ref="A625"/>
    <hyperlink r:id="rId608" ref="A626"/>
    <hyperlink r:id="rId609" ref="A627"/>
    <hyperlink r:id="rId610" ref="A629"/>
    <hyperlink r:id="rId611" ref="A630"/>
    <hyperlink r:id="rId612" ref="A631"/>
    <hyperlink r:id="rId613" ref="A632"/>
    <hyperlink r:id="rId614" ref="A633"/>
    <hyperlink r:id="rId615" ref="A634"/>
    <hyperlink r:id="rId616" ref="A635"/>
    <hyperlink r:id="rId617" ref="A636"/>
    <hyperlink r:id="rId618" ref="A637"/>
    <hyperlink r:id="rId619" ref="A638"/>
    <hyperlink r:id="rId620" ref="A639"/>
    <hyperlink r:id="rId621" ref="A640"/>
    <hyperlink r:id="rId622" ref="A641"/>
    <hyperlink r:id="rId623" ref="A642"/>
    <hyperlink r:id="rId624" ref="A643"/>
    <hyperlink r:id="rId625" ref="A644"/>
    <hyperlink r:id="rId626" ref="A645"/>
    <hyperlink r:id="rId627" ref="A646"/>
    <hyperlink r:id="rId628" ref="A647"/>
    <hyperlink r:id="rId629" ref="A648"/>
    <hyperlink r:id="rId630" ref="A649"/>
    <hyperlink r:id="rId631" ref="A650"/>
    <hyperlink r:id="rId632" ref="A651"/>
    <hyperlink r:id="rId633" ref="A652"/>
    <hyperlink r:id="rId634" ref="A653"/>
    <hyperlink r:id="rId635" ref="A654"/>
    <hyperlink r:id="rId636" ref="A655"/>
    <hyperlink r:id="rId637" ref="A656"/>
    <hyperlink r:id="rId638" ref="A657"/>
    <hyperlink r:id="rId639" ref="A658"/>
    <hyperlink r:id="rId640" ref="A659"/>
    <hyperlink r:id="rId641" ref="A660"/>
    <hyperlink r:id="rId642" ref="A661"/>
    <hyperlink r:id="rId643" ref="A662"/>
    <hyperlink r:id="rId644" ref="A663"/>
    <hyperlink r:id="rId645" ref="A664"/>
    <hyperlink r:id="rId646" ref="A665"/>
    <hyperlink r:id="rId647" ref="A666"/>
    <hyperlink r:id="rId648" ref="A667"/>
    <hyperlink r:id="rId649" ref="A668"/>
    <hyperlink r:id="rId650" ref="A669"/>
    <hyperlink r:id="rId651" ref="A670"/>
    <hyperlink r:id="rId652" ref="A671"/>
    <hyperlink r:id="rId653" ref="A672"/>
    <hyperlink r:id="rId654" ref="A673"/>
    <hyperlink r:id="rId655" ref="A674"/>
    <hyperlink r:id="rId656" ref="A675"/>
    <hyperlink r:id="rId657" ref="A676"/>
    <hyperlink r:id="rId658" ref="A677"/>
    <hyperlink r:id="rId659" ref="A678"/>
    <hyperlink r:id="rId660" ref="A679"/>
    <hyperlink r:id="rId661" ref="A680"/>
    <hyperlink r:id="rId662" ref="A681"/>
    <hyperlink r:id="rId663" ref="A682"/>
    <hyperlink r:id="rId664" ref="A683"/>
    <hyperlink r:id="rId665" ref="A684"/>
    <hyperlink r:id="rId666" ref="A685"/>
    <hyperlink r:id="rId667" ref="A686"/>
    <hyperlink r:id="rId668" ref="A687"/>
    <hyperlink r:id="rId669" ref="A688"/>
    <hyperlink r:id="rId670" ref="A689"/>
    <hyperlink r:id="rId671" ref="A690"/>
    <hyperlink r:id="rId672" ref="A691"/>
    <hyperlink r:id="rId673" ref="A692"/>
    <hyperlink r:id="rId674" ref="A693"/>
    <hyperlink r:id="rId675" ref="A694"/>
    <hyperlink r:id="rId676" ref="A695"/>
    <hyperlink r:id="rId677" ref="A696"/>
    <hyperlink r:id="rId678" ref="A697"/>
    <hyperlink r:id="rId679" ref="A698"/>
    <hyperlink r:id="rId680" ref="A699"/>
    <hyperlink r:id="rId681" ref="A700"/>
    <hyperlink r:id="rId682" ref="A701"/>
    <hyperlink r:id="rId683" ref="A702"/>
    <hyperlink r:id="rId684" ref="A703"/>
    <hyperlink r:id="rId685" ref="A704"/>
    <hyperlink r:id="rId686" ref="A705"/>
    <hyperlink r:id="rId687" ref="A706"/>
    <hyperlink r:id="rId688" ref="A707"/>
    <hyperlink r:id="rId689" ref="A708"/>
    <hyperlink r:id="rId690" ref="A709"/>
    <hyperlink r:id="rId691" ref="A710"/>
    <hyperlink r:id="rId692" ref="A711"/>
    <hyperlink r:id="rId693" ref="A712"/>
    <hyperlink r:id="rId694" ref="A713"/>
    <hyperlink r:id="rId695" ref="A714"/>
    <hyperlink r:id="rId696" ref="A715"/>
    <hyperlink r:id="rId697" ref="A716"/>
    <hyperlink r:id="rId698" ref="A717"/>
    <hyperlink r:id="rId699" ref="A718"/>
    <hyperlink r:id="rId700" ref="A719"/>
    <hyperlink r:id="rId701" ref="A720"/>
    <hyperlink r:id="rId702" ref="A721"/>
    <hyperlink r:id="rId703" ref="A722"/>
    <hyperlink r:id="rId704" ref="A723"/>
    <hyperlink r:id="rId705" ref="A724"/>
    <hyperlink r:id="rId706" ref="A725"/>
    <hyperlink r:id="rId707" ref="A726"/>
    <hyperlink r:id="rId708" ref="A727"/>
    <hyperlink r:id="rId709" ref="A728"/>
    <hyperlink r:id="rId710" ref="A729"/>
    <hyperlink r:id="rId711" ref="A730"/>
    <hyperlink r:id="rId712" ref="A731"/>
    <hyperlink r:id="rId713" ref="A732"/>
    <hyperlink r:id="rId714" ref="A733"/>
    <hyperlink r:id="rId715" ref="A734"/>
    <hyperlink r:id="rId716" ref="A735"/>
    <hyperlink r:id="rId717" ref="A736"/>
    <hyperlink r:id="rId718" ref="A737"/>
    <hyperlink r:id="rId719" ref="A738"/>
    <hyperlink r:id="rId720" ref="A739"/>
    <hyperlink r:id="rId721" ref="A740"/>
    <hyperlink r:id="rId722" ref="A741"/>
    <hyperlink r:id="rId723" ref="A742"/>
    <hyperlink r:id="rId724" ref="A743"/>
    <hyperlink r:id="rId725" ref="A744"/>
    <hyperlink r:id="rId726" ref="A745"/>
    <hyperlink r:id="rId727" ref="A746"/>
    <hyperlink r:id="rId728" ref="A747"/>
    <hyperlink r:id="rId729" ref="A748"/>
    <hyperlink r:id="rId730" ref="A749"/>
    <hyperlink r:id="rId731" ref="A750"/>
    <hyperlink r:id="rId732" ref="A751"/>
    <hyperlink r:id="rId733" ref="A752"/>
    <hyperlink r:id="rId734" ref="A753"/>
    <hyperlink r:id="rId735" ref="A754"/>
    <hyperlink r:id="rId736" ref="A755"/>
    <hyperlink r:id="rId737" ref="A756"/>
    <hyperlink r:id="rId738" ref="A757"/>
    <hyperlink r:id="rId739" ref="A758"/>
    <hyperlink r:id="rId740" ref="A759"/>
    <hyperlink r:id="rId741" ref="A760"/>
    <hyperlink r:id="rId742" ref="A761"/>
    <hyperlink r:id="rId743" ref="A762"/>
    <hyperlink r:id="rId744" ref="A763"/>
    <hyperlink r:id="rId745" ref="A764"/>
    <hyperlink r:id="rId746" ref="A765"/>
    <hyperlink r:id="rId747" ref="A766"/>
    <hyperlink r:id="rId748" ref="A767"/>
    <hyperlink r:id="rId749" ref="A768"/>
    <hyperlink r:id="rId750" ref="A769"/>
    <hyperlink r:id="rId751" ref="A770"/>
    <hyperlink r:id="rId752" ref="A771"/>
    <hyperlink r:id="rId753" ref="A772"/>
    <hyperlink r:id="rId754" ref="A773"/>
    <hyperlink r:id="rId755" ref="A774"/>
    <hyperlink r:id="rId756" ref="A775"/>
    <hyperlink r:id="rId757" ref="A776"/>
    <hyperlink r:id="rId758" ref="A777"/>
    <hyperlink r:id="rId759" ref="A778"/>
    <hyperlink r:id="rId760" ref="A779"/>
    <hyperlink r:id="rId761" ref="A780"/>
    <hyperlink r:id="rId762" ref="A781"/>
    <hyperlink r:id="rId763" ref="A782"/>
    <hyperlink r:id="rId764" ref="A783"/>
    <hyperlink r:id="rId765" ref="A784"/>
    <hyperlink r:id="rId766" ref="A785"/>
    <hyperlink r:id="rId767" ref="A786"/>
    <hyperlink r:id="rId768" ref="A787"/>
    <hyperlink r:id="rId769" ref="A788"/>
    <hyperlink r:id="rId770" ref="A789"/>
    <hyperlink r:id="rId771" ref="A790"/>
    <hyperlink r:id="rId772" ref="A791"/>
    <hyperlink r:id="rId773" ref="A792"/>
    <hyperlink r:id="rId774" ref="A793"/>
    <hyperlink r:id="rId775" ref="A794"/>
    <hyperlink r:id="rId776" ref="A795"/>
    <hyperlink r:id="rId777" ref="A796"/>
    <hyperlink r:id="rId778" ref="A797"/>
    <hyperlink r:id="rId779" ref="A798"/>
    <hyperlink r:id="rId780" ref="A799"/>
    <hyperlink r:id="rId781" ref="A800"/>
    <hyperlink r:id="rId782" ref="A801"/>
    <hyperlink r:id="rId783" ref="A802"/>
    <hyperlink r:id="rId784" ref="A803"/>
    <hyperlink r:id="rId785" ref="A804"/>
    <hyperlink r:id="rId786" ref="A805"/>
    <hyperlink r:id="rId787" ref="A806"/>
    <hyperlink r:id="rId788" ref="A807"/>
    <hyperlink r:id="rId789" ref="A808"/>
    <hyperlink r:id="rId790" ref="A809"/>
    <hyperlink r:id="rId791" ref="A810"/>
    <hyperlink r:id="rId792" ref="A811"/>
    <hyperlink r:id="rId793" ref="A812"/>
    <hyperlink r:id="rId794" ref="A813"/>
    <hyperlink r:id="rId795" ref="A814"/>
    <hyperlink r:id="rId796" ref="A815"/>
    <hyperlink r:id="rId797" ref="A816"/>
    <hyperlink r:id="rId798" ref="A817"/>
    <hyperlink r:id="rId799" ref="A818"/>
    <hyperlink r:id="rId800" ref="A819"/>
    <hyperlink r:id="rId801" ref="A820"/>
    <hyperlink r:id="rId802" ref="A821"/>
    <hyperlink r:id="rId803" ref="A822"/>
    <hyperlink r:id="rId804" ref="A823"/>
    <hyperlink r:id="rId805" ref="A824"/>
    <hyperlink r:id="rId806" ref="A825"/>
    <hyperlink r:id="rId807" ref="A826"/>
    <hyperlink r:id="rId808" ref="A827"/>
    <hyperlink r:id="rId809" ref="A828"/>
    <hyperlink r:id="rId810" ref="A829"/>
    <hyperlink r:id="rId811" ref="A830"/>
    <hyperlink r:id="rId812" ref="A831"/>
    <hyperlink r:id="rId813" ref="A832"/>
    <hyperlink r:id="rId814" ref="A833"/>
    <hyperlink r:id="rId815" ref="A834"/>
    <hyperlink r:id="rId816" ref="A835"/>
    <hyperlink r:id="rId817" ref="A836"/>
    <hyperlink r:id="rId818" ref="A837"/>
    <hyperlink r:id="rId819" ref="A838"/>
    <hyperlink r:id="rId820" ref="A839"/>
    <hyperlink r:id="rId821" ref="A840"/>
    <hyperlink r:id="rId822" ref="A841"/>
    <hyperlink r:id="rId823" ref="A842"/>
    <hyperlink r:id="rId824" ref="A843"/>
    <hyperlink r:id="rId825" ref="A844"/>
    <hyperlink r:id="rId826" ref="A845"/>
    <hyperlink r:id="rId827" ref="A846"/>
    <hyperlink r:id="rId828" ref="A847"/>
    <hyperlink r:id="rId829" ref="A848"/>
    <hyperlink r:id="rId830" ref="A849"/>
    <hyperlink r:id="rId831" ref="A850"/>
    <hyperlink r:id="rId832" ref="A851"/>
    <hyperlink r:id="rId833" ref="A852"/>
    <hyperlink r:id="rId834" ref="A853"/>
    <hyperlink r:id="rId835" ref="A854"/>
    <hyperlink r:id="rId836" ref="A855"/>
    <hyperlink r:id="rId837" ref="A856"/>
    <hyperlink r:id="rId838" ref="A857"/>
    <hyperlink r:id="rId839" ref="A858"/>
    <hyperlink r:id="rId840" ref="A859"/>
    <hyperlink r:id="rId841" ref="A860"/>
    <hyperlink r:id="rId842" ref="A861"/>
    <hyperlink r:id="rId843" ref="A862"/>
    <hyperlink r:id="rId844" ref="A863"/>
    <hyperlink r:id="rId845" ref="A864"/>
    <hyperlink r:id="rId846" ref="A865"/>
    <hyperlink r:id="rId847" ref="A866"/>
    <hyperlink r:id="rId848" ref="A867"/>
    <hyperlink r:id="rId849" ref="A868"/>
    <hyperlink r:id="rId850" ref="A869"/>
    <hyperlink r:id="rId851" ref="A870"/>
    <hyperlink r:id="rId852" ref="A871"/>
    <hyperlink r:id="rId853" ref="A872"/>
    <hyperlink r:id="rId854" ref="A873"/>
    <hyperlink r:id="rId855" ref="A874"/>
    <hyperlink r:id="rId856" ref="A875"/>
    <hyperlink r:id="rId857" ref="A876"/>
    <hyperlink r:id="rId858" ref="A877"/>
    <hyperlink r:id="rId859" ref="A878"/>
    <hyperlink r:id="rId860" ref="A879"/>
    <hyperlink r:id="rId861" ref="A880"/>
    <hyperlink r:id="rId862" ref="A881"/>
    <hyperlink r:id="rId863" ref="A882"/>
    <hyperlink r:id="rId864" ref="A883"/>
    <hyperlink r:id="rId865" ref="A884"/>
    <hyperlink r:id="rId866" ref="A885"/>
    <hyperlink r:id="rId867" ref="A886"/>
    <hyperlink r:id="rId868" ref="A887"/>
    <hyperlink r:id="rId869" ref="A888"/>
    <hyperlink r:id="rId870" ref="A889"/>
    <hyperlink r:id="rId871" ref="A890"/>
    <hyperlink r:id="rId872" ref="A891"/>
    <hyperlink r:id="rId873" ref="A892"/>
    <hyperlink r:id="rId874" ref="A893"/>
    <hyperlink r:id="rId875" ref="A894"/>
    <hyperlink r:id="rId876" ref="A895"/>
    <hyperlink r:id="rId877" ref="A896"/>
    <hyperlink r:id="rId878" ref="A897"/>
    <hyperlink r:id="rId879" ref="A898"/>
    <hyperlink r:id="rId880" ref="A899"/>
    <hyperlink r:id="rId881" ref="A900"/>
    <hyperlink r:id="rId882" ref="A901"/>
    <hyperlink r:id="rId883" ref="A902"/>
    <hyperlink r:id="rId884" ref="A903"/>
    <hyperlink r:id="rId885" ref="A904"/>
    <hyperlink r:id="rId886" ref="A905"/>
    <hyperlink r:id="rId887" ref="A906"/>
    <hyperlink r:id="rId888" ref="A907"/>
    <hyperlink r:id="rId889" ref="A908"/>
    <hyperlink r:id="rId890" ref="A909"/>
    <hyperlink r:id="rId891" ref="A910"/>
    <hyperlink r:id="rId892" ref="A911"/>
    <hyperlink r:id="rId893" ref="A912"/>
    <hyperlink r:id="rId894" ref="A913"/>
    <hyperlink r:id="rId895" ref="A914"/>
    <hyperlink r:id="rId896" ref="A915"/>
    <hyperlink r:id="rId897" ref="A916"/>
    <hyperlink r:id="rId898" ref="A917"/>
    <hyperlink r:id="rId899" ref="A918"/>
    <hyperlink r:id="rId900" ref="A919"/>
    <hyperlink r:id="rId901" ref="A920"/>
    <hyperlink r:id="rId902" ref="A921"/>
    <hyperlink r:id="rId903" ref="A922"/>
    <hyperlink r:id="rId904" ref="A923"/>
    <hyperlink r:id="rId905" ref="A924"/>
    <hyperlink r:id="rId906" ref="A925"/>
    <hyperlink r:id="rId907" ref="A926"/>
    <hyperlink r:id="rId908" ref="A927"/>
    <hyperlink r:id="rId909" ref="A928"/>
    <hyperlink r:id="rId910" ref="A929"/>
    <hyperlink r:id="rId911" ref="A930"/>
    <hyperlink r:id="rId912" ref="A931"/>
    <hyperlink r:id="rId913" ref="A932"/>
    <hyperlink r:id="rId914" ref="A933"/>
    <hyperlink r:id="rId915" ref="A934"/>
    <hyperlink r:id="rId916" ref="A935"/>
    <hyperlink r:id="rId917" ref="A936"/>
    <hyperlink r:id="rId918" ref="A937"/>
    <hyperlink r:id="rId919" ref="A938"/>
    <hyperlink r:id="rId920" ref="A939"/>
    <hyperlink r:id="rId921" ref="A940"/>
    <hyperlink r:id="rId922" ref="A941"/>
    <hyperlink r:id="rId923" ref="A942"/>
    <hyperlink r:id="rId924" ref="A943"/>
    <hyperlink r:id="rId925" ref="A944"/>
    <hyperlink r:id="rId926" ref="A945"/>
    <hyperlink r:id="rId927" ref="A946"/>
    <hyperlink r:id="rId928" ref="A947"/>
    <hyperlink r:id="rId929" ref="A948"/>
    <hyperlink r:id="rId930" ref="A949"/>
    <hyperlink r:id="rId931" ref="A950"/>
    <hyperlink r:id="rId932" ref="A951"/>
    <hyperlink r:id="rId933" ref="A952"/>
    <hyperlink r:id="rId934" ref="A953"/>
    <hyperlink r:id="rId935" ref="A954"/>
    <hyperlink r:id="rId936" ref="A955"/>
    <hyperlink r:id="rId937" ref="A956"/>
    <hyperlink r:id="rId938" ref="A957"/>
    <hyperlink r:id="rId939" ref="A958"/>
    <hyperlink r:id="rId940" ref="A959"/>
    <hyperlink r:id="rId941" ref="A960"/>
    <hyperlink r:id="rId942" ref="A961"/>
    <hyperlink r:id="rId943" ref="A962"/>
    <hyperlink r:id="rId944" ref="A963"/>
    <hyperlink r:id="rId945" ref="A964"/>
    <hyperlink r:id="rId946" ref="A965"/>
    <hyperlink r:id="rId947" ref="A966"/>
    <hyperlink r:id="rId948" ref="A967"/>
    <hyperlink r:id="rId949" ref="A968"/>
    <hyperlink r:id="rId950" ref="A969"/>
    <hyperlink r:id="rId951" ref="A970"/>
    <hyperlink r:id="rId952" ref="A971"/>
    <hyperlink r:id="rId953" ref="A972"/>
    <hyperlink r:id="rId954" ref="A973"/>
    <hyperlink r:id="rId955" ref="A974"/>
    <hyperlink r:id="rId956" ref="A975"/>
    <hyperlink r:id="rId957" ref="A976"/>
    <hyperlink r:id="rId958" ref="A977"/>
    <hyperlink r:id="rId959" ref="A978"/>
    <hyperlink r:id="rId960" ref="A979"/>
    <hyperlink r:id="rId961" ref="A980"/>
    <hyperlink r:id="rId962" ref="A981"/>
    <hyperlink r:id="rId963" ref="A982"/>
    <hyperlink r:id="rId964" ref="A983"/>
    <hyperlink r:id="rId965" ref="A984"/>
    <hyperlink r:id="rId966" ref="A985"/>
    <hyperlink r:id="rId967" ref="A986"/>
    <hyperlink r:id="rId968" ref="A987"/>
    <hyperlink r:id="rId969" ref="A988"/>
    <hyperlink r:id="rId970" ref="A989"/>
    <hyperlink r:id="rId971" ref="A990"/>
    <hyperlink r:id="rId972" ref="A991"/>
    <hyperlink r:id="rId973" ref="A992"/>
    <hyperlink r:id="rId974" ref="A993"/>
    <hyperlink r:id="rId975" ref="A994"/>
    <hyperlink r:id="rId976" ref="A995"/>
    <hyperlink r:id="rId977" ref="A996"/>
    <hyperlink r:id="rId978" ref="A997"/>
    <hyperlink r:id="rId979" ref="A998"/>
    <hyperlink r:id="rId980" ref="A999"/>
    <hyperlink r:id="rId981" ref="A1000"/>
    <hyperlink r:id="rId982" ref="A1001"/>
    <hyperlink r:id="rId983" ref="A1002"/>
    <hyperlink r:id="rId984" ref="A1003"/>
    <hyperlink r:id="rId985" ref="A1004"/>
    <hyperlink r:id="rId986" ref="A1005"/>
    <hyperlink r:id="rId987" ref="A1006"/>
    <hyperlink r:id="rId988" ref="A1007"/>
    <hyperlink r:id="rId989" ref="A1008"/>
    <hyperlink r:id="rId990" ref="A1009"/>
    <hyperlink r:id="rId991" ref="A1010"/>
    <hyperlink r:id="rId992" ref="A1011"/>
    <hyperlink r:id="rId993" ref="A1012"/>
    <hyperlink r:id="rId994" ref="A1013"/>
    <hyperlink r:id="rId995" ref="A1014"/>
    <hyperlink r:id="rId996" ref="A1015"/>
    <hyperlink r:id="rId997" ref="A1016"/>
    <hyperlink r:id="rId998" ref="A1017"/>
    <hyperlink r:id="rId999" ref="A1018"/>
    <hyperlink r:id="rId1000" ref="A1019"/>
    <hyperlink r:id="rId1001" ref="A1020"/>
    <hyperlink r:id="rId1002" ref="A1021"/>
    <hyperlink r:id="rId1003" ref="A1022"/>
    <hyperlink r:id="rId1004" ref="A1023"/>
    <hyperlink r:id="rId1005" ref="A1024"/>
    <hyperlink r:id="rId1006" ref="A1025"/>
    <hyperlink r:id="rId1007" ref="A1026"/>
    <hyperlink r:id="rId1008" ref="A1027"/>
    <hyperlink r:id="rId1009" ref="A1028"/>
    <hyperlink r:id="rId1010" ref="A1029"/>
    <hyperlink r:id="rId1011" ref="A1030"/>
    <hyperlink r:id="rId1012" ref="A1031"/>
    <hyperlink r:id="rId1013" ref="A1032"/>
    <hyperlink r:id="rId1014" ref="A1033"/>
    <hyperlink r:id="rId1015" ref="A1034"/>
    <hyperlink r:id="rId1016" ref="A1035"/>
    <hyperlink r:id="rId1017" ref="A1036"/>
    <hyperlink r:id="rId1018" ref="A1037"/>
    <hyperlink r:id="rId1019" ref="A1038"/>
    <hyperlink r:id="rId1020" ref="A1039"/>
    <hyperlink r:id="rId1021" ref="A1040"/>
    <hyperlink r:id="rId1022" ref="A1041"/>
    <hyperlink r:id="rId1023" ref="A1042"/>
    <hyperlink r:id="rId1024" ref="A1043"/>
    <hyperlink r:id="rId1025" ref="A1044"/>
    <hyperlink r:id="rId1026" ref="A1045"/>
    <hyperlink r:id="rId1027" ref="A1046"/>
    <hyperlink r:id="rId1028" ref="A1047"/>
    <hyperlink r:id="rId1029" ref="A1048"/>
    <hyperlink r:id="rId1030" ref="A1049"/>
    <hyperlink r:id="rId1031" ref="A1050"/>
    <hyperlink r:id="rId1032" ref="A1051"/>
    <hyperlink r:id="rId1033" ref="A1052"/>
    <hyperlink r:id="rId1034" ref="A1053"/>
    <hyperlink r:id="rId1035" ref="A1054"/>
    <hyperlink r:id="rId1036" ref="A1055"/>
    <hyperlink r:id="rId1037" ref="A1056"/>
    <hyperlink r:id="rId1038" ref="A1057"/>
    <hyperlink r:id="rId1039" ref="A1058"/>
    <hyperlink r:id="rId1040" ref="A1059"/>
    <hyperlink r:id="rId1041" ref="A1060"/>
    <hyperlink r:id="rId1042" ref="A1061"/>
    <hyperlink r:id="rId1043" ref="A1062"/>
    <hyperlink r:id="rId1044" ref="A1063"/>
    <hyperlink r:id="rId1045" ref="A1064"/>
    <hyperlink r:id="rId1046" ref="A1065"/>
    <hyperlink r:id="rId1047" ref="A1066"/>
    <hyperlink r:id="rId1048" ref="A1067"/>
    <hyperlink r:id="rId1049" ref="A1068"/>
    <hyperlink r:id="rId1050" ref="A1069"/>
    <hyperlink r:id="rId1051" ref="A1070"/>
    <hyperlink r:id="rId1052" ref="A1071"/>
    <hyperlink r:id="rId1053" ref="A1072"/>
    <hyperlink r:id="rId1054" ref="A1073"/>
    <hyperlink r:id="rId1055" ref="A1074"/>
    <hyperlink r:id="rId1056" ref="A1075"/>
    <hyperlink r:id="rId1057" ref="A1076"/>
    <hyperlink r:id="rId1058" ref="A1077"/>
    <hyperlink r:id="rId1059" ref="A1078"/>
    <hyperlink r:id="rId1060" ref="A1079"/>
    <hyperlink r:id="rId1061" ref="A1080"/>
    <hyperlink r:id="rId1062" ref="A1081"/>
    <hyperlink r:id="rId1063" ref="A1082"/>
    <hyperlink r:id="rId1064" ref="A1083"/>
    <hyperlink r:id="rId1065" ref="A1084"/>
    <hyperlink r:id="rId1066" ref="A1085"/>
    <hyperlink r:id="rId1067" ref="A1086"/>
    <hyperlink r:id="rId1068" ref="A1087"/>
    <hyperlink r:id="rId1069" ref="A1088"/>
    <hyperlink r:id="rId1070" ref="A1089"/>
    <hyperlink r:id="rId1071" ref="A1090"/>
    <hyperlink r:id="rId1072" ref="A1091"/>
    <hyperlink r:id="rId1073" ref="A1092"/>
    <hyperlink r:id="rId1074" ref="A1093"/>
    <hyperlink r:id="rId1075" ref="A1094"/>
    <hyperlink r:id="rId1076" ref="A1095"/>
    <hyperlink r:id="rId1077" ref="A1096"/>
    <hyperlink r:id="rId1078" ref="A1097"/>
    <hyperlink r:id="rId1079" ref="A1098"/>
    <hyperlink r:id="rId1080" ref="A1099"/>
    <hyperlink r:id="rId1081" ref="A1100"/>
    <hyperlink r:id="rId1082" ref="A1101"/>
    <hyperlink r:id="rId1083" ref="A1102"/>
    <hyperlink r:id="rId1084" ref="A1103"/>
    <hyperlink r:id="rId1085" ref="A1104"/>
    <hyperlink r:id="rId1086" ref="A1105"/>
    <hyperlink r:id="rId1087" ref="A1106"/>
    <hyperlink r:id="rId1088" ref="A1107"/>
    <hyperlink r:id="rId1089" ref="A1108"/>
    <hyperlink r:id="rId1090" ref="A1109"/>
    <hyperlink r:id="rId1091" ref="A1110"/>
    <hyperlink r:id="rId1092" ref="A1111"/>
    <hyperlink r:id="rId1093" ref="A1112"/>
    <hyperlink r:id="rId1094" ref="A1113"/>
    <hyperlink r:id="rId1095" ref="A1114"/>
    <hyperlink r:id="rId1096" ref="A1115"/>
    <hyperlink r:id="rId1097" ref="A1116"/>
    <hyperlink r:id="rId1098" ref="A1117"/>
    <hyperlink r:id="rId1099" ref="A1118"/>
    <hyperlink r:id="rId1100" ref="A1119"/>
    <hyperlink r:id="rId1101" ref="A1120"/>
    <hyperlink r:id="rId1102" ref="A1121"/>
    <hyperlink r:id="rId1103" ref="A1122"/>
    <hyperlink r:id="rId1104" ref="A1123"/>
    <hyperlink r:id="rId1105" ref="A1124"/>
    <hyperlink r:id="rId1106" ref="A1125"/>
    <hyperlink r:id="rId1107" ref="A1126"/>
    <hyperlink r:id="rId1108" ref="A1127"/>
    <hyperlink r:id="rId1109" ref="A1128"/>
    <hyperlink r:id="rId1110" ref="A1129"/>
    <hyperlink r:id="rId1111" ref="A1130"/>
    <hyperlink r:id="rId1112" ref="A1131"/>
    <hyperlink r:id="rId1113" ref="A1132"/>
    <hyperlink r:id="rId1114" ref="A1133"/>
    <hyperlink r:id="rId1115" ref="A1134"/>
    <hyperlink r:id="rId1116" ref="A1135"/>
    <hyperlink r:id="rId1117" ref="A1136"/>
    <hyperlink r:id="rId1118" ref="A1137"/>
    <hyperlink r:id="rId1119" ref="A1138"/>
    <hyperlink r:id="rId1120" ref="A1139"/>
    <hyperlink r:id="rId1121" ref="A1140"/>
    <hyperlink r:id="rId1122" ref="A1141"/>
    <hyperlink r:id="rId1123" ref="A1142"/>
    <hyperlink r:id="rId1124" ref="A1143"/>
    <hyperlink r:id="rId1125" ref="A1144"/>
    <hyperlink r:id="rId1126" ref="A1145"/>
    <hyperlink r:id="rId1127" ref="A1146"/>
    <hyperlink r:id="rId1128" ref="A1147"/>
    <hyperlink r:id="rId1129" ref="A1148"/>
    <hyperlink r:id="rId1130" ref="A1149"/>
    <hyperlink r:id="rId1131" ref="A1150"/>
    <hyperlink r:id="rId1132" ref="A1151"/>
    <hyperlink r:id="rId1133" ref="A1152"/>
    <hyperlink r:id="rId1134" ref="A1153"/>
    <hyperlink r:id="rId1135" ref="A1154"/>
    <hyperlink r:id="rId1136" ref="A1155"/>
    <hyperlink r:id="rId1137" ref="A1156"/>
    <hyperlink r:id="rId1138" ref="A1157"/>
    <hyperlink r:id="rId1139" ref="A1158"/>
    <hyperlink r:id="rId1140" ref="A1159"/>
    <hyperlink r:id="rId1141" ref="A1160"/>
    <hyperlink r:id="rId1142" ref="A1161"/>
    <hyperlink r:id="rId1143" ref="A1162"/>
    <hyperlink r:id="rId1144" ref="A1163"/>
    <hyperlink r:id="rId1145" ref="A1164"/>
    <hyperlink r:id="rId1146" ref="A1165"/>
    <hyperlink r:id="rId1147" ref="A1166"/>
    <hyperlink r:id="rId1148" ref="A1167"/>
    <hyperlink r:id="rId1149" ref="A1168"/>
    <hyperlink r:id="rId1150" ref="A1169"/>
    <hyperlink r:id="rId1151" ref="A1170"/>
    <hyperlink r:id="rId1152" ref="A1171"/>
    <hyperlink r:id="rId1153" ref="A1172"/>
    <hyperlink r:id="rId1154" ref="A1173"/>
    <hyperlink r:id="rId1155" ref="A1174"/>
    <hyperlink r:id="rId1156" ref="A1175"/>
    <hyperlink r:id="rId1157" ref="A1176"/>
    <hyperlink r:id="rId1158" ref="A1177"/>
    <hyperlink r:id="rId1159" ref="A1179"/>
    <hyperlink r:id="rId1160" ref="A1184"/>
    <hyperlink r:id="rId1161" ref="A1189"/>
    <hyperlink r:id="rId1162" ref="A1190"/>
    <hyperlink r:id="rId1163" ref="A1191"/>
    <hyperlink r:id="rId1164" ref="A1193"/>
    <hyperlink r:id="rId1165" ref="A1194"/>
    <hyperlink r:id="rId1166" ref="A1195"/>
    <hyperlink r:id="rId1167" ref="A1196"/>
    <hyperlink r:id="rId1168" ref="A1197"/>
    <hyperlink r:id="rId1169" ref="A1198"/>
    <hyperlink r:id="rId1170" ref="A1199"/>
    <hyperlink r:id="rId1171" ref="A1200"/>
    <hyperlink r:id="rId1172" ref="A1201"/>
    <hyperlink r:id="rId1173" ref="A1202"/>
    <hyperlink r:id="rId1174" ref="A1203"/>
    <hyperlink r:id="rId1175" ref="A1204"/>
    <hyperlink r:id="rId1176" ref="A1205"/>
    <hyperlink r:id="rId1177" ref="A1206"/>
    <hyperlink r:id="rId1178" ref="A1207"/>
    <hyperlink r:id="rId1179" ref="A1208"/>
    <hyperlink r:id="rId1180" ref="A1209"/>
    <hyperlink r:id="rId1181" ref="A1210"/>
    <hyperlink r:id="rId1182" ref="A1211"/>
    <hyperlink r:id="rId1183" ref="A1212"/>
    <hyperlink r:id="rId1184" ref="A1213"/>
    <hyperlink r:id="rId1185" ref="A1214"/>
    <hyperlink r:id="rId1186" ref="A1215"/>
    <hyperlink r:id="rId1187" ref="A1216"/>
    <hyperlink r:id="rId1188" ref="A1217"/>
    <hyperlink r:id="rId1189" ref="A1218"/>
    <hyperlink r:id="rId1190" ref="A1219"/>
    <hyperlink r:id="rId1191" ref="A1220"/>
    <hyperlink r:id="rId1192" ref="A1221"/>
    <hyperlink r:id="rId1193" ref="A1222"/>
    <hyperlink r:id="rId1194" ref="A1223"/>
    <hyperlink r:id="rId1195" ref="A1224"/>
    <hyperlink r:id="rId1196" ref="A1225"/>
    <hyperlink r:id="rId1197" ref="A1226"/>
    <hyperlink r:id="rId1198" ref="A1227"/>
    <hyperlink r:id="rId1199" ref="A1228"/>
    <hyperlink r:id="rId1200" ref="A1229"/>
    <hyperlink r:id="rId1201" ref="A1230"/>
    <hyperlink r:id="rId1202" ref="A1231"/>
    <hyperlink r:id="rId1203" ref="A1232"/>
    <hyperlink r:id="rId1204" ref="A1233"/>
    <hyperlink r:id="rId1205" ref="A1234"/>
    <hyperlink r:id="rId1206" ref="A1235"/>
    <hyperlink r:id="rId1207" ref="A1236"/>
    <hyperlink r:id="rId1208" ref="A1237"/>
    <hyperlink r:id="rId1209" ref="A1238"/>
    <hyperlink r:id="rId1210" ref="A1239"/>
    <hyperlink r:id="rId1211" ref="A1240"/>
    <hyperlink r:id="rId1212" ref="A1241"/>
    <hyperlink r:id="rId1213" ref="A1242"/>
    <hyperlink r:id="rId1214" ref="A1243"/>
    <hyperlink r:id="rId1215" ref="A1244"/>
    <hyperlink r:id="rId1216" ref="A1245"/>
    <hyperlink r:id="rId1217" ref="A1246"/>
    <hyperlink r:id="rId1218" ref="A1247"/>
    <hyperlink r:id="rId1219" ref="A1248"/>
    <hyperlink r:id="rId1220" ref="A1249"/>
    <hyperlink r:id="rId1221" ref="A1250"/>
    <hyperlink r:id="rId1222" ref="A1251"/>
    <hyperlink r:id="rId1223" ref="A1252"/>
    <hyperlink r:id="rId1224" ref="A1253"/>
    <hyperlink r:id="rId1225" ref="A1254"/>
    <hyperlink r:id="rId1226" ref="A1255"/>
    <hyperlink r:id="rId1227" ref="A1256"/>
    <hyperlink r:id="rId1228" ref="A1257"/>
    <hyperlink r:id="rId1229" ref="A1258"/>
    <hyperlink r:id="rId1230" ref="A1259"/>
    <hyperlink r:id="rId1231" ref="A1260"/>
    <hyperlink r:id="rId1232" ref="A1261"/>
    <hyperlink r:id="rId1233" ref="A1262"/>
    <hyperlink r:id="rId1234" ref="A1263"/>
    <hyperlink r:id="rId1235" ref="A1264"/>
    <hyperlink r:id="rId1236" ref="A1265"/>
    <hyperlink r:id="rId1237" ref="A1266"/>
    <hyperlink r:id="rId1238" ref="A1267"/>
    <hyperlink r:id="rId1239" ref="A1268"/>
    <hyperlink r:id="rId1240" ref="A1269"/>
    <hyperlink r:id="rId1241" ref="A1270"/>
    <hyperlink r:id="rId1242" ref="A1271"/>
    <hyperlink r:id="rId1243" ref="A1272"/>
    <hyperlink r:id="rId1244" ref="A1273"/>
    <hyperlink r:id="rId1245" ref="A1274"/>
    <hyperlink r:id="rId1246" ref="A1275"/>
    <hyperlink r:id="rId1247" ref="A1276"/>
    <hyperlink r:id="rId1248" ref="A1277"/>
    <hyperlink r:id="rId1249" ref="A1278"/>
    <hyperlink r:id="rId1250" ref="A1279"/>
    <hyperlink r:id="rId1251" ref="A1280"/>
    <hyperlink r:id="rId1252" ref="A1281"/>
    <hyperlink r:id="rId1253" ref="A1282"/>
    <hyperlink r:id="rId1254" ref="A1283"/>
    <hyperlink r:id="rId1255" ref="A1284"/>
    <hyperlink r:id="rId1256" ref="A1285"/>
    <hyperlink r:id="rId1257" ref="A1286"/>
    <hyperlink r:id="rId1258" ref="A1287"/>
    <hyperlink r:id="rId1259" ref="A1288"/>
    <hyperlink r:id="rId1260" ref="A1289"/>
    <hyperlink r:id="rId1261" ref="A1290"/>
    <hyperlink r:id="rId1262" ref="A1291"/>
    <hyperlink r:id="rId1263" ref="A1292"/>
    <hyperlink r:id="rId1264" ref="A1293"/>
    <hyperlink r:id="rId1265" ref="A1294"/>
    <hyperlink r:id="rId1266" ref="A1295"/>
    <hyperlink r:id="rId1267" ref="A1296"/>
    <hyperlink r:id="rId1268" ref="A1297"/>
    <hyperlink r:id="rId1269" ref="A1298"/>
    <hyperlink r:id="rId1270" ref="A1299"/>
    <hyperlink r:id="rId1271" ref="A1300"/>
    <hyperlink r:id="rId1272" ref="A1301"/>
    <hyperlink r:id="rId1273" ref="A1302"/>
    <hyperlink r:id="rId1274" ref="A1303"/>
    <hyperlink r:id="rId1275" ref="A1304"/>
    <hyperlink r:id="rId1276" ref="A1305"/>
    <hyperlink r:id="rId1277" ref="A1306"/>
    <hyperlink r:id="rId1278" ref="A1307"/>
    <hyperlink r:id="rId1279" ref="A1308"/>
    <hyperlink r:id="rId1280" ref="A1309"/>
    <hyperlink r:id="rId1281" ref="A1310"/>
    <hyperlink r:id="rId1282" ref="A1311"/>
    <hyperlink r:id="rId1283" ref="A1312"/>
    <hyperlink r:id="rId1284" ref="A1313"/>
    <hyperlink r:id="rId1285" ref="A1314"/>
    <hyperlink r:id="rId1286" ref="A1315"/>
    <hyperlink r:id="rId1287" ref="A1316"/>
    <hyperlink r:id="rId1288" ref="A1317"/>
    <hyperlink r:id="rId1289" ref="A1318"/>
    <hyperlink r:id="rId1290" ref="A1319"/>
    <hyperlink r:id="rId1291" ref="A1320"/>
    <hyperlink r:id="rId1292" ref="A1321"/>
    <hyperlink r:id="rId1293" ref="A1322"/>
    <hyperlink r:id="rId1294" ref="A1323"/>
    <hyperlink r:id="rId1295" ref="A1324"/>
    <hyperlink r:id="rId1296" ref="A1325"/>
    <hyperlink r:id="rId1297" ref="A1326"/>
    <hyperlink r:id="rId1298" ref="A1327"/>
    <hyperlink r:id="rId1299" ref="A1328"/>
    <hyperlink r:id="rId1300" ref="A1329"/>
    <hyperlink r:id="rId1301" ref="A1330"/>
    <hyperlink r:id="rId1302" ref="A1331"/>
    <hyperlink r:id="rId1303" ref="A1332"/>
    <hyperlink r:id="rId1304" ref="A1333"/>
    <hyperlink r:id="rId1305" ref="A1334"/>
    <hyperlink r:id="rId1306" ref="A1335"/>
    <hyperlink r:id="rId1307" ref="A1336"/>
    <hyperlink r:id="rId1308" ref="A1337"/>
    <hyperlink r:id="rId1309" ref="A1338"/>
    <hyperlink r:id="rId1310" ref="A1339"/>
    <hyperlink r:id="rId1311" ref="A1340"/>
    <hyperlink r:id="rId1312" ref="A1341"/>
    <hyperlink r:id="rId1313" ref="A1342"/>
    <hyperlink r:id="rId1314" ref="A1343"/>
    <hyperlink r:id="rId1315" ref="A1344"/>
    <hyperlink r:id="rId1316" ref="A1345"/>
    <hyperlink r:id="rId1317" ref="A1346"/>
    <hyperlink r:id="rId1318" ref="A1347"/>
    <hyperlink r:id="rId1319" ref="A1348"/>
    <hyperlink r:id="rId1320" ref="A1349"/>
    <hyperlink r:id="rId1321" ref="A1350"/>
    <hyperlink r:id="rId1322" ref="A1351"/>
    <hyperlink r:id="rId1323" ref="A1352"/>
    <hyperlink r:id="rId1324" ref="A1353"/>
    <hyperlink r:id="rId1325" ref="A1354"/>
    <hyperlink r:id="rId1326" ref="A1355"/>
    <hyperlink r:id="rId1327" ref="A1356"/>
    <hyperlink r:id="rId1328" ref="A1357"/>
    <hyperlink r:id="rId1329" ref="A1358"/>
    <hyperlink r:id="rId1330" ref="A1359"/>
    <hyperlink r:id="rId1331" ref="A1360"/>
    <hyperlink r:id="rId1332" ref="A1361"/>
    <hyperlink r:id="rId1333" ref="A1362"/>
    <hyperlink r:id="rId1334" ref="A1363"/>
    <hyperlink r:id="rId1335" ref="A1364"/>
    <hyperlink r:id="rId1336" ref="A1365"/>
    <hyperlink r:id="rId1337" ref="A1366"/>
    <hyperlink r:id="rId1338" ref="A1367"/>
    <hyperlink r:id="rId1339" ref="A1368"/>
    <hyperlink r:id="rId1340" ref="A1369"/>
    <hyperlink r:id="rId1341" ref="A1370"/>
    <hyperlink r:id="rId1342" ref="A1371"/>
    <hyperlink r:id="rId1343" ref="A1372"/>
    <hyperlink r:id="rId1344" ref="A1373"/>
    <hyperlink r:id="rId1345" ref="A1374"/>
    <hyperlink r:id="rId1346" ref="A1375"/>
    <hyperlink r:id="rId1347" ref="A1376"/>
    <hyperlink r:id="rId1348" ref="A1377"/>
    <hyperlink r:id="rId1349" ref="A1378"/>
    <hyperlink r:id="rId1350" ref="A1379"/>
    <hyperlink r:id="rId1351" ref="A1380"/>
    <hyperlink r:id="rId1352" ref="A1381"/>
    <hyperlink r:id="rId1353" ref="A1382"/>
    <hyperlink r:id="rId1354" ref="A1383"/>
    <hyperlink r:id="rId1355" ref="A1384"/>
    <hyperlink r:id="rId1356" ref="A1385"/>
    <hyperlink r:id="rId1357" ref="A1386"/>
    <hyperlink r:id="rId1358" ref="A1387"/>
    <hyperlink r:id="rId1359" ref="A1388"/>
    <hyperlink r:id="rId1360" ref="A1389"/>
    <hyperlink r:id="rId1361" ref="A1390"/>
    <hyperlink r:id="rId1362" ref="A1391"/>
    <hyperlink r:id="rId1363" ref="A1392"/>
    <hyperlink r:id="rId1364" ref="A1393"/>
    <hyperlink r:id="rId1365" ref="A1394"/>
    <hyperlink r:id="rId1366" ref="A1395"/>
    <hyperlink r:id="rId1367" ref="A1396"/>
    <hyperlink r:id="rId1368" ref="A1397"/>
    <hyperlink r:id="rId1369" ref="A1398"/>
    <hyperlink r:id="rId1370" ref="A1399"/>
    <hyperlink r:id="rId1371" ref="A1400"/>
    <hyperlink r:id="rId1372" ref="A1401"/>
    <hyperlink r:id="rId1373" ref="A1402"/>
    <hyperlink r:id="rId1374" ref="A1403"/>
    <hyperlink r:id="rId1375" ref="A1404"/>
    <hyperlink r:id="rId1376" ref="A1405"/>
    <hyperlink r:id="rId1377" ref="A1406"/>
    <hyperlink r:id="rId1378" ref="A1407"/>
    <hyperlink r:id="rId1379" ref="A1408"/>
    <hyperlink r:id="rId1380" ref="A1409"/>
    <hyperlink r:id="rId1381" ref="A1410"/>
    <hyperlink r:id="rId1382" ref="A1411"/>
    <hyperlink r:id="rId1383" ref="A1412"/>
    <hyperlink r:id="rId1384" ref="A1413"/>
    <hyperlink r:id="rId1385" ref="A1414"/>
    <hyperlink r:id="rId1386" ref="A1415"/>
    <hyperlink r:id="rId1387" ref="A1416"/>
    <hyperlink r:id="rId1388" ref="A1417"/>
    <hyperlink r:id="rId1389" ref="A1418"/>
    <hyperlink r:id="rId1390" ref="A1419"/>
    <hyperlink r:id="rId1391" ref="A1420"/>
    <hyperlink r:id="rId1392" ref="A1421"/>
    <hyperlink r:id="rId1393" ref="A1422"/>
    <hyperlink r:id="rId1394" ref="A1423"/>
    <hyperlink r:id="rId1395" ref="A1424"/>
    <hyperlink r:id="rId1396" ref="A1425"/>
    <hyperlink r:id="rId1397" ref="A1426"/>
    <hyperlink r:id="rId1398" ref="A1427"/>
    <hyperlink r:id="rId1399" ref="A1428"/>
    <hyperlink r:id="rId1400" ref="A1429"/>
    <hyperlink r:id="rId1401" ref="A1430"/>
    <hyperlink r:id="rId1402" ref="A1431"/>
    <hyperlink r:id="rId1403" ref="A1432"/>
    <hyperlink r:id="rId1404" ref="A1433"/>
    <hyperlink r:id="rId1405" ref="A1434"/>
    <hyperlink r:id="rId1406" ref="A1435"/>
    <hyperlink r:id="rId1407" ref="A1436"/>
    <hyperlink r:id="rId1408" ref="A1437"/>
    <hyperlink r:id="rId1409" ref="A1438"/>
    <hyperlink r:id="rId1410" ref="A1439"/>
    <hyperlink r:id="rId1411" ref="A1440"/>
    <hyperlink r:id="rId1412" ref="A1441"/>
    <hyperlink r:id="rId1413" ref="A1442"/>
    <hyperlink r:id="rId1414" ref="A1443"/>
    <hyperlink r:id="rId1415" ref="A1444"/>
    <hyperlink r:id="rId1416" ref="A1445"/>
    <hyperlink r:id="rId1417" ref="A1446"/>
    <hyperlink r:id="rId1418" ref="A1447"/>
    <hyperlink r:id="rId1419" ref="A1448"/>
    <hyperlink r:id="rId1420" ref="A1449"/>
    <hyperlink r:id="rId1421" ref="A1450"/>
    <hyperlink r:id="rId1422" ref="A1451"/>
    <hyperlink r:id="rId1423" ref="A1452"/>
    <hyperlink r:id="rId1424" ref="A1453"/>
    <hyperlink r:id="rId1425" ref="A1454"/>
    <hyperlink r:id="rId1426" ref="A1455"/>
    <hyperlink r:id="rId1427" ref="A1456"/>
    <hyperlink r:id="rId1428" ref="A1457"/>
    <hyperlink r:id="rId1429" ref="A1458"/>
    <hyperlink r:id="rId1430" ref="A1459"/>
    <hyperlink r:id="rId1431" ref="A1460"/>
    <hyperlink r:id="rId1432" ref="A1461"/>
    <hyperlink r:id="rId1433" ref="A1462"/>
    <hyperlink r:id="rId1434" ref="A1463"/>
    <hyperlink r:id="rId1435" ref="A1464"/>
    <hyperlink r:id="rId1436" ref="A1465"/>
    <hyperlink r:id="rId1437" ref="A1466"/>
    <hyperlink r:id="rId1438" ref="A1467"/>
    <hyperlink r:id="rId1439" ref="A1468"/>
    <hyperlink r:id="rId1440" ref="A1469"/>
    <hyperlink r:id="rId1441" ref="A1470"/>
    <hyperlink r:id="rId1442" ref="A1471"/>
    <hyperlink r:id="rId1443" ref="A1472"/>
    <hyperlink r:id="rId1444" ref="A1473"/>
    <hyperlink r:id="rId1445" ref="A1474"/>
    <hyperlink r:id="rId1446" ref="A1475"/>
    <hyperlink r:id="rId1447" ref="A1476"/>
    <hyperlink r:id="rId1448" ref="A1477"/>
    <hyperlink r:id="rId1449" ref="A1478"/>
    <hyperlink r:id="rId1450" ref="A1479"/>
    <hyperlink r:id="rId1451" ref="A1480"/>
    <hyperlink r:id="rId1452" ref="A1481"/>
    <hyperlink r:id="rId1453" ref="A1482"/>
    <hyperlink r:id="rId1454" ref="A1483"/>
    <hyperlink r:id="rId1455" ref="A1484"/>
    <hyperlink r:id="rId1456" ref="A1485"/>
    <hyperlink r:id="rId1457" ref="A1486"/>
    <hyperlink r:id="rId1458" ref="A1487"/>
    <hyperlink r:id="rId1459" ref="A1488"/>
    <hyperlink r:id="rId1460" ref="A1489"/>
    <hyperlink r:id="rId1461" ref="A1490"/>
    <hyperlink r:id="rId1462" ref="A1491"/>
    <hyperlink r:id="rId1463" ref="A1492"/>
    <hyperlink r:id="rId1464" ref="A1493"/>
    <hyperlink r:id="rId1465" ref="A1494"/>
    <hyperlink r:id="rId1466" ref="A1495"/>
    <hyperlink r:id="rId1467" ref="A1496"/>
    <hyperlink r:id="rId1468" ref="A1497"/>
    <hyperlink r:id="rId1469" ref="A1498"/>
    <hyperlink r:id="rId1470" ref="A1499"/>
    <hyperlink r:id="rId1471" ref="A1500"/>
    <hyperlink r:id="rId1472" ref="A1501"/>
    <hyperlink r:id="rId1473" ref="A1502"/>
    <hyperlink r:id="rId1474" ref="A1503"/>
    <hyperlink r:id="rId1475" ref="A1504"/>
    <hyperlink r:id="rId1476" ref="A1505"/>
    <hyperlink r:id="rId1477" ref="A1506"/>
    <hyperlink r:id="rId1478" ref="A1507"/>
    <hyperlink r:id="rId1479" ref="A1508"/>
    <hyperlink r:id="rId1480" ref="A1509"/>
    <hyperlink r:id="rId1481" ref="A1510"/>
    <hyperlink r:id="rId1482" ref="A1511"/>
    <hyperlink r:id="rId1483" ref="A1512"/>
    <hyperlink r:id="rId1484" ref="A1513"/>
    <hyperlink r:id="rId1485" ref="A1514"/>
    <hyperlink r:id="rId1486" ref="A1515"/>
    <hyperlink r:id="rId1487" ref="A1516"/>
    <hyperlink r:id="rId1488" ref="A1517"/>
    <hyperlink r:id="rId1489" ref="A1518"/>
    <hyperlink r:id="rId1490" ref="A1519"/>
    <hyperlink r:id="rId1491" ref="A1520"/>
    <hyperlink r:id="rId1492" ref="A1521"/>
    <hyperlink r:id="rId1493" ref="A1522"/>
    <hyperlink r:id="rId1494" ref="A1523"/>
    <hyperlink r:id="rId1495" ref="A1524"/>
    <hyperlink r:id="rId1496" ref="A1525"/>
    <hyperlink r:id="rId1497" ref="A1526"/>
    <hyperlink r:id="rId1498" ref="A1527"/>
    <hyperlink r:id="rId1499" ref="A1528"/>
    <hyperlink r:id="rId1500" ref="A1529"/>
    <hyperlink r:id="rId1501" ref="A1530"/>
    <hyperlink r:id="rId1502" ref="A1531"/>
    <hyperlink r:id="rId1503" ref="A1532"/>
    <hyperlink r:id="rId1504" ref="A1533"/>
    <hyperlink r:id="rId1505" ref="A1534"/>
    <hyperlink r:id="rId1506" ref="A1535"/>
    <hyperlink r:id="rId1507" ref="A1536"/>
    <hyperlink r:id="rId1508" ref="A1537"/>
    <hyperlink r:id="rId1509" ref="A1538"/>
    <hyperlink r:id="rId1510" ref="A1539"/>
    <hyperlink r:id="rId1511" ref="A1540"/>
    <hyperlink r:id="rId1512" ref="A1541"/>
    <hyperlink r:id="rId1513" ref="A1542"/>
    <hyperlink r:id="rId1514" ref="A1543"/>
    <hyperlink r:id="rId1515" ref="A1544"/>
    <hyperlink r:id="rId1516" ref="A1545"/>
    <hyperlink r:id="rId1517" ref="A1546"/>
    <hyperlink r:id="rId1518" ref="A1547"/>
    <hyperlink r:id="rId1519" ref="A1548"/>
    <hyperlink r:id="rId1520" ref="A1549"/>
    <hyperlink r:id="rId1521" ref="A1550"/>
    <hyperlink r:id="rId1522" ref="A1551"/>
    <hyperlink r:id="rId1523" ref="A1552"/>
    <hyperlink r:id="rId1524" ref="A1553"/>
    <hyperlink r:id="rId1525" ref="A1554"/>
    <hyperlink r:id="rId1526" ref="A1555"/>
    <hyperlink r:id="rId1527" ref="A1556"/>
    <hyperlink r:id="rId1528" ref="A1557"/>
    <hyperlink r:id="rId1529" ref="A1558"/>
    <hyperlink r:id="rId1530" ref="A1559"/>
    <hyperlink r:id="rId1531" ref="A1560"/>
    <hyperlink r:id="rId1532" ref="A1561"/>
    <hyperlink r:id="rId1533" ref="A1562"/>
    <hyperlink r:id="rId1534" ref="A1563"/>
    <hyperlink r:id="rId1535" ref="A1564"/>
    <hyperlink r:id="rId1536" ref="A1565"/>
    <hyperlink r:id="rId1537" ref="A1566"/>
    <hyperlink r:id="rId1538" ref="A1567"/>
    <hyperlink r:id="rId1539" ref="A1568"/>
    <hyperlink r:id="rId1540" ref="A1569"/>
    <hyperlink r:id="rId1541" ref="A1570"/>
    <hyperlink r:id="rId1542" ref="A1571"/>
    <hyperlink r:id="rId1543" ref="A1572"/>
    <hyperlink r:id="rId1544" ref="A1573"/>
    <hyperlink r:id="rId1545" ref="A1574"/>
    <hyperlink r:id="rId1546" ref="A1575"/>
    <hyperlink r:id="rId1547" ref="A1576"/>
    <hyperlink r:id="rId1548" ref="A1577"/>
    <hyperlink r:id="rId1549" ref="A1578"/>
    <hyperlink r:id="rId1550" ref="A1579"/>
    <hyperlink r:id="rId1551" ref="A1580"/>
    <hyperlink r:id="rId1552" ref="A1581"/>
    <hyperlink r:id="rId1553" ref="A1582"/>
    <hyperlink r:id="rId1554" ref="A1583"/>
    <hyperlink r:id="rId1555" ref="A1584"/>
    <hyperlink r:id="rId1556" ref="A1585"/>
    <hyperlink r:id="rId1557" ref="A1586"/>
    <hyperlink r:id="rId1558" ref="A1587"/>
    <hyperlink r:id="rId1559" ref="A1588"/>
    <hyperlink r:id="rId1560" ref="A1589"/>
    <hyperlink r:id="rId1561" ref="A1590"/>
    <hyperlink r:id="rId1562" ref="A1591"/>
    <hyperlink r:id="rId1563" ref="A1592"/>
    <hyperlink r:id="rId1564" ref="A1593"/>
    <hyperlink r:id="rId1565" ref="A1594"/>
    <hyperlink r:id="rId1566" ref="A1595"/>
    <hyperlink r:id="rId1567" ref="A1602"/>
    <hyperlink r:id="rId1568" ref="A1603"/>
    <hyperlink r:id="rId1569" ref="A1612"/>
    <hyperlink r:id="rId1570" ref="A1613"/>
    <hyperlink r:id="rId1571" ref="A1614"/>
    <hyperlink r:id="rId1572" ref="A1615"/>
    <hyperlink r:id="rId1573" ref="A1616"/>
    <hyperlink r:id="rId1574" ref="A1617"/>
    <hyperlink r:id="rId1575" ref="A1618"/>
    <hyperlink r:id="rId1576" ref="A1619"/>
    <hyperlink r:id="rId1577" ref="A1620"/>
    <hyperlink r:id="rId1578" ref="A1621"/>
    <hyperlink r:id="rId1579" ref="A1622"/>
    <hyperlink r:id="rId1580" ref="A1623"/>
    <hyperlink r:id="rId1581" ref="A1624"/>
    <hyperlink r:id="rId1582" ref="A1625"/>
    <hyperlink r:id="rId1583" ref="A1626"/>
    <hyperlink r:id="rId1584" ref="A1627"/>
    <hyperlink r:id="rId1585" ref="A1628"/>
    <hyperlink r:id="rId1586" ref="A1629"/>
    <hyperlink r:id="rId1587" ref="A1630"/>
    <hyperlink r:id="rId1588" ref="A1631"/>
    <hyperlink r:id="rId1589" ref="A1632"/>
    <hyperlink r:id="rId1590" ref="A1633"/>
    <hyperlink r:id="rId1591" ref="A1634"/>
    <hyperlink r:id="rId1592" ref="A1635"/>
    <hyperlink r:id="rId1593" ref="A1636"/>
    <hyperlink r:id="rId1594" ref="A1637"/>
    <hyperlink r:id="rId1595" ref="A1638"/>
    <hyperlink r:id="rId1596" ref="A1639"/>
    <hyperlink r:id="rId1597" ref="A1640"/>
    <hyperlink r:id="rId1598" ref="A1641"/>
    <hyperlink r:id="rId1599" ref="A1642"/>
    <hyperlink r:id="rId1600" ref="A1643"/>
    <hyperlink r:id="rId1601" ref="A1644"/>
    <hyperlink r:id="rId1602" ref="A1645"/>
    <hyperlink r:id="rId1603" ref="A1646"/>
    <hyperlink r:id="rId1604" ref="A1647"/>
    <hyperlink r:id="rId1605" ref="A1648"/>
    <hyperlink r:id="rId1606" ref="A1649"/>
    <hyperlink r:id="rId1607" ref="A1650"/>
    <hyperlink r:id="rId1608" ref="A1651"/>
    <hyperlink r:id="rId1609" ref="A1652"/>
    <hyperlink r:id="rId1610" ref="A1653"/>
    <hyperlink r:id="rId1611" ref="A1654"/>
    <hyperlink r:id="rId1612" ref="A1655"/>
    <hyperlink r:id="rId1613" ref="A1656"/>
    <hyperlink r:id="rId1614" ref="A1657"/>
    <hyperlink r:id="rId1615" ref="A1658"/>
    <hyperlink r:id="rId1616" ref="A1659"/>
    <hyperlink r:id="rId1617" ref="A1660"/>
    <hyperlink r:id="rId1618" ref="A1661"/>
    <hyperlink r:id="rId1619" ref="A1662"/>
    <hyperlink r:id="rId1620" ref="A1663"/>
    <hyperlink r:id="rId1621" ref="A1664"/>
    <hyperlink r:id="rId1622" ref="A1665"/>
    <hyperlink r:id="rId1623" ref="A1666"/>
    <hyperlink r:id="rId1624" ref="A1667"/>
    <hyperlink r:id="rId1625" ref="A1668"/>
    <hyperlink r:id="rId1626" ref="A1669"/>
    <hyperlink r:id="rId1627" ref="A1670"/>
    <hyperlink r:id="rId1628" ref="A1671"/>
    <hyperlink r:id="rId1629" ref="A1672"/>
    <hyperlink r:id="rId1630" ref="A1673"/>
    <hyperlink r:id="rId1631" ref="A1674"/>
    <hyperlink r:id="rId1632" ref="A1675"/>
    <hyperlink r:id="rId1633" ref="A1676"/>
    <hyperlink r:id="rId1634" ref="A1677"/>
    <hyperlink r:id="rId1635" ref="A1678"/>
    <hyperlink r:id="rId1636" ref="A1679"/>
    <hyperlink r:id="rId1637" ref="A1680"/>
    <hyperlink r:id="rId1638" ref="A1681"/>
    <hyperlink r:id="rId1639" ref="A1682"/>
    <hyperlink r:id="rId1640" ref="A1683"/>
    <hyperlink r:id="rId1641" ref="A1684"/>
    <hyperlink r:id="rId1642" ref="A1685"/>
    <hyperlink r:id="rId1643" ref="A1686"/>
    <hyperlink r:id="rId1644" ref="A1687"/>
    <hyperlink r:id="rId1645" ref="A1688"/>
    <hyperlink r:id="rId1646" ref="A1689"/>
    <hyperlink r:id="rId1647" ref="A1690"/>
    <hyperlink r:id="rId1648" ref="A1691"/>
    <hyperlink r:id="rId1649" ref="A1692"/>
    <hyperlink r:id="rId1650" ref="A1693"/>
    <hyperlink r:id="rId1651" ref="A1694"/>
    <hyperlink r:id="rId1652" ref="A1695"/>
    <hyperlink r:id="rId1653" ref="A1696"/>
    <hyperlink r:id="rId1654" ref="A1697"/>
    <hyperlink r:id="rId1655" ref="A1698"/>
    <hyperlink r:id="rId1656" ref="A1699"/>
    <hyperlink r:id="rId1657" ref="A1700"/>
    <hyperlink r:id="rId1658" ref="A1701"/>
    <hyperlink r:id="rId1659" ref="A1702"/>
    <hyperlink r:id="rId1660" ref="A1703"/>
    <hyperlink r:id="rId1661" ref="A1704"/>
    <hyperlink r:id="rId1662" ref="A1705"/>
    <hyperlink r:id="rId1663" ref="A1706"/>
    <hyperlink r:id="rId1664" ref="A1707"/>
    <hyperlink r:id="rId1665" ref="A1708"/>
    <hyperlink r:id="rId1666" ref="A1709"/>
    <hyperlink r:id="rId1667" ref="A1710"/>
    <hyperlink r:id="rId1668" ref="A1711"/>
    <hyperlink r:id="rId1669" ref="A1712"/>
    <hyperlink r:id="rId1670" ref="A1713"/>
    <hyperlink r:id="rId1671" ref="A1714"/>
    <hyperlink r:id="rId1672" ref="A1715"/>
    <hyperlink r:id="rId1673" ref="A1716"/>
    <hyperlink r:id="rId1674" ref="A1717"/>
    <hyperlink r:id="rId1675" ref="A1718"/>
    <hyperlink r:id="rId1676" ref="A1719"/>
    <hyperlink r:id="rId1677" ref="A1720"/>
    <hyperlink r:id="rId1678" ref="A1721"/>
    <hyperlink r:id="rId1679" ref="A1722"/>
    <hyperlink r:id="rId1680" ref="A1723"/>
    <hyperlink r:id="rId1681" ref="A1724"/>
    <hyperlink r:id="rId1682" ref="A1725"/>
    <hyperlink r:id="rId1683" ref="A1726"/>
    <hyperlink r:id="rId1684" ref="A1727"/>
    <hyperlink r:id="rId1685" ref="A1728"/>
    <hyperlink r:id="rId1686" ref="A1729"/>
    <hyperlink r:id="rId1687" ref="A1730"/>
    <hyperlink r:id="rId1688" ref="A1731"/>
    <hyperlink r:id="rId1689" ref="A1732"/>
    <hyperlink r:id="rId1690" ref="A1733"/>
    <hyperlink r:id="rId1691" ref="A1734"/>
    <hyperlink r:id="rId1692" ref="A1735"/>
    <hyperlink r:id="rId1693" ref="A1736"/>
    <hyperlink r:id="rId1694" ref="A1737"/>
    <hyperlink r:id="rId1695" ref="A1738"/>
    <hyperlink r:id="rId1696" ref="A1739"/>
    <hyperlink r:id="rId1697" ref="A1740"/>
    <hyperlink r:id="rId1698" ref="A1741"/>
    <hyperlink r:id="rId1699" ref="A1742"/>
    <hyperlink r:id="rId1700" ref="A1743"/>
    <hyperlink r:id="rId1701" ref="A1744"/>
    <hyperlink r:id="rId1702" ref="A1745"/>
    <hyperlink r:id="rId1703" ref="A1746"/>
    <hyperlink r:id="rId1704" ref="A1747"/>
    <hyperlink r:id="rId1705" ref="A1748"/>
    <hyperlink r:id="rId1706" ref="A1749"/>
    <hyperlink r:id="rId1707" ref="A1750"/>
    <hyperlink r:id="rId1708" ref="A1751"/>
    <hyperlink r:id="rId1709" ref="A1752"/>
    <hyperlink r:id="rId1710" ref="A1753"/>
    <hyperlink r:id="rId1711" ref="A1754"/>
    <hyperlink r:id="rId1712" ref="A1755"/>
    <hyperlink r:id="rId1713" ref="A1756"/>
    <hyperlink r:id="rId1714" ref="A1757"/>
    <hyperlink r:id="rId1715" ref="A1759"/>
    <hyperlink r:id="rId1716" ref="A1760"/>
    <hyperlink r:id="rId1717" ref="A1761"/>
    <hyperlink r:id="rId1718" ref="A1763"/>
    <hyperlink r:id="rId1719" ref="A1764"/>
    <hyperlink r:id="rId1720" ref="A1765"/>
    <hyperlink r:id="rId1721" ref="A1766"/>
    <hyperlink r:id="rId1722" ref="A1767"/>
    <hyperlink r:id="rId1723" ref="A1768"/>
    <hyperlink r:id="rId1724" ref="A1769"/>
    <hyperlink r:id="rId1725" ref="A1770"/>
    <hyperlink r:id="rId1726" ref="A1771"/>
    <hyperlink r:id="rId1727" ref="A1772"/>
    <hyperlink r:id="rId1728" ref="A1773"/>
    <hyperlink r:id="rId1729" ref="A1774"/>
    <hyperlink r:id="rId1730" ref="A1775"/>
    <hyperlink r:id="rId1731" ref="A1776"/>
    <hyperlink r:id="rId1732" ref="A1777"/>
    <hyperlink r:id="rId1733" ref="A1778"/>
    <hyperlink r:id="rId1734" ref="A1779"/>
    <hyperlink r:id="rId1735" ref="A1780"/>
    <hyperlink r:id="rId1736" ref="A1781"/>
    <hyperlink r:id="rId1737" ref="A1782"/>
    <hyperlink r:id="rId1738" ref="A1783"/>
    <hyperlink r:id="rId1739" ref="A1784"/>
    <hyperlink r:id="rId1740" ref="A1785"/>
    <hyperlink r:id="rId1741" ref="A1786"/>
    <hyperlink r:id="rId1742" ref="A1787"/>
    <hyperlink r:id="rId1743" ref="A1788"/>
    <hyperlink r:id="rId1744" ref="A1789"/>
    <hyperlink r:id="rId1745" ref="A1790"/>
    <hyperlink r:id="rId1746" ref="A1791"/>
    <hyperlink r:id="rId1747" ref="A1792"/>
    <hyperlink r:id="rId1748" ref="A1793"/>
    <hyperlink r:id="rId1749" ref="A1794"/>
    <hyperlink r:id="rId1750" ref="A1795"/>
    <hyperlink r:id="rId1751" ref="A1796"/>
    <hyperlink r:id="rId1752" ref="A1797"/>
    <hyperlink r:id="rId1753" ref="A1798"/>
    <hyperlink r:id="rId1754" ref="A1799"/>
    <hyperlink r:id="rId1755" ref="A1800"/>
    <hyperlink r:id="rId1756" ref="A1801"/>
    <hyperlink r:id="rId1757" ref="A1802"/>
    <hyperlink r:id="rId1758" ref="A1803"/>
    <hyperlink r:id="rId1759" ref="A1804"/>
    <hyperlink r:id="rId1760" ref="A1805"/>
    <hyperlink r:id="rId1761" ref="A1806"/>
    <hyperlink r:id="rId1762" ref="A1807"/>
    <hyperlink r:id="rId1763" ref="A1808"/>
    <hyperlink r:id="rId1764" ref="A1809"/>
    <hyperlink r:id="rId1765" ref="A1810"/>
    <hyperlink r:id="rId1766" ref="A1811"/>
    <hyperlink r:id="rId1767" ref="A1812"/>
    <hyperlink r:id="rId1768" ref="A1813"/>
    <hyperlink r:id="rId1769" ref="A1814"/>
    <hyperlink r:id="rId1770" ref="A1815"/>
    <hyperlink r:id="rId1771" ref="A1816"/>
    <hyperlink r:id="rId1772" ref="A1817"/>
    <hyperlink r:id="rId1773" ref="A1818"/>
    <hyperlink r:id="rId1774" ref="A1819"/>
    <hyperlink r:id="rId1775" ref="A1820"/>
    <hyperlink r:id="rId1776" ref="A1821"/>
    <hyperlink r:id="rId1777" ref="A1822"/>
    <hyperlink r:id="rId1778" ref="A1823"/>
    <hyperlink r:id="rId1779" ref="A1824"/>
    <hyperlink r:id="rId1780" ref="A1825"/>
    <hyperlink r:id="rId1781" ref="A1826"/>
    <hyperlink r:id="rId1782" ref="A1827"/>
    <hyperlink r:id="rId1783" ref="A1828"/>
    <hyperlink r:id="rId1784" ref="A1829"/>
    <hyperlink r:id="rId1785" ref="A1830"/>
    <hyperlink r:id="rId1786" ref="A1831"/>
    <hyperlink r:id="rId1787" ref="A1832"/>
    <hyperlink r:id="rId1788" ref="A1833"/>
    <hyperlink r:id="rId1789" ref="A1834"/>
    <hyperlink r:id="rId1790" ref="A1835"/>
    <hyperlink r:id="rId1791" ref="A1836"/>
    <hyperlink r:id="rId1792" ref="A1837"/>
    <hyperlink r:id="rId1793" ref="A1838"/>
    <hyperlink r:id="rId1794" ref="A1839"/>
    <hyperlink r:id="rId1795" ref="A1840"/>
    <hyperlink r:id="rId1796" ref="A1841"/>
    <hyperlink r:id="rId1797" ref="A1842"/>
    <hyperlink r:id="rId1798" ref="A1843"/>
    <hyperlink r:id="rId1799" ref="A1844"/>
    <hyperlink r:id="rId1800" ref="A1845"/>
    <hyperlink r:id="rId1801" ref="A1846"/>
    <hyperlink r:id="rId1802" ref="A1847"/>
    <hyperlink r:id="rId1803" ref="A1848"/>
    <hyperlink r:id="rId1804" ref="A1849"/>
    <hyperlink r:id="rId1805" ref="A1850"/>
    <hyperlink r:id="rId1806" ref="A1851"/>
    <hyperlink r:id="rId1807" ref="A1852"/>
    <hyperlink r:id="rId1808" ref="A1853"/>
    <hyperlink r:id="rId1809" ref="A1854"/>
    <hyperlink r:id="rId1810" ref="A1855"/>
    <hyperlink r:id="rId1811" ref="A1856"/>
    <hyperlink r:id="rId1812" ref="A1857"/>
    <hyperlink r:id="rId1813" ref="A1858"/>
    <hyperlink r:id="rId1814" ref="A1859"/>
    <hyperlink r:id="rId1815" ref="A1860"/>
    <hyperlink r:id="rId1816" ref="A1861"/>
    <hyperlink r:id="rId1817" ref="A1862"/>
    <hyperlink r:id="rId1818" ref="A1863"/>
    <hyperlink r:id="rId1819" ref="A1864"/>
    <hyperlink r:id="rId1820" ref="A1865"/>
    <hyperlink r:id="rId1821" ref="A1866"/>
    <hyperlink r:id="rId1822" ref="A1867"/>
    <hyperlink r:id="rId1823" ref="A1868"/>
    <hyperlink r:id="rId1824" ref="A1869"/>
    <hyperlink r:id="rId1825" ref="A1870"/>
    <hyperlink r:id="rId1826" ref="A1872"/>
    <hyperlink r:id="rId1827" ref="A1873"/>
    <hyperlink r:id="rId1828" ref="A1874"/>
    <hyperlink r:id="rId1829" ref="A1875"/>
    <hyperlink r:id="rId1830" ref="A1876"/>
    <hyperlink r:id="rId1831" ref="A1877"/>
    <hyperlink r:id="rId1832" ref="A1878"/>
    <hyperlink r:id="rId1833" ref="A1879"/>
    <hyperlink r:id="rId1834" ref="A1880"/>
    <hyperlink r:id="rId1835" ref="A1881"/>
    <hyperlink r:id="rId1836" ref="A1882"/>
    <hyperlink r:id="rId1837" ref="A1883"/>
    <hyperlink r:id="rId1838" ref="A1884"/>
    <hyperlink r:id="rId1839" ref="A1885"/>
    <hyperlink r:id="rId1840" ref="A1886"/>
    <hyperlink r:id="rId1841" ref="A1887"/>
    <hyperlink r:id="rId1842" ref="A1888"/>
    <hyperlink r:id="rId1843" ref="A1889"/>
    <hyperlink r:id="rId1844" ref="A1890"/>
    <hyperlink r:id="rId1845" ref="A1891"/>
    <hyperlink r:id="rId1846" ref="A1892"/>
    <hyperlink r:id="rId1847" ref="A1893"/>
    <hyperlink r:id="rId1848" ref="A1894"/>
    <hyperlink r:id="rId1849" ref="A1895"/>
    <hyperlink r:id="rId1850" ref="A1896"/>
    <hyperlink r:id="rId1851" ref="A1897"/>
    <hyperlink r:id="rId1852" ref="A1898"/>
    <hyperlink r:id="rId1853" ref="A1899"/>
    <hyperlink r:id="rId1854" ref="A1900"/>
    <hyperlink r:id="rId1855" ref="A1901"/>
    <hyperlink r:id="rId1856" ref="A1902"/>
    <hyperlink r:id="rId1857" ref="A1903"/>
    <hyperlink r:id="rId1858" ref="A1904"/>
    <hyperlink r:id="rId1859" ref="A1905"/>
    <hyperlink r:id="rId1860" ref="A1906"/>
    <hyperlink r:id="rId1861" ref="A1907"/>
    <hyperlink r:id="rId1862" ref="A1908"/>
    <hyperlink r:id="rId1863" ref="A1909"/>
    <hyperlink r:id="rId1864" ref="A1910"/>
    <hyperlink r:id="rId1865" ref="A1911"/>
    <hyperlink r:id="rId1866" ref="A1912"/>
    <hyperlink r:id="rId1867" ref="A1913"/>
    <hyperlink r:id="rId1868" ref="A1914"/>
    <hyperlink r:id="rId1869" ref="A1915"/>
    <hyperlink r:id="rId1870" ref="A1918"/>
    <hyperlink r:id="rId1871" ref="A1919"/>
    <hyperlink r:id="rId1872" ref="A1920"/>
    <hyperlink r:id="rId1873" ref="A1921"/>
    <hyperlink r:id="rId1874" ref="A1922"/>
    <hyperlink r:id="rId1875" ref="A1923"/>
    <hyperlink r:id="rId1876" ref="A1924"/>
    <hyperlink r:id="rId1877" ref="A1925"/>
    <hyperlink r:id="rId1878" ref="A1926"/>
    <hyperlink r:id="rId1879" ref="A1927"/>
    <hyperlink r:id="rId1880" ref="A1928"/>
    <hyperlink r:id="rId1881" ref="A1929"/>
    <hyperlink r:id="rId1882" ref="A1930"/>
    <hyperlink r:id="rId1883" ref="A1931"/>
    <hyperlink r:id="rId1884" ref="A1932"/>
    <hyperlink r:id="rId1885" ref="A1933"/>
    <hyperlink r:id="rId1886" ref="A1934"/>
    <hyperlink r:id="rId1887" ref="A1935"/>
    <hyperlink r:id="rId1888" ref="A1936"/>
    <hyperlink r:id="rId1889" ref="A1937"/>
    <hyperlink r:id="rId1890" ref="A1938"/>
    <hyperlink r:id="rId1891" ref="A1939"/>
    <hyperlink r:id="rId1892" ref="A1940"/>
    <hyperlink r:id="rId1893" ref="A1941"/>
    <hyperlink r:id="rId1894" ref="A1942"/>
    <hyperlink r:id="rId1895" ref="A1943"/>
    <hyperlink r:id="rId1896" ref="A1944"/>
    <hyperlink r:id="rId1897" ref="A1945"/>
    <hyperlink r:id="rId1898" ref="A1946"/>
    <hyperlink r:id="rId1899" ref="A1947"/>
    <hyperlink r:id="rId1900" ref="A1948"/>
    <hyperlink r:id="rId1901" ref="A1949"/>
    <hyperlink r:id="rId1902" ref="A1950"/>
    <hyperlink r:id="rId1903" ref="A1951"/>
    <hyperlink r:id="rId1904" ref="A1952"/>
    <hyperlink r:id="rId1905" ref="A1953"/>
    <hyperlink r:id="rId1906" ref="A1954"/>
    <hyperlink r:id="rId1907" ref="A1955"/>
    <hyperlink r:id="rId1908" ref="A1956"/>
    <hyperlink r:id="rId1909" ref="A1957"/>
    <hyperlink r:id="rId1910" ref="A1958"/>
    <hyperlink r:id="rId1911" ref="A1959"/>
    <hyperlink r:id="rId1912" ref="A1960"/>
    <hyperlink r:id="rId1913" ref="A1961"/>
    <hyperlink r:id="rId1914" ref="A1962"/>
    <hyperlink r:id="rId1915" ref="A1963"/>
    <hyperlink r:id="rId1916" ref="A1964"/>
    <hyperlink r:id="rId1917" ref="A1965"/>
    <hyperlink r:id="rId1918" ref="A1966"/>
    <hyperlink r:id="rId1919" ref="A1967"/>
    <hyperlink r:id="rId1920" ref="A1968"/>
    <hyperlink r:id="rId1921" ref="A1969"/>
    <hyperlink r:id="rId1922" ref="A1970"/>
    <hyperlink r:id="rId1923" ref="A1971"/>
    <hyperlink r:id="rId1924" ref="A1972"/>
    <hyperlink r:id="rId1925" ref="A1973"/>
    <hyperlink r:id="rId1926" ref="A1974"/>
    <hyperlink r:id="rId1927" ref="A1975"/>
    <hyperlink r:id="rId1928" ref="A1976"/>
    <hyperlink r:id="rId1929" ref="A1977"/>
    <hyperlink r:id="rId1930" ref="A1978"/>
    <hyperlink r:id="rId1931" ref="A1979"/>
    <hyperlink r:id="rId1932" ref="A1980"/>
    <hyperlink r:id="rId1933" ref="A1981"/>
    <hyperlink r:id="rId1934" ref="A1982"/>
    <hyperlink r:id="rId1935" ref="A1983"/>
    <hyperlink r:id="rId1936" ref="A1984"/>
    <hyperlink r:id="rId1937" ref="A1985"/>
    <hyperlink r:id="rId1938" ref="A1986"/>
    <hyperlink r:id="rId1939" ref="A1987"/>
    <hyperlink r:id="rId1940" ref="A1988"/>
    <hyperlink r:id="rId1941" ref="A1989"/>
    <hyperlink r:id="rId1942" ref="A1990"/>
    <hyperlink r:id="rId1943" ref="A1991"/>
    <hyperlink r:id="rId1944" ref="A1992"/>
    <hyperlink r:id="rId1945" ref="A1993"/>
    <hyperlink r:id="rId1946" ref="A1994"/>
    <hyperlink r:id="rId1947" ref="A1995"/>
    <hyperlink r:id="rId1948" ref="A1996"/>
    <hyperlink r:id="rId1949" ref="A1997"/>
    <hyperlink r:id="rId1950" ref="A1998"/>
    <hyperlink r:id="rId1951" ref="A1999"/>
    <hyperlink r:id="rId1952" ref="A2000"/>
  </hyperlinks>
  <drawing r:id="rId195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8" t="str">
        <f>Main!A1</f>
        <v>Product Code</v>
      </c>
      <c r="B1" s="108" t="str">
        <f>Main!B1</f>
        <v>Category</v>
      </c>
      <c r="C1" s="108" t="str">
        <f>Main!C1</f>
        <v>Sub Category</v>
      </c>
      <c r="D1" s="108" t="str">
        <f>Main!D1</f>
        <v>Specifications</v>
      </c>
      <c r="E1" s="115" t="str">
        <f>Main!E1</f>
        <v>No.  of Ups</v>
      </c>
      <c r="F1" s="108" t="str">
        <f>Main!F1</f>
        <v>Machine</v>
      </c>
      <c r="G1" s="108" t="str">
        <f>Main!J1</f>
        <v>GSM</v>
      </c>
      <c r="H1" s="108" t="str">
        <f>Main!K1</f>
        <v>Final Qty</v>
      </c>
      <c r="I1" s="108" t="str">
        <f>Main!L1</f>
        <v>Sheet Qty</v>
      </c>
      <c r="J1" s="109" t="str">
        <f>Main!AG1:AG1000</f>
        <v>SBS</v>
      </c>
      <c r="K1" s="109" t="str">
        <f>Main!AH1</f>
        <v>WhiteBack</v>
      </c>
      <c r="L1" s="109" t="str">
        <f>Main!AI1</f>
        <v>GreyBack</v>
      </c>
      <c r="M1" s="109" t="str">
        <f>Main!AJ1</f>
        <v>Art Card</v>
      </c>
      <c r="N1" s="109" t="str">
        <f>Main!AK1</f>
        <v>Maplitho</v>
      </c>
      <c r="O1" s="109" t="str">
        <f>Main!AL1</f>
        <v>Other Type</v>
      </c>
      <c r="P1" s="109" t="str">
        <f>Main!AN1</f>
        <v/>
      </c>
      <c r="Q1" s="109" t="str">
        <f>Main!AO1</f>
        <v/>
      </c>
      <c r="R1" s="109" t="str">
        <f>Main!AP1</f>
        <v/>
      </c>
      <c r="S1" s="109" t="str">
        <f>Main!AQ1</f>
        <v/>
      </c>
      <c r="T1" s="193" t="s">
        <v>31</v>
      </c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99" t="s">
        <v>37</v>
      </c>
      <c r="AF1" s="114" t="s">
        <v>36</v>
      </c>
      <c r="AG1" s="109" t="str">
        <f>Main!AR1</f>
        <v/>
      </c>
      <c r="AH1" s="109" t="str">
        <f>Main!AW1</f>
        <v>Lamination Thermal</v>
      </c>
      <c r="AI1" s="109" t="str">
        <f>Main!AX1</f>
        <v>Lamination Normal Gloss</v>
      </c>
      <c r="AJ1" s="115" t="str">
        <f>Main!AY1</f>
        <v>Lamination Normal Matt</v>
      </c>
      <c r="AK1" s="109" t="str">
        <f>Main!AZ1</f>
        <v>Varnish</v>
      </c>
      <c r="AL1" s="109" t="str">
        <f>Main!BC1</f>
        <v>UV Hybrid</v>
      </c>
      <c r="AM1" s="109" t="str">
        <f>Main!BD1</f>
        <v>Spot UV</v>
      </c>
      <c r="AN1" s="116" t="s">
        <v>74</v>
      </c>
      <c r="AO1" s="117" t="s">
        <v>42</v>
      </c>
      <c r="AP1" s="111" t="s">
        <v>43</v>
      </c>
      <c r="AQ1" s="111" t="s">
        <v>44</v>
      </c>
      <c r="AR1" s="117" t="s">
        <v>45</v>
      </c>
      <c r="AS1" s="117" t="s">
        <v>46</v>
      </c>
      <c r="AT1" s="117" t="s">
        <v>47</v>
      </c>
      <c r="AU1" s="25" t="s">
        <v>48</v>
      </c>
      <c r="AV1" s="25" t="s">
        <v>49</v>
      </c>
      <c r="AW1" s="25" t="s">
        <v>50</v>
      </c>
      <c r="AX1" s="108" t="s">
        <v>74</v>
      </c>
      <c r="AY1" s="88" t="s">
        <v>51</v>
      </c>
      <c r="AZ1" s="119" t="s">
        <v>52</v>
      </c>
      <c r="BA1" s="119" t="s">
        <v>53</v>
      </c>
      <c r="BB1" s="73"/>
      <c r="BC1" s="73"/>
      <c r="BD1" s="73"/>
      <c r="BE1" s="73" t="str">
        <f>Quotation!A37</f>
        <v>Offset</v>
      </c>
      <c r="BF1" s="73" t="str">
        <f>Quotation!B37</f>
        <v>Packaging</v>
      </c>
      <c r="BG1" s="73" t="str">
        <f>Quotation!B39</f>
        <v>Custom Paper</v>
      </c>
      <c r="BH1" s="73" t="str">
        <f>Quotation!B40</f>
        <v>Varnish</v>
      </c>
      <c r="BI1" s="73" t="str">
        <f>Quotation!C42</f>
        <v>Plain</v>
      </c>
      <c r="BJ1" s="73" t="str">
        <f>Quotation!C43</f>
        <v>Plain</v>
      </c>
      <c r="BK1" s="139" t="str">
        <f>Quotation!B43</f>
        <v>Plain</v>
      </c>
      <c r="BL1" s="80" t="str">
        <f>Quotation!A42</f>
        <v>New Job</v>
      </c>
      <c r="BM1" s="80"/>
      <c r="BN1" s="80"/>
      <c r="BO1" s="121" t="str">
        <f>Quotation!B39</f>
        <v>Custom Paper</v>
      </c>
      <c r="BP1" s="80"/>
      <c r="BQ1" s="80"/>
      <c r="BR1" s="80"/>
      <c r="BS1" s="233" t="str">
        <f>Quotation!B39</f>
        <v>Custom Paper</v>
      </c>
      <c r="BT1" s="80"/>
      <c r="BU1" s="80"/>
      <c r="BV1" s="80"/>
      <c r="BW1" s="80"/>
      <c r="BX1" s="80"/>
      <c r="BY1" s="80"/>
      <c r="BZ1" s="233" t="str">
        <f>Quotation!C39</f>
        <v>Custom</v>
      </c>
      <c r="CA1" s="80"/>
      <c r="CB1" s="80"/>
      <c r="CC1" s="80"/>
      <c r="CD1" s="233" t="str">
        <f>Quotation!D39</f>
        <v>GSM</v>
      </c>
      <c r="CE1" s="80"/>
      <c r="CF1" s="80"/>
      <c r="CG1" s="80"/>
      <c r="CH1" s="80"/>
    </row>
    <row r="2">
      <c r="A2" s="234" t="str">
        <f>Main!A10</f>
        <v/>
      </c>
      <c r="B2" s="107" t="str">
        <f>Main!B10</f>
        <v>All</v>
      </c>
      <c r="C2" s="107" t="str">
        <f>Main!C10</f>
        <v>Cashify</v>
      </c>
      <c r="D2" s="107" t="str">
        <f>Main!D10</f>
        <v>Custom Size</v>
      </c>
      <c r="E2" s="235">
        <f>Main!E10</f>
        <v>3</v>
      </c>
      <c r="F2" s="107">
        <f>Main!F10</f>
        <v>2029</v>
      </c>
      <c r="G2" s="107" t="str">
        <f>Quotation!C39</f>
        <v>Custom</v>
      </c>
      <c r="H2" s="107">
        <f>Quotation!E38</f>
        <v>30000</v>
      </c>
      <c r="I2" s="107">
        <f>Main!L10</f>
        <v>10080</v>
      </c>
      <c r="J2" s="125">
        <f>Main!AG10</f>
        <v>1.594233333</v>
      </c>
      <c r="K2" s="125">
        <f>J2</f>
        <v>1.594233333</v>
      </c>
      <c r="L2" s="125">
        <f>J2</f>
        <v>1.594233333</v>
      </c>
      <c r="M2" s="125">
        <f>J2</f>
        <v>1.594233333</v>
      </c>
      <c r="N2" s="125">
        <f>J2</f>
        <v>1.594233333</v>
      </c>
      <c r="O2" s="125">
        <f>Main!AL10</f>
        <v>35.94603333</v>
      </c>
      <c r="P2" s="109" t="str">
        <f>Main!AN10</f>
        <v/>
      </c>
      <c r="Q2" s="125" t="str">
        <f>Main!AO10</f>
        <v/>
      </c>
      <c r="R2" s="125" t="str">
        <f>Main!AP10</f>
        <v/>
      </c>
      <c r="S2" s="125" t="str">
        <f>Main!AQ10</f>
        <v/>
      </c>
      <c r="T2" s="125">
        <f>Main!AM10</f>
        <v>1.594233333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25">
        <f>Main!BB10</f>
        <v>2.733266667</v>
      </c>
      <c r="AF2" s="125">
        <f>Main!BA10</f>
        <v>0.5156666667</v>
      </c>
      <c r="AG2" s="125" t="str">
        <f>Main!AR10</f>
        <v/>
      </c>
      <c r="AH2" s="125">
        <f>Main!AW10</f>
        <v>1.6128</v>
      </c>
      <c r="AI2" s="125">
        <f>Main!AX10</f>
        <v>0.66528</v>
      </c>
      <c r="AJ2" s="126">
        <f>Main!AY10</f>
        <v>0.88704</v>
      </c>
      <c r="AK2" s="125">
        <f>Main!AZ10</f>
        <v>0.28224</v>
      </c>
      <c r="AL2" s="125">
        <f>Main!BC10</f>
        <v>0.9188666667</v>
      </c>
      <c r="AM2" s="125">
        <f>Main!BD10</f>
        <v>2.017586667</v>
      </c>
      <c r="AN2" s="76">
        <v>0.0</v>
      </c>
      <c r="AO2" s="47">
        <f>Main!BI10</f>
        <v>2.529920635</v>
      </c>
      <c r="AP2" s="47" t="str">
        <f>Main!BJ10</f>
        <v>#VALUE!</v>
      </c>
      <c r="AQ2" s="47" t="str">
        <f>Main!BK10</f>
        <v>#VALUE!</v>
      </c>
      <c r="AR2" s="47">
        <f>Main!BL10</f>
        <v>0.1599206349</v>
      </c>
      <c r="AS2" s="47">
        <f>Main!BM10</f>
        <v>0.1615873016</v>
      </c>
      <c r="AT2" s="47">
        <f>Main!BN10</f>
        <v>0.1632539683</v>
      </c>
      <c r="AU2" s="47">
        <f>Main!BO10</f>
        <v>0.009920634921</v>
      </c>
      <c r="AV2" s="47">
        <f>Main!BP10</f>
        <v>0.08002645503</v>
      </c>
      <c r="AW2" s="47">
        <f>Main!BQ10</f>
        <v>0.009920634921</v>
      </c>
      <c r="AX2" s="107">
        <v>0.0</v>
      </c>
      <c r="AY2" s="127" t="str">
        <f>Main!BR10</f>
        <v>#VALUE!</v>
      </c>
      <c r="AZ2" s="77">
        <f>Main!BS10</f>
        <v>5</v>
      </c>
      <c r="BA2" s="77">
        <f>Main!BT10</f>
        <v>6</v>
      </c>
      <c r="BB2" s="73"/>
      <c r="BC2" s="73"/>
      <c r="BD2" s="73"/>
      <c r="BE2" s="73"/>
      <c r="BF2" s="73"/>
      <c r="BG2" s="73"/>
      <c r="BH2" s="73"/>
      <c r="BI2" s="73"/>
      <c r="BJ2" s="73"/>
      <c r="BK2" s="233"/>
      <c r="BL2" s="80"/>
      <c r="BM2" s="80"/>
      <c r="BN2" s="80"/>
      <c r="BO2" s="80"/>
      <c r="BP2" s="80"/>
      <c r="BQ2" s="80"/>
      <c r="BR2" s="80"/>
      <c r="BS2" s="128" t="str">
        <f>IF(BS1="","","and BS = '"&amp;BS1&amp;"'")</f>
        <v>and BS = 'Custom Paper'</v>
      </c>
      <c r="BT2" s="80"/>
      <c r="BU2" s="80"/>
      <c r="BV2" s="80"/>
      <c r="BW2" s="80"/>
      <c r="BX2" s="80"/>
      <c r="BY2" s="80"/>
      <c r="BZ2" s="128" t="str">
        <f>IF(BZ1="","","and BX = '"&amp;BZ1&amp;"'")</f>
        <v>and BX = 'Custom'</v>
      </c>
      <c r="CA2" s="80"/>
      <c r="CB2" s="80"/>
      <c r="CC2" s="80"/>
      <c r="CD2" s="128" t="str">
        <f>IF(CD1="","","and CD = '"&amp;CD1&amp;"'")</f>
        <v>and CD = 'GSM'</v>
      </c>
      <c r="CE2" s="80"/>
      <c r="CF2" s="80"/>
      <c r="CG2" s="80"/>
      <c r="CH2" s="80"/>
    </row>
    <row r="3">
      <c r="A3" s="129" t="str">
        <f t="shared" ref="A3:S3" si="1">A1</f>
        <v>Product Code</v>
      </c>
      <c r="B3" s="129" t="str">
        <f t="shared" si="1"/>
        <v>Category</v>
      </c>
      <c r="C3" s="129" t="str">
        <f t="shared" si="1"/>
        <v>Sub Category</v>
      </c>
      <c r="D3" s="129" t="str">
        <f t="shared" si="1"/>
        <v>Specifications</v>
      </c>
      <c r="E3" s="129" t="str">
        <f t="shared" si="1"/>
        <v>No.  of Ups</v>
      </c>
      <c r="F3" s="129" t="str">
        <f t="shared" si="1"/>
        <v>Machine</v>
      </c>
      <c r="G3" s="129" t="str">
        <f t="shared" si="1"/>
        <v>GSM</v>
      </c>
      <c r="H3" s="129" t="str">
        <f t="shared" si="1"/>
        <v>Final Qty</v>
      </c>
      <c r="I3" s="129" t="str">
        <f t="shared" si="1"/>
        <v>Sheet Qty</v>
      </c>
      <c r="J3" s="129" t="str">
        <f t="shared" si="1"/>
        <v>SBS</v>
      </c>
      <c r="K3" s="108" t="str">
        <f t="shared" si="1"/>
        <v>WhiteBack</v>
      </c>
      <c r="L3" s="108" t="str">
        <f t="shared" si="1"/>
        <v>GreyBack</v>
      </c>
      <c r="M3" s="108" t="str">
        <f t="shared" si="1"/>
        <v>Art Card</v>
      </c>
      <c r="N3" s="108" t="str">
        <f t="shared" si="1"/>
        <v>Maplitho</v>
      </c>
      <c r="O3" s="129" t="str">
        <f t="shared" si="1"/>
        <v>Other Type</v>
      </c>
      <c r="P3" s="129" t="str">
        <f t="shared" si="1"/>
        <v/>
      </c>
      <c r="Q3" s="129" t="str">
        <f t="shared" si="1"/>
        <v/>
      </c>
      <c r="R3" s="129" t="str">
        <f t="shared" si="1"/>
        <v/>
      </c>
      <c r="S3" s="129" t="str">
        <f t="shared" si="1"/>
        <v/>
      </c>
      <c r="T3" s="193" t="s">
        <v>31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99" t="s">
        <v>37</v>
      </c>
      <c r="AF3" s="114" t="s">
        <v>36</v>
      </c>
      <c r="AG3" s="129" t="str">
        <f t="shared" ref="AG3:AN3" si="2">AG1</f>
        <v/>
      </c>
      <c r="AH3" s="129" t="str">
        <f t="shared" si="2"/>
        <v>Lamination Thermal</v>
      </c>
      <c r="AI3" s="129" t="str">
        <f t="shared" si="2"/>
        <v>Lamination Normal Gloss</v>
      </c>
      <c r="AJ3" s="129" t="str">
        <f t="shared" si="2"/>
        <v>Lamination Normal Matt</v>
      </c>
      <c r="AK3" s="129" t="str">
        <f t="shared" si="2"/>
        <v>Varnish</v>
      </c>
      <c r="AL3" s="129" t="str">
        <f t="shared" si="2"/>
        <v>UV Hybrid</v>
      </c>
      <c r="AM3" s="129" t="str">
        <f t="shared" si="2"/>
        <v>Spot UV</v>
      </c>
      <c r="AN3" s="129" t="str">
        <f t="shared" si="2"/>
        <v>Plain</v>
      </c>
      <c r="AO3" s="117" t="s">
        <v>42</v>
      </c>
      <c r="AP3" s="111" t="s">
        <v>43</v>
      </c>
      <c r="AQ3" s="111" t="s">
        <v>44</v>
      </c>
      <c r="AR3" s="117" t="s">
        <v>45</v>
      </c>
      <c r="AS3" s="117" t="s">
        <v>46</v>
      </c>
      <c r="AT3" s="117" t="s">
        <v>47</v>
      </c>
      <c r="AU3" s="25" t="s">
        <v>48</v>
      </c>
      <c r="AV3" s="25" t="s">
        <v>49</v>
      </c>
      <c r="AW3" s="25" t="s">
        <v>50</v>
      </c>
      <c r="AX3" s="129" t="str">
        <f>AX1</f>
        <v>Plain</v>
      </c>
      <c r="AY3" s="88" t="s">
        <v>51</v>
      </c>
      <c r="AZ3" s="119" t="s">
        <v>52</v>
      </c>
      <c r="BA3" s="119" t="s">
        <v>53</v>
      </c>
      <c r="BB3" s="73"/>
      <c r="BC3" s="73"/>
      <c r="BD3" s="73"/>
      <c r="BE3" s="134" t="str">
        <f>IF(BE1="","","and A = '"&amp;BE1&amp;"'")</f>
        <v>and A = 'Offset'</v>
      </c>
      <c r="BF3" s="134" t="str">
        <f>IF(BF1="","","and B = '"&amp;BF1&amp;"'")</f>
        <v>and B = 'Packaging'</v>
      </c>
      <c r="BG3" s="134" t="str">
        <f>IF(BF1="","","and M = '"&amp;BF1&amp;"'")</f>
        <v>and M = 'Packaging'</v>
      </c>
      <c r="BH3" s="113" t="str">
        <f>IF(BF1="","","and BF = '"&amp;BF1&amp;"'")</f>
        <v>and BF = 'Packaging'</v>
      </c>
      <c r="BI3" s="113" t="str">
        <f>IF(BG1="","","and AY = '"&amp;BG1&amp;"'")</f>
        <v>and AY = 'Custom Paper'</v>
      </c>
      <c r="BJ3" s="113" t="str">
        <f>IF(BH1="","","and BC = '"&amp;BH1&amp;"'")</f>
        <v>and BC = 'Varnish'</v>
      </c>
      <c r="BK3" s="113" t="str">
        <f>IF(BI1="","","and AW = '"&amp;BI1&amp;"'")</f>
        <v>and AW = 'Plain'</v>
      </c>
      <c r="BL3" s="113" t="str">
        <f>IF(BJ1="","","and AU = '"&amp;BJ1&amp;"'")</f>
        <v>and AU = 'Plain'</v>
      </c>
      <c r="BM3" s="113" t="str">
        <f>IF(BK1="","","and BC = '"&amp;BK1&amp;"'")</f>
        <v>and BC = 'Plain'</v>
      </c>
      <c r="BN3" s="113" t="str">
        <f>IF(BL1="","","and BA = '"&amp;BL1&amp;"'")</f>
        <v>and BA = 'New Job'</v>
      </c>
      <c r="BO3" s="128" t="str">
        <f>IF(BO1="","","and AW = '"&amp;BO1&amp;"'")</f>
        <v>and AW = 'Custom Paper'</v>
      </c>
      <c r="BP3" s="121"/>
      <c r="BQ3" s="121"/>
      <c r="BR3" s="121"/>
      <c r="BS3" s="128" t="str">
        <f>CONCATENATE("select * where 1=1",BS2)</f>
        <v>select * where 1=1and BS = 'Custom Paper'</v>
      </c>
      <c r="BT3" s="121"/>
      <c r="BU3" s="121"/>
      <c r="BV3" s="121"/>
      <c r="BW3" s="121"/>
      <c r="BX3" s="121"/>
      <c r="BY3" s="121"/>
      <c r="BZ3" s="128" t="str">
        <f>CONCATENATE("select * where 1=1",BZ2)</f>
        <v>select * where 1=1and BX = 'Custom'</v>
      </c>
      <c r="CA3" s="121"/>
      <c r="CB3" s="121"/>
      <c r="CC3" s="121"/>
      <c r="CD3" s="128" t="str">
        <f>CONCATENATE("select * where 1=1",CD2)</f>
        <v>select * where 1=1and CD = 'GSM'</v>
      </c>
      <c r="CE3" s="121"/>
      <c r="CF3" s="121"/>
      <c r="CG3" s="121"/>
      <c r="CH3" s="121"/>
    </row>
    <row r="4">
      <c r="A4" s="234" t="str">
        <f t="shared" ref="A4:G4" si="3">A2</f>
        <v/>
      </c>
      <c r="B4" s="107" t="str">
        <f t="shared" si="3"/>
        <v>All</v>
      </c>
      <c r="C4" s="107" t="str">
        <f t="shared" si="3"/>
        <v>Cashify</v>
      </c>
      <c r="D4" s="107" t="str">
        <f t="shared" si="3"/>
        <v>Custom Size</v>
      </c>
      <c r="E4" s="235">
        <f t="shared" si="3"/>
        <v>3</v>
      </c>
      <c r="F4" s="107">
        <f t="shared" si="3"/>
        <v>2029</v>
      </c>
      <c r="G4" s="107" t="str">
        <f t="shared" si="3"/>
        <v>Custom</v>
      </c>
      <c r="H4" s="130">
        <f>Quotation!E39</f>
        <v>35000</v>
      </c>
      <c r="I4" s="107">
        <f>Main!L11</f>
        <v>11747</v>
      </c>
      <c r="J4" s="125">
        <f>Main!AG11</f>
        <v>1.589</v>
      </c>
      <c r="K4" s="125">
        <f>J4</f>
        <v>1.589</v>
      </c>
      <c r="L4" s="131">
        <f>J4</f>
        <v>1.589</v>
      </c>
      <c r="M4" s="131">
        <f>J4</f>
        <v>1.589</v>
      </c>
      <c r="N4" s="131">
        <f>J4</f>
        <v>1.589</v>
      </c>
      <c r="O4" s="125">
        <f>Main!AL11</f>
        <v>35.90282857</v>
      </c>
      <c r="P4" s="109" t="str">
        <f>Main!AN11</f>
        <v/>
      </c>
      <c r="Q4" s="125" t="str">
        <f>Main!AO11</f>
        <v/>
      </c>
      <c r="R4" s="125" t="str">
        <f>Main!AP11</f>
        <v/>
      </c>
      <c r="S4" s="125" t="str">
        <f>Main!AQ11</f>
        <v/>
      </c>
      <c r="T4" s="125">
        <f>Main!AM11</f>
        <v>1.589</v>
      </c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25">
        <f>Main!BB11</f>
        <v>2.728591429</v>
      </c>
      <c r="AF4" s="125">
        <f>Main!BA11</f>
        <v>0.5134428571</v>
      </c>
      <c r="AG4" s="125" t="str">
        <f>Main!AR11</f>
        <v/>
      </c>
      <c r="AH4" s="125">
        <f>Main!AW11</f>
        <v>1.611017143</v>
      </c>
      <c r="AI4" s="125">
        <f>Main!AX11</f>
        <v>0.6645445714</v>
      </c>
      <c r="AJ4" s="126">
        <f>Main!AY11</f>
        <v>0.8860594286</v>
      </c>
      <c r="AK4" s="125">
        <f>Main!AZ11</f>
        <v>0.281928</v>
      </c>
      <c r="AL4" s="125">
        <f>Main!BC11</f>
        <v>0.9161971429</v>
      </c>
      <c r="AM4" s="125">
        <f>Main!BD11</f>
        <v>2.013702571</v>
      </c>
      <c r="AN4" s="76">
        <v>0.0</v>
      </c>
      <c r="AO4" s="47">
        <f>Main!BI11</f>
        <v>2.525727097</v>
      </c>
      <c r="AP4" s="47" t="str">
        <f>Main!BJ11</f>
        <v>#VALUE!</v>
      </c>
      <c r="AQ4" s="47" t="str">
        <f>Main!BK11</f>
        <v>#VALUE!</v>
      </c>
      <c r="AR4" s="47">
        <f>Main!BL11</f>
        <v>0.1585128118</v>
      </c>
      <c r="AS4" s="47">
        <f>Main!BM11</f>
        <v>0.1599413832</v>
      </c>
      <c r="AT4" s="47">
        <f>Main!BN11</f>
        <v>0.1613699546</v>
      </c>
      <c r="AU4" s="47">
        <f>Main!BO11</f>
        <v>0.008512811782</v>
      </c>
      <c r="AV4" s="47">
        <f>Main!BP11</f>
        <v>0.08002043075</v>
      </c>
      <c r="AW4" s="47">
        <f>Main!BQ11</f>
        <v>0.008512811782</v>
      </c>
      <c r="AX4" s="107">
        <v>0.0</v>
      </c>
      <c r="AY4" s="132" t="str">
        <f>Main!BR11</f>
        <v>#VALUE!</v>
      </c>
      <c r="AZ4" s="77">
        <f>Main!BS11</f>
        <v>5</v>
      </c>
      <c r="BA4" s="77">
        <f>Main!BT11</f>
        <v>6</v>
      </c>
      <c r="BB4" s="73"/>
      <c r="BC4" s="73"/>
      <c r="BD4" s="73"/>
      <c r="BE4" s="134" t="str">
        <f t="shared" ref="BE4:BO4" si="4">CONCATENATE("select * where 1=1",BE3)</f>
        <v>select * where 1=1and A = 'Offset'</v>
      </c>
      <c r="BF4" s="134" t="str">
        <f t="shared" si="4"/>
        <v>select * where 1=1and B = 'Packaging'</v>
      </c>
      <c r="BG4" s="134" t="str">
        <f t="shared" si="4"/>
        <v>select * where 1=1and M = 'Packaging'</v>
      </c>
      <c r="BH4" s="134" t="str">
        <f t="shared" si="4"/>
        <v>select * where 1=1and BF = 'Packaging'</v>
      </c>
      <c r="BI4" s="134" t="str">
        <f t="shared" si="4"/>
        <v>select * where 1=1and AY = 'Custom Paper'</v>
      </c>
      <c r="BJ4" s="134" t="str">
        <f t="shared" si="4"/>
        <v>select * where 1=1and BC = 'Varnish'</v>
      </c>
      <c r="BK4" s="134" t="str">
        <f t="shared" si="4"/>
        <v>select * where 1=1and AW = 'Plain'</v>
      </c>
      <c r="BL4" s="134" t="str">
        <f t="shared" si="4"/>
        <v>select * where 1=1and AU = 'Plain'</v>
      </c>
      <c r="BM4" s="134" t="str">
        <f t="shared" si="4"/>
        <v>select * where 1=1and BC = 'Plain'</v>
      </c>
      <c r="BN4" s="134" t="str">
        <f t="shared" si="4"/>
        <v>select * where 1=1and BA = 'New Job'</v>
      </c>
      <c r="BO4" s="133" t="str">
        <f t="shared" si="4"/>
        <v>select * where 1=1and AW = 'Custom Paper'</v>
      </c>
      <c r="BP4" s="134"/>
      <c r="BQ4" s="134"/>
      <c r="BR4" s="134"/>
      <c r="BS4" s="134"/>
      <c r="BT4" s="134"/>
      <c r="BU4" s="134"/>
      <c r="BV4" s="134"/>
      <c r="BW4" s="73"/>
      <c r="BX4" s="134" t="s">
        <v>71</v>
      </c>
      <c r="BY4" s="134" t="s">
        <v>71</v>
      </c>
      <c r="BZ4" s="134"/>
      <c r="CA4" s="134"/>
      <c r="CB4" s="134"/>
      <c r="CC4" s="134"/>
      <c r="CD4" s="88" t="s">
        <v>9</v>
      </c>
      <c r="CE4" s="135" t="str">
        <f>Quotation!D40</f>
        <v>90</v>
      </c>
      <c r="CF4" s="134"/>
      <c r="CG4" s="134"/>
      <c r="CH4" s="134"/>
    </row>
    <row r="5">
      <c r="A5" s="129" t="str">
        <f t="shared" ref="A5:S5" si="5">A1</f>
        <v>Product Code</v>
      </c>
      <c r="B5" s="129" t="str">
        <f t="shared" si="5"/>
        <v>Category</v>
      </c>
      <c r="C5" s="129" t="str">
        <f t="shared" si="5"/>
        <v>Sub Category</v>
      </c>
      <c r="D5" s="129" t="str">
        <f t="shared" si="5"/>
        <v>Specifications</v>
      </c>
      <c r="E5" s="129" t="str">
        <f t="shared" si="5"/>
        <v>No.  of Ups</v>
      </c>
      <c r="F5" s="129" t="str">
        <f t="shared" si="5"/>
        <v>Machine</v>
      </c>
      <c r="G5" s="129" t="str">
        <f t="shared" si="5"/>
        <v>GSM</v>
      </c>
      <c r="H5" s="129" t="str">
        <f t="shared" si="5"/>
        <v>Final Qty</v>
      </c>
      <c r="I5" s="129" t="str">
        <f t="shared" si="5"/>
        <v>Sheet Qty</v>
      </c>
      <c r="J5" s="129" t="str">
        <f t="shared" si="5"/>
        <v>SBS</v>
      </c>
      <c r="K5" s="108" t="str">
        <f t="shared" si="5"/>
        <v>WhiteBack</v>
      </c>
      <c r="L5" s="108" t="str">
        <f t="shared" si="5"/>
        <v>GreyBack</v>
      </c>
      <c r="M5" s="108" t="str">
        <f t="shared" si="5"/>
        <v>Art Card</v>
      </c>
      <c r="N5" s="108" t="str">
        <f t="shared" si="5"/>
        <v>Maplitho</v>
      </c>
      <c r="O5" s="129" t="str">
        <f t="shared" si="5"/>
        <v>Other Type</v>
      </c>
      <c r="P5" s="129" t="str">
        <f t="shared" si="5"/>
        <v/>
      </c>
      <c r="Q5" s="129" t="str">
        <f t="shared" si="5"/>
        <v/>
      </c>
      <c r="R5" s="129" t="str">
        <f t="shared" si="5"/>
        <v/>
      </c>
      <c r="S5" s="129" t="str">
        <f t="shared" si="5"/>
        <v/>
      </c>
      <c r="T5" s="193" t="s">
        <v>31</v>
      </c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99" t="s">
        <v>37</v>
      </c>
      <c r="AF5" s="114" t="s">
        <v>36</v>
      </c>
      <c r="AG5" s="129" t="str">
        <f t="shared" ref="AG5:AN5" si="6">AG1</f>
        <v/>
      </c>
      <c r="AH5" s="129" t="str">
        <f t="shared" si="6"/>
        <v>Lamination Thermal</v>
      </c>
      <c r="AI5" s="129" t="str">
        <f t="shared" si="6"/>
        <v>Lamination Normal Gloss</v>
      </c>
      <c r="AJ5" s="129" t="str">
        <f t="shared" si="6"/>
        <v>Lamination Normal Matt</v>
      </c>
      <c r="AK5" s="129" t="str">
        <f t="shared" si="6"/>
        <v>Varnish</v>
      </c>
      <c r="AL5" s="129" t="str">
        <f t="shared" si="6"/>
        <v>UV Hybrid</v>
      </c>
      <c r="AM5" s="129" t="str">
        <f t="shared" si="6"/>
        <v>Spot UV</v>
      </c>
      <c r="AN5" s="129" t="str">
        <f t="shared" si="6"/>
        <v>Plain</v>
      </c>
      <c r="AO5" s="117" t="s">
        <v>42</v>
      </c>
      <c r="AP5" s="111" t="s">
        <v>43</v>
      </c>
      <c r="AQ5" s="111" t="s">
        <v>44</v>
      </c>
      <c r="AR5" s="117" t="s">
        <v>45</v>
      </c>
      <c r="AS5" s="117" t="s">
        <v>46</v>
      </c>
      <c r="AT5" s="117" t="s">
        <v>47</v>
      </c>
      <c r="AU5" s="25" t="s">
        <v>48</v>
      </c>
      <c r="AV5" s="25" t="s">
        <v>49</v>
      </c>
      <c r="AW5" s="25" t="s">
        <v>50</v>
      </c>
      <c r="AX5" s="129" t="str">
        <f>AX1</f>
        <v>Plain</v>
      </c>
      <c r="AY5" s="88" t="s">
        <v>51</v>
      </c>
      <c r="AZ5" s="119" t="s">
        <v>52</v>
      </c>
      <c r="BA5" s="119" t="s">
        <v>53</v>
      </c>
      <c r="BB5" s="73"/>
      <c r="BC5" s="73"/>
      <c r="BD5" s="88" t="s">
        <v>176</v>
      </c>
      <c r="BE5" s="80"/>
      <c r="BF5" s="88"/>
      <c r="BG5" s="88"/>
      <c r="BH5" s="88"/>
      <c r="BI5" s="88"/>
      <c r="BJ5" s="80" t="s">
        <v>74</v>
      </c>
      <c r="BK5" s="233"/>
      <c r="BL5" s="80"/>
      <c r="BM5" s="80"/>
      <c r="BN5" s="80"/>
      <c r="BO5" s="54"/>
      <c r="BP5" s="54" t="s">
        <v>74</v>
      </c>
      <c r="BQ5" s="54" t="s">
        <v>71</v>
      </c>
      <c r="BR5" s="80"/>
      <c r="BS5" s="73" t="s">
        <v>14</v>
      </c>
      <c r="BT5" s="113" t="s">
        <v>177</v>
      </c>
      <c r="BU5" s="73" t="s">
        <v>178</v>
      </c>
      <c r="BV5" s="77">
        <f>Price!$P$2</f>
        <v>85</v>
      </c>
      <c r="BW5" s="160" t="str">
        <f>IFERROR(__xludf.DUMMYFUNCTION("QUERY(BS5:BV60,BS3)"),"Custom Paper")</f>
        <v>Custom Paper</v>
      </c>
      <c r="BX5" s="80" t="str">
        <f>IFERROR(__xludf.DUMMYFUNCTION("""COMPUTED_VALUE"""),"Custom")</f>
        <v>Custom</v>
      </c>
      <c r="BY5" s="80"/>
      <c r="BZ5" s="107">
        <f>IFERROR(__xludf.DUMMYFUNCTION("""COMPUTED_VALUE"""),105.0)</f>
        <v>105</v>
      </c>
      <c r="CA5" s="139" t="str">
        <f>IFERROR(__xludf.DUMMYFUNCTION("(QUERY(BX5:BZ42,BZ3))"),"Custom")</f>
        <v>Custom</v>
      </c>
      <c r="CB5" s="80"/>
      <c r="CC5" s="107">
        <f>IFERROR(__xludf.DUMMYFUNCTION("""COMPUTED_VALUE"""),105.0)</f>
        <v>105</v>
      </c>
      <c r="CD5" s="80" t="str">
        <f t="shared" ref="CD5:CD42" si="8">BY5</f>
        <v/>
      </c>
      <c r="CE5" s="80" t="str">
        <f t="shared" ref="CE5:CE40" si="9">CD5</f>
        <v/>
      </c>
      <c r="CF5" s="139" t="str">
        <f>IFERROR(__xludf.DUMMYFUNCTION("QUERY(CD4:CE42,CD3)"),"GSM")</f>
        <v>GSM</v>
      </c>
      <c r="CG5" s="139" t="str">
        <f>IFERROR(__xludf.DUMMYFUNCTION("""COMPUTED_VALUE"""),"90")</f>
        <v>90</v>
      </c>
      <c r="CH5" s="139"/>
    </row>
    <row r="6">
      <c r="A6" s="234" t="str">
        <f t="shared" ref="A6:G6" si="7">A2</f>
        <v/>
      </c>
      <c r="B6" s="107" t="str">
        <f t="shared" si="7"/>
        <v>All</v>
      </c>
      <c r="C6" s="107" t="str">
        <f t="shared" si="7"/>
        <v>Cashify</v>
      </c>
      <c r="D6" s="107" t="str">
        <f t="shared" si="7"/>
        <v>Custom Size</v>
      </c>
      <c r="E6" s="235">
        <f t="shared" si="7"/>
        <v>3</v>
      </c>
      <c r="F6" s="107">
        <f t="shared" si="7"/>
        <v>2029</v>
      </c>
      <c r="G6" s="107" t="str">
        <f t="shared" si="7"/>
        <v>Custom</v>
      </c>
      <c r="H6" s="130" t="str">
        <f>Quotation!E40</f>
        <v/>
      </c>
      <c r="I6" s="107">
        <f>Main!L12</f>
        <v>80</v>
      </c>
      <c r="J6" s="125" t="str">
        <f>Main!AG12</f>
        <v>#DIV/0!</v>
      </c>
      <c r="K6" s="125" t="str">
        <f>J6</f>
        <v>#DIV/0!</v>
      </c>
      <c r="L6" s="131" t="str">
        <f>J6</f>
        <v>#DIV/0!</v>
      </c>
      <c r="M6" s="131" t="str">
        <f>J6</f>
        <v>#DIV/0!</v>
      </c>
      <c r="N6" s="131" t="str">
        <f>J6</f>
        <v>#DIV/0!</v>
      </c>
      <c r="O6" s="125" t="str">
        <f>Main!AL12</f>
        <v>#DIV/0!</v>
      </c>
      <c r="P6" s="109" t="str">
        <f>Main!AN12</f>
        <v/>
      </c>
      <c r="Q6" s="125" t="str">
        <f>Main!AO12</f>
        <v/>
      </c>
      <c r="R6" s="125" t="str">
        <f>Main!AP12</f>
        <v/>
      </c>
      <c r="S6" s="125" t="str">
        <f>Main!AQ12</f>
        <v/>
      </c>
      <c r="T6" s="125" t="str">
        <f>Main!AM12</f>
        <v>#DIV/0!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25" t="str">
        <f>Main!BB12</f>
        <v>#DIV/0!</v>
      </c>
      <c r="AF6" s="125" t="str">
        <f>Main!BA12</f>
        <v>#DIV/0!</v>
      </c>
      <c r="AG6" s="125" t="str">
        <f>Main!AR12</f>
        <v/>
      </c>
      <c r="AH6" s="125" t="str">
        <f>Main!AW12</f>
        <v>#DIV/0!</v>
      </c>
      <c r="AI6" s="125" t="str">
        <f>Main!AX12</f>
        <v>#DIV/0!</v>
      </c>
      <c r="AJ6" s="126" t="str">
        <f>Main!AY12</f>
        <v>#DIV/0!</v>
      </c>
      <c r="AK6" s="125" t="str">
        <f>Main!AZ12</f>
        <v>#DIV/0!</v>
      </c>
      <c r="AL6" s="125" t="str">
        <f>Main!BC12</f>
        <v>#DIV/0!</v>
      </c>
      <c r="AM6" s="125" t="str">
        <f>Main!BD12</f>
        <v>#DIV/0!</v>
      </c>
      <c r="AN6" s="76">
        <v>0.0</v>
      </c>
      <c r="AO6" s="47" t="str">
        <f>Main!BI12</f>
        <v>#DIV/0!</v>
      </c>
      <c r="AP6" s="47" t="str">
        <f>Main!BJ12</f>
        <v>#VALUE!</v>
      </c>
      <c r="AQ6" s="47" t="str">
        <f>Main!BK12</f>
        <v>#VALUE!</v>
      </c>
      <c r="AR6" s="47" t="str">
        <f>Main!BL12</f>
        <v>#N/A</v>
      </c>
      <c r="AS6" s="47" t="str">
        <f>Main!BM12</f>
        <v>#DIV/0!</v>
      </c>
      <c r="AT6" s="47" t="str">
        <f>Main!BN12</f>
        <v>#DIV/0!</v>
      </c>
      <c r="AU6" s="47">
        <f>Main!BO12</f>
        <v>1.25</v>
      </c>
      <c r="AV6" s="47">
        <f>Main!BP12</f>
        <v>1.25</v>
      </c>
      <c r="AW6" s="47">
        <f>Main!BQ12</f>
        <v>1.25</v>
      </c>
      <c r="AX6" s="107">
        <v>0.0</v>
      </c>
      <c r="AY6" s="132" t="str">
        <f>Main!BR12</f>
        <v>#VALUE!</v>
      </c>
      <c r="AZ6" s="77" t="str">
        <f>Main!BS12</f>
        <v>#DIV/0!</v>
      </c>
      <c r="BA6" s="77" t="str">
        <f>Main!BT12</f>
        <v>#DIV/0!</v>
      </c>
      <c r="BB6" s="73"/>
      <c r="BC6" s="139" t="str">
        <f>IFERROR(__xludf.DUMMYFUNCTION("UNIQUE(QUERY(Item!M1:N1000,BG4))"),"Packaging")</f>
        <v>Packaging</v>
      </c>
      <c r="BD6" s="73" t="str">
        <f>IFERROR(__xludf.DUMMYFUNCTION("""COMPUTED_VALUE"""),"Agarbatti")</f>
        <v>Agarbatti</v>
      </c>
      <c r="BE6" s="139" t="str">
        <f>IFERROR(__xludf.DUMMYFUNCTION("UNIQUE(QUERY(Item!A2:B1000,BE4))"),"Offset")</f>
        <v>Offset</v>
      </c>
      <c r="BF6" s="88" t="str">
        <f>IFERROR(__xludf.DUMMYFUNCTION("""COMPUTED_VALUE"""),"Packaging")</f>
        <v>Packaging</v>
      </c>
      <c r="BG6" s="113" t="str">
        <f>IFERROR(__xludf.DUMMYFUNCTION("UNIQUE(QUERY(Item!A2:L1000,BF4))"),"Offset")</f>
        <v>Offset</v>
      </c>
      <c r="BH6" s="113" t="str">
        <f>IFERROR(__xludf.DUMMYFUNCTION("""COMPUTED_VALUE"""),"Packaging")</f>
        <v>Packaging</v>
      </c>
      <c r="BI6" s="182" t="str">
        <f>IFERROR(__xludf.DUMMYFUNCTION("""COMPUTED_VALUE"""),"SBS")</f>
        <v>SBS</v>
      </c>
      <c r="BJ6" s="73" t="str">
        <f>IFERROR(__xludf.DUMMYFUNCTION("""COMPUTED_VALUE"""),"Carry Bag Single Pasting")</f>
        <v>Carry Bag Single Pasting</v>
      </c>
      <c r="BK6" s="233" t="str">
        <f>IFERROR(__xludf.DUMMYFUNCTION("""COMPUTED_VALUE"""),"Lamination Thermal")</f>
        <v>Lamination Thermal</v>
      </c>
      <c r="BL6" s="80" t="str">
        <f>IFERROR(__xludf.DUMMYFUNCTION("""COMPUTED_VALUE"""),"Single Colour")</f>
        <v>Single Colour</v>
      </c>
      <c r="BM6" s="107">
        <f>IFERROR(__xludf.DUMMYFUNCTION("""COMPUTED_VALUE"""),1.0)</f>
        <v>1</v>
      </c>
      <c r="BN6" s="107">
        <f>IFERROR(__xludf.DUMMYFUNCTION("""COMPUTED_VALUE"""),1926.0)</f>
        <v>1926</v>
      </c>
      <c r="BO6" s="80" t="str">
        <f>IFERROR(__xludf.DUMMYFUNCTION("""COMPUTED_VALUE"""),"New Job")</f>
        <v>New Job</v>
      </c>
      <c r="BP6" s="80" t="str">
        <f>IFERROR(__xludf.DUMMYFUNCTION("""COMPUTED_VALUE"""),"Leafing")</f>
        <v>Leafing</v>
      </c>
      <c r="BQ6" s="80" t="str">
        <f>IFERROR(__xludf.DUMMYFUNCTION("""COMPUTED_VALUE"""),"Yes")</f>
        <v>Yes</v>
      </c>
      <c r="BR6" s="80" t="str">
        <f>IFERROR(__xludf.DUMMYFUNCTION("""COMPUTED_VALUE"""),"Normal")</f>
        <v>Normal</v>
      </c>
      <c r="BS6" s="73" t="s">
        <v>14</v>
      </c>
      <c r="BT6" s="88" t="s">
        <v>179</v>
      </c>
      <c r="BU6" s="73" t="s">
        <v>180</v>
      </c>
      <c r="BV6" s="77">
        <f>Price!$P$3</f>
        <v>80</v>
      </c>
      <c r="BW6" s="73"/>
      <c r="BX6" s="80"/>
      <c r="BY6" s="80"/>
      <c r="BZ6" s="80"/>
      <c r="CA6" s="80"/>
      <c r="CB6" s="80"/>
      <c r="CC6" s="80"/>
      <c r="CD6" s="80" t="str">
        <f t="shared" si="8"/>
        <v/>
      </c>
      <c r="CE6" s="80" t="str">
        <f t="shared" si="9"/>
        <v/>
      </c>
      <c r="CF6" s="80"/>
      <c r="CG6" s="80"/>
      <c r="CH6" s="80"/>
    </row>
    <row r="7">
      <c r="A7" s="73" t="s">
        <v>181</v>
      </c>
      <c r="B7" s="73" t="str">
        <f>Quotation!A37</f>
        <v>Offset</v>
      </c>
      <c r="C7" s="80"/>
      <c r="D7" s="73"/>
      <c r="E7" s="140"/>
      <c r="F7" s="128" t="str">
        <f>IF(B8="","","and Q = '"&amp;B8&amp;"'")</f>
        <v>and Q = 'Packaging'</v>
      </c>
      <c r="G7" s="80"/>
      <c r="H7" s="73"/>
      <c r="I7" s="73"/>
      <c r="J7" s="73"/>
      <c r="K7" s="73"/>
      <c r="L7" s="73"/>
      <c r="M7" s="73"/>
      <c r="N7" s="73"/>
      <c r="O7" s="73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15"/>
      <c r="AK7" s="80"/>
      <c r="AL7" s="80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 t="str">
        <f>IFERROR(__xludf.DUMMYFUNCTION("""COMPUTED_VALUE"""),"Packaging")</f>
        <v>Packaging</v>
      </c>
      <c r="BD7" s="73" t="str">
        <f>IFERROR(__xludf.DUMMYFUNCTION("""COMPUTED_VALUE"""),"Apparel")</f>
        <v>Apparel</v>
      </c>
      <c r="BE7" s="80" t="str">
        <f>IFERROR(__xludf.DUMMYFUNCTION("""COMPUTED_VALUE"""),"Offset")</f>
        <v>Offset</v>
      </c>
      <c r="BF7" s="88" t="str">
        <f>IFERROR(__xludf.DUMMYFUNCTION("""COMPUTED_VALUE"""),"Commercial")</f>
        <v>Commercial</v>
      </c>
      <c r="BG7" s="113" t="str">
        <f>IFERROR(__xludf.DUMMYFUNCTION("""COMPUTED_VALUE"""),"Offset")</f>
        <v>Offset</v>
      </c>
      <c r="BH7" s="113" t="str">
        <f>IFERROR(__xludf.DUMMYFUNCTION("""COMPUTED_VALUE"""),"Packaging")</f>
        <v>Packaging</v>
      </c>
      <c r="BI7" s="73" t="str">
        <f>IFERROR(__xludf.DUMMYFUNCTION("""COMPUTED_VALUE"""),"WhiteBack")</f>
        <v>WhiteBack</v>
      </c>
      <c r="BJ7" s="73" t="str">
        <f>IFERROR(__xludf.DUMMYFUNCTION("""COMPUTED_VALUE"""),"Carry Bag Double Pasting")</f>
        <v>Carry Bag Double Pasting</v>
      </c>
      <c r="BK7" s="233" t="str">
        <f>IFERROR(__xludf.DUMMYFUNCTION("""COMPUTED_VALUE"""),"Lamination Normal Gloss")</f>
        <v>Lamination Normal Gloss</v>
      </c>
      <c r="BL7" s="80" t="str">
        <f>IFERROR(__xludf.DUMMYFUNCTION("""COMPUTED_VALUE"""),"Double Colour")</f>
        <v>Double Colour</v>
      </c>
      <c r="BM7" s="107">
        <f>IFERROR(__xludf.DUMMYFUNCTION("""COMPUTED_VALUE"""),2.0)</f>
        <v>2</v>
      </c>
      <c r="BN7" s="107">
        <f>IFERROR(__xludf.DUMMYFUNCTION("""COMPUTED_VALUE"""),2029.0)</f>
        <v>2029</v>
      </c>
      <c r="BO7" s="80" t="str">
        <f>IFERROR(__xludf.DUMMYFUNCTION("""COMPUTED_VALUE"""),"Repeat Job")</f>
        <v>Repeat Job</v>
      </c>
      <c r="BP7" s="80" t="str">
        <f>IFERROR(__xludf.DUMMYFUNCTION("""COMPUTED_VALUE"""),"Leafing")</f>
        <v>Leafing</v>
      </c>
      <c r="BQ7" s="80" t="str">
        <f>IFERROR(__xludf.DUMMYFUNCTION("""COMPUTED_VALUE"""),"N/A")</f>
        <v>N/A</v>
      </c>
      <c r="BR7" s="80" t="str">
        <f>IFERROR(__xludf.DUMMYFUNCTION("""COMPUTED_VALUE"""),"Normal")</f>
        <v>Normal</v>
      </c>
      <c r="BS7" s="73" t="s">
        <v>14</v>
      </c>
      <c r="BT7" s="88" t="s">
        <v>68</v>
      </c>
      <c r="BU7" s="88" t="s">
        <v>182</v>
      </c>
      <c r="BV7" s="77">
        <f>Price!$P$4</f>
        <v>82</v>
      </c>
      <c r="BW7" s="73"/>
      <c r="BX7" s="80"/>
      <c r="BY7" s="80"/>
      <c r="BZ7" s="80"/>
      <c r="CA7" s="80"/>
      <c r="CB7" s="80"/>
      <c r="CC7" s="80"/>
      <c r="CD7" s="80" t="str">
        <f t="shared" si="8"/>
        <v/>
      </c>
      <c r="CE7" s="80" t="str">
        <f t="shared" si="9"/>
        <v/>
      </c>
      <c r="CF7" s="80"/>
      <c r="CG7" s="80"/>
      <c r="CH7" s="80"/>
    </row>
    <row r="8">
      <c r="A8" s="73" t="s">
        <v>183</v>
      </c>
      <c r="B8" s="73" t="str">
        <f>Quotation!B37</f>
        <v>Packaging</v>
      </c>
      <c r="C8" s="80"/>
      <c r="D8" s="73"/>
      <c r="E8" s="140"/>
      <c r="F8" s="128" t="str">
        <f>IF(B7="","","and P = '"&amp;B7&amp;"'")</f>
        <v>and P = 'Offset'</v>
      </c>
      <c r="G8" s="80"/>
      <c r="H8" s="73"/>
      <c r="I8" s="73"/>
      <c r="J8" s="73"/>
      <c r="K8" s="73"/>
      <c r="L8" s="73"/>
      <c r="M8" s="73"/>
      <c r="N8" s="73"/>
      <c r="O8" s="73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15"/>
      <c r="AK8" s="80"/>
      <c r="AL8" s="80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 t="str">
        <f>IFERROR(__xludf.DUMMYFUNCTION("""COMPUTED_VALUE"""),"Packaging")</f>
        <v>Packaging</v>
      </c>
      <c r="BD8" s="73" t="str">
        <f>IFERROR(__xludf.DUMMYFUNCTION("""COMPUTED_VALUE"""),"Artsbury")</f>
        <v>Artsbury</v>
      </c>
      <c r="BE8" s="80" t="str">
        <f>IFERROR(__xludf.DUMMYFUNCTION("""COMPUTED_VALUE"""),"Offset")</f>
        <v>Offset</v>
      </c>
      <c r="BF8" s="80" t="str">
        <f>IFERROR(__xludf.DUMMYFUNCTION("""COMPUTED_VALUE"""),"Booklet")</f>
        <v>Booklet</v>
      </c>
      <c r="BG8" s="113" t="str">
        <f>IFERROR(__xludf.DUMMYFUNCTION("""COMPUTED_VALUE"""),"Offset")</f>
        <v>Offset</v>
      </c>
      <c r="BH8" s="113" t="str">
        <f>IFERROR(__xludf.DUMMYFUNCTION("""COMPUTED_VALUE"""),"Packaging")</f>
        <v>Packaging</v>
      </c>
      <c r="BI8" s="118" t="str">
        <f>IFERROR(__xludf.DUMMYFUNCTION("""COMPUTED_VALUE"""),"GreyBack")</f>
        <v>GreyBack</v>
      </c>
      <c r="BJ8" s="73" t="str">
        <f>IFERROR(__xludf.DUMMYFUNCTION("""COMPUTED_VALUE"""),"Plain")</f>
        <v>Plain</v>
      </c>
      <c r="BK8" s="233" t="str">
        <f>IFERROR(__xludf.DUMMYFUNCTION("""COMPUTED_VALUE"""),"Lamination Normal Matt")</f>
        <v>Lamination Normal Matt</v>
      </c>
      <c r="BL8" s="80" t="str">
        <f>IFERROR(__xludf.DUMMYFUNCTION("""COMPUTED_VALUE"""),"Four Colour")</f>
        <v>Four Colour</v>
      </c>
      <c r="BM8" s="107">
        <f>IFERROR(__xludf.DUMMYFUNCTION("""COMPUTED_VALUE"""),4.0)</f>
        <v>4</v>
      </c>
      <c r="BN8" s="107">
        <f>IFERROR(__xludf.DUMMYFUNCTION("""COMPUTED_VALUE"""),2840.0)</f>
        <v>2840</v>
      </c>
      <c r="BO8" s="80" t="str">
        <f>IFERROR(__xludf.DUMMYFUNCTION("""COMPUTED_VALUE"""),"New Job")</f>
        <v>New Job</v>
      </c>
      <c r="BP8" s="80" t="str">
        <f>IFERROR(__xludf.DUMMYFUNCTION("""COMPUTED_VALUE"""),"Leafing")</f>
        <v>Leafing</v>
      </c>
      <c r="BQ8" s="80" t="str">
        <f>IFERROR(__xludf.DUMMYFUNCTION("""COMPUTED_VALUE"""),"Yes")</f>
        <v>Yes</v>
      </c>
      <c r="BR8" s="80" t="str">
        <f>IFERROR(__xludf.DUMMYFUNCTION("""COMPUTED_VALUE"""),"Normal")</f>
        <v>Normal</v>
      </c>
      <c r="BS8" s="73" t="s">
        <v>14</v>
      </c>
      <c r="BT8" s="88" t="s">
        <v>184</v>
      </c>
      <c r="BU8" s="73" t="s">
        <v>185</v>
      </c>
      <c r="BV8" s="77">
        <f>Quotation!$C$37</f>
        <v>105</v>
      </c>
      <c r="BW8" s="73"/>
      <c r="BX8" s="80"/>
      <c r="BY8" s="80"/>
      <c r="BZ8" s="80"/>
      <c r="CA8" s="80"/>
      <c r="CB8" s="80"/>
      <c r="CC8" s="80"/>
      <c r="CD8" s="80" t="str">
        <f t="shared" si="8"/>
        <v/>
      </c>
      <c r="CE8" s="80" t="str">
        <f t="shared" si="9"/>
        <v/>
      </c>
      <c r="CF8" s="80"/>
      <c r="CG8" s="80"/>
      <c r="CH8" s="80"/>
    </row>
    <row r="9">
      <c r="A9" s="141" t="s">
        <v>186</v>
      </c>
      <c r="B9" s="73" t="str">
        <f>Quotation!A38</f>
        <v>Carry Bag</v>
      </c>
      <c r="C9" s="73"/>
      <c r="D9" s="139" t="str">
        <f>IF(B12="All","","and B = '"&amp;B12&amp;"'")</f>
        <v>and B = ''</v>
      </c>
      <c r="E9" s="140"/>
      <c r="F9" s="143" t="str">
        <f>IF(B9="All","","and B = '"&amp;B9&amp;"'")</f>
        <v>and B = 'Carry Bag'</v>
      </c>
      <c r="G9" s="80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 t="str">
        <f>IFERROR(__xludf.DUMMYFUNCTION("""COMPUTED_VALUE"""),"Packaging")</f>
        <v>Packaging</v>
      </c>
      <c r="BD9" s="73" t="str">
        <f>IFERROR(__xludf.DUMMYFUNCTION("""COMPUTED_VALUE"""),"Aryan")</f>
        <v>Aryan</v>
      </c>
      <c r="BE9" s="80"/>
      <c r="BF9" s="80"/>
      <c r="BG9" s="113" t="str">
        <f>IFERROR(__xludf.DUMMYFUNCTION("""COMPUTED_VALUE"""),"Offset")</f>
        <v>Offset</v>
      </c>
      <c r="BH9" s="113" t="str">
        <f>IFERROR(__xludf.DUMMYFUNCTION("""COMPUTED_VALUE"""),"Packaging")</f>
        <v>Packaging</v>
      </c>
      <c r="BI9" s="118" t="str">
        <f>IFERROR(__xludf.DUMMYFUNCTION("""COMPUTED_VALUE"""),"Duplex")</f>
        <v>Duplex</v>
      </c>
      <c r="BJ9" s="73" t="str">
        <f>IFERROR(__xludf.DUMMYFUNCTION("""COMPUTED_VALUE"""),"Plain")</f>
        <v>Plain</v>
      </c>
      <c r="BK9" s="233" t="str">
        <f>IFERROR(__xludf.DUMMYFUNCTION("""COMPUTED_VALUE"""),"Varnish")</f>
        <v>Varnish</v>
      </c>
      <c r="BL9" s="80" t="str">
        <f>IFERROR(__xludf.DUMMYFUNCTION("""COMPUTED_VALUE"""),"Four + One Colour")</f>
        <v>Four + One Colour</v>
      </c>
      <c r="BM9" s="107">
        <f>IFERROR(__xludf.DUMMYFUNCTION("""COMPUTED_VALUE"""),6.75)</f>
        <v>6.75</v>
      </c>
      <c r="BN9" s="107">
        <f>IFERROR(__xludf.DUMMYFUNCTION("""COMPUTED_VALUE"""),1926.0)</f>
        <v>1926</v>
      </c>
      <c r="BO9" s="80" t="str">
        <f>IFERROR(__xludf.DUMMYFUNCTION("""COMPUTED_VALUE"""),"Repeat Job")</f>
        <v>Repeat Job</v>
      </c>
      <c r="BP9" s="80" t="str">
        <f>IFERROR(__xludf.DUMMYFUNCTION("""COMPUTED_VALUE"""),"Leafing")</f>
        <v>Leafing</v>
      </c>
      <c r="BQ9" s="80" t="str">
        <f>IFERROR(__xludf.DUMMYFUNCTION("""COMPUTED_VALUE"""),"N/A")</f>
        <v>N/A</v>
      </c>
      <c r="BR9" s="80" t="str">
        <f>IFERROR(__xludf.DUMMYFUNCTION("""COMPUTED_VALUE"""),"Normal")</f>
        <v>Normal</v>
      </c>
      <c r="BS9" s="73" t="s">
        <v>14</v>
      </c>
      <c r="BT9" s="88" t="s">
        <v>184</v>
      </c>
      <c r="BU9" s="73" t="s">
        <v>187</v>
      </c>
      <c r="BV9" s="77">
        <f>$BV$8</f>
        <v>105</v>
      </c>
      <c r="BW9" s="73"/>
      <c r="BX9" s="80"/>
      <c r="BY9" s="80"/>
      <c r="BZ9" s="80"/>
      <c r="CA9" s="80"/>
      <c r="CB9" s="80"/>
      <c r="CC9" s="80"/>
      <c r="CD9" s="80" t="str">
        <f t="shared" si="8"/>
        <v/>
      </c>
      <c r="CE9" s="80" t="str">
        <f t="shared" si="9"/>
        <v/>
      </c>
      <c r="CF9" s="80"/>
      <c r="CG9" s="80"/>
      <c r="CH9" s="80"/>
    </row>
    <row r="10">
      <c r="A10" s="141"/>
      <c r="B10" s="73" t="str">
        <f>Quotation!A39</f>
        <v>Cashify</v>
      </c>
      <c r="C10" s="73"/>
      <c r="D10" s="128" t="str">
        <f>IF(B10="","","and T = '"&amp;B10&amp;"'")</f>
        <v>and T = 'Cashify'</v>
      </c>
      <c r="E10" s="73"/>
      <c r="F10" s="128" t="str">
        <f>IF(B10="","","and C = '"&amp;B10&amp;"'")</f>
        <v>and C = 'Cashify'</v>
      </c>
      <c r="G10" s="73"/>
      <c r="H10" s="73"/>
      <c r="I10" s="128" t="str">
        <f>CONCATENATE("select * where 1=1",F9,F10,F11)</f>
        <v>select * where 1=1and B = 'Carry Bag'and C = 'Cashify'and D = 'Custom Size'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 t="str">
        <f>IFERROR(__xludf.DUMMYFUNCTION("""COMPUTED_VALUE"""),"Packaging")</f>
        <v>Packaging</v>
      </c>
      <c r="BD10" s="73" t="str">
        <f>IFERROR(__xludf.DUMMYFUNCTION("""COMPUTED_VALUE"""),"Atta")</f>
        <v>Atta</v>
      </c>
      <c r="BE10" s="80"/>
      <c r="BF10" s="80"/>
      <c r="BG10" s="113" t="str">
        <f>IFERROR(__xludf.DUMMYFUNCTION("""COMPUTED_VALUE"""),"Offset")</f>
        <v>Offset</v>
      </c>
      <c r="BH10" s="113" t="str">
        <f>IFERROR(__xludf.DUMMYFUNCTION("""COMPUTED_VALUE"""),"Packaging")</f>
        <v>Packaging</v>
      </c>
      <c r="BI10" s="118" t="str">
        <f>IFERROR(__xludf.DUMMYFUNCTION("""COMPUTED_VALUE"""),"Custom Paper")</f>
        <v>Custom Paper</v>
      </c>
      <c r="BJ10" s="73" t="str">
        <f>IFERROR(__xludf.DUMMYFUNCTION("""COMPUTED_VALUE"""),"Plain")</f>
        <v>Plain</v>
      </c>
      <c r="BK10" s="233" t="str">
        <f>IFERROR(__xludf.DUMMYFUNCTION("""COMPUTED_VALUE"""),"UV Hybrid")</f>
        <v>UV Hybrid</v>
      </c>
      <c r="BL10" s="80" t="str">
        <f>IFERROR(__xludf.DUMMYFUNCTION("""COMPUTED_VALUE"""),"Four + Two Colour")</f>
        <v>Four + Two Colour</v>
      </c>
      <c r="BM10" s="107">
        <f>IFERROR(__xludf.DUMMYFUNCTION("""COMPUTED_VALUE"""),7.75)</f>
        <v>7.75</v>
      </c>
      <c r="BN10" s="107">
        <f>IFERROR(__xludf.DUMMYFUNCTION("""COMPUTED_VALUE"""),1926.0)</f>
        <v>1926</v>
      </c>
      <c r="BO10" s="80" t="str">
        <f>IFERROR(__xludf.DUMMYFUNCTION("""COMPUTED_VALUE"""),"New Job")</f>
        <v>New Job</v>
      </c>
      <c r="BP10" s="80" t="str">
        <f>IFERROR(__xludf.DUMMYFUNCTION("""COMPUTED_VALUE"""),"Leafing")</f>
        <v>Leafing</v>
      </c>
      <c r="BQ10" s="80" t="str">
        <f>IFERROR(__xludf.DUMMYFUNCTION("""COMPUTED_VALUE"""),"Yes")</f>
        <v>Yes</v>
      </c>
      <c r="BR10" s="80" t="str">
        <f>IFERROR(__xludf.DUMMYFUNCTION("""COMPUTED_VALUE"""),"Normal")</f>
        <v>Normal</v>
      </c>
      <c r="BS10" s="73" t="s">
        <v>27</v>
      </c>
      <c r="BT10" s="88" t="s">
        <v>189</v>
      </c>
      <c r="BU10" s="73" t="s">
        <v>178</v>
      </c>
      <c r="BV10" s="77">
        <f>Price!$Q$2</f>
        <v>78</v>
      </c>
      <c r="BW10" s="73"/>
      <c r="BX10" s="80"/>
      <c r="BY10" s="80"/>
      <c r="BZ10" s="80"/>
      <c r="CA10" s="80"/>
      <c r="CB10" s="80"/>
      <c r="CC10" s="80"/>
      <c r="CD10" s="80" t="str">
        <f t="shared" si="8"/>
        <v/>
      </c>
      <c r="CE10" s="80" t="str">
        <f t="shared" si="9"/>
        <v/>
      </c>
      <c r="CF10" s="80"/>
      <c r="CG10" s="80"/>
      <c r="CH10" s="80"/>
    </row>
    <row r="11">
      <c r="A11" s="141" t="s">
        <v>190</v>
      </c>
      <c r="B11" s="143" t="str">
        <f>Quotation!B38</f>
        <v>Custom Size</v>
      </c>
      <c r="C11" s="73"/>
      <c r="D11" s="143" t="str">
        <f>IF(B11="","","and AM = '"&amp;B11&amp;"'")</f>
        <v>and AM = 'Custom Size'</v>
      </c>
      <c r="E11" s="140"/>
      <c r="F11" s="143" t="str">
        <f>IF(B11="","","and D = '"&amp;B11&amp;"'")</f>
        <v>and D = 'Custom Size'</v>
      </c>
      <c r="G11" s="80"/>
      <c r="H11" s="73"/>
      <c r="I11" s="128" t="str">
        <f>CONCATENATE("select * where 1=1",F10)</f>
        <v>select * where 1=1and C = 'Cashify'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 t="str">
        <f>IFERROR(__xludf.DUMMYFUNCTION("""COMPUTED_VALUE"""),"Packaging")</f>
        <v>Packaging</v>
      </c>
      <c r="BD11" s="73" t="str">
        <f>IFERROR(__xludf.DUMMYFUNCTION("""COMPUTED_VALUE"""),"Bakery")</f>
        <v>Bakery</v>
      </c>
      <c r="BE11" s="80"/>
      <c r="BF11" s="88"/>
      <c r="BG11" s="113" t="str">
        <f>IFERROR(__xludf.DUMMYFUNCTION("""COMPUTED_VALUE"""),"Offset")</f>
        <v>Offset</v>
      </c>
      <c r="BH11" s="113" t="str">
        <f>IFERROR(__xludf.DUMMYFUNCTION("""COMPUTED_VALUE"""),"Packaging")</f>
        <v>Packaging</v>
      </c>
      <c r="BI11" s="88" t="str">
        <f>IFERROR(__xludf.DUMMYFUNCTION("""COMPUTED_VALUE"""),"Other Type")</f>
        <v>Other Type</v>
      </c>
      <c r="BJ11" s="73" t="str">
        <f>IFERROR(__xludf.DUMMYFUNCTION("""COMPUTED_VALUE"""),"Plain")</f>
        <v>Plain</v>
      </c>
      <c r="BK11" s="233" t="str">
        <f>IFERROR(__xludf.DUMMYFUNCTION("""COMPUTED_VALUE"""),"UV Flat")</f>
        <v>UV Flat</v>
      </c>
      <c r="BL11" s="80" t="str">
        <f>IFERROR(__xludf.DUMMYFUNCTION("""COMPUTED_VALUE"""),"Four + Four Colour")</f>
        <v>Four + Four Colour</v>
      </c>
      <c r="BM11" s="107">
        <f>IFERROR(__xludf.DUMMYFUNCTION("""COMPUTED_VALUE"""),9.75)</f>
        <v>9.75</v>
      </c>
      <c r="BN11" s="107">
        <f>IFERROR(__xludf.DUMMYFUNCTION("""COMPUTED_VALUE"""),1926.0)</f>
        <v>1926</v>
      </c>
      <c r="BO11" s="80" t="str">
        <f>IFERROR(__xludf.DUMMYFUNCTION("""COMPUTED_VALUE"""),"Repeat Job")</f>
        <v>Repeat Job</v>
      </c>
      <c r="BP11" s="80" t="str">
        <f>IFERROR(__xludf.DUMMYFUNCTION("""COMPUTED_VALUE"""),"Leafing")</f>
        <v>Leafing</v>
      </c>
      <c r="BQ11" s="80" t="str">
        <f>IFERROR(__xludf.DUMMYFUNCTION("""COMPUTED_VALUE"""),"N/A")</f>
        <v>N/A</v>
      </c>
      <c r="BR11" s="80" t="str">
        <f>IFERROR(__xludf.DUMMYFUNCTION("""COMPUTED_VALUE"""),"Normal")</f>
        <v>Normal</v>
      </c>
      <c r="BS11" s="73" t="s">
        <v>27</v>
      </c>
      <c r="BT11" s="113" t="s">
        <v>191</v>
      </c>
      <c r="BU11" s="73" t="s">
        <v>180</v>
      </c>
      <c r="BV11" s="77">
        <f>Price!$Q$3</f>
        <v>55</v>
      </c>
      <c r="BW11" s="73"/>
      <c r="BX11" s="80"/>
      <c r="BY11" s="80"/>
      <c r="BZ11" s="80"/>
      <c r="CA11" s="80"/>
      <c r="CB11" s="80"/>
      <c r="CC11" s="80"/>
      <c r="CD11" s="80" t="str">
        <f t="shared" si="8"/>
        <v/>
      </c>
      <c r="CE11" s="80" t="str">
        <f t="shared" si="9"/>
        <v/>
      </c>
      <c r="CF11" s="80"/>
      <c r="CG11" s="80"/>
      <c r="CH11" s="80"/>
    </row>
    <row r="12">
      <c r="A12" s="73"/>
      <c r="B12" s="73"/>
      <c r="C12" s="73"/>
      <c r="D12" s="143" t="str">
        <f>CONCATENATE("select * where 1=1",D11)</f>
        <v>select * where 1=1and AM = 'Custom Size'</v>
      </c>
      <c r="E12" s="140"/>
      <c r="F12" s="143" t="str">
        <f>CONCATENATE("select * where 1=1",F9,F8,F7)</f>
        <v>select * where 1=1and B = 'Carry Bag'and P = 'Offset'and Q = 'Packaging'</v>
      </c>
      <c r="G12" s="80"/>
      <c r="H12" s="73"/>
      <c r="I12" s="128" t="str">
        <f>CONCATENATE("select * where 1=1",F11,F10)</f>
        <v>select * where 1=1and D = 'Custom Size'and C = 'Cashify'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 t="str">
        <f>IFERROR(__xludf.DUMMYFUNCTION("""COMPUTED_VALUE"""),"Packaging")</f>
        <v>Packaging</v>
      </c>
      <c r="BD12" s="73" t="str">
        <f>IFERROR(__xludf.DUMMYFUNCTION("""COMPUTED_VALUE"""),"Bakery Online")</f>
        <v>Bakery Online</v>
      </c>
      <c r="BE12" s="80"/>
      <c r="BF12" s="54"/>
      <c r="BG12" s="113" t="str">
        <f>IFERROR(__xludf.DUMMYFUNCTION("""COMPUTED_VALUE"""),"Offset")</f>
        <v>Offset</v>
      </c>
      <c r="BH12" s="73" t="str">
        <f>IFERROR(__xludf.DUMMYFUNCTION("""COMPUTED_VALUE"""),"Packaging")</f>
        <v>Packaging</v>
      </c>
      <c r="BI12" s="54" t="str">
        <f>IFERROR(__xludf.DUMMYFUNCTION("""COMPUTED_VALUE"""),"Other Type")</f>
        <v>Other Type</v>
      </c>
      <c r="BJ12" s="73" t="str">
        <f>IFERROR(__xludf.DUMMYFUNCTION("""COMPUTED_VALUE"""),"Plain")</f>
        <v>Plain</v>
      </c>
      <c r="BK12" s="233" t="str">
        <f>IFERROR(__xludf.DUMMYFUNCTION("""COMPUTED_VALUE"""),"Spot UV")</f>
        <v>Spot UV</v>
      </c>
      <c r="BL12" s="80" t="str">
        <f>IFERROR(__xludf.DUMMYFUNCTION("""COMPUTED_VALUE"""),"Without Print")</f>
        <v>Without Print</v>
      </c>
      <c r="BM12" s="107">
        <f>IFERROR(__xludf.DUMMYFUNCTION("""COMPUTED_VALUE"""),0.0)</f>
        <v>0</v>
      </c>
      <c r="BN12" s="107">
        <f>IFERROR(__xludf.DUMMYFUNCTION("""COMPUTED_VALUE"""),1926.0)</f>
        <v>1926</v>
      </c>
      <c r="BO12" s="80" t="str">
        <f>IFERROR(__xludf.DUMMYFUNCTION("""COMPUTED_VALUE"""),"New Job")</f>
        <v>New Job</v>
      </c>
      <c r="BP12" s="80" t="str">
        <f>IFERROR(__xludf.DUMMYFUNCTION("""COMPUTED_VALUE"""),"Leafing")</f>
        <v>Leafing</v>
      </c>
      <c r="BQ12" s="80" t="str">
        <f>IFERROR(__xludf.DUMMYFUNCTION("""COMPUTED_VALUE"""),"Yes")</f>
        <v>Yes</v>
      </c>
      <c r="BR12" s="80" t="str">
        <f>IFERROR(__xludf.DUMMYFUNCTION("""COMPUTED_VALUE"""),"Normal")</f>
        <v>Normal</v>
      </c>
      <c r="BS12" s="73" t="s">
        <v>27</v>
      </c>
      <c r="BT12" s="113" t="s">
        <v>68</v>
      </c>
      <c r="BU12" s="73" t="s">
        <v>182</v>
      </c>
      <c r="BV12" s="77">
        <f>Price!$Q$4</f>
        <v>52</v>
      </c>
      <c r="BW12" s="73"/>
      <c r="BX12" s="80"/>
      <c r="BY12" s="80"/>
      <c r="BZ12" s="80"/>
      <c r="CA12" s="80"/>
      <c r="CB12" s="80"/>
      <c r="CC12" s="80"/>
      <c r="CD12" s="80" t="str">
        <f t="shared" si="8"/>
        <v/>
      </c>
      <c r="CE12" s="80" t="str">
        <f t="shared" si="9"/>
        <v/>
      </c>
      <c r="CF12" s="80"/>
      <c r="CG12" s="80"/>
      <c r="CH12" s="80"/>
    </row>
    <row r="13">
      <c r="A13" s="236" t="str">
        <f>IFERROR(__xludf.DUMMYFUNCTION("QUERY(AJ15:AY1000,$D$12,0)"),"")</f>
        <v/>
      </c>
      <c r="B13" s="73" t="str">
        <f>IFERROR(__xludf.DUMMYFUNCTION("""COMPUTED_VALUE"""),"All")</f>
        <v>All</v>
      </c>
      <c r="C13" s="73" t="str">
        <f>IFERROR(__xludf.DUMMYFUNCTION("""COMPUTED_VALUE"""),"Cashify")</f>
        <v>Cashify</v>
      </c>
      <c r="D13" s="73" t="str">
        <f>IFERROR(__xludf.DUMMYFUNCTION("""COMPUTED_VALUE"""),"Custom Size")</f>
        <v>Custom Size</v>
      </c>
      <c r="E13" s="140"/>
      <c r="F13" s="107"/>
      <c r="G13" s="107"/>
      <c r="H13" s="77"/>
      <c r="I13" s="77"/>
      <c r="J13" s="73"/>
      <c r="K13" s="73"/>
      <c r="L13" s="73"/>
      <c r="M13" s="77"/>
      <c r="N13" s="77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 t="str">
        <f>IFERROR(__xludf.DUMMYFUNCTION("""COMPUTED_VALUE"""),"Packaging")</f>
        <v>Packaging</v>
      </c>
      <c r="BD13" s="73" t="str">
        <f>IFERROR(__xludf.DUMMYFUNCTION("""COMPUTED_VALUE"""),"Beverages")</f>
        <v>Beverages</v>
      </c>
      <c r="BE13" s="80"/>
      <c r="BF13" s="54"/>
      <c r="BG13" s="113" t="str">
        <f>IFERROR(__xludf.DUMMYFUNCTION("""COMPUTED_VALUE"""),"Offset")</f>
        <v>Offset</v>
      </c>
      <c r="BH13" s="73" t="str">
        <f>IFERROR(__xludf.DUMMYFUNCTION("""COMPUTED_VALUE"""),"Packaging")</f>
        <v>Packaging</v>
      </c>
      <c r="BI13" s="54" t="str">
        <f>IFERROR(__xludf.DUMMYFUNCTION("""COMPUTED_VALUE"""),"Other Type")</f>
        <v>Other Type</v>
      </c>
      <c r="BJ13" s="73" t="str">
        <f>IFERROR(__xludf.DUMMYFUNCTION("""COMPUTED_VALUE"""),"Plain")</f>
        <v>Plain</v>
      </c>
      <c r="BK13" s="233" t="str">
        <f>IFERROR(__xludf.DUMMYFUNCTION("""COMPUTED_VALUE"""),"UV Crystal")</f>
        <v>UV Crystal</v>
      </c>
      <c r="BL13" s="80" t="str">
        <f>IFERROR(__xludf.DUMMYFUNCTION("""COMPUTED_VALUE"""),"Without Print")</f>
        <v>Without Print</v>
      </c>
      <c r="BM13" s="107">
        <f>IFERROR(__xludf.DUMMYFUNCTION("""COMPUTED_VALUE"""),0.0)</f>
        <v>0</v>
      </c>
      <c r="BN13" s="107">
        <f>IFERROR(__xludf.DUMMYFUNCTION("""COMPUTED_VALUE"""),1926.0)</f>
        <v>1926</v>
      </c>
      <c r="BO13" s="80" t="str">
        <f>IFERROR(__xludf.DUMMYFUNCTION("""COMPUTED_VALUE"""),"Repeat Job")</f>
        <v>Repeat Job</v>
      </c>
      <c r="BP13" s="80" t="str">
        <f>IFERROR(__xludf.DUMMYFUNCTION("""COMPUTED_VALUE"""),"Leafing")</f>
        <v>Leafing</v>
      </c>
      <c r="BQ13" s="80" t="str">
        <f>IFERROR(__xludf.DUMMYFUNCTION("""COMPUTED_VALUE"""),"N/A")</f>
        <v>N/A</v>
      </c>
      <c r="BR13" s="80" t="str">
        <f>IFERROR(__xludf.DUMMYFUNCTION("""COMPUTED_VALUE"""),"Normal")</f>
        <v>Normal</v>
      </c>
      <c r="BS13" s="73" t="s">
        <v>27</v>
      </c>
      <c r="BT13" s="88" t="s">
        <v>184</v>
      </c>
      <c r="BU13" s="73" t="s">
        <v>185</v>
      </c>
      <c r="BV13" s="107">
        <f t="shared" ref="BV13:BV15" si="10">$BV$9</f>
        <v>105</v>
      </c>
      <c r="BW13" s="73"/>
      <c r="BX13" s="80"/>
      <c r="BY13" s="80"/>
      <c r="BZ13" s="80"/>
      <c r="CA13" s="80"/>
      <c r="CB13" s="80"/>
      <c r="CC13" s="80"/>
      <c r="CD13" s="80" t="str">
        <f t="shared" si="8"/>
        <v/>
      </c>
      <c r="CE13" s="80" t="str">
        <f t="shared" si="9"/>
        <v/>
      </c>
      <c r="CF13" s="80"/>
      <c r="CG13" s="80"/>
      <c r="CH13" s="80"/>
    </row>
    <row r="14">
      <c r="A14" s="144" t="s">
        <v>0</v>
      </c>
      <c r="B14" s="145" t="s">
        <v>1</v>
      </c>
      <c r="C14" s="146" t="s">
        <v>2</v>
      </c>
      <c r="D14" s="146" t="s">
        <v>3</v>
      </c>
      <c r="E14" s="147" t="s">
        <v>4</v>
      </c>
      <c r="F14" s="148" t="s">
        <v>5</v>
      </c>
      <c r="G14" s="149" t="s">
        <v>7</v>
      </c>
      <c r="H14" s="149" t="s">
        <v>8</v>
      </c>
      <c r="I14" s="150" t="s">
        <v>16</v>
      </c>
      <c r="J14" s="151" t="s">
        <v>193</v>
      </c>
      <c r="K14" s="151" t="s">
        <v>21</v>
      </c>
      <c r="L14" s="152" t="s">
        <v>22</v>
      </c>
      <c r="M14" s="152" t="s">
        <v>23</v>
      </c>
      <c r="N14" s="153" t="s">
        <v>194</v>
      </c>
      <c r="O14" s="154" t="s">
        <v>195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144" t="s">
        <v>0</v>
      </c>
      <c r="AK14" s="145" t="s">
        <v>1</v>
      </c>
      <c r="AL14" s="146" t="s">
        <v>2</v>
      </c>
      <c r="AM14" s="146" t="s">
        <v>3</v>
      </c>
      <c r="AN14" s="147" t="s">
        <v>4</v>
      </c>
      <c r="AO14" s="148" t="s">
        <v>5</v>
      </c>
      <c r="AP14" s="149" t="s">
        <v>7</v>
      </c>
      <c r="AQ14" s="149" t="s">
        <v>8</v>
      </c>
      <c r="AR14" s="150" t="s">
        <v>16</v>
      </c>
      <c r="AS14" s="151" t="s">
        <v>193</v>
      </c>
      <c r="AT14" s="151" t="s">
        <v>21</v>
      </c>
      <c r="AU14" s="152" t="s">
        <v>22</v>
      </c>
      <c r="AV14" s="152" t="s">
        <v>23</v>
      </c>
      <c r="AW14" s="153" t="s">
        <v>194</v>
      </c>
      <c r="AX14" s="154" t="s">
        <v>195</v>
      </c>
      <c r="AY14" s="73"/>
      <c r="AZ14" s="73"/>
      <c r="BA14" s="73"/>
      <c r="BB14" s="88" t="s">
        <v>62</v>
      </c>
      <c r="BC14" s="73" t="str">
        <f>IFERROR(__xludf.DUMMYFUNCTION("""COMPUTED_VALUE"""),"Packaging")</f>
        <v>Packaging</v>
      </c>
      <c r="BD14" s="143" t="str">
        <f>IFERROR(__xludf.DUMMYFUNCTION("""COMPUTED_VALUE"""),"BO")</f>
        <v>BO</v>
      </c>
      <c r="BE14" s="80"/>
      <c r="BF14" s="54"/>
      <c r="BG14" s="88" t="str">
        <f>IFERROR(__xludf.DUMMYFUNCTION("""COMPUTED_VALUE"""),"Offset")</f>
        <v>Offset</v>
      </c>
      <c r="BH14" s="73" t="str">
        <f>IFERROR(__xludf.DUMMYFUNCTION("""COMPUTED_VALUE"""),"Packaging")</f>
        <v>Packaging</v>
      </c>
      <c r="BI14" s="73" t="str">
        <f>IFERROR(__xludf.DUMMYFUNCTION("""COMPUTED_VALUE"""),"Other Type")</f>
        <v>Other Type</v>
      </c>
      <c r="BJ14" s="73" t="str">
        <f>IFERROR(__xludf.DUMMYFUNCTION("""COMPUTED_VALUE"""),"Plain")</f>
        <v>Plain</v>
      </c>
      <c r="BK14" s="233" t="str">
        <f>IFERROR(__xludf.DUMMYFUNCTION("""COMPUTED_VALUE"""),"Plain")</f>
        <v>Plain</v>
      </c>
      <c r="BL14" s="80" t="str">
        <f>IFERROR(__xludf.DUMMYFUNCTION("""COMPUTED_VALUE"""),"Without Print")</f>
        <v>Without Print</v>
      </c>
      <c r="BM14" s="107">
        <f>IFERROR(__xludf.DUMMYFUNCTION("""COMPUTED_VALUE"""),0.0)</f>
        <v>0</v>
      </c>
      <c r="BN14" s="107">
        <f>IFERROR(__xludf.DUMMYFUNCTION("""COMPUTED_VALUE"""),1926.0)</f>
        <v>1926</v>
      </c>
      <c r="BO14" s="80"/>
      <c r="BP14" s="80" t="str">
        <f>IFERROR(__xludf.DUMMYFUNCTION("""COMPUTED_VALUE"""),"Leafing")</f>
        <v>Leafing</v>
      </c>
      <c r="BQ14" s="80" t="str">
        <f>IFERROR(__xludf.DUMMYFUNCTION("""COMPUTED_VALUE"""),"N/A")</f>
        <v>N/A</v>
      </c>
      <c r="BR14" s="80" t="str">
        <f>IFERROR(__xludf.DUMMYFUNCTION("""COMPUTED_VALUE"""),"Normal")</f>
        <v>Normal</v>
      </c>
      <c r="BS14" s="73" t="s">
        <v>27</v>
      </c>
      <c r="BT14" s="88" t="s">
        <v>184</v>
      </c>
      <c r="BU14" s="73" t="s">
        <v>187</v>
      </c>
      <c r="BV14" s="107">
        <f t="shared" si="10"/>
        <v>105</v>
      </c>
      <c r="BW14" s="80"/>
      <c r="BX14" s="80"/>
      <c r="BY14" s="80"/>
      <c r="BZ14" s="80"/>
      <c r="CA14" s="80"/>
      <c r="CB14" s="80"/>
      <c r="CC14" s="80"/>
      <c r="CD14" s="80" t="str">
        <f t="shared" si="8"/>
        <v/>
      </c>
      <c r="CE14" s="80" t="str">
        <f t="shared" si="9"/>
        <v/>
      </c>
      <c r="CF14" s="80"/>
      <c r="CG14" s="80"/>
      <c r="CH14" s="80"/>
    </row>
    <row r="15">
      <c r="A15" s="73"/>
      <c r="B15" s="88" t="s">
        <v>176</v>
      </c>
      <c r="C15" s="88" t="str">
        <f>B10</f>
        <v>Cashify</v>
      </c>
      <c r="D15" s="88" t="s">
        <v>196</v>
      </c>
      <c r="E15" s="140" t="str">
        <f>Product7!E2</f>
        <v/>
      </c>
      <c r="F15" s="140" t="str">
        <f>Product7!F2</f>
        <v/>
      </c>
      <c r="G15" s="107" t="str">
        <f>Product7!W16</f>
        <v/>
      </c>
      <c r="H15" s="107" t="str">
        <f>Product7!X16</f>
        <v/>
      </c>
      <c r="I15" s="86">
        <v>100.0</v>
      </c>
      <c r="J15" s="73"/>
      <c r="K15" s="73"/>
      <c r="L15" s="73"/>
      <c r="M15" s="77"/>
      <c r="N15" s="86">
        <v>1.0</v>
      </c>
      <c r="O15" s="73" t="str">
        <f>Product7!Y16</f>
        <v/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80" t="str">
        <f>IFERROR(__xludf.DUMMYFUNCTION("ifna(QUERY(A15:O1000,$I$11))"),"")</f>
        <v/>
      </c>
      <c r="AK15" s="73" t="str">
        <f>IFERROR(__xludf.DUMMYFUNCTION("""COMPUTED_VALUE"""),"All")</f>
        <v>All</v>
      </c>
      <c r="AL15" s="73" t="str">
        <f>IFERROR(__xludf.DUMMYFUNCTION("""COMPUTED_VALUE"""),"Cashify")</f>
        <v>Cashify</v>
      </c>
      <c r="AM15" s="73" t="str">
        <f>IFERROR(__xludf.DUMMYFUNCTION("""COMPUTED_VALUE"""),"Custom Size")</f>
        <v>Custom Size</v>
      </c>
      <c r="AN15" s="77" t="str">
        <f>IFERROR(__xludf.DUMMYFUNCTION("""COMPUTED_VALUE"""),"")</f>
        <v/>
      </c>
      <c r="AO15" s="77" t="str">
        <f>IFERROR(__xludf.DUMMYFUNCTION("""COMPUTED_VALUE"""),"")</f>
        <v/>
      </c>
      <c r="AP15" s="77" t="str">
        <f>IFERROR(__xludf.DUMMYFUNCTION("""COMPUTED_VALUE"""),"")</f>
        <v/>
      </c>
      <c r="AQ15" s="77" t="str">
        <f>IFERROR(__xludf.DUMMYFUNCTION("""COMPUTED_VALUE"""),"")</f>
        <v/>
      </c>
      <c r="AR15" s="77" t="str">
        <f>IFERROR(__xludf.DUMMYFUNCTION("""COMPUTED_VALUE"""),"100")</f>
        <v>100</v>
      </c>
      <c r="AS15" s="73" t="str">
        <f>IFERROR(__xludf.DUMMYFUNCTION("""COMPUTED_VALUE"""),"")</f>
        <v/>
      </c>
      <c r="AT15" s="73" t="str">
        <f>IFERROR(__xludf.DUMMYFUNCTION("""COMPUTED_VALUE"""),"")</f>
        <v/>
      </c>
      <c r="AU15" s="73" t="str">
        <f>IFERROR(__xludf.DUMMYFUNCTION("""COMPUTED_VALUE"""),"")</f>
        <v/>
      </c>
      <c r="AV15" s="77" t="str">
        <f>IFERROR(__xludf.DUMMYFUNCTION("""COMPUTED_VALUE"""),"")</f>
        <v/>
      </c>
      <c r="AW15" s="77" t="str">
        <f>IFERROR(__xludf.DUMMYFUNCTION("""COMPUTED_VALUE"""),"1")</f>
        <v>1</v>
      </c>
      <c r="AX15" s="73" t="str">
        <f>IFERROR(__xludf.DUMMYFUNCTION("""COMPUTED_VALUE"""),"")</f>
        <v/>
      </c>
      <c r="AY15" s="73"/>
      <c r="AZ15" s="73"/>
      <c r="BA15" s="73"/>
      <c r="BB15" s="113">
        <f t="array" ref="BB15">INDEX(Item!G2:G1000,MATCH(Quotation!B41,Item!F2:F1000,FALSE),1)</f>
        <v>4</v>
      </c>
      <c r="BC15" s="73" t="str">
        <f>IFERROR(__xludf.DUMMYFUNCTION("""COMPUTED_VALUE"""),"Packaging")</f>
        <v>Packaging</v>
      </c>
      <c r="BD15" s="73" t="str">
        <f>IFERROR(__xludf.DUMMYFUNCTION("""COMPUTED_VALUE"""),"Boult")</f>
        <v>Boult</v>
      </c>
      <c r="BE15" s="80"/>
      <c r="BF15" s="54"/>
      <c r="BG15" s="88"/>
      <c r="BH15" s="73"/>
      <c r="BI15" s="73"/>
      <c r="BJ15" s="73"/>
      <c r="BK15" s="233"/>
      <c r="BL15" s="80"/>
      <c r="BM15" s="80"/>
      <c r="BN15" s="80"/>
      <c r="BO15" s="80"/>
      <c r="BP15" s="80"/>
      <c r="BQ15" s="80"/>
      <c r="BR15" s="80"/>
      <c r="BS15" s="73" t="s">
        <v>27</v>
      </c>
      <c r="BT15" s="88" t="s">
        <v>184</v>
      </c>
      <c r="BU15" s="73" t="s">
        <v>197</v>
      </c>
      <c r="BV15" s="107">
        <f t="shared" si="10"/>
        <v>105</v>
      </c>
      <c r="BW15" s="80"/>
      <c r="BX15" s="80"/>
      <c r="BY15" s="80"/>
      <c r="BZ15" s="80"/>
      <c r="CA15" s="80"/>
      <c r="CB15" s="80"/>
      <c r="CC15" s="80"/>
      <c r="CD15" s="80" t="str">
        <f t="shared" si="8"/>
        <v/>
      </c>
      <c r="CE15" s="80" t="str">
        <f t="shared" si="9"/>
        <v/>
      </c>
      <c r="CF15" s="80"/>
      <c r="CG15" s="80"/>
      <c r="CH15" s="80"/>
    </row>
    <row r="16">
      <c r="A16" s="157" t="str">
        <f>IFERROR(__xludf.DUMMYFUNCTION("QUERY(ALLDATA!$A2:$Q1000,$F$12)"),"https://drive.google.com/open?id=1LLSXH5mjm902d4wsNTqmBu8ZtqjlNJDP&amp;authuser=jay.agg%40gmail.com&amp;usp=drive_fs")</f>
        <v>https://drive.google.com/open?id=1LLSXH5mjm902d4wsNTqmBu8ZtqjlNJDP&amp;authuser=jay.agg%40gmail.com&amp;usp=drive_fs</v>
      </c>
      <c r="B16" s="88" t="str">
        <f>IFERROR(__xludf.DUMMYFUNCTION("""COMPUTED_VALUE"""),"Carry Bag")</f>
        <v>Carry Bag</v>
      </c>
      <c r="C16" s="73" t="str">
        <f>IFERROR(__xludf.DUMMYFUNCTION("""COMPUTED_VALUE"""),"Mrs Kaurs")</f>
        <v>Mrs Kaurs</v>
      </c>
      <c r="D16" s="88" t="str">
        <f>IFERROR(__xludf.DUMMYFUNCTION("""COMPUTED_VALUE"""),"8.25*5*6 inch | 210*125*160 mm")</f>
        <v>8.25*5*6 inch | 210*125*160 mm</v>
      </c>
      <c r="E16" s="124">
        <f>IFERROR(__xludf.DUMMYFUNCTION("""COMPUTED_VALUE"""),2.0)</f>
        <v>2</v>
      </c>
      <c r="F16" s="107">
        <f>IFERROR(__xludf.DUMMYFUNCTION("""COMPUTED_VALUE"""),2029.0)</f>
        <v>2029</v>
      </c>
      <c r="G16" s="107">
        <f>IFERROR(__xludf.DUMMYFUNCTION("""COMPUTED_VALUE"""),21.0)</f>
        <v>21</v>
      </c>
      <c r="H16" s="107">
        <f>IFERROR(__xludf.DUMMYFUNCTION("""COMPUTED_VALUE"""),28.0)</f>
        <v>28</v>
      </c>
      <c r="I16" s="107">
        <f>IFERROR(__xludf.DUMMYFUNCTION("""COMPUTED_VALUE"""),100.0)</f>
        <v>100</v>
      </c>
      <c r="J16" s="109"/>
      <c r="K16" s="109"/>
      <c r="L16" s="109"/>
      <c r="M16" s="109"/>
      <c r="N16" s="109">
        <f>IFERROR(__xludf.DUMMYFUNCTION("""COMPUTED_VALUE"""),1.0)</f>
        <v>1</v>
      </c>
      <c r="O16" s="109"/>
      <c r="P16" s="109" t="str">
        <f>IFERROR(__xludf.DUMMYFUNCTION("""COMPUTED_VALUE"""),"Offset")</f>
        <v>Offset</v>
      </c>
      <c r="Q16" s="109" t="str">
        <f>IFERROR(__xludf.DUMMYFUNCTION("""COMPUTED_VALUE"""),"Packaging")</f>
        <v>Packaging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95" t="str">
        <f>IFERROR(__xludf.DUMMYFUNCTION("""COMPUTED_VALUE"""),"https://drive.google.com/open?id=1B9rYdky9_GlhoyFLssx_P2CsAHKwkclm&amp;authuser=jay.agg%40gmail.com&amp;usp=drive_fs")</f>
        <v>https://drive.google.com/open?id=1B9rYdky9_GlhoyFLssx_P2CsAHKwkclm&amp;authuser=jay.agg%40gmail.com&amp;usp=drive_fs</v>
      </c>
      <c r="AK16" s="80" t="str">
        <f>IFERROR(__xludf.DUMMYFUNCTION("""COMPUTED_VALUE"""),"Carry Bag")</f>
        <v>Carry Bag</v>
      </c>
      <c r="AL16" s="80" t="str">
        <f>IFERROR(__xludf.DUMMYFUNCTION("""COMPUTED_VALUE"""),"Cashify")</f>
        <v>Cashify</v>
      </c>
      <c r="AM16" s="73" t="str">
        <f>IFERROR(__xludf.DUMMYFUNCTION("""COMPUTED_VALUE"""),"240*64*160 mm | 9.5*2.5*6.25 inch")</f>
        <v>240*64*160 mm | 9.5*2.5*6.25 inch</v>
      </c>
      <c r="AN16" s="77">
        <f>IFERROR(__xludf.DUMMYFUNCTION("""COMPUTED_VALUE"""),2.0)</f>
        <v>2</v>
      </c>
      <c r="AO16" s="77">
        <f>IFERROR(__xludf.DUMMYFUNCTION("""COMPUTED_VALUE"""),2029.0)</f>
        <v>2029</v>
      </c>
      <c r="AP16" s="77">
        <f>IFERROR(__xludf.DUMMYFUNCTION("""COMPUTED_VALUE"""),20.0)</f>
        <v>20</v>
      </c>
      <c r="AQ16" s="77">
        <f>IFERROR(__xludf.DUMMYFUNCTION("""COMPUTED_VALUE"""),25.0)</f>
        <v>25</v>
      </c>
      <c r="AR16" s="77">
        <f>IFERROR(__xludf.DUMMYFUNCTION("""COMPUTED_VALUE"""),100.0)</f>
        <v>100</v>
      </c>
      <c r="AS16" s="73"/>
      <c r="AT16" s="73"/>
      <c r="AU16" s="73"/>
      <c r="AV16" s="77">
        <f>IFERROR(__xludf.DUMMYFUNCTION("""COMPUTED_VALUE"""),0.1)</f>
        <v>0.1</v>
      </c>
      <c r="AW16" s="77">
        <f>IFERROR(__xludf.DUMMYFUNCTION("""COMPUTED_VALUE"""),1.0)</f>
        <v>1</v>
      </c>
      <c r="AX16" s="73"/>
      <c r="AY16" s="73"/>
      <c r="AZ16" s="73"/>
      <c r="BA16" s="73"/>
      <c r="BB16" s="73"/>
      <c r="BC16" s="73" t="str">
        <f>IFERROR(__xludf.DUMMYFUNCTION("""COMPUTED_VALUE"""),"Packaging")</f>
        <v>Packaging</v>
      </c>
      <c r="BD16" s="73" t="str">
        <f>IFERROR(__xludf.DUMMYFUNCTION("""COMPUTED_VALUE"""),"Camera")</f>
        <v>Camera</v>
      </c>
      <c r="BE16" s="80"/>
      <c r="BF16" s="54"/>
      <c r="BG16" s="88"/>
      <c r="BH16" s="73"/>
      <c r="BI16" s="73"/>
      <c r="BJ16" s="73"/>
      <c r="BK16" s="233"/>
      <c r="BL16" s="80"/>
      <c r="BM16" s="80"/>
      <c r="BN16" s="80"/>
      <c r="BO16" s="80"/>
      <c r="BP16" s="80"/>
      <c r="BQ16" s="80"/>
      <c r="BR16" s="80"/>
      <c r="BS16" s="139" t="s">
        <v>28</v>
      </c>
      <c r="BT16" s="73" t="s">
        <v>189</v>
      </c>
      <c r="BU16" s="73" t="s">
        <v>178</v>
      </c>
      <c r="BV16" s="107">
        <f>Price!$R$2</f>
        <v>70</v>
      </c>
      <c r="BW16" s="73"/>
      <c r="BX16" s="80"/>
      <c r="BY16" s="80"/>
      <c r="BZ16" s="80"/>
      <c r="CA16" s="80"/>
      <c r="CB16" s="80"/>
      <c r="CC16" s="80"/>
      <c r="CD16" s="80" t="str">
        <f t="shared" si="8"/>
        <v/>
      </c>
      <c r="CE16" s="80" t="str">
        <f t="shared" si="9"/>
        <v/>
      </c>
      <c r="CF16" s="80"/>
      <c r="CG16" s="80"/>
      <c r="CH16" s="80"/>
    </row>
    <row r="17">
      <c r="A17" s="157" t="str">
        <f>IFERROR(__xludf.DUMMYFUNCTION("""COMPUTED_VALUE"""),"https://drive.google.com/open?id=1LUg_q7ajwl_8zxYAG_2uNlhhQZeUuO9j&amp;authuser=jay.agg%40gmail.com&amp;usp=drive_fs")</f>
        <v>https://drive.google.com/open?id=1LUg_q7ajwl_8zxYAG_2uNlhhQZeUuO9j&amp;authuser=jay.agg%40gmail.com&amp;usp=drive_fs</v>
      </c>
      <c r="B17" s="80" t="str">
        <f>IFERROR(__xludf.DUMMYFUNCTION("""COMPUTED_VALUE"""),"Carry Bag")</f>
        <v>Carry Bag</v>
      </c>
      <c r="C17" s="80" t="str">
        <f>IFERROR(__xludf.DUMMYFUNCTION("""COMPUTED_VALUE"""),"Mrs Kaurs")</f>
        <v>Mrs Kaurs</v>
      </c>
      <c r="D17" s="80" t="str">
        <f>IFERROR(__xludf.DUMMYFUNCTION("""COMPUTED_VALUE"""),"13*8.75*8.75 inch | 325*230*230 mm")</f>
        <v>13*8.75*8.75 inch | 325*230*230 mm</v>
      </c>
      <c r="E17" s="124">
        <f>IFERROR(__xludf.DUMMYFUNCTION("""COMPUTED_VALUE"""),0.5)</f>
        <v>0.5</v>
      </c>
      <c r="F17" s="107">
        <f>IFERROR(__xludf.DUMMYFUNCTION("""COMPUTED_VALUE"""),1926.0)</f>
        <v>1926</v>
      </c>
      <c r="G17" s="107">
        <f>IFERROR(__xludf.DUMMYFUNCTION("""COMPUTED_VALUE"""),15.5)</f>
        <v>15.5</v>
      </c>
      <c r="H17" s="107">
        <f>IFERROR(__xludf.DUMMYFUNCTION("""COMPUTED_VALUE"""),23.0)</f>
        <v>23</v>
      </c>
      <c r="I17" s="107">
        <f>IFERROR(__xludf.DUMMYFUNCTION("""COMPUTED_VALUE"""),100.0)</f>
        <v>100</v>
      </c>
      <c r="J17" s="109"/>
      <c r="K17" s="109"/>
      <c r="L17" s="109"/>
      <c r="M17" s="109"/>
      <c r="N17" s="109">
        <f>IFERROR(__xludf.DUMMYFUNCTION("""COMPUTED_VALUE"""),2.0)</f>
        <v>2</v>
      </c>
      <c r="O17" s="109"/>
      <c r="P17" s="109" t="str">
        <f>IFERROR(__xludf.DUMMYFUNCTION("""COMPUTED_VALUE"""),"Offset")</f>
        <v>Offset</v>
      </c>
      <c r="Q17" s="109" t="str">
        <f>IFERROR(__xludf.DUMMYFUNCTION("""COMPUTED_VALUE"""),"Packaging")</f>
        <v>Packaging</v>
      </c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95" t="str">
        <f>IFERROR(__xludf.DUMMYFUNCTION("""COMPUTED_VALUE"""),"https://drive.google.com/open?id=1B7kw4r1ubP78rXhqEyfWlE6NpdtvV4aL&amp;authuser=jay.agg%40gmail.com&amp;usp=drive_fs")</f>
        <v>https://drive.google.com/open?id=1B7kw4r1ubP78rXhqEyfWlE6NpdtvV4aL&amp;authuser=jay.agg%40gmail.com&amp;usp=drive_fs</v>
      </c>
      <c r="AK17" s="80" t="str">
        <f>IFERROR(__xludf.DUMMYFUNCTION("""COMPUTED_VALUE"""),"Carry Bag")</f>
        <v>Carry Bag</v>
      </c>
      <c r="AL17" s="80" t="str">
        <f>IFERROR(__xludf.DUMMYFUNCTION("""COMPUTED_VALUE"""),"Cashify")</f>
        <v>Cashify</v>
      </c>
      <c r="AM17" s="73" t="str">
        <f>IFERROR(__xludf.DUMMYFUNCTION("""COMPUTED_VALUE"""),"290*106*222 mm | 11.5*4.2*8.75 inch")</f>
        <v>290*106*222 mm | 11.5*4.2*8.75 inch</v>
      </c>
      <c r="AN17" s="77">
        <f>IFERROR(__xludf.DUMMYFUNCTION("""COMPUTED_VALUE"""),2.0)</f>
        <v>2</v>
      </c>
      <c r="AO17" s="77">
        <f>IFERROR(__xludf.DUMMYFUNCTION("""COMPUTED_VALUE"""),2840.0)</f>
        <v>2840</v>
      </c>
      <c r="AP17" s="77">
        <f>IFERROR(__xludf.DUMMYFUNCTION("""COMPUTED_VALUE"""),26.0)</f>
        <v>26</v>
      </c>
      <c r="AQ17" s="77">
        <f>IFERROR(__xludf.DUMMYFUNCTION("""COMPUTED_VALUE"""),38.0)</f>
        <v>38</v>
      </c>
      <c r="AR17" s="77">
        <f>IFERROR(__xludf.DUMMYFUNCTION("""COMPUTED_VALUE"""),100.0)</f>
        <v>100</v>
      </c>
      <c r="AS17" s="73"/>
      <c r="AT17" s="73"/>
      <c r="AU17" s="73"/>
      <c r="AV17" s="77">
        <f>IFERROR(__xludf.DUMMYFUNCTION("""COMPUTED_VALUE"""),0.1)</f>
        <v>0.1</v>
      </c>
      <c r="AW17" s="77">
        <f>IFERROR(__xludf.DUMMYFUNCTION("""COMPUTED_VALUE"""),1.0)</f>
        <v>1</v>
      </c>
      <c r="AX17" s="73"/>
      <c r="AY17" s="73"/>
      <c r="AZ17" s="73"/>
      <c r="BA17" s="73"/>
      <c r="BB17" s="73"/>
      <c r="BC17" s="73" t="str">
        <f>IFERROR(__xludf.DUMMYFUNCTION("""COMPUTED_VALUE"""),"Packaging")</f>
        <v>Packaging</v>
      </c>
      <c r="BD17" s="73" t="str">
        <f>IFERROR(__xludf.DUMMYFUNCTION("""COMPUTED_VALUE"""),"Candle")</f>
        <v>Candle</v>
      </c>
      <c r="BE17" s="80"/>
      <c r="BF17" s="54"/>
      <c r="BG17" s="113"/>
      <c r="BH17" s="73"/>
      <c r="BI17" s="73"/>
      <c r="BJ17" s="73"/>
      <c r="BK17" s="233"/>
      <c r="BL17" s="80"/>
      <c r="BM17" s="80"/>
      <c r="BN17" s="80"/>
      <c r="BO17" s="80"/>
      <c r="BP17" s="80"/>
      <c r="BQ17" s="80"/>
      <c r="BR17" s="80"/>
      <c r="BS17" s="139" t="s">
        <v>28</v>
      </c>
      <c r="BT17" s="139" t="s">
        <v>191</v>
      </c>
      <c r="BU17" s="73" t="s">
        <v>180</v>
      </c>
      <c r="BV17" s="107">
        <f>Price!$R$3</f>
        <v>50</v>
      </c>
      <c r="BW17" s="73"/>
      <c r="BX17" s="80"/>
      <c r="BY17" s="80"/>
      <c r="BZ17" s="80"/>
      <c r="CA17" s="80"/>
      <c r="CB17" s="80"/>
      <c r="CC17" s="80"/>
      <c r="CD17" s="80" t="str">
        <f t="shared" si="8"/>
        <v/>
      </c>
      <c r="CE17" s="80" t="str">
        <f t="shared" si="9"/>
        <v/>
      </c>
      <c r="CF17" s="80"/>
      <c r="CG17" s="80"/>
      <c r="CH17" s="80"/>
    </row>
    <row r="18">
      <c r="A18" s="237" t="str">
        <f>IFERROR(__xludf.DUMMYFUNCTION("""COMPUTED_VALUE"""),"https://drive.google.com/open?id=1LZppN6NA9XeczIiQR7GEVIOAsiK1EtMU&amp;authuser=jay.agg%40gmail.com&amp;usp=drive_fs")</f>
        <v>https://drive.google.com/open?id=1LZppN6NA9XeczIiQR7GEVIOAsiK1EtMU&amp;authuser=jay.agg%40gmail.com&amp;usp=drive_fs</v>
      </c>
      <c r="B18" s="80" t="str">
        <f>IFERROR(__xludf.DUMMYFUNCTION("""COMPUTED_VALUE"""),"Carry Bag")</f>
        <v>Carry Bag</v>
      </c>
      <c r="C18" s="80" t="str">
        <f>IFERROR(__xludf.DUMMYFUNCTION("""COMPUTED_VALUE"""),"Bag")</f>
        <v>Bag</v>
      </c>
      <c r="D18" s="80" t="str">
        <f>IFERROR(__xludf.DUMMYFUNCTION("""COMPUTED_VALUE"""),"65*236*166 mm | 9.25*2.5*6.5 inch")</f>
        <v>65*236*166 mm | 9.25*2.5*6.5 inch</v>
      </c>
      <c r="E18" s="124">
        <f>IFERROR(__xludf.DUMMYFUNCTION("""COMPUTED_VALUE"""),2.0)</f>
        <v>2</v>
      </c>
      <c r="F18" s="107">
        <f>IFERROR(__xludf.DUMMYFUNCTION("""COMPUTED_VALUE"""),1926.0)</f>
        <v>1926</v>
      </c>
      <c r="G18" s="107">
        <f>IFERROR(__xludf.DUMMYFUNCTION("""COMPUTED_VALUE"""),19.0)</f>
        <v>19</v>
      </c>
      <c r="H18" s="107">
        <f>IFERROR(__xludf.DUMMYFUNCTION("""COMPUTED_VALUE"""),26.0)</f>
        <v>26</v>
      </c>
      <c r="I18" s="107">
        <f>IFERROR(__xludf.DUMMYFUNCTION("""COMPUTED_VALUE"""),100.0)</f>
        <v>100</v>
      </c>
      <c r="J18" s="109"/>
      <c r="K18" s="109"/>
      <c r="L18" s="109"/>
      <c r="M18" s="109">
        <f>IFERROR(__xludf.DUMMYFUNCTION("""COMPUTED_VALUE"""),0.1)</f>
        <v>0.1</v>
      </c>
      <c r="N18" s="109">
        <f>IFERROR(__xludf.DUMMYFUNCTION("""COMPUTED_VALUE"""),1.0)</f>
        <v>1</v>
      </c>
      <c r="O18" s="109"/>
      <c r="P18" s="109" t="str">
        <f>IFERROR(__xludf.DUMMYFUNCTION("""COMPUTED_VALUE"""),"Offset")</f>
        <v>Offset</v>
      </c>
      <c r="Q18" s="109" t="str">
        <f>IFERROR(__xludf.DUMMYFUNCTION("""COMPUTED_VALUE"""),"Packaging")</f>
        <v>Packaging</v>
      </c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95" t="str">
        <f>IFERROR(__xludf.DUMMYFUNCTION("""COMPUTED_VALUE"""),"https://drive.google.com/open?id=1D4uH39QrRZfXmBsB8G93VY9_0eAGmYEy&amp;authuser=jay.agg%40gmail.com&amp;usp=drive_fs")</f>
        <v>https://drive.google.com/open?id=1D4uH39QrRZfXmBsB8G93VY9_0eAGmYEy&amp;authuser=jay.agg%40gmail.com&amp;usp=drive_fs</v>
      </c>
      <c r="AK18" s="80" t="str">
        <f>IFERROR(__xludf.DUMMYFUNCTION("""COMPUTED_VALUE"""),"Carry Bag")</f>
        <v>Carry Bag</v>
      </c>
      <c r="AL18" s="80" t="str">
        <f>IFERROR(__xludf.DUMMYFUNCTION("""COMPUTED_VALUE"""),"Cashify")</f>
        <v>Cashify</v>
      </c>
      <c r="AM18" s="73" t="str">
        <f>IFERROR(__xludf.DUMMYFUNCTION("""COMPUTED_VALUE"""),"250*110*205 mm | 9.8*4.3*8 inch")</f>
        <v>250*110*205 mm | 9.8*4.3*8 inch</v>
      </c>
      <c r="AN18" s="73">
        <f>IFERROR(__xludf.DUMMYFUNCTION("""COMPUTED_VALUE"""),2.0)</f>
        <v>2</v>
      </c>
      <c r="AO18" s="73">
        <f>IFERROR(__xludf.DUMMYFUNCTION("""COMPUTED_VALUE"""),2840.0)</f>
        <v>2840</v>
      </c>
      <c r="AP18" s="73">
        <f>IFERROR(__xludf.DUMMYFUNCTION("""COMPUTED_VALUE"""),25.0)</f>
        <v>25</v>
      </c>
      <c r="AQ18" s="73">
        <f>IFERROR(__xludf.DUMMYFUNCTION("""COMPUTED_VALUE"""),30.0)</f>
        <v>30</v>
      </c>
      <c r="AR18" s="73">
        <f>IFERROR(__xludf.DUMMYFUNCTION("""COMPUTED_VALUE"""),100.0)</f>
        <v>100</v>
      </c>
      <c r="AS18" s="73"/>
      <c r="AT18" s="73"/>
      <c r="AU18" s="73"/>
      <c r="AV18" s="73"/>
      <c r="AW18" s="73">
        <f>IFERROR(__xludf.DUMMYFUNCTION("""COMPUTED_VALUE"""),1.0)</f>
        <v>1</v>
      </c>
      <c r="AX18" s="73"/>
      <c r="AY18" s="73"/>
      <c r="AZ18" s="73"/>
      <c r="BA18" s="73"/>
      <c r="BB18" s="73"/>
      <c r="BC18" s="73" t="str">
        <f>IFERROR(__xludf.DUMMYFUNCTION("""COMPUTED_VALUE"""),"Packaging")</f>
        <v>Packaging</v>
      </c>
      <c r="BD18" s="73" t="str">
        <f>IFERROR(__xludf.DUMMYFUNCTION("""COMPUTED_VALUE"""),"Carry Bag")</f>
        <v>Carry Bag</v>
      </c>
      <c r="BE18" s="80"/>
      <c r="BF18" s="54"/>
      <c r="BG18" s="113"/>
      <c r="BH18" s="73"/>
      <c r="BI18" s="73"/>
      <c r="BJ18" s="73"/>
      <c r="BK18" s="233"/>
      <c r="BL18" s="80"/>
      <c r="BM18" s="80"/>
      <c r="BN18" s="80"/>
      <c r="BO18" s="80"/>
      <c r="BP18" s="80"/>
      <c r="BQ18" s="80"/>
      <c r="BR18" s="80"/>
      <c r="BS18" s="139" t="s">
        <v>28</v>
      </c>
      <c r="BT18" s="139" t="s">
        <v>68</v>
      </c>
      <c r="BU18" s="73" t="s">
        <v>182</v>
      </c>
      <c r="BV18" s="107">
        <f>Price!$R$4</f>
        <v>47</v>
      </c>
      <c r="BW18" s="73"/>
      <c r="BX18" s="80"/>
      <c r="BY18" s="80"/>
      <c r="BZ18" s="80"/>
      <c r="CA18" s="80"/>
      <c r="CB18" s="80"/>
      <c r="CC18" s="80"/>
      <c r="CD18" s="80" t="str">
        <f t="shared" si="8"/>
        <v/>
      </c>
      <c r="CE18" s="80" t="str">
        <f t="shared" si="9"/>
        <v/>
      </c>
      <c r="CF18" s="80"/>
      <c r="CG18" s="80"/>
      <c r="CH18" s="80"/>
    </row>
    <row r="19">
      <c r="A19" s="237" t="str">
        <f>IFERROR(__xludf.DUMMYFUNCTION("""COMPUTED_VALUE"""),"https://drive.google.com/open?id=1lHnMtXhr9G3SJf8uKeSbYuegZiSXiBHu&amp;authuser=jay.agg%40gmail.com&amp;usp=drive_fs")</f>
        <v>https://drive.google.com/open?id=1lHnMtXhr9G3SJf8uKeSbYuegZiSXiBHu&amp;authuser=jay.agg%40gmail.com&amp;usp=drive_fs</v>
      </c>
      <c r="B19" s="80" t="str">
        <f>IFERROR(__xludf.DUMMYFUNCTION("""COMPUTED_VALUE"""),"Carry Bag")</f>
        <v>Carry Bag</v>
      </c>
      <c r="C19" s="80" t="str">
        <f>IFERROR(__xludf.DUMMYFUNCTION("""COMPUTED_VALUE"""),"Covid Kit")</f>
        <v>Covid Kit</v>
      </c>
      <c r="D19" s="80" t="str">
        <f>IFERROR(__xludf.DUMMYFUNCTION("""COMPUTED_VALUE"""),"205*65*330 mm")</f>
        <v>205*65*330 mm</v>
      </c>
      <c r="E19" s="124">
        <f>IFERROR(__xludf.DUMMYFUNCTION("""COMPUTED_VALUE"""),1.0)</f>
        <v>1</v>
      </c>
      <c r="F19" s="107">
        <f>IFERROR(__xludf.DUMMYFUNCTION("""COMPUTED_VALUE"""),1926.0)</f>
        <v>1926</v>
      </c>
      <c r="G19" s="107">
        <f>IFERROR(__xludf.DUMMYFUNCTION("""COMPUTED_VALUE"""),18.0)</f>
        <v>18</v>
      </c>
      <c r="H19" s="107">
        <f>IFERROR(__xludf.DUMMYFUNCTION("""COMPUTED_VALUE"""),23.0)</f>
        <v>23</v>
      </c>
      <c r="I19" s="107">
        <f>IFERROR(__xludf.DUMMYFUNCTION("""COMPUTED_VALUE"""),100.0)</f>
        <v>100</v>
      </c>
      <c r="J19" s="109"/>
      <c r="K19" s="109"/>
      <c r="L19" s="109"/>
      <c r="M19" s="109">
        <f>IFERROR(__xludf.DUMMYFUNCTION("""COMPUTED_VALUE"""),0.1)</f>
        <v>0.1</v>
      </c>
      <c r="N19" s="109">
        <f>IFERROR(__xludf.DUMMYFUNCTION("""COMPUTED_VALUE"""),1.0)</f>
        <v>1</v>
      </c>
      <c r="O19" s="109"/>
      <c r="P19" s="109" t="str">
        <f>IFERROR(__xludf.DUMMYFUNCTION("""COMPUTED_VALUE"""),"Offset")</f>
        <v>Offset</v>
      </c>
      <c r="Q19" s="109" t="str">
        <f>IFERROR(__xludf.DUMMYFUNCTION("""COMPUTED_VALUE"""),"Packaging")</f>
        <v>Packaging</v>
      </c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15"/>
      <c r="AK19" s="80"/>
      <c r="AL19" s="80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 t="str">
        <f>IFERROR(__xludf.DUMMYFUNCTION("""COMPUTED_VALUE"""),"Packaging")</f>
        <v>Packaging</v>
      </c>
      <c r="BD19" s="73" t="str">
        <f>IFERROR(__xludf.DUMMYFUNCTION("""COMPUTED_VALUE"""),"Cerene")</f>
        <v>Cerene</v>
      </c>
      <c r="BE19" s="80"/>
      <c r="BF19" s="54"/>
      <c r="BG19" s="113"/>
      <c r="BH19" s="73"/>
      <c r="BI19" s="73"/>
      <c r="BJ19" s="73"/>
      <c r="BK19" s="233"/>
      <c r="BL19" s="80"/>
      <c r="BM19" s="80"/>
      <c r="BN19" s="80"/>
      <c r="BO19" s="80"/>
      <c r="BP19" s="80"/>
      <c r="BQ19" s="80"/>
      <c r="BR19" s="80"/>
      <c r="BS19" s="139" t="s">
        <v>28</v>
      </c>
      <c r="BT19" s="88" t="s">
        <v>184</v>
      </c>
      <c r="BU19" s="73" t="s">
        <v>185</v>
      </c>
      <c r="BV19" s="107">
        <f t="shared" ref="BV19:BV21" si="11">$BV$9</f>
        <v>105</v>
      </c>
      <c r="BW19" s="77"/>
      <c r="BX19" s="80"/>
      <c r="BY19" s="80"/>
      <c r="BZ19" s="80"/>
      <c r="CA19" s="80"/>
      <c r="CB19" s="80"/>
      <c r="CC19" s="80"/>
      <c r="CD19" s="80" t="str">
        <f t="shared" si="8"/>
        <v/>
      </c>
      <c r="CE19" s="80" t="str">
        <f t="shared" si="9"/>
        <v/>
      </c>
      <c r="CF19" s="80"/>
      <c r="CG19" s="80"/>
      <c r="CH19" s="80"/>
    </row>
    <row r="20">
      <c r="A20" s="237" t="str">
        <f>IFERROR(__xludf.DUMMYFUNCTION("""COMPUTED_VALUE"""),"https://drive.google.com/open?id=1B9rYdky9_GlhoyFLssx_P2CsAHKwkclm&amp;authuser=jay.agg%40gmail.com&amp;usp=drive_fs")</f>
        <v>https://drive.google.com/open?id=1B9rYdky9_GlhoyFLssx_P2CsAHKwkclm&amp;authuser=jay.agg%40gmail.com&amp;usp=drive_fs</v>
      </c>
      <c r="B20" s="80" t="str">
        <f>IFERROR(__xludf.DUMMYFUNCTION("""COMPUTED_VALUE"""),"Carry Bag")</f>
        <v>Carry Bag</v>
      </c>
      <c r="C20" s="80" t="str">
        <f>IFERROR(__xludf.DUMMYFUNCTION("""COMPUTED_VALUE"""),"Cashify")</f>
        <v>Cashify</v>
      </c>
      <c r="D20" s="80" t="str">
        <f>IFERROR(__xludf.DUMMYFUNCTION("""COMPUTED_VALUE"""),"240*64*160 mm | 9.5*2.5*6.25 inch")</f>
        <v>240*64*160 mm | 9.5*2.5*6.25 inch</v>
      </c>
      <c r="E20" s="124">
        <f>IFERROR(__xludf.DUMMYFUNCTION("""COMPUTED_VALUE"""),2.0)</f>
        <v>2</v>
      </c>
      <c r="F20" s="107">
        <f>IFERROR(__xludf.DUMMYFUNCTION("""COMPUTED_VALUE"""),2029.0)</f>
        <v>2029</v>
      </c>
      <c r="G20" s="107">
        <f>IFERROR(__xludf.DUMMYFUNCTION("""COMPUTED_VALUE"""),20.0)</f>
        <v>20</v>
      </c>
      <c r="H20" s="107">
        <f>IFERROR(__xludf.DUMMYFUNCTION("""COMPUTED_VALUE"""),25.0)</f>
        <v>25</v>
      </c>
      <c r="I20" s="107">
        <f>IFERROR(__xludf.DUMMYFUNCTION("""COMPUTED_VALUE"""),100.0)</f>
        <v>100</v>
      </c>
      <c r="J20" s="109"/>
      <c r="K20" s="109"/>
      <c r="L20" s="109"/>
      <c r="M20" s="109">
        <f>IFERROR(__xludf.DUMMYFUNCTION("""COMPUTED_VALUE"""),0.1)</f>
        <v>0.1</v>
      </c>
      <c r="N20" s="109">
        <f>IFERROR(__xludf.DUMMYFUNCTION("""COMPUTED_VALUE"""),1.0)</f>
        <v>1</v>
      </c>
      <c r="O20" s="109"/>
      <c r="P20" s="109" t="str">
        <f>IFERROR(__xludf.DUMMYFUNCTION("""COMPUTED_VALUE"""),"Offset")</f>
        <v>Offset</v>
      </c>
      <c r="Q20" s="109" t="str">
        <f>IFERROR(__xludf.DUMMYFUNCTION("""COMPUTED_VALUE"""),"Packaging")</f>
        <v>Packaging</v>
      </c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15"/>
      <c r="AK20" s="80"/>
      <c r="AL20" s="80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 t="str">
        <f>IFERROR(__xludf.DUMMYFUNCTION("""COMPUTED_VALUE"""),"Packaging")</f>
        <v>Packaging</v>
      </c>
      <c r="BD20" s="73" t="str">
        <f>IFERROR(__xludf.DUMMYFUNCTION("""COMPUTED_VALUE"""),"Computer Accessories")</f>
        <v>Computer Accessories</v>
      </c>
      <c r="BE20" s="80"/>
      <c r="BF20" s="54"/>
      <c r="BG20" s="113"/>
      <c r="BH20" s="73"/>
      <c r="BI20" s="73"/>
      <c r="BJ20" s="73"/>
      <c r="BK20" s="233"/>
      <c r="BL20" s="80"/>
      <c r="BM20" s="80"/>
      <c r="BN20" s="80"/>
      <c r="BO20" s="80"/>
      <c r="BP20" s="80"/>
      <c r="BQ20" s="80"/>
      <c r="BR20" s="80"/>
      <c r="BS20" s="139" t="s">
        <v>28</v>
      </c>
      <c r="BT20" s="88" t="s">
        <v>184</v>
      </c>
      <c r="BU20" s="73" t="s">
        <v>187</v>
      </c>
      <c r="BV20" s="107">
        <f t="shared" si="11"/>
        <v>105</v>
      </c>
      <c r="BW20" s="77"/>
      <c r="BX20" s="80"/>
      <c r="BY20" s="80"/>
      <c r="BZ20" s="80"/>
      <c r="CA20" s="80"/>
      <c r="CB20" s="80"/>
      <c r="CC20" s="80"/>
      <c r="CD20" s="80" t="str">
        <f t="shared" si="8"/>
        <v/>
      </c>
      <c r="CE20" s="80" t="str">
        <f t="shared" si="9"/>
        <v/>
      </c>
      <c r="CF20" s="80"/>
      <c r="CG20" s="80"/>
      <c r="CH20" s="80"/>
    </row>
    <row r="21">
      <c r="A21" s="237" t="str">
        <f>IFERROR(__xludf.DUMMYFUNCTION("""COMPUTED_VALUE"""),"https://drive.google.com/open?id=1B7kw4r1ubP78rXhqEyfWlE6NpdtvV4aL&amp;authuser=jay.agg%40gmail.com&amp;usp=drive_fs")</f>
        <v>https://drive.google.com/open?id=1B7kw4r1ubP78rXhqEyfWlE6NpdtvV4aL&amp;authuser=jay.agg%40gmail.com&amp;usp=drive_fs</v>
      </c>
      <c r="B21" s="80" t="str">
        <f>IFERROR(__xludf.DUMMYFUNCTION("""COMPUTED_VALUE"""),"Carry Bag")</f>
        <v>Carry Bag</v>
      </c>
      <c r="C21" s="80" t="str">
        <f>IFERROR(__xludf.DUMMYFUNCTION("""COMPUTED_VALUE"""),"Cashify")</f>
        <v>Cashify</v>
      </c>
      <c r="D21" s="80" t="str">
        <f>IFERROR(__xludf.DUMMYFUNCTION("""COMPUTED_VALUE"""),"290*106*222 mm | 11.5*4.2*8.75 inch")</f>
        <v>290*106*222 mm | 11.5*4.2*8.75 inch</v>
      </c>
      <c r="E21" s="124">
        <f>IFERROR(__xludf.DUMMYFUNCTION("""COMPUTED_VALUE"""),2.0)</f>
        <v>2</v>
      </c>
      <c r="F21" s="107">
        <f>IFERROR(__xludf.DUMMYFUNCTION("""COMPUTED_VALUE"""),2840.0)</f>
        <v>2840</v>
      </c>
      <c r="G21" s="107">
        <f>IFERROR(__xludf.DUMMYFUNCTION("""COMPUTED_VALUE"""),26.0)</f>
        <v>26</v>
      </c>
      <c r="H21" s="107">
        <f>IFERROR(__xludf.DUMMYFUNCTION("""COMPUTED_VALUE"""),38.0)</f>
        <v>38</v>
      </c>
      <c r="I21" s="107">
        <f>IFERROR(__xludf.DUMMYFUNCTION("""COMPUTED_VALUE"""),100.0)</f>
        <v>100</v>
      </c>
      <c r="J21" s="109"/>
      <c r="K21" s="109"/>
      <c r="L21" s="109"/>
      <c r="M21" s="109">
        <f>IFERROR(__xludf.DUMMYFUNCTION("""COMPUTED_VALUE"""),0.1)</f>
        <v>0.1</v>
      </c>
      <c r="N21" s="109">
        <f>IFERROR(__xludf.DUMMYFUNCTION("""COMPUTED_VALUE"""),1.0)</f>
        <v>1</v>
      </c>
      <c r="O21" s="109"/>
      <c r="P21" s="109" t="str">
        <f>IFERROR(__xludf.DUMMYFUNCTION("""COMPUTED_VALUE"""),"Offset")</f>
        <v>Offset</v>
      </c>
      <c r="Q21" s="109" t="str">
        <f>IFERROR(__xludf.DUMMYFUNCTION("""COMPUTED_VALUE"""),"Packaging")</f>
        <v>Packaging</v>
      </c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15"/>
      <c r="AK21" s="80"/>
      <c r="AL21" s="80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139" t="str">
        <f>IFERROR(__xludf.DUMMYFUNCTION("""COMPUTED_VALUE"""),"Packaging")</f>
        <v>Packaging</v>
      </c>
      <c r="BD21" s="139" t="str">
        <f>IFERROR(__xludf.DUMMYFUNCTION("""COMPUTED_VALUE"""),"Cones")</f>
        <v>Cones</v>
      </c>
      <c r="BE21" s="139"/>
      <c r="BF21" s="73"/>
      <c r="BG21" s="73"/>
      <c r="BH21" s="139"/>
      <c r="BI21" s="139"/>
      <c r="BJ21" s="139"/>
      <c r="BK21" s="139"/>
      <c r="BL21" s="73"/>
      <c r="BM21" s="80"/>
      <c r="BN21" s="80"/>
      <c r="BO21" s="80"/>
      <c r="BP21" s="80"/>
      <c r="BQ21" s="80"/>
      <c r="BR21" s="80"/>
      <c r="BS21" s="139" t="s">
        <v>28</v>
      </c>
      <c r="BT21" s="88" t="s">
        <v>184</v>
      </c>
      <c r="BU21" s="73" t="s">
        <v>197</v>
      </c>
      <c r="BV21" s="107">
        <f t="shared" si="11"/>
        <v>105</v>
      </c>
      <c r="BW21" s="73"/>
      <c r="BX21" s="80"/>
      <c r="BY21" s="80"/>
      <c r="BZ21" s="80"/>
      <c r="CA21" s="80"/>
      <c r="CB21" s="80"/>
      <c r="CC21" s="80"/>
      <c r="CD21" s="80" t="str">
        <f t="shared" si="8"/>
        <v/>
      </c>
      <c r="CE21" s="80" t="str">
        <f t="shared" si="9"/>
        <v/>
      </c>
      <c r="CF21" s="80"/>
      <c r="CG21" s="80"/>
      <c r="CH21" s="80"/>
    </row>
    <row r="22">
      <c r="A22" s="123" t="str">
        <f>IFERROR(__xludf.DUMMYFUNCTION("""COMPUTED_VALUE"""),"https://drive.google.com/open?id=1UjUJCgz92x793VrkiQcdxVoWh95tY_vy&amp;authuser=jay.agg%40gmail.com&amp;usp=drive_fs")</f>
        <v>https://drive.google.com/open?id=1UjUJCgz92x793VrkiQcdxVoWh95tY_vy&amp;authuser=jay.agg%40gmail.com&amp;usp=drive_fs</v>
      </c>
      <c r="B22" s="80" t="str">
        <f>IFERROR(__xludf.DUMMYFUNCTION("""COMPUTED_VALUE"""),"Carry Bag")</f>
        <v>Carry Bag</v>
      </c>
      <c r="C22" s="80" t="str">
        <f>IFERROR(__xludf.DUMMYFUNCTION("""COMPUTED_VALUE"""),"Misc")</f>
        <v>Misc</v>
      </c>
      <c r="D22" s="80" t="str">
        <f>IFERROR(__xludf.DUMMYFUNCTION("""COMPUTED_VALUE"""),"224*210*225 mm | 8.8*8.2*8.9 inch")</f>
        <v>224*210*225 mm | 8.8*8.2*8.9 inch</v>
      </c>
      <c r="E22" s="124">
        <f>IFERROR(__xludf.DUMMYFUNCTION("""COMPUTED_VALUE"""),0.5)</f>
        <v>0.5</v>
      </c>
      <c r="F22" s="80">
        <f>IFERROR(__xludf.DUMMYFUNCTION("""COMPUTED_VALUE"""),2029.0)</f>
        <v>2029</v>
      </c>
      <c r="G22" s="80">
        <f>IFERROR(__xludf.DUMMYFUNCTION("""COMPUTED_VALUE"""),15.75)</f>
        <v>15.75</v>
      </c>
      <c r="H22" s="80">
        <f>IFERROR(__xludf.DUMMYFUNCTION("""COMPUTED_VALUE"""),20.75)</f>
        <v>20.75</v>
      </c>
      <c r="I22" s="80">
        <f>IFERROR(__xludf.DUMMYFUNCTION("""COMPUTED_VALUE"""),100.0)</f>
        <v>100</v>
      </c>
      <c r="J22" s="109"/>
      <c r="K22" s="109"/>
      <c r="L22" s="109"/>
      <c r="M22" s="109"/>
      <c r="N22" s="109">
        <f>IFERROR(__xludf.DUMMYFUNCTION("""COMPUTED_VALUE"""),1.0)</f>
        <v>1</v>
      </c>
      <c r="O22" s="109"/>
      <c r="P22" s="109" t="str">
        <f>IFERROR(__xludf.DUMMYFUNCTION("""COMPUTED_VALUE"""),"Offset")</f>
        <v>Offset</v>
      </c>
      <c r="Q22" s="109" t="str">
        <f>IFERROR(__xludf.DUMMYFUNCTION("""COMPUTED_VALUE"""),"Packaging")</f>
        <v>Packaging</v>
      </c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15"/>
      <c r="AK22" s="80"/>
      <c r="AL22" s="80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 t="str">
        <f>IFERROR(__xludf.DUMMYFUNCTION("""COMPUTED_VALUE"""),"Packaging")</f>
        <v>Packaging</v>
      </c>
      <c r="BD22" s="73" t="str">
        <f>IFERROR(__xludf.DUMMYFUNCTION("""COMPUTED_VALUE"""),"Corrugation")</f>
        <v>Corrugation</v>
      </c>
      <c r="BE22" s="73"/>
      <c r="BF22" s="73"/>
      <c r="BG22" s="73"/>
      <c r="BH22" s="73"/>
      <c r="BI22" s="139"/>
      <c r="BJ22" s="73"/>
      <c r="BK22" s="73"/>
      <c r="BL22" s="139"/>
      <c r="BM22" s="80"/>
      <c r="BN22" s="73"/>
      <c r="BO22" s="80"/>
      <c r="BP22" s="80"/>
      <c r="BQ22" s="80"/>
      <c r="BR22" s="80"/>
      <c r="BS22" s="139" t="s">
        <v>30</v>
      </c>
      <c r="BT22" s="73" t="s">
        <v>68</v>
      </c>
      <c r="BU22" s="73" t="s">
        <v>198</v>
      </c>
      <c r="BV22" s="77">
        <f>Price!$Q$7</f>
        <v>78</v>
      </c>
      <c r="BW22" s="73"/>
      <c r="BX22" s="80"/>
      <c r="BY22" s="80"/>
      <c r="BZ22" s="80"/>
      <c r="CA22" s="80"/>
      <c r="CB22" s="80"/>
      <c r="CC22" s="80"/>
      <c r="CD22" s="80" t="str">
        <f t="shared" si="8"/>
        <v/>
      </c>
      <c r="CE22" s="80" t="str">
        <f t="shared" si="9"/>
        <v/>
      </c>
      <c r="CF22" s="80"/>
      <c r="CG22" s="80"/>
      <c r="CH22" s="80"/>
    </row>
    <row r="23">
      <c r="A23" s="123" t="str">
        <f>IFERROR(__xludf.DUMMYFUNCTION("""COMPUTED_VALUE"""),"https://drive.google.com/open?id=1Uj5SOd_yzSK3Dv3qjoOaS9tV0owM8eYg&amp;authuser=jay.agg%40gmail.com&amp;usp=drive_fs")</f>
        <v>https://drive.google.com/open?id=1Uj5SOd_yzSK3Dv3qjoOaS9tV0owM8eYg&amp;authuser=jay.agg%40gmail.com&amp;usp=drive_fs</v>
      </c>
      <c r="B23" s="80" t="str">
        <f>IFERROR(__xludf.DUMMYFUNCTION("""COMPUTED_VALUE"""),"Carry Bag")</f>
        <v>Carry Bag</v>
      </c>
      <c r="C23" s="80" t="str">
        <f>IFERROR(__xludf.DUMMYFUNCTION("""COMPUTED_VALUE"""),"Misc")</f>
        <v>Misc</v>
      </c>
      <c r="D23" s="80" t="str">
        <f>IFERROR(__xludf.DUMMYFUNCTION("""COMPUTED_VALUE"""),"254*254*200 mm | 10*10*7.8 inch")</f>
        <v>254*254*200 mm | 10*10*7.8 inch</v>
      </c>
      <c r="E23" s="124">
        <f>IFERROR(__xludf.DUMMYFUNCTION("""COMPUTED_VALUE"""),0.5)</f>
        <v>0.5</v>
      </c>
      <c r="F23" s="80">
        <f>IFERROR(__xludf.DUMMYFUNCTION("""COMPUTED_VALUE"""),2029.0)</f>
        <v>2029</v>
      </c>
      <c r="G23" s="80">
        <f>IFERROR(__xludf.DUMMYFUNCTION("""COMPUTED_VALUE"""),15.75)</f>
        <v>15.75</v>
      </c>
      <c r="H23" s="80">
        <f>IFERROR(__xludf.DUMMYFUNCTION("""COMPUTED_VALUE"""),20.75)</f>
        <v>20.75</v>
      </c>
      <c r="I23" s="80">
        <f>IFERROR(__xludf.DUMMYFUNCTION("""COMPUTED_VALUE"""),100.0)</f>
        <v>100</v>
      </c>
      <c r="J23" s="109"/>
      <c r="K23" s="109"/>
      <c r="L23" s="109"/>
      <c r="M23" s="109"/>
      <c r="N23" s="109">
        <f>IFERROR(__xludf.DUMMYFUNCTION("""COMPUTED_VALUE"""),1.0)</f>
        <v>1</v>
      </c>
      <c r="O23" s="109"/>
      <c r="P23" s="109" t="str">
        <f>IFERROR(__xludf.DUMMYFUNCTION("""COMPUTED_VALUE"""),"Offset")</f>
        <v>Offset</v>
      </c>
      <c r="Q23" s="109" t="str">
        <f>IFERROR(__xludf.DUMMYFUNCTION("""COMPUTED_VALUE"""),"Packaging")</f>
        <v>Packaging</v>
      </c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15"/>
      <c r="AK23" s="80"/>
      <c r="AL23" s="80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 t="str">
        <f>IFERROR(__xludf.DUMMYFUNCTION("""COMPUTED_VALUE"""),"Packaging")</f>
        <v>Packaging</v>
      </c>
      <c r="BD23" s="143" t="str">
        <f>IFERROR(__xludf.DUMMYFUNCTION("""COMPUTED_VALUE"""),"Cosmetic")</f>
        <v>Cosmetic</v>
      </c>
      <c r="BE23" s="73"/>
      <c r="BF23" s="73"/>
      <c r="BG23" s="73"/>
      <c r="BH23" s="73"/>
      <c r="BI23" s="139"/>
      <c r="BJ23" s="73"/>
      <c r="BK23" s="73"/>
      <c r="BL23" s="139"/>
      <c r="BM23" s="80"/>
      <c r="BN23" s="73"/>
      <c r="BO23" s="80"/>
      <c r="BP23" s="80"/>
      <c r="BQ23" s="80"/>
      <c r="BR23" s="80"/>
      <c r="BS23" s="139" t="s">
        <v>30</v>
      </c>
      <c r="BT23" s="88" t="s">
        <v>184</v>
      </c>
      <c r="BU23" s="73" t="s">
        <v>199</v>
      </c>
      <c r="BV23" s="77" t="str">
        <f>Quotation!$C$21</f>
        <v/>
      </c>
      <c r="BW23" s="73"/>
      <c r="BX23" s="80"/>
      <c r="BY23" s="80"/>
      <c r="BZ23" s="80"/>
      <c r="CA23" s="80"/>
      <c r="CB23" s="80"/>
      <c r="CC23" s="80"/>
      <c r="CD23" s="80" t="str">
        <f t="shared" si="8"/>
        <v/>
      </c>
      <c r="CE23" s="80" t="str">
        <f t="shared" si="9"/>
        <v/>
      </c>
      <c r="CF23" s="80"/>
      <c r="CG23" s="80"/>
      <c r="CH23" s="80"/>
    </row>
    <row r="24">
      <c r="A24" s="123" t="str">
        <f>IFERROR(__xludf.DUMMYFUNCTION("""COMPUTED_VALUE"""),"https://drive.google.com/open?id=1776chak7uaIih4AiETRmQb4kidXbpKey&amp;authuser=jay.agg%40gmail.com&amp;usp=drive_fs")</f>
        <v>https://drive.google.com/open?id=1776chak7uaIih4AiETRmQb4kidXbpKey&amp;authuser=jay.agg%40gmail.com&amp;usp=drive_fs</v>
      </c>
      <c r="B24" s="80" t="str">
        <f>IFERROR(__xludf.DUMMYFUNCTION("""COMPUTED_VALUE"""),"Carry Bag")</f>
        <v>Carry Bag</v>
      </c>
      <c r="C24" s="80" t="str">
        <f>IFERROR(__xludf.DUMMYFUNCTION("""COMPUTED_VALUE"""),"Misc")</f>
        <v>Misc</v>
      </c>
      <c r="D24" s="80" t="str">
        <f>IFERROR(__xludf.DUMMYFUNCTION("""COMPUTED_VALUE"""),"229*102*305 mm | 9*4*12 inch")</f>
        <v>229*102*305 mm | 9*4*12 inch</v>
      </c>
      <c r="E24" s="124">
        <f>IFERROR(__xludf.DUMMYFUNCTION("""COMPUTED_VALUE"""),1.0)</f>
        <v>1</v>
      </c>
      <c r="F24" s="80">
        <f>IFERROR(__xludf.DUMMYFUNCTION("""COMPUTED_VALUE"""),2029.0)</f>
        <v>2029</v>
      </c>
      <c r="G24" s="80">
        <f>IFERROR(__xludf.DUMMYFUNCTION("""COMPUTED_VALUE"""),17.5)</f>
        <v>17.5</v>
      </c>
      <c r="H24" s="80">
        <f>IFERROR(__xludf.DUMMYFUNCTION("""COMPUTED_VALUE"""),28.0)</f>
        <v>28</v>
      </c>
      <c r="I24" s="80">
        <f>IFERROR(__xludf.DUMMYFUNCTION("""COMPUTED_VALUE"""),100.0)</f>
        <v>100</v>
      </c>
      <c r="J24" s="109"/>
      <c r="K24" s="109"/>
      <c r="L24" s="109"/>
      <c r="M24" s="109">
        <f>IFERROR(__xludf.DUMMYFUNCTION("""COMPUTED_VALUE"""),0.1)</f>
        <v>0.1</v>
      </c>
      <c r="N24" s="109">
        <f>IFERROR(__xludf.DUMMYFUNCTION("""COMPUTED_VALUE"""),1.0)</f>
        <v>1</v>
      </c>
      <c r="O24" s="109"/>
      <c r="P24" s="109" t="str">
        <f>IFERROR(__xludf.DUMMYFUNCTION("""COMPUTED_VALUE"""),"Offset")</f>
        <v>Offset</v>
      </c>
      <c r="Q24" s="109" t="str">
        <f>IFERROR(__xludf.DUMMYFUNCTION("""COMPUTED_VALUE"""),"Packaging")</f>
        <v>Packaging</v>
      </c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15"/>
      <c r="AK24" s="80"/>
      <c r="AL24" s="80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 t="str">
        <f>IFERROR(__xludf.DUMMYFUNCTION("""COMPUTED_VALUE"""),"Packaging")</f>
        <v>Packaging</v>
      </c>
      <c r="BD24" s="73" t="str">
        <f>IFERROR(__xludf.DUMMYFUNCTION("""COMPUTED_VALUE"""),"Cup")</f>
        <v>Cup</v>
      </c>
      <c r="BE24" s="73"/>
      <c r="BF24" s="73"/>
      <c r="BG24" s="73"/>
      <c r="BH24" s="73"/>
      <c r="BI24" s="73"/>
      <c r="BJ24" s="73"/>
      <c r="BK24" s="73"/>
      <c r="BL24" s="80"/>
      <c r="BM24" s="80"/>
      <c r="BN24" s="73"/>
      <c r="BO24" s="80"/>
      <c r="BP24" s="80"/>
      <c r="BQ24" s="80"/>
      <c r="BR24" s="80"/>
      <c r="BS24" s="139" t="s">
        <v>30</v>
      </c>
      <c r="BT24" s="73" t="s">
        <v>68</v>
      </c>
      <c r="BU24" s="73" t="s">
        <v>200</v>
      </c>
      <c r="BV24" s="77">
        <f t="shared" ref="BV24:BV28" si="12">$BV$22</f>
        <v>78</v>
      </c>
      <c r="BW24" s="73"/>
      <c r="BX24" s="80"/>
      <c r="BY24" s="80"/>
      <c r="BZ24" s="80"/>
      <c r="CA24" s="80"/>
      <c r="CB24" s="80"/>
      <c r="CC24" s="80"/>
      <c r="CD24" s="80" t="str">
        <f t="shared" si="8"/>
        <v/>
      </c>
      <c r="CE24" s="80" t="str">
        <f t="shared" si="9"/>
        <v/>
      </c>
      <c r="CF24" s="80"/>
      <c r="CG24" s="80"/>
      <c r="CH24" s="80"/>
    </row>
    <row r="25">
      <c r="A25" s="123" t="str">
        <f>IFERROR(__xludf.DUMMYFUNCTION("""COMPUTED_VALUE"""),"https://drive.google.com/open?id=18GYx422KvAw5NGCNjJ65WZ-t5IXTMZLT&amp;authuser=jay.agg%40gmail.com&amp;usp=drive_fs")</f>
        <v>https://drive.google.com/open?id=18GYx422KvAw5NGCNjJ65WZ-t5IXTMZLT&amp;authuser=jay.agg%40gmail.com&amp;usp=drive_fs</v>
      </c>
      <c r="B25" s="80" t="str">
        <f>IFERROR(__xludf.DUMMYFUNCTION("""COMPUTED_VALUE"""),"Carry Bag")</f>
        <v>Carry Bag</v>
      </c>
      <c r="C25" s="80" t="str">
        <f>IFERROR(__xludf.DUMMYFUNCTION("""COMPUTED_VALUE"""),"FnP")</f>
        <v>FnP</v>
      </c>
      <c r="D25" s="80" t="str">
        <f>IFERROR(__xludf.DUMMYFUNCTION("""COMPUTED_VALUE"""),"305*280*248 mm | 12*11*9.75 inch")</f>
        <v>305*280*248 mm | 12*11*9.75 inch</v>
      </c>
      <c r="E25" s="124">
        <f>IFERROR(__xludf.DUMMYFUNCTION("""COMPUTED_VALUE"""),0.5)</f>
        <v>0.5</v>
      </c>
      <c r="F25" s="80">
        <f>IFERROR(__xludf.DUMMYFUNCTION("""COMPUTED_VALUE"""),1926.0)</f>
        <v>1926</v>
      </c>
      <c r="G25" s="80">
        <f>IFERROR(__xludf.DUMMYFUNCTION("""COMPUTED_VALUE"""),18.0)</f>
        <v>18</v>
      </c>
      <c r="H25" s="80">
        <f>IFERROR(__xludf.DUMMYFUNCTION("""COMPUTED_VALUE"""),25.0)</f>
        <v>25</v>
      </c>
      <c r="I25" s="80">
        <f>IFERROR(__xludf.DUMMYFUNCTION("""COMPUTED_VALUE"""),100.0)</f>
        <v>100</v>
      </c>
      <c r="J25" s="109"/>
      <c r="K25" s="109"/>
      <c r="L25" s="109"/>
      <c r="M25" s="109"/>
      <c r="N25" s="109">
        <f>IFERROR(__xludf.DUMMYFUNCTION("""COMPUTED_VALUE"""),1.0)</f>
        <v>1</v>
      </c>
      <c r="O25" s="109"/>
      <c r="P25" s="109" t="str">
        <f>IFERROR(__xludf.DUMMYFUNCTION("""COMPUTED_VALUE"""),"Offset")</f>
        <v>Offset</v>
      </c>
      <c r="Q25" s="109" t="str">
        <f>IFERROR(__xludf.DUMMYFUNCTION("""COMPUTED_VALUE"""),"Packaging")</f>
        <v>Packaging</v>
      </c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15"/>
      <c r="AK25" s="80"/>
      <c r="AL25" s="80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 t="str">
        <f>IFERROR(__xludf.DUMMYFUNCTION("""COMPUTED_VALUE"""),"Packaging")</f>
        <v>Packaging</v>
      </c>
      <c r="BD25" s="73" t="str">
        <f>IFERROR(__xludf.DUMMYFUNCTION("""COMPUTED_VALUE"""),"Daily Essential")</f>
        <v>Daily Essential</v>
      </c>
      <c r="BE25" s="73"/>
      <c r="BF25" s="73"/>
      <c r="BG25" s="73"/>
      <c r="BH25" s="73"/>
      <c r="BI25" s="139"/>
      <c r="BJ25" s="73"/>
      <c r="BK25" s="73"/>
      <c r="BL25" s="139"/>
      <c r="BM25" s="80"/>
      <c r="BN25" s="73"/>
      <c r="BO25" s="80"/>
      <c r="BP25" s="80"/>
      <c r="BQ25" s="80"/>
      <c r="BR25" s="80"/>
      <c r="BS25" s="139" t="s">
        <v>30</v>
      </c>
      <c r="BT25" s="73" t="s">
        <v>68</v>
      </c>
      <c r="BU25" s="73" t="s">
        <v>201</v>
      </c>
      <c r="BV25" s="77">
        <f t="shared" si="12"/>
        <v>78</v>
      </c>
      <c r="BW25" s="73"/>
      <c r="BX25" s="80"/>
      <c r="BY25" s="80"/>
      <c r="BZ25" s="80"/>
      <c r="CA25" s="80"/>
      <c r="CB25" s="80"/>
      <c r="CC25" s="80"/>
      <c r="CD25" s="80" t="str">
        <f t="shared" si="8"/>
        <v/>
      </c>
      <c r="CE25" s="80" t="str">
        <f t="shared" si="9"/>
        <v/>
      </c>
      <c r="CF25" s="80"/>
      <c r="CG25" s="80"/>
      <c r="CH25" s="80"/>
    </row>
    <row r="26">
      <c r="A26" s="123" t="str">
        <f>IFERROR(__xludf.DUMMYFUNCTION("""COMPUTED_VALUE"""),"https://drive.google.com/open?id=18JW5RWEWbLqsK1MUKfCyTsOUrbkb5ckp&amp;authuser=jay.agg%40gmail.com&amp;usp=drive_fs")</f>
        <v>https://drive.google.com/open?id=18JW5RWEWbLqsK1MUKfCyTsOUrbkb5ckp&amp;authuser=jay.agg%40gmail.com&amp;usp=drive_fs</v>
      </c>
      <c r="B26" s="80" t="str">
        <f>IFERROR(__xludf.DUMMYFUNCTION("""COMPUTED_VALUE"""),"Carry Bag")</f>
        <v>Carry Bag</v>
      </c>
      <c r="C26" s="80" t="str">
        <f>IFERROR(__xludf.DUMMYFUNCTION("""COMPUTED_VALUE"""),"FnP")</f>
        <v>FnP</v>
      </c>
      <c r="D26" s="80" t="str">
        <f>IFERROR(__xludf.DUMMYFUNCTION("""COMPUTED_VALUE"""),"256*230*240 mm | 10*9*9.5 inch")</f>
        <v>256*230*240 mm | 10*9*9.5 inch</v>
      </c>
      <c r="E26" s="124">
        <f>IFERROR(__xludf.DUMMYFUNCTION("""COMPUTED_VALUE"""),0.5)</f>
        <v>0.5</v>
      </c>
      <c r="F26" s="80">
        <f>IFERROR(__xludf.DUMMYFUNCTION("""COMPUTED_VALUE"""),1926.0)</f>
        <v>1926</v>
      </c>
      <c r="G26" s="80">
        <f>IFERROR(__xludf.DUMMYFUNCTION("""COMPUTED_VALUE"""),18.0)</f>
        <v>18</v>
      </c>
      <c r="H26" s="80">
        <f>IFERROR(__xludf.DUMMYFUNCTION("""COMPUTED_VALUE"""),21.0)</f>
        <v>21</v>
      </c>
      <c r="I26" s="80">
        <f>IFERROR(__xludf.DUMMYFUNCTION("""COMPUTED_VALUE"""),100.0)</f>
        <v>100</v>
      </c>
      <c r="J26" s="109"/>
      <c r="K26" s="109"/>
      <c r="L26" s="109"/>
      <c r="M26" s="109"/>
      <c r="N26" s="109">
        <f>IFERROR(__xludf.DUMMYFUNCTION("""COMPUTED_VALUE"""),1.0)</f>
        <v>1</v>
      </c>
      <c r="O26" s="109"/>
      <c r="P26" s="109" t="str">
        <f>IFERROR(__xludf.DUMMYFUNCTION("""COMPUTED_VALUE"""),"Offset")</f>
        <v>Offset</v>
      </c>
      <c r="Q26" s="109" t="str">
        <f>IFERROR(__xludf.DUMMYFUNCTION("""COMPUTED_VALUE"""),"Packaging")</f>
        <v>Packaging</v>
      </c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15"/>
      <c r="AK26" s="80"/>
      <c r="AL26" s="80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 t="str">
        <f>IFERROR(__xludf.DUMMYFUNCTION("""COMPUTED_VALUE"""),"Packaging")</f>
        <v>Packaging</v>
      </c>
      <c r="BD26" s="73" t="str">
        <f>IFERROR(__xludf.DUMMYFUNCTION("""COMPUTED_VALUE"""),"Dhoop")</f>
        <v>Dhoop</v>
      </c>
      <c r="BE26" s="73"/>
      <c r="BF26" s="73"/>
      <c r="BG26" s="73"/>
      <c r="BH26" s="73"/>
      <c r="BI26" s="139"/>
      <c r="BJ26" s="73"/>
      <c r="BK26" s="73"/>
      <c r="BL26" s="139"/>
      <c r="BM26" s="80"/>
      <c r="BN26" s="80"/>
      <c r="BO26" s="80"/>
      <c r="BP26" s="80"/>
      <c r="BQ26" s="80"/>
      <c r="BR26" s="80"/>
      <c r="BS26" s="139" t="s">
        <v>30</v>
      </c>
      <c r="BT26" s="73" t="s">
        <v>68</v>
      </c>
      <c r="BU26" s="73" t="s">
        <v>202</v>
      </c>
      <c r="BV26" s="77">
        <f t="shared" si="12"/>
        <v>78</v>
      </c>
      <c r="BW26" s="73"/>
      <c r="BX26" s="80"/>
      <c r="BY26" s="80"/>
      <c r="BZ26" s="80"/>
      <c r="CA26" s="80"/>
      <c r="CB26" s="80"/>
      <c r="CC26" s="80"/>
      <c r="CD26" s="80" t="str">
        <f t="shared" si="8"/>
        <v/>
      </c>
      <c r="CE26" s="80" t="str">
        <f t="shared" si="9"/>
        <v/>
      </c>
      <c r="CF26" s="80"/>
      <c r="CG26" s="80"/>
      <c r="CH26" s="80"/>
    </row>
    <row r="27">
      <c r="A27" s="123" t="str">
        <f>IFERROR(__xludf.DUMMYFUNCTION("""COMPUTED_VALUE"""),"https://drive.google.com/open?id=1D4uH39QrRZfXmBsB8G93VY9_0eAGmYEy&amp;authuser=jay.agg%40gmail.com&amp;usp=drive_fs")</f>
        <v>https://drive.google.com/open?id=1D4uH39QrRZfXmBsB8G93VY9_0eAGmYEy&amp;authuser=jay.agg%40gmail.com&amp;usp=drive_fs</v>
      </c>
      <c r="B27" s="80" t="str">
        <f>IFERROR(__xludf.DUMMYFUNCTION("""COMPUTED_VALUE"""),"Carry Bag")</f>
        <v>Carry Bag</v>
      </c>
      <c r="C27" s="80" t="str">
        <f>IFERROR(__xludf.DUMMYFUNCTION("""COMPUTED_VALUE"""),"Cashify")</f>
        <v>Cashify</v>
      </c>
      <c r="D27" s="80" t="str">
        <f>IFERROR(__xludf.DUMMYFUNCTION("""COMPUTED_VALUE"""),"250*110*205 mm | 9.8*4.3*8 inch")</f>
        <v>250*110*205 mm | 9.8*4.3*8 inch</v>
      </c>
      <c r="E27" s="124">
        <f>IFERROR(__xludf.DUMMYFUNCTION("""COMPUTED_VALUE"""),2.0)</f>
        <v>2</v>
      </c>
      <c r="F27" s="80">
        <f>IFERROR(__xludf.DUMMYFUNCTION("""COMPUTED_VALUE"""),2840.0)</f>
        <v>2840</v>
      </c>
      <c r="G27" s="80">
        <f>IFERROR(__xludf.DUMMYFUNCTION("""COMPUTED_VALUE"""),25.0)</f>
        <v>25</v>
      </c>
      <c r="H27" s="80">
        <f>IFERROR(__xludf.DUMMYFUNCTION("""COMPUTED_VALUE"""),30.0)</f>
        <v>30</v>
      </c>
      <c r="I27" s="80">
        <f>IFERROR(__xludf.DUMMYFUNCTION("""COMPUTED_VALUE"""),100.0)</f>
        <v>100</v>
      </c>
      <c r="J27" s="109"/>
      <c r="K27" s="109"/>
      <c r="L27" s="109"/>
      <c r="M27" s="109"/>
      <c r="N27" s="109">
        <f>IFERROR(__xludf.DUMMYFUNCTION("""COMPUTED_VALUE"""),1.0)</f>
        <v>1</v>
      </c>
      <c r="O27" s="109"/>
      <c r="P27" s="109" t="str">
        <f>IFERROR(__xludf.DUMMYFUNCTION("""COMPUTED_VALUE"""),"Offset")</f>
        <v>Offset</v>
      </c>
      <c r="Q27" s="109" t="str">
        <f>IFERROR(__xludf.DUMMYFUNCTION("""COMPUTED_VALUE"""),"Packaging")</f>
        <v>Packaging</v>
      </c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15"/>
      <c r="AK27" s="80"/>
      <c r="AL27" s="80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 t="str">
        <f>IFERROR(__xludf.DUMMYFUNCTION("""COMPUTED_VALUE"""),"Packaging")</f>
        <v>Packaging</v>
      </c>
      <c r="BD27" s="73" t="str">
        <f>IFERROR(__xludf.DUMMYFUNCTION("""COMPUTED_VALUE"""),"Dude Love")</f>
        <v>Dude Love</v>
      </c>
      <c r="BE27" s="73"/>
      <c r="BF27" s="73"/>
      <c r="BG27" s="73"/>
      <c r="BH27" s="73"/>
      <c r="BI27" s="73"/>
      <c r="BJ27" s="73"/>
      <c r="BK27" s="73"/>
      <c r="BL27" s="80"/>
      <c r="BM27" s="80"/>
      <c r="BN27" s="80"/>
      <c r="BO27" s="80"/>
      <c r="BP27" s="80"/>
      <c r="BQ27" s="80"/>
      <c r="BR27" s="80"/>
      <c r="BS27" s="139" t="s">
        <v>30</v>
      </c>
      <c r="BT27" s="73" t="s">
        <v>68</v>
      </c>
      <c r="BU27" s="73" t="s">
        <v>203</v>
      </c>
      <c r="BV27" s="77">
        <f t="shared" si="12"/>
        <v>78</v>
      </c>
      <c r="BW27" s="73"/>
      <c r="BX27" s="80"/>
      <c r="BY27" s="80"/>
      <c r="BZ27" s="80"/>
      <c r="CA27" s="80"/>
      <c r="CB27" s="80"/>
      <c r="CC27" s="80"/>
      <c r="CD27" s="80" t="str">
        <f t="shared" si="8"/>
        <v/>
      </c>
      <c r="CE27" s="80" t="str">
        <f t="shared" si="9"/>
        <v/>
      </c>
      <c r="CF27" s="80"/>
      <c r="CG27" s="80"/>
      <c r="CH27" s="80"/>
    </row>
    <row r="28">
      <c r="A28" s="80"/>
      <c r="B28" s="80"/>
      <c r="C28" s="80"/>
      <c r="D28" s="80"/>
      <c r="E28" s="124"/>
      <c r="F28" s="80"/>
      <c r="G28" s="80"/>
      <c r="H28" s="80"/>
      <c r="I28" s="80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15"/>
      <c r="AK28" s="80"/>
      <c r="AL28" s="80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 t="str">
        <f>IFERROR(__xludf.DUMMYFUNCTION("""COMPUTED_VALUE"""),"Packaging")</f>
        <v>Packaging</v>
      </c>
      <c r="BD28" s="73" t="str">
        <f>IFERROR(__xludf.DUMMYFUNCTION("""COMPUTED_VALUE"""),"Electricity")</f>
        <v>Electricity</v>
      </c>
      <c r="BE28" s="73"/>
      <c r="BF28" s="73"/>
      <c r="BG28" s="73"/>
      <c r="BH28" s="73"/>
      <c r="BI28" s="73"/>
      <c r="BJ28" s="73"/>
      <c r="BK28" s="73"/>
      <c r="BL28" s="80"/>
      <c r="BM28" s="80"/>
      <c r="BN28" s="80"/>
      <c r="BO28" s="80"/>
      <c r="BP28" s="80"/>
      <c r="BQ28" s="80"/>
      <c r="BR28" s="80"/>
      <c r="BS28" s="139" t="s">
        <v>30</v>
      </c>
      <c r="BT28" s="73" t="s">
        <v>68</v>
      </c>
      <c r="BU28" s="73" t="s">
        <v>204</v>
      </c>
      <c r="BV28" s="77">
        <f t="shared" si="12"/>
        <v>78</v>
      </c>
      <c r="BW28" s="73"/>
      <c r="BX28" s="80"/>
      <c r="BY28" s="80"/>
      <c r="BZ28" s="80"/>
      <c r="CA28" s="80"/>
      <c r="CB28" s="80"/>
      <c r="CC28" s="80"/>
      <c r="CD28" s="80" t="str">
        <f t="shared" si="8"/>
        <v/>
      </c>
      <c r="CE28" s="80" t="str">
        <f t="shared" si="9"/>
        <v/>
      </c>
      <c r="CF28" s="80"/>
      <c r="CG28" s="80"/>
      <c r="CH28" s="80"/>
    </row>
    <row r="29">
      <c r="A29" s="80"/>
      <c r="B29" s="80"/>
      <c r="C29" s="80"/>
      <c r="D29" s="80"/>
      <c r="E29" s="124"/>
      <c r="F29" s="80"/>
      <c r="G29" s="80"/>
      <c r="H29" s="80"/>
      <c r="I29" s="80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15"/>
      <c r="AK29" s="80"/>
      <c r="AL29" s="80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99" t="str">
        <f>IFERROR(__xludf.DUMMYFUNCTION("""COMPUTED_VALUE"""),"Packaging")</f>
        <v>Packaging</v>
      </c>
      <c r="BD29" s="99" t="str">
        <f>IFERROR(__xludf.DUMMYFUNCTION("""COMPUTED_VALUE"""),"Everstylish")</f>
        <v>Everstylish</v>
      </c>
      <c r="BE29" s="73"/>
      <c r="BF29" s="73"/>
      <c r="BG29" s="73"/>
      <c r="BH29" s="73"/>
      <c r="BI29" s="73"/>
      <c r="BJ29" s="73"/>
      <c r="BK29" s="73"/>
      <c r="BL29" s="80"/>
      <c r="BM29" s="80"/>
      <c r="BN29" s="80"/>
      <c r="BO29" s="80"/>
      <c r="BP29" s="80"/>
      <c r="BQ29" s="80"/>
      <c r="BR29" s="80"/>
      <c r="BS29" s="139"/>
      <c r="BT29" s="73"/>
      <c r="BU29" s="73"/>
      <c r="BV29" s="73"/>
      <c r="BW29" s="73"/>
      <c r="BX29" s="80"/>
      <c r="BY29" s="80"/>
      <c r="BZ29" s="80"/>
      <c r="CA29" s="80"/>
      <c r="CB29" s="80"/>
      <c r="CC29" s="80"/>
      <c r="CD29" s="80" t="str">
        <f t="shared" si="8"/>
        <v/>
      </c>
      <c r="CE29" s="80" t="str">
        <f t="shared" si="9"/>
        <v/>
      </c>
      <c r="CF29" s="80"/>
      <c r="CG29" s="80"/>
      <c r="CH29" s="80"/>
    </row>
    <row r="30">
      <c r="A30" s="80"/>
      <c r="B30" s="80"/>
      <c r="C30" s="80"/>
      <c r="D30" s="80"/>
      <c r="E30" s="124"/>
      <c r="F30" s="80"/>
      <c r="G30" s="80"/>
      <c r="H30" s="80"/>
      <c r="I30" s="80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15"/>
      <c r="AK30" s="80"/>
      <c r="AL30" s="80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 t="str">
        <f>IFERROR(__xludf.DUMMYFUNCTION("""COMPUTED_VALUE"""),"Packaging")</f>
        <v>Packaging</v>
      </c>
      <c r="BD30" s="73" t="str">
        <f>IFERROR(__xludf.DUMMYFUNCTION("""COMPUTED_VALUE"""),"FMCG")</f>
        <v>FMCG</v>
      </c>
      <c r="BE30" s="73"/>
      <c r="BF30" s="73"/>
      <c r="BG30" s="73"/>
      <c r="BH30" s="73"/>
      <c r="BI30" s="73"/>
      <c r="BJ30" s="73"/>
      <c r="BK30" s="88"/>
      <c r="BL30" s="80"/>
      <c r="BM30" s="80"/>
      <c r="BN30" s="80"/>
      <c r="BO30" s="80"/>
      <c r="BP30" s="80"/>
      <c r="BQ30" s="80"/>
      <c r="BR30" s="80"/>
      <c r="BS30" s="73"/>
      <c r="BT30" s="73"/>
      <c r="BU30" s="73"/>
      <c r="BV30" s="73"/>
      <c r="BW30" s="73"/>
      <c r="BX30" s="80"/>
      <c r="BY30" s="80"/>
      <c r="BZ30" s="80"/>
      <c r="CA30" s="80"/>
      <c r="CB30" s="80"/>
      <c r="CC30" s="80"/>
      <c r="CD30" s="80" t="str">
        <f t="shared" si="8"/>
        <v/>
      </c>
      <c r="CE30" s="80" t="str">
        <f t="shared" si="9"/>
        <v/>
      </c>
      <c r="CF30" s="80"/>
      <c r="CG30" s="80"/>
      <c r="CH30" s="80"/>
    </row>
    <row r="31">
      <c r="A31" s="80"/>
      <c r="B31" s="80"/>
      <c r="C31" s="80"/>
      <c r="D31" s="80"/>
      <c r="E31" s="124"/>
      <c r="F31" s="80"/>
      <c r="G31" s="80"/>
      <c r="H31" s="80"/>
      <c r="I31" s="80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15"/>
      <c r="AK31" s="80"/>
      <c r="AL31" s="80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 t="str">
        <f>IFERROR(__xludf.DUMMYFUNCTION("""COMPUTED_VALUE"""),"Packaging")</f>
        <v>Packaging</v>
      </c>
      <c r="BD31" s="73" t="str">
        <f>IFERROR(__xludf.DUMMYFUNCTION("""COMPUTED_VALUE"""),"Food")</f>
        <v>Food</v>
      </c>
      <c r="BE31" s="73"/>
      <c r="BF31" s="73"/>
      <c r="BG31" s="73"/>
      <c r="BH31" s="88"/>
      <c r="BI31" s="88"/>
      <c r="BJ31" s="139"/>
      <c r="BK31" s="73"/>
      <c r="BL31" s="80"/>
      <c r="BM31" s="80"/>
      <c r="BN31" s="80"/>
      <c r="BO31" s="80"/>
      <c r="BP31" s="80"/>
      <c r="BQ31" s="80"/>
      <c r="BR31" s="80"/>
      <c r="BS31" s="139" t="s">
        <v>29</v>
      </c>
      <c r="BT31" s="73" t="s">
        <v>68</v>
      </c>
      <c r="BU31" s="73" t="s">
        <v>200</v>
      </c>
      <c r="BV31" s="77">
        <f>Price!$P$7</f>
        <v>115</v>
      </c>
      <c r="BW31" s="73"/>
      <c r="BX31" s="80"/>
      <c r="BY31" s="80"/>
      <c r="BZ31" s="80"/>
      <c r="CA31" s="80"/>
      <c r="CB31" s="80"/>
      <c r="CC31" s="80"/>
      <c r="CD31" s="80" t="str">
        <f t="shared" si="8"/>
        <v/>
      </c>
      <c r="CE31" s="80" t="str">
        <f t="shared" si="9"/>
        <v/>
      </c>
      <c r="CF31" s="80"/>
      <c r="CG31" s="80"/>
      <c r="CH31" s="80"/>
    </row>
    <row r="32">
      <c r="A32" s="80"/>
      <c r="B32" s="80"/>
      <c r="C32" s="80"/>
      <c r="D32" s="80"/>
      <c r="E32" s="124"/>
      <c r="F32" s="80"/>
      <c r="G32" s="80"/>
      <c r="H32" s="80"/>
      <c r="I32" s="80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15"/>
      <c r="AK32" s="80"/>
      <c r="AL32" s="80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 t="str">
        <f>IFERROR(__xludf.DUMMYFUNCTION("""COMPUTED_VALUE"""),"Packaging")</f>
        <v>Packaging</v>
      </c>
      <c r="BD32" s="73" t="str">
        <f>IFERROR(__xludf.DUMMYFUNCTION("""COMPUTED_VALUE"""),"Fratelli")</f>
        <v>Fratelli</v>
      </c>
      <c r="BE32" s="73"/>
      <c r="BF32" s="73"/>
      <c r="BG32" s="73"/>
      <c r="BH32" s="88"/>
      <c r="BI32" s="88"/>
      <c r="BJ32" s="73"/>
      <c r="BK32" s="73"/>
      <c r="BL32" s="80"/>
      <c r="BM32" s="80"/>
      <c r="BN32" s="73"/>
      <c r="BO32" s="80"/>
      <c r="BP32" s="80"/>
      <c r="BQ32" s="80"/>
      <c r="BR32" s="80"/>
      <c r="BS32" s="139" t="s">
        <v>29</v>
      </c>
      <c r="BT32" s="73" t="s">
        <v>68</v>
      </c>
      <c r="BU32" s="73" t="s">
        <v>201</v>
      </c>
      <c r="BV32" s="77">
        <f>Price!$P$7</f>
        <v>115</v>
      </c>
      <c r="BW32" s="73"/>
      <c r="BX32" s="80"/>
      <c r="BY32" s="80"/>
      <c r="BZ32" s="80"/>
      <c r="CA32" s="80"/>
      <c r="CB32" s="80"/>
      <c r="CC32" s="80"/>
      <c r="CD32" s="80" t="str">
        <f t="shared" si="8"/>
        <v/>
      </c>
      <c r="CE32" s="80" t="str">
        <f t="shared" si="9"/>
        <v/>
      </c>
      <c r="CF32" s="80"/>
      <c r="CG32" s="80"/>
      <c r="CH32" s="80"/>
    </row>
    <row r="33">
      <c r="A33" s="80"/>
      <c r="B33" s="80"/>
      <c r="C33" s="80"/>
      <c r="D33" s="80"/>
      <c r="E33" s="124"/>
      <c r="F33" s="80"/>
      <c r="G33" s="80"/>
      <c r="H33" s="80"/>
      <c r="I33" s="80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15"/>
      <c r="AK33" s="80"/>
      <c r="AL33" s="80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 t="str">
        <f>IFERROR(__xludf.DUMMYFUNCTION("""COMPUTED_VALUE"""),"Packaging")</f>
        <v>Packaging</v>
      </c>
      <c r="BD33" s="73" t="str">
        <f>IFERROR(__xludf.DUMMYFUNCTION("""COMPUTED_VALUE"""),"Games")</f>
        <v>Games</v>
      </c>
      <c r="BE33" s="73"/>
      <c r="BF33" s="73"/>
      <c r="BG33" s="73"/>
      <c r="BH33" s="88"/>
      <c r="BI33" s="113"/>
      <c r="BJ33" s="73"/>
      <c r="BK33" s="73"/>
      <c r="BL33" s="80"/>
      <c r="BM33" s="80"/>
      <c r="BN33" s="73"/>
      <c r="BO33" s="80"/>
      <c r="BP33" s="80"/>
      <c r="BQ33" s="80"/>
      <c r="BR33" s="80"/>
      <c r="BS33" s="139" t="s">
        <v>29</v>
      </c>
      <c r="BT33" s="73" t="s">
        <v>68</v>
      </c>
      <c r="BU33" s="73" t="s">
        <v>202</v>
      </c>
      <c r="BV33" s="77">
        <f>Price!$P$7</f>
        <v>115</v>
      </c>
      <c r="BW33" s="73"/>
      <c r="BX33" s="80"/>
      <c r="BY33" s="80"/>
      <c r="BZ33" s="80"/>
      <c r="CA33" s="80"/>
      <c r="CB33" s="80"/>
      <c r="CC33" s="80"/>
      <c r="CD33" s="80" t="str">
        <f t="shared" si="8"/>
        <v/>
      </c>
      <c r="CE33" s="80" t="str">
        <f t="shared" si="9"/>
        <v/>
      </c>
      <c r="CF33" s="80"/>
      <c r="CG33" s="80"/>
      <c r="CH33" s="80"/>
    </row>
    <row r="34">
      <c r="A34" s="80"/>
      <c r="B34" s="80"/>
      <c r="C34" s="80"/>
      <c r="D34" s="80"/>
      <c r="E34" s="124"/>
      <c r="F34" s="80"/>
      <c r="G34" s="80"/>
      <c r="H34" s="80"/>
      <c r="I34" s="80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15"/>
      <c r="AK34" s="80"/>
      <c r="AL34" s="80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 t="str">
        <f>IFERROR(__xludf.DUMMYFUNCTION("""COMPUTED_VALUE"""),"Packaging")</f>
        <v>Packaging</v>
      </c>
      <c r="BD34" s="73" t="str">
        <f>IFERROR(__xludf.DUMMYFUNCTION("""COMPUTED_VALUE"""),"Gugal Loban Cup")</f>
        <v>Gugal Loban Cup</v>
      </c>
      <c r="BE34" s="73"/>
      <c r="BF34" s="73"/>
      <c r="BG34" s="73"/>
      <c r="BH34" s="80"/>
      <c r="BI34" s="113"/>
      <c r="BJ34" s="73"/>
      <c r="BK34" s="73"/>
      <c r="BL34" s="80"/>
      <c r="BM34" s="80"/>
      <c r="BN34" s="73"/>
      <c r="BO34" s="80"/>
      <c r="BP34" s="80"/>
      <c r="BQ34" s="80"/>
      <c r="BR34" s="80"/>
      <c r="BS34" s="139" t="s">
        <v>29</v>
      </c>
      <c r="BT34" s="73" t="s">
        <v>68</v>
      </c>
      <c r="BU34" s="73" t="s">
        <v>203</v>
      </c>
      <c r="BV34" s="77">
        <f>Price!$P$7</f>
        <v>115</v>
      </c>
      <c r="BW34" s="73"/>
      <c r="BX34" s="80"/>
      <c r="BY34" s="80"/>
      <c r="BZ34" s="80"/>
      <c r="CA34" s="80"/>
      <c r="CB34" s="80"/>
      <c r="CC34" s="80"/>
      <c r="CD34" s="80" t="str">
        <f t="shared" si="8"/>
        <v/>
      </c>
      <c r="CE34" s="80" t="str">
        <f t="shared" si="9"/>
        <v/>
      </c>
      <c r="CF34" s="80"/>
      <c r="CG34" s="80"/>
      <c r="CH34" s="80"/>
    </row>
    <row r="35">
      <c r="A35" s="80"/>
      <c r="B35" s="80"/>
      <c r="C35" s="80"/>
      <c r="D35" s="80"/>
      <c r="E35" s="124"/>
      <c r="F35" s="80"/>
      <c r="G35" s="80"/>
      <c r="H35" s="80"/>
      <c r="I35" s="80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15"/>
      <c r="AK35" s="80"/>
      <c r="AL35" s="80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 t="str">
        <f>IFERROR(__xludf.DUMMYFUNCTION("""COMPUTED_VALUE"""),"Packaging")</f>
        <v>Packaging</v>
      </c>
      <c r="BD35" s="73" t="str">
        <f>IFERROR(__xludf.DUMMYFUNCTION("""COMPUTED_VALUE"""),"Hard Bound")</f>
        <v>Hard Bound</v>
      </c>
      <c r="BE35" s="73"/>
      <c r="BF35" s="73"/>
      <c r="BG35" s="73"/>
      <c r="BH35" s="80"/>
      <c r="BI35" s="113"/>
      <c r="BJ35" s="73"/>
      <c r="BK35" s="73"/>
      <c r="BL35" s="80"/>
      <c r="BM35" s="80"/>
      <c r="BN35" s="73"/>
      <c r="BO35" s="80"/>
      <c r="BP35" s="80"/>
      <c r="BQ35" s="80"/>
      <c r="BR35" s="80"/>
      <c r="BS35" s="139" t="s">
        <v>29</v>
      </c>
      <c r="BT35" s="73" t="s">
        <v>68</v>
      </c>
      <c r="BU35" s="73" t="s">
        <v>204</v>
      </c>
      <c r="BV35" s="77">
        <f>Price!$P$7</f>
        <v>115</v>
      </c>
      <c r="BW35" s="73"/>
      <c r="BX35" s="80"/>
      <c r="BY35" s="80"/>
      <c r="BZ35" s="80"/>
      <c r="CA35" s="80"/>
      <c r="CB35" s="80"/>
      <c r="CC35" s="80"/>
      <c r="CD35" s="80" t="str">
        <f t="shared" si="8"/>
        <v/>
      </c>
      <c r="CE35" s="80" t="str">
        <f t="shared" si="9"/>
        <v/>
      </c>
      <c r="CF35" s="80"/>
      <c r="CG35" s="80"/>
      <c r="CH35" s="80"/>
    </row>
    <row r="36">
      <c r="A36" s="80"/>
      <c r="B36" s="80"/>
      <c r="C36" s="80"/>
      <c r="D36" s="80"/>
      <c r="E36" s="124"/>
      <c r="F36" s="80"/>
      <c r="G36" s="80"/>
      <c r="H36" s="80"/>
      <c r="I36" s="80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15"/>
      <c r="AK36" s="80"/>
      <c r="AL36" s="80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 t="str">
        <f>IFERROR(__xludf.DUMMYFUNCTION("""COMPUTED_VALUE"""),"Packaging")</f>
        <v>Packaging</v>
      </c>
      <c r="BD36" s="73" t="str">
        <f>IFERROR(__xludf.DUMMYFUNCTION("""COMPUTED_VALUE"""),"Hardware")</f>
        <v>Hardware</v>
      </c>
      <c r="BE36" s="73"/>
      <c r="BF36" s="73"/>
      <c r="BG36" s="73"/>
      <c r="BH36" s="80"/>
      <c r="BI36" s="113"/>
      <c r="BJ36" s="73"/>
      <c r="BK36" s="73"/>
      <c r="BL36" s="80"/>
      <c r="BM36" s="80"/>
      <c r="BN36" s="80"/>
      <c r="BO36" s="80"/>
      <c r="BP36" s="80"/>
      <c r="BQ36" s="80"/>
      <c r="BR36" s="80"/>
      <c r="BS36" s="139" t="s">
        <v>29</v>
      </c>
      <c r="BT36" s="73" t="s">
        <v>68</v>
      </c>
      <c r="BU36" s="73" t="s">
        <v>205</v>
      </c>
      <c r="BV36" s="77">
        <f>Price!$P$7</f>
        <v>115</v>
      </c>
      <c r="BW36" s="73"/>
      <c r="BX36" s="80"/>
      <c r="BY36" s="80"/>
      <c r="BZ36" s="80"/>
      <c r="CA36" s="80"/>
      <c r="CB36" s="80"/>
      <c r="CC36" s="80"/>
      <c r="CD36" s="80" t="str">
        <f t="shared" si="8"/>
        <v/>
      </c>
      <c r="CE36" s="80" t="str">
        <f t="shared" si="9"/>
        <v/>
      </c>
      <c r="CF36" s="80"/>
      <c r="CG36" s="80"/>
      <c r="CH36" s="80"/>
    </row>
    <row r="37">
      <c r="A37" s="80"/>
      <c r="B37" s="80"/>
      <c r="C37" s="80"/>
      <c r="D37" s="80"/>
      <c r="E37" s="124"/>
      <c r="F37" s="80"/>
      <c r="G37" s="80"/>
      <c r="H37" s="80"/>
      <c r="I37" s="80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15"/>
      <c r="AK37" s="80"/>
      <c r="AL37" s="80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 t="str">
        <f>IFERROR(__xludf.DUMMYFUNCTION("""COMPUTED_VALUE"""),"Packaging")</f>
        <v>Packaging</v>
      </c>
      <c r="BD37" s="143" t="str">
        <f>IFERROR(__xludf.DUMMYFUNCTION("""COMPUTED_VALUE"""),"Hawa Dhoop")</f>
        <v>Hawa Dhoop</v>
      </c>
      <c r="BE37" s="73"/>
      <c r="BF37" s="73"/>
      <c r="BG37" s="73"/>
      <c r="BH37" s="88"/>
      <c r="BI37" s="113"/>
      <c r="BJ37" s="73"/>
      <c r="BK37" s="73"/>
      <c r="BL37" s="80"/>
      <c r="BM37" s="54"/>
      <c r="BN37" s="80"/>
      <c r="BO37" s="80"/>
      <c r="BP37" s="80"/>
      <c r="BQ37" s="80"/>
      <c r="BR37" s="80"/>
      <c r="BS37" s="139" t="s">
        <v>29</v>
      </c>
      <c r="BT37" s="73" t="s">
        <v>68</v>
      </c>
      <c r="BU37" s="73" t="s">
        <v>206</v>
      </c>
      <c r="BV37" s="77">
        <f>Price!$P$7</f>
        <v>115</v>
      </c>
      <c r="BW37" s="73"/>
      <c r="BX37" s="80"/>
      <c r="BY37" s="80"/>
      <c r="BZ37" s="80"/>
      <c r="CA37" s="80"/>
      <c r="CB37" s="80"/>
      <c r="CC37" s="80"/>
      <c r="CD37" s="80" t="str">
        <f t="shared" si="8"/>
        <v/>
      </c>
      <c r="CE37" s="80" t="str">
        <f t="shared" si="9"/>
        <v/>
      </c>
      <c r="CF37" s="80"/>
      <c r="CG37" s="80"/>
      <c r="CH37" s="80"/>
    </row>
    <row r="38">
      <c r="A38" s="80"/>
      <c r="B38" s="80"/>
      <c r="C38" s="80"/>
      <c r="D38" s="80"/>
      <c r="E38" s="124"/>
      <c r="F38" s="80"/>
      <c r="G38" s="80"/>
      <c r="H38" s="80"/>
      <c r="I38" s="80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15"/>
      <c r="AK38" s="80"/>
      <c r="AL38" s="80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 t="str">
        <f>IFERROR(__xludf.DUMMYFUNCTION("""COMPUTED_VALUE"""),"Packaging")</f>
        <v>Packaging</v>
      </c>
      <c r="BD38" s="73" t="str">
        <f>IFERROR(__xludf.DUMMYFUNCTION("""COMPUTED_VALUE"""),"Hawan Box")</f>
        <v>Hawan Box</v>
      </c>
      <c r="BE38" s="73"/>
      <c r="BF38" s="73"/>
      <c r="BG38" s="73"/>
      <c r="BH38" s="54"/>
      <c r="BI38" s="113"/>
      <c r="BJ38" s="73"/>
      <c r="BK38" s="73"/>
      <c r="BL38" s="80"/>
      <c r="BM38" s="54"/>
      <c r="BN38" s="80"/>
      <c r="BO38" s="80"/>
      <c r="BP38" s="80"/>
      <c r="BQ38" s="80"/>
      <c r="BR38" s="80"/>
      <c r="BS38" s="139" t="s">
        <v>29</v>
      </c>
      <c r="BT38" s="73" t="s">
        <v>68</v>
      </c>
      <c r="BU38" s="73" t="s">
        <v>180</v>
      </c>
      <c r="BV38" s="77">
        <f>Price!$P$7</f>
        <v>115</v>
      </c>
      <c r="BW38" s="73"/>
      <c r="BX38" s="80"/>
      <c r="BY38" s="80"/>
      <c r="BZ38" s="80"/>
      <c r="CA38" s="80"/>
      <c r="CB38" s="80"/>
      <c r="CC38" s="80"/>
      <c r="CD38" s="80" t="str">
        <f t="shared" si="8"/>
        <v/>
      </c>
      <c r="CE38" s="80" t="str">
        <f t="shared" si="9"/>
        <v/>
      </c>
      <c r="CF38" s="80"/>
      <c r="CG38" s="80"/>
      <c r="CH38" s="80"/>
    </row>
    <row r="39">
      <c r="A39" s="80"/>
      <c r="B39" s="80"/>
      <c r="C39" s="80"/>
      <c r="D39" s="80"/>
      <c r="E39" s="124"/>
      <c r="F39" s="80"/>
      <c r="G39" s="80"/>
      <c r="H39" s="80"/>
      <c r="I39" s="80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15"/>
      <c r="AK39" s="80"/>
      <c r="AL39" s="80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 t="str">
        <f>IFERROR(__xludf.DUMMYFUNCTION("""COMPUTED_VALUE"""),"Packaging")</f>
        <v>Packaging</v>
      </c>
      <c r="BD39" s="73" t="str">
        <f>IFERROR(__xludf.DUMMYFUNCTION("""COMPUTED_VALUE"""),"Henna Raj")</f>
        <v>Henna Raj</v>
      </c>
      <c r="BE39" s="73"/>
      <c r="BF39" s="73"/>
      <c r="BG39" s="73"/>
      <c r="BH39" s="54"/>
      <c r="BI39" s="113"/>
      <c r="BJ39" s="73"/>
      <c r="BK39" s="73"/>
      <c r="BL39" s="73"/>
      <c r="BM39" s="73"/>
      <c r="BN39" s="73"/>
      <c r="BO39" s="73"/>
      <c r="BP39" s="73"/>
      <c r="BQ39" s="73"/>
      <c r="BR39" s="73"/>
      <c r="BS39" s="139" t="s">
        <v>29</v>
      </c>
      <c r="BT39" s="73" t="s">
        <v>68</v>
      </c>
      <c r="BU39" s="73" t="s">
        <v>185</v>
      </c>
      <c r="BV39" s="77">
        <f>Price!$P$7</f>
        <v>115</v>
      </c>
      <c r="BW39" s="73"/>
      <c r="BX39" s="73"/>
      <c r="BY39" s="73"/>
      <c r="BZ39" s="73"/>
      <c r="CA39" s="73"/>
      <c r="CB39" s="73"/>
      <c r="CC39" s="73"/>
      <c r="CD39" s="80" t="str">
        <f t="shared" si="8"/>
        <v/>
      </c>
      <c r="CE39" s="80" t="str">
        <f t="shared" si="9"/>
        <v/>
      </c>
      <c r="CF39" s="73"/>
      <c r="CG39" s="73"/>
      <c r="CH39" s="73"/>
    </row>
    <row r="40">
      <c r="A40" s="80"/>
      <c r="B40" s="80"/>
      <c r="C40" s="80"/>
      <c r="D40" s="80"/>
      <c r="E40" s="124"/>
      <c r="F40" s="80"/>
      <c r="G40" s="80"/>
      <c r="H40" s="80"/>
      <c r="I40" s="80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15"/>
      <c r="AK40" s="80"/>
      <c r="AL40" s="80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 t="str">
        <f>IFERROR(__xludf.DUMMYFUNCTION("""COMPUTED_VALUE"""),"Packaging")</f>
        <v>Packaging</v>
      </c>
      <c r="BD40" s="73" t="str">
        <f>IFERROR(__xludf.DUMMYFUNCTION("""COMPUTED_VALUE"""),"HIT Chowk")</f>
        <v>HIT Chowk</v>
      </c>
      <c r="BE40" s="73"/>
      <c r="BF40" s="73"/>
      <c r="BG40" s="73"/>
      <c r="BH40" s="54"/>
      <c r="BI40" s="88"/>
      <c r="BJ40" s="73"/>
      <c r="BK40" s="73"/>
      <c r="BL40" s="73"/>
      <c r="BM40" s="73"/>
      <c r="BN40" s="73"/>
      <c r="BO40" s="73"/>
      <c r="BP40" s="73"/>
      <c r="BQ40" s="73"/>
      <c r="BR40" s="73"/>
      <c r="BS40" s="139" t="s">
        <v>29</v>
      </c>
      <c r="BT40" s="73" t="s">
        <v>68</v>
      </c>
      <c r="BU40" s="73" t="s">
        <v>197</v>
      </c>
      <c r="BV40" s="77">
        <f>Price!$P$7</f>
        <v>115</v>
      </c>
      <c r="BW40" s="73"/>
      <c r="BX40" s="73"/>
      <c r="BY40" s="73"/>
      <c r="BZ40" s="73"/>
      <c r="CA40" s="73"/>
      <c r="CB40" s="73"/>
      <c r="CC40" s="73"/>
      <c r="CD40" s="80" t="str">
        <f t="shared" si="8"/>
        <v/>
      </c>
      <c r="CE40" s="80" t="str">
        <f t="shared" si="9"/>
        <v/>
      </c>
      <c r="CF40" s="73"/>
      <c r="CG40" s="73"/>
      <c r="CH40" s="73"/>
    </row>
    <row r="41">
      <c r="A41" s="80"/>
      <c r="B41" s="80"/>
      <c r="C41" s="80"/>
      <c r="D41" s="80"/>
      <c r="E41" s="124"/>
      <c r="F41" s="80"/>
      <c r="G41" s="80"/>
      <c r="H41" s="80"/>
      <c r="I41" s="80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15"/>
      <c r="AK41" s="80"/>
      <c r="AL41" s="80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 t="str">
        <f>IFERROR(__xludf.DUMMYFUNCTION("""COMPUTED_VALUE"""),"Packaging")</f>
        <v>Packaging</v>
      </c>
      <c r="BD41" s="73" t="str">
        <f>IFERROR(__xludf.DUMMYFUNCTION("""COMPUTED_VALUE"""),"HOB")</f>
        <v>HOB</v>
      </c>
      <c r="BE41" s="73"/>
      <c r="BF41" s="73"/>
      <c r="BG41" s="73"/>
      <c r="BH41" s="54"/>
      <c r="BI41" s="88"/>
      <c r="BJ41" s="73"/>
      <c r="BK41" s="73"/>
      <c r="BL41" s="73"/>
      <c r="BM41" s="73"/>
      <c r="BN41" s="73"/>
      <c r="BO41" s="73"/>
      <c r="BP41" s="73"/>
      <c r="BQ41" s="73"/>
      <c r="BR41" s="73"/>
      <c r="BS41" s="139" t="s">
        <v>29</v>
      </c>
      <c r="BT41" s="73" t="s">
        <v>68</v>
      </c>
      <c r="BU41" s="88" t="s">
        <v>199</v>
      </c>
      <c r="BV41" s="77">
        <f>Price!$P$7</f>
        <v>115</v>
      </c>
      <c r="BW41" s="73"/>
      <c r="BX41" s="73"/>
      <c r="BY41" s="73"/>
      <c r="BZ41" s="73"/>
      <c r="CA41" s="73"/>
      <c r="CB41" s="73"/>
      <c r="CC41" s="73"/>
      <c r="CD41" s="80" t="str">
        <f t="shared" si="8"/>
        <v/>
      </c>
      <c r="CE41" s="124" t="str">
        <f>Quotation!D24</f>
        <v/>
      </c>
      <c r="CF41" s="73"/>
      <c r="CG41" s="73"/>
      <c r="CH41" s="73"/>
    </row>
    <row r="42">
      <c r="A42" s="80"/>
      <c r="B42" s="80"/>
      <c r="C42" s="80"/>
      <c r="D42" s="80"/>
      <c r="E42" s="124"/>
      <c r="F42" s="80"/>
      <c r="G42" s="80"/>
      <c r="H42" s="80"/>
      <c r="I42" s="80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15"/>
      <c r="AK42" s="80"/>
      <c r="AL42" s="80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 t="str">
        <f>IFERROR(__xludf.DUMMYFUNCTION("""COMPUTED_VALUE"""),"Packaging")</f>
        <v>Packaging</v>
      </c>
      <c r="BD42" s="73" t="str">
        <f>IFERROR(__xludf.DUMMYFUNCTION("""COMPUTED_VALUE"""),"Hosiery")</f>
        <v>Hosiery</v>
      </c>
      <c r="BE42" s="73"/>
      <c r="BF42" s="73"/>
      <c r="BG42" s="73"/>
      <c r="BH42" s="54"/>
      <c r="BI42" s="88"/>
      <c r="BJ42" s="73"/>
      <c r="BK42" s="73"/>
      <c r="BL42" s="73"/>
      <c r="BM42" s="73"/>
      <c r="BN42" s="73"/>
      <c r="BO42" s="73"/>
      <c r="BP42" s="73"/>
      <c r="BQ42" s="73"/>
      <c r="BR42" s="73"/>
      <c r="BS42" s="139" t="s">
        <v>15</v>
      </c>
      <c r="BT42" s="88" t="s">
        <v>68</v>
      </c>
      <c r="BU42" s="73"/>
      <c r="BV42" s="73" t="str">
        <f>Sheet2!$O$10</f>
        <v/>
      </c>
      <c r="BW42" s="73"/>
      <c r="BX42" s="73"/>
      <c r="BY42" s="73"/>
      <c r="BZ42" s="73"/>
      <c r="CA42" s="73"/>
      <c r="CB42" s="73"/>
      <c r="CC42" s="73"/>
      <c r="CD42" s="80" t="str">
        <f t="shared" si="8"/>
        <v/>
      </c>
      <c r="CE42" s="80" t="str">
        <f>CD42</f>
        <v/>
      </c>
      <c r="CF42" s="73"/>
      <c r="CG42" s="73"/>
      <c r="CH42" s="73"/>
    </row>
    <row r="43">
      <c r="A43" s="80"/>
      <c r="B43" s="80"/>
      <c r="C43" s="80"/>
      <c r="D43" s="80"/>
      <c r="E43" s="124"/>
      <c r="F43" s="80"/>
      <c r="G43" s="80"/>
      <c r="H43" s="80"/>
      <c r="I43" s="80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15"/>
      <c r="AK43" s="80"/>
      <c r="AL43" s="80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 t="str">
        <f>IFERROR(__xludf.DUMMYFUNCTION("""COMPUTED_VALUE"""),"Packaging")</f>
        <v>Packaging</v>
      </c>
      <c r="BD43" s="73" t="str">
        <f>IFERROR(__xludf.DUMMYFUNCTION("""COMPUTED_VALUE"""),"Jwellery")</f>
        <v>Jwellery</v>
      </c>
      <c r="BE43" s="73"/>
      <c r="BF43" s="73"/>
      <c r="BG43" s="73"/>
      <c r="BH43" s="54"/>
      <c r="BI43" s="113"/>
      <c r="BJ43" s="73"/>
      <c r="BK43" s="73"/>
      <c r="BL43" s="73"/>
      <c r="BM43" s="73"/>
      <c r="BN43" s="73"/>
      <c r="BO43" s="73"/>
      <c r="BP43" s="73"/>
      <c r="BQ43" s="73"/>
      <c r="BR43" s="73"/>
      <c r="BS43" s="113" t="s">
        <v>15</v>
      </c>
      <c r="BT43" s="88" t="s">
        <v>184</v>
      </c>
      <c r="BU43" s="73"/>
      <c r="BV43" s="107">
        <f t="shared" ref="BV43:BV45" si="13">$BV$9</f>
        <v>105</v>
      </c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</row>
    <row r="44">
      <c r="A44" s="80"/>
      <c r="B44" s="80"/>
      <c r="C44" s="80"/>
      <c r="D44" s="80"/>
      <c r="E44" s="124"/>
      <c r="F44" s="80"/>
      <c r="G44" s="80"/>
      <c r="H44" s="80"/>
      <c r="I44" s="80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15"/>
      <c r="AK44" s="80"/>
      <c r="AL44" s="80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 t="str">
        <f>IFERROR(__xludf.DUMMYFUNCTION("""COMPUTED_VALUE"""),"Packaging")</f>
        <v>Packaging</v>
      </c>
      <c r="BD44" s="73" t="str">
        <f>IFERROR(__xludf.DUMMYFUNCTION("""COMPUTED_VALUE"""),"Led")</f>
        <v>Led</v>
      </c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9"/>
      <c r="BQ44" s="159"/>
      <c r="BR44" s="159"/>
      <c r="BS44" s="113" t="s">
        <v>31</v>
      </c>
      <c r="BT44" s="88" t="s">
        <v>184</v>
      </c>
      <c r="BU44" s="88"/>
      <c r="BV44" s="76">
        <f t="shared" si="13"/>
        <v>105</v>
      </c>
      <c r="BW44" s="88"/>
      <c r="BX44" s="159"/>
      <c r="BY44" s="88" t="s">
        <v>9</v>
      </c>
      <c r="BZ44" s="159"/>
      <c r="CA44" s="159"/>
      <c r="CB44" s="159"/>
      <c r="CC44" s="159"/>
      <c r="CD44" s="159"/>
      <c r="CE44" s="159"/>
      <c r="CF44" s="159"/>
      <c r="CG44" s="159"/>
      <c r="CH44" s="159"/>
    </row>
    <row r="45">
      <c r="A45" s="80"/>
      <c r="B45" s="80"/>
      <c r="C45" s="80"/>
      <c r="D45" s="80"/>
      <c r="E45" s="124"/>
      <c r="F45" s="80"/>
      <c r="G45" s="80"/>
      <c r="H45" s="80"/>
      <c r="I45" s="80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15"/>
      <c r="AK45" s="80"/>
      <c r="AL45" s="80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 t="str">
        <f>IFERROR(__xludf.DUMMYFUNCTION("""COMPUTED_VALUE"""),"Packaging")</f>
        <v>Packaging</v>
      </c>
      <c r="BD45" s="73" t="str">
        <f>IFERROR(__xludf.DUMMYFUNCTION("""COMPUTED_VALUE"""),"Lifespan")</f>
        <v>Lifespan</v>
      </c>
      <c r="BE45" s="80"/>
      <c r="BF45" s="73" t="s">
        <v>207</v>
      </c>
      <c r="BG45" s="77">
        <v>1001.0</v>
      </c>
      <c r="BH45" s="139" t="str">
        <f>IFERROR(__xludf.DUMMYFUNCTION("QUERY(BF45:BG51,BH4)"),"Packaging")</f>
        <v>Packaging</v>
      </c>
      <c r="BI45" s="77">
        <f>IFERROR(__xludf.DUMMYFUNCTION("""COMPUTED_VALUE"""),1926.0)</f>
        <v>1926</v>
      </c>
      <c r="BJ45" s="160" t="str">
        <f>IFERROR(__xludf.DUMMYFUNCTION("QUERY(Price!AY2:AZ50,BI4)"),"#N/A")</f>
        <v>#N/A</v>
      </c>
      <c r="BK45" s="54"/>
      <c r="BL45" s="160" t="str">
        <f>IFERROR(__xludf.DUMMYFUNCTION("QUERY(Price!BC2:BD8,BJ4)"),"#N/A")</f>
        <v>#N/A</v>
      </c>
      <c r="BM45" s="77"/>
      <c r="BN45" s="160" t="str">
        <f>IFERROR(__xludf.DUMMYFUNCTION("QUERY(Price!AW2:AX50,BK4)"),"Plain")</f>
        <v>Plain</v>
      </c>
      <c r="BO45" s="77">
        <f>IFERROR(__xludf.DUMMYFUNCTION("""COMPUTED_VALUE"""),0.0)</f>
        <v>0</v>
      </c>
      <c r="BP45" s="139" t="str">
        <f>IFERROR(__xludf.DUMMYFUNCTION("QUERY(Price!AU2:AV50,BL4)"),"Plain")</f>
        <v>Plain</v>
      </c>
      <c r="BQ45" s="161">
        <f>IFERROR(__xludf.DUMMYFUNCTION("""COMPUTED_VALUE"""),0.0)</f>
        <v>0</v>
      </c>
      <c r="BR45" s="139"/>
      <c r="BS45" s="139" t="s">
        <v>29</v>
      </c>
      <c r="BT45" s="88" t="s">
        <v>184</v>
      </c>
      <c r="BU45" s="73"/>
      <c r="BV45" s="130">
        <f t="shared" si="13"/>
        <v>105</v>
      </c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</row>
    <row r="46">
      <c r="A46" s="80"/>
      <c r="B46" s="80"/>
      <c r="C46" s="80"/>
      <c r="D46" s="80"/>
      <c r="E46" s="124"/>
      <c r="F46" s="80"/>
      <c r="G46" s="80"/>
      <c r="H46" s="80"/>
      <c r="I46" s="80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15"/>
      <c r="AK46" s="80"/>
      <c r="AL46" s="80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 t="str">
        <f>IFERROR(__xludf.DUMMYFUNCTION("""COMPUTED_VALUE"""),"Packaging")</f>
        <v>Packaging</v>
      </c>
      <c r="BD46" s="73" t="str">
        <f>IFERROR(__xludf.DUMMYFUNCTION("""COMPUTED_VALUE"""),"Machine Parts")</f>
        <v>Machine Parts</v>
      </c>
      <c r="BE46" s="80"/>
      <c r="BF46" s="73" t="s">
        <v>208</v>
      </c>
      <c r="BG46" s="77">
        <v>1002.0</v>
      </c>
      <c r="BH46" s="73"/>
      <c r="BI46" s="139"/>
      <c r="BJ46" s="80"/>
      <c r="BK46" s="54"/>
      <c r="BL46" s="77"/>
      <c r="BM46" s="80"/>
      <c r="BN46" s="139"/>
      <c r="BO46" s="77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</row>
    <row r="47">
      <c r="A47" s="80"/>
      <c r="B47" s="80"/>
      <c r="C47" s="80"/>
      <c r="D47" s="80"/>
      <c r="E47" s="124"/>
      <c r="F47" s="80"/>
      <c r="G47" s="80"/>
      <c r="H47" s="80"/>
      <c r="I47" s="80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15"/>
      <c r="AK47" s="80"/>
      <c r="AL47" s="80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 t="str">
        <f>IFERROR(__xludf.DUMMYFUNCTION("""COMPUTED_VALUE"""),"Packaging")</f>
        <v>Packaging</v>
      </c>
      <c r="BD47" s="73" t="str">
        <f>IFERROR(__xludf.DUMMYFUNCTION("""COMPUTED_VALUE"""),"Masala")</f>
        <v>Masala</v>
      </c>
      <c r="BE47" s="80"/>
      <c r="BF47" s="73" t="s">
        <v>209</v>
      </c>
      <c r="BG47" s="77">
        <v>1004.0</v>
      </c>
      <c r="BH47" s="73"/>
      <c r="BI47" s="139"/>
      <c r="BJ47" s="73"/>
      <c r="BK47" s="88"/>
      <c r="BL47" s="77"/>
      <c r="BM47" s="80"/>
      <c r="BN47" s="139"/>
      <c r="BO47" s="77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</row>
    <row r="48">
      <c r="A48" s="80"/>
      <c r="B48" s="80"/>
      <c r="C48" s="80"/>
      <c r="D48" s="80"/>
      <c r="E48" s="124"/>
      <c r="F48" s="80"/>
      <c r="G48" s="80"/>
      <c r="H48" s="80"/>
      <c r="I48" s="80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15"/>
      <c r="AK48" s="80"/>
      <c r="AL48" s="80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 t="str">
        <f>IFERROR(__xludf.DUMMYFUNCTION("""COMPUTED_VALUE"""),"Packaging")</f>
        <v>Packaging</v>
      </c>
      <c r="BD48" s="73" t="str">
        <f>IFERROR(__xludf.DUMMYFUNCTION("""COMPUTED_VALUE"""),"Maxobull")</f>
        <v>Maxobull</v>
      </c>
      <c r="BE48" s="80"/>
      <c r="BF48" s="73" t="s">
        <v>210</v>
      </c>
      <c r="BG48" s="77">
        <v>1003.0</v>
      </c>
      <c r="BH48" s="73"/>
      <c r="BI48" s="139"/>
      <c r="BJ48" s="80"/>
      <c r="BK48" s="54"/>
      <c r="BL48" s="77"/>
      <c r="BM48" s="80"/>
      <c r="BN48" s="139"/>
      <c r="BO48" s="77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</row>
    <row r="49">
      <c r="A49" s="80"/>
      <c r="B49" s="80"/>
      <c r="C49" s="80"/>
      <c r="D49" s="80"/>
      <c r="E49" s="124"/>
      <c r="F49" s="80"/>
      <c r="G49" s="80"/>
      <c r="H49" s="80"/>
      <c r="I49" s="80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15"/>
      <c r="AK49" s="80"/>
      <c r="AL49" s="80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 t="str">
        <f>IFERROR(__xludf.DUMMYFUNCTION("""COMPUTED_VALUE"""),"Packaging")</f>
        <v>Packaging</v>
      </c>
      <c r="BD49" s="73" t="str">
        <f>IFERROR(__xludf.DUMMYFUNCTION("""COMPUTED_VALUE"""),"Medecine")</f>
        <v>Medecine</v>
      </c>
      <c r="BE49" s="80"/>
      <c r="BF49" s="88" t="s">
        <v>72</v>
      </c>
      <c r="BG49" s="161">
        <v>1926.0</v>
      </c>
      <c r="BH49" s="73"/>
      <c r="BI49" s="139"/>
      <c r="BJ49" s="73"/>
      <c r="BK49" s="88"/>
      <c r="BL49" s="77"/>
      <c r="BM49" s="80"/>
      <c r="BN49" s="139"/>
      <c r="BO49" s="77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</row>
    <row r="50">
      <c r="A50" s="80"/>
      <c r="B50" s="80"/>
      <c r="C50" s="80"/>
      <c r="D50" s="80"/>
      <c r="E50" s="124"/>
      <c r="F50" s="80"/>
      <c r="G50" s="80"/>
      <c r="H50" s="80"/>
      <c r="I50" s="80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15"/>
      <c r="AK50" s="80"/>
      <c r="AL50" s="80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 t="str">
        <f>IFERROR(__xludf.DUMMYFUNCTION("""COMPUTED_VALUE"""),"Packaging")</f>
        <v>Packaging</v>
      </c>
      <c r="BD50" s="73" t="str">
        <f>IFERROR(__xludf.DUMMYFUNCTION("""COMPUTED_VALUE"""),"Meethai &amp; Cake")</f>
        <v>Meethai &amp; Cake</v>
      </c>
      <c r="BE50" s="80"/>
      <c r="BF50" s="88" t="s">
        <v>64</v>
      </c>
      <c r="BG50" s="161">
        <v>1926.0</v>
      </c>
      <c r="BH50" s="73"/>
      <c r="BI50" s="139"/>
      <c r="BJ50" s="80"/>
      <c r="BK50" s="88"/>
      <c r="BL50" s="77"/>
      <c r="BM50" s="80"/>
      <c r="BN50" s="139"/>
      <c r="BO50" s="77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</row>
    <row r="51">
      <c r="A51" s="80"/>
      <c r="B51" s="80"/>
      <c r="C51" s="80"/>
      <c r="D51" s="80"/>
      <c r="E51" s="124"/>
      <c r="F51" s="80"/>
      <c r="G51" s="80"/>
      <c r="H51" s="80"/>
      <c r="I51" s="80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15"/>
      <c r="AK51" s="80"/>
      <c r="AL51" s="80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 t="str">
        <f>IFERROR(__xludf.DUMMYFUNCTION("""COMPUTED_VALUE"""),"Packaging")</f>
        <v>Packaging</v>
      </c>
      <c r="BD51" s="73" t="str">
        <f>IFERROR(__xludf.DUMMYFUNCTION("""COMPUTED_VALUE"""),"MFM")</f>
        <v>MFM</v>
      </c>
      <c r="BE51" s="80"/>
      <c r="BF51" s="88" t="s">
        <v>96</v>
      </c>
      <c r="BG51" s="161">
        <v>1005.0</v>
      </c>
      <c r="BH51" s="73"/>
      <c r="BI51" s="139"/>
      <c r="BJ51" s="80"/>
      <c r="BK51" s="77"/>
      <c r="BL51" s="77"/>
      <c r="BM51" s="80"/>
      <c r="BN51" s="139"/>
      <c r="BO51" s="77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</row>
    <row r="52">
      <c r="A52" s="80"/>
      <c r="B52" s="80"/>
      <c r="C52" s="80"/>
      <c r="D52" s="80"/>
      <c r="E52" s="124"/>
      <c r="F52" s="80"/>
      <c r="G52" s="80"/>
      <c r="H52" s="80"/>
      <c r="I52" s="80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15"/>
      <c r="AK52" s="80"/>
      <c r="AL52" s="80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 t="str">
        <f>IFERROR(__xludf.DUMMYFUNCTION("""COMPUTED_VALUE"""),"Packaging")</f>
        <v>Packaging</v>
      </c>
      <c r="BD52" s="73" t="str">
        <f>IFERROR(__xludf.DUMMYFUNCTION("""COMPUTED_VALUE"""),"Misc")</f>
        <v>Misc</v>
      </c>
      <c r="BE52" s="80"/>
      <c r="BF52" s="73"/>
      <c r="BG52" s="139"/>
      <c r="BH52" s="73"/>
      <c r="BI52" s="73"/>
      <c r="BJ52" s="80"/>
      <c r="BK52" s="54"/>
      <c r="BL52" s="77"/>
      <c r="BM52" s="80"/>
      <c r="BN52" s="139"/>
      <c r="BO52" s="77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</row>
    <row r="53">
      <c r="A53" s="80"/>
      <c r="B53" s="80"/>
      <c r="C53" s="80"/>
      <c r="D53" s="80"/>
      <c r="E53" s="124"/>
      <c r="F53" s="80"/>
      <c r="G53" s="80"/>
      <c r="H53" s="80"/>
      <c r="I53" s="80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15"/>
      <c r="AK53" s="80"/>
      <c r="AL53" s="80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 t="str">
        <f>IFERROR(__xludf.DUMMYFUNCTION("""COMPUTED_VALUE"""),"Packaging")</f>
        <v>Packaging</v>
      </c>
      <c r="BD53" s="73" t="str">
        <f>IFERROR(__xludf.DUMMYFUNCTION("""COMPUTED_VALUE"""),"Mobile")</f>
        <v>Mobile</v>
      </c>
      <c r="BE53" s="80"/>
      <c r="BF53" s="80"/>
      <c r="BG53" s="139"/>
      <c r="BH53" s="73"/>
      <c r="BI53" s="73"/>
      <c r="BJ53" s="139"/>
      <c r="BK53" s="139"/>
      <c r="BL53" s="77"/>
      <c r="BM53" s="73"/>
      <c r="BN53" s="80"/>
      <c r="BO53" s="77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</row>
    <row r="54">
      <c r="A54" s="80"/>
      <c r="B54" s="80"/>
      <c r="C54" s="80"/>
      <c r="D54" s="80"/>
      <c r="E54" s="124"/>
      <c r="F54" s="80"/>
      <c r="G54" s="80"/>
      <c r="H54" s="80"/>
      <c r="I54" s="80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15"/>
      <c r="AK54" s="80"/>
      <c r="AL54" s="80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 t="str">
        <f>IFERROR(__xludf.DUMMYFUNCTION("""COMPUTED_VALUE"""),"Packaging")</f>
        <v>Packaging</v>
      </c>
      <c r="BD54" s="73" t="str">
        <f>IFERROR(__xludf.DUMMYFUNCTION("""COMPUTED_VALUE"""),"Mobile Accessories")</f>
        <v>Mobile Accessories</v>
      </c>
      <c r="BE54" s="80"/>
      <c r="BF54" s="80"/>
      <c r="BG54" s="139"/>
      <c r="BH54" s="73"/>
      <c r="BI54" s="139"/>
      <c r="BJ54" s="80"/>
      <c r="BK54" s="80"/>
      <c r="BL54" s="77"/>
      <c r="BM54" s="73"/>
      <c r="BN54" s="80"/>
      <c r="BO54" s="77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</row>
    <row r="55">
      <c r="A55" s="80"/>
      <c r="B55" s="80"/>
      <c r="C55" s="80"/>
      <c r="D55" s="80"/>
      <c r="E55" s="124"/>
      <c r="F55" s="80"/>
      <c r="G55" s="80"/>
      <c r="H55" s="80"/>
      <c r="I55" s="80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15"/>
      <c r="AK55" s="80"/>
      <c r="AL55" s="80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 t="str">
        <f>IFERROR(__xludf.DUMMYFUNCTION("""COMPUTED_VALUE"""),"Packaging")</f>
        <v>Packaging</v>
      </c>
      <c r="BD55" s="73" t="str">
        <f>IFERROR(__xludf.DUMMYFUNCTION("""COMPUTED_VALUE"""),"Nathabit")</f>
        <v>Nathabit</v>
      </c>
      <c r="BE55" s="80"/>
      <c r="BF55" s="80"/>
      <c r="BG55" s="139"/>
      <c r="BH55" s="73"/>
      <c r="BI55" s="73"/>
      <c r="BJ55" s="139"/>
      <c r="BK55" s="54"/>
      <c r="BL55" s="77"/>
      <c r="BM55" s="77"/>
      <c r="BN55" s="139"/>
      <c r="BO55" s="77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</row>
    <row r="56">
      <c r="A56" s="80"/>
      <c r="B56" s="80"/>
      <c r="C56" s="80"/>
      <c r="D56" s="80"/>
      <c r="E56" s="124"/>
      <c r="F56" s="80"/>
      <c r="G56" s="80"/>
      <c r="H56" s="80"/>
      <c r="I56" s="80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15"/>
      <c r="AK56" s="80"/>
      <c r="AL56" s="80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 t="str">
        <f>IFERROR(__xludf.DUMMYFUNCTION("""COMPUTED_VALUE"""),"Packaging")</f>
        <v>Packaging</v>
      </c>
      <c r="BD56" s="73" t="str">
        <f>IFERROR(__xludf.DUMMYFUNCTION("""COMPUTED_VALUE"""),"Pooja Kit")</f>
        <v>Pooja Kit</v>
      </c>
      <c r="BE56" s="80"/>
      <c r="BF56" s="80"/>
      <c r="BG56" s="139"/>
      <c r="BH56" s="73"/>
      <c r="BI56" s="139"/>
      <c r="BJ56" s="80"/>
      <c r="BK56" s="54"/>
      <c r="BL56" s="77"/>
      <c r="BM56" s="80"/>
      <c r="BN56" s="139"/>
      <c r="BO56" s="77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</row>
    <row r="57">
      <c r="A57" s="80"/>
      <c r="B57" s="80"/>
      <c r="C57" s="80"/>
      <c r="D57" s="80"/>
      <c r="E57" s="124"/>
      <c r="F57" s="80"/>
      <c r="G57" s="80"/>
      <c r="H57" s="80"/>
      <c r="I57" s="80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15"/>
      <c r="AK57" s="80"/>
      <c r="AL57" s="80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 t="str">
        <f>IFERROR(__xludf.DUMMYFUNCTION("""COMPUTED_VALUE"""),"Packaging")</f>
        <v>Packaging</v>
      </c>
      <c r="BD57" s="73" t="str">
        <f>IFERROR(__xludf.DUMMYFUNCTION("""COMPUTED_VALUE"""),"Power Plus")</f>
        <v>Power Plus</v>
      </c>
      <c r="BE57" s="80"/>
      <c r="BF57" s="80"/>
      <c r="BG57" s="139"/>
      <c r="BH57" s="73"/>
      <c r="BI57" s="139"/>
      <c r="BJ57" s="80"/>
      <c r="BK57" s="54"/>
      <c r="BL57" s="77"/>
      <c r="BM57" s="80"/>
      <c r="BN57" s="139"/>
      <c r="BO57" s="77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</row>
    <row r="58">
      <c r="A58" s="80"/>
      <c r="B58" s="80"/>
      <c r="C58" s="80"/>
      <c r="D58" s="80"/>
      <c r="E58" s="124"/>
      <c r="F58" s="80"/>
      <c r="G58" s="80"/>
      <c r="H58" s="80"/>
      <c r="I58" s="80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15"/>
      <c r="AK58" s="80"/>
      <c r="AL58" s="80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 t="str">
        <f>IFERROR(__xludf.DUMMYFUNCTION("""COMPUTED_VALUE"""),"Packaging")</f>
        <v>Packaging</v>
      </c>
      <c r="BD58" s="73" t="str">
        <f>IFERROR(__xludf.DUMMYFUNCTION("""COMPUTED_VALUE"""),"Purifier")</f>
        <v>Purifier</v>
      </c>
      <c r="BE58" s="80"/>
      <c r="BF58" s="80"/>
      <c r="BG58" s="139"/>
      <c r="BH58" s="160" t="str">
        <f>IFERROR(__xludf.DUMMYFUNCTION("QUERY(Price!BA2:BB50,BN4)"),"#N/A")</f>
        <v>#N/A</v>
      </c>
      <c r="BI58" s="139"/>
      <c r="BJ58" s="73"/>
      <c r="BK58" s="88"/>
      <c r="BL58" s="139" t="str">
        <f>IFERROR(__xludf.DUMMYFUNCTION("QUERY(Price!BC2:BD15,BM4)"),"Plain")</f>
        <v>Plain</v>
      </c>
      <c r="BM58" s="80">
        <f>IFERROR(__xludf.DUMMYFUNCTION("""COMPUTED_VALUE"""),0.0)</f>
        <v>0</v>
      </c>
      <c r="BN58" s="162" t="str">
        <f>IFERROR(__xludf.DUMMYFUNCTION("QUERY(Price!AW2:AX50,BO4)"),"#N/A")</f>
        <v>#N/A</v>
      </c>
      <c r="BO58" s="77"/>
      <c r="BP58" s="139"/>
      <c r="BQ58" s="139"/>
      <c r="BR58" s="139"/>
      <c r="BS58" s="139"/>
      <c r="BT58" s="139"/>
      <c r="BU58" s="139"/>
      <c r="BV58" s="139"/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</row>
    <row r="59">
      <c r="A59" s="80"/>
      <c r="B59" s="80"/>
      <c r="C59" s="80"/>
      <c r="D59" s="80"/>
      <c r="E59" s="124"/>
      <c r="F59" s="80"/>
      <c r="G59" s="80"/>
      <c r="H59" s="80"/>
      <c r="I59" s="80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15"/>
      <c r="AK59" s="80"/>
      <c r="AL59" s="80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 t="str">
        <f>IFERROR(__xludf.DUMMYFUNCTION("""COMPUTED_VALUE"""),"Packaging")</f>
        <v>Packaging</v>
      </c>
      <c r="BD59" s="73" t="str">
        <f>IFERROR(__xludf.DUMMYFUNCTION("""COMPUTED_VALUE"""),"Readymer")</f>
        <v>Readymer</v>
      </c>
      <c r="BE59" s="80"/>
      <c r="BF59" s="80"/>
      <c r="BG59" s="139"/>
      <c r="BH59" s="73"/>
      <c r="BI59" s="139"/>
      <c r="BJ59" s="73"/>
      <c r="BK59" s="88"/>
      <c r="BL59" s="77"/>
      <c r="BM59" s="80"/>
      <c r="BN59" s="139"/>
      <c r="BO59" s="77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80"/>
      <c r="CD59" s="233" t="str">
        <f>Sheet2!CD46</f>
        <v/>
      </c>
      <c r="CE59" s="80"/>
      <c r="CF59" s="80"/>
      <c r="CG59" s="139"/>
      <c r="CH59" s="139"/>
    </row>
    <row r="60">
      <c r="A60" s="80"/>
      <c r="B60" s="80"/>
      <c r="C60" s="80"/>
      <c r="D60" s="80"/>
      <c r="E60" s="124"/>
      <c r="F60" s="80"/>
      <c r="G60" s="80"/>
      <c r="H60" s="80"/>
      <c r="I60" s="80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15"/>
      <c r="AK60" s="80"/>
      <c r="AL60" s="80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 t="str">
        <f>IFERROR(__xludf.DUMMYFUNCTION("""COMPUTED_VALUE"""),"Packaging")</f>
        <v>Packaging</v>
      </c>
      <c r="BD60" s="73" t="str">
        <f>IFERROR(__xludf.DUMMYFUNCTION("""COMPUTED_VALUE"""),"Safety Product")</f>
        <v>Safety Product</v>
      </c>
      <c r="BE60" s="80"/>
      <c r="BF60" s="80"/>
      <c r="BG60" s="139"/>
      <c r="BH60" s="73"/>
      <c r="BI60" s="139"/>
      <c r="BJ60" s="80"/>
      <c r="BK60" s="88"/>
      <c r="BL60" s="77"/>
      <c r="BM60" s="80"/>
      <c r="BN60" s="139"/>
      <c r="BO60" s="77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01" t="s">
        <v>63</v>
      </c>
      <c r="CD60" s="88" t="s">
        <v>211</v>
      </c>
      <c r="CE60" s="163">
        <v>1926.0</v>
      </c>
      <c r="CF60" s="163">
        <v>2841.0</v>
      </c>
      <c r="CG60" s="161">
        <v>1.0</v>
      </c>
      <c r="CH60" s="161">
        <v>750.0</v>
      </c>
    </row>
    <row r="61">
      <c r="A61" s="80"/>
      <c r="B61" s="80"/>
      <c r="C61" s="80"/>
      <c r="D61" s="80"/>
      <c r="E61" s="124"/>
      <c r="F61" s="80"/>
      <c r="G61" s="80"/>
      <c r="H61" s="80"/>
      <c r="I61" s="80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15"/>
      <c r="AK61" s="80"/>
      <c r="AL61" s="80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 t="str">
        <f>IFERROR(__xludf.DUMMYFUNCTION("""COMPUTED_VALUE"""),"Packaging")</f>
        <v>Packaging</v>
      </c>
      <c r="BD61" s="73" t="str">
        <f>IFERROR(__xludf.DUMMYFUNCTION("""COMPUTED_VALUE"""),"Sanitary")</f>
        <v>Sanitary</v>
      </c>
      <c r="BE61" s="80"/>
      <c r="BF61" s="80"/>
      <c r="BG61" s="139"/>
      <c r="BH61" s="73"/>
      <c r="BI61" s="139"/>
      <c r="BJ61" s="80"/>
      <c r="BK61" s="77"/>
      <c r="BL61" s="77"/>
      <c r="BM61" s="80"/>
      <c r="BN61" s="139"/>
      <c r="BO61" s="77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01" t="s">
        <v>63</v>
      </c>
      <c r="CD61" s="88" t="s">
        <v>211</v>
      </c>
      <c r="CE61" s="164">
        <v>2029.0</v>
      </c>
      <c r="CF61" s="163">
        <v>2841.0</v>
      </c>
      <c r="CG61" s="161">
        <v>1.0</v>
      </c>
      <c r="CH61" s="161">
        <v>750.0</v>
      </c>
    </row>
    <row r="62">
      <c r="A62" s="80"/>
      <c r="B62" s="80"/>
      <c r="C62" s="80"/>
      <c r="D62" s="80"/>
      <c r="E62" s="124"/>
      <c r="F62" s="80"/>
      <c r="G62" s="80"/>
      <c r="H62" s="80"/>
      <c r="I62" s="80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15"/>
      <c r="AK62" s="80"/>
      <c r="AL62" s="80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 t="str">
        <f>IFERROR(__xludf.DUMMYFUNCTION("""COMPUTED_VALUE"""),"Packaging")</f>
        <v>Packaging</v>
      </c>
      <c r="BD62" s="73" t="str">
        <f>IFERROR(__xludf.DUMMYFUNCTION("""COMPUTED_VALUE"""),"Sanskriti")</f>
        <v>Sanskriti</v>
      </c>
      <c r="BE62" s="80"/>
      <c r="BF62" s="80"/>
      <c r="BG62" s="139"/>
      <c r="BH62" s="80"/>
      <c r="BI62" s="73"/>
      <c r="BJ62" s="80"/>
      <c r="BK62" s="77"/>
      <c r="BL62" s="77"/>
      <c r="BM62" s="77"/>
      <c r="BN62" s="139"/>
      <c r="BO62" s="77"/>
      <c r="BP62" s="139"/>
      <c r="BQ62" s="139"/>
      <c r="BR62" s="139"/>
      <c r="BS62" s="139"/>
      <c r="BT62" s="139"/>
      <c r="BU62" s="139"/>
      <c r="BV62" s="139"/>
      <c r="BW62" s="139"/>
      <c r="BX62" s="139"/>
      <c r="BY62" s="139"/>
      <c r="BZ62" s="128" t="str">
        <f>IF(BZ64="","","and BZ = '"&amp;BZ64&amp;"'")</f>
        <v>and BZ = 'Printing'</v>
      </c>
      <c r="CA62" s="139"/>
      <c r="CB62" s="139"/>
      <c r="CC62" s="101" t="s">
        <v>63</v>
      </c>
      <c r="CD62" s="88" t="s">
        <v>211</v>
      </c>
      <c r="CE62" s="163">
        <v>2840.0</v>
      </c>
      <c r="CF62" s="163">
        <v>2841.0</v>
      </c>
      <c r="CG62" s="161">
        <v>1.0</v>
      </c>
      <c r="CH62" s="161">
        <v>750.0</v>
      </c>
    </row>
    <row r="63">
      <c r="A63" s="80"/>
      <c r="B63" s="80"/>
      <c r="C63" s="80"/>
      <c r="D63" s="80"/>
      <c r="E63" s="124"/>
      <c r="F63" s="80"/>
      <c r="G63" s="80"/>
      <c r="H63" s="80"/>
      <c r="I63" s="80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15"/>
      <c r="AK63" s="80"/>
      <c r="AL63" s="80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 t="str">
        <f>IFERROR(__xludf.DUMMYFUNCTION("""COMPUTED_VALUE"""),"Packaging")</f>
        <v>Packaging</v>
      </c>
      <c r="BD63" s="73" t="str">
        <f>IFERROR(__xludf.DUMMYFUNCTION("""COMPUTED_VALUE"""),"Sathwa")</f>
        <v>Sathwa</v>
      </c>
      <c r="BE63" s="80"/>
      <c r="BF63" s="80"/>
      <c r="BG63" s="139"/>
      <c r="BH63" s="80"/>
      <c r="BI63" s="73"/>
      <c r="BJ63" s="80"/>
      <c r="BK63" s="77"/>
      <c r="BL63" s="77"/>
      <c r="BM63" s="77"/>
      <c r="BN63" s="139"/>
      <c r="BO63" s="77"/>
      <c r="BP63" s="139"/>
      <c r="BQ63" s="139"/>
      <c r="BR63" s="139"/>
      <c r="BS63" s="139"/>
      <c r="BT63" s="139"/>
      <c r="BU63" s="139"/>
      <c r="BV63" s="139"/>
      <c r="BW63" s="139"/>
      <c r="BX63" s="139"/>
      <c r="BY63" s="139"/>
      <c r="BZ63" s="133" t="str">
        <f>CONCATENATE("select * where 1=1",BZ62)</f>
        <v>select * where 1=1and BZ = 'Printing'</v>
      </c>
      <c r="CA63" s="139"/>
      <c r="CB63" s="139"/>
      <c r="CC63" s="101" t="s">
        <v>63</v>
      </c>
      <c r="CD63" s="101" t="s">
        <v>18</v>
      </c>
      <c r="CE63" s="163">
        <v>1926.0</v>
      </c>
      <c r="CF63" s="163">
        <v>1926.0</v>
      </c>
      <c r="CG63" s="161">
        <v>0.0</v>
      </c>
      <c r="CH63" s="161">
        <f>Price!Y15</f>
        <v>250</v>
      </c>
    </row>
    <row r="64">
      <c r="A64" s="80"/>
      <c r="B64" s="80"/>
      <c r="C64" s="80"/>
      <c r="D64" s="80"/>
      <c r="E64" s="124"/>
      <c r="F64" s="80"/>
      <c r="G64" s="80"/>
      <c r="H64" s="80"/>
      <c r="I64" s="80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15"/>
      <c r="AK64" s="80"/>
      <c r="AL64" s="80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 t="str">
        <f>IFERROR(__xludf.DUMMYFUNCTION("""COMPUTED_VALUE"""),"Packaging")</f>
        <v>Packaging</v>
      </c>
      <c r="BD64" s="73" t="str">
        <f>IFERROR(__xludf.DUMMYFUNCTION("""COMPUTED_VALUE"""),"Shipper")</f>
        <v>Shipper</v>
      </c>
      <c r="BE64" s="80"/>
      <c r="BF64" s="80"/>
      <c r="BG64" s="139"/>
      <c r="BH64" s="73"/>
      <c r="BI64" s="73"/>
      <c r="BJ64" s="80"/>
      <c r="BK64" s="77"/>
      <c r="BL64" s="77"/>
      <c r="BM64" s="77"/>
      <c r="BN64" s="139"/>
      <c r="BO64" s="77"/>
      <c r="BP64" s="139"/>
      <c r="BQ64" s="139"/>
      <c r="BR64" s="139"/>
      <c r="BS64" s="139"/>
      <c r="BT64" s="139"/>
      <c r="BU64" s="139"/>
      <c r="BV64" s="139"/>
      <c r="BW64" s="139"/>
      <c r="BX64" s="139"/>
      <c r="BY64" s="80" t="str">
        <f>Quotation!A37</f>
        <v>Offset</v>
      </c>
      <c r="BZ64" s="80" t="str">
        <f>Quotation!A41</f>
        <v>Printing</v>
      </c>
      <c r="CA64" s="130">
        <f>Quotation!F42</f>
        <v>2029</v>
      </c>
      <c r="CB64" s="80" t="str">
        <f>Quotation!A42</f>
        <v>New Job</v>
      </c>
      <c r="CC64" s="101" t="s">
        <v>63</v>
      </c>
      <c r="CD64" s="101" t="s">
        <v>18</v>
      </c>
      <c r="CE64" s="164">
        <v>2029.0</v>
      </c>
      <c r="CF64" s="164">
        <v>2029.0</v>
      </c>
      <c r="CG64" s="163">
        <v>0.0</v>
      </c>
      <c r="CH64" s="163">
        <f>Price!Z15</f>
        <v>275</v>
      </c>
    </row>
    <row r="65">
      <c r="A65" s="80"/>
      <c r="B65" s="80"/>
      <c r="C65" s="80"/>
      <c r="D65" s="80"/>
      <c r="E65" s="124"/>
      <c r="F65" s="80"/>
      <c r="G65" s="80"/>
      <c r="H65" s="80"/>
      <c r="I65" s="80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15"/>
      <c r="AK65" s="80"/>
      <c r="AL65" s="80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 t="str">
        <f>IFERROR(__xludf.DUMMYFUNCTION("""COMPUTED_VALUE"""),"Packaging")</f>
        <v>Packaging</v>
      </c>
      <c r="BD65" s="73" t="str">
        <f>IFERROR(__xludf.DUMMYFUNCTION("""COMPUTED_VALUE"""),"Shoe")</f>
        <v>Shoe</v>
      </c>
      <c r="BE65" s="80"/>
      <c r="BF65" s="80"/>
      <c r="BG65" s="139"/>
      <c r="BH65" s="73"/>
      <c r="BI65" s="73"/>
      <c r="BJ65" s="80"/>
      <c r="BK65" s="77"/>
      <c r="BL65" s="77"/>
      <c r="BM65" s="77"/>
      <c r="BN65" s="139"/>
      <c r="BO65" s="77"/>
      <c r="BP65" s="139"/>
      <c r="BQ65" s="139"/>
      <c r="BR65" s="139"/>
      <c r="BS65" s="139"/>
      <c r="BT65" s="139"/>
      <c r="BU65" s="139"/>
      <c r="BV65" s="139"/>
      <c r="BW65" s="139"/>
      <c r="BX65" s="139"/>
      <c r="BY65" s="139" t="str">
        <f>IF(BY64="","","and CC = '"&amp;BY64&amp;"'")</f>
        <v>and CC = 'Offset'</v>
      </c>
      <c r="BZ65" s="139" t="str">
        <f>IF(BZ64="","","and CD = '"&amp;BZ64&amp;"'")</f>
        <v>and CD = 'Printing'</v>
      </c>
      <c r="CA65" s="139" t="str">
        <f>IF(CA64="","","and CA = "&amp;CA64&amp;"")</f>
        <v>and CA = 2029</v>
      </c>
      <c r="CB65" s="139" t="str">
        <f>IF(CB64="","","and CD = '"&amp;CB64&amp;"'")</f>
        <v>and CD = 'New Job'</v>
      </c>
      <c r="CC65" s="101" t="s">
        <v>63</v>
      </c>
      <c r="CD65" s="101" t="s">
        <v>18</v>
      </c>
      <c r="CE65" s="163">
        <v>2840.0</v>
      </c>
      <c r="CF65" s="163">
        <v>2840.0</v>
      </c>
      <c r="CG65" s="163">
        <v>0.0</v>
      </c>
      <c r="CH65" s="163">
        <f>Price!Y18</f>
        <v>650</v>
      </c>
    </row>
    <row r="66">
      <c r="A66" s="80"/>
      <c r="B66" s="80"/>
      <c r="C66" s="80"/>
      <c r="D66" s="80"/>
      <c r="E66" s="124"/>
      <c r="F66" s="80"/>
      <c r="G66" s="80"/>
      <c r="H66" s="80"/>
      <c r="I66" s="80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15"/>
      <c r="AK66" s="80"/>
      <c r="AL66" s="80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 t="str">
        <f>IFERROR(__xludf.DUMMYFUNCTION("""COMPUTED_VALUE"""),"Packaging")</f>
        <v>Packaging</v>
      </c>
      <c r="BD66" s="73" t="str">
        <f>IFERROR(__xludf.DUMMYFUNCTION("""COMPUTED_VALUE"""),"Stationery")</f>
        <v>Stationery</v>
      </c>
      <c r="BE66" s="80"/>
      <c r="BF66" s="80"/>
      <c r="BG66" s="139"/>
      <c r="BH66" s="73"/>
      <c r="BI66" s="73"/>
      <c r="BJ66" s="80"/>
      <c r="BK66" s="77"/>
      <c r="BL66" s="77"/>
      <c r="BM66" s="77"/>
      <c r="BN66" s="139"/>
      <c r="BO66" s="77"/>
      <c r="BP66" s="139"/>
      <c r="BQ66" s="139"/>
      <c r="BR66" s="139"/>
      <c r="BS66" s="139"/>
      <c r="BT66" s="139"/>
      <c r="BU66" s="139"/>
      <c r="BV66" s="139"/>
      <c r="BW66" s="139"/>
      <c r="BX66" s="139"/>
      <c r="BY66" s="113" t="str">
        <f t="shared" ref="BY66:CB66" si="14">CONCATENATE("select * where 1=1",BY65)</f>
        <v>select * where 1=1and CC = 'Offset'</v>
      </c>
      <c r="BZ66" s="113" t="str">
        <f t="shared" si="14"/>
        <v>select * where 1=1and CD = 'Printing'</v>
      </c>
      <c r="CA66" s="113" t="str">
        <f t="shared" si="14"/>
        <v>select * where 1=1and CA = 2029</v>
      </c>
      <c r="CB66" s="113" t="str">
        <f t="shared" si="14"/>
        <v>select * where 1=1and CD = 'New Job'</v>
      </c>
      <c r="CC66" s="101" t="s">
        <v>212</v>
      </c>
      <c r="CD66" s="101" t="s">
        <v>18</v>
      </c>
      <c r="CE66" s="163">
        <v>1001.0</v>
      </c>
      <c r="CF66" s="163">
        <v>1001.0</v>
      </c>
      <c r="CG66" s="163">
        <v>0.0</v>
      </c>
      <c r="CH66" s="101"/>
    </row>
    <row r="67">
      <c r="A67" s="80"/>
      <c r="B67" s="80"/>
      <c r="C67" s="80"/>
      <c r="D67" s="80"/>
      <c r="E67" s="124"/>
      <c r="F67" s="80"/>
      <c r="G67" s="80"/>
      <c r="H67" s="80"/>
      <c r="I67" s="80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15"/>
      <c r="AK67" s="80"/>
      <c r="AL67" s="80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 t="str">
        <f>IFERROR(__xludf.DUMMYFUNCTION("""COMPUTED_VALUE"""),"Packaging")</f>
        <v>Packaging</v>
      </c>
      <c r="BD67" s="73" t="str">
        <f>IFERROR(__xludf.DUMMYFUNCTION("""COMPUTED_VALUE"""),"The Man Company")</f>
        <v>The Man Company</v>
      </c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113" t="str">
        <f>IFERROR(__xludf.DUMMYFUNCTION("QUERY(CC60:CF71,BY66)"),"Offset")</f>
        <v>Offset</v>
      </c>
      <c r="BZ67" s="80" t="str">
        <f>IFERROR(__xludf.DUMMYFUNCTION("""COMPUTED_VALUE"""),"Met-Pet")</f>
        <v>Met-Pet</v>
      </c>
      <c r="CA67" s="166">
        <f>IFERROR(__xludf.DUMMYFUNCTION("""COMPUTED_VALUE"""),1926.0)</f>
        <v>1926</v>
      </c>
      <c r="CB67" s="129">
        <f>IFERROR(__xludf.DUMMYFUNCTION("""COMPUTED_VALUE"""),2841.0)</f>
        <v>2841</v>
      </c>
      <c r="CC67" s="101" t="s">
        <v>212</v>
      </c>
      <c r="CD67" s="101" t="s">
        <v>18</v>
      </c>
      <c r="CE67" s="163">
        <v>1002.0</v>
      </c>
      <c r="CF67" s="163">
        <v>1002.0</v>
      </c>
      <c r="CG67" s="163">
        <v>0.0</v>
      </c>
      <c r="CH67" s="101"/>
    </row>
    <row r="68">
      <c r="A68" s="80"/>
      <c r="B68" s="80"/>
      <c r="C68" s="80"/>
      <c r="D68" s="80"/>
      <c r="E68" s="124"/>
      <c r="F68" s="80"/>
      <c r="G68" s="80"/>
      <c r="H68" s="80"/>
      <c r="I68" s="80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15"/>
      <c r="AK68" s="80"/>
      <c r="AL68" s="80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 t="str">
        <f>IFERROR(__xludf.DUMMYFUNCTION("""COMPUTED_VALUE"""),"Packaging")</f>
        <v>Packaging</v>
      </c>
      <c r="BD68" s="73" t="str">
        <f>IFERROR(__xludf.DUMMYFUNCTION("""COMPUTED_VALUE"""),"Toy")</f>
        <v>Toy</v>
      </c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80" t="str">
        <f>IFERROR(__xludf.DUMMYFUNCTION("""COMPUTED_VALUE"""),"Offset")</f>
        <v>Offset</v>
      </c>
      <c r="BZ68" s="80" t="str">
        <f>IFERROR(__xludf.DUMMYFUNCTION("""COMPUTED_VALUE"""),"Met-Pet")</f>
        <v>Met-Pet</v>
      </c>
      <c r="CA68" s="129">
        <f>IFERROR(__xludf.DUMMYFUNCTION("""COMPUTED_VALUE"""),2029.0)</f>
        <v>2029</v>
      </c>
      <c r="CB68" s="129">
        <f>IFERROR(__xludf.DUMMYFUNCTION("""COMPUTED_VALUE"""),2841.0)</f>
        <v>2841</v>
      </c>
      <c r="CC68" s="101" t="s">
        <v>212</v>
      </c>
      <c r="CD68" s="101" t="s">
        <v>18</v>
      </c>
      <c r="CE68" s="163">
        <v>1003.0</v>
      </c>
      <c r="CF68" s="163">
        <v>1003.0</v>
      </c>
      <c r="CG68" s="163">
        <v>0.0</v>
      </c>
      <c r="CH68" s="101"/>
    </row>
    <row r="69">
      <c r="A69" s="80"/>
      <c r="B69" s="80"/>
      <c r="C69" s="80"/>
      <c r="D69" s="80"/>
      <c r="E69" s="124"/>
      <c r="F69" s="80"/>
      <c r="G69" s="80"/>
      <c r="H69" s="80"/>
      <c r="I69" s="80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15"/>
      <c r="AK69" s="80"/>
      <c r="AL69" s="80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 t="str">
        <f>IFERROR(__xludf.DUMMYFUNCTION("""COMPUTED_VALUE"""),"Packaging")</f>
        <v>Packaging</v>
      </c>
      <c r="BD69" s="73" t="str">
        <f>IFERROR(__xludf.DUMMYFUNCTION("""COMPUTED_VALUE"""),"Xpider")</f>
        <v>Xpider</v>
      </c>
      <c r="BE69" s="73"/>
      <c r="BF69" s="73"/>
      <c r="BG69" s="113"/>
      <c r="BH69" s="73"/>
      <c r="BI69" s="88"/>
      <c r="BJ69" s="73"/>
      <c r="BK69" s="73"/>
      <c r="BL69" s="88"/>
      <c r="BM69" s="73"/>
      <c r="BN69" s="73"/>
      <c r="BO69" s="77"/>
      <c r="BP69" s="139"/>
      <c r="BQ69" s="73"/>
      <c r="BR69" s="73"/>
      <c r="BS69" s="73"/>
      <c r="BT69" s="73"/>
      <c r="BU69" s="73"/>
      <c r="BV69" s="73"/>
      <c r="BW69" s="73"/>
      <c r="BX69" s="73"/>
      <c r="BY69" s="80" t="str">
        <f>IFERROR(__xludf.DUMMYFUNCTION("""COMPUTED_VALUE"""),"Offset")</f>
        <v>Offset</v>
      </c>
      <c r="BZ69" s="80" t="str">
        <f>IFERROR(__xludf.DUMMYFUNCTION("""COMPUTED_VALUE"""),"Met-Pet")</f>
        <v>Met-Pet</v>
      </c>
      <c r="CA69" s="129">
        <f>IFERROR(__xludf.DUMMYFUNCTION("""COMPUTED_VALUE"""),2840.0)</f>
        <v>2840</v>
      </c>
      <c r="CB69" s="129">
        <f>IFERROR(__xludf.DUMMYFUNCTION("""COMPUTED_VALUE"""),2841.0)</f>
        <v>2841</v>
      </c>
      <c r="CC69" s="101" t="s">
        <v>212</v>
      </c>
      <c r="CD69" s="101" t="s">
        <v>18</v>
      </c>
      <c r="CE69" s="163">
        <v>1004.0</v>
      </c>
      <c r="CF69" s="163">
        <v>1004.0</v>
      </c>
      <c r="CG69" s="163">
        <v>0.0</v>
      </c>
      <c r="CH69" s="101"/>
    </row>
    <row r="70">
      <c r="A70" s="80"/>
      <c r="B70" s="80"/>
      <c r="C70" s="80"/>
      <c r="D70" s="80"/>
      <c r="E70" s="124"/>
      <c r="F70" s="80"/>
      <c r="G70" s="80"/>
      <c r="H70" s="80"/>
      <c r="I70" s="80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15"/>
      <c r="AK70" s="80"/>
      <c r="AL70" s="80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113"/>
      <c r="BH70" s="73"/>
      <c r="BI70" s="113"/>
      <c r="BJ70" s="73"/>
      <c r="BK70" s="73"/>
      <c r="BL70" s="88"/>
      <c r="BM70" s="73"/>
      <c r="BN70" s="73"/>
      <c r="BO70" s="77"/>
      <c r="BP70" s="139"/>
      <c r="BQ70" s="73"/>
      <c r="BR70" s="73"/>
      <c r="BS70" s="73"/>
      <c r="BT70" s="73"/>
      <c r="BU70" s="73"/>
      <c r="BV70" s="73"/>
      <c r="BW70" s="73"/>
      <c r="BX70" s="73"/>
      <c r="BY70" s="80" t="str">
        <f>IFERROR(__xludf.DUMMYFUNCTION("""COMPUTED_VALUE"""),"Offset")</f>
        <v>Offset</v>
      </c>
      <c r="BZ70" s="80" t="str">
        <f>IFERROR(__xludf.DUMMYFUNCTION("""COMPUTED_VALUE"""),"Printing")</f>
        <v>Printing</v>
      </c>
      <c r="CA70" s="129">
        <f>IFERROR(__xludf.DUMMYFUNCTION("""COMPUTED_VALUE"""),1926.0)</f>
        <v>1926</v>
      </c>
      <c r="CB70" s="129">
        <f>IFERROR(__xludf.DUMMYFUNCTION("""COMPUTED_VALUE"""),1926.0)</f>
        <v>1926</v>
      </c>
      <c r="CC70" s="101" t="s">
        <v>212</v>
      </c>
      <c r="CD70" s="101" t="s">
        <v>18</v>
      </c>
      <c r="CE70" s="163">
        <v>1005.0</v>
      </c>
      <c r="CF70" s="163">
        <v>1005.0</v>
      </c>
      <c r="CG70" s="163">
        <v>0.0</v>
      </c>
      <c r="CH70" s="101"/>
    </row>
    <row r="71">
      <c r="A71" s="80"/>
      <c r="B71" s="80"/>
      <c r="C71" s="80"/>
      <c r="D71" s="80"/>
      <c r="E71" s="124"/>
      <c r="F71" s="80"/>
      <c r="G71" s="80"/>
      <c r="H71" s="80"/>
      <c r="I71" s="80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15"/>
      <c r="AK71" s="80"/>
      <c r="AL71" s="80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88"/>
      <c r="BH71" s="73"/>
      <c r="BI71" s="113"/>
      <c r="BJ71" s="73"/>
      <c r="BK71" s="73"/>
      <c r="BL71" s="88"/>
      <c r="BM71" s="73"/>
      <c r="BN71" s="73"/>
      <c r="BO71" s="77"/>
      <c r="BP71" s="139"/>
      <c r="BQ71" s="73"/>
      <c r="BR71" s="73"/>
      <c r="BS71" s="73"/>
      <c r="BT71" s="73"/>
      <c r="BU71" s="73"/>
      <c r="BV71" s="73"/>
      <c r="BW71" s="73"/>
      <c r="BX71" s="73"/>
      <c r="BY71" s="80" t="str">
        <f>IFERROR(__xludf.DUMMYFUNCTION("""COMPUTED_VALUE"""),"Offset")</f>
        <v>Offset</v>
      </c>
      <c r="BZ71" s="80" t="str">
        <f>IFERROR(__xludf.DUMMYFUNCTION("""COMPUTED_VALUE"""),"Printing")</f>
        <v>Printing</v>
      </c>
      <c r="CA71" s="129">
        <f>IFERROR(__xludf.DUMMYFUNCTION("""COMPUTED_VALUE"""),2029.0)</f>
        <v>2029</v>
      </c>
      <c r="CB71" s="129">
        <f>IFERROR(__xludf.DUMMYFUNCTION("""COMPUTED_VALUE"""),2029.0)</f>
        <v>2029</v>
      </c>
      <c r="CC71" s="73"/>
      <c r="CD71" s="73"/>
      <c r="CE71" s="73"/>
      <c r="CF71" s="73"/>
      <c r="CG71" s="73"/>
      <c r="CH71" s="73"/>
    </row>
    <row r="72">
      <c r="A72" s="80"/>
      <c r="B72" s="80"/>
      <c r="C72" s="80"/>
      <c r="D72" s="80"/>
      <c r="E72" s="124"/>
      <c r="F72" s="80"/>
      <c r="G72" s="80"/>
      <c r="H72" s="80"/>
      <c r="I72" s="80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15"/>
      <c r="AK72" s="80"/>
      <c r="AL72" s="80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88"/>
      <c r="BH72" s="73"/>
      <c r="BI72" s="113"/>
      <c r="BJ72" s="73"/>
      <c r="BK72" s="73"/>
      <c r="BL72" s="88"/>
      <c r="BM72" s="73"/>
      <c r="BN72" s="73"/>
      <c r="BO72" s="77"/>
      <c r="BP72" s="139"/>
      <c r="BQ72" s="73"/>
      <c r="BR72" s="73"/>
      <c r="BS72" s="73"/>
      <c r="BT72" s="73"/>
      <c r="BU72" s="73"/>
      <c r="BV72" s="73"/>
      <c r="BW72" s="73"/>
      <c r="BX72" s="73"/>
      <c r="BY72" s="80" t="str">
        <f>IFERROR(__xludf.DUMMYFUNCTION("""COMPUTED_VALUE"""),"Offset")</f>
        <v>Offset</v>
      </c>
      <c r="BZ72" s="80" t="str">
        <f>IFERROR(__xludf.DUMMYFUNCTION("""COMPUTED_VALUE"""),"Printing")</f>
        <v>Printing</v>
      </c>
      <c r="CA72" s="129">
        <f>IFERROR(__xludf.DUMMYFUNCTION("""COMPUTED_VALUE"""),2840.0)</f>
        <v>2840</v>
      </c>
      <c r="CB72" s="129">
        <f>IFERROR(__xludf.DUMMYFUNCTION("""COMPUTED_VALUE"""),2840.0)</f>
        <v>2840</v>
      </c>
      <c r="CC72" s="73"/>
      <c r="CD72" s="73"/>
      <c r="CE72" s="73"/>
      <c r="CF72" s="73"/>
      <c r="CG72" s="73"/>
      <c r="CH72" s="73"/>
    </row>
    <row r="73">
      <c r="A73" s="80"/>
      <c r="B73" s="80"/>
      <c r="C73" s="80"/>
      <c r="D73" s="80"/>
      <c r="E73" s="124"/>
      <c r="F73" s="80"/>
      <c r="G73" s="80"/>
      <c r="H73" s="80"/>
      <c r="I73" s="80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15"/>
      <c r="AK73" s="80"/>
      <c r="AL73" s="80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88"/>
      <c r="BH73" s="73"/>
      <c r="BI73" s="113"/>
      <c r="BJ73" s="73"/>
      <c r="BK73" s="73"/>
      <c r="BL73" s="88"/>
      <c r="BM73" s="73"/>
      <c r="BN73" s="73"/>
      <c r="BO73" s="77"/>
      <c r="BP73" s="139"/>
      <c r="BQ73" s="73"/>
      <c r="BR73" s="73"/>
      <c r="BS73" s="73"/>
      <c r="BT73" s="73"/>
      <c r="BU73" s="73"/>
      <c r="BV73" s="73"/>
      <c r="BW73" s="73"/>
      <c r="BX73" s="73"/>
      <c r="BY73" s="80"/>
      <c r="BZ73" s="80"/>
      <c r="CA73" s="80"/>
      <c r="CB73" s="80"/>
      <c r="CC73" s="73"/>
      <c r="CD73" s="73"/>
      <c r="CE73" s="73"/>
      <c r="CF73" s="73"/>
      <c r="CG73" s="73"/>
      <c r="CH73" s="73"/>
    </row>
    <row r="74">
      <c r="A74" s="80"/>
      <c r="B74" s="80"/>
      <c r="C74" s="80"/>
      <c r="D74" s="80"/>
      <c r="E74" s="124"/>
      <c r="F74" s="80"/>
      <c r="G74" s="80"/>
      <c r="H74" s="80"/>
      <c r="I74" s="80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15"/>
      <c r="AK74" s="80"/>
      <c r="AL74" s="80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139" t="str">
        <f>IFERROR(__xludf.DUMMYFUNCTION("QUERY(CD60:CH70,BZ66)"),"Printing")</f>
        <v>Printing</v>
      </c>
      <c r="BZ74" s="129">
        <f>IFERROR(__xludf.DUMMYFUNCTION("""COMPUTED_VALUE"""),1926.0)</f>
        <v>1926</v>
      </c>
      <c r="CA74" s="129">
        <f>IFERROR(__xludf.DUMMYFUNCTION("""COMPUTED_VALUE"""),1926.0)</f>
        <v>1926</v>
      </c>
      <c r="CB74" s="166">
        <f>IFERROR(__xludf.DUMMYFUNCTION("""COMPUTED_VALUE"""),0.0)</f>
        <v>0</v>
      </c>
      <c r="CC74" s="166">
        <f>IFERROR(__xludf.DUMMYFUNCTION("""COMPUTED_VALUE"""),250.0)</f>
        <v>250</v>
      </c>
      <c r="CD74" s="166">
        <f>IFERROR(__xludf.DUMMYFUNCTION("QUERY(BZ74:CC80,CA66)"),2029.0)</f>
        <v>2029</v>
      </c>
      <c r="CE74" s="129">
        <f>IFERROR(__xludf.DUMMYFUNCTION("""COMPUTED_VALUE"""),2029.0)</f>
        <v>2029</v>
      </c>
      <c r="CF74" s="129">
        <f>IFERROR(__xludf.DUMMYFUNCTION("""COMPUTED_VALUE"""),0.0)</f>
        <v>0</v>
      </c>
      <c r="CG74" s="129">
        <f>IFERROR(__xludf.DUMMYFUNCTION("""COMPUTED_VALUE"""),275.0)</f>
        <v>275</v>
      </c>
      <c r="CH74" s="73"/>
    </row>
    <row r="75">
      <c r="A75" s="80"/>
      <c r="B75" s="80"/>
      <c r="C75" s="80"/>
      <c r="D75" s="80"/>
      <c r="E75" s="124"/>
      <c r="F75" s="80"/>
      <c r="G75" s="80"/>
      <c r="H75" s="80"/>
      <c r="I75" s="80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15"/>
      <c r="AK75" s="80"/>
      <c r="AL75" s="80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0" t="str">
        <f>IFERROR(__xludf.DUMMYFUNCTION("""COMPUTED_VALUE"""),"Printing")</f>
        <v>Printing</v>
      </c>
      <c r="BZ75" s="129">
        <f>IFERROR(__xludf.DUMMYFUNCTION("""COMPUTED_VALUE"""),2029.0)</f>
        <v>2029</v>
      </c>
      <c r="CA75" s="129">
        <f>IFERROR(__xludf.DUMMYFUNCTION("""COMPUTED_VALUE"""),2029.0)</f>
        <v>2029</v>
      </c>
      <c r="CB75" s="129">
        <f>IFERROR(__xludf.DUMMYFUNCTION("""COMPUTED_VALUE"""),0.0)</f>
        <v>0</v>
      </c>
      <c r="CC75" s="129">
        <f>IFERROR(__xludf.DUMMYFUNCTION("""COMPUTED_VALUE"""),275.0)</f>
        <v>275</v>
      </c>
      <c r="CD75" s="80"/>
      <c r="CE75" s="80"/>
      <c r="CF75" s="80"/>
      <c r="CG75" s="80"/>
      <c r="CH75" s="88"/>
    </row>
    <row r="76">
      <c r="A76" s="80"/>
      <c r="B76" s="80"/>
      <c r="C76" s="80"/>
      <c r="D76" s="80"/>
      <c r="E76" s="124"/>
      <c r="F76" s="80"/>
      <c r="G76" s="80"/>
      <c r="H76" s="80"/>
      <c r="I76" s="80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15"/>
      <c r="AK76" s="80"/>
      <c r="AL76" s="80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113"/>
      <c r="BM76" s="88"/>
      <c r="BN76" s="80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80" t="str">
        <f>IFERROR(__xludf.DUMMYFUNCTION("""COMPUTED_VALUE"""),"Printing")</f>
        <v>Printing</v>
      </c>
      <c r="BZ76" s="129">
        <f>IFERROR(__xludf.DUMMYFUNCTION("""COMPUTED_VALUE"""),2840.0)</f>
        <v>2840</v>
      </c>
      <c r="CA76" s="129">
        <f>IFERROR(__xludf.DUMMYFUNCTION("""COMPUTED_VALUE"""),2840.0)</f>
        <v>2840</v>
      </c>
      <c r="CB76" s="129">
        <f>IFERROR(__xludf.DUMMYFUNCTION("""COMPUTED_VALUE"""),0.0)</f>
        <v>0</v>
      </c>
      <c r="CC76" s="129">
        <f>IFERROR(__xludf.DUMMYFUNCTION("""COMPUTED_VALUE"""),650.0)</f>
        <v>650</v>
      </c>
      <c r="CD76" s="80"/>
      <c r="CE76" s="80"/>
      <c r="CF76" s="80"/>
      <c r="CG76" s="80"/>
      <c r="CH76" s="73"/>
    </row>
    <row r="77">
      <c r="A77" s="80"/>
      <c r="B77" s="80"/>
      <c r="C77" s="80"/>
      <c r="D77" s="80"/>
      <c r="E77" s="124"/>
      <c r="F77" s="80"/>
      <c r="G77" s="80"/>
      <c r="H77" s="80"/>
      <c r="I77" s="80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15"/>
      <c r="AK77" s="80"/>
      <c r="AL77" s="80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113"/>
      <c r="BM77" s="88"/>
      <c r="BN77" s="77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 t="str">
        <f>IFERROR(__xludf.DUMMYFUNCTION("""COMPUTED_VALUE"""),"Printing")</f>
        <v>Printing</v>
      </c>
      <c r="BZ77" s="77">
        <f>IFERROR(__xludf.DUMMYFUNCTION("""COMPUTED_VALUE"""),1001.0)</f>
        <v>1001</v>
      </c>
      <c r="CA77" s="77">
        <f>IFERROR(__xludf.DUMMYFUNCTION("""COMPUTED_VALUE"""),1001.0)</f>
        <v>1001</v>
      </c>
      <c r="CB77" s="77">
        <f>IFERROR(__xludf.DUMMYFUNCTION("""COMPUTED_VALUE"""),0.0)</f>
        <v>0</v>
      </c>
      <c r="CC77" s="73"/>
      <c r="CD77" s="73"/>
      <c r="CE77" s="73"/>
      <c r="CF77" s="73"/>
      <c r="CG77" s="73"/>
      <c r="CH77" s="73"/>
    </row>
    <row r="78">
      <c r="A78" s="80"/>
      <c r="B78" s="80"/>
      <c r="C78" s="80"/>
      <c r="D78" s="80"/>
      <c r="E78" s="124"/>
      <c r="F78" s="80"/>
      <c r="G78" s="80"/>
      <c r="H78" s="80"/>
      <c r="I78" s="80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15"/>
      <c r="AK78" s="80"/>
      <c r="AL78" s="80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113"/>
      <c r="BM78" s="88"/>
      <c r="BN78" s="77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 t="str">
        <f>IFERROR(__xludf.DUMMYFUNCTION("""COMPUTED_VALUE"""),"Printing")</f>
        <v>Printing</v>
      </c>
      <c r="BZ78" s="77">
        <f>IFERROR(__xludf.DUMMYFUNCTION("""COMPUTED_VALUE"""),1002.0)</f>
        <v>1002</v>
      </c>
      <c r="CA78" s="77">
        <f>IFERROR(__xludf.DUMMYFUNCTION("""COMPUTED_VALUE"""),1002.0)</f>
        <v>1002</v>
      </c>
      <c r="CB78" s="77">
        <f>IFERROR(__xludf.DUMMYFUNCTION("""COMPUTED_VALUE"""),0.0)</f>
        <v>0</v>
      </c>
      <c r="CC78" s="73"/>
      <c r="CD78" s="73"/>
      <c r="CE78" s="73"/>
      <c r="CF78" s="73"/>
      <c r="CG78" s="73"/>
      <c r="CH78" s="73"/>
    </row>
    <row r="79">
      <c r="A79" s="80"/>
      <c r="B79" s="80"/>
      <c r="C79" s="80"/>
      <c r="D79" s="80"/>
      <c r="E79" s="124"/>
      <c r="F79" s="80"/>
      <c r="G79" s="80"/>
      <c r="H79" s="80"/>
      <c r="I79" s="80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15"/>
      <c r="AK79" s="80"/>
      <c r="AL79" s="80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88"/>
      <c r="BM79" s="88"/>
      <c r="BN79" s="77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 t="str">
        <f>IFERROR(__xludf.DUMMYFUNCTION("""COMPUTED_VALUE"""),"Printing")</f>
        <v>Printing</v>
      </c>
      <c r="BZ79" s="77">
        <f>IFERROR(__xludf.DUMMYFUNCTION("""COMPUTED_VALUE"""),1003.0)</f>
        <v>1003</v>
      </c>
      <c r="CA79" s="77">
        <f>IFERROR(__xludf.DUMMYFUNCTION("""COMPUTED_VALUE"""),1003.0)</f>
        <v>1003</v>
      </c>
      <c r="CB79" s="77">
        <f>IFERROR(__xludf.DUMMYFUNCTION("""COMPUTED_VALUE"""),0.0)</f>
        <v>0</v>
      </c>
      <c r="CC79" s="73"/>
      <c r="CD79" s="73"/>
      <c r="CE79" s="73"/>
      <c r="CF79" s="73"/>
      <c r="CG79" s="73"/>
      <c r="CH79" s="73"/>
    </row>
    <row r="80">
      <c r="A80" s="80"/>
      <c r="B80" s="80"/>
      <c r="C80" s="80"/>
      <c r="D80" s="80"/>
      <c r="E80" s="124"/>
      <c r="F80" s="80"/>
      <c r="G80" s="80"/>
      <c r="H80" s="80"/>
      <c r="I80" s="80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15"/>
      <c r="AK80" s="80"/>
      <c r="AL80" s="80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88"/>
      <c r="BM80" s="88"/>
      <c r="BN80" s="77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 t="str">
        <f>IFERROR(__xludf.DUMMYFUNCTION("""COMPUTED_VALUE"""),"Printing")</f>
        <v>Printing</v>
      </c>
      <c r="BZ80" s="77">
        <f>IFERROR(__xludf.DUMMYFUNCTION("""COMPUTED_VALUE"""),1004.0)</f>
        <v>1004</v>
      </c>
      <c r="CA80" s="77">
        <f>IFERROR(__xludf.DUMMYFUNCTION("""COMPUTED_VALUE"""),1004.0)</f>
        <v>1004</v>
      </c>
      <c r="CB80" s="77">
        <f>IFERROR(__xludf.DUMMYFUNCTION("""COMPUTED_VALUE"""),0.0)</f>
        <v>0</v>
      </c>
      <c r="CC80" s="73"/>
      <c r="CD80" s="80"/>
      <c r="CE80" s="113"/>
      <c r="CF80" s="139"/>
      <c r="CG80" s="73"/>
      <c r="CH80" s="73"/>
    </row>
    <row r="81">
      <c r="A81" s="80"/>
      <c r="B81" s="80"/>
      <c r="C81" s="80"/>
      <c r="D81" s="80"/>
      <c r="E81" s="124"/>
      <c r="F81" s="80"/>
      <c r="G81" s="80"/>
      <c r="H81" s="80"/>
      <c r="I81" s="80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15"/>
      <c r="AK81" s="80"/>
      <c r="AL81" s="80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88"/>
      <c r="BM81" s="88"/>
      <c r="BN81" s="77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 t="str">
        <f>IFERROR(__xludf.DUMMYFUNCTION("""COMPUTED_VALUE"""),"Printing")</f>
        <v>Printing</v>
      </c>
      <c r="BZ81" s="77">
        <f>IFERROR(__xludf.DUMMYFUNCTION("""COMPUTED_VALUE"""),1005.0)</f>
        <v>1005</v>
      </c>
      <c r="CA81" s="77">
        <f>IFERROR(__xludf.DUMMYFUNCTION("""COMPUTED_VALUE"""),1005.0)</f>
        <v>1005</v>
      </c>
      <c r="CB81" s="77">
        <f>IFERROR(__xludf.DUMMYFUNCTION("""COMPUTED_VALUE"""),0.0)</f>
        <v>0</v>
      </c>
      <c r="CC81" s="73"/>
      <c r="CD81" s="80"/>
      <c r="CE81" s="113"/>
      <c r="CF81" s="139"/>
      <c r="CG81" s="73"/>
      <c r="CH81" s="73"/>
    </row>
    <row r="82">
      <c r="A82" s="80"/>
      <c r="B82" s="80"/>
      <c r="C82" s="80"/>
      <c r="D82" s="80"/>
      <c r="E82" s="124"/>
      <c r="F82" s="80"/>
      <c r="G82" s="80"/>
      <c r="H82" s="80"/>
      <c r="I82" s="80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15"/>
      <c r="AK82" s="80"/>
      <c r="AL82" s="80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88"/>
      <c r="BM82" s="88"/>
      <c r="BN82" s="77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</row>
    <row r="83">
      <c r="A83" s="80"/>
      <c r="B83" s="80"/>
      <c r="C83" s="80"/>
      <c r="D83" s="80"/>
      <c r="E83" s="124"/>
      <c r="F83" s="80"/>
      <c r="G83" s="80"/>
      <c r="H83" s="80"/>
      <c r="I83" s="80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15"/>
      <c r="AK83" s="80"/>
      <c r="AL83" s="80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80"/>
      <c r="BM83" s="88"/>
      <c r="BN83" s="73"/>
      <c r="BO83" s="73"/>
      <c r="BP83" s="73"/>
      <c r="BQ83" s="73"/>
      <c r="BR83" s="73"/>
      <c r="BS83" s="73"/>
      <c r="BT83" s="73"/>
      <c r="BU83" s="73"/>
      <c r="BV83" s="73"/>
      <c r="BW83" s="139" t="str">
        <f>IFERROR(__xludf.DUMMYFUNCTION("QUERY(BY67:CB72,BZ63)"),"Offset")</f>
        <v>Offset</v>
      </c>
      <c r="BX83" s="73" t="str">
        <f>IFERROR(__xludf.DUMMYFUNCTION("""COMPUTED_VALUE"""),"Printing")</f>
        <v>Printing</v>
      </c>
      <c r="BY83" s="77">
        <f>IFERROR(__xludf.DUMMYFUNCTION("""COMPUTED_VALUE"""),1926.0)</f>
        <v>1926</v>
      </c>
      <c r="BZ83" s="77">
        <f>IFERROR(__xludf.DUMMYFUNCTION("""COMPUTED_VALUE"""),1926.0)</f>
        <v>1926</v>
      </c>
      <c r="CA83" s="77">
        <f>BZ83*BY89</f>
        <v>1926</v>
      </c>
      <c r="CB83" s="130" t="str">
        <f>Sheet2!F10</f>
        <v/>
      </c>
      <c r="CC83" s="77">
        <f t="shared" ref="CC83:CC85" si="15">MAX(CA83,CB83)</f>
        <v>1926</v>
      </c>
      <c r="CD83" s="73"/>
      <c r="CE83" s="73"/>
      <c r="CF83" s="73"/>
      <c r="CG83" s="73"/>
      <c r="CH83" s="73"/>
    </row>
    <row r="84">
      <c r="A84" s="80"/>
      <c r="B84" s="80"/>
      <c r="C84" s="80"/>
      <c r="D84" s="80"/>
      <c r="E84" s="124"/>
      <c r="F84" s="80"/>
      <c r="G84" s="80"/>
      <c r="H84" s="80"/>
      <c r="I84" s="80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15"/>
      <c r="AK84" s="80"/>
      <c r="AL84" s="80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80"/>
      <c r="BM84" s="88"/>
      <c r="BN84" s="73"/>
      <c r="BO84" s="73"/>
      <c r="BP84" s="73"/>
      <c r="BQ84" s="73"/>
      <c r="BR84" s="73"/>
      <c r="BS84" s="73"/>
      <c r="BT84" s="73"/>
      <c r="BU84" s="73"/>
      <c r="BV84" s="73"/>
      <c r="BW84" s="73" t="str">
        <f>IFERROR(__xludf.DUMMYFUNCTION("""COMPUTED_VALUE"""),"Offset")</f>
        <v>Offset</v>
      </c>
      <c r="BX84" s="73" t="str">
        <f>IFERROR(__xludf.DUMMYFUNCTION("""COMPUTED_VALUE"""),"Printing")</f>
        <v>Printing</v>
      </c>
      <c r="BY84" s="77">
        <f>IFERROR(__xludf.DUMMYFUNCTION("""COMPUTED_VALUE"""),2029.0)</f>
        <v>2029</v>
      </c>
      <c r="BZ84" s="77">
        <f>IFERROR(__xludf.DUMMYFUNCTION("""COMPUTED_VALUE"""),2029.0)</f>
        <v>2029</v>
      </c>
      <c r="CA84" s="77">
        <f>BZ84*BY89</f>
        <v>2029</v>
      </c>
      <c r="CB84" s="130" t="str">
        <f>Sheet2!F10</f>
        <v/>
      </c>
      <c r="CC84" s="77">
        <f t="shared" si="15"/>
        <v>2029</v>
      </c>
      <c r="CD84" s="80" t="str">
        <f>Quotation!C43</f>
        <v>Plain</v>
      </c>
      <c r="CE84" s="73"/>
      <c r="CF84" s="73"/>
      <c r="CG84" s="73"/>
      <c r="CH84" s="73"/>
    </row>
    <row r="85">
      <c r="A85" s="80"/>
      <c r="B85" s="80"/>
      <c r="C85" s="80"/>
      <c r="D85" s="80"/>
      <c r="E85" s="124"/>
      <c r="F85" s="80"/>
      <c r="G85" s="80"/>
      <c r="H85" s="80"/>
      <c r="I85" s="80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15"/>
      <c r="AK85" s="80"/>
      <c r="AL85" s="80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80"/>
      <c r="BM85" s="88"/>
      <c r="BN85" s="73"/>
      <c r="BO85" s="73"/>
      <c r="BP85" s="73"/>
      <c r="BQ85" s="73"/>
      <c r="BR85" s="73"/>
      <c r="BS85" s="73"/>
      <c r="BT85" s="73"/>
      <c r="BU85" s="73"/>
      <c r="BV85" s="73"/>
      <c r="BW85" s="73" t="str">
        <f>IFERROR(__xludf.DUMMYFUNCTION("""COMPUTED_VALUE"""),"Offset")</f>
        <v>Offset</v>
      </c>
      <c r="BX85" s="73" t="str">
        <f>IFERROR(__xludf.DUMMYFUNCTION("""COMPUTED_VALUE"""),"Printing")</f>
        <v>Printing</v>
      </c>
      <c r="BY85" s="77">
        <f>IFERROR(__xludf.DUMMYFUNCTION("""COMPUTED_VALUE"""),2840.0)</f>
        <v>2840</v>
      </c>
      <c r="BZ85" s="77">
        <f>IFERROR(__xludf.DUMMYFUNCTION("""COMPUTED_VALUE"""),2840.0)</f>
        <v>2840</v>
      </c>
      <c r="CA85" s="77">
        <f>BZ85*BY89</f>
        <v>2840</v>
      </c>
      <c r="CB85" s="130" t="str">
        <f>Sheet2!F10</f>
        <v/>
      </c>
      <c r="CC85" s="77">
        <f t="shared" si="15"/>
        <v>2840</v>
      </c>
      <c r="CD85" s="128" t="str">
        <f>IF(CD84="","","and CC = '"&amp;CD84&amp;"'")</f>
        <v>and CC = 'Plain'</v>
      </c>
      <c r="CE85" s="73"/>
      <c r="CF85" s="73"/>
      <c r="CG85" s="73"/>
      <c r="CH85" s="73"/>
    </row>
    <row r="86">
      <c r="A86" s="80"/>
      <c r="B86" s="80"/>
      <c r="C86" s="80"/>
      <c r="D86" s="80"/>
      <c r="E86" s="124"/>
      <c r="F86" s="80"/>
      <c r="G86" s="80"/>
      <c r="H86" s="80"/>
      <c r="I86" s="80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15"/>
      <c r="AK86" s="80"/>
      <c r="AL86" s="80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133" t="str">
        <f>CONCATENATE("select * where 1=1",CD85)</f>
        <v>select * where 1=1and CC = 'Plain'</v>
      </c>
      <c r="CE86" s="73"/>
      <c r="CF86" s="73"/>
      <c r="CG86" s="73"/>
      <c r="CH86" s="73"/>
    </row>
    <row r="87">
      <c r="A87" s="80"/>
      <c r="B87" s="80"/>
      <c r="C87" s="80"/>
      <c r="D87" s="80"/>
      <c r="E87" s="124"/>
      <c r="F87" s="80"/>
      <c r="G87" s="80"/>
      <c r="H87" s="80"/>
      <c r="I87" s="80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15"/>
      <c r="AK87" s="80"/>
      <c r="AL87" s="80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88" t="s">
        <v>74</v>
      </c>
      <c r="CD87" s="86">
        <v>0.0</v>
      </c>
      <c r="CE87" s="139" t="str">
        <f>IFERROR(__xludf.DUMMYFUNCTION("QUERY(CC87:CD88,CD86)"),"Plain")</f>
        <v>Plain</v>
      </c>
      <c r="CF87" s="77">
        <f>IFERROR(__xludf.DUMMYFUNCTION("""COMPUTED_VALUE"""),0.0)</f>
        <v>0</v>
      </c>
      <c r="CG87" s="73"/>
      <c r="CH87" s="73"/>
    </row>
    <row r="88">
      <c r="A88" s="80"/>
      <c r="B88" s="80"/>
      <c r="C88" s="80"/>
      <c r="D88" s="80"/>
      <c r="E88" s="124"/>
      <c r="F88" s="80"/>
      <c r="G88" s="80"/>
      <c r="H88" s="80"/>
      <c r="I88" s="80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15"/>
      <c r="AK88" s="80"/>
      <c r="AL88" s="80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88" t="s">
        <v>54</v>
      </c>
      <c r="CD88" s="86">
        <v>1.0</v>
      </c>
      <c r="CE88" s="73"/>
      <c r="CF88" s="73"/>
      <c r="CG88" s="73"/>
      <c r="CH88" s="73"/>
    </row>
    <row r="89">
      <c r="A89" s="80"/>
      <c r="B89" s="80"/>
      <c r="C89" s="80"/>
      <c r="D89" s="80"/>
      <c r="E89" s="124"/>
      <c r="F89" s="80"/>
      <c r="G89" s="80"/>
      <c r="H89" s="80"/>
      <c r="I89" s="80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15"/>
      <c r="AK89" s="80"/>
      <c r="AL89" s="80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88" t="s">
        <v>213</v>
      </c>
      <c r="BX89" s="86">
        <v>1.0</v>
      </c>
      <c r="BY89" s="77">
        <f>MAX(BX89,BX90)</f>
        <v>1</v>
      </c>
      <c r="BZ89" s="73"/>
      <c r="CA89" s="73"/>
      <c r="CB89" s="73"/>
      <c r="CC89" s="73"/>
      <c r="CD89" s="73"/>
      <c r="CE89" s="73"/>
      <c r="CF89" s="73"/>
      <c r="CG89" s="73"/>
      <c r="CH89" s="73"/>
    </row>
    <row r="90">
      <c r="A90" s="80"/>
      <c r="B90" s="80"/>
      <c r="C90" s="80"/>
      <c r="D90" s="80"/>
      <c r="E90" s="124"/>
      <c r="F90" s="80"/>
      <c r="G90" s="80"/>
      <c r="H90" s="80"/>
      <c r="I90" s="80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15"/>
      <c r="AK90" s="80"/>
      <c r="AL90" s="80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 t="str">
        <f>Quotation!B38</f>
        <v>Custom Size</v>
      </c>
      <c r="BX90" s="86">
        <v>0.0</v>
      </c>
      <c r="BY90" s="73"/>
      <c r="BZ90" s="73"/>
      <c r="CA90" s="73"/>
      <c r="CB90" s="73"/>
      <c r="CC90" s="73"/>
      <c r="CD90" s="80" t="str">
        <f>Quotation!B39</f>
        <v>Custom Paper</v>
      </c>
      <c r="CE90" s="73"/>
      <c r="CF90" s="73"/>
      <c r="CG90" s="73"/>
      <c r="CH90" s="73"/>
    </row>
    <row r="91">
      <c r="A91" s="80"/>
      <c r="B91" s="80"/>
      <c r="C91" s="80"/>
      <c r="D91" s="80"/>
      <c r="E91" s="124"/>
      <c r="F91" s="80"/>
      <c r="G91" s="80"/>
      <c r="H91" s="80"/>
      <c r="I91" s="80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15"/>
      <c r="AK91" s="80"/>
      <c r="AL91" s="80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128" t="str">
        <f>IF(CD90="","","and CC = '"&amp;CD90&amp;"'")</f>
        <v>and CC = 'Custom Paper'</v>
      </c>
      <c r="CE91" s="73"/>
      <c r="CF91" s="73"/>
      <c r="CG91" s="73"/>
      <c r="CH91" s="73"/>
    </row>
    <row r="92">
      <c r="A92" s="80"/>
      <c r="B92" s="80"/>
      <c r="C92" s="80"/>
      <c r="D92" s="80"/>
      <c r="E92" s="124"/>
      <c r="F92" s="80"/>
      <c r="G92" s="80"/>
      <c r="H92" s="80"/>
      <c r="I92" s="80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15"/>
      <c r="AK92" s="80"/>
      <c r="AL92" s="80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133" t="str">
        <f>CONCATENATE("select * where 1=1",CD91)</f>
        <v>select * where 1=1and CC = 'Custom Paper'</v>
      </c>
      <c r="CE92" s="73"/>
      <c r="CF92" s="73"/>
      <c r="CG92" s="73"/>
      <c r="CH92" s="73"/>
    </row>
    <row r="93">
      <c r="A93" s="80"/>
      <c r="B93" s="80"/>
      <c r="C93" s="80"/>
      <c r="D93" s="80"/>
      <c r="E93" s="124"/>
      <c r="F93" s="80"/>
      <c r="G93" s="80"/>
      <c r="H93" s="80"/>
      <c r="I93" s="80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15"/>
      <c r="AK93" s="80"/>
      <c r="AL93" s="80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88" t="s">
        <v>74</v>
      </c>
      <c r="CD93" s="86">
        <v>0.0</v>
      </c>
      <c r="CE93" s="73"/>
      <c r="CF93" s="139" t="str">
        <f>IFERROR(__xludf.DUMMYFUNCTION("QUERY(CC93:CE100,CD92)"),"Custom Paper")</f>
        <v>Custom Paper</v>
      </c>
      <c r="CG93" s="77">
        <f>IFERROR(__xludf.DUMMYFUNCTION("""COMPUTED_VALUE"""),0.0)</f>
        <v>0</v>
      </c>
      <c r="CH93" s="77">
        <f>IFERROR(__xludf.DUMMYFUNCTION("""COMPUTED_VALUE"""),1.0)</f>
        <v>1</v>
      </c>
    </row>
    <row r="94">
      <c r="A94" s="80"/>
      <c r="B94" s="80"/>
      <c r="C94" s="80"/>
      <c r="D94" s="80"/>
      <c r="E94" s="124"/>
      <c r="F94" s="80"/>
      <c r="G94" s="80"/>
      <c r="H94" s="80"/>
      <c r="I94" s="80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15"/>
      <c r="AK94" s="80"/>
      <c r="AL94" s="80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182" t="s">
        <v>14</v>
      </c>
      <c r="CD94" s="86">
        <v>1.0</v>
      </c>
      <c r="CE94" s="86">
        <v>0.0</v>
      </c>
      <c r="CF94" s="73"/>
      <c r="CG94" s="73"/>
      <c r="CH94" s="73"/>
    </row>
    <row r="95">
      <c r="A95" s="80"/>
      <c r="B95" s="80"/>
      <c r="C95" s="80"/>
      <c r="D95" s="80"/>
      <c r="E95" s="124"/>
      <c r="F95" s="80"/>
      <c r="G95" s="80"/>
      <c r="H95" s="80"/>
      <c r="I95" s="80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15"/>
      <c r="AK95" s="80"/>
      <c r="AL95" s="80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 t="s">
        <v>27</v>
      </c>
      <c r="CD95" s="86">
        <v>1.0</v>
      </c>
      <c r="CE95" s="86">
        <v>0.0</v>
      </c>
      <c r="CF95" s="73"/>
      <c r="CG95" s="73"/>
      <c r="CH95" s="73"/>
    </row>
    <row r="96">
      <c r="A96" s="80"/>
      <c r="B96" s="80"/>
      <c r="C96" s="80"/>
      <c r="D96" s="80"/>
      <c r="E96" s="124"/>
      <c r="F96" s="80"/>
      <c r="G96" s="80"/>
      <c r="H96" s="80"/>
      <c r="I96" s="80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15"/>
      <c r="AK96" s="80"/>
      <c r="AL96" s="80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118" t="s">
        <v>28</v>
      </c>
      <c r="CD96" s="86">
        <v>1.0</v>
      </c>
      <c r="CE96" s="86">
        <v>0.0</v>
      </c>
      <c r="CF96" s="73"/>
      <c r="CG96" s="73"/>
      <c r="CH96" s="73"/>
    </row>
    <row r="97">
      <c r="A97" s="80"/>
      <c r="B97" s="80"/>
      <c r="C97" s="80"/>
      <c r="D97" s="80"/>
      <c r="E97" s="124"/>
      <c r="F97" s="80"/>
      <c r="G97" s="80"/>
      <c r="H97" s="80"/>
      <c r="I97" s="80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15"/>
      <c r="AK97" s="80"/>
      <c r="AL97" s="80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113" t="s">
        <v>31</v>
      </c>
      <c r="CD97" s="86">
        <v>0.0</v>
      </c>
      <c r="CE97" s="86">
        <v>1.0</v>
      </c>
      <c r="CF97" s="73"/>
      <c r="CG97" s="73"/>
      <c r="CH97" s="73"/>
    </row>
    <row r="98">
      <c r="A98" s="80"/>
      <c r="B98" s="80"/>
      <c r="C98" s="80"/>
      <c r="D98" s="80"/>
      <c r="E98" s="124"/>
      <c r="F98" s="80"/>
      <c r="G98" s="80"/>
      <c r="H98" s="80"/>
      <c r="I98" s="80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15"/>
      <c r="AK98" s="80"/>
      <c r="AL98" s="80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118" t="s">
        <v>15</v>
      </c>
      <c r="CD98" s="86">
        <v>1.0</v>
      </c>
      <c r="CE98" s="86">
        <v>0.0</v>
      </c>
      <c r="CF98" s="73"/>
      <c r="CG98" s="73"/>
      <c r="CH98" s="73"/>
    </row>
    <row r="99">
      <c r="A99" s="80"/>
      <c r="B99" s="80"/>
      <c r="C99" s="80"/>
      <c r="D99" s="80"/>
      <c r="E99" s="124"/>
      <c r="F99" s="80"/>
      <c r="G99" s="80"/>
      <c r="H99" s="80"/>
      <c r="I99" s="80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15"/>
      <c r="AK99" s="80"/>
      <c r="AL99" s="80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182" t="s">
        <v>30</v>
      </c>
      <c r="CD99" s="86">
        <v>1.0</v>
      </c>
      <c r="CE99" s="86">
        <v>0.0</v>
      </c>
      <c r="CF99" s="73"/>
      <c r="CG99" s="73"/>
      <c r="CH99" s="73"/>
    </row>
    <row r="100">
      <c r="A100" s="80"/>
      <c r="B100" s="80"/>
      <c r="C100" s="80"/>
      <c r="D100" s="80"/>
      <c r="E100" s="124"/>
      <c r="F100" s="80"/>
      <c r="G100" s="80"/>
      <c r="H100" s="80"/>
      <c r="I100" s="80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15"/>
      <c r="AK100" s="80"/>
      <c r="AL100" s="80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 t="s">
        <v>29</v>
      </c>
      <c r="CD100" s="86">
        <v>1.0</v>
      </c>
      <c r="CE100" s="86">
        <v>0.0</v>
      </c>
      <c r="CF100" s="73"/>
      <c r="CG100" s="73"/>
      <c r="CH100" s="73"/>
    </row>
    <row r="101">
      <c r="A101" s="80"/>
      <c r="B101" s="80"/>
      <c r="C101" s="80"/>
      <c r="D101" s="80"/>
      <c r="E101" s="124"/>
      <c r="F101" s="80"/>
      <c r="G101" s="80"/>
      <c r="H101" s="80"/>
      <c r="I101" s="80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15"/>
      <c r="AK101" s="80"/>
      <c r="AL101" s="80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</row>
    <row r="102">
      <c r="A102" s="80"/>
      <c r="B102" s="80"/>
      <c r="C102" s="80"/>
      <c r="D102" s="80"/>
      <c r="E102" s="124"/>
      <c r="F102" s="80"/>
      <c r="G102" s="80"/>
      <c r="H102" s="80"/>
      <c r="I102" s="80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15"/>
      <c r="AK102" s="80"/>
      <c r="AL102" s="80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</row>
    <row r="103">
      <c r="A103" s="80"/>
      <c r="B103" s="80"/>
      <c r="C103" s="80"/>
      <c r="D103" s="80"/>
      <c r="E103" s="124"/>
      <c r="F103" s="80"/>
      <c r="G103" s="80"/>
      <c r="H103" s="80"/>
      <c r="I103" s="80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15"/>
      <c r="AK103" s="80"/>
      <c r="AL103" s="80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</row>
    <row r="104">
      <c r="A104" s="80"/>
      <c r="B104" s="80"/>
      <c r="C104" s="80"/>
      <c r="D104" s="80"/>
      <c r="E104" s="124"/>
      <c r="F104" s="80"/>
      <c r="G104" s="80"/>
      <c r="H104" s="80"/>
      <c r="I104" s="80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15"/>
      <c r="AK104" s="80"/>
      <c r="AL104" s="80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</row>
    <row r="105">
      <c r="A105" s="80"/>
      <c r="B105" s="80"/>
      <c r="C105" s="80"/>
      <c r="D105" s="80"/>
      <c r="E105" s="124"/>
      <c r="F105" s="80"/>
      <c r="G105" s="80"/>
      <c r="H105" s="80"/>
      <c r="I105" s="80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15"/>
      <c r="AK105" s="80"/>
      <c r="AL105" s="80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</row>
    <row r="106">
      <c r="A106" s="80"/>
      <c r="B106" s="80"/>
      <c r="C106" s="80"/>
      <c r="D106" s="80"/>
      <c r="E106" s="124"/>
      <c r="F106" s="80"/>
      <c r="G106" s="80"/>
      <c r="H106" s="80"/>
      <c r="I106" s="80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15"/>
      <c r="AK106" s="80"/>
      <c r="AL106" s="80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</row>
    <row r="107">
      <c r="A107" s="80"/>
      <c r="B107" s="80"/>
      <c r="C107" s="80"/>
      <c r="D107" s="80"/>
      <c r="E107" s="124"/>
      <c r="F107" s="80"/>
      <c r="G107" s="80"/>
      <c r="H107" s="80"/>
      <c r="I107" s="80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15"/>
      <c r="AK107" s="80"/>
      <c r="AL107" s="80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</row>
    <row r="108">
      <c r="A108" s="80"/>
      <c r="B108" s="80"/>
      <c r="C108" s="80"/>
      <c r="D108" s="80"/>
      <c r="E108" s="124"/>
      <c r="F108" s="80"/>
      <c r="G108" s="80"/>
      <c r="H108" s="80"/>
      <c r="I108" s="80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15"/>
      <c r="AK108" s="80"/>
      <c r="AL108" s="80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</row>
    <row r="109">
      <c r="A109" s="80"/>
      <c r="B109" s="80"/>
      <c r="C109" s="80"/>
      <c r="D109" s="80"/>
      <c r="E109" s="124"/>
      <c r="F109" s="80"/>
      <c r="G109" s="80"/>
      <c r="H109" s="80"/>
      <c r="I109" s="80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15"/>
      <c r="AK109" s="80"/>
      <c r="AL109" s="80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</row>
    <row r="110">
      <c r="A110" s="80"/>
      <c r="B110" s="80"/>
      <c r="C110" s="80"/>
      <c r="D110" s="80"/>
      <c r="E110" s="124"/>
      <c r="F110" s="80"/>
      <c r="G110" s="80"/>
      <c r="H110" s="80"/>
      <c r="I110" s="80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15"/>
      <c r="AK110" s="80"/>
      <c r="AL110" s="80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80" t="s">
        <v>66</v>
      </c>
      <c r="CE110" s="161">
        <v>1.0</v>
      </c>
      <c r="CF110" s="139" t="str">
        <f>IFERROR(__xludf.DUMMYFUNCTION("QUERY(CD110:CE111,CB66)"),"New Job")</f>
        <v>New Job</v>
      </c>
      <c r="CG110" s="77">
        <f>IFERROR(__xludf.DUMMYFUNCTION("""COMPUTED_VALUE"""),1.0)</f>
        <v>1</v>
      </c>
      <c r="CH110" s="73"/>
    </row>
    <row r="111">
      <c r="A111" s="80"/>
      <c r="B111" s="80"/>
      <c r="C111" s="80"/>
      <c r="D111" s="80"/>
      <c r="E111" s="124"/>
      <c r="F111" s="80"/>
      <c r="G111" s="80"/>
      <c r="H111" s="80"/>
      <c r="I111" s="80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5"/>
      <c r="AK111" s="80"/>
      <c r="AL111" s="80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80" t="s">
        <v>70</v>
      </c>
      <c r="CE111" s="161">
        <v>0.0</v>
      </c>
      <c r="CF111" s="139"/>
      <c r="CG111" s="73"/>
      <c r="CH111" s="73"/>
    </row>
    <row r="112">
      <c r="A112" s="80"/>
      <c r="B112" s="80"/>
      <c r="C112" s="80"/>
      <c r="D112" s="80"/>
      <c r="E112" s="124"/>
      <c r="F112" s="80"/>
      <c r="G112" s="80"/>
      <c r="H112" s="80"/>
      <c r="I112" s="80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15"/>
      <c r="AK112" s="80"/>
      <c r="AL112" s="80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</row>
    <row r="113">
      <c r="A113" s="80"/>
      <c r="B113" s="80"/>
      <c r="C113" s="80"/>
      <c r="D113" s="80"/>
      <c r="E113" s="124"/>
      <c r="F113" s="80"/>
      <c r="G113" s="80"/>
      <c r="H113" s="80"/>
      <c r="I113" s="80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15"/>
      <c r="AK113" s="80"/>
      <c r="AL113" s="80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</row>
    <row r="114">
      <c r="A114" s="80"/>
      <c r="B114" s="80"/>
      <c r="C114" s="80"/>
      <c r="D114" s="80"/>
      <c r="E114" s="124"/>
      <c r="F114" s="80"/>
      <c r="G114" s="80"/>
      <c r="H114" s="80"/>
      <c r="I114" s="80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15"/>
      <c r="AK114" s="80"/>
      <c r="AL114" s="80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</row>
    <row r="115">
      <c r="A115" s="80"/>
      <c r="B115" s="80"/>
      <c r="C115" s="80"/>
      <c r="D115" s="80"/>
      <c r="E115" s="124"/>
      <c r="F115" s="80"/>
      <c r="G115" s="80"/>
      <c r="H115" s="80"/>
      <c r="I115" s="80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15"/>
      <c r="AK115" s="80"/>
      <c r="AL115" s="80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</row>
    <row r="116">
      <c r="A116" s="80"/>
      <c r="B116" s="80"/>
      <c r="C116" s="80"/>
      <c r="D116" s="80"/>
      <c r="E116" s="124"/>
      <c r="F116" s="80"/>
      <c r="G116" s="80"/>
      <c r="H116" s="80"/>
      <c r="I116" s="80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5"/>
      <c r="AK116" s="80"/>
      <c r="AL116" s="80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</row>
    <row r="117">
      <c r="A117" s="80"/>
      <c r="B117" s="80"/>
      <c r="C117" s="80"/>
      <c r="D117" s="80"/>
      <c r="E117" s="124"/>
      <c r="F117" s="80"/>
      <c r="G117" s="80"/>
      <c r="H117" s="80"/>
      <c r="I117" s="80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15"/>
      <c r="AK117" s="80"/>
      <c r="AL117" s="80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</row>
    <row r="118">
      <c r="A118" s="80"/>
      <c r="B118" s="80"/>
      <c r="C118" s="80"/>
      <c r="D118" s="80"/>
      <c r="E118" s="124"/>
      <c r="F118" s="80"/>
      <c r="G118" s="80"/>
      <c r="H118" s="80"/>
      <c r="I118" s="80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15"/>
      <c r="AK118" s="80"/>
      <c r="AL118" s="80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</row>
    <row r="119">
      <c r="A119" s="80"/>
      <c r="B119" s="80"/>
      <c r="C119" s="80"/>
      <c r="D119" s="80"/>
      <c r="E119" s="124"/>
      <c r="F119" s="80"/>
      <c r="G119" s="80"/>
      <c r="H119" s="80"/>
      <c r="I119" s="80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15"/>
      <c r="AK119" s="80"/>
      <c r="AL119" s="80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</row>
    <row r="120">
      <c r="A120" s="80"/>
      <c r="B120" s="80"/>
      <c r="C120" s="80"/>
      <c r="D120" s="80"/>
      <c r="E120" s="124"/>
      <c r="F120" s="80"/>
      <c r="G120" s="80"/>
      <c r="H120" s="80"/>
      <c r="I120" s="80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15"/>
      <c r="AK120" s="80"/>
      <c r="AL120" s="80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</row>
    <row r="121">
      <c r="A121" s="80"/>
      <c r="B121" s="80"/>
      <c r="C121" s="80"/>
      <c r="D121" s="80"/>
      <c r="E121" s="124"/>
      <c r="F121" s="80"/>
      <c r="G121" s="80"/>
      <c r="H121" s="80"/>
      <c r="I121" s="80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15"/>
      <c r="AK121" s="80"/>
      <c r="AL121" s="80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</row>
    <row r="122">
      <c r="A122" s="80"/>
      <c r="B122" s="80"/>
      <c r="C122" s="80"/>
      <c r="D122" s="80"/>
      <c r="E122" s="124"/>
      <c r="F122" s="80"/>
      <c r="G122" s="80"/>
      <c r="H122" s="80"/>
      <c r="I122" s="80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15"/>
      <c r="AK122" s="80"/>
      <c r="AL122" s="80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</row>
    <row r="123">
      <c r="A123" s="80"/>
      <c r="B123" s="80"/>
      <c r="C123" s="80"/>
      <c r="D123" s="80"/>
      <c r="E123" s="124"/>
      <c r="F123" s="80"/>
      <c r="G123" s="80"/>
      <c r="H123" s="80"/>
      <c r="I123" s="80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5"/>
      <c r="AK123" s="80"/>
      <c r="AL123" s="80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</row>
    <row r="124">
      <c r="A124" s="80"/>
      <c r="B124" s="80"/>
      <c r="C124" s="80"/>
      <c r="D124" s="80"/>
      <c r="E124" s="124"/>
      <c r="F124" s="80"/>
      <c r="G124" s="80"/>
      <c r="H124" s="80"/>
      <c r="I124" s="80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15"/>
      <c r="AK124" s="80"/>
      <c r="AL124" s="80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</row>
    <row r="125">
      <c r="A125" s="80"/>
      <c r="B125" s="80"/>
      <c r="C125" s="80"/>
      <c r="D125" s="80"/>
      <c r="E125" s="124"/>
      <c r="F125" s="80"/>
      <c r="G125" s="80"/>
      <c r="H125" s="80"/>
      <c r="I125" s="80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15"/>
      <c r="AK125" s="80"/>
      <c r="AL125" s="80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</row>
    <row r="126">
      <c r="A126" s="80"/>
      <c r="B126" s="80"/>
      <c r="C126" s="80"/>
      <c r="D126" s="80"/>
      <c r="E126" s="124"/>
      <c r="F126" s="80"/>
      <c r="G126" s="80"/>
      <c r="H126" s="80"/>
      <c r="I126" s="80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15"/>
      <c r="AK126" s="80"/>
      <c r="AL126" s="80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</row>
    <row r="127">
      <c r="A127" s="80"/>
      <c r="B127" s="80"/>
      <c r="C127" s="80"/>
      <c r="D127" s="80"/>
      <c r="E127" s="124"/>
      <c r="F127" s="80"/>
      <c r="G127" s="80"/>
      <c r="H127" s="80"/>
      <c r="I127" s="80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15"/>
      <c r="AK127" s="80"/>
      <c r="AL127" s="80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</row>
    <row r="128">
      <c r="A128" s="80"/>
      <c r="B128" s="80"/>
      <c r="C128" s="80"/>
      <c r="D128" s="80"/>
      <c r="E128" s="124"/>
      <c r="F128" s="80"/>
      <c r="G128" s="80"/>
      <c r="H128" s="80"/>
      <c r="I128" s="80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15"/>
      <c r="AK128" s="80"/>
      <c r="AL128" s="80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</row>
    <row r="129">
      <c r="A129" s="80"/>
      <c r="B129" s="80"/>
      <c r="C129" s="80"/>
      <c r="D129" s="80"/>
      <c r="E129" s="124"/>
      <c r="F129" s="80"/>
      <c r="G129" s="80"/>
      <c r="H129" s="80"/>
      <c r="I129" s="80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15"/>
      <c r="AK129" s="80"/>
      <c r="AL129" s="80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</row>
    <row r="130">
      <c r="A130" s="80"/>
      <c r="B130" s="80"/>
      <c r="C130" s="80"/>
      <c r="D130" s="80"/>
      <c r="E130" s="124"/>
      <c r="F130" s="80"/>
      <c r="G130" s="80"/>
      <c r="H130" s="80"/>
      <c r="I130" s="80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15"/>
      <c r="AK130" s="80"/>
      <c r="AL130" s="80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</row>
    <row r="131">
      <c r="A131" s="80"/>
      <c r="B131" s="80"/>
      <c r="C131" s="80"/>
      <c r="D131" s="80"/>
      <c r="E131" s="124"/>
      <c r="F131" s="80"/>
      <c r="G131" s="80"/>
      <c r="H131" s="80"/>
      <c r="I131" s="80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15"/>
      <c r="AK131" s="80"/>
      <c r="AL131" s="80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</row>
    <row r="132">
      <c r="A132" s="80"/>
      <c r="B132" s="80"/>
      <c r="C132" s="80"/>
      <c r="D132" s="80"/>
      <c r="E132" s="124"/>
      <c r="F132" s="80"/>
      <c r="G132" s="80"/>
      <c r="H132" s="80"/>
      <c r="I132" s="80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5"/>
      <c r="AK132" s="80"/>
      <c r="AL132" s="80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</row>
    <row r="133">
      <c r="A133" s="80"/>
      <c r="B133" s="80"/>
      <c r="C133" s="80"/>
      <c r="D133" s="80"/>
      <c r="E133" s="124"/>
      <c r="F133" s="80"/>
      <c r="G133" s="80"/>
      <c r="H133" s="80"/>
      <c r="I133" s="80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15"/>
      <c r="AK133" s="80"/>
      <c r="AL133" s="80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</row>
    <row r="134">
      <c r="A134" s="80"/>
      <c r="B134" s="80"/>
      <c r="C134" s="80"/>
      <c r="D134" s="80"/>
      <c r="E134" s="124"/>
      <c r="F134" s="80"/>
      <c r="G134" s="80"/>
      <c r="H134" s="80"/>
      <c r="I134" s="80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15"/>
      <c r="AK134" s="80"/>
      <c r="AL134" s="80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</row>
    <row r="135">
      <c r="A135" s="80"/>
      <c r="B135" s="80"/>
      <c r="C135" s="80"/>
      <c r="D135" s="80"/>
      <c r="E135" s="124"/>
      <c r="F135" s="80"/>
      <c r="G135" s="80"/>
      <c r="H135" s="80"/>
      <c r="I135" s="80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15"/>
      <c r="AK135" s="80"/>
      <c r="AL135" s="80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</row>
    <row r="136">
      <c r="A136" s="80"/>
      <c r="B136" s="80"/>
      <c r="C136" s="80"/>
      <c r="D136" s="80"/>
      <c r="E136" s="124"/>
      <c r="F136" s="80"/>
      <c r="G136" s="80"/>
      <c r="H136" s="80"/>
      <c r="I136" s="80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15"/>
      <c r="AK136" s="80"/>
      <c r="AL136" s="80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</row>
    <row r="137">
      <c r="A137" s="80"/>
      <c r="B137" s="80"/>
      <c r="C137" s="80"/>
      <c r="D137" s="80"/>
      <c r="E137" s="124"/>
      <c r="F137" s="80"/>
      <c r="G137" s="80"/>
      <c r="H137" s="80"/>
      <c r="I137" s="80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15"/>
      <c r="AK137" s="80"/>
      <c r="AL137" s="80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</row>
    <row r="138">
      <c r="A138" s="80"/>
      <c r="B138" s="80"/>
      <c r="C138" s="80"/>
      <c r="D138" s="80"/>
      <c r="E138" s="124"/>
      <c r="F138" s="80"/>
      <c r="G138" s="80"/>
      <c r="H138" s="80"/>
      <c r="I138" s="80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15"/>
      <c r="AK138" s="80"/>
      <c r="AL138" s="80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</row>
    <row r="139">
      <c r="A139" s="80"/>
      <c r="B139" s="80"/>
      <c r="C139" s="80"/>
      <c r="D139" s="80"/>
      <c r="E139" s="124"/>
      <c r="F139" s="80"/>
      <c r="G139" s="80"/>
      <c r="H139" s="80"/>
      <c r="I139" s="80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15"/>
      <c r="AK139" s="80"/>
      <c r="AL139" s="80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</row>
    <row r="140">
      <c r="A140" s="80"/>
      <c r="B140" s="80"/>
      <c r="C140" s="80"/>
      <c r="D140" s="80"/>
      <c r="E140" s="124"/>
      <c r="F140" s="80"/>
      <c r="G140" s="80"/>
      <c r="H140" s="80"/>
      <c r="I140" s="80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15"/>
      <c r="AK140" s="80"/>
      <c r="AL140" s="80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</row>
    <row r="141">
      <c r="A141" s="80"/>
      <c r="B141" s="80"/>
      <c r="C141" s="80"/>
      <c r="D141" s="80"/>
      <c r="E141" s="124"/>
      <c r="F141" s="80"/>
      <c r="G141" s="80"/>
      <c r="H141" s="80"/>
      <c r="I141" s="80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15"/>
      <c r="AK141" s="80"/>
      <c r="AL141" s="80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</row>
    <row r="142">
      <c r="A142" s="80"/>
      <c r="B142" s="80"/>
      <c r="C142" s="80"/>
      <c r="D142" s="80"/>
      <c r="E142" s="124"/>
      <c r="F142" s="80"/>
      <c r="G142" s="80"/>
      <c r="H142" s="80"/>
      <c r="I142" s="80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15"/>
      <c r="AK142" s="80"/>
      <c r="AL142" s="80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</row>
    <row r="143">
      <c r="A143" s="80"/>
      <c r="B143" s="80"/>
      <c r="C143" s="80"/>
      <c r="D143" s="80"/>
      <c r="E143" s="124"/>
      <c r="F143" s="80"/>
      <c r="G143" s="80"/>
      <c r="H143" s="80"/>
      <c r="I143" s="80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15"/>
      <c r="AK143" s="80"/>
      <c r="AL143" s="80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</row>
    <row r="144">
      <c r="A144" s="80"/>
      <c r="B144" s="80"/>
      <c r="C144" s="80"/>
      <c r="D144" s="80"/>
      <c r="E144" s="124"/>
      <c r="F144" s="80"/>
      <c r="G144" s="80"/>
      <c r="H144" s="80"/>
      <c r="I144" s="80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15"/>
      <c r="AK144" s="80"/>
      <c r="AL144" s="80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</row>
    <row r="145">
      <c r="A145" s="80"/>
      <c r="B145" s="80"/>
      <c r="C145" s="80"/>
      <c r="D145" s="80"/>
      <c r="E145" s="124"/>
      <c r="F145" s="80"/>
      <c r="G145" s="80"/>
      <c r="H145" s="80"/>
      <c r="I145" s="80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5"/>
      <c r="AK145" s="80"/>
      <c r="AL145" s="80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</row>
    <row r="146">
      <c r="A146" s="80"/>
      <c r="B146" s="80"/>
      <c r="C146" s="80"/>
      <c r="D146" s="80"/>
      <c r="E146" s="124"/>
      <c r="F146" s="80"/>
      <c r="G146" s="80"/>
      <c r="H146" s="80"/>
      <c r="I146" s="80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15"/>
      <c r="AK146" s="80"/>
      <c r="AL146" s="80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</row>
    <row r="147">
      <c r="A147" s="80"/>
      <c r="B147" s="80"/>
      <c r="C147" s="80"/>
      <c r="D147" s="80"/>
      <c r="E147" s="124"/>
      <c r="F147" s="80"/>
      <c r="G147" s="80"/>
      <c r="H147" s="80"/>
      <c r="I147" s="80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15"/>
      <c r="AK147" s="80"/>
      <c r="AL147" s="80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</row>
    <row r="148">
      <c r="A148" s="80"/>
      <c r="B148" s="80"/>
      <c r="C148" s="80"/>
      <c r="D148" s="80"/>
      <c r="E148" s="124"/>
      <c r="F148" s="80"/>
      <c r="G148" s="80"/>
      <c r="H148" s="80"/>
      <c r="I148" s="80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15"/>
      <c r="AK148" s="80"/>
      <c r="AL148" s="80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</row>
    <row r="149">
      <c r="A149" s="80"/>
      <c r="B149" s="80"/>
      <c r="C149" s="80"/>
      <c r="D149" s="80"/>
      <c r="E149" s="124"/>
      <c r="F149" s="80"/>
      <c r="G149" s="80"/>
      <c r="H149" s="80"/>
      <c r="I149" s="80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15"/>
      <c r="AK149" s="80"/>
      <c r="AL149" s="80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</row>
    <row r="150">
      <c r="A150" s="80"/>
      <c r="B150" s="80"/>
      <c r="C150" s="80"/>
      <c r="D150" s="80"/>
      <c r="E150" s="124"/>
      <c r="F150" s="80"/>
      <c r="G150" s="80"/>
      <c r="H150" s="80"/>
      <c r="I150" s="80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15"/>
      <c r="AK150" s="80"/>
      <c r="AL150" s="80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</row>
    <row r="151">
      <c r="A151" s="80"/>
      <c r="B151" s="80"/>
      <c r="C151" s="80"/>
      <c r="D151" s="80"/>
      <c r="E151" s="124"/>
      <c r="F151" s="80"/>
      <c r="G151" s="80"/>
      <c r="H151" s="80"/>
      <c r="I151" s="80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15"/>
      <c r="AK151" s="80"/>
      <c r="AL151" s="80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</row>
    <row r="152">
      <c r="A152" s="80"/>
      <c r="B152" s="80"/>
      <c r="C152" s="80"/>
      <c r="D152" s="80"/>
      <c r="E152" s="124"/>
      <c r="F152" s="80"/>
      <c r="G152" s="80"/>
      <c r="H152" s="80"/>
      <c r="I152" s="80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15"/>
      <c r="AK152" s="80"/>
      <c r="AL152" s="80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</row>
    <row r="153">
      <c r="A153" s="80"/>
      <c r="B153" s="80"/>
      <c r="C153" s="80"/>
      <c r="D153" s="80"/>
      <c r="E153" s="124"/>
      <c r="F153" s="80"/>
      <c r="G153" s="80"/>
      <c r="H153" s="80"/>
      <c r="I153" s="80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5"/>
      <c r="AK153" s="80"/>
      <c r="AL153" s="80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</row>
    <row r="154">
      <c r="A154" s="80"/>
      <c r="B154" s="80"/>
      <c r="C154" s="80"/>
      <c r="D154" s="80"/>
      <c r="E154" s="124"/>
      <c r="F154" s="80"/>
      <c r="G154" s="80"/>
      <c r="H154" s="80"/>
      <c r="I154" s="80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15"/>
      <c r="AK154" s="80"/>
      <c r="AL154" s="80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</row>
    <row r="155">
      <c r="A155" s="80"/>
      <c r="B155" s="80"/>
      <c r="C155" s="80"/>
      <c r="D155" s="80"/>
      <c r="E155" s="124"/>
      <c r="F155" s="80"/>
      <c r="G155" s="80"/>
      <c r="H155" s="80"/>
      <c r="I155" s="80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15"/>
      <c r="AK155" s="80"/>
      <c r="AL155" s="80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</row>
    <row r="156">
      <c r="A156" s="80"/>
      <c r="B156" s="80"/>
      <c r="C156" s="80"/>
      <c r="D156" s="80"/>
      <c r="E156" s="124"/>
      <c r="F156" s="80"/>
      <c r="G156" s="80"/>
      <c r="H156" s="80"/>
      <c r="I156" s="80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15"/>
      <c r="AK156" s="80"/>
      <c r="AL156" s="80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</row>
    <row r="157">
      <c r="A157" s="80"/>
      <c r="B157" s="80"/>
      <c r="C157" s="80"/>
      <c r="D157" s="80"/>
      <c r="E157" s="124"/>
      <c r="F157" s="80"/>
      <c r="G157" s="80"/>
      <c r="H157" s="80"/>
      <c r="I157" s="80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15"/>
      <c r="AK157" s="80"/>
      <c r="AL157" s="80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</row>
    <row r="158">
      <c r="A158" s="80"/>
      <c r="B158" s="80"/>
      <c r="C158" s="80"/>
      <c r="D158" s="80"/>
      <c r="E158" s="124"/>
      <c r="F158" s="80"/>
      <c r="G158" s="80"/>
      <c r="H158" s="80"/>
      <c r="I158" s="80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15"/>
      <c r="AK158" s="80"/>
      <c r="AL158" s="80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</row>
    <row r="159">
      <c r="A159" s="80"/>
      <c r="B159" s="80"/>
      <c r="C159" s="80"/>
      <c r="D159" s="80"/>
      <c r="E159" s="124"/>
      <c r="F159" s="80"/>
      <c r="G159" s="80"/>
      <c r="H159" s="80"/>
      <c r="I159" s="80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15"/>
      <c r="AK159" s="80"/>
      <c r="AL159" s="80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</row>
    <row r="160">
      <c r="A160" s="80"/>
      <c r="B160" s="80"/>
      <c r="C160" s="80"/>
      <c r="D160" s="80"/>
      <c r="E160" s="124"/>
      <c r="F160" s="80"/>
      <c r="G160" s="80"/>
      <c r="H160" s="80"/>
      <c r="I160" s="80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15"/>
      <c r="AK160" s="80"/>
      <c r="AL160" s="80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</row>
    <row r="161">
      <c r="A161" s="80"/>
      <c r="B161" s="80"/>
      <c r="C161" s="80"/>
      <c r="D161" s="80"/>
      <c r="E161" s="124"/>
      <c r="F161" s="80"/>
      <c r="G161" s="80"/>
      <c r="H161" s="80"/>
      <c r="I161" s="80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15"/>
      <c r="AK161" s="80"/>
      <c r="AL161" s="80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</row>
    <row r="162">
      <c r="A162" s="80"/>
      <c r="B162" s="80"/>
      <c r="C162" s="80"/>
      <c r="D162" s="80"/>
      <c r="E162" s="124"/>
      <c r="F162" s="80"/>
      <c r="G162" s="80"/>
      <c r="H162" s="80"/>
      <c r="I162" s="80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15"/>
      <c r="AK162" s="80"/>
      <c r="AL162" s="80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</row>
    <row r="163">
      <c r="A163" s="80"/>
      <c r="B163" s="80"/>
      <c r="C163" s="80"/>
      <c r="D163" s="80"/>
      <c r="E163" s="124"/>
      <c r="F163" s="80"/>
      <c r="G163" s="80"/>
      <c r="H163" s="80"/>
      <c r="I163" s="80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5"/>
      <c r="AK163" s="80"/>
      <c r="AL163" s="80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</row>
    <row r="164">
      <c r="A164" s="80"/>
      <c r="B164" s="80"/>
      <c r="C164" s="80"/>
      <c r="D164" s="80"/>
      <c r="E164" s="124"/>
      <c r="F164" s="80"/>
      <c r="G164" s="80"/>
      <c r="H164" s="80"/>
      <c r="I164" s="80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15"/>
      <c r="AK164" s="80"/>
      <c r="AL164" s="80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</row>
    <row r="165">
      <c r="A165" s="80"/>
      <c r="B165" s="80"/>
      <c r="C165" s="80"/>
      <c r="D165" s="80"/>
      <c r="E165" s="124"/>
      <c r="F165" s="80"/>
      <c r="G165" s="80"/>
      <c r="H165" s="80"/>
      <c r="I165" s="80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15"/>
      <c r="AK165" s="80"/>
      <c r="AL165" s="80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</row>
    <row r="166">
      <c r="A166" s="80"/>
      <c r="B166" s="80"/>
      <c r="C166" s="80"/>
      <c r="D166" s="80"/>
      <c r="E166" s="124"/>
      <c r="F166" s="80"/>
      <c r="G166" s="80"/>
      <c r="H166" s="80"/>
      <c r="I166" s="80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15"/>
      <c r="AK166" s="80"/>
      <c r="AL166" s="80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</row>
    <row r="167">
      <c r="A167" s="80"/>
      <c r="B167" s="80"/>
      <c r="C167" s="80"/>
      <c r="D167" s="80"/>
      <c r="E167" s="124"/>
      <c r="F167" s="80"/>
      <c r="G167" s="80"/>
      <c r="H167" s="80"/>
      <c r="I167" s="80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15"/>
      <c r="AK167" s="80"/>
      <c r="AL167" s="80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</row>
    <row r="168">
      <c r="A168" s="80"/>
      <c r="B168" s="80"/>
      <c r="C168" s="80"/>
      <c r="D168" s="80"/>
      <c r="E168" s="124"/>
      <c r="F168" s="80"/>
      <c r="G168" s="80"/>
      <c r="H168" s="80"/>
      <c r="I168" s="80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15"/>
      <c r="AK168" s="80"/>
      <c r="AL168" s="80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</row>
    <row r="169">
      <c r="A169" s="80"/>
      <c r="B169" s="80"/>
      <c r="C169" s="80"/>
      <c r="D169" s="80"/>
      <c r="E169" s="124"/>
      <c r="F169" s="80"/>
      <c r="G169" s="80"/>
      <c r="H169" s="80"/>
      <c r="I169" s="80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15"/>
      <c r="AK169" s="80"/>
      <c r="AL169" s="80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</row>
    <row r="170">
      <c r="A170" s="80"/>
      <c r="B170" s="80"/>
      <c r="C170" s="80"/>
      <c r="D170" s="80"/>
      <c r="E170" s="124"/>
      <c r="F170" s="80"/>
      <c r="G170" s="80"/>
      <c r="H170" s="80"/>
      <c r="I170" s="80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15"/>
      <c r="AK170" s="80"/>
      <c r="AL170" s="80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</row>
    <row r="171">
      <c r="A171" s="80"/>
      <c r="B171" s="80"/>
      <c r="C171" s="80"/>
      <c r="D171" s="80"/>
      <c r="E171" s="124"/>
      <c r="F171" s="80"/>
      <c r="G171" s="80"/>
      <c r="H171" s="80"/>
      <c r="I171" s="80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15"/>
      <c r="AK171" s="80"/>
      <c r="AL171" s="80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</row>
    <row r="172">
      <c r="A172" s="80"/>
      <c r="B172" s="80"/>
      <c r="C172" s="80"/>
      <c r="D172" s="80"/>
      <c r="E172" s="124"/>
      <c r="F172" s="80"/>
      <c r="G172" s="80"/>
      <c r="H172" s="80"/>
      <c r="I172" s="80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15"/>
      <c r="AK172" s="80"/>
      <c r="AL172" s="80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</row>
    <row r="173">
      <c r="A173" s="80"/>
      <c r="B173" s="80"/>
      <c r="C173" s="80"/>
      <c r="D173" s="80"/>
      <c r="E173" s="124"/>
      <c r="F173" s="80"/>
      <c r="G173" s="80"/>
      <c r="H173" s="80"/>
      <c r="I173" s="80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15"/>
      <c r="AK173" s="80"/>
      <c r="AL173" s="80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</row>
    <row r="174">
      <c r="A174" s="80"/>
      <c r="B174" s="80"/>
      <c r="C174" s="80"/>
      <c r="D174" s="80"/>
      <c r="E174" s="124"/>
      <c r="F174" s="80"/>
      <c r="G174" s="80"/>
      <c r="H174" s="80"/>
      <c r="I174" s="80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15"/>
      <c r="AK174" s="80"/>
      <c r="AL174" s="80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</row>
    <row r="175">
      <c r="A175" s="80"/>
      <c r="B175" s="80"/>
      <c r="C175" s="80"/>
      <c r="D175" s="80"/>
      <c r="E175" s="124"/>
      <c r="F175" s="80"/>
      <c r="G175" s="80"/>
      <c r="H175" s="80"/>
      <c r="I175" s="80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15"/>
      <c r="AK175" s="80"/>
      <c r="AL175" s="80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</row>
    <row r="176">
      <c r="A176" s="80"/>
      <c r="B176" s="80"/>
      <c r="C176" s="80"/>
      <c r="D176" s="80"/>
      <c r="E176" s="124"/>
      <c r="F176" s="80"/>
      <c r="G176" s="80"/>
      <c r="H176" s="80"/>
      <c r="I176" s="80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15"/>
      <c r="AK176" s="80"/>
      <c r="AL176" s="80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</row>
    <row r="177">
      <c r="A177" s="80"/>
      <c r="B177" s="80"/>
      <c r="C177" s="80"/>
      <c r="D177" s="80"/>
      <c r="E177" s="124"/>
      <c r="F177" s="80"/>
      <c r="G177" s="80"/>
      <c r="H177" s="80"/>
      <c r="I177" s="80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15"/>
      <c r="AK177" s="80"/>
      <c r="AL177" s="80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</row>
    <row r="178">
      <c r="A178" s="80"/>
      <c r="B178" s="80"/>
      <c r="C178" s="80"/>
      <c r="D178" s="80"/>
      <c r="E178" s="124"/>
      <c r="F178" s="80"/>
      <c r="G178" s="80"/>
      <c r="H178" s="80"/>
      <c r="I178" s="80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15"/>
      <c r="AK178" s="80"/>
      <c r="AL178" s="80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</row>
    <row r="179">
      <c r="A179" s="80"/>
      <c r="B179" s="80"/>
      <c r="C179" s="80"/>
      <c r="D179" s="80"/>
      <c r="E179" s="124"/>
      <c r="F179" s="80"/>
      <c r="G179" s="80"/>
      <c r="H179" s="80"/>
      <c r="I179" s="80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15"/>
      <c r="AK179" s="80"/>
      <c r="AL179" s="80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</row>
    <row r="180">
      <c r="A180" s="80"/>
      <c r="B180" s="80"/>
      <c r="C180" s="80"/>
      <c r="D180" s="80"/>
      <c r="E180" s="124"/>
      <c r="F180" s="80"/>
      <c r="G180" s="80"/>
      <c r="H180" s="80"/>
      <c r="I180" s="80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5"/>
      <c r="AK180" s="80"/>
      <c r="AL180" s="80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</row>
    <row r="181">
      <c r="A181" s="80"/>
      <c r="B181" s="80"/>
      <c r="C181" s="80"/>
      <c r="D181" s="80"/>
      <c r="E181" s="124"/>
      <c r="F181" s="80"/>
      <c r="G181" s="80"/>
      <c r="H181" s="80"/>
      <c r="I181" s="80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15"/>
      <c r="AK181" s="80"/>
      <c r="AL181" s="80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</row>
    <row r="182">
      <c r="A182" s="80"/>
      <c r="B182" s="80"/>
      <c r="C182" s="80"/>
      <c r="D182" s="80"/>
      <c r="E182" s="124"/>
      <c r="F182" s="80"/>
      <c r="G182" s="80"/>
      <c r="H182" s="80"/>
      <c r="I182" s="80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15"/>
      <c r="AK182" s="80"/>
      <c r="AL182" s="80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</row>
    <row r="183">
      <c r="A183" s="80"/>
      <c r="B183" s="80"/>
      <c r="C183" s="80"/>
      <c r="D183" s="80"/>
      <c r="E183" s="124"/>
      <c r="F183" s="80"/>
      <c r="G183" s="80"/>
      <c r="H183" s="80"/>
      <c r="I183" s="80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15"/>
      <c r="AK183" s="80"/>
      <c r="AL183" s="80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</row>
    <row r="184">
      <c r="A184" s="80"/>
      <c r="B184" s="80"/>
      <c r="C184" s="80"/>
      <c r="D184" s="80"/>
      <c r="E184" s="124"/>
      <c r="F184" s="80"/>
      <c r="G184" s="80"/>
      <c r="H184" s="80"/>
      <c r="I184" s="80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15"/>
      <c r="AK184" s="80"/>
      <c r="AL184" s="80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</row>
    <row r="185">
      <c r="A185" s="80"/>
      <c r="B185" s="80"/>
      <c r="C185" s="80"/>
      <c r="D185" s="80"/>
      <c r="E185" s="124"/>
      <c r="F185" s="80"/>
      <c r="G185" s="80"/>
      <c r="H185" s="80"/>
      <c r="I185" s="80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15"/>
      <c r="AK185" s="80"/>
      <c r="AL185" s="80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</row>
    <row r="186">
      <c r="A186" s="80"/>
      <c r="B186" s="80"/>
      <c r="C186" s="80"/>
      <c r="D186" s="80"/>
      <c r="E186" s="124"/>
      <c r="F186" s="80"/>
      <c r="G186" s="80"/>
      <c r="H186" s="80"/>
      <c r="I186" s="80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15"/>
      <c r="AK186" s="80"/>
      <c r="AL186" s="80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</row>
    <row r="187">
      <c r="A187" s="80"/>
      <c r="B187" s="80"/>
      <c r="C187" s="80"/>
      <c r="D187" s="80"/>
      <c r="E187" s="124"/>
      <c r="F187" s="80"/>
      <c r="G187" s="80"/>
      <c r="H187" s="80"/>
      <c r="I187" s="80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15"/>
      <c r="AK187" s="80"/>
      <c r="AL187" s="80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</row>
    <row r="188">
      <c r="A188" s="80"/>
      <c r="B188" s="80"/>
      <c r="C188" s="80"/>
      <c r="D188" s="80"/>
      <c r="E188" s="124"/>
      <c r="F188" s="80"/>
      <c r="G188" s="80"/>
      <c r="H188" s="80"/>
      <c r="I188" s="80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15"/>
      <c r="AK188" s="80"/>
      <c r="AL188" s="80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</row>
    <row r="189">
      <c r="A189" s="80"/>
      <c r="B189" s="80"/>
      <c r="C189" s="80"/>
      <c r="D189" s="80"/>
      <c r="E189" s="124"/>
      <c r="F189" s="80"/>
      <c r="G189" s="80"/>
      <c r="H189" s="80"/>
      <c r="I189" s="80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15"/>
      <c r="AK189" s="80"/>
      <c r="AL189" s="80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</row>
    <row r="190">
      <c r="A190" s="80"/>
      <c r="B190" s="80"/>
      <c r="C190" s="80"/>
      <c r="D190" s="80"/>
      <c r="E190" s="124"/>
      <c r="F190" s="80"/>
      <c r="G190" s="80"/>
      <c r="H190" s="80"/>
      <c r="I190" s="80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5"/>
      <c r="AK190" s="80"/>
      <c r="AL190" s="80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</row>
    <row r="191">
      <c r="A191" s="80"/>
      <c r="B191" s="80"/>
      <c r="C191" s="80"/>
      <c r="D191" s="80"/>
      <c r="E191" s="124"/>
      <c r="F191" s="80"/>
      <c r="G191" s="80"/>
      <c r="H191" s="80"/>
      <c r="I191" s="80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15"/>
      <c r="AK191" s="80"/>
      <c r="AL191" s="80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</row>
    <row r="192">
      <c r="A192" s="80"/>
      <c r="B192" s="80"/>
      <c r="C192" s="80"/>
      <c r="D192" s="80"/>
      <c r="E192" s="124"/>
      <c r="F192" s="80"/>
      <c r="G192" s="80"/>
      <c r="H192" s="80"/>
      <c r="I192" s="80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15"/>
      <c r="AK192" s="80"/>
      <c r="AL192" s="80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</row>
    <row r="193">
      <c r="A193" s="80"/>
      <c r="B193" s="80"/>
      <c r="C193" s="80"/>
      <c r="D193" s="80"/>
      <c r="E193" s="124"/>
      <c r="F193" s="80"/>
      <c r="G193" s="80"/>
      <c r="H193" s="80"/>
      <c r="I193" s="80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15"/>
      <c r="AK193" s="80"/>
      <c r="AL193" s="80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</row>
    <row r="194">
      <c r="A194" s="80"/>
      <c r="B194" s="80"/>
      <c r="C194" s="80"/>
      <c r="D194" s="80"/>
      <c r="E194" s="124"/>
      <c r="F194" s="80"/>
      <c r="G194" s="80"/>
      <c r="H194" s="80"/>
      <c r="I194" s="80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15"/>
      <c r="AK194" s="80"/>
      <c r="AL194" s="80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</row>
    <row r="195">
      <c r="A195" s="80"/>
      <c r="B195" s="80"/>
      <c r="C195" s="80"/>
      <c r="D195" s="80"/>
      <c r="E195" s="124"/>
      <c r="F195" s="80"/>
      <c r="G195" s="80"/>
      <c r="H195" s="80"/>
      <c r="I195" s="80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15"/>
      <c r="AK195" s="80"/>
      <c r="AL195" s="80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</row>
    <row r="196">
      <c r="A196" s="80"/>
      <c r="B196" s="80"/>
      <c r="C196" s="80"/>
      <c r="D196" s="80"/>
      <c r="E196" s="124"/>
      <c r="F196" s="80"/>
      <c r="G196" s="80"/>
      <c r="H196" s="80"/>
      <c r="I196" s="80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15"/>
      <c r="AK196" s="80"/>
      <c r="AL196" s="80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</row>
    <row r="197">
      <c r="A197" s="80"/>
      <c r="B197" s="80"/>
      <c r="C197" s="80"/>
      <c r="D197" s="80"/>
      <c r="E197" s="124"/>
      <c r="F197" s="80"/>
      <c r="G197" s="80"/>
      <c r="H197" s="80"/>
      <c r="I197" s="80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15"/>
      <c r="AK197" s="80"/>
      <c r="AL197" s="80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</row>
    <row r="198">
      <c r="A198" s="80"/>
      <c r="B198" s="80"/>
      <c r="C198" s="80"/>
      <c r="D198" s="80"/>
      <c r="E198" s="124"/>
      <c r="F198" s="80"/>
      <c r="G198" s="80"/>
      <c r="H198" s="80"/>
      <c r="I198" s="80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15"/>
      <c r="AK198" s="80"/>
      <c r="AL198" s="80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</row>
    <row r="199">
      <c r="A199" s="80"/>
      <c r="B199" s="80"/>
      <c r="C199" s="80"/>
      <c r="D199" s="80"/>
      <c r="E199" s="124"/>
      <c r="F199" s="80"/>
      <c r="G199" s="80"/>
      <c r="H199" s="80"/>
      <c r="I199" s="80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15"/>
      <c r="AK199" s="80"/>
      <c r="AL199" s="80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</row>
    <row r="200">
      <c r="A200" s="80"/>
      <c r="B200" s="80"/>
      <c r="C200" s="80"/>
      <c r="D200" s="80"/>
      <c r="E200" s="124"/>
      <c r="F200" s="80"/>
      <c r="G200" s="80"/>
      <c r="H200" s="80"/>
      <c r="I200" s="80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15"/>
      <c r="AK200" s="80"/>
      <c r="AL200" s="80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</row>
    <row r="201">
      <c r="A201" s="80"/>
      <c r="B201" s="80"/>
      <c r="C201" s="80"/>
      <c r="D201" s="80"/>
      <c r="E201" s="124"/>
      <c r="F201" s="80"/>
      <c r="G201" s="80"/>
      <c r="H201" s="80"/>
      <c r="I201" s="80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15"/>
      <c r="AK201" s="80"/>
      <c r="AL201" s="80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</row>
    <row r="202">
      <c r="A202" s="80"/>
      <c r="B202" s="80"/>
      <c r="C202" s="80"/>
      <c r="D202" s="80"/>
      <c r="E202" s="124"/>
      <c r="F202" s="80"/>
      <c r="G202" s="80"/>
      <c r="H202" s="80"/>
      <c r="I202" s="80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15"/>
      <c r="AK202" s="80"/>
      <c r="AL202" s="80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</row>
    <row r="203">
      <c r="A203" s="80"/>
      <c r="B203" s="80"/>
      <c r="C203" s="80"/>
      <c r="D203" s="80"/>
      <c r="E203" s="124"/>
      <c r="F203" s="80"/>
      <c r="G203" s="80"/>
      <c r="H203" s="80"/>
      <c r="I203" s="80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15"/>
      <c r="AK203" s="80"/>
      <c r="AL203" s="80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</row>
    <row r="204">
      <c r="A204" s="80"/>
      <c r="B204" s="80"/>
      <c r="C204" s="80"/>
      <c r="D204" s="80"/>
      <c r="E204" s="124"/>
      <c r="F204" s="80"/>
      <c r="G204" s="80"/>
      <c r="H204" s="80"/>
      <c r="I204" s="80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15"/>
      <c r="AK204" s="80"/>
      <c r="AL204" s="80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</row>
    <row r="205">
      <c r="A205" s="80"/>
      <c r="B205" s="80"/>
      <c r="C205" s="80"/>
      <c r="D205" s="80"/>
      <c r="E205" s="124"/>
      <c r="F205" s="80"/>
      <c r="G205" s="80"/>
      <c r="H205" s="80"/>
      <c r="I205" s="80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15"/>
      <c r="AK205" s="80"/>
      <c r="AL205" s="80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</row>
    <row r="206">
      <c r="A206" s="80"/>
      <c r="B206" s="80"/>
      <c r="C206" s="80"/>
      <c r="D206" s="80"/>
      <c r="E206" s="124"/>
      <c r="F206" s="80"/>
      <c r="G206" s="80"/>
      <c r="H206" s="80"/>
      <c r="I206" s="80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15"/>
      <c r="AK206" s="80"/>
      <c r="AL206" s="80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</row>
    <row r="207">
      <c r="A207" s="80"/>
      <c r="B207" s="80"/>
      <c r="C207" s="80"/>
      <c r="D207" s="80"/>
      <c r="E207" s="124"/>
      <c r="F207" s="80"/>
      <c r="G207" s="80"/>
      <c r="H207" s="80"/>
      <c r="I207" s="80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15"/>
      <c r="AK207" s="80"/>
      <c r="AL207" s="80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</row>
    <row r="208">
      <c r="A208" s="80"/>
      <c r="B208" s="80"/>
      <c r="C208" s="80"/>
      <c r="D208" s="80"/>
      <c r="E208" s="124"/>
      <c r="F208" s="80"/>
      <c r="G208" s="80"/>
      <c r="H208" s="80"/>
      <c r="I208" s="80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15"/>
      <c r="AK208" s="80"/>
      <c r="AL208" s="80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</row>
    <row r="209">
      <c r="A209" s="80"/>
      <c r="B209" s="80"/>
      <c r="C209" s="80"/>
      <c r="D209" s="80"/>
      <c r="E209" s="124"/>
      <c r="F209" s="80"/>
      <c r="G209" s="80"/>
      <c r="H209" s="80"/>
      <c r="I209" s="80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15"/>
      <c r="AK209" s="80"/>
      <c r="AL209" s="80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</row>
    <row r="210">
      <c r="A210" s="80"/>
      <c r="B210" s="80"/>
      <c r="C210" s="80"/>
      <c r="D210" s="80"/>
      <c r="E210" s="124"/>
      <c r="F210" s="80"/>
      <c r="G210" s="80"/>
      <c r="H210" s="80"/>
      <c r="I210" s="80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5"/>
      <c r="AK210" s="80"/>
      <c r="AL210" s="80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</row>
    <row r="211">
      <c r="A211" s="80"/>
      <c r="B211" s="80"/>
      <c r="C211" s="80"/>
      <c r="D211" s="80"/>
      <c r="E211" s="124"/>
      <c r="F211" s="80"/>
      <c r="G211" s="80"/>
      <c r="H211" s="80"/>
      <c r="I211" s="80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15"/>
      <c r="AK211" s="80"/>
      <c r="AL211" s="80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</row>
    <row r="212">
      <c r="A212" s="80"/>
      <c r="B212" s="80"/>
      <c r="C212" s="80"/>
      <c r="D212" s="80"/>
      <c r="E212" s="124"/>
      <c r="F212" s="80"/>
      <c r="G212" s="80"/>
      <c r="H212" s="80"/>
      <c r="I212" s="80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15"/>
      <c r="AK212" s="80"/>
      <c r="AL212" s="80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</row>
    <row r="213">
      <c r="A213" s="80"/>
      <c r="B213" s="80"/>
      <c r="C213" s="80"/>
      <c r="D213" s="80"/>
      <c r="E213" s="124"/>
      <c r="F213" s="80"/>
      <c r="G213" s="80"/>
      <c r="H213" s="80"/>
      <c r="I213" s="80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15"/>
      <c r="AK213" s="80"/>
      <c r="AL213" s="80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</row>
    <row r="214">
      <c r="A214" s="80"/>
      <c r="B214" s="80"/>
      <c r="C214" s="80"/>
      <c r="D214" s="80"/>
      <c r="E214" s="124"/>
      <c r="F214" s="80"/>
      <c r="G214" s="80"/>
      <c r="H214" s="80"/>
      <c r="I214" s="80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15"/>
      <c r="AK214" s="80"/>
      <c r="AL214" s="80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</row>
    <row r="215">
      <c r="A215" s="80"/>
      <c r="B215" s="80"/>
      <c r="C215" s="80"/>
      <c r="D215" s="80"/>
      <c r="E215" s="124"/>
      <c r="F215" s="80"/>
      <c r="G215" s="80"/>
      <c r="H215" s="80"/>
      <c r="I215" s="80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15"/>
      <c r="AK215" s="80"/>
      <c r="AL215" s="80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</row>
    <row r="216">
      <c r="A216" s="80"/>
      <c r="B216" s="80"/>
      <c r="C216" s="80"/>
      <c r="D216" s="80"/>
      <c r="E216" s="124"/>
      <c r="F216" s="80"/>
      <c r="G216" s="80"/>
      <c r="H216" s="80"/>
      <c r="I216" s="80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15"/>
      <c r="AK216" s="80"/>
      <c r="AL216" s="80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</row>
    <row r="217">
      <c r="A217" s="80"/>
      <c r="B217" s="80"/>
      <c r="C217" s="80"/>
      <c r="D217" s="80"/>
      <c r="E217" s="124"/>
      <c r="F217" s="80"/>
      <c r="G217" s="80"/>
      <c r="H217" s="80"/>
      <c r="I217" s="80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15"/>
      <c r="AK217" s="80"/>
      <c r="AL217" s="80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</row>
    <row r="218">
      <c r="A218" s="80"/>
      <c r="B218" s="80"/>
      <c r="C218" s="80"/>
      <c r="D218" s="80"/>
      <c r="E218" s="124"/>
      <c r="F218" s="80"/>
      <c r="G218" s="80"/>
      <c r="H218" s="80"/>
      <c r="I218" s="80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5"/>
      <c r="AK218" s="80"/>
      <c r="AL218" s="80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</row>
    <row r="219">
      <c r="A219" s="80"/>
      <c r="B219" s="80"/>
      <c r="C219" s="80"/>
      <c r="D219" s="80"/>
      <c r="E219" s="124"/>
      <c r="F219" s="80"/>
      <c r="G219" s="80"/>
      <c r="H219" s="80"/>
      <c r="I219" s="80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15"/>
      <c r="AK219" s="80"/>
      <c r="AL219" s="80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</row>
    <row r="220">
      <c r="A220" s="80"/>
      <c r="B220" s="80"/>
      <c r="C220" s="80"/>
      <c r="D220" s="80"/>
      <c r="E220" s="124"/>
      <c r="F220" s="80"/>
      <c r="G220" s="80"/>
      <c r="H220" s="80"/>
      <c r="I220" s="80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15"/>
      <c r="AK220" s="80"/>
      <c r="AL220" s="80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</row>
    <row r="221">
      <c r="A221" s="80"/>
      <c r="B221" s="80"/>
      <c r="C221" s="80"/>
      <c r="D221" s="80"/>
      <c r="E221" s="124"/>
      <c r="F221" s="80"/>
      <c r="G221" s="80"/>
      <c r="H221" s="80"/>
      <c r="I221" s="80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15"/>
      <c r="AK221" s="80"/>
      <c r="AL221" s="80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</row>
    <row r="222">
      <c r="A222" s="80"/>
      <c r="B222" s="80"/>
      <c r="C222" s="80"/>
      <c r="D222" s="80"/>
      <c r="E222" s="124"/>
      <c r="F222" s="80"/>
      <c r="G222" s="80"/>
      <c r="H222" s="80"/>
      <c r="I222" s="80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15"/>
      <c r="AK222" s="80"/>
      <c r="AL222" s="80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</row>
    <row r="223">
      <c r="A223" s="80"/>
      <c r="B223" s="80"/>
      <c r="C223" s="80"/>
      <c r="D223" s="80"/>
      <c r="E223" s="124"/>
      <c r="F223" s="80"/>
      <c r="G223" s="80"/>
      <c r="H223" s="80"/>
      <c r="I223" s="80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15"/>
      <c r="AK223" s="80"/>
      <c r="AL223" s="80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</row>
    <row r="224">
      <c r="A224" s="80"/>
      <c r="B224" s="80"/>
      <c r="C224" s="80"/>
      <c r="D224" s="80"/>
      <c r="E224" s="124"/>
      <c r="F224" s="80"/>
      <c r="G224" s="80"/>
      <c r="H224" s="80"/>
      <c r="I224" s="80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15"/>
      <c r="AK224" s="80"/>
      <c r="AL224" s="80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</row>
    <row r="225">
      <c r="A225" s="80"/>
      <c r="B225" s="80"/>
      <c r="C225" s="80"/>
      <c r="D225" s="80"/>
      <c r="E225" s="124"/>
      <c r="F225" s="80"/>
      <c r="G225" s="80"/>
      <c r="H225" s="80"/>
      <c r="I225" s="80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15"/>
      <c r="AK225" s="80"/>
      <c r="AL225" s="80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</row>
    <row r="226">
      <c r="A226" s="80"/>
      <c r="B226" s="80"/>
      <c r="C226" s="80"/>
      <c r="D226" s="80"/>
      <c r="E226" s="124"/>
      <c r="F226" s="80"/>
      <c r="G226" s="80"/>
      <c r="H226" s="80"/>
      <c r="I226" s="80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15"/>
      <c r="AK226" s="80"/>
      <c r="AL226" s="80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</row>
    <row r="227">
      <c r="A227" s="80"/>
      <c r="B227" s="80"/>
      <c r="C227" s="80"/>
      <c r="D227" s="80"/>
      <c r="E227" s="124"/>
      <c r="F227" s="80"/>
      <c r="G227" s="80"/>
      <c r="H227" s="80"/>
      <c r="I227" s="80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15"/>
      <c r="AK227" s="80"/>
      <c r="AL227" s="80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</row>
    <row r="228">
      <c r="A228" s="80"/>
      <c r="B228" s="80"/>
      <c r="C228" s="80"/>
      <c r="D228" s="80"/>
      <c r="E228" s="124"/>
      <c r="F228" s="80"/>
      <c r="G228" s="80"/>
      <c r="H228" s="80"/>
      <c r="I228" s="80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15"/>
      <c r="AK228" s="80"/>
      <c r="AL228" s="80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</row>
    <row r="229">
      <c r="A229" s="80"/>
      <c r="B229" s="80"/>
      <c r="C229" s="80"/>
      <c r="D229" s="80"/>
      <c r="E229" s="124"/>
      <c r="F229" s="80"/>
      <c r="G229" s="80"/>
      <c r="H229" s="80"/>
      <c r="I229" s="80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15"/>
      <c r="AK229" s="80"/>
      <c r="AL229" s="80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</row>
    <row r="230">
      <c r="A230" s="80"/>
      <c r="B230" s="80"/>
      <c r="C230" s="80"/>
      <c r="D230" s="80"/>
      <c r="E230" s="124"/>
      <c r="F230" s="80"/>
      <c r="G230" s="80"/>
      <c r="H230" s="80"/>
      <c r="I230" s="80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15"/>
      <c r="AK230" s="80"/>
      <c r="AL230" s="80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</row>
    <row r="231">
      <c r="A231" s="80"/>
      <c r="B231" s="80"/>
      <c r="C231" s="80"/>
      <c r="D231" s="80"/>
      <c r="E231" s="124"/>
      <c r="F231" s="80"/>
      <c r="G231" s="80"/>
      <c r="H231" s="80"/>
      <c r="I231" s="80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15"/>
      <c r="AK231" s="80"/>
      <c r="AL231" s="80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</row>
    <row r="232">
      <c r="A232" s="80"/>
      <c r="B232" s="80"/>
      <c r="C232" s="80"/>
      <c r="D232" s="80"/>
      <c r="E232" s="124"/>
      <c r="F232" s="80"/>
      <c r="G232" s="80"/>
      <c r="H232" s="80"/>
      <c r="I232" s="80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15"/>
      <c r="AK232" s="80"/>
      <c r="AL232" s="80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</row>
    <row r="233">
      <c r="A233" s="80"/>
      <c r="B233" s="80"/>
      <c r="C233" s="80"/>
      <c r="D233" s="80"/>
      <c r="E233" s="124"/>
      <c r="F233" s="80"/>
      <c r="G233" s="80"/>
      <c r="H233" s="80"/>
      <c r="I233" s="80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15"/>
      <c r="AK233" s="80"/>
      <c r="AL233" s="80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</row>
    <row r="234">
      <c r="A234" s="80"/>
      <c r="B234" s="80"/>
      <c r="C234" s="80"/>
      <c r="D234" s="80"/>
      <c r="E234" s="124"/>
      <c r="F234" s="80"/>
      <c r="G234" s="80"/>
      <c r="H234" s="80"/>
      <c r="I234" s="80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5"/>
      <c r="AK234" s="80"/>
      <c r="AL234" s="80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</row>
    <row r="235">
      <c r="A235" s="80"/>
      <c r="B235" s="80"/>
      <c r="C235" s="80"/>
      <c r="D235" s="80"/>
      <c r="E235" s="124"/>
      <c r="F235" s="80"/>
      <c r="G235" s="80"/>
      <c r="H235" s="80"/>
      <c r="I235" s="80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15"/>
      <c r="AK235" s="80"/>
      <c r="AL235" s="80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</row>
    <row r="236">
      <c r="A236" s="80"/>
      <c r="B236" s="80"/>
      <c r="C236" s="80"/>
      <c r="D236" s="80"/>
      <c r="E236" s="124"/>
      <c r="F236" s="80"/>
      <c r="G236" s="80"/>
      <c r="H236" s="80"/>
      <c r="I236" s="80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15"/>
      <c r="AK236" s="80"/>
      <c r="AL236" s="80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</row>
    <row r="237">
      <c r="A237" s="80"/>
      <c r="B237" s="80"/>
      <c r="C237" s="80"/>
      <c r="D237" s="80"/>
      <c r="E237" s="124"/>
      <c r="F237" s="80"/>
      <c r="G237" s="80"/>
      <c r="H237" s="80"/>
      <c r="I237" s="80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15"/>
      <c r="AK237" s="80"/>
      <c r="AL237" s="80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</row>
    <row r="238">
      <c r="A238" s="80"/>
      <c r="B238" s="80"/>
      <c r="C238" s="80"/>
      <c r="D238" s="80"/>
      <c r="E238" s="124"/>
      <c r="F238" s="80"/>
      <c r="G238" s="80"/>
      <c r="H238" s="80"/>
      <c r="I238" s="80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15"/>
      <c r="AK238" s="80"/>
      <c r="AL238" s="80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</row>
    <row r="239">
      <c r="A239" s="80"/>
      <c r="B239" s="80"/>
      <c r="C239" s="80"/>
      <c r="D239" s="80"/>
      <c r="E239" s="124"/>
      <c r="F239" s="80"/>
      <c r="G239" s="80"/>
      <c r="H239" s="80"/>
      <c r="I239" s="80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15"/>
      <c r="AK239" s="80"/>
      <c r="AL239" s="80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</row>
    <row r="240">
      <c r="A240" s="80"/>
      <c r="B240" s="80"/>
      <c r="C240" s="80"/>
      <c r="D240" s="80"/>
      <c r="E240" s="124"/>
      <c r="F240" s="80"/>
      <c r="G240" s="80"/>
      <c r="H240" s="80"/>
      <c r="I240" s="80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15"/>
      <c r="AK240" s="80"/>
      <c r="AL240" s="80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</row>
    <row r="241">
      <c r="A241" s="80"/>
      <c r="B241" s="80"/>
      <c r="C241" s="80"/>
      <c r="D241" s="80"/>
      <c r="E241" s="124"/>
      <c r="F241" s="80"/>
      <c r="G241" s="80"/>
      <c r="H241" s="80"/>
      <c r="I241" s="80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15"/>
      <c r="AK241" s="80"/>
      <c r="AL241" s="80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</row>
    <row r="242">
      <c r="A242" s="80"/>
      <c r="B242" s="80"/>
      <c r="C242" s="80"/>
      <c r="D242" s="80"/>
      <c r="E242" s="124"/>
      <c r="F242" s="80"/>
      <c r="G242" s="80"/>
      <c r="H242" s="80"/>
      <c r="I242" s="80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15"/>
      <c r="AK242" s="80"/>
      <c r="AL242" s="80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</row>
    <row r="243">
      <c r="A243" s="80"/>
      <c r="B243" s="80"/>
      <c r="C243" s="80"/>
      <c r="D243" s="80"/>
      <c r="E243" s="124"/>
      <c r="F243" s="80"/>
      <c r="G243" s="80"/>
      <c r="H243" s="80"/>
      <c r="I243" s="80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15"/>
      <c r="AK243" s="80"/>
      <c r="AL243" s="80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</row>
    <row r="244">
      <c r="A244" s="80"/>
      <c r="B244" s="80"/>
      <c r="C244" s="80"/>
      <c r="D244" s="80"/>
      <c r="E244" s="124"/>
      <c r="F244" s="80"/>
      <c r="G244" s="80"/>
      <c r="H244" s="80"/>
      <c r="I244" s="80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15"/>
      <c r="AK244" s="80"/>
      <c r="AL244" s="80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</row>
    <row r="245">
      <c r="A245" s="80"/>
      <c r="B245" s="80"/>
      <c r="C245" s="80"/>
      <c r="D245" s="80"/>
      <c r="E245" s="124"/>
      <c r="F245" s="80"/>
      <c r="G245" s="80"/>
      <c r="H245" s="80"/>
      <c r="I245" s="80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15"/>
      <c r="AK245" s="80"/>
      <c r="AL245" s="80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</row>
    <row r="246">
      <c r="A246" s="80"/>
      <c r="B246" s="80"/>
      <c r="C246" s="80"/>
      <c r="D246" s="80"/>
      <c r="E246" s="124"/>
      <c r="F246" s="80"/>
      <c r="G246" s="80"/>
      <c r="H246" s="80"/>
      <c r="I246" s="80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15"/>
      <c r="AK246" s="80"/>
      <c r="AL246" s="80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</row>
    <row r="247">
      <c r="A247" s="80"/>
      <c r="B247" s="80"/>
      <c r="C247" s="80"/>
      <c r="D247" s="80"/>
      <c r="E247" s="124"/>
      <c r="F247" s="80"/>
      <c r="G247" s="80"/>
      <c r="H247" s="80"/>
      <c r="I247" s="80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15"/>
      <c r="AK247" s="80"/>
      <c r="AL247" s="80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</row>
    <row r="248">
      <c r="A248" s="80"/>
      <c r="B248" s="80"/>
      <c r="C248" s="80"/>
      <c r="D248" s="80"/>
      <c r="E248" s="124"/>
      <c r="F248" s="80"/>
      <c r="G248" s="80"/>
      <c r="H248" s="80"/>
      <c r="I248" s="80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15"/>
      <c r="AK248" s="80"/>
      <c r="AL248" s="80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</row>
    <row r="249">
      <c r="A249" s="80"/>
      <c r="B249" s="80"/>
      <c r="C249" s="80"/>
      <c r="D249" s="80"/>
      <c r="E249" s="124"/>
      <c r="F249" s="80"/>
      <c r="G249" s="80"/>
      <c r="H249" s="80"/>
      <c r="I249" s="80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15"/>
      <c r="AK249" s="80"/>
      <c r="AL249" s="80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</row>
    <row r="250">
      <c r="A250" s="80"/>
      <c r="B250" s="80"/>
      <c r="C250" s="80"/>
      <c r="D250" s="80"/>
      <c r="E250" s="124"/>
      <c r="F250" s="80"/>
      <c r="G250" s="80"/>
      <c r="H250" s="80"/>
      <c r="I250" s="80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15"/>
      <c r="AK250" s="80"/>
      <c r="AL250" s="80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</row>
    <row r="251">
      <c r="A251" s="80"/>
      <c r="B251" s="80"/>
      <c r="C251" s="80"/>
      <c r="D251" s="80"/>
      <c r="E251" s="124"/>
      <c r="F251" s="80"/>
      <c r="G251" s="80"/>
      <c r="H251" s="80"/>
      <c r="I251" s="80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15"/>
      <c r="AK251" s="80"/>
      <c r="AL251" s="80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</row>
    <row r="252">
      <c r="A252" s="80"/>
      <c r="B252" s="80"/>
      <c r="C252" s="80"/>
      <c r="D252" s="80"/>
      <c r="E252" s="124"/>
      <c r="F252" s="80"/>
      <c r="G252" s="80"/>
      <c r="H252" s="80"/>
      <c r="I252" s="80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15"/>
      <c r="AK252" s="80"/>
      <c r="AL252" s="80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</row>
    <row r="253">
      <c r="A253" s="80"/>
      <c r="B253" s="80"/>
      <c r="C253" s="80"/>
      <c r="D253" s="80"/>
      <c r="E253" s="124"/>
      <c r="F253" s="80"/>
      <c r="G253" s="80"/>
      <c r="H253" s="80"/>
      <c r="I253" s="80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15"/>
      <c r="AK253" s="80"/>
      <c r="AL253" s="80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</row>
    <row r="254">
      <c r="A254" s="80"/>
      <c r="B254" s="80"/>
      <c r="C254" s="80"/>
      <c r="D254" s="80"/>
      <c r="E254" s="124"/>
      <c r="F254" s="80"/>
      <c r="G254" s="80"/>
      <c r="H254" s="80"/>
      <c r="I254" s="80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15"/>
      <c r="AK254" s="80"/>
      <c r="AL254" s="80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</row>
    <row r="255">
      <c r="A255" s="80"/>
      <c r="B255" s="80"/>
      <c r="C255" s="80"/>
      <c r="D255" s="80"/>
      <c r="E255" s="124"/>
      <c r="F255" s="80"/>
      <c r="G255" s="80"/>
      <c r="H255" s="80"/>
      <c r="I255" s="80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15"/>
      <c r="AK255" s="80"/>
      <c r="AL255" s="80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</row>
    <row r="256">
      <c r="A256" s="80"/>
      <c r="B256" s="80"/>
      <c r="C256" s="80"/>
      <c r="D256" s="80"/>
      <c r="E256" s="124"/>
      <c r="F256" s="80"/>
      <c r="G256" s="80"/>
      <c r="H256" s="80"/>
      <c r="I256" s="80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15"/>
      <c r="AK256" s="80"/>
      <c r="AL256" s="80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</row>
    <row r="257">
      <c r="A257" s="80"/>
      <c r="B257" s="80"/>
      <c r="C257" s="80"/>
      <c r="D257" s="80"/>
      <c r="E257" s="124"/>
      <c r="F257" s="80"/>
      <c r="G257" s="80"/>
      <c r="H257" s="80"/>
      <c r="I257" s="80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15"/>
      <c r="AK257" s="80"/>
      <c r="AL257" s="80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</row>
    <row r="258">
      <c r="A258" s="80"/>
      <c r="B258" s="80"/>
      <c r="C258" s="80"/>
      <c r="D258" s="80"/>
      <c r="E258" s="124"/>
      <c r="F258" s="80"/>
      <c r="G258" s="80"/>
      <c r="H258" s="80"/>
      <c r="I258" s="80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15"/>
      <c r="AK258" s="80"/>
      <c r="AL258" s="80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</row>
    <row r="259">
      <c r="A259" s="80"/>
      <c r="B259" s="80"/>
      <c r="C259" s="80"/>
      <c r="D259" s="80"/>
      <c r="E259" s="124"/>
      <c r="F259" s="80"/>
      <c r="G259" s="80"/>
      <c r="H259" s="80"/>
      <c r="I259" s="80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15"/>
      <c r="AK259" s="80"/>
      <c r="AL259" s="80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</row>
    <row r="260">
      <c r="A260" s="80"/>
      <c r="B260" s="80"/>
      <c r="C260" s="80"/>
      <c r="D260" s="80"/>
      <c r="E260" s="124"/>
      <c r="F260" s="80"/>
      <c r="G260" s="80"/>
      <c r="H260" s="80"/>
      <c r="I260" s="80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15"/>
      <c r="AK260" s="80"/>
      <c r="AL260" s="80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</row>
    <row r="261">
      <c r="A261" s="80"/>
      <c r="B261" s="80"/>
      <c r="C261" s="80"/>
      <c r="D261" s="80"/>
      <c r="E261" s="124"/>
      <c r="F261" s="80"/>
      <c r="G261" s="80"/>
      <c r="H261" s="80"/>
      <c r="I261" s="80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15"/>
      <c r="AK261" s="80"/>
      <c r="AL261" s="80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</row>
    <row r="262">
      <c r="A262" s="80"/>
      <c r="B262" s="80"/>
      <c r="C262" s="80"/>
      <c r="D262" s="80"/>
      <c r="E262" s="124"/>
      <c r="F262" s="80"/>
      <c r="G262" s="80"/>
      <c r="H262" s="80"/>
      <c r="I262" s="80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15"/>
      <c r="AK262" s="80"/>
      <c r="AL262" s="80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</row>
    <row r="263">
      <c r="A263" s="80"/>
      <c r="B263" s="80"/>
      <c r="C263" s="80"/>
      <c r="D263" s="80"/>
      <c r="E263" s="124"/>
      <c r="F263" s="80"/>
      <c r="G263" s="80"/>
      <c r="H263" s="80"/>
      <c r="I263" s="80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15"/>
      <c r="AK263" s="80"/>
      <c r="AL263" s="80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</row>
    <row r="264">
      <c r="A264" s="80"/>
      <c r="B264" s="80"/>
      <c r="C264" s="80"/>
      <c r="D264" s="80"/>
      <c r="E264" s="124"/>
      <c r="F264" s="80"/>
      <c r="G264" s="80"/>
      <c r="H264" s="80"/>
      <c r="I264" s="80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15"/>
      <c r="AK264" s="80"/>
      <c r="AL264" s="80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</row>
    <row r="265">
      <c r="A265" s="80"/>
      <c r="B265" s="80"/>
      <c r="C265" s="80"/>
      <c r="D265" s="80"/>
      <c r="E265" s="124"/>
      <c r="F265" s="80"/>
      <c r="G265" s="80"/>
      <c r="H265" s="80"/>
      <c r="I265" s="80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15"/>
      <c r="AK265" s="80"/>
      <c r="AL265" s="80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</row>
    <row r="266">
      <c r="A266" s="80"/>
      <c r="B266" s="80"/>
      <c r="C266" s="80"/>
      <c r="D266" s="80"/>
      <c r="E266" s="124"/>
      <c r="F266" s="80"/>
      <c r="G266" s="80"/>
      <c r="H266" s="80"/>
      <c r="I266" s="80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15"/>
      <c r="AK266" s="80"/>
      <c r="AL266" s="80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</row>
    <row r="267">
      <c r="A267" s="80"/>
      <c r="B267" s="80"/>
      <c r="C267" s="80"/>
      <c r="D267" s="80"/>
      <c r="E267" s="124"/>
      <c r="F267" s="80"/>
      <c r="G267" s="80"/>
      <c r="H267" s="80"/>
      <c r="I267" s="80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15"/>
      <c r="AK267" s="80"/>
      <c r="AL267" s="80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</row>
    <row r="268">
      <c r="A268" s="80"/>
      <c r="B268" s="80"/>
      <c r="C268" s="80"/>
      <c r="D268" s="80"/>
      <c r="E268" s="124"/>
      <c r="F268" s="80"/>
      <c r="G268" s="80"/>
      <c r="H268" s="80"/>
      <c r="I268" s="80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15"/>
      <c r="AK268" s="80"/>
      <c r="AL268" s="80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</row>
    <row r="269">
      <c r="A269" s="80"/>
      <c r="B269" s="80"/>
      <c r="C269" s="80"/>
      <c r="D269" s="80"/>
      <c r="E269" s="124"/>
      <c r="F269" s="80"/>
      <c r="G269" s="80"/>
      <c r="H269" s="80"/>
      <c r="I269" s="80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15"/>
      <c r="AK269" s="80"/>
      <c r="AL269" s="80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</row>
    <row r="270">
      <c r="A270" s="80"/>
      <c r="B270" s="80"/>
      <c r="C270" s="80"/>
      <c r="D270" s="80"/>
      <c r="E270" s="124"/>
      <c r="F270" s="80"/>
      <c r="G270" s="80"/>
      <c r="H270" s="80"/>
      <c r="I270" s="80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15"/>
      <c r="AK270" s="80"/>
      <c r="AL270" s="80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</row>
    <row r="271">
      <c r="A271" s="80"/>
      <c r="B271" s="80"/>
      <c r="C271" s="80"/>
      <c r="D271" s="80"/>
      <c r="E271" s="124"/>
      <c r="F271" s="80"/>
      <c r="G271" s="80"/>
      <c r="H271" s="80"/>
      <c r="I271" s="80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15"/>
      <c r="AK271" s="80"/>
      <c r="AL271" s="80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</row>
    <row r="272">
      <c r="A272" s="80"/>
      <c r="B272" s="80"/>
      <c r="C272" s="80"/>
      <c r="D272" s="80"/>
      <c r="E272" s="124"/>
      <c r="F272" s="80"/>
      <c r="G272" s="80"/>
      <c r="H272" s="80"/>
      <c r="I272" s="80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15"/>
      <c r="AK272" s="80"/>
      <c r="AL272" s="80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</row>
    <row r="273">
      <c r="A273" s="80"/>
      <c r="B273" s="80"/>
      <c r="C273" s="80"/>
      <c r="D273" s="80"/>
      <c r="E273" s="124"/>
      <c r="F273" s="80"/>
      <c r="G273" s="80"/>
      <c r="H273" s="80"/>
      <c r="I273" s="80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15"/>
      <c r="AK273" s="80"/>
      <c r="AL273" s="80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</row>
    <row r="274">
      <c r="A274" s="80"/>
      <c r="B274" s="80"/>
      <c r="C274" s="80"/>
      <c r="D274" s="80"/>
      <c r="E274" s="124"/>
      <c r="F274" s="80"/>
      <c r="G274" s="80"/>
      <c r="H274" s="80"/>
      <c r="I274" s="80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15"/>
      <c r="AK274" s="80"/>
      <c r="AL274" s="80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</row>
    <row r="275">
      <c r="A275" s="80"/>
      <c r="B275" s="80"/>
      <c r="C275" s="80"/>
      <c r="D275" s="80"/>
      <c r="E275" s="124"/>
      <c r="F275" s="80"/>
      <c r="G275" s="80"/>
      <c r="H275" s="80"/>
      <c r="I275" s="80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15"/>
      <c r="AK275" s="80"/>
      <c r="AL275" s="80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</row>
    <row r="276">
      <c r="A276" s="80"/>
      <c r="B276" s="80"/>
      <c r="C276" s="80"/>
      <c r="D276" s="80"/>
      <c r="E276" s="124"/>
      <c r="F276" s="80"/>
      <c r="G276" s="80"/>
      <c r="H276" s="80"/>
      <c r="I276" s="80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15"/>
      <c r="AK276" s="80"/>
      <c r="AL276" s="80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</row>
    <row r="277">
      <c r="A277" s="80"/>
      <c r="B277" s="80"/>
      <c r="C277" s="80"/>
      <c r="D277" s="80"/>
      <c r="E277" s="124"/>
      <c r="F277" s="80"/>
      <c r="G277" s="80"/>
      <c r="H277" s="80"/>
      <c r="I277" s="80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15"/>
      <c r="AK277" s="80"/>
      <c r="AL277" s="80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</row>
    <row r="278">
      <c r="A278" s="80"/>
      <c r="B278" s="80"/>
      <c r="C278" s="80"/>
      <c r="D278" s="80"/>
      <c r="E278" s="124"/>
      <c r="F278" s="80"/>
      <c r="G278" s="80"/>
      <c r="H278" s="80"/>
      <c r="I278" s="80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15"/>
      <c r="AK278" s="80"/>
      <c r="AL278" s="80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</row>
    <row r="279">
      <c r="A279" s="80"/>
      <c r="B279" s="80"/>
      <c r="C279" s="80"/>
      <c r="D279" s="80"/>
      <c r="E279" s="124"/>
      <c r="F279" s="80"/>
      <c r="G279" s="80"/>
      <c r="H279" s="80"/>
      <c r="I279" s="80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15"/>
      <c r="AK279" s="80"/>
      <c r="AL279" s="80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</row>
    <row r="280">
      <c r="A280" s="80"/>
      <c r="B280" s="80"/>
      <c r="C280" s="80"/>
      <c r="D280" s="80"/>
      <c r="E280" s="124"/>
      <c r="F280" s="80"/>
      <c r="G280" s="80"/>
      <c r="H280" s="80"/>
      <c r="I280" s="80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15"/>
      <c r="AK280" s="80"/>
      <c r="AL280" s="80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</row>
    <row r="281">
      <c r="A281" s="80"/>
      <c r="B281" s="80"/>
      <c r="C281" s="80"/>
      <c r="D281" s="80"/>
      <c r="E281" s="124"/>
      <c r="F281" s="80"/>
      <c r="G281" s="80"/>
      <c r="H281" s="80"/>
      <c r="I281" s="80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15"/>
      <c r="AK281" s="80"/>
      <c r="AL281" s="80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</row>
    <row r="282">
      <c r="A282" s="80"/>
      <c r="B282" s="80"/>
      <c r="C282" s="80"/>
      <c r="D282" s="80"/>
      <c r="E282" s="124"/>
      <c r="F282" s="80"/>
      <c r="G282" s="80"/>
      <c r="H282" s="80"/>
      <c r="I282" s="80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15"/>
      <c r="AK282" s="80"/>
      <c r="AL282" s="80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</row>
    <row r="283">
      <c r="A283" s="80"/>
      <c r="B283" s="80"/>
      <c r="C283" s="80"/>
      <c r="D283" s="80"/>
      <c r="E283" s="124"/>
      <c r="F283" s="80"/>
      <c r="G283" s="80"/>
      <c r="H283" s="80"/>
      <c r="I283" s="80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15"/>
      <c r="AK283" s="80"/>
      <c r="AL283" s="80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</row>
    <row r="284">
      <c r="A284" s="80"/>
      <c r="B284" s="80"/>
      <c r="C284" s="80"/>
      <c r="D284" s="80"/>
      <c r="E284" s="124"/>
      <c r="F284" s="80"/>
      <c r="G284" s="80"/>
      <c r="H284" s="80"/>
      <c r="I284" s="80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15"/>
      <c r="AK284" s="80"/>
      <c r="AL284" s="80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</row>
    <row r="285">
      <c r="A285" s="80"/>
      <c r="B285" s="80"/>
      <c r="C285" s="80"/>
      <c r="D285" s="80"/>
      <c r="E285" s="124"/>
      <c r="F285" s="80"/>
      <c r="G285" s="80"/>
      <c r="H285" s="80"/>
      <c r="I285" s="80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15"/>
      <c r="AK285" s="80"/>
      <c r="AL285" s="80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</row>
    <row r="286">
      <c r="A286" s="80"/>
      <c r="B286" s="80"/>
      <c r="C286" s="80"/>
      <c r="D286" s="80"/>
      <c r="E286" s="124"/>
      <c r="F286" s="80"/>
      <c r="G286" s="80"/>
      <c r="H286" s="80"/>
      <c r="I286" s="80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15"/>
      <c r="AK286" s="80"/>
      <c r="AL286" s="80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</row>
    <row r="287">
      <c r="A287" s="80"/>
      <c r="B287" s="80"/>
      <c r="C287" s="80"/>
      <c r="D287" s="80"/>
      <c r="E287" s="124"/>
      <c r="F287" s="80"/>
      <c r="G287" s="80"/>
      <c r="H287" s="80"/>
      <c r="I287" s="80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15"/>
      <c r="AK287" s="80"/>
      <c r="AL287" s="80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</row>
    <row r="288">
      <c r="A288" s="80"/>
      <c r="B288" s="80"/>
      <c r="C288" s="80"/>
      <c r="D288" s="80"/>
      <c r="E288" s="124"/>
      <c r="F288" s="80"/>
      <c r="G288" s="80"/>
      <c r="H288" s="80"/>
      <c r="I288" s="80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15"/>
      <c r="AK288" s="80"/>
      <c r="AL288" s="80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</row>
    <row r="289">
      <c r="A289" s="80"/>
      <c r="B289" s="80"/>
      <c r="C289" s="80"/>
      <c r="D289" s="80"/>
      <c r="E289" s="124"/>
      <c r="F289" s="80"/>
      <c r="G289" s="80"/>
      <c r="H289" s="80"/>
      <c r="I289" s="80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15"/>
      <c r="AK289" s="80"/>
      <c r="AL289" s="80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</row>
    <row r="290">
      <c r="A290" s="80"/>
      <c r="B290" s="80"/>
      <c r="C290" s="80"/>
      <c r="D290" s="80"/>
      <c r="E290" s="124"/>
      <c r="F290" s="80"/>
      <c r="G290" s="80"/>
      <c r="H290" s="80"/>
      <c r="I290" s="80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15"/>
      <c r="AK290" s="80"/>
      <c r="AL290" s="80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</row>
    <row r="291">
      <c r="A291" s="80"/>
      <c r="B291" s="80"/>
      <c r="C291" s="80"/>
      <c r="D291" s="80"/>
      <c r="E291" s="124"/>
      <c r="F291" s="80"/>
      <c r="G291" s="80"/>
      <c r="H291" s="80"/>
      <c r="I291" s="80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15"/>
      <c r="AK291" s="80"/>
      <c r="AL291" s="80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</row>
    <row r="292">
      <c r="A292" s="80"/>
      <c r="B292" s="80"/>
      <c r="C292" s="80"/>
      <c r="D292" s="80"/>
      <c r="E292" s="124"/>
      <c r="F292" s="80"/>
      <c r="G292" s="80"/>
      <c r="H292" s="80"/>
      <c r="I292" s="80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15"/>
      <c r="AK292" s="80"/>
      <c r="AL292" s="80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</row>
    <row r="293">
      <c r="A293" s="80"/>
      <c r="B293" s="80"/>
      <c r="C293" s="80"/>
      <c r="D293" s="80"/>
      <c r="E293" s="124"/>
      <c r="F293" s="80"/>
      <c r="G293" s="80"/>
      <c r="H293" s="80"/>
      <c r="I293" s="80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15"/>
      <c r="AK293" s="80"/>
      <c r="AL293" s="80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</row>
    <row r="294">
      <c r="A294" s="80"/>
      <c r="B294" s="80"/>
      <c r="C294" s="80"/>
      <c r="D294" s="80"/>
      <c r="E294" s="124"/>
      <c r="F294" s="80"/>
      <c r="G294" s="80"/>
      <c r="H294" s="80"/>
      <c r="I294" s="80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15"/>
      <c r="AK294" s="80"/>
      <c r="AL294" s="80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</row>
    <row r="295">
      <c r="A295" s="80"/>
      <c r="B295" s="80"/>
      <c r="C295" s="80"/>
      <c r="D295" s="80"/>
      <c r="E295" s="124"/>
      <c r="F295" s="80"/>
      <c r="G295" s="80"/>
      <c r="H295" s="80"/>
      <c r="I295" s="80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15"/>
      <c r="AK295" s="80"/>
      <c r="AL295" s="80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</row>
    <row r="296">
      <c r="A296" s="80"/>
      <c r="B296" s="80"/>
      <c r="C296" s="80"/>
      <c r="D296" s="80"/>
      <c r="E296" s="124"/>
      <c r="F296" s="80"/>
      <c r="G296" s="80"/>
      <c r="H296" s="80"/>
      <c r="I296" s="80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15"/>
      <c r="AK296" s="80"/>
      <c r="AL296" s="80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</row>
    <row r="297">
      <c r="A297" s="80"/>
      <c r="B297" s="80"/>
      <c r="C297" s="80"/>
      <c r="D297" s="80"/>
      <c r="E297" s="124"/>
      <c r="F297" s="80"/>
      <c r="G297" s="80"/>
      <c r="H297" s="80"/>
      <c r="I297" s="80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15"/>
      <c r="AK297" s="80"/>
      <c r="AL297" s="80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</row>
    <row r="298">
      <c r="A298" s="80"/>
      <c r="B298" s="80"/>
      <c r="C298" s="80"/>
      <c r="D298" s="80"/>
      <c r="E298" s="124"/>
      <c r="F298" s="80"/>
      <c r="G298" s="80"/>
      <c r="H298" s="80"/>
      <c r="I298" s="80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15"/>
      <c r="AK298" s="80"/>
      <c r="AL298" s="80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</row>
    <row r="299">
      <c r="A299" s="80"/>
      <c r="B299" s="80"/>
      <c r="C299" s="80"/>
      <c r="D299" s="80"/>
      <c r="E299" s="124"/>
      <c r="F299" s="80"/>
      <c r="G299" s="80"/>
      <c r="H299" s="80"/>
      <c r="I299" s="80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15"/>
      <c r="AK299" s="80"/>
      <c r="AL299" s="80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</row>
    <row r="300">
      <c r="A300" s="80"/>
      <c r="B300" s="80"/>
      <c r="C300" s="80"/>
      <c r="D300" s="80"/>
      <c r="E300" s="124"/>
      <c r="F300" s="80"/>
      <c r="G300" s="80"/>
      <c r="H300" s="80"/>
      <c r="I300" s="80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15"/>
      <c r="AK300" s="80"/>
      <c r="AL300" s="80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</row>
    <row r="301">
      <c r="A301" s="80"/>
      <c r="B301" s="80"/>
      <c r="C301" s="80"/>
      <c r="D301" s="80"/>
      <c r="E301" s="124"/>
      <c r="F301" s="80"/>
      <c r="G301" s="80"/>
      <c r="H301" s="80"/>
      <c r="I301" s="80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15"/>
      <c r="AK301" s="80"/>
      <c r="AL301" s="80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</row>
    <row r="302">
      <c r="A302" s="80"/>
      <c r="B302" s="80"/>
      <c r="C302" s="80"/>
      <c r="D302" s="80"/>
      <c r="E302" s="124"/>
      <c r="F302" s="80"/>
      <c r="G302" s="80"/>
      <c r="H302" s="80"/>
      <c r="I302" s="80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15"/>
      <c r="AK302" s="80"/>
      <c r="AL302" s="80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</row>
    <row r="303">
      <c r="A303" s="80"/>
      <c r="B303" s="80"/>
      <c r="C303" s="80"/>
      <c r="D303" s="80"/>
      <c r="E303" s="124"/>
      <c r="F303" s="80"/>
      <c r="G303" s="80"/>
      <c r="H303" s="80"/>
      <c r="I303" s="80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15"/>
      <c r="AK303" s="80"/>
      <c r="AL303" s="80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</row>
    <row r="304">
      <c r="A304" s="80"/>
      <c r="B304" s="80"/>
      <c r="C304" s="80"/>
      <c r="D304" s="80"/>
      <c r="E304" s="124"/>
      <c r="F304" s="80"/>
      <c r="G304" s="80"/>
      <c r="H304" s="80"/>
      <c r="I304" s="80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15"/>
      <c r="AK304" s="80"/>
      <c r="AL304" s="80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</row>
    <row r="305">
      <c r="A305" s="80"/>
      <c r="B305" s="80"/>
      <c r="C305" s="80"/>
      <c r="D305" s="80"/>
      <c r="E305" s="124"/>
      <c r="F305" s="80"/>
      <c r="G305" s="80"/>
      <c r="H305" s="80"/>
      <c r="I305" s="80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15"/>
      <c r="AK305" s="80"/>
      <c r="AL305" s="80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</row>
    <row r="306">
      <c r="A306" s="80"/>
      <c r="B306" s="80"/>
      <c r="C306" s="80"/>
      <c r="D306" s="80"/>
      <c r="E306" s="124"/>
      <c r="F306" s="80"/>
      <c r="G306" s="80"/>
      <c r="H306" s="80"/>
      <c r="I306" s="80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15"/>
      <c r="AK306" s="80"/>
      <c r="AL306" s="80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</row>
    <row r="307">
      <c r="A307" s="80"/>
      <c r="B307" s="80"/>
      <c r="C307" s="80"/>
      <c r="D307" s="80"/>
      <c r="E307" s="124"/>
      <c r="F307" s="80"/>
      <c r="G307" s="80"/>
      <c r="H307" s="80"/>
      <c r="I307" s="80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15"/>
      <c r="AK307" s="80"/>
      <c r="AL307" s="80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</row>
    <row r="308">
      <c r="A308" s="80"/>
      <c r="B308" s="80"/>
      <c r="C308" s="80"/>
      <c r="D308" s="80"/>
      <c r="E308" s="124"/>
      <c r="F308" s="80"/>
      <c r="G308" s="80"/>
      <c r="H308" s="80"/>
      <c r="I308" s="80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15"/>
      <c r="AK308" s="80"/>
      <c r="AL308" s="80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</row>
    <row r="309">
      <c r="A309" s="80"/>
      <c r="B309" s="80"/>
      <c r="C309" s="80"/>
      <c r="D309" s="80"/>
      <c r="E309" s="124"/>
      <c r="F309" s="80"/>
      <c r="G309" s="80"/>
      <c r="H309" s="80"/>
      <c r="I309" s="80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15"/>
      <c r="AK309" s="80"/>
      <c r="AL309" s="80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</row>
    <row r="310">
      <c r="A310" s="80"/>
      <c r="B310" s="80"/>
      <c r="C310" s="80"/>
      <c r="D310" s="80"/>
      <c r="E310" s="124"/>
      <c r="F310" s="80"/>
      <c r="G310" s="80"/>
      <c r="H310" s="80"/>
      <c r="I310" s="80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15"/>
      <c r="AK310" s="80"/>
      <c r="AL310" s="80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</row>
    <row r="311">
      <c r="A311" s="80"/>
      <c r="B311" s="80"/>
      <c r="C311" s="80"/>
      <c r="D311" s="80"/>
      <c r="E311" s="124"/>
      <c r="F311" s="80"/>
      <c r="G311" s="80"/>
      <c r="H311" s="80"/>
      <c r="I311" s="80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15"/>
      <c r="AK311" s="80"/>
      <c r="AL311" s="80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</row>
    <row r="312">
      <c r="A312" s="80"/>
      <c r="B312" s="80"/>
      <c r="C312" s="80"/>
      <c r="D312" s="80"/>
      <c r="E312" s="124"/>
      <c r="F312" s="80"/>
      <c r="G312" s="80"/>
      <c r="H312" s="80"/>
      <c r="I312" s="80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15"/>
      <c r="AK312" s="80"/>
      <c r="AL312" s="80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</row>
    <row r="313">
      <c r="A313" s="80"/>
      <c r="B313" s="80"/>
      <c r="C313" s="80"/>
      <c r="D313" s="80"/>
      <c r="E313" s="124"/>
      <c r="F313" s="80"/>
      <c r="G313" s="80"/>
      <c r="H313" s="80"/>
      <c r="I313" s="80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15"/>
      <c r="AK313" s="80"/>
      <c r="AL313" s="80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</row>
    <row r="314">
      <c r="A314" s="80"/>
      <c r="B314" s="80"/>
      <c r="C314" s="80"/>
      <c r="D314" s="80"/>
      <c r="E314" s="124"/>
      <c r="F314" s="80"/>
      <c r="G314" s="80"/>
      <c r="H314" s="80"/>
      <c r="I314" s="80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15"/>
      <c r="AK314" s="80"/>
      <c r="AL314" s="80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</row>
    <row r="315">
      <c r="A315" s="80"/>
      <c r="B315" s="80"/>
      <c r="C315" s="80"/>
      <c r="D315" s="80"/>
      <c r="E315" s="124"/>
      <c r="F315" s="80"/>
      <c r="G315" s="80"/>
      <c r="H315" s="80"/>
      <c r="I315" s="80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15"/>
      <c r="AK315" s="80"/>
      <c r="AL315" s="80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</row>
    <row r="316">
      <c r="A316" s="80"/>
      <c r="B316" s="80"/>
      <c r="C316" s="80"/>
      <c r="D316" s="80"/>
      <c r="E316" s="124"/>
      <c r="F316" s="80"/>
      <c r="G316" s="80"/>
      <c r="H316" s="80"/>
      <c r="I316" s="80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15"/>
      <c r="AK316" s="80"/>
      <c r="AL316" s="80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</row>
    <row r="317">
      <c r="A317" s="80"/>
      <c r="B317" s="80"/>
      <c r="C317" s="80"/>
      <c r="D317" s="80"/>
      <c r="E317" s="124"/>
      <c r="F317" s="80"/>
      <c r="G317" s="80"/>
      <c r="H317" s="80"/>
      <c r="I317" s="80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15"/>
      <c r="AK317" s="80"/>
      <c r="AL317" s="80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</row>
    <row r="318">
      <c r="A318" s="80"/>
      <c r="B318" s="80"/>
      <c r="C318" s="80"/>
      <c r="D318" s="80"/>
      <c r="E318" s="124"/>
      <c r="F318" s="80"/>
      <c r="G318" s="80"/>
      <c r="H318" s="80"/>
      <c r="I318" s="80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15"/>
      <c r="AK318" s="80"/>
      <c r="AL318" s="80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</row>
    <row r="319">
      <c r="A319" s="80"/>
      <c r="B319" s="80"/>
      <c r="C319" s="80"/>
      <c r="D319" s="80"/>
      <c r="E319" s="124"/>
      <c r="F319" s="80"/>
      <c r="G319" s="80"/>
      <c r="H319" s="80"/>
      <c r="I319" s="80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15"/>
      <c r="AK319" s="80"/>
      <c r="AL319" s="80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</row>
    <row r="320">
      <c r="A320" s="80"/>
      <c r="B320" s="80"/>
      <c r="C320" s="80"/>
      <c r="D320" s="80"/>
      <c r="E320" s="124"/>
      <c r="F320" s="80"/>
      <c r="G320" s="80"/>
      <c r="H320" s="80"/>
      <c r="I320" s="80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15"/>
      <c r="AK320" s="80"/>
      <c r="AL320" s="80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</row>
    <row r="321">
      <c r="A321" s="80"/>
      <c r="B321" s="80"/>
      <c r="C321" s="80"/>
      <c r="D321" s="80"/>
      <c r="E321" s="124"/>
      <c r="F321" s="80"/>
      <c r="G321" s="80"/>
      <c r="H321" s="80"/>
      <c r="I321" s="80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15"/>
      <c r="AK321" s="80"/>
      <c r="AL321" s="80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</row>
    <row r="322">
      <c r="A322" s="80"/>
      <c r="B322" s="80"/>
      <c r="C322" s="80"/>
      <c r="D322" s="80"/>
      <c r="E322" s="124"/>
      <c r="F322" s="80"/>
      <c r="G322" s="80"/>
      <c r="H322" s="80"/>
      <c r="I322" s="80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15"/>
      <c r="AK322" s="80"/>
      <c r="AL322" s="80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</row>
    <row r="323">
      <c r="A323" s="80"/>
      <c r="B323" s="80"/>
      <c r="C323" s="80"/>
      <c r="D323" s="80"/>
      <c r="E323" s="124"/>
      <c r="F323" s="80"/>
      <c r="G323" s="80"/>
      <c r="H323" s="80"/>
      <c r="I323" s="80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15"/>
      <c r="AK323" s="80"/>
      <c r="AL323" s="80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</row>
    <row r="324">
      <c r="A324" s="80"/>
      <c r="B324" s="80"/>
      <c r="C324" s="80"/>
      <c r="D324" s="80"/>
      <c r="E324" s="124"/>
      <c r="F324" s="80"/>
      <c r="G324" s="80"/>
      <c r="H324" s="80"/>
      <c r="I324" s="80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15"/>
      <c r="AK324" s="80"/>
      <c r="AL324" s="80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</row>
    <row r="325">
      <c r="A325" s="80"/>
      <c r="B325" s="80"/>
      <c r="C325" s="80"/>
      <c r="D325" s="80"/>
      <c r="E325" s="124"/>
      <c r="F325" s="80"/>
      <c r="G325" s="80"/>
      <c r="H325" s="80"/>
      <c r="I325" s="80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15"/>
      <c r="AK325" s="80"/>
      <c r="AL325" s="80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</row>
    <row r="326">
      <c r="A326" s="80"/>
      <c r="B326" s="80"/>
      <c r="C326" s="80"/>
      <c r="D326" s="80"/>
      <c r="E326" s="124"/>
      <c r="F326" s="80"/>
      <c r="G326" s="80"/>
      <c r="H326" s="80"/>
      <c r="I326" s="80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15"/>
      <c r="AK326" s="80"/>
      <c r="AL326" s="80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</row>
    <row r="327">
      <c r="A327" s="80"/>
      <c r="B327" s="80"/>
      <c r="C327" s="80"/>
      <c r="D327" s="80"/>
      <c r="E327" s="124"/>
      <c r="F327" s="80"/>
      <c r="G327" s="80"/>
      <c r="H327" s="80"/>
      <c r="I327" s="80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15"/>
      <c r="AK327" s="80"/>
      <c r="AL327" s="80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</row>
    <row r="328">
      <c r="A328" s="80"/>
      <c r="B328" s="80"/>
      <c r="C328" s="80"/>
      <c r="D328" s="80"/>
      <c r="E328" s="124"/>
      <c r="F328" s="80"/>
      <c r="G328" s="80"/>
      <c r="H328" s="80"/>
      <c r="I328" s="80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15"/>
      <c r="AK328" s="80"/>
      <c r="AL328" s="80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</row>
    <row r="329">
      <c r="A329" s="80"/>
      <c r="B329" s="80"/>
      <c r="C329" s="80"/>
      <c r="D329" s="80"/>
      <c r="E329" s="124"/>
      <c r="F329" s="80"/>
      <c r="G329" s="80"/>
      <c r="H329" s="80"/>
      <c r="I329" s="80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15"/>
      <c r="AK329" s="80"/>
      <c r="AL329" s="80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</row>
    <row r="330">
      <c r="A330" s="80"/>
      <c r="B330" s="80"/>
      <c r="C330" s="80"/>
      <c r="D330" s="80"/>
      <c r="E330" s="124"/>
      <c r="F330" s="80"/>
      <c r="G330" s="80"/>
      <c r="H330" s="80"/>
      <c r="I330" s="80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15"/>
      <c r="AK330" s="80"/>
      <c r="AL330" s="80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</row>
    <row r="331">
      <c r="A331" s="80"/>
      <c r="B331" s="80"/>
      <c r="C331" s="80"/>
      <c r="D331" s="80"/>
      <c r="E331" s="124"/>
      <c r="F331" s="80"/>
      <c r="G331" s="80"/>
      <c r="H331" s="80"/>
      <c r="I331" s="80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15"/>
      <c r="AK331" s="80"/>
      <c r="AL331" s="80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</row>
    <row r="332">
      <c r="A332" s="80"/>
      <c r="B332" s="80"/>
      <c r="C332" s="80"/>
      <c r="D332" s="80"/>
      <c r="E332" s="124"/>
      <c r="F332" s="80"/>
      <c r="G332" s="80"/>
      <c r="H332" s="80"/>
      <c r="I332" s="80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15"/>
      <c r="AK332" s="80"/>
      <c r="AL332" s="80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</row>
    <row r="333">
      <c r="A333" s="80"/>
      <c r="B333" s="80"/>
      <c r="C333" s="80"/>
      <c r="D333" s="80"/>
      <c r="E333" s="124"/>
      <c r="F333" s="80"/>
      <c r="G333" s="80"/>
      <c r="H333" s="80"/>
      <c r="I333" s="80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15"/>
      <c r="AK333" s="80"/>
      <c r="AL333" s="80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</row>
    <row r="334">
      <c r="A334" s="80"/>
      <c r="B334" s="80"/>
      <c r="C334" s="80"/>
      <c r="D334" s="80"/>
      <c r="E334" s="124"/>
      <c r="F334" s="80"/>
      <c r="G334" s="80"/>
      <c r="H334" s="80"/>
      <c r="I334" s="80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15"/>
      <c r="AK334" s="80"/>
      <c r="AL334" s="80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</row>
    <row r="335">
      <c r="A335" s="80"/>
      <c r="B335" s="80"/>
      <c r="C335" s="80"/>
      <c r="D335" s="80"/>
      <c r="E335" s="124"/>
      <c r="F335" s="80"/>
      <c r="G335" s="80"/>
      <c r="H335" s="80"/>
      <c r="I335" s="80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15"/>
      <c r="AK335" s="80"/>
      <c r="AL335" s="80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</row>
    <row r="336">
      <c r="A336" s="80"/>
      <c r="B336" s="80"/>
      <c r="C336" s="80"/>
      <c r="D336" s="80"/>
      <c r="E336" s="124"/>
      <c r="F336" s="80"/>
      <c r="G336" s="80"/>
      <c r="H336" s="80"/>
      <c r="I336" s="80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15"/>
      <c r="AK336" s="80"/>
      <c r="AL336" s="80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</row>
    <row r="337">
      <c r="A337" s="80"/>
      <c r="B337" s="80"/>
      <c r="C337" s="80"/>
      <c r="D337" s="80"/>
      <c r="E337" s="124"/>
      <c r="F337" s="80"/>
      <c r="G337" s="80"/>
      <c r="H337" s="80"/>
      <c r="I337" s="80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15"/>
      <c r="AK337" s="80"/>
      <c r="AL337" s="80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</row>
    <row r="338">
      <c r="A338" s="80"/>
      <c r="B338" s="80"/>
      <c r="C338" s="80"/>
      <c r="D338" s="80"/>
      <c r="E338" s="124"/>
      <c r="F338" s="80"/>
      <c r="G338" s="80"/>
      <c r="H338" s="80"/>
      <c r="I338" s="80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15"/>
      <c r="AK338" s="80"/>
      <c r="AL338" s="80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</row>
    <row r="339">
      <c r="A339" s="80"/>
      <c r="B339" s="80"/>
      <c r="C339" s="80"/>
      <c r="D339" s="80"/>
      <c r="E339" s="124"/>
      <c r="F339" s="80"/>
      <c r="G339" s="80"/>
      <c r="H339" s="80"/>
      <c r="I339" s="80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15"/>
      <c r="AK339" s="80"/>
      <c r="AL339" s="80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</row>
    <row r="340">
      <c r="A340" s="80"/>
      <c r="B340" s="80"/>
      <c r="C340" s="80"/>
      <c r="D340" s="80"/>
      <c r="E340" s="124"/>
      <c r="F340" s="80"/>
      <c r="G340" s="80"/>
      <c r="H340" s="80"/>
      <c r="I340" s="80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15"/>
      <c r="AK340" s="80"/>
      <c r="AL340" s="80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</row>
    <row r="341">
      <c r="A341" s="80"/>
      <c r="B341" s="80"/>
      <c r="C341" s="80"/>
      <c r="D341" s="80"/>
      <c r="E341" s="124"/>
      <c r="F341" s="80"/>
      <c r="G341" s="80"/>
      <c r="H341" s="80"/>
      <c r="I341" s="80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15"/>
      <c r="AK341" s="80"/>
      <c r="AL341" s="80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</row>
    <row r="342">
      <c r="A342" s="80"/>
      <c r="B342" s="80"/>
      <c r="C342" s="80"/>
      <c r="D342" s="80"/>
      <c r="E342" s="124"/>
      <c r="F342" s="80"/>
      <c r="G342" s="80"/>
      <c r="H342" s="80"/>
      <c r="I342" s="80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15"/>
      <c r="AK342" s="80"/>
      <c r="AL342" s="80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</row>
    <row r="343">
      <c r="A343" s="80"/>
      <c r="B343" s="80"/>
      <c r="C343" s="80"/>
      <c r="D343" s="80"/>
      <c r="E343" s="124"/>
      <c r="F343" s="80"/>
      <c r="G343" s="80"/>
      <c r="H343" s="80"/>
      <c r="I343" s="80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15"/>
      <c r="AK343" s="80"/>
      <c r="AL343" s="80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</row>
    <row r="344">
      <c r="A344" s="80"/>
      <c r="B344" s="80"/>
      <c r="C344" s="80"/>
      <c r="D344" s="80"/>
      <c r="E344" s="124"/>
      <c r="F344" s="80"/>
      <c r="G344" s="80"/>
      <c r="H344" s="80"/>
      <c r="I344" s="80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15"/>
      <c r="AK344" s="80"/>
      <c r="AL344" s="80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</row>
    <row r="345">
      <c r="A345" s="80"/>
      <c r="B345" s="80"/>
      <c r="C345" s="80"/>
      <c r="D345" s="80"/>
      <c r="E345" s="124"/>
      <c r="F345" s="80"/>
      <c r="G345" s="80"/>
      <c r="H345" s="80"/>
      <c r="I345" s="80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15"/>
      <c r="AK345" s="80"/>
      <c r="AL345" s="80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</row>
    <row r="346">
      <c r="A346" s="80"/>
      <c r="B346" s="80"/>
      <c r="C346" s="80"/>
      <c r="D346" s="80"/>
      <c r="E346" s="124"/>
      <c r="F346" s="80"/>
      <c r="G346" s="80"/>
      <c r="H346" s="80"/>
      <c r="I346" s="80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15"/>
      <c r="AK346" s="80"/>
      <c r="AL346" s="80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</row>
    <row r="347">
      <c r="A347" s="80"/>
      <c r="B347" s="80"/>
      <c r="C347" s="80"/>
      <c r="D347" s="80"/>
      <c r="E347" s="124"/>
      <c r="F347" s="80"/>
      <c r="G347" s="80"/>
      <c r="H347" s="80"/>
      <c r="I347" s="80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15"/>
      <c r="AK347" s="80"/>
      <c r="AL347" s="80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</row>
    <row r="348">
      <c r="A348" s="80"/>
      <c r="B348" s="80"/>
      <c r="C348" s="80"/>
      <c r="D348" s="80"/>
      <c r="E348" s="124"/>
      <c r="F348" s="80"/>
      <c r="G348" s="80"/>
      <c r="H348" s="80"/>
      <c r="I348" s="80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15"/>
      <c r="AK348" s="80"/>
      <c r="AL348" s="80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</row>
    <row r="349">
      <c r="A349" s="80"/>
      <c r="B349" s="80"/>
      <c r="C349" s="80"/>
      <c r="D349" s="80"/>
      <c r="E349" s="124"/>
      <c r="F349" s="80"/>
      <c r="G349" s="80"/>
      <c r="H349" s="80"/>
      <c r="I349" s="80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15"/>
      <c r="AK349" s="80"/>
      <c r="AL349" s="80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</row>
    <row r="350">
      <c r="A350" s="80"/>
      <c r="B350" s="80"/>
      <c r="C350" s="80"/>
      <c r="D350" s="80"/>
      <c r="E350" s="124"/>
      <c r="F350" s="80"/>
      <c r="G350" s="80"/>
      <c r="H350" s="80"/>
      <c r="I350" s="80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15"/>
      <c r="AK350" s="80"/>
      <c r="AL350" s="80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</row>
    <row r="351">
      <c r="A351" s="80"/>
      <c r="B351" s="80"/>
      <c r="C351" s="80"/>
      <c r="D351" s="80"/>
      <c r="E351" s="124"/>
      <c r="F351" s="80"/>
      <c r="G351" s="80"/>
      <c r="H351" s="80"/>
      <c r="I351" s="80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15"/>
      <c r="AK351" s="80"/>
      <c r="AL351" s="80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</row>
    <row r="352">
      <c r="A352" s="80"/>
      <c r="B352" s="80"/>
      <c r="C352" s="80"/>
      <c r="D352" s="80"/>
      <c r="E352" s="124"/>
      <c r="F352" s="80"/>
      <c r="G352" s="80"/>
      <c r="H352" s="80"/>
      <c r="I352" s="80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15"/>
      <c r="AK352" s="80"/>
      <c r="AL352" s="80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</row>
    <row r="353">
      <c r="A353" s="80"/>
      <c r="B353" s="80"/>
      <c r="C353" s="80"/>
      <c r="D353" s="80"/>
      <c r="E353" s="124"/>
      <c r="F353" s="80"/>
      <c r="G353" s="80"/>
      <c r="H353" s="80"/>
      <c r="I353" s="80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15"/>
      <c r="AK353" s="80"/>
      <c r="AL353" s="80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</row>
    <row r="354">
      <c r="A354" s="80"/>
      <c r="B354" s="80"/>
      <c r="C354" s="80"/>
      <c r="D354" s="80"/>
      <c r="E354" s="124"/>
      <c r="F354" s="80"/>
      <c r="G354" s="80"/>
      <c r="H354" s="80"/>
      <c r="I354" s="80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15"/>
      <c r="AK354" s="80"/>
      <c r="AL354" s="80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</row>
    <row r="355">
      <c r="A355" s="80"/>
      <c r="B355" s="80"/>
      <c r="C355" s="80"/>
      <c r="D355" s="80"/>
      <c r="E355" s="124"/>
      <c r="F355" s="80"/>
      <c r="G355" s="80"/>
      <c r="H355" s="80"/>
      <c r="I355" s="80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15"/>
      <c r="AK355" s="80"/>
      <c r="AL355" s="80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</row>
    <row r="356">
      <c r="A356" s="80"/>
      <c r="B356" s="80"/>
      <c r="C356" s="80"/>
      <c r="D356" s="80"/>
      <c r="E356" s="124"/>
      <c r="F356" s="80"/>
      <c r="G356" s="80"/>
      <c r="H356" s="80"/>
      <c r="I356" s="80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15"/>
      <c r="AK356" s="80"/>
      <c r="AL356" s="80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</row>
    <row r="357">
      <c r="A357" s="80"/>
      <c r="B357" s="80"/>
      <c r="C357" s="80"/>
      <c r="D357" s="80"/>
      <c r="E357" s="124"/>
      <c r="F357" s="80"/>
      <c r="G357" s="80"/>
      <c r="H357" s="80"/>
      <c r="I357" s="80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15"/>
      <c r="AK357" s="80"/>
      <c r="AL357" s="80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</row>
    <row r="358">
      <c r="A358" s="80"/>
      <c r="B358" s="80"/>
      <c r="C358" s="80"/>
      <c r="D358" s="80"/>
      <c r="E358" s="124"/>
      <c r="F358" s="80"/>
      <c r="G358" s="80"/>
      <c r="H358" s="80"/>
      <c r="I358" s="80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15"/>
      <c r="AK358" s="80"/>
      <c r="AL358" s="80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</row>
    <row r="359">
      <c r="A359" s="80"/>
      <c r="B359" s="80"/>
      <c r="C359" s="80"/>
      <c r="D359" s="80"/>
      <c r="E359" s="124"/>
      <c r="F359" s="80"/>
      <c r="G359" s="80"/>
      <c r="H359" s="80"/>
      <c r="I359" s="80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15"/>
      <c r="AK359" s="80"/>
      <c r="AL359" s="80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</row>
    <row r="360">
      <c r="A360" s="80"/>
      <c r="B360" s="80"/>
      <c r="C360" s="80"/>
      <c r="D360" s="80"/>
      <c r="E360" s="124"/>
      <c r="F360" s="80"/>
      <c r="G360" s="80"/>
      <c r="H360" s="80"/>
      <c r="I360" s="80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15"/>
      <c r="AK360" s="80"/>
      <c r="AL360" s="80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</row>
    <row r="361">
      <c r="A361" s="80"/>
      <c r="B361" s="80"/>
      <c r="C361" s="80"/>
      <c r="D361" s="80"/>
      <c r="E361" s="124"/>
      <c r="F361" s="80"/>
      <c r="G361" s="80"/>
      <c r="H361" s="80"/>
      <c r="I361" s="80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15"/>
      <c r="AK361" s="80"/>
      <c r="AL361" s="80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</row>
    <row r="362">
      <c r="A362" s="80"/>
      <c r="B362" s="80"/>
      <c r="C362" s="80"/>
      <c r="D362" s="80"/>
      <c r="E362" s="124"/>
      <c r="F362" s="80"/>
      <c r="G362" s="80"/>
      <c r="H362" s="80"/>
      <c r="I362" s="80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15"/>
      <c r="AK362" s="80"/>
      <c r="AL362" s="80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</row>
    <row r="363">
      <c r="A363" s="80"/>
      <c r="B363" s="80"/>
      <c r="C363" s="80"/>
      <c r="D363" s="80"/>
      <c r="E363" s="124"/>
      <c r="F363" s="80"/>
      <c r="G363" s="80"/>
      <c r="H363" s="80"/>
      <c r="I363" s="80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15"/>
      <c r="AK363" s="80"/>
      <c r="AL363" s="80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</row>
    <row r="364">
      <c r="A364" s="80"/>
      <c r="B364" s="80"/>
      <c r="C364" s="80"/>
      <c r="D364" s="80"/>
      <c r="E364" s="124"/>
      <c r="F364" s="80"/>
      <c r="G364" s="80"/>
      <c r="H364" s="80"/>
      <c r="I364" s="80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15"/>
      <c r="AK364" s="80"/>
      <c r="AL364" s="80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</row>
    <row r="365">
      <c r="A365" s="80"/>
      <c r="B365" s="80"/>
      <c r="C365" s="80"/>
      <c r="D365" s="80"/>
      <c r="E365" s="124"/>
      <c r="F365" s="80"/>
      <c r="G365" s="80"/>
      <c r="H365" s="80"/>
      <c r="I365" s="80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15"/>
      <c r="AK365" s="80"/>
      <c r="AL365" s="80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</row>
    <row r="366">
      <c r="A366" s="80"/>
      <c r="B366" s="80"/>
      <c r="C366" s="80"/>
      <c r="D366" s="80"/>
      <c r="E366" s="124"/>
      <c r="F366" s="80"/>
      <c r="G366" s="80"/>
      <c r="H366" s="80"/>
      <c r="I366" s="80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15"/>
      <c r="AK366" s="80"/>
      <c r="AL366" s="80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</row>
    <row r="367">
      <c r="A367" s="80"/>
      <c r="B367" s="80"/>
      <c r="C367" s="80"/>
      <c r="D367" s="80"/>
      <c r="E367" s="124"/>
      <c r="F367" s="80"/>
      <c r="G367" s="80"/>
      <c r="H367" s="80"/>
      <c r="I367" s="80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15"/>
      <c r="AK367" s="80"/>
      <c r="AL367" s="80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</row>
    <row r="368">
      <c r="A368" s="80"/>
      <c r="B368" s="80"/>
      <c r="C368" s="80"/>
      <c r="D368" s="80"/>
      <c r="E368" s="124"/>
      <c r="F368" s="80"/>
      <c r="G368" s="80"/>
      <c r="H368" s="80"/>
      <c r="I368" s="80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15"/>
      <c r="AK368" s="80"/>
      <c r="AL368" s="80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</row>
    <row r="369">
      <c r="A369" s="80"/>
      <c r="B369" s="80"/>
      <c r="C369" s="80"/>
      <c r="D369" s="80"/>
      <c r="E369" s="124"/>
      <c r="F369" s="80"/>
      <c r="G369" s="80"/>
      <c r="H369" s="80"/>
      <c r="I369" s="80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15"/>
      <c r="AK369" s="80"/>
      <c r="AL369" s="80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</row>
    <row r="370">
      <c r="A370" s="80"/>
      <c r="B370" s="80"/>
      <c r="C370" s="80"/>
      <c r="D370" s="80"/>
      <c r="E370" s="124"/>
      <c r="F370" s="80"/>
      <c r="G370" s="80"/>
      <c r="H370" s="80"/>
      <c r="I370" s="80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15"/>
      <c r="AK370" s="80"/>
      <c r="AL370" s="80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</row>
    <row r="371">
      <c r="A371" s="80"/>
      <c r="B371" s="80"/>
      <c r="C371" s="80"/>
      <c r="D371" s="80"/>
      <c r="E371" s="124"/>
      <c r="F371" s="80"/>
      <c r="G371" s="80"/>
      <c r="H371" s="80"/>
      <c r="I371" s="80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15"/>
      <c r="AK371" s="80"/>
      <c r="AL371" s="80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</row>
    <row r="372">
      <c r="A372" s="80"/>
      <c r="B372" s="80"/>
      <c r="C372" s="80"/>
      <c r="D372" s="80"/>
      <c r="E372" s="124"/>
      <c r="F372" s="80"/>
      <c r="G372" s="80"/>
      <c r="H372" s="80"/>
      <c r="I372" s="80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15"/>
      <c r="AK372" s="80"/>
      <c r="AL372" s="80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</row>
    <row r="373">
      <c r="A373" s="80"/>
      <c r="B373" s="80"/>
      <c r="C373" s="80"/>
      <c r="D373" s="80"/>
      <c r="E373" s="124"/>
      <c r="F373" s="80"/>
      <c r="G373" s="80"/>
      <c r="H373" s="80"/>
      <c r="I373" s="80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15"/>
      <c r="AK373" s="80"/>
      <c r="AL373" s="80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</row>
    <row r="374">
      <c r="A374" s="80"/>
      <c r="B374" s="80"/>
      <c r="C374" s="80"/>
      <c r="D374" s="80"/>
      <c r="E374" s="124"/>
      <c r="F374" s="80"/>
      <c r="G374" s="80"/>
      <c r="H374" s="80"/>
      <c r="I374" s="80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15"/>
      <c r="AK374" s="80"/>
      <c r="AL374" s="80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</row>
    <row r="375">
      <c r="A375" s="80"/>
      <c r="B375" s="80"/>
      <c r="C375" s="80"/>
      <c r="D375" s="80"/>
      <c r="E375" s="124"/>
      <c r="F375" s="80"/>
      <c r="G375" s="80"/>
      <c r="H375" s="80"/>
      <c r="I375" s="80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15"/>
      <c r="AK375" s="80"/>
      <c r="AL375" s="80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</row>
    <row r="376">
      <c r="A376" s="80"/>
      <c r="B376" s="80"/>
      <c r="C376" s="80"/>
      <c r="D376" s="80"/>
      <c r="E376" s="124"/>
      <c r="F376" s="80"/>
      <c r="G376" s="80"/>
      <c r="H376" s="80"/>
      <c r="I376" s="80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15"/>
      <c r="AK376" s="80"/>
      <c r="AL376" s="80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</row>
    <row r="377">
      <c r="A377" s="80"/>
      <c r="B377" s="80"/>
      <c r="C377" s="80"/>
      <c r="D377" s="80"/>
      <c r="E377" s="124"/>
      <c r="F377" s="80"/>
      <c r="G377" s="80"/>
      <c r="H377" s="80"/>
      <c r="I377" s="80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15"/>
      <c r="AK377" s="80"/>
      <c r="AL377" s="80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</row>
    <row r="378">
      <c r="A378" s="80"/>
      <c r="B378" s="80"/>
      <c r="C378" s="80"/>
      <c r="D378" s="80"/>
      <c r="E378" s="124"/>
      <c r="F378" s="80"/>
      <c r="G378" s="80"/>
      <c r="H378" s="80"/>
      <c r="I378" s="80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15"/>
      <c r="AK378" s="80"/>
      <c r="AL378" s="80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</row>
    <row r="379">
      <c r="A379" s="80"/>
      <c r="B379" s="80"/>
      <c r="C379" s="80"/>
      <c r="D379" s="80"/>
      <c r="E379" s="124"/>
      <c r="F379" s="80"/>
      <c r="G379" s="80"/>
      <c r="H379" s="80"/>
      <c r="I379" s="80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15"/>
      <c r="AK379" s="80"/>
      <c r="AL379" s="80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</row>
    <row r="380">
      <c r="A380" s="80"/>
      <c r="B380" s="80"/>
      <c r="C380" s="80"/>
      <c r="D380" s="80"/>
      <c r="E380" s="124"/>
      <c r="F380" s="80"/>
      <c r="G380" s="80"/>
      <c r="H380" s="80"/>
      <c r="I380" s="80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15"/>
      <c r="AK380" s="80"/>
      <c r="AL380" s="80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</row>
    <row r="381">
      <c r="A381" s="80"/>
      <c r="B381" s="80"/>
      <c r="C381" s="80"/>
      <c r="D381" s="80"/>
      <c r="E381" s="124"/>
      <c r="F381" s="80"/>
      <c r="G381" s="80"/>
      <c r="H381" s="80"/>
      <c r="I381" s="80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15"/>
      <c r="AK381" s="80"/>
      <c r="AL381" s="80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</row>
    <row r="382">
      <c r="A382" s="80"/>
      <c r="B382" s="80"/>
      <c r="C382" s="80"/>
      <c r="D382" s="80"/>
      <c r="E382" s="124"/>
      <c r="F382" s="80"/>
      <c r="G382" s="80"/>
      <c r="H382" s="80"/>
      <c r="I382" s="80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15"/>
      <c r="AK382" s="80"/>
      <c r="AL382" s="80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</row>
    <row r="383">
      <c r="A383" s="80"/>
      <c r="B383" s="80"/>
      <c r="C383" s="80"/>
      <c r="D383" s="80"/>
      <c r="E383" s="124"/>
      <c r="F383" s="80"/>
      <c r="G383" s="80"/>
      <c r="H383" s="80"/>
      <c r="I383" s="80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15"/>
      <c r="AK383" s="80"/>
      <c r="AL383" s="80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</row>
    <row r="384">
      <c r="A384" s="80"/>
      <c r="B384" s="80"/>
      <c r="C384" s="80"/>
      <c r="D384" s="80"/>
      <c r="E384" s="124"/>
      <c r="F384" s="80"/>
      <c r="G384" s="80"/>
      <c r="H384" s="80"/>
      <c r="I384" s="80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15"/>
      <c r="AK384" s="80"/>
      <c r="AL384" s="80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</row>
    <row r="385">
      <c r="A385" s="80"/>
      <c r="B385" s="80"/>
      <c r="C385" s="80"/>
      <c r="D385" s="80"/>
      <c r="E385" s="124"/>
      <c r="F385" s="80"/>
      <c r="G385" s="80"/>
      <c r="H385" s="80"/>
      <c r="I385" s="80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15"/>
      <c r="AK385" s="80"/>
      <c r="AL385" s="80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</row>
    <row r="386">
      <c r="A386" s="80"/>
      <c r="B386" s="80"/>
      <c r="C386" s="80"/>
      <c r="D386" s="80"/>
      <c r="E386" s="124"/>
      <c r="F386" s="80"/>
      <c r="G386" s="80"/>
      <c r="H386" s="80"/>
      <c r="I386" s="80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15"/>
      <c r="AK386" s="80"/>
      <c r="AL386" s="80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</row>
    <row r="387">
      <c r="A387" s="80"/>
      <c r="B387" s="80"/>
      <c r="C387" s="80"/>
      <c r="D387" s="80"/>
      <c r="E387" s="124"/>
      <c r="F387" s="80"/>
      <c r="G387" s="80"/>
      <c r="H387" s="80"/>
      <c r="I387" s="80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15"/>
      <c r="AK387" s="80"/>
      <c r="AL387" s="80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</row>
    <row r="388">
      <c r="A388" s="80"/>
      <c r="B388" s="80"/>
      <c r="C388" s="80"/>
      <c r="D388" s="80"/>
      <c r="E388" s="124"/>
      <c r="F388" s="80"/>
      <c r="G388" s="80"/>
      <c r="H388" s="80"/>
      <c r="I388" s="80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15"/>
      <c r="AK388" s="80"/>
      <c r="AL388" s="80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</row>
    <row r="389">
      <c r="A389" s="80"/>
      <c r="B389" s="80"/>
      <c r="C389" s="80"/>
      <c r="D389" s="80"/>
      <c r="E389" s="124"/>
      <c r="F389" s="80"/>
      <c r="G389" s="80"/>
      <c r="H389" s="80"/>
      <c r="I389" s="80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15"/>
      <c r="AK389" s="80"/>
      <c r="AL389" s="80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</row>
    <row r="390">
      <c r="A390" s="80"/>
      <c r="B390" s="80"/>
      <c r="C390" s="80"/>
      <c r="D390" s="80"/>
      <c r="E390" s="124"/>
      <c r="F390" s="80"/>
      <c r="G390" s="80"/>
      <c r="H390" s="80"/>
      <c r="I390" s="80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15"/>
      <c r="AK390" s="80"/>
      <c r="AL390" s="80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</row>
    <row r="391">
      <c r="A391" s="80"/>
      <c r="B391" s="80"/>
      <c r="C391" s="80"/>
      <c r="D391" s="80"/>
      <c r="E391" s="124"/>
      <c r="F391" s="80"/>
      <c r="G391" s="80"/>
      <c r="H391" s="80"/>
      <c r="I391" s="80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15"/>
      <c r="AK391" s="80"/>
      <c r="AL391" s="80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</row>
    <row r="392">
      <c r="A392" s="80"/>
      <c r="B392" s="80"/>
      <c r="C392" s="80"/>
      <c r="D392" s="80"/>
      <c r="E392" s="124"/>
      <c r="F392" s="80"/>
      <c r="G392" s="80"/>
      <c r="H392" s="80"/>
      <c r="I392" s="80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15"/>
      <c r="AK392" s="80"/>
      <c r="AL392" s="80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</row>
    <row r="393">
      <c r="A393" s="80"/>
      <c r="B393" s="80"/>
      <c r="C393" s="80"/>
      <c r="D393" s="80"/>
      <c r="E393" s="124"/>
      <c r="F393" s="80"/>
      <c r="G393" s="80"/>
      <c r="H393" s="80"/>
      <c r="I393" s="80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15"/>
      <c r="AK393" s="80"/>
      <c r="AL393" s="80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</row>
    <row r="394">
      <c r="A394" s="80"/>
      <c r="B394" s="80"/>
      <c r="C394" s="80"/>
      <c r="D394" s="80"/>
      <c r="E394" s="124"/>
      <c r="F394" s="80"/>
      <c r="G394" s="80"/>
      <c r="H394" s="80"/>
      <c r="I394" s="80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15"/>
      <c r="AK394" s="80"/>
      <c r="AL394" s="80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</row>
    <row r="395">
      <c r="A395" s="80"/>
      <c r="B395" s="80"/>
      <c r="C395" s="80"/>
      <c r="D395" s="80"/>
      <c r="E395" s="124"/>
      <c r="F395" s="80"/>
      <c r="G395" s="80"/>
      <c r="H395" s="80"/>
      <c r="I395" s="80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15"/>
      <c r="AK395" s="80"/>
      <c r="AL395" s="80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</row>
    <row r="396">
      <c r="A396" s="80"/>
      <c r="B396" s="80"/>
      <c r="C396" s="80"/>
      <c r="D396" s="80"/>
      <c r="E396" s="124"/>
      <c r="F396" s="80"/>
      <c r="G396" s="80"/>
      <c r="H396" s="80"/>
      <c r="I396" s="80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15"/>
      <c r="AK396" s="80"/>
      <c r="AL396" s="80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</row>
    <row r="397">
      <c r="A397" s="80"/>
      <c r="B397" s="80"/>
      <c r="C397" s="80"/>
      <c r="D397" s="80"/>
      <c r="E397" s="124"/>
      <c r="F397" s="80"/>
      <c r="G397" s="80"/>
      <c r="H397" s="80"/>
      <c r="I397" s="80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15"/>
      <c r="AK397" s="80"/>
      <c r="AL397" s="80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</row>
    <row r="398">
      <c r="A398" s="80"/>
      <c r="B398" s="80"/>
      <c r="C398" s="80"/>
      <c r="D398" s="80"/>
      <c r="E398" s="124"/>
      <c r="F398" s="80"/>
      <c r="G398" s="80"/>
      <c r="H398" s="80"/>
      <c r="I398" s="80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15"/>
      <c r="AK398" s="80"/>
      <c r="AL398" s="80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</row>
    <row r="399">
      <c r="A399" s="80"/>
      <c r="B399" s="80"/>
      <c r="C399" s="80"/>
      <c r="D399" s="80"/>
      <c r="E399" s="124"/>
      <c r="F399" s="80"/>
      <c r="G399" s="80"/>
      <c r="H399" s="80"/>
      <c r="I399" s="80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15"/>
      <c r="AK399" s="80"/>
      <c r="AL399" s="80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</row>
    <row r="400">
      <c r="A400" s="80"/>
      <c r="B400" s="80"/>
      <c r="C400" s="80"/>
      <c r="D400" s="80"/>
      <c r="E400" s="124"/>
      <c r="F400" s="80"/>
      <c r="G400" s="80"/>
      <c r="H400" s="80"/>
      <c r="I400" s="80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15"/>
      <c r="AK400" s="80"/>
      <c r="AL400" s="80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</row>
    <row r="401">
      <c r="A401" s="80"/>
      <c r="B401" s="80"/>
      <c r="C401" s="80"/>
      <c r="D401" s="80"/>
      <c r="E401" s="124"/>
      <c r="F401" s="80"/>
      <c r="G401" s="80"/>
      <c r="H401" s="80"/>
      <c r="I401" s="80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15"/>
      <c r="AK401" s="80"/>
      <c r="AL401" s="80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</row>
    <row r="402">
      <c r="A402" s="80"/>
      <c r="B402" s="80"/>
      <c r="C402" s="80"/>
      <c r="D402" s="80"/>
      <c r="E402" s="124"/>
      <c r="F402" s="80"/>
      <c r="G402" s="80"/>
      <c r="H402" s="80"/>
      <c r="I402" s="80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15"/>
      <c r="AK402" s="80"/>
      <c r="AL402" s="80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</row>
    <row r="403">
      <c r="A403" s="80"/>
      <c r="B403" s="80"/>
      <c r="C403" s="80"/>
      <c r="D403" s="80"/>
      <c r="E403" s="124"/>
      <c r="F403" s="80"/>
      <c r="G403" s="80"/>
      <c r="H403" s="80"/>
      <c r="I403" s="80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15"/>
      <c r="AK403" s="80"/>
      <c r="AL403" s="80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</row>
    <row r="404">
      <c r="A404" s="80"/>
      <c r="B404" s="80"/>
      <c r="C404" s="80"/>
      <c r="D404" s="80"/>
      <c r="E404" s="124"/>
      <c r="F404" s="80"/>
      <c r="G404" s="80"/>
      <c r="H404" s="80"/>
      <c r="I404" s="80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15"/>
      <c r="AK404" s="80"/>
      <c r="AL404" s="80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</row>
    <row r="405">
      <c r="A405" s="80"/>
      <c r="B405" s="80"/>
      <c r="C405" s="80"/>
      <c r="D405" s="80"/>
      <c r="E405" s="124"/>
      <c r="F405" s="80"/>
      <c r="G405" s="80"/>
      <c r="H405" s="80"/>
      <c r="I405" s="80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15"/>
      <c r="AK405" s="80"/>
      <c r="AL405" s="80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</row>
    <row r="406">
      <c r="A406" s="80"/>
      <c r="B406" s="80"/>
      <c r="C406" s="80"/>
      <c r="D406" s="80"/>
      <c r="E406" s="124"/>
      <c r="F406" s="80"/>
      <c r="G406" s="80"/>
      <c r="H406" s="80"/>
      <c r="I406" s="80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15"/>
      <c r="AK406" s="80"/>
      <c r="AL406" s="80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</row>
    <row r="407">
      <c r="A407" s="80"/>
      <c r="B407" s="80"/>
      <c r="C407" s="80"/>
      <c r="D407" s="80"/>
      <c r="E407" s="124"/>
      <c r="F407" s="80"/>
      <c r="G407" s="80"/>
      <c r="H407" s="80"/>
      <c r="I407" s="80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15"/>
      <c r="AK407" s="80"/>
      <c r="AL407" s="80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</row>
    <row r="408">
      <c r="A408" s="80"/>
      <c r="B408" s="80"/>
      <c r="C408" s="80"/>
      <c r="D408" s="80"/>
      <c r="E408" s="124"/>
      <c r="F408" s="80"/>
      <c r="G408" s="80"/>
      <c r="H408" s="80"/>
      <c r="I408" s="80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15"/>
      <c r="AK408" s="80"/>
      <c r="AL408" s="80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</row>
    <row r="409">
      <c r="A409" s="80"/>
      <c r="B409" s="80"/>
      <c r="C409" s="80"/>
      <c r="D409" s="80"/>
      <c r="E409" s="124"/>
      <c r="F409" s="80"/>
      <c r="G409" s="80"/>
      <c r="H409" s="80"/>
      <c r="I409" s="80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15"/>
      <c r="AK409" s="80"/>
      <c r="AL409" s="80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</row>
    <row r="410">
      <c r="A410" s="80"/>
      <c r="B410" s="80"/>
      <c r="C410" s="80"/>
      <c r="D410" s="80"/>
      <c r="E410" s="124"/>
      <c r="F410" s="80"/>
      <c r="G410" s="80"/>
      <c r="H410" s="80"/>
      <c r="I410" s="80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15"/>
      <c r="AK410" s="80"/>
      <c r="AL410" s="80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</row>
    <row r="411">
      <c r="A411" s="80"/>
      <c r="B411" s="80"/>
      <c r="C411" s="80"/>
      <c r="D411" s="80"/>
      <c r="E411" s="124"/>
      <c r="F411" s="80"/>
      <c r="G411" s="80"/>
      <c r="H411" s="80"/>
      <c r="I411" s="80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15"/>
      <c r="AK411" s="80"/>
      <c r="AL411" s="80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</row>
    <row r="412">
      <c r="A412" s="80"/>
      <c r="B412" s="80"/>
      <c r="C412" s="80"/>
      <c r="D412" s="80"/>
      <c r="E412" s="124"/>
      <c r="F412" s="80"/>
      <c r="G412" s="80"/>
      <c r="H412" s="80"/>
      <c r="I412" s="80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15"/>
      <c r="AK412" s="80"/>
      <c r="AL412" s="80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</row>
    <row r="413">
      <c r="A413" s="80"/>
      <c r="B413" s="80"/>
      <c r="C413" s="80"/>
      <c r="D413" s="80"/>
      <c r="E413" s="124"/>
      <c r="F413" s="80"/>
      <c r="G413" s="80"/>
      <c r="H413" s="80"/>
      <c r="I413" s="80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15"/>
      <c r="AK413" s="80"/>
      <c r="AL413" s="80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</row>
    <row r="414">
      <c r="A414" s="80"/>
      <c r="B414" s="80"/>
      <c r="C414" s="80"/>
      <c r="D414" s="80"/>
      <c r="E414" s="124"/>
      <c r="F414" s="80"/>
      <c r="G414" s="80"/>
      <c r="H414" s="80"/>
      <c r="I414" s="80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15"/>
      <c r="AK414" s="80"/>
      <c r="AL414" s="80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</row>
    <row r="415">
      <c r="A415" s="80"/>
      <c r="B415" s="80"/>
      <c r="C415" s="80"/>
      <c r="D415" s="80"/>
      <c r="E415" s="124"/>
      <c r="F415" s="80"/>
      <c r="G415" s="80"/>
      <c r="H415" s="80"/>
      <c r="I415" s="80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15"/>
      <c r="AK415" s="80"/>
      <c r="AL415" s="80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</row>
    <row r="416">
      <c r="A416" s="80"/>
      <c r="B416" s="80"/>
      <c r="C416" s="80"/>
      <c r="D416" s="80"/>
      <c r="E416" s="124"/>
      <c r="F416" s="80"/>
      <c r="G416" s="80"/>
      <c r="H416" s="80"/>
      <c r="I416" s="80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15"/>
      <c r="AK416" s="80"/>
      <c r="AL416" s="80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</row>
    <row r="417">
      <c r="A417" s="80"/>
      <c r="B417" s="80"/>
      <c r="C417" s="80"/>
      <c r="D417" s="80"/>
      <c r="E417" s="124"/>
      <c r="F417" s="80"/>
      <c r="G417" s="80"/>
      <c r="H417" s="80"/>
      <c r="I417" s="80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15"/>
      <c r="AK417" s="80"/>
      <c r="AL417" s="80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</row>
    <row r="418">
      <c r="A418" s="80"/>
      <c r="B418" s="80"/>
      <c r="C418" s="80"/>
      <c r="D418" s="80"/>
      <c r="E418" s="124"/>
      <c r="F418" s="80"/>
      <c r="G418" s="80"/>
      <c r="H418" s="80"/>
      <c r="I418" s="80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15"/>
      <c r="AK418" s="80"/>
      <c r="AL418" s="80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</row>
    <row r="419">
      <c r="A419" s="80"/>
      <c r="B419" s="80"/>
      <c r="C419" s="80"/>
      <c r="D419" s="80"/>
      <c r="E419" s="124"/>
      <c r="F419" s="80"/>
      <c r="G419" s="80"/>
      <c r="H419" s="80"/>
      <c r="I419" s="80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15"/>
      <c r="AK419" s="80"/>
      <c r="AL419" s="80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</row>
    <row r="420">
      <c r="A420" s="80"/>
      <c r="B420" s="80"/>
      <c r="C420" s="80"/>
      <c r="D420" s="80"/>
      <c r="E420" s="124"/>
      <c r="F420" s="80"/>
      <c r="G420" s="80"/>
      <c r="H420" s="80"/>
      <c r="I420" s="80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15"/>
      <c r="AK420" s="80"/>
      <c r="AL420" s="80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</row>
    <row r="421">
      <c r="A421" s="80"/>
      <c r="B421" s="80"/>
      <c r="C421" s="80"/>
      <c r="D421" s="80"/>
      <c r="E421" s="124"/>
      <c r="F421" s="80"/>
      <c r="G421" s="80"/>
      <c r="H421" s="80"/>
      <c r="I421" s="80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15"/>
      <c r="AK421" s="80"/>
      <c r="AL421" s="80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</row>
    <row r="422">
      <c r="A422" s="80"/>
      <c r="B422" s="80"/>
      <c r="C422" s="80"/>
      <c r="D422" s="80"/>
      <c r="E422" s="124"/>
      <c r="F422" s="80"/>
      <c r="G422" s="80"/>
      <c r="H422" s="80"/>
      <c r="I422" s="80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15"/>
      <c r="AK422" s="80"/>
      <c r="AL422" s="80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</row>
    <row r="423">
      <c r="A423" s="80"/>
      <c r="B423" s="80"/>
      <c r="C423" s="80"/>
      <c r="D423" s="80"/>
      <c r="E423" s="124"/>
      <c r="F423" s="80"/>
      <c r="G423" s="80"/>
      <c r="H423" s="80"/>
      <c r="I423" s="80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15"/>
      <c r="AK423" s="80"/>
      <c r="AL423" s="80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</row>
    <row r="424">
      <c r="A424" s="80"/>
      <c r="B424" s="80"/>
      <c r="C424" s="80"/>
      <c r="D424" s="80"/>
      <c r="E424" s="124"/>
      <c r="F424" s="80"/>
      <c r="G424" s="80"/>
      <c r="H424" s="80"/>
      <c r="I424" s="80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15"/>
      <c r="AK424" s="80"/>
      <c r="AL424" s="80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</row>
    <row r="425">
      <c r="A425" s="80"/>
      <c r="B425" s="80"/>
      <c r="C425" s="80"/>
      <c r="D425" s="80"/>
      <c r="E425" s="124"/>
      <c r="F425" s="80"/>
      <c r="G425" s="80"/>
      <c r="H425" s="80"/>
      <c r="I425" s="80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15"/>
      <c r="AK425" s="80"/>
      <c r="AL425" s="80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</row>
    <row r="426">
      <c r="A426" s="80"/>
      <c r="B426" s="80"/>
      <c r="C426" s="80"/>
      <c r="D426" s="80"/>
      <c r="E426" s="124"/>
      <c r="F426" s="80"/>
      <c r="G426" s="80"/>
      <c r="H426" s="80"/>
      <c r="I426" s="80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15"/>
      <c r="AK426" s="80"/>
      <c r="AL426" s="80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</row>
    <row r="427">
      <c r="A427" s="80"/>
      <c r="B427" s="80"/>
      <c r="C427" s="80"/>
      <c r="D427" s="80"/>
      <c r="E427" s="124"/>
      <c r="F427" s="80"/>
      <c r="G427" s="80"/>
      <c r="H427" s="80"/>
      <c r="I427" s="80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15"/>
      <c r="AK427" s="80"/>
      <c r="AL427" s="80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</row>
    <row r="428">
      <c r="A428" s="80"/>
      <c r="B428" s="80"/>
      <c r="C428" s="80"/>
      <c r="D428" s="80"/>
      <c r="E428" s="124"/>
      <c r="F428" s="80"/>
      <c r="G428" s="80"/>
      <c r="H428" s="80"/>
      <c r="I428" s="80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15"/>
      <c r="AK428" s="80"/>
      <c r="AL428" s="80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</row>
    <row r="429">
      <c r="A429" s="80"/>
      <c r="B429" s="80"/>
      <c r="C429" s="80"/>
      <c r="D429" s="80"/>
      <c r="E429" s="124"/>
      <c r="F429" s="80"/>
      <c r="G429" s="80"/>
      <c r="H429" s="80"/>
      <c r="I429" s="80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15"/>
      <c r="AK429" s="80"/>
      <c r="AL429" s="80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</row>
    <row r="430">
      <c r="A430" s="80"/>
      <c r="B430" s="80"/>
      <c r="C430" s="80"/>
      <c r="D430" s="80"/>
      <c r="E430" s="124"/>
      <c r="F430" s="80"/>
      <c r="G430" s="80"/>
      <c r="H430" s="80"/>
      <c r="I430" s="80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15"/>
      <c r="AK430" s="80"/>
      <c r="AL430" s="80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</row>
    <row r="431">
      <c r="A431" s="80"/>
      <c r="B431" s="80"/>
      <c r="C431" s="80"/>
      <c r="D431" s="80"/>
      <c r="E431" s="124"/>
      <c r="F431" s="80"/>
      <c r="G431" s="80"/>
      <c r="H431" s="80"/>
      <c r="I431" s="80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15"/>
      <c r="AK431" s="80"/>
      <c r="AL431" s="80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</row>
    <row r="432">
      <c r="A432" s="80"/>
      <c r="B432" s="80"/>
      <c r="C432" s="80"/>
      <c r="D432" s="80"/>
      <c r="E432" s="124"/>
      <c r="F432" s="80"/>
      <c r="G432" s="80"/>
      <c r="H432" s="80"/>
      <c r="I432" s="80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15"/>
      <c r="AK432" s="80"/>
      <c r="AL432" s="80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</row>
    <row r="433">
      <c r="A433" s="80"/>
      <c r="B433" s="80"/>
      <c r="C433" s="80"/>
      <c r="D433" s="80"/>
      <c r="E433" s="124"/>
      <c r="F433" s="80"/>
      <c r="G433" s="80"/>
      <c r="H433" s="80"/>
      <c r="I433" s="80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15"/>
      <c r="AK433" s="80"/>
      <c r="AL433" s="80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</row>
    <row r="434">
      <c r="A434" s="80"/>
      <c r="B434" s="80"/>
      <c r="C434" s="80"/>
      <c r="D434" s="80"/>
      <c r="E434" s="124"/>
      <c r="F434" s="80"/>
      <c r="G434" s="80"/>
      <c r="H434" s="80"/>
      <c r="I434" s="80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15"/>
      <c r="AK434" s="80"/>
      <c r="AL434" s="80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</row>
    <row r="435">
      <c r="A435" s="80"/>
      <c r="B435" s="80"/>
      <c r="C435" s="80"/>
      <c r="D435" s="80"/>
      <c r="E435" s="124"/>
      <c r="F435" s="80"/>
      <c r="G435" s="80"/>
      <c r="H435" s="80"/>
      <c r="I435" s="80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15"/>
      <c r="AK435" s="80"/>
      <c r="AL435" s="80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</row>
    <row r="436">
      <c r="A436" s="80"/>
      <c r="B436" s="80"/>
      <c r="C436" s="80"/>
      <c r="D436" s="80"/>
      <c r="E436" s="124"/>
      <c r="F436" s="80"/>
      <c r="G436" s="80"/>
      <c r="H436" s="80"/>
      <c r="I436" s="80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15"/>
      <c r="AK436" s="80"/>
      <c r="AL436" s="80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</row>
    <row r="437">
      <c r="A437" s="80"/>
      <c r="B437" s="80"/>
      <c r="C437" s="80"/>
      <c r="D437" s="80"/>
      <c r="E437" s="124"/>
      <c r="F437" s="80"/>
      <c r="G437" s="80"/>
      <c r="H437" s="80"/>
      <c r="I437" s="80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15"/>
      <c r="AK437" s="80"/>
      <c r="AL437" s="80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</row>
    <row r="438">
      <c r="A438" s="80"/>
      <c r="B438" s="80"/>
      <c r="C438" s="80"/>
      <c r="D438" s="80"/>
      <c r="E438" s="124"/>
      <c r="F438" s="80"/>
      <c r="G438" s="80"/>
      <c r="H438" s="80"/>
      <c r="I438" s="80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15"/>
      <c r="AK438" s="80"/>
      <c r="AL438" s="80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</row>
    <row r="439">
      <c r="A439" s="80"/>
      <c r="B439" s="80"/>
      <c r="C439" s="80"/>
      <c r="D439" s="80"/>
      <c r="E439" s="124"/>
      <c r="F439" s="80"/>
      <c r="G439" s="80"/>
      <c r="H439" s="80"/>
      <c r="I439" s="80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15"/>
      <c r="AK439" s="80"/>
      <c r="AL439" s="80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</row>
    <row r="440">
      <c r="A440" s="80"/>
      <c r="B440" s="80"/>
      <c r="C440" s="80"/>
      <c r="D440" s="80"/>
      <c r="E440" s="124"/>
      <c r="F440" s="80"/>
      <c r="G440" s="80"/>
      <c r="H440" s="80"/>
      <c r="I440" s="80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15"/>
      <c r="AK440" s="80"/>
      <c r="AL440" s="80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</row>
    <row r="441">
      <c r="A441" s="80"/>
      <c r="B441" s="80"/>
      <c r="C441" s="80"/>
      <c r="D441" s="80"/>
      <c r="E441" s="124"/>
      <c r="F441" s="80"/>
      <c r="G441" s="80"/>
      <c r="H441" s="80"/>
      <c r="I441" s="80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15"/>
      <c r="AK441" s="80"/>
      <c r="AL441" s="80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</row>
    <row r="442">
      <c r="A442" s="80"/>
      <c r="B442" s="80"/>
      <c r="C442" s="80"/>
      <c r="D442" s="80"/>
      <c r="E442" s="124"/>
      <c r="F442" s="80"/>
      <c r="G442" s="80"/>
      <c r="H442" s="80"/>
      <c r="I442" s="80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15"/>
      <c r="AK442" s="80"/>
      <c r="AL442" s="80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</row>
    <row r="443">
      <c r="A443" s="80"/>
      <c r="B443" s="80"/>
      <c r="C443" s="80"/>
      <c r="D443" s="80"/>
      <c r="E443" s="124"/>
      <c r="F443" s="80"/>
      <c r="G443" s="80"/>
      <c r="H443" s="80"/>
      <c r="I443" s="80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15"/>
      <c r="AK443" s="80"/>
      <c r="AL443" s="80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</row>
    <row r="444">
      <c r="A444" s="80"/>
      <c r="B444" s="80"/>
      <c r="C444" s="80"/>
      <c r="D444" s="80"/>
      <c r="E444" s="124"/>
      <c r="F444" s="80"/>
      <c r="G444" s="80"/>
      <c r="H444" s="80"/>
      <c r="I444" s="80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15"/>
      <c r="AK444" s="80"/>
      <c r="AL444" s="80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</row>
    <row r="445">
      <c r="A445" s="80"/>
      <c r="B445" s="80"/>
      <c r="C445" s="80"/>
      <c r="D445" s="80"/>
      <c r="E445" s="124"/>
      <c r="F445" s="80"/>
      <c r="G445" s="80"/>
      <c r="H445" s="80"/>
      <c r="I445" s="80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15"/>
      <c r="AK445" s="80"/>
      <c r="AL445" s="80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</row>
    <row r="446">
      <c r="A446" s="80"/>
      <c r="B446" s="80"/>
      <c r="C446" s="80"/>
      <c r="D446" s="80"/>
      <c r="E446" s="124"/>
      <c r="F446" s="80"/>
      <c r="G446" s="80"/>
      <c r="H446" s="80"/>
      <c r="I446" s="80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15"/>
      <c r="AK446" s="80"/>
      <c r="AL446" s="80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</row>
    <row r="447">
      <c r="A447" s="80"/>
      <c r="B447" s="80"/>
      <c r="C447" s="80"/>
      <c r="D447" s="80"/>
      <c r="E447" s="124"/>
      <c r="F447" s="80"/>
      <c r="G447" s="80"/>
      <c r="H447" s="80"/>
      <c r="I447" s="80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15"/>
      <c r="AK447" s="80"/>
      <c r="AL447" s="80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</row>
    <row r="448">
      <c r="A448" s="80"/>
      <c r="B448" s="80"/>
      <c r="C448" s="80"/>
      <c r="D448" s="80"/>
      <c r="E448" s="124"/>
      <c r="F448" s="80"/>
      <c r="G448" s="80"/>
      <c r="H448" s="80"/>
      <c r="I448" s="80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15"/>
      <c r="AK448" s="80"/>
      <c r="AL448" s="80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</row>
    <row r="449">
      <c r="A449" s="80"/>
      <c r="B449" s="80"/>
      <c r="C449" s="80"/>
      <c r="D449" s="80"/>
      <c r="E449" s="124"/>
      <c r="F449" s="80"/>
      <c r="G449" s="80"/>
      <c r="H449" s="80"/>
      <c r="I449" s="80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15"/>
      <c r="AK449" s="80"/>
      <c r="AL449" s="80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</row>
    <row r="450">
      <c r="A450" s="80"/>
      <c r="B450" s="80"/>
      <c r="C450" s="80"/>
      <c r="D450" s="80"/>
      <c r="E450" s="124"/>
      <c r="F450" s="80"/>
      <c r="G450" s="80"/>
      <c r="H450" s="80"/>
      <c r="I450" s="80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15"/>
      <c r="AK450" s="80"/>
      <c r="AL450" s="80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</row>
    <row r="451">
      <c r="A451" s="80"/>
      <c r="B451" s="80"/>
      <c r="C451" s="80"/>
      <c r="D451" s="80"/>
      <c r="E451" s="124"/>
      <c r="F451" s="80"/>
      <c r="G451" s="80"/>
      <c r="H451" s="80"/>
      <c r="I451" s="80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15"/>
      <c r="AK451" s="80"/>
      <c r="AL451" s="80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</row>
    <row r="452">
      <c r="A452" s="80"/>
      <c r="B452" s="80"/>
      <c r="C452" s="80"/>
      <c r="D452" s="80"/>
      <c r="E452" s="124"/>
      <c r="F452" s="80"/>
      <c r="G452" s="80"/>
      <c r="H452" s="80"/>
      <c r="I452" s="80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15"/>
      <c r="AK452" s="80"/>
      <c r="AL452" s="80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</row>
    <row r="453">
      <c r="A453" s="80"/>
      <c r="B453" s="80"/>
      <c r="C453" s="80"/>
      <c r="D453" s="80"/>
      <c r="E453" s="124"/>
      <c r="F453" s="80"/>
      <c r="G453" s="80"/>
      <c r="H453" s="80"/>
      <c r="I453" s="80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15"/>
      <c r="AK453" s="80"/>
      <c r="AL453" s="80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</row>
    <row r="454">
      <c r="A454" s="80"/>
      <c r="B454" s="80"/>
      <c r="C454" s="80"/>
      <c r="D454" s="80"/>
      <c r="E454" s="124"/>
      <c r="F454" s="80"/>
      <c r="G454" s="80"/>
      <c r="H454" s="80"/>
      <c r="I454" s="80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15"/>
      <c r="AK454" s="80"/>
      <c r="AL454" s="80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</row>
    <row r="455">
      <c r="A455" s="80"/>
      <c r="B455" s="80"/>
      <c r="C455" s="80"/>
      <c r="D455" s="80"/>
      <c r="E455" s="124"/>
      <c r="F455" s="80"/>
      <c r="G455" s="80"/>
      <c r="H455" s="80"/>
      <c r="I455" s="80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15"/>
      <c r="AK455" s="80"/>
      <c r="AL455" s="80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</row>
    <row r="456">
      <c r="A456" s="80"/>
      <c r="B456" s="80"/>
      <c r="C456" s="80"/>
      <c r="D456" s="80"/>
      <c r="E456" s="124"/>
      <c r="F456" s="80"/>
      <c r="G456" s="80"/>
      <c r="H456" s="80"/>
      <c r="I456" s="80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15"/>
      <c r="AK456" s="80"/>
      <c r="AL456" s="80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</row>
    <row r="457">
      <c r="A457" s="80"/>
      <c r="B457" s="80"/>
      <c r="C457" s="80"/>
      <c r="D457" s="80"/>
      <c r="E457" s="124"/>
      <c r="F457" s="80"/>
      <c r="G457" s="80"/>
      <c r="H457" s="80"/>
      <c r="I457" s="80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15"/>
      <c r="AK457" s="80"/>
      <c r="AL457" s="80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</row>
    <row r="458">
      <c r="A458" s="80"/>
      <c r="B458" s="80"/>
      <c r="C458" s="80"/>
      <c r="D458" s="80"/>
      <c r="E458" s="124"/>
      <c r="F458" s="80"/>
      <c r="G458" s="80"/>
      <c r="H458" s="80"/>
      <c r="I458" s="80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15"/>
      <c r="AK458" s="80"/>
      <c r="AL458" s="80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</row>
    <row r="459">
      <c r="A459" s="80"/>
      <c r="B459" s="80"/>
      <c r="C459" s="80"/>
      <c r="D459" s="80"/>
      <c r="E459" s="124"/>
      <c r="F459" s="80"/>
      <c r="G459" s="80"/>
      <c r="H459" s="80"/>
      <c r="I459" s="80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15"/>
      <c r="AK459" s="80"/>
      <c r="AL459" s="80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</row>
    <row r="460">
      <c r="A460" s="80"/>
      <c r="B460" s="80"/>
      <c r="C460" s="80"/>
      <c r="D460" s="80"/>
      <c r="E460" s="124"/>
      <c r="F460" s="80"/>
      <c r="G460" s="80"/>
      <c r="H460" s="80"/>
      <c r="I460" s="80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15"/>
      <c r="AK460" s="80"/>
      <c r="AL460" s="80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</row>
    <row r="461">
      <c r="A461" s="80"/>
      <c r="B461" s="80"/>
      <c r="C461" s="80"/>
      <c r="D461" s="80"/>
      <c r="E461" s="124"/>
      <c r="F461" s="80"/>
      <c r="G461" s="80"/>
      <c r="H461" s="80"/>
      <c r="I461" s="80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15"/>
      <c r="AK461" s="80"/>
      <c r="AL461" s="80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</row>
    <row r="462">
      <c r="A462" s="80"/>
      <c r="B462" s="80"/>
      <c r="C462" s="80"/>
      <c r="D462" s="80"/>
      <c r="E462" s="124"/>
      <c r="F462" s="80"/>
      <c r="G462" s="80"/>
      <c r="H462" s="80"/>
      <c r="I462" s="80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15"/>
      <c r="AK462" s="80"/>
      <c r="AL462" s="80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</row>
    <row r="463">
      <c r="A463" s="80"/>
      <c r="B463" s="80"/>
      <c r="C463" s="80"/>
      <c r="D463" s="80"/>
      <c r="E463" s="124"/>
      <c r="F463" s="80"/>
      <c r="G463" s="80"/>
      <c r="H463" s="80"/>
      <c r="I463" s="80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15"/>
      <c r="AK463" s="80"/>
      <c r="AL463" s="80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</row>
    <row r="464">
      <c r="A464" s="80"/>
      <c r="B464" s="80"/>
      <c r="C464" s="80"/>
      <c r="D464" s="80"/>
      <c r="E464" s="124"/>
      <c r="F464" s="80"/>
      <c r="G464" s="80"/>
      <c r="H464" s="80"/>
      <c r="I464" s="80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15"/>
      <c r="AK464" s="80"/>
      <c r="AL464" s="80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</row>
    <row r="465">
      <c r="A465" s="80"/>
      <c r="B465" s="80"/>
      <c r="C465" s="80"/>
      <c r="D465" s="80"/>
      <c r="E465" s="124"/>
      <c r="F465" s="80"/>
      <c r="G465" s="80"/>
      <c r="H465" s="80"/>
      <c r="I465" s="80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15"/>
      <c r="AK465" s="80"/>
      <c r="AL465" s="80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</row>
    <row r="466">
      <c r="A466" s="80"/>
      <c r="B466" s="80"/>
      <c r="C466" s="80"/>
      <c r="D466" s="80"/>
      <c r="E466" s="124"/>
      <c r="F466" s="80"/>
      <c r="G466" s="80"/>
      <c r="H466" s="80"/>
      <c r="I466" s="80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15"/>
      <c r="AK466" s="80"/>
      <c r="AL466" s="80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</row>
    <row r="467">
      <c r="A467" s="80"/>
      <c r="B467" s="80"/>
      <c r="C467" s="80"/>
      <c r="D467" s="80"/>
      <c r="E467" s="124"/>
      <c r="F467" s="80"/>
      <c r="G467" s="80"/>
      <c r="H467" s="80"/>
      <c r="I467" s="80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15"/>
      <c r="AK467" s="80"/>
      <c r="AL467" s="80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</row>
    <row r="468">
      <c r="A468" s="80"/>
      <c r="B468" s="80"/>
      <c r="C468" s="80"/>
      <c r="D468" s="80"/>
      <c r="E468" s="124"/>
      <c r="F468" s="80"/>
      <c r="G468" s="80"/>
      <c r="H468" s="80"/>
      <c r="I468" s="80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15"/>
      <c r="AK468" s="80"/>
      <c r="AL468" s="80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</row>
    <row r="469">
      <c r="A469" s="80"/>
      <c r="B469" s="80"/>
      <c r="C469" s="80"/>
      <c r="D469" s="80"/>
      <c r="E469" s="124"/>
      <c r="F469" s="80"/>
      <c r="G469" s="80"/>
      <c r="H469" s="80"/>
      <c r="I469" s="80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15"/>
      <c r="AK469" s="80"/>
      <c r="AL469" s="80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</row>
    <row r="470">
      <c r="A470" s="80"/>
      <c r="B470" s="80"/>
      <c r="C470" s="80"/>
      <c r="D470" s="80"/>
      <c r="E470" s="124"/>
      <c r="F470" s="80"/>
      <c r="G470" s="80"/>
      <c r="H470" s="80"/>
      <c r="I470" s="80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15"/>
      <c r="AK470" s="80"/>
      <c r="AL470" s="80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</row>
    <row r="471">
      <c r="A471" s="80"/>
      <c r="B471" s="80"/>
      <c r="C471" s="80"/>
      <c r="D471" s="80"/>
      <c r="E471" s="124"/>
      <c r="F471" s="80"/>
      <c r="G471" s="80"/>
      <c r="H471" s="80"/>
      <c r="I471" s="80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15"/>
      <c r="AK471" s="80"/>
      <c r="AL471" s="80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</row>
    <row r="472">
      <c r="A472" s="80"/>
      <c r="B472" s="80"/>
      <c r="C472" s="80"/>
      <c r="D472" s="80"/>
      <c r="E472" s="124"/>
      <c r="F472" s="80"/>
      <c r="G472" s="80"/>
      <c r="H472" s="80"/>
      <c r="I472" s="80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15"/>
      <c r="AK472" s="80"/>
      <c r="AL472" s="80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</row>
    <row r="473">
      <c r="A473" s="80"/>
      <c r="B473" s="80"/>
      <c r="C473" s="80"/>
      <c r="D473" s="80"/>
      <c r="E473" s="124"/>
      <c r="F473" s="80"/>
      <c r="G473" s="80"/>
      <c r="H473" s="80"/>
      <c r="I473" s="80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15"/>
      <c r="AK473" s="80"/>
      <c r="AL473" s="80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</row>
    <row r="474">
      <c r="A474" s="80"/>
      <c r="B474" s="80"/>
      <c r="C474" s="80"/>
      <c r="D474" s="80"/>
      <c r="E474" s="124"/>
      <c r="F474" s="80"/>
      <c r="G474" s="80"/>
      <c r="H474" s="80"/>
      <c r="I474" s="80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15"/>
      <c r="AK474" s="80"/>
      <c r="AL474" s="80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</row>
    <row r="475">
      <c r="A475" s="80"/>
      <c r="B475" s="80"/>
      <c r="C475" s="80"/>
      <c r="D475" s="80"/>
      <c r="E475" s="124"/>
      <c r="F475" s="80"/>
      <c r="G475" s="80"/>
      <c r="H475" s="80"/>
      <c r="I475" s="80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15"/>
      <c r="AK475" s="80"/>
      <c r="AL475" s="80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</row>
    <row r="476">
      <c r="A476" s="80"/>
      <c r="B476" s="80"/>
      <c r="C476" s="80"/>
      <c r="D476" s="80"/>
      <c r="E476" s="124"/>
      <c r="F476" s="80"/>
      <c r="G476" s="80"/>
      <c r="H476" s="80"/>
      <c r="I476" s="80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15"/>
      <c r="AK476" s="80"/>
      <c r="AL476" s="80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</row>
    <row r="477">
      <c r="A477" s="80"/>
      <c r="B477" s="80"/>
      <c r="C477" s="80"/>
      <c r="D477" s="80"/>
      <c r="E477" s="124"/>
      <c r="F477" s="80"/>
      <c r="G477" s="80"/>
      <c r="H477" s="80"/>
      <c r="I477" s="80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15"/>
      <c r="AK477" s="80"/>
      <c r="AL477" s="80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</row>
    <row r="478">
      <c r="A478" s="80"/>
      <c r="B478" s="80"/>
      <c r="C478" s="80"/>
      <c r="D478" s="80"/>
      <c r="E478" s="124"/>
      <c r="F478" s="80"/>
      <c r="G478" s="80"/>
      <c r="H478" s="80"/>
      <c r="I478" s="80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15"/>
      <c r="AK478" s="80"/>
      <c r="AL478" s="80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</row>
    <row r="479">
      <c r="A479" s="80"/>
      <c r="B479" s="80"/>
      <c r="C479" s="80"/>
      <c r="D479" s="80"/>
      <c r="E479" s="124"/>
      <c r="F479" s="80"/>
      <c r="G479" s="80"/>
      <c r="H479" s="80"/>
      <c r="I479" s="80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15"/>
      <c r="AK479" s="80"/>
      <c r="AL479" s="80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</row>
    <row r="480">
      <c r="A480" s="80"/>
      <c r="B480" s="80"/>
      <c r="C480" s="80"/>
      <c r="D480" s="80"/>
      <c r="E480" s="124"/>
      <c r="F480" s="80"/>
      <c r="G480" s="80"/>
      <c r="H480" s="80"/>
      <c r="I480" s="80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15"/>
      <c r="AK480" s="80"/>
      <c r="AL480" s="80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</row>
    <row r="481">
      <c r="A481" s="80"/>
      <c r="B481" s="80"/>
      <c r="C481" s="80"/>
      <c r="D481" s="80"/>
      <c r="E481" s="124"/>
      <c r="F481" s="80"/>
      <c r="G481" s="80"/>
      <c r="H481" s="80"/>
      <c r="I481" s="80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15"/>
      <c r="AK481" s="80"/>
      <c r="AL481" s="80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</row>
    <row r="482">
      <c r="A482" s="80"/>
      <c r="B482" s="80"/>
      <c r="C482" s="80"/>
      <c r="D482" s="80"/>
      <c r="E482" s="124"/>
      <c r="F482" s="80"/>
      <c r="G482" s="80"/>
      <c r="H482" s="80"/>
      <c r="I482" s="80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15"/>
      <c r="AK482" s="80"/>
      <c r="AL482" s="80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</row>
    <row r="483">
      <c r="A483" s="80"/>
      <c r="B483" s="80"/>
      <c r="C483" s="80"/>
      <c r="D483" s="80"/>
      <c r="E483" s="124"/>
      <c r="F483" s="80"/>
      <c r="G483" s="80"/>
      <c r="H483" s="80"/>
      <c r="I483" s="80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15"/>
      <c r="AK483" s="80"/>
      <c r="AL483" s="80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</row>
    <row r="484">
      <c r="A484" s="80"/>
      <c r="B484" s="80"/>
      <c r="C484" s="80"/>
      <c r="D484" s="80"/>
      <c r="E484" s="124"/>
      <c r="F484" s="80"/>
      <c r="G484" s="80"/>
      <c r="H484" s="80"/>
      <c r="I484" s="80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15"/>
      <c r="AK484" s="80"/>
      <c r="AL484" s="80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</row>
    <row r="485">
      <c r="A485" s="80"/>
      <c r="B485" s="80"/>
      <c r="C485" s="80"/>
      <c r="D485" s="80"/>
      <c r="E485" s="124"/>
      <c r="F485" s="80"/>
      <c r="G485" s="80"/>
      <c r="H485" s="80"/>
      <c r="I485" s="80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15"/>
      <c r="AK485" s="80"/>
      <c r="AL485" s="80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</row>
    <row r="486">
      <c r="A486" s="80"/>
      <c r="B486" s="80"/>
      <c r="C486" s="80"/>
      <c r="D486" s="80"/>
      <c r="E486" s="124"/>
      <c r="F486" s="80"/>
      <c r="G486" s="80"/>
      <c r="H486" s="80"/>
      <c r="I486" s="80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15"/>
      <c r="AK486" s="80"/>
      <c r="AL486" s="80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</row>
    <row r="487">
      <c r="A487" s="80"/>
      <c r="B487" s="80"/>
      <c r="C487" s="80"/>
      <c r="D487" s="80"/>
      <c r="E487" s="124"/>
      <c r="F487" s="80"/>
      <c r="G487" s="80"/>
      <c r="H487" s="80"/>
      <c r="I487" s="80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15"/>
      <c r="AK487" s="80"/>
      <c r="AL487" s="80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</row>
    <row r="488">
      <c r="A488" s="80"/>
      <c r="B488" s="80"/>
      <c r="C488" s="80"/>
      <c r="D488" s="80"/>
      <c r="E488" s="124"/>
      <c r="F488" s="80"/>
      <c r="G488" s="80"/>
      <c r="H488" s="80"/>
      <c r="I488" s="80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15"/>
      <c r="AK488" s="80"/>
      <c r="AL488" s="80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</row>
    <row r="489">
      <c r="A489" s="80"/>
      <c r="B489" s="80"/>
      <c r="C489" s="80"/>
      <c r="D489" s="80"/>
      <c r="E489" s="124"/>
      <c r="F489" s="80"/>
      <c r="G489" s="80"/>
      <c r="H489" s="80"/>
      <c r="I489" s="80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15"/>
      <c r="AK489" s="80"/>
      <c r="AL489" s="80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</row>
    <row r="490">
      <c r="A490" s="80"/>
      <c r="B490" s="80"/>
      <c r="C490" s="80"/>
      <c r="D490" s="80"/>
      <c r="E490" s="124"/>
      <c r="F490" s="80"/>
      <c r="G490" s="80"/>
      <c r="H490" s="80"/>
      <c r="I490" s="80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15"/>
      <c r="AK490" s="80"/>
      <c r="AL490" s="80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</row>
    <row r="491">
      <c r="A491" s="80"/>
      <c r="B491" s="80"/>
      <c r="C491" s="80"/>
      <c r="D491" s="80"/>
      <c r="E491" s="124"/>
      <c r="F491" s="80"/>
      <c r="G491" s="80"/>
      <c r="H491" s="80"/>
      <c r="I491" s="80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15"/>
      <c r="AK491" s="80"/>
      <c r="AL491" s="80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</row>
    <row r="492">
      <c r="A492" s="80"/>
      <c r="B492" s="80"/>
      <c r="C492" s="80"/>
      <c r="D492" s="80"/>
      <c r="E492" s="124"/>
      <c r="F492" s="80"/>
      <c r="G492" s="80"/>
      <c r="H492" s="80"/>
      <c r="I492" s="80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15"/>
      <c r="AK492" s="80"/>
      <c r="AL492" s="80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</row>
    <row r="493">
      <c r="A493" s="80"/>
      <c r="B493" s="80"/>
      <c r="C493" s="80"/>
      <c r="D493" s="80"/>
      <c r="E493" s="124"/>
      <c r="F493" s="80"/>
      <c r="G493" s="80"/>
      <c r="H493" s="80"/>
      <c r="I493" s="80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15"/>
      <c r="AK493" s="80"/>
      <c r="AL493" s="80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</row>
    <row r="494">
      <c r="A494" s="80"/>
      <c r="B494" s="80"/>
      <c r="C494" s="80"/>
      <c r="D494" s="80"/>
      <c r="E494" s="124"/>
      <c r="F494" s="80"/>
      <c r="G494" s="80"/>
      <c r="H494" s="80"/>
      <c r="I494" s="80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15"/>
      <c r="AK494" s="80"/>
      <c r="AL494" s="80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</row>
    <row r="495">
      <c r="A495" s="80"/>
      <c r="B495" s="80"/>
      <c r="C495" s="80"/>
      <c r="D495" s="80"/>
      <c r="E495" s="124"/>
      <c r="F495" s="80"/>
      <c r="G495" s="80"/>
      <c r="H495" s="80"/>
      <c r="I495" s="80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15"/>
      <c r="AK495" s="80"/>
      <c r="AL495" s="80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</row>
    <row r="496">
      <c r="A496" s="80"/>
      <c r="B496" s="80"/>
      <c r="C496" s="80"/>
      <c r="D496" s="80"/>
      <c r="E496" s="124"/>
      <c r="F496" s="80"/>
      <c r="G496" s="80"/>
      <c r="H496" s="80"/>
      <c r="I496" s="80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15"/>
      <c r="AK496" s="80"/>
      <c r="AL496" s="80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</row>
    <row r="497">
      <c r="A497" s="80"/>
      <c r="B497" s="80"/>
      <c r="C497" s="80"/>
      <c r="D497" s="80"/>
      <c r="E497" s="124"/>
      <c r="F497" s="80"/>
      <c r="G497" s="80"/>
      <c r="H497" s="80"/>
      <c r="I497" s="80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15"/>
      <c r="AK497" s="80"/>
      <c r="AL497" s="80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</row>
    <row r="498">
      <c r="A498" s="80"/>
      <c r="B498" s="80"/>
      <c r="C498" s="80"/>
      <c r="D498" s="80"/>
      <c r="E498" s="124"/>
      <c r="F498" s="80"/>
      <c r="G498" s="80"/>
      <c r="H498" s="80"/>
      <c r="I498" s="80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15"/>
      <c r="AK498" s="80"/>
      <c r="AL498" s="80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</row>
    <row r="499">
      <c r="A499" s="80"/>
      <c r="B499" s="80"/>
      <c r="C499" s="80"/>
      <c r="D499" s="80"/>
      <c r="E499" s="124"/>
      <c r="F499" s="80"/>
      <c r="G499" s="80"/>
      <c r="H499" s="80"/>
      <c r="I499" s="80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15"/>
      <c r="AK499" s="80"/>
      <c r="AL499" s="80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</row>
    <row r="500">
      <c r="A500" s="80"/>
      <c r="B500" s="80"/>
      <c r="C500" s="80"/>
      <c r="D500" s="80"/>
      <c r="E500" s="124"/>
      <c r="F500" s="80"/>
      <c r="G500" s="80"/>
      <c r="H500" s="80"/>
      <c r="I500" s="80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15"/>
      <c r="AK500" s="80"/>
      <c r="AL500" s="80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</row>
    <row r="501">
      <c r="A501" s="80"/>
      <c r="B501" s="80"/>
      <c r="C501" s="80"/>
      <c r="D501" s="80"/>
      <c r="E501" s="124"/>
      <c r="F501" s="80"/>
      <c r="G501" s="80"/>
      <c r="H501" s="80"/>
      <c r="I501" s="80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7"/>
      <c r="AK501" s="80"/>
      <c r="AL501" s="80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</row>
    <row r="502">
      <c r="A502" s="80"/>
      <c r="B502" s="80"/>
      <c r="C502" s="80"/>
      <c r="D502" s="80"/>
      <c r="E502" s="124"/>
      <c r="F502" s="80"/>
      <c r="G502" s="80"/>
      <c r="H502" s="80"/>
      <c r="I502" s="80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7"/>
      <c r="AK502" s="80"/>
      <c r="AL502" s="80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</row>
    <row r="503">
      <c r="A503" s="80"/>
      <c r="B503" s="80"/>
      <c r="C503" s="80"/>
      <c r="D503" s="80"/>
      <c r="E503" s="124"/>
      <c r="F503" s="80"/>
      <c r="G503" s="80"/>
      <c r="H503" s="80"/>
      <c r="I503" s="80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7"/>
      <c r="AK503" s="80"/>
      <c r="AL503" s="80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</row>
    <row r="504">
      <c r="A504" s="80"/>
      <c r="B504" s="80"/>
      <c r="C504" s="80"/>
      <c r="D504" s="80"/>
      <c r="E504" s="124"/>
      <c r="F504" s="80"/>
      <c r="G504" s="80"/>
      <c r="H504" s="80"/>
      <c r="I504" s="80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7"/>
      <c r="AK504" s="80"/>
      <c r="AL504" s="80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</row>
    <row r="505">
      <c r="A505" s="80"/>
      <c r="B505" s="80"/>
      <c r="C505" s="80"/>
      <c r="D505" s="80"/>
      <c r="E505" s="124"/>
      <c r="F505" s="80"/>
      <c r="G505" s="80"/>
      <c r="H505" s="80"/>
      <c r="I505" s="80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7"/>
      <c r="AK505" s="80"/>
      <c r="AL505" s="80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</row>
    <row r="506">
      <c r="A506" s="80"/>
      <c r="B506" s="80"/>
      <c r="C506" s="80"/>
      <c r="D506" s="80"/>
      <c r="E506" s="124"/>
      <c r="F506" s="80"/>
      <c r="G506" s="80"/>
      <c r="H506" s="80"/>
      <c r="I506" s="80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7"/>
      <c r="AK506" s="80"/>
      <c r="AL506" s="80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</row>
    <row r="507">
      <c r="A507" s="80"/>
      <c r="B507" s="80"/>
      <c r="C507" s="80"/>
      <c r="D507" s="80"/>
      <c r="E507" s="124"/>
      <c r="F507" s="80"/>
      <c r="G507" s="80"/>
      <c r="H507" s="80"/>
      <c r="I507" s="80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7"/>
      <c r="AK507" s="80"/>
      <c r="AL507" s="80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</row>
    <row r="508">
      <c r="A508" s="80"/>
      <c r="B508" s="80"/>
      <c r="C508" s="80"/>
      <c r="D508" s="80"/>
      <c r="E508" s="124"/>
      <c r="F508" s="80"/>
      <c r="G508" s="80"/>
      <c r="H508" s="80"/>
      <c r="I508" s="80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7"/>
      <c r="AK508" s="80"/>
      <c r="AL508" s="80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</row>
    <row r="509">
      <c r="A509" s="80"/>
      <c r="B509" s="80"/>
      <c r="C509" s="80"/>
      <c r="D509" s="80"/>
      <c r="E509" s="124"/>
      <c r="F509" s="80"/>
      <c r="G509" s="80"/>
      <c r="H509" s="80"/>
      <c r="I509" s="80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7"/>
      <c r="AK509" s="80"/>
      <c r="AL509" s="80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</row>
    <row r="510">
      <c r="A510" s="80"/>
      <c r="B510" s="80"/>
      <c r="C510" s="80"/>
      <c r="D510" s="80"/>
      <c r="E510" s="124"/>
      <c r="F510" s="80"/>
      <c r="G510" s="80"/>
      <c r="H510" s="80"/>
      <c r="I510" s="80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7"/>
      <c r="AK510" s="80"/>
      <c r="AL510" s="80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</row>
    <row r="511">
      <c r="A511" s="80"/>
      <c r="B511" s="80"/>
      <c r="C511" s="80"/>
      <c r="D511" s="80"/>
      <c r="E511" s="124"/>
      <c r="F511" s="80"/>
      <c r="G511" s="80"/>
      <c r="H511" s="80"/>
      <c r="I511" s="80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7"/>
      <c r="AK511" s="80"/>
      <c r="AL511" s="80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</row>
    <row r="512">
      <c r="A512" s="80"/>
      <c r="B512" s="80"/>
      <c r="C512" s="80"/>
      <c r="D512" s="80"/>
      <c r="E512" s="124"/>
      <c r="F512" s="80"/>
      <c r="G512" s="80"/>
      <c r="H512" s="80"/>
      <c r="I512" s="80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7"/>
      <c r="AK512" s="80"/>
      <c r="AL512" s="80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</row>
    <row r="513">
      <c r="A513" s="80"/>
      <c r="B513" s="80"/>
      <c r="C513" s="80"/>
      <c r="D513" s="80"/>
      <c r="E513" s="124"/>
      <c r="F513" s="80"/>
      <c r="G513" s="80"/>
      <c r="H513" s="80"/>
      <c r="I513" s="80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7"/>
      <c r="AK513" s="80"/>
      <c r="AL513" s="80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</row>
    <row r="514">
      <c r="A514" s="80"/>
      <c r="B514" s="80"/>
      <c r="C514" s="80"/>
      <c r="D514" s="80"/>
      <c r="E514" s="124"/>
      <c r="F514" s="80"/>
      <c r="G514" s="80"/>
      <c r="H514" s="80"/>
      <c r="I514" s="80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7"/>
      <c r="AK514" s="80"/>
      <c r="AL514" s="80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</row>
    <row r="515">
      <c r="A515" s="80"/>
      <c r="B515" s="80"/>
      <c r="C515" s="80"/>
      <c r="D515" s="80"/>
      <c r="E515" s="124"/>
      <c r="F515" s="80"/>
      <c r="G515" s="80"/>
      <c r="H515" s="80"/>
      <c r="I515" s="80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7"/>
      <c r="AK515" s="80"/>
      <c r="AL515" s="80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</row>
    <row r="516">
      <c r="A516" s="80"/>
      <c r="B516" s="80"/>
      <c r="C516" s="80"/>
      <c r="D516" s="80"/>
      <c r="E516" s="124"/>
      <c r="F516" s="80"/>
      <c r="G516" s="80"/>
      <c r="H516" s="80"/>
      <c r="I516" s="80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7"/>
      <c r="AK516" s="80"/>
      <c r="AL516" s="80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</row>
    <row r="517">
      <c r="A517" s="80"/>
      <c r="B517" s="80"/>
      <c r="C517" s="80"/>
      <c r="D517" s="80"/>
      <c r="E517" s="124"/>
      <c r="F517" s="80"/>
      <c r="G517" s="80"/>
      <c r="H517" s="80"/>
      <c r="I517" s="80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7"/>
      <c r="AK517" s="80"/>
      <c r="AL517" s="80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</row>
    <row r="518">
      <c r="A518" s="80"/>
      <c r="B518" s="80"/>
      <c r="C518" s="80"/>
      <c r="D518" s="80"/>
      <c r="E518" s="124"/>
      <c r="F518" s="80"/>
      <c r="G518" s="80"/>
      <c r="H518" s="80"/>
      <c r="I518" s="80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7"/>
      <c r="AK518" s="80"/>
      <c r="AL518" s="80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</row>
    <row r="519">
      <c r="A519" s="80"/>
      <c r="B519" s="80"/>
      <c r="C519" s="80"/>
      <c r="D519" s="80"/>
      <c r="E519" s="124"/>
      <c r="F519" s="80"/>
      <c r="G519" s="80"/>
      <c r="H519" s="80"/>
      <c r="I519" s="80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7"/>
      <c r="AK519" s="80"/>
      <c r="AL519" s="80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</row>
    <row r="520">
      <c r="A520" s="80"/>
      <c r="B520" s="80"/>
      <c r="C520" s="80"/>
      <c r="D520" s="80"/>
      <c r="E520" s="124"/>
      <c r="F520" s="80"/>
      <c r="G520" s="80"/>
      <c r="H520" s="80"/>
      <c r="I520" s="80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7"/>
      <c r="AK520" s="80"/>
      <c r="AL520" s="80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</row>
    <row r="521">
      <c r="A521" s="80"/>
      <c r="B521" s="80"/>
      <c r="C521" s="80"/>
      <c r="D521" s="80"/>
      <c r="E521" s="124"/>
      <c r="F521" s="80"/>
      <c r="G521" s="80"/>
      <c r="H521" s="80"/>
      <c r="I521" s="80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7"/>
      <c r="AK521" s="80"/>
      <c r="AL521" s="80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</row>
    <row r="522">
      <c r="A522" s="80"/>
      <c r="B522" s="80"/>
      <c r="C522" s="80"/>
      <c r="D522" s="80"/>
      <c r="E522" s="124"/>
      <c r="F522" s="80"/>
      <c r="G522" s="80"/>
      <c r="H522" s="80"/>
      <c r="I522" s="80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7"/>
      <c r="AK522" s="80"/>
      <c r="AL522" s="80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</row>
    <row r="523">
      <c r="A523" s="80"/>
      <c r="B523" s="80"/>
      <c r="C523" s="80"/>
      <c r="D523" s="80"/>
      <c r="E523" s="124"/>
      <c r="F523" s="80"/>
      <c r="G523" s="80"/>
      <c r="H523" s="80"/>
      <c r="I523" s="80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7"/>
      <c r="AK523" s="80"/>
      <c r="AL523" s="80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</row>
    <row r="524">
      <c r="A524" s="80"/>
      <c r="B524" s="80"/>
      <c r="C524" s="80"/>
      <c r="D524" s="80"/>
      <c r="E524" s="124"/>
      <c r="F524" s="80"/>
      <c r="G524" s="80"/>
      <c r="H524" s="80"/>
      <c r="I524" s="80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7"/>
      <c r="AK524" s="80"/>
      <c r="AL524" s="80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</row>
    <row r="525">
      <c r="A525" s="80"/>
      <c r="B525" s="80"/>
      <c r="C525" s="80"/>
      <c r="D525" s="80"/>
      <c r="E525" s="124"/>
      <c r="F525" s="80"/>
      <c r="G525" s="80"/>
      <c r="H525" s="80"/>
      <c r="I525" s="80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7"/>
      <c r="AK525" s="80"/>
      <c r="AL525" s="80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</row>
    <row r="526">
      <c r="A526" s="80"/>
      <c r="B526" s="80"/>
      <c r="C526" s="80"/>
      <c r="D526" s="80"/>
      <c r="E526" s="124"/>
      <c r="F526" s="80"/>
      <c r="G526" s="80"/>
      <c r="H526" s="80"/>
      <c r="I526" s="80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7"/>
      <c r="AK526" s="80"/>
      <c r="AL526" s="80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</row>
    <row r="527">
      <c r="A527" s="80"/>
      <c r="B527" s="80"/>
      <c r="C527" s="80"/>
      <c r="D527" s="80"/>
      <c r="E527" s="124"/>
      <c r="F527" s="80"/>
      <c r="G527" s="80"/>
      <c r="H527" s="80"/>
      <c r="I527" s="80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7"/>
      <c r="AK527" s="80"/>
      <c r="AL527" s="80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</row>
    <row r="528">
      <c r="A528" s="80"/>
      <c r="B528" s="80"/>
      <c r="C528" s="80"/>
      <c r="D528" s="80"/>
      <c r="E528" s="124"/>
      <c r="F528" s="80"/>
      <c r="G528" s="80"/>
      <c r="H528" s="80"/>
      <c r="I528" s="80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7"/>
      <c r="AK528" s="80"/>
      <c r="AL528" s="80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</row>
    <row r="529">
      <c r="A529" s="80"/>
      <c r="B529" s="80"/>
      <c r="C529" s="80"/>
      <c r="D529" s="80"/>
      <c r="E529" s="124"/>
      <c r="F529" s="80"/>
      <c r="G529" s="80"/>
      <c r="H529" s="80"/>
      <c r="I529" s="80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7"/>
      <c r="AK529" s="80"/>
      <c r="AL529" s="80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</row>
    <row r="530">
      <c r="A530" s="80"/>
      <c r="B530" s="80"/>
      <c r="C530" s="80"/>
      <c r="D530" s="80"/>
      <c r="E530" s="124"/>
      <c r="F530" s="80"/>
      <c r="G530" s="80"/>
      <c r="H530" s="80"/>
      <c r="I530" s="80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7"/>
      <c r="AK530" s="80"/>
      <c r="AL530" s="80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</row>
    <row r="531">
      <c r="A531" s="80"/>
      <c r="B531" s="80"/>
      <c r="C531" s="80"/>
      <c r="D531" s="80"/>
      <c r="E531" s="124"/>
      <c r="F531" s="80"/>
      <c r="G531" s="80"/>
      <c r="H531" s="80"/>
      <c r="I531" s="80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7"/>
      <c r="AK531" s="80"/>
      <c r="AL531" s="80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</row>
    <row r="532">
      <c r="A532" s="80"/>
      <c r="B532" s="80"/>
      <c r="C532" s="80"/>
      <c r="D532" s="80"/>
      <c r="E532" s="124"/>
      <c r="F532" s="80"/>
      <c r="G532" s="80"/>
      <c r="H532" s="80"/>
      <c r="I532" s="80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7"/>
      <c r="AK532" s="80"/>
      <c r="AL532" s="80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</row>
    <row r="533">
      <c r="A533" s="80"/>
      <c r="B533" s="80"/>
      <c r="C533" s="80"/>
      <c r="D533" s="80"/>
      <c r="E533" s="124"/>
      <c r="F533" s="80"/>
      <c r="G533" s="80"/>
      <c r="H533" s="80"/>
      <c r="I533" s="80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7"/>
      <c r="AK533" s="80"/>
      <c r="AL533" s="80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</row>
    <row r="534">
      <c r="A534" s="80"/>
      <c r="B534" s="80"/>
      <c r="C534" s="80"/>
      <c r="D534" s="80"/>
      <c r="E534" s="124"/>
      <c r="F534" s="80"/>
      <c r="G534" s="80"/>
      <c r="H534" s="80"/>
      <c r="I534" s="80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7"/>
      <c r="AK534" s="80"/>
      <c r="AL534" s="80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</row>
    <row r="535">
      <c r="A535" s="80"/>
      <c r="B535" s="80"/>
      <c r="C535" s="80"/>
      <c r="D535" s="80"/>
      <c r="E535" s="124"/>
      <c r="F535" s="80"/>
      <c r="G535" s="80"/>
      <c r="H535" s="80"/>
      <c r="I535" s="80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7"/>
      <c r="AK535" s="80"/>
      <c r="AL535" s="80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</row>
    <row r="536">
      <c r="A536" s="80"/>
      <c r="B536" s="80"/>
      <c r="C536" s="80"/>
      <c r="D536" s="80"/>
      <c r="E536" s="124"/>
      <c r="F536" s="80"/>
      <c r="G536" s="80"/>
      <c r="H536" s="80"/>
      <c r="I536" s="80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7"/>
      <c r="AK536" s="80"/>
      <c r="AL536" s="80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</row>
    <row r="537">
      <c r="A537" s="80"/>
      <c r="B537" s="80"/>
      <c r="C537" s="80"/>
      <c r="D537" s="80"/>
      <c r="E537" s="124"/>
      <c r="F537" s="80"/>
      <c r="G537" s="80"/>
      <c r="H537" s="80"/>
      <c r="I537" s="80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7"/>
      <c r="AK537" s="80"/>
      <c r="AL537" s="80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</row>
    <row r="538">
      <c r="A538" s="80"/>
      <c r="B538" s="80"/>
      <c r="C538" s="80"/>
      <c r="D538" s="80"/>
      <c r="E538" s="124"/>
      <c r="F538" s="80"/>
      <c r="G538" s="80"/>
      <c r="H538" s="80"/>
      <c r="I538" s="80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7"/>
      <c r="AK538" s="80"/>
      <c r="AL538" s="80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</row>
    <row r="539">
      <c r="A539" s="80"/>
      <c r="B539" s="80"/>
      <c r="C539" s="80"/>
      <c r="D539" s="80"/>
      <c r="E539" s="124"/>
      <c r="F539" s="80"/>
      <c r="G539" s="80"/>
      <c r="H539" s="80"/>
      <c r="I539" s="80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7"/>
      <c r="AK539" s="80"/>
      <c r="AL539" s="80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</row>
    <row r="540">
      <c r="A540" s="80"/>
      <c r="B540" s="80"/>
      <c r="C540" s="80"/>
      <c r="D540" s="80"/>
      <c r="E540" s="124"/>
      <c r="F540" s="80"/>
      <c r="G540" s="80"/>
      <c r="H540" s="80"/>
      <c r="I540" s="80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7"/>
      <c r="AK540" s="80"/>
      <c r="AL540" s="80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</row>
    <row r="541">
      <c r="A541" s="80"/>
      <c r="B541" s="80"/>
      <c r="C541" s="80"/>
      <c r="D541" s="80"/>
      <c r="E541" s="124"/>
      <c r="F541" s="80"/>
      <c r="G541" s="80"/>
      <c r="H541" s="80"/>
      <c r="I541" s="80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7"/>
      <c r="AK541" s="80"/>
      <c r="AL541" s="80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</row>
    <row r="542">
      <c r="A542" s="80"/>
      <c r="B542" s="80"/>
      <c r="C542" s="80"/>
      <c r="D542" s="80"/>
      <c r="E542" s="124"/>
      <c r="F542" s="80"/>
      <c r="G542" s="80"/>
      <c r="H542" s="80"/>
      <c r="I542" s="80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7"/>
      <c r="AK542" s="80"/>
      <c r="AL542" s="80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</row>
    <row r="543">
      <c r="A543" s="80"/>
      <c r="B543" s="80"/>
      <c r="C543" s="80"/>
      <c r="D543" s="80"/>
      <c r="E543" s="124"/>
      <c r="F543" s="80"/>
      <c r="G543" s="80"/>
      <c r="H543" s="80"/>
      <c r="I543" s="80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7"/>
      <c r="AK543" s="80"/>
      <c r="AL543" s="80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</row>
    <row r="544">
      <c r="A544" s="80"/>
      <c r="B544" s="80"/>
      <c r="C544" s="80"/>
      <c r="D544" s="80"/>
      <c r="E544" s="124"/>
      <c r="F544" s="80"/>
      <c r="G544" s="80"/>
      <c r="H544" s="80"/>
      <c r="I544" s="80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7"/>
      <c r="AK544" s="80"/>
      <c r="AL544" s="80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</row>
    <row r="545">
      <c r="A545" s="80"/>
      <c r="B545" s="80"/>
      <c r="C545" s="80"/>
      <c r="D545" s="80"/>
      <c r="E545" s="124"/>
      <c r="F545" s="80"/>
      <c r="G545" s="80"/>
      <c r="H545" s="80"/>
      <c r="I545" s="80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7"/>
      <c r="AK545" s="80"/>
      <c r="AL545" s="80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</row>
    <row r="546">
      <c r="A546" s="80"/>
      <c r="B546" s="80"/>
      <c r="C546" s="80"/>
      <c r="D546" s="80"/>
      <c r="E546" s="124"/>
      <c r="F546" s="80"/>
      <c r="G546" s="80"/>
      <c r="H546" s="80"/>
      <c r="I546" s="80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7"/>
      <c r="AK546" s="80"/>
      <c r="AL546" s="80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</row>
    <row r="547">
      <c r="A547" s="80"/>
      <c r="B547" s="80"/>
      <c r="C547" s="80"/>
      <c r="D547" s="80"/>
      <c r="E547" s="124"/>
      <c r="F547" s="80"/>
      <c r="G547" s="80"/>
      <c r="H547" s="80"/>
      <c r="I547" s="80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7"/>
      <c r="AK547" s="80"/>
      <c r="AL547" s="80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</row>
    <row r="548">
      <c r="A548" s="80"/>
      <c r="B548" s="80"/>
      <c r="C548" s="80"/>
      <c r="D548" s="80"/>
      <c r="E548" s="124"/>
      <c r="F548" s="80"/>
      <c r="G548" s="80"/>
      <c r="H548" s="80"/>
      <c r="I548" s="80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7"/>
      <c r="AK548" s="80"/>
      <c r="AL548" s="80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</row>
    <row r="549">
      <c r="A549" s="80"/>
      <c r="B549" s="80"/>
      <c r="C549" s="80"/>
      <c r="D549" s="80"/>
      <c r="E549" s="124"/>
      <c r="F549" s="80"/>
      <c r="G549" s="80"/>
      <c r="H549" s="80"/>
      <c r="I549" s="80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7"/>
      <c r="AK549" s="80"/>
      <c r="AL549" s="80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</row>
    <row r="550">
      <c r="A550" s="80"/>
      <c r="B550" s="80"/>
      <c r="C550" s="80"/>
      <c r="D550" s="80"/>
      <c r="E550" s="124"/>
      <c r="F550" s="80"/>
      <c r="G550" s="80"/>
      <c r="H550" s="80"/>
      <c r="I550" s="80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7"/>
      <c r="AK550" s="80"/>
      <c r="AL550" s="80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</row>
    <row r="551">
      <c r="A551" s="80"/>
      <c r="B551" s="80"/>
      <c r="C551" s="80"/>
      <c r="D551" s="80"/>
      <c r="E551" s="124"/>
      <c r="F551" s="80"/>
      <c r="G551" s="80"/>
      <c r="H551" s="80"/>
      <c r="I551" s="80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7"/>
      <c r="AK551" s="80"/>
      <c r="AL551" s="80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</row>
    <row r="552">
      <c r="A552" s="80"/>
      <c r="B552" s="80"/>
      <c r="C552" s="80"/>
      <c r="D552" s="80"/>
      <c r="E552" s="124"/>
      <c r="F552" s="80"/>
      <c r="G552" s="80"/>
      <c r="H552" s="80"/>
      <c r="I552" s="80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7"/>
      <c r="AK552" s="80"/>
      <c r="AL552" s="80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</row>
    <row r="553">
      <c r="A553" s="80"/>
      <c r="B553" s="80"/>
      <c r="C553" s="80"/>
      <c r="D553" s="80"/>
      <c r="E553" s="124"/>
      <c r="F553" s="80"/>
      <c r="G553" s="80"/>
      <c r="H553" s="80"/>
      <c r="I553" s="80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7"/>
      <c r="AK553" s="80"/>
      <c r="AL553" s="80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</row>
    <row r="554">
      <c r="A554" s="80"/>
      <c r="B554" s="80"/>
      <c r="C554" s="80"/>
      <c r="D554" s="80"/>
      <c r="E554" s="124"/>
      <c r="F554" s="80"/>
      <c r="G554" s="80"/>
      <c r="H554" s="80"/>
      <c r="I554" s="80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7"/>
      <c r="AK554" s="80"/>
      <c r="AL554" s="80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</row>
    <row r="555">
      <c r="A555" s="80"/>
      <c r="B555" s="80"/>
      <c r="C555" s="80"/>
      <c r="D555" s="80"/>
      <c r="E555" s="124"/>
      <c r="F555" s="80"/>
      <c r="G555" s="80"/>
      <c r="H555" s="80"/>
      <c r="I555" s="80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7"/>
      <c r="AK555" s="80"/>
      <c r="AL555" s="80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</row>
    <row r="556">
      <c r="A556" s="80"/>
      <c r="B556" s="80"/>
      <c r="C556" s="80"/>
      <c r="D556" s="80"/>
      <c r="E556" s="124"/>
      <c r="F556" s="80"/>
      <c r="G556" s="80"/>
      <c r="H556" s="80"/>
      <c r="I556" s="80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7"/>
      <c r="AK556" s="80"/>
      <c r="AL556" s="80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</row>
    <row r="557">
      <c r="A557" s="80"/>
      <c r="B557" s="80"/>
      <c r="C557" s="80"/>
      <c r="D557" s="80"/>
      <c r="E557" s="124"/>
      <c r="F557" s="80"/>
      <c r="G557" s="80"/>
      <c r="H557" s="80"/>
      <c r="I557" s="80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7"/>
      <c r="AK557" s="80"/>
      <c r="AL557" s="80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</row>
    <row r="558">
      <c r="A558" s="80"/>
      <c r="B558" s="80"/>
      <c r="C558" s="80"/>
      <c r="D558" s="80"/>
      <c r="E558" s="124"/>
      <c r="F558" s="80"/>
      <c r="G558" s="80"/>
      <c r="H558" s="80"/>
      <c r="I558" s="80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7"/>
      <c r="AK558" s="80"/>
      <c r="AL558" s="80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</row>
    <row r="559">
      <c r="A559" s="80"/>
      <c r="B559" s="80"/>
      <c r="C559" s="80"/>
      <c r="D559" s="80"/>
      <c r="E559" s="124"/>
      <c r="F559" s="80"/>
      <c r="G559" s="80"/>
      <c r="H559" s="80"/>
      <c r="I559" s="80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7"/>
      <c r="AK559" s="80"/>
      <c r="AL559" s="80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</row>
    <row r="560">
      <c r="A560" s="80"/>
      <c r="B560" s="80"/>
      <c r="C560" s="80"/>
      <c r="D560" s="80"/>
      <c r="E560" s="124"/>
      <c r="F560" s="80"/>
      <c r="G560" s="80"/>
      <c r="H560" s="80"/>
      <c r="I560" s="80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7"/>
      <c r="AK560" s="80"/>
      <c r="AL560" s="80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</row>
    <row r="561">
      <c r="A561" s="80"/>
      <c r="B561" s="80"/>
      <c r="C561" s="80"/>
      <c r="D561" s="80"/>
      <c r="E561" s="124"/>
      <c r="F561" s="80"/>
      <c r="G561" s="80"/>
      <c r="H561" s="80"/>
      <c r="I561" s="80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7"/>
      <c r="AK561" s="80"/>
      <c r="AL561" s="80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</row>
    <row r="562">
      <c r="A562" s="80"/>
      <c r="B562" s="80"/>
      <c r="C562" s="80"/>
      <c r="D562" s="80"/>
      <c r="E562" s="124"/>
      <c r="F562" s="80"/>
      <c r="G562" s="80"/>
      <c r="H562" s="80"/>
      <c r="I562" s="80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7"/>
      <c r="AK562" s="80"/>
      <c r="AL562" s="80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</row>
    <row r="563">
      <c r="A563" s="80"/>
      <c r="B563" s="80"/>
      <c r="C563" s="80"/>
      <c r="D563" s="80"/>
      <c r="E563" s="124"/>
      <c r="F563" s="80"/>
      <c r="G563" s="80"/>
      <c r="H563" s="80"/>
      <c r="I563" s="80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7"/>
      <c r="AK563" s="80"/>
      <c r="AL563" s="80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</row>
    <row r="564">
      <c r="A564" s="80"/>
      <c r="B564" s="80"/>
      <c r="C564" s="80"/>
      <c r="D564" s="80"/>
      <c r="E564" s="124"/>
      <c r="F564" s="80"/>
      <c r="G564" s="80"/>
      <c r="H564" s="80"/>
      <c r="I564" s="80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7"/>
      <c r="AK564" s="80"/>
      <c r="AL564" s="80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</row>
    <row r="565">
      <c r="A565" s="80"/>
      <c r="B565" s="80"/>
      <c r="C565" s="80"/>
      <c r="D565" s="80"/>
      <c r="E565" s="124"/>
      <c r="F565" s="80"/>
      <c r="G565" s="80"/>
      <c r="H565" s="80"/>
      <c r="I565" s="80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7"/>
      <c r="AK565" s="80"/>
      <c r="AL565" s="80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</row>
    <row r="566">
      <c r="A566" s="80"/>
      <c r="B566" s="80"/>
      <c r="C566" s="80"/>
      <c r="D566" s="80"/>
      <c r="E566" s="124"/>
      <c r="F566" s="80"/>
      <c r="G566" s="80"/>
      <c r="H566" s="80"/>
      <c r="I566" s="80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7"/>
      <c r="AK566" s="80"/>
      <c r="AL566" s="80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</row>
    <row r="567">
      <c r="A567" s="80"/>
      <c r="B567" s="80"/>
      <c r="C567" s="80"/>
      <c r="D567" s="80"/>
      <c r="E567" s="124"/>
      <c r="F567" s="80"/>
      <c r="G567" s="80"/>
      <c r="H567" s="80"/>
      <c r="I567" s="80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7"/>
      <c r="AK567" s="80"/>
      <c r="AL567" s="80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</row>
    <row r="568">
      <c r="A568" s="80"/>
      <c r="B568" s="80"/>
      <c r="C568" s="80"/>
      <c r="D568" s="80"/>
      <c r="E568" s="124"/>
      <c r="F568" s="80"/>
      <c r="G568" s="80"/>
      <c r="H568" s="80"/>
      <c r="I568" s="80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7"/>
      <c r="AK568" s="80"/>
      <c r="AL568" s="80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</row>
    <row r="569">
      <c r="A569" s="80"/>
      <c r="B569" s="80"/>
      <c r="C569" s="80"/>
      <c r="D569" s="80"/>
      <c r="E569" s="124"/>
      <c r="F569" s="80"/>
      <c r="G569" s="80"/>
      <c r="H569" s="80"/>
      <c r="I569" s="80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7"/>
      <c r="AK569" s="80"/>
      <c r="AL569" s="80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</row>
    <row r="570">
      <c r="A570" s="80"/>
      <c r="B570" s="80"/>
      <c r="C570" s="80"/>
      <c r="D570" s="80"/>
      <c r="E570" s="124"/>
      <c r="F570" s="80"/>
      <c r="G570" s="80"/>
      <c r="H570" s="80"/>
      <c r="I570" s="80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7"/>
      <c r="AK570" s="80"/>
      <c r="AL570" s="80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</row>
    <row r="571">
      <c r="A571" s="80"/>
      <c r="B571" s="80"/>
      <c r="C571" s="80"/>
      <c r="D571" s="80"/>
      <c r="E571" s="124"/>
      <c r="F571" s="80"/>
      <c r="G571" s="80"/>
      <c r="H571" s="80"/>
      <c r="I571" s="80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7"/>
      <c r="AK571" s="80"/>
      <c r="AL571" s="80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</row>
    <row r="572">
      <c r="A572" s="80"/>
      <c r="B572" s="80"/>
      <c r="C572" s="80"/>
      <c r="D572" s="80"/>
      <c r="E572" s="124"/>
      <c r="F572" s="80"/>
      <c r="G572" s="80"/>
      <c r="H572" s="80"/>
      <c r="I572" s="80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7"/>
      <c r="AK572" s="80"/>
      <c r="AL572" s="80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</row>
    <row r="573">
      <c r="A573" s="80"/>
      <c r="B573" s="80"/>
      <c r="C573" s="80"/>
      <c r="D573" s="80"/>
      <c r="E573" s="124"/>
      <c r="F573" s="80"/>
      <c r="G573" s="80"/>
      <c r="H573" s="80"/>
      <c r="I573" s="80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7"/>
      <c r="AK573" s="80"/>
      <c r="AL573" s="80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</row>
    <row r="574">
      <c r="A574" s="80"/>
      <c r="B574" s="80"/>
      <c r="C574" s="80"/>
      <c r="D574" s="80"/>
      <c r="E574" s="124"/>
      <c r="F574" s="80"/>
      <c r="G574" s="80"/>
      <c r="H574" s="80"/>
      <c r="I574" s="80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7"/>
      <c r="AK574" s="80"/>
      <c r="AL574" s="80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</row>
    <row r="575">
      <c r="A575" s="80"/>
      <c r="B575" s="80"/>
      <c r="C575" s="80"/>
      <c r="D575" s="80"/>
      <c r="E575" s="124"/>
      <c r="F575" s="80"/>
      <c r="G575" s="80"/>
      <c r="H575" s="80"/>
      <c r="I575" s="80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7"/>
      <c r="AK575" s="80"/>
      <c r="AL575" s="80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</row>
    <row r="576">
      <c r="A576" s="80"/>
      <c r="B576" s="80"/>
      <c r="C576" s="80"/>
      <c r="D576" s="80"/>
      <c r="E576" s="124"/>
      <c r="F576" s="80"/>
      <c r="G576" s="80"/>
      <c r="H576" s="80"/>
      <c r="I576" s="80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7"/>
      <c r="AK576" s="80"/>
      <c r="AL576" s="80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</row>
    <row r="577">
      <c r="A577" s="80"/>
      <c r="B577" s="80"/>
      <c r="C577" s="80"/>
      <c r="D577" s="80"/>
      <c r="E577" s="124"/>
      <c r="F577" s="80"/>
      <c r="G577" s="80"/>
      <c r="H577" s="80"/>
      <c r="I577" s="80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7"/>
      <c r="AK577" s="80"/>
      <c r="AL577" s="80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</row>
    <row r="578">
      <c r="A578" s="80"/>
      <c r="B578" s="80"/>
      <c r="C578" s="80"/>
      <c r="D578" s="80"/>
      <c r="E578" s="124"/>
      <c r="F578" s="80"/>
      <c r="G578" s="80"/>
      <c r="H578" s="80"/>
      <c r="I578" s="80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7"/>
      <c r="AK578" s="80"/>
      <c r="AL578" s="80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</row>
    <row r="579">
      <c r="A579" s="80"/>
      <c r="B579" s="80"/>
      <c r="C579" s="80"/>
      <c r="D579" s="80"/>
      <c r="E579" s="124"/>
      <c r="F579" s="80"/>
      <c r="G579" s="80"/>
      <c r="H579" s="80"/>
      <c r="I579" s="80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7"/>
      <c r="AK579" s="80"/>
      <c r="AL579" s="80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</row>
    <row r="580">
      <c r="A580" s="80"/>
      <c r="B580" s="80"/>
      <c r="C580" s="80"/>
      <c r="D580" s="80"/>
      <c r="E580" s="124"/>
      <c r="F580" s="80"/>
      <c r="G580" s="80"/>
      <c r="H580" s="80"/>
      <c r="I580" s="80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7"/>
      <c r="AK580" s="80"/>
      <c r="AL580" s="80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</row>
    <row r="581">
      <c r="A581" s="80"/>
      <c r="B581" s="80"/>
      <c r="C581" s="80"/>
      <c r="D581" s="80"/>
      <c r="E581" s="124"/>
      <c r="F581" s="80"/>
      <c r="G581" s="80"/>
      <c r="H581" s="80"/>
      <c r="I581" s="80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7"/>
      <c r="AK581" s="80"/>
      <c r="AL581" s="80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</row>
    <row r="582">
      <c r="A582" s="80"/>
      <c r="B582" s="80"/>
      <c r="C582" s="80"/>
      <c r="D582" s="80"/>
      <c r="E582" s="124"/>
      <c r="F582" s="80"/>
      <c r="G582" s="80"/>
      <c r="H582" s="80"/>
      <c r="I582" s="80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7"/>
      <c r="AK582" s="80"/>
      <c r="AL582" s="80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</row>
    <row r="583">
      <c r="A583" s="80"/>
      <c r="B583" s="80"/>
      <c r="C583" s="80"/>
      <c r="D583" s="80"/>
      <c r="E583" s="124"/>
      <c r="F583" s="80"/>
      <c r="G583" s="80"/>
      <c r="H583" s="80"/>
      <c r="I583" s="80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7"/>
      <c r="AK583" s="80"/>
      <c r="AL583" s="80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</row>
    <row r="584">
      <c r="A584" s="80"/>
      <c r="B584" s="80"/>
      <c r="C584" s="80"/>
      <c r="D584" s="80"/>
      <c r="E584" s="124"/>
      <c r="F584" s="80"/>
      <c r="G584" s="80"/>
      <c r="H584" s="80"/>
      <c r="I584" s="80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7"/>
      <c r="AK584" s="80"/>
      <c r="AL584" s="80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</row>
    <row r="585">
      <c r="A585" s="80"/>
      <c r="B585" s="80"/>
      <c r="C585" s="80"/>
      <c r="D585" s="80"/>
      <c r="E585" s="124"/>
      <c r="F585" s="80"/>
      <c r="G585" s="80"/>
      <c r="H585" s="80"/>
      <c r="I585" s="80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7"/>
      <c r="AK585" s="80"/>
      <c r="AL585" s="80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</row>
    <row r="586">
      <c r="A586" s="80"/>
      <c r="B586" s="80"/>
      <c r="C586" s="80"/>
      <c r="D586" s="80"/>
      <c r="E586" s="124"/>
      <c r="F586" s="80"/>
      <c r="G586" s="80"/>
      <c r="H586" s="80"/>
      <c r="I586" s="80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7"/>
      <c r="AK586" s="80"/>
      <c r="AL586" s="80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</row>
    <row r="587">
      <c r="A587" s="80"/>
      <c r="B587" s="80"/>
      <c r="C587" s="80"/>
      <c r="D587" s="80"/>
      <c r="E587" s="124"/>
      <c r="F587" s="80"/>
      <c r="G587" s="80"/>
      <c r="H587" s="80"/>
      <c r="I587" s="80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7"/>
      <c r="AK587" s="80"/>
      <c r="AL587" s="80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</row>
    <row r="588">
      <c r="A588" s="80"/>
      <c r="B588" s="80"/>
      <c r="C588" s="80"/>
      <c r="D588" s="80"/>
      <c r="E588" s="124"/>
      <c r="F588" s="80"/>
      <c r="G588" s="80"/>
      <c r="H588" s="80"/>
      <c r="I588" s="80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7"/>
      <c r="AK588" s="80"/>
      <c r="AL588" s="80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</row>
    <row r="589">
      <c r="A589" s="80"/>
      <c r="B589" s="80"/>
      <c r="C589" s="80"/>
      <c r="D589" s="80"/>
      <c r="E589" s="124"/>
      <c r="F589" s="80"/>
      <c r="G589" s="80"/>
      <c r="H589" s="80"/>
      <c r="I589" s="80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7"/>
      <c r="AK589" s="80"/>
      <c r="AL589" s="80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</row>
    <row r="590">
      <c r="A590" s="80"/>
      <c r="B590" s="80"/>
      <c r="C590" s="80"/>
      <c r="D590" s="80"/>
      <c r="E590" s="124"/>
      <c r="F590" s="80"/>
      <c r="G590" s="80"/>
      <c r="H590" s="80"/>
      <c r="I590" s="80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7"/>
      <c r="AK590" s="80"/>
      <c r="AL590" s="80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</row>
    <row r="591">
      <c r="A591" s="80"/>
      <c r="B591" s="80"/>
      <c r="C591" s="80"/>
      <c r="D591" s="80"/>
      <c r="E591" s="124"/>
      <c r="F591" s="80"/>
      <c r="G591" s="80"/>
      <c r="H591" s="80"/>
      <c r="I591" s="80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7"/>
      <c r="AK591" s="80"/>
      <c r="AL591" s="80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</row>
    <row r="592">
      <c r="A592" s="80"/>
      <c r="B592" s="80"/>
      <c r="C592" s="80"/>
      <c r="D592" s="80"/>
      <c r="E592" s="124"/>
      <c r="F592" s="80"/>
      <c r="G592" s="80"/>
      <c r="H592" s="80"/>
      <c r="I592" s="80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7"/>
      <c r="AK592" s="80"/>
      <c r="AL592" s="80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</row>
    <row r="593">
      <c r="A593" s="80"/>
      <c r="B593" s="80"/>
      <c r="C593" s="80"/>
      <c r="D593" s="80"/>
      <c r="E593" s="124"/>
      <c r="F593" s="80"/>
      <c r="G593" s="80"/>
      <c r="H593" s="80"/>
      <c r="I593" s="80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7"/>
      <c r="AK593" s="80"/>
      <c r="AL593" s="80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</row>
    <row r="594">
      <c r="A594" s="80"/>
      <c r="B594" s="80"/>
      <c r="C594" s="80"/>
      <c r="D594" s="80"/>
      <c r="E594" s="124"/>
      <c r="F594" s="80"/>
      <c r="G594" s="80"/>
      <c r="H594" s="80"/>
      <c r="I594" s="80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7"/>
      <c r="AK594" s="80"/>
      <c r="AL594" s="80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</row>
    <row r="595">
      <c r="A595" s="80"/>
      <c r="B595" s="80"/>
      <c r="C595" s="80"/>
      <c r="D595" s="80"/>
      <c r="E595" s="124"/>
      <c r="F595" s="80"/>
      <c r="G595" s="80"/>
      <c r="H595" s="80"/>
      <c r="I595" s="80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7"/>
      <c r="AK595" s="80"/>
      <c r="AL595" s="80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</row>
    <row r="596">
      <c r="A596" s="80"/>
      <c r="B596" s="80"/>
      <c r="C596" s="80"/>
      <c r="D596" s="80"/>
      <c r="E596" s="124"/>
      <c r="F596" s="80"/>
      <c r="G596" s="80"/>
      <c r="H596" s="80"/>
      <c r="I596" s="80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7"/>
      <c r="AK596" s="80"/>
      <c r="AL596" s="80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</row>
    <row r="597">
      <c r="A597" s="80"/>
      <c r="B597" s="80"/>
      <c r="C597" s="80"/>
      <c r="D597" s="80"/>
      <c r="E597" s="124"/>
      <c r="F597" s="80"/>
      <c r="G597" s="80"/>
      <c r="H597" s="80"/>
      <c r="I597" s="80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7"/>
      <c r="AK597" s="80"/>
      <c r="AL597" s="80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</row>
    <row r="598">
      <c r="A598" s="80"/>
      <c r="B598" s="80"/>
      <c r="C598" s="80"/>
      <c r="D598" s="80"/>
      <c r="E598" s="124"/>
      <c r="F598" s="80"/>
      <c r="G598" s="80"/>
      <c r="H598" s="80"/>
      <c r="I598" s="80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7"/>
      <c r="AK598" s="80"/>
      <c r="AL598" s="80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</row>
    <row r="599">
      <c r="A599" s="80"/>
      <c r="B599" s="80"/>
      <c r="C599" s="80"/>
      <c r="D599" s="80"/>
      <c r="E599" s="124"/>
      <c r="F599" s="80"/>
      <c r="G599" s="80"/>
      <c r="H599" s="80"/>
      <c r="I599" s="80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7"/>
      <c r="AK599" s="80"/>
      <c r="AL599" s="80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</row>
    <row r="600">
      <c r="A600" s="80"/>
      <c r="B600" s="80"/>
      <c r="C600" s="80"/>
      <c r="D600" s="80"/>
      <c r="E600" s="124"/>
      <c r="F600" s="80"/>
      <c r="G600" s="80"/>
      <c r="H600" s="80"/>
      <c r="I600" s="80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7"/>
      <c r="AK600" s="80"/>
      <c r="AL600" s="80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</row>
    <row r="601">
      <c r="A601" s="80"/>
      <c r="B601" s="80"/>
      <c r="C601" s="80"/>
      <c r="D601" s="80"/>
      <c r="E601" s="124"/>
      <c r="F601" s="80"/>
      <c r="G601" s="80"/>
      <c r="H601" s="80"/>
      <c r="I601" s="80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7"/>
      <c r="AK601" s="80"/>
      <c r="AL601" s="80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</row>
    <row r="602">
      <c r="A602" s="80"/>
      <c r="B602" s="80"/>
      <c r="C602" s="80"/>
      <c r="D602" s="80"/>
      <c r="E602" s="124"/>
      <c r="F602" s="80"/>
      <c r="G602" s="80"/>
      <c r="H602" s="80"/>
      <c r="I602" s="80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7"/>
      <c r="AK602" s="80"/>
      <c r="AL602" s="80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</row>
    <row r="603">
      <c r="A603" s="80"/>
      <c r="B603" s="80"/>
      <c r="C603" s="80"/>
      <c r="D603" s="80"/>
      <c r="E603" s="124"/>
      <c r="F603" s="80"/>
      <c r="G603" s="80"/>
      <c r="H603" s="80"/>
      <c r="I603" s="80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7"/>
      <c r="AK603" s="80"/>
      <c r="AL603" s="80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</row>
    <row r="604">
      <c r="A604" s="80"/>
      <c r="B604" s="80"/>
      <c r="C604" s="80"/>
      <c r="D604" s="80"/>
      <c r="E604" s="124"/>
      <c r="F604" s="80"/>
      <c r="G604" s="80"/>
      <c r="H604" s="80"/>
      <c r="I604" s="80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7"/>
      <c r="AK604" s="80"/>
      <c r="AL604" s="80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</row>
    <row r="605">
      <c r="A605" s="80"/>
      <c r="B605" s="80"/>
      <c r="C605" s="80"/>
      <c r="D605" s="80"/>
      <c r="E605" s="124"/>
      <c r="F605" s="80"/>
      <c r="G605" s="80"/>
      <c r="H605" s="80"/>
      <c r="I605" s="80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7"/>
      <c r="AK605" s="80"/>
      <c r="AL605" s="80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</row>
    <row r="606">
      <c r="A606" s="80"/>
      <c r="B606" s="80"/>
      <c r="C606" s="80"/>
      <c r="D606" s="80"/>
      <c r="E606" s="124"/>
      <c r="F606" s="80"/>
      <c r="G606" s="80"/>
      <c r="H606" s="80"/>
      <c r="I606" s="80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7"/>
      <c r="AK606" s="80"/>
      <c r="AL606" s="80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</row>
    <row r="607">
      <c r="A607" s="80"/>
      <c r="B607" s="80"/>
      <c r="C607" s="80"/>
      <c r="D607" s="80"/>
      <c r="E607" s="124"/>
      <c r="F607" s="80"/>
      <c r="G607" s="80"/>
      <c r="H607" s="80"/>
      <c r="I607" s="80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7"/>
      <c r="AK607" s="80"/>
      <c r="AL607" s="80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</row>
    <row r="608">
      <c r="A608" s="80"/>
      <c r="B608" s="80"/>
      <c r="C608" s="80"/>
      <c r="D608" s="80"/>
      <c r="E608" s="124"/>
      <c r="F608" s="80"/>
      <c r="G608" s="80"/>
      <c r="H608" s="80"/>
      <c r="I608" s="80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7"/>
      <c r="AK608" s="80"/>
      <c r="AL608" s="80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</row>
    <row r="609">
      <c r="A609" s="80"/>
      <c r="B609" s="80"/>
      <c r="C609" s="80"/>
      <c r="D609" s="80"/>
      <c r="E609" s="124"/>
      <c r="F609" s="80"/>
      <c r="G609" s="80"/>
      <c r="H609" s="80"/>
      <c r="I609" s="80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7"/>
      <c r="AK609" s="80"/>
      <c r="AL609" s="80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</row>
    <row r="610">
      <c r="A610" s="80"/>
      <c r="B610" s="80"/>
      <c r="C610" s="80"/>
      <c r="D610" s="80"/>
      <c r="E610" s="124"/>
      <c r="F610" s="80"/>
      <c r="G610" s="80"/>
      <c r="H610" s="80"/>
      <c r="I610" s="80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7"/>
      <c r="AK610" s="80"/>
      <c r="AL610" s="80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</row>
    <row r="611">
      <c r="A611" s="80"/>
      <c r="B611" s="80"/>
      <c r="C611" s="80"/>
      <c r="D611" s="80"/>
      <c r="E611" s="124"/>
      <c r="F611" s="80"/>
      <c r="G611" s="80"/>
      <c r="H611" s="80"/>
      <c r="I611" s="80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7"/>
      <c r="AK611" s="80"/>
      <c r="AL611" s="80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</row>
    <row r="612">
      <c r="A612" s="80"/>
      <c r="B612" s="80"/>
      <c r="C612" s="80"/>
      <c r="D612" s="80"/>
      <c r="E612" s="124"/>
      <c r="F612" s="80"/>
      <c r="G612" s="80"/>
      <c r="H612" s="80"/>
      <c r="I612" s="80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7"/>
      <c r="AK612" s="80"/>
      <c r="AL612" s="80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</row>
    <row r="613">
      <c r="A613" s="80"/>
      <c r="B613" s="80"/>
      <c r="C613" s="80"/>
      <c r="D613" s="80"/>
      <c r="E613" s="124"/>
      <c r="F613" s="80"/>
      <c r="G613" s="80"/>
      <c r="H613" s="80"/>
      <c r="I613" s="80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7"/>
      <c r="AK613" s="80"/>
      <c r="AL613" s="80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</row>
    <row r="614">
      <c r="A614" s="80"/>
      <c r="B614" s="80"/>
      <c r="C614" s="80"/>
      <c r="D614" s="80"/>
      <c r="E614" s="124"/>
      <c r="F614" s="80"/>
      <c r="G614" s="80"/>
      <c r="H614" s="80"/>
      <c r="I614" s="80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7"/>
      <c r="AK614" s="80"/>
      <c r="AL614" s="80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</row>
    <row r="615">
      <c r="A615" s="80"/>
      <c r="B615" s="80"/>
      <c r="C615" s="80"/>
      <c r="D615" s="80"/>
      <c r="E615" s="124"/>
      <c r="F615" s="80"/>
      <c r="G615" s="80"/>
      <c r="H615" s="80"/>
      <c r="I615" s="80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7"/>
      <c r="AK615" s="80"/>
      <c r="AL615" s="80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</row>
    <row r="616">
      <c r="A616" s="80"/>
      <c r="B616" s="80"/>
      <c r="C616" s="80"/>
      <c r="D616" s="80"/>
      <c r="E616" s="124"/>
      <c r="F616" s="80"/>
      <c r="G616" s="80"/>
      <c r="H616" s="80"/>
      <c r="I616" s="80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7"/>
      <c r="AK616" s="80"/>
      <c r="AL616" s="80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</row>
    <row r="617">
      <c r="A617" s="80"/>
      <c r="B617" s="80"/>
      <c r="C617" s="80"/>
      <c r="D617" s="80"/>
      <c r="E617" s="124"/>
      <c r="F617" s="80"/>
      <c r="G617" s="80"/>
      <c r="H617" s="80"/>
      <c r="I617" s="80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7"/>
      <c r="AK617" s="80"/>
      <c r="AL617" s="80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</row>
    <row r="618">
      <c r="A618" s="80"/>
      <c r="B618" s="80"/>
      <c r="C618" s="80"/>
      <c r="D618" s="80"/>
      <c r="E618" s="124"/>
      <c r="F618" s="80"/>
      <c r="G618" s="80"/>
      <c r="H618" s="80"/>
      <c r="I618" s="80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7"/>
      <c r="AK618" s="80"/>
      <c r="AL618" s="80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</row>
    <row r="619">
      <c r="A619" s="80"/>
      <c r="B619" s="80"/>
      <c r="C619" s="80"/>
      <c r="D619" s="80"/>
      <c r="E619" s="124"/>
      <c r="F619" s="80"/>
      <c r="G619" s="80"/>
      <c r="H619" s="80"/>
      <c r="I619" s="80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7"/>
      <c r="AK619" s="80"/>
      <c r="AL619" s="80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</row>
    <row r="620">
      <c r="A620" s="80"/>
      <c r="B620" s="80"/>
      <c r="C620" s="80"/>
      <c r="D620" s="80"/>
      <c r="E620" s="124"/>
      <c r="F620" s="80"/>
      <c r="G620" s="80"/>
      <c r="H620" s="80"/>
      <c r="I620" s="80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7"/>
      <c r="AK620" s="80"/>
      <c r="AL620" s="80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</row>
    <row r="621">
      <c r="A621" s="80"/>
      <c r="B621" s="80"/>
      <c r="C621" s="80"/>
      <c r="D621" s="80"/>
      <c r="E621" s="124"/>
      <c r="F621" s="80"/>
      <c r="G621" s="80"/>
      <c r="H621" s="80"/>
      <c r="I621" s="80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7"/>
      <c r="AK621" s="80"/>
      <c r="AL621" s="80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</row>
    <row r="622">
      <c r="A622" s="80"/>
      <c r="B622" s="80"/>
      <c r="C622" s="80"/>
      <c r="D622" s="80"/>
      <c r="E622" s="124"/>
      <c r="F622" s="80"/>
      <c r="G622" s="80"/>
      <c r="H622" s="80"/>
      <c r="I622" s="80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7"/>
      <c r="AK622" s="80"/>
      <c r="AL622" s="80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</row>
    <row r="623">
      <c r="A623" s="80"/>
      <c r="B623" s="80"/>
      <c r="C623" s="80"/>
      <c r="D623" s="80"/>
      <c r="E623" s="124"/>
      <c r="F623" s="80"/>
      <c r="G623" s="80"/>
      <c r="H623" s="80"/>
      <c r="I623" s="80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7"/>
      <c r="AK623" s="80"/>
      <c r="AL623" s="80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</row>
    <row r="624">
      <c r="A624" s="80"/>
      <c r="B624" s="80"/>
      <c r="C624" s="80"/>
      <c r="D624" s="80"/>
      <c r="E624" s="124"/>
      <c r="F624" s="80"/>
      <c r="G624" s="80"/>
      <c r="H624" s="80"/>
      <c r="I624" s="80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7"/>
      <c r="AK624" s="80"/>
      <c r="AL624" s="80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</row>
    <row r="625">
      <c r="A625" s="80"/>
      <c r="B625" s="80"/>
      <c r="C625" s="80"/>
      <c r="D625" s="80"/>
      <c r="E625" s="124"/>
      <c r="F625" s="80"/>
      <c r="G625" s="80"/>
      <c r="H625" s="80"/>
      <c r="I625" s="80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7"/>
      <c r="AK625" s="80"/>
      <c r="AL625" s="80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</row>
    <row r="626">
      <c r="A626" s="80"/>
      <c r="B626" s="80"/>
      <c r="C626" s="80"/>
      <c r="D626" s="80"/>
      <c r="E626" s="124"/>
      <c r="F626" s="80"/>
      <c r="G626" s="80"/>
      <c r="H626" s="80"/>
      <c r="I626" s="80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7"/>
      <c r="AK626" s="80"/>
      <c r="AL626" s="80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</row>
    <row r="627">
      <c r="A627" s="80"/>
      <c r="B627" s="80"/>
      <c r="C627" s="80"/>
      <c r="D627" s="80"/>
      <c r="E627" s="124"/>
      <c r="F627" s="80"/>
      <c r="G627" s="80"/>
      <c r="H627" s="80"/>
      <c r="I627" s="80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7"/>
      <c r="AK627" s="80"/>
      <c r="AL627" s="80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</row>
    <row r="628">
      <c r="A628" s="80"/>
      <c r="B628" s="80"/>
      <c r="C628" s="80"/>
      <c r="D628" s="80"/>
      <c r="E628" s="124"/>
      <c r="F628" s="80"/>
      <c r="G628" s="80"/>
      <c r="H628" s="80"/>
      <c r="I628" s="80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7"/>
      <c r="AK628" s="80"/>
      <c r="AL628" s="80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</row>
    <row r="629">
      <c r="A629" s="80"/>
      <c r="B629" s="80"/>
      <c r="C629" s="80"/>
      <c r="D629" s="80"/>
      <c r="E629" s="124"/>
      <c r="F629" s="80"/>
      <c r="G629" s="80"/>
      <c r="H629" s="80"/>
      <c r="I629" s="80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7"/>
      <c r="AK629" s="80"/>
      <c r="AL629" s="80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</row>
    <row r="630">
      <c r="A630" s="80"/>
      <c r="B630" s="80"/>
      <c r="C630" s="80"/>
      <c r="D630" s="80"/>
      <c r="E630" s="124"/>
      <c r="F630" s="80"/>
      <c r="G630" s="80"/>
      <c r="H630" s="80"/>
      <c r="I630" s="80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7"/>
      <c r="AK630" s="80"/>
      <c r="AL630" s="80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</row>
    <row r="631">
      <c r="A631" s="80"/>
      <c r="B631" s="80"/>
      <c r="C631" s="80"/>
      <c r="D631" s="80"/>
      <c r="E631" s="124"/>
      <c r="F631" s="80"/>
      <c r="G631" s="80"/>
      <c r="H631" s="80"/>
      <c r="I631" s="80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7"/>
      <c r="AK631" s="80"/>
      <c r="AL631" s="80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</row>
    <row r="632">
      <c r="A632" s="80"/>
      <c r="B632" s="80"/>
      <c r="C632" s="80"/>
      <c r="D632" s="80"/>
      <c r="E632" s="124"/>
      <c r="F632" s="80"/>
      <c r="G632" s="80"/>
      <c r="H632" s="80"/>
      <c r="I632" s="80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7"/>
      <c r="AK632" s="80"/>
      <c r="AL632" s="80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</row>
    <row r="633">
      <c r="A633" s="80"/>
      <c r="B633" s="80"/>
      <c r="C633" s="80"/>
      <c r="D633" s="80"/>
      <c r="E633" s="124"/>
      <c r="F633" s="80"/>
      <c r="G633" s="80"/>
      <c r="H633" s="80"/>
      <c r="I633" s="80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7"/>
      <c r="AK633" s="80"/>
      <c r="AL633" s="80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</row>
    <row r="634">
      <c r="A634" s="80"/>
      <c r="B634" s="80"/>
      <c r="C634" s="80"/>
      <c r="D634" s="80"/>
      <c r="E634" s="124"/>
      <c r="F634" s="80"/>
      <c r="G634" s="80"/>
      <c r="H634" s="80"/>
      <c r="I634" s="80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7"/>
      <c r="AK634" s="80"/>
      <c r="AL634" s="80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</row>
    <row r="635">
      <c r="A635" s="80"/>
      <c r="B635" s="80"/>
      <c r="C635" s="80"/>
      <c r="D635" s="80"/>
      <c r="E635" s="124"/>
      <c r="F635" s="80"/>
      <c r="G635" s="80"/>
      <c r="H635" s="80"/>
      <c r="I635" s="80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7"/>
      <c r="AK635" s="80"/>
      <c r="AL635" s="80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</row>
    <row r="636">
      <c r="A636" s="80"/>
      <c r="B636" s="80"/>
      <c r="C636" s="80"/>
      <c r="D636" s="80"/>
      <c r="E636" s="124"/>
      <c r="F636" s="80"/>
      <c r="G636" s="80"/>
      <c r="H636" s="80"/>
      <c r="I636" s="80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7"/>
      <c r="AK636" s="80"/>
      <c r="AL636" s="80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</row>
    <row r="637">
      <c r="A637" s="80"/>
      <c r="B637" s="80"/>
      <c r="C637" s="80"/>
      <c r="D637" s="80"/>
      <c r="E637" s="124"/>
      <c r="F637" s="80"/>
      <c r="G637" s="80"/>
      <c r="H637" s="80"/>
      <c r="I637" s="80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7"/>
      <c r="AK637" s="80"/>
      <c r="AL637" s="80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</row>
    <row r="638">
      <c r="A638" s="80"/>
      <c r="B638" s="80"/>
      <c r="C638" s="80"/>
      <c r="D638" s="80"/>
      <c r="E638" s="124"/>
      <c r="F638" s="80"/>
      <c r="G638" s="80"/>
      <c r="H638" s="80"/>
      <c r="I638" s="80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7"/>
      <c r="AK638" s="80"/>
      <c r="AL638" s="80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</row>
    <row r="639">
      <c r="A639" s="80"/>
      <c r="B639" s="80"/>
      <c r="C639" s="80"/>
      <c r="D639" s="80"/>
      <c r="E639" s="124"/>
      <c r="F639" s="80"/>
      <c r="G639" s="80"/>
      <c r="H639" s="80"/>
      <c r="I639" s="80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7"/>
      <c r="AK639" s="80"/>
      <c r="AL639" s="80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</row>
    <row r="640">
      <c r="A640" s="80"/>
      <c r="B640" s="80"/>
      <c r="C640" s="80"/>
      <c r="D640" s="80"/>
      <c r="E640" s="124"/>
      <c r="F640" s="80"/>
      <c r="G640" s="80"/>
      <c r="H640" s="80"/>
      <c r="I640" s="80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7"/>
      <c r="AK640" s="80"/>
      <c r="AL640" s="80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</row>
    <row r="641">
      <c r="A641" s="80"/>
      <c r="B641" s="80"/>
      <c r="C641" s="80"/>
      <c r="D641" s="80"/>
      <c r="E641" s="124"/>
      <c r="F641" s="80"/>
      <c r="G641" s="80"/>
      <c r="H641" s="80"/>
      <c r="I641" s="80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7"/>
      <c r="AK641" s="80"/>
      <c r="AL641" s="80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</row>
    <row r="642">
      <c r="A642" s="80"/>
      <c r="B642" s="80"/>
      <c r="C642" s="80"/>
      <c r="D642" s="80"/>
      <c r="E642" s="124"/>
      <c r="F642" s="80"/>
      <c r="G642" s="80"/>
      <c r="H642" s="80"/>
      <c r="I642" s="80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7"/>
      <c r="AK642" s="80"/>
      <c r="AL642" s="80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</row>
    <row r="643">
      <c r="A643" s="80"/>
      <c r="B643" s="80"/>
      <c r="C643" s="80"/>
      <c r="D643" s="80"/>
      <c r="E643" s="124"/>
      <c r="F643" s="80"/>
      <c r="G643" s="80"/>
      <c r="H643" s="80"/>
      <c r="I643" s="80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7"/>
      <c r="AK643" s="80"/>
      <c r="AL643" s="80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</row>
    <row r="644">
      <c r="A644" s="80"/>
      <c r="B644" s="80"/>
      <c r="C644" s="80"/>
      <c r="D644" s="80"/>
      <c r="E644" s="124"/>
      <c r="F644" s="80"/>
      <c r="G644" s="80"/>
      <c r="H644" s="80"/>
      <c r="I644" s="80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7"/>
      <c r="AK644" s="80"/>
      <c r="AL644" s="80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</row>
    <row r="645">
      <c r="A645" s="80"/>
      <c r="B645" s="80"/>
      <c r="C645" s="80"/>
      <c r="D645" s="80"/>
      <c r="E645" s="124"/>
      <c r="F645" s="80"/>
      <c r="G645" s="80"/>
      <c r="H645" s="80"/>
      <c r="I645" s="80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7"/>
      <c r="AK645" s="80"/>
      <c r="AL645" s="80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</row>
    <row r="646">
      <c r="A646" s="80"/>
      <c r="B646" s="80"/>
      <c r="C646" s="80"/>
      <c r="D646" s="80"/>
      <c r="E646" s="124"/>
      <c r="F646" s="80"/>
      <c r="G646" s="80"/>
      <c r="H646" s="80"/>
      <c r="I646" s="80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7"/>
      <c r="AK646" s="80"/>
      <c r="AL646" s="80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</row>
    <row r="647">
      <c r="A647" s="80"/>
      <c r="B647" s="80"/>
      <c r="C647" s="80"/>
      <c r="D647" s="80"/>
      <c r="E647" s="124"/>
      <c r="F647" s="80"/>
      <c r="G647" s="80"/>
      <c r="H647" s="80"/>
      <c r="I647" s="80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7"/>
      <c r="AK647" s="80"/>
      <c r="AL647" s="80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</row>
    <row r="648">
      <c r="A648" s="80"/>
      <c r="B648" s="80"/>
      <c r="C648" s="80"/>
      <c r="D648" s="80"/>
      <c r="E648" s="124"/>
      <c r="F648" s="80"/>
      <c r="G648" s="80"/>
      <c r="H648" s="80"/>
      <c r="I648" s="80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7"/>
      <c r="AK648" s="80"/>
      <c r="AL648" s="80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</row>
    <row r="649">
      <c r="A649" s="80"/>
      <c r="B649" s="80"/>
      <c r="C649" s="80"/>
      <c r="D649" s="80"/>
      <c r="E649" s="124"/>
      <c r="F649" s="80"/>
      <c r="G649" s="80"/>
      <c r="H649" s="80"/>
      <c r="I649" s="80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7"/>
      <c r="AK649" s="80"/>
      <c r="AL649" s="80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</row>
    <row r="650">
      <c r="A650" s="80"/>
      <c r="B650" s="80"/>
      <c r="C650" s="80"/>
      <c r="D650" s="80"/>
      <c r="E650" s="124"/>
      <c r="F650" s="80"/>
      <c r="G650" s="80"/>
      <c r="H650" s="80"/>
      <c r="I650" s="80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7"/>
      <c r="AK650" s="80"/>
      <c r="AL650" s="80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</row>
    <row r="651">
      <c r="A651" s="80"/>
      <c r="B651" s="80"/>
      <c r="C651" s="80"/>
      <c r="D651" s="80"/>
      <c r="E651" s="124"/>
      <c r="F651" s="80"/>
      <c r="G651" s="80"/>
      <c r="H651" s="80"/>
      <c r="I651" s="80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7"/>
      <c r="AK651" s="80"/>
      <c r="AL651" s="80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</row>
    <row r="652">
      <c r="A652" s="80"/>
      <c r="B652" s="80"/>
      <c r="C652" s="80"/>
      <c r="D652" s="80"/>
      <c r="E652" s="124"/>
      <c r="F652" s="80"/>
      <c r="G652" s="80"/>
      <c r="H652" s="80"/>
      <c r="I652" s="80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7"/>
      <c r="AK652" s="80"/>
      <c r="AL652" s="80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</row>
    <row r="653">
      <c r="A653" s="80"/>
      <c r="B653" s="80"/>
      <c r="C653" s="80"/>
      <c r="D653" s="80"/>
      <c r="E653" s="124"/>
      <c r="F653" s="80"/>
      <c r="G653" s="80"/>
      <c r="H653" s="80"/>
      <c r="I653" s="80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7"/>
      <c r="AK653" s="80"/>
      <c r="AL653" s="80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</row>
    <row r="654">
      <c r="A654" s="80"/>
      <c r="B654" s="80"/>
      <c r="C654" s="80"/>
      <c r="D654" s="80"/>
      <c r="E654" s="124"/>
      <c r="F654" s="80"/>
      <c r="G654" s="80"/>
      <c r="H654" s="80"/>
      <c r="I654" s="80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7"/>
      <c r="AK654" s="80"/>
      <c r="AL654" s="80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</row>
    <row r="655">
      <c r="A655" s="80"/>
      <c r="B655" s="80"/>
      <c r="C655" s="80"/>
      <c r="D655" s="80"/>
      <c r="E655" s="124"/>
      <c r="F655" s="80"/>
      <c r="G655" s="80"/>
      <c r="H655" s="80"/>
      <c r="I655" s="80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7"/>
      <c r="AK655" s="80"/>
      <c r="AL655" s="80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</row>
    <row r="656">
      <c r="A656" s="80"/>
      <c r="B656" s="80"/>
      <c r="C656" s="80"/>
      <c r="D656" s="80"/>
      <c r="E656" s="124"/>
      <c r="F656" s="80"/>
      <c r="G656" s="80"/>
      <c r="H656" s="80"/>
      <c r="I656" s="80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7"/>
      <c r="AK656" s="80"/>
      <c r="AL656" s="80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</row>
    <row r="657">
      <c r="A657" s="80"/>
      <c r="B657" s="80"/>
      <c r="C657" s="80"/>
      <c r="D657" s="80"/>
      <c r="E657" s="124"/>
      <c r="F657" s="80"/>
      <c r="G657" s="80"/>
      <c r="H657" s="80"/>
      <c r="I657" s="80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7"/>
      <c r="AK657" s="80"/>
      <c r="AL657" s="80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</row>
    <row r="658">
      <c r="A658" s="80"/>
      <c r="B658" s="80"/>
      <c r="C658" s="80"/>
      <c r="D658" s="80"/>
      <c r="E658" s="124"/>
      <c r="F658" s="80"/>
      <c r="G658" s="80"/>
      <c r="H658" s="80"/>
      <c r="I658" s="80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7"/>
      <c r="AK658" s="80"/>
      <c r="AL658" s="80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</row>
    <row r="659">
      <c r="A659" s="80"/>
      <c r="B659" s="80"/>
      <c r="C659" s="80"/>
      <c r="D659" s="80"/>
      <c r="E659" s="124"/>
      <c r="F659" s="80"/>
      <c r="G659" s="80"/>
      <c r="H659" s="80"/>
      <c r="I659" s="80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7"/>
      <c r="AK659" s="80"/>
      <c r="AL659" s="80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</row>
    <row r="660">
      <c r="A660" s="80"/>
      <c r="B660" s="80"/>
      <c r="C660" s="80"/>
      <c r="D660" s="80"/>
      <c r="E660" s="124"/>
      <c r="F660" s="80"/>
      <c r="G660" s="80"/>
      <c r="H660" s="80"/>
      <c r="I660" s="80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7"/>
      <c r="AK660" s="80"/>
      <c r="AL660" s="80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</row>
    <row r="661">
      <c r="A661" s="80"/>
      <c r="B661" s="80"/>
      <c r="C661" s="80"/>
      <c r="D661" s="80"/>
      <c r="E661" s="124"/>
      <c r="F661" s="80"/>
      <c r="G661" s="80"/>
      <c r="H661" s="80"/>
      <c r="I661" s="80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7"/>
      <c r="AK661" s="80"/>
      <c r="AL661" s="80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</row>
    <row r="662">
      <c r="A662" s="80"/>
      <c r="B662" s="80"/>
      <c r="C662" s="80"/>
      <c r="D662" s="80"/>
      <c r="E662" s="124"/>
      <c r="F662" s="80"/>
      <c r="G662" s="80"/>
      <c r="H662" s="80"/>
      <c r="I662" s="80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7"/>
      <c r="AK662" s="80"/>
      <c r="AL662" s="80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</row>
    <row r="663">
      <c r="A663" s="80"/>
      <c r="B663" s="80"/>
      <c r="C663" s="80"/>
      <c r="D663" s="80"/>
      <c r="E663" s="124"/>
      <c r="F663" s="80"/>
      <c r="G663" s="80"/>
      <c r="H663" s="80"/>
      <c r="I663" s="80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7"/>
      <c r="AK663" s="80"/>
      <c r="AL663" s="80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</row>
    <row r="664">
      <c r="A664" s="80"/>
      <c r="B664" s="80"/>
      <c r="C664" s="80"/>
      <c r="D664" s="80"/>
      <c r="E664" s="124"/>
      <c r="F664" s="80"/>
      <c r="G664" s="80"/>
      <c r="H664" s="80"/>
      <c r="I664" s="80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7"/>
      <c r="AK664" s="80"/>
      <c r="AL664" s="80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</row>
    <row r="665">
      <c r="A665" s="80"/>
      <c r="B665" s="80"/>
      <c r="C665" s="80"/>
      <c r="D665" s="80"/>
      <c r="E665" s="124"/>
      <c r="F665" s="80"/>
      <c r="G665" s="80"/>
      <c r="H665" s="80"/>
      <c r="I665" s="80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7"/>
      <c r="AK665" s="80"/>
      <c r="AL665" s="80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</row>
    <row r="666">
      <c r="A666" s="80"/>
      <c r="B666" s="80"/>
      <c r="C666" s="80"/>
      <c r="D666" s="80"/>
      <c r="E666" s="124"/>
      <c r="F666" s="80"/>
      <c r="G666" s="80"/>
      <c r="H666" s="80"/>
      <c r="I666" s="80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7"/>
      <c r="AK666" s="80"/>
      <c r="AL666" s="80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</row>
    <row r="667">
      <c r="A667" s="80"/>
      <c r="B667" s="80"/>
      <c r="C667" s="80"/>
      <c r="D667" s="80"/>
      <c r="E667" s="124"/>
      <c r="F667" s="80"/>
      <c r="G667" s="80"/>
      <c r="H667" s="80"/>
      <c r="I667" s="80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7"/>
      <c r="AK667" s="80"/>
      <c r="AL667" s="80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</row>
    <row r="668">
      <c r="A668" s="80"/>
      <c r="B668" s="80"/>
      <c r="C668" s="80"/>
      <c r="D668" s="80"/>
      <c r="E668" s="124"/>
      <c r="F668" s="80"/>
      <c r="G668" s="80"/>
      <c r="H668" s="80"/>
      <c r="I668" s="80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7"/>
      <c r="AK668" s="80"/>
      <c r="AL668" s="80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</row>
    <row r="669">
      <c r="A669" s="80"/>
      <c r="B669" s="80"/>
      <c r="C669" s="80"/>
      <c r="D669" s="80"/>
      <c r="E669" s="124"/>
      <c r="F669" s="80"/>
      <c r="G669" s="80"/>
      <c r="H669" s="80"/>
      <c r="I669" s="80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7"/>
      <c r="AK669" s="80"/>
      <c r="AL669" s="80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</row>
    <row r="670">
      <c r="A670" s="80"/>
      <c r="B670" s="80"/>
      <c r="C670" s="80"/>
      <c r="D670" s="80"/>
      <c r="E670" s="124"/>
      <c r="F670" s="80"/>
      <c r="G670" s="80"/>
      <c r="H670" s="80"/>
      <c r="I670" s="80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7"/>
      <c r="AK670" s="80"/>
      <c r="AL670" s="80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</row>
    <row r="671">
      <c r="A671" s="80"/>
      <c r="B671" s="80"/>
      <c r="C671" s="80"/>
      <c r="D671" s="80"/>
      <c r="E671" s="124"/>
      <c r="F671" s="80"/>
      <c r="G671" s="80"/>
      <c r="H671" s="80"/>
      <c r="I671" s="80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7"/>
      <c r="AK671" s="80"/>
      <c r="AL671" s="80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</row>
    <row r="672">
      <c r="A672" s="80"/>
      <c r="B672" s="80"/>
      <c r="C672" s="80"/>
      <c r="D672" s="80"/>
      <c r="E672" s="124"/>
      <c r="F672" s="80"/>
      <c r="G672" s="80"/>
      <c r="H672" s="80"/>
      <c r="I672" s="80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7"/>
      <c r="AK672" s="80"/>
      <c r="AL672" s="80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</row>
    <row r="673">
      <c r="A673" s="80"/>
      <c r="B673" s="80"/>
      <c r="C673" s="80"/>
      <c r="D673" s="80"/>
      <c r="E673" s="124"/>
      <c r="F673" s="80"/>
      <c r="G673" s="80"/>
      <c r="H673" s="80"/>
      <c r="I673" s="80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7"/>
      <c r="AK673" s="80"/>
      <c r="AL673" s="80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</row>
    <row r="674">
      <c r="A674" s="80"/>
      <c r="B674" s="80"/>
      <c r="C674" s="80"/>
      <c r="D674" s="80"/>
      <c r="E674" s="124"/>
      <c r="F674" s="80"/>
      <c r="G674" s="80"/>
      <c r="H674" s="80"/>
      <c r="I674" s="80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7"/>
      <c r="AK674" s="80"/>
      <c r="AL674" s="80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</row>
    <row r="675">
      <c r="A675" s="80"/>
      <c r="B675" s="80"/>
      <c r="C675" s="80"/>
      <c r="D675" s="80"/>
      <c r="E675" s="124"/>
      <c r="F675" s="80"/>
      <c r="G675" s="80"/>
      <c r="H675" s="80"/>
      <c r="I675" s="80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7"/>
      <c r="AK675" s="80"/>
      <c r="AL675" s="80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</row>
    <row r="676">
      <c r="A676" s="80"/>
      <c r="B676" s="80"/>
      <c r="C676" s="80"/>
      <c r="D676" s="80"/>
      <c r="E676" s="124"/>
      <c r="F676" s="80"/>
      <c r="G676" s="80"/>
      <c r="H676" s="80"/>
      <c r="I676" s="80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7"/>
      <c r="AK676" s="80"/>
      <c r="AL676" s="80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</row>
    <row r="677">
      <c r="A677" s="80"/>
      <c r="B677" s="80"/>
      <c r="C677" s="80"/>
      <c r="D677" s="80"/>
      <c r="E677" s="124"/>
      <c r="F677" s="80"/>
      <c r="G677" s="80"/>
      <c r="H677" s="80"/>
      <c r="I677" s="80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7"/>
      <c r="AK677" s="80"/>
      <c r="AL677" s="80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</row>
    <row r="678">
      <c r="A678" s="80"/>
      <c r="B678" s="80"/>
      <c r="C678" s="80"/>
      <c r="D678" s="80"/>
      <c r="E678" s="124"/>
      <c r="F678" s="80"/>
      <c r="G678" s="80"/>
      <c r="H678" s="80"/>
      <c r="I678" s="80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7"/>
      <c r="AK678" s="80"/>
      <c r="AL678" s="80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</row>
    <row r="679">
      <c r="A679" s="80"/>
      <c r="B679" s="80"/>
      <c r="C679" s="80"/>
      <c r="D679" s="80"/>
      <c r="E679" s="124"/>
      <c r="F679" s="80"/>
      <c r="G679" s="80"/>
      <c r="H679" s="80"/>
      <c r="I679" s="80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7"/>
      <c r="AK679" s="80"/>
      <c r="AL679" s="80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</row>
    <row r="680">
      <c r="A680" s="80"/>
      <c r="B680" s="80"/>
      <c r="C680" s="80"/>
      <c r="D680" s="80"/>
      <c r="E680" s="124"/>
      <c r="F680" s="80"/>
      <c r="G680" s="80"/>
      <c r="H680" s="80"/>
      <c r="I680" s="80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7"/>
      <c r="AK680" s="80"/>
      <c r="AL680" s="80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</row>
    <row r="681">
      <c r="A681" s="80"/>
      <c r="B681" s="80"/>
      <c r="C681" s="80"/>
      <c r="D681" s="80"/>
      <c r="E681" s="124"/>
      <c r="F681" s="80"/>
      <c r="G681" s="80"/>
      <c r="H681" s="80"/>
      <c r="I681" s="80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7"/>
      <c r="AK681" s="80"/>
      <c r="AL681" s="80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</row>
    <row r="682">
      <c r="A682" s="80"/>
      <c r="B682" s="80"/>
      <c r="C682" s="80"/>
      <c r="D682" s="80"/>
      <c r="E682" s="124"/>
      <c r="F682" s="80"/>
      <c r="G682" s="80"/>
      <c r="H682" s="80"/>
      <c r="I682" s="80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7"/>
      <c r="AK682" s="80"/>
      <c r="AL682" s="80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</row>
    <row r="683">
      <c r="A683" s="80"/>
      <c r="B683" s="80"/>
      <c r="C683" s="80"/>
      <c r="D683" s="80"/>
      <c r="E683" s="124"/>
      <c r="F683" s="80"/>
      <c r="G683" s="80"/>
      <c r="H683" s="80"/>
      <c r="I683" s="80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7"/>
      <c r="AK683" s="80"/>
      <c r="AL683" s="80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</row>
    <row r="684">
      <c r="A684" s="80"/>
      <c r="B684" s="80"/>
      <c r="C684" s="80"/>
      <c r="D684" s="80"/>
      <c r="E684" s="124"/>
      <c r="F684" s="80"/>
      <c r="G684" s="80"/>
      <c r="H684" s="80"/>
      <c r="I684" s="80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7"/>
      <c r="AK684" s="80"/>
      <c r="AL684" s="80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</row>
    <row r="685">
      <c r="A685" s="80"/>
      <c r="B685" s="80"/>
      <c r="C685" s="80"/>
      <c r="D685" s="80"/>
      <c r="E685" s="124"/>
      <c r="F685" s="80"/>
      <c r="G685" s="80"/>
      <c r="H685" s="80"/>
      <c r="I685" s="80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7"/>
      <c r="AK685" s="80"/>
      <c r="AL685" s="80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</row>
    <row r="686">
      <c r="A686" s="80"/>
      <c r="B686" s="80"/>
      <c r="C686" s="80"/>
      <c r="D686" s="80"/>
      <c r="E686" s="124"/>
      <c r="F686" s="80"/>
      <c r="G686" s="80"/>
      <c r="H686" s="80"/>
      <c r="I686" s="80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7"/>
      <c r="AK686" s="80"/>
      <c r="AL686" s="80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</row>
    <row r="687">
      <c r="A687" s="80"/>
      <c r="B687" s="80"/>
      <c r="C687" s="80"/>
      <c r="D687" s="80"/>
      <c r="E687" s="124"/>
      <c r="F687" s="80"/>
      <c r="G687" s="80"/>
      <c r="H687" s="80"/>
      <c r="I687" s="80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7"/>
      <c r="AK687" s="80"/>
      <c r="AL687" s="80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</row>
    <row r="688">
      <c r="A688" s="80"/>
      <c r="B688" s="80"/>
      <c r="C688" s="80"/>
      <c r="D688" s="80"/>
      <c r="E688" s="124"/>
      <c r="F688" s="80"/>
      <c r="G688" s="80"/>
      <c r="H688" s="80"/>
      <c r="I688" s="80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7"/>
      <c r="AK688" s="80"/>
      <c r="AL688" s="80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</row>
    <row r="689">
      <c r="A689" s="80"/>
      <c r="B689" s="80"/>
      <c r="C689" s="80"/>
      <c r="D689" s="80"/>
      <c r="E689" s="124"/>
      <c r="F689" s="80"/>
      <c r="G689" s="80"/>
      <c r="H689" s="80"/>
      <c r="I689" s="80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7"/>
      <c r="AK689" s="80"/>
      <c r="AL689" s="80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</row>
    <row r="690">
      <c r="A690" s="80"/>
      <c r="B690" s="80"/>
      <c r="C690" s="80"/>
      <c r="D690" s="80"/>
      <c r="E690" s="124"/>
      <c r="F690" s="80"/>
      <c r="G690" s="80"/>
      <c r="H690" s="80"/>
      <c r="I690" s="80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7"/>
      <c r="AK690" s="80"/>
      <c r="AL690" s="80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</row>
    <row r="691">
      <c r="A691" s="80"/>
      <c r="B691" s="80"/>
      <c r="C691" s="80"/>
      <c r="D691" s="80"/>
      <c r="E691" s="124"/>
      <c r="F691" s="80"/>
      <c r="G691" s="80"/>
      <c r="H691" s="80"/>
      <c r="I691" s="80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7"/>
      <c r="AK691" s="80"/>
      <c r="AL691" s="80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</row>
    <row r="692">
      <c r="A692" s="80"/>
      <c r="B692" s="80"/>
      <c r="C692" s="80"/>
      <c r="D692" s="80"/>
      <c r="E692" s="124"/>
      <c r="F692" s="80"/>
      <c r="G692" s="80"/>
      <c r="H692" s="80"/>
      <c r="I692" s="80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7"/>
      <c r="AK692" s="80"/>
      <c r="AL692" s="80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</row>
    <row r="693">
      <c r="A693" s="80"/>
      <c r="B693" s="80"/>
      <c r="C693" s="80"/>
      <c r="D693" s="80"/>
      <c r="E693" s="124"/>
      <c r="F693" s="80"/>
      <c r="G693" s="80"/>
      <c r="H693" s="80"/>
      <c r="I693" s="80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7"/>
      <c r="AK693" s="80"/>
      <c r="AL693" s="80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</row>
    <row r="694">
      <c r="A694" s="80"/>
      <c r="B694" s="80"/>
      <c r="C694" s="80"/>
      <c r="D694" s="80"/>
      <c r="E694" s="124"/>
      <c r="F694" s="80"/>
      <c r="G694" s="80"/>
      <c r="H694" s="80"/>
      <c r="I694" s="80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7"/>
      <c r="AK694" s="80"/>
      <c r="AL694" s="80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</row>
    <row r="695">
      <c r="A695" s="80"/>
      <c r="B695" s="80"/>
      <c r="C695" s="80"/>
      <c r="D695" s="80"/>
      <c r="E695" s="124"/>
      <c r="F695" s="80"/>
      <c r="G695" s="80"/>
      <c r="H695" s="80"/>
      <c r="I695" s="80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7"/>
      <c r="AK695" s="80"/>
      <c r="AL695" s="80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</row>
    <row r="696">
      <c r="A696" s="80"/>
      <c r="B696" s="80"/>
      <c r="C696" s="80"/>
      <c r="D696" s="80"/>
      <c r="E696" s="124"/>
      <c r="F696" s="80"/>
      <c r="G696" s="80"/>
      <c r="H696" s="80"/>
      <c r="I696" s="80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7"/>
      <c r="AK696" s="80"/>
      <c r="AL696" s="80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</row>
    <row r="697">
      <c r="A697" s="80"/>
      <c r="B697" s="80"/>
      <c r="C697" s="80"/>
      <c r="D697" s="80"/>
      <c r="E697" s="124"/>
      <c r="F697" s="80"/>
      <c r="G697" s="80"/>
      <c r="H697" s="80"/>
      <c r="I697" s="80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7"/>
      <c r="AK697" s="80"/>
      <c r="AL697" s="80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</row>
    <row r="698">
      <c r="A698" s="80"/>
      <c r="B698" s="80"/>
      <c r="C698" s="80"/>
      <c r="D698" s="80"/>
      <c r="E698" s="124"/>
      <c r="F698" s="80"/>
      <c r="G698" s="80"/>
      <c r="H698" s="80"/>
      <c r="I698" s="80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7"/>
      <c r="AK698" s="80"/>
      <c r="AL698" s="80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</row>
    <row r="699">
      <c r="A699" s="80"/>
      <c r="B699" s="80"/>
      <c r="C699" s="80"/>
      <c r="D699" s="80"/>
      <c r="E699" s="124"/>
      <c r="F699" s="80"/>
      <c r="G699" s="80"/>
      <c r="H699" s="80"/>
      <c r="I699" s="80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7"/>
      <c r="AK699" s="80"/>
      <c r="AL699" s="80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</row>
    <row r="700">
      <c r="A700" s="80"/>
      <c r="B700" s="80"/>
      <c r="C700" s="80"/>
      <c r="D700" s="80"/>
      <c r="E700" s="124"/>
      <c r="F700" s="80"/>
      <c r="G700" s="80"/>
      <c r="H700" s="80"/>
      <c r="I700" s="80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7"/>
      <c r="AK700" s="80"/>
      <c r="AL700" s="80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</row>
    <row r="701">
      <c r="A701" s="80"/>
      <c r="B701" s="80"/>
      <c r="C701" s="80"/>
      <c r="D701" s="80"/>
      <c r="E701" s="124"/>
      <c r="F701" s="80"/>
      <c r="G701" s="80"/>
      <c r="H701" s="80"/>
      <c r="I701" s="80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7"/>
      <c r="AK701" s="80"/>
      <c r="AL701" s="80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</row>
    <row r="702">
      <c r="A702" s="80"/>
      <c r="B702" s="80"/>
      <c r="C702" s="80"/>
      <c r="D702" s="80"/>
      <c r="E702" s="124"/>
      <c r="F702" s="80"/>
      <c r="G702" s="80"/>
      <c r="H702" s="80"/>
      <c r="I702" s="80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7"/>
      <c r="AK702" s="80"/>
      <c r="AL702" s="80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</row>
    <row r="703">
      <c r="A703" s="80"/>
      <c r="B703" s="80"/>
      <c r="C703" s="80"/>
      <c r="D703" s="80"/>
      <c r="E703" s="124"/>
      <c r="F703" s="80"/>
      <c r="G703" s="80"/>
      <c r="H703" s="80"/>
      <c r="I703" s="80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7"/>
      <c r="AK703" s="80"/>
      <c r="AL703" s="80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</row>
    <row r="704">
      <c r="A704" s="80"/>
      <c r="B704" s="80"/>
      <c r="C704" s="80"/>
      <c r="D704" s="80"/>
      <c r="E704" s="124"/>
      <c r="F704" s="80"/>
      <c r="G704" s="80"/>
      <c r="H704" s="80"/>
      <c r="I704" s="80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7"/>
      <c r="AK704" s="80"/>
      <c r="AL704" s="80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</row>
    <row r="705">
      <c r="A705" s="80"/>
      <c r="B705" s="80"/>
      <c r="C705" s="80"/>
      <c r="D705" s="80"/>
      <c r="E705" s="124"/>
      <c r="F705" s="80"/>
      <c r="G705" s="80"/>
      <c r="H705" s="80"/>
      <c r="I705" s="80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7"/>
      <c r="AK705" s="80"/>
      <c r="AL705" s="80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</row>
    <row r="706">
      <c r="A706" s="80"/>
      <c r="B706" s="80"/>
      <c r="C706" s="80"/>
      <c r="D706" s="80"/>
      <c r="E706" s="124"/>
      <c r="F706" s="80"/>
      <c r="G706" s="80"/>
      <c r="H706" s="80"/>
      <c r="I706" s="80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7"/>
      <c r="AK706" s="80"/>
      <c r="AL706" s="80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</row>
    <row r="707">
      <c r="A707" s="80"/>
      <c r="B707" s="80"/>
      <c r="C707" s="80"/>
      <c r="D707" s="80"/>
      <c r="E707" s="124"/>
      <c r="F707" s="80"/>
      <c r="G707" s="80"/>
      <c r="H707" s="80"/>
      <c r="I707" s="80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7"/>
      <c r="AK707" s="80"/>
      <c r="AL707" s="80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</row>
    <row r="708">
      <c r="A708" s="80"/>
      <c r="B708" s="80"/>
      <c r="C708" s="80"/>
      <c r="D708" s="80"/>
      <c r="E708" s="124"/>
      <c r="F708" s="80"/>
      <c r="G708" s="80"/>
      <c r="H708" s="80"/>
      <c r="I708" s="80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7"/>
      <c r="AK708" s="80"/>
      <c r="AL708" s="80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</row>
    <row r="709">
      <c r="A709" s="80"/>
      <c r="B709" s="80"/>
      <c r="C709" s="80"/>
      <c r="D709" s="80"/>
      <c r="E709" s="124"/>
      <c r="F709" s="80"/>
      <c r="G709" s="80"/>
      <c r="H709" s="80"/>
      <c r="I709" s="80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7"/>
      <c r="AK709" s="80"/>
      <c r="AL709" s="80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</row>
    <row r="710">
      <c r="A710" s="80"/>
      <c r="B710" s="80"/>
      <c r="C710" s="80"/>
      <c r="D710" s="80"/>
      <c r="E710" s="124"/>
      <c r="F710" s="80"/>
      <c r="G710" s="80"/>
      <c r="H710" s="80"/>
      <c r="I710" s="80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7"/>
      <c r="AK710" s="80"/>
      <c r="AL710" s="80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</row>
    <row r="711">
      <c r="A711" s="80"/>
      <c r="B711" s="80"/>
      <c r="C711" s="80"/>
      <c r="D711" s="80"/>
      <c r="E711" s="124"/>
      <c r="F711" s="80"/>
      <c r="G711" s="80"/>
      <c r="H711" s="80"/>
      <c r="I711" s="80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7"/>
      <c r="AK711" s="80"/>
      <c r="AL711" s="80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</row>
    <row r="712">
      <c r="A712" s="80"/>
      <c r="B712" s="80"/>
      <c r="C712" s="80"/>
      <c r="D712" s="80"/>
      <c r="E712" s="124"/>
      <c r="F712" s="80"/>
      <c r="G712" s="80"/>
      <c r="H712" s="80"/>
      <c r="I712" s="80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7"/>
      <c r="AK712" s="80"/>
      <c r="AL712" s="80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</row>
    <row r="713">
      <c r="A713" s="80"/>
      <c r="B713" s="80"/>
      <c r="C713" s="80"/>
      <c r="D713" s="80"/>
      <c r="E713" s="124"/>
      <c r="F713" s="80"/>
      <c r="G713" s="80"/>
      <c r="H713" s="80"/>
      <c r="I713" s="80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7"/>
      <c r="AK713" s="80"/>
      <c r="AL713" s="80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</row>
    <row r="714">
      <c r="A714" s="80"/>
      <c r="B714" s="80"/>
      <c r="C714" s="80"/>
      <c r="D714" s="80"/>
      <c r="E714" s="124"/>
      <c r="F714" s="80"/>
      <c r="G714" s="80"/>
      <c r="H714" s="80"/>
      <c r="I714" s="80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7"/>
      <c r="AK714" s="80"/>
      <c r="AL714" s="80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</row>
    <row r="715">
      <c r="A715" s="80"/>
      <c r="B715" s="80"/>
      <c r="C715" s="80"/>
      <c r="D715" s="80"/>
      <c r="E715" s="124"/>
      <c r="F715" s="80"/>
      <c r="G715" s="80"/>
      <c r="H715" s="80"/>
      <c r="I715" s="80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7"/>
      <c r="AK715" s="80"/>
      <c r="AL715" s="80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</row>
    <row r="716">
      <c r="A716" s="80"/>
      <c r="B716" s="80"/>
      <c r="C716" s="80"/>
      <c r="D716" s="80"/>
      <c r="E716" s="124"/>
      <c r="F716" s="80"/>
      <c r="G716" s="80"/>
      <c r="H716" s="80"/>
      <c r="I716" s="80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7"/>
      <c r="AK716" s="80"/>
      <c r="AL716" s="80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</row>
    <row r="717">
      <c r="A717" s="80"/>
      <c r="B717" s="80"/>
      <c r="C717" s="80"/>
      <c r="D717" s="80"/>
      <c r="E717" s="124"/>
      <c r="F717" s="80"/>
      <c r="G717" s="80"/>
      <c r="H717" s="80"/>
      <c r="I717" s="80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7"/>
      <c r="AK717" s="80"/>
      <c r="AL717" s="80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</row>
    <row r="718">
      <c r="A718" s="80"/>
      <c r="B718" s="80"/>
      <c r="C718" s="80"/>
      <c r="D718" s="80"/>
      <c r="E718" s="124"/>
      <c r="F718" s="80"/>
      <c r="G718" s="80"/>
      <c r="H718" s="80"/>
      <c r="I718" s="80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7"/>
      <c r="AK718" s="80"/>
      <c r="AL718" s="80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</row>
    <row r="719">
      <c r="A719" s="80"/>
      <c r="B719" s="80"/>
      <c r="C719" s="80"/>
      <c r="D719" s="80"/>
      <c r="E719" s="124"/>
      <c r="F719" s="80"/>
      <c r="G719" s="80"/>
      <c r="H719" s="80"/>
      <c r="I719" s="80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7"/>
      <c r="AK719" s="80"/>
      <c r="AL719" s="80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</row>
    <row r="720">
      <c r="A720" s="80"/>
      <c r="B720" s="80"/>
      <c r="C720" s="80"/>
      <c r="D720" s="80"/>
      <c r="E720" s="124"/>
      <c r="F720" s="80"/>
      <c r="G720" s="80"/>
      <c r="H720" s="80"/>
      <c r="I720" s="80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7"/>
      <c r="AK720" s="80"/>
      <c r="AL720" s="80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</row>
    <row r="721">
      <c r="A721" s="80"/>
      <c r="B721" s="80"/>
      <c r="C721" s="80"/>
      <c r="D721" s="80"/>
      <c r="E721" s="124"/>
      <c r="F721" s="80"/>
      <c r="G721" s="80"/>
      <c r="H721" s="80"/>
      <c r="I721" s="80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7"/>
      <c r="AK721" s="80"/>
      <c r="AL721" s="80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</row>
    <row r="722">
      <c r="A722" s="80"/>
      <c r="B722" s="80"/>
      <c r="C722" s="80"/>
      <c r="D722" s="80"/>
      <c r="E722" s="124"/>
      <c r="F722" s="80"/>
      <c r="G722" s="80"/>
      <c r="H722" s="80"/>
      <c r="I722" s="80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7"/>
      <c r="AK722" s="80"/>
      <c r="AL722" s="80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</row>
    <row r="723">
      <c r="A723" s="80"/>
      <c r="B723" s="80"/>
      <c r="C723" s="80"/>
      <c r="D723" s="80"/>
      <c r="E723" s="124"/>
      <c r="F723" s="80"/>
      <c r="G723" s="80"/>
      <c r="H723" s="80"/>
      <c r="I723" s="80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7"/>
      <c r="AK723" s="80"/>
      <c r="AL723" s="80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</row>
    <row r="724">
      <c r="A724" s="80"/>
      <c r="B724" s="80"/>
      <c r="C724" s="80"/>
      <c r="D724" s="80"/>
      <c r="E724" s="124"/>
      <c r="F724" s="80"/>
      <c r="G724" s="80"/>
      <c r="H724" s="80"/>
      <c r="I724" s="80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7"/>
      <c r="AK724" s="80"/>
      <c r="AL724" s="80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</row>
    <row r="725">
      <c r="A725" s="80"/>
      <c r="B725" s="80"/>
      <c r="C725" s="80"/>
      <c r="D725" s="80"/>
      <c r="E725" s="124"/>
      <c r="F725" s="80"/>
      <c r="G725" s="80"/>
      <c r="H725" s="80"/>
      <c r="I725" s="80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7"/>
      <c r="AK725" s="80"/>
      <c r="AL725" s="80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</row>
    <row r="726">
      <c r="A726" s="80"/>
      <c r="B726" s="80"/>
      <c r="C726" s="80"/>
      <c r="D726" s="80"/>
      <c r="E726" s="124"/>
      <c r="F726" s="80"/>
      <c r="G726" s="80"/>
      <c r="H726" s="80"/>
      <c r="I726" s="80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7"/>
      <c r="AK726" s="80"/>
      <c r="AL726" s="80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</row>
    <row r="727">
      <c r="A727" s="80"/>
      <c r="B727" s="80"/>
      <c r="C727" s="80"/>
      <c r="D727" s="80"/>
      <c r="E727" s="124"/>
      <c r="F727" s="80"/>
      <c r="G727" s="80"/>
      <c r="H727" s="80"/>
      <c r="I727" s="80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7"/>
      <c r="AK727" s="80"/>
      <c r="AL727" s="80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</row>
    <row r="728">
      <c r="A728" s="80"/>
      <c r="B728" s="80"/>
      <c r="C728" s="80"/>
      <c r="D728" s="80"/>
      <c r="E728" s="124"/>
      <c r="F728" s="80"/>
      <c r="G728" s="80"/>
      <c r="H728" s="80"/>
      <c r="I728" s="80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7"/>
      <c r="AK728" s="80"/>
      <c r="AL728" s="80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</row>
    <row r="729">
      <c r="A729" s="80"/>
      <c r="B729" s="80"/>
      <c r="C729" s="80"/>
      <c r="D729" s="80"/>
      <c r="E729" s="124"/>
      <c r="F729" s="80"/>
      <c r="G729" s="80"/>
      <c r="H729" s="80"/>
      <c r="I729" s="80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7"/>
      <c r="AK729" s="80"/>
      <c r="AL729" s="80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</row>
    <row r="730">
      <c r="A730" s="80"/>
      <c r="B730" s="80"/>
      <c r="C730" s="80"/>
      <c r="D730" s="80"/>
      <c r="E730" s="124"/>
      <c r="F730" s="80"/>
      <c r="G730" s="80"/>
      <c r="H730" s="80"/>
      <c r="I730" s="80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7"/>
      <c r="AK730" s="80"/>
      <c r="AL730" s="80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</row>
    <row r="731">
      <c r="A731" s="80"/>
      <c r="B731" s="80"/>
      <c r="C731" s="80"/>
      <c r="D731" s="80"/>
      <c r="E731" s="124"/>
      <c r="F731" s="80"/>
      <c r="G731" s="80"/>
      <c r="H731" s="80"/>
      <c r="I731" s="80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7"/>
      <c r="AK731" s="80"/>
      <c r="AL731" s="80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</row>
    <row r="732">
      <c r="A732" s="80"/>
      <c r="B732" s="80"/>
      <c r="C732" s="80"/>
      <c r="D732" s="80"/>
      <c r="E732" s="124"/>
      <c r="F732" s="80"/>
      <c r="G732" s="80"/>
      <c r="H732" s="80"/>
      <c r="I732" s="80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7"/>
      <c r="AK732" s="80"/>
      <c r="AL732" s="80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</row>
    <row r="733">
      <c r="A733" s="80"/>
      <c r="B733" s="80"/>
      <c r="C733" s="80"/>
      <c r="D733" s="80"/>
      <c r="E733" s="124"/>
      <c r="F733" s="80"/>
      <c r="G733" s="80"/>
      <c r="H733" s="80"/>
      <c r="I733" s="80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7"/>
      <c r="AK733" s="80"/>
      <c r="AL733" s="80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</row>
    <row r="734">
      <c r="A734" s="80"/>
      <c r="B734" s="80"/>
      <c r="C734" s="80"/>
      <c r="D734" s="80"/>
      <c r="E734" s="124"/>
      <c r="F734" s="80"/>
      <c r="G734" s="80"/>
      <c r="H734" s="80"/>
      <c r="I734" s="80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7"/>
      <c r="AK734" s="80"/>
      <c r="AL734" s="80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</row>
    <row r="735">
      <c r="A735" s="80"/>
      <c r="B735" s="80"/>
      <c r="C735" s="80"/>
      <c r="D735" s="80"/>
      <c r="E735" s="124"/>
      <c r="F735" s="80"/>
      <c r="G735" s="80"/>
      <c r="H735" s="80"/>
      <c r="I735" s="80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7"/>
      <c r="AK735" s="80"/>
      <c r="AL735" s="80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</row>
    <row r="736">
      <c r="A736" s="80"/>
      <c r="B736" s="80"/>
      <c r="C736" s="80"/>
      <c r="D736" s="80"/>
      <c r="E736" s="124"/>
      <c r="F736" s="80"/>
      <c r="G736" s="80"/>
      <c r="H736" s="80"/>
      <c r="I736" s="80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7"/>
      <c r="AK736" s="80"/>
      <c r="AL736" s="80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</row>
    <row r="737">
      <c r="A737" s="80"/>
      <c r="B737" s="80"/>
      <c r="C737" s="80"/>
      <c r="D737" s="80"/>
      <c r="E737" s="124"/>
      <c r="F737" s="80"/>
      <c r="G737" s="80"/>
      <c r="H737" s="80"/>
      <c r="I737" s="80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7"/>
      <c r="AK737" s="80"/>
      <c r="AL737" s="80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</row>
    <row r="738">
      <c r="A738" s="80"/>
      <c r="B738" s="80"/>
      <c r="C738" s="80"/>
      <c r="D738" s="80"/>
      <c r="E738" s="124"/>
      <c r="F738" s="80"/>
      <c r="G738" s="80"/>
      <c r="H738" s="80"/>
      <c r="I738" s="80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7"/>
      <c r="AK738" s="80"/>
      <c r="AL738" s="80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</row>
    <row r="739">
      <c r="A739" s="80"/>
      <c r="B739" s="80"/>
      <c r="C739" s="80"/>
      <c r="D739" s="80"/>
      <c r="E739" s="124"/>
      <c r="F739" s="80"/>
      <c r="G739" s="80"/>
      <c r="H739" s="80"/>
      <c r="I739" s="80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7"/>
      <c r="AK739" s="80"/>
      <c r="AL739" s="80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</row>
    <row r="740">
      <c r="A740" s="80"/>
      <c r="B740" s="80"/>
      <c r="C740" s="80"/>
      <c r="D740" s="80"/>
      <c r="E740" s="124"/>
      <c r="F740" s="80"/>
      <c r="G740" s="80"/>
      <c r="H740" s="80"/>
      <c r="I740" s="80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7"/>
      <c r="AK740" s="80"/>
      <c r="AL740" s="80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</row>
    <row r="741">
      <c r="A741" s="80"/>
      <c r="B741" s="80"/>
      <c r="C741" s="80"/>
      <c r="D741" s="80"/>
      <c r="E741" s="124"/>
      <c r="F741" s="80"/>
      <c r="G741" s="80"/>
      <c r="H741" s="80"/>
      <c r="I741" s="80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7"/>
      <c r="AK741" s="80"/>
      <c r="AL741" s="80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</row>
    <row r="742">
      <c r="A742" s="80"/>
      <c r="B742" s="80"/>
      <c r="C742" s="80"/>
      <c r="D742" s="80"/>
      <c r="E742" s="124"/>
      <c r="F742" s="80"/>
      <c r="G742" s="80"/>
      <c r="H742" s="80"/>
      <c r="I742" s="80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7"/>
      <c r="AK742" s="80"/>
      <c r="AL742" s="80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</row>
    <row r="743">
      <c r="A743" s="80"/>
      <c r="B743" s="80"/>
      <c r="C743" s="80"/>
      <c r="D743" s="80"/>
      <c r="E743" s="124"/>
      <c r="F743" s="80"/>
      <c r="G743" s="80"/>
      <c r="H743" s="80"/>
      <c r="I743" s="80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7"/>
      <c r="AK743" s="80"/>
      <c r="AL743" s="80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</row>
    <row r="744">
      <c r="A744" s="80"/>
      <c r="B744" s="80"/>
      <c r="C744" s="80"/>
      <c r="D744" s="80"/>
      <c r="E744" s="124"/>
      <c r="F744" s="80"/>
      <c r="G744" s="80"/>
      <c r="H744" s="80"/>
      <c r="I744" s="80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7"/>
      <c r="AK744" s="80"/>
      <c r="AL744" s="80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</row>
    <row r="745">
      <c r="A745" s="80"/>
      <c r="B745" s="80"/>
      <c r="C745" s="80"/>
      <c r="D745" s="80"/>
      <c r="E745" s="124"/>
      <c r="F745" s="80"/>
      <c r="G745" s="80"/>
      <c r="H745" s="80"/>
      <c r="I745" s="80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7"/>
      <c r="AK745" s="80"/>
      <c r="AL745" s="80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</row>
    <row r="746">
      <c r="A746" s="80"/>
      <c r="B746" s="80"/>
      <c r="C746" s="80"/>
      <c r="D746" s="80"/>
      <c r="E746" s="124"/>
      <c r="F746" s="80"/>
      <c r="G746" s="80"/>
      <c r="H746" s="80"/>
      <c r="I746" s="80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7"/>
      <c r="AK746" s="80"/>
      <c r="AL746" s="80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</row>
    <row r="747">
      <c r="A747" s="80"/>
      <c r="B747" s="80"/>
      <c r="C747" s="80"/>
      <c r="D747" s="80"/>
      <c r="E747" s="124"/>
      <c r="F747" s="80"/>
      <c r="G747" s="80"/>
      <c r="H747" s="80"/>
      <c r="I747" s="80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7"/>
      <c r="AK747" s="80"/>
      <c r="AL747" s="80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</row>
    <row r="748">
      <c r="A748" s="80"/>
      <c r="B748" s="80"/>
      <c r="C748" s="80"/>
      <c r="D748" s="80"/>
      <c r="E748" s="124"/>
      <c r="F748" s="80"/>
      <c r="G748" s="80"/>
      <c r="H748" s="80"/>
      <c r="I748" s="80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7"/>
      <c r="AK748" s="80"/>
      <c r="AL748" s="80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</row>
    <row r="749">
      <c r="A749" s="80"/>
      <c r="B749" s="80"/>
      <c r="C749" s="80"/>
      <c r="D749" s="80"/>
      <c r="E749" s="124"/>
      <c r="F749" s="80"/>
      <c r="G749" s="80"/>
      <c r="H749" s="80"/>
      <c r="I749" s="80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7"/>
      <c r="AK749" s="80"/>
      <c r="AL749" s="80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</row>
    <row r="750">
      <c r="A750" s="80"/>
      <c r="B750" s="80"/>
      <c r="C750" s="80"/>
      <c r="D750" s="80"/>
      <c r="E750" s="124"/>
      <c r="F750" s="80"/>
      <c r="G750" s="80"/>
      <c r="H750" s="80"/>
      <c r="I750" s="80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7"/>
      <c r="AK750" s="80"/>
      <c r="AL750" s="80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</row>
    <row r="751">
      <c r="A751" s="80"/>
      <c r="B751" s="80"/>
      <c r="C751" s="80"/>
      <c r="D751" s="80"/>
      <c r="E751" s="124"/>
      <c r="F751" s="80"/>
      <c r="G751" s="80"/>
      <c r="H751" s="80"/>
      <c r="I751" s="80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7"/>
      <c r="AK751" s="80"/>
      <c r="AL751" s="80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</row>
    <row r="752">
      <c r="A752" s="80"/>
      <c r="B752" s="80"/>
      <c r="C752" s="80"/>
      <c r="D752" s="80"/>
      <c r="E752" s="124"/>
      <c r="F752" s="80"/>
      <c r="G752" s="80"/>
      <c r="H752" s="80"/>
      <c r="I752" s="80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7"/>
      <c r="AK752" s="80"/>
      <c r="AL752" s="80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</row>
    <row r="753">
      <c r="A753" s="80"/>
      <c r="B753" s="80"/>
      <c r="C753" s="80"/>
      <c r="D753" s="80"/>
      <c r="E753" s="124"/>
      <c r="F753" s="80"/>
      <c r="G753" s="80"/>
      <c r="H753" s="80"/>
      <c r="I753" s="80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7"/>
      <c r="AK753" s="80"/>
      <c r="AL753" s="80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</row>
    <row r="754">
      <c r="A754" s="80"/>
      <c r="B754" s="80"/>
      <c r="C754" s="80"/>
      <c r="D754" s="80"/>
      <c r="E754" s="124"/>
      <c r="F754" s="80"/>
      <c r="G754" s="80"/>
      <c r="H754" s="80"/>
      <c r="I754" s="80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7"/>
      <c r="AK754" s="80"/>
      <c r="AL754" s="80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</row>
    <row r="755">
      <c r="A755" s="80"/>
      <c r="B755" s="80"/>
      <c r="C755" s="80"/>
      <c r="D755" s="80"/>
      <c r="E755" s="124"/>
      <c r="F755" s="80"/>
      <c r="G755" s="80"/>
      <c r="H755" s="80"/>
      <c r="I755" s="80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7"/>
      <c r="AK755" s="80"/>
      <c r="AL755" s="80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</row>
    <row r="756">
      <c r="A756" s="80"/>
      <c r="B756" s="80"/>
      <c r="C756" s="80"/>
      <c r="D756" s="80"/>
      <c r="E756" s="124"/>
      <c r="F756" s="80"/>
      <c r="G756" s="80"/>
      <c r="H756" s="80"/>
      <c r="I756" s="80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7"/>
      <c r="AK756" s="80"/>
      <c r="AL756" s="80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</row>
    <row r="757">
      <c r="A757" s="80"/>
      <c r="B757" s="80"/>
      <c r="C757" s="80"/>
      <c r="D757" s="80"/>
      <c r="E757" s="124"/>
      <c r="F757" s="80"/>
      <c r="G757" s="80"/>
      <c r="H757" s="80"/>
      <c r="I757" s="80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7"/>
      <c r="AK757" s="80"/>
      <c r="AL757" s="80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</row>
    <row r="758">
      <c r="A758" s="80"/>
      <c r="B758" s="80"/>
      <c r="C758" s="80"/>
      <c r="D758" s="80"/>
      <c r="E758" s="124"/>
      <c r="F758" s="80"/>
      <c r="G758" s="80"/>
      <c r="H758" s="80"/>
      <c r="I758" s="80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7"/>
      <c r="AK758" s="80"/>
      <c r="AL758" s="80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</row>
    <row r="759">
      <c r="A759" s="80"/>
      <c r="B759" s="80"/>
      <c r="C759" s="80"/>
      <c r="D759" s="80"/>
      <c r="E759" s="124"/>
      <c r="F759" s="80"/>
      <c r="G759" s="80"/>
      <c r="H759" s="80"/>
      <c r="I759" s="80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7"/>
      <c r="AK759" s="80"/>
      <c r="AL759" s="80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</row>
    <row r="760">
      <c r="A760" s="80"/>
      <c r="B760" s="80"/>
      <c r="C760" s="80"/>
      <c r="D760" s="80"/>
      <c r="E760" s="124"/>
      <c r="F760" s="80"/>
      <c r="G760" s="80"/>
      <c r="H760" s="80"/>
      <c r="I760" s="80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7"/>
      <c r="AK760" s="80"/>
      <c r="AL760" s="80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</row>
    <row r="761">
      <c r="A761" s="80"/>
      <c r="B761" s="80"/>
      <c r="C761" s="80"/>
      <c r="D761" s="80"/>
      <c r="E761" s="124"/>
      <c r="F761" s="80"/>
      <c r="G761" s="80"/>
      <c r="H761" s="80"/>
      <c r="I761" s="80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7"/>
      <c r="AK761" s="80"/>
      <c r="AL761" s="80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</row>
    <row r="762">
      <c r="A762" s="80"/>
      <c r="B762" s="80"/>
      <c r="C762" s="80"/>
      <c r="D762" s="80"/>
      <c r="E762" s="124"/>
      <c r="F762" s="80"/>
      <c r="G762" s="80"/>
      <c r="H762" s="80"/>
      <c r="I762" s="80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7"/>
      <c r="AK762" s="80"/>
      <c r="AL762" s="80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</row>
    <row r="763">
      <c r="A763" s="80"/>
      <c r="B763" s="80"/>
      <c r="C763" s="80"/>
      <c r="D763" s="80"/>
      <c r="E763" s="124"/>
      <c r="F763" s="80"/>
      <c r="G763" s="80"/>
      <c r="H763" s="80"/>
      <c r="I763" s="80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7"/>
      <c r="AK763" s="80"/>
      <c r="AL763" s="80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</row>
    <row r="764">
      <c r="A764" s="80"/>
      <c r="B764" s="80"/>
      <c r="C764" s="80"/>
      <c r="D764" s="80"/>
      <c r="E764" s="124"/>
      <c r="F764" s="80"/>
      <c r="G764" s="80"/>
      <c r="H764" s="80"/>
      <c r="I764" s="80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7"/>
      <c r="AK764" s="80"/>
      <c r="AL764" s="80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</row>
    <row r="765">
      <c r="A765" s="80"/>
      <c r="B765" s="80"/>
      <c r="C765" s="80"/>
      <c r="D765" s="80"/>
      <c r="E765" s="124"/>
      <c r="F765" s="80"/>
      <c r="G765" s="80"/>
      <c r="H765" s="80"/>
      <c r="I765" s="80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7"/>
      <c r="AK765" s="80"/>
      <c r="AL765" s="80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</row>
    <row r="766">
      <c r="A766" s="80"/>
      <c r="B766" s="80"/>
      <c r="C766" s="80"/>
      <c r="D766" s="80"/>
      <c r="E766" s="124"/>
      <c r="F766" s="80"/>
      <c r="G766" s="80"/>
      <c r="H766" s="80"/>
      <c r="I766" s="80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7"/>
      <c r="AK766" s="80"/>
      <c r="AL766" s="80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</row>
    <row r="767">
      <c r="A767" s="80"/>
      <c r="B767" s="80"/>
      <c r="C767" s="80"/>
      <c r="D767" s="80"/>
      <c r="E767" s="124"/>
      <c r="F767" s="80"/>
      <c r="G767" s="80"/>
      <c r="H767" s="80"/>
      <c r="I767" s="80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7"/>
      <c r="AK767" s="80"/>
      <c r="AL767" s="80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</row>
    <row r="768">
      <c r="A768" s="80"/>
      <c r="B768" s="80"/>
      <c r="C768" s="80"/>
      <c r="D768" s="80"/>
      <c r="E768" s="124"/>
      <c r="F768" s="80"/>
      <c r="G768" s="80"/>
      <c r="H768" s="80"/>
      <c r="I768" s="80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7"/>
      <c r="AK768" s="80"/>
      <c r="AL768" s="80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</row>
    <row r="769">
      <c r="A769" s="80"/>
      <c r="B769" s="80"/>
      <c r="C769" s="80"/>
      <c r="D769" s="80"/>
      <c r="E769" s="124"/>
      <c r="F769" s="80"/>
      <c r="G769" s="80"/>
      <c r="H769" s="80"/>
      <c r="I769" s="80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7"/>
      <c r="AK769" s="80"/>
      <c r="AL769" s="80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</row>
    <row r="770">
      <c r="A770" s="80"/>
      <c r="B770" s="80"/>
      <c r="C770" s="80"/>
      <c r="D770" s="80"/>
      <c r="E770" s="124"/>
      <c r="F770" s="80"/>
      <c r="G770" s="80"/>
      <c r="H770" s="80"/>
      <c r="I770" s="80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7"/>
      <c r="AK770" s="80"/>
      <c r="AL770" s="80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</row>
    <row r="771">
      <c r="A771" s="80"/>
      <c r="B771" s="80"/>
      <c r="C771" s="80"/>
      <c r="D771" s="80"/>
      <c r="E771" s="124"/>
      <c r="F771" s="80"/>
      <c r="G771" s="80"/>
      <c r="H771" s="80"/>
      <c r="I771" s="80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7"/>
      <c r="AK771" s="80"/>
      <c r="AL771" s="80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</row>
    <row r="772">
      <c r="A772" s="80"/>
      <c r="B772" s="80"/>
      <c r="C772" s="80"/>
      <c r="D772" s="80"/>
      <c r="E772" s="124"/>
      <c r="F772" s="80"/>
      <c r="G772" s="80"/>
      <c r="H772" s="80"/>
      <c r="I772" s="80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7"/>
      <c r="AK772" s="80"/>
      <c r="AL772" s="80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</row>
    <row r="773">
      <c r="A773" s="80"/>
      <c r="B773" s="80"/>
      <c r="C773" s="80"/>
      <c r="D773" s="80"/>
      <c r="E773" s="124"/>
      <c r="F773" s="80"/>
      <c r="G773" s="80"/>
      <c r="H773" s="80"/>
      <c r="I773" s="80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7"/>
      <c r="AK773" s="80"/>
      <c r="AL773" s="80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</row>
    <row r="774">
      <c r="A774" s="80"/>
      <c r="B774" s="80"/>
      <c r="C774" s="80"/>
      <c r="D774" s="80"/>
      <c r="E774" s="124"/>
      <c r="F774" s="80"/>
      <c r="G774" s="80"/>
      <c r="H774" s="80"/>
      <c r="I774" s="80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7"/>
      <c r="AK774" s="80"/>
      <c r="AL774" s="80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</row>
    <row r="775">
      <c r="A775" s="80"/>
      <c r="B775" s="80"/>
      <c r="C775" s="80"/>
      <c r="D775" s="80"/>
      <c r="E775" s="124"/>
      <c r="F775" s="80"/>
      <c r="G775" s="80"/>
      <c r="H775" s="80"/>
      <c r="I775" s="80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7"/>
      <c r="AK775" s="80"/>
      <c r="AL775" s="80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</row>
    <row r="776">
      <c r="A776" s="80"/>
      <c r="B776" s="80"/>
      <c r="C776" s="80"/>
      <c r="D776" s="80"/>
      <c r="E776" s="124"/>
      <c r="F776" s="80"/>
      <c r="G776" s="80"/>
      <c r="H776" s="80"/>
      <c r="I776" s="80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7"/>
      <c r="AK776" s="80"/>
      <c r="AL776" s="80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</row>
    <row r="777">
      <c r="A777" s="80"/>
      <c r="B777" s="80"/>
      <c r="C777" s="80"/>
      <c r="D777" s="80"/>
      <c r="E777" s="124"/>
      <c r="F777" s="80"/>
      <c r="G777" s="80"/>
      <c r="H777" s="80"/>
      <c r="I777" s="80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7"/>
      <c r="AK777" s="80"/>
      <c r="AL777" s="80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</row>
    <row r="778">
      <c r="A778" s="80"/>
      <c r="B778" s="80"/>
      <c r="C778" s="80"/>
      <c r="D778" s="80"/>
      <c r="E778" s="124"/>
      <c r="F778" s="80"/>
      <c r="G778" s="80"/>
      <c r="H778" s="80"/>
      <c r="I778" s="80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7"/>
      <c r="AK778" s="80"/>
      <c r="AL778" s="80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</row>
    <row r="779">
      <c r="A779" s="80"/>
      <c r="B779" s="80"/>
      <c r="C779" s="80"/>
      <c r="D779" s="80"/>
      <c r="E779" s="124"/>
      <c r="F779" s="80"/>
      <c r="G779" s="80"/>
      <c r="H779" s="80"/>
      <c r="I779" s="80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7"/>
      <c r="AK779" s="80"/>
      <c r="AL779" s="80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</row>
    <row r="780">
      <c r="A780" s="80"/>
      <c r="B780" s="80"/>
      <c r="C780" s="80"/>
      <c r="D780" s="80"/>
      <c r="E780" s="124"/>
      <c r="F780" s="80"/>
      <c r="G780" s="80"/>
      <c r="H780" s="80"/>
      <c r="I780" s="80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7"/>
      <c r="AK780" s="80"/>
      <c r="AL780" s="80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</row>
    <row r="781">
      <c r="A781" s="80"/>
      <c r="B781" s="80"/>
      <c r="C781" s="80"/>
      <c r="D781" s="80"/>
      <c r="E781" s="124"/>
      <c r="F781" s="80"/>
      <c r="G781" s="80"/>
      <c r="H781" s="80"/>
      <c r="I781" s="80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7"/>
      <c r="AK781" s="80"/>
      <c r="AL781" s="80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</row>
    <row r="782">
      <c r="A782" s="80"/>
      <c r="B782" s="80"/>
      <c r="C782" s="80"/>
      <c r="D782" s="80"/>
      <c r="E782" s="124"/>
      <c r="F782" s="80"/>
      <c r="G782" s="80"/>
      <c r="H782" s="80"/>
      <c r="I782" s="80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7"/>
      <c r="AK782" s="80"/>
      <c r="AL782" s="80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</row>
    <row r="783">
      <c r="A783" s="80"/>
      <c r="B783" s="80"/>
      <c r="C783" s="80"/>
      <c r="D783" s="80"/>
      <c r="E783" s="124"/>
      <c r="F783" s="80"/>
      <c r="G783" s="80"/>
      <c r="H783" s="80"/>
      <c r="I783" s="80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7"/>
      <c r="AK783" s="80"/>
      <c r="AL783" s="80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</row>
    <row r="784">
      <c r="A784" s="80"/>
      <c r="B784" s="80"/>
      <c r="C784" s="80"/>
      <c r="D784" s="80"/>
      <c r="E784" s="124"/>
      <c r="F784" s="80"/>
      <c r="G784" s="80"/>
      <c r="H784" s="80"/>
      <c r="I784" s="80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7"/>
      <c r="AK784" s="80"/>
      <c r="AL784" s="80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</row>
    <row r="785">
      <c r="A785" s="80"/>
      <c r="B785" s="80"/>
      <c r="C785" s="80"/>
      <c r="D785" s="80"/>
      <c r="E785" s="124"/>
      <c r="F785" s="80"/>
      <c r="G785" s="80"/>
      <c r="H785" s="80"/>
      <c r="I785" s="80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7"/>
      <c r="AK785" s="80"/>
      <c r="AL785" s="80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</row>
    <row r="786">
      <c r="A786" s="80"/>
      <c r="B786" s="80"/>
      <c r="C786" s="80"/>
      <c r="D786" s="80"/>
      <c r="E786" s="124"/>
      <c r="F786" s="80"/>
      <c r="G786" s="80"/>
      <c r="H786" s="80"/>
      <c r="I786" s="80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7"/>
      <c r="AK786" s="80"/>
      <c r="AL786" s="80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</row>
    <row r="787">
      <c r="A787" s="80"/>
      <c r="B787" s="80"/>
      <c r="C787" s="80"/>
      <c r="D787" s="80"/>
      <c r="E787" s="124"/>
      <c r="F787" s="80"/>
      <c r="G787" s="80"/>
      <c r="H787" s="80"/>
      <c r="I787" s="80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7"/>
      <c r="AK787" s="80"/>
      <c r="AL787" s="80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</row>
    <row r="788">
      <c r="A788" s="80"/>
      <c r="B788" s="80"/>
      <c r="C788" s="80"/>
      <c r="D788" s="80"/>
      <c r="E788" s="124"/>
      <c r="F788" s="80"/>
      <c r="G788" s="80"/>
      <c r="H788" s="80"/>
      <c r="I788" s="80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7"/>
      <c r="AK788" s="80"/>
      <c r="AL788" s="80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</row>
    <row r="789">
      <c r="A789" s="80"/>
      <c r="B789" s="80"/>
      <c r="C789" s="80"/>
      <c r="D789" s="80"/>
      <c r="E789" s="124"/>
      <c r="F789" s="80"/>
      <c r="G789" s="80"/>
      <c r="H789" s="80"/>
      <c r="I789" s="80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7"/>
      <c r="AK789" s="80"/>
      <c r="AL789" s="80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</row>
    <row r="790">
      <c r="A790" s="80"/>
      <c r="B790" s="80"/>
      <c r="C790" s="80"/>
      <c r="D790" s="80"/>
      <c r="E790" s="124"/>
      <c r="F790" s="80"/>
      <c r="G790" s="80"/>
      <c r="H790" s="80"/>
      <c r="I790" s="80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7"/>
      <c r="AK790" s="80"/>
      <c r="AL790" s="80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</row>
    <row r="791">
      <c r="A791" s="80"/>
      <c r="B791" s="80"/>
      <c r="C791" s="80"/>
      <c r="D791" s="80"/>
      <c r="E791" s="124"/>
      <c r="F791" s="80"/>
      <c r="G791" s="80"/>
      <c r="H791" s="80"/>
      <c r="I791" s="80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7"/>
      <c r="AK791" s="80"/>
      <c r="AL791" s="80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</row>
    <row r="792">
      <c r="A792" s="80"/>
      <c r="B792" s="80"/>
      <c r="C792" s="80"/>
      <c r="D792" s="80"/>
      <c r="E792" s="124"/>
      <c r="F792" s="80"/>
      <c r="G792" s="80"/>
      <c r="H792" s="80"/>
      <c r="I792" s="80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7"/>
      <c r="AK792" s="80"/>
      <c r="AL792" s="80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</row>
    <row r="793">
      <c r="A793" s="80"/>
      <c r="B793" s="80"/>
      <c r="C793" s="80"/>
      <c r="D793" s="80"/>
      <c r="E793" s="124"/>
      <c r="F793" s="80"/>
      <c r="G793" s="80"/>
      <c r="H793" s="80"/>
      <c r="I793" s="80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7"/>
      <c r="AK793" s="80"/>
      <c r="AL793" s="80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</row>
    <row r="794">
      <c r="A794" s="80"/>
      <c r="B794" s="80"/>
      <c r="C794" s="80"/>
      <c r="D794" s="80"/>
      <c r="E794" s="124"/>
      <c r="F794" s="80"/>
      <c r="G794" s="80"/>
      <c r="H794" s="80"/>
      <c r="I794" s="80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7"/>
      <c r="AK794" s="80"/>
      <c r="AL794" s="80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</row>
    <row r="795">
      <c r="A795" s="80"/>
      <c r="B795" s="80"/>
      <c r="C795" s="80"/>
      <c r="D795" s="80"/>
      <c r="E795" s="124"/>
      <c r="F795" s="80"/>
      <c r="G795" s="80"/>
      <c r="H795" s="80"/>
      <c r="I795" s="80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7"/>
      <c r="AK795" s="80"/>
      <c r="AL795" s="80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</row>
    <row r="796">
      <c r="A796" s="80"/>
      <c r="B796" s="80"/>
      <c r="C796" s="80"/>
      <c r="D796" s="80"/>
      <c r="E796" s="124"/>
      <c r="F796" s="80"/>
      <c r="G796" s="80"/>
      <c r="H796" s="80"/>
      <c r="I796" s="80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7"/>
      <c r="AK796" s="80"/>
      <c r="AL796" s="80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</row>
    <row r="797">
      <c r="A797" s="80"/>
      <c r="B797" s="80"/>
      <c r="C797" s="80"/>
      <c r="D797" s="80"/>
      <c r="E797" s="124"/>
      <c r="F797" s="80"/>
      <c r="G797" s="80"/>
      <c r="H797" s="80"/>
      <c r="I797" s="80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7"/>
      <c r="AK797" s="80"/>
      <c r="AL797" s="80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</row>
    <row r="798">
      <c r="A798" s="80"/>
      <c r="B798" s="80"/>
      <c r="C798" s="80"/>
      <c r="D798" s="80"/>
      <c r="E798" s="124"/>
      <c r="F798" s="80"/>
      <c r="G798" s="80"/>
      <c r="H798" s="80"/>
      <c r="I798" s="80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7"/>
      <c r="AK798" s="80"/>
      <c r="AL798" s="80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</row>
    <row r="799">
      <c r="A799" s="80"/>
      <c r="B799" s="80"/>
      <c r="C799" s="80"/>
      <c r="D799" s="80"/>
      <c r="E799" s="124"/>
      <c r="F799" s="80"/>
      <c r="G799" s="80"/>
      <c r="H799" s="80"/>
      <c r="I799" s="80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7"/>
      <c r="AK799" s="80"/>
      <c r="AL799" s="80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</row>
    <row r="800">
      <c r="A800" s="80"/>
      <c r="B800" s="80"/>
      <c r="C800" s="80"/>
      <c r="D800" s="80"/>
      <c r="E800" s="124"/>
      <c r="F800" s="80"/>
      <c r="G800" s="80"/>
      <c r="H800" s="80"/>
      <c r="I800" s="80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7"/>
      <c r="AK800" s="80"/>
      <c r="AL800" s="80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</row>
    <row r="801">
      <c r="A801" s="80"/>
      <c r="B801" s="80"/>
      <c r="C801" s="80"/>
      <c r="D801" s="80"/>
      <c r="E801" s="124"/>
      <c r="F801" s="80"/>
      <c r="G801" s="80"/>
      <c r="H801" s="80"/>
      <c r="I801" s="80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7"/>
      <c r="AK801" s="80"/>
      <c r="AL801" s="80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</row>
    <row r="802">
      <c r="A802" s="80"/>
      <c r="B802" s="80"/>
      <c r="C802" s="80"/>
      <c r="D802" s="80"/>
      <c r="E802" s="124"/>
      <c r="F802" s="80"/>
      <c r="G802" s="80"/>
      <c r="H802" s="80"/>
      <c r="I802" s="80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7"/>
      <c r="AK802" s="80"/>
      <c r="AL802" s="80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</row>
    <row r="803">
      <c r="A803" s="80"/>
      <c r="B803" s="80"/>
      <c r="C803" s="80"/>
      <c r="D803" s="80"/>
      <c r="E803" s="124"/>
      <c r="F803" s="80"/>
      <c r="G803" s="80"/>
      <c r="H803" s="80"/>
      <c r="I803" s="80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7"/>
      <c r="AK803" s="80"/>
      <c r="AL803" s="80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</row>
    <row r="804">
      <c r="A804" s="80"/>
      <c r="B804" s="80"/>
      <c r="C804" s="80"/>
      <c r="D804" s="80"/>
      <c r="E804" s="124"/>
      <c r="F804" s="80"/>
      <c r="G804" s="80"/>
      <c r="H804" s="80"/>
      <c r="I804" s="80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7"/>
      <c r="AK804" s="80"/>
      <c r="AL804" s="80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</row>
    <row r="805">
      <c r="A805" s="80"/>
      <c r="B805" s="80"/>
      <c r="C805" s="80"/>
      <c r="D805" s="80"/>
      <c r="E805" s="124"/>
      <c r="F805" s="80"/>
      <c r="G805" s="80"/>
      <c r="H805" s="80"/>
      <c r="I805" s="80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7"/>
      <c r="AK805" s="80"/>
      <c r="AL805" s="80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</row>
    <row r="806">
      <c r="A806" s="80"/>
      <c r="B806" s="80"/>
      <c r="C806" s="80"/>
      <c r="D806" s="80"/>
      <c r="E806" s="124"/>
      <c r="F806" s="80"/>
      <c r="G806" s="80"/>
      <c r="H806" s="80"/>
      <c r="I806" s="80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7"/>
      <c r="AK806" s="80"/>
      <c r="AL806" s="80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</row>
    <row r="807">
      <c r="A807" s="80"/>
      <c r="B807" s="80"/>
      <c r="C807" s="80"/>
      <c r="D807" s="80"/>
      <c r="E807" s="124"/>
      <c r="F807" s="80"/>
      <c r="G807" s="80"/>
      <c r="H807" s="80"/>
      <c r="I807" s="80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7"/>
      <c r="AK807" s="80"/>
      <c r="AL807" s="80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</row>
    <row r="808">
      <c r="A808" s="80"/>
      <c r="B808" s="80"/>
      <c r="C808" s="80"/>
      <c r="D808" s="80"/>
      <c r="E808" s="124"/>
      <c r="F808" s="80"/>
      <c r="G808" s="80"/>
      <c r="H808" s="80"/>
      <c r="I808" s="80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7"/>
      <c r="AK808" s="80"/>
      <c r="AL808" s="80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</row>
    <row r="809">
      <c r="A809" s="80"/>
      <c r="B809" s="80"/>
      <c r="C809" s="80"/>
      <c r="D809" s="80"/>
      <c r="E809" s="124"/>
      <c r="F809" s="80"/>
      <c r="G809" s="80"/>
      <c r="H809" s="80"/>
      <c r="I809" s="80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7"/>
      <c r="AK809" s="80"/>
      <c r="AL809" s="80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</row>
    <row r="810">
      <c r="A810" s="80"/>
      <c r="B810" s="80"/>
      <c r="C810" s="80"/>
      <c r="D810" s="80"/>
      <c r="E810" s="124"/>
      <c r="F810" s="80"/>
      <c r="G810" s="80"/>
      <c r="H810" s="80"/>
      <c r="I810" s="80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7"/>
      <c r="AK810" s="80"/>
      <c r="AL810" s="80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</row>
    <row r="811">
      <c r="A811" s="80"/>
      <c r="B811" s="80"/>
      <c r="C811" s="80"/>
      <c r="D811" s="80"/>
      <c r="E811" s="124"/>
      <c r="F811" s="80"/>
      <c r="G811" s="80"/>
      <c r="H811" s="80"/>
      <c r="I811" s="80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7"/>
      <c r="AK811" s="80"/>
      <c r="AL811" s="80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</row>
    <row r="812">
      <c r="A812" s="80"/>
      <c r="B812" s="80"/>
      <c r="C812" s="80"/>
      <c r="D812" s="80"/>
      <c r="E812" s="124"/>
      <c r="F812" s="80"/>
      <c r="G812" s="80"/>
      <c r="H812" s="80"/>
      <c r="I812" s="80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7"/>
      <c r="AK812" s="80"/>
      <c r="AL812" s="80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</row>
    <row r="813">
      <c r="A813" s="80"/>
      <c r="B813" s="80"/>
      <c r="C813" s="80"/>
      <c r="D813" s="80"/>
      <c r="E813" s="124"/>
      <c r="F813" s="80"/>
      <c r="G813" s="80"/>
      <c r="H813" s="80"/>
      <c r="I813" s="80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7"/>
      <c r="AK813" s="80"/>
      <c r="AL813" s="80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</row>
    <row r="814">
      <c r="A814" s="80"/>
      <c r="B814" s="80"/>
      <c r="C814" s="80"/>
      <c r="D814" s="80"/>
      <c r="E814" s="124"/>
      <c r="F814" s="80"/>
      <c r="G814" s="80"/>
      <c r="H814" s="80"/>
      <c r="I814" s="80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7"/>
      <c r="AK814" s="80"/>
      <c r="AL814" s="80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</row>
    <row r="815">
      <c r="A815" s="80"/>
      <c r="B815" s="80"/>
      <c r="C815" s="80"/>
      <c r="D815" s="80"/>
      <c r="E815" s="124"/>
      <c r="F815" s="80"/>
      <c r="G815" s="80"/>
      <c r="H815" s="80"/>
      <c r="I815" s="80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7"/>
      <c r="AK815" s="80"/>
      <c r="AL815" s="80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</row>
    <row r="816">
      <c r="A816" s="80"/>
      <c r="B816" s="80"/>
      <c r="C816" s="80"/>
      <c r="D816" s="80"/>
      <c r="E816" s="124"/>
      <c r="F816" s="80"/>
      <c r="G816" s="80"/>
      <c r="H816" s="80"/>
      <c r="I816" s="80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7"/>
      <c r="AK816" s="80"/>
      <c r="AL816" s="80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</row>
    <row r="817">
      <c r="A817" s="80"/>
      <c r="B817" s="80"/>
      <c r="C817" s="80"/>
      <c r="D817" s="80"/>
      <c r="E817" s="124"/>
      <c r="F817" s="80"/>
      <c r="G817" s="80"/>
      <c r="H817" s="80"/>
      <c r="I817" s="80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7"/>
      <c r="AK817" s="80"/>
      <c r="AL817" s="80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</row>
    <row r="818">
      <c r="A818" s="80"/>
      <c r="B818" s="80"/>
      <c r="C818" s="80"/>
      <c r="D818" s="80"/>
      <c r="E818" s="124"/>
      <c r="F818" s="80"/>
      <c r="G818" s="80"/>
      <c r="H818" s="80"/>
      <c r="I818" s="80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7"/>
      <c r="AK818" s="80"/>
      <c r="AL818" s="80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</row>
    <row r="819">
      <c r="A819" s="80"/>
      <c r="B819" s="80"/>
      <c r="C819" s="80"/>
      <c r="D819" s="80"/>
      <c r="E819" s="124"/>
      <c r="F819" s="80"/>
      <c r="G819" s="80"/>
      <c r="H819" s="80"/>
      <c r="I819" s="80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7"/>
      <c r="AK819" s="80"/>
      <c r="AL819" s="80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</row>
    <row r="820">
      <c r="A820" s="80"/>
      <c r="B820" s="80"/>
      <c r="C820" s="80"/>
      <c r="D820" s="80"/>
      <c r="E820" s="124"/>
      <c r="F820" s="80"/>
      <c r="G820" s="80"/>
      <c r="H820" s="80"/>
      <c r="I820" s="80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7"/>
      <c r="AK820" s="80"/>
      <c r="AL820" s="80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</row>
    <row r="821">
      <c r="A821" s="80"/>
      <c r="B821" s="80"/>
      <c r="C821" s="80"/>
      <c r="D821" s="80"/>
      <c r="E821" s="124"/>
      <c r="F821" s="80"/>
      <c r="G821" s="80"/>
      <c r="H821" s="80"/>
      <c r="I821" s="80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7"/>
      <c r="AK821" s="80"/>
      <c r="AL821" s="80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</row>
    <row r="822">
      <c r="A822" s="80"/>
      <c r="B822" s="80"/>
      <c r="C822" s="80"/>
      <c r="D822" s="80"/>
      <c r="E822" s="124"/>
      <c r="F822" s="80"/>
      <c r="G822" s="80"/>
      <c r="H822" s="80"/>
      <c r="I822" s="80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7"/>
      <c r="AK822" s="80"/>
      <c r="AL822" s="80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</row>
    <row r="823">
      <c r="A823" s="80"/>
      <c r="B823" s="80"/>
      <c r="C823" s="80"/>
      <c r="D823" s="80"/>
      <c r="E823" s="124"/>
      <c r="F823" s="80"/>
      <c r="G823" s="80"/>
      <c r="H823" s="80"/>
      <c r="I823" s="80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7"/>
      <c r="AK823" s="80"/>
      <c r="AL823" s="80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</row>
    <row r="824">
      <c r="A824" s="80"/>
      <c r="B824" s="80"/>
      <c r="C824" s="80"/>
      <c r="D824" s="80"/>
      <c r="E824" s="124"/>
      <c r="F824" s="80"/>
      <c r="G824" s="80"/>
      <c r="H824" s="80"/>
      <c r="I824" s="80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7"/>
      <c r="AK824" s="80"/>
      <c r="AL824" s="80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</row>
    <row r="825">
      <c r="A825" s="80"/>
      <c r="B825" s="80"/>
      <c r="C825" s="80"/>
      <c r="D825" s="80"/>
      <c r="E825" s="124"/>
      <c r="F825" s="80"/>
      <c r="G825" s="80"/>
      <c r="H825" s="80"/>
      <c r="I825" s="80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7"/>
      <c r="AK825" s="80"/>
      <c r="AL825" s="80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</row>
    <row r="826">
      <c r="A826" s="80"/>
      <c r="B826" s="80"/>
      <c r="C826" s="80"/>
      <c r="D826" s="80"/>
      <c r="E826" s="124"/>
      <c r="F826" s="80"/>
      <c r="G826" s="80"/>
      <c r="H826" s="80"/>
      <c r="I826" s="80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7"/>
      <c r="AK826" s="80"/>
      <c r="AL826" s="80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</row>
    <row r="827">
      <c r="A827" s="80"/>
      <c r="B827" s="80"/>
      <c r="C827" s="80"/>
      <c r="D827" s="80"/>
      <c r="E827" s="124"/>
      <c r="F827" s="80"/>
      <c r="G827" s="80"/>
      <c r="H827" s="80"/>
      <c r="I827" s="80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7"/>
      <c r="AK827" s="80"/>
      <c r="AL827" s="80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</row>
    <row r="828">
      <c r="A828" s="80"/>
      <c r="B828" s="80"/>
      <c r="C828" s="80"/>
      <c r="D828" s="80"/>
      <c r="E828" s="124"/>
      <c r="F828" s="80"/>
      <c r="G828" s="80"/>
      <c r="H828" s="80"/>
      <c r="I828" s="80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7"/>
      <c r="AK828" s="80"/>
      <c r="AL828" s="80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</row>
    <row r="829">
      <c r="A829" s="80"/>
      <c r="B829" s="80"/>
      <c r="C829" s="80"/>
      <c r="D829" s="80"/>
      <c r="E829" s="124"/>
      <c r="F829" s="80"/>
      <c r="G829" s="80"/>
      <c r="H829" s="80"/>
      <c r="I829" s="80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7"/>
      <c r="AK829" s="80"/>
      <c r="AL829" s="80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</row>
    <row r="830">
      <c r="A830" s="80"/>
      <c r="B830" s="80"/>
      <c r="C830" s="80"/>
      <c r="D830" s="80"/>
      <c r="E830" s="124"/>
      <c r="F830" s="80"/>
      <c r="G830" s="80"/>
      <c r="H830" s="80"/>
      <c r="I830" s="80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7"/>
      <c r="AK830" s="80"/>
      <c r="AL830" s="80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</row>
    <row r="831">
      <c r="A831" s="80"/>
      <c r="B831" s="80"/>
      <c r="C831" s="80"/>
      <c r="D831" s="80"/>
      <c r="E831" s="124"/>
      <c r="F831" s="80"/>
      <c r="G831" s="80"/>
      <c r="H831" s="80"/>
      <c r="I831" s="80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7"/>
      <c r="AK831" s="80"/>
      <c r="AL831" s="80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</row>
    <row r="832">
      <c r="A832" s="80"/>
      <c r="B832" s="80"/>
      <c r="C832" s="80"/>
      <c r="D832" s="80"/>
      <c r="E832" s="124"/>
      <c r="F832" s="80"/>
      <c r="G832" s="80"/>
      <c r="H832" s="80"/>
      <c r="I832" s="80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7"/>
      <c r="AK832" s="80"/>
      <c r="AL832" s="80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</row>
    <row r="833">
      <c r="A833" s="80"/>
      <c r="B833" s="80"/>
      <c r="C833" s="80"/>
      <c r="D833" s="80"/>
      <c r="E833" s="124"/>
      <c r="F833" s="80"/>
      <c r="G833" s="80"/>
      <c r="H833" s="80"/>
      <c r="I833" s="80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7"/>
      <c r="AK833" s="80"/>
      <c r="AL833" s="80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</row>
    <row r="834">
      <c r="A834" s="80"/>
      <c r="B834" s="80"/>
      <c r="C834" s="80"/>
      <c r="D834" s="80"/>
      <c r="E834" s="124"/>
      <c r="F834" s="80"/>
      <c r="G834" s="80"/>
      <c r="H834" s="80"/>
      <c r="I834" s="80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7"/>
      <c r="AK834" s="80"/>
      <c r="AL834" s="80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</row>
    <row r="835">
      <c r="A835" s="80"/>
      <c r="B835" s="80"/>
      <c r="C835" s="80"/>
      <c r="D835" s="80"/>
      <c r="E835" s="124"/>
      <c r="F835" s="80"/>
      <c r="G835" s="80"/>
      <c r="H835" s="80"/>
      <c r="I835" s="80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7"/>
      <c r="AK835" s="80"/>
      <c r="AL835" s="80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</row>
    <row r="836">
      <c r="A836" s="80"/>
      <c r="B836" s="80"/>
      <c r="C836" s="80"/>
      <c r="D836" s="80"/>
      <c r="E836" s="124"/>
      <c r="F836" s="80"/>
      <c r="G836" s="80"/>
      <c r="H836" s="80"/>
      <c r="I836" s="80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7"/>
      <c r="AK836" s="80"/>
      <c r="AL836" s="80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</row>
    <row r="837">
      <c r="A837" s="80"/>
      <c r="B837" s="80"/>
      <c r="C837" s="80"/>
      <c r="D837" s="80"/>
      <c r="E837" s="124"/>
      <c r="F837" s="80"/>
      <c r="G837" s="80"/>
      <c r="H837" s="80"/>
      <c r="I837" s="80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7"/>
      <c r="AK837" s="80"/>
      <c r="AL837" s="80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</row>
    <row r="838">
      <c r="A838" s="80"/>
      <c r="B838" s="80"/>
      <c r="C838" s="80"/>
      <c r="D838" s="80"/>
      <c r="E838" s="124"/>
      <c r="F838" s="80"/>
      <c r="G838" s="80"/>
      <c r="H838" s="80"/>
      <c r="I838" s="80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7"/>
      <c r="AK838" s="80"/>
      <c r="AL838" s="80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</row>
    <row r="839">
      <c r="A839" s="80"/>
      <c r="B839" s="80"/>
      <c r="C839" s="80"/>
      <c r="D839" s="80"/>
      <c r="E839" s="124"/>
      <c r="F839" s="80"/>
      <c r="G839" s="80"/>
      <c r="H839" s="80"/>
      <c r="I839" s="80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7"/>
      <c r="AK839" s="80"/>
      <c r="AL839" s="80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</row>
    <row r="840">
      <c r="A840" s="80"/>
      <c r="B840" s="80"/>
      <c r="C840" s="80"/>
      <c r="D840" s="80"/>
      <c r="E840" s="124"/>
      <c r="F840" s="80"/>
      <c r="G840" s="80"/>
      <c r="H840" s="80"/>
      <c r="I840" s="80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7"/>
      <c r="AK840" s="80"/>
      <c r="AL840" s="80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</row>
    <row r="841">
      <c r="A841" s="80"/>
      <c r="B841" s="80"/>
      <c r="C841" s="80"/>
      <c r="D841" s="80"/>
      <c r="E841" s="124"/>
      <c r="F841" s="80"/>
      <c r="G841" s="80"/>
      <c r="H841" s="80"/>
      <c r="I841" s="80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7"/>
      <c r="AK841" s="80"/>
      <c r="AL841" s="80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</row>
    <row r="842">
      <c r="A842" s="80"/>
      <c r="B842" s="80"/>
      <c r="C842" s="80"/>
      <c r="D842" s="80"/>
      <c r="E842" s="124"/>
      <c r="F842" s="80"/>
      <c r="G842" s="80"/>
      <c r="H842" s="80"/>
      <c r="I842" s="80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7"/>
      <c r="AK842" s="80"/>
      <c r="AL842" s="80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</row>
    <row r="843">
      <c r="A843" s="80"/>
      <c r="B843" s="80"/>
      <c r="C843" s="80"/>
      <c r="D843" s="80"/>
      <c r="E843" s="124"/>
      <c r="F843" s="80"/>
      <c r="G843" s="80"/>
      <c r="H843" s="80"/>
      <c r="I843" s="80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7"/>
      <c r="AK843" s="80"/>
      <c r="AL843" s="80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</row>
    <row r="844">
      <c r="A844" s="80"/>
      <c r="B844" s="80"/>
      <c r="C844" s="80"/>
      <c r="D844" s="80"/>
      <c r="E844" s="124"/>
      <c r="F844" s="80"/>
      <c r="G844" s="80"/>
      <c r="H844" s="80"/>
      <c r="I844" s="80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7"/>
      <c r="AK844" s="80"/>
      <c r="AL844" s="80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</row>
    <row r="845">
      <c r="A845" s="80"/>
      <c r="B845" s="80"/>
      <c r="C845" s="80"/>
      <c r="D845" s="80"/>
      <c r="E845" s="124"/>
      <c r="F845" s="80"/>
      <c r="G845" s="80"/>
      <c r="H845" s="80"/>
      <c r="I845" s="80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7"/>
      <c r="AK845" s="80"/>
      <c r="AL845" s="80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</row>
    <row r="846">
      <c r="A846" s="80"/>
      <c r="B846" s="80"/>
      <c r="C846" s="80"/>
      <c r="D846" s="80"/>
      <c r="E846" s="124"/>
      <c r="F846" s="80"/>
      <c r="G846" s="80"/>
      <c r="H846" s="80"/>
      <c r="I846" s="80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7"/>
      <c r="AK846" s="80"/>
      <c r="AL846" s="80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</row>
    <row r="847">
      <c r="A847" s="80"/>
      <c r="B847" s="80"/>
      <c r="C847" s="80"/>
      <c r="D847" s="80"/>
      <c r="E847" s="124"/>
      <c r="F847" s="80"/>
      <c r="G847" s="80"/>
      <c r="H847" s="80"/>
      <c r="I847" s="80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7"/>
      <c r="AK847" s="80"/>
      <c r="AL847" s="80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</row>
    <row r="848">
      <c r="A848" s="80"/>
      <c r="B848" s="80"/>
      <c r="C848" s="80"/>
      <c r="D848" s="80"/>
      <c r="E848" s="124"/>
      <c r="F848" s="80"/>
      <c r="G848" s="80"/>
      <c r="H848" s="80"/>
      <c r="I848" s="80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7"/>
      <c r="AK848" s="80"/>
      <c r="AL848" s="80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</row>
    <row r="849">
      <c r="A849" s="80"/>
      <c r="B849" s="80"/>
      <c r="C849" s="80"/>
      <c r="D849" s="80"/>
      <c r="E849" s="124"/>
      <c r="F849" s="80"/>
      <c r="G849" s="80"/>
      <c r="H849" s="80"/>
      <c r="I849" s="80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7"/>
      <c r="AK849" s="80"/>
      <c r="AL849" s="80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</row>
    <row r="850">
      <c r="A850" s="80"/>
      <c r="B850" s="80"/>
      <c r="C850" s="80"/>
      <c r="D850" s="80"/>
      <c r="E850" s="124"/>
      <c r="F850" s="80"/>
      <c r="G850" s="80"/>
      <c r="H850" s="80"/>
      <c r="I850" s="80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7"/>
      <c r="AK850" s="80"/>
      <c r="AL850" s="80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</row>
    <row r="851">
      <c r="A851" s="80"/>
      <c r="B851" s="80"/>
      <c r="C851" s="80"/>
      <c r="D851" s="80"/>
      <c r="E851" s="124"/>
      <c r="F851" s="80"/>
      <c r="G851" s="80"/>
      <c r="H851" s="80"/>
      <c r="I851" s="80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7"/>
      <c r="AK851" s="80"/>
      <c r="AL851" s="80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</row>
    <row r="852">
      <c r="A852" s="80"/>
      <c r="B852" s="80"/>
      <c r="C852" s="80"/>
      <c r="D852" s="80"/>
      <c r="E852" s="124"/>
      <c r="F852" s="80"/>
      <c r="G852" s="80"/>
      <c r="H852" s="80"/>
      <c r="I852" s="80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7"/>
      <c r="AK852" s="80"/>
      <c r="AL852" s="80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</row>
    <row r="853">
      <c r="A853" s="80"/>
      <c r="B853" s="80"/>
      <c r="C853" s="80"/>
      <c r="D853" s="80"/>
      <c r="E853" s="124"/>
      <c r="F853" s="80"/>
      <c r="G853" s="80"/>
      <c r="H853" s="80"/>
      <c r="I853" s="80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7"/>
      <c r="AK853" s="80"/>
      <c r="AL853" s="80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</row>
    <row r="854">
      <c r="A854" s="80"/>
      <c r="B854" s="80"/>
      <c r="C854" s="80"/>
      <c r="D854" s="80"/>
      <c r="E854" s="124"/>
      <c r="F854" s="80"/>
      <c r="G854" s="80"/>
      <c r="H854" s="80"/>
      <c r="I854" s="80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7"/>
      <c r="AK854" s="80"/>
      <c r="AL854" s="80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</row>
    <row r="855">
      <c r="A855" s="80"/>
      <c r="B855" s="80"/>
      <c r="C855" s="80"/>
      <c r="D855" s="80"/>
      <c r="E855" s="124"/>
      <c r="F855" s="80"/>
      <c r="G855" s="80"/>
      <c r="H855" s="80"/>
      <c r="I855" s="80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7"/>
      <c r="AK855" s="80"/>
      <c r="AL855" s="80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</row>
    <row r="856">
      <c r="A856" s="80"/>
      <c r="B856" s="80"/>
      <c r="C856" s="80"/>
      <c r="D856" s="80"/>
      <c r="E856" s="124"/>
      <c r="F856" s="80"/>
      <c r="G856" s="80"/>
      <c r="H856" s="80"/>
      <c r="I856" s="80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7"/>
      <c r="AK856" s="80"/>
      <c r="AL856" s="80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</row>
    <row r="857">
      <c r="A857" s="80"/>
      <c r="B857" s="80"/>
      <c r="C857" s="80"/>
      <c r="D857" s="80"/>
      <c r="E857" s="124"/>
      <c r="F857" s="80"/>
      <c r="G857" s="80"/>
      <c r="H857" s="80"/>
      <c r="I857" s="80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7"/>
      <c r="AK857" s="80"/>
      <c r="AL857" s="80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</row>
    <row r="858">
      <c r="A858" s="80"/>
      <c r="B858" s="80"/>
      <c r="C858" s="80"/>
      <c r="D858" s="80"/>
      <c r="E858" s="124"/>
      <c r="F858" s="80"/>
      <c r="G858" s="80"/>
      <c r="H858" s="80"/>
      <c r="I858" s="80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7"/>
      <c r="AK858" s="80"/>
      <c r="AL858" s="80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</row>
    <row r="859">
      <c r="A859" s="80"/>
      <c r="B859" s="80"/>
      <c r="C859" s="80"/>
      <c r="D859" s="80"/>
      <c r="E859" s="124"/>
      <c r="F859" s="80"/>
      <c r="G859" s="80"/>
      <c r="H859" s="80"/>
      <c r="I859" s="80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7"/>
      <c r="AK859" s="80"/>
      <c r="AL859" s="80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</row>
    <row r="860">
      <c r="A860" s="80"/>
      <c r="B860" s="80"/>
      <c r="C860" s="80"/>
      <c r="D860" s="80"/>
      <c r="E860" s="124"/>
      <c r="F860" s="80"/>
      <c r="G860" s="80"/>
      <c r="H860" s="80"/>
      <c r="I860" s="80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7"/>
      <c r="AK860" s="80"/>
      <c r="AL860" s="80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</row>
    <row r="861">
      <c r="A861" s="80"/>
      <c r="B861" s="80"/>
      <c r="C861" s="80"/>
      <c r="D861" s="80"/>
      <c r="E861" s="124"/>
      <c r="F861" s="80"/>
      <c r="G861" s="80"/>
      <c r="H861" s="80"/>
      <c r="I861" s="80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7"/>
      <c r="AK861" s="80"/>
      <c r="AL861" s="80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</row>
    <row r="862">
      <c r="A862" s="80"/>
      <c r="B862" s="80"/>
      <c r="C862" s="80"/>
      <c r="D862" s="80"/>
      <c r="E862" s="124"/>
      <c r="F862" s="80"/>
      <c r="G862" s="80"/>
      <c r="H862" s="80"/>
      <c r="I862" s="80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7"/>
      <c r="AK862" s="80"/>
      <c r="AL862" s="80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</row>
    <row r="863">
      <c r="A863" s="80"/>
      <c r="B863" s="80"/>
      <c r="C863" s="80"/>
      <c r="D863" s="80"/>
      <c r="E863" s="124"/>
      <c r="F863" s="80"/>
      <c r="G863" s="80"/>
      <c r="H863" s="80"/>
      <c r="I863" s="80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7"/>
      <c r="AK863" s="80"/>
      <c r="AL863" s="80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</row>
    <row r="864">
      <c r="A864" s="80"/>
      <c r="B864" s="80"/>
      <c r="C864" s="80"/>
      <c r="D864" s="80"/>
      <c r="E864" s="124"/>
      <c r="F864" s="80"/>
      <c r="G864" s="80"/>
      <c r="H864" s="80"/>
      <c r="I864" s="80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7"/>
      <c r="AK864" s="80"/>
      <c r="AL864" s="80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</row>
    <row r="865">
      <c r="A865" s="80"/>
      <c r="B865" s="80"/>
      <c r="C865" s="80"/>
      <c r="D865" s="80"/>
      <c r="E865" s="124"/>
      <c r="F865" s="80"/>
      <c r="G865" s="80"/>
      <c r="H865" s="80"/>
      <c r="I865" s="80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7"/>
      <c r="AK865" s="80"/>
      <c r="AL865" s="80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</row>
    <row r="866">
      <c r="A866" s="80"/>
      <c r="B866" s="80"/>
      <c r="C866" s="80"/>
      <c r="D866" s="80"/>
      <c r="E866" s="124"/>
      <c r="F866" s="80"/>
      <c r="G866" s="80"/>
      <c r="H866" s="80"/>
      <c r="I866" s="80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7"/>
      <c r="AK866" s="80"/>
      <c r="AL866" s="80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</row>
    <row r="867">
      <c r="A867" s="80"/>
      <c r="B867" s="80"/>
      <c r="C867" s="80"/>
      <c r="D867" s="80"/>
      <c r="E867" s="124"/>
      <c r="F867" s="80"/>
      <c r="G867" s="80"/>
      <c r="H867" s="80"/>
      <c r="I867" s="80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7"/>
      <c r="AK867" s="80"/>
      <c r="AL867" s="80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</row>
    <row r="868">
      <c r="A868" s="80"/>
      <c r="B868" s="80"/>
      <c r="C868" s="80"/>
      <c r="D868" s="80"/>
      <c r="E868" s="124"/>
      <c r="F868" s="80"/>
      <c r="G868" s="80"/>
      <c r="H868" s="80"/>
      <c r="I868" s="80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7"/>
      <c r="AK868" s="80"/>
      <c r="AL868" s="80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</row>
    <row r="869">
      <c r="A869" s="80"/>
      <c r="B869" s="80"/>
      <c r="C869" s="80"/>
      <c r="D869" s="80"/>
      <c r="E869" s="124"/>
      <c r="F869" s="80"/>
      <c r="G869" s="80"/>
      <c r="H869" s="80"/>
      <c r="I869" s="80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7"/>
      <c r="AK869" s="80"/>
      <c r="AL869" s="80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</row>
    <row r="870">
      <c r="A870" s="80"/>
      <c r="B870" s="80"/>
      <c r="C870" s="80"/>
      <c r="D870" s="80"/>
      <c r="E870" s="124"/>
      <c r="F870" s="80"/>
      <c r="G870" s="80"/>
      <c r="H870" s="80"/>
      <c r="I870" s="80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7"/>
      <c r="AK870" s="80"/>
      <c r="AL870" s="80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</row>
    <row r="871">
      <c r="A871" s="80"/>
      <c r="B871" s="80"/>
      <c r="C871" s="80"/>
      <c r="D871" s="80"/>
      <c r="E871" s="124"/>
      <c r="F871" s="80"/>
      <c r="G871" s="80"/>
      <c r="H871" s="80"/>
      <c r="I871" s="80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7"/>
      <c r="AK871" s="80"/>
      <c r="AL871" s="80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</row>
    <row r="872">
      <c r="A872" s="80"/>
      <c r="B872" s="80"/>
      <c r="C872" s="80"/>
      <c r="D872" s="80"/>
      <c r="E872" s="124"/>
      <c r="F872" s="80"/>
      <c r="G872" s="80"/>
      <c r="H872" s="80"/>
      <c r="I872" s="80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7"/>
      <c r="AK872" s="80"/>
      <c r="AL872" s="80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</row>
    <row r="873">
      <c r="A873" s="80"/>
      <c r="B873" s="80"/>
      <c r="C873" s="80"/>
      <c r="D873" s="80"/>
      <c r="E873" s="124"/>
      <c r="F873" s="80"/>
      <c r="G873" s="80"/>
      <c r="H873" s="80"/>
      <c r="I873" s="80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7"/>
      <c r="AK873" s="80"/>
      <c r="AL873" s="80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</row>
    <row r="874">
      <c r="A874" s="80"/>
      <c r="B874" s="80"/>
      <c r="C874" s="80"/>
      <c r="D874" s="80"/>
      <c r="E874" s="124"/>
      <c r="F874" s="80"/>
      <c r="G874" s="80"/>
      <c r="H874" s="80"/>
      <c r="I874" s="80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7"/>
      <c r="AK874" s="80"/>
      <c r="AL874" s="80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</row>
    <row r="875">
      <c r="A875" s="80"/>
      <c r="B875" s="80"/>
      <c r="C875" s="80"/>
      <c r="D875" s="80"/>
      <c r="E875" s="124"/>
      <c r="F875" s="80"/>
      <c r="G875" s="80"/>
      <c r="H875" s="80"/>
      <c r="I875" s="80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7"/>
      <c r="AK875" s="80"/>
      <c r="AL875" s="80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</row>
    <row r="876">
      <c r="A876" s="80"/>
      <c r="B876" s="80"/>
      <c r="C876" s="80"/>
      <c r="D876" s="80"/>
      <c r="E876" s="124"/>
      <c r="F876" s="80"/>
      <c r="G876" s="80"/>
      <c r="H876" s="80"/>
      <c r="I876" s="80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7"/>
      <c r="AK876" s="80"/>
      <c r="AL876" s="80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</row>
    <row r="877">
      <c r="A877" s="80"/>
      <c r="B877" s="80"/>
      <c r="C877" s="80"/>
      <c r="D877" s="80"/>
      <c r="E877" s="124"/>
      <c r="F877" s="80"/>
      <c r="G877" s="80"/>
      <c r="H877" s="80"/>
      <c r="I877" s="80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7"/>
      <c r="AK877" s="80"/>
      <c r="AL877" s="80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</row>
    <row r="878">
      <c r="A878" s="80"/>
      <c r="B878" s="80"/>
      <c r="C878" s="80"/>
      <c r="D878" s="80"/>
      <c r="E878" s="124"/>
      <c r="F878" s="80"/>
      <c r="G878" s="80"/>
      <c r="H878" s="80"/>
      <c r="I878" s="80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7"/>
      <c r="AK878" s="80"/>
      <c r="AL878" s="80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</row>
    <row r="879">
      <c r="A879" s="80"/>
      <c r="B879" s="80"/>
      <c r="C879" s="80"/>
      <c r="D879" s="80"/>
      <c r="E879" s="124"/>
      <c r="F879" s="80"/>
      <c r="G879" s="80"/>
      <c r="H879" s="80"/>
      <c r="I879" s="80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7"/>
      <c r="AK879" s="80"/>
      <c r="AL879" s="80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</row>
    <row r="880">
      <c r="A880" s="80"/>
      <c r="B880" s="80"/>
      <c r="C880" s="80"/>
      <c r="D880" s="80"/>
      <c r="E880" s="124"/>
      <c r="F880" s="80"/>
      <c r="G880" s="80"/>
      <c r="H880" s="80"/>
      <c r="I880" s="80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7"/>
      <c r="AK880" s="80"/>
      <c r="AL880" s="80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</row>
    <row r="881">
      <c r="A881" s="80"/>
      <c r="B881" s="80"/>
      <c r="C881" s="80"/>
      <c r="D881" s="80"/>
      <c r="E881" s="124"/>
      <c r="F881" s="80"/>
      <c r="G881" s="80"/>
      <c r="H881" s="80"/>
      <c r="I881" s="80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7"/>
      <c r="AK881" s="80"/>
      <c r="AL881" s="80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</row>
    <row r="882">
      <c r="A882" s="80"/>
      <c r="B882" s="80"/>
      <c r="C882" s="80"/>
      <c r="D882" s="80"/>
      <c r="E882" s="124"/>
      <c r="F882" s="80"/>
      <c r="G882" s="80"/>
      <c r="H882" s="80"/>
      <c r="I882" s="80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7"/>
      <c r="AK882" s="80"/>
      <c r="AL882" s="80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</row>
    <row r="883">
      <c r="A883" s="80"/>
      <c r="B883" s="80"/>
      <c r="C883" s="80"/>
      <c r="D883" s="80"/>
      <c r="E883" s="124"/>
      <c r="F883" s="80"/>
      <c r="G883" s="80"/>
      <c r="H883" s="80"/>
      <c r="I883" s="80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7"/>
      <c r="AK883" s="80"/>
      <c r="AL883" s="80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</row>
    <row r="884">
      <c r="A884" s="80"/>
      <c r="B884" s="80"/>
      <c r="C884" s="80"/>
      <c r="D884" s="80"/>
      <c r="E884" s="124"/>
      <c r="F884" s="80"/>
      <c r="G884" s="80"/>
      <c r="H884" s="80"/>
      <c r="I884" s="80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7"/>
      <c r="AK884" s="80"/>
      <c r="AL884" s="80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</row>
    <row r="885">
      <c r="A885" s="80"/>
      <c r="B885" s="80"/>
      <c r="C885" s="80"/>
      <c r="D885" s="80"/>
      <c r="E885" s="124"/>
      <c r="F885" s="80"/>
      <c r="G885" s="80"/>
      <c r="H885" s="80"/>
      <c r="I885" s="80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7"/>
      <c r="AK885" s="80"/>
      <c r="AL885" s="80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</row>
    <row r="886">
      <c r="A886" s="80"/>
      <c r="B886" s="80"/>
      <c r="C886" s="80"/>
      <c r="D886" s="80"/>
      <c r="E886" s="124"/>
      <c r="F886" s="80"/>
      <c r="G886" s="80"/>
      <c r="H886" s="80"/>
      <c r="I886" s="80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7"/>
      <c r="AK886" s="80"/>
      <c r="AL886" s="80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</row>
    <row r="887">
      <c r="A887" s="80"/>
      <c r="B887" s="80"/>
      <c r="C887" s="80"/>
      <c r="D887" s="80"/>
      <c r="E887" s="124"/>
      <c r="F887" s="80"/>
      <c r="G887" s="80"/>
      <c r="H887" s="80"/>
      <c r="I887" s="80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7"/>
      <c r="AK887" s="80"/>
      <c r="AL887" s="80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</row>
    <row r="888">
      <c r="A888" s="80"/>
      <c r="B888" s="80"/>
      <c r="C888" s="80"/>
      <c r="D888" s="80"/>
      <c r="E888" s="124"/>
      <c r="F888" s="80"/>
      <c r="G888" s="80"/>
      <c r="H888" s="80"/>
      <c r="I888" s="80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7"/>
      <c r="AK888" s="80"/>
      <c r="AL888" s="80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</row>
    <row r="889">
      <c r="A889" s="80"/>
      <c r="B889" s="80"/>
      <c r="C889" s="80"/>
      <c r="D889" s="80"/>
      <c r="E889" s="124"/>
      <c r="F889" s="80"/>
      <c r="G889" s="80"/>
      <c r="H889" s="80"/>
      <c r="I889" s="80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7"/>
      <c r="AK889" s="80"/>
      <c r="AL889" s="80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</row>
    <row r="890">
      <c r="A890" s="80"/>
      <c r="B890" s="80"/>
      <c r="C890" s="80"/>
      <c r="D890" s="80"/>
      <c r="E890" s="124"/>
      <c r="F890" s="80"/>
      <c r="G890" s="80"/>
      <c r="H890" s="80"/>
      <c r="I890" s="80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7"/>
      <c r="AK890" s="80"/>
      <c r="AL890" s="80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</row>
    <row r="891">
      <c r="A891" s="80"/>
      <c r="B891" s="80"/>
      <c r="C891" s="80"/>
      <c r="D891" s="80"/>
      <c r="E891" s="124"/>
      <c r="F891" s="80"/>
      <c r="G891" s="80"/>
      <c r="H891" s="80"/>
      <c r="I891" s="80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7"/>
      <c r="AK891" s="80"/>
      <c r="AL891" s="80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</row>
    <row r="892">
      <c r="A892" s="80"/>
      <c r="B892" s="80"/>
      <c r="C892" s="80"/>
      <c r="D892" s="80"/>
      <c r="E892" s="124"/>
      <c r="F892" s="80"/>
      <c r="G892" s="80"/>
      <c r="H892" s="80"/>
      <c r="I892" s="80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7"/>
      <c r="AK892" s="80"/>
      <c r="AL892" s="80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</row>
    <row r="893">
      <c r="A893" s="80"/>
      <c r="B893" s="80"/>
      <c r="C893" s="80"/>
      <c r="D893" s="80"/>
      <c r="E893" s="124"/>
      <c r="F893" s="80"/>
      <c r="G893" s="80"/>
      <c r="H893" s="80"/>
      <c r="I893" s="80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7"/>
      <c r="AK893" s="80"/>
      <c r="AL893" s="80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</row>
    <row r="894">
      <c r="A894" s="80"/>
      <c r="B894" s="80"/>
      <c r="C894" s="80"/>
      <c r="D894" s="80"/>
      <c r="E894" s="124"/>
      <c r="F894" s="80"/>
      <c r="G894" s="80"/>
      <c r="H894" s="80"/>
      <c r="I894" s="80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7"/>
      <c r="AK894" s="80"/>
      <c r="AL894" s="80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</row>
    <row r="895">
      <c r="A895" s="80"/>
      <c r="B895" s="80"/>
      <c r="C895" s="80"/>
      <c r="D895" s="80"/>
      <c r="E895" s="124"/>
      <c r="F895" s="80"/>
      <c r="G895" s="80"/>
      <c r="H895" s="80"/>
      <c r="I895" s="80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7"/>
      <c r="AK895" s="80"/>
      <c r="AL895" s="80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</row>
    <row r="896">
      <c r="A896" s="80"/>
      <c r="B896" s="80"/>
      <c r="C896" s="80"/>
      <c r="D896" s="80"/>
      <c r="E896" s="124"/>
      <c r="F896" s="80"/>
      <c r="G896" s="80"/>
      <c r="H896" s="80"/>
      <c r="I896" s="80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7"/>
      <c r="AK896" s="80"/>
      <c r="AL896" s="80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</row>
    <row r="897">
      <c r="A897" s="80"/>
      <c r="B897" s="80"/>
      <c r="C897" s="80"/>
      <c r="D897" s="80"/>
      <c r="E897" s="124"/>
      <c r="F897" s="80"/>
      <c r="G897" s="80"/>
      <c r="H897" s="80"/>
      <c r="I897" s="80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7"/>
      <c r="AK897" s="80"/>
      <c r="AL897" s="80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</row>
    <row r="898">
      <c r="A898" s="80"/>
      <c r="B898" s="80"/>
      <c r="C898" s="80"/>
      <c r="D898" s="80"/>
      <c r="E898" s="124"/>
      <c r="F898" s="80"/>
      <c r="G898" s="80"/>
      <c r="H898" s="80"/>
      <c r="I898" s="80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7"/>
      <c r="AK898" s="80"/>
      <c r="AL898" s="80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</row>
    <row r="899">
      <c r="A899" s="80"/>
      <c r="B899" s="80"/>
      <c r="C899" s="80"/>
      <c r="D899" s="80"/>
      <c r="E899" s="124"/>
      <c r="F899" s="80"/>
      <c r="G899" s="80"/>
      <c r="H899" s="80"/>
      <c r="I899" s="80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7"/>
      <c r="AK899" s="80"/>
      <c r="AL899" s="80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</row>
    <row r="900">
      <c r="A900" s="80"/>
      <c r="B900" s="80"/>
      <c r="C900" s="80"/>
      <c r="D900" s="80"/>
      <c r="E900" s="124"/>
      <c r="F900" s="80"/>
      <c r="G900" s="80"/>
      <c r="H900" s="80"/>
      <c r="I900" s="80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7"/>
      <c r="AK900" s="80"/>
      <c r="AL900" s="80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</row>
    <row r="901">
      <c r="A901" s="80"/>
      <c r="B901" s="80"/>
      <c r="C901" s="80"/>
      <c r="D901" s="80"/>
      <c r="E901" s="124"/>
      <c r="F901" s="80"/>
      <c r="G901" s="80"/>
      <c r="H901" s="80"/>
      <c r="I901" s="80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7"/>
      <c r="AK901" s="80"/>
      <c r="AL901" s="80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</row>
    <row r="902">
      <c r="A902" s="80"/>
      <c r="B902" s="80"/>
      <c r="C902" s="80"/>
      <c r="D902" s="80"/>
      <c r="E902" s="124"/>
      <c r="F902" s="80"/>
      <c r="G902" s="80"/>
      <c r="H902" s="80"/>
      <c r="I902" s="80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7"/>
      <c r="AK902" s="80"/>
      <c r="AL902" s="80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</row>
    <row r="903">
      <c r="A903" s="80"/>
      <c r="B903" s="80"/>
      <c r="C903" s="80"/>
      <c r="D903" s="80"/>
      <c r="E903" s="124"/>
      <c r="F903" s="80"/>
      <c r="G903" s="80"/>
      <c r="H903" s="80"/>
      <c r="I903" s="80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7"/>
      <c r="AK903" s="80"/>
      <c r="AL903" s="80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</row>
    <row r="904">
      <c r="A904" s="80"/>
      <c r="B904" s="80"/>
      <c r="C904" s="80"/>
      <c r="D904" s="80"/>
      <c r="E904" s="124"/>
      <c r="F904" s="80"/>
      <c r="G904" s="80"/>
      <c r="H904" s="80"/>
      <c r="I904" s="80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7"/>
      <c r="AK904" s="80"/>
      <c r="AL904" s="80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</row>
    <row r="905">
      <c r="A905" s="80"/>
      <c r="B905" s="80"/>
      <c r="C905" s="80"/>
      <c r="D905" s="80"/>
      <c r="E905" s="124"/>
      <c r="F905" s="80"/>
      <c r="G905" s="80"/>
      <c r="H905" s="80"/>
      <c r="I905" s="80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7"/>
      <c r="AK905" s="80"/>
      <c r="AL905" s="80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</row>
    <row r="906">
      <c r="A906" s="80"/>
      <c r="B906" s="80"/>
      <c r="C906" s="80"/>
      <c r="D906" s="80"/>
      <c r="E906" s="124"/>
      <c r="F906" s="80"/>
      <c r="G906" s="80"/>
      <c r="H906" s="80"/>
      <c r="I906" s="80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7"/>
      <c r="AK906" s="80"/>
      <c r="AL906" s="80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</row>
    <row r="907">
      <c r="A907" s="80"/>
      <c r="B907" s="80"/>
      <c r="C907" s="80"/>
      <c r="D907" s="80"/>
      <c r="E907" s="124"/>
      <c r="F907" s="80"/>
      <c r="G907" s="80"/>
      <c r="H907" s="80"/>
      <c r="I907" s="80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7"/>
      <c r="AK907" s="80"/>
      <c r="AL907" s="80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</row>
    <row r="908">
      <c r="A908" s="80"/>
      <c r="B908" s="80"/>
      <c r="C908" s="80"/>
      <c r="D908" s="80"/>
      <c r="E908" s="124"/>
      <c r="F908" s="80"/>
      <c r="G908" s="80"/>
      <c r="H908" s="80"/>
      <c r="I908" s="80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7"/>
      <c r="AK908" s="80"/>
      <c r="AL908" s="80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</row>
    <row r="909">
      <c r="A909" s="80"/>
      <c r="B909" s="80"/>
      <c r="C909" s="80"/>
      <c r="D909" s="80"/>
      <c r="E909" s="124"/>
      <c r="F909" s="80"/>
      <c r="G909" s="80"/>
      <c r="H909" s="80"/>
      <c r="I909" s="80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7"/>
      <c r="AK909" s="80"/>
      <c r="AL909" s="80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</row>
    <row r="910">
      <c r="A910" s="80"/>
      <c r="B910" s="80"/>
      <c r="C910" s="80"/>
      <c r="D910" s="80"/>
      <c r="E910" s="124"/>
      <c r="F910" s="80"/>
      <c r="G910" s="80"/>
      <c r="H910" s="80"/>
      <c r="I910" s="80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7"/>
      <c r="AK910" s="80"/>
      <c r="AL910" s="80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</row>
    <row r="911">
      <c r="A911" s="80"/>
      <c r="B911" s="80"/>
      <c r="C911" s="80"/>
      <c r="D911" s="80"/>
      <c r="E911" s="124"/>
      <c r="F911" s="80"/>
      <c r="G911" s="80"/>
      <c r="H911" s="80"/>
      <c r="I911" s="80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7"/>
      <c r="AK911" s="80"/>
      <c r="AL911" s="80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</row>
    <row r="912">
      <c r="A912" s="80"/>
      <c r="B912" s="80"/>
      <c r="C912" s="80"/>
      <c r="D912" s="80"/>
      <c r="E912" s="124"/>
      <c r="F912" s="80"/>
      <c r="G912" s="80"/>
      <c r="H912" s="80"/>
      <c r="I912" s="80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7"/>
      <c r="AK912" s="80"/>
      <c r="AL912" s="80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</row>
    <row r="913">
      <c r="A913" s="80"/>
      <c r="B913" s="80"/>
      <c r="C913" s="80"/>
      <c r="D913" s="80"/>
      <c r="E913" s="124"/>
      <c r="F913" s="80"/>
      <c r="G913" s="80"/>
      <c r="H913" s="80"/>
      <c r="I913" s="80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7"/>
      <c r="AK913" s="80"/>
      <c r="AL913" s="80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</row>
    <row r="914">
      <c r="A914" s="80"/>
      <c r="B914" s="80"/>
      <c r="C914" s="80"/>
      <c r="D914" s="80"/>
      <c r="E914" s="124"/>
      <c r="F914" s="80"/>
      <c r="G914" s="80"/>
      <c r="H914" s="80"/>
      <c r="I914" s="80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7"/>
      <c r="AK914" s="80"/>
      <c r="AL914" s="80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</row>
    <row r="915">
      <c r="A915" s="80"/>
      <c r="B915" s="80"/>
      <c r="C915" s="80"/>
      <c r="D915" s="80"/>
      <c r="E915" s="124"/>
      <c r="F915" s="80"/>
      <c r="G915" s="80"/>
      <c r="H915" s="80"/>
      <c r="I915" s="80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7"/>
      <c r="AK915" s="80"/>
      <c r="AL915" s="80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</row>
    <row r="916">
      <c r="A916" s="80"/>
      <c r="B916" s="80"/>
      <c r="C916" s="80"/>
      <c r="D916" s="80"/>
      <c r="E916" s="124"/>
      <c r="F916" s="80"/>
      <c r="G916" s="80"/>
      <c r="H916" s="80"/>
      <c r="I916" s="80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7"/>
      <c r="AK916" s="80"/>
      <c r="AL916" s="80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</row>
    <row r="917">
      <c r="A917" s="80"/>
      <c r="B917" s="80"/>
      <c r="C917" s="80"/>
      <c r="D917" s="80"/>
      <c r="E917" s="124"/>
      <c r="F917" s="80"/>
      <c r="G917" s="80"/>
      <c r="H917" s="80"/>
      <c r="I917" s="80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7"/>
      <c r="AK917" s="80"/>
      <c r="AL917" s="80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</row>
    <row r="918">
      <c r="A918" s="80"/>
      <c r="B918" s="80"/>
      <c r="C918" s="80"/>
      <c r="D918" s="80"/>
      <c r="E918" s="124"/>
      <c r="F918" s="80"/>
      <c r="G918" s="80"/>
      <c r="H918" s="80"/>
      <c r="I918" s="80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7"/>
      <c r="AK918" s="80"/>
      <c r="AL918" s="80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</row>
    <row r="919">
      <c r="A919" s="80"/>
      <c r="B919" s="80"/>
      <c r="C919" s="80"/>
      <c r="D919" s="80"/>
      <c r="E919" s="124"/>
      <c r="F919" s="80"/>
      <c r="G919" s="80"/>
      <c r="H919" s="80"/>
      <c r="I919" s="80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7"/>
      <c r="AK919" s="80"/>
      <c r="AL919" s="80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</row>
    <row r="920">
      <c r="A920" s="80"/>
      <c r="B920" s="80"/>
      <c r="C920" s="80"/>
      <c r="D920" s="80"/>
      <c r="E920" s="124"/>
      <c r="F920" s="80"/>
      <c r="G920" s="80"/>
      <c r="H920" s="80"/>
      <c r="I920" s="80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7"/>
      <c r="AK920" s="80"/>
      <c r="AL920" s="80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</row>
    <row r="921">
      <c r="A921" s="80"/>
      <c r="B921" s="80"/>
      <c r="C921" s="80"/>
      <c r="D921" s="80"/>
      <c r="E921" s="124"/>
      <c r="F921" s="80"/>
      <c r="G921" s="80"/>
      <c r="H921" s="80"/>
      <c r="I921" s="80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7"/>
      <c r="AK921" s="80"/>
      <c r="AL921" s="80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</row>
    <row r="922">
      <c r="A922" s="80"/>
      <c r="B922" s="80"/>
      <c r="C922" s="80"/>
      <c r="D922" s="80"/>
      <c r="E922" s="124"/>
      <c r="F922" s="80"/>
      <c r="G922" s="80"/>
      <c r="H922" s="80"/>
      <c r="I922" s="80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7"/>
      <c r="AK922" s="80"/>
      <c r="AL922" s="80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</row>
    <row r="923">
      <c r="A923" s="80"/>
      <c r="B923" s="80"/>
      <c r="C923" s="80"/>
      <c r="D923" s="80"/>
      <c r="E923" s="124"/>
      <c r="F923" s="80"/>
      <c r="G923" s="80"/>
      <c r="H923" s="80"/>
      <c r="I923" s="80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7"/>
      <c r="AK923" s="80"/>
      <c r="AL923" s="80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</row>
    <row r="924">
      <c r="A924" s="80"/>
      <c r="B924" s="80"/>
      <c r="C924" s="80"/>
      <c r="D924" s="80"/>
      <c r="E924" s="124"/>
      <c r="F924" s="80"/>
      <c r="G924" s="80"/>
      <c r="H924" s="80"/>
      <c r="I924" s="80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7"/>
      <c r="AK924" s="80"/>
      <c r="AL924" s="80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</row>
    <row r="925">
      <c r="A925" s="80"/>
      <c r="B925" s="80"/>
      <c r="C925" s="80"/>
      <c r="D925" s="80"/>
      <c r="E925" s="124"/>
      <c r="F925" s="80"/>
      <c r="G925" s="80"/>
      <c r="H925" s="80"/>
      <c r="I925" s="80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7"/>
      <c r="AK925" s="80"/>
      <c r="AL925" s="80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</row>
    <row r="926">
      <c r="A926" s="80"/>
      <c r="B926" s="80"/>
      <c r="C926" s="80"/>
      <c r="D926" s="80"/>
      <c r="E926" s="124"/>
      <c r="F926" s="80"/>
      <c r="G926" s="80"/>
      <c r="H926" s="80"/>
      <c r="I926" s="80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7"/>
      <c r="AK926" s="80"/>
      <c r="AL926" s="80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</row>
    <row r="927">
      <c r="A927" s="80"/>
      <c r="B927" s="80"/>
      <c r="C927" s="80"/>
      <c r="D927" s="80"/>
      <c r="E927" s="124"/>
      <c r="F927" s="80"/>
      <c r="G927" s="80"/>
      <c r="H927" s="80"/>
      <c r="I927" s="80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7"/>
      <c r="AK927" s="80"/>
      <c r="AL927" s="80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</row>
    <row r="928">
      <c r="A928" s="80"/>
      <c r="B928" s="80"/>
      <c r="C928" s="80"/>
      <c r="D928" s="80"/>
      <c r="E928" s="124"/>
      <c r="F928" s="80"/>
      <c r="G928" s="80"/>
      <c r="H928" s="80"/>
      <c r="I928" s="80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7"/>
      <c r="AK928" s="80"/>
      <c r="AL928" s="80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</row>
    <row r="929">
      <c r="A929" s="80"/>
      <c r="B929" s="80"/>
      <c r="C929" s="80"/>
      <c r="D929" s="80"/>
      <c r="E929" s="124"/>
      <c r="F929" s="80"/>
      <c r="G929" s="80"/>
      <c r="H929" s="80"/>
      <c r="I929" s="80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7"/>
      <c r="AK929" s="80"/>
      <c r="AL929" s="80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</row>
    <row r="930">
      <c r="A930" s="80"/>
      <c r="B930" s="80"/>
      <c r="C930" s="80"/>
      <c r="D930" s="80"/>
      <c r="E930" s="124"/>
      <c r="F930" s="80"/>
      <c r="G930" s="80"/>
      <c r="H930" s="80"/>
      <c r="I930" s="80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7"/>
      <c r="AK930" s="80"/>
      <c r="AL930" s="80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</row>
    <row r="931">
      <c r="A931" s="80"/>
      <c r="B931" s="80"/>
      <c r="C931" s="80"/>
      <c r="D931" s="80"/>
      <c r="E931" s="124"/>
      <c r="F931" s="80"/>
      <c r="G931" s="80"/>
      <c r="H931" s="80"/>
      <c r="I931" s="80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7"/>
      <c r="AK931" s="80"/>
      <c r="AL931" s="80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</row>
    <row r="932">
      <c r="A932" s="80"/>
      <c r="B932" s="80"/>
      <c r="C932" s="80"/>
      <c r="D932" s="80"/>
      <c r="E932" s="124"/>
      <c r="F932" s="80"/>
      <c r="G932" s="80"/>
      <c r="H932" s="80"/>
      <c r="I932" s="80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7"/>
      <c r="AK932" s="80"/>
      <c r="AL932" s="80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</row>
    <row r="933">
      <c r="A933" s="80"/>
      <c r="B933" s="80"/>
      <c r="C933" s="80"/>
      <c r="D933" s="80"/>
      <c r="E933" s="124"/>
      <c r="F933" s="80"/>
      <c r="G933" s="80"/>
      <c r="H933" s="80"/>
      <c r="I933" s="80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7"/>
      <c r="AK933" s="80"/>
      <c r="AL933" s="80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</row>
    <row r="934">
      <c r="A934" s="80"/>
      <c r="B934" s="80"/>
      <c r="C934" s="80"/>
      <c r="D934" s="80"/>
      <c r="E934" s="124"/>
      <c r="F934" s="80"/>
      <c r="G934" s="80"/>
      <c r="H934" s="80"/>
      <c r="I934" s="80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7"/>
      <c r="AK934" s="80"/>
      <c r="AL934" s="80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</row>
    <row r="935">
      <c r="A935" s="80"/>
      <c r="B935" s="80"/>
      <c r="C935" s="80"/>
      <c r="D935" s="80"/>
      <c r="E935" s="124"/>
      <c r="F935" s="80"/>
      <c r="G935" s="80"/>
      <c r="H935" s="80"/>
      <c r="I935" s="80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7"/>
      <c r="AK935" s="80"/>
      <c r="AL935" s="80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</row>
    <row r="936">
      <c r="A936" s="80"/>
      <c r="B936" s="80"/>
      <c r="C936" s="80"/>
      <c r="D936" s="80"/>
      <c r="E936" s="124"/>
      <c r="F936" s="80"/>
      <c r="G936" s="80"/>
      <c r="H936" s="80"/>
      <c r="I936" s="80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7"/>
      <c r="AK936" s="80"/>
      <c r="AL936" s="80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</row>
    <row r="937">
      <c r="A937" s="80"/>
      <c r="B937" s="80"/>
      <c r="C937" s="80"/>
      <c r="D937" s="80"/>
      <c r="E937" s="124"/>
      <c r="F937" s="80"/>
      <c r="G937" s="80"/>
      <c r="H937" s="80"/>
      <c r="I937" s="80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7"/>
      <c r="AK937" s="80"/>
      <c r="AL937" s="80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</row>
    <row r="938">
      <c r="A938" s="80"/>
      <c r="B938" s="80"/>
      <c r="C938" s="80"/>
      <c r="D938" s="80"/>
      <c r="E938" s="124"/>
      <c r="F938" s="80"/>
      <c r="G938" s="80"/>
      <c r="H938" s="80"/>
      <c r="I938" s="80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7"/>
      <c r="AK938" s="80"/>
      <c r="AL938" s="80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</row>
    <row r="939">
      <c r="A939" s="80"/>
      <c r="B939" s="80"/>
      <c r="C939" s="80"/>
      <c r="D939" s="80"/>
      <c r="E939" s="124"/>
      <c r="F939" s="80"/>
      <c r="G939" s="80"/>
      <c r="H939" s="80"/>
      <c r="I939" s="80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7"/>
      <c r="AK939" s="80"/>
      <c r="AL939" s="80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</row>
    <row r="940">
      <c r="A940" s="80"/>
      <c r="B940" s="80"/>
      <c r="C940" s="80"/>
      <c r="D940" s="80"/>
      <c r="E940" s="124"/>
      <c r="F940" s="80"/>
      <c r="G940" s="80"/>
      <c r="H940" s="80"/>
      <c r="I940" s="80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7"/>
      <c r="AK940" s="80"/>
      <c r="AL940" s="80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</row>
    <row r="941">
      <c r="A941" s="80"/>
      <c r="B941" s="80"/>
      <c r="C941" s="80"/>
      <c r="D941" s="80"/>
      <c r="E941" s="124"/>
      <c r="F941" s="80"/>
      <c r="G941" s="80"/>
      <c r="H941" s="80"/>
      <c r="I941" s="80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7"/>
      <c r="AK941" s="80"/>
      <c r="AL941" s="80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</row>
    <row r="942">
      <c r="A942" s="80"/>
      <c r="B942" s="80"/>
      <c r="C942" s="80"/>
      <c r="D942" s="80"/>
      <c r="E942" s="124"/>
      <c r="F942" s="80"/>
      <c r="G942" s="80"/>
      <c r="H942" s="80"/>
      <c r="I942" s="80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7"/>
      <c r="AK942" s="80"/>
      <c r="AL942" s="80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</row>
    <row r="943">
      <c r="A943" s="80"/>
      <c r="B943" s="80"/>
      <c r="C943" s="80"/>
      <c r="D943" s="80"/>
      <c r="E943" s="124"/>
      <c r="F943" s="80"/>
      <c r="G943" s="80"/>
      <c r="H943" s="80"/>
      <c r="I943" s="80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7"/>
      <c r="AK943" s="80"/>
      <c r="AL943" s="80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</row>
    <row r="944">
      <c r="A944" s="80"/>
      <c r="B944" s="80"/>
      <c r="C944" s="80"/>
      <c r="D944" s="80"/>
      <c r="E944" s="124"/>
      <c r="F944" s="80"/>
      <c r="G944" s="80"/>
      <c r="H944" s="80"/>
      <c r="I944" s="80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7"/>
      <c r="AK944" s="80"/>
      <c r="AL944" s="80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</row>
    <row r="945">
      <c r="A945" s="80"/>
      <c r="B945" s="80"/>
      <c r="C945" s="80"/>
      <c r="D945" s="80"/>
      <c r="E945" s="124"/>
      <c r="F945" s="80"/>
      <c r="G945" s="80"/>
      <c r="H945" s="80"/>
      <c r="I945" s="80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7"/>
      <c r="AK945" s="80"/>
      <c r="AL945" s="80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</row>
    <row r="946">
      <c r="A946" s="80"/>
      <c r="B946" s="80"/>
      <c r="C946" s="80"/>
      <c r="D946" s="80"/>
      <c r="E946" s="124"/>
      <c r="F946" s="80"/>
      <c r="G946" s="80"/>
      <c r="H946" s="80"/>
      <c r="I946" s="80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7"/>
      <c r="AK946" s="80"/>
      <c r="AL946" s="80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</row>
    <row r="947">
      <c r="A947" s="80"/>
      <c r="B947" s="80"/>
      <c r="C947" s="80"/>
      <c r="D947" s="80"/>
      <c r="E947" s="124"/>
      <c r="F947" s="80"/>
      <c r="G947" s="80"/>
      <c r="H947" s="80"/>
      <c r="I947" s="80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7"/>
      <c r="AK947" s="80"/>
      <c r="AL947" s="80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</row>
    <row r="948">
      <c r="A948" s="80"/>
      <c r="B948" s="80"/>
      <c r="C948" s="80"/>
      <c r="D948" s="80"/>
      <c r="E948" s="124"/>
      <c r="F948" s="80"/>
      <c r="G948" s="80"/>
      <c r="H948" s="80"/>
      <c r="I948" s="80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7"/>
      <c r="AK948" s="80"/>
      <c r="AL948" s="80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</row>
    <row r="949">
      <c r="A949" s="80"/>
      <c r="B949" s="80"/>
      <c r="C949" s="80"/>
      <c r="D949" s="80"/>
      <c r="E949" s="124"/>
      <c r="F949" s="80"/>
      <c r="G949" s="80"/>
      <c r="H949" s="80"/>
      <c r="I949" s="80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7"/>
      <c r="AK949" s="80"/>
      <c r="AL949" s="80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</row>
    <row r="950">
      <c r="A950" s="80"/>
      <c r="B950" s="80"/>
      <c r="C950" s="80"/>
      <c r="D950" s="80"/>
      <c r="E950" s="124"/>
      <c r="F950" s="80"/>
      <c r="G950" s="80"/>
      <c r="H950" s="80"/>
      <c r="I950" s="80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7"/>
      <c r="AK950" s="80"/>
      <c r="AL950" s="80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</row>
    <row r="951">
      <c r="A951" s="80"/>
      <c r="B951" s="80"/>
      <c r="C951" s="80"/>
      <c r="D951" s="80"/>
      <c r="E951" s="124"/>
      <c r="F951" s="80"/>
      <c r="G951" s="80"/>
      <c r="H951" s="80"/>
      <c r="I951" s="80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7"/>
      <c r="AK951" s="80"/>
      <c r="AL951" s="80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</row>
    <row r="952">
      <c r="A952" s="80"/>
      <c r="B952" s="80"/>
      <c r="C952" s="80"/>
      <c r="D952" s="80"/>
      <c r="E952" s="124"/>
      <c r="F952" s="80"/>
      <c r="G952" s="80"/>
      <c r="H952" s="80"/>
      <c r="I952" s="80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7"/>
      <c r="AK952" s="80"/>
      <c r="AL952" s="80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</row>
    <row r="953">
      <c r="A953" s="80"/>
      <c r="B953" s="80"/>
      <c r="C953" s="80"/>
      <c r="D953" s="80"/>
      <c r="E953" s="124"/>
      <c r="F953" s="80"/>
      <c r="G953" s="80"/>
      <c r="H953" s="80"/>
      <c r="I953" s="80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7"/>
      <c r="AK953" s="80"/>
      <c r="AL953" s="80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</row>
    <row r="954">
      <c r="A954" s="80"/>
      <c r="B954" s="80"/>
      <c r="C954" s="80"/>
      <c r="D954" s="80"/>
      <c r="E954" s="124"/>
      <c r="F954" s="80"/>
      <c r="G954" s="80"/>
      <c r="H954" s="80"/>
      <c r="I954" s="80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7"/>
      <c r="AK954" s="80"/>
      <c r="AL954" s="80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</row>
    <row r="955">
      <c r="A955" s="80"/>
      <c r="B955" s="80"/>
      <c r="C955" s="80"/>
      <c r="D955" s="80"/>
      <c r="E955" s="124"/>
      <c r="F955" s="80"/>
      <c r="G955" s="80"/>
      <c r="H955" s="80"/>
      <c r="I955" s="80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7"/>
      <c r="AK955" s="80"/>
      <c r="AL955" s="80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</row>
    <row r="956">
      <c r="A956" s="80"/>
      <c r="B956" s="80"/>
      <c r="C956" s="80"/>
      <c r="D956" s="80"/>
      <c r="E956" s="124"/>
      <c r="F956" s="80"/>
      <c r="G956" s="80"/>
      <c r="H956" s="80"/>
      <c r="I956" s="80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7"/>
      <c r="AK956" s="80"/>
      <c r="AL956" s="80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</row>
    <row r="957">
      <c r="A957" s="80"/>
      <c r="B957" s="80"/>
      <c r="C957" s="80"/>
      <c r="D957" s="80"/>
      <c r="E957" s="124"/>
      <c r="F957" s="80"/>
      <c r="G957" s="80"/>
      <c r="H957" s="80"/>
      <c r="I957" s="80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7"/>
      <c r="AK957" s="80"/>
      <c r="AL957" s="80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</row>
    <row r="958">
      <c r="A958" s="80"/>
      <c r="B958" s="80"/>
      <c r="C958" s="80"/>
      <c r="D958" s="80"/>
      <c r="E958" s="124"/>
      <c r="F958" s="80"/>
      <c r="G958" s="80"/>
      <c r="H958" s="80"/>
      <c r="I958" s="80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7"/>
      <c r="AK958" s="80"/>
      <c r="AL958" s="80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</row>
    <row r="959">
      <c r="A959" s="80"/>
      <c r="B959" s="80"/>
      <c r="C959" s="80"/>
      <c r="D959" s="80"/>
      <c r="E959" s="124"/>
      <c r="F959" s="80"/>
      <c r="G959" s="80"/>
      <c r="H959" s="80"/>
      <c r="I959" s="80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7"/>
      <c r="AK959" s="80"/>
      <c r="AL959" s="80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</row>
    <row r="960">
      <c r="A960" s="80"/>
      <c r="B960" s="80"/>
      <c r="C960" s="80"/>
      <c r="D960" s="80"/>
      <c r="E960" s="124"/>
      <c r="F960" s="80"/>
      <c r="G960" s="80"/>
      <c r="H960" s="80"/>
      <c r="I960" s="80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7"/>
      <c r="AK960" s="80"/>
      <c r="AL960" s="80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</row>
    <row r="961">
      <c r="A961" s="80"/>
      <c r="B961" s="80"/>
      <c r="C961" s="80"/>
      <c r="D961" s="80"/>
      <c r="E961" s="124"/>
      <c r="F961" s="80"/>
      <c r="G961" s="80"/>
      <c r="H961" s="80"/>
      <c r="I961" s="80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7"/>
      <c r="AK961" s="80"/>
      <c r="AL961" s="80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</row>
    <row r="962">
      <c r="A962" s="80"/>
      <c r="B962" s="80"/>
      <c r="C962" s="80"/>
      <c r="D962" s="80"/>
      <c r="E962" s="124"/>
      <c r="F962" s="80"/>
      <c r="G962" s="80"/>
      <c r="H962" s="80"/>
      <c r="I962" s="80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7"/>
      <c r="AK962" s="80"/>
      <c r="AL962" s="80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</row>
    <row r="963">
      <c r="A963" s="80"/>
      <c r="B963" s="80"/>
      <c r="C963" s="80"/>
      <c r="D963" s="80"/>
      <c r="E963" s="124"/>
      <c r="F963" s="80"/>
      <c r="G963" s="80"/>
      <c r="H963" s="80"/>
      <c r="I963" s="80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7"/>
      <c r="AK963" s="80"/>
      <c r="AL963" s="80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</row>
    <row r="964">
      <c r="A964" s="80"/>
      <c r="B964" s="80"/>
      <c r="C964" s="80"/>
      <c r="D964" s="80"/>
      <c r="E964" s="124"/>
      <c r="F964" s="80"/>
      <c r="G964" s="80"/>
      <c r="H964" s="80"/>
      <c r="I964" s="80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7"/>
      <c r="AK964" s="80"/>
      <c r="AL964" s="80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</row>
    <row r="965">
      <c r="A965" s="80"/>
      <c r="B965" s="80"/>
      <c r="C965" s="80"/>
      <c r="D965" s="80"/>
      <c r="E965" s="124"/>
      <c r="F965" s="80"/>
      <c r="G965" s="80"/>
      <c r="H965" s="80"/>
      <c r="I965" s="80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7"/>
      <c r="AK965" s="80"/>
      <c r="AL965" s="80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</row>
    <row r="966">
      <c r="A966" s="80"/>
      <c r="B966" s="80"/>
      <c r="C966" s="80"/>
      <c r="D966" s="80"/>
      <c r="E966" s="124"/>
      <c r="F966" s="80"/>
      <c r="G966" s="80"/>
      <c r="H966" s="80"/>
      <c r="I966" s="80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7"/>
      <c r="AK966" s="80"/>
      <c r="AL966" s="80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</row>
    <row r="967">
      <c r="A967" s="80"/>
      <c r="B967" s="80"/>
      <c r="C967" s="80"/>
      <c r="D967" s="80"/>
      <c r="E967" s="124"/>
      <c r="F967" s="80"/>
      <c r="G967" s="80"/>
      <c r="H967" s="80"/>
      <c r="I967" s="80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7"/>
      <c r="AK967" s="80"/>
      <c r="AL967" s="80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</row>
    <row r="968">
      <c r="A968" s="80"/>
      <c r="B968" s="80"/>
      <c r="C968" s="80"/>
      <c r="D968" s="80"/>
      <c r="E968" s="124"/>
      <c r="F968" s="80"/>
      <c r="G968" s="80"/>
      <c r="H968" s="80"/>
      <c r="I968" s="80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7"/>
      <c r="AK968" s="80"/>
      <c r="AL968" s="80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</row>
    <row r="969">
      <c r="A969" s="80"/>
      <c r="B969" s="80"/>
      <c r="C969" s="80"/>
      <c r="D969" s="80"/>
      <c r="E969" s="124"/>
      <c r="F969" s="80"/>
      <c r="G969" s="80"/>
      <c r="H969" s="80"/>
      <c r="I969" s="80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7"/>
      <c r="AK969" s="80"/>
      <c r="AL969" s="80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</row>
    <row r="970">
      <c r="A970" s="80"/>
      <c r="B970" s="80"/>
      <c r="C970" s="80"/>
      <c r="D970" s="80"/>
      <c r="E970" s="124"/>
      <c r="F970" s="80"/>
      <c r="G970" s="80"/>
      <c r="H970" s="80"/>
      <c r="I970" s="80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7"/>
      <c r="AK970" s="80"/>
      <c r="AL970" s="80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</row>
    <row r="971">
      <c r="A971" s="80"/>
      <c r="B971" s="80"/>
      <c r="C971" s="80"/>
      <c r="D971" s="80"/>
      <c r="E971" s="124"/>
      <c r="F971" s="80"/>
      <c r="G971" s="80"/>
      <c r="H971" s="80"/>
      <c r="I971" s="80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7"/>
      <c r="AK971" s="80"/>
      <c r="AL971" s="80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</row>
    <row r="972">
      <c r="A972" s="80"/>
      <c r="B972" s="80"/>
      <c r="C972" s="80"/>
      <c r="D972" s="80"/>
      <c r="E972" s="124"/>
      <c r="F972" s="80"/>
      <c r="G972" s="80"/>
      <c r="H972" s="80"/>
      <c r="I972" s="80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7"/>
      <c r="AK972" s="80"/>
      <c r="AL972" s="80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</row>
    <row r="973">
      <c r="A973" s="80"/>
      <c r="B973" s="80"/>
      <c r="C973" s="80"/>
      <c r="D973" s="80"/>
      <c r="E973" s="124"/>
      <c r="F973" s="80"/>
      <c r="G973" s="80"/>
      <c r="H973" s="80"/>
      <c r="I973" s="80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7"/>
      <c r="AK973" s="80"/>
      <c r="AL973" s="80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</row>
    <row r="974">
      <c r="A974" s="80"/>
      <c r="B974" s="80"/>
      <c r="C974" s="80"/>
      <c r="D974" s="80"/>
      <c r="E974" s="124"/>
      <c r="F974" s="80"/>
      <c r="G974" s="80"/>
      <c r="H974" s="80"/>
      <c r="I974" s="80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7"/>
      <c r="AK974" s="80"/>
      <c r="AL974" s="80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</row>
    <row r="975">
      <c r="A975" s="80"/>
      <c r="B975" s="80"/>
      <c r="C975" s="80"/>
      <c r="D975" s="80"/>
      <c r="E975" s="124"/>
      <c r="F975" s="80"/>
      <c r="G975" s="80"/>
      <c r="H975" s="80"/>
      <c r="I975" s="80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7"/>
      <c r="AK975" s="80"/>
      <c r="AL975" s="80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</row>
    <row r="976">
      <c r="A976" s="80"/>
      <c r="B976" s="80"/>
      <c r="C976" s="80"/>
      <c r="D976" s="80"/>
      <c r="E976" s="124"/>
      <c r="F976" s="80"/>
      <c r="G976" s="80"/>
      <c r="H976" s="80"/>
      <c r="I976" s="80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7"/>
      <c r="AK976" s="80"/>
      <c r="AL976" s="80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</row>
    <row r="977">
      <c r="A977" s="80"/>
      <c r="B977" s="80"/>
      <c r="C977" s="80"/>
      <c r="D977" s="80"/>
      <c r="E977" s="124"/>
      <c r="F977" s="80"/>
      <c r="G977" s="80"/>
      <c r="H977" s="80"/>
      <c r="I977" s="80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7"/>
      <c r="AK977" s="80"/>
      <c r="AL977" s="80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</row>
    <row r="978">
      <c r="A978" s="80"/>
      <c r="B978" s="80"/>
      <c r="C978" s="80"/>
      <c r="D978" s="80"/>
      <c r="E978" s="124"/>
      <c r="F978" s="80"/>
      <c r="G978" s="80"/>
      <c r="H978" s="80"/>
      <c r="I978" s="80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7"/>
      <c r="AK978" s="80"/>
      <c r="AL978" s="80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</row>
    <row r="979">
      <c r="A979" s="80"/>
      <c r="B979" s="80"/>
      <c r="C979" s="80"/>
      <c r="D979" s="80"/>
      <c r="E979" s="124"/>
      <c r="F979" s="80"/>
      <c r="G979" s="80"/>
      <c r="H979" s="80"/>
      <c r="I979" s="80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7"/>
      <c r="AK979" s="80"/>
      <c r="AL979" s="80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</row>
    <row r="980">
      <c r="A980" s="80"/>
      <c r="B980" s="80"/>
      <c r="C980" s="80"/>
      <c r="D980" s="80"/>
      <c r="E980" s="124"/>
      <c r="F980" s="80"/>
      <c r="G980" s="80"/>
      <c r="H980" s="80"/>
      <c r="I980" s="80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7"/>
      <c r="AK980" s="80"/>
      <c r="AL980" s="80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</row>
    <row r="981">
      <c r="A981" s="80"/>
      <c r="B981" s="80"/>
      <c r="C981" s="80"/>
      <c r="D981" s="80"/>
      <c r="E981" s="124"/>
      <c r="F981" s="80"/>
      <c r="G981" s="80"/>
      <c r="H981" s="80"/>
      <c r="I981" s="80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7"/>
      <c r="AK981" s="80"/>
      <c r="AL981" s="80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</row>
    <row r="982">
      <c r="A982" s="80"/>
      <c r="B982" s="80"/>
      <c r="C982" s="80"/>
      <c r="D982" s="80"/>
      <c r="E982" s="124"/>
      <c r="F982" s="80"/>
      <c r="G982" s="80"/>
      <c r="H982" s="80"/>
      <c r="I982" s="80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7"/>
      <c r="AK982" s="80"/>
      <c r="AL982" s="80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</row>
    <row r="983">
      <c r="A983" s="80"/>
      <c r="B983" s="80"/>
      <c r="C983" s="80"/>
      <c r="D983" s="80"/>
      <c r="E983" s="124"/>
      <c r="F983" s="80"/>
      <c r="G983" s="80"/>
      <c r="H983" s="80"/>
      <c r="I983" s="80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7"/>
      <c r="AK983" s="80"/>
      <c r="AL983" s="80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</row>
    <row r="984">
      <c r="A984" s="80"/>
      <c r="B984" s="80"/>
      <c r="C984" s="80"/>
      <c r="D984" s="80"/>
      <c r="E984" s="124"/>
      <c r="F984" s="80"/>
      <c r="G984" s="80"/>
      <c r="H984" s="80"/>
      <c r="I984" s="80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7"/>
      <c r="AK984" s="80"/>
      <c r="AL984" s="80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</row>
    <row r="985">
      <c r="A985" s="80"/>
      <c r="B985" s="80"/>
      <c r="C985" s="80"/>
      <c r="D985" s="80"/>
      <c r="E985" s="124"/>
      <c r="F985" s="80"/>
      <c r="G985" s="80"/>
      <c r="H985" s="80"/>
      <c r="I985" s="80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7"/>
      <c r="AK985" s="80"/>
      <c r="AL985" s="80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</row>
    <row r="986">
      <c r="A986" s="80"/>
      <c r="B986" s="80"/>
      <c r="C986" s="80"/>
      <c r="D986" s="80"/>
      <c r="E986" s="124"/>
      <c r="F986" s="80"/>
      <c r="G986" s="80"/>
      <c r="H986" s="80"/>
      <c r="I986" s="80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7"/>
      <c r="AK986" s="80"/>
      <c r="AL986" s="80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</row>
    <row r="987">
      <c r="A987" s="80"/>
      <c r="B987" s="80"/>
      <c r="C987" s="80"/>
      <c r="D987" s="80"/>
      <c r="E987" s="124"/>
      <c r="F987" s="80"/>
      <c r="G987" s="80"/>
      <c r="H987" s="80"/>
      <c r="I987" s="80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7"/>
      <c r="AK987" s="80"/>
      <c r="AL987" s="80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</row>
    <row r="988">
      <c r="A988" s="80"/>
      <c r="B988" s="80"/>
      <c r="C988" s="80"/>
      <c r="D988" s="80"/>
      <c r="E988" s="124"/>
      <c r="F988" s="80"/>
      <c r="G988" s="80"/>
      <c r="H988" s="80"/>
      <c r="I988" s="80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7"/>
      <c r="AK988" s="80"/>
      <c r="AL988" s="80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</row>
    <row r="989">
      <c r="A989" s="80"/>
      <c r="B989" s="80"/>
      <c r="C989" s="80"/>
      <c r="D989" s="80"/>
      <c r="E989" s="124"/>
      <c r="F989" s="80"/>
      <c r="G989" s="80"/>
      <c r="H989" s="80"/>
      <c r="I989" s="80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7"/>
      <c r="AK989" s="80"/>
      <c r="AL989" s="80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</row>
    <row r="990">
      <c r="A990" s="80"/>
      <c r="B990" s="80"/>
      <c r="C990" s="80"/>
      <c r="D990" s="80"/>
      <c r="E990" s="124"/>
      <c r="F990" s="80"/>
      <c r="G990" s="80"/>
      <c r="H990" s="80"/>
      <c r="I990" s="80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7"/>
      <c r="AK990" s="80"/>
      <c r="AL990" s="80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</row>
    <row r="991">
      <c r="A991" s="80"/>
      <c r="B991" s="80"/>
      <c r="C991" s="80"/>
      <c r="D991" s="80"/>
      <c r="E991" s="124"/>
      <c r="F991" s="80"/>
      <c r="G991" s="80"/>
      <c r="H991" s="80"/>
      <c r="I991" s="80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7"/>
      <c r="AK991" s="80"/>
      <c r="AL991" s="80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</row>
    <row r="992">
      <c r="A992" s="80"/>
      <c r="B992" s="80"/>
      <c r="C992" s="80"/>
      <c r="D992" s="80"/>
      <c r="E992" s="124"/>
      <c r="F992" s="80"/>
      <c r="G992" s="80"/>
      <c r="H992" s="80"/>
      <c r="I992" s="80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7"/>
      <c r="AK992" s="80"/>
      <c r="AL992" s="80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</row>
    <row r="993">
      <c r="A993" s="80"/>
      <c r="B993" s="80"/>
      <c r="C993" s="80"/>
      <c r="D993" s="80"/>
      <c r="E993" s="124"/>
      <c r="F993" s="80"/>
      <c r="G993" s="80"/>
      <c r="H993" s="80"/>
      <c r="I993" s="80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7"/>
      <c r="AK993" s="80"/>
      <c r="AL993" s="80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</row>
    <row r="994">
      <c r="A994" s="80"/>
      <c r="B994" s="80"/>
      <c r="C994" s="80"/>
      <c r="D994" s="80"/>
      <c r="E994" s="124"/>
      <c r="F994" s="80"/>
      <c r="G994" s="80"/>
      <c r="H994" s="80"/>
      <c r="I994" s="80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7"/>
      <c r="AK994" s="80"/>
      <c r="AL994" s="80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</row>
    <row r="995">
      <c r="A995" s="80"/>
      <c r="B995" s="80"/>
      <c r="C995" s="80"/>
      <c r="D995" s="80"/>
      <c r="E995" s="124"/>
      <c r="F995" s="80"/>
      <c r="G995" s="80"/>
      <c r="H995" s="80"/>
      <c r="I995" s="80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7"/>
      <c r="AK995" s="80"/>
      <c r="AL995" s="80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</row>
    <row r="996">
      <c r="A996" s="80"/>
      <c r="B996" s="80"/>
      <c r="C996" s="80"/>
      <c r="D996" s="80"/>
      <c r="E996" s="124"/>
      <c r="F996" s="80"/>
      <c r="G996" s="80"/>
      <c r="H996" s="80"/>
      <c r="I996" s="80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7"/>
      <c r="AK996" s="80"/>
      <c r="AL996" s="80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</row>
    <row r="997">
      <c r="A997" s="80"/>
      <c r="B997" s="80"/>
      <c r="C997" s="80"/>
      <c r="D997" s="80"/>
      <c r="E997" s="124"/>
      <c r="F997" s="80"/>
      <c r="G997" s="80"/>
      <c r="H997" s="80"/>
      <c r="I997" s="80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7"/>
      <c r="AK997" s="80"/>
      <c r="AL997" s="80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</row>
    <row r="998">
      <c r="A998" s="80"/>
      <c r="B998" s="80"/>
      <c r="C998" s="80"/>
      <c r="D998" s="80"/>
      <c r="E998" s="124"/>
      <c r="F998" s="80"/>
      <c r="G998" s="80"/>
      <c r="H998" s="80"/>
      <c r="I998" s="80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7"/>
      <c r="AK998" s="80"/>
      <c r="AL998" s="80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</row>
    <row r="999">
      <c r="A999" s="80"/>
      <c r="B999" s="80"/>
      <c r="C999" s="80"/>
      <c r="D999" s="80"/>
      <c r="E999" s="124"/>
      <c r="F999" s="80"/>
      <c r="G999" s="80"/>
      <c r="H999" s="80"/>
      <c r="I999" s="80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7"/>
      <c r="AK999" s="80"/>
      <c r="AL999" s="80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</row>
    <row r="1000">
      <c r="A1000" s="80"/>
      <c r="B1000" s="80"/>
      <c r="C1000" s="80"/>
      <c r="D1000" s="80"/>
      <c r="E1000" s="124"/>
      <c r="F1000" s="80"/>
      <c r="G1000" s="80"/>
      <c r="H1000" s="80"/>
      <c r="I1000" s="80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  <c r="AI1000" s="196"/>
      <c r="AJ1000" s="197"/>
      <c r="AK1000" s="80"/>
      <c r="AL1000" s="80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</row>
  </sheetData>
  <hyperlinks>
    <hyperlink r:id="rId1" ref="AJ16"/>
    <hyperlink r:id="rId2" ref="A17"/>
    <hyperlink r:id="rId3" ref="AJ17"/>
    <hyperlink r:id="rId4" ref="A18"/>
    <hyperlink r:id="rId5" ref="AJ18"/>
    <hyperlink r:id="rId6" ref="A19"/>
    <hyperlink r:id="rId7" ref="A20"/>
    <hyperlink r:id="rId8" ref="A21"/>
    <hyperlink r:id="rId9" ref="A22"/>
    <hyperlink r:id="rId10" ref="A23"/>
    <hyperlink r:id="rId11" ref="A24"/>
    <hyperlink r:id="rId12" ref="A25"/>
    <hyperlink r:id="rId13" ref="A26"/>
    <hyperlink r:id="rId14" ref="A27"/>
  </hyperlinks>
  <drawing r:id="rId1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108" t="str">
        <f>Main!A1</f>
        <v>Product Code</v>
      </c>
      <c r="B1" s="108" t="str">
        <f>Main!B1</f>
        <v>Category</v>
      </c>
      <c r="C1" s="108" t="str">
        <f>Main!C1</f>
        <v>Sub Category</v>
      </c>
      <c r="D1" s="108" t="str">
        <f>Main!D1</f>
        <v>Specifications</v>
      </c>
      <c r="E1" s="115" t="str">
        <f>Main!E1</f>
        <v>No.  of Ups</v>
      </c>
      <c r="F1" s="108" t="str">
        <f>Main!F1</f>
        <v>Machine</v>
      </c>
      <c r="G1" s="108" t="str">
        <f>Main!J1</f>
        <v>GSM</v>
      </c>
      <c r="H1" s="108" t="str">
        <f>Main!K1</f>
        <v>Final Qty</v>
      </c>
      <c r="I1" s="108" t="str">
        <f>Main!L1</f>
        <v>Sheet Qty</v>
      </c>
      <c r="J1" s="109" t="str">
        <f>Main!AG1:AG1423</f>
        <v>SBS</v>
      </c>
      <c r="K1" s="109" t="str">
        <f>Main!AH1</f>
        <v>WhiteBack</v>
      </c>
      <c r="L1" s="109" t="str">
        <f>Main!AI1</f>
        <v>GreyBack</v>
      </c>
      <c r="M1" s="109" t="str">
        <f>Main!AJ1</f>
        <v>Art Card</v>
      </c>
      <c r="N1" s="109" t="str">
        <f>Main!AK1</f>
        <v>Maplitho</v>
      </c>
      <c r="O1" s="109" t="str">
        <f>Main!AL1</f>
        <v>Other Type</v>
      </c>
      <c r="P1" s="109" t="str">
        <f>Main!AN1</f>
        <v/>
      </c>
      <c r="Q1" s="109" t="str">
        <f>Main!AO1</f>
        <v/>
      </c>
      <c r="R1" s="109" t="str">
        <f>Main!AP1</f>
        <v/>
      </c>
      <c r="S1" s="109" t="str">
        <f>Main!AQ1</f>
        <v/>
      </c>
      <c r="T1" s="193" t="s">
        <v>31</v>
      </c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99" t="s">
        <v>37</v>
      </c>
      <c r="AF1" s="114" t="s">
        <v>36</v>
      </c>
      <c r="AG1" s="109" t="str">
        <f>Main!AR1</f>
        <v/>
      </c>
      <c r="AH1" s="109" t="str">
        <f>Main!AW1</f>
        <v>Lamination Thermal</v>
      </c>
      <c r="AI1" s="109" t="str">
        <f>Main!AX1</f>
        <v>Lamination Normal Gloss</v>
      </c>
      <c r="AJ1" s="115" t="str">
        <f>Main!AY1</f>
        <v>Lamination Normal Matt</v>
      </c>
      <c r="AK1" s="109" t="str">
        <f>Main!AZ1</f>
        <v>Varnish</v>
      </c>
      <c r="AL1" s="109" t="str">
        <f>Main!BC1</f>
        <v>UV Hybrid</v>
      </c>
      <c r="AM1" s="109" t="str">
        <f>Main!BD1</f>
        <v>Spot UV</v>
      </c>
      <c r="AN1" s="116" t="s">
        <v>74</v>
      </c>
      <c r="AO1" s="117" t="s">
        <v>42</v>
      </c>
      <c r="AP1" s="111" t="s">
        <v>43</v>
      </c>
      <c r="AQ1" s="111" t="s">
        <v>44</v>
      </c>
      <c r="AR1" s="117" t="s">
        <v>92</v>
      </c>
      <c r="AS1" s="117" t="s">
        <v>94</v>
      </c>
      <c r="AT1" s="117" t="s">
        <v>47</v>
      </c>
      <c r="AU1" s="25" t="s">
        <v>48</v>
      </c>
      <c r="AV1" s="25" t="s">
        <v>49</v>
      </c>
      <c r="AW1" s="25" t="s">
        <v>50</v>
      </c>
      <c r="AX1" s="108" t="s">
        <v>74</v>
      </c>
      <c r="AY1" s="88" t="s">
        <v>51</v>
      </c>
      <c r="AZ1" s="119" t="s">
        <v>52</v>
      </c>
      <c r="BA1" s="119" t="s">
        <v>53</v>
      </c>
      <c r="BB1" s="73"/>
      <c r="BC1" s="73"/>
      <c r="BD1" s="73"/>
      <c r="BE1" s="73" t="str">
        <f>Quotation!A45</f>
        <v>Offset</v>
      </c>
      <c r="BF1" s="73" t="str">
        <f>Quotation!B45</f>
        <v>Commercial</v>
      </c>
      <c r="BG1" s="73" t="str">
        <f>Quotation!B47</f>
        <v>Art Card</v>
      </c>
      <c r="BH1" s="73" t="str">
        <f>Quotation!B48</f>
        <v>Plain</v>
      </c>
      <c r="BI1" s="73" t="str">
        <f>Quotation!C50</f>
        <v>Cutting</v>
      </c>
      <c r="BJ1" s="73" t="str">
        <f>Quotation!C51</f>
        <v>Plain</v>
      </c>
      <c r="BK1" s="139" t="str">
        <f>Quotation!B51</f>
        <v>Plain</v>
      </c>
      <c r="BL1" s="80" t="str">
        <f>Quotation!A50</f>
        <v>New Job</v>
      </c>
      <c r="BM1" s="80"/>
      <c r="BN1" s="80"/>
      <c r="BO1" s="121" t="str">
        <f>Quotation!B47</f>
        <v>Art Card</v>
      </c>
      <c r="BP1" s="80"/>
      <c r="BQ1" s="80"/>
      <c r="BR1" s="80"/>
      <c r="BS1" s="233" t="str">
        <f>Quotation!B47</f>
        <v>Art Card</v>
      </c>
      <c r="BT1" s="80"/>
      <c r="BU1" s="80"/>
      <c r="BV1" s="80"/>
      <c r="BW1" s="80"/>
      <c r="BX1" s="80"/>
      <c r="BY1" s="80"/>
      <c r="BZ1" s="233" t="str">
        <f>Quotation!C47</f>
        <v>Normal</v>
      </c>
      <c r="CA1" s="80"/>
      <c r="CB1" s="80"/>
      <c r="CC1" s="80"/>
      <c r="CD1" s="233" t="str">
        <f>Quotation!D47</f>
        <v>90 GSM</v>
      </c>
      <c r="CE1" s="80"/>
      <c r="CF1" s="80"/>
      <c r="CG1" s="80"/>
      <c r="CH1" s="80"/>
    </row>
    <row r="2">
      <c r="A2" s="123" t="str">
        <f>Main!A14</f>
        <v>https://drive.google.com/open?id=1AT8COyVu1i54kTQbeZJnxYi8bjYPzfhK&amp;authuser=jay.agg%40gmail.com&amp;usp=drive_fs</v>
      </c>
      <c r="B2" s="80" t="str">
        <f>Main!B14</f>
        <v>Flyer</v>
      </c>
      <c r="C2" s="80" t="str">
        <f>Main!C14</f>
        <v>A5</v>
      </c>
      <c r="D2" s="80" t="str">
        <f>Main!D14</f>
        <v>148 × 210 millimeters or 5.8 × 8.3 inches</v>
      </c>
      <c r="E2" s="124">
        <f>Main!E14</f>
        <v>8</v>
      </c>
      <c r="F2" s="80">
        <f>Main!F14</f>
        <v>1926</v>
      </c>
      <c r="G2" s="80" t="str">
        <f>Quotation!C47</f>
        <v>Normal</v>
      </c>
      <c r="H2" s="80">
        <f>Quotation!E46</f>
        <v>100000</v>
      </c>
      <c r="I2" s="80">
        <f>Main!L14</f>
        <v>12580</v>
      </c>
      <c r="J2" s="125">
        <f>Main!AG14</f>
        <v>0.56391</v>
      </c>
      <c r="K2" s="125">
        <f>J2</f>
        <v>0.56391</v>
      </c>
      <c r="L2" s="125">
        <f>J2</f>
        <v>0.56391</v>
      </c>
      <c r="M2" s="125">
        <f>J2</f>
        <v>0.56391</v>
      </c>
      <c r="N2" s="125">
        <f>J2</f>
        <v>0.56391</v>
      </c>
      <c r="O2" s="125">
        <f>Main!AL14</f>
        <v>14.76776</v>
      </c>
      <c r="P2" s="109" t="str">
        <f>Main!AN14</f>
        <v/>
      </c>
      <c r="Q2" s="125" t="str">
        <f>Main!AO14</f>
        <v/>
      </c>
      <c r="R2" s="125" t="str">
        <f>Main!AP14</f>
        <v/>
      </c>
      <c r="S2" s="125" t="str">
        <f>Main!AQ14</f>
        <v/>
      </c>
      <c r="T2" s="125">
        <f>Main!AM14</f>
        <v>0.17933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25">
        <f>Main!BB14</f>
        <v>0.767735</v>
      </c>
      <c r="AF2" s="125">
        <f>Main!BA14</f>
        <v>0.145025</v>
      </c>
      <c r="AG2" s="125" t="str">
        <f>Main!AR14</f>
        <v/>
      </c>
      <c r="AH2" s="125">
        <f>Main!AW14</f>
        <v>0.45288</v>
      </c>
      <c r="AI2" s="125">
        <f>Main!AX14</f>
        <v>0.186813</v>
      </c>
      <c r="AJ2" s="126">
        <f>Main!AY14</f>
        <v>0.249084</v>
      </c>
      <c r="AK2" s="125">
        <f>Main!AZ14</f>
        <v>0.079254</v>
      </c>
      <c r="AL2" s="125">
        <f>Main!BC14</f>
        <v>0.258245</v>
      </c>
      <c r="AM2" s="125">
        <f>Main!BD14</f>
        <v>0.603566</v>
      </c>
      <c r="AN2" s="76">
        <v>0.0</v>
      </c>
      <c r="AO2" s="47">
        <f>Main!BI14</f>
        <v>0.7106059221</v>
      </c>
      <c r="AP2" s="61" t="str">
        <f>Main!BJ14</f>
        <v>#VALUE!</v>
      </c>
      <c r="AQ2" s="61" t="str">
        <f>Main!BK14</f>
        <v>#VALUE!</v>
      </c>
      <c r="AR2" s="47">
        <f>Main!BL14</f>
        <v>0.1529809221</v>
      </c>
      <c r="AS2" s="47">
        <f>Main!BM14</f>
        <v>0.1534809221</v>
      </c>
      <c r="AT2" s="47">
        <f>Main!BN14</f>
        <v>0.1539809221</v>
      </c>
      <c r="AU2" s="47">
        <f>Main!BO14</f>
        <v>0.002980922099</v>
      </c>
      <c r="AV2" s="47">
        <f>Main!BP14</f>
        <v>0.03000794913</v>
      </c>
      <c r="AW2" s="47">
        <f>Main!BQ14</f>
        <v>0.002980922099</v>
      </c>
      <c r="AX2" s="80">
        <v>0.0</v>
      </c>
      <c r="AY2" s="127" t="str">
        <f>Main!BR14</f>
        <v>#VALUE!</v>
      </c>
      <c r="AZ2" s="77">
        <f>Main!BS14</f>
        <v>5</v>
      </c>
      <c r="BA2" s="77">
        <f>Main!BT14</f>
        <v>6</v>
      </c>
      <c r="BB2" s="73"/>
      <c r="BC2" s="73"/>
      <c r="BD2" s="73"/>
      <c r="BE2" s="73"/>
      <c r="BF2" s="73"/>
      <c r="BG2" s="73"/>
      <c r="BH2" s="73"/>
      <c r="BI2" s="73"/>
      <c r="BJ2" s="73"/>
      <c r="BK2" s="233"/>
      <c r="BL2" s="80"/>
      <c r="BM2" s="80"/>
      <c r="BN2" s="80"/>
      <c r="BO2" s="80"/>
      <c r="BP2" s="80"/>
      <c r="BQ2" s="80"/>
      <c r="BR2" s="80"/>
      <c r="BS2" s="128" t="str">
        <f>IF(BS1="","","and BS = '"&amp;BS1&amp;"'")</f>
        <v>and BS = 'Art Card'</v>
      </c>
      <c r="BT2" s="80"/>
      <c r="BU2" s="80"/>
      <c r="BV2" s="80"/>
      <c r="BW2" s="80"/>
      <c r="BX2" s="80"/>
      <c r="BY2" s="80"/>
      <c r="BZ2" s="128" t="str">
        <f>IF(BZ1="","","and BX = '"&amp;BZ1&amp;"'")</f>
        <v>and BX = 'Normal'</v>
      </c>
      <c r="CA2" s="80"/>
      <c r="CB2" s="80"/>
      <c r="CC2" s="80"/>
      <c r="CD2" s="128" t="str">
        <f>IF(CD1="","","and CD = '"&amp;CD1&amp;"'")</f>
        <v>and CD = '90 GSM'</v>
      </c>
      <c r="CE2" s="80"/>
      <c r="CF2" s="80"/>
      <c r="CG2" s="80"/>
      <c r="CH2" s="80"/>
    </row>
    <row r="3">
      <c r="A3" s="129" t="str">
        <f t="shared" ref="A3:S3" si="1">A1</f>
        <v>Product Code</v>
      </c>
      <c r="B3" s="129" t="str">
        <f t="shared" si="1"/>
        <v>Category</v>
      </c>
      <c r="C3" s="129" t="str">
        <f t="shared" si="1"/>
        <v>Sub Category</v>
      </c>
      <c r="D3" s="129" t="str">
        <f t="shared" si="1"/>
        <v>Specifications</v>
      </c>
      <c r="E3" s="129" t="str">
        <f t="shared" si="1"/>
        <v>No.  of Ups</v>
      </c>
      <c r="F3" s="129" t="str">
        <f t="shared" si="1"/>
        <v>Machine</v>
      </c>
      <c r="G3" s="129" t="str">
        <f t="shared" si="1"/>
        <v>GSM</v>
      </c>
      <c r="H3" s="129" t="str">
        <f t="shared" si="1"/>
        <v>Final Qty</v>
      </c>
      <c r="I3" s="129" t="str">
        <f t="shared" si="1"/>
        <v>Sheet Qty</v>
      </c>
      <c r="J3" s="129" t="str">
        <f t="shared" si="1"/>
        <v>SBS</v>
      </c>
      <c r="K3" s="108" t="str">
        <f t="shared" si="1"/>
        <v>WhiteBack</v>
      </c>
      <c r="L3" s="108" t="str">
        <f t="shared" si="1"/>
        <v>GreyBack</v>
      </c>
      <c r="M3" s="108" t="str">
        <f t="shared" si="1"/>
        <v>Art Card</v>
      </c>
      <c r="N3" s="108" t="str">
        <f t="shared" si="1"/>
        <v>Maplitho</v>
      </c>
      <c r="O3" s="129" t="str">
        <f t="shared" si="1"/>
        <v>Other Type</v>
      </c>
      <c r="P3" s="129" t="str">
        <f t="shared" si="1"/>
        <v/>
      </c>
      <c r="Q3" s="129" t="str">
        <f t="shared" si="1"/>
        <v/>
      </c>
      <c r="R3" s="129" t="str">
        <f t="shared" si="1"/>
        <v/>
      </c>
      <c r="S3" s="129" t="str">
        <f t="shared" si="1"/>
        <v/>
      </c>
      <c r="T3" s="193" t="s">
        <v>31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99" t="s">
        <v>37</v>
      </c>
      <c r="AF3" s="114" t="s">
        <v>36</v>
      </c>
      <c r="AG3" s="129" t="str">
        <f t="shared" ref="AG3:AN3" si="2">AG1</f>
        <v/>
      </c>
      <c r="AH3" s="129" t="str">
        <f t="shared" si="2"/>
        <v>Lamination Thermal</v>
      </c>
      <c r="AI3" s="129" t="str">
        <f t="shared" si="2"/>
        <v>Lamination Normal Gloss</v>
      </c>
      <c r="AJ3" s="129" t="str">
        <f t="shared" si="2"/>
        <v>Lamination Normal Matt</v>
      </c>
      <c r="AK3" s="129" t="str">
        <f t="shared" si="2"/>
        <v>Varnish</v>
      </c>
      <c r="AL3" s="129" t="str">
        <f t="shared" si="2"/>
        <v>UV Hybrid</v>
      </c>
      <c r="AM3" s="129" t="str">
        <f t="shared" si="2"/>
        <v>Spot UV</v>
      </c>
      <c r="AN3" s="129" t="str">
        <f t="shared" si="2"/>
        <v>Plain</v>
      </c>
      <c r="AO3" s="117" t="s">
        <v>42</v>
      </c>
      <c r="AP3" s="111" t="s">
        <v>43</v>
      </c>
      <c r="AQ3" s="111" t="s">
        <v>44</v>
      </c>
      <c r="AR3" s="117" t="s">
        <v>92</v>
      </c>
      <c r="AS3" s="117" t="s">
        <v>94</v>
      </c>
      <c r="AT3" s="117" t="s">
        <v>47</v>
      </c>
      <c r="AU3" s="25" t="s">
        <v>48</v>
      </c>
      <c r="AV3" s="25" t="s">
        <v>49</v>
      </c>
      <c r="AW3" s="25" t="s">
        <v>50</v>
      </c>
      <c r="AX3" s="108" t="s">
        <v>74</v>
      </c>
      <c r="AY3" s="88" t="s">
        <v>51</v>
      </c>
      <c r="AZ3" s="119" t="s">
        <v>52</v>
      </c>
      <c r="BA3" s="119" t="s">
        <v>53</v>
      </c>
      <c r="BB3" s="73"/>
      <c r="BC3" s="73"/>
      <c r="BD3" s="73"/>
      <c r="BE3" s="134" t="str">
        <f>IF(BE1="","","and A = '"&amp;BE1&amp;"'")</f>
        <v>and A = 'Offset'</v>
      </c>
      <c r="BF3" s="134" t="str">
        <f>IF(BF1="","","and B = '"&amp;BF1&amp;"'")</f>
        <v>and B = 'Commercial'</v>
      </c>
      <c r="BG3" s="134" t="str">
        <f>IF(BF1="","","and M = '"&amp;BF1&amp;"'")</f>
        <v>and M = 'Commercial'</v>
      </c>
      <c r="BH3" s="113" t="str">
        <f>IF(BF1="","","and BF = '"&amp;BF1&amp;"'")</f>
        <v>and BF = 'Commercial'</v>
      </c>
      <c r="BI3" s="113" t="str">
        <f>IF(BG1="","","and AY = '"&amp;BG1&amp;"'")</f>
        <v>and AY = 'Art Card'</v>
      </c>
      <c r="BJ3" s="113" t="str">
        <f>IF(BH1="","","and BC = '"&amp;BH1&amp;"'")</f>
        <v>and BC = 'Plain'</v>
      </c>
      <c r="BK3" s="113" t="str">
        <f>IF(BI1="","","and AW = '"&amp;BI1&amp;"'")</f>
        <v>and AW = 'Cutting'</v>
      </c>
      <c r="BL3" s="113" t="str">
        <f>IF(BJ1="","","and AU = '"&amp;BJ1&amp;"'")</f>
        <v>and AU = 'Plain'</v>
      </c>
      <c r="BM3" s="113" t="str">
        <f>IF(BK1="","","and BC = '"&amp;BK1&amp;"'")</f>
        <v>and BC = 'Plain'</v>
      </c>
      <c r="BN3" s="113" t="str">
        <f>IF(BL1="","","and BA = '"&amp;BL1&amp;"'")</f>
        <v>and BA = 'New Job'</v>
      </c>
      <c r="BO3" s="128" t="str">
        <f>IF(BO1="","","and AW = '"&amp;BO1&amp;"'")</f>
        <v>and AW = 'Art Card'</v>
      </c>
      <c r="BP3" s="121"/>
      <c r="BQ3" s="121"/>
      <c r="BR3" s="121"/>
      <c r="BS3" s="128" t="str">
        <f>CONCATENATE("select * where 1=1",BS2)</f>
        <v>select * where 1=1and BS = 'Art Card'</v>
      </c>
      <c r="BT3" s="121"/>
      <c r="BU3" s="121"/>
      <c r="BV3" s="121"/>
      <c r="BW3" s="121"/>
      <c r="BX3" s="121"/>
      <c r="BY3" s="121"/>
      <c r="BZ3" s="128" t="str">
        <f>CONCATENATE("select * where 1=1",BZ2)</f>
        <v>select * where 1=1and BX = 'Normal'</v>
      </c>
      <c r="CA3" s="121"/>
      <c r="CB3" s="121"/>
      <c r="CC3" s="121"/>
      <c r="CD3" s="128" t="str">
        <f>CONCATENATE("select * where 1=1",CD2)</f>
        <v>select * where 1=1and CD = '90 GSM'</v>
      </c>
      <c r="CE3" s="121"/>
      <c r="CF3" s="121"/>
      <c r="CG3" s="121"/>
      <c r="CH3" s="121"/>
    </row>
    <row r="4">
      <c r="A4" s="123" t="str">
        <f>Main!A15</f>
        <v>https://drive.google.com/open?id=1AT8COyVu1i54kTQbeZJnxYi8bjYPzfhK&amp;authuser=jay.agg%40gmail.com&amp;usp=drive_fs</v>
      </c>
      <c r="B4" s="80" t="str">
        <f>Main!B15</f>
        <v>Flyer</v>
      </c>
      <c r="C4" s="80" t="str">
        <f>Main!C15</f>
        <v>A5</v>
      </c>
      <c r="D4" s="80" t="str">
        <f>Main!D15</f>
        <v>148 × 210 millimeters or 5.8 × 8.3 inches</v>
      </c>
      <c r="E4" s="124">
        <f>Main!E15</f>
        <v>8</v>
      </c>
      <c r="F4" s="80">
        <f>Main!F15</f>
        <v>1926</v>
      </c>
      <c r="G4" s="80" t="str">
        <f>G2</f>
        <v>Normal</v>
      </c>
      <c r="H4" s="80">
        <f>Quotation!E47</f>
        <v>50000</v>
      </c>
      <c r="I4" s="80">
        <f>Main!L15</f>
        <v>6330</v>
      </c>
      <c r="J4" s="125">
        <f>Main!AG15</f>
        <v>0.58266</v>
      </c>
      <c r="K4" s="125">
        <f>J4</f>
        <v>0.58266</v>
      </c>
      <c r="L4" s="131">
        <f>J4</f>
        <v>0.58266</v>
      </c>
      <c r="M4" s="131">
        <f>J4</f>
        <v>0.58266</v>
      </c>
      <c r="N4" s="131">
        <f>J4</f>
        <v>0.58266</v>
      </c>
      <c r="O4" s="125">
        <f>Main!AL15</f>
        <v>14.87684</v>
      </c>
      <c r="P4" s="109" t="str">
        <f>Main!AN15</f>
        <v/>
      </c>
      <c r="Q4" s="125" t="str">
        <f>Main!AO15</f>
        <v/>
      </c>
      <c r="R4" s="125" t="str">
        <f>Main!AP15</f>
        <v/>
      </c>
      <c r="S4" s="125" t="str">
        <f>Main!AQ15</f>
        <v/>
      </c>
      <c r="T4" s="131">
        <f>Main!AM15</f>
        <v>0.19564</v>
      </c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25">
        <f>Main!BB15</f>
        <v>0.776095</v>
      </c>
      <c r="AF4" s="125">
        <f>Main!BA15</f>
        <v>0.149425</v>
      </c>
      <c r="AG4" s="125" t="str">
        <f>Main!AR15</f>
        <v/>
      </c>
      <c r="AH4" s="125">
        <f>Main!AW15</f>
        <v>0.45576</v>
      </c>
      <c r="AI4" s="125">
        <f>Main!AX15</f>
        <v>0.188001</v>
      </c>
      <c r="AJ4" s="126">
        <f>Main!AY15</f>
        <v>0.250668</v>
      </c>
      <c r="AK4" s="125">
        <f>Main!AZ15</f>
        <v>0.079758</v>
      </c>
      <c r="AL4" s="125">
        <f>Main!BC15</f>
        <v>0.263365</v>
      </c>
      <c r="AM4" s="125">
        <f>Main!BD15</f>
        <v>0.610882</v>
      </c>
      <c r="AN4" s="76">
        <v>0.0</v>
      </c>
      <c r="AO4" s="47">
        <f>Main!BI15</f>
        <v>0.7180491706</v>
      </c>
      <c r="AP4" s="61" t="str">
        <f>Main!BJ15</f>
        <v>#VALUE!</v>
      </c>
      <c r="AQ4" s="61" t="str">
        <f>Main!BK15</f>
        <v>#VALUE!</v>
      </c>
      <c r="AR4" s="47">
        <f>Main!BL15</f>
        <v>0.1559241706</v>
      </c>
      <c r="AS4" s="47">
        <f>Main!BM15</f>
        <v>0.1569241706</v>
      </c>
      <c r="AT4" s="47">
        <f>Main!BN15</f>
        <v>0.1579241706</v>
      </c>
      <c r="AU4" s="47">
        <f>Main!BO15</f>
        <v>0.005924170616</v>
      </c>
      <c r="AV4" s="47">
        <f>Main!BP15</f>
        <v>0.03001579779</v>
      </c>
      <c r="AW4" s="47">
        <f>Main!BQ15</f>
        <v>0.005924170616</v>
      </c>
      <c r="AX4" s="80">
        <v>0.0</v>
      </c>
      <c r="AY4" s="132" t="str">
        <f>Main!BR15</f>
        <v>#VALUE!</v>
      </c>
      <c r="AZ4" s="77">
        <f>Main!BS15</f>
        <v>5</v>
      </c>
      <c r="BA4" s="77">
        <f>Main!BT15</f>
        <v>6</v>
      </c>
      <c r="BB4" s="73"/>
      <c r="BC4" s="73"/>
      <c r="BD4" s="73"/>
      <c r="BE4" s="134" t="str">
        <f t="shared" ref="BE4:BO4" si="3">CONCATENATE("select * where 1=1",BE3)</f>
        <v>select * where 1=1and A = 'Offset'</v>
      </c>
      <c r="BF4" s="134" t="str">
        <f t="shared" si="3"/>
        <v>select * where 1=1and B = 'Commercial'</v>
      </c>
      <c r="BG4" s="134" t="str">
        <f t="shared" si="3"/>
        <v>select * where 1=1and M = 'Commercial'</v>
      </c>
      <c r="BH4" s="134" t="str">
        <f t="shared" si="3"/>
        <v>select * where 1=1and BF = 'Commercial'</v>
      </c>
      <c r="BI4" s="134" t="str">
        <f t="shared" si="3"/>
        <v>select * where 1=1and AY = 'Art Card'</v>
      </c>
      <c r="BJ4" s="134" t="str">
        <f t="shared" si="3"/>
        <v>select * where 1=1and BC = 'Plain'</v>
      </c>
      <c r="BK4" s="134" t="str">
        <f t="shared" si="3"/>
        <v>select * where 1=1and AW = 'Cutting'</v>
      </c>
      <c r="BL4" s="134" t="str">
        <f t="shared" si="3"/>
        <v>select * where 1=1and AU = 'Plain'</v>
      </c>
      <c r="BM4" s="134" t="str">
        <f t="shared" si="3"/>
        <v>select * where 1=1and BC = 'Plain'</v>
      </c>
      <c r="BN4" s="134" t="str">
        <f t="shared" si="3"/>
        <v>select * where 1=1and BA = 'New Job'</v>
      </c>
      <c r="BO4" s="133" t="str">
        <f t="shared" si="3"/>
        <v>select * where 1=1and AW = 'Art Card'</v>
      </c>
      <c r="BP4" s="134"/>
      <c r="BQ4" s="134"/>
      <c r="BR4" s="134"/>
      <c r="BS4" s="134"/>
      <c r="BT4" s="134"/>
      <c r="BU4" s="134"/>
      <c r="BV4" s="134"/>
      <c r="BW4" s="73"/>
      <c r="BX4" s="134" t="s">
        <v>71</v>
      </c>
      <c r="BY4" s="134" t="s">
        <v>71</v>
      </c>
      <c r="BZ4" s="134"/>
      <c r="CA4" s="134"/>
      <c r="CB4" s="134"/>
      <c r="CC4" s="134"/>
      <c r="CD4" s="88" t="s">
        <v>9</v>
      </c>
      <c r="CE4" s="135" t="str">
        <f>Quotation!D48</f>
        <v/>
      </c>
      <c r="CF4" s="134"/>
      <c r="CG4" s="134"/>
      <c r="CH4" s="134"/>
    </row>
    <row r="5">
      <c r="A5" s="129" t="str">
        <f t="shared" ref="A5:J5" si="4">A3</f>
        <v>Product Code</v>
      </c>
      <c r="B5" s="129" t="str">
        <f t="shared" si="4"/>
        <v>Category</v>
      </c>
      <c r="C5" s="129" t="str">
        <f t="shared" si="4"/>
        <v>Sub Category</v>
      </c>
      <c r="D5" s="129" t="str">
        <f t="shared" si="4"/>
        <v>Specifications</v>
      </c>
      <c r="E5" s="129" t="str">
        <f t="shared" si="4"/>
        <v>No.  of Ups</v>
      </c>
      <c r="F5" s="129" t="str">
        <f t="shared" si="4"/>
        <v>Machine</v>
      </c>
      <c r="G5" s="129" t="str">
        <f t="shared" si="4"/>
        <v>GSM</v>
      </c>
      <c r="H5" s="129" t="str">
        <f t="shared" si="4"/>
        <v>Final Qty</v>
      </c>
      <c r="I5" s="129" t="str">
        <f t="shared" si="4"/>
        <v>Sheet Qty</v>
      </c>
      <c r="J5" s="129" t="str">
        <f t="shared" si="4"/>
        <v>SBS</v>
      </c>
      <c r="K5" s="108" t="str">
        <f t="shared" ref="K5:N5" si="5">K1</f>
        <v>WhiteBack</v>
      </c>
      <c r="L5" s="108" t="str">
        <f t="shared" si="5"/>
        <v>GreyBack</v>
      </c>
      <c r="M5" s="108" t="str">
        <f t="shared" si="5"/>
        <v>Art Card</v>
      </c>
      <c r="N5" s="108" t="str">
        <f t="shared" si="5"/>
        <v>Maplitho</v>
      </c>
      <c r="O5" s="129" t="str">
        <f t="shared" ref="O5:S5" si="6">O3</f>
        <v>Other Type</v>
      </c>
      <c r="P5" s="129" t="str">
        <f t="shared" si="6"/>
        <v/>
      </c>
      <c r="Q5" s="129" t="str">
        <f t="shared" si="6"/>
        <v/>
      </c>
      <c r="R5" s="129" t="str">
        <f t="shared" si="6"/>
        <v/>
      </c>
      <c r="S5" s="129" t="str">
        <f t="shared" si="6"/>
        <v/>
      </c>
      <c r="T5" s="193" t="s">
        <v>31</v>
      </c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99" t="s">
        <v>37</v>
      </c>
      <c r="AF5" s="114" t="s">
        <v>36</v>
      </c>
      <c r="AG5" s="129" t="str">
        <f t="shared" ref="AG5:AN5" si="7">AG3</f>
        <v/>
      </c>
      <c r="AH5" s="129" t="str">
        <f t="shared" si="7"/>
        <v>Lamination Thermal</v>
      </c>
      <c r="AI5" s="129" t="str">
        <f t="shared" si="7"/>
        <v>Lamination Normal Gloss</v>
      </c>
      <c r="AJ5" s="129" t="str">
        <f t="shared" si="7"/>
        <v>Lamination Normal Matt</v>
      </c>
      <c r="AK5" s="129" t="str">
        <f t="shared" si="7"/>
        <v>Varnish</v>
      </c>
      <c r="AL5" s="129" t="str">
        <f t="shared" si="7"/>
        <v>UV Hybrid</v>
      </c>
      <c r="AM5" s="129" t="str">
        <f t="shared" si="7"/>
        <v>Spot UV</v>
      </c>
      <c r="AN5" s="129" t="str">
        <f t="shared" si="7"/>
        <v>Plain</v>
      </c>
      <c r="AO5" s="117" t="s">
        <v>42</v>
      </c>
      <c r="AP5" s="111" t="s">
        <v>43</v>
      </c>
      <c r="AQ5" s="111" t="s">
        <v>44</v>
      </c>
      <c r="AR5" s="117" t="s">
        <v>92</v>
      </c>
      <c r="AS5" s="117" t="s">
        <v>94</v>
      </c>
      <c r="AT5" s="117" t="s">
        <v>47</v>
      </c>
      <c r="AU5" s="25" t="s">
        <v>48</v>
      </c>
      <c r="AV5" s="25" t="s">
        <v>49</v>
      </c>
      <c r="AW5" s="25" t="s">
        <v>50</v>
      </c>
      <c r="AX5" s="108" t="s">
        <v>74</v>
      </c>
      <c r="AY5" s="88" t="s">
        <v>51</v>
      </c>
      <c r="AZ5" s="119" t="s">
        <v>52</v>
      </c>
      <c r="BA5" s="119" t="s">
        <v>53</v>
      </c>
      <c r="BB5" s="73"/>
      <c r="BC5" s="73"/>
      <c r="BD5" s="88" t="s">
        <v>176</v>
      </c>
      <c r="BE5" s="80"/>
      <c r="BF5" s="88"/>
      <c r="BG5" s="88"/>
      <c r="BH5" s="88"/>
      <c r="BI5" s="88"/>
      <c r="BJ5" s="80" t="s">
        <v>74</v>
      </c>
      <c r="BK5" s="233"/>
      <c r="BL5" s="80"/>
      <c r="BM5" s="80"/>
      <c r="BN5" s="80"/>
      <c r="BO5" s="54"/>
      <c r="BP5" s="54" t="s">
        <v>74</v>
      </c>
      <c r="BQ5" s="54" t="s">
        <v>71</v>
      </c>
      <c r="BR5" s="80"/>
      <c r="BS5" s="73" t="s">
        <v>14</v>
      </c>
      <c r="BT5" s="113" t="s">
        <v>177</v>
      </c>
      <c r="BU5" s="73" t="s">
        <v>178</v>
      </c>
      <c r="BV5" s="77">
        <f>Price!$P$2</f>
        <v>85</v>
      </c>
      <c r="BW5" s="160" t="str">
        <f>IFERROR(__xludf.DUMMYFUNCTION("QUERY(BS5:BV60,BS3)"),"Art Card")</f>
        <v>Art Card</v>
      </c>
      <c r="BX5" s="80" t="str">
        <f>IFERROR(__xludf.DUMMYFUNCTION("""COMPUTED_VALUE"""),"Normal")</f>
        <v>Normal</v>
      </c>
      <c r="BY5" s="80" t="str">
        <f>IFERROR(__xludf.DUMMYFUNCTION("""COMPUTED_VALUE"""),"90 GSM")</f>
        <v>90 GSM</v>
      </c>
      <c r="BZ5" s="107">
        <f>IFERROR(__xludf.DUMMYFUNCTION("""COMPUTED_VALUE"""),115.0)</f>
        <v>115</v>
      </c>
      <c r="CA5" s="139" t="str">
        <f>IFERROR(__xludf.DUMMYFUNCTION("(QUERY(BX5:BZ42,BZ3))"),"Normal")</f>
        <v>Normal</v>
      </c>
      <c r="CB5" s="80" t="str">
        <f>IFERROR(__xludf.DUMMYFUNCTION("""COMPUTED_VALUE"""),"90 GSM")</f>
        <v>90 GSM</v>
      </c>
      <c r="CC5" s="107">
        <f>IFERROR(__xludf.DUMMYFUNCTION("""COMPUTED_VALUE"""),115.0)</f>
        <v>115</v>
      </c>
      <c r="CD5" s="80" t="str">
        <f t="shared" ref="CD5:CD42" si="8">BY5</f>
        <v>90 GSM</v>
      </c>
      <c r="CE5" s="80" t="str">
        <f t="shared" ref="CE5:CE40" si="9">CD5</f>
        <v>90 GSM</v>
      </c>
      <c r="CF5" s="139" t="str">
        <f>IFERROR(__xludf.DUMMYFUNCTION("QUERY(CD4:CE42,CD3)"),"90 GSM")</f>
        <v>90 GSM</v>
      </c>
      <c r="CG5" s="139" t="str">
        <f>IFERROR(__xludf.DUMMYFUNCTION("""COMPUTED_VALUE"""),"90 GSM")</f>
        <v>90 GSM</v>
      </c>
      <c r="CH5" s="139"/>
    </row>
    <row r="6">
      <c r="A6" s="123" t="str">
        <f>Main!A16</f>
        <v>https://drive.google.com/open?id=1AT8COyVu1i54kTQbeZJnxYi8bjYPzfhK&amp;authuser=jay.agg%40gmail.com&amp;usp=drive_fs</v>
      </c>
      <c r="B6" s="80" t="str">
        <f>Main!B16</f>
        <v>Flyer</v>
      </c>
      <c r="C6" s="80" t="str">
        <f>Main!C16</f>
        <v>A5</v>
      </c>
      <c r="D6" s="80" t="str">
        <f>Main!D16</f>
        <v>148 × 210 millimeters or 5.8 × 8.3 inches</v>
      </c>
      <c r="E6" s="124">
        <f>Main!E16</f>
        <v>8</v>
      </c>
      <c r="F6" s="80">
        <f>Main!F16</f>
        <v>1926</v>
      </c>
      <c r="G6" s="80" t="str">
        <f>G2</f>
        <v>Normal</v>
      </c>
      <c r="H6" s="80" t="str">
        <f>Quotation!E48</f>
        <v/>
      </c>
      <c r="I6" s="80">
        <f>Main!L16</f>
        <v>80</v>
      </c>
      <c r="J6" s="125" t="str">
        <f>Main!AG16</f>
        <v>#DIV/0!</v>
      </c>
      <c r="K6" s="125" t="str">
        <f>J6</f>
        <v>#DIV/0!</v>
      </c>
      <c r="L6" s="131" t="str">
        <f>J6</f>
        <v>#DIV/0!</v>
      </c>
      <c r="M6" s="131" t="str">
        <f>J6</f>
        <v>#DIV/0!</v>
      </c>
      <c r="N6" s="131" t="str">
        <f>J6</f>
        <v>#DIV/0!</v>
      </c>
      <c r="O6" s="125" t="str">
        <f>Main!AL16</f>
        <v>#DIV/0!</v>
      </c>
      <c r="P6" s="109" t="str">
        <f>Main!AN16</f>
        <v/>
      </c>
      <c r="Q6" s="125" t="str">
        <f>Main!AO16</f>
        <v/>
      </c>
      <c r="R6" s="125" t="str">
        <f>Main!AP16</f>
        <v/>
      </c>
      <c r="S6" s="125" t="str">
        <f>Main!AQ16</f>
        <v/>
      </c>
      <c r="T6" s="131" t="str">
        <f>Main!AM16</f>
        <v>#DIV/0!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25" t="str">
        <f>Main!BB16</f>
        <v>#DIV/0!</v>
      </c>
      <c r="AF6" s="125" t="str">
        <f>Main!BA16</f>
        <v>#DIV/0!</v>
      </c>
      <c r="AG6" s="125" t="str">
        <f>Main!AR16</f>
        <v/>
      </c>
      <c r="AH6" s="125" t="str">
        <f>Main!AW16</f>
        <v>#DIV/0!</v>
      </c>
      <c r="AI6" s="125" t="str">
        <f>Main!AX16</f>
        <v>#DIV/0!</v>
      </c>
      <c r="AJ6" s="126" t="str">
        <f>Main!AY16</f>
        <v>#DIV/0!</v>
      </c>
      <c r="AK6" s="125" t="str">
        <f>Main!AZ16</f>
        <v>#DIV/0!</v>
      </c>
      <c r="AL6" s="125" t="str">
        <f>Main!BC16</f>
        <v>#DIV/0!</v>
      </c>
      <c r="AM6" s="125" t="str">
        <f>Main!BD16</f>
        <v>#DIV/0!</v>
      </c>
      <c r="AN6" s="76">
        <v>0.0</v>
      </c>
      <c r="AO6" s="47" t="str">
        <f>Main!BI16</f>
        <v>#DIV/0!</v>
      </c>
      <c r="AP6" s="61" t="str">
        <f>Main!BJ16</f>
        <v>#VALUE!</v>
      </c>
      <c r="AQ6" s="61" t="str">
        <f>Main!BK16</f>
        <v>#VALUE!</v>
      </c>
      <c r="AR6" s="47" t="str">
        <f>Main!BL16</f>
        <v>#N/A</v>
      </c>
      <c r="AS6" s="47" t="str">
        <f>Main!BM16</f>
        <v>#DIV/0!</v>
      </c>
      <c r="AT6" s="47" t="str">
        <f>Main!BN16</f>
        <v>#DIV/0!</v>
      </c>
      <c r="AU6" s="47">
        <f>Main!BO16</f>
        <v>0.46875</v>
      </c>
      <c r="AV6" s="47">
        <f>Main!BP16</f>
        <v>0.46875</v>
      </c>
      <c r="AW6" s="47">
        <f>Main!BQ16</f>
        <v>0.46875</v>
      </c>
      <c r="AX6" s="80">
        <v>0.0</v>
      </c>
      <c r="AY6" s="132" t="str">
        <f>Main!BR16</f>
        <v>#VALUE!</v>
      </c>
      <c r="AZ6" s="77" t="str">
        <f>Main!BS16</f>
        <v>#DIV/0!</v>
      </c>
      <c r="BA6" s="77" t="str">
        <f>Main!BT16</f>
        <v>#DIV/0!</v>
      </c>
      <c r="BB6" s="73"/>
      <c r="BC6" s="139" t="str">
        <f>IFERROR(__xludf.DUMMYFUNCTION("UNIQUE(QUERY(Item!M1:N1423,BG4))"),"Commercial")</f>
        <v>Commercial</v>
      </c>
      <c r="BD6" s="73" t="str">
        <f>IFERROR(__xludf.DUMMYFUNCTION("""COMPUTED_VALUE"""),"Art Card")</f>
        <v>Art Card</v>
      </c>
      <c r="BE6" s="139" t="str">
        <f>IFERROR(__xludf.DUMMYFUNCTION("UNIQUE(QUERY(Item!A2:B1423,BE4))"),"Offset")</f>
        <v>Offset</v>
      </c>
      <c r="BF6" s="88" t="str">
        <f>IFERROR(__xludf.DUMMYFUNCTION("""COMPUTED_VALUE"""),"Packaging")</f>
        <v>Packaging</v>
      </c>
      <c r="BG6" s="113" t="str">
        <f>IFERROR(__xludf.DUMMYFUNCTION("UNIQUE(QUERY(Item!A2:L1423,BF4))"),"Offset")</f>
        <v>Offset</v>
      </c>
      <c r="BH6" s="113" t="str">
        <f>IFERROR(__xludf.DUMMYFUNCTION("""COMPUTED_VALUE"""),"Commercial")</f>
        <v>Commercial</v>
      </c>
      <c r="BI6" s="182" t="str">
        <f>IFERROR(__xludf.DUMMYFUNCTION("""COMPUTED_VALUE"""),"Maplitho")</f>
        <v>Maplitho</v>
      </c>
      <c r="BJ6" s="73" t="str">
        <f>IFERROR(__xludf.DUMMYFUNCTION("""COMPUTED_VALUE"""),"Gumming Top Bottom")</f>
        <v>Gumming Top Bottom</v>
      </c>
      <c r="BK6" s="233" t="str">
        <f>IFERROR(__xludf.DUMMYFUNCTION("""COMPUTED_VALUE"""),"Lamination Thermal")</f>
        <v>Lamination Thermal</v>
      </c>
      <c r="BL6" s="80" t="str">
        <f>IFERROR(__xludf.DUMMYFUNCTION("""COMPUTED_VALUE"""),"Single Colour")</f>
        <v>Single Colour</v>
      </c>
      <c r="BM6" s="107">
        <f>IFERROR(__xludf.DUMMYFUNCTION("""COMPUTED_VALUE"""),1.0)</f>
        <v>1</v>
      </c>
      <c r="BN6" s="107">
        <f>IFERROR(__xludf.DUMMYFUNCTION("""COMPUTED_VALUE"""),1926.0)</f>
        <v>1926</v>
      </c>
      <c r="BO6" s="80" t="str">
        <f>IFERROR(__xludf.DUMMYFUNCTION("""COMPUTED_VALUE"""),"New Job")</f>
        <v>New Job</v>
      </c>
      <c r="BP6" s="80" t="str">
        <f>IFERROR(__xludf.DUMMYFUNCTION("""COMPUTED_VALUE"""),"Leafing")</f>
        <v>Leafing</v>
      </c>
      <c r="BQ6" s="80" t="str">
        <f>IFERROR(__xludf.DUMMYFUNCTION("""COMPUTED_VALUE"""),"Yes")</f>
        <v>Yes</v>
      </c>
      <c r="BR6" s="80" t="str">
        <f>IFERROR(__xludf.DUMMYFUNCTION("""COMPUTED_VALUE"""),"Normal")</f>
        <v>Normal</v>
      </c>
      <c r="BS6" s="73" t="s">
        <v>14</v>
      </c>
      <c r="BT6" s="88" t="s">
        <v>179</v>
      </c>
      <c r="BU6" s="73" t="s">
        <v>180</v>
      </c>
      <c r="BV6" s="77">
        <f>Price!$P$3</f>
        <v>80</v>
      </c>
      <c r="BW6" s="73" t="str">
        <f>IFERROR(__xludf.DUMMYFUNCTION("""COMPUTED_VALUE"""),"Art Card")</f>
        <v>Art Card</v>
      </c>
      <c r="BX6" s="80" t="str">
        <f>IFERROR(__xludf.DUMMYFUNCTION("""COMPUTED_VALUE"""),"Normal")</f>
        <v>Normal</v>
      </c>
      <c r="BY6" s="80" t="str">
        <f>IFERROR(__xludf.DUMMYFUNCTION("""COMPUTED_VALUE"""),"100 GSM")</f>
        <v>100 GSM</v>
      </c>
      <c r="BZ6" s="80">
        <f>IFERROR(__xludf.DUMMYFUNCTION("""COMPUTED_VALUE"""),115.0)</f>
        <v>115</v>
      </c>
      <c r="CA6" s="80" t="str">
        <f>IFERROR(__xludf.DUMMYFUNCTION("""COMPUTED_VALUE"""),"Normal")</f>
        <v>Normal</v>
      </c>
      <c r="CB6" s="80" t="str">
        <f>IFERROR(__xludf.DUMMYFUNCTION("""COMPUTED_VALUE"""),"100 GSM")</f>
        <v>100 GSM</v>
      </c>
      <c r="CC6" s="80">
        <f>IFERROR(__xludf.DUMMYFUNCTION("""COMPUTED_VALUE"""),115.0)</f>
        <v>115</v>
      </c>
      <c r="CD6" s="80" t="str">
        <f t="shared" si="8"/>
        <v>100 GSM</v>
      </c>
      <c r="CE6" s="80" t="str">
        <f t="shared" si="9"/>
        <v>100 GSM</v>
      </c>
      <c r="CF6" s="80"/>
      <c r="CG6" s="80"/>
      <c r="CH6" s="80"/>
    </row>
    <row r="7">
      <c r="A7" s="73" t="s">
        <v>181</v>
      </c>
      <c r="B7" s="73" t="str">
        <f>Quotation!A45</f>
        <v>Offset</v>
      </c>
      <c r="C7" s="80"/>
      <c r="D7" s="73"/>
      <c r="E7" s="140"/>
      <c r="F7" s="128" t="str">
        <f>IF(B8="","","and Q = '"&amp;B8&amp;"'")</f>
        <v>and Q = 'Commercial'</v>
      </c>
      <c r="G7" s="80"/>
      <c r="H7" s="73"/>
      <c r="I7" s="73"/>
      <c r="J7" s="73"/>
      <c r="K7" s="73"/>
      <c r="L7" s="73"/>
      <c r="M7" s="73"/>
      <c r="N7" s="73"/>
      <c r="O7" s="73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15"/>
      <c r="AK7" s="80"/>
      <c r="AL7" s="80"/>
      <c r="AM7" s="80"/>
      <c r="AN7" s="80"/>
      <c r="AO7" s="80"/>
      <c r="AP7" s="80"/>
      <c r="AQ7" s="80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 t="str">
        <f>IFERROR(__xludf.DUMMYFUNCTION("""COMPUTED_VALUE"""),"Commercial")</f>
        <v>Commercial</v>
      </c>
      <c r="BD7" s="73" t="str">
        <f>IFERROR(__xludf.DUMMYFUNCTION("""COMPUTED_VALUE"""),"Cashify")</f>
        <v>Cashify</v>
      </c>
      <c r="BE7" s="80" t="str">
        <f>IFERROR(__xludf.DUMMYFUNCTION("""COMPUTED_VALUE"""),"Offset")</f>
        <v>Offset</v>
      </c>
      <c r="BF7" s="88" t="str">
        <f>IFERROR(__xludf.DUMMYFUNCTION("""COMPUTED_VALUE"""),"Commercial")</f>
        <v>Commercial</v>
      </c>
      <c r="BG7" s="113" t="str">
        <f>IFERROR(__xludf.DUMMYFUNCTION("""COMPUTED_VALUE"""),"Offset")</f>
        <v>Offset</v>
      </c>
      <c r="BH7" s="113" t="str">
        <f>IFERROR(__xludf.DUMMYFUNCTION("""COMPUTED_VALUE"""),"Commercial")</f>
        <v>Commercial</v>
      </c>
      <c r="BI7" s="73" t="str">
        <f>IFERROR(__xludf.DUMMYFUNCTION("""COMPUTED_VALUE"""),"Art Card")</f>
        <v>Art Card</v>
      </c>
      <c r="BJ7" s="73" t="str">
        <f>IFERROR(__xludf.DUMMYFUNCTION("""COMPUTED_VALUE"""),"Gumming 4 Sides")</f>
        <v>Gumming 4 Sides</v>
      </c>
      <c r="BK7" s="233" t="str">
        <f>IFERROR(__xludf.DUMMYFUNCTION("""COMPUTED_VALUE"""),"Lamination Normal Gloss")</f>
        <v>Lamination Normal Gloss</v>
      </c>
      <c r="BL7" s="80" t="str">
        <f>IFERROR(__xludf.DUMMYFUNCTION("""COMPUTED_VALUE"""),"Double Colour")</f>
        <v>Double Colour</v>
      </c>
      <c r="BM7" s="107">
        <f>IFERROR(__xludf.DUMMYFUNCTION("""COMPUTED_VALUE"""),2.0)</f>
        <v>2</v>
      </c>
      <c r="BN7" s="107">
        <f>IFERROR(__xludf.DUMMYFUNCTION("""COMPUTED_VALUE"""),2029.0)</f>
        <v>2029</v>
      </c>
      <c r="BO7" s="80" t="str">
        <f>IFERROR(__xludf.DUMMYFUNCTION("""COMPUTED_VALUE"""),"Repeat Job")</f>
        <v>Repeat Job</v>
      </c>
      <c r="BP7" s="80" t="str">
        <f>IFERROR(__xludf.DUMMYFUNCTION("""COMPUTED_VALUE"""),"Leafing")</f>
        <v>Leafing</v>
      </c>
      <c r="BQ7" s="80" t="str">
        <f>IFERROR(__xludf.DUMMYFUNCTION("""COMPUTED_VALUE"""),"N/A")</f>
        <v>N/A</v>
      </c>
      <c r="BR7" s="80" t="str">
        <f>IFERROR(__xludf.DUMMYFUNCTION("""COMPUTED_VALUE"""),"Work and Tumble")</f>
        <v>Work and Tumble</v>
      </c>
      <c r="BS7" s="73" t="s">
        <v>14</v>
      </c>
      <c r="BT7" s="88" t="s">
        <v>68</v>
      </c>
      <c r="BU7" s="88" t="s">
        <v>182</v>
      </c>
      <c r="BV7" s="77">
        <f>Price!$P$4</f>
        <v>82</v>
      </c>
      <c r="BW7" s="73" t="str">
        <f>IFERROR(__xludf.DUMMYFUNCTION("""COMPUTED_VALUE"""),"Art Card")</f>
        <v>Art Card</v>
      </c>
      <c r="BX7" s="80" t="str">
        <f>IFERROR(__xludf.DUMMYFUNCTION("""COMPUTED_VALUE"""),"Normal")</f>
        <v>Normal</v>
      </c>
      <c r="BY7" s="80" t="str">
        <f>IFERROR(__xludf.DUMMYFUNCTION("""COMPUTED_VALUE"""),"110 GSM")</f>
        <v>110 GSM</v>
      </c>
      <c r="BZ7" s="80">
        <f>IFERROR(__xludf.DUMMYFUNCTION("""COMPUTED_VALUE"""),115.0)</f>
        <v>115</v>
      </c>
      <c r="CA7" s="80" t="str">
        <f>IFERROR(__xludf.DUMMYFUNCTION("""COMPUTED_VALUE"""),"Normal")</f>
        <v>Normal</v>
      </c>
      <c r="CB7" s="80" t="str">
        <f>IFERROR(__xludf.DUMMYFUNCTION("""COMPUTED_VALUE"""),"110 GSM")</f>
        <v>110 GSM</v>
      </c>
      <c r="CC7" s="80">
        <f>IFERROR(__xludf.DUMMYFUNCTION("""COMPUTED_VALUE"""),115.0)</f>
        <v>115</v>
      </c>
      <c r="CD7" s="80" t="str">
        <f t="shared" si="8"/>
        <v>110 GSM</v>
      </c>
      <c r="CE7" s="80" t="str">
        <f t="shared" si="9"/>
        <v>110 GSM</v>
      </c>
      <c r="CF7" s="80"/>
      <c r="CG7" s="80"/>
      <c r="CH7" s="80"/>
    </row>
    <row r="8">
      <c r="A8" s="73" t="s">
        <v>183</v>
      </c>
      <c r="B8" s="73" t="str">
        <f>Quotation!B45</f>
        <v>Commercial</v>
      </c>
      <c r="C8" s="80"/>
      <c r="D8" s="73"/>
      <c r="E8" s="140"/>
      <c r="F8" s="128" t="str">
        <f>IF(B7="","","and P = '"&amp;B7&amp;"'")</f>
        <v>and P = 'Offset'</v>
      </c>
      <c r="G8" s="80"/>
      <c r="H8" s="73"/>
      <c r="I8" s="73"/>
      <c r="J8" s="73"/>
      <c r="K8" s="73"/>
      <c r="L8" s="73"/>
      <c r="M8" s="73"/>
      <c r="N8" s="73"/>
      <c r="O8" s="73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15"/>
      <c r="AK8" s="80"/>
      <c r="AL8" s="80"/>
      <c r="AM8" s="80"/>
      <c r="AN8" s="80"/>
      <c r="AO8" s="80"/>
      <c r="AP8" s="80"/>
      <c r="AQ8" s="80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 t="str">
        <f>IFERROR(__xludf.DUMMYFUNCTION("""COMPUTED_VALUE"""),"Commercial")</f>
        <v>Commercial</v>
      </c>
      <c r="BD8" s="73" t="str">
        <f>IFERROR(__xludf.DUMMYFUNCTION("""COMPUTED_VALUE"""),"Covid Kit")</f>
        <v>Covid Kit</v>
      </c>
      <c r="BE8" s="80" t="str">
        <f>IFERROR(__xludf.DUMMYFUNCTION("""COMPUTED_VALUE"""),"Offset")</f>
        <v>Offset</v>
      </c>
      <c r="BF8" s="80" t="str">
        <f>IFERROR(__xludf.DUMMYFUNCTION("""COMPUTED_VALUE"""),"Booklet")</f>
        <v>Booklet</v>
      </c>
      <c r="BG8" s="113" t="str">
        <f>IFERROR(__xludf.DUMMYFUNCTION("""COMPUTED_VALUE"""),"Offset")</f>
        <v>Offset</v>
      </c>
      <c r="BH8" s="113" t="str">
        <f>IFERROR(__xludf.DUMMYFUNCTION("""COMPUTED_VALUE"""),"Commercial")</f>
        <v>Commercial</v>
      </c>
      <c r="BI8" s="118" t="str">
        <f>IFERROR(__xludf.DUMMYFUNCTION("""COMPUTED_VALUE"""),"Custom Paper")</f>
        <v>Custom Paper</v>
      </c>
      <c r="BJ8" s="73" t="str">
        <f>IFERROR(__xludf.DUMMYFUNCTION("""COMPUTED_VALUE"""),"Custom Gumming")</f>
        <v>Custom Gumming</v>
      </c>
      <c r="BK8" s="233" t="str">
        <f>IFERROR(__xludf.DUMMYFUNCTION("""COMPUTED_VALUE"""),"Lamination Normal Matt")</f>
        <v>Lamination Normal Matt</v>
      </c>
      <c r="BL8" s="80" t="str">
        <f>IFERROR(__xludf.DUMMYFUNCTION("""COMPUTED_VALUE"""),"Four Colour")</f>
        <v>Four Colour</v>
      </c>
      <c r="BM8" s="107">
        <f>IFERROR(__xludf.DUMMYFUNCTION("""COMPUTED_VALUE"""),4.0)</f>
        <v>4</v>
      </c>
      <c r="BN8" s="107">
        <f>IFERROR(__xludf.DUMMYFUNCTION("""COMPUTED_VALUE"""),2840.0)</f>
        <v>2840</v>
      </c>
      <c r="BO8" s="80" t="str">
        <f>IFERROR(__xludf.DUMMYFUNCTION("""COMPUTED_VALUE"""),"New Job")</f>
        <v>New Job</v>
      </c>
      <c r="BP8" s="80" t="str">
        <f>IFERROR(__xludf.DUMMYFUNCTION("""COMPUTED_VALUE"""),"Leafing")</f>
        <v>Leafing</v>
      </c>
      <c r="BQ8" s="80" t="str">
        <f>IFERROR(__xludf.DUMMYFUNCTION("""COMPUTED_VALUE"""),"Yes")</f>
        <v>Yes</v>
      </c>
      <c r="BR8" s="80" t="str">
        <f>IFERROR(__xludf.DUMMYFUNCTION("""COMPUTED_VALUE"""),"Normal")</f>
        <v>Normal</v>
      </c>
      <c r="BS8" s="73" t="s">
        <v>14</v>
      </c>
      <c r="BT8" s="88" t="s">
        <v>184</v>
      </c>
      <c r="BU8" s="73" t="s">
        <v>185</v>
      </c>
      <c r="BV8" s="77" t="str">
        <f>Quotation!$C$45</f>
        <v/>
      </c>
      <c r="BW8" s="73" t="str">
        <f>IFERROR(__xludf.DUMMYFUNCTION("""COMPUTED_VALUE"""),"Art Card")</f>
        <v>Art Card</v>
      </c>
      <c r="BX8" s="80" t="str">
        <f>IFERROR(__xludf.DUMMYFUNCTION("""COMPUTED_VALUE"""),"Normal")</f>
        <v>Normal</v>
      </c>
      <c r="BY8" s="80" t="str">
        <f>IFERROR(__xludf.DUMMYFUNCTION("""COMPUTED_VALUE"""),"130 GSM")</f>
        <v>130 GSM</v>
      </c>
      <c r="BZ8" s="80">
        <f>IFERROR(__xludf.DUMMYFUNCTION("""COMPUTED_VALUE"""),115.0)</f>
        <v>115</v>
      </c>
      <c r="CA8" s="80" t="str">
        <f>IFERROR(__xludf.DUMMYFUNCTION("""COMPUTED_VALUE"""),"Normal")</f>
        <v>Normal</v>
      </c>
      <c r="CB8" s="80" t="str">
        <f>IFERROR(__xludf.DUMMYFUNCTION("""COMPUTED_VALUE"""),"130 GSM")</f>
        <v>130 GSM</v>
      </c>
      <c r="CC8" s="80">
        <f>IFERROR(__xludf.DUMMYFUNCTION("""COMPUTED_VALUE"""),115.0)</f>
        <v>115</v>
      </c>
      <c r="CD8" s="80" t="str">
        <f t="shared" si="8"/>
        <v>130 GSM</v>
      </c>
      <c r="CE8" s="80" t="str">
        <f t="shared" si="9"/>
        <v>130 GSM</v>
      </c>
      <c r="CF8" s="80"/>
      <c r="CG8" s="80"/>
      <c r="CH8" s="80"/>
    </row>
    <row r="9">
      <c r="A9" s="141" t="s">
        <v>186</v>
      </c>
      <c r="B9" s="73" t="str">
        <f>Quotation!A46</f>
        <v>Flyer</v>
      </c>
      <c r="C9" s="73"/>
      <c r="D9" s="139" t="str">
        <f>IF(B12="All","","and B = '"&amp;B12&amp;"'")</f>
        <v>and B = ''</v>
      </c>
      <c r="E9" s="140"/>
      <c r="F9" s="73" t="str">
        <f>IF(B9="All","","and B = '"&amp;B9&amp;"'")</f>
        <v>and B = 'Flyer'</v>
      </c>
      <c r="G9" s="80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 t="str">
        <f>IFERROR(__xludf.DUMMYFUNCTION("""COMPUTED_VALUE"""),"Commercial")</f>
        <v>Commercial</v>
      </c>
      <c r="BD9" s="73" t="str">
        <f>IFERROR(__xludf.DUMMYFUNCTION("""COMPUTED_VALUE"""),"Daily Essential")</f>
        <v>Daily Essential</v>
      </c>
      <c r="BE9" s="80"/>
      <c r="BF9" s="80"/>
      <c r="BG9" s="113" t="str">
        <f>IFERROR(__xludf.DUMMYFUNCTION("""COMPUTED_VALUE"""),"Offset")</f>
        <v>Offset</v>
      </c>
      <c r="BH9" s="113" t="str">
        <f>IFERROR(__xludf.DUMMYFUNCTION("""COMPUTED_VALUE"""),"Commercial")</f>
        <v>Commercial</v>
      </c>
      <c r="BI9" s="118" t="str">
        <f>IFERROR(__xludf.DUMMYFUNCTION("""COMPUTED_VALUE"""),"Other Type")</f>
        <v>Other Type</v>
      </c>
      <c r="BJ9" s="73" t="str">
        <f>IFERROR(__xludf.DUMMYFUNCTION("""COMPUTED_VALUE"""),"Dangler Making")</f>
        <v>Dangler Making</v>
      </c>
      <c r="BK9" s="233" t="str">
        <f>IFERROR(__xludf.DUMMYFUNCTION("""COMPUTED_VALUE"""),"Varnish")</f>
        <v>Varnish</v>
      </c>
      <c r="BL9" s="80" t="str">
        <f>IFERROR(__xludf.DUMMYFUNCTION("""COMPUTED_VALUE"""),"Four + One Colour")</f>
        <v>Four + One Colour</v>
      </c>
      <c r="BM9" s="107">
        <f>IFERROR(__xludf.DUMMYFUNCTION("""COMPUTED_VALUE"""),6.75)</f>
        <v>6.75</v>
      </c>
      <c r="BN9" s="107">
        <f>IFERROR(__xludf.DUMMYFUNCTION("""COMPUTED_VALUE"""),1926.0)</f>
        <v>1926</v>
      </c>
      <c r="BO9" s="80" t="str">
        <f>IFERROR(__xludf.DUMMYFUNCTION("""COMPUTED_VALUE"""),"Repeat Job")</f>
        <v>Repeat Job</v>
      </c>
      <c r="BP9" s="80" t="str">
        <f>IFERROR(__xludf.DUMMYFUNCTION("""COMPUTED_VALUE"""),"Leafing")</f>
        <v>Leafing</v>
      </c>
      <c r="BQ9" s="80" t="str">
        <f>IFERROR(__xludf.DUMMYFUNCTION("""COMPUTED_VALUE"""),"N/A")</f>
        <v>N/A</v>
      </c>
      <c r="BR9" s="80" t="str">
        <f>IFERROR(__xludf.DUMMYFUNCTION("""COMPUTED_VALUE"""),"Normal")</f>
        <v>Normal</v>
      </c>
      <c r="BS9" s="73" t="s">
        <v>14</v>
      </c>
      <c r="BT9" s="88" t="s">
        <v>184</v>
      </c>
      <c r="BU9" s="73" t="s">
        <v>187</v>
      </c>
      <c r="BV9" s="77" t="str">
        <f>$BV$8</f>
        <v/>
      </c>
      <c r="BW9" s="73" t="str">
        <f>IFERROR(__xludf.DUMMYFUNCTION("""COMPUTED_VALUE"""),"Art Card")</f>
        <v>Art Card</v>
      </c>
      <c r="BX9" s="80" t="str">
        <f>IFERROR(__xludf.DUMMYFUNCTION("""COMPUTED_VALUE"""),"Normal")</f>
        <v>Normal</v>
      </c>
      <c r="BY9" s="80" t="str">
        <f>IFERROR(__xludf.DUMMYFUNCTION("""COMPUTED_VALUE"""),"150 GSM")</f>
        <v>150 GSM</v>
      </c>
      <c r="BZ9" s="80">
        <f>IFERROR(__xludf.DUMMYFUNCTION("""COMPUTED_VALUE"""),115.0)</f>
        <v>115</v>
      </c>
      <c r="CA9" s="80" t="str">
        <f>IFERROR(__xludf.DUMMYFUNCTION("""COMPUTED_VALUE"""),"Normal")</f>
        <v>Normal</v>
      </c>
      <c r="CB9" s="80" t="str">
        <f>IFERROR(__xludf.DUMMYFUNCTION("""COMPUTED_VALUE"""),"150 GSM")</f>
        <v>150 GSM</v>
      </c>
      <c r="CC9" s="80">
        <f>IFERROR(__xludf.DUMMYFUNCTION("""COMPUTED_VALUE"""),115.0)</f>
        <v>115</v>
      </c>
      <c r="CD9" s="80" t="str">
        <f t="shared" si="8"/>
        <v>150 GSM</v>
      </c>
      <c r="CE9" s="80" t="str">
        <f t="shared" si="9"/>
        <v>150 GSM</v>
      </c>
      <c r="CF9" s="80"/>
      <c r="CG9" s="80"/>
      <c r="CH9" s="80"/>
    </row>
    <row r="10">
      <c r="A10" s="141"/>
      <c r="B10" s="73" t="str">
        <f>Quotation!A47</f>
        <v>A5</v>
      </c>
      <c r="C10" s="73"/>
      <c r="D10" s="128" t="str">
        <f>IF(B10="","","and T = '"&amp;B10&amp;"'")</f>
        <v>and T = 'A5'</v>
      </c>
      <c r="E10" s="73"/>
      <c r="F10" s="128" t="str">
        <f>IF(B10="","","and C = '"&amp;B10&amp;"'")</f>
        <v>and C = 'A5'</v>
      </c>
      <c r="G10" s="73"/>
      <c r="H10" s="73"/>
      <c r="I10" s="128" t="str">
        <f>CONCATENATE("select * where 1=1",F9,F10,F11)</f>
        <v>select * where 1=1and B = 'Flyer'and C = 'A5'and D = '148 × 210 millimeters or 5.8 × 8.3 inches'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 t="str">
        <f>IFERROR(__xludf.DUMMYFUNCTION("""COMPUTED_VALUE"""),"Commercial")</f>
        <v>Commercial</v>
      </c>
      <c r="BD10" s="73" t="str">
        <f>IFERROR(__xludf.DUMMYFUNCTION("""COMPUTED_VALUE"""),"Dangler")</f>
        <v>Dangler</v>
      </c>
      <c r="BE10" s="80"/>
      <c r="BF10" s="80"/>
      <c r="BG10" s="113" t="str">
        <f>IFERROR(__xludf.DUMMYFUNCTION("""COMPUTED_VALUE"""),"Offset")</f>
        <v>Offset</v>
      </c>
      <c r="BH10" s="113" t="str">
        <f>IFERROR(__xludf.DUMMYFUNCTION("""COMPUTED_VALUE"""),"Commercial")</f>
        <v>Commercial</v>
      </c>
      <c r="BI10" s="118" t="str">
        <f>IFERROR(__xludf.DUMMYFUNCTION("""COMPUTED_VALUE"""),"Other Type")</f>
        <v>Other Type</v>
      </c>
      <c r="BJ10" s="73" t="str">
        <f>IFERROR(__xludf.DUMMYFUNCTION("""COMPUTED_VALUE"""),"Dangler With Rivet")</f>
        <v>Dangler With Rivet</v>
      </c>
      <c r="BK10" s="233" t="str">
        <f>IFERROR(__xludf.DUMMYFUNCTION("""COMPUTED_VALUE"""),"UV Hybrid")</f>
        <v>UV Hybrid</v>
      </c>
      <c r="BL10" s="80" t="str">
        <f>IFERROR(__xludf.DUMMYFUNCTION("""COMPUTED_VALUE"""),"Four + Two Colour")</f>
        <v>Four + Two Colour</v>
      </c>
      <c r="BM10" s="107">
        <f>IFERROR(__xludf.DUMMYFUNCTION("""COMPUTED_VALUE"""),7.75)</f>
        <v>7.75</v>
      </c>
      <c r="BN10" s="107">
        <f>IFERROR(__xludf.DUMMYFUNCTION("""COMPUTED_VALUE"""),1926.0)</f>
        <v>1926</v>
      </c>
      <c r="BO10" s="80" t="str">
        <f>IFERROR(__xludf.DUMMYFUNCTION("""COMPUTED_VALUE"""),"New Job")</f>
        <v>New Job</v>
      </c>
      <c r="BP10" s="80" t="str">
        <f>IFERROR(__xludf.DUMMYFUNCTION("""COMPUTED_VALUE"""),"Leafing")</f>
        <v>Leafing</v>
      </c>
      <c r="BQ10" s="80" t="str">
        <f>IFERROR(__xludf.DUMMYFUNCTION("""COMPUTED_VALUE"""),"Yes")</f>
        <v>Yes</v>
      </c>
      <c r="BR10" s="80" t="str">
        <f>IFERROR(__xludf.DUMMYFUNCTION("""COMPUTED_VALUE"""),"Normal")</f>
        <v>Normal</v>
      </c>
      <c r="BS10" s="73" t="s">
        <v>27</v>
      </c>
      <c r="BT10" s="88" t="s">
        <v>189</v>
      </c>
      <c r="BU10" s="73" t="s">
        <v>178</v>
      </c>
      <c r="BV10" s="77">
        <f>Price!$Q$2</f>
        <v>78</v>
      </c>
      <c r="BW10" s="73" t="str">
        <f>IFERROR(__xludf.DUMMYFUNCTION("""COMPUTED_VALUE"""),"Art Card")</f>
        <v>Art Card</v>
      </c>
      <c r="BX10" s="80" t="str">
        <f>IFERROR(__xludf.DUMMYFUNCTION("""COMPUTED_VALUE"""),"Normal")</f>
        <v>Normal</v>
      </c>
      <c r="BY10" s="80" t="str">
        <f>IFERROR(__xludf.DUMMYFUNCTION("""COMPUTED_VALUE"""),"170 GSM")</f>
        <v>170 GSM</v>
      </c>
      <c r="BZ10" s="80">
        <f>IFERROR(__xludf.DUMMYFUNCTION("""COMPUTED_VALUE"""),115.0)</f>
        <v>115</v>
      </c>
      <c r="CA10" s="80" t="str">
        <f>IFERROR(__xludf.DUMMYFUNCTION("""COMPUTED_VALUE"""),"Normal")</f>
        <v>Normal</v>
      </c>
      <c r="CB10" s="80" t="str">
        <f>IFERROR(__xludf.DUMMYFUNCTION("""COMPUTED_VALUE"""),"170 GSM")</f>
        <v>170 GSM</v>
      </c>
      <c r="CC10" s="80">
        <f>IFERROR(__xludf.DUMMYFUNCTION("""COMPUTED_VALUE"""),115.0)</f>
        <v>115</v>
      </c>
      <c r="CD10" s="80" t="str">
        <f t="shared" si="8"/>
        <v>170 GSM</v>
      </c>
      <c r="CE10" s="80" t="str">
        <f t="shared" si="9"/>
        <v>170 GSM</v>
      </c>
      <c r="CF10" s="80"/>
      <c r="CG10" s="80"/>
      <c r="CH10" s="80"/>
    </row>
    <row r="11">
      <c r="A11" s="141" t="s">
        <v>190</v>
      </c>
      <c r="B11" s="73" t="str">
        <f>Quotation!B46</f>
        <v>148 × 210 millimeters or 5.8 × 8.3 inches</v>
      </c>
      <c r="C11" s="73"/>
      <c r="D11" s="143" t="str">
        <f>IF(B11="","","and AM = '"&amp;B11&amp;"'")</f>
        <v>and AM = '148 × 210 millimeters or 5.8 × 8.3 inches'</v>
      </c>
      <c r="E11" s="140"/>
      <c r="F11" s="143" t="str">
        <f>IF(B11="","","and D = '"&amp;B11&amp;"'")</f>
        <v>and D = '148 × 210 millimeters or 5.8 × 8.3 inches'</v>
      </c>
      <c r="G11" s="80"/>
      <c r="H11" s="73"/>
      <c r="I11" s="128" t="str">
        <f>CONCATENATE("select * where 1=1",F10)</f>
        <v>select * where 1=1and C = 'A5'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 t="str">
        <f>IFERROR(__xludf.DUMMYFUNCTION("""COMPUTED_VALUE"""),"Commercial")</f>
        <v>Commercial</v>
      </c>
      <c r="BD11" s="73" t="str">
        <f>IFERROR(__xludf.DUMMYFUNCTION("""COMPUTED_VALUE"""),"Envelop")</f>
        <v>Envelop</v>
      </c>
      <c r="BE11" s="80"/>
      <c r="BF11" s="88"/>
      <c r="BG11" s="113" t="str">
        <f>IFERROR(__xludf.DUMMYFUNCTION("""COMPUTED_VALUE"""),"Offset")</f>
        <v>Offset</v>
      </c>
      <c r="BH11" s="113" t="str">
        <f>IFERROR(__xludf.DUMMYFUNCTION("""COMPUTED_VALUE"""),"Commercial")</f>
        <v>Commercial</v>
      </c>
      <c r="BI11" s="88" t="str">
        <f>IFERROR(__xludf.DUMMYFUNCTION("""COMPUTED_VALUE"""),"Other Type")</f>
        <v>Other Type</v>
      </c>
      <c r="BJ11" s="73" t="str">
        <f>IFERROR(__xludf.DUMMYFUNCTION("""COMPUTED_VALUE"""),"Dangler With Rivet and Elastic")</f>
        <v>Dangler With Rivet and Elastic</v>
      </c>
      <c r="BK11" s="233" t="str">
        <f>IFERROR(__xludf.DUMMYFUNCTION("""COMPUTED_VALUE"""),"UV Flat")</f>
        <v>UV Flat</v>
      </c>
      <c r="BL11" s="80" t="str">
        <f>IFERROR(__xludf.DUMMYFUNCTION("""COMPUTED_VALUE"""),"Four + Four Colour")</f>
        <v>Four + Four Colour</v>
      </c>
      <c r="BM11" s="107">
        <f>IFERROR(__xludf.DUMMYFUNCTION("""COMPUTED_VALUE"""),9.75)</f>
        <v>9.75</v>
      </c>
      <c r="BN11" s="107">
        <f>IFERROR(__xludf.DUMMYFUNCTION("""COMPUTED_VALUE"""),1926.0)</f>
        <v>1926</v>
      </c>
      <c r="BO11" s="80" t="str">
        <f>IFERROR(__xludf.DUMMYFUNCTION("""COMPUTED_VALUE"""),"Repeat Job")</f>
        <v>Repeat Job</v>
      </c>
      <c r="BP11" s="80" t="str">
        <f>IFERROR(__xludf.DUMMYFUNCTION("""COMPUTED_VALUE"""),"Leafing")</f>
        <v>Leafing</v>
      </c>
      <c r="BQ11" s="80" t="str">
        <f>IFERROR(__xludf.DUMMYFUNCTION("""COMPUTED_VALUE"""),"N/A")</f>
        <v>N/A</v>
      </c>
      <c r="BR11" s="80" t="str">
        <f>IFERROR(__xludf.DUMMYFUNCTION("""COMPUTED_VALUE"""),"Normal")</f>
        <v>Normal</v>
      </c>
      <c r="BS11" s="73" t="s">
        <v>27</v>
      </c>
      <c r="BT11" s="113" t="s">
        <v>191</v>
      </c>
      <c r="BU11" s="73" t="s">
        <v>180</v>
      </c>
      <c r="BV11" s="77">
        <f>Price!$Q$3</f>
        <v>55</v>
      </c>
      <c r="BW11" s="73" t="str">
        <f>IFERROR(__xludf.DUMMYFUNCTION("""COMPUTED_VALUE"""),"Art Card")</f>
        <v>Art Card</v>
      </c>
      <c r="BX11" s="80" t="str">
        <f>IFERROR(__xludf.DUMMYFUNCTION("""COMPUTED_VALUE"""),"Normal")</f>
        <v>Normal</v>
      </c>
      <c r="BY11" s="80" t="str">
        <f>IFERROR(__xludf.DUMMYFUNCTION("""COMPUTED_VALUE"""),"220 GSM")</f>
        <v>220 GSM</v>
      </c>
      <c r="BZ11" s="80">
        <f>IFERROR(__xludf.DUMMYFUNCTION("""COMPUTED_VALUE"""),115.0)</f>
        <v>115</v>
      </c>
      <c r="CA11" s="80" t="str">
        <f>IFERROR(__xludf.DUMMYFUNCTION("""COMPUTED_VALUE"""),"Normal")</f>
        <v>Normal</v>
      </c>
      <c r="CB11" s="80" t="str">
        <f>IFERROR(__xludf.DUMMYFUNCTION("""COMPUTED_VALUE"""),"220 GSM")</f>
        <v>220 GSM</v>
      </c>
      <c r="CC11" s="80">
        <f>IFERROR(__xludf.DUMMYFUNCTION("""COMPUTED_VALUE"""),115.0)</f>
        <v>115</v>
      </c>
      <c r="CD11" s="80" t="str">
        <f t="shared" si="8"/>
        <v>220 GSM</v>
      </c>
      <c r="CE11" s="80" t="str">
        <f t="shared" si="9"/>
        <v>220 GSM</v>
      </c>
      <c r="CF11" s="80"/>
      <c r="CG11" s="80"/>
      <c r="CH11" s="80"/>
    </row>
    <row r="12">
      <c r="A12" s="73"/>
      <c r="B12" s="73"/>
      <c r="C12" s="73"/>
      <c r="D12" s="143" t="str">
        <f>CONCATENATE("select * where 1=1",D11)</f>
        <v>select * where 1=1and AM = '148 × 210 millimeters or 5.8 × 8.3 inches'</v>
      </c>
      <c r="E12" s="140"/>
      <c r="F12" s="143" t="str">
        <f>CONCATENATE("select * where 1=1",F9,F8,F7)</f>
        <v>select * where 1=1and B = 'Flyer'and P = 'Offset'and Q = 'Commercial'</v>
      </c>
      <c r="G12" s="80"/>
      <c r="H12" s="73"/>
      <c r="I12" s="128" t="str">
        <f>CONCATENATE("select * where 1=1",F11,F10)</f>
        <v>select * where 1=1and D = '148 × 210 millimeters or 5.8 × 8.3 inches'and C = 'A5'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 t="str">
        <f>IFERROR(__xludf.DUMMYFUNCTION("""COMPUTED_VALUE"""),"Commercial")</f>
        <v>Commercial</v>
      </c>
      <c r="BD12" s="73" t="str">
        <f>IFERROR(__xludf.DUMMYFUNCTION("""COMPUTED_VALUE"""),"Flyer")</f>
        <v>Flyer</v>
      </c>
      <c r="BE12" s="80"/>
      <c r="BF12" s="54"/>
      <c r="BG12" s="113" t="str">
        <f>IFERROR(__xludf.DUMMYFUNCTION("""COMPUTED_VALUE"""),"Offset")</f>
        <v>Offset</v>
      </c>
      <c r="BH12" s="73" t="str">
        <f>IFERROR(__xludf.DUMMYFUNCTION("""COMPUTED_VALUE"""),"Commercial")</f>
        <v>Commercial</v>
      </c>
      <c r="BI12" s="54" t="str">
        <f>IFERROR(__xludf.DUMMYFUNCTION("""COMPUTED_VALUE"""),"Other Type")</f>
        <v>Other Type</v>
      </c>
      <c r="BJ12" s="73" t="str">
        <f>IFERROR(__xludf.DUMMYFUNCTION("""COMPUTED_VALUE"""),"Half Cut Front")</f>
        <v>Half Cut Front</v>
      </c>
      <c r="BK12" s="233" t="str">
        <f>IFERROR(__xludf.DUMMYFUNCTION("""COMPUTED_VALUE"""),"Spot UV")</f>
        <v>Spot UV</v>
      </c>
      <c r="BL12" s="80" t="str">
        <f>IFERROR(__xludf.DUMMYFUNCTION("""COMPUTED_VALUE"""),"Without Print")</f>
        <v>Without Print</v>
      </c>
      <c r="BM12" s="107">
        <f>IFERROR(__xludf.DUMMYFUNCTION("""COMPUTED_VALUE"""),0.0)</f>
        <v>0</v>
      </c>
      <c r="BN12" s="107">
        <f>IFERROR(__xludf.DUMMYFUNCTION("""COMPUTED_VALUE"""),1926.0)</f>
        <v>1926</v>
      </c>
      <c r="BO12" s="80" t="str">
        <f>IFERROR(__xludf.DUMMYFUNCTION("""COMPUTED_VALUE"""),"New Job")</f>
        <v>New Job</v>
      </c>
      <c r="BP12" s="80" t="str">
        <f>IFERROR(__xludf.DUMMYFUNCTION("""COMPUTED_VALUE"""),"Leafing")</f>
        <v>Leafing</v>
      </c>
      <c r="BQ12" s="80" t="str">
        <f>IFERROR(__xludf.DUMMYFUNCTION("""COMPUTED_VALUE"""),"Yes")</f>
        <v>Yes</v>
      </c>
      <c r="BR12" s="80" t="str">
        <f>IFERROR(__xludf.DUMMYFUNCTION("""COMPUTED_VALUE"""),"Normal")</f>
        <v>Normal</v>
      </c>
      <c r="BS12" s="73" t="s">
        <v>27</v>
      </c>
      <c r="BT12" s="113" t="s">
        <v>68</v>
      </c>
      <c r="BU12" s="73" t="s">
        <v>182</v>
      </c>
      <c r="BV12" s="77">
        <f>Price!$Q$4</f>
        <v>52</v>
      </c>
      <c r="BW12" s="73" t="str">
        <f>IFERROR(__xludf.DUMMYFUNCTION("""COMPUTED_VALUE"""),"Art Card")</f>
        <v>Art Card</v>
      </c>
      <c r="BX12" s="80" t="str">
        <f>IFERROR(__xludf.DUMMYFUNCTION("""COMPUTED_VALUE"""),"Normal")</f>
        <v>Normal</v>
      </c>
      <c r="BY12" s="80" t="str">
        <f>IFERROR(__xludf.DUMMYFUNCTION("""COMPUTED_VALUE"""),"250 GSM")</f>
        <v>250 GSM</v>
      </c>
      <c r="BZ12" s="80">
        <f>IFERROR(__xludf.DUMMYFUNCTION("""COMPUTED_VALUE"""),115.0)</f>
        <v>115</v>
      </c>
      <c r="CA12" s="80" t="str">
        <f>IFERROR(__xludf.DUMMYFUNCTION("""COMPUTED_VALUE"""),"Normal")</f>
        <v>Normal</v>
      </c>
      <c r="CB12" s="80" t="str">
        <f>IFERROR(__xludf.DUMMYFUNCTION("""COMPUTED_VALUE"""),"250 GSM")</f>
        <v>250 GSM</v>
      </c>
      <c r="CC12" s="80">
        <f>IFERROR(__xludf.DUMMYFUNCTION("""COMPUTED_VALUE"""),115.0)</f>
        <v>115</v>
      </c>
      <c r="CD12" s="80" t="str">
        <f t="shared" si="8"/>
        <v>250 GSM</v>
      </c>
      <c r="CE12" s="80" t="str">
        <f t="shared" si="9"/>
        <v>250 GSM</v>
      </c>
      <c r="CF12" s="80"/>
      <c r="CG12" s="80"/>
      <c r="CH12" s="80"/>
    </row>
    <row r="13">
      <c r="A13" s="157" t="str">
        <f>IFERROR(__xludf.DUMMYFUNCTION("QUERY(AJ15:AY1423,$D$12,0)"),"https://drive.google.com/open?id=1AT8COyVu1i54kTQbeZJnxYi8bjYPzfhK&amp;authuser=jay.agg%40gmail.com&amp;usp=drive_fs")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3" s="73" t="str">
        <f>IFERROR(__xludf.DUMMYFUNCTION("""COMPUTED_VALUE"""),"Flyer")</f>
        <v>Flyer</v>
      </c>
      <c r="C13" s="73" t="str">
        <f>IFERROR(__xludf.DUMMYFUNCTION("""COMPUTED_VALUE"""),"A5")</f>
        <v>A5</v>
      </c>
      <c r="D13" s="73" t="str">
        <f>IFERROR(__xludf.DUMMYFUNCTION("""COMPUTED_VALUE"""),"148 × 210 millimeters or 5.8 × 8.3 inches")</f>
        <v>148 × 210 millimeters or 5.8 × 8.3 inches</v>
      </c>
      <c r="E13" s="140">
        <f>IFERROR(__xludf.DUMMYFUNCTION("""COMPUTED_VALUE"""),8.0)</f>
        <v>8</v>
      </c>
      <c r="F13" s="80">
        <f>IFERROR(__xludf.DUMMYFUNCTION("""COMPUTED_VALUE"""),1926.0)</f>
        <v>1926</v>
      </c>
      <c r="G13" s="80">
        <f>IFERROR(__xludf.DUMMYFUNCTION("""COMPUTED_VALUE"""),18.0)</f>
        <v>18</v>
      </c>
      <c r="H13" s="77">
        <f>IFERROR(__xludf.DUMMYFUNCTION("""COMPUTED_VALUE"""),25.0)</f>
        <v>25</v>
      </c>
      <c r="I13" s="77">
        <f>IFERROR(__xludf.DUMMYFUNCTION("""COMPUTED_VALUE"""),100.0)</f>
        <v>100</v>
      </c>
      <c r="J13" s="73"/>
      <c r="K13" s="73"/>
      <c r="L13" s="73"/>
      <c r="M13" s="77">
        <f>IFERROR(__xludf.DUMMYFUNCTION("""COMPUTED_VALUE"""),0.03)</f>
        <v>0.03</v>
      </c>
      <c r="N13" s="77">
        <f>IFERROR(__xludf.DUMMYFUNCTION("""COMPUTED_VALUE"""),1.0)</f>
        <v>1</v>
      </c>
      <c r="O13" s="73">
        <f>IFERROR(__xludf.DUMMYFUNCTION("""COMPUTED_VALUE"""),4.5)</f>
        <v>4.5</v>
      </c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 t="str">
        <f>IFERROR(__xludf.DUMMYFUNCTION("""COMPUTED_VALUE"""),"Commercial")</f>
        <v>Commercial</v>
      </c>
      <c r="BD13" s="73" t="str">
        <f>IFERROR(__xludf.DUMMYFUNCTION("""COMPUTED_VALUE"""),"Gumming Sticker")</f>
        <v>Gumming Sticker</v>
      </c>
      <c r="BE13" s="80"/>
      <c r="BF13" s="54"/>
      <c r="BG13" s="113" t="str">
        <f>IFERROR(__xludf.DUMMYFUNCTION("""COMPUTED_VALUE"""),"Offset")</f>
        <v>Offset</v>
      </c>
      <c r="BH13" s="73" t="str">
        <f>IFERROR(__xludf.DUMMYFUNCTION("""COMPUTED_VALUE"""),"Commercial")</f>
        <v>Commercial</v>
      </c>
      <c r="BI13" s="54" t="str">
        <f>IFERROR(__xludf.DUMMYFUNCTION("""COMPUTED_VALUE"""),"Other Type")</f>
        <v>Other Type</v>
      </c>
      <c r="BJ13" s="73" t="str">
        <f>IFERROR(__xludf.DUMMYFUNCTION("""COMPUTED_VALUE"""),"Half Cut Back")</f>
        <v>Half Cut Back</v>
      </c>
      <c r="BK13" s="233" t="str">
        <f>IFERROR(__xludf.DUMMYFUNCTION("""COMPUTED_VALUE"""),"UV Crystal")</f>
        <v>UV Crystal</v>
      </c>
      <c r="BL13" s="80" t="str">
        <f>IFERROR(__xludf.DUMMYFUNCTION("""COMPUTED_VALUE"""),"Without Print")</f>
        <v>Without Print</v>
      </c>
      <c r="BM13" s="107">
        <f>IFERROR(__xludf.DUMMYFUNCTION("""COMPUTED_VALUE"""),0.0)</f>
        <v>0</v>
      </c>
      <c r="BN13" s="107">
        <f>IFERROR(__xludf.DUMMYFUNCTION("""COMPUTED_VALUE"""),1926.0)</f>
        <v>1926</v>
      </c>
      <c r="BO13" s="80" t="str">
        <f>IFERROR(__xludf.DUMMYFUNCTION("""COMPUTED_VALUE"""),"Repeat Job")</f>
        <v>Repeat Job</v>
      </c>
      <c r="BP13" s="80" t="str">
        <f>IFERROR(__xludf.DUMMYFUNCTION("""COMPUTED_VALUE"""),"Leafing")</f>
        <v>Leafing</v>
      </c>
      <c r="BQ13" s="80" t="str">
        <f>IFERROR(__xludf.DUMMYFUNCTION("""COMPUTED_VALUE"""),"N/A")</f>
        <v>N/A</v>
      </c>
      <c r="BR13" s="80" t="str">
        <f>IFERROR(__xludf.DUMMYFUNCTION("""COMPUTED_VALUE"""),"Normal")</f>
        <v>Normal</v>
      </c>
      <c r="BS13" s="73" t="s">
        <v>27</v>
      </c>
      <c r="BT13" s="88" t="s">
        <v>184</v>
      </c>
      <c r="BU13" s="73" t="s">
        <v>185</v>
      </c>
      <c r="BV13" s="107" t="str">
        <f t="shared" ref="BV13:BV15" si="10">$BV$9</f>
        <v/>
      </c>
      <c r="BW13" s="73" t="str">
        <f>IFERROR(__xludf.DUMMYFUNCTION("""COMPUTED_VALUE"""),"Art Card")</f>
        <v>Art Card</v>
      </c>
      <c r="BX13" s="80" t="str">
        <f>IFERROR(__xludf.DUMMYFUNCTION("""COMPUTED_VALUE"""),"Normal")</f>
        <v>Normal</v>
      </c>
      <c r="BY13" s="80" t="str">
        <f>IFERROR(__xludf.DUMMYFUNCTION("""COMPUTED_VALUE"""),"300 GSM")</f>
        <v>300 GSM</v>
      </c>
      <c r="BZ13" s="80">
        <f>IFERROR(__xludf.DUMMYFUNCTION("""COMPUTED_VALUE"""),115.0)</f>
        <v>115</v>
      </c>
      <c r="CA13" s="80" t="str">
        <f>IFERROR(__xludf.DUMMYFUNCTION("""COMPUTED_VALUE"""),"Normal")</f>
        <v>Normal</v>
      </c>
      <c r="CB13" s="80" t="str">
        <f>IFERROR(__xludf.DUMMYFUNCTION("""COMPUTED_VALUE"""),"300 GSM")</f>
        <v>300 GSM</v>
      </c>
      <c r="CC13" s="80">
        <f>IFERROR(__xludf.DUMMYFUNCTION("""COMPUTED_VALUE"""),115.0)</f>
        <v>115</v>
      </c>
      <c r="CD13" s="80" t="str">
        <f t="shared" si="8"/>
        <v>300 GSM</v>
      </c>
      <c r="CE13" s="80" t="str">
        <f t="shared" si="9"/>
        <v>300 GSM</v>
      </c>
      <c r="CF13" s="80"/>
      <c r="CG13" s="80"/>
      <c r="CH13" s="80"/>
    </row>
    <row r="14">
      <c r="A14" s="144" t="s">
        <v>0</v>
      </c>
      <c r="B14" s="145" t="s">
        <v>1</v>
      </c>
      <c r="C14" s="146" t="s">
        <v>2</v>
      </c>
      <c r="D14" s="146" t="s">
        <v>3</v>
      </c>
      <c r="E14" s="147" t="s">
        <v>4</v>
      </c>
      <c r="F14" s="148" t="s">
        <v>5</v>
      </c>
      <c r="G14" s="149" t="s">
        <v>7</v>
      </c>
      <c r="H14" s="149" t="s">
        <v>8</v>
      </c>
      <c r="I14" s="150" t="s">
        <v>16</v>
      </c>
      <c r="J14" s="151" t="s">
        <v>193</v>
      </c>
      <c r="K14" s="151" t="s">
        <v>21</v>
      </c>
      <c r="L14" s="152" t="s">
        <v>22</v>
      </c>
      <c r="M14" s="152" t="s">
        <v>23</v>
      </c>
      <c r="N14" s="153" t="s">
        <v>194</v>
      </c>
      <c r="O14" s="154" t="s">
        <v>195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144" t="s">
        <v>0</v>
      </c>
      <c r="AK14" s="145" t="s">
        <v>1</v>
      </c>
      <c r="AL14" s="146" t="s">
        <v>2</v>
      </c>
      <c r="AM14" s="146" t="s">
        <v>3</v>
      </c>
      <c r="AN14" s="147" t="s">
        <v>4</v>
      </c>
      <c r="AO14" s="148" t="s">
        <v>5</v>
      </c>
      <c r="AP14" s="149" t="s">
        <v>7</v>
      </c>
      <c r="AQ14" s="149" t="s">
        <v>8</v>
      </c>
      <c r="AR14" s="150" t="s">
        <v>16</v>
      </c>
      <c r="AS14" s="151" t="s">
        <v>193</v>
      </c>
      <c r="AT14" s="151" t="s">
        <v>21</v>
      </c>
      <c r="AU14" s="152" t="s">
        <v>22</v>
      </c>
      <c r="AV14" s="152" t="s">
        <v>23</v>
      </c>
      <c r="AW14" s="153" t="s">
        <v>194</v>
      </c>
      <c r="AX14" s="154" t="s">
        <v>195</v>
      </c>
      <c r="AY14" s="73"/>
      <c r="AZ14" s="73"/>
      <c r="BA14" s="73"/>
      <c r="BB14" s="88" t="s">
        <v>62</v>
      </c>
      <c r="BC14" s="73" t="str">
        <f>IFERROR(__xludf.DUMMYFUNCTION("""COMPUTED_VALUE"""),"Commercial")</f>
        <v>Commercial</v>
      </c>
      <c r="BD14" s="143" t="str">
        <f>IFERROR(__xludf.DUMMYFUNCTION("""COMPUTED_VALUE"""),"Hard Bound")</f>
        <v>Hard Bound</v>
      </c>
      <c r="BE14" s="80"/>
      <c r="BF14" s="54"/>
      <c r="BG14" s="88" t="str">
        <f>IFERROR(__xludf.DUMMYFUNCTION("""COMPUTED_VALUE"""),"Offset")</f>
        <v>Offset</v>
      </c>
      <c r="BH14" s="73" t="str">
        <f>IFERROR(__xludf.DUMMYFUNCTION("""COMPUTED_VALUE"""),"Commercial")</f>
        <v>Commercial</v>
      </c>
      <c r="BI14" s="73" t="str">
        <f>IFERROR(__xludf.DUMMYFUNCTION("""COMPUTED_VALUE"""),"Other Type")</f>
        <v>Other Type</v>
      </c>
      <c r="BJ14" s="73" t="str">
        <f>IFERROR(__xludf.DUMMYFUNCTION("""COMPUTED_VALUE"""),"Cutting")</f>
        <v>Cutting</v>
      </c>
      <c r="BK14" s="233" t="str">
        <f>IFERROR(__xludf.DUMMYFUNCTION("""COMPUTED_VALUE"""),"Plain")</f>
        <v>Plain</v>
      </c>
      <c r="BL14" s="80" t="str">
        <f>IFERROR(__xludf.DUMMYFUNCTION("""COMPUTED_VALUE"""),"Without Print")</f>
        <v>Without Print</v>
      </c>
      <c r="BM14" s="107">
        <f>IFERROR(__xludf.DUMMYFUNCTION("""COMPUTED_VALUE"""),0.0)</f>
        <v>0</v>
      </c>
      <c r="BN14" s="107">
        <f>IFERROR(__xludf.DUMMYFUNCTION("""COMPUTED_VALUE"""),1926.0)</f>
        <v>1926</v>
      </c>
      <c r="BO14" s="80" t="str">
        <f>IFERROR(__xludf.DUMMYFUNCTION("""COMPUTED_VALUE"""),"New Job")</f>
        <v>New Job</v>
      </c>
      <c r="BP14" s="80" t="str">
        <f>IFERROR(__xludf.DUMMYFUNCTION("""COMPUTED_VALUE"""),"Leafing")</f>
        <v>Leafing</v>
      </c>
      <c r="BQ14" s="80" t="str">
        <f>IFERROR(__xludf.DUMMYFUNCTION("""COMPUTED_VALUE"""),"Yes")</f>
        <v>Yes</v>
      </c>
      <c r="BR14" s="80" t="str">
        <f>IFERROR(__xludf.DUMMYFUNCTION("""COMPUTED_VALUE"""),"Normal")</f>
        <v>Normal</v>
      </c>
      <c r="BS14" s="73" t="s">
        <v>27</v>
      </c>
      <c r="BT14" s="88" t="s">
        <v>184</v>
      </c>
      <c r="BU14" s="73" t="s">
        <v>187</v>
      </c>
      <c r="BV14" s="107" t="str">
        <f t="shared" si="10"/>
        <v/>
      </c>
      <c r="BW14" s="80" t="str">
        <f>IFERROR(__xludf.DUMMYFUNCTION("""COMPUTED_VALUE"""),"Art Card")</f>
        <v>Art Card</v>
      </c>
      <c r="BX14" s="80" t="str">
        <f>IFERROR(__xludf.DUMMYFUNCTION("""COMPUTED_VALUE"""),"Normal")</f>
        <v>Normal</v>
      </c>
      <c r="BY14" s="80" t="str">
        <f>IFERROR(__xludf.DUMMYFUNCTION("""COMPUTED_VALUE"""),"350 GSM")</f>
        <v>350 GSM</v>
      </c>
      <c r="BZ14" s="80">
        <f>IFERROR(__xludf.DUMMYFUNCTION("""COMPUTED_VALUE"""),115.0)</f>
        <v>115</v>
      </c>
      <c r="CA14" s="80" t="str">
        <f>IFERROR(__xludf.DUMMYFUNCTION("""COMPUTED_VALUE"""),"Normal")</f>
        <v>Normal</v>
      </c>
      <c r="CB14" s="80" t="str">
        <f>IFERROR(__xludf.DUMMYFUNCTION("""COMPUTED_VALUE"""),"350 GSM")</f>
        <v>350 GSM</v>
      </c>
      <c r="CC14" s="80">
        <f>IFERROR(__xludf.DUMMYFUNCTION("""COMPUTED_VALUE"""),115.0)</f>
        <v>115</v>
      </c>
      <c r="CD14" s="80" t="str">
        <f t="shared" si="8"/>
        <v>350 GSM</v>
      </c>
      <c r="CE14" s="80" t="str">
        <f t="shared" si="9"/>
        <v>350 GSM</v>
      </c>
      <c r="CF14" s="80"/>
      <c r="CG14" s="80"/>
      <c r="CH14" s="80"/>
    </row>
    <row r="15">
      <c r="A15" s="73"/>
      <c r="B15" s="88" t="s">
        <v>176</v>
      </c>
      <c r="C15" s="88" t="str">
        <f>B10</f>
        <v>A5</v>
      </c>
      <c r="D15" s="88" t="s">
        <v>196</v>
      </c>
      <c r="E15" s="140" t="str">
        <f>Product8!E2</f>
        <v/>
      </c>
      <c r="F15" s="140" t="str">
        <f>Product8!F2</f>
        <v/>
      </c>
      <c r="G15" s="80" t="str">
        <f>Product8!W16</f>
        <v/>
      </c>
      <c r="H15" s="80" t="str">
        <f>Product8!X16</f>
        <v/>
      </c>
      <c r="I15" s="86">
        <v>100.0</v>
      </c>
      <c r="J15" s="73"/>
      <c r="K15" s="73"/>
      <c r="L15" s="73"/>
      <c r="M15" s="77"/>
      <c r="N15" s="86">
        <v>1.0</v>
      </c>
      <c r="O15" s="73" t="str">
        <f>Product8!Y16</f>
        <v/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80" t="str">
        <f>IFERROR(__xludf.DUMMYFUNCTION("ifna(QUERY(A15:O1423,$I$11))"),"")</f>
        <v/>
      </c>
      <c r="AK15" s="73" t="str">
        <f>IFERROR(__xludf.DUMMYFUNCTION("""COMPUTED_VALUE"""),"All")</f>
        <v>All</v>
      </c>
      <c r="AL15" s="73" t="str">
        <f>IFERROR(__xludf.DUMMYFUNCTION("""COMPUTED_VALUE"""),"A5")</f>
        <v>A5</v>
      </c>
      <c r="AM15" s="73" t="str">
        <f>IFERROR(__xludf.DUMMYFUNCTION("""COMPUTED_VALUE"""),"Custom Size")</f>
        <v>Custom Size</v>
      </c>
      <c r="AN15" s="77" t="str">
        <f>IFERROR(__xludf.DUMMYFUNCTION("""COMPUTED_VALUE"""),"")</f>
        <v/>
      </c>
      <c r="AO15" s="77" t="str">
        <f>IFERROR(__xludf.DUMMYFUNCTION("""COMPUTED_VALUE"""),"")</f>
        <v/>
      </c>
      <c r="AP15" s="77" t="str">
        <f>IFERROR(__xludf.DUMMYFUNCTION("""COMPUTED_VALUE"""),"")</f>
        <v/>
      </c>
      <c r="AQ15" s="77" t="str">
        <f>IFERROR(__xludf.DUMMYFUNCTION("""COMPUTED_VALUE"""),"")</f>
        <v/>
      </c>
      <c r="AR15" s="77" t="str">
        <f>IFERROR(__xludf.DUMMYFUNCTION("""COMPUTED_VALUE"""),"100")</f>
        <v>100</v>
      </c>
      <c r="AS15" s="73" t="str">
        <f>IFERROR(__xludf.DUMMYFUNCTION("""COMPUTED_VALUE"""),"")</f>
        <v/>
      </c>
      <c r="AT15" s="73" t="str">
        <f>IFERROR(__xludf.DUMMYFUNCTION("""COMPUTED_VALUE"""),"")</f>
        <v/>
      </c>
      <c r="AU15" s="73" t="str">
        <f>IFERROR(__xludf.DUMMYFUNCTION("""COMPUTED_VALUE"""),"")</f>
        <v/>
      </c>
      <c r="AV15" s="77" t="str">
        <f>IFERROR(__xludf.DUMMYFUNCTION("""COMPUTED_VALUE"""),"")</f>
        <v/>
      </c>
      <c r="AW15" s="77" t="str">
        <f>IFERROR(__xludf.DUMMYFUNCTION("""COMPUTED_VALUE"""),"1")</f>
        <v>1</v>
      </c>
      <c r="AX15" s="73" t="str">
        <f>IFERROR(__xludf.DUMMYFUNCTION("""COMPUTED_VALUE"""),"")</f>
        <v/>
      </c>
      <c r="AY15" s="73"/>
      <c r="AZ15" s="73"/>
      <c r="BA15" s="73"/>
      <c r="BB15" s="113">
        <f t="array" ref="BB15">INDEX(Item!G2:G1423,MATCH(Quotation!B49,Item!F2:F1423,FALSE),1)</f>
        <v>4</v>
      </c>
      <c r="BC15" s="73" t="str">
        <f>IFERROR(__xludf.DUMMYFUNCTION("""COMPUTED_VALUE"""),"Commercial")</f>
        <v>Commercial</v>
      </c>
      <c r="BD15" s="73" t="str">
        <f>IFERROR(__xludf.DUMMYFUNCTION("""COMPUTED_VALUE"""),"Hospital")</f>
        <v>Hospital</v>
      </c>
      <c r="BE15" s="80"/>
      <c r="BF15" s="54"/>
      <c r="BG15" s="88" t="str">
        <f>IFERROR(__xludf.DUMMYFUNCTION("""COMPUTED_VALUE"""),"Offset")</f>
        <v>Offset</v>
      </c>
      <c r="BH15" s="73" t="str">
        <f>IFERROR(__xludf.DUMMYFUNCTION("""COMPUTED_VALUE"""),"Commercial")</f>
        <v>Commercial</v>
      </c>
      <c r="BI15" s="73" t="str">
        <f>IFERROR(__xludf.DUMMYFUNCTION("""COMPUTED_VALUE"""),"Other Type")</f>
        <v>Other Type</v>
      </c>
      <c r="BJ15" s="73" t="str">
        <f>IFERROR(__xludf.DUMMYFUNCTION("""COMPUTED_VALUE"""),"Carry Bag Single Pasting")</f>
        <v>Carry Bag Single Pasting</v>
      </c>
      <c r="BK15" s="233" t="str">
        <f>IFERROR(__xludf.DUMMYFUNCTION("""COMPUTED_VALUE"""),"Plain")</f>
        <v>Plain</v>
      </c>
      <c r="BL15" s="80" t="str">
        <f>IFERROR(__xludf.DUMMYFUNCTION("""COMPUTED_VALUE"""),"Without Print")</f>
        <v>Without Print</v>
      </c>
      <c r="BM15" s="80">
        <f>IFERROR(__xludf.DUMMYFUNCTION("""COMPUTED_VALUE"""),0.0)</f>
        <v>0</v>
      </c>
      <c r="BN15" s="80">
        <f>IFERROR(__xludf.DUMMYFUNCTION("""COMPUTED_VALUE"""),1926.0)</f>
        <v>1926</v>
      </c>
      <c r="BO15" s="80" t="str">
        <f>IFERROR(__xludf.DUMMYFUNCTION("""COMPUTED_VALUE"""),"Repeat Job")</f>
        <v>Repeat Job</v>
      </c>
      <c r="BP15" s="80" t="str">
        <f>IFERROR(__xludf.DUMMYFUNCTION("""COMPUTED_VALUE"""),"Leafing")</f>
        <v>Leafing</v>
      </c>
      <c r="BQ15" s="80" t="str">
        <f>IFERROR(__xludf.DUMMYFUNCTION("""COMPUTED_VALUE"""),"N/A")</f>
        <v>N/A</v>
      </c>
      <c r="BR15" s="80" t="str">
        <f>IFERROR(__xludf.DUMMYFUNCTION("""COMPUTED_VALUE"""),"Normal")</f>
        <v>Normal</v>
      </c>
      <c r="BS15" s="73" t="s">
        <v>27</v>
      </c>
      <c r="BT15" s="88" t="s">
        <v>184</v>
      </c>
      <c r="BU15" s="73" t="s">
        <v>197</v>
      </c>
      <c r="BV15" s="107" t="str">
        <f t="shared" si="10"/>
        <v/>
      </c>
      <c r="BW15" s="80" t="str">
        <f>IFERROR(__xludf.DUMMYFUNCTION("""COMPUTED_VALUE"""),"Art Card")</f>
        <v>Art Card</v>
      </c>
      <c r="BX15" s="80" t="str">
        <f>IFERROR(__xludf.DUMMYFUNCTION("""COMPUTED_VALUE"""),"Normal")</f>
        <v>Normal</v>
      </c>
      <c r="BY15" s="80" t="str">
        <f>IFERROR(__xludf.DUMMYFUNCTION("""COMPUTED_VALUE"""),"80 GSM")</f>
        <v>80 GSM</v>
      </c>
      <c r="BZ15" s="80">
        <f>IFERROR(__xludf.DUMMYFUNCTION("""COMPUTED_VALUE"""),115.0)</f>
        <v>115</v>
      </c>
      <c r="CA15" s="80" t="str">
        <f>IFERROR(__xludf.DUMMYFUNCTION("""COMPUTED_VALUE"""),"Normal")</f>
        <v>Normal</v>
      </c>
      <c r="CB15" s="80" t="str">
        <f>IFERROR(__xludf.DUMMYFUNCTION("""COMPUTED_VALUE"""),"80 GSM")</f>
        <v>80 GSM</v>
      </c>
      <c r="CC15" s="80">
        <f>IFERROR(__xludf.DUMMYFUNCTION("""COMPUTED_VALUE"""),115.0)</f>
        <v>115</v>
      </c>
      <c r="CD15" s="80" t="str">
        <f t="shared" si="8"/>
        <v>80 GSM</v>
      </c>
      <c r="CE15" s="80" t="str">
        <f t="shared" si="9"/>
        <v>80 GSM</v>
      </c>
      <c r="CF15" s="80"/>
      <c r="CG15" s="80"/>
      <c r="CH15" s="80"/>
    </row>
    <row r="16">
      <c r="A16" s="157" t="str">
        <f>IFERROR(__xludf.DUMMYFUNCTION("QUERY(ALLDATA!$A2:$Q1423,$F$12)"),"https://drive.google.com/open?id=1AT8COyVu1i54kTQbeZJnxYi8bjYPzfhK&amp;authuser=jay.agg%40gmail.com&amp;usp=drive_fs")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6" s="88" t="str">
        <f>IFERROR(__xludf.DUMMYFUNCTION("""COMPUTED_VALUE"""),"Flyer")</f>
        <v>Flyer</v>
      </c>
      <c r="C16" s="73" t="str">
        <f>IFERROR(__xludf.DUMMYFUNCTION("""COMPUTED_VALUE"""),"A5")</f>
        <v>A5</v>
      </c>
      <c r="D16" s="88" t="str">
        <f>IFERROR(__xludf.DUMMYFUNCTION("""COMPUTED_VALUE"""),"148 × 210 millimeters or 5.8 × 8.3 inches")</f>
        <v>148 × 210 millimeters or 5.8 × 8.3 inches</v>
      </c>
      <c r="E16" s="124">
        <f>IFERROR(__xludf.DUMMYFUNCTION("""COMPUTED_VALUE"""),8.0)</f>
        <v>8</v>
      </c>
      <c r="F16" s="80">
        <f>IFERROR(__xludf.DUMMYFUNCTION("""COMPUTED_VALUE"""),1926.0)</f>
        <v>1926</v>
      </c>
      <c r="G16" s="80">
        <f>IFERROR(__xludf.DUMMYFUNCTION("""COMPUTED_VALUE"""),18.0)</f>
        <v>18</v>
      </c>
      <c r="H16" s="80">
        <f>IFERROR(__xludf.DUMMYFUNCTION("""COMPUTED_VALUE"""),25.0)</f>
        <v>25</v>
      </c>
      <c r="I16" s="80">
        <f>IFERROR(__xludf.DUMMYFUNCTION("""COMPUTED_VALUE"""),100.0)</f>
        <v>100</v>
      </c>
      <c r="J16" s="109"/>
      <c r="K16" s="109"/>
      <c r="L16" s="109"/>
      <c r="M16" s="109">
        <f>IFERROR(__xludf.DUMMYFUNCTION("""COMPUTED_VALUE"""),0.03)</f>
        <v>0.03</v>
      </c>
      <c r="N16" s="109">
        <f>IFERROR(__xludf.DUMMYFUNCTION("""COMPUTED_VALUE"""),1.0)</f>
        <v>1</v>
      </c>
      <c r="O16" s="109">
        <f>IFERROR(__xludf.DUMMYFUNCTION("""COMPUTED_VALUE"""),4.5)</f>
        <v>4.5</v>
      </c>
      <c r="P16" s="109" t="str">
        <f>IFERROR(__xludf.DUMMYFUNCTION("""COMPUTED_VALUE"""),"Offset")</f>
        <v>Offset</v>
      </c>
      <c r="Q16" s="109" t="str">
        <f>IFERROR(__xludf.DUMMYFUNCTION("""COMPUTED_VALUE"""),"Commercial")</f>
        <v>Commercial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9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AK16" s="80" t="str">
        <f>IFERROR(__xludf.DUMMYFUNCTION("""COMPUTED_VALUE"""),"Flyer")</f>
        <v>Flyer</v>
      </c>
      <c r="AL16" s="80" t="str">
        <f>IFERROR(__xludf.DUMMYFUNCTION("""COMPUTED_VALUE"""),"A5")</f>
        <v>A5</v>
      </c>
      <c r="AM16" s="80" t="str">
        <f>IFERROR(__xludf.DUMMYFUNCTION("""COMPUTED_VALUE"""),"148 × 210 millimeters or 5.8 × 8.3 inches")</f>
        <v>148 × 210 millimeters or 5.8 × 8.3 inches</v>
      </c>
      <c r="AN16" s="107">
        <f>IFERROR(__xludf.DUMMYFUNCTION("""COMPUTED_VALUE"""),8.0)</f>
        <v>8</v>
      </c>
      <c r="AO16" s="107">
        <f>IFERROR(__xludf.DUMMYFUNCTION("""COMPUTED_VALUE"""),1926.0)</f>
        <v>1926</v>
      </c>
      <c r="AP16" s="107">
        <f>IFERROR(__xludf.DUMMYFUNCTION("""COMPUTED_VALUE"""),18.0)</f>
        <v>18</v>
      </c>
      <c r="AQ16" s="107">
        <f>IFERROR(__xludf.DUMMYFUNCTION("""COMPUTED_VALUE"""),25.0)</f>
        <v>25</v>
      </c>
      <c r="AR16" s="77">
        <f>IFERROR(__xludf.DUMMYFUNCTION("""COMPUTED_VALUE"""),100.0)</f>
        <v>100</v>
      </c>
      <c r="AS16" s="73"/>
      <c r="AT16" s="73"/>
      <c r="AU16" s="73"/>
      <c r="AV16" s="77">
        <f>IFERROR(__xludf.DUMMYFUNCTION("""COMPUTED_VALUE"""),0.03)</f>
        <v>0.03</v>
      </c>
      <c r="AW16" s="77">
        <f>IFERROR(__xludf.DUMMYFUNCTION("""COMPUTED_VALUE"""),1.0)</f>
        <v>1</v>
      </c>
      <c r="AX16" s="73">
        <f>IFERROR(__xludf.DUMMYFUNCTION("""COMPUTED_VALUE"""),4.5)</f>
        <v>4.5</v>
      </c>
      <c r="AY16" s="73"/>
      <c r="AZ16" s="73"/>
      <c r="BA16" s="73"/>
      <c r="BB16" s="73"/>
      <c r="BC16" s="73" t="str">
        <f>IFERROR(__xludf.DUMMYFUNCTION("""COMPUTED_VALUE"""),"Commercial")</f>
        <v>Commercial</v>
      </c>
      <c r="BD16" s="73" t="str">
        <f>IFERROR(__xludf.DUMMYFUNCTION("""COMPUTED_VALUE"""),"Letter Head")</f>
        <v>Letter Head</v>
      </c>
      <c r="BE16" s="80"/>
      <c r="BF16" s="54"/>
      <c r="BG16" s="88" t="str">
        <f>IFERROR(__xludf.DUMMYFUNCTION("""COMPUTED_VALUE"""),"Offset")</f>
        <v>Offset</v>
      </c>
      <c r="BH16" s="73" t="str">
        <f>IFERROR(__xludf.DUMMYFUNCTION("""COMPUTED_VALUE"""),"Commercial")</f>
        <v>Commercial</v>
      </c>
      <c r="BI16" s="73" t="str">
        <f>IFERROR(__xludf.DUMMYFUNCTION("""COMPUTED_VALUE"""),"Other Type")</f>
        <v>Other Type</v>
      </c>
      <c r="BJ16" s="73" t="str">
        <f>IFERROR(__xludf.DUMMYFUNCTION("""COMPUTED_VALUE"""),"Carry Bag Double Pasting")</f>
        <v>Carry Bag Double Pasting</v>
      </c>
      <c r="BK16" s="233" t="str">
        <f>IFERROR(__xludf.DUMMYFUNCTION("""COMPUTED_VALUE"""),"Plain")</f>
        <v>Plain</v>
      </c>
      <c r="BL16" s="80" t="str">
        <f>IFERROR(__xludf.DUMMYFUNCTION("""COMPUTED_VALUE"""),"Without Print")</f>
        <v>Without Print</v>
      </c>
      <c r="BM16" s="80">
        <f>IFERROR(__xludf.DUMMYFUNCTION("""COMPUTED_VALUE"""),0.0)</f>
        <v>0</v>
      </c>
      <c r="BN16" s="80">
        <f>IFERROR(__xludf.DUMMYFUNCTION("""COMPUTED_VALUE"""),1926.0)</f>
        <v>1926</v>
      </c>
      <c r="BO16" s="80" t="str">
        <f>IFERROR(__xludf.DUMMYFUNCTION("""COMPUTED_VALUE"""),"New Job")</f>
        <v>New Job</v>
      </c>
      <c r="BP16" s="80" t="str">
        <f>IFERROR(__xludf.DUMMYFUNCTION("""COMPUTED_VALUE"""),"Leafing")</f>
        <v>Leafing</v>
      </c>
      <c r="BQ16" s="80" t="str">
        <f>IFERROR(__xludf.DUMMYFUNCTION("""COMPUTED_VALUE"""),"Yes")</f>
        <v>Yes</v>
      </c>
      <c r="BR16" s="80" t="str">
        <f>IFERROR(__xludf.DUMMYFUNCTION("""COMPUTED_VALUE"""),"Normal")</f>
        <v>Normal</v>
      </c>
      <c r="BS16" s="139" t="s">
        <v>28</v>
      </c>
      <c r="BT16" s="73" t="s">
        <v>189</v>
      </c>
      <c r="BU16" s="73" t="s">
        <v>178</v>
      </c>
      <c r="BV16" s="107">
        <f>Price!$R$2</f>
        <v>70</v>
      </c>
      <c r="BW16" s="73" t="str">
        <f>IFERROR(__xludf.DUMMYFUNCTION("""COMPUTED_VALUE"""),"Art Card")</f>
        <v>Art Card</v>
      </c>
      <c r="BX16" s="80" t="str">
        <f>IFERROR(__xludf.DUMMYFUNCTION("""COMPUTED_VALUE"""),"Custom")</f>
        <v>Custom</v>
      </c>
      <c r="BY16" s="80"/>
      <c r="BZ16" s="80"/>
      <c r="CA16" s="80"/>
      <c r="CB16" s="80"/>
      <c r="CC16" s="80"/>
      <c r="CD16" s="80" t="str">
        <f t="shared" si="8"/>
        <v/>
      </c>
      <c r="CE16" s="80" t="str">
        <f t="shared" si="9"/>
        <v/>
      </c>
      <c r="CF16" s="80"/>
      <c r="CG16" s="80"/>
      <c r="CH16" s="80"/>
    </row>
    <row r="17">
      <c r="A17" s="157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7" s="80" t="str">
        <f>IFERROR(__xludf.DUMMYFUNCTION("""COMPUTED_VALUE"""),"Flyer")</f>
        <v>Flyer</v>
      </c>
      <c r="C17" s="80" t="str">
        <f>IFERROR(__xludf.DUMMYFUNCTION("""COMPUTED_VALUE"""),"A4")</f>
        <v>A4</v>
      </c>
      <c r="D17" s="80" t="str">
        <f>IFERROR(__xludf.DUMMYFUNCTION("""COMPUTED_VALUE"""),"210 x 297 mm | 8.3 x 11.7 inches")</f>
        <v>210 x 297 mm | 8.3 x 11.7 inches</v>
      </c>
      <c r="E17" s="124">
        <f>IFERROR(__xludf.DUMMYFUNCTION("""COMPUTED_VALUE"""),4.0)</f>
        <v>4</v>
      </c>
      <c r="F17" s="80">
        <f>IFERROR(__xludf.DUMMYFUNCTION("""COMPUTED_VALUE"""),1926.0)</f>
        <v>1926</v>
      </c>
      <c r="G17" s="80">
        <f>IFERROR(__xludf.DUMMYFUNCTION("""COMPUTED_VALUE"""),18.0)</f>
        <v>18</v>
      </c>
      <c r="H17" s="80">
        <f>IFERROR(__xludf.DUMMYFUNCTION("""COMPUTED_VALUE"""),25.0)</f>
        <v>25</v>
      </c>
      <c r="I17" s="80">
        <f>IFERROR(__xludf.DUMMYFUNCTION("""COMPUTED_VALUE"""),100.0)</f>
        <v>100</v>
      </c>
      <c r="J17" s="109"/>
      <c r="K17" s="109"/>
      <c r="L17" s="109"/>
      <c r="M17" s="109">
        <f>IFERROR(__xludf.DUMMYFUNCTION("""COMPUTED_VALUE"""),0.03)</f>
        <v>0.03</v>
      </c>
      <c r="N17" s="109">
        <f>IFERROR(__xludf.DUMMYFUNCTION("""COMPUTED_VALUE"""),1.0)</f>
        <v>1</v>
      </c>
      <c r="O17" s="109"/>
      <c r="P17" s="109" t="str">
        <f>IFERROR(__xludf.DUMMYFUNCTION("""COMPUTED_VALUE"""),"Offset")</f>
        <v>Offset</v>
      </c>
      <c r="Q17" s="109" t="str">
        <f>IFERROR(__xludf.DUMMYFUNCTION("""COMPUTED_VALUE"""),"Commercial")</f>
        <v>Commercial</v>
      </c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95"/>
      <c r="AK17" s="80"/>
      <c r="AL17" s="80"/>
      <c r="AM17" s="80"/>
      <c r="AN17" s="107"/>
      <c r="AO17" s="107"/>
      <c r="AP17" s="107"/>
      <c r="AQ17" s="107"/>
      <c r="AR17" s="77"/>
      <c r="AS17" s="73"/>
      <c r="AT17" s="73"/>
      <c r="AU17" s="73"/>
      <c r="AV17" s="77"/>
      <c r="AW17" s="77"/>
      <c r="AX17" s="73"/>
      <c r="AY17" s="73"/>
      <c r="AZ17" s="73"/>
      <c r="BA17" s="73"/>
      <c r="BB17" s="73"/>
      <c r="BC17" s="73" t="str">
        <f>IFERROR(__xludf.DUMMYFUNCTION("""COMPUTED_VALUE"""),"Commercial")</f>
        <v>Commercial</v>
      </c>
      <c r="BD17" s="73" t="str">
        <f>IFERROR(__xludf.DUMMYFUNCTION("""COMPUTED_VALUE"""),"Misc")</f>
        <v>Misc</v>
      </c>
      <c r="BE17" s="80"/>
      <c r="BF17" s="54"/>
      <c r="BG17" s="113" t="str">
        <f>IFERROR(__xludf.DUMMYFUNCTION("""COMPUTED_VALUE"""),"Offset")</f>
        <v>Offset</v>
      </c>
      <c r="BH17" s="73" t="str">
        <f>IFERROR(__xludf.DUMMYFUNCTION("""COMPUTED_VALUE"""),"Commercial")</f>
        <v>Commercial</v>
      </c>
      <c r="BI17" s="73" t="str">
        <f>IFERROR(__xludf.DUMMYFUNCTION("""COMPUTED_VALUE"""),"Other Type")</f>
        <v>Other Type</v>
      </c>
      <c r="BJ17" s="73" t="str">
        <f>IFERROR(__xludf.DUMMYFUNCTION("""COMPUTED_VALUE"""),"Plain")</f>
        <v>Plain</v>
      </c>
      <c r="BK17" s="233" t="str">
        <f>IFERROR(__xludf.DUMMYFUNCTION("""COMPUTED_VALUE"""),"Plain")</f>
        <v>Plain</v>
      </c>
      <c r="BL17" s="80" t="str">
        <f>IFERROR(__xludf.DUMMYFUNCTION("""COMPUTED_VALUE"""),"Without Print")</f>
        <v>Without Print</v>
      </c>
      <c r="BM17" s="80">
        <f>IFERROR(__xludf.DUMMYFUNCTION("""COMPUTED_VALUE"""),0.0)</f>
        <v>0</v>
      </c>
      <c r="BN17" s="80">
        <f>IFERROR(__xludf.DUMMYFUNCTION("""COMPUTED_VALUE"""),1926.0)</f>
        <v>1926</v>
      </c>
      <c r="BO17" s="80" t="str">
        <f>IFERROR(__xludf.DUMMYFUNCTION("""COMPUTED_VALUE"""),"Repeat Job")</f>
        <v>Repeat Job</v>
      </c>
      <c r="BP17" s="80" t="str">
        <f>IFERROR(__xludf.DUMMYFUNCTION("""COMPUTED_VALUE"""),"Leafing")</f>
        <v>Leafing</v>
      </c>
      <c r="BQ17" s="80" t="str">
        <f>IFERROR(__xludf.DUMMYFUNCTION("""COMPUTED_VALUE"""),"N/A")</f>
        <v>N/A</v>
      </c>
      <c r="BR17" s="80" t="str">
        <f>IFERROR(__xludf.DUMMYFUNCTION("""COMPUTED_VALUE"""),"Normal")</f>
        <v>Normal</v>
      </c>
      <c r="BS17" s="139" t="s">
        <v>28</v>
      </c>
      <c r="BT17" s="139" t="s">
        <v>191</v>
      </c>
      <c r="BU17" s="73" t="s">
        <v>180</v>
      </c>
      <c r="BV17" s="107">
        <f>Price!$R$3</f>
        <v>50</v>
      </c>
      <c r="BW17" s="73"/>
      <c r="BX17" s="80"/>
      <c r="BY17" s="80"/>
      <c r="BZ17" s="80"/>
      <c r="CA17" s="80"/>
      <c r="CB17" s="80"/>
      <c r="CC17" s="80"/>
      <c r="CD17" s="80" t="str">
        <f t="shared" si="8"/>
        <v/>
      </c>
      <c r="CE17" s="80" t="str">
        <f t="shared" si="9"/>
        <v/>
      </c>
      <c r="CF17" s="80"/>
      <c r="CG17" s="80"/>
      <c r="CH17" s="80"/>
    </row>
    <row r="18">
      <c r="A18" s="238"/>
      <c r="B18" s="80"/>
      <c r="C18" s="80"/>
      <c r="D18" s="80"/>
      <c r="E18" s="124"/>
      <c r="F18" s="80"/>
      <c r="G18" s="80"/>
      <c r="H18" s="80"/>
      <c r="I18" s="80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95"/>
      <c r="AK18" s="80"/>
      <c r="AL18" s="80"/>
      <c r="AM18" s="80"/>
      <c r="AN18" s="107"/>
      <c r="AO18" s="107"/>
      <c r="AP18" s="107"/>
      <c r="AQ18" s="107"/>
      <c r="AR18" s="77"/>
      <c r="AS18" s="73"/>
      <c r="AT18" s="73"/>
      <c r="AU18" s="73"/>
      <c r="AV18" s="77"/>
      <c r="AW18" s="77"/>
      <c r="AX18" s="73"/>
      <c r="AY18" s="73"/>
      <c r="AZ18" s="73"/>
      <c r="BA18" s="73"/>
      <c r="BB18" s="73"/>
      <c r="BC18" s="73" t="str">
        <f>IFERROR(__xludf.DUMMYFUNCTION("""COMPUTED_VALUE"""),"Commercial")</f>
        <v>Commercial</v>
      </c>
      <c r="BD18" s="73" t="str">
        <f>IFERROR(__xludf.DUMMYFUNCTION("""COMPUTED_VALUE"""),"Mizi")</f>
        <v>Mizi</v>
      </c>
      <c r="BE18" s="80"/>
      <c r="BF18" s="54"/>
      <c r="BG18" s="113"/>
      <c r="BH18" s="73"/>
      <c r="BI18" s="73"/>
      <c r="BJ18" s="73"/>
      <c r="BK18" s="233"/>
      <c r="BL18" s="80"/>
      <c r="BM18" s="80"/>
      <c r="BN18" s="80"/>
      <c r="BO18" s="80"/>
      <c r="BP18" s="80"/>
      <c r="BQ18" s="80"/>
      <c r="BR18" s="80"/>
      <c r="BS18" s="139" t="s">
        <v>28</v>
      </c>
      <c r="BT18" s="139" t="s">
        <v>68</v>
      </c>
      <c r="BU18" s="73" t="s">
        <v>182</v>
      </c>
      <c r="BV18" s="107">
        <f>Price!$R$4</f>
        <v>47</v>
      </c>
      <c r="BW18" s="73"/>
      <c r="BX18" s="80"/>
      <c r="BY18" s="80"/>
      <c r="BZ18" s="80"/>
      <c r="CA18" s="80"/>
      <c r="CB18" s="80"/>
      <c r="CC18" s="80"/>
      <c r="CD18" s="80" t="str">
        <f t="shared" si="8"/>
        <v/>
      </c>
      <c r="CE18" s="80" t="str">
        <f t="shared" si="9"/>
        <v/>
      </c>
      <c r="CF18" s="80"/>
      <c r="CG18" s="80"/>
      <c r="CH18" s="80"/>
    </row>
    <row r="19">
      <c r="A19" s="238"/>
      <c r="B19" s="80"/>
      <c r="C19" s="80"/>
      <c r="D19" s="80"/>
      <c r="E19" s="124"/>
      <c r="F19" s="80"/>
      <c r="G19" s="80"/>
      <c r="H19" s="80"/>
      <c r="I19" s="80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95"/>
      <c r="AK19" s="80"/>
      <c r="AL19" s="80"/>
      <c r="AM19" s="80"/>
      <c r="AN19" s="107"/>
      <c r="AO19" s="107"/>
      <c r="AP19" s="107"/>
      <c r="AQ19" s="107"/>
      <c r="AR19" s="77"/>
      <c r="AS19" s="73"/>
      <c r="AT19" s="73"/>
      <c r="AU19" s="73"/>
      <c r="AV19" s="77"/>
      <c r="AW19" s="77"/>
      <c r="AX19" s="73"/>
      <c r="AY19" s="73"/>
      <c r="AZ19" s="73"/>
      <c r="BA19" s="73"/>
      <c r="BB19" s="73"/>
      <c r="BC19" s="73" t="str">
        <f>IFERROR(__xludf.DUMMYFUNCTION("""COMPUTED_VALUE"""),"Commercial")</f>
        <v>Commercial</v>
      </c>
      <c r="BD19" s="73" t="str">
        <f>IFERROR(__xludf.DUMMYFUNCTION("""COMPUTED_VALUE"""),"Poster")</f>
        <v>Poster</v>
      </c>
      <c r="BE19" s="80"/>
      <c r="BF19" s="54"/>
      <c r="BG19" s="113"/>
      <c r="BH19" s="73"/>
      <c r="BI19" s="73"/>
      <c r="BJ19" s="73"/>
      <c r="BK19" s="233"/>
      <c r="BL19" s="80"/>
      <c r="BM19" s="80"/>
      <c r="BN19" s="80"/>
      <c r="BO19" s="80"/>
      <c r="BP19" s="80"/>
      <c r="BQ19" s="80"/>
      <c r="BR19" s="80"/>
      <c r="BS19" s="139" t="s">
        <v>28</v>
      </c>
      <c r="BT19" s="88" t="s">
        <v>184</v>
      </c>
      <c r="BU19" s="73" t="s">
        <v>185</v>
      </c>
      <c r="BV19" s="107" t="str">
        <f t="shared" ref="BV19:BV21" si="11">$BV$9</f>
        <v/>
      </c>
      <c r="BW19" s="77"/>
      <c r="BX19" s="80"/>
      <c r="BY19" s="80"/>
      <c r="BZ19" s="80"/>
      <c r="CA19" s="80"/>
      <c r="CB19" s="80"/>
      <c r="CC19" s="80"/>
      <c r="CD19" s="80" t="str">
        <f t="shared" si="8"/>
        <v/>
      </c>
      <c r="CE19" s="80" t="str">
        <f t="shared" si="9"/>
        <v/>
      </c>
      <c r="CF19" s="80"/>
      <c r="CG19" s="80"/>
      <c r="CH19" s="80"/>
    </row>
    <row r="20">
      <c r="A20" s="238"/>
      <c r="B20" s="80"/>
      <c r="C20" s="80"/>
      <c r="D20" s="80"/>
      <c r="E20" s="124"/>
      <c r="F20" s="80"/>
      <c r="G20" s="80"/>
      <c r="H20" s="80"/>
      <c r="I20" s="80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95"/>
      <c r="AK20" s="80"/>
      <c r="AL20" s="80"/>
      <c r="AM20" s="80"/>
      <c r="AN20" s="107"/>
      <c r="AO20" s="107"/>
      <c r="AP20" s="107"/>
      <c r="AQ20" s="107"/>
      <c r="AR20" s="77"/>
      <c r="AS20" s="73"/>
      <c r="AT20" s="73"/>
      <c r="AU20" s="73"/>
      <c r="AV20" s="77"/>
      <c r="AW20" s="77"/>
      <c r="AX20" s="73"/>
      <c r="AY20" s="73"/>
      <c r="AZ20" s="73"/>
      <c r="BA20" s="73"/>
      <c r="BB20" s="73"/>
      <c r="BC20" s="73" t="str">
        <f>IFERROR(__xludf.DUMMYFUNCTION("""COMPUTED_VALUE"""),"Commercial")</f>
        <v>Commercial</v>
      </c>
      <c r="BD20" s="73" t="str">
        <f>IFERROR(__xludf.DUMMYFUNCTION("""COMPUTED_VALUE"""),"Tent Card")</f>
        <v>Tent Card</v>
      </c>
      <c r="BE20" s="80"/>
      <c r="BF20" s="54"/>
      <c r="BG20" s="113"/>
      <c r="BH20" s="73"/>
      <c r="BI20" s="73"/>
      <c r="BJ20" s="73"/>
      <c r="BK20" s="233"/>
      <c r="BL20" s="80"/>
      <c r="BM20" s="80"/>
      <c r="BN20" s="80"/>
      <c r="BO20" s="80"/>
      <c r="BP20" s="80"/>
      <c r="BQ20" s="80"/>
      <c r="BR20" s="80"/>
      <c r="BS20" s="139" t="s">
        <v>28</v>
      </c>
      <c r="BT20" s="88" t="s">
        <v>184</v>
      </c>
      <c r="BU20" s="73" t="s">
        <v>187</v>
      </c>
      <c r="BV20" s="107" t="str">
        <f t="shared" si="11"/>
        <v/>
      </c>
      <c r="BW20" s="77"/>
      <c r="BX20" s="80"/>
      <c r="BY20" s="80"/>
      <c r="BZ20" s="80"/>
      <c r="CA20" s="80"/>
      <c r="CB20" s="80"/>
      <c r="CC20" s="80"/>
      <c r="CD20" s="80" t="str">
        <f t="shared" si="8"/>
        <v/>
      </c>
      <c r="CE20" s="80" t="str">
        <f t="shared" si="9"/>
        <v/>
      </c>
      <c r="CF20" s="80"/>
      <c r="CG20" s="80"/>
      <c r="CH20" s="80"/>
    </row>
    <row r="21">
      <c r="A21" s="238"/>
      <c r="B21" s="80"/>
      <c r="C21" s="80"/>
      <c r="D21" s="80"/>
      <c r="E21" s="124"/>
      <c r="F21" s="80"/>
      <c r="G21" s="80"/>
      <c r="H21" s="80"/>
      <c r="I21" s="80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95"/>
      <c r="AK21" s="80"/>
      <c r="AL21" s="80"/>
      <c r="AM21" s="80"/>
      <c r="AN21" s="107"/>
      <c r="AO21" s="107"/>
      <c r="AP21" s="107"/>
      <c r="AQ21" s="107"/>
      <c r="AR21" s="77"/>
      <c r="AS21" s="73"/>
      <c r="AT21" s="73"/>
      <c r="AU21" s="73"/>
      <c r="AV21" s="77"/>
      <c r="AW21" s="77"/>
      <c r="AX21" s="73"/>
      <c r="AY21" s="73"/>
      <c r="AZ21" s="73"/>
      <c r="BA21" s="73"/>
      <c r="BB21" s="73"/>
      <c r="BC21" s="139"/>
      <c r="BD21" s="139"/>
      <c r="BE21" s="139"/>
      <c r="BF21" s="73"/>
      <c r="BG21" s="73"/>
      <c r="BH21" s="139"/>
      <c r="BI21" s="139"/>
      <c r="BJ21" s="139"/>
      <c r="BK21" s="139"/>
      <c r="BL21" s="73"/>
      <c r="BM21" s="80"/>
      <c r="BN21" s="80"/>
      <c r="BO21" s="80"/>
      <c r="BP21" s="80"/>
      <c r="BQ21" s="80"/>
      <c r="BR21" s="80"/>
      <c r="BS21" s="139" t="s">
        <v>28</v>
      </c>
      <c r="BT21" s="88" t="s">
        <v>184</v>
      </c>
      <c r="BU21" s="73" t="s">
        <v>197</v>
      </c>
      <c r="BV21" s="107" t="str">
        <f t="shared" si="11"/>
        <v/>
      </c>
      <c r="BW21" s="73"/>
      <c r="BX21" s="80"/>
      <c r="BY21" s="80"/>
      <c r="BZ21" s="80"/>
      <c r="CA21" s="80"/>
      <c r="CB21" s="80"/>
      <c r="CC21" s="80"/>
      <c r="CD21" s="80" t="str">
        <f t="shared" si="8"/>
        <v/>
      </c>
      <c r="CE21" s="80" t="str">
        <f t="shared" si="9"/>
        <v/>
      </c>
      <c r="CF21" s="80"/>
      <c r="CG21" s="80"/>
      <c r="CH21" s="80"/>
    </row>
    <row r="22">
      <c r="A22" s="238"/>
      <c r="B22" s="80"/>
      <c r="C22" s="80"/>
      <c r="D22" s="80"/>
      <c r="E22" s="124"/>
      <c r="F22" s="80"/>
      <c r="G22" s="80"/>
      <c r="H22" s="80"/>
      <c r="I22" s="80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95"/>
      <c r="AK22" s="80"/>
      <c r="AL22" s="80"/>
      <c r="AM22" s="80"/>
      <c r="AN22" s="107"/>
      <c r="AO22" s="107"/>
      <c r="AP22" s="107"/>
      <c r="AQ22" s="107"/>
      <c r="AR22" s="77"/>
      <c r="AS22" s="73"/>
      <c r="AT22" s="73"/>
      <c r="AU22" s="73"/>
      <c r="AV22" s="77"/>
      <c r="AW22" s="77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139"/>
      <c r="BJ22" s="73"/>
      <c r="BK22" s="73"/>
      <c r="BL22" s="139"/>
      <c r="BM22" s="80"/>
      <c r="BN22" s="73"/>
      <c r="BO22" s="80"/>
      <c r="BP22" s="80"/>
      <c r="BQ22" s="80"/>
      <c r="BR22" s="80"/>
      <c r="BS22" s="139" t="s">
        <v>30</v>
      </c>
      <c r="BT22" s="73" t="s">
        <v>68</v>
      </c>
      <c r="BU22" s="73" t="s">
        <v>198</v>
      </c>
      <c r="BV22" s="77">
        <f>Price!$Q$7</f>
        <v>78</v>
      </c>
      <c r="BW22" s="73"/>
      <c r="BX22" s="80"/>
      <c r="BY22" s="80"/>
      <c r="BZ22" s="80"/>
      <c r="CA22" s="80"/>
      <c r="CB22" s="80"/>
      <c r="CC22" s="80"/>
      <c r="CD22" s="80" t="str">
        <f t="shared" si="8"/>
        <v/>
      </c>
      <c r="CE22" s="80" t="str">
        <f t="shared" si="9"/>
        <v/>
      </c>
      <c r="CF22" s="80"/>
      <c r="CG22" s="80"/>
      <c r="CH22" s="80"/>
    </row>
    <row r="23">
      <c r="A23" s="238"/>
      <c r="B23" s="80"/>
      <c r="C23" s="80"/>
      <c r="D23" s="80"/>
      <c r="E23" s="124"/>
      <c r="F23" s="80"/>
      <c r="G23" s="80"/>
      <c r="H23" s="80"/>
      <c r="I23" s="80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95"/>
      <c r="AK23" s="80"/>
      <c r="AL23" s="80"/>
      <c r="AM23" s="80"/>
      <c r="AN23" s="107"/>
      <c r="AO23" s="107"/>
      <c r="AP23" s="107"/>
      <c r="AQ23" s="107"/>
      <c r="AR23" s="77"/>
      <c r="AS23" s="73"/>
      <c r="AT23" s="73"/>
      <c r="AU23" s="73"/>
      <c r="AV23" s="77"/>
      <c r="AW23" s="77"/>
      <c r="AX23" s="73"/>
      <c r="AY23" s="73"/>
      <c r="AZ23" s="73"/>
      <c r="BA23" s="73"/>
      <c r="BB23" s="73"/>
      <c r="BC23" s="73"/>
      <c r="BD23" s="143"/>
      <c r="BE23" s="73"/>
      <c r="BF23" s="73"/>
      <c r="BG23" s="73"/>
      <c r="BH23" s="73"/>
      <c r="BI23" s="139"/>
      <c r="BJ23" s="73"/>
      <c r="BK23" s="73"/>
      <c r="BL23" s="139"/>
      <c r="BM23" s="80"/>
      <c r="BN23" s="73"/>
      <c r="BO23" s="80"/>
      <c r="BP23" s="80"/>
      <c r="BQ23" s="80"/>
      <c r="BR23" s="80"/>
      <c r="BS23" s="139" t="s">
        <v>30</v>
      </c>
      <c r="BT23" s="88" t="s">
        <v>184</v>
      </c>
      <c r="BU23" s="73" t="s">
        <v>199</v>
      </c>
      <c r="BV23" s="77" t="str">
        <f>Quotation!$C$21</f>
        <v/>
      </c>
      <c r="BW23" s="73"/>
      <c r="BX23" s="80"/>
      <c r="BY23" s="80"/>
      <c r="BZ23" s="80"/>
      <c r="CA23" s="80"/>
      <c r="CB23" s="80"/>
      <c r="CC23" s="80"/>
      <c r="CD23" s="80" t="str">
        <f t="shared" si="8"/>
        <v/>
      </c>
      <c r="CE23" s="80" t="str">
        <f t="shared" si="9"/>
        <v/>
      </c>
      <c r="CF23" s="80"/>
      <c r="CG23" s="80"/>
      <c r="CH23" s="80"/>
    </row>
    <row r="24">
      <c r="A24" s="238"/>
      <c r="B24" s="80"/>
      <c r="C24" s="80"/>
      <c r="D24" s="80"/>
      <c r="E24" s="124"/>
      <c r="F24" s="80"/>
      <c r="G24" s="80"/>
      <c r="H24" s="80"/>
      <c r="I24" s="80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95"/>
      <c r="AK24" s="80"/>
      <c r="AL24" s="80"/>
      <c r="AM24" s="80"/>
      <c r="AN24" s="107"/>
      <c r="AO24" s="107"/>
      <c r="AP24" s="107"/>
      <c r="AQ24" s="107"/>
      <c r="AR24" s="77"/>
      <c r="AS24" s="73"/>
      <c r="AT24" s="73"/>
      <c r="AU24" s="73"/>
      <c r="AV24" s="77"/>
      <c r="AW24" s="77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80"/>
      <c r="BM24" s="80"/>
      <c r="BN24" s="73"/>
      <c r="BO24" s="80"/>
      <c r="BP24" s="80"/>
      <c r="BQ24" s="80"/>
      <c r="BR24" s="80"/>
      <c r="BS24" s="139" t="s">
        <v>30</v>
      </c>
      <c r="BT24" s="73" t="s">
        <v>68</v>
      </c>
      <c r="BU24" s="73" t="s">
        <v>200</v>
      </c>
      <c r="BV24" s="77">
        <f t="shared" ref="BV24:BV28" si="12">$BV$22</f>
        <v>78</v>
      </c>
      <c r="BW24" s="73"/>
      <c r="BX24" s="80"/>
      <c r="BY24" s="80"/>
      <c r="BZ24" s="80"/>
      <c r="CA24" s="80"/>
      <c r="CB24" s="80"/>
      <c r="CC24" s="80"/>
      <c r="CD24" s="80" t="str">
        <f t="shared" si="8"/>
        <v/>
      </c>
      <c r="CE24" s="80" t="str">
        <f t="shared" si="9"/>
        <v/>
      </c>
      <c r="CF24" s="80"/>
      <c r="CG24" s="80"/>
      <c r="CH24" s="80"/>
    </row>
    <row r="25">
      <c r="A25" s="238"/>
      <c r="B25" s="80"/>
      <c r="C25" s="80"/>
      <c r="D25" s="80"/>
      <c r="E25" s="124"/>
      <c r="F25" s="80"/>
      <c r="G25" s="80"/>
      <c r="H25" s="80"/>
      <c r="I25" s="80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95"/>
      <c r="AK25" s="80"/>
      <c r="AL25" s="80"/>
      <c r="AM25" s="80"/>
      <c r="AN25" s="107"/>
      <c r="AO25" s="107"/>
      <c r="AP25" s="107"/>
      <c r="AQ25" s="107"/>
      <c r="AR25" s="77"/>
      <c r="AS25" s="73"/>
      <c r="AT25" s="73"/>
      <c r="AU25" s="73"/>
      <c r="AV25" s="77"/>
      <c r="AW25" s="77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139"/>
      <c r="BJ25" s="73"/>
      <c r="BK25" s="73"/>
      <c r="BL25" s="139"/>
      <c r="BM25" s="80"/>
      <c r="BN25" s="73"/>
      <c r="BO25" s="80"/>
      <c r="BP25" s="80"/>
      <c r="BQ25" s="80"/>
      <c r="BR25" s="80"/>
      <c r="BS25" s="139" t="s">
        <v>30</v>
      </c>
      <c r="BT25" s="73" t="s">
        <v>68</v>
      </c>
      <c r="BU25" s="73" t="s">
        <v>201</v>
      </c>
      <c r="BV25" s="77">
        <f t="shared" si="12"/>
        <v>78</v>
      </c>
      <c r="BW25" s="73"/>
      <c r="BX25" s="80"/>
      <c r="BY25" s="80"/>
      <c r="BZ25" s="80"/>
      <c r="CA25" s="80"/>
      <c r="CB25" s="80"/>
      <c r="CC25" s="80"/>
      <c r="CD25" s="80" t="str">
        <f t="shared" si="8"/>
        <v/>
      </c>
      <c r="CE25" s="80" t="str">
        <f t="shared" si="9"/>
        <v/>
      </c>
      <c r="CF25" s="80"/>
      <c r="CG25" s="80"/>
      <c r="CH25" s="80"/>
    </row>
    <row r="26">
      <c r="A26" s="238"/>
      <c r="B26" s="80"/>
      <c r="C26" s="80"/>
      <c r="D26" s="80"/>
      <c r="E26" s="124"/>
      <c r="F26" s="80"/>
      <c r="G26" s="80"/>
      <c r="H26" s="80"/>
      <c r="I26" s="80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95"/>
      <c r="AK26" s="80"/>
      <c r="AL26" s="80"/>
      <c r="AM26" s="80"/>
      <c r="AN26" s="107"/>
      <c r="AO26" s="107"/>
      <c r="AP26" s="107"/>
      <c r="AQ26" s="107"/>
      <c r="AR26" s="77"/>
      <c r="AS26" s="73"/>
      <c r="AT26" s="73"/>
      <c r="AU26" s="73"/>
      <c r="AV26" s="77"/>
      <c r="AW26" s="77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139"/>
      <c r="BJ26" s="73"/>
      <c r="BK26" s="73"/>
      <c r="BL26" s="139"/>
      <c r="BM26" s="80"/>
      <c r="BN26" s="80"/>
      <c r="BO26" s="80"/>
      <c r="BP26" s="80"/>
      <c r="BQ26" s="80"/>
      <c r="BR26" s="80"/>
      <c r="BS26" s="139" t="s">
        <v>30</v>
      </c>
      <c r="BT26" s="73" t="s">
        <v>68</v>
      </c>
      <c r="BU26" s="73" t="s">
        <v>202</v>
      </c>
      <c r="BV26" s="77">
        <f t="shared" si="12"/>
        <v>78</v>
      </c>
      <c r="BW26" s="73"/>
      <c r="BX26" s="80"/>
      <c r="BY26" s="80"/>
      <c r="BZ26" s="80"/>
      <c r="CA26" s="80"/>
      <c r="CB26" s="80"/>
      <c r="CC26" s="80"/>
      <c r="CD26" s="80" t="str">
        <f t="shared" si="8"/>
        <v/>
      </c>
      <c r="CE26" s="80" t="str">
        <f t="shared" si="9"/>
        <v/>
      </c>
      <c r="CF26" s="80"/>
      <c r="CG26" s="80"/>
      <c r="CH26" s="80"/>
    </row>
    <row r="27">
      <c r="A27" s="238"/>
      <c r="B27" s="80"/>
      <c r="C27" s="80"/>
      <c r="D27" s="80"/>
      <c r="E27" s="124"/>
      <c r="F27" s="80"/>
      <c r="G27" s="80"/>
      <c r="H27" s="80"/>
      <c r="I27" s="80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95"/>
      <c r="AK27" s="80"/>
      <c r="AL27" s="80"/>
      <c r="AM27" s="80"/>
      <c r="AN27" s="107"/>
      <c r="AO27" s="107"/>
      <c r="AP27" s="107"/>
      <c r="AQ27" s="107"/>
      <c r="AR27" s="77"/>
      <c r="AS27" s="73"/>
      <c r="AT27" s="73"/>
      <c r="AU27" s="73"/>
      <c r="AV27" s="77"/>
      <c r="AW27" s="77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80"/>
      <c r="BM27" s="80"/>
      <c r="BN27" s="80"/>
      <c r="BO27" s="80"/>
      <c r="BP27" s="80"/>
      <c r="BQ27" s="80"/>
      <c r="BR27" s="80"/>
      <c r="BS27" s="139" t="s">
        <v>30</v>
      </c>
      <c r="BT27" s="73" t="s">
        <v>68</v>
      </c>
      <c r="BU27" s="73" t="s">
        <v>203</v>
      </c>
      <c r="BV27" s="77">
        <f t="shared" si="12"/>
        <v>78</v>
      </c>
      <c r="BW27" s="73"/>
      <c r="BX27" s="80"/>
      <c r="BY27" s="80"/>
      <c r="BZ27" s="80"/>
      <c r="CA27" s="80"/>
      <c r="CB27" s="80"/>
      <c r="CC27" s="80"/>
      <c r="CD27" s="80" t="str">
        <f t="shared" si="8"/>
        <v/>
      </c>
      <c r="CE27" s="80" t="str">
        <f t="shared" si="9"/>
        <v/>
      </c>
      <c r="CF27" s="80"/>
      <c r="CG27" s="80"/>
      <c r="CH27" s="80"/>
    </row>
    <row r="28">
      <c r="A28" s="238"/>
      <c r="B28" s="80"/>
      <c r="C28" s="80"/>
      <c r="D28" s="80"/>
      <c r="E28" s="124"/>
      <c r="F28" s="80"/>
      <c r="G28" s="80"/>
      <c r="H28" s="80"/>
      <c r="I28" s="80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95"/>
      <c r="AK28" s="80"/>
      <c r="AL28" s="80"/>
      <c r="AM28" s="80"/>
      <c r="AN28" s="107"/>
      <c r="AO28" s="107"/>
      <c r="AP28" s="107"/>
      <c r="AQ28" s="107"/>
      <c r="AR28" s="77"/>
      <c r="AS28" s="73"/>
      <c r="AT28" s="73"/>
      <c r="AU28" s="73"/>
      <c r="AV28" s="77"/>
      <c r="AW28" s="77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80"/>
      <c r="BM28" s="80"/>
      <c r="BN28" s="80"/>
      <c r="BO28" s="80"/>
      <c r="BP28" s="80"/>
      <c r="BQ28" s="80"/>
      <c r="BR28" s="80"/>
      <c r="BS28" s="139" t="s">
        <v>30</v>
      </c>
      <c r="BT28" s="73" t="s">
        <v>68</v>
      </c>
      <c r="BU28" s="73" t="s">
        <v>204</v>
      </c>
      <c r="BV28" s="77">
        <f t="shared" si="12"/>
        <v>78</v>
      </c>
      <c r="BW28" s="73"/>
      <c r="BX28" s="80"/>
      <c r="BY28" s="80"/>
      <c r="BZ28" s="80"/>
      <c r="CA28" s="80"/>
      <c r="CB28" s="80"/>
      <c r="CC28" s="80"/>
      <c r="CD28" s="80" t="str">
        <f t="shared" si="8"/>
        <v/>
      </c>
      <c r="CE28" s="80" t="str">
        <f t="shared" si="9"/>
        <v/>
      </c>
      <c r="CF28" s="80"/>
      <c r="CG28" s="80"/>
      <c r="CH28" s="80"/>
    </row>
    <row r="29">
      <c r="A29" s="238"/>
      <c r="B29" s="80"/>
      <c r="C29" s="80"/>
      <c r="D29" s="80"/>
      <c r="E29" s="124"/>
      <c r="F29" s="80"/>
      <c r="G29" s="80"/>
      <c r="H29" s="80"/>
      <c r="I29" s="80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95"/>
      <c r="AK29" s="80"/>
      <c r="AL29" s="80"/>
      <c r="AM29" s="80"/>
      <c r="AN29" s="107"/>
      <c r="AO29" s="107"/>
      <c r="AP29" s="107"/>
      <c r="AQ29" s="107"/>
      <c r="AR29" s="77"/>
      <c r="AS29" s="73"/>
      <c r="AT29" s="73"/>
      <c r="AU29" s="73"/>
      <c r="AV29" s="77"/>
      <c r="AW29" s="77"/>
      <c r="AX29" s="73"/>
      <c r="AY29" s="73"/>
      <c r="AZ29" s="73"/>
      <c r="BA29" s="73"/>
      <c r="BB29" s="73"/>
      <c r="BC29" s="99"/>
      <c r="BD29" s="99"/>
      <c r="BE29" s="73"/>
      <c r="BF29" s="73"/>
      <c r="BG29" s="73"/>
      <c r="BH29" s="73"/>
      <c r="BI29" s="73"/>
      <c r="BJ29" s="73"/>
      <c r="BK29" s="73"/>
      <c r="BL29" s="80"/>
      <c r="BM29" s="80"/>
      <c r="BN29" s="80"/>
      <c r="BO29" s="80"/>
      <c r="BP29" s="80"/>
      <c r="BQ29" s="80"/>
      <c r="BR29" s="80"/>
      <c r="BS29" s="139"/>
      <c r="BT29" s="73"/>
      <c r="BU29" s="73"/>
      <c r="BV29" s="73"/>
      <c r="BW29" s="73"/>
      <c r="BX29" s="80"/>
      <c r="BY29" s="80"/>
      <c r="BZ29" s="80"/>
      <c r="CA29" s="80"/>
      <c r="CB29" s="80"/>
      <c r="CC29" s="80"/>
      <c r="CD29" s="80" t="str">
        <f t="shared" si="8"/>
        <v/>
      </c>
      <c r="CE29" s="80" t="str">
        <f t="shared" si="9"/>
        <v/>
      </c>
      <c r="CF29" s="80"/>
      <c r="CG29" s="80"/>
      <c r="CH29" s="80"/>
    </row>
    <row r="30">
      <c r="A30" s="238"/>
      <c r="B30" s="80"/>
      <c r="C30" s="80"/>
      <c r="D30" s="80"/>
      <c r="E30" s="124"/>
      <c r="F30" s="80"/>
      <c r="G30" s="80"/>
      <c r="H30" s="80"/>
      <c r="I30" s="80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95"/>
      <c r="AK30" s="80"/>
      <c r="AL30" s="80"/>
      <c r="AM30" s="80"/>
      <c r="AN30" s="107"/>
      <c r="AO30" s="107"/>
      <c r="AP30" s="107"/>
      <c r="AQ30" s="107"/>
      <c r="AR30" s="77"/>
      <c r="AS30" s="73"/>
      <c r="AT30" s="73"/>
      <c r="AU30" s="73"/>
      <c r="AV30" s="77"/>
      <c r="AW30" s="77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88"/>
      <c r="BL30" s="80"/>
      <c r="BM30" s="80"/>
      <c r="BN30" s="80"/>
      <c r="BO30" s="80"/>
      <c r="BP30" s="80"/>
      <c r="BQ30" s="80"/>
      <c r="BR30" s="80"/>
      <c r="BS30" s="73"/>
      <c r="BT30" s="73"/>
      <c r="BU30" s="73"/>
      <c r="BV30" s="73"/>
      <c r="BW30" s="73"/>
      <c r="BX30" s="80"/>
      <c r="BY30" s="80"/>
      <c r="BZ30" s="80"/>
      <c r="CA30" s="80"/>
      <c r="CB30" s="80"/>
      <c r="CC30" s="80"/>
      <c r="CD30" s="80" t="str">
        <f t="shared" si="8"/>
        <v/>
      </c>
      <c r="CE30" s="80" t="str">
        <f t="shared" si="9"/>
        <v/>
      </c>
      <c r="CF30" s="80"/>
      <c r="CG30" s="80"/>
      <c r="CH30" s="80"/>
    </row>
    <row r="31">
      <c r="A31" s="238"/>
      <c r="B31" s="80"/>
      <c r="C31" s="80"/>
      <c r="D31" s="80"/>
      <c r="E31" s="124"/>
      <c r="F31" s="80"/>
      <c r="G31" s="80"/>
      <c r="H31" s="80"/>
      <c r="I31" s="80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95"/>
      <c r="AK31" s="80"/>
      <c r="AL31" s="80"/>
      <c r="AM31" s="80"/>
      <c r="AN31" s="107"/>
      <c r="AO31" s="107"/>
      <c r="AP31" s="107"/>
      <c r="AQ31" s="107"/>
      <c r="AR31" s="77"/>
      <c r="AS31" s="73"/>
      <c r="AT31" s="73"/>
      <c r="AU31" s="73"/>
      <c r="AV31" s="77"/>
      <c r="AW31" s="77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88"/>
      <c r="BI31" s="88"/>
      <c r="BJ31" s="139"/>
      <c r="BK31" s="73"/>
      <c r="BL31" s="80"/>
      <c r="BM31" s="80"/>
      <c r="BN31" s="80"/>
      <c r="BO31" s="80"/>
      <c r="BP31" s="80"/>
      <c r="BQ31" s="80"/>
      <c r="BR31" s="80"/>
      <c r="BS31" s="139" t="s">
        <v>29</v>
      </c>
      <c r="BT31" s="73" t="s">
        <v>68</v>
      </c>
      <c r="BU31" s="73" t="s">
        <v>200</v>
      </c>
      <c r="BV31" s="77">
        <f>Price!$P$7</f>
        <v>115</v>
      </c>
      <c r="BW31" s="73"/>
      <c r="BX31" s="80"/>
      <c r="BY31" s="80"/>
      <c r="BZ31" s="80"/>
      <c r="CA31" s="80"/>
      <c r="CB31" s="80"/>
      <c r="CC31" s="80"/>
      <c r="CD31" s="80" t="str">
        <f t="shared" si="8"/>
        <v/>
      </c>
      <c r="CE31" s="80" t="str">
        <f t="shared" si="9"/>
        <v/>
      </c>
      <c r="CF31" s="80"/>
      <c r="CG31" s="80"/>
      <c r="CH31" s="80"/>
    </row>
    <row r="32">
      <c r="A32" s="238"/>
      <c r="B32" s="80"/>
      <c r="C32" s="80"/>
      <c r="D32" s="80"/>
      <c r="E32" s="124"/>
      <c r="F32" s="80"/>
      <c r="G32" s="80"/>
      <c r="H32" s="80"/>
      <c r="I32" s="80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95"/>
      <c r="AK32" s="80"/>
      <c r="AL32" s="80"/>
      <c r="AM32" s="80"/>
      <c r="AN32" s="107"/>
      <c r="AO32" s="107"/>
      <c r="AP32" s="107"/>
      <c r="AQ32" s="107"/>
      <c r="AR32" s="77"/>
      <c r="AS32" s="73"/>
      <c r="AT32" s="73"/>
      <c r="AU32" s="73"/>
      <c r="AV32" s="77"/>
      <c r="AW32" s="77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88"/>
      <c r="BI32" s="88"/>
      <c r="BJ32" s="73"/>
      <c r="BK32" s="73"/>
      <c r="BL32" s="80"/>
      <c r="BM32" s="80"/>
      <c r="BN32" s="73"/>
      <c r="BO32" s="80"/>
      <c r="BP32" s="80"/>
      <c r="BQ32" s="80"/>
      <c r="BR32" s="80"/>
      <c r="BS32" s="139" t="s">
        <v>29</v>
      </c>
      <c r="BT32" s="73" t="s">
        <v>68</v>
      </c>
      <c r="BU32" s="73" t="s">
        <v>201</v>
      </c>
      <c r="BV32" s="77">
        <f>Price!$P$7</f>
        <v>115</v>
      </c>
      <c r="BW32" s="73"/>
      <c r="BX32" s="80"/>
      <c r="BY32" s="80"/>
      <c r="BZ32" s="80"/>
      <c r="CA32" s="80"/>
      <c r="CB32" s="80"/>
      <c r="CC32" s="80"/>
      <c r="CD32" s="80" t="str">
        <f t="shared" si="8"/>
        <v/>
      </c>
      <c r="CE32" s="80" t="str">
        <f t="shared" si="9"/>
        <v/>
      </c>
      <c r="CF32" s="80"/>
      <c r="CG32" s="80"/>
      <c r="CH32" s="80"/>
    </row>
    <row r="33">
      <c r="A33" s="238"/>
      <c r="B33" s="80"/>
      <c r="C33" s="80"/>
      <c r="D33" s="80"/>
      <c r="E33" s="124"/>
      <c r="F33" s="80"/>
      <c r="G33" s="80"/>
      <c r="H33" s="80"/>
      <c r="I33" s="80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95"/>
      <c r="AK33" s="80"/>
      <c r="AL33" s="80"/>
      <c r="AM33" s="80"/>
      <c r="AN33" s="107"/>
      <c r="AO33" s="107"/>
      <c r="AP33" s="107"/>
      <c r="AQ33" s="107"/>
      <c r="AR33" s="77"/>
      <c r="AS33" s="73"/>
      <c r="AT33" s="73"/>
      <c r="AU33" s="73"/>
      <c r="AV33" s="77"/>
      <c r="AW33" s="77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88"/>
      <c r="BI33" s="113"/>
      <c r="BJ33" s="73"/>
      <c r="BK33" s="73"/>
      <c r="BL33" s="80"/>
      <c r="BM33" s="80"/>
      <c r="BN33" s="73"/>
      <c r="BO33" s="80"/>
      <c r="BP33" s="80"/>
      <c r="BQ33" s="80"/>
      <c r="BR33" s="80"/>
      <c r="BS33" s="139" t="s">
        <v>29</v>
      </c>
      <c r="BT33" s="73" t="s">
        <v>68</v>
      </c>
      <c r="BU33" s="73" t="s">
        <v>202</v>
      </c>
      <c r="BV33" s="77">
        <f>Price!$P$7</f>
        <v>115</v>
      </c>
      <c r="BW33" s="73"/>
      <c r="BX33" s="80"/>
      <c r="BY33" s="80"/>
      <c r="BZ33" s="80"/>
      <c r="CA33" s="80"/>
      <c r="CB33" s="80"/>
      <c r="CC33" s="80"/>
      <c r="CD33" s="80" t="str">
        <f t="shared" si="8"/>
        <v/>
      </c>
      <c r="CE33" s="80" t="str">
        <f t="shared" si="9"/>
        <v/>
      </c>
      <c r="CF33" s="80"/>
      <c r="CG33" s="80"/>
      <c r="CH33" s="80"/>
    </row>
    <row r="34">
      <c r="A34" s="238"/>
      <c r="B34" s="80"/>
      <c r="C34" s="80"/>
      <c r="D34" s="80"/>
      <c r="E34" s="124"/>
      <c r="F34" s="80"/>
      <c r="G34" s="80"/>
      <c r="H34" s="80"/>
      <c r="I34" s="80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95"/>
      <c r="AK34" s="80"/>
      <c r="AL34" s="80"/>
      <c r="AM34" s="80"/>
      <c r="AN34" s="107"/>
      <c r="AO34" s="107"/>
      <c r="AP34" s="107"/>
      <c r="AQ34" s="107"/>
      <c r="AR34" s="77"/>
      <c r="AS34" s="73"/>
      <c r="AT34" s="73"/>
      <c r="AU34" s="73"/>
      <c r="AV34" s="77"/>
      <c r="AW34" s="77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80"/>
      <c r="BI34" s="113"/>
      <c r="BJ34" s="73"/>
      <c r="BK34" s="73"/>
      <c r="BL34" s="80"/>
      <c r="BM34" s="80"/>
      <c r="BN34" s="73"/>
      <c r="BO34" s="80"/>
      <c r="BP34" s="80"/>
      <c r="BQ34" s="80"/>
      <c r="BR34" s="80"/>
      <c r="BS34" s="139" t="s">
        <v>29</v>
      </c>
      <c r="BT34" s="73" t="s">
        <v>68</v>
      </c>
      <c r="BU34" s="73" t="s">
        <v>203</v>
      </c>
      <c r="BV34" s="77">
        <f>Price!$P$7</f>
        <v>115</v>
      </c>
      <c r="BW34" s="73"/>
      <c r="BX34" s="80"/>
      <c r="BY34" s="80"/>
      <c r="BZ34" s="80"/>
      <c r="CA34" s="80"/>
      <c r="CB34" s="80"/>
      <c r="CC34" s="80"/>
      <c r="CD34" s="80" t="str">
        <f t="shared" si="8"/>
        <v/>
      </c>
      <c r="CE34" s="80" t="str">
        <f t="shared" si="9"/>
        <v/>
      </c>
      <c r="CF34" s="80"/>
      <c r="CG34" s="80"/>
      <c r="CH34" s="80"/>
    </row>
    <row r="35">
      <c r="A35" s="238"/>
      <c r="B35" s="80"/>
      <c r="C35" s="80"/>
      <c r="D35" s="80"/>
      <c r="E35" s="124"/>
      <c r="F35" s="80"/>
      <c r="G35" s="80"/>
      <c r="H35" s="80"/>
      <c r="I35" s="80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95"/>
      <c r="AK35" s="80"/>
      <c r="AL35" s="80"/>
      <c r="AM35" s="80"/>
      <c r="AN35" s="107"/>
      <c r="AO35" s="107"/>
      <c r="AP35" s="107"/>
      <c r="AQ35" s="107"/>
      <c r="AR35" s="77"/>
      <c r="AS35" s="73"/>
      <c r="AT35" s="73"/>
      <c r="AU35" s="77"/>
      <c r="AV35" s="77"/>
      <c r="AW35" s="77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80"/>
      <c r="BI35" s="113"/>
      <c r="BJ35" s="73"/>
      <c r="BK35" s="73"/>
      <c r="BL35" s="80"/>
      <c r="BM35" s="80"/>
      <c r="BN35" s="73"/>
      <c r="BO35" s="80"/>
      <c r="BP35" s="80"/>
      <c r="BQ35" s="80"/>
      <c r="BR35" s="80"/>
      <c r="BS35" s="139" t="s">
        <v>29</v>
      </c>
      <c r="BT35" s="73" t="s">
        <v>68</v>
      </c>
      <c r="BU35" s="73" t="s">
        <v>204</v>
      </c>
      <c r="BV35" s="77">
        <f>Price!$P$7</f>
        <v>115</v>
      </c>
      <c r="BW35" s="73"/>
      <c r="BX35" s="80"/>
      <c r="BY35" s="80"/>
      <c r="BZ35" s="80"/>
      <c r="CA35" s="80"/>
      <c r="CB35" s="80"/>
      <c r="CC35" s="80"/>
      <c r="CD35" s="80" t="str">
        <f t="shared" si="8"/>
        <v/>
      </c>
      <c r="CE35" s="80" t="str">
        <f t="shared" si="9"/>
        <v/>
      </c>
      <c r="CF35" s="80"/>
      <c r="CG35" s="80"/>
      <c r="CH35" s="80"/>
    </row>
    <row r="36">
      <c r="A36" s="238"/>
      <c r="B36" s="80"/>
      <c r="C36" s="80"/>
      <c r="D36" s="80"/>
      <c r="E36" s="124"/>
      <c r="F36" s="80"/>
      <c r="G36" s="80"/>
      <c r="H36" s="80"/>
      <c r="I36" s="80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95"/>
      <c r="AK36" s="80"/>
      <c r="AL36" s="80"/>
      <c r="AM36" s="80"/>
      <c r="AN36" s="107"/>
      <c r="AO36" s="107"/>
      <c r="AP36" s="107"/>
      <c r="AQ36" s="107"/>
      <c r="AR36" s="77"/>
      <c r="AS36" s="73"/>
      <c r="AT36" s="73"/>
      <c r="AU36" s="73"/>
      <c r="AV36" s="77"/>
      <c r="AW36" s="77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80"/>
      <c r="BI36" s="113"/>
      <c r="BJ36" s="73"/>
      <c r="BK36" s="73"/>
      <c r="BL36" s="80"/>
      <c r="BM36" s="80"/>
      <c r="BN36" s="80"/>
      <c r="BO36" s="80"/>
      <c r="BP36" s="80"/>
      <c r="BQ36" s="80"/>
      <c r="BR36" s="80"/>
      <c r="BS36" s="139" t="s">
        <v>29</v>
      </c>
      <c r="BT36" s="73" t="s">
        <v>68</v>
      </c>
      <c r="BU36" s="73" t="s">
        <v>205</v>
      </c>
      <c r="BV36" s="77">
        <f>Price!$P$7</f>
        <v>115</v>
      </c>
      <c r="BW36" s="73"/>
      <c r="BX36" s="80"/>
      <c r="BY36" s="80"/>
      <c r="BZ36" s="80"/>
      <c r="CA36" s="80"/>
      <c r="CB36" s="80"/>
      <c r="CC36" s="80"/>
      <c r="CD36" s="80" t="str">
        <f t="shared" si="8"/>
        <v/>
      </c>
      <c r="CE36" s="80" t="str">
        <f t="shared" si="9"/>
        <v/>
      </c>
      <c r="CF36" s="80"/>
      <c r="CG36" s="80"/>
      <c r="CH36" s="80"/>
    </row>
    <row r="37">
      <c r="A37" s="238"/>
      <c r="B37" s="80"/>
      <c r="C37" s="80"/>
      <c r="D37" s="80"/>
      <c r="E37" s="124"/>
      <c r="F37" s="80"/>
      <c r="G37" s="80"/>
      <c r="H37" s="80"/>
      <c r="I37" s="80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95"/>
      <c r="AK37" s="80"/>
      <c r="AL37" s="80"/>
      <c r="AM37" s="80"/>
      <c r="AN37" s="107"/>
      <c r="AO37" s="107"/>
      <c r="AP37" s="107"/>
      <c r="AQ37" s="107"/>
      <c r="AR37" s="77"/>
      <c r="AS37" s="73"/>
      <c r="AT37" s="73"/>
      <c r="AU37" s="73"/>
      <c r="AV37" s="77"/>
      <c r="AW37" s="77"/>
      <c r="AX37" s="73"/>
      <c r="AY37" s="73"/>
      <c r="AZ37" s="73"/>
      <c r="BA37" s="73"/>
      <c r="BB37" s="73"/>
      <c r="BC37" s="73"/>
      <c r="BD37" s="143"/>
      <c r="BE37" s="73"/>
      <c r="BF37" s="73"/>
      <c r="BG37" s="73"/>
      <c r="BH37" s="88"/>
      <c r="BI37" s="113"/>
      <c r="BJ37" s="73"/>
      <c r="BK37" s="73"/>
      <c r="BL37" s="80"/>
      <c r="BM37" s="54"/>
      <c r="BN37" s="80"/>
      <c r="BO37" s="80"/>
      <c r="BP37" s="80"/>
      <c r="BQ37" s="80"/>
      <c r="BR37" s="80"/>
      <c r="BS37" s="139" t="s">
        <v>29</v>
      </c>
      <c r="BT37" s="73" t="s">
        <v>68</v>
      </c>
      <c r="BU37" s="73" t="s">
        <v>206</v>
      </c>
      <c r="BV37" s="77">
        <f>Price!$P$7</f>
        <v>115</v>
      </c>
      <c r="BW37" s="73"/>
      <c r="BX37" s="80"/>
      <c r="BY37" s="80"/>
      <c r="BZ37" s="80"/>
      <c r="CA37" s="80"/>
      <c r="CB37" s="80"/>
      <c r="CC37" s="80"/>
      <c r="CD37" s="80" t="str">
        <f t="shared" si="8"/>
        <v/>
      </c>
      <c r="CE37" s="80" t="str">
        <f t="shared" si="9"/>
        <v/>
      </c>
      <c r="CF37" s="80"/>
      <c r="CG37" s="80"/>
      <c r="CH37" s="80"/>
    </row>
    <row r="38">
      <c r="A38" s="238"/>
      <c r="B38" s="80"/>
      <c r="C38" s="80"/>
      <c r="D38" s="80"/>
      <c r="E38" s="124"/>
      <c r="F38" s="80"/>
      <c r="G38" s="80"/>
      <c r="H38" s="80"/>
      <c r="I38" s="80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15"/>
      <c r="AK38" s="80"/>
      <c r="AL38" s="80"/>
      <c r="AM38" s="80"/>
      <c r="AN38" s="80"/>
      <c r="AO38" s="80"/>
      <c r="AP38" s="80"/>
      <c r="AQ38" s="80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54"/>
      <c r="BI38" s="113"/>
      <c r="BJ38" s="73"/>
      <c r="BK38" s="73"/>
      <c r="BL38" s="80"/>
      <c r="BM38" s="54"/>
      <c r="BN38" s="80"/>
      <c r="BO38" s="80"/>
      <c r="BP38" s="80"/>
      <c r="BQ38" s="80"/>
      <c r="BR38" s="80"/>
      <c r="BS38" s="139" t="s">
        <v>29</v>
      </c>
      <c r="BT38" s="73" t="s">
        <v>68</v>
      </c>
      <c r="BU38" s="73" t="s">
        <v>180</v>
      </c>
      <c r="BV38" s="77">
        <f>Price!$P$7</f>
        <v>115</v>
      </c>
      <c r="BW38" s="73"/>
      <c r="BX38" s="80"/>
      <c r="BY38" s="80"/>
      <c r="BZ38" s="80"/>
      <c r="CA38" s="80"/>
      <c r="CB38" s="80"/>
      <c r="CC38" s="80"/>
      <c r="CD38" s="80" t="str">
        <f t="shared" si="8"/>
        <v/>
      </c>
      <c r="CE38" s="80" t="str">
        <f t="shared" si="9"/>
        <v/>
      </c>
      <c r="CF38" s="80"/>
      <c r="CG38" s="80"/>
      <c r="CH38" s="80"/>
    </row>
    <row r="39">
      <c r="A39" s="238"/>
      <c r="B39" s="80"/>
      <c r="C39" s="80"/>
      <c r="D39" s="80"/>
      <c r="E39" s="124"/>
      <c r="F39" s="80"/>
      <c r="G39" s="80"/>
      <c r="H39" s="80"/>
      <c r="I39" s="80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15"/>
      <c r="AK39" s="80"/>
      <c r="AL39" s="80"/>
      <c r="AM39" s="80"/>
      <c r="AN39" s="80"/>
      <c r="AO39" s="80"/>
      <c r="AP39" s="80"/>
      <c r="AQ39" s="80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54"/>
      <c r="BI39" s="113"/>
      <c r="BJ39" s="73"/>
      <c r="BK39" s="73"/>
      <c r="BL39" s="73"/>
      <c r="BM39" s="73"/>
      <c r="BN39" s="73"/>
      <c r="BO39" s="73"/>
      <c r="BP39" s="73"/>
      <c r="BQ39" s="73"/>
      <c r="BR39" s="73"/>
      <c r="BS39" s="139" t="s">
        <v>29</v>
      </c>
      <c r="BT39" s="73" t="s">
        <v>68</v>
      </c>
      <c r="BU39" s="73" t="s">
        <v>185</v>
      </c>
      <c r="BV39" s="77">
        <f>Price!$P$7</f>
        <v>115</v>
      </c>
      <c r="BW39" s="73"/>
      <c r="BX39" s="73"/>
      <c r="BY39" s="73"/>
      <c r="BZ39" s="73"/>
      <c r="CA39" s="73"/>
      <c r="CB39" s="73"/>
      <c r="CC39" s="73"/>
      <c r="CD39" s="80" t="str">
        <f t="shared" si="8"/>
        <v/>
      </c>
      <c r="CE39" s="80" t="str">
        <f t="shared" si="9"/>
        <v/>
      </c>
      <c r="CF39" s="73"/>
      <c r="CG39" s="73"/>
      <c r="CH39" s="73"/>
    </row>
    <row r="40">
      <c r="A40" s="238"/>
      <c r="B40" s="80"/>
      <c r="C40" s="80"/>
      <c r="D40" s="80"/>
      <c r="E40" s="124"/>
      <c r="F40" s="80"/>
      <c r="G40" s="80"/>
      <c r="H40" s="80"/>
      <c r="I40" s="80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15"/>
      <c r="AK40" s="80"/>
      <c r="AL40" s="80"/>
      <c r="AM40" s="80"/>
      <c r="AN40" s="80"/>
      <c r="AO40" s="80"/>
      <c r="AP40" s="80"/>
      <c r="AQ40" s="80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54"/>
      <c r="BI40" s="88"/>
      <c r="BJ40" s="73"/>
      <c r="BK40" s="73"/>
      <c r="BL40" s="73"/>
      <c r="BM40" s="73"/>
      <c r="BN40" s="73"/>
      <c r="BO40" s="73"/>
      <c r="BP40" s="73"/>
      <c r="BQ40" s="73"/>
      <c r="BR40" s="73"/>
      <c r="BS40" s="139" t="s">
        <v>29</v>
      </c>
      <c r="BT40" s="73" t="s">
        <v>68</v>
      </c>
      <c r="BU40" s="73" t="s">
        <v>197</v>
      </c>
      <c r="BV40" s="77">
        <f>Price!$P$7</f>
        <v>115</v>
      </c>
      <c r="BW40" s="73"/>
      <c r="BX40" s="73"/>
      <c r="BY40" s="73"/>
      <c r="BZ40" s="73"/>
      <c r="CA40" s="73"/>
      <c r="CB40" s="73"/>
      <c r="CC40" s="73"/>
      <c r="CD40" s="80" t="str">
        <f t="shared" si="8"/>
        <v/>
      </c>
      <c r="CE40" s="80" t="str">
        <f t="shared" si="9"/>
        <v/>
      </c>
      <c r="CF40" s="73"/>
      <c r="CG40" s="73"/>
      <c r="CH40" s="73"/>
    </row>
    <row r="41">
      <c r="A41" s="238"/>
      <c r="B41" s="80"/>
      <c r="C41" s="80"/>
      <c r="D41" s="80"/>
      <c r="E41" s="124"/>
      <c r="F41" s="80"/>
      <c r="G41" s="80"/>
      <c r="H41" s="80"/>
      <c r="I41" s="80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15"/>
      <c r="AK41" s="80"/>
      <c r="AL41" s="80"/>
      <c r="AM41" s="80"/>
      <c r="AN41" s="80"/>
      <c r="AO41" s="80"/>
      <c r="AP41" s="80"/>
      <c r="AQ41" s="80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54"/>
      <c r="BI41" s="88"/>
      <c r="BJ41" s="73"/>
      <c r="BK41" s="73"/>
      <c r="BL41" s="73"/>
      <c r="BM41" s="73"/>
      <c r="BN41" s="73"/>
      <c r="BO41" s="73"/>
      <c r="BP41" s="73"/>
      <c r="BQ41" s="73"/>
      <c r="BR41" s="73"/>
      <c r="BS41" s="139" t="s">
        <v>29</v>
      </c>
      <c r="BT41" s="73" t="s">
        <v>68</v>
      </c>
      <c r="BU41" s="88" t="s">
        <v>199</v>
      </c>
      <c r="BV41" s="77">
        <f>Price!$P$7</f>
        <v>115</v>
      </c>
      <c r="BW41" s="73"/>
      <c r="BX41" s="73"/>
      <c r="BY41" s="73"/>
      <c r="BZ41" s="73"/>
      <c r="CA41" s="73"/>
      <c r="CB41" s="73"/>
      <c r="CC41" s="73"/>
      <c r="CD41" s="80" t="str">
        <f t="shared" si="8"/>
        <v/>
      </c>
      <c r="CE41" s="124" t="str">
        <f>Quotation!D24</f>
        <v/>
      </c>
      <c r="CF41" s="73"/>
      <c r="CG41" s="73"/>
      <c r="CH41" s="73"/>
    </row>
    <row r="42">
      <c r="A42" s="238"/>
      <c r="B42" s="80"/>
      <c r="C42" s="80"/>
      <c r="D42" s="80"/>
      <c r="E42" s="124"/>
      <c r="F42" s="80"/>
      <c r="G42" s="80"/>
      <c r="H42" s="80"/>
      <c r="I42" s="80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15"/>
      <c r="AK42" s="80"/>
      <c r="AL42" s="80"/>
      <c r="AM42" s="80"/>
      <c r="AN42" s="80"/>
      <c r="AO42" s="80"/>
      <c r="AP42" s="80"/>
      <c r="AQ42" s="80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54"/>
      <c r="BI42" s="88"/>
      <c r="BJ42" s="73"/>
      <c r="BK42" s="73"/>
      <c r="BL42" s="73"/>
      <c r="BM42" s="73"/>
      <c r="BN42" s="73"/>
      <c r="BO42" s="73"/>
      <c r="BP42" s="73"/>
      <c r="BQ42" s="73"/>
      <c r="BR42" s="73"/>
      <c r="BS42" s="139" t="s">
        <v>15</v>
      </c>
      <c r="BT42" s="88" t="s">
        <v>68</v>
      </c>
      <c r="BU42" s="73"/>
      <c r="BV42" s="73">
        <f>Sheet2!$O$14</f>
        <v>4.5</v>
      </c>
      <c r="BW42" s="73"/>
      <c r="BX42" s="73"/>
      <c r="BY42" s="73"/>
      <c r="BZ42" s="73"/>
      <c r="CA42" s="73"/>
      <c r="CB42" s="73"/>
      <c r="CC42" s="73"/>
      <c r="CD42" s="80" t="str">
        <f t="shared" si="8"/>
        <v/>
      </c>
      <c r="CE42" s="80" t="str">
        <f>CD42</f>
        <v/>
      </c>
      <c r="CF42" s="73"/>
      <c r="CG42" s="73"/>
      <c r="CH42" s="73"/>
    </row>
    <row r="43">
      <c r="A43" s="238"/>
      <c r="B43" s="80"/>
      <c r="C43" s="80"/>
      <c r="D43" s="80"/>
      <c r="E43" s="124"/>
      <c r="F43" s="80"/>
      <c r="G43" s="80"/>
      <c r="H43" s="80"/>
      <c r="I43" s="80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15"/>
      <c r="AK43" s="80"/>
      <c r="AL43" s="80"/>
      <c r="AM43" s="80"/>
      <c r="AN43" s="80"/>
      <c r="AO43" s="80"/>
      <c r="AP43" s="80"/>
      <c r="AQ43" s="80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54"/>
      <c r="BI43" s="113"/>
      <c r="BJ43" s="73"/>
      <c r="BK43" s="73"/>
      <c r="BL43" s="73"/>
      <c r="BM43" s="73"/>
      <c r="BN43" s="73"/>
      <c r="BO43" s="73"/>
      <c r="BP43" s="73"/>
      <c r="BQ43" s="73"/>
      <c r="BR43" s="73"/>
      <c r="BS43" s="113" t="s">
        <v>15</v>
      </c>
      <c r="BT43" s="88" t="s">
        <v>184</v>
      </c>
      <c r="BU43" s="73"/>
      <c r="BV43" s="107" t="str">
        <f t="shared" ref="BV43:BV45" si="13">$BV$9</f>
        <v/>
      </c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</row>
    <row r="44">
      <c r="A44" s="238"/>
      <c r="B44" s="80"/>
      <c r="C44" s="80"/>
      <c r="D44" s="80"/>
      <c r="E44" s="124"/>
      <c r="F44" s="80"/>
      <c r="G44" s="80"/>
      <c r="H44" s="80"/>
      <c r="I44" s="80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15"/>
      <c r="AK44" s="80"/>
      <c r="AL44" s="80"/>
      <c r="AM44" s="80"/>
      <c r="AN44" s="80"/>
      <c r="AO44" s="80"/>
      <c r="AP44" s="80"/>
      <c r="AQ44" s="80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9"/>
      <c r="BQ44" s="159"/>
      <c r="BR44" s="159"/>
      <c r="BS44" s="113" t="s">
        <v>31</v>
      </c>
      <c r="BT44" s="88" t="s">
        <v>184</v>
      </c>
      <c r="BU44" s="88"/>
      <c r="BV44" s="76" t="str">
        <f t="shared" si="13"/>
        <v/>
      </c>
      <c r="BW44" s="88"/>
      <c r="BX44" s="159"/>
      <c r="BY44" s="88" t="s">
        <v>9</v>
      </c>
      <c r="BZ44" s="159"/>
      <c r="CA44" s="159"/>
      <c r="CB44" s="159"/>
      <c r="CC44" s="159"/>
      <c r="CD44" s="159"/>
      <c r="CE44" s="159"/>
      <c r="CF44" s="159"/>
      <c r="CG44" s="159"/>
      <c r="CH44" s="159"/>
    </row>
    <row r="45">
      <c r="A45" s="238"/>
      <c r="B45" s="80"/>
      <c r="C45" s="80"/>
      <c r="D45" s="80"/>
      <c r="E45" s="124"/>
      <c r="F45" s="80"/>
      <c r="G45" s="80"/>
      <c r="H45" s="80"/>
      <c r="I45" s="80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15"/>
      <c r="AK45" s="80"/>
      <c r="AL45" s="80"/>
      <c r="AM45" s="80"/>
      <c r="AN45" s="80"/>
      <c r="AO45" s="80"/>
      <c r="AP45" s="80"/>
      <c r="AQ45" s="80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80"/>
      <c r="BF45" s="73" t="s">
        <v>207</v>
      </c>
      <c r="BG45" s="77">
        <v>1001.0</v>
      </c>
      <c r="BH45" s="139" t="str">
        <f>IFERROR(__xludf.DUMMYFUNCTION("QUERY(BF45:BG51,BH4)"),"Commercial")</f>
        <v>Commercial</v>
      </c>
      <c r="BI45" s="77">
        <f>IFERROR(__xludf.DUMMYFUNCTION("""COMPUTED_VALUE"""),1926.0)</f>
        <v>1926</v>
      </c>
      <c r="BJ45" s="160" t="str">
        <f>IFERROR(__xludf.DUMMYFUNCTION("QUERY(Price!AY2:AZ50,BI4)"),"#N/A")</f>
        <v>#N/A</v>
      </c>
      <c r="BK45" s="54"/>
      <c r="BL45" s="160" t="str">
        <f>IFERROR(__xludf.DUMMYFUNCTION("QUERY(Price!BC2:BD8,BJ4)"),"Plain")</f>
        <v>Plain</v>
      </c>
      <c r="BM45" s="77">
        <f>IFERROR(__xludf.DUMMYFUNCTION("""COMPUTED_VALUE"""),0.0)</f>
        <v>0</v>
      </c>
      <c r="BN45" s="139" t="str">
        <f>IFERROR(__xludf.DUMMYFUNCTION("QUERY(Price!AW2:AX50,BK4)"),"#N/A")</f>
        <v>#N/A</v>
      </c>
      <c r="BO45" s="77"/>
      <c r="BP45" s="139" t="str">
        <f>IFERROR(__xludf.DUMMYFUNCTION("QUERY(Price!AU2:AV50,BL4)"),"Plain")</f>
        <v>Plain</v>
      </c>
      <c r="BQ45" s="161">
        <f>IFERROR(__xludf.DUMMYFUNCTION("""COMPUTED_VALUE"""),0.0)</f>
        <v>0</v>
      </c>
      <c r="BR45" s="139"/>
      <c r="BS45" s="139" t="s">
        <v>29</v>
      </c>
      <c r="BT45" s="88" t="s">
        <v>184</v>
      </c>
      <c r="BU45" s="73"/>
      <c r="BV45" s="130" t="str">
        <f t="shared" si="13"/>
        <v/>
      </c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</row>
    <row r="46">
      <c r="A46" s="238"/>
      <c r="B46" s="80"/>
      <c r="C46" s="80"/>
      <c r="D46" s="80"/>
      <c r="E46" s="124"/>
      <c r="F46" s="80"/>
      <c r="G46" s="80"/>
      <c r="H46" s="80"/>
      <c r="I46" s="80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15"/>
      <c r="AK46" s="80"/>
      <c r="AL46" s="80"/>
      <c r="AM46" s="80"/>
      <c r="AN46" s="80"/>
      <c r="AO46" s="80"/>
      <c r="AP46" s="80"/>
      <c r="AQ46" s="80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80"/>
      <c r="BF46" s="73" t="s">
        <v>208</v>
      </c>
      <c r="BG46" s="77">
        <v>1002.0</v>
      </c>
      <c r="BH46" s="73"/>
      <c r="BI46" s="139"/>
      <c r="BJ46" s="80"/>
      <c r="BK46" s="54"/>
      <c r="BL46" s="77"/>
      <c r="BM46" s="80"/>
      <c r="BN46" s="139"/>
      <c r="BO46" s="77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</row>
    <row r="47">
      <c r="A47" s="238"/>
      <c r="B47" s="80"/>
      <c r="C47" s="80"/>
      <c r="D47" s="80"/>
      <c r="E47" s="124"/>
      <c r="F47" s="80"/>
      <c r="G47" s="80"/>
      <c r="H47" s="80"/>
      <c r="I47" s="80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15"/>
      <c r="AK47" s="80"/>
      <c r="AL47" s="80"/>
      <c r="AM47" s="80"/>
      <c r="AN47" s="80"/>
      <c r="AO47" s="80"/>
      <c r="AP47" s="80"/>
      <c r="AQ47" s="80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80"/>
      <c r="BF47" s="73" t="s">
        <v>209</v>
      </c>
      <c r="BG47" s="77">
        <v>1004.0</v>
      </c>
      <c r="BH47" s="73"/>
      <c r="BI47" s="139"/>
      <c r="BJ47" s="73"/>
      <c r="BK47" s="88"/>
      <c r="BL47" s="77"/>
      <c r="BM47" s="80"/>
      <c r="BN47" s="139"/>
      <c r="BO47" s="77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</row>
    <row r="48">
      <c r="A48" s="238"/>
      <c r="B48" s="80"/>
      <c r="C48" s="80"/>
      <c r="D48" s="80"/>
      <c r="E48" s="124"/>
      <c r="F48" s="80"/>
      <c r="G48" s="80"/>
      <c r="H48" s="80"/>
      <c r="I48" s="80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15"/>
      <c r="AK48" s="80"/>
      <c r="AL48" s="80"/>
      <c r="AM48" s="80"/>
      <c r="AN48" s="80"/>
      <c r="AO48" s="80"/>
      <c r="AP48" s="80"/>
      <c r="AQ48" s="80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80"/>
      <c r="BF48" s="73" t="s">
        <v>210</v>
      </c>
      <c r="BG48" s="77">
        <v>1003.0</v>
      </c>
      <c r="BH48" s="73"/>
      <c r="BI48" s="139"/>
      <c r="BJ48" s="80"/>
      <c r="BK48" s="54"/>
      <c r="BL48" s="77"/>
      <c r="BM48" s="80"/>
      <c r="BN48" s="139"/>
      <c r="BO48" s="77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</row>
    <row r="49">
      <c r="A49" s="238"/>
      <c r="B49" s="80"/>
      <c r="C49" s="80"/>
      <c r="D49" s="80"/>
      <c r="E49" s="124"/>
      <c r="F49" s="80"/>
      <c r="G49" s="80"/>
      <c r="H49" s="80"/>
      <c r="I49" s="80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15"/>
      <c r="AK49" s="80"/>
      <c r="AL49" s="80"/>
      <c r="AM49" s="80"/>
      <c r="AN49" s="80"/>
      <c r="AO49" s="80"/>
      <c r="AP49" s="80"/>
      <c r="AQ49" s="80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80"/>
      <c r="BF49" s="88" t="s">
        <v>72</v>
      </c>
      <c r="BG49" s="161">
        <v>1926.0</v>
      </c>
      <c r="BH49" s="73"/>
      <c r="BI49" s="139"/>
      <c r="BJ49" s="73"/>
      <c r="BK49" s="88"/>
      <c r="BL49" s="77"/>
      <c r="BM49" s="80"/>
      <c r="BN49" s="139"/>
      <c r="BO49" s="77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</row>
    <row r="50">
      <c r="A50" s="238"/>
      <c r="B50" s="80"/>
      <c r="C50" s="80"/>
      <c r="D50" s="80"/>
      <c r="E50" s="124"/>
      <c r="F50" s="80"/>
      <c r="G50" s="80"/>
      <c r="H50" s="80"/>
      <c r="I50" s="80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15"/>
      <c r="AK50" s="80"/>
      <c r="AL50" s="80"/>
      <c r="AM50" s="80"/>
      <c r="AN50" s="80"/>
      <c r="AO50" s="80"/>
      <c r="AP50" s="80"/>
      <c r="AQ50" s="80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80"/>
      <c r="BF50" s="88" t="s">
        <v>64</v>
      </c>
      <c r="BG50" s="161">
        <v>1926.0</v>
      </c>
      <c r="BH50" s="73"/>
      <c r="BI50" s="139"/>
      <c r="BJ50" s="80"/>
      <c r="BK50" s="88"/>
      <c r="BL50" s="77"/>
      <c r="BM50" s="80"/>
      <c r="BN50" s="139"/>
      <c r="BO50" s="77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</row>
    <row r="51">
      <c r="A51" s="238"/>
      <c r="B51" s="80"/>
      <c r="C51" s="80"/>
      <c r="D51" s="80"/>
      <c r="E51" s="124"/>
      <c r="F51" s="80"/>
      <c r="G51" s="80"/>
      <c r="H51" s="80"/>
      <c r="I51" s="80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15"/>
      <c r="AK51" s="80"/>
      <c r="AL51" s="80"/>
      <c r="AM51" s="80"/>
      <c r="AN51" s="80"/>
      <c r="AO51" s="80"/>
      <c r="AP51" s="80"/>
      <c r="AQ51" s="80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80"/>
      <c r="BF51" s="88" t="s">
        <v>96</v>
      </c>
      <c r="BG51" s="161">
        <v>1005.0</v>
      </c>
      <c r="BH51" s="73"/>
      <c r="BI51" s="139"/>
      <c r="BJ51" s="80"/>
      <c r="BK51" s="77"/>
      <c r="BL51" s="77"/>
      <c r="BM51" s="80"/>
      <c r="BN51" s="139"/>
      <c r="BO51" s="77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</row>
    <row r="52">
      <c r="A52" s="238"/>
      <c r="B52" s="80"/>
      <c r="C52" s="80"/>
      <c r="D52" s="80"/>
      <c r="E52" s="124"/>
      <c r="F52" s="80"/>
      <c r="G52" s="80"/>
      <c r="H52" s="80"/>
      <c r="I52" s="80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15"/>
      <c r="AK52" s="80"/>
      <c r="AL52" s="80"/>
      <c r="AM52" s="80"/>
      <c r="AN52" s="80"/>
      <c r="AO52" s="80"/>
      <c r="AP52" s="80"/>
      <c r="AQ52" s="80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80"/>
      <c r="BF52" s="73"/>
      <c r="BG52" s="139"/>
      <c r="BH52" s="73"/>
      <c r="BI52" s="73"/>
      <c r="BJ52" s="80"/>
      <c r="BK52" s="54"/>
      <c r="BL52" s="77"/>
      <c r="BM52" s="80"/>
      <c r="BN52" s="139"/>
      <c r="BO52" s="77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</row>
    <row r="53">
      <c r="A53" s="238"/>
      <c r="B53" s="80"/>
      <c r="C53" s="80"/>
      <c r="D53" s="80"/>
      <c r="E53" s="124"/>
      <c r="F53" s="80"/>
      <c r="G53" s="80"/>
      <c r="H53" s="80"/>
      <c r="I53" s="80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15"/>
      <c r="AK53" s="80"/>
      <c r="AL53" s="80"/>
      <c r="AM53" s="80"/>
      <c r="AN53" s="80"/>
      <c r="AO53" s="80"/>
      <c r="AP53" s="80"/>
      <c r="AQ53" s="80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80"/>
      <c r="BF53" s="80"/>
      <c r="BG53" s="139"/>
      <c r="BH53" s="73"/>
      <c r="BI53" s="73"/>
      <c r="BJ53" s="139"/>
      <c r="BK53" s="139"/>
      <c r="BL53" s="77"/>
      <c r="BM53" s="73"/>
      <c r="BN53" s="80"/>
      <c r="BO53" s="77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</row>
    <row r="54">
      <c r="A54" s="238"/>
      <c r="B54" s="80"/>
      <c r="C54" s="80"/>
      <c r="D54" s="80"/>
      <c r="E54" s="124"/>
      <c r="F54" s="80"/>
      <c r="G54" s="80"/>
      <c r="H54" s="80"/>
      <c r="I54" s="80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15"/>
      <c r="AK54" s="80"/>
      <c r="AL54" s="80"/>
      <c r="AM54" s="80"/>
      <c r="AN54" s="80"/>
      <c r="AO54" s="80"/>
      <c r="AP54" s="80"/>
      <c r="AQ54" s="80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80"/>
      <c r="BF54" s="80"/>
      <c r="BG54" s="139"/>
      <c r="BH54" s="73"/>
      <c r="BI54" s="139"/>
      <c r="BJ54" s="80"/>
      <c r="BK54" s="80"/>
      <c r="BL54" s="77"/>
      <c r="BM54" s="73"/>
      <c r="BN54" s="80"/>
      <c r="BO54" s="77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</row>
    <row r="55">
      <c r="A55" s="238"/>
      <c r="B55" s="80"/>
      <c r="C55" s="80"/>
      <c r="D55" s="80"/>
      <c r="E55" s="124"/>
      <c r="F55" s="80"/>
      <c r="G55" s="80"/>
      <c r="H55" s="80"/>
      <c r="I55" s="80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15"/>
      <c r="AK55" s="80"/>
      <c r="AL55" s="80"/>
      <c r="AM55" s="80"/>
      <c r="AN55" s="80"/>
      <c r="AO55" s="80"/>
      <c r="AP55" s="80"/>
      <c r="AQ55" s="80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80"/>
      <c r="BF55" s="80"/>
      <c r="BG55" s="139"/>
      <c r="BH55" s="73"/>
      <c r="BI55" s="73"/>
      <c r="BJ55" s="139"/>
      <c r="BK55" s="54"/>
      <c r="BL55" s="77"/>
      <c r="BM55" s="77"/>
      <c r="BN55" s="139"/>
      <c r="BO55" s="77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</row>
    <row r="56">
      <c r="A56" s="238"/>
      <c r="B56" s="80"/>
      <c r="C56" s="80"/>
      <c r="D56" s="80"/>
      <c r="E56" s="124"/>
      <c r="F56" s="80"/>
      <c r="G56" s="80"/>
      <c r="H56" s="80"/>
      <c r="I56" s="80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15"/>
      <c r="AK56" s="80"/>
      <c r="AL56" s="80"/>
      <c r="AM56" s="80"/>
      <c r="AN56" s="80"/>
      <c r="AO56" s="80"/>
      <c r="AP56" s="80"/>
      <c r="AQ56" s="80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80"/>
      <c r="BF56" s="80"/>
      <c r="BG56" s="139"/>
      <c r="BH56" s="73"/>
      <c r="BI56" s="139"/>
      <c r="BJ56" s="80"/>
      <c r="BK56" s="54"/>
      <c r="BL56" s="77"/>
      <c r="BM56" s="80"/>
      <c r="BN56" s="139"/>
      <c r="BO56" s="77"/>
      <c r="BP56" s="139"/>
      <c r="BQ56" s="139"/>
      <c r="BR56" s="139"/>
      <c r="BS56" s="80"/>
      <c r="BT56" s="80"/>
      <c r="BU56" s="80"/>
      <c r="BV56" s="80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</row>
    <row r="57">
      <c r="A57" s="238"/>
      <c r="B57" s="80"/>
      <c r="C57" s="80"/>
      <c r="D57" s="80"/>
      <c r="E57" s="124"/>
      <c r="F57" s="80"/>
      <c r="G57" s="80"/>
      <c r="H57" s="80"/>
      <c r="I57" s="80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15"/>
      <c r="AK57" s="80"/>
      <c r="AL57" s="80"/>
      <c r="AM57" s="80"/>
      <c r="AN57" s="80"/>
      <c r="AO57" s="80"/>
      <c r="AP57" s="80"/>
      <c r="AQ57" s="80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80"/>
      <c r="BF57" s="80"/>
      <c r="BG57" s="139"/>
      <c r="BH57" s="73"/>
      <c r="BI57" s="139"/>
      <c r="BJ57" s="80"/>
      <c r="BK57" s="54"/>
      <c r="BL57" s="77"/>
      <c r="BM57" s="80"/>
      <c r="BN57" s="139"/>
      <c r="BO57" s="77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</row>
    <row r="58">
      <c r="A58" s="238"/>
      <c r="B58" s="80"/>
      <c r="C58" s="80"/>
      <c r="D58" s="80"/>
      <c r="E58" s="124"/>
      <c r="F58" s="80"/>
      <c r="G58" s="80"/>
      <c r="H58" s="80"/>
      <c r="I58" s="80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15"/>
      <c r="AK58" s="80"/>
      <c r="AL58" s="80"/>
      <c r="AM58" s="80"/>
      <c r="AN58" s="80"/>
      <c r="AO58" s="80"/>
      <c r="AP58" s="80"/>
      <c r="AQ58" s="80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80"/>
      <c r="BF58" s="80"/>
      <c r="BG58" s="139"/>
      <c r="BH58" s="160" t="str">
        <f>IFERROR(__xludf.DUMMYFUNCTION("QUERY(Price!BA2:BB50,BN4)"),"#N/A")</f>
        <v>#N/A</v>
      </c>
      <c r="BI58" s="139"/>
      <c r="BJ58" s="73"/>
      <c r="BK58" s="88"/>
      <c r="BL58" s="139" t="str">
        <f>IFERROR(__xludf.DUMMYFUNCTION("QUERY(Price!BC2:BD15,BM4)"),"Plain")</f>
        <v>Plain</v>
      </c>
      <c r="BM58" s="80">
        <f>IFERROR(__xludf.DUMMYFUNCTION("""COMPUTED_VALUE"""),0.0)</f>
        <v>0</v>
      </c>
      <c r="BN58" s="162" t="str">
        <f>IFERROR(__xludf.DUMMYFUNCTION("QUERY(Price!AW2:AX50,BO4)"),"#N/A")</f>
        <v>#N/A</v>
      </c>
      <c r="BO58" s="77"/>
      <c r="BP58" s="139"/>
      <c r="BQ58" s="139"/>
      <c r="BR58" s="139"/>
      <c r="BS58" s="139"/>
      <c r="BT58" s="139"/>
      <c r="BU58" s="139"/>
      <c r="BV58" s="139"/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</row>
    <row r="59">
      <c r="A59" s="238"/>
      <c r="B59" s="80"/>
      <c r="C59" s="80"/>
      <c r="D59" s="80"/>
      <c r="E59" s="124"/>
      <c r="F59" s="80"/>
      <c r="G59" s="80"/>
      <c r="H59" s="80"/>
      <c r="I59" s="80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15"/>
      <c r="AK59" s="80"/>
      <c r="AL59" s="80"/>
      <c r="AM59" s="80"/>
      <c r="AN59" s="80"/>
      <c r="AO59" s="80"/>
      <c r="AP59" s="80"/>
      <c r="AQ59" s="80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80"/>
      <c r="BF59" s="80"/>
      <c r="BG59" s="139"/>
      <c r="BH59" s="73"/>
      <c r="BI59" s="139"/>
      <c r="BJ59" s="73"/>
      <c r="BK59" s="88"/>
      <c r="BL59" s="77"/>
      <c r="BM59" s="80"/>
      <c r="BN59" s="139"/>
      <c r="BO59" s="77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80"/>
      <c r="CD59" s="233" t="str">
        <f>Sheet2!CD46</f>
        <v/>
      </c>
      <c r="CE59" s="80"/>
      <c r="CF59" s="80"/>
      <c r="CG59" s="139"/>
      <c r="CH59" s="139"/>
    </row>
    <row r="60">
      <c r="A60" s="238"/>
      <c r="B60" s="80"/>
      <c r="C60" s="80"/>
      <c r="D60" s="80"/>
      <c r="E60" s="124"/>
      <c r="F60" s="80"/>
      <c r="G60" s="80"/>
      <c r="H60" s="80"/>
      <c r="I60" s="80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15"/>
      <c r="AK60" s="80"/>
      <c r="AL60" s="80"/>
      <c r="AM60" s="80"/>
      <c r="AN60" s="80"/>
      <c r="AO60" s="80"/>
      <c r="AP60" s="80"/>
      <c r="AQ60" s="80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80"/>
      <c r="BF60" s="80"/>
      <c r="BG60" s="139"/>
      <c r="BH60" s="73"/>
      <c r="BI60" s="139"/>
      <c r="BJ60" s="80"/>
      <c r="BK60" s="88"/>
      <c r="BL60" s="77"/>
      <c r="BM60" s="80"/>
      <c r="BN60" s="139"/>
      <c r="BO60" s="77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01" t="s">
        <v>63</v>
      </c>
      <c r="CD60" s="88" t="s">
        <v>211</v>
      </c>
      <c r="CE60" s="163">
        <v>1926.0</v>
      </c>
      <c r="CF60" s="163">
        <v>2841.0</v>
      </c>
      <c r="CG60" s="161">
        <v>1.0</v>
      </c>
      <c r="CH60" s="161">
        <v>750.0</v>
      </c>
    </row>
    <row r="61">
      <c r="A61" s="238"/>
      <c r="B61" s="80"/>
      <c r="C61" s="80"/>
      <c r="D61" s="80"/>
      <c r="E61" s="124"/>
      <c r="F61" s="80"/>
      <c r="G61" s="80"/>
      <c r="H61" s="80"/>
      <c r="I61" s="80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15"/>
      <c r="AK61" s="80"/>
      <c r="AL61" s="80"/>
      <c r="AM61" s="80"/>
      <c r="AN61" s="80"/>
      <c r="AO61" s="80"/>
      <c r="AP61" s="80"/>
      <c r="AQ61" s="80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80"/>
      <c r="BF61" s="80"/>
      <c r="BG61" s="139"/>
      <c r="BH61" s="73"/>
      <c r="BI61" s="139"/>
      <c r="BJ61" s="80"/>
      <c r="BK61" s="77"/>
      <c r="BL61" s="77"/>
      <c r="BM61" s="80"/>
      <c r="BN61" s="139"/>
      <c r="BO61" s="77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01" t="s">
        <v>63</v>
      </c>
      <c r="CD61" s="88" t="s">
        <v>211</v>
      </c>
      <c r="CE61" s="164">
        <v>2029.0</v>
      </c>
      <c r="CF61" s="163">
        <v>2841.0</v>
      </c>
      <c r="CG61" s="161">
        <v>1.0</v>
      </c>
      <c r="CH61" s="161">
        <v>750.0</v>
      </c>
    </row>
    <row r="62">
      <c r="A62" s="238"/>
      <c r="B62" s="80"/>
      <c r="C62" s="80"/>
      <c r="D62" s="80"/>
      <c r="E62" s="124"/>
      <c r="F62" s="80"/>
      <c r="G62" s="80"/>
      <c r="H62" s="80"/>
      <c r="I62" s="80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15"/>
      <c r="AK62" s="80"/>
      <c r="AL62" s="80"/>
      <c r="AM62" s="80"/>
      <c r="AN62" s="80"/>
      <c r="AO62" s="80"/>
      <c r="AP62" s="80"/>
      <c r="AQ62" s="80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80"/>
      <c r="BF62" s="80"/>
      <c r="BG62" s="139"/>
      <c r="BH62" s="80"/>
      <c r="BI62" s="73"/>
      <c r="BJ62" s="80"/>
      <c r="BK62" s="77"/>
      <c r="BL62" s="77"/>
      <c r="BM62" s="77"/>
      <c r="BN62" s="139"/>
      <c r="BO62" s="77"/>
      <c r="BP62" s="139"/>
      <c r="BQ62" s="139"/>
      <c r="BR62" s="139"/>
      <c r="BS62" s="139"/>
      <c r="BT62" s="139"/>
      <c r="BU62" s="139"/>
      <c r="BV62" s="139"/>
      <c r="BW62" s="139"/>
      <c r="BX62" s="139"/>
      <c r="BY62" s="139"/>
      <c r="BZ62" s="128" t="str">
        <f>IF(BZ64="","","and BZ = '"&amp;BZ64&amp;"'")</f>
        <v>and BZ = 'Printing'</v>
      </c>
      <c r="CA62" s="139"/>
      <c r="CB62" s="139"/>
      <c r="CC62" s="101" t="s">
        <v>63</v>
      </c>
      <c r="CD62" s="88" t="s">
        <v>211</v>
      </c>
      <c r="CE62" s="163">
        <v>2840.0</v>
      </c>
      <c r="CF62" s="163">
        <v>2841.0</v>
      </c>
      <c r="CG62" s="161">
        <v>1.0</v>
      </c>
      <c r="CH62" s="161">
        <v>750.0</v>
      </c>
    </row>
    <row r="63">
      <c r="A63" s="238"/>
      <c r="B63" s="80"/>
      <c r="C63" s="80"/>
      <c r="D63" s="80"/>
      <c r="E63" s="124"/>
      <c r="F63" s="80"/>
      <c r="G63" s="80"/>
      <c r="H63" s="80"/>
      <c r="I63" s="80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15"/>
      <c r="AK63" s="80"/>
      <c r="AL63" s="80"/>
      <c r="AM63" s="80"/>
      <c r="AN63" s="80"/>
      <c r="AO63" s="80"/>
      <c r="AP63" s="80"/>
      <c r="AQ63" s="80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80"/>
      <c r="BF63" s="80"/>
      <c r="BG63" s="139"/>
      <c r="BH63" s="80"/>
      <c r="BI63" s="73"/>
      <c r="BJ63" s="80"/>
      <c r="BK63" s="77"/>
      <c r="BL63" s="77"/>
      <c r="BM63" s="77"/>
      <c r="BN63" s="139"/>
      <c r="BO63" s="77"/>
      <c r="BP63" s="139"/>
      <c r="BQ63" s="139"/>
      <c r="BR63" s="139"/>
      <c r="BS63" s="139"/>
      <c r="BT63" s="139"/>
      <c r="BU63" s="139"/>
      <c r="BV63" s="139"/>
      <c r="BW63" s="139"/>
      <c r="BX63" s="139"/>
      <c r="BY63" s="139"/>
      <c r="BZ63" s="133" t="str">
        <f>CONCATENATE("select * where 1=1",BZ62)</f>
        <v>select * where 1=1and BZ = 'Printing'</v>
      </c>
      <c r="CA63" s="139"/>
      <c r="CB63" s="139"/>
      <c r="CC63" s="101" t="s">
        <v>63</v>
      </c>
      <c r="CD63" s="101" t="s">
        <v>18</v>
      </c>
      <c r="CE63" s="163">
        <v>1926.0</v>
      </c>
      <c r="CF63" s="163">
        <v>1926.0</v>
      </c>
      <c r="CG63" s="161">
        <v>0.0</v>
      </c>
      <c r="CH63" s="161">
        <f>Price!Y15</f>
        <v>250</v>
      </c>
    </row>
    <row r="64">
      <c r="A64" s="238"/>
      <c r="B64" s="80"/>
      <c r="C64" s="80"/>
      <c r="D64" s="80"/>
      <c r="E64" s="124"/>
      <c r="F64" s="80"/>
      <c r="G64" s="80"/>
      <c r="H64" s="80"/>
      <c r="I64" s="80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15"/>
      <c r="AK64" s="80"/>
      <c r="AL64" s="80"/>
      <c r="AM64" s="80"/>
      <c r="AN64" s="80"/>
      <c r="AO64" s="80"/>
      <c r="AP64" s="80"/>
      <c r="AQ64" s="80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80"/>
      <c r="BF64" s="80"/>
      <c r="BG64" s="139"/>
      <c r="BH64" s="73"/>
      <c r="BI64" s="73"/>
      <c r="BJ64" s="80"/>
      <c r="BK64" s="77"/>
      <c r="BL64" s="77"/>
      <c r="BM64" s="77"/>
      <c r="BN64" s="139"/>
      <c r="BO64" s="77"/>
      <c r="BP64" s="139"/>
      <c r="BQ64" s="139"/>
      <c r="BR64" s="139"/>
      <c r="BS64" s="139"/>
      <c r="BT64" s="139"/>
      <c r="BU64" s="139"/>
      <c r="BV64" s="139"/>
      <c r="BW64" s="139"/>
      <c r="BX64" s="139"/>
      <c r="BY64" s="80" t="str">
        <f>Quotation!A45</f>
        <v>Offset</v>
      </c>
      <c r="BZ64" s="80" t="str">
        <f>Quotation!A49</f>
        <v>Printing</v>
      </c>
      <c r="CA64" s="130">
        <f>Quotation!F50</f>
        <v>1926</v>
      </c>
      <c r="CB64" s="80" t="str">
        <f>Quotation!A50</f>
        <v>New Job</v>
      </c>
      <c r="CC64" s="101" t="s">
        <v>63</v>
      </c>
      <c r="CD64" s="101" t="s">
        <v>18</v>
      </c>
      <c r="CE64" s="164">
        <v>2029.0</v>
      </c>
      <c r="CF64" s="164">
        <v>2029.0</v>
      </c>
      <c r="CG64" s="163">
        <v>0.0</v>
      </c>
      <c r="CH64" s="163">
        <f>Price!Z15</f>
        <v>275</v>
      </c>
    </row>
    <row r="65">
      <c r="A65" s="238"/>
      <c r="B65" s="80"/>
      <c r="C65" s="80"/>
      <c r="D65" s="80"/>
      <c r="E65" s="124"/>
      <c r="F65" s="80"/>
      <c r="G65" s="80"/>
      <c r="H65" s="80"/>
      <c r="I65" s="80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15"/>
      <c r="AK65" s="80"/>
      <c r="AL65" s="80"/>
      <c r="AM65" s="80"/>
      <c r="AN65" s="80"/>
      <c r="AO65" s="80"/>
      <c r="AP65" s="80"/>
      <c r="AQ65" s="80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80"/>
      <c r="BF65" s="80"/>
      <c r="BG65" s="139"/>
      <c r="BH65" s="73"/>
      <c r="BI65" s="73"/>
      <c r="BJ65" s="80"/>
      <c r="BK65" s="77"/>
      <c r="BL65" s="77"/>
      <c r="BM65" s="77"/>
      <c r="BN65" s="139"/>
      <c r="BO65" s="77"/>
      <c r="BP65" s="139"/>
      <c r="BQ65" s="139"/>
      <c r="BR65" s="139"/>
      <c r="BS65" s="139"/>
      <c r="BT65" s="139"/>
      <c r="BU65" s="139"/>
      <c r="BV65" s="139"/>
      <c r="BW65" s="139"/>
      <c r="BX65" s="139"/>
      <c r="BY65" s="139" t="str">
        <f>IF(BY64="","","and CC = '"&amp;BY64&amp;"'")</f>
        <v>and CC = 'Offset'</v>
      </c>
      <c r="BZ65" s="139" t="str">
        <f>IF(BZ64="","","and CD = '"&amp;BZ64&amp;"'")</f>
        <v>and CD = 'Printing'</v>
      </c>
      <c r="CA65" s="139" t="str">
        <f>IF(CA64="","","and CA = "&amp;CA64&amp;"")</f>
        <v>and CA = 1926</v>
      </c>
      <c r="CB65" s="139" t="str">
        <f>IF(CB64="","","and CD = '"&amp;CB64&amp;"'")</f>
        <v>and CD = 'New Job'</v>
      </c>
      <c r="CC65" s="101" t="s">
        <v>63</v>
      </c>
      <c r="CD65" s="101" t="s">
        <v>18</v>
      </c>
      <c r="CE65" s="163">
        <v>2840.0</v>
      </c>
      <c r="CF65" s="163">
        <v>2840.0</v>
      </c>
      <c r="CG65" s="163">
        <v>0.0</v>
      </c>
      <c r="CH65" s="163">
        <f>Price!Y18</f>
        <v>650</v>
      </c>
    </row>
    <row r="66">
      <c r="A66" s="238"/>
      <c r="B66" s="80"/>
      <c r="C66" s="80"/>
      <c r="D66" s="80"/>
      <c r="E66" s="124"/>
      <c r="F66" s="80"/>
      <c r="G66" s="80"/>
      <c r="H66" s="80"/>
      <c r="I66" s="80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15"/>
      <c r="AK66" s="80"/>
      <c r="AL66" s="80"/>
      <c r="AM66" s="80"/>
      <c r="AN66" s="80"/>
      <c r="AO66" s="80"/>
      <c r="AP66" s="80"/>
      <c r="AQ66" s="80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80"/>
      <c r="BF66" s="80"/>
      <c r="BG66" s="139"/>
      <c r="BH66" s="73"/>
      <c r="BI66" s="73"/>
      <c r="BJ66" s="80"/>
      <c r="BK66" s="77"/>
      <c r="BL66" s="77"/>
      <c r="BM66" s="77"/>
      <c r="BN66" s="139"/>
      <c r="BO66" s="77"/>
      <c r="BP66" s="139"/>
      <c r="BQ66" s="139"/>
      <c r="BR66" s="139"/>
      <c r="BS66" s="139"/>
      <c r="BT66" s="139"/>
      <c r="BU66" s="139"/>
      <c r="BV66" s="139"/>
      <c r="BW66" s="139"/>
      <c r="BX66" s="139"/>
      <c r="BY66" s="113" t="str">
        <f t="shared" ref="BY66:CB66" si="14">CONCATENATE("select * where 1=1",BY65)</f>
        <v>select * where 1=1and CC = 'Offset'</v>
      </c>
      <c r="BZ66" s="113" t="str">
        <f t="shared" si="14"/>
        <v>select * where 1=1and CD = 'Printing'</v>
      </c>
      <c r="CA66" s="113" t="str">
        <f t="shared" si="14"/>
        <v>select * where 1=1and CA = 1926</v>
      </c>
      <c r="CB66" s="113" t="str">
        <f t="shared" si="14"/>
        <v>select * where 1=1and CD = 'New Job'</v>
      </c>
      <c r="CC66" s="101" t="s">
        <v>212</v>
      </c>
      <c r="CD66" s="101" t="s">
        <v>18</v>
      </c>
      <c r="CE66" s="163">
        <v>1001.0</v>
      </c>
      <c r="CF66" s="163">
        <v>1001.0</v>
      </c>
      <c r="CG66" s="163">
        <v>0.0</v>
      </c>
      <c r="CH66" s="101"/>
    </row>
    <row r="67">
      <c r="A67" s="238"/>
      <c r="B67" s="80"/>
      <c r="C67" s="80"/>
      <c r="D67" s="80"/>
      <c r="E67" s="124"/>
      <c r="F67" s="80"/>
      <c r="G67" s="80"/>
      <c r="H67" s="80"/>
      <c r="I67" s="80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15"/>
      <c r="AK67" s="80"/>
      <c r="AL67" s="80"/>
      <c r="AM67" s="80"/>
      <c r="AN67" s="80"/>
      <c r="AO67" s="80"/>
      <c r="AP67" s="80"/>
      <c r="AQ67" s="80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113" t="str">
        <f>IFERROR(__xludf.DUMMYFUNCTION("QUERY(CC60:CF71,BY66)"),"Offset")</f>
        <v>Offset</v>
      </c>
      <c r="BZ67" s="80" t="str">
        <f>IFERROR(__xludf.DUMMYFUNCTION("""COMPUTED_VALUE"""),"Met-Pet")</f>
        <v>Met-Pet</v>
      </c>
      <c r="CA67" s="166">
        <f>IFERROR(__xludf.DUMMYFUNCTION("""COMPUTED_VALUE"""),1926.0)</f>
        <v>1926</v>
      </c>
      <c r="CB67" s="129">
        <f>IFERROR(__xludf.DUMMYFUNCTION("""COMPUTED_VALUE"""),2841.0)</f>
        <v>2841</v>
      </c>
      <c r="CC67" s="101" t="s">
        <v>212</v>
      </c>
      <c r="CD67" s="101" t="s">
        <v>18</v>
      </c>
      <c r="CE67" s="163">
        <v>1002.0</v>
      </c>
      <c r="CF67" s="163">
        <v>1002.0</v>
      </c>
      <c r="CG67" s="163">
        <v>0.0</v>
      </c>
      <c r="CH67" s="101"/>
    </row>
    <row r="68">
      <c r="A68" s="238"/>
      <c r="B68" s="80"/>
      <c r="C68" s="80"/>
      <c r="D68" s="80"/>
      <c r="E68" s="124"/>
      <c r="F68" s="80"/>
      <c r="G68" s="80"/>
      <c r="H68" s="80"/>
      <c r="I68" s="80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15"/>
      <c r="AK68" s="80"/>
      <c r="AL68" s="80"/>
      <c r="AM68" s="80"/>
      <c r="AN68" s="80"/>
      <c r="AO68" s="80"/>
      <c r="AP68" s="80"/>
      <c r="AQ68" s="80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80" t="str">
        <f>IFERROR(__xludf.DUMMYFUNCTION("""COMPUTED_VALUE"""),"Offset")</f>
        <v>Offset</v>
      </c>
      <c r="BZ68" s="80" t="str">
        <f>IFERROR(__xludf.DUMMYFUNCTION("""COMPUTED_VALUE"""),"Met-Pet")</f>
        <v>Met-Pet</v>
      </c>
      <c r="CA68" s="129">
        <f>IFERROR(__xludf.DUMMYFUNCTION("""COMPUTED_VALUE"""),2029.0)</f>
        <v>2029</v>
      </c>
      <c r="CB68" s="129">
        <f>IFERROR(__xludf.DUMMYFUNCTION("""COMPUTED_VALUE"""),2841.0)</f>
        <v>2841</v>
      </c>
      <c r="CC68" s="101" t="s">
        <v>212</v>
      </c>
      <c r="CD68" s="101" t="s">
        <v>18</v>
      </c>
      <c r="CE68" s="163">
        <v>1003.0</v>
      </c>
      <c r="CF68" s="163">
        <v>1003.0</v>
      </c>
      <c r="CG68" s="163">
        <v>0.0</v>
      </c>
      <c r="CH68" s="101"/>
    </row>
    <row r="69">
      <c r="A69" s="238"/>
      <c r="B69" s="80"/>
      <c r="C69" s="80"/>
      <c r="D69" s="80"/>
      <c r="E69" s="124"/>
      <c r="F69" s="80"/>
      <c r="G69" s="80"/>
      <c r="H69" s="80"/>
      <c r="I69" s="80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15"/>
      <c r="AK69" s="80"/>
      <c r="AL69" s="80"/>
      <c r="AM69" s="80"/>
      <c r="AN69" s="80"/>
      <c r="AO69" s="80"/>
      <c r="AP69" s="80"/>
      <c r="AQ69" s="80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113"/>
      <c r="BH69" s="73"/>
      <c r="BI69" s="88"/>
      <c r="BJ69" s="73"/>
      <c r="BK69" s="73"/>
      <c r="BL69" s="88"/>
      <c r="BM69" s="73"/>
      <c r="BN69" s="73"/>
      <c r="BO69" s="77"/>
      <c r="BP69" s="139"/>
      <c r="BQ69" s="73"/>
      <c r="BR69" s="73"/>
      <c r="BS69" s="73"/>
      <c r="BT69" s="73"/>
      <c r="BU69" s="73"/>
      <c r="BV69" s="73"/>
      <c r="BW69" s="73"/>
      <c r="BX69" s="73"/>
      <c r="BY69" s="80" t="str">
        <f>IFERROR(__xludf.DUMMYFUNCTION("""COMPUTED_VALUE"""),"Offset")</f>
        <v>Offset</v>
      </c>
      <c r="BZ69" s="80" t="str">
        <f>IFERROR(__xludf.DUMMYFUNCTION("""COMPUTED_VALUE"""),"Met-Pet")</f>
        <v>Met-Pet</v>
      </c>
      <c r="CA69" s="129">
        <f>IFERROR(__xludf.DUMMYFUNCTION("""COMPUTED_VALUE"""),2840.0)</f>
        <v>2840</v>
      </c>
      <c r="CB69" s="129">
        <f>IFERROR(__xludf.DUMMYFUNCTION("""COMPUTED_VALUE"""),2841.0)</f>
        <v>2841</v>
      </c>
      <c r="CC69" s="101" t="s">
        <v>212</v>
      </c>
      <c r="CD69" s="101" t="s">
        <v>18</v>
      </c>
      <c r="CE69" s="163">
        <v>1004.0</v>
      </c>
      <c r="CF69" s="163">
        <v>1004.0</v>
      </c>
      <c r="CG69" s="163">
        <v>0.0</v>
      </c>
      <c r="CH69" s="101"/>
    </row>
    <row r="70">
      <c r="A70" s="80"/>
      <c r="B70" s="80"/>
      <c r="C70" s="80"/>
      <c r="D70" s="80"/>
      <c r="E70" s="124"/>
      <c r="F70" s="80"/>
      <c r="G70" s="80"/>
      <c r="H70" s="80"/>
      <c r="I70" s="80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15"/>
      <c r="AK70" s="80"/>
      <c r="AL70" s="80"/>
      <c r="AM70" s="80"/>
      <c r="AN70" s="80"/>
      <c r="AO70" s="80"/>
      <c r="AP70" s="80"/>
      <c r="AQ70" s="80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113"/>
      <c r="BH70" s="73"/>
      <c r="BI70" s="113"/>
      <c r="BJ70" s="73"/>
      <c r="BK70" s="73"/>
      <c r="BL70" s="88"/>
      <c r="BM70" s="73"/>
      <c r="BN70" s="73"/>
      <c r="BO70" s="77"/>
      <c r="BP70" s="139"/>
      <c r="BQ70" s="73"/>
      <c r="BR70" s="73"/>
      <c r="BS70" s="73"/>
      <c r="BT70" s="73"/>
      <c r="BU70" s="73"/>
      <c r="BV70" s="73"/>
      <c r="BW70" s="73"/>
      <c r="BX70" s="73"/>
      <c r="BY70" s="80" t="str">
        <f>IFERROR(__xludf.DUMMYFUNCTION("""COMPUTED_VALUE"""),"Offset")</f>
        <v>Offset</v>
      </c>
      <c r="BZ70" s="80" t="str">
        <f>IFERROR(__xludf.DUMMYFUNCTION("""COMPUTED_VALUE"""),"Printing")</f>
        <v>Printing</v>
      </c>
      <c r="CA70" s="129">
        <f>IFERROR(__xludf.DUMMYFUNCTION("""COMPUTED_VALUE"""),1926.0)</f>
        <v>1926</v>
      </c>
      <c r="CB70" s="129">
        <f>IFERROR(__xludf.DUMMYFUNCTION("""COMPUTED_VALUE"""),1926.0)</f>
        <v>1926</v>
      </c>
      <c r="CC70" s="101" t="s">
        <v>212</v>
      </c>
      <c r="CD70" s="101" t="s">
        <v>18</v>
      </c>
      <c r="CE70" s="163">
        <v>1005.0</v>
      </c>
      <c r="CF70" s="163">
        <v>1005.0</v>
      </c>
      <c r="CG70" s="163">
        <v>0.0</v>
      </c>
      <c r="CH70" s="101"/>
    </row>
    <row r="71">
      <c r="A71" s="80"/>
      <c r="B71" s="80"/>
      <c r="C71" s="80"/>
      <c r="D71" s="80"/>
      <c r="E71" s="124"/>
      <c r="F71" s="80"/>
      <c r="G71" s="80"/>
      <c r="H71" s="80"/>
      <c r="I71" s="80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15"/>
      <c r="AK71" s="80"/>
      <c r="AL71" s="80"/>
      <c r="AM71" s="80"/>
      <c r="AN71" s="80"/>
      <c r="AO71" s="80"/>
      <c r="AP71" s="80"/>
      <c r="AQ71" s="80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88"/>
      <c r="BH71" s="73"/>
      <c r="BI71" s="113"/>
      <c r="BJ71" s="73"/>
      <c r="BK71" s="73"/>
      <c r="BL71" s="88"/>
      <c r="BM71" s="73"/>
      <c r="BN71" s="73"/>
      <c r="BO71" s="77"/>
      <c r="BP71" s="139"/>
      <c r="BQ71" s="73"/>
      <c r="BR71" s="73"/>
      <c r="BS71" s="73"/>
      <c r="BT71" s="73"/>
      <c r="BU71" s="73"/>
      <c r="BV71" s="73"/>
      <c r="BW71" s="73"/>
      <c r="BX71" s="73"/>
      <c r="BY71" s="80" t="str">
        <f>IFERROR(__xludf.DUMMYFUNCTION("""COMPUTED_VALUE"""),"Offset")</f>
        <v>Offset</v>
      </c>
      <c r="BZ71" s="80" t="str">
        <f>IFERROR(__xludf.DUMMYFUNCTION("""COMPUTED_VALUE"""),"Printing")</f>
        <v>Printing</v>
      </c>
      <c r="CA71" s="129">
        <f>IFERROR(__xludf.DUMMYFUNCTION("""COMPUTED_VALUE"""),2029.0)</f>
        <v>2029</v>
      </c>
      <c r="CB71" s="129">
        <f>IFERROR(__xludf.DUMMYFUNCTION("""COMPUTED_VALUE"""),2029.0)</f>
        <v>2029</v>
      </c>
      <c r="CC71" s="101"/>
      <c r="CD71" s="101"/>
      <c r="CE71" s="80"/>
      <c r="CF71" s="80"/>
      <c r="CG71" s="73"/>
      <c r="CH71" s="73"/>
    </row>
    <row r="72">
      <c r="A72" s="80"/>
      <c r="B72" s="80"/>
      <c r="C72" s="80"/>
      <c r="D72" s="80"/>
      <c r="E72" s="124"/>
      <c r="F72" s="80"/>
      <c r="G72" s="80"/>
      <c r="H72" s="80"/>
      <c r="I72" s="80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15"/>
      <c r="AK72" s="80"/>
      <c r="AL72" s="80"/>
      <c r="AM72" s="80"/>
      <c r="AN72" s="80"/>
      <c r="AO72" s="80"/>
      <c r="AP72" s="80"/>
      <c r="AQ72" s="80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88"/>
      <c r="BH72" s="73"/>
      <c r="BI72" s="113"/>
      <c r="BJ72" s="73"/>
      <c r="BK72" s="73"/>
      <c r="BL72" s="88"/>
      <c r="BM72" s="73"/>
      <c r="BN72" s="73"/>
      <c r="BO72" s="77"/>
      <c r="BP72" s="139"/>
      <c r="BQ72" s="73"/>
      <c r="BR72" s="73"/>
      <c r="BS72" s="73"/>
      <c r="BT72" s="73"/>
      <c r="BU72" s="73"/>
      <c r="BV72" s="73"/>
      <c r="BW72" s="73"/>
      <c r="BX72" s="73"/>
      <c r="BY72" s="80" t="str">
        <f>IFERROR(__xludf.DUMMYFUNCTION("""COMPUTED_VALUE"""),"Offset")</f>
        <v>Offset</v>
      </c>
      <c r="BZ72" s="80" t="str">
        <f>IFERROR(__xludf.DUMMYFUNCTION("""COMPUTED_VALUE"""),"Printing")</f>
        <v>Printing</v>
      </c>
      <c r="CA72" s="129">
        <f>IFERROR(__xludf.DUMMYFUNCTION("""COMPUTED_VALUE"""),2840.0)</f>
        <v>2840</v>
      </c>
      <c r="CB72" s="129">
        <f>IFERROR(__xludf.DUMMYFUNCTION("""COMPUTED_VALUE"""),2840.0)</f>
        <v>2840</v>
      </c>
      <c r="CC72" s="80"/>
      <c r="CD72" s="80"/>
      <c r="CE72" s="80"/>
      <c r="CF72" s="80"/>
      <c r="CG72" s="73"/>
      <c r="CH72" s="73"/>
    </row>
    <row r="73">
      <c r="A73" s="80"/>
      <c r="B73" s="80"/>
      <c r="C73" s="80"/>
      <c r="D73" s="80"/>
      <c r="E73" s="124"/>
      <c r="F73" s="80"/>
      <c r="G73" s="80"/>
      <c r="H73" s="80"/>
      <c r="I73" s="80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15"/>
      <c r="AK73" s="80"/>
      <c r="AL73" s="80"/>
      <c r="AM73" s="80"/>
      <c r="AN73" s="80"/>
      <c r="AO73" s="80"/>
      <c r="AP73" s="80"/>
      <c r="AQ73" s="80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88"/>
      <c r="BH73" s="73"/>
      <c r="BI73" s="113"/>
      <c r="BJ73" s="73"/>
      <c r="BK73" s="73"/>
      <c r="BL73" s="88"/>
      <c r="BM73" s="73"/>
      <c r="BN73" s="73"/>
      <c r="BO73" s="77"/>
      <c r="BP73" s="139"/>
      <c r="BQ73" s="73"/>
      <c r="BR73" s="73"/>
      <c r="BS73" s="73"/>
      <c r="BT73" s="73"/>
      <c r="BU73" s="73"/>
      <c r="BV73" s="73"/>
      <c r="BW73" s="73"/>
      <c r="BX73" s="73"/>
      <c r="BY73" s="80"/>
      <c r="BZ73" s="80"/>
      <c r="CA73" s="80"/>
      <c r="CB73" s="80"/>
      <c r="CC73" s="80"/>
      <c r="CD73" s="80"/>
      <c r="CE73" s="80"/>
      <c r="CF73" s="80"/>
      <c r="CG73" s="73"/>
      <c r="CH73" s="73"/>
    </row>
    <row r="74">
      <c r="A74" s="80"/>
      <c r="B74" s="80"/>
      <c r="C74" s="80"/>
      <c r="D74" s="80"/>
      <c r="E74" s="124"/>
      <c r="F74" s="80"/>
      <c r="G74" s="80"/>
      <c r="H74" s="80"/>
      <c r="I74" s="80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15"/>
      <c r="AK74" s="80"/>
      <c r="AL74" s="80"/>
      <c r="AM74" s="80"/>
      <c r="AN74" s="80"/>
      <c r="AO74" s="80"/>
      <c r="AP74" s="80"/>
      <c r="AQ74" s="80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139" t="str">
        <f>IFERROR(__xludf.DUMMYFUNCTION("QUERY(CD60:CH70,BZ66)"),"Printing")</f>
        <v>Printing</v>
      </c>
      <c r="BZ74" s="129">
        <f>IFERROR(__xludf.DUMMYFUNCTION("""COMPUTED_VALUE"""),1926.0)</f>
        <v>1926</v>
      </c>
      <c r="CA74" s="129">
        <f>IFERROR(__xludf.DUMMYFUNCTION("""COMPUTED_VALUE"""),1926.0)</f>
        <v>1926</v>
      </c>
      <c r="CB74" s="166">
        <f>IFERROR(__xludf.DUMMYFUNCTION("""COMPUTED_VALUE"""),0.0)</f>
        <v>0</v>
      </c>
      <c r="CC74" s="166">
        <f>IFERROR(__xludf.DUMMYFUNCTION("""COMPUTED_VALUE"""),250.0)</f>
        <v>250</v>
      </c>
      <c r="CD74" s="166">
        <f>IFERROR(__xludf.DUMMYFUNCTION("QUERY(BZ74:CC80,CA66)"),1926.0)</f>
        <v>1926</v>
      </c>
      <c r="CE74" s="129">
        <f>IFERROR(__xludf.DUMMYFUNCTION("""COMPUTED_VALUE"""),1926.0)</f>
        <v>1926</v>
      </c>
      <c r="CF74" s="129">
        <f>IFERROR(__xludf.DUMMYFUNCTION("""COMPUTED_VALUE"""),0.0)</f>
        <v>0</v>
      </c>
      <c r="CG74" s="129">
        <f>IFERROR(__xludf.DUMMYFUNCTION("""COMPUTED_VALUE"""),250.0)</f>
        <v>250</v>
      </c>
      <c r="CH74" s="73"/>
    </row>
    <row r="75">
      <c r="A75" s="80"/>
      <c r="B75" s="80"/>
      <c r="C75" s="80"/>
      <c r="D75" s="80"/>
      <c r="E75" s="124"/>
      <c r="F75" s="80"/>
      <c r="G75" s="80"/>
      <c r="H75" s="80"/>
      <c r="I75" s="80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15"/>
      <c r="AK75" s="80"/>
      <c r="AL75" s="80"/>
      <c r="AM75" s="80"/>
      <c r="AN75" s="80"/>
      <c r="AO75" s="80"/>
      <c r="AP75" s="80"/>
      <c r="AQ75" s="80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0" t="str">
        <f>IFERROR(__xludf.DUMMYFUNCTION("""COMPUTED_VALUE"""),"Printing")</f>
        <v>Printing</v>
      </c>
      <c r="BZ75" s="129">
        <f>IFERROR(__xludf.DUMMYFUNCTION("""COMPUTED_VALUE"""),2029.0)</f>
        <v>2029</v>
      </c>
      <c r="CA75" s="129">
        <f>IFERROR(__xludf.DUMMYFUNCTION("""COMPUTED_VALUE"""),2029.0)</f>
        <v>2029</v>
      </c>
      <c r="CB75" s="129">
        <f>IFERROR(__xludf.DUMMYFUNCTION("""COMPUTED_VALUE"""),0.0)</f>
        <v>0</v>
      </c>
      <c r="CC75" s="129">
        <f>IFERROR(__xludf.DUMMYFUNCTION("""COMPUTED_VALUE"""),275.0)</f>
        <v>275</v>
      </c>
      <c r="CD75" s="80"/>
      <c r="CE75" s="80"/>
      <c r="CF75" s="80"/>
      <c r="CG75" s="80"/>
      <c r="CH75" s="88"/>
    </row>
    <row r="76">
      <c r="A76" s="80"/>
      <c r="B76" s="80"/>
      <c r="C76" s="80"/>
      <c r="D76" s="80"/>
      <c r="E76" s="124"/>
      <c r="F76" s="80"/>
      <c r="G76" s="80"/>
      <c r="H76" s="80"/>
      <c r="I76" s="80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15"/>
      <c r="AK76" s="80"/>
      <c r="AL76" s="80"/>
      <c r="AM76" s="80"/>
      <c r="AN76" s="80"/>
      <c r="AO76" s="80"/>
      <c r="AP76" s="80"/>
      <c r="AQ76" s="80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113"/>
      <c r="BM76" s="88"/>
      <c r="BN76" s="80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80" t="str">
        <f>IFERROR(__xludf.DUMMYFUNCTION("""COMPUTED_VALUE"""),"Printing")</f>
        <v>Printing</v>
      </c>
      <c r="BZ76" s="129">
        <f>IFERROR(__xludf.DUMMYFUNCTION("""COMPUTED_VALUE"""),2840.0)</f>
        <v>2840</v>
      </c>
      <c r="CA76" s="129">
        <f>IFERROR(__xludf.DUMMYFUNCTION("""COMPUTED_VALUE"""),2840.0)</f>
        <v>2840</v>
      </c>
      <c r="CB76" s="129">
        <f>IFERROR(__xludf.DUMMYFUNCTION("""COMPUTED_VALUE"""),0.0)</f>
        <v>0</v>
      </c>
      <c r="CC76" s="129">
        <f>IFERROR(__xludf.DUMMYFUNCTION("""COMPUTED_VALUE"""),650.0)</f>
        <v>650</v>
      </c>
      <c r="CD76" s="80"/>
      <c r="CE76" s="80"/>
      <c r="CF76" s="80"/>
      <c r="CG76" s="80"/>
      <c r="CH76" s="73"/>
    </row>
    <row r="77">
      <c r="A77" s="80"/>
      <c r="B77" s="80"/>
      <c r="C77" s="80"/>
      <c r="D77" s="80"/>
      <c r="E77" s="124"/>
      <c r="F77" s="80"/>
      <c r="G77" s="80"/>
      <c r="H77" s="80"/>
      <c r="I77" s="80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15"/>
      <c r="AK77" s="80"/>
      <c r="AL77" s="80"/>
      <c r="AM77" s="80"/>
      <c r="AN77" s="80"/>
      <c r="AO77" s="80"/>
      <c r="AP77" s="80"/>
      <c r="AQ77" s="80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113"/>
      <c r="BM77" s="88"/>
      <c r="BN77" s="77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 t="str">
        <f>IFERROR(__xludf.DUMMYFUNCTION("""COMPUTED_VALUE"""),"Printing")</f>
        <v>Printing</v>
      </c>
      <c r="BZ77" s="77">
        <f>IFERROR(__xludf.DUMMYFUNCTION("""COMPUTED_VALUE"""),1001.0)</f>
        <v>1001</v>
      </c>
      <c r="CA77" s="77">
        <f>IFERROR(__xludf.DUMMYFUNCTION("""COMPUTED_VALUE"""),1001.0)</f>
        <v>1001</v>
      </c>
      <c r="CB77" s="77">
        <f>IFERROR(__xludf.DUMMYFUNCTION("""COMPUTED_VALUE"""),0.0)</f>
        <v>0</v>
      </c>
      <c r="CC77" s="73"/>
      <c r="CD77" s="73"/>
      <c r="CE77" s="73"/>
      <c r="CF77" s="73"/>
      <c r="CG77" s="73"/>
      <c r="CH77" s="73"/>
    </row>
    <row r="78">
      <c r="A78" s="80"/>
      <c r="B78" s="80"/>
      <c r="C78" s="80"/>
      <c r="D78" s="80"/>
      <c r="E78" s="124"/>
      <c r="F78" s="80"/>
      <c r="G78" s="80"/>
      <c r="H78" s="80"/>
      <c r="I78" s="80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15"/>
      <c r="AK78" s="80"/>
      <c r="AL78" s="80"/>
      <c r="AM78" s="80"/>
      <c r="AN78" s="80"/>
      <c r="AO78" s="80"/>
      <c r="AP78" s="80"/>
      <c r="AQ78" s="80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113"/>
      <c r="BM78" s="88"/>
      <c r="BN78" s="77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 t="str">
        <f>IFERROR(__xludf.DUMMYFUNCTION("""COMPUTED_VALUE"""),"Printing")</f>
        <v>Printing</v>
      </c>
      <c r="BZ78" s="77">
        <f>IFERROR(__xludf.DUMMYFUNCTION("""COMPUTED_VALUE"""),1002.0)</f>
        <v>1002</v>
      </c>
      <c r="CA78" s="77">
        <f>IFERROR(__xludf.DUMMYFUNCTION("""COMPUTED_VALUE"""),1002.0)</f>
        <v>1002</v>
      </c>
      <c r="CB78" s="77">
        <f>IFERROR(__xludf.DUMMYFUNCTION("""COMPUTED_VALUE"""),0.0)</f>
        <v>0</v>
      </c>
      <c r="CC78" s="73"/>
      <c r="CD78" s="73"/>
      <c r="CE78" s="73"/>
      <c r="CF78" s="73"/>
      <c r="CG78" s="73"/>
      <c r="CH78" s="73"/>
    </row>
    <row r="79">
      <c r="A79" s="80"/>
      <c r="B79" s="80"/>
      <c r="C79" s="80"/>
      <c r="D79" s="80"/>
      <c r="E79" s="124"/>
      <c r="F79" s="80"/>
      <c r="G79" s="80"/>
      <c r="H79" s="80"/>
      <c r="I79" s="80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15"/>
      <c r="AK79" s="80"/>
      <c r="AL79" s="80"/>
      <c r="AM79" s="80"/>
      <c r="AN79" s="80"/>
      <c r="AO79" s="80"/>
      <c r="AP79" s="80"/>
      <c r="AQ79" s="80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88"/>
      <c r="BM79" s="88"/>
      <c r="BN79" s="77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 t="str">
        <f>IFERROR(__xludf.DUMMYFUNCTION("""COMPUTED_VALUE"""),"Printing")</f>
        <v>Printing</v>
      </c>
      <c r="BZ79" s="77">
        <f>IFERROR(__xludf.DUMMYFUNCTION("""COMPUTED_VALUE"""),1003.0)</f>
        <v>1003</v>
      </c>
      <c r="CA79" s="77">
        <f>IFERROR(__xludf.DUMMYFUNCTION("""COMPUTED_VALUE"""),1003.0)</f>
        <v>1003</v>
      </c>
      <c r="CB79" s="77">
        <f>IFERROR(__xludf.DUMMYFUNCTION("""COMPUTED_VALUE"""),0.0)</f>
        <v>0</v>
      </c>
      <c r="CC79" s="73"/>
      <c r="CD79" s="73"/>
      <c r="CE79" s="73"/>
      <c r="CF79" s="73"/>
      <c r="CG79" s="73"/>
      <c r="CH79" s="73"/>
    </row>
    <row r="80">
      <c r="A80" s="80"/>
      <c r="B80" s="80"/>
      <c r="C80" s="80"/>
      <c r="D80" s="80"/>
      <c r="E80" s="124"/>
      <c r="F80" s="80"/>
      <c r="G80" s="80"/>
      <c r="H80" s="80"/>
      <c r="I80" s="80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15"/>
      <c r="AK80" s="80"/>
      <c r="AL80" s="80"/>
      <c r="AM80" s="80"/>
      <c r="AN80" s="80"/>
      <c r="AO80" s="80"/>
      <c r="AP80" s="80"/>
      <c r="AQ80" s="80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88"/>
      <c r="BM80" s="88"/>
      <c r="BN80" s="77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 t="str">
        <f>IFERROR(__xludf.DUMMYFUNCTION("""COMPUTED_VALUE"""),"Printing")</f>
        <v>Printing</v>
      </c>
      <c r="BZ80" s="77">
        <f>IFERROR(__xludf.DUMMYFUNCTION("""COMPUTED_VALUE"""),1004.0)</f>
        <v>1004</v>
      </c>
      <c r="CA80" s="77">
        <f>IFERROR(__xludf.DUMMYFUNCTION("""COMPUTED_VALUE"""),1004.0)</f>
        <v>1004</v>
      </c>
      <c r="CB80" s="77">
        <f>IFERROR(__xludf.DUMMYFUNCTION("""COMPUTED_VALUE"""),0.0)</f>
        <v>0</v>
      </c>
      <c r="CC80" s="73"/>
      <c r="CD80" s="80"/>
      <c r="CE80" s="113"/>
      <c r="CF80" s="139"/>
      <c r="CG80" s="73"/>
      <c r="CH80" s="73"/>
    </row>
    <row r="81">
      <c r="A81" s="80"/>
      <c r="B81" s="80"/>
      <c r="C81" s="80"/>
      <c r="D81" s="80"/>
      <c r="E81" s="124"/>
      <c r="F81" s="80"/>
      <c r="G81" s="80"/>
      <c r="H81" s="80"/>
      <c r="I81" s="80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15"/>
      <c r="AK81" s="80"/>
      <c r="AL81" s="80"/>
      <c r="AM81" s="80"/>
      <c r="AN81" s="80"/>
      <c r="AO81" s="80"/>
      <c r="AP81" s="80"/>
      <c r="AQ81" s="80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88"/>
      <c r="BM81" s="88"/>
      <c r="BN81" s="77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 t="str">
        <f>IFERROR(__xludf.DUMMYFUNCTION("""COMPUTED_VALUE"""),"Printing")</f>
        <v>Printing</v>
      </c>
      <c r="BZ81" s="77">
        <f>IFERROR(__xludf.DUMMYFUNCTION("""COMPUTED_VALUE"""),1005.0)</f>
        <v>1005</v>
      </c>
      <c r="CA81" s="77">
        <f>IFERROR(__xludf.DUMMYFUNCTION("""COMPUTED_VALUE"""),1005.0)</f>
        <v>1005</v>
      </c>
      <c r="CB81" s="77">
        <f>IFERROR(__xludf.DUMMYFUNCTION("""COMPUTED_VALUE"""),0.0)</f>
        <v>0</v>
      </c>
      <c r="CC81" s="73"/>
      <c r="CD81" s="80"/>
      <c r="CE81" s="113"/>
      <c r="CF81" s="139"/>
      <c r="CG81" s="73"/>
      <c r="CH81" s="73"/>
    </row>
    <row r="82">
      <c r="A82" s="80"/>
      <c r="B82" s="80"/>
      <c r="C82" s="80"/>
      <c r="D82" s="80"/>
      <c r="E82" s="124"/>
      <c r="F82" s="80"/>
      <c r="G82" s="80"/>
      <c r="H82" s="80"/>
      <c r="I82" s="80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15"/>
      <c r="AK82" s="80"/>
      <c r="AL82" s="80"/>
      <c r="AM82" s="80"/>
      <c r="AN82" s="80"/>
      <c r="AO82" s="80"/>
      <c r="AP82" s="80"/>
      <c r="AQ82" s="80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88"/>
      <c r="BM82" s="88"/>
      <c r="BN82" s="77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</row>
    <row r="83">
      <c r="A83" s="80"/>
      <c r="B83" s="80"/>
      <c r="C83" s="80"/>
      <c r="D83" s="80"/>
      <c r="E83" s="124"/>
      <c r="F83" s="80"/>
      <c r="G83" s="80"/>
      <c r="H83" s="80"/>
      <c r="I83" s="80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15"/>
      <c r="AK83" s="80"/>
      <c r="AL83" s="80"/>
      <c r="AM83" s="80"/>
      <c r="AN83" s="80"/>
      <c r="AO83" s="80"/>
      <c r="AP83" s="80"/>
      <c r="AQ83" s="80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80"/>
      <c r="BM83" s="88"/>
      <c r="BN83" s="73"/>
      <c r="BO83" s="73"/>
      <c r="BP83" s="73"/>
      <c r="BQ83" s="73"/>
      <c r="BR83" s="73"/>
      <c r="BS83" s="73"/>
      <c r="BT83" s="73"/>
      <c r="BU83" s="73"/>
      <c r="BV83" s="73"/>
      <c r="BW83" s="139" t="str">
        <f>IFERROR(__xludf.DUMMYFUNCTION("QUERY(BY67:CB72,BZ63)"),"Offset")</f>
        <v>Offset</v>
      </c>
      <c r="BX83" s="73" t="str">
        <f>IFERROR(__xludf.DUMMYFUNCTION("""COMPUTED_VALUE"""),"Printing")</f>
        <v>Printing</v>
      </c>
      <c r="BY83" s="77">
        <f>IFERROR(__xludf.DUMMYFUNCTION("""COMPUTED_VALUE"""),1926.0)</f>
        <v>1926</v>
      </c>
      <c r="BZ83" s="77">
        <f>IFERROR(__xludf.DUMMYFUNCTION("""COMPUTED_VALUE"""),1926.0)</f>
        <v>1926</v>
      </c>
      <c r="CA83" s="233">
        <f>Sheet2!F14</f>
        <v>1926</v>
      </c>
      <c r="CB83" s="77">
        <f t="shared" ref="CB83:CC83" si="15">MAX(BZ83,CA83)</f>
        <v>1926</v>
      </c>
      <c r="CC83" s="77">
        <f t="shared" si="15"/>
        <v>1926</v>
      </c>
      <c r="CD83" s="73"/>
      <c r="CE83" s="73"/>
      <c r="CF83" s="73"/>
      <c r="CG83" s="73"/>
      <c r="CH83" s="73"/>
    </row>
    <row r="84">
      <c r="A84" s="80"/>
      <c r="B84" s="80"/>
      <c r="C84" s="80"/>
      <c r="D84" s="80"/>
      <c r="E84" s="124"/>
      <c r="F84" s="80"/>
      <c r="G84" s="80"/>
      <c r="H84" s="80"/>
      <c r="I84" s="80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15"/>
      <c r="AK84" s="80"/>
      <c r="AL84" s="80"/>
      <c r="AM84" s="80"/>
      <c r="AN84" s="80"/>
      <c r="AO84" s="80"/>
      <c r="AP84" s="80"/>
      <c r="AQ84" s="80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80"/>
      <c r="BM84" s="88"/>
      <c r="BN84" s="73"/>
      <c r="BO84" s="73"/>
      <c r="BP84" s="73"/>
      <c r="BQ84" s="73"/>
      <c r="BR84" s="73"/>
      <c r="BS84" s="73"/>
      <c r="BT84" s="73"/>
      <c r="BU84" s="73"/>
      <c r="BV84" s="73"/>
      <c r="BW84" s="73" t="str">
        <f>IFERROR(__xludf.DUMMYFUNCTION("""COMPUTED_VALUE"""),"Offset")</f>
        <v>Offset</v>
      </c>
      <c r="BX84" s="73" t="str">
        <f>IFERROR(__xludf.DUMMYFUNCTION("""COMPUTED_VALUE"""),"Printing")</f>
        <v>Printing</v>
      </c>
      <c r="BY84" s="77">
        <f>IFERROR(__xludf.DUMMYFUNCTION("""COMPUTED_VALUE"""),2029.0)</f>
        <v>2029</v>
      </c>
      <c r="BZ84" s="77">
        <f>IFERROR(__xludf.DUMMYFUNCTION("""COMPUTED_VALUE"""),2029.0)</f>
        <v>2029</v>
      </c>
      <c r="CA84" s="233">
        <f>Sheet2!F14</f>
        <v>1926</v>
      </c>
      <c r="CB84" s="77">
        <f t="shared" ref="CB84:CC84" si="16">MAX(BZ84,CA84)</f>
        <v>2029</v>
      </c>
      <c r="CC84" s="77">
        <f t="shared" si="16"/>
        <v>2029</v>
      </c>
      <c r="CD84" s="80" t="str">
        <f>Quotation!C51</f>
        <v>Plain</v>
      </c>
      <c r="CE84" s="73"/>
      <c r="CF84" s="73"/>
      <c r="CG84" s="73"/>
      <c r="CH84" s="73"/>
    </row>
    <row r="85">
      <c r="A85" s="80"/>
      <c r="B85" s="80"/>
      <c r="C85" s="80"/>
      <c r="D85" s="80"/>
      <c r="E85" s="124"/>
      <c r="F85" s="80"/>
      <c r="G85" s="80"/>
      <c r="H85" s="80"/>
      <c r="I85" s="80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15"/>
      <c r="AK85" s="80"/>
      <c r="AL85" s="80"/>
      <c r="AM85" s="80"/>
      <c r="AN85" s="80"/>
      <c r="AO85" s="80"/>
      <c r="AP85" s="80"/>
      <c r="AQ85" s="80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80"/>
      <c r="BM85" s="88"/>
      <c r="BN85" s="73"/>
      <c r="BO85" s="73"/>
      <c r="BP85" s="73"/>
      <c r="BQ85" s="73"/>
      <c r="BR85" s="73"/>
      <c r="BS85" s="73"/>
      <c r="BT85" s="73"/>
      <c r="BU85" s="73"/>
      <c r="BV85" s="73"/>
      <c r="BW85" s="73" t="str">
        <f>IFERROR(__xludf.DUMMYFUNCTION("""COMPUTED_VALUE"""),"Offset")</f>
        <v>Offset</v>
      </c>
      <c r="BX85" s="73" t="str">
        <f>IFERROR(__xludf.DUMMYFUNCTION("""COMPUTED_VALUE"""),"Printing")</f>
        <v>Printing</v>
      </c>
      <c r="BY85" s="77">
        <f>IFERROR(__xludf.DUMMYFUNCTION("""COMPUTED_VALUE"""),2840.0)</f>
        <v>2840</v>
      </c>
      <c r="BZ85" s="77">
        <f>IFERROR(__xludf.DUMMYFUNCTION("""COMPUTED_VALUE"""),2840.0)</f>
        <v>2840</v>
      </c>
      <c r="CA85" s="233">
        <f>Sheet2!F14</f>
        <v>1926</v>
      </c>
      <c r="CB85" s="77">
        <f t="shared" ref="CB85:CC85" si="17">MAX(BZ85,CA85)</f>
        <v>2840</v>
      </c>
      <c r="CC85" s="77">
        <f t="shared" si="17"/>
        <v>2840</v>
      </c>
      <c r="CD85" s="128" t="str">
        <f>IF(CD84="","","and CC = '"&amp;CD84&amp;"'")</f>
        <v>and CC = 'Plain'</v>
      </c>
      <c r="CE85" s="73"/>
      <c r="CF85" s="73"/>
      <c r="CG85" s="73"/>
      <c r="CH85" s="73"/>
    </row>
    <row r="86">
      <c r="A86" s="80"/>
      <c r="B86" s="80"/>
      <c r="C86" s="80"/>
      <c r="D86" s="80"/>
      <c r="E86" s="124"/>
      <c r="F86" s="80"/>
      <c r="G86" s="80"/>
      <c r="H86" s="80"/>
      <c r="I86" s="80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15"/>
      <c r="AK86" s="80"/>
      <c r="AL86" s="80"/>
      <c r="AM86" s="80"/>
      <c r="AN86" s="80"/>
      <c r="AO86" s="80"/>
      <c r="AP86" s="80"/>
      <c r="AQ86" s="80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133" t="str">
        <f>CONCATENATE("select * where 1=1",CD85)</f>
        <v>select * where 1=1and CC = 'Plain'</v>
      </c>
      <c r="CE86" s="73"/>
      <c r="CF86" s="73"/>
      <c r="CG86" s="73"/>
      <c r="CH86" s="73"/>
    </row>
    <row r="87">
      <c r="A87" s="80"/>
      <c r="B87" s="80"/>
      <c r="C87" s="80"/>
      <c r="D87" s="80"/>
      <c r="E87" s="124"/>
      <c r="F87" s="80"/>
      <c r="G87" s="80"/>
      <c r="H87" s="80"/>
      <c r="I87" s="80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15"/>
      <c r="AK87" s="80"/>
      <c r="AL87" s="80"/>
      <c r="AM87" s="80"/>
      <c r="AN87" s="80"/>
      <c r="AO87" s="80"/>
      <c r="AP87" s="80"/>
      <c r="AQ87" s="80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88" t="s">
        <v>74</v>
      </c>
      <c r="CD87" s="86">
        <v>0.0</v>
      </c>
      <c r="CE87" s="139" t="str">
        <f>IFERROR(__xludf.DUMMYFUNCTION("QUERY(CC87:CD88,CD86)"),"Plain")</f>
        <v>Plain</v>
      </c>
      <c r="CF87" s="77">
        <f>IFERROR(__xludf.DUMMYFUNCTION("""COMPUTED_VALUE"""),0.0)</f>
        <v>0</v>
      </c>
      <c r="CG87" s="73"/>
      <c r="CH87" s="73"/>
    </row>
    <row r="88">
      <c r="A88" s="80"/>
      <c r="B88" s="80"/>
      <c r="C88" s="80"/>
      <c r="D88" s="80"/>
      <c r="E88" s="124"/>
      <c r="F88" s="80"/>
      <c r="G88" s="80"/>
      <c r="H88" s="80"/>
      <c r="I88" s="80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15"/>
      <c r="AK88" s="80"/>
      <c r="AL88" s="80"/>
      <c r="AM88" s="80"/>
      <c r="AN88" s="80"/>
      <c r="AO88" s="80"/>
      <c r="AP88" s="80"/>
      <c r="AQ88" s="80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88" t="s">
        <v>54</v>
      </c>
      <c r="CD88" s="86">
        <v>1.0</v>
      </c>
      <c r="CE88" s="73"/>
      <c r="CF88" s="73"/>
      <c r="CG88" s="73"/>
      <c r="CH88" s="73"/>
    </row>
    <row r="89">
      <c r="A89" s="80"/>
      <c r="B89" s="80"/>
      <c r="C89" s="80"/>
      <c r="D89" s="80"/>
      <c r="E89" s="124"/>
      <c r="F89" s="80"/>
      <c r="G89" s="80"/>
      <c r="H89" s="80"/>
      <c r="I89" s="80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15"/>
      <c r="AK89" s="80"/>
      <c r="AL89" s="80"/>
      <c r="AM89" s="80"/>
      <c r="AN89" s="80"/>
      <c r="AO89" s="80"/>
      <c r="AP89" s="80"/>
      <c r="AQ89" s="80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88" t="s">
        <v>213</v>
      </c>
      <c r="BX89" s="86">
        <v>1.0</v>
      </c>
      <c r="BY89" s="77">
        <f>MAX(BX89,BX90)</f>
        <v>1</v>
      </c>
      <c r="BZ89" s="73"/>
      <c r="CA89" s="73"/>
      <c r="CB89" s="73"/>
      <c r="CC89" s="73"/>
      <c r="CD89" s="73"/>
      <c r="CE89" s="73"/>
      <c r="CF89" s="73"/>
      <c r="CG89" s="73"/>
      <c r="CH89" s="73"/>
    </row>
    <row r="90">
      <c r="A90" s="80"/>
      <c r="B90" s="80"/>
      <c r="C90" s="80"/>
      <c r="D90" s="80"/>
      <c r="E90" s="124"/>
      <c r="F90" s="80"/>
      <c r="G90" s="80"/>
      <c r="H90" s="80"/>
      <c r="I90" s="80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15"/>
      <c r="AK90" s="80"/>
      <c r="AL90" s="80"/>
      <c r="AM90" s="80"/>
      <c r="AN90" s="80"/>
      <c r="AO90" s="80"/>
      <c r="AP90" s="80"/>
      <c r="AQ90" s="80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 t="str">
        <f>Quotation!B46</f>
        <v>148 × 210 millimeters or 5.8 × 8.3 inches</v>
      </c>
      <c r="BX90" s="86">
        <v>0.0</v>
      </c>
      <c r="BY90" s="73"/>
      <c r="BZ90" s="73"/>
      <c r="CA90" s="73"/>
      <c r="CB90" s="73"/>
      <c r="CC90" s="73"/>
      <c r="CD90" s="80" t="str">
        <f>Quotation!B47</f>
        <v>Art Card</v>
      </c>
      <c r="CE90" s="73"/>
      <c r="CF90" s="73"/>
      <c r="CG90" s="73"/>
      <c r="CH90" s="73"/>
    </row>
    <row r="91">
      <c r="A91" s="80"/>
      <c r="B91" s="80"/>
      <c r="C91" s="80"/>
      <c r="D91" s="80"/>
      <c r="E91" s="124"/>
      <c r="F91" s="80"/>
      <c r="G91" s="80"/>
      <c r="H91" s="80"/>
      <c r="I91" s="80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15"/>
      <c r="AK91" s="80"/>
      <c r="AL91" s="80"/>
      <c r="AM91" s="80"/>
      <c r="AN91" s="80"/>
      <c r="AO91" s="80"/>
      <c r="AP91" s="80"/>
      <c r="AQ91" s="80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128" t="str">
        <f>IF(CD90="","","and CC = '"&amp;CD90&amp;"'")</f>
        <v>and CC = 'Art Card'</v>
      </c>
      <c r="CE91" s="73"/>
      <c r="CF91" s="73"/>
      <c r="CG91" s="73"/>
      <c r="CH91" s="73"/>
    </row>
    <row r="92">
      <c r="A92" s="80"/>
      <c r="B92" s="80"/>
      <c r="C92" s="80"/>
      <c r="D92" s="80"/>
      <c r="E92" s="124"/>
      <c r="F92" s="80"/>
      <c r="G92" s="80"/>
      <c r="H92" s="80"/>
      <c r="I92" s="80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15"/>
      <c r="AK92" s="80"/>
      <c r="AL92" s="80"/>
      <c r="AM92" s="80"/>
      <c r="AN92" s="80"/>
      <c r="AO92" s="80"/>
      <c r="AP92" s="80"/>
      <c r="AQ92" s="80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133" t="str">
        <f>CONCATENATE("select * where 1=1",CD91)</f>
        <v>select * where 1=1and CC = 'Art Card'</v>
      </c>
      <c r="CE92" s="73"/>
      <c r="CF92" s="73"/>
      <c r="CG92" s="73"/>
      <c r="CH92" s="73"/>
    </row>
    <row r="93">
      <c r="A93" s="80"/>
      <c r="B93" s="80"/>
      <c r="C93" s="80"/>
      <c r="D93" s="80"/>
      <c r="E93" s="124"/>
      <c r="F93" s="80"/>
      <c r="G93" s="80"/>
      <c r="H93" s="80"/>
      <c r="I93" s="80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15"/>
      <c r="AK93" s="80"/>
      <c r="AL93" s="80"/>
      <c r="AM93" s="80"/>
      <c r="AN93" s="80"/>
      <c r="AO93" s="80"/>
      <c r="AP93" s="80"/>
      <c r="AQ93" s="80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88" t="s">
        <v>74</v>
      </c>
      <c r="CD93" s="86">
        <v>0.0</v>
      </c>
      <c r="CE93" s="73"/>
      <c r="CF93" s="139" t="str">
        <f>IFERROR(__xludf.DUMMYFUNCTION("QUERY(CC93:CE100,CD92)"),"Art Card")</f>
        <v>Art Card</v>
      </c>
      <c r="CG93" s="77">
        <f>IFERROR(__xludf.DUMMYFUNCTION("""COMPUTED_VALUE"""),1.0)</f>
        <v>1</v>
      </c>
      <c r="CH93" s="77">
        <f>IFERROR(__xludf.DUMMYFUNCTION("""COMPUTED_VALUE"""),0.0)</f>
        <v>0</v>
      </c>
    </row>
    <row r="94">
      <c r="A94" s="80"/>
      <c r="B94" s="80"/>
      <c r="C94" s="80"/>
      <c r="D94" s="80"/>
      <c r="E94" s="124"/>
      <c r="F94" s="80"/>
      <c r="G94" s="80"/>
      <c r="H94" s="80"/>
      <c r="I94" s="80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15"/>
      <c r="AK94" s="80"/>
      <c r="AL94" s="80"/>
      <c r="AM94" s="80"/>
      <c r="AN94" s="80"/>
      <c r="AO94" s="80"/>
      <c r="AP94" s="80"/>
      <c r="AQ94" s="80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182" t="s">
        <v>14</v>
      </c>
      <c r="CD94" s="86">
        <v>1.0</v>
      </c>
      <c r="CE94" s="86">
        <v>0.0</v>
      </c>
      <c r="CF94" s="73"/>
      <c r="CG94" s="73"/>
      <c r="CH94" s="73"/>
    </row>
    <row r="95">
      <c r="A95" s="80"/>
      <c r="B95" s="80"/>
      <c r="C95" s="80"/>
      <c r="D95" s="80"/>
      <c r="E95" s="124"/>
      <c r="F95" s="80"/>
      <c r="G95" s="80"/>
      <c r="H95" s="80"/>
      <c r="I95" s="80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15"/>
      <c r="AK95" s="80"/>
      <c r="AL95" s="80"/>
      <c r="AM95" s="80"/>
      <c r="AN95" s="80"/>
      <c r="AO95" s="80"/>
      <c r="AP95" s="80"/>
      <c r="AQ95" s="80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 t="s">
        <v>27</v>
      </c>
      <c r="CD95" s="86">
        <v>1.0</v>
      </c>
      <c r="CE95" s="86">
        <v>0.0</v>
      </c>
      <c r="CF95" s="73"/>
      <c r="CG95" s="73"/>
      <c r="CH95" s="73"/>
    </row>
    <row r="96">
      <c r="A96" s="80"/>
      <c r="B96" s="80"/>
      <c r="C96" s="80"/>
      <c r="D96" s="80"/>
      <c r="E96" s="124"/>
      <c r="F96" s="80"/>
      <c r="G96" s="80"/>
      <c r="H96" s="80"/>
      <c r="I96" s="80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15"/>
      <c r="AK96" s="80"/>
      <c r="AL96" s="80"/>
      <c r="AM96" s="80"/>
      <c r="AN96" s="80"/>
      <c r="AO96" s="80"/>
      <c r="AP96" s="80"/>
      <c r="AQ96" s="80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118" t="s">
        <v>28</v>
      </c>
      <c r="CD96" s="86">
        <v>1.0</v>
      </c>
      <c r="CE96" s="86">
        <v>0.0</v>
      </c>
      <c r="CF96" s="73"/>
      <c r="CG96" s="73"/>
      <c r="CH96" s="73"/>
    </row>
    <row r="97">
      <c r="A97" s="80"/>
      <c r="B97" s="80"/>
      <c r="C97" s="80"/>
      <c r="D97" s="80"/>
      <c r="E97" s="124"/>
      <c r="F97" s="80"/>
      <c r="G97" s="80"/>
      <c r="H97" s="80"/>
      <c r="I97" s="80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15"/>
      <c r="AK97" s="80"/>
      <c r="AL97" s="80"/>
      <c r="AM97" s="80"/>
      <c r="AN97" s="80"/>
      <c r="AO97" s="80"/>
      <c r="AP97" s="80"/>
      <c r="AQ97" s="80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113" t="s">
        <v>31</v>
      </c>
      <c r="CD97" s="86">
        <v>0.0</v>
      </c>
      <c r="CE97" s="86">
        <v>1.0</v>
      </c>
      <c r="CF97" s="73"/>
      <c r="CG97" s="73"/>
      <c r="CH97" s="73"/>
    </row>
    <row r="98">
      <c r="A98" s="80"/>
      <c r="B98" s="80"/>
      <c r="C98" s="80"/>
      <c r="D98" s="80"/>
      <c r="E98" s="124"/>
      <c r="F98" s="80"/>
      <c r="G98" s="80"/>
      <c r="H98" s="80"/>
      <c r="I98" s="80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15"/>
      <c r="AK98" s="80"/>
      <c r="AL98" s="80"/>
      <c r="AM98" s="80"/>
      <c r="AN98" s="80"/>
      <c r="AO98" s="80"/>
      <c r="AP98" s="80"/>
      <c r="AQ98" s="80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118" t="s">
        <v>15</v>
      </c>
      <c r="CD98" s="86">
        <v>1.0</v>
      </c>
      <c r="CE98" s="86">
        <v>0.0</v>
      </c>
      <c r="CF98" s="73"/>
      <c r="CG98" s="73"/>
      <c r="CH98" s="73"/>
    </row>
    <row r="99">
      <c r="A99" s="80"/>
      <c r="B99" s="80"/>
      <c r="C99" s="80"/>
      <c r="D99" s="80"/>
      <c r="E99" s="124"/>
      <c r="F99" s="80"/>
      <c r="G99" s="80"/>
      <c r="H99" s="80"/>
      <c r="I99" s="80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15"/>
      <c r="AK99" s="80"/>
      <c r="AL99" s="80"/>
      <c r="AM99" s="80"/>
      <c r="AN99" s="80"/>
      <c r="AO99" s="80"/>
      <c r="AP99" s="80"/>
      <c r="AQ99" s="80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182" t="s">
        <v>30</v>
      </c>
      <c r="CD99" s="86">
        <v>1.0</v>
      </c>
      <c r="CE99" s="86">
        <v>0.0</v>
      </c>
      <c r="CF99" s="73"/>
      <c r="CG99" s="73"/>
      <c r="CH99" s="73"/>
    </row>
    <row r="100">
      <c r="A100" s="80"/>
      <c r="B100" s="80"/>
      <c r="C100" s="80"/>
      <c r="D100" s="80"/>
      <c r="E100" s="124"/>
      <c r="F100" s="80"/>
      <c r="G100" s="80"/>
      <c r="H100" s="80"/>
      <c r="I100" s="80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15"/>
      <c r="AK100" s="80"/>
      <c r="AL100" s="80"/>
      <c r="AM100" s="80"/>
      <c r="AN100" s="80"/>
      <c r="AO100" s="80"/>
      <c r="AP100" s="80"/>
      <c r="AQ100" s="80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 t="s">
        <v>29</v>
      </c>
      <c r="CD100" s="86">
        <v>1.0</v>
      </c>
      <c r="CE100" s="86">
        <v>0.0</v>
      </c>
      <c r="CF100" s="73"/>
      <c r="CG100" s="73"/>
      <c r="CH100" s="73"/>
    </row>
    <row r="101">
      <c r="A101" s="80"/>
      <c r="B101" s="80"/>
      <c r="C101" s="80"/>
      <c r="D101" s="80"/>
      <c r="E101" s="124"/>
      <c r="F101" s="80"/>
      <c r="G101" s="80"/>
      <c r="H101" s="80"/>
      <c r="I101" s="80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15"/>
      <c r="AK101" s="80"/>
      <c r="AL101" s="80"/>
      <c r="AM101" s="80"/>
      <c r="AN101" s="80"/>
      <c r="AO101" s="80"/>
      <c r="AP101" s="80"/>
      <c r="AQ101" s="80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</row>
    <row r="102">
      <c r="A102" s="80"/>
      <c r="B102" s="80"/>
      <c r="C102" s="80"/>
      <c r="D102" s="80"/>
      <c r="E102" s="124"/>
      <c r="F102" s="80"/>
      <c r="G102" s="80"/>
      <c r="H102" s="80"/>
      <c r="I102" s="80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15"/>
      <c r="AK102" s="80"/>
      <c r="AL102" s="80"/>
      <c r="AM102" s="80"/>
      <c r="AN102" s="80"/>
      <c r="AO102" s="80"/>
      <c r="AP102" s="80"/>
      <c r="AQ102" s="80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</row>
    <row r="103">
      <c r="A103" s="80"/>
      <c r="B103" s="80"/>
      <c r="C103" s="80"/>
      <c r="D103" s="80"/>
      <c r="E103" s="124"/>
      <c r="F103" s="80"/>
      <c r="G103" s="80"/>
      <c r="H103" s="80"/>
      <c r="I103" s="80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15"/>
      <c r="AK103" s="80"/>
      <c r="AL103" s="80"/>
      <c r="AM103" s="80"/>
      <c r="AN103" s="80"/>
      <c r="AO103" s="80"/>
      <c r="AP103" s="80"/>
      <c r="AQ103" s="80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</row>
    <row r="104">
      <c r="A104" s="80"/>
      <c r="B104" s="80"/>
      <c r="C104" s="80"/>
      <c r="D104" s="80"/>
      <c r="E104" s="124"/>
      <c r="F104" s="80"/>
      <c r="G104" s="80"/>
      <c r="H104" s="80"/>
      <c r="I104" s="80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15"/>
      <c r="AK104" s="80"/>
      <c r="AL104" s="80"/>
      <c r="AM104" s="80"/>
      <c r="AN104" s="80"/>
      <c r="AO104" s="80"/>
      <c r="AP104" s="80"/>
      <c r="AQ104" s="80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</row>
    <row r="105">
      <c r="A105" s="80"/>
      <c r="B105" s="80"/>
      <c r="C105" s="80"/>
      <c r="D105" s="80"/>
      <c r="E105" s="124"/>
      <c r="F105" s="80"/>
      <c r="G105" s="80"/>
      <c r="H105" s="80"/>
      <c r="I105" s="80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15"/>
      <c r="AK105" s="80"/>
      <c r="AL105" s="80"/>
      <c r="AM105" s="80"/>
      <c r="AN105" s="80"/>
      <c r="AO105" s="80"/>
      <c r="AP105" s="80"/>
      <c r="AQ105" s="80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</row>
    <row r="106">
      <c r="A106" s="80"/>
      <c r="B106" s="80"/>
      <c r="C106" s="80"/>
      <c r="D106" s="80"/>
      <c r="E106" s="124"/>
      <c r="F106" s="80"/>
      <c r="G106" s="80"/>
      <c r="H106" s="80"/>
      <c r="I106" s="80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15"/>
      <c r="AK106" s="80"/>
      <c r="AL106" s="80"/>
      <c r="AM106" s="80"/>
      <c r="AN106" s="80"/>
      <c r="AO106" s="80"/>
      <c r="AP106" s="80"/>
      <c r="AQ106" s="80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</row>
    <row r="107">
      <c r="A107" s="80"/>
      <c r="B107" s="80"/>
      <c r="C107" s="80"/>
      <c r="D107" s="80"/>
      <c r="E107" s="124"/>
      <c r="F107" s="80"/>
      <c r="G107" s="80"/>
      <c r="H107" s="80"/>
      <c r="I107" s="80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15"/>
      <c r="AK107" s="80"/>
      <c r="AL107" s="80"/>
      <c r="AM107" s="80"/>
      <c r="AN107" s="80"/>
      <c r="AO107" s="80"/>
      <c r="AP107" s="80"/>
      <c r="AQ107" s="80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</row>
    <row r="108">
      <c r="A108" s="80"/>
      <c r="B108" s="80"/>
      <c r="C108" s="80"/>
      <c r="D108" s="80"/>
      <c r="E108" s="124"/>
      <c r="F108" s="80"/>
      <c r="G108" s="80"/>
      <c r="H108" s="80"/>
      <c r="I108" s="80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15"/>
      <c r="AK108" s="80"/>
      <c r="AL108" s="80"/>
      <c r="AM108" s="80"/>
      <c r="AN108" s="80"/>
      <c r="AO108" s="80"/>
      <c r="AP108" s="80"/>
      <c r="AQ108" s="80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</row>
    <row r="109">
      <c r="A109" s="80"/>
      <c r="B109" s="80"/>
      <c r="C109" s="80"/>
      <c r="D109" s="80"/>
      <c r="E109" s="124"/>
      <c r="F109" s="80"/>
      <c r="G109" s="80"/>
      <c r="H109" s="80"/>
      <c r="I109" s="80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15"/>
      <c r="AK109" s="80"/>
      <c r="AL109" s="80"/>
      <c r="AM109" s="80"/>
      <c r="AN109" s="80"/>
      <c r="AO109" s="80"/>
      <c r="AP109" s="80"/>
      <c r="AQ109" s="80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</row>
    <row r="110">
      <c r="A110" s="80"/>
      <c r="B110" s="80"/>
      <c r="C110" s="80"/>
      <c r="D110" s="80"/>
      <c r="E110" s="124"/>
      <c r="F110" s="80"/>
      <c r="G110" s="80"/>
      <c r="H110" s="80"/>
      <c r="I110" s="80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15"/>
      <c r="AK110" s="80"/>
      <c r="AL110" s="80"/>
      <c r="AM110" s="80"/>
      <c r="AN110" s="80"/>
      <c r="AO110" s="80"/>
      <c r="AP110" s="80"/>
      <c r="AQ110" s="80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80" t="s">
        <v>66</v>
      </c>
      <c r="CE110" s="161">
        <v>1.0</v>
      </c>
      <c r="CF110" s="139" t="str">
        <f>IFERROR(__xludf.DUMMYFUNCTION("QUERY(CD110:CE111,CB66)"),"New Job")</f>
        <v>New Job</v>
      </c>
      <c r="CG110" s="77">
        <f>IFERROR(__xludf.DUMMYFUNCTION("""COMPUTED_VALUE"""),1.0)</f>
        <v>1</v>
      </c>
      <c r="CH110" s="73"/>
    </row>
    <row r="111">
      <c r="A111" s="80"/>
      <c r="B111" s="80"/>
      <c r="C111" s="80"/>
      <c r="D111" s="80"/>
      <c r="E111" s="124"/>
      <c r="F111" s="80"/>
      <c r="G111" s="80"/>
      <c r="H111" s="80"/>
      <c r="I111" s="80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5"/>
      <c r="AK111" s="80"/>
      <c r="AL111" s="80"/>
      <c r="AM111" s="80"/>
      <c r="AN111" s="80"/>
      <c r="AO111" s="80"/>
      <c r="AP111" s="80"/>
      <c r="AQ111" s="80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80" t="s">
        <v>70</v>
      </c>
      <c r="CE111" s="161">
        <v>0.0</v>
      </c>
      <c r="CF111" s="139"/>
      <c r="CG111" s="73"/>
      <c r="CH111" s="73"/>
    </row>
    <row r="112">
      <c r="A112" s="80"/>
      <c r="B112" s="80"/>
      <c r="C112" s="80"/>
      <c r="D112" s="80"/>
      <c r="E112" s="124"/>
      <c r="F112" s="80"/>
      <c r="G112" s="80"/>
      <c r="H112" s="80"/>
      <c r="I112" s="80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15"/>
      <c r="AK112" s="80"/>
      <c r="AL112" s="80"/>
      <c r="AM112" s="80"/>
      <c r="AN112" s="80"/>
      <c r="AO112" s="80"/>
      <c r="AP112" s="80"/>
      <c r="AQ112" s="80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</row>
    <row r="113">
      <c r="A113" s="80"/>
      <c r="B113" s="80"/>
      <c r="C113" s="80"/>
      <c r="D113" s="80"/>
      <c r="E113" s="124"/>
      <c r="F113" s="80"/>
      <c r="G113" s="80"/>
      <c r="H113" s="80"/>
      <c r="I113" s="80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15"/>
      <c r="AK113" s="80"/>
      <c r="AL113" s="80"/>
      <c r="AM113" s="80"/>
      <c r="AN113" s="80"/>
      <c r="AO113" s="80"/>
      <c r="AP113" s="80"/>
      <c r="AQ113" s="80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</row>
    <row r="114">
      <c r="A114" s="80"/>
      <c r="B114" s="80"/>
      <c r="C114" s="80"/>
      <c r="D114" s="80"/>
      <c r="E114" s="124"/>
      <c r="F114" s="80"/>
      <c r="G114" s="80"/>
      <c r="H114" s="80"/>
      <c r="I114" s="80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15"/>
      <c r="AK114" s="80"/>
      <c r="AL114" s="80"/>
      <c r="AM114" s="80"/>
      <c r="AN114" s="80"/>
      <c r="AO114" s="80"/>
      <c r="AP114" s="80"/>
      <c r="AQ114" s="80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</row>
    <row r="115">
      <c r="A115" s="80"/>
      <c r="B115" s="80"/>
      <c r="C115" s="80"/>
      <c r="D115" s="80"/>
      <c r="E115" s="124"/>
      <c r="F115" s="80"/>
      <c r="G115" s="80"/>
      <c r="H115" s="80"/>
      <c r="I115" s="80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15"/>
      <c r="AK115" s="80"/>
      <c r="AL115" s="80"/>
      <c r="AM115" s="80"/>
      <c r="AN115" s="80"/>
      <c r="AO115" s="80"/>
      <c r="AP115" s="80"/>
      <c r="AQ115" s="80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</row>
    <row r="116">
      <c r="A116" s="80"/>
      <c r="B116" s="80"/>
      <c r="C116" s="80"/>
      <c r="D116" s="80"/>
      <c r="E116" s="124"/>
      <c r="F116" s="80"/>
      <c r="G116" s="80"/>
      <c r="H116" s="80"/>
      <c r="I116" s="80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5"/>
      <c r="AK116" s="80"/>
      <c r="AL116" s="80"/>
      <c r="AM116" s="80"/>
      <c r="AN116" s="80"/>
      <c r="AO116" s="80"/>
      <c r="AP116" s="80"/>
      <c r="AQ116" s="80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</row>
    <row r="117">
      <c r="A117" s="80"/>
      <c r="B117" s="80"/>
      <c r="C117" s="80"/>
      <c r="D117" s="80"/>
      <c r="E117" s="124"/>
      <c r="F117" s="80"/>
      <c r="G117" s="80"/>
      <c r="H117" s="80"/>
      <c r="I117" s="80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15"/>
      <c r="AK117" s="80"/>
      <c r="AL117" s="80"/>
      <c r="AM117" s="80"/>
      <c r="AN117" s="80"/>
      <c r="AO117" s="80"/>
      <c r="AP117" s="80"/>
      <c r="AQ117" s="80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</row>
    <row r="118">
      <c r="A118" s="80"/>
      <c r="B118" s="80"/>
      <c r="C118" s="80"/>
      <c r="D118" s="80"/>
      <c r="E118" s="124"/>
      <c r="F118" s="80"/>
      <c r="G118" s="80"/>
      <c r="H118" s="80"/>
      <c r="I118" s="80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15"/>
      <c r="AK118" s="80"/>
      <c r="AL118" s="80"/>
      <c r="AM118" s="80"/>
      <c r="AN118" s="80"/>
      <c r="AO118" s="80"/>
      <c r="AP118" s="80"/>
      <c r="AQ118" s="80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</row>
    <row r="119">
      <c r="A119" s="80"/>
      <c r="B119" s="80"/>
      <c r="C119" s="80"/>
      <c r="D119" s="80"/>
      <c r="E119" s="124"/>
      <c r="F119" s="80"/>
      <c r="G119" s="80"/>
      <c r="H119" s="80"/>
      <c r="I119" s="80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15"/>
      <c r="AK119" s="80"/>
      <c r="AL119" s="80"/>
      <c r="AM119" s="80"/>
      <c r="AN119" s="80"/>
      <c r="AO119" s="80"/>
      <c r="AP119" s="80"/>
      <c r="AQ119" s="80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</row>
    <row r="120">
      <c r="A120" s="80"/>
      <c r="B120" s="80"/>
      <c r="C120" s="80"/>
      <c r="D120" s="80"/>
      <c r="E120" s="124"/>
      <c r="F120" s="80"/>
      <c r="G120" s="80"/>
      <c r="H120" s="80"/>
      <c r="I120" s="80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15"/>
      <c r="AK120" s="80"/>
      <c r="AL120" s="80"/>
      <c r="AM120" s="80"/>
      <c r="AN120" s="80"/>
      <c r="AO120" s="80"/>
      <c r="AP120" s="80"/>
      <c r="AQ120" s="80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</row>
    <row r="121">
      <c r="A121" s="80"/>
      <c r="B121" s="80"/>
      <c r="C121" s="80"/>
      <c r="D121" s="80"/>
      <c r="E121" s="124"/>
      <c r="F121" s="80"/>
      <c r="G121" s="80"/>
      <c r="H121" s="80"/>
      <c r="I121" s="80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15"/>
      <c r="AK121" s="80"/>
      <c r="AL121" s="80"/>
      <c r="AM121" s="80"/>
      <c r="AN121" s="80"/>
      <c r="AO121" s="80"/>
      <c r="AP121" s="80"/>
      <c r="AQ121" s="80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</row>
    <row r="122">
      <c r="A122" s="80"/>
      <c r="B122" s="80"/>
      <c r="C122" s="80"/>
      <c r="D122" s="80"/>
      <c r="E122" s="124"/>
      <c r="F122" s="80"/>
      <c r="G122" s="80"/>
      <c r="H122" s="80"/>
      <c r="I122" s="80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15"/>
      <c r="AK122" s="80"/>
      <c r="AL122" s="80"/>
      <c r="AM122" s="80"/>
      <c r="AN122" s="80"/>
      <c r="AO122" s="80"/>
      <c r="AP122" s="80"/>
      <c r="AQ122" s="80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</row>
    <row r="123">
      <c r="A123" s="80"/>
      <c r="B123" s="80"/>
      <c r="C123" s="80"/>
      <c r="D123" s="80"/>
      <c r="E123" s="124"/>
      <c r="F123" s="80"/>
      <c r="G123" s="80"/>
      <c r="H123" s="80"/>
      <c r="I123" s="80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5"/>
      <c r="AK123" s="80"/>
      <c r="AL123" s="80"/>
      <c r="AM123" s="80"/>
      <c r="AN123" s="80"/>
      <c r="AO123" s="80"/>
      <c r="AP123" s="80"/>
      <c r="AQ123" s="80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</row>
    <row r="124">
      <c r="A124" s="80"/>
      <c r="B124" s="80"/>
      <c r="C124" s="80"/>
      <c r="D124" s="80"/>
      <c r="E124" s="124"/>
      <c r="F124" s="80"/>
      <c r="G124" s="80"/>
      <c r="H124" s="80"/>
      <c r="I124" s="80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15"/>
      <c r="AK124" s="80"/>
      <c r="AL124" s="80"/>
      <c r="AM124" s="80"/>
      <c r="AN124" s="80"/>
      <c r="AO124" s="80"/>
      <c r="AP124" s="80"/>
      <c r="AQ124" s="80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</row>
    <row r="125">
      <c r="A125" s="80"/>
      <c r="B125" s="80"/>
      <c r="C125" s="80"/>
      <c r="D125" s="80"/>
      <c r="E125" s="124"/>
      <c r="F125" s="80"/>
      <c r="G125" s="80"/>
      <c r="H125" s="80"/>
      <c r="I125" s="80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15"/>
      <c r="AK125" s="80"/>
      <c r="AL125" s="80"/>
      <c r="AM125" s="80"/>
      <c r="AN125" s="80"/>
      <c r="AO125" s="80"/>
      <c r="AP125" s="80"/>
      <c r="AQ125" s="80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</row>
    <row r="126">
      <c r="A126" s="80"/>
      <c r="B126" s="80"/>
      <c r="C126" s="80"/>
      <c r="D126" s="80"/>
      <c r="E126" s="124"/>
      <c r="F126" s="80"/>
      <c r="G126" s="80"/>
      <c r="H126" s="80"/>
      <c r="I126" s="80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15"/>
      <c r="AK126" s="80"/>
      <c r="AL126" s="80"/>
      <c r="AM126" s="80"/>
      <c r="AN126" s="80"/>
      <c r="AO126" s="80"/>
      <c r="AP126" s="80"/>
      <c r="AQ126" s="80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</row>
    <row r="127">
      <c r="A127" s="80"/>
      <c r="B127" s="80"/>
      <c r="C127" s="80"/>
      <c r="D127" s="80"/>
      <c r="E127" s="124"/>
      <c r="F127" s="80"/>
      <c r="G127" s="80"/>
      <c r="H127" s="80"/>
      <c r="I127" s="80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15"/>
      <c r="AK127" s="80"/>
      <c r="AL127" s="80"/>
      <c r="AM127" s="80"/>
      <c r="AN127" s="80"/>
      <c r="AO127" s="80"/>
      <c r="AP127" s="80"/>
      <c r="AQ127" s="80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</row>
    <row r="128">
      <c r="A128" s="80"/>
      <c r="B128" s="80"/>
      <c r="C128" s="80"/>
      <c r="D128" s="80"/>
      <c r="E128" s="124"/>
      <c r="F128" s="80"/>
      <c r="G128" s="80"/>
      <c r="H128" s="80"/>
      <c r="I128" s="80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15"/>
      <c r="AK128" s="80"/>
      <c r="AL128" s="80"/>
      <c r="AM128" s="80"/>
      <c r="AN128" s="80"/>
      <c r="AO128" s="80"/>
      <c r="AP128" s="80"/>
      <c r="AQ128" s="80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</row>
    <row r="129">
      <c r="A129" s="80"/>
      <c r="B129" s="80"/>
      <c r="C129" s="80"/>
      <c r="D129" s="80"/>
      <c r="E129" s="124"/>
      <c r="F129" s="80"/>
      <c r="G129" s="80"/>
      <c r="H129" s="80"/>
      <c r="I129" s="80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15"/>
      <c r="AK129" s="80"/>
      <c r="AL129" s="80"/>
      <c r="AM129" s="80"/>
      <c r="AN129" s="80"/>
      <c r="AO129" s="80"/>
      <c r="AP129" s="80"/>
      <c r="AQ129" s="80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</row>
    <row r="130">
      <c r="A130" s="80"/>
      <c r="B130" s="80"/>
      <c r="C130" s="80"/>
      <c r="D130" s="80"/>
      <c r="E130" s="124"/>
      <c r="F130" s="80"/>
      <c r="G130" s="80"/>
      <c r="H130" s="80"/>
      <c r="I130" s="80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15"/>
      <c r="AK130" s="80"/>
      <c r="AL130" s="80"/>
      <c r="AM130" s="80"/>
      <c r="AN130" s="80"/>
      <c r="AO130" s="80"/>
      <c r="AP130" s="80"/>
      <c r="AQ130" s="80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</row>
    <row r="131">
      <c r="A131" s="80"/>
      <c r="B131" s="80"/>
      <c r="C131" s="80"/>
      <c r="D131" s="80"/>
      <c r="E131" s="124"/>
      <c r="F131" s="80"/>
      <c r="G131" s="80"/>
      <c r="H131" s="80"/>
      <c r="I131" s="80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15"/>
      <c r="AK131" s="80"/>
      <c r="AL131" s="80"/>
      <c r="AM131" s="80"/>
      <c r="AN131" s="80"/>
      <c r="AO131" s="80"/>
      <c r="AP131" s="80"/>
      <c r="AQ131" s="80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</row>
    <row r="132">
      <c r="A132" s="80"/>
      <c r="B132" s="80"/>
      <c r="C132" s="80"/>
      <c r="D132" s="80"/>
      <c r="E132" s="124"/>
      <c r="F132" s="80"/>
      <c r="G132" s="80"/>
      <c r="H132" s="80"/>
      <c r="I132" s="80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5"/>
      <c r="AK132" s="80"/>
      <c r="AL132" s="80"/>
      <c r="AM132" s="80"/>
      <c r="AN132" s="80"/>
      <c r="AO132" s="80"/>
      <c r="AP132" s="80"/>
      <c r="AQ132" s="80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</row>
    <row r="133">
      <c r="A133" s="80"/>
      <c r="B133" s="80"/>
      <c r="C133" s="80"/>
      <c r="D133" s="80"/>
      <c r="E133" s="124"/>
      <c r="F133" s="80"/>
      <c r="G133" s="80"/>
      <c r="H133" s="80"/>
      <c r="I133" s="80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15"/>
      <c r="AK133" s="80"/>
      <c r="AL133" s="80"/>
      <c r="AM133" s="80"/>
      <c r="AN133" s="80"/>
      <c r="AO133" s="80"/>
      <c r="AP133" s="80"/>
      <c r="AQ133" s="80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</row>
    <row r="134">
      <c r="A134" s="80"/>
      <c r="B134" s="80"/>
      <c r="C134" s="80"/>
      <c r="D134" s="80"/>
      <c r="E134" s="124"/>
      <c r="F134" s="80"/>
      <c r="G134" s="80"/>
      <c r="H134" s="80"/>
      <c r="I134" s="80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15"/>
      <c r="AK134" s="80"/>
      <c r="AL134" s="80"/>
      <c r="AM134" s="80"/>
      <c r="AN134" s="80"/>
      <c r="AO134" s="80"/>
      <c r="AP134" s="80"/>
      <c r="AQ134" s="80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</row>
    <row r="135">
      <c r="A135" s="80"/>
      <c r="B135" s="80"/>
      <c r="C135" s="80"/>
      <c r="D135" s="80"/>
      <c r="E135" s="124"/>
      <c r="F135" s="80"/>
      <c r="G135" s="80"/>
      <c r="H135" s="80"/>
      <c r="I135" s="80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15"/>
      <c r="AK135" s="80"/>
      <c r="AL135" s="80"/>
      <c r="AM135" s="80"/>
      <c r="AN135" s="80"/>
      <c r="AO135" s="80"/>
      <c r="AP135" s="80"/>
      <c r="AQ135" s="80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</row>
    <row r="136">
      <c r="A136" s="80"/>
      <c r="B136" s="80"/>
      <c r="C136" s="80"/>
      <c r="D136" s="80"/>
      <c r="E136" s="124"/>
      <c r="F136" s="80"/>
      <c r="G136" s="80"/>
      <c r="H136" s="80"/>
      <c r="I136" s="80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15"/>
      <c r="AK136" s="80"/>
      <c r="AL136" s="80"/>
      <c r="AM136" s="80"/>
      <c r="AN136" s="80"/>
      <c r="AO136" s="80"/>
      <c r="AP136" s="80"/>
      <c r="AQ136" s="80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</row>
    <row r="137">
      <c r="A137" s="80"/>
      <c r="B137" s="80"/>
      <c r="C137" s="80"/>
      <c r="D137" s="80"/>
      <c r="E137" s="124"/>
      <c r="F137" s="80"/>
      <c r="G137" s="80"/>
      <c r="H137" s="80"/>
      <c r="I137" s="80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15"/>
      <c r="AK137" s="80"/>
      <c r="AL137" s="80"/>
      <c r="AM137" s="80"/>
      <c r="AN137" s="80"/>
      <c r="AO137" s="80"/>
      <c r="AP137" s="80"/>
      <c r="AQ137" s="80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</row>
    <row r="138">
      <c r="A138" s="80"/>
      <c r="B138" s="80"/>
      <c r="C138" s="80"/>
      <c r="D138" s="80"/>
      <c r="E138" s="124"/>
      <c r="F138" s="80"/>
      <c r="G138" s="80"/>
      <c r="H138" s="80"/>
      <c r="I138" s="80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15"/>
      <c r="AK138" s="80"/>
      <c r="AL138" s="80"/>
      <c r="AM138" s="80"/>
      <c r="AN138" s="80"/>
      <c r="AO138" s="80"/>
      <c r="AP138" s="80"/>
      <c r="AQ138" s="80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</row>
    <row r="139">
      <c r="A139" s="80"/>
      <c r="B139" s="80"/>
      <c r="C139" s="80"/>
      <c r="D139" s="80"/>
      <c r="E139" s="124"/>
      <c r="F139" s="80"/>
      <c r="G139" s="80"/>
      <c r="H139" s="80"/>
      <c r="I139" s="80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15"/>
      <c r="AK139" s="80"/>
      <c r="AL139" s="80"/>
      <c r="AM139" s="80"/>
      <c r="AN139" s="80"/>
      <c r="AO139" s="80"/>
      <c r="AP139" s="80"/>
      <c r="AQ139" s="80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</row>
    <row r="140">
      <c r="A140" s="80"/>
      <c r="B140" s="80"/>
      <c r="C140" s="80"/>
      <c r="D140" s="80"/>
      <c r="E140" s="124"/>
      <c r="F140" s="80"/>
      <c r="G140" s="80"/>
      <c r="H140" s="80"/>
      <c r="I140" s="80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15"/>
      <c r="AK140" s="80"/>
      <c r="AL140" s="80"/>
      <c r="AM140" s="80"/>
      <c r="AN140" s="80"/>
      <c r="AO140" s="80"/>
      <c r="AP140" s="80"/>
      <c r="AQ140" s="80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</row>
    <row r="141">
      <c r="A141" s="80"/>
      <c r="B141" s="80"/>
      <c r="C141" s="80"/>
      <c r="D141" s="80"/>
      <c r="E141" s="124"/>
      <c r="F141" s="80"/>
      <c r="G141" s="80"/>
      <c r="H141" s="80"/>
      <c r="I141" s="80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15"/>
      <c r="AK141" s="80"/>
      <c r="AL141" s="80"/>
      <c r="AM141" s="80"/>
      <c r="AN141" s="80"/>
      <c r="AO141" s="80"/>
      <c r="AP141" s="80"/>
      <c r="AQ141" s="80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</row>
    <row r="142">
      <c r="A142" s="80"/>
      <c r="B142" s="80"/>
      <c r="C142" s="80"/>
      <c r="D142" s="80"/>
      <c r="E142" s="124"/>
      <c r="F142" s="80"/>
      <c r="G142" s="80"/>
      <c r="H142" s="80"/>
      <c r="I142" s="80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15"/>
      <c r="AK142" s="80"/>
      <c r="AL142" s="80"/>
      <c r="AM142" s="80"/>
      <c r="AN142" s="80"/>
      <c r="AO142" s="80"/>
      <c r="AP142" s="80"/>
      <c r="AQ142" s="80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</row>
    <row r="143">
      <c r="A143" s="80"/>
      <c r="B143" s="80"/>
      <c r="C143" s="80"/>
      <c r="D143" s="80"/>
      <c r="E143" s="124"/>
      <c r="F143" s="80"/>
      <c r="G143" s="80"/>
      <c r="H143" s="80"/>
      <c r="I143" s="80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15"/>
      <c r="AK143" s="80"/>
      <c r="AL143" s="80"/>
      <c r="AM143" s="80"/>
      <c r="AN143" s="80"/>
      <c r="AO143" s="80"/>
      <c r="AP143" s="80"/>
      <c r="AQ143" s="80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</row>
    <row r="144">
      <c r="A144" s="80"/>
      <c r="B144" s="80"/>
      <c r="C144" s="80"/>
      <c r="D144" s="80"/>
      <c r="E144" s="124"/>
      <c r="F144" s="80"/>
      <c r="G144" s="80"/>
      <c r="H144" s="80"/>
      <c r="I144" s="80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15"/>
      <c r="AK144" s="80"/>
      <c r="AL144" s="80"/>
      <c r="AM144" s="80"/>
      <c r="AN144" s="80"/>
      <c r="AO144" s="80"/>
      <c r="AP144" s="80"/>
      <c r="AQ144" s="80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</row>
    <row r="145">
      <c r="A145" s="80"/>
      <c r="B145" s="80"/>
      <c r="C145" s="80"/>
      <c r="D145" s="80"/>
      <c r="E145" s="124"/>
      <c r="F145" s="80"/>
      <c r="G145" s="80"/>
      <c r="H145" s="80"/>
      <c r="I145" s="80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5"/>
      <c r="AK145" s="80"/>
      <c r="AL145" s="80"/>
      <c r="AM145" s="80"/>
      <c r="AN145" s="80"/>
      <c r="AO145" s="80"/>
      <c r="AP145" s="80"/>
      <c r="AQ145" s="80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</row>
    <row r="146">
      <c r="A146" s="80"/>
      <c r="B146" s="80"/>
      <c r="C146" s="80"/>
      <c r="D146" s="80"/>
      <c r="E146" s="124"/>
      <c r="F146" s="80"/>
      <c r="G146" s="80"/>
      <c r="H146" s="80"/>
      <c r="I146" s="80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15"/>
      <c r="AK146" s="80"/>
      <c r="AL146" s="80"/>
      <c r="AM146" s="80"/>
      <c r="AN146" s="80"/>
      <c r="AO146" s="80"/>
      <c r="AP146" s="80"/>
      <c r="AQ146" s="80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</row>
    <row r="147">
      <c r="A147" s="80"/>
      <c r="B147" s="80"/>
      <c r="C147" s="80"/>
      <c r="D147" s="80"/>
      <c r="E147" s="124"/>
      <c r="F147" s="80"/>
      <c r="G147" s="80"/>
      <c r="H147" s="80"/>
      <c r="I147" s="80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15"/>
      <c r="AK147" s="80"/>
      <c r="AL147" s="80"/>
      <c r="AM147" s="80"/>
      <c r="AN147" s="80"/>
      <c r="AO147" s="80"/>
      <c r="AP147" s="80"/>
      <c r="AQ147" s="80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</row>
    <row r="148">
      <c r="A148" s="80"/>
      <c r="B148" s="80"/>
      <c r="C148" s="80"/>
      <c r="D148" s="80"/>
      <c r="E148" s="124"/>
      <c r="F148" s="80"/>
      <c r="G148" s="80"/>
      <c r="H148" s="80"/>
      <c r="I148" s="80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15"/>
      <c r="AK148" s="80"/>
      <c r="AL148" s="80"/>
      <c r="AM148" s="80"/>
      <c r="AN148" s="80"/>
      <c r="AO148" s="80"/>
      <c r="AP148" s="80"/>
      <c r="AQ148" s="80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</row>
    <row r="149">
      <c r="A149" s="80"/>
      <c r="B149" s="80"/>
      <c r="C149" s="80"/>
      <c r="D149" s="80"/>
      <c r="E149" s="124"/>
      <c r="F149" s="80"/>
      <c r="G149" s="80"/>
      <c r="H149" s="80"/>
      <c r="I149" s="80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15"/>
      <c r="AK149" s="80"/>
      <c r="AL149" s="80"/>
      <c r="AM149" s="80"/>
      <c r="AN149" s="80"/>
      <c r="AO149" s="80"/>
      <c r="AP149" s="80"/>
      <c r="AQ149" s="80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</row>
    <row r="150">
      <c r="A150" s="80"/>
      <c r="B150" s="80"/>
      <c r="C150" s="80"/>
      <c r="D150" s="80"/>
      <c r="E150" s="124"/>
      <c r="F150" s="80"/>
      <c r="G150" s="80"/>
      <c r="H150" s="80"/>
      <c r="I150" s="80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15"/>
      <c r="AK150" s="80"/>
      <c r="AL150" s="80"/>
      <c r="AM150" s="80"/>
      <c r="AN150" s="80"/>
      <c r="AO150" s="80"/>
      <c r="AP150" s="80"/>
      <c r="AQ150" s="80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</row>
    <row r="151">
      <c r="A151" s="80"/>
      <c r="B151" s="80"/>
      <c r="C151" s="80"/>
      <c r="D151" s="80"/>
      <c r="E151" s="124"/>
      <c r="F151" s="80"/>
      <c r="G151" s="80"/>
      <c r="H151" s="80"/>
      <c r="I151" s="80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15"/>
      <c r="AK151" s="80"/>
      <c r="AL151" s="80"/>
      <c r="AM151" s="80"/>
      <c r="AN151" s="80"/>
      <c r="AO151" s="80"/>
      <c r="AP151" s="80"/>
      <c r="AQ151" s="80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</row>
    <row r="152">
      <c r="A152" s="80"/>
      <c r="B152" s="80"/>
      <c r="C152" s="80"/>
      <c r="D152" s="80"/>
      <c r="E152" s="124"/>
      <c r="F152" s="80"/>
      <c r="G152" s="80"/>
      <c r="H152" s="80"/>
      <c r="I152" s="80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15"/>
      <c r="AK152" s="80"/>
      <c r="AL152" s="80"/>
      <c r="AM152" s="80"/>
      <c r="AN152" s="80"/>
      <c r="AO152" s="80"/>
      <c r="AP152" s="80"/>
      <c r="AQ152" s="80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</row>
    <row r="153">
      <c r="A153" s="80"/>
      <c r="B153" s="80"/>
      <c r="C153" s="80"/>
      <c r="D153" s="80"/>
      <c r="E153" s="124"/>
      <c r="F153" s="80"/>
      <c r="G153" s="80"/>
      <c r="H153" s="80"/>
      <c r="I153" s="80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5"/>
      <c r="AK153" s="80"/>
      <c r="AL153" s="80"/>
      <c r="AM153" s="80"/>
      <c r="AN153" s="80"/>
      <c r="AO153" s="80"/>
      <c r="AP153" s="80"/>
      <c r="AQ153" s="80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</row>
    <row r="154">
      <c r="A154" s="80"/>
      <c r="B154" s="80"/>
      <c r="C154" s="80"/>
      <c r="D154" s="80"/>
      <c r="E154" s="124"/>
      <c r="F154" s="80"/>
      <c r="G154" s="80"/>
      <c r="H154" s="80"/>
      <c r="I154" s="80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15"/>
      <c r="AK154" s="80"/>
      <c r="AL154" s="80"/>
      <c r="AM154" s="80"/>
      <c r="AN154" s="80"/>
      <c r="AO154" s="80"/>
      <c r="AP154" s="80"/>
      <c r="AQ154" s="80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</row>
    <row r="155">
      <c r="A155" s="80"/>
      <c r="B155" s="80"/>
      <c r="C155" s="80"/>
      <c r="D155" s="80"/>
      <c r="E155" s="124"/>
      <c r="F155" s="80"/>
      <c r="G155" s="80"/>
      <c r="H155" s="80"/>
      <c r="I155" s="80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15"/>
      <c r="AK155" s="80"/>
      <c r="AL155" s="80"/>
      <c r="AM155" s="80"/>
      <c r="AN155" s="80"/>
      <c r="AO155" s="80"/>
      <c r="AP155" s="80"/>
      <c r="AQ155" s="80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</row>
    <row r="156">
      <c r="A156" s="80"/>
      <c r="B156" s="80"/>
      <c r="C156" s="80"/>
      <c r="D156" s="80"/>
      <c r="E156" s="124"/>
      <c r="F156" s="80"/>
      <c r="G156" s="80"/>
      <c r="H156" s="80"/>
      <c r="I156" s="80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15"/>
      <c r="AK156" s="80"/>
      <c r="AL156" s="80"/>
      <c r="AM156" s="80"/>
      <c r="AN156" s="80"/>
      <c r="AO156" s="80"/>
      <c r="AP156" s="80"/>
      <c r="AQ156" s="80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</row>
    <row r="157">
      <c r="A157" s="80"/>
      <c r="B157" s="80"/>
      <c r="C157" s="80"/>
      <c r="D157" s="80"/>
      <c r="E157" s="124"/>
      <c r="F157" s="80"/>
      <c r="G157" s="80"/>
      <c r="H157" s="80"/>
      <c r="I157" s="80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15"/>
      <c r="AK157" s="80"/>
      <c r="AL157" s="80"/>
      <c r="AM157" s="80"/>
      <c r="AN157" s="80"/>
      <c r="AO157" s="80"/>
      <c r="AP157" s="80"/>
      <c r="AQ157" s="80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</row>
    <row r="158">
      <c r="A158" s="80"/>
      <c r="B158" s="80"/>
      <c r="C158" s="80"/>
      <c r="D158" s="80"/>
      <c r="E158" s="124"/>
      <c r="F158" s="80"/>
      <c r="G158" s="80"/>
      <c r="H158" s="80"/>
      <c r="I158" s="80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15"/>
      <c r="AK158" s="80"/>
      <c r="AL158" s="80"/>
      <c r="AM158" s="80"/>
      <c r="AN158" s="80"/>
      <c r="AO158" s="80"/>
      <c r="AP158" s="80"/>
      <c r="AQ158" s="80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</row>
    <row r="159">
      <c r="A159" s="80"/>
      <c r="B159" s="80"/>
      <c r="C159" s="80"/>
      <c r="D159" s="80"/>
      <c r="E159" s="124"/>
      <c r="F159" s="80"/>
      <c r="G159" s="80"/>
      <c r="H159" s="80"/>
      <c r="I159" s="80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15"/>
      <c r="AK159" s="80"/>
      <c r="AL159" s="80"/>
      <c r="AM159" s="80"/>
      <c r="AN159" s="80"/>
      <c r="AO159" s="80"/>
      <c r="AP159" s="80"/>
      <c r="AQ159" s="80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</row>
    <row r="160">
      <c r="A160" s="80"/>
      <c r="B160" s="80"/>
      <c r="C160" s="80"/>
      <c r="D160" s="80"/>
      <c r="E160" s="124"/>
      <c r="F160" s="80"/>
      <c r="G160" s="80"/>
      <c r="H160" s="80"/>
      <c r="I160" s="80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15"/>
      <c r="AK160" s="80"/>
      <c r="AL160" s="80"/>
      <c r="AM160" s="80"/>
      <c r="AN160" s="80"/>
      <c r="AO160" s="80"/>
      <c r="AP160" s="80"/>
      <c r="AQ160" s="80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</row>
    <row r="161">
      <c r="A161" s="80"/>
      <c r="B161" s="80"/>
      <c r="C161" s="80"/>
      <c r="D161" s="80"/>
      <c r="E161" s="124"/>
      <c r="F161" s="80"/>
      <c r="G161" s="80"/>
      <c r="H161" s="80"/>
      <c r="I161" s="80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15"/>
      <c r="AK161" s="80"/>
      <c r="AL161" s="80"/>
      <c r="AM161" s="80"/>
      <c r="AN161" s="80"/>
      <c r="AO161" s="80"/>
      <c r="AP161" s="80"/>
      <c r="AQ161" s="80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</row>
    <row r="162">
      <c r="A162" s="80"/>
      <c r="B162" s="80"/>
      <c r="C162" s="80"/>
      <c r="D162" s="80"/>
      <c r="E162" s="124"/>
      <c r="F162" s="80"/>
      <c r="G162" s="80"/>
      <c r="H162" s="80"/>
      <c r="I162" s="80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15"/>
      <c r="AK162" s="80"/>
      <c r="AL162" s="80"/>
      <c r="AM162" s="80"/>
      <c r="AN162" s="80"/>
      <c r="AO162" s="80"/>
      <c r="AP162" s="80"/>
      <c r="AQ162" s="80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</row>
    <row r="163">
      <c r="A163" s="80"/>
      <c r="B163" s="80"/>
      <c r="C163" s="80"/>
      <c r="D163" s="80"/>
      <c r="E163" s="124"/>
      <c r="F163" s="80"/>
      <c r="G163" s="80"/>
      <c r="H163" s="80"/>
      <c r="I163" s="80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5"/>
      <c r="AK163" s="80"/>
      <c r="AL163" s="80"/>
      <c r="AM163" s="80"/>
      <c r="AN163" s="80"/>
      <c r="AO163" s="80"/>
      <c r="AP163" s="80"/>
      <c r="AQ163" s="80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</row>
    <row r="164">
      <c r="A164" s="80"/>
      <c r="B164" s="80"/>
      <c r="C164" s="80"/>
      <c r="D164" s="80"/>
      <c r="E164" s="124"/>
      <c r="F164" s="80"/>
      <c r="G164" s="80"/>
      <c r="H164" s="80"/>
      <c r="I164" s="80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15"/>
      <c r="AK164" s="80"/>
      <c r="AL164" s="80"/>
      <c r="AM164" s="80"/>
      <c r="AN164" s="80"/>
      <c r="AO164" s="80"/>
      <c r="AP164" s="80"/>
      <c r="AQ164" s="80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</row>
    <row r="165">
      <c r="A165" s="80"/>
      <c r="B165" s="80"/>
      <c r="C165" s="80"/>
      <c r="D165" s="80"/>
      <c r="E165" s="124"/>
      <c r="F165" s="80"/>
      <c r="G165" s="80"/>
      <c r="H165" s="80"/>
      <c r="I165" s="80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15"/>
      <c r="AK165" s="80"/>
      <c r="AL165" s="80"/>
      <c r="AM165" s="80"/>
      <c r="AN165" s="80"/>
      <c r="AO165" s="80"/>
      <c r="AP165" s="80"/>
      <c r="AQ165" s="80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</row>
    <row r="166">
      <c r="A166" s="80"/>
      <c r="B166" s="80"/>
      <c r="C166" s="80"/>
      <c r="D166" s="80"/>
      <c r="E166" s="124"/>
      <c r="F166" s="80"/>
      <c r="G166" s="80"/>
      <c r="H166" s="80"/>
      <c r="I166" s="80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15"/>
      <c r="AK166" s="80"/>
      <c r="AL166" s="80"/>
      <c r="AM166" s="80"/>
      <c r="AN166" s="80"/>
      <c r="AO166" s="80"/>
      <c r="AP166" s="80"/>
      <c r="AQ166" s="80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</row>
    <row r="167">
      <c r="A167" s="80"/>
      <c r="B167" s="80"/>
      <c r="C167" s="80"/>
      <c r="D167" s="80"/>
      <c r="E167" s="124"/>
      <c r="F167" s="80"/>
      <c r="G167" s="80"/>
      <c r="H167" s="80"/>
      <c r="I167" s="80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15"/>
      <c r="AK167" s="80"/>
      <c r="AL167" s="80"/>
      <c r="AM167" s="80"/>
      <c r="AN167" s="80"/>
      <c r="AO167" s="80"/>
      <c r="AP167" s="80"/>
      <c r="AQ167" s="80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</row>
    <row r="168">
      <c r="A168" s="80"/>
      <c r="B168" s="80"/>
      <c r="C168" s="80"/>
      <c r="D168" s="80"/>
      <c r="E168" s="124"/>
      <c r="F168" s="80"/>
      <c r="G168" s="80"/>
      <c r="H168" s="80"/>
      <c r="I168" s="80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15"/>
      <c r="AK168" s="80"/>
      <c r="AL168" s="80"/>
      <c r="AM168" s="80"/>
      <c r="AN168" s="80"/>
      <c r="AO168" s="80"/>
      <c r="AP168" s="80"/>
      <c r="AQ168" s="80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</row>
    <row r="169">
      <c r="A169" s="80"/>
      <c r="B169" s="80"/>
      <c r="C169" s="80"/>
      <c r="D169" s="80"/>
      <c r="E169" s="124"/>
      <c r="F169" s="80"/>
      <c r="G169" s="80"/>
      <c r="H169" s="80"/>
      <c r="I169" s="80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15"/>
      <c r="AK169" s="80"/>
      <c r="AL169" s="80"/>
      <c r="AM169" s="80"/>
      <c r="AN169" s="80"/>
      <c r="AO169" s="80"/>
      <c r="AP169" s="80"/>
      <c r="AQ169" s="80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</row>
    <row r="170">
      <c r="A170" s="80"/>
      <c r="B170" s="80"/>
      <c r="C170" s="80"/>
      <c r="D170" s="80"/>
      <c r="E170" s="124"/>
      <c r="F170" s="80"/>
      <c r="G170" s="80"/>
      <c r="H170" s="80"/>
      <c r="I170" s="80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15"/>
      <c r="AK170" s="80"/>
      <c r="AL170" s="80"/>
      <c r="AM170" s="80"/>
      <c r="AN170" s="80"/>
      <c r="AO170" s="80"/>
      <c r="AP170" s="80"/>
      <c r="AQ170" s="80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</row>
    <row r="171">
      <c r="A171" s="80"/>
      <c r="B171" s="80"/>
      <c r="C171" s="80"/>
      <c r="D171" s="80"/>
      <c r="E171" s="124"/>
      <c r="F171" s="80"/>
      <c r="G171" s="80"/>
      <c r="H171" s="80"/>
      <c r="I171" s="80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15"/>
      <c r="AK171" s="80"/>
      <c r="AL171" s="80"/>
      <c r="AM171" s="80"/>
      <c r="AN171" s="80"/>
      <c r="AO171" s="80"/>
      <c r="AP171" s="80"/>
      <c r="AQ171" s="80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</row>
    <row r="172">
      <c r="A172" s="80"/>
      <c r="B172" s="80"/>
      <c r="C172" s="80"/>
      <c r="D172" s="80"/>
      <c r="E172" s="124"/>
      <c r="F172" s="80"/>
      <c r="G172" s="80"/>
      <c r="H172" s="80"/>
      <c r="I172" s="80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15"/>
      <c r="AK172" s="80"/>
      <c r="AL172" s="80"/>
      <c r="AM172" s="80"/>
      <c r="AN172" s="80"/>
      <c r="AO172" s="80"/>
      <c r="AP172" s="80"/>
      <c r="AQ172" s="80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</row>
    <row r="173">
      <c r="A173" s="80"/>
      <c r="B173" s="80"/>
      <c r="C173" s="80"/>
      <c r="D173" s="80"/>
      <c r="E173" s="124"/>
      <c r="F173" s="80"/>
      <c r="G173" s="80"/>
      <c r="H173" s="80"/>
      <c r="I173" s="80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15"/>
      <c r="AK173" s="80"/>
      <c r="AL173" s="80"/>
      <c r="AM173" s="80"/>
      <c r="AN173" s="80"/>
      <c r="AO173" s="80"/>
      <c r="AP173" s="80"/>
      <c r="AQ173" s="80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</row>
    <row r="174">
      <c r="A174" s="80"/>
      <c r="B174" s="80"/>
      <c r="C174" s="80"/>
      <c r="D174" s="80"/>
      <c r="E174" s="124"/>
      <c r="F174" s="80"/>
      <c r="G174" s="80"/>
      <c r="H174" s="80"/>
      <c r="I174" s="80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15"/>
      <c r="AK174" s="80"/>
      <c r="AL174" s="80"/>
      <c r="AM174" s="80"/>
      <c r="AN174" s="80"/>
      <c r="AO174" s="80"/>
      <c r="AP174" s="80"/>
      <c r="AQ174" s="80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</row>
    <row r="175">
      <c r="A175" s="80"/>
      <c r="B175" s="80"/>
      <c r="C175" s="80"/>
      <c r="D175" s="80"/>
      <c r="E175" s="124"/>
      <c r="F175" s="80"/>
      <c r="G175" s="80"/>
      <c r="H175" s="80"/>
      <c r="I175" s="80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15"/>
      <c r="AK175" s="80"/>
      <c r="AL175" s="80"/>
      <c r="AM175" s="80"/>
      <c r="AN175" s="80"/>
      <c r="AO175" s="80"/>
      <c r="AP175" s="80"/>
      <c r="AQ175" s="80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</row>
    <row r="176">
      <c r="A176" s="80"/>
      <c r="B176" s="80"/>
      <c r="C176" s="80"/>
      <c r="D176" s="80"/>
      <c r="E176" s="124"/>
      <c r="F176" s="80"/>
      <c r="G176" s="80"/>
      <c r="H176" s="80"/>
      <c r="I176" s="80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15"/>
      <c r="AK176" s="80"/>
      <c r="AL176" s="80"/>
      <c r="AM176" s="80"/>
      <c r="AN176" s="80"/>
      <c r="AO176" s="80"/>
      <c r="AP176" s="80"/>
      <c r="AQ176" s="80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</row>
    <row r="177">
      <c r="A177" s="80"/>
      <c r="B177" s="80"/>
      <c r="C177" s="80"/>
      <c r="D177" s="80"/>
      <c r="E177" s="124"/>
      <c r="F177" s="80"/>
      <c r="G177" s="80"/>
      <c r="H177" s="80"/>
      <c r="I177" s="80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15"/>
      <c r="AK177" s="80"/>
      <c r="AL177" s="80"/>
      <c r="AM177" s="80"/>
      <c r="AN177" s="80"/>
      <c r="AO177" s="80"/>
      <c r="AP177" s="80"/>
      <c r="AQ177" s="80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</row>
    <row r="178">
      <c r="A178" s="80"/>
      <c r="B178" s="80"/>
      <c r="C178" s="80"/>
      <c r="D178" s="80"/>
      <c r="E178" s="124"/>
      <c r="F178" s="80"/>
      <c r="G178" s="80"/>
      <c r="H178" s="80"/>
      <c r="I178" s="80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15"/>
      <c r="AK178" s="80"/>
      <c r="AL178" s="80"/>
      <c r="AM178" s="80"/>
      <c r="AN178" s="80"/>
      <c r="AO178" s="80"/>
      <c r="AP178" s="80"/>
      <c r="AQ178" s="80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</row>
    <row r="179">
      <c r="A179" s="80"/>
      <c r="B179" s="80"/>
      <c r="C179" s="80"/>
      <c r="D179" s="80"/>
      <c r="E179" s="124"/>
      <c r="F179" s="80"/>
      <c r="G179" s="80"/>
      <c r="H179" s="80"/>
      <c r="I179" s="80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15"/>
      <c r="AK179" s="80"/>
      <c r="AL179" s="80"/>
      <c r="AM179" s="80"/>
      <c r="AN179" s="80"/>
      <c r="AO179" s="80"/>
      <c r="AP179" s="80"/>
      <c r="AQ179" s="80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</row>
    <row r="180">
      <c r="A180" s="80"/>
      <c r="B180" s="80"/>
      <c r="C180" s="80"/>
      <c r="D180" s="80"/>
      <c r="E180" s="124"/>
      <c r="F180" s="80"/>
      <c r="G180" s="80"/>
      <c r="H180" s="80"/>
      <c r="I180" s="80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5"/>
      <c r="AK180" s="80"/>
      <c r="AL180" s="80"/>
      <c r="AM180" s="80"/>
      <c r="AN180" s="80"/>
      <c r="AO180" s="80"/>
      <c r="AP180" s="80"/>
      <c r="AQ180" s="80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</row>
    <row r="181">
      <c r="A181" s="80"/>
      <c r="B181" s="80"/>
      <c r="C181" s="80"/>
      <c r="D181" s="80"/>
      <c r="E181" s="124"/>
      <c r="F181" s="80"/>
      <c r="G181" s="80"/>
      <c r="H181" s="80"/>
      <c r="I181" s="80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15"/>
      <c r="AK181" s="80"/>
      <c r="AL181" s="80"/>
      <c r="AM181" s="80"/>
      <c r="AN181" s="80"/>
      <c r="AO181" s="80"/>
      <c r="AP181" s="80"/>
      <c r="AQ181" s="80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</row>
    <row r="182">
      <c r="A182" s="80"/>
      <c r="B182" s="80"/>
      <c r="C182" s="80"/>
      <c r="D182" s="80"/>
      <c r="E182" s="124"/>
      <c r="F182" s="80"/>
      <c r="G182" s="80"/>
      <c r="H182" s="80"/>
      <c r="I182" s="80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15"/>
      <c r="AK182" s="80"/>
      <c r="AL182" s="80"/>
      <c r="AM182" s="80"/>
      <c r="AN182" s="80"/>
      <c r="AO182" s="80"/>
      <c r="AP182" s="80"/>
      <c r="AQ182" s="80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</row>
    <row r="183">
      <c r="A183" s="80"/>
      <c r="B183" s="80"/>
      <c r="C183" s="80"/>
      <c r="D183" s="80"/>
      <c r="E183" s="124"/>
      <c r="F183" s="80"/>
      <c r="G183" s="80"/>
      <c r="H183" s="80"/>
      <c r="I183" s="80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15"/>
      <c r="AK183" s="80"/>
      <c r="AL183" s="80"/>
      <c r="AM183" s="80"/>
      <c r="AN183" s="80"/>
      <c r="AO183" s="80"/>
      <c r="AP183" s="80"/>
      <c r="AQ183" s="80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</row>
    <row r="184">
      <c r="A184" s="80"/>
      <c r="B184" s="80"/>
      <c r="C184" s="80"/>
      <c r="D184" s="80"/>
      <c r="E184" s="124"/>
      <c r="F184" s="80"/>
      <c r="G184" s="80"/>
      <c r="H184" s="80"/>
      <c r="I184" s="80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15"/>
      <c r="AK184" s="80"/>
      <c r="AL184" s="80"/>
      <c r="AM184" s="80"/>
      <c r="AN184" s="80"/>
      <c r="AO184" s="80"/>
      <c r="AP184" s="80"/>
      <c r="AQ184" s="80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</row>
    <row r="185">
      <c r="A185" s="80"/>
      <c r="B185" s="80"/>
      <c r="C185" s="80"/>
      <c r="D185" s="80"/>
      <c r="E185" s="124"/>
      <c r="F185" s="80"/>
      <c r="G185" s="80"/>
      <c r="H185" s="80"/>
      <c r="I185" s="80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15"/>
      <c r="AK185" s="80"/>
      <c r="AL185" s="80"/>
      <c r="AM185" s="80"/>
      <c r="AN185" s="80"/>
      <c r="AO185" s="80"/>
      <c r="AP185" s="80"/>
      <c r="AQ185" s="80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</row>
    <row r="186">
      <c r="A186" s="80"/>
      <c r="B186" s="80"/>
      <c r="C186" s="80"/>
      <c r="D186" s="80"/>
      <c r="E186" s="124"/>
      <c r="F186" s="80"/>
      <c r="G186" s="80"/>
      <c r="H186" s="80"/>
      <c r="I186" s="80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15"/>
      <c r="AK186" s="80"/>
      <c r="AL186" s="80"/>
      <c r="AM186" s="80"/>
      <c r="AN186" s="80"/>
      <c r="AO186" s="80"/>
      <c r="AP186" s="80"/>
      <c r="AQ186" s="80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</row>
    <row r="187">
      <c r="A187" s="80"/>
      <c r="B187" s="80"/>
      <c r="C187" s="80"/>
      <c r="D187" s="80"/>
      <c r="E187" s="124"/>
      <c r="F187" s="80"/>
      <c r="G187" s="80"/>
      <c r="H187" s="80"/>
      <c r="I187" s="80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15"/>
      <c r="AK187" s="80"/>
      <c r="AL187" s="80"/>
      <c r="AM187" s="80"/>
      <c r="AN187" s="80"/>
      <c r="AO187" s="80"/>
      <c r="AP187" s="80"/>
      <c r="AQ187" s="80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</row>
    <row r="188">
      <c r="A188" s="80"/>
      <c r="B188" s="80"/>
      <c r="C188" s="80"/>
      <c r="D188" s="80"/>
      <c r="E188" s="124"/>
      <c r="F188" s="80"/>
      <c r="G188" s="80"/>
      <c r="H188" s="80"/>
      <c r="I188" s="80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15"/>
      <c r="AK188" s="80"/>
      <c r="AL188" s="80"/>
      <c r="AM188" s="80"/>
      <c r="AN188" s="80"/>
      <c r="AO188" s="80"/>
      <c r="AP188" s="80"/>
      <c r="AQ188" s="80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</row>
    <row r="189">
      <c r="A189" s="80"/>
      <c r="B189" s="80"/>
      <c r="C189" s="80"/>
      <c r="D189" s="80"/>
      <c r="E189" s="124"/>
      <c r="F189" s="80"/>
      <c r="G189" s="80"/>
      <c r="H189" s="80"/>
      <c r="I189" s="80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15"/>
      <c r="AK189" s="80"/>
      <c r="AL189" s="80"/>
      <c r="AM189" s="80"/>
      <c r="AN189" s="80"/>
      <c r="AO189" s="80"/>
      <c r="AP189" s="80"/>
      <c r="AQ189" s="80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</row>
    <row r="190">
      <c r="A190" s="80"/>
      <c r="B190" s="80"/>
      <c r="C190" s="80"/>
      <c r="D190" s="80"/>
      <c r="E190" s="124"/>
      <c r="F190" s="80"/>
      <c r="G190" s="80"/>
      <c r="H190" s="80"/>
      <c r="I190" s="80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5"/>
      <c r="AK190" s="80"/>
      <c r="AL190" s="80"/>
      <c r="AM190" s="80"/>
      <c r="AN190" s="80"/>
      <c r="AO190" s="80"/>
      <c r="AP190" s="80"/>
      <c r="AQ190" s="80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</row>
    <row r="191">
      <c r="A191" s="80"/>
      <c r="B191" s="80"/>
      <c r="C191" s="80"/>
      <c r="D191" s="80"/>
      <c r="E191" s="124"/>
      <c r="F191" s="80"/>
      <c r="G191" s="80"/>
      <c r="H191" s="80"/>
      <c r="I191" s="80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15"/>
      <c r="AK191" s="80"/>
      <c r="AL191" s="80"/>
      <c r="AM191" s="80"/>
      <c r="AN191" s="80"/>
      <c r="AO191" s="80"/>
      <c r="AP191" s="80"/>
      <c r="AQ191" s="80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</row>
    <row r="192">
      <c r="A192" s="80"/>
      <c r="B192" s="80"/>
      <c r="C192" s="80"/>
      <c r="D192" s="80"/>
      <c r="E192" s="124"/>
      <c r="F192" s="80"/>
      <c r="G192" s="80"/>
      <c r="H192" s="80"/>
      <c r="I192" s="80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15"/>
      <c r="AK192" s="80"/>
      <c r="AL192" s="80"/>
      <c r="AM192" s="80"/>
      <c r="AN192" s="80"/>
      <c r="AO192" s="80"/>
      <c r="AP192" s="80"/>
      <c r="AQ192" s="80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</row>
    <row r="193">
      <c r="A193" s="80"/>
      <c r="B193" s="80"/>
      <c r="C193" s="80"/>
      <c r="D193" s="80"/>
      <c r="E193" s="124"/>
      <c r="F193" s="80"/>
      <c r="G193" s="80"/>
      <c r="H193" s="80"/>
      <c r="I193" s="80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15"/>
      <c r="AK193" s="80"/>
      <c r="AL193" s="80"/>
      <c r="AM193" s="80"/>
      <c r="AN193" s="80"/>
      <c r="AO193" s="80"/>
      <c r="AP193" s="80"/>
      <c r="AQ193" s="80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</row>
    <row r="194">
      <c r="A194" s="80"/>
      <c r="B194" s="80"/>
      <c r="C194" s="80"/>
      <c r="D194" s="80"/>
      <c r="E194" s="124"/>
      <c r="F194" s="80"/>
      <c r="G194" s="80"/>
      <c r="H194" s="80"/>
      <c r="I194" s="80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15"/>
      <c r="AK194" s="80"/>
      <c r="AL194" s="80"/>
      <c r="AM194" s="80"/>
      <c r="AN194" s="80"/>
      <c r="AO194" s="80"/>
      <c r="AP194" s="80"/>
      <c r="AQ194" s="80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</row>
    <row r="195">
      <c r="A195" s="80"/>
      <c r="B195" s="80"/>
      <c r="C195" s="80"/>
      <c r="D195" s="80"/>
      <c r="E195" s="124"/>
      <c r="F195" s="80"/>
      <c r="G195" s="80"/>
      <c r="H195" s="80"/>
      <c r="I195" s="80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15"/>
      <c r="AK195" s="80"/>
      <c r="AL195" s="80"/>
      <c r="AM195" s="80"/>
      <c r="AN195" s="80"/>
      <c r="AO195" s="80"/>
      <c r="AP195" s="80"/>
      <c r="AQ195" s="80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</row>
    <row r="196">
      <c r="A196" s="80"/>
      <c r="B196" s="80"/>
      <c r="C196" s="80"/>
      <c r="D196" s="80"/>
      <c r="E196" s="124"/>
      <c r="F196" s="80"/>
      <c r="G196" s="80"/>
      <c r="H196" s="80"/>
      <c r="I196" s="80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15"/>
      <c r="AK196" s="80"/>
      <c r="AL196" s="80"/>
      <c r="AM196" s="80"/>
      <c r="AN196" s="80"/>
      <c r="AO196" s="80"/>
      <c r="AP196" s="80"/>
      <c r="AQ196" s="80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</row>
    <row r="197">
      <c r="A197" s="80"/>
      <c r="B197" s="80"/>
      <c r="C197" s="80"/>
      <c r="D197" s="80"/>
      <c r="E197" s="124"/>
      <c r="F197" s="80"/>
      <c r="G197" s="80"/>
      <c r="H197" s="80"/>
      <c r="I197" s="80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15"/>
      <c r="AK197" s="80"/>
      <c r="AL197" s="80"/>
      <c r="AM197" s="80"/>
      <c r="AN197" s="80"/>
      <c r="AO197" s="80"/>
      <c r="AP197" s="80"/>
      <c r="AQ197" s="80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</row>
    <row r="198">
      <c r="A198" s="80"/>
      <c r="B198" s="80"/>
      <c r="C198" s="80"/>
      <c r="D198" s="80"/>
      <c r="E198" s="124"/>
      <c r="F198" s="80"/>
      <c r="G198" s="80"/>
      <c r="H198" s="80"/>
      <c r="I198" s="80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15"/>
      <c r="AK198" s="80"/>
      <c r="AL198" s="80"/>
      <c r="AM198" s="80"/>
      <c r="AN198" s="80"/>
      <c r="AO198" s="80"/>
      <c r="AP198" s="80"/>
      <c r="AQ198" s="80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</row>
    <row r="199">
      <c r="A199" s="80"/>
      <c r="B199" s="80"/>
      <c r="C199" s="80"/>
      <c r="D199" s="80"/>
      <c r="E199" s="124"/>
      <c r="F199" s="80"/>
      <c r="G199" s="80"/>
      <c r="H199" s="80"/>
      <c r="I199" s="80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15"/>
      <c r="AK199" s="80"/>
      <c r="AL199" s="80"/>
      <c r="AM199" s="80"/>
      <c r="AN199" s="80"/>
      <c r="AO199" s="80"/>
      <c r="AP199" s="80"/>
      <c r="AQ199" s="80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</row>
    <row r="200">
      <c r="A200" s="80"/>
      <c r="B200" s="80"/>
      <c r="C200" s="80"/>
      <c r="D200" s="80"/>
      <c r="E200" s="124"/>
      <c r="F200" s="80"/>
      <c r="G200" s="80"/>
      <c r="H200" s="80"/>
      <c r="I200" s="80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15"/>
      <c r="AK200" s="80"/>
      <c r="AL200" s="80"/>
      <c r="AM200" s="80"/>
      <c r="AN200" s="80"/>
      <c r="AO200" s="80"/>
      <c r="AP200" s="80"/>
      <c r="AQ200" s="80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</row>
    <row r="201">
      <c r="A201" s="80"/>
      <c r="B201" s="80"/>
      <c r="C201" s="80"/>
      <c r="D201" s="80"/>
      <c r="E201" s="124"/>
      <c r="F201" s="80"/>
      <c r="G201" s="80"/>
      <c r="H201" s="80"/>
      <c r="I201" s="80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15"/>
      <c r="AK201" s="80"/>
      <c r="AL201" s="80"/>
      <c r="AM201" s="80"/>
      <c r="AN201" s="80"/>
      <c r="AO201" s="80"/>
      <c r="AP201" s="80"/>
      <c r="AQ201" s="80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</row>
    <row r="202">
      <c r="A202" s="80"/>
      <c r="B202" s="80"/>
      <c r="C202" s="80"/>
      <c r="D202" s="80"/>
      <c r="E202" s="124"/>
      <c r="F202" s="80"/>
      <c r="G202" s="80"/>
      <c r="H202" s="80"/>
      <c r="I202" s="80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15"/>
      <c r="AK202" s="80"/>
      <c r="AL202" s="80"/>
      <c r="AM202" s="80"/>
      <c r="AN202" s="80"/>
      <c r="AO202" s="80"/>
      <c r="AP202" s="80"/>
      <c r="AQ202" s="80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</row>
    <row r="203">
      <c r="A203" s="80"/>
      <c r="B203" s="80"/>
      <c r="C203" s="80"/>
      <c r="D203" s="80"/>
      <c r="E203" s="124"/>
      <c r="F203" s="80"/>
      <c r="G203" s="80"/>
      <c r="H203" s="80"/>
      <c r="I203" s="80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15"/>
      <c r="AK203" s="80"/>
      <c r="AL203" s="80"/>
      <c r="AM203" s="80"/>
      <c r="AN203" s="80"/>
      <c r="AO203" s="80"/>
      <c r="AP203" s="80"/>
      <c r="AQ203" s="80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</row>
    <row r="204">
      <c r="A204" s="80"/>
      <c r="B204" s="80"/>
      <c r="C204" s="80"/>
      <c r="D204" s="80"/>
      <c r="E204" s="124"/>
      <c r="F204" s="80"/>
      <c r="G204" s="80"/>
      <c r="H204" s="80"/>
      <c r="I204" s="80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15"/>
      <c r="AK204" s="80"/>
      <c r="AL204" s="80"/>
      <c r="AM204" s="80"/>
      <c r="AN204" s="80"/>
      <c r="AO204" s="80"/>
      <c r="AP204" s="80"/>
      <c r="AQ204" s="80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</row>
    <row r="205">
      <c r="A205" s="80"/>
      <c r="B205" s="80"/>
      <c r="C205" s="80"/>
      <c r="D205" s="80"/>
      <c r="E205" s="124"/>
      <c r="F205" s="80"/>
      <c r="G205" s="80"/>
      <c r="H205" s="80"/>
      <c r="I205" s="80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15"/>
      <c r="AK205" s="80"/>
      <c r="AL205" s="80"/>
      <c r="AM205" s="80"/>
      <c r="AN205" s="80"/>
      <c r="AO205" s="80"/>
      <c r="AP205" s="80"/>
      <c r="AQ205" s="80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</row>
    <row r="206">
      <c r="A206" s="80"/>
      <c r="B206" s="80"/>
      <c r="C206" s="80"/>
      <c r="D206" s="80"/>
      <c r="E206" s="124"/>
      <c r="F206" s="80"/>
      <c r="G206" s="80"/>
      <c r="H206" s="80"/>
      <c r="I206" s="80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15"/>
      <c r="AK206" s="80"/>
      <c r="AL206" s="80"/>
      <c r="AM206" s="80"/>
      <c r="AN206" s="80"/>
      <c r="AO206" s="80"/>
      <c r="AP206" s="80"/>
      <c r="AQ206" s="80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</row>
    <row r="207">
      <c r="A207" s="80"/>
      <c r="B207" s="80"/>
      <c r="C207" s="80"/>
      <c r="D207" s="80"/>
      <c r="E207" s="124"/>
      <c r="F207" s="80"/>
      <c r="G207" s="80"/>
      <c r="H207" s="80"/>
      <c r="I207" s="80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15"/>
      <c r="AK207" s="80"/>
      <c r="AL207" s="80"/>
      <c r="AM207" s="80"/>
      <c r="AN207" s="80"/>
      <c r="AO207" s="80"/>
      <c r="AP207" s="80"/>
      <c r="AQ207" s="80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</row>
    <row r="208">
      <c r="A208" s="80"/>
      <c r="B208" s="80"/>
      <c r="C208" s="80"/>
      <c r="D208" s="80"/>
      <c r="E208" s="124"/>
      <c r="F208" s="80"/>
      <c r="G208" s="80"/>
      <c r="H208" s="80"/>
      <c r="I208" s="80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15"/>
      <c r="AK208" s="80"/>
      <c r="AL208" s="80"/>
      <c r="AM208" s="80"/>
      <c r="AN208" s="80"/>
      <c r="AO208" s="80"/>
      <c r="AP208" s="80"/>
      <c r="AQ208" s="80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</row>
    <row r="209">
      <c r="A209" s="80"/>
      <c r="B209" s="80"/>
      <c r="C209" s="80"/>
      <c r="D209" s="80"/>
      <c r="E209" s="124"/>
      <c r="F209" s="80"/>
      <c r="G209" s="80"/>
      <c r="H209" s="80"/>
      <c r="I209" s="80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15"/>
      <c r="AK209" s="80"/>
      <c r="AL209" s="80"/>
      <c r="AM209" s="80"/>
      <c r="AN209" s="80"/>
      <c r="AO209" s="80"/>
      <c r="AP209" s="80"/>
      <c r="AQ209" s="80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</row>
    <row r="210">
      <c r="A210" s="80"/>
      <c r="B210" s="80"/>
      <c r="C210" s="80"/>
      <c r="D210" s="80"/>
      <c r="E210" s="124"/>
      <c r="F210" s="80"/>
      <c r="G210" s="80"/>
      <c r="H210" s="80"/>
      <c r="I210" s="80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5"/>
      <c r="AK210" s="80"/>
      <c r="AL210" s="80"/>
      <c r="AM210" s="80"/>
      <c r="AN210" s="80"/>
      <c r="AO210" s="80"/>
      <c r="AP210" s="80"/>
      <c r="AQ210" s="80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</row>
    <row r="211">
      <c r="A211" s="80"/>
      <c r="B211" s="80"/>
      <c r="C211" s="80"/>
      <c r="D211" s="80"/>
      <c r="E211" s="124"/>
      <c r="F211" s="80"/>
      <c r="G211" s="80"/>
      <c r="H211" s="80"/>
      <c r="I211" s="80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15"/>
      <c r="AK211" s="80"/>
      <c r="AL211" s="80"/>
      <c r="AM211" s="80"/>
      <c r="AN211" s="80"/>
      <c r="AO211" s="80"/>
      <c r="AP211" s="80"/>
      <c r="AQ211" s="80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</row>
    <row r="212">
      <c r="A212" s="80"/>
      <c r="B212" s="80"/>
      <c r="C212" s="80"/>
      <c r="D212" s="80"/>
      <c r="E212" s="124"/>
      <c r="F212" s="80"/>
      <c r="G212" s="80"/>
      <c r="H212" s="80"/>
      <c r="I212" s="80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15"/>
      <c r="AK212" s="80"/>
      <c r="AL212" s="80"/>
      <c r="AM212" s="80"/>
      <c r="AN212" s="80"/>
      <c r="AO212" s="80"/>
      <c r="AP212" s="80"/>
      <c r="AQ212" s="80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</row>
    <row r="213">
      <c r="A213" s="80"/>
      <c r="B213" s="80"/>
      <c r="C213" s="80"/>
      <c r="D213" s="80"/>
      <c r="E213" s="124"/>
      <c r="F213" s="80"/>
      <c r="G213" s="80"/>
      <c r="H213" s="80"/>
      <c r="I213" s="80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15"/>
      <c r="AK213" s="80"/>
      <c r="AL213" s="80"/>
      <c r="AM213" s="80"/>
      <c r="AN213" s="80"/>
      <c r="AO213" s="80"/>
      <c r="AP213" s="80"/>
      <c r="AQ213" s="80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</row>
    <row r="214">
      <c r="A214" s="80"/>
      <c r="B214" s="80"/>
      <c r="C214" s="80"/>
      <c r="D214" s="80"/>
      <c r="E214" s="124"/>
      <c r="F214" s="80"/>
      <c r="G214" s="80"/>
      <c r="H214" s="80"/>
      <c r="I214" s="80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15"/>
      <c r="AK214" s="80"/>
      <c r="AL214" s="80"/>
      <c r="AM214" s="80"/>
      <c r="AN214" s="80"/>
      <c r="AO214" s="80"/>
      <c r="AP214" s="80"/>
      <c r="AQ214" s="80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</row>
    <row r="215">
      <c r="A215" s="80"/>
      <c r="B215" s="80"/>
      <c r="C215" s="80"/>
      <c r="D215" s="80"/>
      <c r="E215" s="124"/>
      <c r="F215" s="80"/>
      <c r="G215" s="80"/>
      <c r="H215" s="80"/>
      <c r="I215" s="80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15"/>
      <c r="AK215" s="80"/>
      <c r="AL215" s="80"/>
      <c r="AM215" s="80"/>
      <c r="AN215" s="80"/>
      <c r="AO215" s="80"/>
      <c r="AP215" s="80"/>
      <c r="AQ215" s="80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</row>
    <row r="216">
      <c r="A216" s="80"/>
      <c r="B216" s="80"/>
      <c r="C216" s="80"/>
      <c r="D216" s="80"/>
      <c r="E216" s="124"/>
      <c r="F216" s="80"/>
      <c r="G216" s="80"/>
      <c r="H216" s="80"/>
      <c r="I216" s="80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15"/>
      <c r="AK216" s="80"/>
      <c r="AL216" s="80"/>
      <c r="AM216" s="80"/>
      <c r="AN216" s="80"/>
      <c r="AO216" s="80"/>
      <c r="AP216" s="80"/>
      <c r="AQ216" s="80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</row>
    <row r="217">
      <c r="A217" s="80"/>
      <c r="B217" s="80"/>
      <c r="C217" s="80"/>
      <c r="D217" s="80"/>
      <c r="E217" s="124"/>
      <c r="F217" s="80"/>
      <c r="G217" s="80"/>
      <c r="H217" s="80"/>
      <c r="I217" s="80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15"/>
      <c r="AK217" s="80"/>
      <c r="AL217" s="80"/>
      <c r="AM217" s="80"/>
      <c r="AN217" s="80"/>
      <c r="AO217" s="80"/>
      <c r="AP217" s="80"/>
      <c r="AQ217" s="80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</row>
    <row r="218">
      <c r="A218" s="80"/>
      <c r="B218" s="80"/>
      <c r="C218" s="80"/>
      <c r="D218" s="80"/>
      <c r="E218" s="124"/>
      <c r="F218" s="80"/>
      <c r="G218" s="80"/>
      <c r="H218" s="80"/>
      <c r="I218" s="80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5"/>
      <c r="AK218" s="80"/>
      <c r="AL218" s="80"/>
      <c r="AM218" s="80"/>
      <c r="AN218" s="80"/>
      <c r="AO218" s="80"/>
      <c r="AP218" s="80"/>
      <c r="AQ218" s="80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</row>
    <row r="219">
      <c r="A219" s="80"/>
      <c r="B219" s="80"/>
      <c r="C219" s="80"/>
      <c r="D219" s="80"/>
      <c r="E219" s="124"/>
      <c r="F219" s="80"/>
      <c r="G219" s="80"/>
      <c r="H219" s="80"/>
      <c r="I219" s="80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15"/>
      <c r="AK219" s="80"/>
      <c r="AL219" s="80"/>
      <c r="AM219" s="80"/>
      <c r="AN219" s="80"/>
      <c r="AO219" s="80"/>
      <c r="AP219" s="80"/>
      <c r="AQ219" s="80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</row>
    <row r="220">
      <c r="A220" s="80"/>
      <c r="B220" s="80"/>
      <c r="C220" s="80"/>
      <c r="D220" s="80"/>
      <c r="E220" s="124"/>
      <c r="F220" s="80"/>
      <c r="G220" s="80"/>
      <c r="H220" s="80"/>
      <c r="I220" s="80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15"/>
      <c r="AK220" s="80"/>
      <c r="AL220" s="80"/>
      <c r="AM220" s="80"/>
      <c r="AN220" s="80"/>
      <c r="AO220" s="80"/>
      <c r="AP220" s="80"/>
      <c r="AQ220" s="80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</row>
    <row r="221">
      <c r="A221" s="80"/>
      <c r="B221" s="80"/>
      <c r="C221" s="80"/>
      <c r="D221" s="80"/>
      <c r="E221" s="124"/>
      <c r="F221" s="80"/>
      <c r="G221" s="80"/>
      <c r="H221" s="80"/>
      <c r="I221" s="80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15"/>
      <c r="AK221" s="80"/>
      <c r="AL221" s="80"/>
      <c r="AM221" s="80"/>
      <c r="AN221" s="80"/>
      <c r="AO221" s="80"/>
      <c r="AP221" s="80"/>
      <c r="AQ221" s="80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</row>
    <row r="222">
      <c r="A222" s="80"/>
      <c r="B222" s="80"/>
      <c r="C222" s="80"/>
      <c r="D222" s="80"/>
      <c r="E222" s="124"/>
      <c r="F222" s="80"/>
      <c r="G222" s="80"/>
      <c r="H222" s="80"/>
      <c r="I222" s="80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15"/>
      <c r="AK222" s="80"/>
      <c r="AL222" s="80"/>
      <c r="AM222" s="80"/>
      <c r="AN222" s="80"/>
      <c r="AO222" s="80"/>
      <c r="AP222" s="80"/>
      <c r="AQ222" s="80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</row>
    <row r="223">
      <c r="A223" s="80"/>
      <c r="B223" s="80"/>
      <c r="C223" s="80"/>
      <c r="D223" s="80"/>
      <c r="E223" s="124"/>
      <c r="F223" s="80"/>
      <c r="G223" s="80"/>
      <c r="H223" s="80"/>
      <c r="I223" s="80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15"/>
      <c r="AK223" s="80"/>
      <c r="AL223" s="80"/>
      <c r="AM223" s="80"/>
      <c r="AN223" s="80"/>
      <c r="AO223" s="80"/>
      <c r="AP223" s="80"/>
      <c r="AQ223" s="80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</row>
    <row r="224">
      <c r="A224" s="80"/>
      <c r="B224" s="80"/>
      <c r="C224" s="80"/>
      <c r="D224" s="80"/>
      <c r="E224" s="124"/>
      <c r="F224" s="80"/>
      <c r="G224" s="80"/>
      <c r="H224" s="80"/>
      <c r="I224" s="80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15"/>
      <c r="AK224" s="80"/>
      <c r="AL224" s="80"/>
      <c r="AM224" s="80"/>
      <c r="AN224" s="80"/>
      <c r="AO224" s="80"/>
      <c r="AP224" s="80"/>
      <c r="AQ224" s="80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</row>
    <row r="225">
      <c r="A225" s="80"/>
      <c r="B225" s="80"/>
      <c r="C225" s="80"/>
      <c r="D225" s="80"/>
      <c r="E225" s="124"/>
      <c r="F225" s="80"/>
      <c r="G225" s="80"/>
      <c r="H225" s="80"/>
      <c r="I225" s="80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15"/>
      <c r="AK225" s="80"/>
      <c r="AL225" s="80"/>
      <c r="AM225" s="80"/>
      <c r="AN225" s="80"/>
      <c r="AO225" s="80"/>
      <c r="AP225" s="80"/>
      <c r="AQ225" s="80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</row>
    <row r="226">
      <c r="A226" s="80"/>
      <c r="B226" s="80"/>
      <c r="C226" s="80"/>
      <c r="D226" s="80"/>
      <c r="E226" s="124"/>
      <c r="F226" s="80"/>
      <c r="G226" s="80"/>
      <c r="H226" s="80"/>
      <c r="I226" s="80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15"/>
      <c r="AK226" s="80"/>
      <c r="AL226" s="80"/>
      <c r="AM226" s="80"/>
      <c r="AN226" s="80"/>
      <c r="AO226" s="80"/>
      <c r="AP226" s="80"/>
      <c r="AQ226" s="80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</row>
    <row r="227">
      <c r="A227" s="80"/>
      <c r="B227" s="80"/>
      <c r="C227" s="80"/>
      <c r="D227" s="80"/>
      <c r="E227" s="124"/>
      <c r="F227" s="80"/>
      <c r="G227" s="80"/>
      <c r="H227" s="80"/>
      <c r="I227" s="80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15"/>
      <c r="AK227" s="80"/>
      <c r="AL227" s="80"/>
      <c r="AM227" s="80"/>
      <c r="AN227" s="80"/>
      <c r="AO227" s="80"/>
      <c r="AP227" s="80"/>
      <c r="AQ227" s="80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</row>
    <row r="228">
      <c r="A228" s="80"/>
      <c r="B228" s="80"/>
      <c r="C228" s="80"/>
      <c r="D228" s="80"/>
      <c r="E228" s="124"/>
      <c r="F228" s="80"/>
      <c r="G228" s="80"/>
      <c r="H228" s="80"/>
      <c r="I228" s="80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15"/>
      <c r="AK228" s="80"/>
      <c r="AL228" s="80"/>
      <c r="AM228" s="80"/>
      <c r="AN228" s="80"/>
      <c r="AO228" s="80"/>
      <c r="AP228" s="80"/>
      <c r="AQ228" s="80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</row>
    <row r="229">
      <c r="A229" s="80"/>
      <c r="B229" s="80"/>
      <c r="C229" s="80"/>
      <c r="D229" s="80"/>
      <c r="E229" s="124"/>
      <c r="F229" s="80"/>
      <c r="G229" s="80"/>
      <c r="H229" s="80"/>
      <c r="I229" s="80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15"/>
      <c r="AK229" s="80"/>
      <c r="AL229" s="80"/>
      <c r="AM229" s="80"/>
      <c r="AN229" s="80"/>
      <c r="AO229" s="80"/>
      <c r="AP229" s="80"/>
      <c r="AQ229" s="80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</row>
    <row r="230">
      <c r="A230" s="80"/>
      <c r="B230" s="80"/>
      <c r="C230" s="80"/>
      <c r="D230" s="80"/>
      <c r="E230" s="124"/>
      <c r="F230" s="80"/>
      <c r="G230" s="80"/>
      <c r="H230" s="80"/>
      <c r="I230" s="80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15"/>
      <c r="AK230" s="80"/>
      <c r="AL230" s="80"/>
      <c r="AM230" s="80"/>
      <c r="AN230" s="80"/>
      <c r="AO230" s="80"/>
      <c r="AP230" s="80"/>
      <c r="AQ230" s="80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</row>
    <row r="231">
      <c r="A231" s="80"/>
      <c r="B231" s="80"/>
      <c r="C231" s="80"/>
      <c r="D231" s="80"/>
      <c r="E231" s="124"/>
      <c r="F231" s="80"/>
      <c r="G231" s="80"/>
      <c r="H231" s="80"/>
      <c r="I231" s="80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15"/>
      <c r="AK231" s="80"/>
      <c r="AL231" s="80"/>
      <c r="AM231" s="80"/>
      <c r="AN231" s="80"/>
      <c r="AO231" s="80"/>
      <c r="AP231" s="80"/>
      <c r="AQ231" s="80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</row>
    <row r="232">
      <c r="A232" s="80"/>
      <c r="B232" s="80"/>
      <c r="C232" s="80"/>
      <c r="D232" s="80"/>
      <c r="E232" s="124"/>
      <c r="F232" s="80"/>
      <c r="G232" s="80"/>
      <c r="H232" s="80"/>
      <c r="I232" s="80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15"/>
      <c r="AK232" s="80"/>
      <c r="AL232" s="80"/>
      <c r="AM232" s="80"/>
      <c r="AN232" s="80"/>
      <c r="AO232" s="80"/>
      <c r="AP232" s="80"/>
      <c r="AQ232" s="80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</row>
    <row r="233">
      <c r="A233" s="80"/>
      <c r="B233" s="80"/>
      <c r="C233" s="80"/>
      <c r="D233" s="80"/>
      <c r="E233" s="124"/>
      <c r="F233" s="80"/>
      <c r="G233" s="80"/>
      <c r="H233" s="80"/>
      <c r="I233" s="80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15"/>
      <c r="AK233" s="80"/>
      <c r="AL233" s="80"/>
      <c r="AM233" s="80"/>
      <c r="AN233" s="80"/>
      <c r="AO233" s="80"/>
      <c r="AP233" s="80"/>
      <c r="AQ233" s="80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</row>
    <row r="234">
      <c r="A234" s="80"/>
      <c r="B234" s="80"/>
      <c r="C234" s="80"/>
      <c r="D234" s="80"/>
      <c r="E234" s="124"/>
      <c r="F234" s="80"/>
      <c r="G234" s="80"/>
      <c r="H234" s="80"/>
      <c r="I234" s="80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5"/>
      <c r="AK234" s="80"/>
      <c r="AL234" s="80"/>
      <c r="AM234" s="80"/>
      <c r="AN234" s="80"/>
      <c r="AO234" s="80"/>
      <c r="AP234" s="80"/>
      <c r="AQ234" s="80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</row>
    <row r="235">
      <c r="A235" s="80"/>
      <c r="B235" s="80"/>
      <c r="C235" s="80"/>
      <c r="D235" s="80"/>
      <c r="E235" s="124"/>
      <c r="F235" s="80"/>
      <c r="G235" s="80"/>
      <c r="H235" s="80"/>
      <c r="I235" s="80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15"/>
      <c r="AK235" s="80"/>
      <c r="AL235" s="80"/>
      <c r="AM235" s="80"/>
      <c r="AN235" s="80"/>
      <c r="AO235" s="80"/>
      <c r="AP235" s="80"/>
      <c r="AQ235" s="80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</row>
    <row r="236">
      <c r="A236" s="80"/>
      <c r="B236" s="80"/>
      <c r="C236" s="80"/>
      <c r="D236" s="80"/>
      <c r="E236" s="124"/>
      <c r="F236" s="80"/>
      <c r="G236" s="80"/>
      <c r="H236" s="80"/>
      <c r="I236" s="80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15"/>
      <c r="AK236" s="80"/>
      <c r="AL236" s="80"/>
      <c r="AM236" s="80"/>
      <c r="AN236" s="80"/>
      <c r="AO236" s="80"/>
      <c r="AP236" s="80"/>
      <c r="AQ236" s="80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</row>
    <row r="237">
      <c r="A237" s="80"/>
      <c r="B237" s="80"/>
      <c r="C237" s="80"/>
      <c r="D237" s="80"/>
      <c r="E237" s="124"/>
      <c r="F237" s="80"/>
      <c r="G237" s="80"/>
      <c r="H237" s="80"/>
      <c r="I237" s="80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15"/>
      <c r="AK237" s="80"/>
      <c r="AL237" s="80"/>
      <c r="AM237" s="80"/>
      <c r="AN237" s="80"/>
      <c r="AO237" s="80"/>
      <c r="AP237" s="80"/>
      <c r="AQ237" s="80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</row>
    <row r="238">
      <c r="A238" s="80"/>
      <c r="B238" s="80"/>
      <c r="C238" s="80"/>
      <c r="D238" s="80"/>
      <c r="E238" s="124"/>
      <c r="F238" s="80"/>
      <c r="G238" s="80"/>
      <c r="H238" s="80"/>
      <c r="I238" s="80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15"/>
      <c r="AK238" s="80"/>
      <c r="AL238" s="80"/>
      <c r="AM238" s="80"/>
      <c r="AN238" s="80"/>
      <c r="AO238" s="80"/>
      <c r="AP238" s="80"/>
      <c r="AQ238" s="80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</row>
    <row r="239">
      <c r="A239" s="80"/>
      <c r="B239" s="80"/>
      <c r="C239" s="80"/>
      <c r="D239" s="80"/>
      <c r="E239" s="124"/>
      <c r="F239" s="80"/>
      <c r="G239" s="80"/>
      <c r="H239" s="80"/>
      <c r="I239" s="80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15"/>
      <c r="AK239" s="80"/>
      <c r="AL239" s="80"/>
      <c r="AM239" s="80"/>
      <c r="AN239" s="80"/>
      <c r="AO239" s="80"/>
      <c r="AP239" s="80"/>
      <c r="AQ239" s="80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</row>
    <row r="240">
      <c r="A240" s="80"/>
      <c r="B240" s="80"/>
      <c r="C240" s="80"/>
      <c r="D240" s="80"/>
      <c r="E240" s="124"/>
      <c r="F240" s="80"/>
      <c r="G240" s="80"/>
      <c r="H240" s="80"/>
      <c r="I240" s="80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15"/>
      <c r="AK240" s="80"/>
      <c r="AL240" s="80"/>
      <c r="AM240" s="80"/>
      <c r="AN240" s="80"/>
      <c r="AO240" s="80"/>
      <c r="AP240" s="80"/>
      <c r="AQ240" s="80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</row>
    <row r="241">
      <c r="A241" s="80"/>
      <c r="B241" s="80"/>
      <c r="C241" s="80"/>
      <c r="D241" s="80"/>
      <c r="E241" s="124"/>
      <c r="F241" s="80"/>
      <c r="G241" s="80"/>
      <c r="H241" s="80"/>
      <c r="I241" s="80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15"/>
      <c r="AK241" s="80"/>
      <c r="AL241" s="80"/>
      <c r="AM241" s="80"/>
      <c r="AN241" s="80"/>
      <c r="AO241" s="80"/>
      <c r="AP241" s="80"/>
      <c r="AQ241" s="80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</row>
    <row r="242">
      <c r="A242" s="80"/>
      <c r="B242" s="80"/>
      <c r="C242" s="80"/>
      <c r="D242" s="80"/>
      <c r="E242" s="124"/>
      <c r="F242" s="80"/>
      <c r="G242" s="80"/>
      <c r="H242" s="80"/>
      <c r="I242" s="80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15"/>
      <c r="AK242" s="80"/>
      <c r="AL242" s="80"/>
      <c r="AM242" s="80"/>
      <c r="AN242" s="80"/>
      <c r="AO242" s="80"/>
      <c r="AP242" s="80"/>
      <c r="AQ242" s="80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</row>
    <row r="243">
      <c r="A243" s="80"/>
      <c r="B243" s="80"/>
      <c r="C243" s="80"/>
      <c r="D243" s="80"/>
      <c r="E243" s="124"/>
      <c r="F243" s="80"/>
      <c r="G243" s="80"/>
      <c r="H243" s="80"/>
      <c r="I243" s="80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15"/>
      <c r="AK243" s="80"/>
      <c r="AL243" s="80"/>
      <c r="AM243" s="80"/>
      <c r="AN243" s="80"/>
      <c r="AO243" s="80"/>
      <c r="AP243" s="80"/>
      <c r="AQ243" s="80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</row>
    <row r="244">
      <c r="A244" s="80"/>
      <c r="B244" s="80"/>
      <c r="C244" s="80"/>
      <c r="D244" s="80"/>
      <c r="E244" s="124"/>
      <c r="F244" s="80"/>
      <c r="G244" s="80"/>
      <c r="H244" s="80"/>
      <c r="I244" s="80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15"/>
      <c r="AK244" s="80"/>
      <c r="AL244" s="80"/>
      <c r="AM244" s="80"/>
      <c r="AN244" s="80"/>
      <c r="AO244" s="80"/>
      <c r="AP244" s="80"/>
      <c r="AQ244" s="80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</row>
    <row r="245">
      <c r="A245" s="80"/>
      <c r="B245" s="80"/>
      <c r="C245" s="80"/>
      <c r="D245" s="80"/>
      <c r="E245" s="124"/>
      <c r="F245" s="80"/>
      <c r="G245" s="80"/>
      <c r="H245" s="80"/>
      <c r="I245" s="80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15"/>
      <c r="AK245" s="80"/>
      <c r="AL245" s="80"/>
      <c r="AM245" s="80"/>
      <c r="AN245" s="80"/>
      <c r="AO245" s="80"/>
      <c r="AP245" s="80"/>
      <c r="AQ245" s="80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</row>
    <row r="246">
      <c r="A246" s="80"/>
      <c r="B246" s="80"/>
      <c r="C246" s="80"/>
      <c r="D246" s="80"/>
      <c r="E246" s="124"/>
      <c r="F246" s="80"/>
      <c r="G246" s="80"/>
      <c r="H246" s="80"/>
      <c r="I246" s="80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15"/>
      <c r="AK246" s="80"/>
      <c r="AL246" s="80"/>
      <c r="AM246" s="80"/>
      <c r="AN246" s="80"/>
      <c r="AO246" s="80"/>
      <c r="AP246" s="80"/>
      <c r="AQ246" s="80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</row>
    <row r="247">
      <c r="A247" s="80"/>
      <c r="B247" s="80"/>
      <c r="C247" s="80"/>
      <c r="D247" s="80"/>
      <c r="E247" s="124"/>
      <c r="F247" s="80"/>
      <c r="G247" s="80"/>
      <c r="H247" s="80"/>
      <c r="I247" s="80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15"/>
      <c r="AK247" s="80"/>
      <c r="AL247" s="80"/>
      <c r="AM247" s="80"/>
      <c r="AN247" s="80"/>
      <c r="AO247" s="80"/>
      <c r="AP247" s="80"/>
      <c r="AQ247" s="80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</row>
    <row r="248">
      <c r="A248" s="80"/>
      <c r="B248" s="80"/>
      <c r="C248" s="80"/>
      <c r="D248" s="80"/>
      <c r="E248" s="124"/>
      <c r="F248" s="80"/>
      <c r="G248" s="80"/>
      <c r="H248" s="80"/>
      <c r="I248" s="80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15"/>
      <c r="AK248" s="80"/>
      <c r="AL248" s="80"/>
      <c r="AM248" s="80"/>
      <c r="AN248" s="80"/>
      <c r="AO248" s="80"/>
      <c r="AP248" s="80"/>
      <c r="AQ248" s="80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</row>
    <row r="249">
      <c r="A249" s="80"/>
      <c r="B249" s="80"/>
      <c r="C249" s="80"/>
      <c r="D249" s="80"/>
      <c r="E249" s="124"/>
      <c r="F249" s="80"/>
      <c r="G249" s="80"/>
      <c r="H249" s="80"/>
      <c r="I249" s="80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15"/>
      <c r="AK249" s="80"/>
      <c r="AL249" s="80"/>
      <c r="AM249" s="80"/>
      <c r="AN249" s="80"/>
      <c r="AO249" s="80"/>
      <c r="AP249" s="80"/>
      <c r="AQ249" s="80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</row>
    <row r="250">
      <c r="A250" s="80"/>
      <c r="B250" s="80"/>
      <c r="C250" s="80"/>
      <c r="D250" s="80"/>
      <c r="E250" s="124"/>
      <c r="F250" s="80"/>
      <c r="G250" s="80"/>
      <c r="H250" s="80"/>
      <c r="I250" s="80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15"/>
      <c r="AK250" s="80"/>
      <c r="AL250" s="80"/>
      <c r="AM250" s="80"/>
      <c r="AN250" s="80"/>
      <c r="AO250" s="80"/>
      <c r="AP250" s="80"/>
      <c r="AQ250" s="80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</row>
    <row r="251">
      <c r="A251" s="80"/>
      <c r="B251" s="80"/>
      <c r="C251" s="80"/>
      <c r="D251" s="80"/>
      <c r="E251" s="124"/>
      <c r="F251" s="80"/>
      <c r="G251" s="80"/>
      <c r="H251" s="80"/>
      <c r="I251" s="80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15"/>
      <c r="AK251" s="80"/>
      <c r="AL251" s="80"/>
      <c r="AM251" s="80"/>
      <c r="AN251" s="80"/>
      <c r="AO251" s="80"/>
      <c r="AP251" s="80"/>
      <c r="AQ251" s="80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</row>
    <row r="252">
      <c r="A252" s="80"/>
      <c r="B252" s="80"/>
      <c r="C252" s="80"/>
      <c r="D252" s="80"/>
      <c r="E252" s="124"/>
      <c r="F252" s="80"/>
      <c r="G252" s="80"/>
      <c r="H252" s="80"/>
      <c r="I252" s="80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15"/>
      <c r="AK252" s="80"/>
      <c r="AL252" s="80"/>
      <c r="AM252" s="80"/>
      <c r="AN252" s="80"/>
      <c r="AO252" s="80"/>
      <c r="AP252" s="80"/>
      <c r="AQ252" s="80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</row>
    <row r="253">
      <c r="A253" s="80"/>
      <c r="B253" s="80"/>
      <c r="C253" s="80"/>
      <c r="D253" s="80"/>
      <c r="E253" s="124"/>
      <c r="F253" s="80"/>
      <c r="G253" s="80"/>
      <c r="H253" s="80"/>
      <c r="I253" s="80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15"/>
      <c r="AK253" s="80"/>
      <c r="AL253" s="80"/>
      <c r="AM253" s="80"/>
      <c r="AN253" s="80"/>
      <c r="AO253" s="80"/>
      <c r="AP253" s="80"/>
      <c r="AQ253" s="80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</row>
    <row r="254">
      <c r="A254" s="80"/>
      <c r="B254" s="80"/>
      <c r="C254" s="80"/>
      <c r="D254" s="80"/>
      <c r="E254" s="124"/>
      <c r="F254" s="80"/>
      <c r="G254" s="80"/>
      <c r="H254" s="80"/>
      <c r="I254" s="80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15"/>
      <c r="AK254" s="80"/>
      <c r="AL254" s="80"/>
      <c r="AM254" s="80"/>
      <c r="AN254" s="80"/>
      <c r="AO254" s="80"/>
      <c r="AP254" s="80"/>
      <c r="AQ254" s="80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</row>
    <row r="255">
      <c r="A255" s="80"/>
      <c r="B255" s="80"/>
      <c r="C255" s="80"/>
      <c r="D255" s="80"/>
      <c r="E255" s="124"/>
      <c r="F255" s="80"/>
      <c r="G255" s="80"/>
      <c r="H255" s="80"/>
      <c r="I255" s="80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15"/>
      <c r="AK255" s="80"/>
      <c r="AL255" s="80"/>
      <c r="AM255" s="80"/>
      <c r="AN255" s="80"/>
      <c r="AO255" s="80"/>
      <c r="AP255" s="80"/>
      <c r="AQ255" s="80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</row>
    <row r="256">
      <c r="A256" s="80"/>
      <c r="B256" s="80"/>
      <c r="C256" s="80"/>
      <c r="D256" s="80"/>
      <c r="E256" s="124"/>
      <c r="F256" s="80"/>
      <c r="G256" s="80"/>
      <c r="H256" s="80"/>
      <c r="I256" s="80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15"/>
      <c r="AK256" s="80"/>
      <c r="AL256" s="80"/>
      <c r="AM256" s="80"/>
      <c r="AN256" s="80"/>
      <c r="AO256" s="80"/>
      <c r="AP256" s="80"/>
      <c r="AQ256" s="80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</row>
    <row r="257">
      <c r="A257" s="80"/>
      <c r="B257" s="80"/>
      <c r="C257" s="80"/>
      <c r="D257" s="80"/>
      <c r="E257" s="124"/>
      <c r="F257" s="80"/>
      <c r="G257" s="80"/>
      <c r="H257" s="80"/>
      <c r="I257" s="80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15"/>
      <c r="AK257" s="80"/>
      <c r="AL257" s="80"/>
      <c r="AM257" s="80"/>
      <c r="AN257" s="80"/>
      <c r="AO257" s="80"/>
      <c r="AP257" s="80"/>
      <c r="AQ257" s="80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</row>
    <row r="258">
      <c r="A258" s="80"/>
      <c r="B258" s="80"/>
      <c r="C258" s="80"/>
      <c r="D258" s="80"/>
      <c r="E258" s="124"/>
      <c r="F258" s="80"/>
      <c r="G258" s="80"/>
      <c r="H258" s="80"/>
      <c r="I258" s="80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15"/>
      <c r="AK258" s="80"/>
      <c r="AL258" s="80"/>
      <c r="AM258" s="80"/>
      <c r="AN258" s="80"/>
      <c r="AO258" s="80"/>
      <c r="AP258" s="80"/>
      <c r="AQ258" s="80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</row>
    <row r="259">
      <c r="A259" s="80"/>
      <c r="B259" s="80"/>
      <c r="C259" s="80"/>
      <c r="D259" s="80"/>
      <c r="E259" s="124"/>
      <c r="F259" s="80"/>
      <c r="G259" s="80"/>
      <c r="H259" s="80"/>
      <c r="I259" s="80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15"/>
      <c r="AK259" s="80"/>
      <c r="AL259" s="80"/>
      <c r="AM259" s="80"/>
      <c r="AN259" s="80"/>
      <c r="AO259" s="80"/>
      <c r="AP259" s="80"/>
      <c r="AQ259" s="80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</row>
    <row r="260">
      <c r="A260" s="80"/>
      <c r="B260" s="80"/>
      <c r="C260" s="80"/>
      <c r="D260" s="80"/>
      <c r="E260" s="124"/>
      <c r="F260" s="80"/>
      <c r="G260" s="80"/>
      <c r="H260" s="80"/>
      <c r="I260" s="80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15"/>
      <c r="AK260" s="80"/>
      <c r="AL260" s="80"/>
      <c r="AM260" s="80"/>
      <c r="AN260" s="80"/>
      <c r="AO260" s="80"/>
      <c r="AP260" s="80"/>
      <c r="AQ260" s="80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</row>
    <row r="261">
      <c r="A261" s="80"/>
      <c r="B261" s="80"/>
      <c r="C261" s="80"/>
      <c r="D261" s="80"/>
      <c r="E261" s="124"/>
      <c r="F261" s="80"/>
      <c r="G261" s="80"/>
      <c r="H261" s="80"/>
      <c r="I261" s="80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15"/>
      <c r="AK261" s="80"/>
      <c r="AL261" s="80"/>
      <c r="AM261" s="80"/>
      <c r="AN261" s="80"/>
      <c r="AO261" s="80"/>
      <c r="AP261" s="80"/>
      <c r="AQ261" s="80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</row>
    <row r="262">
      <c r="A262" s="80"/>
      <c r="B262" s="80"/>
      <c r="C262" s="80"/>
      <c r="D262" s="80"/>
      <c r="E262" s="124"/>
      <c r="F262" s="80"/>
      <c r="G262" s="80"/>
      <c r="H262" s="80"/>
      <c r="I262" s="80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15"/>
      <c r="AK262" s="80"/>
      <c r="AL262" s="80"/>
      <c r="AM262" s="80"/>
      <c r="AN262" s="80"/>
      <c r="AO262" s="80"/>
      <c r="AP262" s="80"/>
      <c r="AQ262" s="80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</row>
    <row r="263">
      <c r="A263" s="80"/>
      <c r="B263" s="80"/>
      <c r="C263" s="80"/>
      <c r="D263" s="80"/>
      <c r="E263" s="124"/>
      <c r="F263" s="80"/>
      <c r="G263" s="80"/>
      <c r="H263" s="80"/>
      <c r="I263" s="80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15"/>
      <c r="AK263" s="80"/>
      <c r="AL263" s="80"/>
      <c r="AM263" s="80"/>
      <c r="AN263" s="80"/>
      <c r="AO263" s="80"/>
      <c r="AP263" s="80"/>
      <c r="AQ263" s="80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</row>
    <row r="264">
      <c r="A264" s="80"/>
      <c r="B264" s="80"/>
      <c r="C264" s="80"/>
      <c r="D264" s="80"/>
      <c r="E264" s="124"/>
      <c r="F264" s="80"/>
      <c r="G264" s="80"/>
      <c r="H264" s="80"/>
      <c r="I264" s="80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15"/>
      <c r="AK264" s="80"/>
      <c r="AL264" s="80"/>
      <c r="AM264" s="80"/>
      <c r="AN264" s="80"/>
      <c r="AO264" s="80"/>
      <c r="AP264" s="80"/>
      <c r="AQ264" s="80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</row>
    <row r="265">
      <c r="A265" s="80"/>
      <c r="B265" s="80"/>
      <c r="C265" s="80"/>
      <c r="D265" s="80"/>
      <c r="E265" s="124"/>
      <c r="F265" s="80"/>
      <c r="G265" s="80"/>
      <c r="H265" s="80"/>
      <c r="I265" s="80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15"/>
      <c r="AK265" s="80"/>
      <c r="AL265" s="80"/>
      <c r="AM265" s="80"/>
      <c r="AN265" s="80"/>
      <c r="AO265" s="80"/>
      <c r="AP265" s="80"/>
      <c r="AQ265" s="80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</row>
    <row r="266">
      <c r="A266" s="80"/>
      <c r="B266" s="80"/>
      <c r="C266" s="80"/>
      <c r="D266" s="80"/>
      <c r="E266" s="124"/>
      <c r="F266" s="80"/>
      <c r="G266" s="80"/>
      <c r="H266" s="80"/>
      <c r="I266" s="80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15"/>
      <c r="AK266" s="80"/>
      <c r="AL266" s="80"/>
      <c r="AM266" s="80"/>
      <c r="AN266" s="80"/>
      <c r="AO266" s="80"/>
      <c r="AP266" s="80"/>
      <c r="AQ266" s="80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</row>
    <row r="267">
      <c r="A267" s="80"/>
      <c r="B267" s="80"/>
      <c r="C267" s="80"/>
      <c r="D267" s="80"/>
      <c r="E267" s="124"/>
      <c r="F267" s="80"/>
      <c r="G267" s="80"/>
      <c r="H267" s="80"/>
      <c r="I267" s="80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15"/>
      <c r="AK267" s="80"/>
      <c r="AL267" s="80"/>
      <c r="AM267" s="80"/>
      <c r="AN267" s="80"/>
      <c r="AO267" s="80"/>
      <c r="AP267" s="80"/>
      <c r="AQ267" s="80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</row>
    <row r="268">
      <c r="A268" s="80"/>
      <c r="B268" s="80"/>
      <c r="C268" s="80"/>
      <c r="D268" s="80"/>
      <c r="E268" s="124"/>
      <c r="F268" s="80"/>
      <c r="G268" s="80"/>
      <c r="H268" s="80"/>
      <c r="I268" s="80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15"/>
      <c r="AK268" s="80"/>
      <c r="AL268" s="80"/>
      <c r="AM268" s="80"/>
      <c r="AN268" s="80"/>
      <c r="AO268" s="80"/>
      <c r="AP268" s="80"/>
      <c r="AQ268" s="80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</row>
    <row r="269">
      <c r="A269" s="80"/>
      <c r="B269" s="80"/>
      <c r="C269" s="80"/>
      <c r="D269" s="80"/>
      <c r="E269" s="124"/>
      <c r="F269" s="80"/>
      <c r="G269" s="80"/>
      <c r="H269" s="80"/>
      <c r="I269" s="80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15"/>
      <c r="AK269" s="80"/>
      <c r="AL269" s="80"/>
      <c r="AM269" s="80"/>
      <c r="AN269" s="80"/>
      <c r="AO269" s="80"/>
      <c r="AP269" s="80"/>
      <c r="AQ269" s="80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</row>
    <row r="270">
      <c r="A270" s="80"/>
      <c r="B270" s="80"/>
      <c r="C270" s="80"/>
      <c r="D270" s="80"/>
      <c r="E270" s="124"/>
      <c r="F270" s="80"/>
      <c r="G270" s="80"/>
      <c r="H270" s="80"/>
      <c r="I270" s="80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15"/>
      <c r="AK270" s="80"/>
      <c r="AL270" s="80"/>
      <c r="AM270" s="80"/>
      <c r="AN270" s="80"/>
      <c r="AO270" s="80"/>
      <c r="AP270" s="80"/>
      <c r="AQ270" s="80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</row>
    <row r="271">
      <c r="A271" s="80"/>
      <c r="B271" s="80"/>
      <c r="C271" s="80"/>
      <c r="D271" s="80"/>
      <c r="E271" s="124"/>
      <c r="F271" s="80"/>
      <c r="G271" s="80"/>
      <c r="H271" s="80"/>
      <c r="I271" s="80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15"/>
      <c r="AK271" s="80"/>
      <c r="AL271" s="80"/>
      <c r="AM271" s="80"/>
      <c r="AN271" s="80"/>
      <c r="AO271" s="80"/>
      <c r="AP271" s="80"/>
      <c r="AQ271" s="80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</row>
    <row r="272">
      <c r="A272" s="80"/>
      <c r="B272" s="80"/>
      <c r="C272" s="80"/>
      <c r="D272" s="80"/>
      <c r="E272" s="124"/>
      <c r="F272" s="80"/>
      <c r="G272" s="80"/>
      <c r="H272" s="80"/>
      <c r="I272" s="80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15"/>
      <c r="AK272" s="80"/>
      <c r="AL272" s="80"/>
      <c r="AM272" s="80"/>
      <c r="AN272" s="80"/>
      <c r="AO272" s="80"/>
      <c r="AP272" s="80"/>
      <c r="AQ272" s="80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</row>
    <row r="273">
      <c r="A273" s="80"/>
      <c r="B273" s="80"/>
      <c r="C273" s="80"/>
      <c r="D273" s="80"/>
      <c r="E273" s="124"/>
      <c r="F273" s="80"/>
      <c r="G273" s="80"/>
      <c r="H273" s="80"/>
      <c r="I273" s="80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15"/>
      <c r="AK273" s="80"/>
      <c r="AL273" s="80"/>
      <c r="AM273" s="80"/>
      <c r="AN273" s="80"/>
      <c r="AO273" s="80"/>
      <c r="AP273" s="80"/>
      <c r="AQ273" s="80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</row>
    <row r="274">
      <c r="A274" s="80"/>
      <c r="B274" s="80"/>
      <c r="C274" s="80"/>
      <c r="D274" s="80"/>
      <c r="E274" s="124"/>
      <c r="F274" s="80"/>
      <c r="G274" s="80"/>
      <c r="H274" s="80"/>
      <c r="I274" s="80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15"/>
      <c r="AK274" s="80"/>
      <c r="AL274" s="80"/>
      <c r="AM274" s="80"/>
      <c r="AN274" s="80"/>
      <c r="AO274" s="80"/>
      <c r="AP274" s="80"/>
      <c r="AQ274" s="80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</row>
    <row r="275">
      <c r="A275" s="80"/>
      <c r="B275" s="80"/>
      <c r="C275" s="80"/>
      <c r="D275" s="80"/>
      <c r="E275" s="124"/>
      <c r="F275" s="80"/>
      <c r="G275" s="80"/>
      <c r="H275" s="80"/>
      <c r="I275" s="80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15"/>
      <c r="AK275" s="80"/>
      <c r="AL275" s="80"/>
      <c r="AM275" s="80"/>
      <c r="AN275" s="80"/>
      <c r="AO275" s="80"/>
      <c r="AP275" s="80"/>
      <c r="AQ275" s="80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</row>
    <row r="276">
      <c r="A276" s="80"/>
      <c r="B276" s="80"/>
      <c r="C276" s="80"/>
      <c r="D276" s="80"/>
      <c r="E276" s="124"/>
      <c r="F276" s="80"/>
      <c r="G276" s="80"/>
      <c r="H276" s="80"/>
      <c r="I276" s="80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15"/>
      <c r="AK276" s="80"/>
      <c r="AL276" s="80"/>
      <c r="AM276" s="80"/>
      <c r="AN276" s="80"/>
      <c r="AO276" s="80"/>
      <c r="AP276" s="80"/>
      <c r="AQ276" s="80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</row>
    <row r="277">
      <c r="A277" s="80"/>
      <c r="B277" s="80"/>
      <c r="C277" s="80"/>
      <c r="D277" s="80"/>
      <c r="E277" s="124"/>
      <c r="F277" s="80"/>
      <c r="G277" s="80"/>
      <c r="H277" s="80"/>
      <c r="I277" s="80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15"/>
      <c r="AK277" s="80"/>
      <c r="AL277" s="80"/>
      <c r="AM277" s="80"/>
      <c r="AN277" s="80"/>
      <c r="AO277" s="80"/>
      <c r="AP277" s="80"/>
      <c r="AQ277" s="80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</row>
    <row r="278">
      <c r="A278" s="80"/>
      <c r="B278" s="80"/>
      <c r="C278" s="80"/>
      <c r="D278" s="80"/>
      <c r="E278" s="124"/>
      <c r="F278" s="80"/>
      <c r="G278" s="80"/>
      <c r="H278" s="80"/>
      <c r="I278" s="80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15"/>
      <c r="AK278" s="80"/>
      <c r="AL278" s="80"/>
      <c r="AM278" s="80"/>
      <c r="AN278" s="80"/>
      <c r="AO278" s="80"/>
      <c r="AP278" s="80"/>
      <c r="AQ278" s="80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</row>
    <row r="279">
      <c r="A279" s="80"/>
      <c r="B279" s="80"/>
      <c r="C279" s="80"/>
      <c r="D279" s="80"/>
      <c r="E279" s="124"/>
      <c r="F279" s="80"/>
      <c r="G279" s="80"/>
      <c r="H279" s="80"/>
      <c r="I279" s="80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15"/>
      <c r="AK279" s="80"/>
      <c r="AL279" s="80"/>
      <c r="AM279" s="80"/>
      <c r="AN279" s="80"/>
      <c r="AO279" s="80"/>
      <c r="AP279" s="80"/>
      <c r="AQ279" s="80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</row>
    <row r="280">
      <c r="A280" s="80"/>
      <c r="B280" s="80"/>
      <c r="C280" s="80"/>
      <c r="D280" s="80"/>
      <c r="E280" s="124"/>
      <c r="F280" s="80"/>
      <c r="G280" s="80"/>
      <c r="H280" s="80"/>
      <c r="I280" s="80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15"/>
      <c r="AK280" s="80"/>
      <c r="AL280" s="80"/>
      <c r="AM280" s="80"/>
      <c r="AN280" s="80"/>
      <c r="AO280" s="80"/>
      <c r="AP280" s="80"/>
      <c r="AQ280" s="80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</row>
    <row r="281">
      <c r="A281" s="80"/>
      <c r="B281" s="80"/>
      <c r="C281" s="80"/>
      <c r="D281" s="80"/>
      <c r="E281" s="124"/>
      <c r="F281" s="80"/>
      <c r="G281" s="80"/>
      <c r="H281" s="80"/>
      <c r="I281" s="80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15"/>
      <c r="AK281" s="80"/>
      <c r="AL281" s="80"/>
      <c r="AM281" s="80"/>
      <c r="AN281" s="80"/>
      <c r="AO281" s="80"/>
      <c r="AP281" s="80"/>
      <c r="AQ281" s="80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</row>
    <row r="282">
      <c r="A282" s="80"/>
      <c r="B282" s="80"/>
      <c r="C282" s="80"/>
      <c r="D282" s="80"/>
      <c r="E282" s="124"/>
      <c r="F282" s="80"/>
      <c r="G282" s="80"/>
      <c r="H282" s="80"/>
      <c r="I282" s="80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15"/>
      <c r="AK282" s="80"/>
      <c r="AL282" s="80"/>
      <c r="AM282" s="80"/>
      <c r="AN282" s="80"/>
      <c r="AO282" s="80"/>
      <c r="AP282" s="80"/>
      <c r="AQ282" s="80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</row>
    <row r="283">
      <c r="A283" s="80"/>
      <c r="B283" s="80"/>
      <c r="C283" s="80"/>
      <c r="D283" s="80"/>
      <c r="E283" s="124"/>
      <c r="F283" s="80"/>
      <c r="G283" s="80"/>
      <c r="H283" s="80"/>
      <c r="I283" s="80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15"/>
      <c r="AK283" s="80"/>
      <c r="AL283" s="80"/>
      <c r="AM283" s="80"/>
      <c r="AN283" s="80"/>
      <c r="AO283" s="80"/>
      <c r="AP283" s="80"/>
      <c r="AQ283" s="80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</row>
    <row r="284">
      <c r="A284" s="80"/>
      <c r="B284" s="80"/>
      <c r="C284" s="80"/>
      <c r="D284" s="80"/>
      <c r="E284" s="124"/>
      <c r="F284" s="80"/>
      <c r="G284" s="80"/>
      <c r="H284" s="80"/>
      <c r="I284" s="80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15"/>
      <c r="AK284" s="80"/>
      <c r="AL284" s="80"/>
      <c r="AM284" s="80"/>
      <c r="AN284" s="80"/>
      <c r="AO284" s="80"/>
      <c r="AP284" s="80"/>
      <c r="AQ284" s="80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</row>
    <row r="285">
      <c r="A285" s="80"/>
      <c r="B285" s="80"/>
      <c r="C285" s="80"/>
      <c r="D285" s="80"/>
      <c r="E285" s="124"/>
      <c r="F285" s="80"/>
      <c r="G285" s="80"/>
      <c r="H285" s="80"/>
      <c r="I285" s="80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15"/>
      <c r="AK285" s="80"/>
      <c r="AL285" s="80"/>
      <c r="AM285" s="80"/>
      <c r="AN285" s="80"/>
      <c r="AO285" s="80"/>
      <c r="AP285" s="80"/>
      <c r="AQ285" s="80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</row>
    <row r="286">
      <c r="A286" s="80"/>
      <c r="B286" s="80"/>
      <c r="C286" s="80"/>
      <c r="D286" s="80"/>
      <c r="E286" s="124"/>
      <c r="F286" s="80"/>
      <c r="G286" s="80"/>
      <c r="H286" s="80"/>
      <c r="I286" s="80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15"/>
      <c r="AK286" s="80"/>
      <c r="AL286" s="80"/>
      <c r="AM286" s="80"/>
      <c r="AN286" s="80"/>
      <c r="AO286" s="80"/>
      <c r="AP286" s="80"/>
      <c r="AQ286" s="80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</row>
    <row r="287">
      <c r="A287" s="80"/>
      <c r="B287" s="80"/>
      <c r="C287" s="80"/>
      <c r="D287" s="80"/>
      <c r="E287" s="124"/>
      <c r="F287" s="80"/>
      <c r="G287" s="80"/>
      <c r="H287" s="80"/>
      <c r="I287" s="80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15"/>
      <c r="AK287" s="80"/>
      <c r="AL287" s="80"/>
      <c r="AM287" s="80"/>
      <c r="AN287" s="80"/>
      <c r="AO287" s="80"/>
      <c r="AP287" s="80"/>
      <c r="AQ287" s="80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</row>
    <row r="288">
      <c r="A288" s="80"/>
      <c r="B288" s="80"/>
      <c r="C288" s="80"/>
      <c r="D288" s="80"/>
      <c r="E288" s="124"/>
      <c r="F288" s="80"/>
      <c r="G288" s="80"/>
      <c r="H288" s="80"/>
      <c r="I288" s="80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15"/>
      <c r="AK288" s="80"/>
      <c r="AL288" s="80"/>
      <c r="AM288" s="80"/>
      <c r="AN288" s="80"/>
      <c r="AO288" s="80"/>
      <c r="AP288" s="80"/>
      <c r="AQ288" s="80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</row>
    <row r="289">
      <c r="A289" s="80"/>
      <c r="B289" s="80"/>
      <c r="C289" s="80"/>
      <c r="D289" s="80"/>
      <c r="E289" s="124"/>
      <c r="F289" s="80"/>
      <c r="G289" s="80"/>
      <c r="H289" s="80"/>
      <c r="I289" s="80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15"/>
      <c r="AK289" s="80"/>
      <c r="AL289" s="80"/>
      <c r="AM289" s="80"/>
      <c r="AN289" s="80"/>
      <c r="AO289" s="80"/>
      <c r="AP289" s="80"/>
      <c r="AQ289" s="80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</row>
    <row r="290">
      <c r="A290" s="80"/>
      <c r="B290" s="80"/>
      <c r="C290" s="80"/>
      <c r="D290" s="80"/>
      <c r="E290" s="124"/>
      <c r="F290" s="80"/>
      <c r="G290" s="80"/>
      <c r="H290" s="80"/>
      <c r="I290" s="80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15"/>
      <c r="AK290" s="80"/>
      <c r="AL290" s="80"/>
      <c r="AM290" s="80"/>
      <c r="AN290" s="80"/>
      <c r="AO290" s="80"/>
      <c r="AP290" s="80"/>
      <c r="AQ290" s="80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</row>
    <row r="291">
      <c r="A291" s="80"/>
      <c r="B291" s="80"/>
      <c r="C291" s="80"/>
      <c r="D291" s="80"/>
      <c r="E291" s="124"/>
      <c r="F291" s="80"/>
      <c r="G291" s="80"/>
      <c r="H291" s="80"/>
      <c r="I291" s="80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15"/>
      <c r="AK291" s="80"/>
      <c r="AL291" s="80"/>
      <c r="AM291" s="80"/>
      <c r="AN291" s="80"/>
      <c r="AO291" s="80"/>
      <c r="AP291" s="80"/>
      <c r="AQ291" s="80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</row>
    <row r="292">
      <c r="A292" s="80"/>
      <c r="B292" s="80"/>
      <c r="C292" s="80"/>
      <c r="D292" s="80"/>
      <c r="E292" s="124"/>
      <c r="F292" s="80"/>
      <c r="G292" s="80"/>
      <c r="H292" s="80"/>
      <c r="I292" s="80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15"/>
      <c r="AK292" s="80"/>
      <c r="AL292" s="80"/>
      <c r="AM292" s="80"/>
      <c r="AN292" s="80"/>
      <c r="AO292" s="80"/>
      <c r="AP292" s="80"/>
      <c r="AQ292" s="80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</row>
    <row r="293">
      <c r="A293" s="80"/>
      <c r="B293" s="80"/>
      <c r="C293" s="80"/>
      <c r="D293" s="80"/>
      <c r="E293" s="124"/>
      <c r="F293" s="80"/>
      <c r="G293" s="80"/>
      <c r="H293" s="80"/>
      <c r="I293" s="80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15"/>
      <c r="AK293" s="80"/>
      <c r="AL293" s="80"/>
      <c r="AM293" s="80"/>
      <c r="AN293" s="80"/>
      <c r="AO293" s="80"/>
      <c r="AP293" s="80"/>
      <c r="AQ293" s="80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</row>
    <row r="294">
      <c r="A294" s="80"/>
      <c r="B294" s="80"/>
      <c r="C294" s="80"/>
      <c r="D294" s="80"/>
      <c r="E294" s="124"/>
      <c r="F294" s="80"/>
      <c r="G294" s="80"/>
      <c r="H294" s="80"/>
      <c r="I294" s="80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15"/>
      <c r="AK294" s="80"/>
      <c r="AL294" s="80"/>
      <c r="AM294" s="80"/>
      <c r="AN294" s="80"/>
      <c r="AO294" s="80"/>
      <c r="AP294" s="80"/>
      <c r="AQ294" s="80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</row>
    <row r="295">
      <c r="A295" s="80"/>
      <c r="B295" s="80"/>
      <c r="C295" s="80"/>
      <c r="D295" s="80"/>
      <c r="E295" s="124"/>
      <c r="F295" s="80"/>
      <c r="G295" s="80"/>
      <c r="H295" s="80"/>
      <c r="I295" s="80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15"/>
      <c r="AK295" s="80"/>
      <c r="AL295" s="80"/>
      <c r="AM295" s="80"/>
      <c r="AN295" s="80"/>
      <c r="AO295" s="80"/>
      <c r="AP295" s="80"/>
      <c r="AQ295" s="80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</row>
    <row r="296">
      <c r="A296" s="80"/>
      <c r="B296" s="80"/>
      <c r="C296" s="80"/>
      <c r="D296" s="80"/>
      <c r="E296" s="124"/>
      <c r="F296" s="80"/>
      <c r="G296" s="80"/>
      <c r="H296" s="80"/>
      <c r="I296" s="80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15"/>
      <c r="AK296" s="80"/>
      <c r="AL296" s="80"/>
      <c r="AM296" s="80"/>
      <c r="AN296" s="80"/>
      <c r="AO296" s="80"/>
      <c r="AP296" s="80"/>
      <c r="AQ296" s="80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</row>
    <row r="297">
      <c r="A297" s="80"/>
      <c r="B297" s="80"/>
      <c r="C297" s="80"/>
      <c r="D297" s="80"/>
      <c r="E297" s="124"/>
      <c r="F297" s="80"/>
      <c r="G297" s="80"/>
      <c r="H297" s="80"/>
      <c r="I297" s="80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15"/>
      <c r="AK297" s="80"/>
      <c r="AL297" s="80"/>
      <c r="AM297" s="80"/>
      <c r="AN297" s="80"/>
      <c r="AO297" s="80"/>
      <c r="AP297" s="80"/>
      <c r="AQ297" s="80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</row>
    <row r="298">
      <c r="A298" s="80"/>
      <c r="B298" s="80"/>
      <c r="C298" s="80"/>
      <c r="D298" s="80"/>
      <c r="E298" s="124"/>
      <c r="F298" s="80"/>
      <c r="G298" s="80"/>
      <c r="H298" s="80"/>
      <c r="I298" s="80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15"/>
      <c r="AK298" s="80"/>
      <c r="AL298" s="80"/>
      <c r="AM298" s="80"/>
      <c r="AN298" s="80"/>
      <c r="AO298" s="80"/>
      <c r="AP298" s="80"/>
      <c r="AQ298" s="80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</row>
    <row r="299">
      <c r="A299" s="80"/>
      <c r="B299" s="80"/>
      <c r="C299" s="80"/>
      <c r="D299" s="80"/>
      <c r="E299" s="124"/>
      <c r="F299" s="80"/>
      <c r="G299" s="80"/>
      <c r="H299" s="80"/>
      <c r="I299" s="80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15"/>
      <c r="AK299" s="80"/>
      <c r="AL299" s="80"/>
      <c r="AM299" s="80"/>
      <c r="AN299" s="80"/>
      <c r="AO299" s="80"/>
      <c r="AP299" s="80"/>
      <c r="AQ299" s="80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</row>
    <row r="300">
      <c r="A300" s="80"/>
      <c r="B300" s="80"/>
      <c r="C300" s="80"/>
      <c r="D300" s="80"/>
      <c r="E300" s="124"/>
      <c r="F300" s="80"/>
      <c r="G300" s="80"/>
      <c r="H300" s="80"/>
      <c r="I300" s="80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15"/>
      <c r="AK300" s="80"/>
      <c r="AL300" s="80"/>
      <c r="AM300" s="80"/>
      <c r="AN300" s="80"/>
      <c r="AO300" s="80"/>
      <c r="AP300" s="80"/>
      <c r="AQ300" s="80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</row>
    <row r="301">
      <c r="A301" s="80"/>
      <c r="B301" s="80"/>
      <c r="C301" s="80"/>
      <c r="D301" s="80"/>
      <c r="E301" s="124"/>
      <c r="F301" s="80"/>
      <c r="G301" s="80"/>
      <c r="H301" s="80"/>
      <c r="I301" s="80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15"/>
      <c r="AK301" s="80"/>
      <c r="AL301" s="80"/>
      <c r="AM301" s="80"/>
      <c r="AN301" s="80"/>
      <c r="AO301" s="80"/>
      <c r="AP301" s="80"/>
      <c r="AQ301" s="80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</row>
    <row r="302">
      <c r="A302" s="80"/>
      <c r="B302" s="80"/>
      <c r="C302" s="80"/>
      <c r="D302" s="80"/>
      <c r="E302" s="124"/>
      <c r="F302" s="80"/>
      <c r="G302" s="80"/>
      <c r="H302" s="80"/>
      <c r="I302" s="80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15"/>
      <c r="AK302" s="80"/>
      <c r="AL302" s="80"/>
      <c r="AM302" s="80"/>
      <c r="AN302" s="80"/>
      <c r="AO302" s="80"/>
      <c r="AP302" s="80"/>
      <c r="AQ302" s="80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</row>
    <row r="303">
      <c r="A303" s="80"/>
      <c r="B303" s="80"/>
      <c r="C303" s="80"/>
      <c r="D303" s="80"/>
      <c r="E303" s="124"/>
      <c r="F303" s="80"/>
      <c r="G303" s="80"/>
      <c r="H303" s="80"/>
      <c r="I303" s="80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15"/>
      <c r="AK303" s="80"/>
      <c r="AL303" s="80"/>
      <c r="AM303" s="80"/>
      <c r="AN303" s="80"/>
      <c r="AO303" s="80"/>
      <c r="AP303" s="80"/>
      <c r="AQ303" s="80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</row>
    <row r="304">
      <c r="A304" s="80"/>
      <c r="B304" s="80"/>
      <c r="C304" s="80"/>
      <c r="D304" s="80"/>
      <c r="E304" s="124"/>
      <c r="F304" s="80"/>
      <c r="G304" s="80"/>
      <c r="H304" s="80"/>
      <c r="I304" s="80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15"/>
      <c r="AK304" s="80"/>
      <c r="AL304" s="80"/>
      <c r="AM304" s="80"/>
      <c r="AN304" s="80"/>
      <c r="AO304" s="80"/>
      <c r="AP304" s="80"/>
      <c r="AQ304" s="80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</row>
    <row r="305">
      <c r="A305" s="80"/>
      <c r="B305" s="80"/>
      <c r="C305" s="80"/>
      <c r="D305" s="80"/>
      <c r="E305" s="124"/>
      <c r="F305" s="80"/>
      <c r="G305" s="80"/>
      <c r="H305" s="80"/>
      <c r="I305" s="80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15"/>
      <c r="AK305" s="80"/>
      <c r="AL305" s="80"/>
      <c r="AM305" s="80"/>
      <c r="AN305" s="80"/>
      <c r="AO305" s="80"/>
      <c r="AP305" s="80"/>
      <c r="AQ305" s="80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</row>
    <row r="306">
      <c r="A306" s="80"/>
      <c r="B306" s="80"/>
      <c r="C306" s="80"/>
      <c r="D306" s="80"/>
      <c r="E306" s="124"/>
      <c r="F306" s="80"/>
      <c r="G306" s="80"/>
      <c r="H306" s="80"/>
      <c r="I306" s="80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15"/>
      <c r="AK306" s="80"/>
      <c r="AL306" s="80"/>
      <c r="AM306" s="80"/>
      <c r="AN306" s="80"/>
      <c r="AO306" s="80"/>
      <c r="AP306" s="80"/>
      <c r="AQ306" s="80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</row>
    <row r="307">
      <c r="A307" s="80"/>
      <c r="B307" s="80"/>
      <c r="C307" s="80"/>
      <c r="D307" s="80"/>
      <c r="E307" s="124"/>
      <c r="F307" s="80"/>
      <c r="G307" s="80"/>
      <c r="H307" s="80"/>
      <c r="I307" s="80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15"/>
      <c r="AK307" s="80"/>
      <c r="AL307" s="80"/>
      <c r="AM307" s="80"/>
      <c r="AN307" s="80"/>
      <c r="AO307" s="80"/>
      <c r="AP307" s="80"/>
      <c r="AQ307" s="80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</row>
    <row r="308">
      <c r="A308" s="80"/>
      <c r="B308" s="80"/>
      <c r="C308" s="80"/>
      <c r="D308" s="80"/>
      <c r="E308" s="124"/>
      <c r="F308" s="80"/>
      <c r="G308" s="80"/>
      <c r="H308" s="80"/>
      <c r="I308" s="80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15"/>
      <c r="AK308" s="80"/>
      <c r="AL308" s="80"/>
      <c r="AM308" s="80"/>
      <c r="AN308" s="80"/>
      <c r="AO308" s="80"/>
      <c r="AP308" s="80"/>
      <c r="AQ308" s="80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</row>
    <row r="309">
      <c r="A309" s="80"/>
      <c r="B309" s="80"/>
      <c r="C309" s="80"/>
      <c r="D309" s="80"/>
      <c r="E309" s="124"/>
      <c r="F309" s="80"/>
      <c r="G309" s="80"/>
      <c r="H309" s="80"/>
      <c r="I309" s="80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15"/>
      <c r="AK309" s="80"/>
      <c r="AL309" s="80"/>
      <c r="AM309" s="80"/>
      <c r="AN309" s="80"/>
      <c r="AO309" s="80"/>
      <c r="AP309" s="80"/>
      <c r="AQ309" s="80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</row>
    <row r="310">
      <c r="A310" s="80"/>
      <c r="B310" s="80"/>
      <c r="C310" s="80"/>
      <c r="D310" s="80"/>
      <c r="E310" s="124"/>
      <c r="F310" s="80"/>
      <c r="G310" s="80"/>
      <c r="H310" s="80"/>
      <c r="I310" s="80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15"/>
      <c r="AK310" s="80"/>
      <c r="AL310" s="80"/>
      <c r="AM310" s="80"/>
      <c r="AN310" s="80"/>
      <c r="AO310" s="80"/>
      <c r="AP310" s="80"/>
      <c r="AQ310" s="80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</row>
    <row r="311">
      <c r="A311" s="80"/>
      <c r="B311" s="80"/>
      <c r="C311" s="80"/>
      <c r="D311" s="80"/>
      <c r="E311" s="124"/>
      <c r="F311" s="80"/>
      <c r="G311" s="80"/>
      <c r="H311" s="80"/>
      <c r="I311" s="80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15"/>
      <c r="AK311" s="80"/>
      <c r="AL311" s="80"/>
      <c r="AM311" s="80"/>
      <c r="AN311" s="80"/>
      <c r="AO311" s="80"/>
      <c r="AP311" s="80"/>
      <c r="AQ311" s="80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</row>
    <row r="312">
      <c r="A312" s="80"/>
      <c r="B312" s="80"/>
      <c r="C312" s="80"/>
      <c r="D312" s="80"/>
      <c r="E312" s="124"/>
      <c r="F312" s="80"/>
      <c r="G312" s="80"/>
      <c r="H312" s="80"/>
      <c r="I312" s="80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15"/>
      <c r="AK312" s="80"/>
      <c r="AL312" s="80"/>
      <c r="AM312" s="80"/>
      <c r="AN312" s="80"/>
      <c r="AO312" s="80"/>
      <c r="AP312" s="80"/>
      <c r="AQ312" s="80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</row>
    <row r="313">
      <c r="A313" s="80"/>
      <c r="B313" s="80"/>
      <c r="C313" s="80"/>
      <c r="D313" s="80"/>
      <c r="E313" s="124"/>
      <c r="F313" s="80"/>
      <c r="G313" s="80"/>
      <c r="H313" s="80"/>
      <c r="I313" s="80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15"/>
      <c r="AK313" s="80"/>
      <c r="AL313" s="80"/>
      <c r="AM313" s="80"/>
      <c r="AN313" s="80"/>
      <c r="AO313" s="80"/>
      <c r="AP313" s="80"/>
      <c r="AQ313" s="80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</row>
    <row r="314">
      <c r="A314" s="80"/>
      <c r="B314" s="80"/>
      <c r="C314" s="80"/>
      <c r="D314" s="80"/>
      <c r="E314" s="124"/>
      <c r="F314" s="80"/>
      <c r="G314" s="80"/>
      <c r="H314" s="80"/>
      <c r="I314" s="80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15"/>
      <c r="AK314" s="80"/>
      <c r="AL314" s="80"/>
      <c r="AM314" s="80"/>
      <c r="AN314" s="80"/>
      <c r="AO314" s="80"/>
      <c r="AP314" s="80"/>
      <c r="AQ314" s="80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</row>
    <row r="315">
      <c r="A315" s="80"/>
      <c r="B315" s="80"/>
      <c r="C315" s="80"/>
      <c r="D315" s="80"/>
      <c r="E315" s="124"/>
      <c r="F315" s="80"/>
      <c r="G315" s="80"/>
      <c r="H315" s="80"/>
      <c r="I315" s="80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15"/>
      <c r="AK315" s="80"/>
      <c r="AL315" s="80"/>
      <c r="AM315" s="80"/>
      <c r="AN315" s="80"/>
      <c r="AO315" s="80"/>
      <c r="AP315" s="80"/>
      <c r="AQ315" s="80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</row>
    <row r="316">
      <c r="A316" s="80"/>
      <c r="B316" s="80"/>
      <c r="C316" s="80"/>
      <c r="D316" s="80"/>
      <c r="E316" s="124"/>
      <c r="F316" s="80"/>
      <c r="G316" s="80"/>
      <c r="H316" s="80"/>
      <c r="I316" s="80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15"/>
      <c r="AK316" s="80"/>
      <c r="AL316" s="80"/>
      <c r="AM316" s="80"/>
      <c r="AN316" s="80"/>
      <c r="AO316" s="80"/>
      <c r="AP316" s="80"/>
      <c r="AQ316" s="80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</row>
    <row r="317">
      <c r="A317" s="80"/>
      <c r="B317" s="80"/>
      <c r="C317" s="80"/>
      <c r="D317" s="80"/>
      <c r="E317" s="124"/>
      <c r="F317" s="80"/>
      <c r="G317" s="80"/>
      <c r="H317" s="80"/>
      <c r="I317" s="80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15"/>
      <c r="AK317" s="80"/>
      <c r="AL317" s="80"/>
      <c r="AM317" s="80"/>
      <c r="AN317" s="80"/>
      <c r="AO317" s="80"/>
      <c r="AP317" s="80"/>
      <c r="AQ317" s="80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</row>
    <row r="318">
      <c r="A318" s="80"/>
      <c r="B318" s="80"/>
      <c r="C318" s="80"/>
      <c r="D318" s="80"/>
      <c r="E318" s="124"/>
      <c r="F318" s="80"/>
      <c r="G318" s="80"/>
      <c r="H318" s="80"/>
      <c r="I318" s="80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15"/>
      <c r="AK318" s="80"/>
      <c r="AL318" s="80"/>
      <c r="AM318" s="80"/>
      <c r="AN318" s="80"/>
      <c r="AO318" s="80"/>
      <c r="AP318" s="80"/>
      <c r="AQ318" s="80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</row>
    <row r="319">
      <c r="A319" s="80"/>
      <c r="B319" s="80"/>
      <c r="C319" s="80"/>
      <c r="D319" s="80"/>
      <c r="E319" s="124"/>
      <c r="F319" s="80"/>
      <c r="G319" s="80"/>
      <c r="H319" s="80"/>
      <c r="I319" s="80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15"/>
      <c r="AK319" s="80"/>
      <c r="AL319" s="80"/>
      <c r="AM319" s="80"/>
      <c r="AN319" s="80"/>
      <c r="AO319" s="80"/>
      <c r="AP319" s="80"/>
      <c r="AQ319" s="80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</row>
    <row r="320">
      <c r="A320" s="80"/>
      <c r="B320" s="80"/>
      <c r="C320" s="80"/>
      <c r="D320" s="80"/>
      <c r="E320" s="124"/>
      <c r="F320" s="80"/>
      <c r="G320" s="80"/>
      <c r="H320" s="80"/>
      <c r="I320" s="80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15"/>
      <c r="AK320" s="80"/>
      <c r="AL320" s="80"/>
      <c r="AM320" s="80"/>
      <c r="AN320" s="80"/>
      <c r="AO320" s="80"/>
      <c r="AP320" s="80"/>
      <c r="AQ320" s="80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</row>
    <row r="321">
      <c r="A321" s="80"/>
      <c r="B321" s="80"/>
      <c r="C321" s="80"/>
      <c r="D321" s="80"/>
      <c r="E321" s="124"/>
      <c r="F321" s="80"/>
      <c r="G321" s="80"/>
      <c r="H321" s="80"/>
      <c r="I321" s="80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15"/>
      <c r="AK321" s="80"/>
      <c r="AL321" s="80"/>
      <c r="AM321" s="80"/>
      <c r="AN321" s="80"/>
      <c r="AO321" s="80"/>
      <c r="AP321" s="80"/>
      <c r="AQ321" s="80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</row>
    <row r="322">
      <c r="A322" s="80"/>
      <c r="B322" s="80"/>
      <c r="C322" s="80"/>
      <c r="D322" s="80"/>
      <c r="E322" s="124"/>
      <c r="F322" s="80"/>
      <c r="G322" s="80"/>
      <c r="H322" s="80"/>
      <c r="I322" s="80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15"/>
      <c r="AK322" s="80"/>
      <c r="AL322" s="80"/>
      <c r="AM322" s="80"/>
      <c r="AN322" s="80"/>
      <c r="AO322" s="80"/>
      <c r="AP322" s="80"/>
      <c r="AQ322" s="80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</row>
    <row r="323">
      <c r="A323" s="80"/>
      <c r="B323" s="80"/>
      <c r="C323" s="80"/>
      <c r="D323" s="80"/>
      <c r="E323" s="124"/>
      <c r="F323" s="80"/>
      <c r="G323" s="80"/>
      <c r="H323" s="80"/>
      <c r="I323" s="80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15"/>
      <c r="AK323" s="80"/>
      <c r="AL323" s="80"/>
      <c r="AM323" s="80"/>
      <c r="AN323" s="80"/>
      <c r="AO323" s="80"/>
      <c r="AP323" s="80"/>
      <c r="AQ323" s="80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</row>
    <row r="324">
      <c r="A324" s="80"/>
      <c r="B324" s="80"/>
      <c r="C324" s="80"/>
      <c r="D324" s="80"/>
      <c r="E324" s="124"/>
      <c r="F324" s="80"/>
      <c r="G324" s="80"/>
      <c r="H324" s="80"/>
      <c r="I324" s="80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15"/>
      <c r="AK324" s="80"/>
      <c r="AL324" s="80"/>
      <c r="AM324" s="80"/>
      <c r="AN324" s="80"/>
      <c r="AO324" s="80"/>
      <c r="AP324" s="80"/>
      <c r="AQ324" s="80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</row>
    <row r="325">
      <c r="A325" s="80"/>
      <c r="B325" s="80"/>
      <c r="C325" s="80"/>
      <c r="D325" s="80"/>
      <c r="E325" s="124"/>
      <c r="F325" s="80"/>
      <c r="G325" s="80"/>
      <c r="H325" s="80"/>
      <c r="I325" s="80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15"/>
      <c r="AK325" s="80"/>
      <c r="AL325" s="80"/>
      <c r="AM325" s="80"/>
      <c r="AN325" s="80"/>
      <c r="AO325" s="80"/>
      <c r="AP325" s="80"/>
      <c r="AQ325" s="80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</row>
    <row r="326">
      <c r="A326" s="80"/>
      <c r="B326" s="80"/>
      <c r="C326" s="80"/>
      <c r="D326" s="80"/>
      <c r="E326" s="124"/>
      <c r="F326" s="80"/>
      <c r="G326" s="80"/>
      <c r="H326" s="80"/>
      <c r="I326" s="80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15"/>
      <c r="AK326" s="80"/>
      <c r="AL326" s="80"/>
      <c r="AM326" s="80"/>
      <c r="AN326" s="80"/>
      <c r="AO326" s="80"/>
      <c r="AP326" s="80"/>
      <c r="AQ326" s="80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</row>
    <row r="327">
      <c r="A327" s="80"/>
      <c r="B327" s="80"/>
      <c r="C327" s="80"/>
      <c r="D327" s="80"/>
      <c r="E327" s="124"/>
      <c r="F327" s="80"/>
      <c r="G327" s="80"/>
      <c r="H327" s="80"/>
      <c r="I327" s="80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15"/>
      <c r="AK327" s="80"/>
      <c r="AL327" s="80"/>
      <c r="AM327" s="80"/>
      <c r="AN327" s="80"/>
      <c r="AO327" s="80"/>
      <c r="AP327" s="80"/>
      <c r="AQ327" s="80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</row>
    <row r="328">
      <c r="A328" s="80"/>
      <c r="B328" s="80"/>
      <c r="C328" s="80"/>
      <c r="D328" s="80"/>
      <c r="E328" s="124"/>
      <c r="F328" s="80"/>
      <c r="G328" s="80"/>
      <c r="H328" s="80"/>
      <c r="I328" s="80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15"/>
      <c r="AK328" s="80"/>
      <c r="AL328" s="80"/>
      <c r="AM328" s="80"/>
      <c r="AN328" s="80"/>
      <c r="AO328" s="80"/>
      <c r="AP328" s="80"/>
      <c r="AQ328" s="80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</row>
    <row r="329">
      <c r="A329" s="80"/>
      <c r="B329" s="80"/>
      <c r="C329" s="80"/>
      <c r="D329" s="80"/>
      <c r="E329" s="124"/>
      <c r="F329" s="80"/>
      <c r="G329" s="80"/>
      <c r="H329" s="80"/>
      <c r="I329" s="80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15"/>
      <c r="AK329" s="80"/>
      <c r="AL329" s="80"/>
      <c r="AM329" s="80"/>
      <c r="AN329" s="80"/>
      <c r="AO329" s="80"/>
      <c r="AP329" s="80"/>
      <c r="AQ329" s="80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</row>
    <row r="330">
      <c r="A330" s="80"/>
      <c r="B330" s="80"/>
      <c r="C330" s="80"/>
      <c r="D330" s="80"/>
      <c r="E330" s="124"/>
      <c r="F330" s="80"/>
      <c r="G330" s="80"/>
      <c r="H330" s="80"/>
      <c r="I330" s="80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15"/>
      <c r="AK330" s="80"/>
      <c r="AL330" s="80"/>
      <c r="AM330" s="80"/>
      <c r="AN330" s="80"/>
      <c r="AO330" s="80"/>
      <c r="AP330" s="80"/>
      <c r="AQ330" s="80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</row>
    <row r="331">
      <c r="A331" s="80"/>
      <c r="B331" s="80"/>
      <c r="C331" s="80"/>
      <c r="D331" s="80"/>
      <c r="E331" s="124"/>
      <c r="F331" s="80"/>
      <c r="G331" s="80"/>
      <c r="H331" s="80"/>
      <c r="I331" s="80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15"/>
      <c r="AK331" s="80"/>
      <c r="AL331" s="80"/>
      <c r="AM331" s="80"/>
      <c r="AN331" s="80"/>
      <c r="AO331" s="80"/>
      <c r="AP331" s="80"/>
      <c r="AQ331" s="80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</row>
    <row r="332">
      <c r="A332" s="80"/>
      <c r="B332" s="80"/>
      <c r="C332" s="80"/>
      <c r="D332" s="80"/>
      <c r="E332" s="124"/>
      <c r="F332" s="80"/>
      <c r="G332" s="80"/>
      <c r="H332" s="80"/>
      <c r="I332" s="80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15"/>
      <c r="AK332" s="80"/>
      <c r="AL332" s="80"/>
      <c r="AM332" s="80"/>
      <c r="AN332" s="80"/>
      <c r="AO332" s="80"/>
      <c r="AP332" s="80"/>
      <c r="AQ332" s="80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</row>
    <row r="333">
      <c r="A333" s="80"/>
      <c r="B333" s="80"/>
      <c r="C333" s="80"/>
      <c r="D333" s="80"/>
      <c r="E333" s="124"/>
      <c r="F333" s="80"/>
      <c r="G333" s="80"/>
      <c r="H333" s="80"/>
      <c r="I333" s="80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15"/>
      <c r="AK333" s="80"/>
      <c r="AL333" s="80"/>
      <c r="AM333" s="80"/>
      <c r="AN333" s="80"/>
      <c r="AO333" s="80"/>
      <c r="AP333" s="80"/>
      <c r="AQ333" s="80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</row>
    <row r="334">
      <c r="A334" s="80"/>
      <c r="B334" s="80"/>
      <c r="C334" s="80"/>
      <c r="D334" s="80"/>
      <c r="E334" s="124"/>
      <c r="F334" s="80"/>
      <c r="G334" s="80"/>
      <c r="H334" s="80"/>
      <c r="I334" s="80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15"/>
      <c r="AK334" s="80"/>
      <c r="AL334" s="80"/>
      <c r="AM334" s="80"/>
      <c r="AN334" s="80"/>
      <c r="AO334" s="80"/>
      <c r="AP334" s="80"/>
      <c r="AQ334" s="80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</row>
    <row r="335">
      <c r="A335" s="80"/>
      <c r="B335" s="80"/>
      <c r="C335" s="80"/>
      <c r="D335" s="80"/>
      <c r="E335" s="124"/>
      <c r="F335" s="80"/>
      <c r="G335" s="80"/>
      <c r="H335" s="80"/>
      <c r="I335" s="80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15"/>
      <c r="AK335" s="80"/>
      <c r="AL335" s="80"/>
      <c r="AM335" s="80"/>
      <c r="AN335" s="80"/>
      <c r="AO335" s="80"/>
      <c r="AP335" s="80"/>
      <c r="AQ335" s="80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</row>
    <row r="336">
      <c r="A336" s="80"/>
      <c r="B336" s="80"/>
      <c r="C336" s="80"/>
      <c r="D336" s="80"/>
      <c r="E336" s="124"/>
      <c r="F336" s="80"/>
      <c r="G336" s="80"/>
      <c r="H336" s="80"/>
      <c r="I336" s="80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15"/>
      <c r="AK336" s="80"/>
      <c r="AL336" s="80"/>
      <c r="AM336" s="80"/>
      <c r="AN336" s="80"/>
      <c r="AO336" s="80"/>
      <c r="AP336" s="80"/>
      <c r="AQ336" s="80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</row>
    <row r="337">
      <c r="A337" s="80"/>
      <c r="B337" s="80"/>
      <c r="C337" s="80"/>
      <c r="D337" s="80"/>
      <c r="E337" s="124"/>
      <c r="F337" s="80"/>
      <c r="G337" s="80"/>
      <c r="H337" s="80"/>
      <c r="I337" s="80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15"/>
      <c r="AK337" s="80"/>
      <c r="AL337" s="80"/>
      <c r="AM337" s="80"/>
      <c r="AN337" s="80"/>
      <c r="AO337" s="80"/>
      <c r="AP337" s="80"/>
      <c r="AQ337" s="80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</row>
    <row r="338">
      <c r="A338" s="80"/>
      <c r="B338" s="80"/>
      <c r="C338" s="80"/>
      <c r="D338" s="80"/>
      <c r="E338" s="124"/>
      <c r="F338" s="80"/>
      <c r="G338" s="80"/>
      <c r="H338" s="80"/>
      <c r="I338" s="80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15"/>
      <c r="AK338" s="80"/>
      <c r="AL338" s="80"/>
      <c r="AM338" s="80"/>
      <c r="AN338" s="80"/>
      <c r="AO338" s="80"/>
      <c r="AP338" s="80"/>
      <c r="AQ338" s="80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</row>
    <row r="339">
      <c r="A339" s="80"/>
      <c r="B339" s="80"/>
      <c r="C339" s="80"/>
      <c r="D339" s="80"/>
      <c r="E339" s="124"/>
      <c r="F339" s="80"/>
      <c r="G339" s="80"/>
      <c r="H339" s="80"/>
      <c r="I339" s="80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15"/>
      <c r="AK339" s="80"/>
      <c r="AL339" s="80"/>
      <c r="AM339" s="80"/>
      <c r="AN339" s="80"/>
      <c r="AO339" s="80"/>
      <c r="AP339" s="80"/>
      <c r="AQ339" s="80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</row>
    <row r="340">
      <c r="A340" s="80"/>
      <c r="B340" s="80"/>
      <c r="C340" s="80"/>
      <c r="D340" s="80"/>
      <c r="E340" s="124"/>
      <c r="F340" s="80"/>
      <c r="G340" s="80"/>
      <c r="H340" s="80"/>
      <c r="I340" s="80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15"/>
      <c r="AK340" s="80"/>
      <c r="AL340" s="80"/>
      <c r="AM340" s="80"/>
      <c r="AN340" s="80"/>
      <c r="AO340" s="80"/>
      <c r="AP340" s="80"/>
      <c r="AQ340" s="80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</row>
    <row r="341">
      <c r="A341" s="80"/>
      <c r="B341" s="80"/>
      <c r="C341" s="80"/>
      <c r="D341" s="80"/>
      <c r="E341" s="124"/>
      <c r="F341" s="80"/>
      <c r="G341" s="80"/>
      <c r="H341" s="80"/>
      <c r="I341" s="80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15"/>
      <c r="AK341" s="80"/>
      <c r="AL341" s="80"/>
      <c r="AM341" s="80"/>
      <c r="AN341" s="80"/>
      <c r="AO341" s="80"/>
      <c r="AP341" s="80"/>
      <c r="AQ341" s="80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</row>
    <row r="342">
      <c r="A342" s="80"/>
      <c r="B342" s="80"/>
      <c r="C342" s="80"/>
      <c r="D342" s="80"/>
      <c r="E342" s="124"/>
      <c r="F342" s="80"/>
      <c r="G342" s="80"/>
      <c r="H342" s="80"/>
      <c r="I342" s="80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15"/>
      <c r="AK342" s="80"/>
      <c r="AL342" s="80"/>
      <c r="AM342" s="80"/>
      <c r="AN342" s="80"/>
      <c r="AO342" s="80"/>
      <c r="AP342" s="80"/>
      <c r="AQ342" s="80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</row>
    <row r="343">
      <c r="A343" s="80"/>
      <c r="B343" s="80"/>
      <c r="C343" s="80"/>
      <c r="D343" s="80"/>
      <c r="E343" s="124"/>
      <c r="F343" s="80"/>
      <c r="G343" s="80"/>
      <c r="H343" s="80"/>
      <c r="I343" s="80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15"/>
      <c r="AK343" s="80"/>
      <c r="AL343" s="80"/>
      <c r="AM343" s="80"/>
      <c r="AN343" s="80"/>
      <c r="AO343" s="80"/>
      <c r="AP343" s="80"/>
      <c r="AQ343" s="80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</row>
    <row r="344">
      <c r="A344" s="80"/>
      <c r="B344" s="80"/>
      <c r="C344" s="80"/>
      <c r="D344" s="80"/>
      <c r="E344" s="124"/>
      <c r="F344" s="80"/>
      <c r="G344" s="80"/>
      <c r="H344" s="80"/>
      <c r="I344" s="80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15"/>
      <c r="AK344" s="80"/>
      <c r="AL344" s="80"/>
      <c r="AM344" s="80"/>
      <c r="AN344" s="80"/>
      <c r="AO344" s="80"/>
      <c r="AP344" s="80"/>
      <c r="AQ344" s="80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</row>
    <row r="345">
      <c r="A345" s="80"/>
      <c r="B345" s="80"/>
      <c r="C345" s="80"/>
      <c r="D345" s="80"/>
      <c r="E345" s="124"/>
      <c r="F345" s="80"/>
      <c r="G345" s="80"/>
      <c r="H345" s="80"/>
      <c r="I345" s="80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15"/>
      <c r="AK345" s="80"/>
      <c r="AL345" s="80"/>
      <c r="AM345" s="80"/>
      <c r="AN345" s="80"/>
      <c r="AO345" s="80"/>
      <c r="AP345" s="80"/>
      <c r="AQ345" s="80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</row>
    <row r="346">
      <c r="A346" s="80"/>
      <c r="B346" s="80"/>
      <c r="C346" s="80"/>
      <c r="D346" s="80"/>
      <c r="E346" s="124"/>
      <c r="F346" s="80"/>
      <c r="G346" s="80"/>
      <c r="H346" s="80"/>
      <c r="I346" s="80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15"/>
      <c r="AK346" s="80"/>
      <c r="AL346" s="80"/>
      <c r="AM346" s="80"/>
      <c r="AN346" s="80"/>
      <c r="AO346" s="80"/>
      <c r="AP346" s="80"/>
      <c r="AQ346" s="80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</row>
    <row r="347">
      <c r="A347" s="80"/>
      <c r="B347" s="80"/>
      <c r="C347" s="80"/>
      <c r="D347" s="80"/>
      <c r="E347" s="124"/>
      <c r="F347" s="80"/>
      <c r="G347" s="80"/>
      <c r="H347" s="80"/>
      <c r="I347" s="80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15"/>
      <c r="AK347" s="80"/>
      <c r="AL347" s="80"/>
      <c r="AM347" s="80"/>
      <c r="AN347" s="80"/>
      <c r="AO347" s="80"/>
      <c r="AP347" s="80"/>
      <c r="AQ347" s="80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</row>
    <row r="348">
      <c r="A348" s="80"/>
      <c r="B348" s="80"/>
      <c r="C348" s="80"/>
      <c r="D348" s="80"/>
      <c r="E348" s="124"/>
      <c r="F348" s="80"/>
      <c r="G348" s="80"/>
      <c r="H348" s="80"/>
      <c r="I348" s="80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15"/>
      <c r="AK348" s="80"/>
      <c r="AL348" s="80"/>
      <c r="AM348" s="80"/>
      <c r="AN348" s="80"/>
      <c r="AO348" s="80"/>
      <c r="AP348" s="80"/>
      <c r="AQ348" s="80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</row>
    <row r="349">
      <c r="A349" s="80"/>
      <c r="B349" s="80"/>
      <c r="C349" s="80"/>
      <c r="D349" s="80"/>
      <c r="E349" s="124"/>
      <c r="F349" s="80"/>
      <c r="G349" s="80"/>
      <c r="H349" s="80"/>
      <c r="I349" s="80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15"/>
      <c r="AK349" s="80"/>
      <c r="AL349" s="80"/>
      <c r="AM349" s="80"/>
      <c r="AN349" s="80"/>
      <c r="AO349" s="80"/>
      <c r="AP349" s="80"/>
      <c r="AQ349" s="80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</row>
    <row r="350">
      <c r="A350" s="80"/>
      <c r="B350" s="80"/>
      <c r="C350" s="80"/>
      <c r="D350" s="80"/>
      <c r="E350" s="124"/>
      <c r="F350" s="80"/>
      <c r="G350" s="80"/>
      <c r="H350" s="80"/>
      <c r="I350" s="80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15"/>
      <c r="AK350" s="80"/>
      <c r="AL350" s="80"/>
      <c r="AM350" s="80"/>
      <c r="AN350" s="80"/>
      <c r="AO350" s="80"/>
      <c r="AP350" s="80"/>
      <c r="AQ350" s="80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</row>
    <row r="351">
      <c r="A351" s="80"/>
      <c r="B351" s="80"/>
      <c r="C351" s="80"/>
      <c r="D351" s="80"/>
      <c r="E351" s="124"/>
      <c r="F351" s="80"/>
      <c r="G351" s="80"/>
      <c r="H351" s="80"/>
      <c r="I351" s="80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15"/>
      <c r="AK351" s="80"/>
      <c r="AL351" s="80"/>
      <c r="AM351" s="80"/>
      <c r="AN351" s="80"/>
      <c r="AO351" s="80"/>
      <c r="AP351" s="80"/>
      <c r="AQ351" s="80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</row>
    <row r="352">
      <c r="A352" s="80"/>
      <c r="B352" s="80"/>
      <c r="C352" s="80"/>
      <c r="D352" s="80"/>
      <c r="E352" s="124"/>
      <c r="F352" s="80"/>
      <c r="G352" s="80"/>
      <c r="H352" s="80"/>
      <c r="I352" s="80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15"/>
      <c r="AK352" s="80"/>
      <c r="AL352" s="80"/>
      <c r="AM352" s="80"/>
      <c r="AN352" s="80"/>
      <c r="AO352" s="80"/>
      <c r="AP352" s="80"/>
      <c r="AQ352" s="80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</row>
    <row r="353">
      <c r="A353" s="80"/>
      <c r="B353" s="80"/>
      <c r="C353" s="80"/>
      <c r="D353" s="80"/>
      <c r="E353" s="124"/>
      <c r="F353" s="80"/>
      <c r="G353" s="80"/>
      <c r="H353" s="80"/>
      <c r="I353" s="80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15"/>
      <c r="AK353" s="80"/>
      <c r="AL353" s="80"/>
      <c r="AM353" s="80"/>
      <c r="AN353" s="80"/>
      <c r="AO353" s="80"/>
      <c r="AP353" s="80"/>
      <c r="AQ353" s="80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</row>
    <row r="354">
      <c r="A354" s="80"/>
      <c r="B354" s="80"/>
      <c r="C354" s="80"/>
      <c r="D354" s="80"/>
      <c r="E354" s="124"/>
      <c r="F354" s="80"/>
      <c r="G354" s="80"/>
      <c r="H354" s="80"/>
      <c r="I354" s="80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15"/>
      <c r="AK354" s="80"/>
      <c r="AL354" s="80"/>
      <c r="AM354" s="80"/>
      <c r="AN354" s="80"/>
      <c r="AO354" s="80"/>
      <c r="AP354" s="80"/>
      <c r="AQ354" s="80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</row>
    <row r="355">
      <c r="A355" s="80"/>
      <c r="B355" s="80"/>
      <c r="C355" s="80"/>
      <c r="D355" s="80"/>
      <c r="E355" s="124"/>
      <c r="F355" s="80"/>
      <c r="G355" s="80"/>
      <c r="H355" s="80"/>
      <c r="I355" s="80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15"/>
      <c r="AK355" s="80"/>
      <c r="AL355" s="80"/>
      <c r="AM355" s="80"/>
      <c r="AN355" s="80"/>
      <c r="AO355" s="80"/>
      <c r="AP355" s="80"/>
      <c r="AQ355" s="80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</row>
    <row r="356">
      <c r="A356" s="80"/>
      <c r="B356" s="80"/>
      <c r="C356" s="80"/>
      <c r="D356" s="80"/>
      <c r="E356" s="124"/>
      <c r="F356" s="80"/>
      <c r="G356" s="80"/>
      <c r="H356" s="80"/>
      <c r="I356" s="80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15"/>
      <c r="AK356" s="80"/>
      <c r="AL356" s="80"/>
      <c r="AM356" s="80"/>
      <c r="AN356" s="80"/>
      <c r="AO356" s="80"/>
      <c r="AP356" s="80"/>
      <c r="AQ356" s="80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</row>
    <row r="357">
      <c r="A357" s="80"/>
      <c r="B357" s="80"/>
      <c r="C357" s="80"/>
      <c r="D357" s="80"/>
      <c r="E357" s="124"/>
      <c r="F357" s="80"/>
      <c r="G357" s="80"/>
      <c r="H357" s="80"/>
      <c r="I357" s="80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15"/>
      <c r="AK357" s="80"/>
      <c r="AL357" s="80"/>
      <c r="AM357" s="80"/>
      <c r="AN357" s="80"/>
      <c r="AO357" s="80"/>
      <c r="AP357" s="80"/>
      <c r="AQ357" s="80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</row>
    <row r="358">
      <c r="A358" s="80"/>
      <c r="B358" s="80"/>
      <c r="C358" s="80"/>
      <c r="D358" s="80"/>
      <c r="E358" s="124"/>
      <c r="F358" s="80"/>
      <c r="G358" s="80"/>
      <c r="H358" s="80"/>
      <c r="I358" s="80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15"/>
      <c r="AK358" s="80"/>
      <c r="AL358" s="80"/>
      <c r="AM358" s="80"/>
      <c r="AN358" s="80"/>
      <c r="AO358" s="80"/>
      <c r="AP358" s="80"/>
      <c r="AQ358" s="80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</row>
    <row r="359">
      <c r="A359" s="80"/>
      <c r="B359" s="80"/>
      <c r="C359" s="80"/>
      <c r="D359" s="80"/>
      <c r="E359" s="124"/>
      <c r="F359" s="80"/>
      <c r="G359" s="80"/>
      <c r="H359" s="80"/>
      <c r="I359" s="80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15"/>
      <c r="AK359" s="80"/>
      <c r="AL359" s="80"/>
      <c r="AM359" s="80"/>
      <c r="AN359" s="80"/>
      <c r="AO359" s="80"/>
      <c r="AP359" s="80"/>
      <c r="AQ359" s="80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</row>
    <row r="360">
      <c r="A360" s="80"/>
      <c r="B360" s="80"/>
      <c r="C360" s="80"/>
      <c r="D360" s="80"/>
      <c r="E360" s="124"/>
      <c r="F360" s="80"/>
      <c r="G360" s="80"/>
      <c r="H360" s="80"/>
      <c r="I360" s="80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15"/>
      <c r="AK360" s="80"/>
      <c r="AL360" s="80"/>
      <c r="AM360" s="80"/>
      <c r="AN360" s="80"/>
      <c r="AO360" s="80"/>
      <c r="AP360" s="80"/>
      <c r="AQ360" s="80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</row>
    <row r="361">
      <c r="A361" s="80"/>
      <c r="B361" s="80"/>
      <c r="C361" s="80"/>
      <c r="D361" s="80"/>
      <c r="E361" s="124"/>
      <c r="F361" s="80"/>
      <c r="G361" s="80"/>
      <c r="H361" s="80"/>
      <c r="I361" s="80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15"/>
      <c r="AK361" s="80"/>
      <c r="AL361" s="80"/>
      <c r="AM361" s="80"/>
      <c r="AN361" s="80"/>
      <c r="AO361" s="80"/>
      <c r="AP361" s="80"/>
      <c r="AQ361" s="80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</row>
    <row r="362">
      <c r="A362" s="80"/>
      <c r="B362" s="80"/>
      <c r="C362" s="80"/>
      <c r="D362" s="80"/>
      <c r="E362" s="124"/>
      <c r="F362" s="80"/>
      <c r="G362" s="80"/>
      <c r="H362" s="80"/>
      <c r="I362" s="80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15"/>
      <c r="AK362" s="80"/>
      <c r="AL362" s="80"/>
      <c r="AM362" s="80"/>
      <c r="AN362" s="80"/>
      <c r="AO362" s="80"/>
      <c r="AP362" s="80"/>
      <c r="AQ362" s="80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</row>
    <row r="363">
      <c r="A363" s="80"/>
      <c r="B363" s="80"/>
      <c r="C363" s="80"/>
      <c r="D363" s="80"/>
      <c r="E363" s="124"/>
      <c r="F363" s="80"/>
      <c r="G363" s="80"/>
      <c r="H363" s="80"/>
      <c r="I363" s="80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15"/>
      <c r="AK363" s="80"/>
      <c r="AL363" s="80"/>
      <c r="AM363" s="80"/>
      <c r="AN363" s="80"/>
      <c r="AO363" s="80"/>
      <c r="AP363" s="80"/>
      <c r="AQ363" s="80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</row>
    <row r="364">
      <c r="A364" s="80"/>
      <c r="B364" s="80"/>
      <c r="C364" s="80"/>
      <c r="D364" s="80"/>
      <c r="E364" s="124"/>
      <c r="F364" s="80"/>
      <c r="G364" s="80"/>
      <c r="H364" s="80"/>
      <c r="I364" s="80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15"/>
      <c r="AK364" s="80"/>
      <c r="AL364" s="80"/>
      <c r="AM364" s="80"/>
      <c r="AN364" s="80"/>
      <c r="AO364" s="80"/>
      <c r="AP364" s="80"/>
      <c r="AQ364" s="80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</row>
    <row r="365">
      <c r="A365" s="80"/>
      <c r="B365" s="80"/>
      <c r="C365" s="80"/>
      <c r="D365" s="80"/>
      <c r="E365" s="124"/>
      <c r="F365" s="80"/>
      <c r="G365" s="80"/>
      <c r="H365" s="80"/>
      <c r="I365" s="80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15"/>
      <c r="AK365" s="80"/>
      <c r="AL365" s="80"/>
      <c r="AM365" s="80"/>
      <c r="AN365" s="80"/>
      <c r="AO365" s="80"/>
      <c r="AP365" s="80"/>
      <c r="AQ365" s="80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</row>
    <row r="366">
      <c r="A366" s="80"/>
      <c r="B366" s="80"/>
      <c r="C366" s="80"/>
      <c r="D366" s="80"/>
      <c r="E366" s="124"/>
      <c r="F366" s="80"/>
      <c r="G366" s="80"/>
      <c r="H366" s="80"/>
      <c r="I366" s="80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15"/>
      <c r="AK366" s="80"/>
      <c r="AL366" s="80"/>
      <c r="AM366" s="80"/>
      <c r="AN366" s="80"/>
      <c r="AO366" s="80"/>
      <c r="AP366" s="80"/>
      <c r="AQ366" s="80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</row>
    <row r="367">
      <c r="A367" s="80"/>
      <c r="B367" s="80"/>
      <c r="C367" s="80"/>
      <c r="D367" s="80"/>
      <c r="E367" s="124"/>
      <c r="F367" s="80"/>
      <c r="G367" s="80"/>
      <c r="H367" s="80"/>
      <c r="I367" s="80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15"/>
      <c r="AK367" s="80"/>
      <c r="AL367" s="80"/>
      <c r="AM367" s="80"/>
      <c r="AN367" s="80"/>
      <c r="AO367" s="80"/>
      <c r="AP367" s="80"/>
      <c r="AQ367" s="80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</row>
    <row r="368">
      <c r="A368" s="80"/>
      <c r="B368" s="80"/>
      <c r="C368" s="80"/>
      <c r="D368" s="80"/>
      <c r="E368" s="124"/>
      <c r="F368" s="80"/>
      <c r="G368" s="80"/>
      <c r="H368" s="80"/>
      <c r="I368" s="80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15"/>
      <c r="AK368" s="80"/>
      <c r="AL368" s="80"/>
      <c r="AM368" s="80"/>
      <c r="AN368" s="80"/>
      <c r="AO368" s="80"/>
      <c r="AP368" s="80"/>
      <c r="AQ368" s="80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</row>
    <row r="369">
      <c r="A369" s="80"/>
      <c r="B369" s="80"/>
      <c r="C369" s="80"/>
      <c r="D369" s="80"/>
      <c r="E369" s="124"/>
      <c r="F369" s="80"/>
      <c r="G369" s="80"/>
      <c r="H369" s="80"/>
      <c r="I369" s="80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15"/>
      <c r="AK369" s="80"/>
      <c r="AL369" s="80"/>
      <c r="AM369" s="80"/>
      <c r="AN369" s="80"/>
      <c r="AO369" s="80"/>
      <c r="AP369" s="80"/>
      <c r="AQ369" s="80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</row>
    <row r="370">
      <c r="A370" s="80"/>
      <c r="B370" s="80"/>
      <c r="C370" s="80"/>
      <c r="D370" s="80"/>
      <c r="E370" s="124"/>
      <c r="F370" s="80"/>
      <c r="G370" s="80"/>
      <c r="H370" s="80"/>
      <c r="I370" s="80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15"/>
      <c r="AK370" s="80"/>
      <c r="AL370" s="80"/>
      <c r="AM370" s="80"/>
      <c r="AN370" s="80"/>
      <c r="AO370" s="80"/>
      <c r="AP370" s="80"/>
      <c r="AQ370" s="80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</row>
    <row r="371">
      <c r="A371" s="80"/>
      <c r="B371" s="80"/>
      <c r="C371" s="80"/>
      <c r="D371" s="80"/>
      <c r="E371" s="124"/>
      <c r="F371" s="80"/>
      <c r="G371" s="80"/>
      <c r="H371" s="80"/>
      <c r="I371" s="80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15"/>
      <c r="AK371" s="80"/>
      <c r="AL371" s="80"/>
      <c r="AM371" s="80"/>
      <c r="AN371" s="80"/>
      <c r="AO371" s="80"/>
      <c r="AP371" s="80"/>
      <c r="AQ371" s="80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</row>
    <row r="372">
      <c r="A372" s="80"/>
      <c r="B372" s="80"/>
      <c r="C372" s="80"/>
      <c r="D372" s="80"/>
      <c r="E372" s="124"/>
      <c r="F372" s="80"/>
      <c r="G372" s="80"/>
      <c r="H372" s="80"/>
      <c r="I372" s="80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15"/>
      <c r="AK372" s="80"/>
      <c r="AL372" s="80"/>
      <c r="AM372" s="80"/>
      <c r="AN372" s="80"/>
      <c r="AO372" s="80"/>
      <c r="AP372" s="80"/>
      <c r="AQ372" s="80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</row>
    <row r="373">
      <c r="A373" s="80"/>
      <c r="B373" s="80"/>
      <c r="C373" s="80"/>
      <c r="D373" s="80"/>
      <c r="E373" s="124"/>
      <c r="F373" s="80"/>
      <c r="G373" s="80"/>
      <c r="H373" s="80"/>
      <c r="I373" s="80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15"/>
      <c r="AK373" s="80"/>
      <c r="AL373" s="80"/>
      <c r="AM373" s="80"/>
      <c r="AN373" s="80"/>
      <c r="AO373" s="80"/>
      <c r="AP373" s="80"/>
      <c r="AQ373" s="80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</row>
    <row r="374">
      <c r="A374" s="80"/>
      <c r="B374" s="80"/>
      <c r="C374" s="80"/>
      <c r="D374" s="80"/>
      <c r="E374" s="124"/>
      <c r="F374" s="80"/>
      <c r="G374" s="80"/>
      <c r="H374" s="80"/>
      <c r="I374" s="80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15"/>
      <c r="AK374" s="80"/>
      <c r="AL374" s="80"/>
      <c r="AM374" s="80"/>
      <c r="AN374" s="80"/>
      <c r="AO374" s="80"/>
      <c r="AP374" s="80"/>
      <c r="AQ374" s="80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</row>
    <row r="375">
      <c r="A375" s="80"/>
      <c r="B375" s="80"/>
      <c r="C375" s="80"/>
      <c r="D375" s="80"/>
      <c r="E375" s="124"/>
      <c r="F375" s="80"/>
      <c r="G375" s="80"/>
      <c r="H375" s="80"/>
      <c r="I375" s="80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15"/>
      <c r="AK375" s="80"/>
      <c r="AL375" s="80"/>
      <c r="AM375" s="80"/>
      <c r="AN375" s="80"/>
      <c r="AO375" s="80"/>
      <c r="AP375" s="80"/>
      <c r="AQ375" s="80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</row>
    <row r="376">
      <c r="A376" s="80"/>
      <c r="B376" s="80"/>
      <c r="C376" s="80"/>
      <c r="D376" s="80"/>
      <c r="E376" s="124"/>
      <c r="F376" s="80"/>
      <c r="G376" s="80"/>
      <c r="H376" s="80"/>
      <c r="I376" s="80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15"/>
      <c r="AK376" s="80"/>
      <c r="AL376" s="80"/>
      <c r="AM376" s="80"/>
      <c r="AN376" s="80"/>
      <c r="AO376" s="80"/>
      <c r="AP376" s="80"/>
      <c r="AQ376" s="80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</row>
    <row r="377">
      <c r="A377" s="80"/>
      <c r="B377" s="80"/>
      <c r="C377" s="80"/>
      <c r="D377" s="80"/>
      <c r="E377" s="124"/>
      <c r="F377" s="80"/>
      <c r="G377" s="80"/>
      <c r="H377" s="80"/>
      <c r="I377" s="80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15"/>
      <c r="AK377" s="80"/>
      <c r="AL377" s="80"/>
      <c r="AM377" s="80"/>
      <c r="AN377" s="80"/>
      <c r="AO377" s="80"/>
      <c r="AP377" s="80"/>
      <c r="AQ377" s="80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</row>
    <row r="378">
      <c r="A378" s="80"/>
      <c r="B378" s="80"/>
      <c r="C378" s="80"/>
      <c r="D378" s="80"/>
      <c r="E378" s="124"/>
      <c r="F378" s="80"/>
      <c r="G378" s="80"/>
      <c r="H378" s="80"/>
      <c r="I378" s="80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15"/>
      <c r="AK378" s="80"/>
      <c r="AL378" s="80"/>
      <c r="AM378" s="80"/>
      <c r="AN378" s="80"/>
      <c r="AO378" s="80"/>
      <c r="AP378" s="80"/>
      <c r="AQ378" s="80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</row>
    <row r="379">
      <c r="A379" s="80"/>
      <c r="B379" s="80"/>
      <c r="C379" s="80"/>
      <c r="D379" s="80"/>
      <c r="E379" s="124"/>
      <c r="F379" s="80"/>
      <c r="G379" s="80"/>
      <c r="H379" s="80"/>
      <c r="I379" s="80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15"/>
      <c r="AK379" s="80"/>
      <c r="AL379" s="80"/>
      <c r="AM379" s="80"/>
      <c r="AN379" s="80"/>
      <c r="AO379" s="80"/>
      <c r="AP379" s="80"/>
      <c r="AQ379" s="80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</row>
    <row r="380">
      <c r="A380" s="80"/>
      <c r="B380" s="80"/>
      <c r="C380" s="80"/>
      <c r="D380" s="80"/>
      <c r="E380" s="124"/>
      <c r="F380" s="80"/>
      <c r="G380" s="80"/>
      <c r="H380" s="80"/>
      <c r="I380" s="80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15"/>
      <c r="AK380" s="80"/>
      <c r="AL380" s="80"/>
      <c r="AM380" s="80"/>
      <c r="AN380" s="80"/>
      <c r="AO380" s="80"/>
      <c r="AP380" s="80"/>
      <c r="AQ380" s="80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</row>
    <row r="381">
      <c r="A381" s="80"/>
      <c r="B381" s="80"/>
      <c r="C381" s="80"/>
      <c r="D381" s="80"/>
      <c r="E381" s="124"/>
      <c r="F381" s="80"/>
      <c r="G381" s="80"/>
      <c r="H381" s="80"/>
      <c r="I381" s="80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15"/>
      <c r="AK381" s="80"/>
      <c r="AL381" s="80"/>
      <c r="AM381" s="80"/>
      <c r="AN381" s="80"/>
      <c r="AO381" s="80"/>
      <c r="AP381" s="80"/>
      <c r="AQ381" s="80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</row>
    <row r="382">
      <c r="A382" s="80"/>
      <c r="B382" s="80"/>
      <c r="C382" s="80"/>
      <c r="D382" s="80"/>
      <c r="E382" s="124"/>
      <c r="F382" s="80"/>
      <c r="G382" s="80"/>
      <c r="H382" s="80"/>
      <c r="I382" s="80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15"/>
      <c r="AK382" s="80"/>
      <c r="AL382" s="80"/>
      <c r="AM382" s="80"/>
      <c r="AN382" s="80"/>
      <c r="AO382" s="80"/>
      <c r="AP382" s="80"/>
      <c r="AQ382" s="80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</row>
    <row r="383">
      <c r="A383" s="80"/>
      <c r="B383" s="80"/>
      <c r="C383" s="80"/>
      <c r="D383" s="80"/>
      <c r="E383" s="124"/>
      <c r="F383" s="80"/>
      <c r="G383" s="80"/>
      <c r="H383" s="80"/>
      <c r="I383" s="80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15"/>
      <c r="AK383" s="80"/>
      <c r="AL383" s="80"/>
      <c r="AM383" s="80"/>
      <c r="AN383" s="80"/>
      <c r="AO383" s="80"/>
      <c r="AP383" s="80"/>
      <c r="AQ383" s="80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</row>
    <row r="384">
      <c r="A384" s="80"/>
      <c r="B384" s="80"/>
      <c r="C384" s="80"/>
      <c r="D384" s="80"/>
      <c r="E384" s="124"/>
      <c r="F384" s="80"/>
      <c r="G384" s="80"/>
      <c r="H384" s="80"/>
      <c r="I384" s="80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15"/>
      <c r="AK384" s="80"/>
      <c r="AL384" s="80"/>
      <c r="AM384" s="80"/>
      <c r="AN384" s="80"/>
      <c r="AO384" s="80"/>
      <c r="AP384" s="80"/>
      <c r="AQ384" s="80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</row>
    <row r="385">
      <c r="A385" s="80"/>
      <c r="B385" s="80"/>
      <c r="C385" s="80"/>
      <c r="D385" s="80"/>
      <c r="E385" s="124"/>
      <c r="F385" s="80"/>
      <c r="G385" s="80"/>
      <c r="H385" s="80"/>
      <c r="I385" s="80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15"/>
      <c r="AK385" s="80"/>
      <c r="AL385" s="80"/>
      <c r="AM385" s="80"/>
      <c r="AN385" s="80"/>
      <c r="AO385" s="80"/>
      <c r="AP385" s="80"/>
      <c r="AQ385" s="80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</row>
    <row r="386">
      <c r="A386" s="80"/>
      <c r="B386" s="80"/>
      <c r="C386" s="80"/>
      <c r="D386" s="80"/>
      <c r="E386" s="124"/>
      <c r="F386" s="80"/>
      <c r="G386" s="80"/>
      <c r="H386" s="80"/>
      <c r="I386" s="80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15"/>
      <c r="AK386" s="80"/>
      <c r="AL386" s="80"/>
      <c r="AM386" s="80"/>
      <c r="AN386" s="80"/>
      <c r="AO386" s="80"/>
      <c r="AP386" s="80"/>
      <c r="AQ386" s="80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</row>
    <row r="387">
      <c r="A387" s="80"/>
      <c r="B387" s="80"/>
      <c r="C387" s="80"/>
      <c r="D387" s="80"/>
      <c r="E387" s="124"/>
      <c r="F387" s="80"/>
      <c r="G387" s="80"/>
      <c r="H387" s="80"/>
      <c r="I387" s="80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15"/>
      <c r="AK387" s="80"/>
      <c r="AL387" s="80"/>
      <c r="AM387" s="80"/>
      <c r="AN387" s="80"/>
      <c r="AO387" s="80"/>
      <c r="AP387" s="80"/>
      <c r="AQ387" s="80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</row>
    <row r="388">
      <c r="A388" s="80"/>
      <c r="B388" s="80"/>
      <c r="C388" s="80"/>
      <c r="D388" s="80"/>
      <c r="E388" s="124"/>
      <c r="F388" s="80"/>
      <c r="G388" s="80"/>
      <c r="H388" s="80"/>
      <c r="I388" s="80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15"/>
      <c r="AK388" s="80"/>
      <c r="AL388" s="80"/>
      <c r="AM388" s="80"/>
      <c r="AN388" s="80"/>
      <c r="AO388" s="80"/>
      <c r="AP388" s="80"/>
      <c r="AQ388" s="80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</row>
    <row r="389">
      <c r="A389" s="80"/>
      <c r="B389" s="80"/>
      <c r="C389" s="80"/>
      <c r="D389" s="80"/>
      <c r="E389" s="124"/>
      <c r="F389" s="80"/>
      <c r="G389" s="80"/>
      <c r="H389" s="80"/>
      <c r="I389" s="80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15"/>
      <c r="AK389" s="80"/>
      <c r="AL389" s="80"/>
      <c r="AM389" s="80"/>
      <c r="AN389" s="80"/>
      <c r="AO389" s="80"/>
      <c r="AP389" s="80"/>
      <c r="AQ389" s="80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</row>
    <row r="390">
      <c r="A390" s="80"/>
      <c r="B390" s="80"/>
      <c r="C390" s="80"/>
      <c r="D390" s="80"/>
      <c r="E390" s="124"/>
      <c r="F390" s="80"/>
      <c r="G390" s="80"/>
      <c r="H390" s="80"/>
      <c r="I390" s="80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15"/>
      <c r="AK390" s="80"/>
      <c r="AL390" s="80"/>
      <c r="AM390" s="80"/>
      <c r="AN390" s="80"/>
      <c r="AO390" s="80"/>
      <c r="AP390" s="80"/>
      <c r="AQ390" s="80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</row>
    <row r="391">
      <c r="A391" s="80"/>
      <c r="B391" s="80"/>
      <c r="C391" s="80"/>
      <c r="D391" s="80"/>
      <c r="E391" s="124"/>
      <c r="F391" s="80"/>
      <c r="G391" s="80"/>
      <c r="H391" s="80"/>
      <c r="I391" s="80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15"/>
      <c r="AK391" s="80"/>
      <c r="AL391" s="80"/>
      <c r="AM391" s="80"/>
      <c r="AN391" s="80"/>
      <c r="AO391" s="80"/>
      <c r="AP391" s="80"/>
      <c r="AQ391" s="80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</row>
    <row r="392">
      <c r="A392" s="80"/>
      <c r="B392" s="80"/>
      <c r="C392" s="80"/>
      <c r="D392" s="80"/>
      <c r="E392" s="124"/>
      <c r="F392" s="80"/>
      <c r="G392" s="80"/>
      <c r="H392" s="80"/>
      <c r="I392" s="80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15"/>
      <c r="AK392" s="80"/>
      <c r="AL392" s="80"/>
      <c r="AM392" s="80"/>
      <c r="AN392" s="80"/>
      <c r="AO392" s="80"/>
      <c r="AP392" s="80"/>
      <c r="AQ392" s="80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</row>
    <row r="393">
      <c r="A393" s="80"/>
      <c r="B393" s="80"/>
      <c r="C393" s="80"/>
      <c r="D393" s="80"/>
      <c r="E393" s="124"/>
      <c r="F393" s="80"/>
      <c r="G393" s="80"/>
      <c r="H393" s="80"/>
      <c r="I393" s="80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15"/>
      <c r="AK393" s="80"/>
      <c r="AL393" s="80"/>
      <c r="AM393" s="80"/>
      <c r="AN393" s="80"/>
      <c r="AO393" s="80"/>
      <c r="AP393" s="80"/>
      <c r="AQ393" s="80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</row>
    <row r="394">
      <c r="A394" s="80"/>
      <c r="B394" s="80"/>
      <c r="C394" s="80"/>
      <c r="D394" s="80"/>
      <c r="E394" s="124"/>
      <c r="F394" s="80"/>
      <c r="G394" s="80"/>
      <c r="H394" s="80"/>
      <c r="I394" s="80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15"/>
      <c r="AK394" s="80"/>
      <c r="AL394" s="80"/>
      <c r="AM394" s="80"/>
      <c r="AN394" s="80"/>
      <c r="AO394" s="80"/>
      <c r="AP394" s="80"/>
      <c r="AQ394" s="80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</row>
    <row r="395">
      <c r="A395" s="80"/>
      <c r="B395" s="80"/>
      <c r="C395" s="80"/>
      <c r="D395" s="80"/>
      <c r="E395" s="124"/>
      <c r="F395" s="80"/>
      <c r="G395" s="80"/>
      <c r="H395" s="80"/>
      <c r="I395" s="80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15"/>
      <c r="AK395" s="80"/>
      <c r="AL395" s="80"/>
      <c r="AM395" s="80"/>
      <c r="AN395" s="80"/>
      <c r="AO395" s="80"/>
      <c r="AP395" s="80"/>
      <c r="AQ395" s="80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</row>
    <row r="396">
      <c r="A396" s="80"/>
      <c r="B396" s="80"/>
      <c r="C396" s="80"/>
      <c r="D396" s="80"/>
      <c r="E396" s="124"/>
      <c r="F396" s="80"/>
      <c r="G396" s="80"/>
      <c r="H396" s="80"/>
      <c r="I396" s="80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15"/>
      <c r="AK396" s="80"/>
      <c r="AL396" s="80"/>
      <c r="AM396" s="80"/>
      <c r="AN396" s="80"/>
      <c r="AO396" s="80"/>
      <c r="AP396" s="80"/>
      <c r="AQ396" s="80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</row>
    <row r="397">
      <c r="A397" s="80"/>
      <c r="B397" s="80"/>
      <c r="C397" s="80"/>
      <c r="D397" s="80"/>
      <c r="E397" s="124"/>
      <c r="F397" s="80"/>
      <c r="G397" s="80"/>
      <c r="H397" s="80"/>
      <c r="I397" s="80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15"/>
      <c r="AK397" s="80"/>
      <c r="AL397" s="80"/>
      <c r="AM397" s="80"/>
      <c r="AN397" s="80"/>
      <c r="AO397" s="80"/>
      <c r="AP397" s="80"/>
      <c r="AQ397" s="80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</row>
    <row r="398">
      <c r="A398" s="80"/>
      <c r="B398" s="80"/>
      <c r="C398" s="80"/>
      <c r="D398" s="80"/>
      <c r="E398" s="124"/>
      <c r="F398" s="80"/>
      <c r="G398" s="80"/>
      <c r="H398" s="80"/>
      <c r="I398" s="80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15"/>
      <c r="AK398" s="80"/>
      <c r="AL398" s="80"/>
      <c r="AM398" s="80"/>
      <c r="AN398" s="80"/>
      <c r="AO398" s="80"/>
      <c r="AP398" s="80"/>
      <c r="AQ398" s="80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</row>
    <row r="399">
      <c r="A399" s="80"/>
      <c r="B399" s="80"/>
      <c r="C399" s="80"/>
      <c r="D399" s="80"/>
      <c r="E399" s="124"/>
      <c r="F399" s="80"/>
      <c r="G399" s="80"/>
      <c r="H399" s="80"/>
      <c r="I399" s="80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15"/>
      <c r="AK399" s="80"/>
      <c r="AL399" s="80"/>
      <c r="AM399" s="80"/>
      <c r="AN399" s="80"/>
      <c r="AO399" s="80"/>
      <c r="AP399" s="80"/>
      <c r="AQ399" s="80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</row>
    <row r="400">
      <c r="A400" s="80"/>
      <c r="B400" s="80"/>
      <c r="C400" s="80"/>
      <c r="D400" s="80"/>
      <c r="E400" s="124"/>
      <c r="F400" s="80"/>
      <c r="G400" s="80"/>
      <c r="H400" s="80"/>
      <c r="I400" s="80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15"/>
      <c r="AK400" s="80"/>
      <c r="AL400" s="80"/>
      <c r="AM400" s="80"/>
      <c r="AN400" s="80"/>
      <c r="AO400" s="80"/>
      <c r="AP400" s="80"/>
      <c r="AQ400" s="80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</row>
    <row r="401">
      <c r="A401" s="80"/>
      <c r="B401" s="80"/>
      <c r="C401" s="80"/>
      <c r="D401" s="80"/>
      <c r="E401" s="124"/>
      <c r="F401" s="80"/>
      <c r="G401" s="80"/>
      <c r="H401" s="80"/>
      <c r="I401" s="80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15"/>
      <c r="AK401" s="80"/>
      <c r="AL401" s="80"/>
      <c r="AM401" s="80"/>
      <c r="AN401" s="80"/>
      <c r="AO401" s="80"/>
      <c r="AP401" s="80"/>
      <c r="AQ401" s="80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</row>
    <row r="402">
      <c r="A402" s="80"/>
      <c r="B402" s="80"/>
      <c r="C402" s="80"/>
      <c r="D402" s="80"/>
      <c r="E402" s="124"/>
      <c r="F402" s="80"/>
      <c r="G402" s="80"/>
      <c r="H402" s="80"/>
      <c r="I402" s="80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15"/>
      <c r="AK402" s="80"/>
      <c r="AL402" s="80"/>
      <c r="AM402" s="80"/>
      <c r="AN402" s="80"/>
      <c r="AO402" s="80"/>
      <c r="AP402" s="80"/>
      <c r="AQ402" s="80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</row>
    <row r="403">
      <c r="A403" s="80"/>
      <c r="B403" s="80"/>
      <c r="C403" s="80"/>
      <c r="D403" s="80"/>
      <c r="E403" s="124"/>
      <c r="F403" s="80"/>
      <c r="G403" s="80"/>
      <c r="H403" s="80"/>
      <c r="I403" s="80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15"/>
      <c r="AK403" s="80"/>
      <c r="AL403" s="80"/>
      <c r="AM403" s="80"/>
      <c r="AN403" s="80"/>
      <c r="AO403" s="80"/>
      <c r="AP403" s="80"/>
      <c r="AQ403" s="80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</row>
    <row r="404">
      <c r="A404" s="80"/>
      <c r="B404" s="80"/>
      <c r="C404" s="80"/>
      <c r="D404" s="80"/>
      <c r="E404" s="124"/>
      <c r="F404" s="80"/>
      <c r="G404" s="80"/>
      <c r="H404" s="80"/>
      <c r="I404" s="80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15"/>
      <c r="AK404" s="80"/>
      <c r="AL404" s="80"/>
      <c r="AM404" s="80"/>
      <c r="AN404" s="80"/>
      <c r="AO404" s="80"/>
      <c r="AP404" s="80"/>
      <c r="AQ404" s="80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</row>
    <row r="405">
      <c r="A405" s="80"/>
      <c r="B405" s="80"/>
      <c r="C405" s="80"/>
      <c r="D405" s="80"/>
      <c r="E405" s="124"/>
      <c r="F405" s="80"/>
      <c r="G405" s="80"/>
      <c r="H405" s="80"/>
      <c r="I405" s="80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15"/>
      <c r="AK405" s="80"/>
      <c r="AL405" s="80"/>
      <c r="AM405" s="80"/>
      <c r="AN405" s="80"/>
      <c r="AO405" s="80"/>
      <c r="AP405" s="80"/>
      <c r="AQ405" s="80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</row>
    <row r="406">
      <c r="A406" s="80"/>
      <c r="B406" s="80"/>
      <c r="C406" s="80"/>
      <c r="D406" s="80"/>
      <c r="E406" s="124"/>
      <c r="F406" s="80"/>
      <c r="G406" s="80"/>
      <c r="H406" s="80"/>
      <c r="I406" s="80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15"/>
      <c r="AK406" s="80"/>
      <c r="AL406" s="80"/>
      <c r="AM406" s="80"/>
      <c r="AN406" s="80"/>
      <c r="AO406" s="80"/>
      <c r="AP406" s="80"/>
      <c r="AQ406" s="80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</row>
    <row r="407">
      <c r="A407" s="80"/>
      <c r="B407" s="80"/>
      <c r="C407" s="80"/>
      <c r="D407" s="80"/>
      <c r="E407" s="124"/>
      <c r="F407" s="80"/>
      <c r="G407" s="80"/>
      <c r="H407" s="80"/>
      <c r="I407" s="80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15"/>
      <c r="AK407" s="80"/>
      <c r="AL407" s="80"/>
      <c r="AM407" s="80"/>
      <c r="AN407" s="80"/>
      <c r="AO407" s="80"/>
      <c r="AP407" s="80"/>
      <c r="AQ407" s="80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</row>
    <row r="408">
      <c r="A408" s="80"/>
      <c r="B408" s="80"/>
      <c r="C408" s="80"/>
      <c r="D408" s="80"/>
      <c r="E408" s="124"/>
      <c r="F408" s="80"/>
      <c r="G408" s="80"/>
      <c r="H408" s="80"/>
      <c r="I408" s="80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15"/>
      <c r="AK408" s="80"/>
      <c r="AL408" s="80"/>
      <c r="AM408" s="80"/>
      <c r="AN408" s="80"/>
      <c r="AO408" s="80"/>
      <c r="AP408" s="80"/>
      <c r="AQ408" s="80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</row>
    <row r="409">
      <c r="A409" s="80"/>
      <c r="B409" s="80"/>
      <c r="C409" s="80"/>
      <c r="D409" s="80"/>
      <c r="E409" s="124"/>
      <c r="F409" s="80"/>
      <c r="G409" s="80"/>
      <c r="H409" s="80"/>
      <c r="I409" s="80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15"/>
      <c r="AK409" s="80"/>
      <c r="AL409" s="80"/>
      <c r="AM409" s="80"/>
      <c r="AN409" s="80"/>
      <c r="AO409" s="80"/>
      <c r="AP409" s="80"/>
      <c r="AQ409" s="80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</row>
    <row r="410">
      <c r="A410" s="80"/>
      <c r="B410" s="80"/>
      <c r="C410" s="80"/>
      <c r="D410" s="80"/>
      <c r="E410" s="124"/>
      <c r="F410" s="80"/>
      <c r="G410" s="80"/>
      <c r="H410" s="80"/>
      <c r="I410" s="80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15"/>
      <c r="AK410" s="80"/>
      <c r="AL410" s="80"/>
      <c r="AM410" s="80"/>
      <c r="AN410" s="80"/>
      <c r="AO410" s="80"/>
      <c r="AP410" s="80"/>
      <c r="AQ410" s="80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</row>
    <row r="411">
      <c r="A411" s="80"/>
      <c r="B411" s="80"/>
      <c r="C411" s="80"/>
      <c r="D411" s="80"/>
      <c r="E411" s="124"/>
      <c r="F411" s="80"/>
      <c r="G411" s="80"/>
      <c r="H411" s="80"/>
      <c r="I411" s="80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15"/>
      <c r="AK411" s="80"/>
      <c r="AL411" s="80"/>
      <c r="AM411" s="80"/>
      <c r="AN411" s="80"/>
      <c r="AO411" s="80"/>
      <c r="AP411" s="80"/>
      <c r="AQ411" s="80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</row>
    <row r="412">
      <c r="A412" s="80"/>
      <c r="B412" s="80"/>
      <c r="C412" s="80"/>
      <c r="D412" s="80"/>
      <c r="E412" s="124"/>
      <c r="F412" s="80"/>
      <c r="G412" s="80"/>
      <c r="H412" s="80"/>
      <c r="I412" s="80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15"/>
      <c r="AK412" s="80"/>
      <c r="AL412" s="80"/>
      <c r="AM412" s="80"/>
      <c r="AN412" s="80"/>
      <c r="AO412" s="80"/>
      <c r="AP412" s="80"/>
      <c r="AQ412" s="80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</row>
    <row r="413">
      <c r="A413" s="80"/>
      <c r="B413" s="80"/>
      <c r="C413" s="80"/>
      <c r="D413" s="80"/>
      <c r="E413" s="124"/>
      <c r="F413" s="80"/>
      <c r="G413" s="80"/>
      <c r="H413" s="80"/>
      <c r="I413" s="80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15"/>
      <c r="AK413" s="80"/>
      <c r="AL413" s="80"/>
      <c r="AM413" s="80"/>
      <c r="AN413" s="80"/>
      <c r="AO413" s="80"/>
      <c r="AP413" s="80"/>
      <c r="AQ413" s="80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</row>
    <row r="414">
      <c r="A414" s="80"/>
      <c r="B414" s="80"/>
      <c r="C414" s="80"/>
      <c r="D414" s="80"/>
      <c r="E414" s="124"/>
      <c r="F414" s="80"/>
      <c r="G414" s="80"/>
      <c r="H414" s="80"/>
      <c r="I414" s="80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15"/>
      <c r="AK414" s="80"/>
      <c r="AL414" s="80"/>
      <c r="AM414" s="80"/>
      <c r="AN414" s="80"/>
      <c r="AO414" s="80"/>
      <c r="AP414" s="80"/>
      <c r="AQ414" s="80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</row>
    <row r="415">
      <c r="A415" s="80"/>
      <c r="B415" s="80"/>
      <c r="C415" s="80"/>
      <c r="D415" s="80"/>
      <c r="E415" s="124"/>
      <c r="F415" s="80"/>
      <c r="G415" s="80"/>
      <c r="H415" s="80"/>
      <c r="I415" s="80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15"/>
      <c r="AK415" s="80"/>
      <c r="AL415" s="80"/>
      <c r="AM415" s="80"/>
      <c r="AN415" s="80"/>
      <c r="AO415" s="80"/>
      <c r="AP415" s="80"/>
      <c r="AQ415" s="80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</row>
    <row r="416">
      <c r="A416" s="80"/>
      <c r="B416" s="80"/>
      <c r="C416" s="80"/>
      <c r="D416" s="80"/>
      <c r="E416" s="124"/>
      <c r="F416" s="80"/>
      <c r="G416" s="80"/>
      <c r="H416" s="80"/>
      <c r="I416" s="80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15"/>
      <c r="AK416" s="80"/>
      <c r="AL416" s="80"/>
      <c r="AM416" s="80"/>
      <c r="AN416" s="80"/>
      <c r="AO416" s="80"/>
      <c r="AP416" s="80"/>
      <c r="AQ416" s="80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</row>
    <row r="417">
      <c r="A417" s="80"/>
      <c r="B417" s="80"/>
      <c r="C417" s="80"/>
      <c r="D417" s="80"/>
      <c r="E417" s="124"/>
      <c r="F417" s="80"/>
      <c r="G417" s="80"/>
      <c r="H417" s="80"/>
      <c r="I417" s="80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15"/>
      <c r="AK417" s="80"/>
      <c r="AL417" s="80"/>
      <c r="AM417" s="80"/>
      <c r="AN417" s="80"/>
      <c r="AO417" s="80"/>
      <c r="AP417" s="80"/>
      <c r="AQ417" s="80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</row>
    <row r="418">
      <c r="A418" s="80"/>
      <c r="B418" s="80"/>
      <c r="C418" s="80"/>
      <c r="D418" s="80"/>
      <c r="E418" s="124"/>
      <c r="F418" s="80"/>
      <c r="G418" s="80"/>
      <c r="H418" s="80"/>
      <c r="I418" s="80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15"/>
      <c r="AK418" s="80"/>
      <c r="AL418" s="80"/>
      <c r="AM418" s="80"/>
      <c r="AN418" s="80"/>
      <c r="AO418" s="80"/>
      <c r="AP418" s="80"/>
      <c r="AQ418" s="80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</row>
    <row r="419">
      <c r="A419" s="80"/>
      <c r="B419" s="80"/>
      <c r="C419" s="80"/>
      <c r="D419" s="80"/>
      <c r="E419" s="124"/>
      <c r="F419" s="80"/>
      <c r="G419" s="80"/>
      <c r="H419" s="80"/>
      <c r="I419" s="80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15"/>
      <c r="AK419" s="80"/>
      <c r="AL419" s="80"/>
      <c r="AM419" s="80"/>
      <c r="AN419" s="80"/>
      <c r="AO419" s="80"/>
      <c r="AP419" s="80"/>
      <c r="AQ419" s="80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</row>
    <row r="420">
      <c r="A420" s="80"/>
      <c r="B420" s="80"/>
      <c r="C420" s="80"/>
      <c r="D420" s="80"/>
      <c r="E420" s="124"/>
      <c r="F420" s="80"/>
      <c r="G420" s="80"/>
      <c r="H420" s="80"/>
      <c r="I420" s="80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15"/>
      <c r="AK420" s="80"/>
      <c r="AL420" s="80"/>
      <c r="AM420" s="80"/>
      <c r="AN420" s="80"/>
      <c r="AO420" s="80"/>
      <c r="AP420" s="80"/>
      <c r="AQ420" s="80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</row>
    <row r="421">
      <c r="A421" s="80"/>
      <c r="B421" s="80"/>
      <c r="C421" s="80"/>
      <c r="D421" s="80"/>
      <c r="E421" s="124"/>
      <c r="F421" s="80"/>
      <c r="G421" s="80"/>
      <c r="H421" s="80"/>
      <c r="I421" s="80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15"/>
      <c r="AK421" s="80"/>
      <c r="AL421" s="80"/>
      <c r="AM421" s="80"/>
      <c r="AN421" s="80"/>
      <c r="AO421" s="80"/>
      <c r="AP421" s="80"/>
      <c r="AQ421" s="80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</row>
    <row r="422">
      <c r="A422" s="80"/>
      <c r="B422" s="80"/>
      <c r="C422" s="80"/>
      <c r="D422" s="80"/>
      <c r="E422" s="124"/>
      <c r="F422" s="80"/>
      <c r="G422" s="80"/>
      <c r="H422" s="80"/>
      <c r="I422" s="80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15"/>
      <c r="AK422" s="80"/>
      <c r="AL422" s="80"/>
      <c r="AM422" s="80"/>
      <c r="AN422" s="80"/>
      <c r="AO422" s="80"/>
      <c r="AP422" s="80"/>
      <c r="AQ422" s="80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</row>
    <row r="423">
      <c r="A423" s="80"/>
      <c r="B423" s="80"/>
      <c r="C423" s="80"/>
      <c r="D423" s="80"/>
      <c r="E423" s="124"/>
      <c r="F423" s="80"/>
      <c r="G423" s="80"/>
      <c r="H423" s="80"/>
      <c r="I423" s="80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15"/>
      <c r="AK423" s="80"/>
      <c r="AL423" s="80"/>
      <c r="AM423" s="80"/>
      <c r="AN423" s="80"/>
      <c r="AO423" s="80"/>
      <c r="AP423" s="80"/>
      <c r="AQ423" s="80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</row>
    <row r="424">
      <c r="A424" s="80"/>
      <c r="B424" s="80"/>
      <c r="C424" s="80"/>
      <c r="D424" s="80"/>
      <c r="E424" s="124"/>
      <c r="F424" s="80"/>
      <c r="G424" s="80"/>
      <c r="H424" s="80"/>
      <c r="I424" s="80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15"/>
      <c r="AK424" s="80"/>
      <c r="AL424" s="80"/>
      <c r="AM424" s="80"/>
      <c r="AN424" s="80"/>
      <c r="AO424" s="80"/>
      <c r="AP424" s="80"/>
      <c r="AQ424" s="80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</row>
    <row r="425">
      <c r="A425" s="80"/>
      <c r="B425" s="80"/>
      <c r="C425" s="80"/>
      <c r="D425" s="80"/>
      <c r="E425" s="124"/>
      <c r="F425" s="80"/>
      <c r="G425" s="80"/>
      <c r="H425" s="80"/>
      <c r="I425" s="80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15"/>
      <c r="AK425" s="80"/>
      <c r="AL425" s="80"/>
      <c r="AM425" s="80"/>
      <c r="AN425" s="80"/>
      <c r="AO425" s="80"/>
      <c r="AP425" s="80"/>
      <c r="AQ425" s="80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</row>
    <row r="426">
      <c r="A426" s="80"/>
      <c r="B426" s="80"/>
      <c r="C426" s="80"/>
      <c r="D426" s="80"/>
      <c r="E426" s="124"/>
      <c r="F426" s="80"/>
      <c r="G426" s="80"/>
      <c r="H426" s="80"/>
      <c r="I426" s="80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15"/>
      <c r="AK426" s="80"/>
      <c r="AL426" s="80"/>
      <c r="AM426" s="80"/>
      <c r="AN426" s="80"/>
      <c r="AO426" s="80"/>
      <c r="AP426" s="80"/>
      <c r="AQ426" s="80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</row>
    <row r="427">
      <c r="A427" s="80"/>
      <c r="B427" s="80"/>
      <c r="C427" s="80"/>
      <c r="D427" s="80"/>
      <c r="E427" s="124"/>
      <c r="F427" s="80"/>
      <c r="G427" s="80"/>
      <c r="H427" s="80"/>
      <c r="I427" s="80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15"/>
      <c r="AK427" s="80"/>
      <c r="AL427" s="80"/>
      <c r="AM427" s="80"/>
      <c r="AN427" s="80"/>
      <c r="AO427" s="80"/>
      <c r="AP427" s="80"/>
      <c r="AQ427" s="80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</row>
    <row r="428">
      <c r="A428" s="80"/>
      <c r="B428" s="80"/>
      <c r="C428" s="80"/>
      <c r="D428" s="80"/>
      <c r="E428" s="124"/>
      <c r="F428" s="80"/>
      <c r="G428" s="80"/>
      <c r="H428" s="80"/>
      <c r="I428" s="80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15"/>
      <c r="AK428" s="80"/>
      <c r="AL428" s="80"/>
      <c r="AM428" s="80"/>
      <c r="AN428" s="80"/>
      <c r="AO428" s="80"/>
      <c r="AP428" s="80"/>
      <c r="AQ428" s="80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</row>
    <row r="429">
      <c r="A429" s="80"/>
      <c r="B429" s="80"/>
      <c r="C429" s="80"/>
      <c r="D429" s="80"/>
      <c r="E429" s="124"/>
      <c r="F429" s="80"/>
      <c r="G429" s="80"/>
      <c r="H429" s="80"/>
      <c r="I429" s="80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15"/>
      <c r="AK429" s="80"/>
      <c r="AL429" s="80"/>
      <c r="AM429" s="80"/>
      <c r="AN429" s="80"/>
      <c r="AO429" s="80"/>
      <c r="AP429" s="80"/>
      <c r="AQ429" s="80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</row>
    <row r="430">
      <c r="A430" s="80"/>
      <c r="B430" s="80"/>
      <c r="C430" s="80"/>
      <c r="D430" s="80"/>
      <c r="E430" s="124"/>
      <c r="F430" s="80"/>
      <c r="G430" s="80"/>
      <c r="H430" s="80"/>
      <c r="I430" s="80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15"/>
      <c r="AK430" s="80"/>
      <c r="AL430" s="80"/>
      <c r="AM430" s="80"/>
      <c r="AN430" s="80"/>
      <c r="AO430" s="80"/>
      <c r="AP430" s="80"/>
      <c r="AQ430" s="80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</row>
    <row r="431">
      <c r="A431" s="80"/>
      <c r="B431" s="80"/>
      <c r="C431" s="80"/>
      <c r="D431" s="80"/>
      <c r="E431" s="124"/>
      <c r="F431" s="80"/>
      <c r="G431" s="80"/>
      <c r="H431" s="80"/>
      <c r="I431" s="80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15"/>
      <c r="AK431" s="80"/>
      <c r="AL431" s="80"/>
      <c r="AM431" s="80"/>
      <c r="AN431" s="80"/>
      <c r="AO431" s="80"/>
      <c r="AP431" s="80"/>
      <c r="AQ431" s="80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</row>
    <row r="432">
      <c r="A432" s="80"/>
      <c r="B432" s="80"/>
      <c r="C432" s="80"/>
      <c r="D432" s="80"/>
      <c r="E432" s="124"/>
      <c r="F432" s="80"/>
      <c r="G432" s="80"/>
      <c r="H432" s="80"/>
      <c r="I432" s="80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15"/>
      <c r="AK432" s="80"/>
      <c r="AL432" s="80"/>
      <c r="AM432" s="80"/>
      <c r="AN432" s="80"/>
      <c r="AO432" s="80"/>
      <c r="AP432" s="80"/>
      <c r="AQ432" s="80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</row>
    <row r="433">
      <c r="A433" s="80"/>
      <c r="B433" s="80"/>
      <c r="C433" s="80"/>
      <c r="D433" s="80"/>
      <c r="E433" s="124"/>
      <c r="F433" s="80"/>
      <c r="G433" s="80"/>
      <c r="H433" s="80"/>
      <c r="I433" s="80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15"/>
      <c r="AK433" s="80"/>
      <c r="AL433" s="80"/>
      <c r="AM433" s="80"/>
      <c r="AN433" s="80"/>
      <c r="AO433" s="80"/>
      <c r="AP433" s="80"/>
      <c r="AQ433" s="80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</row>
    <row r="434">
      <c r="A434" s="80"/>
      <c r="B434" s="80"/>
      <c r="C434" s="80"/>
      <c r="D434" s="80"/>
      <c r="E434" s="124"/>
      <c r="F434" s="80"/>
      <c r="G434" s="80"/>
      <c r="H434" s="80"/>
      <c r="I434" s="80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15"/>
      <c r="AK434" s="80"/>
      <c r="AL434" s="80"/>
      <c r="AM434" s="80"/>
      <c r="AN434" s="80"/>
      <c r="AO434" s="80"/>
      <c r="AP434" s="80"/>
      <c r="AQ434" s="80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</row>
    <row r="435">
      <c r="A435" s="80"/>
      <c r="B435" s="80"/>
      <c r="C435" s="80"/>
      <c r="D435" s="80"/>
      <c r="E435" s="124"/>
      <c r="F435" s="80"/>
      <c r="G435" s="80"/>
      <c r="H435" s="80"/>
      <c r="I435" s="80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15"/>
      <c r="AK435" s="80"/>
      <c r="AL435" s="80"/>
      <c r="AM435" s="80"/>
      <c r="AN435" s="80"/>
      <c r="AO435" s="80"/>
      <c r="AP435" s="80"/>
      <c r="AQ435" s="80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</row>
    <row r="436">
      <c r="A436" s="80"/>
      <c r="B436" s="80"/>
      <c r="C436" s="80"/>
      <c r="D436" s="80"/>
      <c r="E436" s="124"/>
      <c r="F436" s="80"/>
      <c r="G436" s="80"/>
      <c r="H436" s="80"/>
      <c r="I436" s="80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15"/>
      <c r="AK436" s="80"/>
      <c r="AL436" s="80"/>
      <c r="AM436" s="80"/>
      <c r="AN436" s="80"/>
      <c r="AO436" s="80"/>
      <c r="AP436" s="80"/>
      <c r="AQ436" s="80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</row>
    <row r="437">
      <c r="A437" s="80"/>
      <c r="B437" s="80"/>
      <c r="C437" s="80"/>
      <c r="D437" s="80"/>
      <c r="E437" s="124"/>
      <c r="F437" s="80"/>
      <c r="G437" s="80"/>
      <c r="H437" s="80"/>
      <c r="I437" s="80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15"/>
      <c r="AK437" s="80"/>
      <c r="AL437" s="80"/>
      <c r="AM437" s="80"/>
      <c r="AN437" s="80"/>
      <c r="AO437" s="80"/>
      <c r="AP437" s="80"/>
      <c r="AQ437" s="80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</row>
    <row r="438">
      <c r="A438" s="80"/>
      <c r="B438" s="80"/>
      <c r="C438" s="80"/>
      <c r="D438" s="80"/>
      <c r="E438" s="124"/>
      <c r="F438" s="80"/>
      <c r="G438" s="80"/>
      <c r="H438" s="80"/>
      <c r="I438" s="80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15"/>
      <c r="AK438" s="80"/>
      <c r="AL438" s="80"/>
      <c r="AM438" s="80"/>
      <c r="AN438" s="80"/>
      <c r="AO438" s="80"/>
      <c r="AP438" s="80"/>
      <c r="AQ438" s="80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</row>
    <row r="439">
      <c r="A439" s="80"/>
      <c r="B439" s="80"/>
      <c r="C439" s="80"/>
      <c r="D439" s="80"/>
      <c r="E439" s="124"/>
      <c r="F439" s="80"/>
      <c r="G439" s="80"/>
      <c r="H439" s="80"/>
      <c r="I439" s="80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15"/>
      <c r="AK439" s="80"/>
      <c r="AL439" s="80"/>
      <c r="AM439" s="80"/>
      <c r="AN439" s="80"/>
      <c r="AO439" s="80"/>
      <c r="AP439" s="80"/>
      <c r="AQ439" s="80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</row>
    <row r="440">
      <c r="A440" s="80"/>
      <c r="B440" s="80"/>
      <c r="C440" s="80"/>
      <c r="D440" s="80"/>
      <c r="E440" s="124"/>
      <c r="F440" s="80"/>
      <c r="G440" s="80"/>
      <c r="H440" s="80"/>
      <c r="I440" s="80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15"/>
      <c r="AK440" s="80"/>
      <c r="AL440" s="80"/>
      <c r="AM440" s="80"/>
      <c r="AN440" s="80"/>
      <c r="AO440" s="80"/>
      <c r="AP440" s="80"/>
      <c r="AQ440" s="80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</row>
    <row r="441">
      <c r="A441" s="80"/>
      <c r="B441" s="80"/>
      <c r="C441" s="80"/>
      <c r="D441" s="80"/>
      <c r="E441" s="124"/>
      <c r="F441" s="80"/>
      <c r="G441" s="80"/>
      <c r="H441" s="80"/>
      <c r="I441" s="80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15"/>
      <c r="AK441" s="80"/>
      <c r="AL441" s="80"/>
      <c r="AM441" s="80"/>
      <c r="AN441" s="80"/>
      <c r="AO441" s="80"/>
      <c r="AP441" s="80"/>
      <c r="AQ441" s="80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</row>
    <row r="442">
      <c r="A442" s="80"/>
      <c r="B442" s="80"/>
      <c r="C442" s="80"/>
      <c r="D442" s="80"/>
      <c r="E442" s="124"/>
      <c r="F442" s="80"/>
      <c r="G442" s="80"/>
      <c r="H442" s="80"/>
      <c r="I442" s="80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15"/>
      <c r="AK442" s="80"/>
      <c r="AL442" s="80"/>
      <c r="AM442" s="80"/>
      <c r="AN442" s="80"/>
      <c r="AO442" s="80"/>
      <c r="AP442" s="80"/>
      <c r="AQ442" s="80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</row>
    <row r="443">
      <c r="A443" s="80"/>
      <c r="B443" s="80"/>
      <c r="C443" s="80"/>
      <c r="D443" s="80"/>
      <c r="E443" s="124"/>
      <c r="F443" s="80"/>
      <c r="G443" s="80"/>
      <c r="H443" s="80"/>
      <c r="I443" s="80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15"/>
      <c r="AK443" s="80"/>
      <c r="AL443" s="80"/>
      <c r="AM443" s="80"/>
      <c r="AN443" s="80"/>
      <c r="AO443" s="80"/>
      <c r="AP443" s="80"/>
      <c r="AQ443" s="80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</row>
    <row r="444">
      <c r="A444" s="80"/>
      <c r="B444" s="80"/>
      <c r="C444" s="80"/>
      <c r="D444" s="80"/>
      <c r="E444" s="124"/>
      <c r="F444" s="80"/>
      <c r="G444" s="80"/>
      <c r="H444" s="80"/>
      <c r="I444" s="80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15"/>
      <c r="AK444" s="80"/>
      <c r="AL444" s="80"/>
      <c r="AM444" s="80"/>
      <c r="AN444" s="80"/>
      <c r="AO444" s="80"/>
      <c r="AP444" s="80"/>
      <c r="AQ444" s="80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</row>
    <row r="445">
      <c r="A445" s="80"/>
      <c r="B445" s="80"/>
      <c r="C445" s="80"/>
      <c r="D445" s="80"/>
      <c r="E445" s="124"/>
      <c r="F445" s="80"/>
      <c r="G445" s="80"/>
      <c r="H445" s="80"/>
      <c r="I445" s="80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15"/>
      <c r="AK445" s="80"/>
      <c r="AL445" s="80"/>
      <c r="AM445" s="80"/>
      <c r="AN445" s="80"/>
      <c r="AO445" s="80"/>
      <c r="AP445" s="80"/>
      <c r="AQ445" s="80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</row>
    <row r="446">
      <c r="A446" s="80"/>
      <c r="B446" s="80"/>
      <c r="C446" s="80"/>
      <c r="D446" s="80"/>
      <c r="E446" s="124"/>
      <c r="F446" s="80"/>
      <c r="G446" s="80"/>
      <c r="H446" s="80"/>
      <c r="I446" s="80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15"/>
      <c r="AK446" s="80"/>
      <c r="AL446" s="80"/>
      <c r="AM446" s="80"/>
      <c r="AN446" s="80"/>
      <c r="AO446" s="80"/>
      <c r="AP446" s="80"/>
      <c r="AQ446" s="80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</row>
    <row r="447">
      <c r="A447" s="80"/>
      <c r="B447" s="80"/>
      <c r="C447" s="80"/>
      <c r="D447" s="80"/>
      <c r="E447" s="124"/>
      <c r="F447" s="80"/>
      <c r="G447" s="80"/>
      <c r="H447" s="80"/>
      <c r="I447" s="80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15"/>
      <c r="AK447" s="80"/>
      <c r="AL447" s="80"/>
      <c r="AM447" s="80"/>
      <c r="AN447" s="80"/>
      <c r="AO447" s="80"/>
      <c r="AP447" s="80"/>
      <c r="AQ447" s="80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</row>
    <row r="448">
      <c r="A448" s="80"/>
      <c r="B448" s="80"/>
      <c r="C448" s="80"/>
      <c r="D448" s="80"/>
      <c r="E448" s="124"/>
      <c r="F448" s="80"/>
      <c r="G448" s="80"/>
      <c r="H448" s="80"/>
      <c r="I448" s="80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15"/>
      <c r="AK448" s="80"/>
      <c r="AL448" s="80"/>
      <c r="AM448" s="80"/>
      <c r="AN448" s="80"/>
      <c r="AO448" s="80"/>
      <c r="AP448" s="80"/>
      <c r="AQ448" s="80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</row>
    <row r="449">
      <c r="A449" s="80"/>
      <c r="B449" s="80"/>
      <c r="C449" s="80"/>
      <c r="D449" s="80"/>
      <c r="E449" s="124"/>
      <c r="F449" s="80"/>
      <c r="G449" s="80"/>
      <c r="H449" s="80"/>
      <c r="I449" s="80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15"/>
      <c r="AK449" s="80"/>
      <c r="AL449" s="80"/>
      <c r="AM449" s="80"/>
      <c r="AN449" s="80"/>
      <c r="AO449" s="80"/>
      <c r="AP449" s="80"/>
      <c r="AQ449" s="80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</row>
    <row r="450">
      <c r="A450" s="80"/>
      <c r="B450" s="80"/>
      <c r="C450" s="80"/>
      <c r="D450" s="80"/>
      <c r="E450" s="124"/>
      <c r="F450" s="80"/>
      <c r="G450" s="80"/>
      <c r="H450" s="80"/>
      <c r="I450" s="80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15"/>
      <c r="AK450" s="80"/>
      <c r="AL450" s="80"/>
      <c r="AM450" s="80"/>
      <c r="AN450" s="80"/>
      <c r="AO450" s="80"/>
      <c r="AP450" s="80"/>
      <c r="AQ450" s="80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</row>
    <row r="451">
      <c r="A451" s="80"/>
      <c r="B451" s="80"/>
      <c r="C451" s="80"/>
      <c r="D451" s="80"/>
      <c r="E451" s="124"/>
      <c r="F451" s="80"/>
      <c r="G451" s="80"/>
      <c r="H451" s="80"/>
      <c r="I451" s="80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15"/>
      <c r="AK451" s="80"/>
      <c r="AL451" s="80"/>
      <c r="AM451" s="80"/>
      <c r="AN451" s="80"/>
      <c r="AO451" s="80"/>
      <c r="AP451" s="80"/>
      <c r="AQ451" s="80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</row>
    <row r="452">
      <c r="A452" s="80"/>
      <c r="B452" s="80"/>
      <c r="C452" s="80"/>
      <c r="D452" s="80"/>
      <c r="E452" s="124"/>
      <c r="F452" s="80"/>
      <c r="G452" s="80"/>
      <c r="H452" s="80"/>
      <c r="I452" s="80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15"/>
      <c r="AK452" s="80"/>
      <c r="AL452" s="80"/>
      <c r="AM452" s="80"/>
      <c r="AN452" s="80"/>
      <c r="AO452" s="80"/>
      <c r="AP452" s="80"/>
      <c r="AQ452" s="80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</row>
    <row r="453">
      <c r="A453" s="80"/>
      <c r="B453" s="80"/>
      <c r="C453" s="80"/>
      <c r="D453" s="80"/>
      <c r="E453" s="124"/>
      <c r="F453" s="80"/>
      <c r="G453" s="80"/>
      <c r="H453" s="80"/>
      <c r="I453" s="80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15"/>
      <c r="AK453" s="80"/>
      <c r="AL453" s="80"/>
      <c r="AM453" s="80"/>
      <c r="AN453" s="80"/>
      <c r="AO453" s="80"/>
      <c r="AP453" s="80"/>
      <c r="AQ453" s="80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</row>
    <row r="454">
      <c r="A454" s="80"/>
      <c r="B454" s="80"/>
      <c r="C454" s="80"/>
      <c r="D454" s="80"/>
      <c r="E454" s="124"/>
      <c r="F454" s="80"/>
      <c r="G454" s="80"/>
      <c r="H454" s="80"/>
      <c r="I454" s="80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15"/>
      <c r="AK454" s="80"/>
      <c r="AL454" s="80"/>
      <c r="AM454" s="80"/>
      <c r="AN454" s="80"/>
      <c r="AO454" s="80"/>
      <c r="AP454" s="80"/>
      <c r="AQ454" s="80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</row>
    <row r="455">
      <c r="A455" s="80"/>
      <c r="B455" s="80"/>
      <c r="C455" s="80"/>
      <c r="D455" s="80"/>
      <c r="E455" s="124"/>
      <c r="F455" s="80"/>
      <c r="G455" s="80"/>
      <c r="H455" s="80"/>
      <c r="I455" s="80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15"/>
      <c r="AK455" s="80"/>
      <c r="AL455" s="80"/>
      <c r="AM455" s="80"/>
      <c r="AN455" s="80"/>
      <c r="AO455" s="80"/>
      <c r="AP455" s="80"/>
      <c r="AQ455" s="80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</row>
    <row r="456">
      <c r="A456" s="80"/>
      <c r="B456" s="80"/>
      <c r="C456" s="80"/>
      <c r="D456" s="80"/>
      <c r="E456" s="124"/>
      <c r="F456" s="80"/>
      <c r="G456" s="80"/>
      <c r="H456" s="80"/>
      <c r="I456" s="80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15"/>
      <c r="AK456" s="80"/>
      <c r="AL456" s="80"/>
      <c r="AM456" s="80"/>
      <c r="AN456" s="80"/>
      <c r="AO456" s="80"/>
      <c r="AP456" s="80"/>
      <c r="AQ456" s="80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</row>
    <row r="457">
      <c r="A457" s="80"/>
      <c r="B457" s="80"/>
      <c r="C457" s="80"/>
      <c r="D457" s="80"/>
      <c r="E457" s="124"/>
      <c r="F457" s="80"/>
      <c r="G457" s="80"/>
      <c r="H457" s="80"/>
      <c r="I457" s="80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15"/>
      <c r="AK457" s="80"/>
      <c r="AL457" s="80"/>
      <c r="AM457" s="80"/>
      <c r="AN457" s="80"/>
      <c r="AO457" s="80"/>
      <c r="AP457" s="80"/>
      <c r="AQ457" s="80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</row>
    <row r="458">
      <c r="A458" s="80"/>
      <c r="B458" s="80"/>
      <c r="C458" s="80"/>
      <c r="D458" s="80"/>
      <c r="E458" s="124"/>
      <c r="F458" s="80"/>
      <c r="G458" s="80"/>
      <c r="H458" s="80"/>
      <c r="I458" s="80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15"/>
      <c r="AK458" s="80"/>
      <c r="AL458" s="80"/>
      <c r="AM458" s="80"/>
      <c r="AN458" s="80"/>
      <c r="AO458" s="80"/>
      <c r="AP458" s="80"/>
      <c r="AQ458" s="80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</row>
    <row r="459">
      <c r="A459" s="80"/>
      <c r="B459" s="80"/>
      <c r="C459" s="80"/>
      <c r="D459" s="80"/>
      <c r="E459" s="124"/>
      <c r="F459" s="80"/>
      <c r="G459" s="80"/>
      <c r="H459" s="80"/>
      <c r="I459" s="80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15"/>
      <c r="AK459" s="80"/>
      <c r="AL459" s="80"/>
      <c r="AM459" s="80"/>
      <c r="AN459" s="80"/>
      <c r="AO459" s="80"/>
      <c r="AP459" s="80"/>
      <c r="AQ459" s="80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</row>
    <row r="460">
      <c r="A460" s="80"/>
      <c r="B460" s="80"/>
      <c r="C460" s="80"/>
      <c r="D460" s="80"/>
      <c r="E460" s="124"/>
      <c r="F460" s="80"/>
      <c r="G460" s="80"/>
      <c r="H460" s="80"/>
      <c r="I460" s="80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15"/>
      <c r="AK460" s="80"/>
      <c r="AL460" s="80"/>
      <c r="AM460" s="80"/>
      <c r="AN460" s="80"/>
      <c r="AO460" s="80"/>
      <c r="AP460" s="80"/>
      <c r="AQ460" s="80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</row>
    <row r="461">
      <c r="A461" s="80"/>
      <c r="B461" s="80"/>
      <c r="C461" s="80"/>
      <c r="D461" s="80"/>
      <c r="E461" s="124"/>
      <c r="F461" s="80"/>
      <c r="G461" s="80"/>
      <c r="H461" s="80"/>
      <c r="I461" s="80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15"/>
      <c r="AK461" s="80"/>
      <c r="AL461" s="80"/>
      <c r="AM461" s="80"/>
      <c r="AN461" s="80"/>
      <c r="AO461" s="80"/>
      <c r="AP461" s="80"/>
      <c r="AQ461" s="80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</row>
    <row r="462">
      <c r="A462" s="80"/>
      <c r="B462" s="80"/>
      <c r="C462" s="80"/>
      <c r="D462" s="80"/>
      <c r="E462" s="124"/>
      <c r="F462" s="80"/>
      <c r="G462" s="80"/>
      <c r="H462" s="80"/>
      <c r="I462" s="80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15"/>
      <c r="AK462" s="80"/>
      <c r="AL462" s="80"/>
      <c r="AM462" s="80"/>
      <c r="AN462" s="80"/>
      <c r="AO462" s="80"/>
      <c r="AP462" s="80"/>
      <c r="AQ462" s="80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</row>
    <row r="463">
      <c r="A463" s="80"/>
      <c r="B463" s="80"/>
      <c r="C463" s="80"/>
      <c r="D463" s="80"/>
      <c r="E463" s="124"/>
      <c r="F463" s="80"/>
      <c r="G463" s="80"/>
      <c r="H463" s="80"/>
      <c r="I463" s="80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15"/>
      <c r="AK463" s="80"/>
      <c r="AL463" s="80"/>
      <c r="AM463" s="80"/>
      <c r="AN463" s="80"/>
      <c r="AO463" s="80"/>
      <c r="AP463" s="80"/>
      <c r="AQ463" s="80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</row>
    <row r="464">
      <c r="A464" s="80"/>
      <c r="B464" s="80"/>
      <c r="C464" s="80"/>
      <c r="D464" s="80"/>
      <c r="E464" s="124"/>
      <c r="F464" s="80"/>
      <c r="G464" s="80"/>
      <c r="H464" s="80"/>
      <c r="I464" s="80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15"/>
      <c r="AK464" s="80"/>
      <c r="AL464" s="80"/>
      <c r="AM464" s="80"/>
      <c r="AN464" s="80"/>
      <c r="AO464" s="80"/>
      <c r="AP464" s="80"/>
      <c r="AQ464" s="80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</row>
    <row r="465">
      <c r="A465" s="80"/>
      <c r="B465" s="80"/>
      <c r="C465" s="80"/>
      <c r="D465" s="80"/>
      <c r="E465" s="124"/>
      <c r="F465" s="80"/>
      <c r="G465" s="80"/>
      <c r="H465" s="80"/>
      <c r="I465" s="80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15"/>
      <c r="AK465" s="80"/>
      <c r="AL465" s="80"/>
      <c r="AM465" s="80"/>
      <c r="AN465" s="80"/>
      <c r="AO465" s="80"/>
      <c r="AP465" s="80"/>
      <c r="AQ465" s="80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</row>
    <row r="466">
      <c r="A466" s="80"/>
      <c r="B466" s="80"/>
      <c r="C466" s="80"/>
      <c r="D466" s="80"/>
      <c r="E466" s="124"/>
      <c r="F466" s="80"/>
      <c r="G466" s="80"/>
      <c r="H466" s="80"/>
      <c r="I466" s="80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15"/>
      <c r="AK466" s="80"/>
      <c r="AL466" s="80"/>
      <c r="AM466" s="80"/>
      <c r="AN466" s="80"/>
      <c r="AO466" s="80"/>
      <c r="AP466" s="80"/>
      <c r="AQ466" s="80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</row>
    <row r="467">
      <c r="A467" s="80"/>
      <c r="B467" s="80"/>
      <c r="C467" s="80"/>
      <c r="D467" s="80"/>
      <c r="E467" s="124"/>
      <c r="F467" s="80"/>
      <c r="G467" s="80"/>
      <c r="H467" s="80"/>
      <c r="I467" s="80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15"/>
      <c r="AK467" s="80"/>
      <c r="AL467" s="80"/>
      <c r="AM467" s="80"/>
      <c r="AN467" s="80"/>
      <c r="AO467" s="80"/>
      <c r="AP467" s="80"/>
      <c r="AQ467" s="80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</row>
    <row r="468">
      <c r="A468" s="80"/>
      <c r="B468" s="80"/>
      <c r="C468" s="80"/>
      <c r="D468" s="80"/>
      <c r="E468" s="124"/>
      <c r="F468" s="80"/>
      <c r="G468" s="80"/>
      <c r="H468" s="80"/>
      <c r="I468" s="80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15"/>
      <c r="AK468" s="80"/>
      <c r="AL468" s="80"/>
      <c r="AM468" s="80"/>
      <c r="AN468" s="80"/>
      <c r="AO468" s="80"/>
      <c r="AP468" s="80"/>
      <c r="AQ468" s="80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</row>
    <row r="469">
      <c r="A469" s="80"/>
      <c r="B469" s="80"/>
      <c r="C469" s="80"/>
      <c r="D469" s="80"/>
      <c r="E469" s="124"/>
      <c r="F469" s="80"/>
      <c r="G469" s="80"/>
      <c r="H469" s="80"/>
      <c r="I469" s="80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15"/>
      <c r="AK469" s="80"/>
      <c r="AL469" s="80"/>
      <c r="AM469" s="80"/>
      <c r="AN469" s="80"/>
      <c r="AO469" s="80"/>
      <c r="AP469" s="80"/>
      <c r="AQ469" s="80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</row>
    <row r="470">
      <c r="A470" s="80"/>
      <c r="B470" s="80"/>
      <c r="C470" s="80"/>
      <c r="D470" s="80"/>
      <c r="E470" s="124"/>
      <c r="F470" s="80"/>
      <c r="G470" s="80"/>
      <c r="H470" s="80"/>
      <c r="I470" s="80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15"/>
      <c r="AK470" s="80"/>
      <c r="AL470" s="80"/>
      <c r="AM470" s="80"/>
      <c r="AN470" s="80"/>
      <c r="AO470" s="80"/>
      <c r="AP470" s="80"/>
      <c r="AQ470" s="80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</row>
    <row r="471">
      <c r="A471" s="80"/>
      <c r="B471" s="80"/>
      <c r="C471" s="80"/>
      <c r="D471" s="80"/>
      <c r="E471" s="124"/>
      <c r="F471" s="80"/>
      <c r="G471" s="80"/>
      <c r="H471" s="80"/>
      <c r="I471" s="80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15"/>
      <c r="AK471" s="80"/>
      <c r="AL471" s="80"/>
      <c r="AM471" s="80"/>
      <c r="AN471" s="80"/>
      <c r="AO471" s="80"/>
      <c r="AP471" s="80"/>
      <c r="AQ471" s="80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</row>
    <row r="472">
      <c r="A472" s="80"/>
      <c r="B472" s="80"/>
      <c r="C472" s="80"/>
      <c r="D472" s="80"/>
      <c r="E472" s="124"/>
      <c r="F472" s="80"/>
      <c r="G472" s="80"/>
      <c r="H472" s="80"/>
      <c r="I472" s="80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15"/>
      <c r="AK472" s="80"/>
      <c r="AL472" s="80"/>
      <c r="AM472" s="80"/>
      <c r="AN472" s="80"/>
      <c r="AO472" s="80"/>
      <c r="AP472" s="80"/>
      <c r="AQ472" s="80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</row>
    <row r="473">
      <c r="A473" s="80"/>
      <c r="B473" s="80"/>
      <c r="C473" s="80"/>
      <c r="D473" s="80"/>
      <c r="E473" s="124"/>
      <c r="F473" s="80"/>
      <c r="G473" s="80"/>
      <c r="H473" s="80"/>
      <c r="I473" s="80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15"/>
      <c r="AK473" s="80"/>
      <c r="AL473" s="80"/>
      <c r="AM473" s="80"/>
      <c r="AN473" s="80"/>
      <c r="AO473" s="80"/>
      <c r="AP473" s="80"/>
      <c r="AQ473" s="80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</row>
    <row r="474">
      <c r="A474" s="80"/>
      <c r="B474" s="80"/>
      <c r="C474" s="80"/>
      <c r="D474" s="80"/>
      <c r="E474" s="124"/>
      <c r="F474" s="80"/>
      <c r="G474" s="80"/>
      <c r="H474" s="80"/>
      <c r="I474" s="80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15"/>
      <c r="AK474" s="80"/>
      <c r="AL474" s="80"/>
      <c r="AM474" s="80"/>
      <c r="AN474" s="80"/>
      <c r="AO474" s="80"/>
      <c r="AP474" s="80"/>
      <c r="AQ474" s="80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</row>
    <row r="475">
      <c r="A475" s="80"/>
      <c r="B475" s="80"/>
      <c r="C475" s="80"/>
      <c r="D475" s="80"/>
      <c r="E475" s="124"/>
      <c r="F475" s="80"/>
      <c r="G475" s="80"/>
      <c r="H475" s="80"/>
      <c r="I475" s="80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15"/>
      <c r="AK475" s="80"/>
      <c r="AL475" s="80"/>
      <c r="AM475" s="80"/>
      <c r="AN475" s="80"/>
      <c r="AO475" s="80"/>
      <c r="AP475" s="80"/>
      <c r="AQ475" s="80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</row>
    <row r="476">
      <c r="A476" s="80"/>
      <c r="B476" s="80"/>
      <c r="C476" s="80"/>
      <c r="D476" s="80"/>
      <c r="E476" s="124"/>
      <c r="F476" s="80"/>
      <c r="G476" s="80"/>
      <c r="H476" s="80"/>
      <c r="I476" s="80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15"/>
      <c r="AK476" s="80"/>
      <c r="AL476" s="80"/>
      <c r="AM476" s="80"/>
      <c r="AN476" s="80"/>
      <c r="AO476" s="80"/>
      <c r="AP476" s="80"/>
      <c r="AQ476" s="80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</row>
    <row r="477">
      <c r="A477" s="80"/>
      <c r="B477" s="80"/>
      <c r="C477" s="80"/>
      <c r="D477" s="80"/>
      <c r="E477" s="124"/>
      <c r="F477" s="80"/>
      <c r="G477" s="80"/>
      <c r="H477" s="80"/>
      <c r="I477" s="80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15"/>
      <c r="AK477" s="80"/>
      <c r="AL477" s="80"/>
      <c r="AM477" s="80"/>
      <c r="AN477" s="80"/>
      <c r="AO477" s="80"/>
      <c r="AP477" s="80"/>
      <c r="AQ477" s="80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</row>
    <row r="478">
      <c r="A478" s="80"/>
      <c r="B478" s="80"/>
      <c r="C478" s="80"/>
      <c r="D478" s="80"/>
      <c r="E478" s="124"/>
      <c r="F478" s="80"/>
      <c r="G478" s="80"/>
      <c r="H478" s="80"/>
      <c r="I478" s="80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15"/>
      <c r="AK478" s="80"/>
      <c r="AL478" s="80"/>
      <c r="AM478" s="80"/>
      <c r="AN478" s="80"/>
      <c r="AO478" s="80"/>
      <c r="AP478" s="80"/>
      <c r="AQ478" s="80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</row>
    <row r="479">
      <c r="A479" s="80"/>
      <c r="B479" s="80"/>
      <c r="C479" s="80"/>
      <c r="D479" s="80"/>
      <c r="E479" s="124"/>
      <c r="F479" s="80"/>
      <c r="G479" s="80"/>
      <c r="H479" s="80"/>
      <c r="I479" s="80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15"/>
      <c r="AK479" s="80"/>
      <c r="AL479" s="80"/>
      <c r="AM479" s="80"/>
      <c r="AN479" s="80"/>
      <c r="AO479" s="80"/>
      <c r="AP479" s="80"/>
      <c r="AQ479" s="80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</row>
    <row r="480">
      <c r="A480" s="80"/>
      <c r="B480" s="80"/>
      <c r="C480" s="80"/>
      <c r="D480" s="80"/>
      <c r="E480" s="124"/>
      <c r="F480" s="80"/>
      <c r="G480" s="80"/>
      <c r="H480" s="80"/>
      <c r="I480" s="80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15"/>
      <c r="AK480" s="80"/>
      <c r="AL480" s="80"/>
      <c r="AM480" s="80"/>
      <c r="AN480" s="80"/>
      <c r="AO480" s="80"/>
      <c r="AP480" s="80"/>
      <c r="AQ480" s="80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</row>
    <row r="481">
      <c r="A481" s="80"/>
      <c r="B481" s="80"/>
      <c r="C481" s="80"/>
      <c r="D481" s="80"/>
      <c r="E481" s="124"/>
      <c r="F481" s="80"/>
      <c r="G481" s="80"/>
      <c r="H481" s="80"/>
      <c r="I481" s="80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15"/>
      <c r="AK481" s="80"/>
      <c r="AL481" s="80"/>
      <c r="AM481" s="80"/>
      <c r="AN481" s="80"/>
      <c r="AO481" s="80"/>
      <c r="AP481" s="80"/>
      <c r="AQ481" s="80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</row>
    <row r="482">
      <c r="A482" s="80"/>
      <c r="B482" s="80"/>
      <c r="C482" s="80"/>
      <c r="D482" s="80"/>
      <c r="E482" s="124"/>
      <c r="F482" s="80"/>
      <c r="G482" s="80"/>
      <c r="H482" s="80"/>
      <c r="I482" s="80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15"/>
      <c r="AK482" s="80"/>
      <c r="AL482" s="80"/>
      <c r="AM482" s="80"/>
      <c r="AN482" s="80"/>
      <c r="AO482" s="80"/>
      <c r="AP482" s="80"/>
      <c r="AQ482" s="80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</row>
    <row r="483">
      <c r="A483" s="80"/>
      <c r="B483" s="80"/>
      <c r="C483" s="80"/>
      <c r="D483" s="80"/>
      <c r="E483" s="124"/>
      <c r="F483" s="80"/>
      <c r="G483" s="80"/>
      <c r="H483" s="80"/>
      <c r="I483" s="80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15"/>
      <c r="AK483" s="80"/>
      <c r="AL483" s="80"/>
      <c r="AM483" s="80"/>
      <c r="AN483" s="80"/>
      <c r="AO483" s="80"/>
      <c r="AP483" s="80"/>
      <c r="AQ483" s="80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</row>
    <row r="484">
      <c r="A484" s="80"/>
      <c r="B484" s="80"/>
      <c r="C484" s="80"/>
      <c r="D484" s="80"/>
      <c r="E484" s="124"/>
      <c r="F484" s="80"/>
      <c r="G484" s="80"/>
      <c r="H484" s="80"/>
      <c r="I484" s="80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15"/>
      <c r="AK484" s="80"/>
      <c r="AL484" s="80"/>
      <c r="AM484" s="80"/>
      <c r="AN484" s="80"/>
      <c r="AO484" s="80"/>
      <c r="AP484" s="80"/>
      <c r="AQ484" s="80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</row>
    <row r="485">
      <c r="A485" s="80"/>
      <c r="B485" s="80"/>
      <c r="C485" s="80"/>
      <c r="D485" s="80"/>
      <c r="E485" s="124"/>
      <c r="F485" s="80"/>
      <c r="G485" s="80"/>
      <c r="H485" s="80"/>
      <c r="I485" s="80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15"/>
      <c r="AK485" s="80"/>
      <c r="AL485" s="80"/>
      <c r="AM485" s="80"/>
      <c r="AN485" s="80"/>
      <c r="AO485" s="80"/>
      <c r="AP485" s="80"/>
      <c r="AQ485" s="80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</row>
    <row r="486">
      <c r="A486" s="80"/>
      <c r="B486" s="80"/>
      <c r="C486" s="80"/>
      <c r="D486" s="80"/>
      <c r="E486" s="124"/>
      <c r="F486" s="80"/>
      <c r="G486" s="80"/>
      <c r="H486" s="80"/>
      <c r="I486" s="80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15"/>
      <c r="AK486" s="80"/>
      <c r="AL486" s="80"/>
      <c r="AM486" s="80"/>
      <c r="AN486" s="80"/>
      <c r="AO486" s="80"/>
      <c r="AP486" s="80"/>
      <c r="AQ486" s="80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</row>
    <row r="487">
      <c r="A487" s="80"/>
      <c r="B487" s="80"/>
      <c r="C487" s="80"/>
      <c r="D487" s="80"/>
      <c r="E487" s="124"/>
      <c r="F487" s="80"/>
      <c r="G487" s="80"/>
      <c r="H487" s="80"/>
      <c r="I487" s="80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15"/>
      <c r="AK487" s="80"/>
      <c r="AL487" s="80"/>
      <c r="AM487" s="80"/>
      <c r="AN487" s="80"/>
      <c r="AO487" s="80"/>
      <c r="AP487" s="80"/>
      <c r="AQ487" s="80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</row>
    <row r="488">
      <c r="A488" s="80"/>
      <c r="B488" s="80"/>
      <c r="C488" s="80"/>
      <c r="D488" s="80"/>
      <c r="E488" s="124"/>
      <c r="F488" s="80"/>
      <c r="G488" s="80"/>
      <c r="H488" s="80"/>
      <c r="I488" s="80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15"/>
      <c r="AK488" s="80"/>
      <c r="AL488" s="80"/>
      <c r="AM488" s="80"/>
      <c r="AN488" s="80"/>
      <c r="AO488" s="80"/>
      <c r="AP488" s="80"/>
      <c r="AQ488" s="80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</row>
    <row r="489">
      <c r="A489" s="80"/>
      <c r="B489" s="80"/>
      <c r="C489" s="80"/>
      <c r="D489" s="80"/>
      <c r="E489" s="124"/>
      <c r="F489" s="80"/>
      <c r="G489" s="80"/>
      <c r="H489" s="80"/>
      <c r="I489" s="80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15"/>
      <c r="AK489" s="80"/>
      <c r="AL489" s="80"/>
      <c r="AM489" s="80"/>
      <c r="AN489" s="80"/>
      <c r="AO489" s="80"/>
      <c r="AP489" s="80"/>
      <c r="AQ489" s="80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</row>
    <row r="490">
      <c r="A490" s="80"/>
      <c r="B490" s="80"/>
      <c r="C490" s="80"/>
      <c r="D490" s="80"/>
      <c r="E490" s="124"/>
      <c r="F490" s="80"/>
      <c r="G490" s="80"/>
      <c r="H490" s="80"/>
      <c r="I490" s="80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15"/>
      <c r="AK490" s="80"/>
      <c r="AL490" s="80"/>
      <c r="AM490" s="80"/>
      <c r="AN490" s="80"/>
      <c r="AO490" s="80"/>
      <c r="AP490" s="80"/>
      <c r="AQ490" s="80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</row>
    <row r="491">
      <c r="A491" s="80"/>
      <c r="B491" s="80"/>
      <c r="C491" s="80"/>
      <c r="D491" s="80"/>
      <c r="E491" s="124"/>
      <c r="F491" s="80"/>
      <c r="G491" s="80"/>
      <c r="H491" s="80"/>
      <c r="I491" s="80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15"/>
      <c r="AK491" s="80"/>
      <c r="AL491" s="80"/>
      <c r="AM491" s="80"/>
      <c r="AN491" s="80"/>
      <c r="AO491" s="80"/>
      <c r="AP491" s="80"/>
      <c r="AQ491" s="80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</row>
    <row r="492">
      <c r="A492" s="80"/>
      <c r="B492" s="80"/>
      <c r="C492" s="80"/>
      <c r="D492" s="80"/>
      <c r="E492" s="124"/>
      <c r="F492" s="80"/>
      <c r="G492" s="80"/>
      <c r="H492" s="80"/>
      <c r="I492" s="80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15"/>
      <c r="AK492" s="80"/>
      <c r="AL492" s="80"/>
      <c r="AM492" s="80"/>
      <c r="AN492" s="80"/>
      <c r="AO492" s="80"/>
      <c r="AP492" s="80"/>
      <c r="AQ492" s="80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</row>
    <row r="493">
      <c r="A493" s="80"/>
      <c r="B493" s="80"/>
      <c r="C493" s="80"/>
      <c r="D493" s="80"/>
      <c r="E493" s="124"/>
      <c r="F493" s="80"/>
      <c r="G493" s="80"/>
      <c r="H493" s="80"/>
      <c r="I493" s="80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15"/>
      <c r="AK493" s="80"/>
      <c r="AL493" s="80"/>
      <c r="AM493" s="80"/>
      <c r="AN493" s="80"/>
      <c r="AO493" s="80"/>
      <c r="AP493" s="80"/>
      <c r="AQ493" s="80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</row>
    <row r="494">
      <c r="A494" s="80"/>
      <c r="B494" s="80"/>
      <c r="C494" s="80"/>
      <c r="D494" s="80"/>
      <c r="E494" s="124"/>
      <c r="F494" s="80"/>
      <c r="G494" s="80"/>
      <c r="H494" s="80"/>
      <c r="I494" s="80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15"/>
      <c r="AK494" s="80"/>
      <c r="AL494" s="80"/>
      <c r="AM494" s="80"/>
      <c r="AN494" s="80"/>
      <c r="AO494" s="80"/>
      <c r="AP494" s="80"/>
      <c r="AQ494" s="80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</row>
    <row r="495">
      <c r="A495" s="80"/>
      <c r="B495" s="80"/>
      <c r="C495" s="80"/>
      <c r="D495" s="80"/>
      <c r="E495" s="124"/>
      <c r="F495" s="80"/>
      <c r="G495" s="80"/>
      <c r="H495" s="80"/>
      <c r="I495" s="80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15"/>
      <c r="AK495" s="80"/>
      <c r="AL495" s="80"/>
      <c r="AM495" s="80"/>
      <c r="AN495" s="80"/>
      <c r="AO495" s="80"/>
      <c r="AP495" s="80"/>
      <c r="AQ495" s="80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</row>
    <row r="496">
      <c r="A496" s="80"/>
      <c r="B496" s="80"/>
      <c r="C496" s="80"/>
      <c r="D496" s="80"/>
      <c r="E496" s="124"/>
      <c r="F496" s="80"/>
      <c r="G496" s="80"/>
      <c r="H496" s="80"/>
      <c r="I496" s="80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15"/>
      <c r="AK496" s="80"/>
      <c r="AL496" s="80"/>
      <c r="AM496" s="80"/>
      <c r="AN496" s="80"/>
      <c r="AO496" s="80"/>
      <c r="AP496" s="80"/>
      <c r="AQ496" s="80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</row>
    <row r="497">
      <c r="A497" s="80"/>
      <c r="B497" s="80"/>
      <c r="C497" s="80"/>
      <c r="D497" s="80"/>
      <c r="E497" s="124"/>
      <c r="F497" s="80"/>
      <c r="G497" s="80"/>
      <c r="H497" s="80"/>
      <c r="I497" s="80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15"/>
      <c r="AK497" s="80"/>
      <c r="AL497" s="80"/>
      <c r="AM497" s="80"/>
      <c r="AN497" s="80"/>
      <c r="AO497" s="80"/>
      <c r="AP497" s="80"/>
      <c r="AQ497" s="80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</row>
    <row r="498">
      <c r="A498" s="80"/>
      <c r="B498" s="80"/>
      <c r="C498" s="80"/>
      <c r="D498" s="80"/>
      <c r="E498" s="124"/>
      <c r="F498" s="80"/>
      <c r="G498" s="80"/>
      <c r="H498" s="80"/>
      <c r="I498" s="80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15"/>
      <c r="AK498" s="80"/>
      <c r="AL498" s="80"/>
      <c r="AM498" s="80"/>
      <c r="AN498" s="80"/>
      <c r="AO498" s="80"/>
      <c r="AP498" s="80"/>
      <c r="AQ498" s="80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</row>
    <row r="499">
      <c r="A499" s="80"/>
      <c r="B499" s="80"/>
      <c r="C499" s="80"/>
      <c r="D499" s="80"/>
      <c r="E499" s="124"/>
      <c r="F499" s="80"/>
      <c r="G499" s="80"/>
      <c r="H499" s="80"/>
      <c r="I499" s="80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15"/>
      <c r="AK499" s="80"/>
      <c r="AL499" s="80"/>
      <c r="AM499" s="80"/>
      <c r="AN499" s="80"/>
      <c r="AO499" s="80"/>
      <c r="AP499" s="80"/>
      <c r="AQ499" s="80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</row>
    <row r="500">
      <c r="A500" s="80"/>
      <c r="B500" s="80"/>
      <c r="C500" s="80"/>
      <c r="D500" s="80"/>
      <c r="E500" s="124"/>
      <c r="F500" s="80"/>
      <c r="G500" s="80"/>
      <c r="H500" s="80"/>
      <c r="I500" s="80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15"/>
      <c r="AK500" s="80"/>
      <c r="AL500" s="80"/>
      <c r="AM500" s="80"/>
      <c r="AN500" s="80"/>
      <c r="AO500" s="80"/>
      <c r="AP500" s="80"/>
      <c r="AQ500" s="80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</row>
    <row r="501">
      <c r="A501" s="80"/>
      <c r="B501" s="80"/>
      <c r="C501" s="80"/>
      <c r="D501" s="80"/>
      <c r="E501" s="124"/>
      <c r="F501" s="80"/>
      <c r="G501" s="80"/>
      <c r="H501" s="80"/>
      <c r="I501" s="80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15"/>
      <c r="AK501" s="80"/>
      <c r="AL501" s="80"/>
      <c r="AM501" s="80"/>
      <c r="AN501" s="80"/>
      <c r="AO501" s="80"/>
      <c r="AP501" s="80"/>
      <c r="AQ501" s="80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</row>
    <row r="502">
      <c r="A502" s="80"/>
      <c r="B502" s="80"/>
      <c r="C502" s="80"/>
      <c r="D502" s="80"/>
      <c r="E502" s="124"/>
      <c r="F502" s="80"/>
      <c r="G502" s="80"/>
      <c r="H502" s="80"/>
      <c r="I502" s="80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15"/>
      <c r="AK502" s="80"/>
      <c r="AL502" s="80"/>
      <c r="AM502" s="80"/>
      <c r="AN502" s="80"/>
      <c r="AO502" s="80"/>
      <c r="AP502" s="80"/>
      <c r="AQ502" s="80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</row>
    <row r="503">
      <c r="A503" s="80"/>
      <c r="B503" s="80"/>
      <c r="C503" s="80"/>
      <c r="D503" s="80"/>
      <c r="E503" s="124"/>
      <c r="F503" s="80"/>
      <c r="G503" s="80"/>
      <c r="H503" s="80"/>
      <c r="I503" s="80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15"/>
      <c r="AK503" s="80"/>
      <c r="AL503" s="80"/>
      <c r="AM503" s="80"/>
      <c r="AN503" s="80"/>
      <c r="AO503" s="80"/>
      <c r="AP503" s="80"/>
      <c r="AQ503" s="80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</row>
    <row r="504">
      <c r="A504" s="80"/>
      <c r="B504" s="80"/>
      <c r="C504" s="80"/>
      <c r="D504" s="80"/>
      <c r="E504" s="124"/>
      <c r="F504" s="80"/>
      <c r="G504" s="80"/>
      <c r="H504" s="80"/>
      <c r="I504" s="80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15"/>
      <c r="AK504" s="80"/>
      <c r="AL504" s="80"/>
      <c r="AM504" s="80"/>
      <c r="AN504" s="80"/>
      <c r="AO504" s="80"/>
      <c r="AP504" s="80"/>
      <c r="AQ504" s="80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</row>
    <row r="505">
      <c r="A505" s="80"/>
      <c r="B505" s="80"/>
      <c r="C505" s="80"/>
      <c r="D505" s="80"/>
      <c r="E505" s="124"/>
      <c r="F505" s="80"/>
      <c r="G505" s="80"/>
      <c r="H505" s="80"/>
      <c r="I505" s="80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15"/>
      <c r="AK505" s="80"/>
      <c r="AL505" s="80"/>
      <c r="AM505" s="80"/>
      <c r="AN505" s="80"/>
      <c r="AO505" s="80"/>
      <c r="AP505" s="80"/>
      <c r="AQ505" s="80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</row>
    <row r="506">
      <c r="A506" s="80"/>
      <c r="B506" s="80"/>
      <c r="C506" s="80"/>
      <c r="D506" s="80"/>
      <c r="E506" s="124"/>
      <c r="F506" s="80"/>
      <c r="G506" s="80"/>
      <c r="H506" s="80"/>
      <c r="I506" s="80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15"/>
      <c r="AK506" s="80"/>
      <c r="AL506" s="80"/>
      <c r="AM506" s="80"/>
      <c r="AN506" s="80"/>
      <c r="AO506" s="80"/>
      <c r="AP506" s="80"/>
      <c r="AQ506" s="80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</row>
    <row r="507">
      <c r="A507" s="80"/>
      <c r="B507" s="80"/>
      <c r="C507" s="80"/>
      <c r="D507" s="80"/>
      <c r="E507" s="124"/>
      <c r="F507" s="80"/>
      <c r="G507" s="80"/>
      <c r="H507" s="80"/>
      <c r="I507" s="80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15"/>
      <c r="AK507" s="80"/>
      <c r="AL507" s="80"/>
      <c r="AM507" s="80"/>
      <c r="AN507" s="80"/>
      <c r="AO507" s="80"/>
      <c r="AP507" s="80"/>
      <c r="AQ507" s="80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</row>
    <row r="508">
      <c r="A508" s="80"/>
      <c r="B508" s="80"/>
      <c r="C508" s="80"/>
      <c r="D508" s="80"/>
      <c r="E508" s="124"/>
      <c r="F508" s="80"/>
      <c r="G508" s="80"/>
      <c r="H508" s="80"/>
      <c r="I508" s="80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15"/>
      <c r="AK508" s="80"/>
      <c r="AL508" s="80"/>
      <c r="AM508" s="80"/>
      <c r="AN508" s="80"/>
      <c r="AO508" s="80"/>
      <c r="AP508" s="80"/>
      <c r="AQ508" s="80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</row>
    <row r="509">
      <c r="A509" s="80"/>
      <c r="B509" s="80"/>
      <c r="C509" s="80"/>
      <c r="D509" s="80"/>
      <c r="E509" s="124"/>
      <c r="F509" s="80"/>
      <c r="G509" s="80"/>
      <c r="H509" s="80"/>
      <c r="I509" s="80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15"/>
      <c r="AK509" s="80"/>
      <c r="AL509" s="80"/>
      <c r="AM509" s="80"/>
      <c r="AN509" s="80"/>
      <c r="AO509" s="80"/>
      <c r="AP509" s="80"/>
      <c r="AQ509" s="80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</row>
    <row r="510">
      <c r="A510" s="80"/>
      <c r="B510" s="80"/>
      <c r="C510" s="80"/>
      <c r="D510" s="80"/>
      <c r="E510" s="124"/>
      <c r="F510" s="80"/>
      <c r="G510" s="80"/>
      <c r="H510" s="80"/>
      <c r="I510" s="80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15"/>
      <c r="AK510" s="80"/>
      <c r="AL510" s="80"/>
      <c r="AM510" s="80"/>
      <c r="AN510" s="80"/>
      <c r="AO510" s="80"/>
      <c r="AP510" s="80"/>
      <c r="AQ510" s="80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</row>
    <row r="511">
      <c r="A511" s="80"/>
      <c r="B511" s="80"/>
      <c r="C511" s="80"/>
      <c r="D511" s="80"/>
      <c r="E511" s="124"/>
      <c r="F511" s="80"/>
      <c r="G511" s="80"/>
      <c r="H511" s="80"/>
      <c r="I511" s="80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15"/>
      <c r="AK511" s="80"/>
      <c r="AL511" s="80"/>
      <c r="AM511" s="80"/>
      <c r="AN511" s="80"/>
      <c r="AO511" s="80"/>
      <c r="AP511" s="80"/>
      <c r="AQ511" s="80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</row>
    <row r="512">
      <c r="A512" s="80"/>
      <c r="B512" s="80"/>
      <c r="C512" s="80"/>
      <c r="D512" s="80"/>
      <c r="E512" s="124"/>
      <c r="F512" s="80"/>
      <c r="G512" s="80"/>
      <c r="H512" s="80"/>
      <c r="I512" s="80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15"/>
      <c r="AK512" s="80"/>
      <c r="AL512" s="80"/>
      <c r="AM512" s="80"/>
      <c r="AN512" s="80"/>
      <c r="AO512" s="80"/>
      <c r="AP512" s="80"/>
      <c r="AQ512" s="80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</row>
    <row r="513">
      <c r="A513" s="80"/>
      <c r="B513" s="80"/>
      <c r="C513" s="80"/>
      <c r="D513" s="80"/>
      <c r="E513" s="124"/>
      <c r="F513" s="80"/>
      <c r="G513" s="80"/>
      <c r="H513" s="80"/>
      <c r="I513" s="80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15"/>
      <c r="AK513" s="80"/>
      <c r="AL513" s="80"/>
      <c r="AM513" s="80"/>
      <c r="AN513" s="80"/>
      <c r="AO513" s="80"/>
      <c r="AP513" s="80"/>
      <c r="AQ513" s="80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</row>
    <row r="514">
      <c r="A514" s="80"/>
      <c r="B514" s="80"/>
      <c r="C514" s="80"/>
      <c r="D514" s="80"/>
      <c r="E514" s="124"/>
      <c r="F514" s="80"/>
      <c r="G514" s="80"/>
      <c r="H514" s="80"/>
      <c r="I514" s="80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15"/>
      <c r="AK514" s="80"/>
      <c r="AL514" s="80"/>
      <c r="AM514" s="80"/>
      <c r="AN514" s="80"/>
      <c r="AO514" s="80"/>
      <c r="AP514" s="80"/>
      <c r="AQ514" s="80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</row>
    <row r="515">
      <c r="A515" s="80"/>
      <c r="B515" s="80"/>
      <c r="C515" s="80"/>
      <c r="D515" s="80"/>
      <c r="E515" s="124"/>
      <c r="F515" s="80"/>
      <c r="G515" s="80"/>
      <c r="H515" s="80"/>
      <c r="I515" s="80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15"/>
      <c r="AK515" s="80"/>
      <c r="AL515" s="80"/>
      <c r="AM515" s="80"/>
      <c r="AN515" s="80"/>
      <c r="AO515" s="80"/>
      <c r="AP515" s="80"/>
      <c r="AQ515" s="80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</row>
    <row r="516">
      <c r="A516" s="80"/>
      <c r="B516" s="80"/>
      <c r="C516" s="80"/>
      <c r="D516" s="80"/>
      <c r="E516" s="124"/>
      <c r="F516" s="80"/>
      <c r="G516" s="80"/>
      <c r="H516" s="80"/>
      <c r="I516" s="80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15"/>
      <c r="AK516" s="80"/>
      <c r="AL516" s="80"/>
      <c r="AM516" s="80"/>
      <c r="AN516" s="80"/>
      <c r="AO516" s="80"/>
      <c r="AP516" s="80"/>
      <c r="AQ516" s="80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</row>
    <row r="517">
      <c r="A517" s="80"/>
      <c r="B517" s="80"/>
      <c r="C517" s="80"/>
      <c r="D517" s="80"/>
      <c r="E517" s="124"/>
      <c r="F517" s="80"/>
      <c r="G517" s="80"/>
      <c r="H517" s="80"/>
      <c r="I517" s="80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15"/>
      <c r="AK517" s="80"/>
      <c r="AL517" s="80"/>
      <c r="AM517" s="80"/>
      <c r="AN517" s="80"/>
      <c r="AO517" s="80"/>
      <c r="AP517" s="80"/>
      <c r="AQ517" s="80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</row>
    <row r="518">
      <c r="A518" s="80"/>
      <c r="B518" s="80"/>
      <c r="C518" s="80"/>
      <c r="D518" s="80"/>
      <c r="E518" s="124"/>
      <c r="F518" s="80"/>
      <c r="G518" s="80"/>
      <c r="H518" s="80"/>
      <c r="I518" s="80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15"/>
      <c r="AK518" s="80"/>
      <c r="AL518" s="80"/>
      <c r="AM518" s="80"/>
      <c r="AN518" s="80"/>
      <c r="AO518" s="80"/>
      <c r="AP518" s="80"/>
      <c r="AQ518" s="80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</row>
    <row r="519">
      <c r="A519" s="80"/>
      <c r="B519" s="80"/>
      <c r="C519" s="80"/>
      <c r="D519" s="80"/>
      <c r="E519" s="124"/>
      <c r="F519" s="80"/>
      <c r="G519" s="80"/>
      <c r="H519" s="80"/>
      <c r="I519" s="80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15"/>
      <c r="AK519" s="80"/>
      <c r="AL519" s="80"/>
      <c r="AM519" s="80"/>
      <c r="AN519" s="80"/>
      <c r="AO519" s="80"/>
      <c r="AP519" s="80"/>
      <c r="AQ519" s="80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</row>
    <row r="520">
      <c r="A520" s="80"/>
      <c r="B520" s="80"/>
      <c r="C520" s="80"/>
      <c r="D520" s="80"/>
      <c r="E520" s="124"/>
      <c r="F520" s="80"/>
      <c r="G520" s="80"/>
      <c r="H520" s="80"/>
      <c r="I520" s="80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15"/>
      <c r="AK520" s="80"/>
      <c r="AL520" s="80"/>
      <c r="AM520" s="80"/>
      <c r="AN520" s="80"/>
      <c r="AO520" s="80"/>
      <c r="AP520" s="80"/>
      <c r="AQ520" s="80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</row>
    <row r="521">
      <c r="A521" s="80"/>
      <c r="B521" s="80"/>
      <c r="C521" s="80"/>
      <c r="D521" s="80"/>
      <c r="E521" s="124"/>
      <c r="F521" s="80"/>
      <c r="G521" s="80"/>
      <c r="H521" s="80"/>
      <c r="I521" s="80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15"/>
      <c r="AK521" s="80"/>
      <c r="AL521" s="80"/>
      <c r="AM521" s="80"/>
      <c r="AN521" s="80"/>
      <c r="AO521" s="80"/>
      <c r="AP521" s="80"/>
      <c r="AQ521" s="80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</row>
    <row r="522">
      <c r="A522" s="80"/>
      <c r="B522" s="80"/>
      <c r="C522" s="80"/>
      <c r="D522" s="80"/>
      <c r="E522" s="124"/>
      <c r="F522" s="80"/>
      <c r="G522" s="80"/>
      <c r="H522" s="80"/>
      <c r="I522" s="80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15"/>
      <c r="AK522" s="80"/>
      <c r="AL522" s="80"/>
      <c r="AM522" s="80"/>
      <c r="AN522" s="80"/>
      <c r="AO522" s="80"/>
      <c r="AP522" s="80"/>
      <c r="AQ522" s="80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</row>
    <row r="523">
      <c r="A523" s="80"/>
      <c r="B523" s="80"/>
      <c r="C523" s="80"/>
      <c r="D523" s="80"/>
      <c r="E523" s="124"/>
      <c r="F523" s="80"/>
      <c r="G523" s="80"/>
      <c r="H523" s="80"/>
      <c r="I523" s="80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15"/>
      <c r="AK523" s="80"/>
      <c r="AL523" s="80"/>
      <c r="AM523" s="80"/>
      <c r="AN523" s="80"/>
      <c r="AO523" s="80"/>
      <c r="AP523" s="80"/>
      <c r="AQ523" s="80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</row>
    <row r="524">
      <c r="A524" s="80"/>
      <c r="B524" s="80"/>
      <c r="C524" s="80"/>
      <c r="D524" s="80"/>
      <c r="E524" s="124"/>
      <c r="F524" s="80"/>
      <c r="G524" s="80"/>
      <c r="H524" s="80"/>
      <c r="I524" s="80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15"/>
      <c r="AK524" s="80"/>
      <c r="AL524" s="80"/>
      <c r="AM524" s="80"/>
      <c r="AN524" s="80"/>
      <c r="AO524" s="80"/>
      <c r="AP524" s="80"/>
      <c r="AQ524" s="80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</row>
    <row r="525">
      <c r="A525" s="80"/>
      <c r="B525" s="80"/>
      <c r="C525" s="80"/>
      <c r="D525" s="80"/>
      <c r="E525" s="124"/>
      <c r="F525" s="80"/>
      <c r="G525" s="80"/>
      <c r="H525" s="80"/>
      <c r="I525" s="80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15"/>
      <c r="AK525" s="80"/>
      <c r="AL525" s="80"/>
      <c r="AM525" s="80"/>
      <c r="AN525" s="80"/>
      <c r="AO525" s="80"/>
      <c r="AP525" s="80"/>
      <c r="AQ525" s="80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</row>
    <row r="526">
      <c r="A526" s="80"/>
      <c r="B526" s="80"/>
      <c r="C526" s="80"/>
      <c r="D526" s="80"/>
      <c r="E526" s="124"/>
      <c r="F526" s="80"/>
      <c r="G526" s="80"/>
      <c r="H526" s="80"/>
      <c r="I526" s="80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15"/>
      <c r="AK526" s="80"/>
      <c r="AL526" s="80"/>
      <c r="AM526" s="80"/>
      <c r="AN526" s="80"/>
      <c r="AO526" s="80"/>
      <c r="AP526" s="80"/>
      <c r="AQ526" s="80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</row>
    <row r="527">
      <c r="A527" s="80"/>
      <c r="B527" s="80"/>
      <c r="C527" s="80"/>
      <c r="D527" s="80"/>
      <c r="E527" s="124"/>
      <c r="F527" s="80"/>
      <c r="G527" s="80"/>
      <c r="H527" s="80"/>
      <c r="I527" s="80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15"/>
      <c r="AK527" s="80"/>
      <c r="AL527" s="80"/>
      <c r="AM527" s="80"/>
      <c r="AN527" s="80"/>
      <c r="AO527" s="80"/>
      <c r="AP527" s="80"/>
      <c r="AQ527" s="80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</row>
    <row r="528">
      <c r="A528" s="80"/>
      <c r="B528" s="80"/>
      <c r="C528" s="80"/>
      <c r="D528" s="80"/>
      <c r="E528" s="124"/>
      <c r="F528" s="80"/>
      <c r="G528" s="80"/>
      <c r="H528" s="80"/>
      <c r="I528" s="80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15"/>
      <c r="AK528" s="80"/>
      <c r="AL528" s="80"/>
      <c r="AM528" s="80"/>
      <c r="AN528" s="80"/>
      <c r="AO528" s="80"/>
      <c r="AP528" s="80"/>
      <c r="AQ528" s="80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</row>
    <row r="529">
      <c r="A529" s="80"/>
      <c r="B529" s="80"/>
      <c r="C529" s="80"/>
      <c r="D529" s="80"/>
      <c r="E529" s="124"/>
      <c r="F529" s="80"/>
      <c r="G529" s="80"/>
      <c r="H529" s="80"/>
      <c r="I529" s="80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15"/>
      <c r="AK529" s="80"/>
      <c r="AL529" s="80"/>
      <c r="AM529" s="80"/>
      <c r="AN529" s="80"/>
      <c r="AO529" s="80"/>
      <c r="AP529" s="80"/>
      <c r="AQ529" s="80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</row>
    <row r="530">
      <c r="A530" s="80"/>
      <c r="B530" s="80"/>
      <c r="C530" s="80"/>
      <c r="D530" s="80"/>
      <c r="E530" s="124"/>
      <c r="F530" s="80"/>
      <c r="G530" s="80"/>
      <c r="H530" s="80"/>
      <c r="I530" s="80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15"/>
      <c r="AK530" s="80"/>
      <c r="AL530" s="80"/>
      <c r="AM530" s="80"/>
      <c r="AN530" s="80"/>
      <c r="AO530" s="80"/>
      <c r="AP530" s="80"/>
      <c r="AQ530" s="80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</row>
    <row r="531">
      <c r="A531" s="80"/>
      <c r="B531" s="80"/>
      <c r="C531" s="80"/>
      <c r="D531" s="80"/>
      <c r="E531" s="124"/>
      <c r="F531" s="80"/>
      <c r="G531" s="80"/>
      <c r="H531" s="80"/>
      <c r="I531" s="80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15"/>
      <c r="AK531" s="80"/>
      <c r="AL531" s="80"/>
      <c r="AM531" s="80"/>
      <c r="AN531" s="80"/>
      <c r="AO531" s="80"/>
      <c r="AP531" s="80"/>
      <c r="AQ531" s="80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</row>
    <row r="532">
      <c r="A532" s="80"/>
      <c r="B532" s="80"/>
      <c r="C532" s="80"/>
      <c r="D532" s="80"/>
      <c r="E532" s="124"/>
      <c r="F532" s="80"/>
      <c r="G532" s="80"/>
      <c r="H532" s="80"/>
      <c r="I532" s="80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15"/>
      <c r="AK532" s="80"/>
      <c r="AL532" s="80"/>
      <c r="AM532" s="80"/>
      <c r="AN532" s="80"/>
      <c r="AO532" s="80"/>
      <c r="AP532" s="80"/>
      <c r="AQ532" s="80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</row>
    <row r="533">
      <c r="A533" s="80"/>
      <c r="B533" s="80"/>
      <c r="C533" s="80"/>
      <c r="D533" s="80"/>
      <c r="E533" s="124"/>
      <c r="F533" s="80"/>
      <c r="G533" s="80"/>
      <c r="H533" s="80"/>
      <c r="I533" s="80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15"/>
      <c r="AK533" s="80"/>
      <c r="AL533" s="80"/>
      <c r="AM533" s="80"/>
      <c r="AN533" s="80"/>
      <c r="AO533" s="80"/>
      <c r="AP533" s="80"/>
      <c r="AQ533" s="80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</row>
    <row r="534">
      <c r="A534" s="80"/>
      <c r="B534" s="80"/>
      <c r="C534" s="80"/>
      <c r="D534" s="80"/>
      <c r="E534" s="124"/>
      <c r="F534" s="80"/>
      <c r="G534" s="80"/>
      <c r="H534" s="80"/>
      <c r="I534" s="80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15"/>
      <c r="AK534" s="80"/>
      <c r="AL534" s="80"/>
      <c r="AM534" s="80"/>
      <c r="AN534" s="80"/>
      <c r="AO534" s="80"/>
      <c r="AP534" s="80"/>
      <c r="AQ534" s="80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</row>
    <row r="535">
      <c r="A535" s="80"/>
      <c r="B535" s="80"/>
      <c r="C535" s="80"/>
      <c r="D535" s="80"/>
      <c r="E535" s="124"/>
      <c r="F535" s="80"/>
      <c r="G535" s="80"/>
      <c r="H535" s="80"/>
      <c r="I535" s="80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15"/>
      <c r="AK535" s="80"/>
      <c r="AL535" s="80"/>
      <c r="AM535" s="80"/>
      <c r="AN535" s="80"/>
      <c r="AO535" s="80"/>
      <c r="AP535" s="80"/>
      <c r="AQ535" s="80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</row>
    <row r="536">
      <c r="A536" s="80"/>
      <c r="B536" s="80"/>
      <c r="C536" s="80"/>
      <c r="D536" s="80"/>
      <c r="E536" s="124"/>
      <c r="F536" s="80"/>
      <c r="G536" s="80"/>
      <c r="H536" s="80"/>
      <c r="I536" s="80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15"/>
      <c r="AK536" s="80"/>
      <c r="AL536" s="80"/>
      <c r="AM536" s="80"/>
      <c r="AN536" s="80"/>
      <c r="AO536" s="80"/>
      <c r="AP536" s="80"/>
      <c r="AQ536" s="80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</row>
    <row r="537">
      <c r="A537" s="80"/>
      <c r="B537" s="80"/>
      <c r="C537" s="80"/>
      <c r="D537" s="80"/>
      <c r="E537" s="124"/>
      <c r="F537" s="80"/>
      <c r="G537" s="80"/>
      <c r="H537" s="80"/>
      <c r="I537" s="80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15"/>
      <c r="AK537" s="80"/>
      <c r="AL537" s="80"/>
      <c r="AM537" s="80"/>
      <c r="AN537" s="80"/>
      <c r="AO537" s="80"/>
      <c r="AP537" s="80"/>
      <c r="AQ537" s="80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</row>
    <row r="538">
      <c r="A538" s="80"/>
      <c r="B538" s="80"/>
      <c r="C538" s="80"/>
      <c r="D538" s="80"/>
      <c r="E538" s="124"/>
      <c r="F538" s="80"/>
      <c r="G538" s="80"/>
      <c r="H538" s="80"/>
      <c r="I538" s="80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15"/>
      <c r="AK538" s="80"/>
      <c r="AL538" s="80"/>
      <c r="AM538" s="80"/>
      <c r="AN538" s="80"/>
      <c r="AO538" s="80"/>
      <c r="AP538" s="80"/>
      <c r="AQ538" s="80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</row>
    <row r="539">
      <c r="A539" s="80"/>
      <c r="B539" s="80"/>
      <c r="C539" s="80"/>
      <c r="D539" s="80"/>
      <c r="E539" s="124"/>
      <c r="F539" s="80"/>
      <c r="G539" s="80"/>
      <c r="H539" s="80"/>
      <c r="I539" s="80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15"/>
      <c r="AK539" s="80"/>
      <c r="AL539" s="80"/>
      <c r="AM539" s="80"/>
      <c r="AN539" s="80"/>
      <c r="AO539" s="80"/>
      <c r="AP539" s="80"/>
      <c r="AQ539" s="80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</row>
    <row r="540">
      <c r="A540" s="80"/>
      <c r="B540" s="80"/>
      <c r="C540" s="80"/>
      <c r="D540" s="80"/>
      <c r="E540" s="124"/>
      <c r="F540" s="80"/>
      <c r="G540" s="80"/>
      <c r="H540" s="80"/>
      <c r="I540" s="80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15"/>
      <c r="AK540" s="80"/>
      <c r="AL540" s="80"/>
      <c r="AM540" s="80"/>
      <c r="AN540" s="80"/>
      <c r="AO540" s="80"/>
      <c r="AP540" s="80"/>
      <c r="AQ540" s="80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</row>
    <row r="541">
      <c r="A541" s="80"/>
      <c r="B541" s="80"/>
      <c r="C541" s="80"/>
      <c r="D541" s="80"/>
      <c r="E541" s="124"/>
      <c r="F541" s="80"/>
      <c r="G541" s="80"/>
      <c r="H541" s="80"/>
      <c r="I541" s="80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15"/>
      <c r="AK541" s="80"/>
      <c r="AL541" s="80"/>
      <c r="AM541" s="80"/>
      <c r="AN541" s="80"/>
      <c r="AO541" s="80"/>
      <c r="AP541" s="80"/>
      <c r="AQ541" s="80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</row>
    <row r="542">
      <c r="A542" s="80"/>
      <c r="B542" s="80"/>
      <c r="C542" s="80"/>
      <c r="D542" s="80"/>
      <c r="E542" s="124"/>
      <c r="F542" s="80"/>
      <c r="G542" s="80"/>
      <c r="H542" s="80"/>
      <c r="I542" s="80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15"/>
      <c r="AK542" s="80"/>
      <c r="AL542" s="80"/>
      <c r="AM542" s="80"/>
      <c r="AN542" s="80"/>
      <c r="AO542" s="80"/>
      <c r="AP542" s="80"/>
      <c r="AQ542" s="80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</row>
    <row r="543">
      <c r="A543" s="80"/>
      <c r="B543" s="80"/>
      <c r="C543" s="80"/>
      <c r="D543" s="80"/>
      <c r="E543" s="124"/>
      <c r="F543" s="80"/>
      <c r="G543" s="80"/>
      <c r="H543" s="80"/>
      <c r="I543" s="80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15"/>
      <c r="AK543" s="80"/>
      <c r="AL543" s="80"/>
      <c r="AM543" s="80"/>
      <c r="AN543" s="80"/>
      <c r="AO543" s="80"/>
      <c r="AP543" s="80"/>
      <c r="AQ543" s="80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</row>
    <row r="544">
      <c r="A544" s="80"/>
      <c r="B544" s="80"/>
      <c r="C544" s="80"/>
      <c r="D544" s="80"/>
      <c r="E544" s="124"/>
      <c r="F544" s="80"/>
      <c r="G544" s="80"/>
      <c r="H544" s="80"/>
      <c r="I544" s="80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15"/>
      <c r="AK544" s="80"/>
      <c r="AL544" s="80"/>
      <c r="AM544" s="80"/>
      <c r="AN544" s="80"/>
      <c r="AO544" s="80"/>
      <c r="AP544" s="80"/>
      <c r="AQ544" s="80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</row>
    <row r="545">
      <c r="A545" s="80"/>
      <c r="B545" s="80"/>
      <c r="C545" s="80"/>
      <c r="D545" s="80"/>
      <c r="E545" s="124"/>
      <c r="F545" s="80"/>
      <c r="G545" s="80"/>
      <c r="H545" s="80"/>
      <c r="I545" s="80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15"/>
      <c r="AK545" s="80"/>
      <c r="AL545" s="80"/>
      <c r="AM545" s="80"/>
      <c r="AN545" s="80"/>
      <c r="AO545" s="80"/>
      <c r="AP545" s="80"/>
      <c r="AQ545" s="80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</row>
    <row r="546">
      <c r="A546" s="80"/>
      <c r="B546" s="80"/>
      <c r="C546" s="80"/>
      <c r="D546" s="80"/>
      <c r="E546" s="124"/>
      <c r="F546" s="80"/>
      <c r="G546" s="80"/>
      <c r="H546" s="80"/>
      <c r="I546" s="80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15"/>
      <c r="AK546" s="80"/>
      <c r="AL546" s="80"/>
      <c r="AM546" s="80"/>
      <c r="AN546" s="80"/>
      <c r="AO546" s="80"/>
      <c r="AP546" s="80"/>
      <c r="AQ546" s="80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</row>
    <row r="547">
      <c r="A547" s="80"/>
      <c r="B547" s="80"/>
      <c r="C547" s="80"/>
      <c r="D547" s="80"/>
      <c r="E547" s="124"/>
      <c r="F547" s="80"/>
      <c r="G547" s="80"/>
      <c r="H547" s="80"/>
      <c r="I547" s="80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15"/>
      <c r="AK547" s="80"/>
      <c r="AL547" s="80"/>
      <c r="AM547" s="80"/>
      <c r="AN547" s="80"/>
      <c r="AO547" s="80"/>
      <c r="AP547" s="80"/>
      <c r="AQ547" s="80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</row>
    <row r="548">
      <c r="A548" s="80"/>
      <c r="B548" s="80"/>
      <c r="C548" s="80"/>
      <c r="D548" s="80"/>
      <c r="E548" s="124"/>
      <c r="F548" s="80"/>
      <c r="G548" s="80"/>
      <c r="H548" s="80"/>
      <c r="I548" s="80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15"/>
      <c r="AK548" s="80"/>
      <c r="AL548" s="80"/>
      <c r="AM548" s="80"/>
      <c r="AN548" s="80"/>
      <c r="AO548" s="80"/>
      <c r="AP548" s="80"/>
      <c r="AQ548" s="80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</row>
    <row r="549">
      <c r="A549" s="80"/>
      <c r="B549" s="80"/>
      <c r="C549" s="80"/>
      <c r="D549" s="80"/>
      <c r="E549" s="124"/>
      <c r="F549" s="80"/>
      <c r="G549" s="80"/>
      <c r="H549" s="80"/>
      <c r="I549" s="80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15"/>
      <c r="AK549" s="80"/>
      <c r="AL549" s="80"/>
      <c r="AM549" s="80"/>
      <c r="AN549" s="80"/>
      <c r="AO549" s="80"/>
      <c r="AP549" s="80"/>
      <c r="AQ549" s="80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</row>
    <row r="550">
      <c r="A550" s="80"/>
      <c r="B550" s="80"/>
      <c r="C550" s="80"/>
      <c r="D550" s="80"/>
      <c r="E550" s="124"/>
      <c r="F550" s="80"/>
      <c r="G550" s="80"/>
      <c r="H550" s="80"/>
      <c r="I550" s="80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15"/>
      <c r="AK550" s="80"/>
      <c r="AL550" s="80"/>
      <c r="AM550" s="80"/>
      <c r="AN550" s="80"/>
      <c r="AO550" s="80"/>
      <c r="AP550" s="80"/>
      <c r="AQ550" s="80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</row>
    <row r="551">
      <c r="A551" s="80"/>
      <c r="B551" s="80"/>
      <c r="C551" s="80"/>
      <c r="D551" s="80"/>
      <c r="E551" s="124"/>
      <c r="F551" s="80"/>
      <c r="G551" s="80"/>
      <c r="H551" s="80"/>
      <c r="I551" s="80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15"/>
      <c r="AK551" s="80"/>
      <c r="AL551" s="80"/>
      <c r="AM551" s="80"/>
      <c r="AN551" s="80"/>
      <c r="AO551" s="80"/>
      <c r="AP551" s="80"/>
      <c r="AQ551" s="80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</row>
    <row r="552">
      <c r="A552" s="80"/>
      <c r="B552" s="80"/>
      <c r="C552" s="80"/>
      <c r="D552" s="80"/>
      <c r="E552" s="124"/>
      <c r="F552" s="80"/>
      <c r="G552" s="80"/>
      <c r="H552" s="80"/>
      <c r="I552" s="80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15"/>
      <c r="AK552" s="80"/>
      <c r="AL552" s="80"/>
      <c r="AM552" s="80"/>
      <c r="AN552" s="80"/>
      <c r="AO552" s="80"/>
      <c r="AP552" s="80"/>
      <c r="AQ552" s="80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</row>
    <row r="553">
      <c r="A553" s="80"/>
      <c r="B553" s="80"/>
      <c r="C553" s="80"/>
      <c r="D553" s="80"/>
      <c r="E553" s="124"/>
      <c r="F553" s="80"/>
      <c r="G553" s="80"/>
      <c r="H553" s="80"/>
      <c r="I553" s="80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15"/>
      <c r="AK553" s="80"/>
      <c r="AL553" s="80"/>
      <c r="AM553" s="80"/>
      <c r="AN553" s="80"/>
      <c r="AO553" s="80"/>
      <c r="AP553" s="80"/>
      <c r="AQ553" s="80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</row>
    <row r="554">
      <c r="A554" s="80"/>
      <c r="B554" s="80"/>
      <c r="C554" s="80"/>
      <c r="D554" s="80"/>
      <c r="E554" s="124"/>
      <c r="F554" s="80"/>
      <c r="G554" s="80"/>
      <c r="H554" s="80"/>
      <c r="I554" s="80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15"/>
      <c r="AK554" s="80"/>
      <c r="AL554" s="80"/>
      <c r="AM554" s="80"/>
      <c r="AN554" s="80"/>
      <c r="AO554" s="80"/>
      <c r="AP554" s="80"/>
      <c r="AQ554" s="80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</row>
    <row r="555">
      <c r="A555" s="80"/>
      <c r="B555" s="80"/>
      <c r="C555" s="80"/>
      <c r="D555" s="80"/>
      <c r="E555" s="124"/>
      <c r="F555" s="80"/>
      <c r="G555" s="80"/>
      <c r="H555" s="80"/>
      <c r="I555" s="80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15"/>
      <c r="AK555" s="80"/>
      <c r="AL555" s="80"/>
      <c r="AM555" s="80"/>
      <c r="AN555" s="80"/>
      <c r="AO555" s="80"/>
      <c r="AP555" s="80"/>
      <c r="AQ555" s="80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</row>
    <row r="556">
      <c r="A556" s="80"/>
      <c r="B556" s="80"/>
      <c r="C556" s="80"/>
      <c r="D556" s="80"/>
      <c r="E556" s="124"/>
      <c r="F556" s="80"/>
      <c r="G556" s="80"/>
      <c r="H556" s="80"/>
      <c r="I556" s="80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15"/>
      <c r="AK556" s="80"/>
      <c r="AL556" s="80"/>
      <c r="AM556" s="80"/>
      <c r="AN556" s="80"/>
      <c r="AO556" s="80"/>
      <c r="AP556" s="80"/>
      <c r="AQ556" s="80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</row>
    <row r="557">
      <c r="A557" s="80"/>
      <c r="B557" s="80"/>
      <c r="C557" s="80"/>
      <c r="D557" s="80"/>
      <c r="E557" s="124"/>
      <c r="F557" s="80"/>
      <c r="G557" s="80"/>
      <c r="H557" s="80"/>
      <c r="I557" s="80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15"/>
      <c r="AK557" s="80"/>
      <c r="AL557" s="80"/>
      <c r="AM557" s="80"/>
      <c r="AN557" s="80"/>
      <c r="AO557" s="80"/>
      <c r="AP557" s="80"/>
      <c r="AQ557" s="80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</row>
    <row r="558">
      <c r="A558" s="80"/>
      <c r="B558" s="80"/>
      <c r="C558" s="80"/>
      <c r="D558" s="80"/>
      <c r="E558" s="124"/>
      <c r="F558" s="80"/>
      <c r="G558" s="80"/>
      <c r="H558" s="80"/>
      <c r="I558" s="80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15"/>
      <c r="AK558" s="80"/>
      <c r="AL558" s="80"/>
      <c r="AM558" s="80"/>
      <c r="AN558" s="80"/>
      <c r="AO558" s="80"/>
      <c r="AP558" s="80"/>
      <c r="AQ558" s="80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</row>
    <row r="559">
      <c r="A559" s="80"/>
      <c r="B559" s="80"/>
      <c r="C559" s="80"/>
      <c r="D559" s="80"/>
      <c r="E559" s="124"/>
      <c r="F559" s="80"/>
      <c r="G559" s="80"/>
      <c r="H559" s="80"/>
      <c r="I559" s="80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15"/>
      <c r="AK559" s="80"/>
      <c r="AL559" s="80"/>
      <c r="AM559" s="80"/>
      <c r="AN559" s="80"/>
      <c r="AO559" s="80"/>
      <c r="AP559" s="80"/>
      <c r="AQ559" s="80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</row>
    <row r="560">
      <c r="A560" s="80"/>
      <c r="B560" s="80"/>
      <c r="C560" s="80"/>
      <c r="D560" s="80"/>
      <c r="E560" s="124"/>
      <c r="F560" s="80"/>
      <c r="G560" s="80"/>
      <c r="H560" s="80"/>
      <c r="I560" s="80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15"/>
      <c r="AK560" s="80"/>
      <c r="AL560" s="80"/>
      <c r="AM560" s="80"/>
      <c r="AN560" s="80"/>
      <c r="AO560" s="80"/>
      <c r="AP560" s="80"/>
      <c r="AQ560" s="80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</row>
    <row r="561">
      <c r="A561" s="80"/>
      <c r="B561" s="80"/>
      <c r="C561" s="80"/>
      <c r="D561" s="80"/>
      <c r="E561" s="124"/>
      <c r="F561" s="80"/>
      <c r="G561" s="80"/>
      <c r="H561" s="80"/>
      <c r="I561" s="80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15"/>
      <c r="AK561" s="80"/>
      <c r="AL561" s="80"/>
      <c r="AM561" s="80"/>
      <c r="AN561" s="80"/>
      <c r="AO561" s="80"/>
      <c r="AP561" s="80"/>
      <c r="AQ561" s="80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</row>
    <row r="562">
      <c r="A562" s="80"/>
      <c r="B562" s="80"/>
      <c r="C562" s="80"/>
      <c r="D562" s="80"/>
      <c r="E562" s="124"/>
      <c r="F562" s="80"/>
      <c r="G562" s="80"/>
      <c r="H562" s="80"/>
      <c r="I562" s="80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15"/>
      <c r="AK562" s="80"/>
      <c r="AL562" s="80"/>
      <c r="AM562" s="80"/>
      <c r="AN562" s="80"/>
      <c r="AO562" s="80"/>
      <c r="AP562" s="80"/>
      <c r="AQ562" s="80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</row>
    <row r="563">
      <c r="A563" s="80"/>
      <c r="B563" s="80"/>
      <c r="C563" s="80"/>
      <c r="D563" s="80"/>
      <c r="E563" s="124"/>
      <c r="F563" s="80"/>
      <c r="G563" s="80"/>
      <c r="H563" s="80"/>
      <c r="I563" s="80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15"/>
      <c r="AK563" s="80"/>
      <c r="AL563" s="80"/>
      <c r="AM563" s="80"/>
      <c r="AN563" s="80"/>
      <c r="AO563" s="80"/>
      <c r="AP563" s="80"/>
      <c r="AQ563" s="80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</row>
    <row r="564">
      <c r="A564" s="80"/>
      <c r="B564" s="80"/>
      <c r="C564" s="80"/>
      <c r="D564" s="80"/>
      <c r="E564" s="124"/>
      <c r="F564" s="80"/>
      <c r="G564" s="80"/>
      <c r="H564" s="80"/>
      <c r="I564" s="80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15"/>
      <c r="AK564" s="80"/>
      <c r="AL564" s="80"/>
      <c r="AM564" s="80"/>
      <c r="AN564" s="80"/>
      <c r="AO564" s="80"/>
      <c r="AP564" s="80"/>
      <c r="AQ564" s="80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</row>
    <row r="565">
      <c r="A565" s="80"/>
      <c r="B565" s="80"/>
      <c r="C565" s="80"/>
      <c r="D565" s="80"/>
      <c r="E565" s="124"/>
      <c r="F565" s="80"/>
      <c r="G565" s="80"/>
      <c r="H565" s="80"/>
      <c r="I565" s="80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15"/>
      <c r="AK565" s="80"/>
      <c r="AL565" s="80"/>
      <c r="AM565" s="80"/>
      <c r="AN565" s="80"/>
      <c r="AO565" s="80"/>
      <c r="AP565" s="80"/>
      <c r="AQ565" s="80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</row>
    <row r="566">
      <c r="A566" s="80"/>
      <c r="B566" s="80"/>
      <c r="C566" s="80"/>
      <c r="D566" s="80"/>
      <c r="E566" s="124"/>
      <c r="F566" s="80"/>
      <c r="G566" s="80"/>
      <c r="H566" s="80"/>
      <c r="I566" s="80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15"/>
      <c r="AK566" s="80"/>
      <c r="AL566" s="80"/>
      <c r="AM566" s="80"/>
      <c r="AN566" s="80"/>
      <c r="AO566" s="80"/>
      <c r="AP566" s="80"/>
      <c r="AQ566" s="80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</row>
    <row r="567">
      <c r="A567" s="80"/>
      <c r="B567" s="80"/>
      <c r="C567" s="80"/>
      <c r="D567" s="80"/>
      <c r="E567" s="124"/>
      <c r="F567" s="80"/>
      <c r="G567" s="80"/>
      <c r="H567" s="80"/>
      <c r="I567" s="80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15"/>
      <c r="AK567" s="80"/>
      <c r="AL567" s="80"/>
      <c r="AM567" s="80"/>
      <c r="AN567" s="80"/>
      <c r="AO567" s="80"/>
      <c r="AP567" s="80"/>
      <c r="AQ567" s="80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</row>
    <row r="568">
      <c r="A568" s="80"/>
      <c r="B568" s="80"/>
      <c r="C568" s="80"/>
      <c r="D568" s="80"/>
      <c r="E568" s="124"/>
      <c r="F568" s="80"/>
      <c r="G568" s="80"/>
      <c r="H568" s="80"/>
      <c r="I568" s="80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15"/>
      <c r="AK568" s="80"/>
      <c r="AL568" s="80"/>
      <c r="AM568" s="80"/>
      <c r="AN568" s="80"/>
      <c r="AO568" s="80"/>
      <c r="AP568" s="80"/>
      <c r="AQ568" s="80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</row>
    <row r="569">
      <c r="A569" s="80"/>
      <c r="B569" s="80"/>
      <c r="C569" s="80"/>
      <c r="D569" s="80"/>
      <c r="E569" s="124"/>
      <c r="F569" s="80"/>
      <c r="G569" s="80"/>
      <c r="H569" s="80"/>
      <c r="I569" s="80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15"/>
      <c r="AK569" s="80"/>
      <c r="AL569" s="80"/>
      <c r="AM569" s="80"/>
      <c r="AN569" s="80"/>
      <c r="AO569" s="80"/>
      <c r="AP569" s="80"/>
      <c r="AQ569" s="80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</row>
    <row r="570">
      <c r="A570" s="80"/>
      <c r="B570" s="80"/>
      <c r="C570" s="80"/>
      <c r="D570" s="80"/>
      <c r="E570" s="124"/>
      <c r="F570" s="80"/>
      <c r="G570" s="80"/>
      <c r="H570" s="80"/>
      <c r="I570" s="80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15"/>
      <c r="AK570" s="80"/>
      <c r="AL570" s="80"/>
      <c r="AM570" s="80"/>
      <c r="AN570" s="80"/>
      <c r="AO570" s="80"/>
      <c r="AP570" s="80"/>
      <c r="AQ570" s="80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</row>
    <row r="571">
      <c r="A571" s="80"/>
      <c r="B571" s="80"/>
      <c r="C571" s="80"/>
      <c r="D571" s="80"/>
      <c r="E571" s="124"/>
      <c r="F571" s="80"/>
      <c r="G571" s="80"/>
      <c r="H571" s="80"/>
      <c r="I571" s="80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15"/>
      <c r="AK571" s="80"/>
      <c r="AL571" s="80"/>
      <c r="AM571" s="80"/>
      <c r="AN571" s="80"/>
      <c r="AO571" s="80"/>
      <c r="AP571" s="80"/>
      <c r="AQ571" s="80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</row>
    <row r="572">
      <c r="A572" s="80"/>
      <c r="B572" s="80"/>
      <c r="C572" s="80"/>
      <c r="D572" s="80"/>
      <c r="E572" s="124"/>
      <c r="F572" s="80"/>
      <c r="G572" s="80"/>
      <c r="H572" s="80"/>
      <c r="I572" s="80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15"/>
      <c r="AK572" s="80"/>
      <c r="AL572" s="80"/>
      <c r="AM572" s="80"/>
      <c r="AN572" s="80"/>
      <c r="AO572" s="80"/>
      <c r="AP572" s="80"/>
      <c r="AQ572" s="80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</row>
    <row r="573">
      <c r="A573" s="80"/>
      <c r="B573" s="80"/>
      <c r="C573" s="80"/>
      <c r="D573" s="80"/>
      <c r="E573" s="124"/>
      <c r="F573" s="80"/>
      <c r="G573" s="80"/>
      <c r="H573" s="80"/>
      <c r="I573" s="80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15"/>
      <c r="AK573" s="80"/>
      <c r="AL573" s="80"/>
      <c r="AM573" s="80"/>
      <c r="AN573" s="80"/>
      <c r="AO573" s="80"/>
      <c r="AP573" s="80"/>
      <c r="AQ573" s="80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</row>
    <row r="574">
      <c r="A574" s="80"/>
      <c r="B574" s="80"/>
      <c r="C574" s="80"/>
      <c r="D574" s="80"/>
      <c r="E574" s="124"/>
      <c r="F574" s="80"/>
      <c r="G574" s="80"/>
      <c r="H574" s="80"/>
      <c r="I574" s="80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15"/>
      <c r="AK574" s="80"/>
      <c r="AL574" s="80"/>
      <c r="AM574" s="80"/>
      <c r="AN574" s="80"/>
      <c r="AO574" s="80"/>
      <c r="AP574" s="80"/>
      <c r="AQ574" s="80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</row>
    <row r="575">
      <c r="A575" s="80"/>
      <c r="B575" s="80"/>
      <c r="C575" s="80"/>
      <c r="D575" s="80"/>
      <c r="E575" s="124"/>
      <c r="F575" s="80"/>
      <c r="G575" s="80"/>
      <c r="H575" s="80"/>
      <c r="I575" s="80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15"/>
      <c r="AK575" s="80"/>
      <c r="AL575" s="80"/>
      <c r="AM575" s="80"/>
      <c r="AN575" s="80"/>
      <c r="AO575" s="80"/>
      <c r="AP575" s="80"/>
      <c r="AQ575" s="80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</row>
    <row r="576">
      <c r="A576" s="80"/>
      <c r="B576" s="80"/>
      <c r="C576" s="80"/>
      <c r="D576" s="80"/>
      <c r="E576" s="124"/>
      <c r="F576" s="80"/>
      <c r="G576" s="80"/>
      <c r="H576" s="80"/>
      <c r="I576" s="80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15"/>
      <c r="AK576" s="80"/>
      <c r="AL576" s="80"/>
      <c r="AM576" s="80"/>
      <c r="AN576" s="80"/>
      <c r="AO576" s="80"/>
      <c r="AP576" s="80"/>
      <c r="AQ576" s="80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</row>
    <row r="577">
      <c r="A577" s="80"/>
      <c r="B577" s="80"/>
      <c r="C577" s="80"/>
      <c r="D577" s="80"/>
      <c r="E577" s="124"/>
      <c r="F577" s="80"/>
      <c r="G577" s="80"/>
      <c r="H577" s="80"/>
      <c r="I577" s="80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15"/>
      <c r="AK577" s="80"/>
      <c r="AL577" s="80"/>
      <c r="AM577" s="80"/>
      <c r="AN577" s="80"/>
      <c r="AO577" s="80"/>
      <c r="AP577" s="80"/>
      <c r="AQ577" s="80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</row>
    <row r="578">
      <c r="A578" s="80"/>
      <c r="B578" s="80"/>
      <c r="C578" s="80"/>
      <c r="D578" s="80"/>
      <c r="E578" s="124"/>
      <c r="F578" s="80"/>
      <c r="G578" s="80"/>
      <c r="H578" s="80"/>
      <c r="I578" s="80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15"/>
      <c r="AK578" s="80"/>
      <c r="AL578" s="80"/>
      <c r="AM578" s="80"/>
      <c r="AN578" s="80"/>
      <c r="AO578" s="80"/>
      <c r="AP578" s="80"/>
      <c r="AQ578" s="80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</row>
    <row r="579">
      <c r="A579" s="80"/>
      <c r="B579" s="80"/>
      <c r="C579" s="80"/>
      <c r="D579" s="80"/>
      <c r="E579" s="124"/>
      <c r="F579" s="80"/>
      <c r="G579" s="80"/>
      <c r="H579" s="80"/>
      <c r="I579" s="80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15"/>
      <c r="AK579" s="80"/>
      <c r="AL579" s="80"/>
      <c r="AM579" s="80"/>
      <c r="AN579" s="80"/>
      <c r="AO579" s="80"/>
      <c r="AP579" s="80"/>
      <c r="AQ579" s="80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</row>
    <row r="580">
      <c r="A580" s="80"/>
      <c r="B580" s="80"/>
      <c r="C580" s="80"/>
      <c r="D580" s="80"/>
      <c r="E580" s="124"/>
      <c r="F580" s="80"/>
      <c r="G580" s="80"/>
      <c r="H580" s="80"/>
      <c r="I580" s="80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15"/>
      <c r="AK580" s="80"/>
      <c r="AL580" s="80"/>
      <c r="AM580" s="80"/>
      <c r="AN580" s="80"/>
      <c r="AO580" s="80"/>
      <c r="AP580" s="80"/>
      <c r="AQ580" s="80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</row>
    <row r="581">
      <c r="A581" s="80"/>
      <c r="B581" s="80"/>
      <c r="C581" s="80"/>
      <c r="D581" s="80"/>
      <c r="E581" s="124"/>
      <c r="F581" s="80"/>
      <c r="G581" s="80"/>
      <c r="H581" s="80"/>
      <c r="I581" s="80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15"/>
      <c r="AK581" s="80"/>
      <c r="AL581" s="80"/>
      <c r="AM581" s="80"/>
      <c r="AN581" s="80"/>
      <c r="AO581" s="80"/>
      <c r="AP581" s="80"/>
      <c r="AQ581" s="80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</row>
    <row r="582">
      <c r="A582" s="80"/>
      <c r="B582" s="80"/>
      <c r="C582" s="80"/>
      <c r="D582" s="80"/>
      <c r="E582" s="124"/>
      <c r="F582" s="80"/>
      <c r="G582" s="80"/>
      <c r="H582" s="80"/>
      <c r="I582" s="80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15"/>
      <c r="AK582" s="80"/>
      <c r="AL582" s="80"/>
      <c r="AM582" s="80"/>
      <c r="AN582" s="80"/>
      <c r="AO582" s="80"/>
      <c r="AP582" s="80"/>
      <c r="AQ582" s="80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</row>
    <row r="583">
      <c r="A583" s="80"/>
      <c r="B583" s="80"/>
      <c r="C583" s="80"/>
      <c r="D583" s="80"/>
      <c r="E583" s="124"/>
      <c r="F583" s="80"/>
      <c r="G583" s="80"/>
      <c r="H583" s="80"/>
      <c r="I583" s="80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15"/>
      <c r="AK583" s="80"/>
      <c r="AL583" s="80"/>
      <c r="AM583" s="80"/>
      <c r="AN583" s="80"/>
      <c r="AO583" s="80"/>
      <c r="AP583" s="80"/>
      <c r="AQ583" s="80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</row>
    <row r="584">
      <c r="A584" s="80"/>
      <c r="B584" s="80"/>
      <c r="C584" s="80"/>
      <c r="D584" s="80"/>
      <c r="E584" s="124"/>
      <c r="F584" s="80"/>
      <c r="G584" s="80"/>
      <c r="H584" s="80"/>
      <c r="I584" s="80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15"/>
      <c r="AK584" s="80"/>
      <c r="AL584" s="80"/>
      <c r="AM584" s="80"/>
      <c r="AN584" s="80"/>
      <c r="AO584" s="80"/>
      <c r="AP584" s="80"/>
      <c r="AQ584" s="80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</row>
    <row r="585">
      <c r="A585" s="80"/>
      <c r="B585" s="80"/>
      <c r="C585" s="80"/>
      <c r="D585" s="80"/>
      <c r="E585" s="124"/>
      <c r="F585" s="80"/>
      <c r="G585" s="80"/>
      <c r="H585" s="80"/>
      <c r="I585" s="80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15"/>
      <c r="AK585" s="80"/>
      <c r="AL585" s="80"/>
      <c r="AM585" s="80"/>
      <c r="AN585" s="80"/>
      <c r="AO585" s="80"/>
      <c r="AP585" s="80"/>
      <c r="AQ585" s="80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</row>
    <row r="586">
      <c r="A586" s="80"/>
      <c r="B586" s="80"/>
      <c r="C586" s="80"/>
      <c r="D586" s="80"/>
      <c r="E586" s="124"/>
      <c r="F586" s="80"/>
      <c r="G586" s="80"/>
      <c r="H586" s="80"/>
      <c r="I586" s="80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15"/>
      <c r="AK586" s="80"/>
      <c r="AL586" s="80"/>
      <c r="AM586" s="80"/>
      <c r="AN586" s="80"/>
      <c r="AO586" s="80"/>
      <c r="AP586" s="80"/>
      <c r="AQ586" s="80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</row>
    <row r="587">
      <c r="A587" s="80"/>
      <c r="B587" s="80"/>
      <c r="C587" s="80"/>
      <c r="D587" s="80"/>
      <c r="E587" s="124"/>
      <c r="F587" s="80"/>
      <c r="G587" s="80"/>
      <c r="H587" s="80"/>
      <c r="I587" s="80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15"/>
      <c r="AK587" s="80"/>
      <c r="AL587" s="80"/>
      <c r="AM587" s="80"/>
      <c r="AN587" s="80"/>
      <c r="AO587" s="80"/>
      <c r="AP587" s="80"/>
      <c r="AQ587" s="80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</row>
    <row r="588">
      <c r="A588" s="80"/>
      <c r="B588" s="80"/>
      <c r="C588" s="80"/>
      <c r="D588" s="80"/>
      <c r="E588" s="124"/>
      <c r="F588" s="80"/>
      <c r="G588" s="80"/>
      <c r="H588" s="80"/>
      <c r="I588" s="80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15"/>
      <c r="AK588" s="80"/>
      <c r="AL588" s="80"/>
      <c r="AM588" s="80"/>
      <c r="AN588" s="80"/>
      <c r="AO588" s="80"/>
      <c r="AP588" s="80"/>
      <c r="AQ588" s="80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</row>
    <row r="589">
      <c r="A589" s="80"/>
      <c r="B589" s="80"/>
      <c r="C589" s="80"/>
      <c r="D589" s="80"/>
      <c r="E589" s="124"/>
      <c r="F589" s="80"/>
      <c r="G589" s="80"/>
      <c r="H589" s="80"/>
      <c r="I589" s="80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15"/>
      <c r="AK589" s="80"/>
      <c r="AL589" s="80"/>
      <c r="AM589" s="80"/>
      <c r="AN589" s="80"/>
      <c r="AO589" s="80"/>
      <c r="AP589" s="80"/>
      <c r="AQ589" s="80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</row>
    <row r="590">
      <c r="A590" s="80"/>
      <c r="B590" s="80"/>
      <c r="C590" s="80"/>
      <c r="D590" s="80"/>
      <c r="E590" s="124"/>
      <c r="F590" s="80"/>
      <c r="G590" s="80"/>
      <c r="H590" s="80"/>
      <c r="I590" s="80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15"/>
      <c r="AK590" s="80"/>
      <c r="AL590" s="80"/>
      <c r="AM590" s="80"/>
      <c r="AN590" s="80"/>
      <c r="AO590" s="80"/>
      <c r="AP590" s="80"/>
      <c r="AQ590" s="80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</row>
    <row r="591">
      <c r="A591" s="80"/>
      <c r="B591" s="80"/>
      <c r="C591" s="80"/>
      <c r="D591" s="80"/>
      <c r="E591" s="124"/>
      <c r="F591" s="80"/>
      <c r="G591" s="80"/>
      <c r="H591" s="80"/>
      <c r="I591" s="80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15"/>
      <c r="AK591" s="80"/>
      <c r="AL591" s="80"/>
      <c r="AM591" s="80"/>
      <c r="AN591" s="80"/>
      <c r="AO591" s="80"/>
      <c r="AP591" s="80"/>
      <c r="AQ591" s="80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</row>
    <row r="592">
      <c r="A592" s="80"/>
      <c r="B592" s="80"/>
      <c r="C592" s="80"/>
      <c r="D592" s="80"/>
      <c r="E592" s="124"/>
      <c r="F592" s="80"/>
      <c r="G592" s="80"/>
      <c r="H592" s="80"/>
      <c r="I592" s="80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15"/>
      <c r="AK592" s="80"/>
      <c r="AL592" s="80"/>
      <c r="AM592" s="80"/>
      <c r="AN592" s="80"/>
      <c r="AO592" s="80"/>
      <c r="AP592" s="80"/>
      <c r="AQ592" s="80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</row>
    <row r="593">
      <c r="A593" s="80"/>
      <c r="B593" s="80"/>
      <c r="C593" s="80"/>
      <c r="D593" s="80"/>
      <c r="E593" s="124"/>
      <c r="F593" s="80"/>
      <c r="G593" s="80"/>
      <c r="H593" s="80"/>
      <c r="I593" s="80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15"/>
      <c r="AK593" s="80"/>
      <c r="AL593" s="80"/>
      <c r="AM593" s="80"/>
      <c r="AN593" s="80"/>
      <c r="AO593" s="80"/>
      <c r="AP593" s="80"/>
      <c r="AQ593" s="80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</row>
    <row r="594">
      <c r="A594" s="80"/>
      <c r="B594" s="80"/>
      <c r="C594" s="80"/>
      <c r="D594" s="80"/>
      <c r="E594" s="124"/>
      <c r="F594" s="80"/>
      <c r="G594" s="80"/>
      <c r="H594" s="80"/>
      <c r="I594" s="80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15"/>
      <c r="AK594" s="80"/>
      <c r="AL594" s="80"/>
      <c r="AM594" s="80"/>
      <c r="AN594" s="80"/>
      <c r="AO594" s="80"/>
      <c r="AP594" s="80"/>
      <c r="AQ594" s="80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</row>
    <row r="595">
      <c r="A595" s="80"/>
      <c r="B595" s="80"/>
      <c r="C595" s="80"/>
      <c r="D595" s="80"/>
      <c r="E595" s="124"/>
      <c r="F595" s="80"/>
      <c r="G595" s="80"/>
      <c r="H595" s="80"/>
      <c r="I595" s="80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15"/>
      <c r="AK595" s="80"/>
      <c r="AL595" s="80"/>
      <c r="AM595" s="80"/>
      <c r="AN595" s="80"/>
      <c r="AO595" s="80"/>
      <c r="AP595" s="80"/>
      <c r="AQ595" s="80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</row>
    <row r="596">
      <c r="A596" s="80"/>
      <c r="B596" s="80"/>
      <c r="C596" s="80"/>
      <c r="D596" s="80"/>
      <c r="E596" s="124"/>
      <c r="F596" s="80"/>
      <c r="G596" s="80"/>
      <c r="H596" s="80"/>
      <c r="I596" s="80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15"/>
      <c r="AK596" s="80"/>
      <c r="AL596" s="80"/>
      <c r="AM596" s="80"/>
      <c r="AN596" s="80"/>
      <c r="AO596" s="80"/>
      <c r="AP596" s="80"/>
      <c r="AQ596" s="80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</row>
    <row r="597">
      <c r="A597" s="80"/>
      <c r="B597" s="80"/>
      <c r="C597" s="80"/>
      <c r="D597" s="80"/>
      <c r="E597" s="124"/>
      <c r="F597" s="80"/>
      <c r="G597" s="80"/>
      <c r="H597" s="80"/>
      <c r="I597" s="80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15"/>
      <c r="AK597" s="80"/>
      <c r="AL597" s="80"/>
      <c r="AM597" s="80"/>
      <c r="AN597" s="80"/>
      <c r="AO597" s="80"/>
      <c r="AP597" s="80"/>
      <c r="AQ597" s="80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</row>
    <row r="598">
      <c r="A598" s="80"/>
      <c r="B598" s="80"/>
      <c r="C598" s="80"/>
      <c r="D598" s="80"/>
      <c r="E598" s="124"/>
      <c r="F598" s="80"/>
      <c r="G598" s="80"/>
      <c r="H598" s="80"/>
      <c r="I598" s="80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15"/>
      <c r="AK598" s="80"/>
      <c r="AL598" s="80"/>
      <c r="AM598" s="80"/>
      <c r="AN598" s="80"/>
      <c r="AO598" s="80"/>
      <c r="AP598" s="80"/>
      <c r="AQ598" s="80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</row>
    <row r="599">
      <c r="A599" s="80"/>
      <c r="B599" s="80"/>
      <c r="C599" s="80"/>
      <c r="D599" s="80"/>
      <c r="E599" s="124"/>
      <c r="F599" s="80"/>
      <c r="G599" s="80"/>
      <c r="H599" s="80"/>
      <c r="I599" s="80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15"/>
      <c r="AK599" s="80"/>
      <c r="AL599" s="80"/>
      <c r="AM599" s="80"/>
      <c r="AN599" s="80"/>
      <c r="AO599" s="80"/>
      <c r="AP599" s="80"/>
      <c r="AQ599" s="80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</row>
    <row r="600">
      <c r="A600" s="80"/>
      <c r="B600" s="80"/>
      <c r="C600" s="80"/>
      <c r="D600" s="80"/>
      <c r="E600" s="124"/>
      <c r="F600" s="80"/>
      <c r="G600" s="80"/>
      <c r="H600" s="80"/>
      <c r="I600" s="80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15"/>
      <c r="AK600" s="80"/>
      <c r="AL600" s="80"/>
      <c r="AM600" s="80"/>
      <c r="AN600" s="80"/>
      <c r="AO600" s="80"/>
      <c r="AP600" s="80"/>
      <c r="AQ600" s="80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</row>
    <row r="601">
      <c r="A601" s="80"/>
      <c r="B601" s="80"/>
      <c r="C601" s="80"/>
      <c r="D601" s="80"/>
      <c r="E601" s="124"/>
      <c r="F601" s="80"/>
      <c r="G601" s="80"/>
      <c r="H601" s="80"/>
      <c r="I601" s="80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15"/>
      <c r="AK601" s="80"/>
      <c r="AL601" s="80"/>
      <c r="AM601" s="80"/>
      <c r="AN601" s="80"/>
      <c r="AO601" s="80"/>
      <c r="AP601" s="80"/>
      <c r="AQ601" s="80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</row>
    <row r="602">
      <c r="A602" s="80"/>
      <c r="B602" s="80"/>
      <c r="C602" s="80"/>
      <c r="D602" s="80"/>
      <c r="E602" s="124"/>
      <c r="F602" s="80"/>
      <c r="G602" s="80"/>
      <c r="H602" s="80"/>
      <c r="I602" s="80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15"/>
      <c r="AK602" s="80"/>
      <c r="AL602" s="80"/>
      <c r="AM602" s="80"/>
      <c r="AN602" s="80"/>
      <c r="AO602" s="80"/>
      <c r="AP602" s="80"/>
      <c r="AQ602" s="80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</row>
    <row r="603">
      <c r="A603" s="80"/>
      <c r="B603" s="80"/>
      <c r="C603" s="80"/>
      <c r="D603" s="80"/>
      <c r="E603" s="124"/>
      <c r="F603" s="80"/>
      <c r="G603" s="80"/>
      <c r="H603" s="80"/>
      <c r="I603" s="80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15"/>
      <c r="AK603" s="80"/>
      <c r="AL603" s="80"/>
      <c r="AM603" s="80"/>
      <c r="AN603" s="80"/>
      <c r="AO603" s="80"/>
      <c r="AP603" s="80"/>
      <c r="AQ603" s="80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</row>
    <row r="604">
      <c r="A604" s="80"/>
      <c r="B604" s="80"/>
      <c r="C604" s="80"/>
      <c r="D604" s="80"/>
      <c r="E604" s="124"/>
      <c r="F604" s="80"/>
      <c r="G604" s="80"/>
      <c r="H604" s="80"/>
      <c r="I604" s="80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15"/>
      <c r="AK604" s="80"/>
      <c r="AL604" s="80"/>
      <c r="AM604" s="80"/>
      <c r="AN604" s="80"/>
      <c r="AO604" s="80"/>
      <c r="AP604" s="80"/>
      <c r="AQ604" s="80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</row>
    <row r="605">
      <c r="A605" s="80"/>
      <c r="B605" s="80"/>
      <c r="C605" s="80"/>
      <c r="D605" s="80"/>
      <c r="E605" s="124"/>
      <c r="F605" s="80"/>
      <c r="G605" s="80"/>
      <c r="H605" s="80"/>
      <c r="I605" s="80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15"/>
      <c r="AK605" s="80"/>
      <c r="AL605" s="80"/>
      <c r="AM605" s="80"/>
      <c r="AN605" s="80"/>
      <c r="AO605" s="80"/>
      <c r="AP605" s="80"/>
      <c r="AQ605" s="80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</row>
    <row r="606">
      <c r="A606" s="80"/>
      <c r="B606" s="80"/>
      <c r="C606" s="80"/>
      <c r="D606" s="80"/>
      <c r="E606" s="124"/>
      <c r="F606" s="80"/>
      <c r="G606" s="80"/>
      <c r="H606" s="80"/>
      <c r="I606" s="80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15"/>
      <c r="AK606" s="80"/>
      <c r="AL606" s="80"/>
      <c r="AM606" s="80"/>
      <c r="AN606" s="80"/>
      <c r="AO606" s="80"/>
      <c r="AP606" s="80"/>
      <c r="AQ606" s="80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</row>
    <row r="607">
      <c r="A607" s="80"/>
      <c r="B607" s="80"/>
      <c r="C607" s="80"/>
      <c r="D607" s="80"/>
      <c r="E607" s="124"/>
      <c r="F607" s="80"/>
      <c r="G607" s="80"/>
      <c r="H607" s="80"/>
      <c r="I607" s="80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15"/>
      <c r="AK607" s="80"/>
      <c r="AL607" s="80"/>
      <c r="AM607" s="80"/>
      <c r="AN607" s="80"/>
      <c r="AO607" s="80"/>
      <c r="AP607" s="80"/>
      <c r="AQ607" s="80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</row>
    <row r="608">
      <c r="A608" s="80"/>
      <c r="B608" s="80"/>
      <c r="C608" s="80"/>
      <c r="D608" s="80"/>
      <c r="E608" s="124"/>
      <c r="F608" s="80"/>
      <c r="G608" s="80"/>
      <c r="H608" s="80"/>
      <c r="I608" s="80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15"/>
      <c r="AK608" s="80"/>
      <c r="AL608" s="80"/>
      <c r="AM608" s="80"/>
      <c r="AN608" s="80"/>
      <c r="AO608" s="80"/>
      <c r="AP608" s="80"/>
      <c r="AQ608" s="80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</row>
    <row r="609">
      <c r="A609" s="80"/>
      <c r="B609" s="80"/>
      <c r="C609" s="80"/>
      <c r="D609" s="80"/>
      <c r="E609" s="124"/>
      <c r="F609" s="80"/>
      <c r="G609" s="80"/>
      <c r="H609" s="80"/>
      <c r="I609" s="80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15"/>
      <c r="AK609" s="80"/>
      <c r="AL609" s="80"/>
      <c r="AM609" s="80"/>
      <c r="AN609" s="80"/>
      <c r="AO609" s="80"/>
      <c r="AP609" s="80"/>
      <c r="AQ609" s="80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</row>
    <row r="610">
      <c r="A610" s="80"/>
      <c r="B610" s="80"/>
      <c r="C610" s="80"/>
      <c r="D610" s="80"/>
      <c r="E610" s="124"/>
      <c r="F610" s="80"/>
      <c r="G610" s="80"/>
      <c r="H610" s="80"/>
      <c r="I610" s="80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15"/>
      <c r="AK610" s="80"/>
      <c r="AL610" s="80"/>
      <c r="AM610" s="80"/>
      <c r="AN610" s="80"/>
      <c r="AO610" s="80"/>
      <c r="AP610" s="80"/>
      <c r="AQ610" s="80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</row>
    <row r="611">
      <c r="A611" s="80"/>
      <c r="B611" s="80"/>
      <c r="C611" s="80"/>
      <c r="D611" s="80"/>
      <c r="E611" s="124"/>
      <c r="F611" s="80"/>
      <c r="G611" s="80"/>
      <c r="H611" s="80"/>
      <c r="I611" s="80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15"/>
      <c r="AK611" s="80"/>
      <c r="AL611" s="80"/>
      <c r="AM611" s="80"/>
      <c r="AN611" s="80"/>
      <c r="AO611" s="80"/>
      <c r="AP611" s="80"/>
      <c r="AQ611" s="80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</row>
    <row r="612">
      <c r="A612" s="80"/>
      <c r="B612" s="80"/>
      <c r="C612" s="80"/>
      <c r="D612" s="80"/>
      <c r="E612" s="124"/>
      <c r="F612" s="80"/>
      <c r="G612" s="80"/>
      <c r="H612" s="80"/>
      <c r="I612" s="80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15"/>
      <c r="AK612" s="80"/>
      <c r="AL612" s="80"/>
      <c r="AM612" s="80"/>
      <c r="AN612" s="80"/>
      <c r="AO612" s="80"/>
      <c r="AP612" s="80"/>
      <c r="AQ612" s="80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</row>
    <row r="613">
      <c r="A613" s="80"/>
      <c r="B613" s="80"/>
      <c r="C613" s="80"/>
      <c r="D613" s="80"/>
      <c r="E613" s="124"/>
      <c r="F613" s="80"/>
      <c r="G613" s="80"/>
      <c r="H613" s="80"/>
      <c r="I613" s="80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15"/>
      <c r="AK613" s="80"/>
      <c r="AL613" s="80"/>
      <c r="AM613" s="80"/>
      <c r="AN613" s="80"/>
      <c r="AO613" s="80"/>
      <c r="AP613" s="80"/>
      <c r="AQ613" s="80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</row>
    <row r="614">
      <c r="A614" s="80"/>
      <c r="B614" s="80"/>
      <c r="C614" s="80"/>
      <c r="D614" s="80"/>
      <c r="E614" s="124"/>
      <c r="F614" s="80"/>
      <c r="G614" s="80"/>
      <c r="H614" s="80"/>
      <c r="I614" s="80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15"/>
      <c r="AK614" s="80"/>
      <c r="AL614" s="80"/>
      <c r="AM614" s="80"/>
      <c r="AN614" s="80"/>
      <c r="AO614" s="80"/>
      <c r="AP614" s="80"/>
      <c r="AQ614" s="80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</row>
    <row r="615">
      <c r="A615" s="80"/>
      <c r="B615" s="80"/>
      <c r="C615" s="80"/>
      <c r="D615" s="80"/>
      <c r="E615" s="124"/>
      <c r="F615" s="80"/>
      <c r="G615" s="80"/>
      <c r="H615" s="80"/>
      <c r="I615" s="80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15"/>
      <c r="AK615" s="80"/>
      <c r="AL615" s="80"/>
      <c r="AM615" s="80"/>
      <c r="AN615" s="80"/>
      <c r="AO615" s="80"/>
      <c r="AP615" s="80"/>
      <c r="AQ615" s="80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</row>
    <row r="616">
      <c r="A616" s="80"/>
      <c r="B616" s="80"/>
      <c r="C616" s="80"/>
      <c r="D616" s="80"/>
      <c r="E616" s="124"/>
      <c r="F616" s="80"/>
      <c r="G616" s="80"/>
      <c r="H616" s="80"/>
      <c r="I616" s="80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15"/>
      <c r="AK616" s="80"/>
      <c r="AL616" s="80"/>
      <c r="AM616" s="80"/>
      <c r="AN616" s="80"/>
      <c r="AO616" s="80"/>
      <c r="AP616" s="80"/>
      <c r="AQ616" s="80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</row>
    <row r="617">
      <c r="A617" s="80"/>
      <c r="B617" s="80"/>
      <c r="C617" s="80"/>
      <c r="D617" s="80"/>
      <c r="E617" s="124"/>
      <c r="F617" s="80"/>
      <c r="G617" s="80"/>
      <c r="H617" s="80"/>
      <c r="I617" s="80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15"/>
      <c r="AK617" s="80"/>
      <c r="AL617" s="80"/>
      <c r="AM617" s="80"/>
      <c r="AN617" s="80"/>
      <c r="AO617" s="80"/>
      <c r="AP617" s="80"/>
      <c r="AQ617" s="80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</row>
    <row r="618">
      <c r="A618" s="80"/>
      <c r="B618" s="80"/>
      <c r="C618" s="80"/>
      <c r="D618" s="80"/>
      <c r="E618" s="124"/>
      <c r="F618" s="80"/>
      <c r="G618" s="80"/>
      <c r="H618" s="80"/>
      <c r="I618" s="80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15"/>
      <c r="AK618" s="80"/>
      <c r="AL618" s="80"/>
      <c r="AM618" s="80"/>
      <c r="AN618" s="80"/>
      <c r="AO618" s="80"/>
      <c r="AP618" s="80"/>
      <c r="AQ618" s="80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</row>
    <row r="619">
      <c r="A619" s="80"/>
      <c r="B619" s="80"/>
      <c r="C619" s="80"/>
      <c r="D619" s="80"/>
      <c r="E619" s="124"/>
      <c r="F619" s="80"/>
      <c r="G619" s="80"/>
      <c r="H619" s="80"/>
      <c r="I619" s="80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15"/>
      <c r="AK619" s="80"/>
      <c r="AL619" s="80"/>
      <c r="AM619" s="80"/>
      <c r="AN619" s="80"/>
      <c r="AO619" s="80"/>
      <c r="AP619" s="80"/>
      <c r="AQ619" s="80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</row>
    <row r="620">
      <c r="A620" s="80"/>
      <c r="B620" s="80"/>
      <c r="C620" s="80"/>
      <c r="D620" s="80"/>
      <c r="E620" s="124"/>
      <c r="F620" s="80"/>
      <c r="G620" s="80"/>
      <c r="H620" s="80"/>
      <c r="I620" s="80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15"/>
      <c r="AK620" s="80"/>
      <c r="AL620" s="80"/>
      <c r="AM620" s="80"/>
      <c r="AN620" s="80"/>
      <c r="AO620" s="80"/>
      <c r="AP620" s="80"/>
      <c r="AQ620" s="80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</row>
    <row r="621">
      <c r="A621" s="80"/>
      <c r="B621" s="80"/>
      <c r="C621" s="80"/>
      <c r="D621" s="80"/>
      <c r="E621" s="124"/>
      <c r="F621" s="80"/>
      <c r="G621" s="80"/>
      <c r="H621" s="80"/>
      <c r="I621" s="80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15"/>
      <c r="AK621" s="80"/>
      <c r="AL621" s="80"/>
      <c r="AM621" s="80"/>
      <c r="AN621" s="80"/>
      <c r="AO621" s="80"/>
      <c r="AP621" s="80"/>
      <c r="AQ621" s="80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</row>
    <row r="622">
      <c r="A622" s="80"/>
      <c r="B622" s="80"/>
      <c r="C622" s="80"/>
      <c r="D622" s="80"/>
      <c r="E622" s="124"/>
      <c r="F622" s="80"/>
      <c r="G622" s="80"/>
      <c r="H622" s="80"/>
      <c r="I622" s="80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15"/>
      <c r="AK622" s="80"/>
      <c r="AL622" s="80"/>
      <c r="AM622" s="80"/>
      <c r="AN622" s="80"/>
      <c r="AO622" s="80"/>
      <c r="AP622" s="80"/>
      <c r="AQ622" s="80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</row>
    <row r="623">
      <c r="A623" s="80"/>
      <c r="B623" s="80"/>
      <c r="C623" s="80"/>
      <c r="D623" s="80"/>
      <c r="E623" s="124"/>
      <c r="F623" s="80"/>
      <c r="G623" s="80"/>
      <c r="H623" s="80"/>
      <c r="I623" s="80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15"/>
      <c r="AK623" s="80"/>
      <c r="AL623" s="80"/>
      <c r="AM623" s="80"/>
      <c r="AN623" s="80"/>
      <c r="AO623" s="80"/>
      <c r="AP623" s="80"/>
      <c r="AQ623" s="80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</row>
    <row r="624">
      <c r="A624" s="80"/>
      <c r="B624" s="80"/>
      <c r="C624" s="80"/>
      <c r="D624" s="80"/>
      <c r="E624" s="124"/>
      <c r="F624" s="80"/>
      <c r="G624" s="80"/>
      <c r="H624" s="80"/>
      <c r="I624" s="80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15"/>
      <c r="AK624" s="80"/>
      <c r="AL624" s="80"/>
      <c r="AM624" s="80"/>
      <c r="AN624" s="80"/>
      <c r="AO624" s="80"/>
      <c r="AP624" s="80"/>
      <c r="AQ624" s="80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</row>
    <row r="625">
      <c r="A625" s="80"/>
      <c r="B625" s="80"/>
      <c r="C625" s="80"/>
      <c r="D625" s="80"/>
      <c r="E625" s="124"/>
      <c r="F625" s="80"/>
      <c r="G625" s="80"/>
      <c r="H625" s="80"/>
      <c r="I625" s="80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15"/>
      <c r="AK625" s="80"/>
      <c r="AL625" s="80"/>
      <c r="AM625" s="80"/>
      <c r="AN625" s="80"/>
      <c r="AO625" s="80"/>
      <c r="AP625" s="80"/>
      <c r="AQ625" s="80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</row>
    <row r="626">
      <c r="A626" s="80"/>
      <c r="B626" s="80"/>
      <c r="C626" s="80"/>
      <c r="D626" s="80"/>
      <c r="E626" s="124"/>
      <c r="F626" s="80"/>
      <c r="G626" s="80"/>
      <c r="H626" s="80"/>
      <c r="I626" s="80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15"/>
      <c r="AK626" s="80"/>
      <c r="AL626" s="80"/>
      <c r="AM626" s="80"/>
      <c r="AN626" s="80"/>
      <c r="AO626" s="80"/>
      <c r="AP626" s="80"/>
      <c r="AQ626" s="80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</row>
    <row r="627">
      <c r="A627" s="80"/>
      <c r="B627" s="80"/>
      <c r="C627" s="80"/>
      <c r="D627" s="80"/>
      <c r="E627" s="124"/>
      <c r="F627" s="80"/>
      <c r="G627" s="80"/>
      <c r="H627" s="80"/>
      <c r="I627" s="80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15"/>
      <c r="AK627" s="80"/>
      <c r="AL627" s="80"/>
      <c r="AM627" s="80"/>
      <c r="AN627" s="80"/>
      <c r="AO627" s="80"/>
      <c r="AP627" s="80"/>
      <c r="AQ627" s="80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</row>
    <row r="628">
      <c r="A628" s="80"/>
      <c r="B628" s="80"/>
      <c r="C628" s="80"/>
      <c r="D628" s="80"/>
      <c r="E628" s="124"/>
      <c r="F628" s="80"/>
      <c r="G628" s="80"/>
      <c r="H628" s="80"/>
      <c r="I628" s="80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15"/>
      <c r="AK628" s="80"/>
      <c r="AL628" s="80"/>
      <c r="AM628" s="80"/>
      <c r="AN628" s="80"/>
      <c r="AO628" s="80"/>
      <c r="AP628" s="80"/>
      <c r="AQ628" s="80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</row>
    <row r="629">
      <c r="A629" s="80"/>
      <c r="B629" s="80"/>
      <c r="C629" s="80"/>
      <c r="D629" s="80"/>
      <c r="E629" s="124"/>
      <c r="F629" s="80"/>
      <c r="G629" s="80"/>
      <c r="H629" s="80"/>
      <c r="I629" s="80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15"/>
      <c r="AK629" s="80"/>
      <c r="AL629" s="80"/>
      <c r="AM629" s="80"/>
      <c r="AN629" s="80"/>
      <c r="AO629" s="80"/>
      <c r="AP629" s="80"/>
      <c r="AQ629" s="80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</row>
    <row r="630">
      <c r="A630" s="80"/>
      <c r="B630" s="80"/>
      <c r="C630" s="80"/>
      <c r="D630" s="80"/>
      <c r="E630" s="124"/>
      <c r="F630" s="80"/>
      <c r="G630" s="80"/>
      <c r="H630" s="80"/>
      <c r="I630" s="80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15"/>
      <c r="AK630" s="80"/>
      <c r="AL630" s="80"/>
      <c r="AM630" s="80"/>
      <c r="AN630" s="80"/>
      <c r="AO630" s="80"/>
      <c r="AP630" s="80"/>
      <c r="AQ630" s="80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</row>
    <row r="631">
      <c r="A631" s="80"/>
      <c r="B631" s="80"/>
      <c r="C631" s="80"/>
      <c r="D631" s="80"/>
      <c r="E631" s="124"/>
      <c r="F631" s="80"/>
      <c r="G631" s="80"/>
      <c r="H631" s="80"/>
      <c r="I631" s="80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15"/>
      <c r="AK631" s="80"/>
      <c r="AL631" s="80"/>
      <c r="AM631" s="80"/>
      <c r="AN631" s="80"/>
      <c r="AO631" s="80"/>
      <c r="AP631" s="80"/>
      <c r="AQ631" s="80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</row>
    <row r="632">
      <c r="A632" s="80"/>
      <c r="B632" s="80"/>
      <c r="C632" s="80"/>
      <c r="D632" s="80"/>
      <c r="E632" s="124"/>
      <c r="F632" s="80"/>
      <c r="G632" s="80"/>
      <c r="H632" s="80"/>
      <c r="I632" s="80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15"/>
      <c r="AK632" s="80"/>
      <c r="AL632" s="80"/>
      <c r="AM632" s="80"/>
      <c r="AN632" s="80"/>
      <c r="AO632" s="80"/>
      <c r="AP632" s="80"/>
      <c r="AQ632" s="80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</row>
    <row r="633">
      <c r="A633" s="80"/>
      <c r="B633" s="80"/>
      <c r="C633" s="80"/>
      <c r="D633" s="80"/>
      <c r="E633" s="124"/>
      <c r="F633" s="80"/>
      <c r="G633" s="80"/>
      <c r="H633" s="80"/>
      <c r="I633" s="80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15"/>
      <c r="AK633" s="80"/>
      <c r="AL633" s="80"/>
      <c r="AM633" s="80"/>
      <c r="AN633" s="80"/>
      <c r="AO633" s="80"/>
      <c r="AP633" s="80"/>
      <c r="AQ633" s="80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</row>
    <row r="634">
      <c r="A634" s="80"/>
      <c r="B634" s="80"/>
      <c r="C634" s="80"/>
      <c r="D634" s="80"/>
      <c r="E634" s="124"/>
      <c r="F634" s="80"/>
      <c r="G634" s="80"/>
      <c r="H634" s="80"/>
      <c r="I634" s="80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15"/>
      <c r="AK634" s="80"/>
      <c r="AL634" s="80"/>
      <c r="AM634" s="80"/>
      <c r="AN634" s="80"/>
      <c r="AO634" s="80"/>
      <c r="AP634" s="80"/>
      <c r="AQ634" s="80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</row>
    <row r="635">
      <c r="A635" s="80"/>
      <c r="B635" s="80"/>
      <c r="C635" s="80"/>
      <c r="D635" s="80"/>
      <c r="E635" s="124"/>
      <c r="F635" s="80"/>
      <c r="G635" s="80"/>
      <c r="H635" s="80"/>
      <c r="I635" s="80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15"/>
      <c r="AK635" s="80"/>
      <c r="AL635" s="80"/>
      <c r="AM635" s="80"/>
      <c r="AN635" s="80"/>
      <c r="AO635" s="80"/>
      <c r="AP635" s="80"/>
      <c r="AQ635" s="80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</row>
    <row r="636">
      <c r="A636" s="80"/>
      <c r="B636" s="80"/>
      <c r="C636" s="80"/>
      <c r="D636" s="80"/>
      <c r="E636" s="124"/>
      <c r="F636" s="80"/>
      <c r="G636" s="80"/>
      <c r="H636" s="80"/>
      <c r="I636" s="80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15"/>
      <c r="AK636" s="80"/>
      <c r="AL636" s="80"/>
      <c r="AM636" s="80"/>
      <c r="AN636" s="80"/>
      <c r="AO636" s="80"/>
      <c r="AP636" s="80"/>
      <c r="AQ636" s="80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</row>
    <row r="637">
      <c r="A637" s="80"/>
      <c r="B637" s="80"/>
      <c r="C637" s="80"/>
      <c r="D637" s="80"/>
      <c r="E637" s="124"/>
      <c r="F637" s="80"/>
      <c r="G637" s="80"/>
      <c r="H637" s="80"/>
      <c r="I637" s="80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15"/>
      <c r="AK637" s="80"/>
      <c r="AL637" s="80"/>
      <c r="AM637" s="80"/>
      <c r="AN637" s="80"/>
      <c r="AO637" s="80"/>
      <c r="AP637" s="80"/>
      <c r="AQ637" s="80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</row>
    <row r="638">
      <c r="A638" s="80"/>
      <c r="B638" s="80"/>
      <c r="C638" s="80"/>
      <c r="D638" s="80"/>
      <c r="E638" s="124"/>
      <c r="F638" s="80"/>
      <c r="G638" s="80"/>
      <c r="H638" s="80"/>
      <c r="I638" s="80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15"/>
      <c r="AK638" s="80"/>
      <c r="AL638" s="80"/>
      <c r="AM638" s="80"/>
      <c r="AN638" s="80"/>
      <c r="AO638" s="80"/>
      <c r="AP638" s="80"/>
      <c r="AQ638" s="80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</row>
    <row r="639">
      <c r="A639" s="80"/>
      <c r="B639" s="80"/>
      <c r="C639" s="80"/>
      <c r="D639" s="80"/>
      <c r="E639" s="124"/>
      <c r="F639" s="80"/>
      <c r="G639" s="80"/>
      <c r="H639" s="80"/>
      <c r="I639" s="80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15"/>
      <c r="AK639" s="80"/>
      <c r="AL639" s="80"/>
      <c r="AM639" s="80"/>
      <c r="AN639" s="80"/>
      <c r="AO639" s="80"/>
      <c r="AP639" s="80"/>
      <c r="AQ639" s="80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</row>
    <row r="640">
      <c r="A640" s="80"/>
      <c r="B640" s="80"/>
      <c r="C640" s="80"/>
      <c r="D640" s="80"/>
      <c r="E640" s="124"/>
      <c r="F640" s="80"/>
      <c r="G640" s="80"/>
      <c r="H640" s="80"/>
      <c r="I640" s="80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15"/>
      <c r="AK640" s="80"/>
      <c r="AL640" s="80"/>
      <c r="AM640" s="80"/>
      <c r="AN640" s="80"/>
      <c r="AO640" s="80"/>
      <c r="AP640" s="80"/>
      <c r="AQ640" s="80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</row>
    <row r="641">
      <c r="A641" s="80"/>
      <c r="B641" s="80"/>
      <c r="C641" s="80"/>
      <c r="D641" s="80"/>
      <c r="E641" s="124"/>
      <c r="F641" s="80"/>
      <c r="G641" s="80"/>
      <c r="H641" s="80"/>
      <c r="I641" s="80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15"/>
      <c r="AK641" s="80"/>
      <c r="AL641" s="80"/>
      <c r="AM641" s="80"/>
      <c r="AN641" s="80"/>
      <c r="AO641" s="80"/>
      <c r="AP641" s="80"/>
      <c r="AQ641" s="80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</row>
    <row r="642">
      <c r="A642" s="80"/>
      <c r="B642" s="80"/>
      <c r="C642" s="80"/>
      <c r="D642" s="80"/>
      <c r="E642" s="124"/>
      <c r="F642" s="80"/>
      <c r="G642" s="80"/>
      <c r="H642" s="80"/>
      <c r="I642" s="80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15"/>
      <c r="AK642" s="80"/>
      <c r="AL642" s="80"/>
      <c r="AM642" s="80"/>
      <c r="AN642" s="80"/>
      <c r="AO642" s="80"/>
      <c r="AP642" s="80"/>
      <c r="AQ642" s="80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</row>
    <row r="643">
      <c r="A643" s="80"/>
      <c r="B643" s="80"/>
      <c r="C643" s="80"/>
      <c r="D643" s="80"/>
      <c r="E643" s="124"/>
      <c r="F643" s="80"/>
      <c r="G643" s="80"/>
      <c r="H643" s="80"/>
      <c r="I643" s="80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15"/>
      <c r="AK643" s="80"/>
      <c r="AL643" s="80"/>
      <c r="AM643" s="80"/>
      <c r="AN643" s="80"/>
      <c r="AO643" s="80"/>
      <c r="AP643" s="80"/>
      <c r="AQ643" s="80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</row>
    <row r="644">
      <c r="A644" s="80"/>
      <c r="B644" s="80"/>
      <c r="C644" s="80"/>
      <c r="D644" s="80"/>
      <c r="E644" s="124"/>
      <c r="F644" s="80"/>
      <c r="G644" s="80"/>
      <c r="H644" s="80"/>
      <c r="I644" s="80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15"/>
      <c r="AK644" s="80"/>
      <c r="AL644" s="80"/>
      <c r="AM644" s="80"/>
      <c r="AN644" s="80"/>
      <c r="AO644" s="80"/>
      <c r="AP644" s="80"/>
      <c r="AQ644" s="80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</row>
    <row r="645">
      <c r="A645" s="80"/>
      <c r="B645" s="80"/>
      <c r="C645" s="80"/>
      <c r="D645" s="80"/>
      <c r="E645" s="124"/>
      <c r="F645" s="80"/>
      <c r="G645" s="80"/>
      <c r="H645" s="80"/>
      <c r="I645" s="80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15"/>
      <c r="AK645" s="80"/>
      <c r="AL645" s="80"/>
      <c r="AM645" s="80"/>
      <c r="AN645" s="80"/>
      <c r="AO645" s="80"/>
      <c r="AP645" s="80"/>
      <c r="AQ645" s="80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</row>
    <row r="646">
      <c r="A646" s="80"/>
      <c r="B646" s="80"/>
      <c r="C646" s="80"/>
      <c r="D646" s="80"/>
      <c r="E646" s="124"/>
      <c r="F646" s="80"/>
      <c r="G646" s="80"/>
      <c r="H646" s="80"/>
      <c r="I646" s="80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15"/>
      <c r="AK646" s="80"/>
      <c r="AL646" s="80"/>
      <c r="AM646" s="80"/>
      <c r="AN646" s="80"/>
      <c r="AO646" s="80"/>
      <c r="AP646" s="80"/>
      <c r="AQ646" s="80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</row>
    <row r="647">
      <c r="A647" s="80"/>
      <c r="B647" s="80"/>
      <c r="C647" s="80"/>
      <c r="D647" s="80"/>
      <c r="E647" s="124"/>
      <c r="F647" s="80"/>
      <c r="G647" s="80"/>
      <c r="H647" s="80"/>
      <c r="I647" s="80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15"/>
      <c r="AK647" s="80"/>
      <c r="AL647" s="80"/>
      <c r="AM647" s="80"/>
      <c r="AN647" s="80"/>
      <c r="AO647" s="80"/>
      <c r="AP647" s="80"/>
      <c r="AQ647" s="80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</row>
    <row r="648">
      <c r="A648" s="80"/>
      <c r="B648" s="80"/>
      <c r="C648" s="80"/>
      <c r="D648" s="80"/>
      <c r="E648" s="124"/>
      <c r="F648" s="80"/>
      <c r="G648" s="80"/>
      <c r="H648" s="80"/>
      <c r="I648" s="80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15"/>
      <c r="AK648" s="80"/>
      <c r="AL648" s="80"/>
      <c r="AM648" s="80"/>
      <c r="AN648" s="80"/>
      <c r="AO648" s="80"/>
      <c r="AP648" s="80"/>
      <c r="AQ648" s="80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</row>
    <row r="649">
      <c r="A649" s="80"/>
      <c r="B649" s="80"/>
      <c r="C649" s="80"/>
      <c r="D649" s="80"/>
      <c r="E649" s="124"/>
      <c r="F649" s="80"/>
      <c r="G649" s="80"/>
      <c r="H649" s="80"/>
      <c r="I649" s="80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15"/>
      <c r="AK649" s="80"/>
      <c r="AL649" s="80"/>
      <c r="AM649" s="80"/>
      <c r="AN649" s="80"/>
      <c r="AO649" s="80"/>
      <c r="AP649" s="80"/>
      <c r="AQ649" s="80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</row>
    <row r="650">
      <c r="A650" s="80"/>
      <c r="B650" s="80"/>
      <c r="C650" s="80"/>
      <c r="D650" s="80"/>
      <c r="E650" s="124"/>
      <c r="F650" s="80"/>
      <c r="G650" s="80"/>
      <c r="H650" s="80"/>
      <c r="I650" s="80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15"/>
      <c r="AK650" s="80"/>
      <c r="AL650" s="80"/>
      <c r="AM650" s="80"/>
      <c r="AN650" s="80"/>
      <c r="AO650" s="80"/>
      <c r="AP650" s="80"/>
      <c r="AQ650" s="80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</row>
    <row r="651">
      <c r="A651" s="80"/>
      <c r="B651" s="80"/>
      <c r="C651" s="80"/>
      <c r="D651" s="80"/>
      <c r="E651" s="124"/>
      <c r="F651" s="80"/>
      <c r="G651" s="80"/>
      <c r="H651" s="80"/>
      <c r="I651" s="80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15"/>
      <c r="AK651" s="80"/>
      <c r="AL651" s="80"/>
      <c r="AM651" s="80"/>
      <c r="AN651" s="80"/>
      <c r="AO651" s="80"/>
      <c r="AP651" s="80"/>
      <c r="AQ651" s="80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</row>
    <row r="652">
      <c r="A652" s="80"/>
      <c r="B652" s="80"/>
      <c r="C652" s="80"/>
      <c r="D652" s="80"/>
      <c r="E652" s="124"/>
      <c r="F652" s="80"/>
      <c r="G652" s="80"/>
      <c r="H652" s="80"/>
      <c r="I652" s="80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15"/>
      <c r="AK652" s="80"/>
      <c r="AL652" s="80"/>
      <c r="AM652" s="80"/>
      <c r="AN652" s="80"/>
      <c r="AO652" s="80"/>
      <c r="AP652" s="80"/>
      <c r="AQ652" s="80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</row>
    <row r="653">
      <c r="A653" s="80"/>
      <c r="B653" s="80"/>
      <c r="C653" s="80"/>
      <c r="D653" s="80"/>
      <c r="E653" s="124"/>
      <c r="F653" s="80"/>
      <c r="G653" s="80"/>
      <c r="H653" s="80"/>
      <c r="I653" s="80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15"/>
      <c r="AK653" s="80"/>
      <c r="AL653" s="80"/>
      <c r="AM653" s="80"/>
      <c r="AN653" s="80"/>
      <c r="AO653" s="80"/>
      <c r="AP653" s="80"/>
      <c r="AQ653" s="80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</row>
    <row r="654">
      <c r="A654" s="80"/>
      <c r="B654" s="80"/>
      <c r="C654" s="80"/>
      <c r="D654" s="80"/>
      <c r="E654" s="124"/>
      <c r="F654" s="80"/>
      <c r="G654" s="80"/>
      <c r="H654" s="80"/>
      <c r="I654" s="80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15"/>
      <c r="AK654" s="80"/>
      <c r="AL654" s="80"/>
      <c r="AM654" s="80"/>
      <c r="AN654" s="80"/>
      <c r="AO654" s="80"/>
      <c r="AP654" s="80"/>
      <c r="AQ654" s="80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</row>
    <row r="655">
      <c r="A655" s="80"/>
      <c r="B655" s="80"/>
      <c r="C655" s="80"/>
      <c r="D655" s="80"/>
      <c r="E655" s="124"/>
      <c r="F655" s="80"/>
      <c r="G655" s="80"/>
      <c r="H655" s="80"/>
      <c r="I655" s="80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15"/>
      <c r="AK655" s="80"/>
      <c r="AL655" s="80"/>
      <c r="AM655" s="80"/>
      <c r="AN655" s="80"/>
      <c r="AO655" s="80"/>
      <c r="AP655" s="80"/>
      <c r="AQ655" s="80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</row>
    <row r="656">
      <c r="A656" s="80"/>
      <c r="B656" s="80"/>
      <c r="C656" s="80"/>
      <c r="D656" s="80"/>
      <c r="E656" s="124"/>
      <c r="F656" s="80"/>
      <c r="G656" s="80"/>
      <c r="H656" s="80"/>
      <c r="I656" s="80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15"/>
      <c r="AK656" s="80"/>
      <c r="AL656" s="80"/>
      <c r="AM656" s="80"/>
      <c r="AN656" s="80"/>
      <c r="AO656" s="80"/>
      <c r="AP656" s="80"/>
      <c r="AQ656" s="80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</row>
    <row r="657">
      <c r="A657" s="80"/>
      <c r="B657" s="80"/>
      <c r="C657" s="80"/>
      <c r="D657" s="80"/>
      <c r="E657" s="124"/>
      <c r="F657" s="80"/>
      <c r="G657" s="80"/>
      <c r="H657" s="80"/>
      <c r="I657" s="80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15"/>
      <c r="AK657" s="80"/>
      <c r="AL657" s="80"/>
      <c r="AM657" s="80"/>
      <c r="AN657" s="80"/>
      <c r="AO657" s="80"/>
      <c r="AP657" s="80"/>
      <c r="AQ657" s="80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</row>
    <row r="658">
      <c r="A658" s="80"/>
      <c r="B658" s="80"/>
      <c r="C658" s="80"/>
      <c r="D658" s="80"/>
      <c r="E658" s="124"/>
      <c r="F658" s="80"/>
      <c r="G658" s="80"/>
      <c r="H658" s="80"/>
      <c r="I658" s="80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15"/>
      <c r="AK658" s="80"/>
      <c r="AL658" s="80"/>
      <c r="AM658" s="80"/>
      <c r="AN658" s="80"/>
      <c r="AO658" s="80"/>
      <c r="AP658" s="80"/>
      <c r="AQ658" s="80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</row>
    <row r="659">
      <c r="A659" s="80"/>
      <c r="B659" s="80"/>
      <c r="C659" s="80"/>
      <c r="D659" s="80"/>
      <c r="E659" s="124"/>
      <c r="F659" s="80"/>
      <c r="G659" s="80"/>
      <c r="H659" s="80"/>
      <c r="I659" s="80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15"/>
      <c r="AK659" s="80"/>
      <c r="AL659" s="80"/>
      <c r="AM659" s="80"/>
      <c r="AN659" s="80"/>
      <c r="AO659" s="80"/>
      <c r="AP659" s="80"/>
      <c r="AQ659" s="80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</row>
    <row r="660">
      <c r="A660" s="80"/>
      <c r="B660" s="80"/>
      <c r="C660" s="80"/>
      <c r="D660" s="80"/>
      <c r="E660" s="124"/>
      <c r="F660" s="80"/>
      <c r="G660" s="80"/>
      <c r="H660" s="80"/>
      <c r="I660" s="80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15"/>
      <c r="AK660" s="80"/>
      <c r="AL660" s="80"/>
      <c r="AM660" s="80"/>
      <c r="AN660" s="80"/>
      <c r="AO660" s="80"/>
      <c r="AP660" s="80"/>
      <c r="AQ660" s="80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</row>
    <row r="661">
      <c r="A661" s="80"/>
      <c r="B661" s="80"/>
      <c r="C661" s="80"/>
      <c r="D661" s="80"/>
      <c r="E661" s="124"/>
      <c r="F661" s="80"/>
      <c r="G661" s="80"/>
      <c r="H661" s="80"/>
      <c r="I661" s="80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15"/>
      <c r="AK661" s="80"/>
      <c r="AL661" s="80"/>
      <c r="AM661" s="80"/>
      <c r="AN661" s="80"/>
      <c r="AO661" s="80"/>
      <c r="AP661" s="80"/>
      <c r="AQ661" s="80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</row>
    <row r="662">
      <c r="A662" s="80"/>
      <c r="B662" s="80"/>
      <c r="C662" s="80"/>
      <c r="D662" s="80"/>
      <c r="E662" s="124"/>
      <c r="F662" s="80"/>
      <c r="G662" s="80"/>
      <c r="H662" s="80"/>
      <c r="I662" s="80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15"/>
      <c r="AK662" s="80"/>
      <c r="AL662" s="80"/>
      <c r="AM662" s="80"/>
      <c r="AN662" s="80"/>
      <c r="AO662" s="80"/>
      <c r="AP662" s="80"/>
      <c r="AQ662" s="80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</row>
    <row r="663">
      <c r="A663" s="80"/>
      <c r="B663" s="80"/>
      <c r="C663" s="80"/>
      <c r="D663" s="80"/>
      <c r="E663" s="124"/>
      <c r="F663" s="80"/>
      <c r="G663" s="80"/>
      <c r="H663" s="80"/>
      <c r="I663" s="80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15"/>
      <c r="AK663" s="80"/>
      <c r="AL663" s="80"/>
      <c r="AM663" s="80"/>
      <c r="AN663" s="80"/>
      <c r="AO663" s="80"/>
      <c r="AP663" s="80"/>
      <c r="AQ663" s="80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</row>
    <row r="664">
      <c r="A664" s="80"/>
      <c r="B664" s="80"/>
      <c r="C664" s="80"/>
      <c r="D664" s="80"/>
      <c r="E664" s="124"/>
      <c r="F664" s="80"/>
      <c r="G664" s="80"/>
      <c r="H664" s="80"/>
      <c r="I664" s="80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15"/>
      <c r="AK664" s="80"/>
      <c r="AL664" s="80"/>
      <c r="AM664" s="80"/>
      <c r="AN664" s="80"/>
      <c r="AO664" s="80"/>
      <c r="AP664" s="80"/>
      <c r="AQ664" s="80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</row>
    <row r="665">
      <c r="A665" s="80"/>
      <c r="B665" s="80"/>
      <c r="C665" s="80"/>
      <c r="D665" s="80"/>
      <c r="E665" s="124"/>
      <c r="F665" s="80"/>
      <c r="G665" s="80"/>
      <c r="H665" s="80"/>
      <c r="I665" s="80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15"/>
      <c r="AK665" s="80"/>
      <c r="AL665" s="80"/>
      <c r="AM665" s="80"/>
      <c r="AN665" s="80"/>
      <c r="AO665" s="80"/>
      <c r="AP665" s="80"/>
      <c r="AQ665" s="80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</row>
    <row r="666">
      <c r="A666" s="80"/>
      <c r="B666" s="80"/>
      <c r="C666" s="80"/>
      <c r="D666" s="80"/>
      <c r="E666" s="124"/>
      <c r="F666" s="80"/>
      <c r="G666" s="80"/>
      <c r="H666" s="80"/>
      <c r="I666" s="80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15"/>
      <c r="AK666" s="80"/>
      <c r="AL666" s="80"/>
      <c r="AM666" s="80"/>
      <c r="AN666" s="80"/>
      <c r="AO666" s="80"/>
      <c r="AP666" s="80"/>
      <c r="AQ666" s="80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</row>
    <row r="667">
      <c r="A667" s="80"/>
      <c r="B667" s="80"/>
      <c r="C667" s="80"/>
      <c r="D667" s="80"/>
      <c r="E667" s="124"/>
      <c r="F667" s="80"/>
      <c r="G667" s="80"/>
      <c r="H667" s="80"/>
      <c r="I667" s="80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15"/>
      <c r="AK667" s="80"/>
      <c r="AL667" s="80"/>
      <c r="AM667" s="80"/>
      <c r="AN667" s="80"/>
      <c r="AO667" s="80"/>
      <c r="AP667" s="80"/>
      <c r="AQ667" s="80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</row>
    <row r="668">
      <c r="A668" s="80"/>
      <c r="B668" s="80"/>
      <c r="C668" s="80"/>
      <c r="D668" s="80"/>
      <c r="E668" s="124"/>
      <c r="F668" s="80"/>
      <c r="G668" s="80"/>
      <c r="H668" s="80"/>
      <c r="I668" s="80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15"/>
      <c r="AK668" s="80"/>
      <c r="AL668" s="80"/>
      <c r="AM668" s="80"/>
      <c r="AN668" s="80"/>
      <c r="AO668" s="80"/>
      <c r="AP668" s="80"/>
      <c r="AQ668" s="80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</row>
    <row r="669">
      <c r="A669" s="80"/>
      <c r="B669" s="80"/>
      <c r="C669" s="80"/>
      <c r="D669" s="80"/>
      <c r="E669" s="124"/>
      <c r="F669" s="80"/>
      <c r="G669" s="80"/>
      <c r="H669" s="80"/>
      <c r="I669" s="80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15"/>
      <c r="AK669" s="80"/>
      <c r="AL669" s="80"/>
      <c r="AM669" s="80"/>
      <c r="AN669" s="80"/>
      <c r="AO669" s="80"/>
      <c r="AP669" s="80"/>
      <c r="AQ669" s="80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</row>
    <row r="670">
      <c r="A670" s="80"/>
      <c r="B670" s="80"/>
      <c r="C670" s="80"/>
      <c r="D670" s="80"/>
      <c r="E670" s="124"/>
      <c r="F670" s="80"/>
      <c r="G670" s="80"/>
      <c r="H670" s="80"/>
      <c r="I670" s="80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15"/>
      <c r="AK670" s="80"/>
      <c r="AL670" s="80"/>
      <c r="AM670" s="80"/>
      <c r="AN670" s="80"/>
      <c r="AO670" s="80"/>
      <c r="AP670" s="80"/>
      <c r="AQ670" s="80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</row>
    <row r="671">
      <c r="A671" s="80"/>
      <c r="B671" s="80"/>
      <c r="C671" s="80"/>
      <c r="D671" s="80"/>
      <c r="E671" s="124"/>
      <c r="F671" s="80"/>
      <c r="G671" s="80"/>
      <c r="H671" s="80"/>
      <c r="I671" s="80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15"/>
      <c r="AK671" s="80"/>
      <c r="AL671" s="80"/>
      <c r="AM671" s="80"/>
      <c r="AN671" s="80"/>
      <c r="AO671" s="80"/>
      <c r="AP671" s="80"/>
      <c r="AQ671" s="80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</row>
    <row r="672">
      <c r="A672" s="80"/>
      <c r="B672" s="80"/>
      <c r="C672" s="80"/>
      <c r="D672" s="80"/>
      <c r="E672" s="124"/>
      <c r="F672" s="80"/>
      <c r="G672" s="80"/>
      <c r="H672" s="80"/>
      <c r="I672" s="80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15"/>
      <c r="AK672" s="80"/>
      <c r="AL672" s="80"/>
      <c r="AM672" s="80"/>
      <c r="AN672" s="80"/>
      <c r="AO672" s="80"/>
      <c r="AP672" s="80"/>
      <c r="AQ672" s="80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</row>
    <row r="673">
      <c r="A673" s="80"/>
      <c r="B673" s="80"/>
      <c r="C673" s="80"/>
      <c r="D673" s="80"/>
      <c r="E673" s="124"/>
      <c r="F673" s="80"/>
      <c r="G673" s="80"/>
      <c r="H673" s="80"/>
      <c r="I673" s="80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15"/>
      <c r="AK673" s="80"/>
      <c r="AL673" s="80"/>
      <c r="AM673" s="80"/>
      <c r="AN673" s="80"/>
      <c r="AO673" s="80"/>
      <c r="AP673" s="80"/>
      <c r="AQ673" s="80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</row>
    <row r="674">
      <c r="A674" s="80"/>
      <c r="B674" s="80"/>
      <c r="C674" s="80"/>
      <c r="D674" s="80"/>
      <c r="E674" s="124"/>
      <c r="F674" s="80"/>
      <c r="G674" s="80"/>
      <c r="H674" s="80"/>
      <c r="I674" s="80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15"/>
      <c r="AK674" s="80"/>
      <c r="AL674" s="80"/>
      <c r="AM674" s="80"/>
      <c r="AN674" s="80"/>
      <c r="AO674" s="80"/>
      <c r="AP674" s="80"/>
      <c r="AQ674" s="80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</row>
    <row r="675">
      <c r="A675" s="80"/>
      <c r="B675" s="80"/>
      <c r="C675" s="80"/>
      <c r="D675" s="80"/>
      <c r="E675" s="124"/>
      <c r="F675" s="80"/>
      <c r="G675" s="80"/>
      <c r="H675" s="80"/>
      <c r="I675" s="80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15"/>
      <c r="AK675" s="80"/>
      <c r="AL675" s="80"/>
      <c r="AM675" s="80"/>
      <c r="AN675" s="80"/>
      <c r="AO675" s="80"/>
      <c r="AP675" s="80"/>
      <c r="AQ675" s="80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</row>
    <row r="676">
      <c r="A676" s="80"/>
      <c r="B676" s="80"/>
      <c r="C676" s="80"/>
      <c r="D676" s="80"/>
      <c r="E676" s="124"/>
      <c r="F676" s="80"/>
      <c r="G676" s="80"/>
      <c r="H676" s="80"/>
      <c r="I676" s="80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15"/>
      <c r="AK676" s="80"/>
      <c r="AL676" s="80"/>
      <c r="AM676" s="80"/>
      <c r="AN676" s="80"/>
      <c r="AO676" s="80"/>
      <c r="AP676" s="80"/>
      <c r="AQ676" s="80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</row>
    <row r="677">
      <c r="A677" s="80"/>
      <c r="B677" s="80"/>
      <c r="C677" s="80"/>
      <c r="D677" s="80"/>
      <c r="E677" s="124"/>
      <c r="F677" s="80"/>
      <c r="G677" s="80"/>
      <c r="H677" s="80"/>
      <c r="I677" s="80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15"/>
      <c r="AK677" s="80"/>
      <c r="AL677" s="80"/>
      <c r="AM677" s="80"/>
      <c r="AN677" s="80"/>
      <c r="AO677" s="80"/>
      <c r="AP677" s="80"/>
      <c r="AQ677" s="80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</row>
    <row r="678">
      <c r="A678" s="80"/>
      <c r="B678" s="80"/>
      <c r="C678" s="80"/>
      <c r="D678" s="80"/>
      <c r="E678" s="124"/>
      <c r="F678" s="80"/>
      <c r="G678" s="80"/>
      <c r="H678" s="80"/>
      <c r="I678" s="80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15"/>
      <c r="AK678" s="80"/>
      <c r="AL678" s="80"/>
      <c r="AM678" s="80"/>
      <c r="AN678" s="80"/>
      <c r="AO678" s="80"/>
      <c r="AP678" s="80"/>
      <c r="AQ678" s="80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</row>
    <row r="679">
      <c r="A679" s="80"/>
      <c r="B679" s="80"/>
      <c r="C679" s="80"/>
      <c r="D679" s="80"/>
      <c r="E679" s="124"/>
      <c r="F679" s="80"/>
      <c r="G679" s="80"/>
      <c r="H679" s="80"/>
      <c r="I679" s="80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15"/>
      <c r="AK679" s="80"/>
      <c r="AL679" s="80"/>
      <c r="AM679" s="80"/>
      <c r="AN679" s="80"/>
      <c r="AO679" s="80"/>
      <c r="AP679" s="80"/>
      <c r="AQ679" s="80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</row>
    <row r="680">
      <c r="A680" s="80"/>
      <c r="B680" s="80"/>
      <c r="C680" s="80"/>
      <c r="D680" s="80"/>
      <c r="E680" s="124"/>
      <c r="F680" s="80"/>
      <c r="G680" s="80"/>
      <c r="H680" s="80"/>
      <c r="I680" s="80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15"/>
      <c r="AK680" s="80"/>
      <c r="AL680" s="80"/>
      <c r="AM680" s="80"/>
      <c r="AN680" s="80"/>
      <c r="AO680" s="80"/>
      <c r="AP680" s="80"/>
      <c r="AQ680" s="80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</row>
    <row r="681">
      <c r="A681" s="80"/>
      <c r="B681" s="80"/>
      <c r="C681" s="80"/>
      <c r="D681" s="80"/>
      <c r="E681" s="124"/>
      <c r="F681" s="80"/>
      <c r="G681" s="80"/>
      <c r="H681" s="80"/>
      <c r="I681" s="80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15"/>
      <c r="AK681" s="80"/>
      <c r="AL681" s="80"/>
      <c r="AM681" s="80"/>
      <c r="AN681" s="80"/>
      <c r="AO681" s="80"/>
      <c r="AP681" s="80"/>
      <c r="AQ681" s="80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</row>
    <row r="682">
      <c r="A682" s="80"/>
      <c r="B682" s="80"/>
      <c r="C682" s="80"/>
      <c r="D682" s="80"/>
      <c r="E682" s="124"/>
      <c r="F682" s="80"/>
      <c r="G682" s="80"/>
      <c r="H682" s="80"/>
      <c r="I682" s="80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15"/>
      <c r="AK682" s="80"/>
      <c r="AL682" s="80"/>
      <c r="AM682" s="80"/>
      <c r="AN682" s="80"/>
      <c r="AO682" s="80"/>
      <c r="AP682" s="80"/>
      <c r="AQ682" s="80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</row>
    <row r="683">
      <c r="A683" s="80"/>
      <c r="B683" s="80"/>
      <c r="C683" s="80"/>
      <c r="D683" s="80"/>
      <c r="E683" s="124"/>
      <c r="F683" s="80"/>
      <c r="G683" s="80"/>
      <c r="H683" s="80"/>
      <c r="I683" s="80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15"/>
      <c r="AK683" s="80"/>
      <c r="AL683" s="80"/>
      <c r="AM683" s="80"/>
      <c r="AN683" s="80"/>
      <c r="AO683" s="80"/>
      <c r="AP683" s="80"/>
      <c r="AQ683" s="80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</row>
    <row r="684">
      <c r="A684" s="80"/>
      <c r="B684" s="80"/>
      <c r="C684" s="80"/>
      <c r="D684" s="80"/>
      <c r="E684" s="124"/>
      <c r="F684" s="80"/>
      <c r="G684" s="80"/>
      <c r="H684" s="80"/>
      <c r="I684" s="80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15"/>
      <c r="AK684" s="80"/>
      <c r="AL684" s="80"/>
      <c r="AM684" s="80"/>
      <c r="AN684" s="80"/>
      <c r="AO684" s="80"/>
      <c r="AP684" s="80"/>
      <c r="AQ684" s="80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</row>
    <row r="685">
      <c r="A685" s="80"/>
      <c r="B685" s="80"/>
      <c r="C685" s="80"/>
      <c r="D685" s="80"/>
      <c r="E685" s="124"/>
      <c r="F685" s="80"/>
      <c r="G685" s="80"/>
      <c r="H685" s="80"/>
      <c r="I685" s="80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15"/>
      <c r="AK685" s="80"/>
      <c r="AL685" s="80"/>
      <c r="AM685" s="80"/>
      <c r="AN685" s="80"/>
      <c r="AO685" s="80"/>
      <c r="AP685" s="80"/>
      <c r="AQ685" s="80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</row>
    <row r="686">
      <c r="A686" s="80"/>
      <c r="B686" s="80"/>
      <c r="C686" s="80"/>
      <c r="D686" s="80"/>
      <c r="E686" s="124"/>
      <c r="F686" s="80"/>
      <c r="G686" s="80"/>
      <c r="H686" s="80"/>
      <c r="I686" s="80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15"/>
      <c r="AK686" s="80"/>
      <c r="AL686" s="80"/>
      <c r="AM686" s="80"/>
      <c r="AN686" s="80"/>
      <c r="AO686" s="80"/>
      <c r="AP686" s="80"/>
      <c r="AQ686" s="80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</row>
    <row r="687">
      <c r="A687" s="80"/>
      <c r="B687" s="80"/>
      <c r="C687" s="80"/>
      <c r="D687" s="80"/>
      <c r="E687" s="124"/>
      <c r="F687" s="80"/>
      <c r="G687" s="80"/>
      <c r="H687" s="80"/>
      <c r="I687" s="80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15"/>
      <c r="AK687" s="80"/>
      <c r="AL687" s="80"/>
      <c r="AM687" s="80"/>
      <c r="AN687" s="80"/>
      <c r="AO687" s="80"/>
      <c r="AP687" s="80"/>
      <c r="AQ687" s="80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</row>
    <row r="688">
      <c r="A688" s="80"/>
      <c r="B688" s="80"/>
      <c r="C688" s="80"/>
      <c r="D688" s="80"/>
      <c r="E688" s="124"/>
      <c r="F688" s="80"/>
      <c r="G688" s="80"/>
      <c r="H688" s="80"/>
      <c r="I688" s="80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15"/>
      <c r="AK688" s="80"/>
      <c r="AL688" s="80"/>
      <c r="AM688" s="80"/>
      <c r="AN688" s="80"/>
      <c r="AO688" s="80"/>
      <c r="AP688" s="80"/>
      <c r="AQ688" s="80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</row>
    <row r="689">
      <c r="A689" s="80"/>
      <c r="B689" s="80"/>
      <c r="C689" s="80"/>
      <c r="D689" s="80"/>
      <c r="E689" s="124"/>
      <c r="F689" s="80"/>
      <c r="G689" s="80"/>
      <c r="H689" s="80"/>
      <c r="I689" s="80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15"/>
      <c r="AK689" s="80"/>
      <c r="AL689" s="80"/>
      <c r="AM689" s="80"/>
      <c r="AN689" s="80"/>
      <c r="AO689" s="80"/>
      <c r="AP689" s="80"/>
      <c r="AQ689" s="80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</row>
    <row r="690">
      <c r="A690" s="80"/>
      <c r="B690" s="80"/>
      <c r="C690" s="80"/>
      <c r="D690" s="80"/>
      <c r="E690" s="124"/>
      <c r="F690" s="80"/>
      <c r="G690" s="80"/>
      <c r="H690" s="80"/>
      <c r="I690" s="80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15"/>
      <c r="AK690" s="80"/>
      <c r="AL690" s="80"/>
      <c r="AM690" s="80"/>
      <c r="AN690" s="80"/>
      <c r="AO690" s="80"/>
      <c r="AP690" s="80"/>
      <c r="AQ690" s="80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</row>
    <row r="691">
      <c r="A691" s="80"/>
      <c r="B691" s="80"/>
      <c r="C691" s="80"/>
      <c r="D691" s="80"/>
      <c r="E691" s="124"/>
      <c r="F691" s="80"/>
      <c r="G691" s="80"/>
      <c r="H691" s="80"/>
      <c r="I691" s="80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15"/>
      <c r="AK691" s="80"/>
      <c r="AL691" s="80"/>
      <c r="AM691" s="80"/>
      <c r="AN691" s="80"/>
      <c r="AO691" s="80"/>
      <c r="AP691" s="80"/>
      <c r="AQ691" s="80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</row>
    <row r="692">
      <c r="A692" s="80"/>
      <c r="B692" s="80"/>
      <c r="C692" s="80"/>
      <c r="D692" s="80"/>
      <c r="E692" s="124"/>
      <c r="F692" s="80"/>
      <c r="G692" s="80"/>
      <c r="H692" s="80"/>
      <c r="I692" s="80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15"/>
      <c r="AK692" s="80"/>
      <c r="AL692" s="80"/>
      <c r="AM692" s="80"/>
      <c r="AN692" s="80"/>
      <c r="AO692" s="80"/>
      <c r="AP692" s="80"/>
      <c r="AQ692" s="80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</row>
    <row r="693">
      <c r="A693" s="80"/>
      <c r="B693" s="80"/>
      <c r="C693" s="80"/>
      <c r="D693" s="80"/>
      <c r="E693" s="124"/>
      <c r="F693" s="80"/>
      <c r="G693" s="80"/>
      <c r="H693" s="80"/>
      <c r="I693" s="80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15"/>
      <c r="AK693" s="80"/>
      <c r="AL693" s="80"/>
      <c r="AM693" s="80"/>
      <c r="AN693" s="80"/>
      <c r="AO693" s="80"/>
      <c r="AP693" s="80"/>
      <c r="AQ693" s="80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</row>
    <row r="694">
      <c r="A694" s="80"/>
      <c r="B694" s="80"/>
      <c r="C694" s="80"/>
      <c r="D694" s="80"/>
      <c r="E694" s="124"/>
      <c r="F694" s="80"/>
      <c r="G694" s="80"/>
      <c r="H694" s="80"/>
      <c r="I694" s="80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15"/>
      <c r="AK694" s="80"/>
      <c r="AL694" s="80"/>
      <c r="AM694" s="80"/>
      <c r="AN694" s="80"/>
      <c r="AO694" s="80"/>
      <c r="AP694" s="80"/>
      <c r="AQ694" s="80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</row>
    <row r="695">
      <c r="A695" s="80"/>
      <c r="B695" s="80"/>
      <c r="C695" s="80"/>
      <c r="D695" s="80"/>
      <c r="E695" s="124"/>
      <c r="F695" s="80"/>
      <c r="G695" s="80"/>
      <c r="H695" s="80"/>
      <c r="I695" s="80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15"/>
      <c r="AK695" s="80"/>
      <c r="AL695" s="80"/>
      <c r="AM695" s="80"/>
      <c r="AN695" s="80"/>
      <c r="AO695" s="80"/>
      <c r="AP695" s="80"/>
      <c r="AQ695" s="80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</row>
    <row r="696">
      <c r="A696" s="80"/>
      <c r="B696" s="80"/>
      <c r="C696" s="80"/>
      <c r="D696" s="80"/>
      <c r="E696" s="124"/>
      <c r="F696" s="80"/>
      <c r="G696" s="80"/>
      <c r="H696" s="80"/>
      <c r="I696" s="80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15"/>
      <c r="AK696" s="80"/>
      <c r="AL696" s="80"/>
      <c r="AM696" s="80"/>
      <c r="AN696" s="80"/>
      <c r="AO696" s="80"/>
      <c r="AP696" s="80"/>
      <c r="AQ696" s="80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</row>
    <row r="697">
      <c r="A697" s="80"/>
      <c r="B697" s="80"/>
      <c r="C697" s="80"/>
      <c r="D697" s="80"/>
      <c r="E697" s="124"/>
      <c r="F697" s="80"/>
      <c r="G697" s="80"/>
      <c r="H697" s="80"/>
      <c r="I697" s="80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15"/>
      <c r="AK697" s="80"/>
      <c r="AL697" s="80"/>
      <c r="AM697" s="80"/>
      <c r="AN697" s="80"/>
      <c r="AO697" s="80"/>
      <c r="AP697" s="80"/>
      <c r="AQ697" s="80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</row>
    <row r="698">
      <c r="A698" s="80"/>
      <c r="B698" s="80"/>
      <c r="C698" s="80"/>
      <c r="D698" s="80"/>
      <c r="E698" s="124"/>
      <c r="F698" s="80"/>
      <c r="G698" s="80"/>
      <c r="H698" s="80"/>
      <c r="I698" s="80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15"/>
      <c r="AK698" s="80"/>
      <c r="AL698" s="80"/>
      <c r="AM698" s="80"/>
      <c r="AN698" s="80"/>
      <c r="AO698" s="80"/>
      <c r="AP698" s="80"/>
      <c r="AQ698" s="80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</row>
    <row r="699">
      <c r="A699" s="80"/>
      <c r="B699" s="80"/>
      <c r="C699" s="80"/>
      <c r="D699" s="80"/>
      <c r="E699" s="124"/>
      <c r="F699" s="80"/>
      <c r="G699" s="80"/>
      <c r="H699" s="80"/>
      <c r="I699" s="80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15"/>
      <c r="AK699" s="80"/>
      <c r="AL699" s="80"/>
      <c r="AM699" s="80"/>
      <c r="AN699" s="80"/>
      <c r="AO699" s="80"/>
      <c r="AP699" s="80"/>
      <c r="AQ699" s="80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</row>
    <row r="700">
      <c r="A700" s="80"/>
      <c r="B700" s="80"/>
      <c r="C700" s="80"/>
      <c r="D700" s="80"/>
      <c r="E700" s="124"/>
      <c r="F700" s="80"/>
      <c r="G700" s="80"/>
      <c r="H700" s="80"/>
      <c r="I700" s="80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15"/>
      <c r="AK700" s="80"/>
      <c r="AL700" s="80"/>
      <c r="AM700" s="80"/>
      <c r="AN700" s="80"/>
      <c r="AO700" s="80"/>
      <c r="AP700" s="80"/>
      <c r="AQ700" s="80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</row>
    <row r="701">
      <c r="A701" s="80"/>
      <c r="B701" s="80"/>
      <c r="C701" s="80"/>
      <c r="D701" s="80"/>
      <c r="E701" s="124"/>
      <c r="F701" s="80"/>
      <c r="G701" s="80"/>
      <c r="H701" s="80"/>
      <c r="I701" s="80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15"/>
      <c r="AK701" s="80"/>
      <c r="AL701" s="80"/>
      <c r="AM701" s="80"/>
      <c r="AN701" s="80"/>
      <c r="AO701" s="80"/>
      <c r="AP701" s="80"/>
      <c r="AQ701" s="80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</row>
    <row r="702">
      <c r="A702" s="80"/>
      <c r="B702" s="80"/>
      <c r="C702" s="80"/>
      <c r="D702" s="80"/>
      <c r="E702" s="124"/>
      <c r="F702" s="80"/>
      <c r="G702" s="80"/>
      <c r="H702" s="80"/>
      <c r="I702" s="80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15"/>
      <c r="AK702" s="80"/>
      <c r="AL702" s="80"/>
      <c r="AM702" s="80"/>
      <c r="AN702" s="80"/>
      <c r="AO702" s="80"/>
      <c r="AP702" s="80"/>
      <c r="AQ702" s="80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</row>
    <row r="703">
      <c r="A703" s="80"/>
      <c r="B703" s="80"/>
      <c r="C703" s="80"/>
      <c r="D703" s="80"/>
      <c r="E703" s="124"/>
      <c r="F703" s="80"/>
      <c r="G703" s="80"/>
      <c r="H703" s="80"/>
      <c r="I703" s="80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15"/>
      <c r="AK703" s="80"/>
      <c r="AL703" s="80"/>
      <c r="AM703" s="80"/>
      <c r="AN703" s="80"/>
      <c r="AO703" s="80"/>
      <c r="AP703" s="80"/>
      <c r="AQ703" s="80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</row>
    <row r="704">
      <c r="A704" s="80"/>
      <c r="B704" s="80"/>
      <c r="C704" s="80"/>
      <c r="D704" s="80"/>
      <c r="E704" s="124"/>
      <c r="F704" s="80"/>
      <c r="G704" s="80"/>
      <c r="H704" s="80"/>
      <c r="I704" s="80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15"/>
      <c r="AK704" s="80"/>
      <c r="AL704" s="80"/>
      <c r="AM704" s="80"/>
      <c r="AN704" s="80"/>
      <c r="AO704" s="80"/>
      <c r="AP704" s="80"/>
      <c r="AQ704" s="80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</row>
    <row r="705">
      <c r="A705" s="80"/>
      <c r="B705" s="80"/>
      <c r="C705" s="80"/>
      <c r="D705" s="80"/>
      <c r="E705" s="124"/>
      <c r="F705" s="80"/>
      <c r="G705" s="80"/>
      <c r="H705" s="80"/>
      <c r="I705" s="80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15"/>
      <c r="AK705" s="80"/>
      <c r="AL705" s="80"/>
      <c r="AM705" s="80"/>
      <c r="AN705" s="80"/>
      <c r="AO705" s="80"/>
      <c r="AP705" s="80"/>
      <c r="AQ705" s="80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</row>
    <row r="706">
      <c r="A706" s="80"/>
      <c r="B706" s="80"/>
      <c r="C706" s="80"/>
      <c r="D706" s="80"/>
      <c r="E706" s="124"/>
      <c r="F706" s="80"/>
      <c r="G706" s="80"/>
      <c r="H706" s="80"/>
      <c r="I706" s="80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15"/>
      <c r="AK706" s="80"/>
      <c r="AL706" s="80"/>
      <c r="AM706" s="80"/>
      <c r="AN706" s="80"/>
      <c r="AO706" s="80"/>
      <c r="AP706" s="80"/>
      <c r="AQ706" s="80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</row>
    <row r="707">
      <c r="A707" s="80"/>
      <c r="B707" s="80"/>
      <c r="C707" s="80"/>
      <c r="D707" s="80"/>
      <c r="E707" s="124"/>
      <c r="F707" s="80"/>
      <c r="G707" s="80"/>
      <c r="H707" s="80"/>
      <c r="I707" s="80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15"/>
      <c r="AK707" s="80"/>
      <c r="AL707" s="80"/>
      <c r="AM707" s="80"/>
      <c r="AN707" s="80"/>
      <c r="AO707" s="80"/>
      <c r="AP707" s="80"/>
      <c r="AQ707" s="80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</row>
    <row r="708">
      <c r="A708" s="80"/>
      <c r="B708" s="80"/>
      <c r="C708" s="80"/>
      <c r="D708" s="80"/>
      <c r="E708" s="124"/>
      <c r="F708" s="80"/>
      <c r="G708" s="80"/>
      <c r="H708" s="80"/>
      <c r="I708" s="80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15"/>
      <c r="AK708" s="80"/>
      <c r="AL708" s="80"/>
      <c r="AM708" s="80"/>
      <c r="AN708" s="80"/>
      <c r="AO708" s="80"/>
      <c r="AP708" s="80"/>
      <c r="AQ708" s="80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</row>
    <row r="709">
      <c r="A709" s="80"/>
      <c r="B709" s="80"/>
      <c r="C709" s="80"/>
      <c r="D709" s="80"/>
      <c r="E709" s="124"/>
      <c r="F709" s="80"/>
      <c r="G709" s="80"/>
      <c r="H709" s="80"/>
      <c r="I709" s="80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15"/>
      <c r="AK709" s="80"/>
      <c r="AL709" s="80"/>
      <c r="AM709" s="80"/>
      <c r="AN709" s="80"/>
      <c r="AO709" s="80"/>
      <c r="AP709" s="80"/>
      <c r="AQ709" s="80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</row>
    <row r="710">
      <c r="A710" s="80"/>
      <c r="B710" s="80"/>
      <c r="C710" s="80"/>
      <c r="D710" s="80"/>
      <c r="E710" s="124"/>
      <c r="F710" s="80"/>
      <c r="G710" s="80"/>
      <c r="H710" s="80"/>
      <c r="I710" s="80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15"/>
      <c r="AK710" s="80"/>
      <c r="AL710" s="80"/>
      <c r="AM710" s="80"/>
      <c r="AN710" s="80"/>
      <c r="AO710" s="80"/>
      <c r="AP710" s="80"/>
      <c r="AQ710" s="80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</row>
    <row r="711">
      <c r="A711" s="80"/>
      <c r="B711" s="80"/>
      <c r="C711" s="80"/>
      <c r="D711" s="80"/>
      <c r="E711" s="124"/>
      <c r="F711" s="80"/>
      <c r="G711" s="80"/>
      <c r="H711" s="80"/>
      <c r="I711" s="80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15"/>
      <c r="AK711" s="80"/>
      <c r="AL711" s="80"/>
      <c r="AM711" s="80"/>
      <c r="AN711" s="80"/>
      <c r="AO711" s="80"/>
      <c r="AP711" s="80"/>
      <c r="AQ711" s="80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</row>
    <row r="712">
      <c r="A712" s="80"/>
      <c r="B712" s="80"/>
      <c r="C712" s="80"/>
      <c r="D712" s="80"/>
      <c r="E712" s="124"/>
      <c r="F712" s="80"/>
      <c r="G712" s="80"/>
      <c r="H712" s="80"/>
      <c r="I712" s="80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15"/>
      <c r="AK712" s="80"/>
      <c r="AL712" s="80"/>
      <c r="AM712" s="80"/>
      <c r="AN712" s="80"/>
      <c r="AO712" s="80"/>
      <c r="AP712" s="80"/>
      <c r="AQ712" s="80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</row>
    <row r="713">
      <c r="A713" s="80"/>
      <c r="B713" s="80"/>
      <c r="C713" s="80"/>
      <c r="D713" s="80"/>
      <c r="E713" s="124"/>
      <c r="F713" s="80"/>
      <c r="G713" s="80"/>
      <c r="H713" s="80"/>
      <c r="I713" s="80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15"/>
      <c r="AK713" s="80"/>
      <c r="AL713" s="80"/>
      <c r="AM713" s="80"/>
      <c r="AN713" s="80"/>
      <c r="AO713" s="80"/>
      <c r="AP713" s="80"/>
      <c r="AQ713" s="80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</row>
    <row r="714">
      <c r="A714" s="80"/>
      <c r="B714" s="80"/>
      <c r="C714" s="80"/>
      <c r="D714" s="80"/>
      <c r="E714" s="124"/>
      <c r="F714" s="80"/>
      <c r="G714" s="80"/>
      <c r="H714" s="80"/>
      <c r="I714" s="80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15"/>
      <c r="AK714" s="80"/>
      <c r="AL714" s="80"/>
      <c r="AM714" s="80"/>
      <c r="AN714" s="80"/>
      <c r="AO714" s="80"/>
      <c r="AP714" s="80"/>
      <c r="AQ714" s="80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</row>
    <row r="715">
      <c r="A715" s="80"/>
      <c r="B715" s="80"/>
      <c r="C715" s="80"/>
      <c r="D715" s="80"/>
      <c r="E715" s="124"/>
      <c r="F715" s="80"/>
      <c r="G715" s="80"/>
      <c r="H715" s="80"/>
      <c r="I715" s="80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15"/>
      <c r="AK715" s="80"/>
      <c r="AL715" s="80"/>
      <c r="AM715" s="80"/>
      <c r="AN715" s="80"/>
      <c r="AO715" s="80"/>
      <c r="AP715" s="80"/>
      <c r="AQ715" s="80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</row>
    <row r="716">
      <c r="A716" s="80"/>
      <c r="B716" s="80"/>
      <c r="C716" s="80"/>
      <c r="D716" s="80"/>
      <c r="E716" s="124"/>
      <c r="F716" s="80"/>
      <c r="G716" s="80"/>
      <c r="H716" s="80"/>
      <c r="I716" s="80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15"/>
      <c r="AK716" s="80"/>
      <c r="AL716" s="80"/>
      <c r="AM716" s="80"/>
      <c r="AN716" s="80"/>
      <c r="AO716" s="80"/>
      <c r="AP716" s="80"/>
      <c r="AQ716" s="80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</row>
    <row r="717">
      <c r="A717" s="80"/>
      <c r="B717" s="80"/>
      <c r="C717" s="80"/>
      <c r="D717" s="80"/>
      <c r="E717" s="124"/>
      <c r="F717" s="80"/>
      <c r="G717" s="80"/>
      <c r="H717" s="80"/>
      <c r="I717" s="80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15"/>
      <c r="AK717" s="80"/>
      <c r="AL717" s="80"/>
      <c r="AM717" s="80"/>
      <c r="AN717" s="80"/>
      <c r="AO717" s="80"/>
      <c r="AP717" s="80"/>
      <c r="AQ717" s="80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</row>
    <row r="718">
      <c r="A718" s="80"/>
      <c r="B718" s="80"/>
      <c r="C718" s="80"/>
      <c r="D718" s="80"/>
      <c r="E718" s="124"/>
      <c r="F718" s="80"/>
      <c r="G718" s="80"/>
      <c r="H718" s="80"/>
      <c r="I718" s="80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15"/>
      <c r="AK718" s="80"/>
      <c r="AL718" s="80"/>
      <c r="AM718" s="80"/>
      <c r="AN718" s="80"/>
      <c r="AO718" s="80"/>
      <c r="AP718" s="80"/>
      <c r="AQ718" s="80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</row>
    <row r="719">
      <c r="A719" s="80"/>
      <c r="B719" s="80"/>
      <c r="C719" s="80"/>
      <c r="D719" s="80"/>
      <c r="E719" s="124"/>
      <c r="F719" s="80"/>
      <c r="G719" s="80"/>
      <c r="H719" s="80"/>
      <c r="I719" s="80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15"/>
      <c r="AK719" s="80"/>
      <c r="AL719" s="80"/>
      <c r="AM719" s="80"/>
      <c r="AN719" s="80"/>
      <c r="AO719" s="80"/>
      <c r="AP719" s="80"/>
      <c r="AQ719" s="80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</row>
    <row r="720">
      <c r="A720" s="80"/>
      <c r="B720" s="80"/>
      <c r="C720" s="80"/>
      <c r="D720" s="80"/>
      <c r="E720" s="124"/>
      <c r="F720" s="80"/>
      <c r="G720" s="80"/>
      <c r="H720" s="80"/>
      <c r="I720" s="80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15"/>
      <c r="AK720" s="80"/>
      <c r="AL720" s="80"/>
      <c r="AM720" s="80"/>
      <c r="AN720" s="80"/>
      <c r="AO720" s="80"/>
      <c r="AP720" s="80"/>
      <c r="AQ720" s="80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</row>
    <row r="721">
      <c r="A721" s="80"/>
      <c r="B721" s="80"/>
      <c r="C721" s="80"/>
      <c r="D721" s="80"/>
      <c r="E721" s="124"/>
      <c r="F721" s="80"/>
      <c r="G721" s="80"/>
      <c r="H721" s="80"/>
      <c r="I721" s="80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15"/>
      <c r="AK721" s="80"/>
      <c r="AL721" s="80"/>
      <c r="AM721" s="80"/>
      <c r="AN721" s="80"/>
      <c r="AO721" s="80"/>
      <c r="AP721" s="80"/>
      <c r="AQ721" s="80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</row>
    <row r="722">
      <c r="A722" s="80"/>
      <c r="B722" s="80"/>
      <c r="C722" s="80"/>
      <c r="D722" s="80"/>
      <c r="E722" s="124"/>
      <c r="F722" s="80"/>
      <c r="G722" s="80"/>
      <c r="H722" s="80"/>
      <c r="I722" s="80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15"/>
      <c r="AK722" s="80"/>
      <c r="AL722" s="80"/>
      <c r="AM722" s="80"/>
      <c r="AN722" s="80"/>
      <c r="AO722" s="80"/>
      <c r="AP722" s="80"/>
      <c r="AQ722" s="80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</row>
    <row r="723">
      <c r="A723" s="80"/>
      <c r="B723" s="80"/>
      <c r="C723" s="80"/>
      <c r="D723" s="80"/>
      <c r="E723" s="124"/>
      <c r="F723" s="80"/>
      <c r="G723" s="80"/>
      <c r="H723" s="80"/>
      <c r="I723" s="80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15"/>
      <c r="AK723" s="80"/>
      <c r="AL723" s="80"/>
      <c r="AM723" s="80"/>
      <c r="AN723" s="80"/>
      <c r="AO723" s="80"/>
      <c r="AP723" s="80"/>
      <c r="AQ723" s="80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</row>
    <row r="724">
      <c r="A724" s="80"/>
      <c r="B724" s="80"/>
      <c r="C724" s="80"/>
      <c r="D724" s="80"/>
      <c r="E724" s="124"/>
      <c r="F724" s="80"/>
      <c r="G724" s="80"/>
      <c r="H724" s="80"/>
      <c r="I724" s="80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15"/>
      <c r="AK724" s="80"/>
      <c r="AL724" s="80"/>
      <c r="AM724" s="80"/>
      <c r="AN724" s="80"/>
      <c r="AO724" s="80"/>
      <c r="AP724" s="80"/>
      <c r="AQ724" s="80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</row>
    <row r="725">
      <c r="A725" s="80"/>
      <c r="B725" s="80"/>
      <c r="C725" s="80"/>
      <c r="D725" s="80"/>
      <c r="E725" s="124"/>
      <c r="F725" s="80"/>
      <c r="G725" s="80"/>
      <c r="H725" s="80"/>
      <c r="I725" s="80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15"/>
      <c r="AK725" s="80"/>
      <c r="AL725" s="80"/>
      <c r="AM725" s="80"/>
      <c r="AN725" s="80"/>
      <c r="AO725" s="80"/>
      <c r="AP725" s="80"/>
      <c r="AQ725" s="80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</row>
    <row r="726">
      <c r="A726" s="80"/>
      <c r="B726" s="80"/>
      <c r="C726" s="80"/>
      <c r="D726" s="80"/>
      <c r="E726" s="124"/>
      <c r="F726" s="80"/>
      <c r="G726" s="80"/>
      <c r="H726" s="80"/>
      <c r="I726" s="80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15"/>
      <c r="AK726" s="80"/>
      <c r="AL726" s="80"/>
      <c r="AM726" s="80"/>
      <c r="AN726" s="80"/>
      <c r="AO726" s="80"/>
      <c r="AP726" s="80"/>
      <c r="AQ726" s="80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</row>
    <row r="727">
      <c r="A727" s="80"/>
      <c r="B727" s="80"/>
      <c r="C727" s="80"/>
      <c r="D727" s="80"/>
      <c r="E727" s="124"/>
      <c r="F727" s="80"/>
      <c r="G727" s="80"/>
      <c r="H727" s="80"/>
      <c r="I727" s="80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15"/>
      <c r="AK727" s="80"/>
      <c r="AL727" s="80"/>
      <c r="AM727" s="80"/>
      <c r="AN727" s="80"/>
      <c r="AO727" s="80"/>
      <c r="AP727" s="80"/>
      <c r="AQ727" s="80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</row>
    <row r="728">
      <c r="A728" s="80"/>
      <c r="B728" s="80"/>
      <c r="C728" s="80"/>
      <c r="D728" s="80"/>
      <c r="E728" s="124"/>
      <c r="F728" s="80"/>
      <c r="G728" s="80"/>
      <c r="H728" s="80"/>
      <c r="I728" s="80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15"/>
      <c r="AK728" s="80"/>
      <c r="AL728" s="80"/>
      <c r="AM728" s="80"/>
      <c r="AN728" s="80"/>
      <c r="AO728" s="80"/>
      <c r="AP728" s="80"/>
      <c r="AQ728" s="80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</row>
    <row r="729">
      <c r="A729" s="80"/>
      <c r="B729" s="80"/>
      <c r="C729" s="80"/>
      <c r="D729" s="80"/>
      <c r="E729" s="124"/>
      <c r="F729" s="80"/>
      <c r="G729" s="80"/>
      <c r="H729" s="80"/>
      <c r="I729" s="80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15"/>
      <c r="AK729" s="80"/>
      <c r="AL729" s="80"/>
      <c r="AM729" s="80"/>
      <c r="AN729" s="80"/>
      <c r="AO729" s="80"/>
      <c r="AP729" s="80"/>
      <c r="AQ729" s="80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</row>
    <row r="730">
      <c r="A730" s="80"/>
      <c r="B730" s="80"/>
      <c r="C730" s="80"/>
      <c r="D730" s="80"/>
      <c r="E730" s="124"/>
      <c r="F730" s="80"/>
      <c r="G730" s="80"/>
      <c r="H730" s="80"/>
      <c r="I730" s="80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15"/>
      <c r="AK730" s="80"/>
      <c r="AL730" s="80"/>
      <c r="AM730" s="80"/>
      <c r="AN730" s="80"/>
      <c r="AO730" s="80"/>
      <c r="AP730" s="80"/>
      <c r="AQ730" s="80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</row>
    <row r="731">
      <c r="A731" s="80"/>
      <c r="B731" s="80"/>
      <c r="C731" s="80"/>
      <c r="D731" s="80"/>
      <c r="E731" s="124"/>
      <c r="F731" s="80"/>
      <c r="G731" s="80"/>
      <c r="H731" s="80"/>
      <c r="I731" s="80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15"/>
      <c r="AK731" s="80"/>
      <c r="AL731" s="80"/>
      <c r="AM731" s="80"/>
      <c r="AN731" s="80"/>
      <c r="AO731" s="80"/>
      <c r="AP731" s="80"/>
      <c r="AQ731" s="80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</row>
    <row r="732">
      <c r="A732" s="80"/>
      <c r="B732" s="80"/>
      <c r="C732" s="80"/>
      <c r="D732" s="80"/>
      <c r="E732" s="124"/>
      <c r="F732" s="80"/>
      <c r="G732" s="80"/>
      <c r="H732" s="80"/>
      <c r="I732" s="80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15"/>
      <c r="AK732" s="80"/>
      <c r="AL732" s="80"/>
      <c r="AM732" s="80"/>
      <c r="AN732" s="80"/>
      <c r="AO732" s="80"/>
      <c r="AP732" s="80"/>
      <c r="AQ732" s="80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</row>
    <row r="733">
      <c r="A733" s="80"/>
      <c r="B733" s="80"/>
      <c r="C733" s="80"/>
      <c r="D733" s="80"/>
      <c r="E733" s="124"/>
      <c r="F733" s="80"/>
      <c r="G733" s="80"/>
      <c r="H733" s="80"/>
      <c r="I733" s="80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15"/>
      <c r="AK733" s="80"/>
      <c r="AL733" s="80"/>
      <c r="AM733" s="80"/>
      <c r="AN733" s="80"/>
      <c r="AO733" s="80"/>
      <c r="AP733" s="80"/>
      <c r="AQ733" s="80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</row>
    <row r="734">
      <c r="A734" s="80"/>
      <c r="B734" s="80"/>
      <c r="C734" s="80"/>
      <c r="D734" s="80"/>
      <c r="E734" s="124"/>
      <c r="F734" s="80"/>
      <c r="G734" s="80"/>
      <c r="H734" s="80"/>
      <c r="I734" s="80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15"/>
      <c r="AK734" s="80"/>
      <c r="AL734" s="80"/>
      <c r="AM734" s="80"/>
      <c r="AN734" s="80"/>
      <c r="AO734" s="80"/>
      <c r="AP734" s="80"/>
      <c r="AQ734" s="80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</row>
    <row r="735">
      <c r="A735" s="80"/>
      <c r="B735" s="80"/>
      <c r="C735" s="80"/>
      <c r="D735" s="80"/>
      <c r="E735" s="124"/>
      <c r="F735" s="80"/>
      <c r="G735" s="80"/>
      <c r="H735" s="80"/>
      <c r="I735" s="80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15"/>
      <c r="AK735" s="80"/>
      <c r="AL735" s="80"/>
      <c r="AM735" s="80"/>
      <c r="AN735" s="80"/>
      <c r="AO735" s="80"/>
      <c r="AP735" s="80"/>
      <c r="AQ735" s="80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</row>
    <row r="736">
      <c r="A736" s="80"/>
      <c r="B736" s="80"/>
      <c r="C736" s="80"/>
      <c r="D736" s="80"/>
      <c r="E736" s="124"/>
      <c r="F736" s="80"/>
      <c r="G736" s="80"/>
      <c r="H736" s="80"/>
      <c r="I736" s="80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15"/>
      <c r="AK736" s="80"/>
      <c r="AL736" s="80"/>
      <c r="AM736" s="80"/>
      <c r="AN736" s="80"/>
      <c r="AO736" s="80"/>
      <c r="AP736" s="80"/>
      <c r="AQ736" s="80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</row>
    <row r="737">
      <c r="A737" s="80"/>
      <c r="B737" s="80"/>
      <c r="C737" s="80"/>
      <c r="D737" s="80"/>
      <c r="E737" s="124"/>
      <c r="F737" s="80"/>
      <c r="G737" s="80"/>
      <c r="H737" s="80"/>
      <c r="I737" s="80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15"/>
      <c r="AK737" s="80"/>
      <c r="AL737" s="80"/>
      <c r="AM737" s="80"/>
      <c r="AN737" s="80"/>
      <c r="AO737" s="80"/>
      <c r="AP737" s="80"/>
      <c r="AQ737" s="80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</row>
    <row r="738">
      <c r="A738" s="80"/>
      <c r="B738" s="80"/>
      <c r="C738" s="80"/>
      <c r="D738" s="80"/>
      <c r="E738" s="124"/>
      <c r="F738" s="80"/>
      <c r="G738" s="80"/>
      <c r="H738" s="80"/>
      <c r="I738" s="80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15"/>
      <c r="AK738" s="80"/>
      <c r="AL738" s="80"/>
      <c r="AM738" s="80"/>
      <c r="AN738" s="80"/>
      <c r="AO738" s="80"/>
      <c r="AP738" s="80"/>
      <c r="AQ738" s="80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</row>
    <row r="739">
      <c r="A739" s="80"/>
      <c r="B739" s="80"/>
      <c r="C739" s="80"/>
      <c r="D739" s="80"/>
      <c r="E739" s="124"/>
      <c r="F739" s="80"/>
      <c r="G739" s="80"/>
      <c r="H739" s="80"/>
      <c r="I739" s="80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15"/>
      <c r="AK739" s="80"/>
      <c r="AL739" s="80"/>
      <c r="AM739" s="80"/>
      <c r="AN739" s="80"/>
      <c r="AO739" s="80"/>
      <c r="AP739" s="80"/>
      <c r="AQ739" s="80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</row>
    <row r="740">
      <c r="A740" s="80"/>
      <c r="B740" s="80"/>
      <c r="C740" s="80"/>
      <c r="D740" s="80"/>
      <c r="E740" s="124"/>
      <c r="F740" s="80"/>
      <c r="G740" s="80"/>
      <c r="H740" s="80"/>
      <c r="I740" s="80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15"/>
      <c r="AK740" s="80"/>
      <c r="AL740" s="80"/>
      <c r="AM740" s="80"/>
      <c r="AN740" s="80"/>
      <c r="AO740" s="80"/>
      <c r="AP740" s="80"/>
      <c r="AQ740" s="80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</row>
    <row r="741">
      <c r="A741" s="80"/>
      <c r="B741" s="80"/>
      <c r="C741" s="80"/>
      <c r="D741" s="80"/>
      <c r="E741" s="124"/>
      <c r="F741" s="80"/>
      <c r="G741" s="80"/>
      <c r="H741" s="80"/>
      <c r="I741" s="80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15"/>
      <c r="AK741" s="80"/>
      <c r="AL741" s="80"/>
      <c r="AM741" s="80"/>
      <c r="AN741" s="80"/>
      <c r="AO741" s="80"/>
      <c r="AP741" s="80"/>
      <c r="AQ741" s="80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</row>
    <row r="742">
      <c r="A742" s="80"/>
      <c r="B742" s="80"/>
      <c r="C742" s="80"/>
      <c r="D742" s="80"/>
      <c r="E742" s="124"/>
      <c r="F742" s="80"/>
      <c r="G742" s="80"/>
      <c r="H742" s="80"/>
      <c r="I742" s="80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15"/>
      <c r="AK742" s="80"/>
      <c r="AL742" s="80"/>
      <c r="AM742" s="80"/>
      <c r="AN742" s="80"/>
      <c r="AO742" s="80"/>
      <c r="AP742" s="80"/>
      <c r="AQ742" s="80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</row>
    <row r="743">
      <c r="A743" s="80"/>
      <c r="B743" s="80"/>
      <c r="C743" s="80"/>
      <c r="D743" s="80"/>
      <c r="E743" s="124"/>
      <c r="F743" s="80"/>
      <c r="G743" s="80"/>
      <c r="H743" s="80"/>
      <c r="I743" s="80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15"/>
      <c r="AK743" s="80"/>
      <c r="AL743" s="80"/>
      <c r="AM743" s="80"/>
      <c r="AN743" s="80"/>
      <c r="AO743" s="80"/>
      <c r="AP743" s="80"/>
      <c r="AQ743" s="80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</row>
    <row r="744">
      <c r="A744" s="80"/>
      <c r="B744" s="80"/>
      <c r="C744" s="80"/>
      <c r="D744" s="80"/>
      <c r="E744" s="124"/>
      <c r="F744" s="80"/>
      <c r="G744" s="80"/>
      <c r="H744" s="80"/>
      <c r="I744" s="80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15"/>
      <c r="AK744" s="80"/>
      <c r="AL744" s="80"/>
      <c r="AM744" s="80"/>
      <c r="AN744" s="80"/>
      <c r="AO744" s="80"/>
      <c r="AP744" s="80"/>
      <c r="AQ744" s="80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</row>
    <row r="745">
      <c r="A745" s="80"/>
      <c r="B745" s="80"/>
      <c r="C745" s="80"/>
      <c r="D745" s="80"/>
      <c r="E745" s="124"/>
      <c r="F745" s="80"/>
      <c r="G745" s="80"/>
      <c r="H745" s="80"/>
      <c r="I745" s="80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15"/>
      <c r="AK745" s="80"/>
      <c r="AL745" s="80"/>
      <c r="AM745" s="80"/>
      <c r="AN745" s="80"/>
      <c r="AO745" s="80"/>
      <c r="AP745" s="80"/>
      <c r="AQ745" s="80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</row>
    <row r="746">
      <c r="A746" s="80"/>
      <c r="B746" s="80"/>
      <c r="C746" s="80"/>
      <c r="D746" s="80"/>
      <c r="E746" s="124"/>
      <c r="F746" s="80"/>
      <c r="G746" s="80"/>
      <c r="H746" s="80"/>
      <c r="I746" s="80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15"/>
      <c r="AK746" s="80"/>
      <c r="AL746" s="80"/>
      <c r="AM746" s="80"/>
      <c r="AN746" s="80"/>
      <c r="AO746" s="80"/>
      <c r="AP746" s="80"/>
      <c r="AQ746" s="80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</row>
    <row r="747">
      <c r="A747" s="80"/>
      <c r="B747" s="80"/>
      <c r="C747" s="80"/>
      <c r="D747" s="80"/>
      <c r="E747" s="124"/>
      <c r="F747" s="80"/>
      <c r="G747" s="80"/>
      <c r="H747" s="80"/>
      <c r="I747" s="80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15"/>
      <c r="AK747" s="80"/>
      <c r="AL747" s="80"/>
      <c r="AM747" s="80"/>
      <c r="AN747" s="80"/>
      <c r="AO747" s="80"/>
      <c r="AP747" s="80"/>
      <c r="AQ747" s="80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</row>
    <row r="748">
      <c r="A748" s="80"/>
      <c r="B748" s="80"/>
      <c r="C748" s="80"/>
      <c r="D748" s="80"/>
      <c r="E748" s="124"/>
      <c r="F748" s="80"/>
      <c r="G748" s="80"/>
      <c r="H748" s="80"/>
      <c r="I748" s="80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15"/>
      <c r="AK748" s="80"/>
      <c r="AL748" s="80"/>
      <c r="AM748" s="80"/>
      <c r="AN748" s="80"/>
      <c r="AO748" s="80"/>
      <c r="AP748" s="80"/>
      <c r="AQ748" s="80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</row>
    <row r="749">
      <c r="A749" s="80"/>
      <c r="B749" s="80"/>
      <c r="C749" s="80"/>
      <c r="D749" s="80"/>
      <c r="E749" s="124"/>
      <c r="F749" s="80"/>
      <c r="G749" s="80"/>
      <c r="H749" s="80"/>
      <c r="I749" s="80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15"/>
      <c r="AK749" s="80"/>
      <c r="AL749" s="80"/>
      <c r="AM749" s="80"/>
      <c r="AN749" s="80"/>
      <c r="AO749" s="80"/>
      <c r="AP749" s="80"/>
      <c r="AQ749" s="80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</row>
    <row r="750">
      <c r="A750" s="80"/>
      <c r="B750" s="80"/>
      <c r="C750" s="80"/>
      <c r="D750" s="80"/>
      <c r="E750" s="124"/>
      <c r="F750" s="80"/>
      <c r="G750" s="80"/>
      <c r="H750" s="80"/>
      <c r="I750" s="80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15"/>
      <c r="AK750" s="80"/>
      <c r="AL750" s="80"/>
      <c r="AM750" s="80"/>
      <c r="AN750" s="80"/>
      <c r="AO750" s="80"/>
      <c r="AP750" s="80"/>
      <c r="AQ750" s="80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</row>
    <row r="751">
      <c r="A751" s="80"/>
      <c r="B751" s="80"/>
      <c r="C751" s="80"/>
      <c r="D751" s="80"/>
      <c r="E751" s="124"/>
      <c r="F751" s="80"/>
      <c r="G751" s="80"/>
      <c r="H751" s="80"/>
      <c r="I751" s="80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15"/>
      <c r="AK751" s="80"/>
      <c r="AL751" s="80"/>
      <c r="AM751" s="80"/>
      <c r="AN751" s="80"/>
      <c r="AO751" s="80"/>
      <c r="AP751" s="80"/>
      <c r="AQ751" s="80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</row>
    <row r="752">
      <c r="A752" s="80"/>
      <c r="B752" s="80"/>
      <c r="C752" s="80"/>
      <c r="D752" s="80"/>
      <c r="E752" s="124"/>
      <c r="F752" s="80"/>
      <c r="G752" s="80"/>
      <c r="H752" s="80"/>
      <c r="I752" s="80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15"/>
      <c r="AK752" s="80"/>
      <c r="AL752" s="80"/>
      <c r="AM752" s="80"/>
      <c r="AN752" s="80"/>
      <c r="AO752" s="80"/>
      <c r="AP752" s="80"/>
      <c r="AQ752" s="80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</row>
    <row r="753">
      <c r="A753" s="80"/>
      <c r="B753" s="80"/>
      <c r="C753" s="80"/>
      <c r="D753" s="80"/>
      <c r="E753" s="124"/>
      <c r="F753" s="80"/>
      <c r="G753" s="80"/>
      <c r="H753" s="80"/>
      <c r="I753" s="80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15"/>
      <c r="AK753" s="80"/>
      <c r="AL753" s="80"/>
      <c r="AM753" s="80"/>
      <c r="AN753" s="80"/>
      <c r="AO753" s="80"/>
      <c r="AP753" s="80"/>
      <c r="AQ753" s="80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</row>
    <row r="754">
      <c r="A754" s="80"/>
      <c r="B754" s="80"/>
      <c r="C754" s="80"/>
      <c r="D754" s="80"/>
      <c r="E754" s="124"/>
      <c r="F754" s="80"/>
      <c r="G754" s="80"/>
      <c r="H754" s="80"/>
      <c r="I754" s="80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15"/>
      <c r="AK754" s="80"/>
      <c r="AL754" s="80"/>
      <c r="AM754" s="80"/>
      <c r="AN754" s="80"/>
      <c r="AO754" s="80"/>
      <c r="AP754" s="80"/>
      <c r="AQ754" s="80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</row>
    <row r="755">
      <c r="A755" s="80"/>
      <c r="B755" s="80"/>
      <c r="C755" s="80"/>
      <c r="D755" s="80"/>
      <c r="E755" s="124"/>
      <c r="F755" s="80"/>
      <c r="G755" s="80"/>
      <c r="H755" s="80"/>
      <c r="I755" s="80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15"/>
      <c r="AK755" s="80"/>
      <c r="AL755" s="80"/>
      <c r="AM755" s="80"/>
      <c r="AN755" s="80"/>
      <c r="AO755" s="80"/>
      <c r="AP755" s="80"/>
      <c r="AQ755" s="80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</row>
    <row r="756">
      <c r="A756" s="80"/>
      <c r="B756" s="80"/>
      <c r="C756" s="80"/>
      <c r="D756" s="80"/>
      <c r="E756" s="124"/>
      <c r="F756" s="80"/>
      <c r="G756" s="80"/>
      <c r="H756" s="80"/>
      <c r="I756" s="80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15"/>
      <c r="AK756" s="80"/>
      <c r="AL756" s="80"/>
      <c r="AM756" s="80"/>
      <c r="AN756" s="80"/>
      <c r="AO756" s="80"/>
      <c r="AP756" s="80"/>
      <c r="AQ756" s="80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</row>
    <row r="757">
      <c r="A757" s="80"/>
      <c r="B757" s="80"/>
      <c r="C757" s="80"/>
      <c r="D757" s="80"/>
      <c r="E757" s="124"/>
      <c r="F757" s="80"/>
      <c r="G757" s="80"/>
      <c r="H757" s="80"/>
      <c r="I757" s="80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15"/>
      <c r="AK757" s="80"/>
      <c r="AL757" s="80"/>
      <c r="AM757" s="80"/>
      <c r="AN757" s="80"/>
      <c r="AO757" s="80"/>
      <c r="AP757" s="80"/>
      <c r="AQ757" s="80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</row>
    <row r="758">
      <c r="A758" s="80"/>
      <c r="B758" s="80"/>
      <c r="C758" s="80"/>
      <c r="D758" s="80"/>
      <c r="E758" s="124"/>
      <c r="F758" s="80"/>
      <c r="G758" s="80"/>
      <c r="H758" s="80"/>
      <c r="I758" s="80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15"/>
      <c r="AK758" s="80"/>
      <c r="AL758" s="80"/>
      <c r="AM758" s="80"/>
      <c r="AN758" s="80"/>
      <c r="AO758" s="80"/>
      <c r="AP758" s="80"/>
      <c r="AQ758" s="80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</row>
    <row r="759">
      <c r="A759" s="80"/>
      <c r="B759" s="80"/>
      <c r="C759" s="80"/>
      <c r="D759" s="80"/>
      <c r="E759" s="124"/>
      <c r="F759" s="80"/>
      <c r="G759" s="80"/>
      <c r="H759" s="80"/>
      <c r="I759" s="80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15"/>
      <c r="AK759" s="80"/>
      <c r="AL759" s="80"/>
      <c r="AM759" s="80"/>
      <c r="AN759" s="80"/>
      <c r="AO759" s="80"/>
      <c r="AP759" s="80"/>
      <c r="AQ759" s="80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</row>
    <row r="760">
      <c r="A760" s="80"/>
      <c r="B760" s="80"/>
      <c r="C760" s="80"/>
      <c r="D760" s="80"/>
      <c r="E760" s="124"/>
      <c r="F760" s="80"/>
      <c r="G760" s="80"/>
      <c r="H760" s="80"/>
      <c r="I760" s="80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15"/>
      <c r="AK760" s="80"/>
      <c r="AL760" s="80"/>
      <c r="AM760" s="80"/>
      <c r="AN760" s="80"/>
      <c r="AO760" s="80"/>
      <c r="AP760" s="80"/>
      <c r="AQ760" s="80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</row>
    <row r="761">
      <c r="A761" s="80"/>
      <c r="B761" s="80"/>
      <c r="C761" s="80"/>
      <c r="D761" s="80"/>
      <c r="E761" s="124"/>
      <c r="F761" s="80"/>
      <c r="G761" s="80"/>
      <c r="H761" s="80"/>
      <c r="I761" s="80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15"/>
      <c r="AK761" s="80"/>
      <c r="AL761" s="80"/>
      <c r="AM761" s="80"/>
      <c r="AN761" s="80"/>
      <c r="AO761" s="80"/>
      <c r="AP761" s="80"/>
      <c r="AQ761" s="80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</row>
    <row r="762">
      <c r="A762" s="80"/>
      <c r="B762" s="80"/>
      <c r="C762" s="80"/>
      <c r="D762" s="80"/>
      <c r="E762" s="124"/>
      <c r="F762" s="80"/>
      <c r="G762" s="80"/>
      <c r="H762" s="80"/>
      <c r="I762" s="80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15"/>
      <c r="AK762" s="80"/>
      <c r="AL762" s="80"/>
      <c r="AM762" s="80"/>
      <c r="AN762" s="80"/>
      <c r="AO762" s="80"/>
      <c r="AP762" s="80"/>
      <c r="AQ762" s="80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</row>
    <row r="763">
      <c r="A763" s="80"/>
      <c r="B763" s="80"/>
      <c r="C763" s="80"/>
      <c r="D763" s="80"/>
      <c r="E763" s="124"/>
      <c r="F763" s="80"/>
      <c r="G763" s="80"/>
      <c r="H763" s="80"/>
      <c r="I763" s="80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15"/>
      <c r="AK763" s="80"/>
      <c r="AL763" s="80"/>
      <c r="AM763" s="80"/>
      <c r="AN763" s="80"/>
      <c r="AO763" s="80"/>
      <c r="AP763" s="80"/>
      <c r="AQ763" s="80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</row>
    <row r="764">
      <c r="A764" s="80"/>
      <c r="B764" s="80"/>
      <c r="C764" s="80"/>
      <c r="D764" s="80"/>
      <c r="E764" s="124"/>
      <c r="F764" s="80"/>
      <c r="G764" s="80"/>
      <c r="H764" s="80"/>
      <c r="I764" s="80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15"/>
      <c r="AK764" s="80"/>
      <c r="AL764" s="80"/>
      <c r="AM764" s="80"/>
      <c r="AN764" s="80"/>
      <c r="AO764" s="80"/>
      <c r="AP764" s="80"/>
      <c r="AQ764" s="80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</row>
    <row r="765">
      <c r="A765" s="80"/>
      <c r="B765" s="80"/>
      <c r="C765" s="80"/>
      <c r="D765" s="80"/>
      <c r="E765" s="124"/>
      <c r="F765" s="80"/>
      <c r="G765" s="80"/>
      <c r="H765" s="80"/>
      <c r="I765" s="80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15"/>
      <c r="AK765" s="80"/>
      <c r="AL765" s="80"/>
      <c r="AM765" s="80"/>
      <c r="AN765" s="80"/>
      <c r="AO765" s="80"/>
      <c r="AP765" s="80"/>
      <c r="AQ765" s="80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</row>
    <row r="766">
      <c r="A766" s="80"/>
      <c r="B766" s="80"/>
      <c r="C766" s="80"/>
      <c r="D766" s="80"/>
      <c r="E766" s="124"/>
      <c r="F766" s="80"/>
      <c r="G766" s="80"/>
      <c r="H766" s="80"/>
      <c r="I766" s="80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15"/>
      <c r="AK766" s="80"/>
      <c r="AL766" s="80"/>
      <c r="AM766" s="80"/>
      <c r="AN766" s="80"/>
      <c r="AO766" s="80"/>
      <c r="AP766" s="80"/>
      <c r="AQ766" s="80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</row>
    <row r="767">
      <c r="A767" s="80"/>
      <c r="B767" s="80"/>
      <c r="C767" s="80"/>
      <c r="D767" s="80"/>
      <c r="E767" s="124"/>
      <c r="F767" s="80"/>
      <c r="G767" s="80"/>
      <c r="H767" s="80"/>
      <c r="I767" s="80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15"/>
      <c r="AK767" s="80"/>
      <c r="AL767" s="80"/>
      <c r="AM767" s="80"/>
      <c r="AN767" s="80"/>
      <c r="AO767" s="80"/>
      <c r="AP767" s="80"/>
      <c r="AQ767" s="80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</row>
    <row r="768">
      <c r="A768" s="80"/>
      <c r="B768" s="80"/>
      <c r="C768" s="80"/>
      <c r="D768" s="80"/>
      <c r="E768" s="124"/>
      <c r="F768" s="80"/>
      <c r="G768" s="80"/>
      <c r="H768" s="80"/>
      <c r="I768" s="80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15"/>
      <c r="AK768" s="80"/>
      <c r="AL768" s="80"/>
      <c r="AM768" s="80"/>
      <c r="AN768" s="80"/>
      <c r="AO768" s="80"/>
      <c r="AP768" s="80"/>
      <c r="AQ768" s="80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</row>
    <row r="769">
      <c r="A769" s="80"/>
      <c r="B769" s="80"/>
      <c r="C769" s="80"/>
      <c r="D769" s="80"/>
      <c r="E769" s="124"/>
      <c r="F769" s="80"/>
      <c r="G769" s="80"/>
      <c r="H769" s="80"/>
      <c r="I769" s="80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15"/>
      <c r="AK769" s="80"/>
      <c r="AL769" s="80"/>
      <c r="AM769" s="80"/>
      <c r="AN769" s="80"/>
      <c r="AO769" s="80"/>
      <c r="AP769" s="80"/>
      <c r="AQ769" s="80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</row>
    <row r="770">
      <c r="A770" s="80"/>
      <c r="B770" s="80"/>
      <c r="C770" s="80"/>
      <c r="D770" s="80"/>
      <c r="E770" s="124"/>
      <c r="F770" s="80"/>
      <c r="G770" s="80"/>
      <c r="H770" s="80"/>
      <c r="I770" s="80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15"/>
      <c r="AK770" s="80"/>
      <c r="AL770" s="80"/>
      <c r="AM770" s="80"/>
      <c r="AN770" s="80"/>
      <c r="AO770" s="80"/>
      <c r="AP770" s="80"/>
      <c r="AQ770" s="80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</row>
    <row r="771">
      <c r="A771" s="80"/>
      <c r="B771" s="80"/>
      <c r="C771" s="80"/>
      <c r="D771" s="80"/>
      <c r="E771" s="124"/>
      <c r="F771" s="80"/>
      <c r="G771" s="80"/>
      <c r="H771" s="80"/>
      <c r="I771" s="80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15"/>
      <c r="AK771" s="80"/>
      <c r="AL771" s="80"/>
      <c r="AM771" s="80"/>
      <c r="AN771" s="80"/>
      <c r="AO771" s="80"/>
      <c r="AP771" s="80"/>
      <c r="AQ771" s="80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</row>
    <row r="772">
      <c r="A772" s="80"/>
      <c r="B772" s="80"/>
      <c r="C772" s="80"/>
      <c r="D772" s="80"/>
      <c r="E772" s="124"/>
      <c r="F772" s="80"/>
      <c r="G772" s="80"/>
      <c r="H772" s="80"/>
      <c r="I772" s="80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15"/>
      <c r="AK772" s="80"/>
      <c r="AL772" s="80"/>
      <c r="AM772" s="80"/>
      <c r="AN772" s="80"/>
      <c r="AO772" s="80"/>
      <c r="AP772" s="80"/>
      <c r="AQ772" s="80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</row>
    <row r="773">
      <c r="A773" s="80"/>
      <c r="B773" s="80"/>
      <c r="C773" s="80"/>
      <c r="D773" s="80"/>
      <c r="E773" s="124"/>
      <c r="F773" s="80"/>
      <c r="G773" s="80"/>
      <c r="H773" s="80"/>
      <c r="I773" s="80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15"/>
      <c r="AK773" s="80"/>
      <c r="AL773" s="80"/>
      <c r="AM773" s="80"/>
      <c r="AN773" s="80"/>
      <c r="AO773" s="80"/>
      <c r="AP773" s="80"/>
      <c r="AQ773" s="80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</row>
    <row r="774">
      <c r="A774" s="80"/>
      <c r="B774" s="80"/>
      <c r="C774" s="80"/>
      <c r="D774" s="80"/>
      <c r="E774" s="124"/>
      <c r="F774" s="80"/>
      <c r="G774" s="80"/>
      <c r="H774" s="80"/>
      <c r="I774" s="80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15"/>
      <c r="AK774" s="80"/>
      <c r="AL774" s="80"/>
      <c r="AM774" s="80"/>
      <c r="AN774" s="80"/>
      <c r="AO774" s="80"/>
      <c r="AP774" s="80"/>
      <c r="AQ774" s="80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</row>
    <row r="775">
      <c r="A775" s="80"/>
      <c r="B775" s="80"/>
      <c r="C775" s="80"/>
      <c r="D775" s="80"/>
      <c r="E775" s="124"/>
      <c r="F775" s="80"/>
      <c r="G775" s="80"/>
      <c r="H775" s="80"/>
      <c r="I775" s="80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15"/>
      <c r="AK775" s="80"/>
      <c r="AL775" s="80"/>
      <c r="AM775" s="80"/>
      <c r="AN775" s="80"/>
      <c r="AO775" s="80"/>
      <c r="AP775" s="80"/>
      <c r="AQ775" s="80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</row>
    <row r="776">
      <c r="A776" s="80"/>
      <c r="B776" s="80"/>
      <c r="C776" s="80"/>
      <c r="D776" s="80"/>
      <c r="E776" s="124"/>
      <c r="F776" s="80"/>
      <c r="G776" s="80"/>
      <c r="H776" s="80"/>
      <c r="I776" s="80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15"/>
      <c r="AK776" s="80"/>
      <c r="AL776" s="80"/>
      <c r="AM776" s="80"/>
      <c r="AN776" s="80"/>
      <c r="AO776" s="80"/>
      <c r="AP776" s="80"/>
      <c r="AQ776" s="80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</row>
    <row r="777">
      <c r="A777" s="80"/>
      <c r="B777" s="80"/>
      <c r="C777" s="80"/>
      <c r="D777" s="80"/>
      <c r="E777" s="124"/>
      <c r="F777" s="80"/>
      <c r="G777" s="80"/>
      <c r="H777" s="80"/>
      <c r="I777" s="80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15"/>
      <c r="AK777" s="80"/>
      <c r="AL777" s="80"/>
      <c r="AM777" s="80"/>
      <c r="AN777" s="80"/>
      <c r="AO777" s="80"/>
      <c r="AP777" s="80"/>
      <c r="AQ777" s="80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</row>
    <row r="778">
      <c r="A778" s="80"/>
      <c r="B778" s="80"/>
      <c r="C778" s="80"/>
      <c r="D778" s="80"/>
      <c r="E778" s="124"/>
      <c r="F778" s="80"/>
      <c r="G778" s="80"/>
      <c r="H778" s="80"/>
      <c r="I778" s="80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15"/>
      <c r="AK778" s="80"/>
      <c r="AL778" s="80"/>
      <c r="AM778" s="80"/>
      <c r="AN778" s="80"/>
      <c r="AO778" s="80"/>
      <c r="AP778" s="80"/>
      <c r="AQ778" s="80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</row>
    <row r="779">
      <c r="A779" s="80"/>
      <c r="B779" s="80"/>
      <c r="C779" s="80"/>
      <c r="D779" s="80"/>
      <c r="E779" s="124"/>
      <c r="F779" s="80"/>
      <c r="G779" s="80"/>
      <c r="H779" s="80"/>
      <c r="I779" s="80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15"/>
      <c r="AK779" s="80"/>
      <c r="AL779" s="80"/>
      <c r="AM779" s="80"/>
      <c r="AN779" s="80"/>
      <c r="AO779" s="80"/>
      <c r="AP779" s="80"/>
      <c r="AQ779" s="80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</row>
    <row r="780">
      <c r="A780" s="80"/>
      <c r="B780" s="80"/>
      <c r="C780" s="80"/>
      <c r="D780" s="80"/>
      <c r="E780" s="124"/>
      <c r="F780" s="80"/>
      <c r="G780" s="80"/>
      <c r="H780" s="80"/>
      <c r="I780" s="80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15"/>
      <c r="AK780" s="80"/>
      <c r="AL780" s="80"/>
      <c r="AM780" s="80"/>
      <c r="AN780" s="80"/>
      <c r="AO780" s="80"/>
      <c r="AP780" s="80"/>
      <c r="AQ780" s="80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</row>
    <row r="781">
      <c r="A781" s="80"/>
      <c r="B781" s="80"/>
      <c r="C781" s="80"/>
      <c r="D781" s="80"/>
      <c r="E781" s="124"/>
      <c r="F781" s="80"/>
      <c r="G781" s="80"/>
      <c r="H781" s="80"/>
      <c r="I781" s="80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15"/>
      <c r="AK781" s="80"/>
      <c r="AL781" s="80"/>
      <c r="AM781" s="80"/>
      <c r="AN781" s="80"/>
      <c r="AO781" s="80"/>
      <c r="AP781" s="80"/>
      <c r="AQ781" s="80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</row>
    <row r="782">
      <c r="A782" s="80"/>
      <c r="B782" s="80"/>
      <c r="C782" s="80"/>
      <c r="D782" s="80"/>
      <c r="E782" s="124"/>
      <c r="F782" s="80"/>
      <c r="G782" s="80"/>
      <c r="H782" s="80"/>
      <c r="I782" s="80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15"/>
      <c r="AK782" s="80"/>
      <c r="AL782" s="80"/>
      <c r="AM782" s="80"/>
      <c r="AN782" s="80"/>
      <c r="AO782" s="80"/>
      <c r="AP782" s="80"/>
      <c r="AQ782" s="80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</row>
    <row r="783">
      <c r="A783" s="80"/>
      <c r="B783" s="80"/>
      <c r="C783" s="80"/>
      <c r="D783" s="80"/>
      <c r="E783" s="124"/>
      <c r="F783" s="80"/>
      <c r="G783" s="80"/>
      <c r="H783" s="80"/>
      <c r="I783" s="80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15"/>
      <c r="AK783" s="80"/>
      <c r="AL783" s="80"/>
      <c r="AM783" s="80"/>
      <c r="AN783" s="80"/>
      <c r="AO783" s="80"/>
      <c r="AP783" s="80"/>
      <c r="AQ783" s="80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</row>
    <row r="784">
      <c r="A784" s="80"/>
      <c r="B784" s="80"/>
      <c r="C784" s="80"/>
      <c r="D784" s="80"/>
      <c r="E784" s="124"/>
      <c r="F784" s="80"/>
      <c r="G784" s="80"/>
      <c r="H784" s="80"/>
      <c r="I784" s="80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15"/>
      <c r="AK784" s="80"/>
      <c r="AL784" s="80"/>
      <c r="AM784" s="80"/>
      <c r="AN784" s="80"/>
      <c r="AO784" s="80"/>
      <c r="AP784" s="80"/>
      <c r="AQ784" s="80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</row>
    <row r="785">
      <c r="A785" s="80"/>
      <c r="B785" s="80"/>
      <c r="C785" s="80"/>
      <c r="D785" s="80"/>
      <c r="E785" s="124"/>
      <c r="F785" s="80"/>
      <c r="G785" s="80"/>
      <c r="H785" s="80"/>
      <c r="I785" s="80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15"/>
      <c r="AK785" s="80"/>
      <c r="AL785" s="80"/>
      <c r="AM785" s="80"/>
      <c r="AN785" s="80"/>
      <c r="AO785" s="80"/>
      <c r="AP785" s="80"/>
      <c r="AQ785" s="80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</row>
    <row r="786">
      <c r="A786" s="80"/>
      <c r="B786" s="80"/>
      <c r="C786" s="80"/>
      <c r="D786" s="80"/>
      <c r="E786" s="124"/>
      <c r="F786" s="80"/>
      <c r="G786" s="80"/>
      <c r="H786" s="80"/>
      <c r="I786" s="80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15"/>
      <c r="AK786" s="80"/>
      <c r="AL786" s="80"/>
      <c r="AM786" s="80"/>
      <c r="AN786" s="80"/>
      <c r="AO786" s="80"/>
      <c r="AP786" s="80"/>
      <c r="AQ786" s="80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</row>
    <row r="787">
      <c r="A787" s="80"/>
      <c r="B787" s="80"/>
      <c r="C787" s="80"/>
      <c r="D787" s="80"/>
      <c r="E787" s="124"/>
      <c r="F787" s="80"/>
      <c r="G787" s="80"/>
      <c r="H787" s="80"/>
      <c r="I787" s="80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15"/>
      <c r="AK787" s="80"/>
      <c r="AL787" s="80"/>
      <c r="AM787" s="80"/>
      <c r="AN787" s="80"/>
      <c r="AO787" s="80"/>
      <c r="AP787" s="80"/>
      <c r="AQ787" s="80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</row>
    <row r="788">
      <c r="A788" s="80"/>
      <c r="B788" s="80"/>
      <c r="C788" s="80"/>
      <c r="D788" s="80"/>
      <c r="E788" s="124"/>
      <c r="F788" s="80"/>
      <c r="G788" s="80"/>
      <c r="H788" s="80"/>
      <c r="I788" s="80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15"/>
      <c r="AK788" s="80"/>
      <c r="AL788" s="80"/>
      <c r="AM788" s="80"/>
      <c r="AN788" s="80"/>
      <c r="AO788" s="80"/>
      <c r="AP788" s="80"/>
      <c r="AQ788" s="80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</row>
    <row r="789">
      <c r="A789" s="80"/>
      <c r="B789" s="80"/>
      <c r="C789" s="80"/>
      <c r="D789" s="80"/>
      <c r="E789" s="124"/>
      <c r="F789" s="80"/>
      <c r="G789" s="80"/>
      <c r="H789" s="80"/>
      <c r="I789" s="80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15"/>
      <c r="AK789" s="80"/>
      <c r="AL789" s="80"/>
      <c r="AM789" s="80"/>
      <c r="AN789" s="80"/>
      <c r="AO789" s="80"/>
      <c r="AP789" s="80"/>
      <c r="AQ789" s="80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</row>
    <row r="790">
      <c r="A790" s="80"/>
      <c r="B790" s="80"/>
      <c r="C790" s="80"/>
      <c r="D790" s="80"/>
      <c r="E790" s="124"/>
      <c r="F790" s="80"/>
      <c r="G790" s="80"/>
      <c r="H790" s="80"/>
      <c r="I790" s="80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15"/>
      <c r="AK790" s="80"/>
      <c r="AL790" s="80"/>
      <c r="AM790" s="80"/>
      <c r="AN790" s="80"/>
      <c r="AO790" s="80"/>
      <c r="AP790" s="80"/>
      <c r="AQ790" s="80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</row>
    <row r="791">
      <c r="A791" s="80"/>
      <c r="B791" s="80"/>
      <c r="C791" s="80"/>
      <c r="D791" s="80"/>
      <c r="E791" s="124"/>
      <c r="F791" s="80"/>
      <c r="G791" s="80"/>
      <c r="H791" s="80"/>
      <c r="I791" s="80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15"/>
      <c r="AK791" s="80"/>
      <c r="AL791" s="80"/>
      <c r="AM791" s="80"/>
      <c r="AN791" s="80"/>
      <c r="AO791" s="80"/>
      <c r="AP791" s="80"/>
      <c r="AQ791" s="80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</row>
    <row r="792">
      <c r="A792" s="80"/>
      <c r="B792" s="80"/>
      <c r="C792" s="80"/>
      <c r="D792" s="80"/>
      <c r="E792" s="124"/>
      <c r="F792" s="80"/>
      <c r="G792" s="80"/>
      <c r="H792" s="80"/>
      <c r="I792" s="80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15"/>
      <c r="AK792" s="80"/>
      <c r="AL792" s="80"/>
      <c r="AM792" s="80"/>
      <c r="AN792" s="80"/>
      <c r="AO792" s="80"/>
      <c r="AP792" s="80"/>
      <c r="AQ792" s="80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</row>
    <row r="793">
      <c r="A793" s="80"/>
      <c r="B793" s="80"/>
      <c r="C793" s="80"/>
      <c r="D793" s="80"/>
      <c r="E793" s="124"/>
      <c r="F793" s="80"/>
      <c r="G793" s="80"/>
      <c r="H793" s="80"/>
      <c r="I793" s="80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15"/>
      <c r="AK793" s="80"/>
      <c r="AL793" s="80"/>
      <c r="AM793" s="80"/>
      <c r="AN793" s="80"/>
      <c r="AO793" s="80"/>
      <c r="AP793" s="80"/>
      <c r="AQ793" s="80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</row>
    <row r="794">
      <c r="A794" s="80"/>
      <c r="B794" s="80"/>
      <c r="C794" s="80"/>
      <c r="D794" s="80"/>
      <c r="E794" s="124"/>
      <c r="F794" s="80"/>
      <c r="G794" s="80"/>
      <c r="H794" s="80"/>
      <c r="I794" s="80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15"/>
      <c r="AK794" s="80"/>
      <c r="AL794" s="80"/>
      <c r="AM794" s="80"/>
      <c r="AN794" s="80"/>
      <c r="AO794" s="80"/>
      <c r="AP794" s="80"/>
      <c r="AQ794" s="80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</row>
    <row r="795">
      <c r="A795" s="80"/>
      <c r="B795" s="80"/>
      <c r="C795" s="80"/>
      <c r="D795" s="80"/>
      <c r="E795" s="124"/>
      <c r="F795" s="80"/>
      <c r="G795" s="80"/>
      <c r="H795" s="80"/>
      <c r="I795" s="80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15"/>
      <c r="AK795" s="80"/>
      <c r="AL795" s="80"/>
      <c r="AM795" s="80"/>
      <c r="AN795" s="80"/>
      <c r="AO795" s="80"/>
      <c r="AP795" s="80"/>
      <c r="AQ795" s="80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</row>
    <row r="796">
      <c r="A796" s="80"/>
      <c r="B796" s="80"/>
      <c r="C796" s="80"/>
      <c r="D796" s="80"/>
      <c r="E796" s="124"/>
      <c r="F796" s="80"/>
      <c r="G796" s="80"/>
      <c r="H796" s="80"/>
      <c r="I796" s="80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15"/>
      <c r="AK796" s="80"/>
      <c r="AL796" s="80"/>
      <c r="AM796" s="80"/>
      <c r="AN796" s="80"/>
      <c r="AO796" s="80"/>
      <c r="AP796" s="80"/>
      <c r="AQ796" s="80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</row>
    <row r="797">
      <c r="A797" s="80"/>
      <c r="B797" s="80"/>
      <c r="C797" s="80"/>
      <c r="D797" s="80"/>
      <c r="E797" s="124"/>
      <c r="F797" s="80"/>
      <c r="G797" s="80"/>
      <c r="H797" s="80"/>
      <c r="I797" s="80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15"/>
      <c r="AK797" s="80"/>
      <c r="AL797" s="80"/>
      <c r="AM797" s="80"/>
      <c r="AN797" s="80"/>
      <c r="AO797" s="80"/>
      <c r="AP797" s="80"/>
      <c r="AQ797" s="80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</row>
    <row r="798">
      <c r="A798" s="80"/>
      <c r="B798" s="80"/>
      <c r="C798" s="80"/>
      <c r="D798" s="80"/>
      <c r="E798" s="124"/>
      <c r="F798" s="80"/>
      <c r="G798" s="80"/>
      <c r="H798" s="80"/>
      <c r="I798" s="80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15"/>
      <c r="AK798" s="80"/>
      <c r="AL798" s="80"/>
      <c r="AM798" s="80"/>
      <c r="AN798" s="80"/>
      <c r="AO798" s="80"/>
      <c r="AP798" s="80"/>
      <c r="AQ798" s="80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</row>
    <row r="799">
      <c r="A799" s="80"/>
      <c r="B799" s="80"/>
      <c r="C799" s="80"/>
      <c r="D799" s="80"/>
      <c r="E799" s="124"/>
      <c r="F799" s="80"/>
      <c r="G799" s="80"/>
      <c r="H799" s="80"/>
      <c r="I799" s="80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15"/>
      <c r="AK799" s="80"/>
      <c r="AL799" s="80"/>
      <c r="AM799" s="80"/>
      <c r="AN799" s="80"/>
      <c r="AO799" s="80"/>
      <c r="AP799" s="80"/>
      <c r="AQ799" s="80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</row>
    <row r="800">
      <c r="A800" s="80"/>
      <c r="B800" s="80"/>
      <c r="C800" s="80"/>
      <c r="D800" s="80"/>
      <c r="E800" s="124"/>
      <c r="F800" s="80"/>
      <c r="G800" s="80"/>
      <c r="H800" s="80"/>
      <c r="I800" s="80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15"/>
      <c r="AK800" s="80"/>
      <c r="AL800" s="80"/>
      <c r="AM800" s="80"/>
      <c r="AN800" s="80"/>
      <c r="AO800" s="80"/>
      <c r="AP800" s="80"/>
      <c r="AQ800" s="80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</row>
    <row r="801">
      <c r="A801" s="80"/>
      <c r="B801" s="80"/>
      <c r="C801" s="80"/>
      <c r="D801" s="80"/>
      <c r="E801" s="124"/>
      <c r="F801" s="80"/>
      <c r="G801" s="80"/>
      <c r="H801" s="80"/>
      <c r="I801" s="80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15"/>
      <c r="AK801" s="80"/>
      <c r="AL801" s="80"/>
      <c r="AM801" s="80"/>
      <c r="AN801" s="80"/>
      <c r="AO801" s="80"/>
      <c r="AP801" s="80"/>
      <c r="AQ801" s="80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</row>
    <row r="802">
      <c r="A802" s="80"/>
      <c r="B802" s="80"/>
      <c r="C802" s="80"/>
      <c r="D802" s="80"/>
      <c r="E802" s="124"/>
      <c r="F802" s="80"/>
      <c r="G802" s="80"/>
      <c r="H802" s="80"/>
      <c r="I802" s="80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15"/>
      <c r="AK802" s="80"/>
      <c r="AL802" s="80"/>
      <c r="AM802" s="80"/>
      <c r="AN802" s="80"/>
      <c r="AO802" s="80"/>
      <c r="AP802" s="80"/>
      <c r="AQ802" s="80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</row>
    <row r="803">
      <c r="A803" s="80"/>
      <c r="B803" s="80"/>
      <c r="C803" s="80"/>
      <c r="D803" s="80"/>
      <c r="E803" s="124"/>
      <c r="F803" s="80"/>
      <c r="G803" s="80"/>
      <c r="H803" s="80"/>
      <c r="I803" s="80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15"/>
      <c r="AK803" s="80"/>
      <c r="AL803" s="80"/>
      <c r="AM803" s="80"/>
      <c r="AN803" s="80"/>
      <c r="AO803" s="80"/>
      <c r="AP803" s="80"/>
      <c r="AQ803" s="80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</row>
    <row r="804">
      <c r="A804" s="80"/>
      <c r="B804" s="80"/>
      <c r="C804" s="80"/>
      <c r="D804" s="80"/>
      <c r="E804" s="124"/>
      <c r="F804" s="80"/>
      <c r="G804" s="80"/>
      <c r="H804" s="80"/>
      <c r="I804" s="80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15"/>
      <c r="AK804" s="80"/>
      <c r="AL804" s="80"/>
      <c r="AM804" s="80"/>
      <c r="AN804" s="80"/>
      <c r="AO804" s="80"/>
      <c r="AP804" s="80"/>
      <c r="AQ804" s="80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</row>
    <row r="805">
      <c r="A805" s="80"/>
      <c r="B805" s="80"/>
      <c r="C805" s="80"/>
      <c r="D805" s="80"/>
      <c r="E805" s="124"/>
      <c r="F805" s="80"/>
      <c r="G805" s="80"/>
      <c r="H805" s="80"/>
      <c r="I805" s="80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15"/>
      <c r="AK805" s="80"/>
      <c r="AL805" s="80"/>
      <c r="AM805" s="80"/>
      <c r="AN805" s="80"/>
      <c r="AO805" s="80"/>
      <c r="AP805" s="80"/>
      <c r="AQ805" s="80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</row>
    <row r="806">
      <c r="A806" s="80"/>
      <c r="B806" s="80"/>
      <c r="C806" s="80"/>
      <c r="D806" s="80"/>
      <c r="E806" s="124"/>
      <c r="F806" s="80"/>
      <c r="G806" s="80"/>
      <c r="H806" s="80"/>
      <c r="I806" s="80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15"/>
      <c r="AK806" s="80"/>
      <c r="AL806" s="80"/>
      <c r="AM806" s="80"/>
      <c r="AN806" s="80"/>
      <c r="AO806" s="80"/>
      <c r="AP806" s="80"/>
      <c r="AQ806" s="80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</row>
    <row r="807">
      <c r="A807" s="80"/>
      <c r="B807" s="80"/>
      <c r="C807" s="80"/>
      <c r="D807" s="80"/>
      <c r="E807" s="124"/>
      <c r="F807" s="80"/>
      <c r="G807" s="80"/>
      <c r="H807" s="80"/>
      <c r="I807" s="80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15"/>
      <c r="AK807" s="80"/>
      <c r="AL807" s="80"/>
      <c r="AM807" s="80"/>
      <c r="AN807" s="80"/>
      <c r="AO807" s="80"/>
      <c r="AP807" s="80"/>
      <c r="AQ807" s="80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</row>
    <row r="808">
      <c r="A808" s="80"/>
      <c r="B808" s="80"/>
      <c r="C808" s="80"/>
      <c r="D808" s="80"/>
      <c r="E808" s="124"/>
      <c r="F808" s="80"/>
      <c r="G808" s="80"/>
      <c r="H808" s="80"/>
      <c r="I808" s="80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15"/>
      <c r="AK808" s="80"/>
      <c r="AL808" s="80"/>
      <c r="AM808" s="80"/>
      <c r="AN808" s="80"/>
      <c r="AO808" s="80"/>
      <c r="AP808" s="80"/>
      <c r="AQ808" s="80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</row>
    <row r="809">
      <c r="A809" s="80"/>
      <c r="B809" s="80"/>
      <c r="C809" s="80"/>
      <c r="D809" s="80"/>
      <c r="E809" s="124"/>
      <c r="F809" s="80"/>
      <c r="G809" s="80"/>
      <c r="H809" s="80"/>
      <c r="I809" s="80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15"/>
      <c r="AK809" s="80"/>
      <c r="AL809" s="80"/>
      <c r="AM809" s="80"/>
      <c r="AN809" s="80"/>
      <c r="AO809" s="80"/>
      <c r="AP809" s="80"/>
      <c r="AQ809" s="80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</row>
    <row r="810">
      <c r="A810" s="80"/>
      <c r="B810" s="80"/>
      <c r="C810" s="80"/>
      <c r="D810" s="80"/>
      <c r="E810" s="124"/>
      <c r="F810" s="80"/>
      <c r="G810" s="80"/>
      <c r="H810" s="80"/>
      <c r="I810" s="80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15"/>
      <c r="AK810" s="80"/>
      <c r="AL810" s="80"/>
      <c r="AM810" s="80"/>
      <c r="AN810" s="80"/>
      <c r="AO810" s="80"/>
      <c r="AP810" s="80"/>
      <c r="AQ810" s="80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</row>
    <row r="811">
      <c r="A811" s="80"/>
      <c r="B811" s="80"/>
      <c r="C811" s="80"/>
      <c r="D811" s="80"/>
      <c r="E811" s="124"/>
      <c r="F811" s="80"/>
      <c r="G811" s="80"/>
      <c r="H811" s="80"/>
      <c r="I811" s="80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15"/>
      <c r="AK811" s="80"/>
      <c r="AL811" s="80"/>
      <c r="AM811" s="80"/>
      <c r="AN811" s="80"/>
      <c r="AO811" s="80"/>
      <c r="AP811" s="80"/>
      <c r="AQ811" s="80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</row>
    <row r="812">
      <c r="A812" s="80"/>
      <c r="B812" s="80"/>
      <c r="C812" s="80"/>
      <c r="D812" s="80"/>
      <c r="E812" s="124"/>
      <c r="F812" s="80"/>
      <c r="G812" s="80"/>
      <c r="H812" s="80"/>
      <c r="I812" s="80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15"/>
      <c r="AK812" s="80"/>
      <c r="AL812" s="80"/>
      <c r="AM812" s="80"/>
      <c r="AN812" s="80"/>
      <c r="AO812" s="80"/>
      <c r="AP812" s="80"/>
      <c r="AQ812" s="80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</row>
    <row r="813">
      <c r="A813" s="80"/>
      <c r="B813" s="80"/>
      <c r="C813" s="80"/>
      <c r="D813" s="80"/>
      <c r="E813" s="124"/>
      <c r="F813" s="80"/>
      <c r="G813" s="80"/>
      <c r="H813" s="80"/>
      <c r="I813" s="80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15"/>
      <c r="AK813" s="80"/>
      <c r="AL813" s="80"/>
      <c r="AM813" s="80"/>
      <c r="AN813" s="80"/>
      <c r="AO813" s="80"/>
      <c r="AP813" s="80"/>
      <c r="AQ813" s="80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</row>
    <row r="814">
      <c r="A814" s="80"/>
      <c r="B814" s="80"/>
      <c r="C814" s="80"/>
      <c r="D814" s="80"/>
      <c r="E814" s="124"/>
      <c r="F814" s="80"/>
      <c r="G814" s="80"/>
      <c r="H814" s="80"/>
      <c r="I814" s="80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15"/>
      <c r="AK814" s="80"/>
      <c r="AL814" s="80"/>
      <c r="AM814" s="80"/>
      <c r="AN814" s="80"/>
      <c r="AO814" s="80"/>
      <c r="AP814" s="80"/>
      <c r="AQ814" s="80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</row>
    <row r="815">
      <c r="A815" s="80"/>
      <c r="B815" s="80"/>
      <c r="C815" s="80"/>
      <c r="D815" s="80"/>
      <c r="E815" s="124"/>
      <c r="F815" s="80"/>
      <c r="G815" s="80"/>
      <c r="H815" s="80"/>
      <c r="I815" s="80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15"/>
      <c r="AK815" s="80"/>
      <c r="AL815" s="80"/>
      <c r="AM815" s="80"/>
      <c r="AN815" s="80"/>
      <c r="AO815" s="80"/>
      <c r="AP815" s="80"/>
      <c r="AQ815" s="80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</row>
    <row r="816">
      <c r="A816" s="80"/>
      <c r="B816" s="80"/>
      <c r="C816" s="80"/>
      <c r="D816" s="80"/>
      <c r="E816" s="124"/>
      <c r="F816" s="80"/>
      <c r="G816" s="80"/>
      <c r="H816" s="80"/>
      <c r="I816" s="80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15"/>
      <c r="AK816" s="80"/>
      <c r="AL816" s="80"/>
      <c r="AM816" s="80"/>
      <c r="AN816" s="80"/>
      <c r="AO816" s="80"/>
      <c r="AP816" s="80"/>
      <c r="AQ816" s="80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</row>
    <row r="817">
      <c r="A817" s="80"/>
      <c r="B817" s="80"/>
      <c r="C817" s="80"/>
      <c r="D817" s="80"/>
      <c r="E817" s="124"/>
      <c r="F817" s="80"/>
      <c r="G817" s="80"/>
      <c r="H817" s="80"/>
      <c r="I817" s="80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15"/>
      <c r="AK817" s="80"/>
      <c r="AL817" s="80"/>
      <c r="AM817" s="80"/>
      <c r="AN817" s="80"/>
      <c r="AO817" s="80"/>
      <c r="AP817" s="80"/>
      <c r="AQ817" s="80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</row>
    <row r="818">
      <c r="A818" s="80"/>
      <c r="B818" s="80"/>
      <c r="C818" s="80"/>
      <c r="D818" s="80"/>
      <c r="E818" s="124"/>
      <c r="F818" s="80"/>
      <c r="G818" s="80"/>
      <c r="H818" s="80"/>
      <c r="I818" s="80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15"/>
      <c r="AK818" s="80"/>
      <c r="AL818" s="80"/>
      <c r="AM818" s="80"/>
      <c r="AN818" s="80"/>
      <c r="AO818" s="80"/>
      <c r="AP818" s="80"/>
      <c r="AQ818" s="80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</row>
    <row r="819">
      <c r="A819" s="80"/>
      <c r="B819" s="80"/>
      <c r="C819" s="80"/>
      <c r="D819" s="80"/>
      <c r="E819" s="124"/>
      <c r="F819" s="80"/>
      <c r="G819" s="80"/>
      <c r="H819" s="80"/>
      <c r="I819" s="80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15"/>
      <c r="AK819" s="80"/>
      <c r="AL819" s="80"/>
      <c r="AM819" s="80"/>
      <c r="AN819" s="80"/>
      <c r="AO819" s="80"/>
      <c r="AP819" s="80"/>
      <c r="AQ819" s="80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</row>
    <row r="820">
      <c r="A820" s="80"/>
      <c r="B820" s="80"/>
      <c r="C820" s="80"/>
      <c r="D820" s="80"/>
      <c r="E820" s="124"/>
      <c r="F820" s="80"/>
      <c r="G820" s="80"/>
      <c r="H820" s="80"/>
      <c r="I820" s="80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15"/>
      <c r="AK820" s="80"/>
      <c r="AL820" s="80"/>
      <c r="AM820" s="80"/>
      <c r="AN820" s="80"/>
      <c r="AO820" s="80"/>
      <c r="AP820" s="80"/>
      <c r="AQ820" s="80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</row>
    <row r="821">
      <c r="A821" s="80"/>
      <c r="B821" s="80"/>
      <c r="C821" s="80"/>
      <c r="D821" s="80"/>
      <c r="E821" s="124"/>
      <c r="F821" s="80"/>
      <c r="G821" s="80"/>
      <c r="H821" s="80"/>
      <c r="I821" s="80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15"/>
      <c r="AK821" s="80"/>
      <c r="AL821" s="80"/>
      <c r="AM821" s="80"/>
      <c r="AN821" s="80"/>
      <c r="AO821" s="80"/>
      <c r="AP821" s="80"/>
      <c r="AQ821" s="80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</row>
    <row r="822">
      <c r="A822" s="80"/>
      <c r="B822" s="80"/>
      <c r="C822" s="80"/>
      <c r="D822" s="80"/>
      <c r="E822" s="124"/>
      <c r="F822" s="80"/>
      <c r="G822" s="80"/>
      <c r="H822" s="80"/>
      <c r="I822" s="80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15"/>
      <c r="AK822" s="80"/>
      <c r="AL822" s="80"/>
      <c r="AM822" s="80"/>
      <c r="AN822" s="80"/>
      <c r="AO822" s="80"/>
      <c r="AP822" s="80"/>
      <c r="AQ822" s="80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</row>
    <row r="823">
      <c r="A823" s="80"/>
      <c r="B823" s="80"/>
      <c r="C823" s="80"/>
      <c r="D823" s="80"/>
      <c r="E823" s="124"/>
      <c r="F823" s="80"/>
      <c r="G823" s="80"/>
      <c r="H823" s="80"/>
      <c r="I823" s="80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15"/>
      <c r="AK823" s="80"/>
      <c r="AL823" s="80"/>
      <c r="AM823" s="80"/>
      <c r="AN823" s="80"/>
      <c r="AO823" s="80"/>
      <c r="AP823" s="80"/>
      <c r="AQ823" s="80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</row>
    <row r="824">
      <c r="A824" s="80"/>
      <c r="B824" s="80"/>
      <c r="C824" s="80"/>
      <c r="D824" s="80"/>
      <c r="E824" s="124"/>
      <c r="F824" s="80"/>
      <c r="G824" s="80"/>
      <c r="H824" s="80"/>
      <c r="I824" s="80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15"/>
      <c r="AK824" s="80"/>
      <c r="AL824" s="80"/>
      <c r="AM824" s="80"/>
      <c r="AN824" s="80"/>
      <c r="AO824" s="80"/>
      <c r="AP824" s="80"/>
      <c r="AQ824" s="80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</row>
    <row r="825">
      <c r="A825" s="80"/>
      <c r="B825" s="80"/>
      <c r="C825" s="80"/>
      <c r="D825" s="80"/>
      <c r="E825" s="124"/>
      <c r="F825" s="80"/>
      <c r="G825" s="80"/>
      <c r="H825" s="80"/>
      <c r="I825" s="80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15"/>
      <c r="AK825" s="80"/>
      <c r="AL825" s="80"/>
      <c r="AM825" s="80"/>
      <c r="AN825" s="80"/>
      <c r="AO825" s="80"/>
      <c r="AP825" s="80"/>
      <c r="AQ825" s="80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</row>
    <row r="826">
      <c r="A826" s="80"/>
      <c r="B826" s="80"/>
      <c r="C826" s="80"/>
      <c r="D826" s="80"/>
      <c r="E826" s="124"/>
      <c r="F826" s="80"/>
      <c r="G826" s="80"/>
      <c r="H826" s="80"/>
      <c r="I826" s="80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15"/>
      <c r="AK826" s="80"/>
      <c r="AL826" s="80"/>
      <c r="AM826" s="80"/>
      <c r="AN826" s="80"/>
      <c r="AO826" s="80"/>
      <c r="AP826" s="80"/>
      <c r="AQ826" s="80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</row>
    <row r="827">
      <c r="A827" s="80"/>
      <c r="B827" s="80"/>
      <c r="C827" s="80"/>
      <c r="D827" s="80"/>
      <c r="E827" s="124"/>
      <c r="F827" s="80"/>
      <c r="G827" s="80"/>
      <c r="H827" s="80"/>
      <c r="I827" s="80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15"/>
      <c r="AK827" s="80"/>
      <c r="AL827" s="80"/>
      <c r="AM827" s="80"/>
      <c r="AN827" s="80"/>
      <c r="AO827" s="80"/>
      <c r="AP827" s="80"/>
      <c r="AQ827" s="80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</row>
    <row r="828">
      <c r="A828" s="80"/>
      <c r="B828" s="80"/>
      <c r="C828" s="80"/>
      <c r="D828" s="80"/>
      <c r="E828" s="124"/>
      <c r="F828" s="80"/>
      <c r="G828" s="80"/>
      <c r="H828" s="80"/>
      <c r="I828" s="80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15"/>
      <c r="AK828" s="80"/>
      <c r="AL828" s="80"/>
      <c r="AM828" s="80"/>
      <c r="AN828" s="80"/>
      <c r="AO828" s="80"/>
      <c r="AP828" s="80"/>
      <c r="AQ828" s="80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</row>
    <row r="829">
      <c r="A829" s="80"/>
      <c r="B829" s="80"/>
      <c r="C829" s="80"/>
      <c r="D829" s="80"/>
      <c r="E829" s="124"/>
      <c r="F829" s="80"/>
      <c r="G829" s="80"/>
      <c r="H829" s="80"/>
      <c r="I829" s="80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15"/>
      <c r="AK829" s="80"/>
      <c r="AL829" s="80"/>
      <c r="AM829" s="80"/>
      <c r="AN829" s="80"/>
      <c r="AO829" s="80"/>
      <c r="AP829" s="80"/>
      <c r="AQ829" s="80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</row>
    <row r="830">
      <c r="A830" s="80"/>
      <c r="B830" s="80"/>
      <c r="C830" s="80"/>
      <c r="D830" s="80"/>
      <c r="E830" s="124"/>
      <c r="F830" s="80"/>
      <c r="G830" s="80"/>
      <c r="H830" s="80"/>
      <c r="I830" s="80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15"/>
      <c r="AK830" s="80"/>
      <c r="AL830" s="80"/>
      <c r="AM830" s="80"/>
      <c r="AN830" s="80"/>
      <c r="AO830" s="80"/>
      <c r="AP830" s="80"/>
      <c r="AQ830" s="80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</row>
    <row r="831">
      <c r="A831" s="80"/>
      <c r="B831" s="80"/>
      <c r="C831" s="80"/>
      <c r="D831" s="80"/>
      <c r="E831" s="124"/>
      <c r="F831" s="80"/>
      <c r="G831" s="80"/>
      <c r="H831" s="80"/>
      <c r="I831" s="80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15"/>
      <c r="AK831" s="80"/>
      <c r="AL831" s="80"/>
      <c r="AM831" s="80"/>
      <c r="AN831" s="80"/>
      <c r="AO831" s="80"/>
      <c r="AP831" s="80"/>
      <c r="AQ831" s="80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</row>
    <row r="832">
      <c r="A832" s="80"/>
      <c r="B832" s="80"/>
      <c r="C832" s="80"/>
      <c r="D832" s="80"/>
      <c r="E832" s="124"/>
      <c r="F832" s="80"/>
      <c r="G832" s="80"/>
      <c r="H832" s="80"/>
      <c r="I832" s="80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15"/>
      <c r="AK832" s="80"/>
      <c r="AL832" s="80"/>
      <c r="AM832" s="80"/>
      <c r="AN832" s="80"/>
      <c r="AO832" s="80"/>
      <c r="AP832" s="80"/>
      <c r="AQ832" s="80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</row>
    <row r="833">
      <c r="A833" s="80"/>
      <c r="B833" s="80"/>
      <c r="C833" s="80"/>
      <c r="D833" s="80"/>
      <c r="E833" s="124"/>
      <c r="F833" s="80"/>
      <c r="G833" s="80"/>
      <c r="H833" s="80"/>
      <c r="I833" s="80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15"/>
      <c r="AK833" s="80"/>
      <c r="AL833" s="80"/>
      <c r="AM833" s="80"/>
      <c r="AN833" s="80"/>
      <c r="AO833" s="80"/>
      <c r="AP833" s="80"/>
      <c r="AQ833" s="80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</row>
    <row r="834">
      <c r="A834" s="80"/>
      <c r="B834" s="80"/>
      <c r="C834" s="80"/>
      <c r="D834" s="80"/>
      <c r="E834" s="124"/>
      <c r="F834" s="80"/>
      <c r="G834" s="80"/>
      <c r="H834" s="80"/>
      <c r="I834" s="80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15"/>
      <c r="AK834" s="80"/>
      <c r="AL834" s="80"/>
      <c r="AM834" s="80"/>
      <c r="AN834" s="80"/>
      <c r="AO834" s="80"/>
      <c r="AP834" s="80"/>
      <c r="AQ834" s="80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</row>
    <row r="835">
      <c r="A835" s="80"/>
      <c r="B835" s="80"/>
      <c r="C835" s="80"/>
      <c r="D835" s="80"/>
      <c r="E835" s="124"/>
      <c r="F835" s="80"/>
      <c r="G835" s="80"/>
      <c r="H835" s="80"/>
      <c r="I835" s="80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15"/>
      <c r="AK835" s="80"/>
      <c r="AL835" s="80"/>
      <c r="AM835" s="80"/>
      <c r="AN835" s="80"/>
      <c r="AO835" s="80"/>
      <c r="AP835" s="80"/>
      <c r="AQ835" s="80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</row>
    <row r="836">
      <c r="A836" s="80"/>
      <c r="B836" s="80"/>
      <c r="C836" s="80"/>
      <c r="D836" s="80"/>
      <c r="E836" s="124"/>
      <c r="F836" s="80"/>
      <c r="G836" s="80"/>
      <c r="H836" s="80"/>
      <c r="I836" s="80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15"/>
      <c r="AK836" s="80"/>
      <c r="AL836" s="80"/>
      <c r="AM836" s="80"/>
      <c r="AN836" s="80"/>
      <c r="AO836" s="80"/>
      <c r="AP836" s="80"/>
      <c r="AQ836" s="80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</row>
    <row r="837">
      <c r="A837" s="80"/>
      <c r="B837" s="80"/>
      <c r="C837" s="80"/>
      <c r="D837" s="80"/>
      <c r="E837" s="124"/>
      <c r="F837" s="80"/>
      <c r="G837" s="80"/>
      <c r="H837" s="80"/>
      <c r="I837" s="80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15"/>
      <c r="AK837" s="80"/>
      <c r="AL837" s="80"/>
      <c r="AM837" s="80"/>
      <c r="AN837" s="80"/>
      <c r="AO837" s="80"/>
      <c r="AP837" s="80"/>
      <c r="AQ837" s="80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</row>
    <row r="838">
      <c r="A838" s="80"/>
      <c r="B838" s="80"/>
      <c r="C838" s="80"/>
      <c r="D838" s="80"/>
      <c r="E838" s="124"/>
      <c r="F838" s="80"/>
      <c r="G838" s="80"/>
      <c r="H838" s="80"/>
      <c r="I838" s="80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15"/>
      <c r="AK838" s="80"/>
      <c r="AL838" s="80"/>
      <c r="AM838" s="80"/>
      <c r="AN838" s="80"/>
      <c r="AO838" s="80"/>
      <c r="AP838" s="80"/>
      <c r="AQ838" s="80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</row>
    <row r="839">
      <c r="A839" s="80"/>
      <c r="B839" s="80"/>
      <c r="C839" s="80"/>
      <c r="D839" s="80"/>
      <c r="E839" s="124"/>
      <c r="F839" s="80"/>
      <c r="G839" s="80"/>
      <c r="H839" s="80"/>
      <c r="I839" s="80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15"/>
      <c r="AK839" s="80"/>
      <c r="AL839" s="80"/>
      <c r="AM839" s="80"/>
      <c r="AN839" s="80"/>
      <c r="AO839" s="80"/>
      <c r="AP839" s="80"/>
      <c r="AQ839" s="80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</row>
    <row r="840">
      <c r="A840" s="80"/>
      <c r="B840" s="80"/>
      <c r="C840" s="80"/>
      <c r="D840" s="80"/>
      <c r="E840" s="124"/>
      <c r="F840" s="80"/>
      <c r="G840" s="80"/>
      <c r="H840" s="80"/>
      <c r="I840" s="80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15"/>
      <c r="AK840" s="80"/>
      <c r="AL840" s="80"/>
      <c r="AM840" s="80"/>
      <c r="AN840" s="80"/>
      <c r="AO840" s="80"/>
      <c r="AP840" s="80"/>
      <c r="AQ840" s="80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</row>
    <row r="841">
      <c r="A841" s="80"/>
      <c r="B841" s="80"/>
      <c r="C841" s="80"/>
      <c r="D841" s="80"/>
      <c r="E841" s="124"/>
      <c r="F841" s="80"/>
      <c r="G841" s="80"/>
      <c r="H841" s="80"/>
      <c r="I841" s="80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15"/>
      <c r="AK841" s="80"/>
      <c r="AL841" s="80"/>
      <c r="AM841" s="80"/>
      <c r="AN841" s="80"/>
      <c r="AO841" s="80"/>
      <c r="AP841" s="80"/>
      <c r="AQ841" s="80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</row>
    <row r="842">
      <c r="A842" s="80"/>
      <c r="B842" s="80"/>
      <c r="C842" s="80"/>
      <c r="D842" s="80"/>
      <c r="E842" s="124"/>
      <c r="F842" s="80"/>
      <c r="G842" s="80"/>
      <c r="H842" s="80"/>
      <c r="I842" s="80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15"/>
      <c r="AK842" s="80"/>
      <c r="AL842" s="80"/>
      <c r="AM842" s="80"/>
      <c r="AN842" s="80"/>
      <c r="AO842" s="80"/>
      <c r="AP842" s="80"/>
      <c r="AQ842" s="80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</row>
    <row r="843">
      <c r="A843" s="80"/>
      <c r="B843" s="80"/>
      <c r="C843" s="80"/>
      <c r="D843" s="80"/>
      <c r="E843" s="124"/>
      <c r="F843" s="80"/>
      <c r="G843" s="80"/>
      <c r="H843" s="80"/>
      <c r="I843" s="80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15"/>
      <c r="AK843" s="80"/>
      <c r="AL843" s="80"/>
      <c r="AM843" s="80"/>
      <c r="AN843" s="80"/>
      <c r="AO843" s="80"/>
      <c r="AP843" s="80"/>
      <c r="AQ843" s="80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</row>
    <row r="844">
      <c r="A844" s="80"/>
      <c r="B844" s="80"/>
      <c r="C844" s="80"/>
      <c r="D844" s="80"/>
      <c r="E844" s="124"/>
      <c r="F844" s="80"/>
      <c r="G844" s="80"/>
      <c r="H844" s="80"/>
      <c r="I844" s="80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15"/>
      <c r="AK844" s="80"/>
      <c r="AL844" s="80"/>
      <c r="AM844" s="80"/>
      <c r="AN844" s="80"/>
      <c r="AO844" s="80"/>
      <c r="AP844" s="80"/>
      <c r="AQ844" s="80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</row>
    <row r="845">
      <c r="A845" s="80"/>
      <c r="B845" s="80"/>
      <c r="C845" s="80"/>
      <c r="D845" s="80"/>
      <c r="E845" s="124"/>
      <c r="F845" s="80"/>
      <c r="G845" s="80"/>
      <c r="H845" s="80"/>
      <c r="I845" s="80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15"/>
      <c r="AK845" s="80"/>
      <c r="AL845" s="80"/>
      <c r="AM845" s="80"/>
      <c r="AN845" s="80"/>
      <c r="AO845" s="80"/>
      <c r="AP845" s="80"/>
      <c r="AQ845" s="80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</row>
    <row r="846">
      <c r="A846" s="80"/>
      <c r="B846" s="80"/>
      <c r="C846" s="80"/>
      <c r="D846" s="80"/>
      <c r="E846" s="124"/>
      <c r="F846" s="80"/>
      <c r="G846" s="80"/>
      <c r="H846" s="80"/>
      <c r="I846" s="80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15"/>
      <c r="AK846" s="80"/>
      <c r="AL846" s="80"/>
      <c r="AM846" s="80"/>
      <c r="AN846" s="80"/>
      <c r="AO846" s="80"/>
      <c r="AP846" s="80"/>
      <c r="AQ846" s="80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</row>
    <row r="847">
      <c r="A847" s="80"/>
      <c r="B847" s="80"/>
      <c r="C847" s="80"/>
      <c r="D847" s="80"/>
      <c r="E847" s="124"/>
      <c r="F847" s="80"/>
      <c r="G847" s="80"/>
      <c r="H847" s="80"/>
      <c r="I847" s="80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15"/>
      <c r="AK847" s="80"/>
      <c r="AL847" s="80"/>
      <c r="AM847" s="80"/>
      <c r="AN847" s="80"/>
      <c r="AO847" s="80"/>
      <c r="AP847" s="80"/>
      <c r="AQ847" s="80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</row>
    <row r="848">
      <c r="A848" s="80"/>
      <c r="B848" s="80"/>
      <c r="C848" s="80"/>
      <c r="D848" s="80"/>
      <c r="E848" s="124"/>
      <c r="F848" s="80"/>
      <c r="G848" s="80"/>
      <c r="H848" s="80"/>
      <c r="I848" s="80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15"/>
      <c r="AK848" s="80"/>
      <c r="AL848" s="80"/>
      <c r="AM848" s="80"/>
      <c r="AN848" s="80"/>
      <c r="AO848" s="80"/>
      <c r="AP848" s="80"/>
      <c r="AQ848" s="80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</row>
    <row r="849">
      <c r="A849" s="80"/>
      <c r="B849" s="80"/>
      <c r="C849" s="80"/>
      <c r="D849" s="80"/>
      <c r="E849" s="124"/>
      <c r="F849" s="80"/>
      <c r="G849" s="80"/>
      <c r="H849" s="80"/>
      <c r="I849" s="80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15"/>
      <c r="AK849" s="80"/>
      <c r="AL849" s="80"/>
      <c r="AM849" s="80"/>
      <c r="AN849" s="80"/>
      <c r="AO849" s="80"/>
      <c r="AP849" s="80"/>
      <c r="AQ849" s="80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</row>
    <row r="850">
      <c r="A850" s="80"/>
      <c r="B850" s="80"/>
      <c r="C850" s="80"/>
      <c r="D850" s="80"/>
      <c r="E850" s="124"/>
      <c r="F850" s="80"/>
      <c r="G850" s="80"/>
      <c r="H850" s="80"/>
      <c r="I850" s="80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15"/>
      <c r="AK850" s="80"/>
      <c r="AL850" s="80"/>
      <c r="AM850" s="80"/>
      <c r="AN850" s="80"/>
      <c r="AO850" s="80"/>
      <c r="AP850" s="80"/>
      <c r="AQ850" s="80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</row>
    <row r="851">
      <c r="A851" s="80"/>
      <c r="B851" s="80"/>
      <c r="C851" s="80"/>
      <c r="D851" s="80"/>
      <c r="E851" s="124"/>
      <c r="F851" s="80"/>
      <c r="G851" s="80"/>
      <c r="H851" s="80"/>
      <c r="I851" s="80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15"/>
      <c r="AK851" s="80"/>
      <c r="AL851" s="80"/>
      <c r="AM851" s="80"/>
      <c r="AN851" s="80"/>
      <c r="AO851" s="80"/>
      <c r="AP851" s="80"/>
      <c r="AQ851" s="80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</row>
    <row r="852">
      <c r="A852" s="80"/>
      <c r="B852" s="80"/>
      <c r="C852" s="80"/>
      <c r="D852" s="80"/>
      <c r="E852" s="124"/>
      <c r="F852" s="80"/>
      <c r="G852" s="80"/>
      <c r="H852" s="80"/>
      <c r="I852" s="80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15"/>
      <c r="AK852" s="80"/>
      <c r="AL852" s="80"/>
      <c r="AM852" s="80"/>
      <c r="AN852" s="80"/>
      <c r="AO852" s="80"/>
      <c r="AP852" s="80"/>
      <c r="AQ852" s="80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</row>
    <row r="853">
      <c r="A853" s="80"/>
      <c r="B853" s="80"/>
      <c r="C853" s="80"/>
      <c r="D853" s="80"/>
      <c r="E853" s="124"/>
      <c r="F853" s="80"/>
      <c r="G853" s="80"/>
      <c r="H853" s="80"/>
      <c r="I853" s="80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15"/>
      <c r="AK853" s="80"/>
      <c r="AL853" s="80"/>
      <c r="AM853" s="80"/>
      <c r="AN853" s="80"/>
      <c r="AO853" s="80"/>
      <c r="AP853" s="80"/>
      <c r="AQ853" s="80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</row>
    <row r="854">
      <c r="A854" s="80"/>
      <c r="B854" s="80"/>
      <c r="C854" s="80"/>
      <c r="D854" s="80"/>
      <c r="E854" s="124"/>
      <c r="F854" s="80"/>
      <c r="G854" s="80"/>
      <c r="H854" s="80"/>
      <c r="I854" s="80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15"/>
      <c r="AK854" s="80"/>
      <c r="AL854" s="80"/>
      <c r="AM854" s="80"/>
      <c r="AN854" s="80"/>
      <c r="AO854" s="80"/>
      <c r="AP854" s="80"/>
      <c r="AQ854" s="80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</row>
    <row r="855">
      <c r="A855" s="80"/>
      <c r="B855" s="80"/>
      <c r="C855" s="80"/>
      <c r="D855" s="80"/>
      <c r="E855" s="124"/>
      <c r="F855" s="80"/>
      <c r="G855" s="80"/>
      <c r="H855" s="80"/>
      <c r="I855" s="80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15"/>
      <c r="AK855" s="80"/>
      <c r="AL855" s="80"/>
      <c r="AM855" s="80"/>
      <c r="AN855" s="80"/>
      <c r="AO855" s="80"/>
      <c r="AP855" s="80"/>
      <c r="AQ855" s="80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</row>
    <row r="856">
      <c r="A856" s="80"/>
      <c r="B856" s="80"/>
      <c r="C856" s="80"/>
      <c r="D856" s="80"/>
      <c r="E856" s="124"/>
      <c r="F856" s="80"/>
      <c r="G856" s="80"/>
      <c r="H856" s="80"/>
      <c r="I856" s="80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15"/>
      <c r="AK856" s="80"/>
      <c r="AL856" s="80"/>
      <c r="AM856" s="80"/>
      <c r="AN856" s="80"/>
      <c r="AO856" s="80"/>
      <c r="AP856" s="80"/>
      <c r="AQ856" s="80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</row>
    <row r="857">
      <c r="A857" s="80"/>
      <c r="B857" s="80"/>
      <c r="C857" s="80"/>
      <c r="D857" s="80"/>
      <c r="E857" s="124"/>
      <c r="F857" s="80"/>
      <c r="G857" s="80"/>
      <c r="H857" s="80"/>
      <c r="I857" s="80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15"/>
      <c r="AK857" s="80"/>
      <c r="AL857" s="80"/>
      <c r="AM857" s="80"/>
      <c r="AN857" s="80"/>
      <c r="AO857" s="80"/>
      <c r="AP857" s="80"/>
      <c r="AQ857" s="80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</row>
    <row r="858">
      <c r="A858" s="80"/>
      <c r="B858" s="80"/>
      <c r="C858" s="80"/>
      <c r="D858" s="80"/>
      <c r="E858" s="124"/>
      <c r="F858" s="80"/>
      <c r="G858" s="80"/>
      <c r="H858" s="80"/>
      <c r="I858" s="80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15"/>
      <c r="AK858" s="80"/>
      <c r="AL858" s="80"/>
      <c r="AM858" s="80"/>
      <c r="AN858" s="80"/>
      <c r="AO858" s="80"/>
      <c r="AP858" s="80"/>
      <c r="AQ858" s="80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</row>
    <row r="859">
      <c r="A859" s="80"/>
      <c r="B859" s="80"/>
      <c r="C859" s="80"/>
      <c r="D859" s="80"/>
      <c r="E859" s="124"/>
      <c r="F859" s="80"/>
      <c r="G859" s="80"/>
      <c r="H859" s="80"/>
      <c r="I859" s="80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15"/>
      <c r="AK859" s="80"/>
      <c r="AL859" s="80"/>
      <c r="AM859" s="80"/>
      <c r="AN859" s="80"/>
      <c r="AO859" s="80"/>
      <c r="AP859" s="80"/>
      <c r="AQ859" s="80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</row>
    <row r="860">
      <c r="A860" s="80"/>
      <c r="B860" s="80"/>
      <c r="C860" s="80"/>
      <c r="D860" s="80"/>
      <c r="E860" s="124"/>
      <c r="F860" s="80"/>
      <c r="G860" s="80"/>
      <c r="H860" s="80"/>
      <c r="I860" s="80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15"/>
      <c r="AK860" s="80"/>
      <c r="AL860" s="80"/>
      <c r="AM860" s="80"/>
      <c r="AN860" s="80"/>
      <c r="AO860" s="80"/>
      <c r="AP860" s="80"/>
      <c r="AQ860" s="80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</row>
    <row r="861">
      <c r="A861" s="80"/>
      <c r="B861" s="80"/>
      <c r="C861" s="80"/>
      <c r="D861" s="80"/>
      <c r="E861" s="124"/>
      <c r="F861" s="80"/>
      <c r="G861" s="80"/>
      <c r="H861" s="80"/>
      <c r="I861" s="80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15"/>
      <c r="AK861" s="80"/>
      <c r="AL861" s="80"/>
      <c r="AM861" s="80"/>
      <c r="AN861" s="80"/>
      <c r="AO861" s="80"/>
      <c r="AP861" s="80"/>
      <c r="AQ861" s="80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</row>
    <row r="862">
      <c r="A862" s="80"/>
      <c r="B862" s="80"/>
      <c r="C862" s="80"/>
      <c r="D862" s="80"/>
      <c r="E862" s="124"/>
      <c r="F862" s="80"/>
      <c r="G862" s="80"/>
      <c r="H862" s="80"/>
      <c r="I862" s="80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15"/>
      <c r="AK862" s="80"/>
      <c r="AL862" s="80"/>
      <c r="AM862" s="80"/>
      <c r="AN862" s="80"/>
      <c r="AO862" s="80"/>
      <c r="AP862" s="80"/>
      <c r="AQ862" s="80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</row>
    <row r="863">
      <c r="A863" s="80"/>
      <c r="B863" s="80"/>
      <c r="C863" s="80"/>
      <c r="D863" s="80"/>
      <c r="E863" s="124"/>
      <c r="F863" s="80"/>
      <c r="G863" s="80"/>
      <c r="H863" s="80"/>
      <c r="I863" s="80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15"/>
      <c r="AK863" s="80"/>
      <c r="AL863" s="80"/>
      <c r="AM863" s="80"/>
      <c r="AN863" s="80"/>
      <c r="AO863" s="80"/>
      <c r="AP863" s="80"/>
      <c r="AQ863" s="80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</row>
    <row r="864">
      <c r="A864" s="80"/>
      <c r="B864" s="80"/>
      <c r="C864" s="80"/>
      <c r="D864" s="80"/>
      <c r="E864" s="124"/>
      <c r="F864" s="80"/>
      <c r="G864" s="80"/>
      <c r="H864" s="80"/>
      <c r="I864" s="80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15"/>
      <c r="AK864" s="80"/>
      <c r="AL864" s="80"/>
      <c r="AM864" s="80"/>
      <c r="AN864" s="80"/>
      <c r="AO864" s="80"/>
      <c r="AP864" s="80"/>
      <c r="AQ864" s="80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</row>
    <row r="865">
      <c r="A865" s="80"/>
      <c r="B865" s="80"/>
      <c r="C865" s="80"/>
      <c r="D865" s="80"/>
      <c r="E865" s="124"/>
      <c r="F865" s="80"/>
      <c r="G865" s="80"/>
      <c r="H865" s="80"/>
      <c r="I865" s="80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15"/>
      <c r="AK865" s="80"/>
      <c r="AL865" s="80"/>
      <c r="AM865" s="80"/>
      <c r="AN865" s="80"/>
      <c r="AO865" s="80"/>
      <c r="AP865" s="80"/>
      <c r="AQ865" s="80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</row>
    <row r="866">
      <c r="A866" s="80"/>
      <c r="B866" s="80"/>
      <c r="C866" s="80"/>
      <c r="D866" s="80"/>
      <c r="E866" s="124"/>
      <c r="F866" s="80"/>
      <c r="G866" s="80"/>
      <c r="H866" s="80"/>
      <c r="I866" s="80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15"/>
      <c r="AK866" s="80"/>
      <c r="AL866" s="80"/>
      <c r="AM866" s="80"/>
      <c r="AN866" s="80"/>
      <c r="AO866" s="80"/>
      <c r="AP866" s="80"/>
      <c r="AQ866" s="80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</row>
    <row r="867">
      <c r="A867" s="80"/>
      <c r="B867" s="80"/>
      <c r="C867" s="80"/>
      <c r="D867" s="80"/>
      <c r="E867" s="124"/>
      <c r="F867" s="80"/>
      <c r="G867" s="80"/>
      <c r="H867" s="80"/>
      <c r="I867" s="80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15"/>
      <c r="AK867" s="80"/>
      <c r="AL867" s="80"/>
      <c r="AM867" s="80"/>
      <c r="AN867" s="80"/>
      <c r="AO867" s="80"/>
      <c r="AP867" s="80"/>
      <c r="AQ867" s="80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</row>
    <row r="868">
      <c r="A868" s="80"/>
      <c r="B868" s="80"/>
      <c r="C868" s="80"/>
      <c r="D868" s="80"/>
      <c r="E868" s="124"/>
      <c r="F868" s="80"/>
      <c r="G868" s="80"/>
      <c r="H868" s="80"/>
      <c r="I868" s="80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15"/>
      <c r="AK868" s="80"/>
      <c r="AL868" s="80"/>
      <c r="AM868" s="80"/>
      <c r="AN868" s="80"/>
      <c r="AO868" s="80"/>
      <c r="AP868" s="80"/>
      <c r="AQ868" s="80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</row>
    <row r="869">
      <c r="A869" s="80"/>
      <c r="B869" s="80"/>
      <c r="C869" s="80"/>
      <c r="D869" s="80"/>
      <c r="E869" s="124"/>
      <c r="F869" s="80"/>
      <c r="G869" s="80"/>
      <c r="H869" s="80"/>
      <c r="I869" s="80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15"/>
      <c r="AK869" s="80"/>
      <c r="AL869" s="80"/>
      <c r="AM869" s="80"/>
      <c r="AN869" s="80"/>
      <c r="AO869" s="80"/>
      <c r="AP869" s="80"/>
      <c r="AQ869" s="80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</row>
    <row r="870">
      <c r="A870" s="80"/>
      <c r="B870" s="80"/>
      <c r="C870" s="80"/>
      <c r="D870" s="80"/>
      <c r="E870" s="124"/>
      <c r="F870" s="80"/>
      <c r="G870" s="80"/>
      <c r="H870" s="80"/>
      <c r="I870" s="80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15"/>
      <c r="AK870" s="80"/>
      <c r="AL870" s="80"/>
      <c r="AM870" s="80"/>
      <c r="AN870" s="80"/>
      <c r="AO870" s="80"/>
      <c r="AP870" s="80"/>
      <c r="AQ870" s="80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</row>
    <row r="871">
      <c r="A871" s="80"/>
      <c r="B871" s="80"/>
      <c r="C871" s="80"/>
      <c r="D871" s="80"/>
      <c r="E871" s="124"/>
      <c r="F871" s="80"/>
      <c r="G871" s="80"/>
      <c r="H871" s="80"/>
      <c r="I871" s="80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15"/>
      <c r="AK871" s="80"/>
      <c r="AL871" s="80"/>
      <c r="AM871" s="80"/>
      <c r="AN871" s="80"/>
      <c r="AO871" s="80"/>
      <c r="AP871" s="80"/>
      <c r="AQ871" s="80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</row>
    <row r="872">
      <c r="A872" s="80"/>
      <c r="B872" s="80"/>
      <c r="C872" s="80"/>
      <c r="D872" s="80"/>
      <c r="E872" s="124"/>
      <c r="F872" s="80"/>
      <c r="G872" s="80"/>
      <c r="H872" s="80"/>
      <c r="I872" s="80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15"/>
      <c r="AK872" s="80"/>
      <c r="AL872" s="80"/>
      <c r="AM872" s="80"/>
      <c r="AN872" s="80"/>
      <c r="AO872" s="80"/>
      <c r="AP872" s="80"/>
      <c r="AQ872" s="80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</row>
    <row r="873">
      <c r="A873" s="80"/>
      <c r="B873" s="80"/>
      <c r="C873" s="80"/>
      <c r="D873" s="80"/>
      <c r="E873" s="124"/>
      <c r="F873" s="80"/>
      <c r="G873" s="80"/>
      <c r="H873" s="80"/>
      <c r="I873" s="80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15"/>
      <c r="AK873" s="80"/>
      <c r="AL873" s="80"/>
      <c r="AM873" s="80"/>
      <c r="AN873" s="80"/>
      <c r="AO873" s="80"/>
      <c r="AP873" s="80"/>
      <c r="AQ873" s="80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</row>
    <row r="874">
      <c r="A874" s="80"/>
      <c r="B874" s="80"/>
      <c r="C874" s="80"/>
      <c r="D874" s="80"/>
      <c r="E874" s="124"/>
      <c r="F874" s="80"/>
      <c r="G874" s="80"/>
      <c r="H874" s="80"/>
      <c r="I874" s="80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15"/>
      <c r="AK874" s="80"/>
      <c r="AL874" s="80"/>
      <c r="AM874" s="80"/>
      <c r="AN874" s="80"/>
      <c r="AO874" s="80"/>
      <c r="AP874" s="80"/>
      <c r="AQ874" s="80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</row>
    <row r="875">
      <c r="A875" s="80"/>
      <c r="B875" s="80"/>
      <c r="C875" s="80"/>
      <c r="D875" s="80"/>
      <c r="E875" s="124"/>
      <c r="F875" s="80"/>
      <c r="G875" s="80"/>
      <c r="H875" s="80"/>
      <c r="I875" s="80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15"/>
      <c r="AK875" s="80"/>
      <c r="AL875" s="80"/>
      <c r="AM875" s="80"/>
      <c r="AN875" s="80"/>
      <c r="AO875" s="80"/>
      <c r="AP875" s="80"/>
      <c r="AQ875" s="80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</row>
    <row r="876">
      <c r="A876" s="80"/>
      <c r="B876" s="80"/>
      <c r="C876" s="80"/>
      <c r="D876" s="80"/>
      <c r="E876" s="124"/>
      <c r="F876" s="80"/>
      <c r="G876" s="80"/>
      <c r="H876" s="80"/>
      <c r="I876" s="80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15"/>
      <c r="AK876" s="80"/>
      <c r="AL876" s="80"/>
      <c r="AM876" s="80"/>
      <c r="AN876" s="80"/>
      <c r="AO876" s="80"/>
      <c r="AP876" s="80"/>
      <c r="AQ876" s="80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</row>
    <row r="877">
      <c r="A877" s="80"/>
      <c r="B877" s="80"/>
      <c r="C877" s="80"/>
      <c r="D877" s="80"/>
      <c r="E877" s="124"/>
      <c r="F877" s="80"/>
      <c r="G877" s="80"/>
      <c r="H877" s="80"/>
      <c r="I877" s="80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15"/>
      <c r="AK877" s="80"/>
      <c r="AL877" s="80"/>
      <c r="AM877" s="80"/>
      <c r="AN877" s="80"/>
      <c r="AO877" s="80"/>
      <c r="AP877" s="80"/>
      <c r="AQ877" s="80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</row>
    <row r="878">
      <c r="A878" s="80"/>
      <c r="B878" s="80"/>
      <c r="C878" s="80"/>
      <c r="D878" s="80"/>
      <c r="E878" s="124"/>
      <c r="F878" s="80"/>
      <c r="G878" s="80"/>
      <c r="H878" s="80"/>
      <c r="I878" s="80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15"/>
      <c r="AK878" s="80"/>
      <c r="AL878" s="80"/>
      <c r="AM878" s="80"/>
      <c r="AN878" s="80"/>
      <c r="AO878" s="80"/>
      <c r="AP878" s="80"/>
      <c r="AQ878" s="80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</row>
    <row r="879">
      <c r="A879" s="80"/>
      <c r="B879" s="80"/>
      <c r="C879" s="80"/>
      <c r="D879" s="80"/>
      <c r="E879" s="124"/>
      <c r="F879" s="80"/>
      <c r="G879" s="80"/>
      <c r="H879" s="80"/>
      <c r="I879" s="80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15"/>
      <c r="AK879" s="80"/>
      <c r="AL879" s="80"/>
      <c r="AM879" s="80"/>
      <c r="AN879" s="80"/>
      <c r="AO879" s="80"/>
      <c r="AP879" s="80"/>
      <c r="AQ879" s="80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</row>
    <row r="880">
      <c r="A880" s="80"/>
      <c r="B880" s="80"/>
      <c r="C880" s="80"/>
      <c r="D880" s="80"/>
      <c r="E880" s="124"/>
      <c r="F880" s="80"/>
      <c r="G880" s="80"/>
      <c r="H880" s="80"/>
      <c r="I880" s="80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15"/>
      <c r="AK880" s="80"/>
      <c r="AL880" s="80"/>
      <c r="AM880" s="80"/>
      <c r="AN880" s="80"/>
      <c r="AO880" s="80"/>
      <c r="AP880" s="80"/>
      <c r="AQ880" s="80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</row>
    <row r="881">
      <c r="A881" s="80"/>
      <c r="B881" s="80"/>
      <c r="C881" s="80"/>
      <c r="D881" s="80"/>
      <c r="E881" s="124"/>
      <c r="F881" s="80"/>
      <c r="G881" s="80"/>
      <c r="H881" s="80"/>
      <c r="I881" s="80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15"/>
      <c r="AK881" s="80"/>
      <c r="AL881" s="80"/>
      <c r="AM881" s="80"/>
      <c r="AN881" s="80"/>
      <c r="AO881" s="80"/>
      <c r="AP881" s="80"/>
      <c r="AQ881" s="80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</row>
    <row r="882">
      <c r="A882" s="80"/>
      <c r="B882" s="80"/>
      <c r="C882" s="80"/>
      <c r="D882" s="80"/>
      <c r="E882" s="124"/>
      <c r="F882" s="80"/>
      <c r="G882" s="80"/>
      <c r="H882" s="80"/>
      <c r="I882" s="80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15"/>
      <c r="AK882" s="80"/>
      <c r="AL882" s="80"/>
      <c r="AM882" s="80"/>
      <c r="AN882" s="80"/>
      <c r="AO882" s="80"/>
      <c r="AP882" s="80"/>
      <c r="AQ882" s="80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</row>
    <row r="883">
      <c r="A883" s="80"/>
      <c r="B883" s="80"/>
      <c r="C883" s="80"/>
      <c r="D883" s="80"/>
      <c r="E883" s="124"/>
      <c r="F883" s="80"/>
      <c r="G883" s="80"/>
      <c r="H883" s="80"/>
      <c r="I883" s="80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15"/>
      <c r="AK883" s="80"/>
      <c r="AL883" s="80"/>
      <c r="AM883" s="80"/>
      <c r="AN883" s="80"/>
      <c r="AO883" s="80"/>
      <c r="AP883" s="80"/>
      <c r="AQ883" s="80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</row>
    <row r="884">
      <c r="A884" s="80"/>
      <c r="B884" s="80"/>
      <c r="C884" s="80"/>
      <c r="D884" s="80"/>
      <c r="E884" s="124"/>
      <c r="F884" s="80"/>
      <c r="G884" s="80"/>
      <c r="H884" s="80"/>
      <c r="I884" s="80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15"/>
      <c r="AK884" s="80"/>
      <c r="AL884" s="80"/>
      <c r="AM884" s="80"/>
      <c r="AN884" s="80"/>
      <c r="AO884" s="80"/>
      <c r="AP884" s="80"/>
      <c r="AQ884" s="80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</row>
    <row r="885">
      <c r="A885" s="80"/>
      <c r="B885" s="80"/>
      <c r="C885" s="80"/>
      <c r="D885" s="80"/>
      <c r="E885" s="124"/>
      <c r="F885" s="80"/>
      <c r="G885" s="80"/>
      <c r="H885" s="80"/>
      <c r="I885" s="80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15"/>
      <c r="AK885" s="80"/>
      <c r="AL885" s="80"/>
      <c r="AM885" s="80"/>
      <c r="AN885" s="80"/>
      <c r="AO885" s="80"/>
      <c r="AP885" s="80"/>
      <c r="AQ885" s="80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</row>
    <row r="886">
      <c r="A886" s="80"/>
      <c r="B886" s="80"/>
      <c r="C886" s="80"/>
      <c r="D886" s="80"/>
      <c r="E886" s="124"/>
      <c r="F886" s="80"/>
      <c r="G886" s="80"/>
      <c r="H886" s="80"/>
      <c r="I886" s="80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15"/>
      <c r="AK886" s="80"/>
      <c r="AL886" s="80"/>
      <c r="AM886" s="80"/>
      <c r="AN886" s="80"/>
      <c r="AO886" s="80"/>
      <c r="AP886" s="80"/>
      <c r="AQ886" s="80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</row>
    <row r="887">
      <c r="A887" s="80"/>
      <c r="B887" s="80"/>
      <c r="C887" s="80"/>
      <c r="D887" s="80"/>
      <c r="E887" s="124"/>
      <c r="F887" s="80"/>
      <c r="G887" s="80"/>
      <c r="H887" s="80"/>
      <c r="I887" s="80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15"/>
      <c r="AK887" s="80"/>
      <c r="AL887" s="80"/>
      <c r="AM887" s="80"/>
      <c r="AN887" s="80"/>
      <c r="AO887" s="80"/>
      <c r="AP887" s="80"/>
      <c r="AQ887" s="80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</row>
    <row r="888">
      <c r="A888" s="80"/>
      <c r="B888" s="80"/>
      <c r="C888" s="80"/>
      <c r="D888" s="80"/>
      <c r="E888" s="124"/>
      <c r="F888" s="80"/>
      <c r="G888" s="80"/>
      <c r="H888" s="80"/>
      <c r="I888" s="80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15"/>
      <c r="AK888" s="80"/>
      <c r="AL888" s="80"/>
      <c r="AM888" s="80"/>
      <c r="AN888" s="80"/>
      <c r="AO888" s="80"/>
      <c r="AP888" s="80"/>
      <c r="AQ888" s="80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</row>
    <row r="889">
      <c r="A889" s="80"/>
      <c r="B889" s="80"/>
      <c r="C889" s="80"/>
      <c r="D889" s="80"/>
      <c r="E889" s="124"/>
      <c r="F889" s="80"/>
      <c r="G889" s="80"/>
      <c r="H889" s="80"/>
      <c r="I889" s="80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15"/>
      <c r="AK889" s="80"/>
      <c r="AL889" s="80"/>
      <c r="AM889" s="80"/>
      <c r="AN889" s="80"/>
      <c r="AO889" s="80"/>
      <c r="AP889" s="80"/>
      <c r="AQ889" s="80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</row>
    <row r="890">
      <c r="A890" s="80"/>
      <c r="B890" s="80"/>
      <c r="C890" s="80"/>
      <c r="D890" s="80"/>
      <c r="E890" s="124"/>
      <c r="F890" s="80"/>
      <c r="G890" s="80"/>
      <c r="H890" s="80"/>
      <c r="I890" s="80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15"/>
      <c r="AK890" s="80"/>
      <c r="AL890" s="80"/>
      <c r="AM890" s="80"/>
      <c r="AN890" s="80"/>
      <c r="AO890" s="80"/>
      <c r="AP890" s="80"/>
      <c r="AQ890" s="80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</row>
    <row r="891">
      <c r="A891" s="80"/>
      <c r="B891" s="80"/>
      <c r="C891" s="80"/>
      <c r="D891" s="80"/>
      <c r="E891" s="124"/>
      <c r="F891" s="80"/>
      <c r="G891" s="80"/>
      <c r="H891" s="80"/>
      <c r="I891" s="80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15"/>
      <c r="AK891" s="80"/>
      <c r="AL891" s="80"/>
      <c r="AM891" s="80"/>
      <c r="AN891" s="80"/>
      <c r="AO891" s="80"/>
      <c r="AP891" s="80"/>
      <c r="AQ891" s="80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</row>
    <row r="892">
      <c r="A892" s="80"/>
      <c r="B892" s="80"/>
      <c r="C892" s="80"/>
      <c r="D892" s="80"/>
      <c r="E892" s="124"/>
      <c r="F892" s="80"/>
      <c r="G892" s="80"/>
      <c r="H892" s="80"/>
      <c r="I892" s="80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15"/>
      <c r="AK892" s="80"/>
      <c r="AL892" s="80"/>
      <c r="AM892" s="80"/>
      <c r="AN892" s="80"/>
      <c r="AO892" s="80"/>
      <c r="AP892" s="80"/>
      <c r="AQ892" s="80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</row>
    <row r="893">
      <c r="A893" s="80"/>
      <c r="B893" s="80"/>
      <c r="C893" s="80"/>
      <c r="D893" s="80"/>
      <c r="E893" s="124"/>
      <c r="F893" s="80"/>
      <c r="G893" s="80"/>
      <c r="H893" s="80"/>
      <c r="I893" s="80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15"/>
      <c r="AK893" s="80"/>
      <c r="AL893" s="80"/>
      <c r="AM893" s="80"/>
      <c r="AN893" s="80"/>
      <c r="AO893" s="80"/>
      <c r="AP893" s="80"/>
      <c r="AQ893" s="80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</row>
    <row r="894">
      <c r="A894" s="80"/>
      <c r="B894" s="80"/>
      <c r="C894" s="80"/>
      <c r="D894" s="80"/>
      <c r="E894" s="124"/>
      <c r="F894" s="80"/>
      <c r="G894" s="80"/>
      <c r="H894" s="80"/>
      <c r="I894" s="80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15"/>
      <c r="AK894" s="80"/>
      <c r="AL894" s="80"/>
      <c r="AM894" s="80"/>
      <c r="AN894" s="80"/>
      <c r="AO894" s="80"/>
      <c r="AP894" s="80"/>
      <c r="AQ894" s="80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</row>
    <row r="895">
      <c r="A895" s="80"/>
      <c r="B895" s="80"/>
      <c r="C895" s="80"/>
      <c r="D895" s="80"/>
      <c r="E895" s="124"/>
      <c r="F895" s="80"/>
      <c r="G895" s="80"/>
      <c r="H895" s="80"/>
      <c r="I895" s="80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15"/>
      <c r="AK895" s="80"/>
      <c r="AL895" s="80"/>
      <c r="AM895" s="80"/>
      <c r="AN895" s="80"/>
      <c r="AO895" s="80"/>
      <c r="AP895" s="80"/>
      <c r="AQ895" s="80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</row>
    <row r="896">
      <c r="A896" s="80"/>
      <c r="B896" s="80"/>
      <c r="C896" s="80"/>
      <c r="D896" s="80"/>
      <c r="E896" s="124"/>
      <c r="F896" s="80"/>
      <c r="G896" s="80"/>
      <c r="H896" s="80"/>
      <c r="I896" s="80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15"/>
      <c r="AK896" s="80"/>
      <c r="AL896" s="80"/>
      <c r="AM896" s="80"/>
      <c r="AN896" s="80"/>
      <c r="AO896" s="80"/>
      <c r="AP896" s="80"/>
      <c r="AQ896" s="80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</row>
    <row r="897">
      <c r="A897" s="80"/>
      <c r="B897" s="80"/>
      <c r="C897" s="80"/>
      <c r="D897" s="80"/>
      <c r="E897" s="124"/>
      <c r="F897" s="80"/>
      <c r="G897" s="80"/>
      <c r="H897" s="80"/>
      <c r="I897" s="80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15"/>
      <c r="AK897" s="80"/>
      <c r="AL897" s="80"/>
      <c r="AM897" s="80"/>
      <c r="AN897" s="80"/>
      <c r="AO897" s="80"/>
      <c r="AP897" s="80"/>
      <c r="AQ897" s="80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</row>
    <row r="898">
      <c r="A898" s="80"/>
      <c r="B898" s="80"/>
      <c r="C898" s="80"/>
      <c r="D898" s="80"/>
      <c r="E898" s="124"/>
      <c r="F898" s="80"/>
      <c r="G898" s="80"/>
      <c r="H898" s="80"/>
      <c r="I898" s="80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15"/>
      <c r="AK898" s="80"/>
      <c r="AL898" s="80"/>
      <c r="AM898" s="80"/>
      <c r="AN898" s="80"/>
      <c r="AO898" s="80"/>
      <c r="AP898" s="80"/>
      <c r="AQ898" s="80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</row>
    <row r="899">
      <c r="A899" s="80"/>
      <c r="B899" s="80"/>
      <c r="C899" s="80"/>
      <c r="D899" s="80"/>
      <c r="E899" s="124"/>
      <c r="F899" s="80"/>
      <c r="G899" s="80"/>
      <c r="H899" s="80"/>
      <c r="I899" s="80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15"/>
      <c r="AK899" s="80"/>
      <c r="AL899" s="80"/>
      <c r="AM899" s="80"/>
      <c r="AN899" s="80"/>
      <c r="AO899" s="80"/>
      <c r="AP899" s="80"/>
      <c r="AQ899" s="80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</row>
    <row r="900">
      <c r="A900" s="80"/>
      <c r="B900" s="80"/>
      <c r="C900" s="80"/>
      <c r="D900" s="80"/>
      <c r="E900" s="124"/>
      <c r="F900" s="80"/>
      <c r="G900" s="80"/>
      <c r="H900" s="80"/>
      <c r="I900" s="80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15"/>
      <c r="AK900" s="80"/>
      <c r="AL900" s="80"/>
      <c r="AM900" s="80"/>
      <c r="AN900" s="80"/>
      <c r="AO900" s="80"/>
      <c r="AP900" s="80"/>
      <c r="AQ900" s="80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</row>
    <row r="901">
      <c r="A901" s="80"/>
      <c r="B901" s="80"/>
      <c r="C901" s="80"/>
      <c r="D901" s="80"/>
      <c r="E901" s="124"/>
      <c r="F901" s="80"/>
      <c r="G901" s="80"/>
      <c r="H901" s="80"/>
      <c r="I901" s="80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15"/>
      <c r="AK901" s="80"/>
      <c r="AL901" s="80"/>
      <c r="AM901" s="80"/>
      <c r="AN901" s="80"/>
      <c r="AO901" s="80"/>
      <c r="AP901" s="80"/>
      <c r="AQ901" s="80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</row>
    <row r="902">
      <c r="A902" s="80"/>
      <c r="B902" s="80"/>
      <c r="C902" s="80"/>
      <c r="D902" s="80"/>
      <c r="E902" s="124"/>
      <c r="F902" s="80"/>
      <c r="G902" s="80"/>
      <c r="H902" s="80"/>
      <c r="I902" s="80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15"/>
      <c r="AK902" s="80"/>
      <c r="AL902" s="80"/>
      <c r="AM902" s="80"/>
      <c r="AN902" s="80"/>
      <c r="AO902" s="80"/>
      <c r="AP902" s="80"/>
      <c r="AQ902" s="80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</row>
    <row r="903">
      <c r="A903" s="80"/>
      <c r="B903" s="80"/>
      <c r="C903" s="80"/>
      <c r="D903" s="80"/>
      <c r="E903" s="124"/>
      <c r="F903" s="80"/>
      <c r="G903" s="80"/>
      <c r="H903" s="80"/>
      <c r="I903" s="80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15"/>
      <c r="AK903" s="80"/>
      <c r="AL903" s="80"/>
      <c r="AM903" s="80"/>
      <c r="AN903" s="80"/>
      <c r="AO903" s="80"/>
      <c r="AP903" s="80"/>
      <c r="AQ903" s="80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</row>
    <row r="904">
      <c r="A904" s="80"/>
      <c r="B904" s="80"/>
      <c r="C904" s="80"/>
      <c r="D904" s="80"/>
      <c r="E904" s="124"/>
      <c r="F904" s="80"/>
      <c r="G904" s="80"/>
      <c r="H904" s="80"/>
      <c r="I904" s="80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15"/>
      <c r="AK904" s="80"/>
      <c r="AL904" s="80"/>
      <c r="AM904" s="80"/>
      <c r="AN904" s="80"/>
      <c r="AO904" s="80"/>
      <c r="AP904" s="80"/>
      <c r="AQ904" s="80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</row>
    <row r="905">
      <c r="A905" s="80"/>
      <c r="B905" s="80"/>
      <c r="C905" s="80"/>
      <c r="D905" s="80"/>
      <c r="E905" s="124"/>
      <c r="F905" s="80"/>
      <c r="G905" s="80"/>
      <c r="H905" s="80"/>
      <c r="I905" s="80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15"/>
      <c r="AK905" s="80"/>
      <c r="AL905" s="80"/>
      <c r="AM905" s="80"/>
      <c r="AN905" s="80"/>
      <c r="AO905" s="80"/>
      <c r="AP905" s="80"/>
      <c r="AQ905" s="80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</row>
    <row r="906">
      <c r="A906" s="80"/>
      <c r="B906" s="80"/>
      <c r="C906" s="80"/>
      <c r="D906" s="80"/>
      <c r="E906" s="124"/>
      <c r="F906" s="80"/>
      <c r="G906" s="80"/>
      <c r="H906" s="80"/>
      <c r="I906" s="80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15"/>
      <c r="AK906" s="80"/>
      <c r="AL906" s="80"/>
      <c r="AM906" s="80"/>
      <c r="AN906" s="80"/>
      <c r="AO906" s="80"/>
      <c r="AP906" s="80"/>
      <c r="AQ906" s="80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</row>
    <row r="907">
      <c r="A907" s="80"/>
      <c r="B907" s="80"/>
      <c r="C907" s="80"/>
      <c r="D907" s="80"/>
      <c r="E907" s="124"/>
      <c r="F907" s="80"/>
      <c r="G907" s="80"/>
      <c r="H907" s="80"/>
      <c r="I907" s="80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15"/>
      <c r="AK907" s="80"/>
      <c r="AL907" s="80"/>
      <c r="AM907" s="80"/>
      <c r="AN907" s="80"/>
      <c r="AO907" s="80"/>
      <c r="AP907" s="80"/>
      <c r="AQ907" s="80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</row>
    <row r="908">
      <c r="A908" s="80"/>
      <c r="B908" s="80"/>
      <c r="C908" s="80"/>
      <c r="D908" s="80"/>
      <c r="E908" s="124"/>
      <c r="F908" s="80"/>
      <c r="G908" s="80"/>
      <c r="H908" s="80"/>
      <c r="I908" s="80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15"/>
      <c r="AK908" s="80"/>
      <c r="AL908" s="80"/>
      <c r="AM908" s="80"/>
      <c r="AN908" s="80"/>
      <c r="AO908" s="80"/>
      <c r="AP908" s="80"/>
      <c r="AQ908" s="80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</row>
    <row r="909">
      <c r="A909" s="80"/>
      <c r="B909" s="80"/>
      <c r="C909" s="80"/>
      <c r="D909" s="80"/>
      <c r="E909" s="124"/>
      <c r="F909" s="80"/>
      <c r="G909" s="80"/>
      <c r="H909" s="80"/>
      <c r="I909" s="80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15"/>
      <c r="AK909" s="80"/>
      <c r="AL909" s="80"/>
      <c r="AM909" s="80"/>
      <c r="AN909" s="80"/>
      <c r="AO909" s="80"/>
      <c r="AP909" s="80"/>
      <c r="AQ909" s="80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</row>
    <row r="910">
      <c r="A910" s="80"/>
      <c r="B910" s="80"/>
      <c r="C910" s="80"/>
      <c r="D910" s="80"/>
      <c r="E910" s="124"/>
      <c r="F910" s="80"/>
      <c r="G910" s="80"/>
      <c r="H910" s="80"/>
      <c r="I910" s="80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15"/>
      <c r="AK910" s="80"/>
      <c r="AL910" s="80"/>
      <c r="AM910" s="80"/>
      <c r="AN910" s="80"/>
      <c r="AO910" s="80"/>
      <c r="AP910" s="80"/>
      <c r="AQ910" s="80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</row>
    <row r="911">
      <c r="A911" s="80"/>
      <c r="B911" s="80"/>
      <c r="C911" s="80"/>
      <c r="D911" s="80"/>
      <c r="E911" s="124"/>
      <c r="F911" s="80"/>
      <c r="G911" s="80"/>
      <c r="H911" s="80"/>
      <c r="I911" s="80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15"/>
      <c r="AK911" s="80"/>
      <c r="AL911" s="80"/>
      <c r="AM911" s="80"/>
      <c r="AN911" s="80"/>
      <c r="AO911" s="80"/>
      <c r="AP911" s="80"/>
      <c r="AQ911" s="80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</row>
    <row r="912">
      <c r="A912" s="80"/>
      <c r="B912" s="80"/>
      <c r="C912" s="80"/>
      <c r="D912" s="80"/>
      <c r="E912" s="124"/>
      <c r="F912" s="80"/>
      <c r="G912" s="80"/>
      <c r="H912" s="80"/>
      <c r="I912" s="80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15"/>
      <c r="AK912" s="80"/>
      <c r="AL912" s="80"/>
      <c r="AM912" s="80"/>
      <c r="AN912" s="80"/>
      <c r="AO912" s="80"/>
      <c r="AP912" s="80"/>
      <c r="AQ912" s="80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</row>
    <row r="913">
      <c r="A913" s="80"/>
      <c r="B913" s="80"/>
      <c r="C913" s="80"/>
      <c r="D913" s="80"/>
      <c r="E913" s="124"/>
      <c r="F913" s="80"/>
      <c r="G913" s="80"/>
      <c r="H913" s="80"/>
      <c r="I913" s="80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15"/>
      <c r="AK913" s="80"/>
      <c r="AL913" s="80"/>
      <c r="AM913" s="80"/>
      <c r="AN913" s="80"/>
      <c r="AO913" s="80"/>
      <c r="AP913" s="80"/>
      <c r="AQ913" s="80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</row>
    <row r="914">
      <c r="A914" s="80"/>
      <c r="B914" s="80"/>
      <c r="C914" s="80"/>
      <c r="D914" s="80"/>
      <c r="E914" s="124"/>
      <c r="F914" s="80"/>
      <c r="G914" s="80"/>
      <c r="H914" s="80"/>
      <c r="I914" s="80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15"/>
      <c r="AK914" s="80"/>
      <c r="AL914" s="80"/>
      <c r="AM914" s="80"/>
      <c r="AN914" s="80"/>
      <c r="AO914" s="80"/>
      <c r="AP914" s="80"/>
      <c r="AQ914" s="80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</row>
    <row r="915">
      <c r="A915" s="80"/>
      <c r="B915" s="80"/>
      <c r="C915" s="80"/>
      <c r="D915" s="80"/>
      <c r="E915" s="124"/>
      <c r="F915" s="80"/>
      <c r="G915" s="80"/>
      <c r="H915" s="80"/>
      <c r="I915" s="80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15"/>
      <c r="AK915" s="80"/>
      <c r="AL915" s="80"/>
      <c r="AM915" s="80"/>
      <c r="AN915" s="80"/>
      <c r="AO915" s="80"/>
      <c r="AP915" s="80"/>
      <c r="AQ915" s="80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</row>
    <row r="916">
      <c r="A916" s="80"/>
      <c r="B916" s="80"/>
      <c r="C916" s="80"/>
      <c r="D916" s="80"/>
      <c r="E916" s="124"/>
      <c r="F916" s="80"/>
      <c r="G916" s="80"/>
      <c r="H916" s="80"/>
      <c r="I916" s="80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15"/>
      <c r="AK916" s="80"/>
      <c r="AL916" s="80"/>
      <c r="AM916" s="80"/>
      <c r="AN916" s="80"/>
      <c r="AO916" s="80"/>
      <c r="AP916" s="80"/>
      <c r="AQ916" s="80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</row>
    <row r="917">
      <c r="A917" s="80"/>
      <c r="B917" s="80"/>
      <c r="C917" s="80"/>
      <c r="D917" s="80"/>
      <c r="E917" s="124"/>
      <c r="F917" s="80"/>
      <c r="G917" s="80"/>
      <c r="H917" s="80"/>
      <c r="I917" s="80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15"/>
      <c r="AK917" s="80"/>
      <c r="AL917" s="80"/>
      <c r="AM917" s="80"/>
      <c r="AN917" s="80"/>
      <c r="AO917" s="80"/>
      <c r="AP917" s="80"/>
      <c r="AQ917" s="80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</row>
    <row r="918">
      <c r="A918" s="80"/>
      <c r="B918" s="80"/>
      <c r="C918" s="80"/>
      <c r="D918" s="80"/>
      <c r="E918" s="124"/>
      <c r="F918" s="80"/>
      <c r="G918" s="80"/>
      <c r="H918" s="80"/>
      <c r="I918" s="80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15"/>
      <c r="AK918" s="80"/>
      <c r="AL918" s="80"/>
      <c r="AM918" s="80"/>
      <c r="AN918" s="80"/>
      <c r="AO918" s="80"/>
      <c r="AP918" s="80"/>
      <c r="AQ918" s="80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</row>
    <row r="919">
      <c r="A919" s="80"/>
      <c r="B919" s="80"/>
      <c r="C919" s="80"/>
      <c r="D919" s="80"/>
      <c r="E919" s="124"/>
      <c r="F919" s="80"/>
      <c r="G919" s="80"/>
      <c r="H919" s="80"/>
      <c r="I919" s="80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15"/>
      <c r="AK919" s="80"/>
      <c r="AL919" s="80"/>
      <c r="AM919" s="80"/>
      <c r="AN919" s="80"/>
      <c r="AO919" s="80"/>
      <c r="AP919" s="80"/>
      <c r="AQ919" s="80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</row>
    <row r="920">
      <c r="A920" s="80"/>
      <c r="B920" s="80"/>
      <c r="C920" s="80"/>
      <c r="D920" s="80"/>
      <c r="E920" s="124"/>
      <c r="F920" s="80"/>
      <c r="G920" s="80"/>
      <c r="H920" s="80"/>
      <c r="I920" s="80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15"/>
      <c r="AK920" s="80"/>
      <c r="AL920" s="80"/>
      <c r="AM920" s="80"/>
      <c r="AN920" s="80"/>
      <c r="AO920" s="80"/>
      <c r="AP920" s="80"/>
      <c r="AQ920" s="80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</row>
    <row r="921">
      <c r="A921" s="80"/>
      <c r="B921" s="80"/>
      <c r="C921" s="80"/>
      <c r="D921" s="80"/>
      <c r="E921" s="124"/>
      <c r="F921" s="80"/>
      <c r="G921" s="80"/>
      <c r="H921" s="80"/>
      <c r="I921" s="80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15"/>
      <c r="AK921" s="80"/>
      <c r="AL921" s="80"/>
      <c r="AM921" s="80"/>
      <c r="AN921" s="80"/>
      <c r="AO921" s="80"/>
      <c r="AP921" s="80"/>
      <c r="AQ921" s="80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</row>
    <row r="922">
      <c r="A922" s="80"/>
      <c r="B922" s="80"/>
      <c r="C922" s="80"/>
      <c r="D922" s="80"/>
      <c r="E922" s="124"/>
      <c r="F922" s="80"/>
      <c r="G922" s="80"/>
      <c r="H922" s="80"/>
      <c r="I922" s="80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15"/>
      <c r="AK922" s="80"/>
      <c r="AL922" s="80"/>
      <c r="AM922" s="80"/>
      <c r="AN922" s="80"/>
      <c r="AO922" s="80"/>
      <c r="AP922" s="80"/>
      <c r="AQ922" s="80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</row>
    <row r="923">
      <c r="A923" s="80"/>
      <c r="B923" s="80"/>
      <c r="C923" s="80"/>
      <c r="D923" s="80"/>
      <c r="E923" s="124"/>
      <c r="F923" s="80"/>
      <c r="G923" s="80"/>
      <c r="H923" s="80"/>
      <c r="I923" s="80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15"/>
      <c r="AK923" s="80"/>
      <c r="AL923" s="80"/>
      <c r="AM923" s="80"/>
      <c r="AN923" s="80"/>
      <c r="AO923" s="80"/>
      <c r="AP923" s="80"/>
      <c r="AQ923" s="80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</row>
    <row r="924">
      <c r="A924" s="80"/>
      <c r="B924" s="80"/>
      <c r="C924" s="80"/>
      <c r="D924" s="80"/>
      <c r="E924" s="124"/>
      <c r="F924" s="80"/>
      <c r="G924" s="80"/>
      <c r="H924" s="80"/>
      <c r="I924" s="80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15"/>
      <c r="AK924" s="80"/>
      <c r="AL924" s="80"/>
      <c r="AM924" s="80"/>
      <c r="AN924" s="80"/>
      <c r="AO924" s="80"/>
      <c r="AP924" s="80"/>
      <c r="AQ924" s="80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</row>
    <row r="925">
      <c r="A925" s="80"/>
      <c r="B925" s="80"/>
      <c r="C925" s="80"/>
      <c r="D925" s="80"/>
      <c r="E925" s="124"/>
      <c r="F925" s="80"/>
      <c r="G925" s="80"/>
      <c r="H925" s="80"/>
      <c r="I925" s="80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15"/>
      <c r="AK925" s="80"/>
      <c r="AL925" s="80"/>
      <c r="AM925" s="80"/>
      <c r="AN925" s="80"/>
      <c r="AO925" s="80"/>
      <c r="AP925" s="80"/>
      <c r="AQ925" s="80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</row>
    <row r="926">
      <c r="A926" s="80"/>
      <c r="B926" s="80"/>
      <c r="C926" s="80"/>
      <c r="D926" s="80"/>
      <c r="E926" s="124"/>
      <c r="F926" s="80"/>
      <c r="G926" s="80"/>
      <c r="H926" s="80"/>
      <c r="I926" s="80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15"/>
      <c r="AK926" s="80"/>
      <c r="AL926" s="80"/>
      <c r="AM926" s="80"/>
      <c r="AN926" s="80"/>
      <c r="AO926" s="80"/>
      <c r="AP926" s="80"/>
      <c r="AQ926" s="80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</row>
    <row r="927">
      <c r="A927" s="80"/>
      <c r="B927" s="80"/>
      <c r="C927" s="80"/>
      <c r="D927" s="80"/>
      <c r="E927" s="124"/>
      <c r="F927" s="80"/>
      <c r="G927" s="80"/>
      <c r="H927" s="80"/>
      <c r="I927" s="80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15"/>
      <c r="AK927" s="80"/>
      <c r="AL927" s="80"/>
      <c r="AM927" s="80"/>
      <c r="AN927" s="80"/>
      <c r="AO927" s="80"/>
      <c r="AP927" s="80"/>
      <c r="AQ927" s="80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</row>
    <row r="928">
      <c r="A928" s="80"/>
      <c r="B928" s="80"/>
      <c r="C928" s="80"/>
      <c r="D928" s="80"/>
      <c r="E928" s="124"/>
      <c r="F928" s="80"/>
      <c r="G928" s="80"/>
      <c r="H928" s="80"/>
      <c r="I928" s="80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15"/>
      <c r="AK928" s="80"/>
      <c r="AL928" s="80"/>
      <c r="AM928" s="80"/>
      <c r="AN928" s="80"/>
      <c r="AO928" s="80"/>
      <c r="AP928" s="80"/>
      <c r="AQ928" s="80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</row>
    <row r="929">
      <c r="A929" s="80"/>
      <c r="B929" s="80"/>
      <c r="C929" s="80"/>
      <c r="D929" s="80"/>
      <c r="E929" s="124"/>
      <c r="F929" s="80"/>
      <c r="G929" s="80"/>
      <c r="H929" s="80"/>
      <c r="I929" s="80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15"/>
      <c r="AK929" s="80"/>
      <c r="AL929" s="80"/>
      <c r="AM929" s="80"/>
      <c r="AN929" s="80"/>
      <c r="AO929" s="80"/>
      <c r="AP929" s="80"/>
      <c r="AQ929" s="80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</row>
    <row r="930">
      <c r="A930" s="80"/>
      <c r="B930" s="80"/>
      <c r="C930" s="80"/>
      <c r="D930" s="80"/>
      <c r="E930" s="124"/>
      <c r="F930" s="80"/>
      <c r="G930" s="80"/>
      <c r="H930" s="80"/>
      <c r="I930" s="80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15"/>
      <c r="AK930" s="80"/>
      <c r="AL930" s="80"/>
      <c r="AM930" s="80"/>
      <c r="AN930" s="80"/>
      <c r="AO930" s="80"/>
      <c r="AP930" s="80"/>
      <c r="AQ930" s="80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</row>
    <row r="931">
      <c r="A931" s="80"/>
      <c r="B931" s="80"/>
      <c r="C931" s="80"/>
      <c r="D931" s="80"/>
      <c r="E931" s="124"/>
      <c r="F931" s="80"/>
      <c r="G931" s="80"/>
      <c r="H931" s="80"/>
      <c r="I931" s="80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15"/>
      <c r="AK931" s="80"/>
      <c r="AL931" s="80"/>
      <c r="AM931" s="80"/>
      <c r="AN931" s="80"/>
      <c r="AO931" s="80"/>
      <c r="AP931" s="80"/>
      <c r="AQ931" s="80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</row>
    <row r="932">
      <c r="A932" s="80"/>
      <c r="B932" s="80"/>
      <c r="C932" s="80"/>
      <c r="D932" s="80"/>
      <c r="E932" s="124"/>
      <c r="F932" s="80"/>
      <c r="G932" s="80"/>
      <c r="H932" s="80"/>
      <c r="I932" s="80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15"/>
      <c r="AK932" s="80"/>
      <c r="AL932" s="80"/>
      <c r="AM932" s="80"/>
      <c r="AN932" s="80"/>
      <c r="AO932" s="80"/>
      <c r="AP932" s="80"/>
      <c r="AQ932" s="80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</row>
    <row r="933">
      <c r="A933" s="80"/>
      <c r="B933" s="80"/>
      <c r="C933" s="80"/>
      <c r="D933" s="80"/>
      <c r="E933" s="124"/>
      <c r="F933" s="80"/>
      <c r="G933" s="80"/>
      <c r="H933" s="80"/>
      <c r="I933" s="80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15"/>
      <c r="AK933" s="80"/>
      <c r="AL933" s="80"/>
      <c r="AM933" s="80"/>
      <c r="AN933" s="80"/>
      <c r="AO933" s="80"/>
      <c r="AP933" s="80"/>
      <c r="AQ933" s="80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</row>
    <row r="934">
      <c r="A934" s="80"/>
      <c r="B934" s="80"/>
      <c r="C934" s="80"/>
      <c r="D934" s="80"/>
      <c r="E934" s="124"/>
      <c r="F934" s="80"/>
      <c r="G934" s="80"/>
      <c r="H934" s="80"/>
      <c r="I934" s="80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15"/>
      <c r="AK934" s="80"/>
      <c r="AL934" s="80"/>
      <c r="AM934" s="80"/>
      <c r="AN934" s="80"/>
      <c r="AO934" s="80"/>
      <c r="AP934" s="80"/>
      <c r="AQ934" s="80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</row>
    <row r="935">
      <c r="A935" s="80"/>
      <c r="B935" s="80"/>
      <c r="C935" s="80"/>
      <c r="D935" s="80"/>
      <c r="E935" s="124"/>
      <c r="F935" s="80"/>
      <c r="G935" s="80"/>
      <c r="H935" s="80"/>
      <c r="I935" s="80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15"/>
      <c r="AK935" s="80"/>
      <c r="AL935" s="80"/>
      <c r="AM935" s="80"/>
      <c r="AN935" s="80"/>
      <c r="AO935" s="80"/>
      <c r="AP935" s="80"/>
      <c r="AQ935" s="80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</row>
    <row r="936">
      <c r="A936" s="80"/>
      <c r="B936" s="80"/>
      <c r="C936" s="80"/>
      <c r="D936" s="80"/>
      <c r="E936" s="124"/>
      <c r="F936" s="80"/>
      <c r="G936" s="80"/>
      <c r="H936" s="80"/>
      <c r="I936" s="80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15"/>
      <c r="AK936" s="80"/>
      <c r="AL936" s="80"/>
      <c r="AM936" s="80"/>
      <c r="AN936" s="80"/>
      <c r="AO936" s="80"/>
      <c r="AP936" s="80"/>
      <c r="AQ936" s="80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</row>
    <row r="937">
      <c r="A937" s="80"/>
      <c r="B937" s="80"/>
      <c r="C937" s="80"/>
      <c r="D937" s="80"/>
      <c r="E937" s="124"/>
      <c r="F937" s="80"/>
      <c r="G937" s="80"/>
      <c r="H937" s="80"/>
      <c r="I937" s="80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15"/>
      <c r="AK937" s="80"/>
      <c r="AL937" s="80"/>
      <c r="AM937" s="80"/>
      <c r="AN937" s="80"/>
      <c r="AO937" s="80"/>
      <c r="AP937" s="80"/>
      <c r="AQ937" s="80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</row>
    <row r="938">
      <c r="A938" s="80"/>
      <c r="B938" s="80"/>
      <c r="C938" s="80"/>
      <c r="D938" s="80"/>
      <c r="E938" s="124"/>
      <c r="F938" s="80"/>
      <c r="G938" s="80"/>
      <c r="H938" s="80"/>
      <c r="I938" s="80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15"/>
      <c r="AK938" s="80"/>
      <c r="AL938" s="80"/>
      <c r="AM938" s="80"/>
      <c r="AN938" s="80"/>
      <c r="AO938" s="80"/>
      <c r="AP938" s="80"/>
      <c r="AQ938" s="80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</row>
    <row r="939">
      <c r="A939" s="80"/>
      <c r="B939" s="80"/>
      <c r="C939" s="80"/>
      <c r="D939" s="80"/>
      <c r="E939" s="124"/>
      <c r="F939" s="80"/>
      <c r="G939" s="80"/>
      <c r="H939" s="80"/>
      <c r="I939" s="80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15"/>
      <c r="AK939" s="80"/>
      <c r="AL939" s="80"/>
      <c r="AM939" s="80"/>
      <c r="AN939" s="80"/>
      <c r="AO939" s="80"/>
      <c r="AP939" s="80"/>
      <c r="AQ939" s="80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</row>
    <row r="940">
      <c r="A940" s="80"/>
      <c r="B940" s="80"/>
      <c r="C940" s="80"/>
      <c r="D940" s="80"/>
      <c r="E940" s="124"/>
      <c r="F940" s="80"/>
      <c r="G940" s="80"/>
      <c r="H940" s="80"/>
      <c r="I940" s="80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15"/>
      <c r="AK940" s="80"/>
      <c r="AL940" s="80"/>
      <c r="AM940" s="80"/>
      <c r="AN940" s="80"/>
      <c r="AO940" s="80"/>
      <c r="AP940" s="80"/>
      <c r="AQ940" s="80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</row>
    <row r="941">
      <c r="A941" s="80"/>
      <c r="B941" s="80"/>
      <c r="C941" s="80"/>
      <c r="D941" s="80"/>
      <c r="E941" s="124"/>
      <c r="F941" s="80"/>
      <c r="G941" s="80"/>
      <c r="H941" s="80"/>
      <c r="I941" s="80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15"/>
      <c r="AK941" s="80"/>
      <c r="AL941" s="80"/>
      <c r="AM941" s="80"/>
      <c r="AN941" s="80"/>
      <c r="AO941" s="80"/>
      <c r="AP941" s="80"/>
      <c r="AQ941" s="80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</row>
    <row r="942">
      <c r="A942" s="80"/>
      <c r="B942" s="80"/>
      <c r="C942" s="80"/>
      <c r="D942" s="80"/>
      <c r="E942" s="124"/>
      <c r="F942" s="80"/>
      <c r="G942" s="80"/>
      <c r="H942" s="80"/>
      <c r="I942" s="80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15"/>
      <c r="AK942" s="80"/>
      <c r="AL942" s="80"/>
      <c r="AM942" s="80"/>
      <c r="AN942" s="80"/>
      <c r="AO942" s="80"/>
      <c r="AP942" s="80"/>
      <c r="AQ942" s="80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</row>
    <row r="943">
      <c r="A943" s="80"/>
      <c r="B943" s="80"/>
      <c r="C943" s="80"/>
      <c r="D943" s="80"/>
      <c r="E943" s="124"/>
      <c r="F943" s="80"/>
      <c r="G943" s="80"/>
      <c r="H943" s="80"/>
      <c r="I943" s="80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15"/>
      <c r="AK943" s="80"/>
      <c r="AL943" s="80"/>
      <c r="AM943" s="80"/>
      <c r="AN943" s="80"/>
      <c r="AO943" s="80"/>
      <c r="AP943" s="80"/>
      <c r="AQ943" s="80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</row>
    <row r="944">
      <c r="A944" s="80"/>
      <c r="B944" s="80"/>
      <c r="C944" s="80"/>
      <c r="D944" s="80"/>
      <c r="E944" s="124"/>
      <c r="F944" s="80"/>
      <c r="G944" s="80"/>
      <c r="H944" s="80"/>
      <c r="I944" s="80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15"/>
      <c r="AK944" s="80"/>
      <c r="AL944" s="80"/>
      <c r="AM944" s="80"/>
      <c r="AN944" s="80"/>
      <c r="AO944" s="80"/>
      <c r="AP944" s="80"/>
      <c r="AQ944" s="80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</row>
    <row r="945">
      <c r="A945" s="80"/>
      <c r="B945" s="80"/>
      <c r="C945" s="80"/>
      <c r="D945" s="80"/>
      <c r="E945" s="124"/>
      <c r="F945" s="80"/>
      <c r="G945" s="80"/>
      <c r="H945" s="80"/>
      <c r="I945" s="80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15"/>
      <c r="AK945" s="80"/>
      <c r="AL945" s="80"/>
      <c r="AM945" s="80"/>
      <c r="AN945" s="80"/>
      <c r="AO945" s="80"/>
      <c r="AP945" s="80"/>
      <c r="AQ945" s="80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</row>
    <row r="946">
      <c r="A946" s="80"/>
      <c r="B946" s="80"/>
      <c r="C946" s="80"/>
      <c r="D946" s="80"/>
      <c r="E946" s="124"/>
      <c r="F946" s="80"/>
      <c r="G946" s="80"/>
      <c r="H946" s="80"/>
      <c r="I946" s="80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15"/>
      <c r="AK946" s="80"/>
      <c r="AL946" s="80"/>
      <c r="AM946" s="80"/>
      <c r="AN946" s="80"/>
      <c r="AO946" s="80"/>
      <c r="AP946" s="80"/>
      <c r="AQ946" s="80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</row>
    <row r="947">
      <c r="A947" s="80"/>
      <c r="B947" s="80"/>
      <c r="C947" s="80"/>
      <c r="D947" s="80"/>
      <c r="E947" s="124"/>
      <c r="F947" s="80"/>
      <c r="G947" s="80"/>
      <c r="H947" s="80"/>
      <c r="I947" s="80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15"/>
      <c r="AK947" s="80"/>
      <c r="AL947" s="80"/>
      <c r="AM947" s="80"/>
      <c r="AN947" s="80"/>
      <c r="AO947" s="80"/>
      <c r="AP947" s="80"/>
      <c r="AQ947" s="80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</row>
    <row r="948">
      <c r="A948" s="80"/>
      <c r="B948" s="80"/>
      <c r="C948" s="80"/>
      <c r="D948" s="80"/>
      <c r="E948" s="124"/>
      <c r="F948" s="80"/>
      <c r="G948" s="80"/>
      <c r="H948" s="80"/>
      <c r="I948" s="80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15"/>
      <c r="AK948" s="80"/>
      <c r="AL948" s="80"/>
      <c r="AM948" s="80"/>
      <c r="AN948" s="80"/>
      <c r="AO948" s="80"/>
      <c r="AP948" s="80"/>
      <c r="AQ948" s="80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</row>
    <row r="949">
      <c r="A949" s="80"/>
      <c r="B949" s="80"/>
      <c r="C949" s="80"/>
      <c r="D949" s="80"/>
      <c r="E949" s="124"/>
      <c r="F949" s="80"/>
      <c r="G949" s="80"/>
      <c r="H949" s="80"/>
      <c r="I949" s="80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15"/>
      <c r="AK949" s="80"/>
      <c r="AL949" s="80"/>
      <c r="AM949" s="80"/>
      <c r="AN949" s="80"/>
      <c r="AO949" s="80"/>
      <c r="AP949" s="80"/>
      <c r="AQ949" s="80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</row>
    <row r="950">
      <c r="A950" s="80"/>
      <c r="B950" s="80"/>
      <c r="C950" s="80"/>
      <c r="D950" s="80"/>
      <c r="E950" s="124"/>
      <c r="F950" s="80"/>
      <c r="G950" s="80"/>
      <c r="H950" s="80"/>
      <c r="I950" s="80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15"/>
      <c r="AK950" s="80"/>
      <c r="AL950" s="80"/>
      <c r="AM950" s="80"/>
      <c r="AN950" s="80"/>
      <c r="AO950" s="80"/>
      <c r="AP950" s="80"/>
      <c r="AQ950" s="80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</row>
    <row r="951">
      <c r="A951" s="80"/>
      <c r="B951" s="80"/>
      <c r="C951" s="80"/>
      <c r="D951" s="80"/>
      <c r="E951" s="124"/>
      <c r="F951" s="80"/>
      <c r="G951" s="80"/>
      <c r="H951" s="80"/>
      <c r="I951" s="80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15"/>
      <c r="AK951" s="80"/>
      <c r="AL951" s="80"/>
      <c r="AM951" s="80"/>
      <c r="AN951" s="80"/>
      <c r="AO951" s="80"/>
      <c r="AP951" s="80"/>
      <c r="AQ951" s="80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</row>
    <row r="952">
      <c r="A952" s="80"/>
      <c r="B952" s="80"/>
      <c r="C952" s="80"/>
      <c r="D952" s="80"/>
      <c r="E952" s="124"/>
      <c r="F952" s="80"/>
      <c r="G952" s="80"/>
      <c r="H952" s="80"/>
      <c r="I952" s="80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15"/>
      <c r="AK952" s="80"/>
      <c r="AL952" s="80"/>
      <c r="AM952" s="80"/>
      <c r="AN952" s="80"/>
      <c r="AO952" s="80"/>
      <c r="AP952" s="80"/>
      <c r="AQ952" s="80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</row>
    <row r="953">
      <c r="A953" s="80"/>
      <c r="B953" s="80"/>
      <c r="C953" s="80"/>
      <c r="D953" s="80"/>
      <c r="E953" s="124"/>
      <c r="F953" s="80"/>
      <c r="G953" s="80"/>
      <c r="H953" s="80"/>
      <c r="I953" s="80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15"/>
      <c r="AK953" s="80"/>
      <c r="AL953" s="80"/>
      <c r="AM953" s="80"/>
      <c r="AN953" s="80"/>
      <c r="AO953" s="80"/>
      <c r="AP953" s="80"/>
      <c r="AQ953" s="80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</row>
    <row r="954">
      <c r="A954" s="80"/>
      <c r="B954" s="80"/>
      <c r="C954" s="80"/>
      <c r="D954" s="80"/>
      <c r="E954" s="124"/>
      <c r="F954" s="80"/>
      <c r="G954" s="80"/>
      <c r="H954" s="80"/>
      <c r="I954" s="80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15"/>
      <c r="AK954" s="80"/>
      <c r="AL954" s="80"/>
      <c r="AM954" s="80"/>
      <c r="AN954" s="80"/>
      <c r="AO954" s="80"/>
      <c r="AP954" s="80"/>
      <c r="AQ954" s="80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</row>
    <row r="955">
      <c r="A955" s="80"/>
      <c r="B955" s="80"/>
      <c r="C955" s="80"/>
      <c r="D955" s="80"/>
      <c r="E955" s="124"/>
      <c r="F955" s="80"/>
      <c r="G955" s="80"/>
      <c r="H955" s="80"/>
      <c r="I955" s="80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15"/>
      <c r="AK955" s="80"/>
      <c r="AL955" s="80"/>
      <c r="AM955" s="80"/>
      <c r="AN955" s="80"/>
      <c r="AO955" s="80"/>
      <c r="AP955" s="80"/>
      <c r="AQ955" s="80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</row>
    <row r="956">
      <c r="A956" s="80"/>
      <c r="B956" s="80"/>
      <c r="C956" s="80"/>
      <c r="D956" s="80"/>
      <c r="E956" s="124"/>
      <c r="F956" s="80"/>
      <c r="G956" s="80"/>
      <c r="H956" s="80"/>
      <c r="I956" s="80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15"/>
      <c r="AK956" s="80"/>
      <c r="AL956" s="80"/>
      <c r="AM956" s="80"/>
      <c r="AN956" s="80"/>
      <c r="AO956" s="80"/>
      <c r="AP956" s="80"/>
      <c r="AQ956" s="80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</row>
    <row r="957">
      <c r="A957" s="80"/>
      <c r="B957" s="80"/>
      <c r="C957" s="80"/>
      <c r="D957" s="80"/>
      <c r="E957" s="124"/>
      <c r="F957" s="80"/>
      <c r="G957" s="80"/>
      <c r="H957" s="80"/>
      <c r="I957" s="80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15"/>
      <c r="AK957" s="80"/>
      <c r="AL957" s="80"/>
      <c r="AM957" s="80"/>
      <c r="AN957" s="80"/>
      <c r="AO957" s="80"/>
      <c r="AP957" s="80"/>
      <c r="AQ957" s="80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</row>
    <row r="958">
      <c r="A958" s="80"/>
      <c r="B958" s="80"/>
      <c r="C958" s="80"/>
      <c r="D958" s="80"/>
      <c r="E958" s="124"/>
      <c r="F958" s="80"/>
      <c r="G958" s="80"/>
      <c r="H958" s="80"/>
      <c r="I958" s="80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15"/>
      <c r="AK958" s="80"/>
      <c r="AL958" s="80"/>
      <c r="AM958" s="80"/>
      <c r="AN958" s="80"/>
      <c r="AO958" s="80"/>
      <c r="AP958" s="80"/>
      <c r="AQ958" s="80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</row>
    <row r="959">
      <c r="A959" s="80"/>
      <c r="B959" s="80"/>
      <c r="C959" s="80"/>
      <c r="D959" s="80"/>
      <c r="E959" s="124"/>
      <c r="F959" s="80"/>
      <c r="G959" s="80"/>
      <c r="H959" s="80"/>
      <c r="I959" s="80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15"/>
      <c r="AK959" s="80"/>
      <c r="AL959" s="80"/>
      <c r="AM959" s="80"/>
      <c r="AN959" s="80"/>
      <c r="AO959" s="80"/>
      <c r="AP959" s="80"/>
      <c r="AQ959" s="80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</row>
    <row r="960">
      <c r="A960" s="80"/>
      <c r="B960" s="80"/>
      <c r="C960" s="80"/>
      <c r="D960" s="80"/>
      <c r="E960" s="124"/>
      <c r="F960" s="80"/>
      <c r="G960" s="80"/>
      <c r="H960" s="80"/>
      <c r="I960" s="80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15"/>
      <c r="AK960" s="80"/>
      <c r="AL960" s="80"/>
      <c r="AM960" s="80"/>
      <c r="AN960" s="80"/>
      <c r="AO960" s="80"/>
      <c r="AP960" s="80"/>
      <c r="AQ960" s="80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</row>
    <row r="961">
      <c r="A961" s="80"/>
      <c r="B961" s="80"/>
      <c r="C961" s="80"/>
      <c r="D961" s="80"/>
      <c r="E961" s="124"/>
      <c r="F961" s="80"/>
      <c r="G961" s="80"/>
      <c r="H961" s="80"/>
      <c r="I961" s="80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15"/>
      <c r="AK961" s="80"/>
      <c r="AL961" s="80"/>
      <c r="AM961" s="80"/>
      <c r="AN961" s="80"/>
      <c r="AO961" s="80"/>
      <c r="AP961" s="80"/>
      <c r="AQ961" s="80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</row>
    <row r="962">
      <c r="A962" s="80"/>
      <c r="B962" s="80"/>
      <c r="C962" s="80"/>
      <c r="D962" s="80"/>
      <c r="E962" s="124"/>
      <c r="F962" s="80"/>
      <c r="G962" s="80"/>
      <c r="H962" s="80"/>
      <c r="I962" s="80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15"/>
      <c r="AK962" s="80"/>
      <c r="AL962" s="80"/>
      <c r="AM962" s="80"/>
      <c r="AN962" s="80"/>
      <c r="AO962" s="80"/>
      <c r="AP962" s="80"/>
      <c r="AQ962" s="80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</row>
    <row r="963">
      <c r="A963" s="80"/>
      <c r="B963" s="80"/>
      <c r="C963" s="80"/>
      <c r="D963" s="80"/>
      <c r="E963" s="124"/>
      <c r="F963" s="80"/>
      <c r="G963" s="80"/>
      <c r="H963" s="80"/>
      <c r="I963" s="80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15"/>
      <c r="AK963" s="80"/>
      <c r="AL963" s="80"/>
      <c r="AM963" s="80"/>
      <c r="AN963" s="80"/>
      <c r="AO963" s="80"/>
      <c r="AP963" s="80"/>
      <c r="AQ963" s="80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</row>
    <row r="964">
      <c r="A964" s="80"/>
      <c r="B964" s="80"/>
      <c r="C964" s="80"/>
      <c r="D964" s="80"/>
      <c r="E964" s="124"/>
      <c r="F964" s="80"/>
      <c r="G964" s="80"/>
      <c r="H964" s="80"/>
      <c r="I964" s="80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15"/>
      <c r="AK964" s="80"/>
      <c r="AL964" s="80"/>
      <c r="AM964" s="80"/>
      <c r="AN964" s="80"/>
      <c r="AO964" s="80"/>
      <c r="AP964" s="80"/>
      <c r="AQ964" s="80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</row>
    <row r="965">
      <c r="A965" s="80"/>
      <c r="B965" s="80"/>
      <c r="C965" s="80"/>
      <c r="D965" s="80"/>
      <c r="E965" s="124"/>
      <c r="F965" s="80"/>
      <c r="G965" s="80"/>
      <c r="H965" s="80"/>
      <c r="I965" s="80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15"/>
      <c r="AK965" s="80"/>
      <c r="AL965" s="80"/>
      <c r="AM965" s="80"/>
      <c r="AN965" s="80"/>
      <c r="AO965" s="80"/>
      <c r="AP965" s="80"/>
      <c r="AQ965" s="80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</row>
    <row r="966">
      <c r="A966" s="80"/>
      <c r="B966" s="80"/>
      <c r="C966" s="80"/>
      <c r="D966" s="80"/>
      <c r="E966" s="124"/>
      <c r="F966" s="80"/>
      <c r="G966" s="80"/>
      <c r="H966" s="80"/>
      <c r="I966" s="80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15"/>
      <c r="AK966" s="80"/>
      <c r="AL966" s="80"/>
      <c r="AM966" s="80"/>
      <c r="AN966" s="80"/>
      <c r="AO966" s="80"/>
      <c r="AP966" s="80"/>
      <c r="AQ966" s="80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</row>
    <row r="967">
      <c r="A967" s="80"/>
      <c r="B967" s="80"/>
      <c r="C967" s="80"/>
      <c r="D967" s="80"/>
      <c r="E967" s="124"/>
      <c r="F967" s="80"/>
      <c r="G967" s="80"/>
      <c r="H967" s="80"/>
      <c r="I967" s="80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15"/>
      <c r="AK967" s="80"/>
      <c r="AL967" s="80"/>
      <c r="AM967" s="80"/>
      <c r="AN967" s="80"/>
      <c r="AO967" s="80"/>
      <c r="AP967" s="80"/>
      <c r="AQ967" s="80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</row>
    <row r="968">
      <c r="A968" s="80"/>
      <c r="B968" s="80"/>
      <c r="C968" s="80"/>
      <c r="D968" s="80"/>
      <c r="E968" s="124"/>
      <c r="F968" s="80"/>
      <c r="G968" s="80"/>
      <c r="H968" s="80"/>
      <c r="I968" s="80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15"/>
      <c r="AK968" s="80"/>
      <c r="AL968" s="80"/>
      <c r="AM968" s="80"/>
      <c r="AN968" s="80"/>
      <c r="AO968" s="80"/>
      <c r="AP968" s="80"/>
      <c r="AQ968" s="80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</row>
    <row r="969">
      <c r="A969" s="80"/>
      <c r="B969" s="80"/>
      <c r="C969" s="80"/>
      <c r="D969" s="80"/>
      <c r="E969" s="124"/>
      <c r="F969" s="80"/>
      <c r="G969" s="80"/>
      <c r="H969" s="80"/>
      <c r="I969" s="80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15"/>
      <c r="AK969" s="80"/>
      <c r="AL969" s="80"/>
      <c r="AM969" s="80"/>
      <c r="AN969" s="80"/>
      <c r="AO969" s="80"/>
      <c r="AP969" s="80"/>
      <c r="AQ969" s="80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</row>
    <row r="970">
      <c r="A970" s="80"/>
      <c r="B970" s="80"/>
      <c r="C970" s="80"/>
      <c r="D970" s="80"/>
      <c r="E970" s="124"/>
      <c r="F970" s="80"/>
      <c r="G970" s="80"/>
      <c r="H970" s="80"/>
      <c r="I970" s="80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15"/>
      <c r="AK970" s="80"/>
      <c r="AL970" s="80"/>
      <c r="AM970" s="80"/>
      <c r="AN970" s="80"/>
      <c r="AO970" s="80"/>
      <c r="AP970" s="80"/>
      <c r="AQ970" s="80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</row>
    <row r="971">
      <c r="A971" s="80"/>
      <c r="B971" s="80"/>
      <c r="C971" s="80"/>
      <c r="D971" s="80"/>
      <c r="E971" s="124"/>
      <c r="F971" s="80"/>
      <c r="G971" s="80"/>
      <c r="H971" s="80"/>
      <c r="I971" s="80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15"/>
      <c r="AK971" s="80"/>
      <c r="AL971" s="80"/>
      <c r="AM971" s="80"/>
      <c r="AN971" s="80"/>
      <c r="AO971" s="80"/>
      <c r="AP971" s="80"/>
      <c r="AQ971" s="80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</row>
    <row r="972">
      <c r="A972" s="80"/>
      <c r="B972" s="80"/>
      <c r="C972" s="80"/>
      <c r="D972" s="80"/>
      <c r="E972" s="124"/>
      <c r="F972" s="80"/>
      <c r="G972" s="80"/>
      <c r="H972" s="80"/>
      <c r="I972" s="80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15"/>
      <c r="AK972" s="80"/>
      <c r="AL972" s="80"/>
      <c r="AM972" s="80"/>
      <c r="AN972" s="80"/>
      <c r="AO972" s="80"/>
      <c r="AP972" s="80"/>
      <c r="AQ972" s="80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</row>
    <row r="973">
      <c r="A973" s="80"/>
      <c r="B973" s="80"/>
      <c r="C973" s="80"/>
      <c r="D973" s="80"/>
      <c r="E973" s="124"/>
      <c r="F973" s="80"/>
      <c r="G973" s="80"/>
      <c r="H973" s="80"/>
      <c r="I973" s="80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15"/>
      <c r="AK973" s="80"/>
      <c r="AL973" s="80"/>
      <c r="AM973" s="80"/>
      <c r="AN973" s="80"/>
      <c r="AO973" s="80"/>
      <c r="AP973" s="80"/>
      <c r="AQ973" s="80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</row>
    <row r="974">
      <c r="A974" s="80"/>
      <c r="B974" s="80"/>
      <c r="C974" s="80"/>
      <c r="D974" s="80"/>
      <c r="E974" s="124"/>
      <c r="F974" s="80"/>
      <c r="G974" s="80"/>
      <c r="H974" s="80"/>
      <c r="I974" s="80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15"/>
      <c r="AK974" s="80"/>
      <c r="AL974" s="80"/>
      <c r="AM974" s="80"/>
      <c r="AN974" s="80"/>
      <c r="AO974" s="80"/>
      <c r="AP974" s="80"/>
      <c r="AQ974" s="80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</row>
    <row r="975">
      <c r="A975" s="80"/>
      <c r="B975" s="80"/>
      <c r="C975" s="80"/>
      <c r="D975" s="80"/>
      <c r="E975" s="124"/>
      <c r="F975" s="80"/>
      <c r="G975" s="80"/>
      <c r="H975" s="80"/>
      <c r="I975" s="80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15"/>
      <c r="AK975" s="80"/>
      <c r="AL975" s="80"/>
      <c r="AM975" s="80"/>
      <c r="AN975" s="80"/>
      <c r="AO975" s="80"/>
      <c r="AP975" s="80"/>
      <c r="AQ975" s="80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</row>
    <row r="976">
      <c r="A976" s="80"/>
      <c r="B976" s="80"/>
      <c r="C976" s="80"/>
      <c r="D976" s="80"/>
      <c r="E976" s="124"/>
      <c r="F976" s="80"/>
      <c r="G976" s="80"/>
      <c r="H976" s="80"/>
      <c r="I976" s="80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15"/>
      <c r="AK976" s="80"/>
      <c r="AL976" s="80"/>
      <c r="AM976" s="80"/>
      <c r="AN976" s="80"/>
      <c r="AO976" s="80"/>
      <c r="AP976" s="80"/>
      <c r="AQ976" s="80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</row>
    <row r="977">
      <c r="A977" s="80"/>
      <c r="B977" s="80"/>
      <c r="C977" s="80"/>
      <c r="D977" s="80"/>
      <c r="E977" s="124"/>
      <c r="F977" s="80"/>
      <c r="G977" s="80"/>
      <c r="H977" s="80"/>
      <c r="I977" s="80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15"/>
      <c r="AK977" s="80"/>
      <c r="AL977" s="80"/>
      <c r="AM977" s="80"/>
      <c r="AN977" s="80"/>
      <c r="AO977" s="80"/>
      <c r="AP977" s="80"/>
      <c r="AQ977" s="80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</row>
    <row r="978">
      <c r="A978" s="80"/>
      <c r="B978" s="80"/>
      <c r="C978" s="80"/>
      <c r="D978" s="80"/>
      <c r="E978" s="124"/>
      <c r="F978" s="80"/>
      <c r="G978" s="80"/>
      <c r="H978" s="80"/>
      <c r="I978" s="80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15"/>
      <c r="AK978" s="80"/>
      <c r="AL978" s="80"/>
      <c r="AM978" s="80"/>
      <c r="AN978" s="80"/>
      <c r="AO978" s="80"/>
      <c r="AP978" s="80"/>
      <c r="AQ978" s="80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</row>
    <row r="979">
      <c r="A979" s="80"/>
      <c r="B979" s="80"/>
      <c r="C979" s="80"/>
      <c r="D979" s="80"/>
      <c r="E979" s="124"/>
      <c r="F979" s="80"/>
      <c r="G979" s="80"/>
      <c r="H979" s="80"/>
      <c r="I979" s="80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15"/>
      <c r="AK979" s="80"/>
      <c r="AL979" s="80"/>
      <c r="AM979" s="80"/>
      <c r="AN979" s="80"/>
      <c r="AO979" s="80"/>
      <c r="AP979" s="80"/>
      <c r="AQ979" s="80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</row>
    <row r="980">
      <c r="A980" s="80"/>
      <c r="B980" s="80"/>
      <c r="C980" s="80"/>
      <c r="D980" s="80"/>
      <c r="E980" s="124"/>
      <c r="F980" s="80"/>
      <c r="G980" s="80"/>
      <c r="H980" s="80"/>
      <c r="I980" s="80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15"/>
      <c r="AK980" s="80"/>
      <c r="AL980" s="80"/>
      <c r="AM980" s="80"/>
      <c r="AN980" s="80"/>
      <c r="AO980" s="80"/>
      <c r="AP980" s="80"/>
      <c r="AQ980" s="80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</row>
    <row r="981">
      <c r="A981" s="80"/>
      <c r="B981" s="80"/>
      <c r="C981" s="80"/>
      <c r="D981" s="80"/>
      <c r="E981" s="124"/>
      <c r="F981" s="80"/>
      <c r="G981" s="80"/>
      <c r="H981" s="80"/>
      <c r="I981" s="80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15"/>
      <c r="AK981" s="80"/>
      <c r="AL981" s="80"/>
      <c r="AM981" s="80"/>
      <c r="AN981" s="80"/>
      <c r="AO981" s="80"/>
      <c r="AP981" s="80"/>
      <c r="AQ981" s="80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</row>
    <row r="982">
      <c r="A982" s="80"/>
      <c r="B982" s="80"/>
      <c r="C982" s="80"/>
      <c r="D982" s="80"/>
      <c r="E982" s="124"/>
      <c r="F982" s="80"/>
      <c r="G982" s="80"/>
      <c r="H982" s="80"/>
      <c r="I982" s="80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15"/>
      <c r="AK982" s="80"/>
      <c r="AL982" s="80"/>
      <c r="AM982" s="80"/>
      <c r="AN982" s="80"/>
      <c r="AO982" s="80"/>
      <c r="AP982" s="80"/>
      <c r="AQ982" s="80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</row>
    <row r="983">
      <c r="A983" s="80"/>
      <c r="B983" s="80"/>
      <c r="C983" s="80"/>
      <c r="D983" s="80"/>
      <c r="E983" s="124"/>
      <c r="F983" s="80"/>
      <c r="G983" s="80"/>
      <c r="H983" s="80"/>
      <c r="I983" s="80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15"/>
      <c r="AK983" s="80"/>
      <c r="AL983" s="80"/>
      <c r="AM983" s="80"/>
      <c r="AN983" s="80"/>
      <c r="AO983" s="80"/>
      <c r="AP983" s="80"/>
      <c r="AQ983" s="80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</row>
    <row r="984">
      <c r="A984" s="80"/>
      <c r="B984" s="80"/>
      <c r="C984" s="80"/>
      <c r="D984" s="80"/>
      <c r="E984" s="124"/>
      <c r="F984" s="80"/>
      <c r="G984" s="80"/>
      <c r="H984" s="80"/>
      <c r="I984" s="80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15"/>
      <c r="AK984" s="80"/>
      <c r="AL984" s="80"/>
      <c r="AM984" s="80"/>
      <c r="AN984" s="80"/>
      <c r="AO984" s="80"/>
      <c r="AP984" s="80"/>
      <c r="AQ984" s="80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</row>
    <row r="985">
      <c r="A985" s="80"/>
      <c r="B985" s="80"/>
      <c r="C985" s="80"/>
      <c r="D985" s="80"/>
      <c r="E985" s="124"/>
      <c r="F985" s="80"/>
      <c r="G985" s="80"/>
      <c r="H985" s="80"/>
      <c r="I985" s="80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15"/>
      <c r="AK985" s="80"/>
      <c r="AL985" s="80"/>
      <c r="AM985" s="80"/>
      <c r="AN985" s="80"/>
      <c r="AO985" s="80"/>
      <c r="AP985" s="80"/>
      <c r="AQ985" s="80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</row>
    <row r="986">
      <c r="A986" s="80"/>
      <c r="B986" s="80"/>
      <c r="C986" s="80"/>
      <c r="D986" s="80"/>
      <c r="E986" s="124"/>
      <c r="F986" s="80"/>
      <c r="G986" s="80"/>
      <c r="H986" s="80"/>
      <c r="I986" s="80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15"/>
      <c r="AK986" s="80"/>
      <c r="AL986" s="80"/>
      <c r="AM986" s="80"/>
      <c r="AN986" s="80"/>
      <c r="AO986" s="80"/>
      <c r="AP986" s="80"/>
      <c r="AQ986" s="80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</row>
    <row r="987">
      <c r="A987" s="80"/>
      <c r="B987" s="80"/>
      <c r="C987" s="80"/>
      <c r="D987" s="80"/>
      <c r="E987" s="124"/>
      <c r="F987" s="80"/>
      <c r="G987" s="80"/>
      <c r="H987" s="80"/>
      <c r="I987" s="80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15"/>
      <c r="AK987" s="80"/>
      <c r="AL987" s="80"/>
      <c r="AM987" s="80"/>
      <c r="AN987" s="80"/>
      <c r="AO987" s="80"/>
      <c r="AP987" s="80"/>
      <c r="AQ987" s="80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</row>
    <row r="988">
      <c r="A988" s="80"/>
      <c r="B988" s="80"/>
      <c r="C988" s="80"/>
      <c r="D988" s="80"/>
      <c r="E988" s="124"/>
      <c r="F988" s="80"/>
      <c r="G988" s="80"/>
      <c r="H988" s="80"/>
      <c r="I988" s="80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15"/>
      <c r="AK988" s="80"/>
      <c r="AL988" s="80"/>
      <c r="AM988" s="80"/>
      <c r="AN988" s="80"/>
      <c r="AO988" s="80"/>
      <c r="AP988" s="80"/>
      <c r="AQ988" s="80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</row>
    <row r="989">
      <c r="A989" s="80"/>
      <c r="B989" s="80"/>
      <c r="C989" s="80"/>
      <c r="D989" s="80"/>
      <c r="E989" s="124"/>
      <c r="F989" s="80"/>
      <c r="G989" s="80"/>
      <c r="H989" s="80"/>
      <c r="I989" s="80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15"/>
      <c r="AK989" s="80"/>
      <c r="AL989" s="80"/>
      <c r="AM989" s="80"/>
      <c r="AN989" s="80"/>
      <c r="AO989" s="80"/>
      <c r="AP989" s="80"/>
      <c r="AQ989" s="80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</row>
    <row r="990">
      <c r="A990" s="80"/>
      <c r="B990" s="80"/>
      <c r="C990" s="80"/>
      <c r="D990" s="80"/>
      <c r="E990" s="124"/>
      <c r="F990" s="80"/>
      <c r="G990" s="80"/>
      <c r="H990" s="80"/>
      <c r="I990" s="80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15"/>
      <c r="AK990" s="80"/>
      <c r="AL990" s="80"/>
      <c r="AM990" s="80"/>
      <c r="AN990" s="80"/>
      <c r="AO990" s="80"/>
      <c r="AP990" s="80"/>
      <c r="AQ990" s="80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</row>
    <row r="991">
      <c r="A991" s="80"/>
      <c r="B991" s="80"/>
      <c r="C991" s="80"/>
      <c r="D991" s="80"/>
      <c r="E991" s="124"/>
      <c r="F991" s="80"/>
      <c r="G991" s="80"/>
      <c r="H991" s="80"/>
      <c r="I991" s="80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15"/>
      <c r="AK991" s="80"/>
      <c r="AL991" s="80"/>
      <c r="AM991" s="80"/>
      <c r="AN991" s="80"/>
      <c r="AO991" s="80"/>
      <c r="AP991" s="80"/>
      <c r="AQ991" s="80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</row>
    <row r="992">
      <c r="A992" s="80"/>
      <c r="B992" s="80"/>
      <c r="C992" s="80"/>
      <c r="D992" s="80"/>
      <c r="E992" s="124"/>
      <c r="F992" s="80"/>
      <c r="G992" s="80"/>
      <c r="H992" s="80"/>
      <c r="I992" s="80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15"/>
      <c r="AK992" s="80"/>
      <c r="AL992" s="80"/>
      <c r="AM992" s="80"/>
      <c r="AN992" s="80"/>
      <c r="AO992" s="80"/>
      <c r="AP992" s="80"/>
      <c r="AQ992" s="80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</row>
    <row r="993">
      <c r="A993" s="80"/>
      <c r="B993" s="80"/>
      <c r="C993" s="80"/>
      <c r="D993" s="80"/>
      <c r="E993" s="124"/>
      <c r="F993" s="80"/>
      <c r="G993" s="80"/>
      <c r="H993" s="80"/>
      <c r="I993" s="80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15"/>
      <c r="AK993" s="80"/>
      <c r="AL993" s="80"/>
      <c r="AM993" s="80"/>
      <c r="AN993" s="80"/>
      <c r="AO993" s="80"/>
      <c r="AP993" s="80"/>
      <c r="AQ993" s="80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</row>
    <row r="994">
      <c r="A994" s="80"/>
      <c r="B994" s="80"/>
      <c r="C994" s="80"/>
      <c r="D994" s="80"/>
      <c r="E994" s="124"/>
      <c r="F994" s="80"/>
      <c r="G994" s="80"/>
      <c r="H994" s="80"/>
      <c r="I994" s="80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15"/>
      <c r="AK994" s="80"/>
      <c r="AL994" s="80"/>
      <c r="AM994" s="80"/>
      <c r="AN994" s="80"/>
      <c r="AO994" s="80"/>
      <c r="AP994" s="80"/>
      <c r="AQ994" s="80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</row>
    <row r="995">
      <c r="A995" s="80"/>
      <c r="B995" s="80"/>
      <c r="C995" s="80"/>
      <c r="D995" s="80"/>
      <c r="E995" s="124"/>
      <c r="F995" s="80"/>
      <c r="G995" s="80"/>
      <c r="H995" s="80"/>
      <c r="I995" s="80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15"/>
      <c r="AK995" s="80"/>
      <c r="AL995" s="80"/>
      <c r="AM995" s="80"/>
      <c r="AN995" s="80"/>
      <c r="AO995" s="80"/>
      <c r="AP995" s="80"/>
      <c r="AQ995" s="80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</row>
    <row r="996">
      <c r="A996" s="80"/>
      <c r="B996" s="80"/>
      <c r="C996" s="80"/>
      <c r="D996" s="80"/>
      <c r="E996" s="124"/>
      <c r="F996" s="80"/>
      <c r="G996" s="80"/>
      <c r="H996" s="80"/>
      <c r="I996" s="80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15"/>
      <c r="AK996" s="80"/>
      <c r="AL996" s="80"/>
      <c r="AM996" s="80"/>
      <c r="AN996" s="80"/>
      <c r="AO996" s="80"/>
      <c r="AP996" s="80"/>
      <c r="AQ996" s="80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</row>
    <row r="997">
      <c r="A997" s="80"/>
      <c r="B997" s="80"/>
      <c r="C997" s="80"/>
      <c r="D997" s="80"/>
      <c r="E997" s="124"/>
      <c r="F997" s="80"/>
      <c r="G997" s="80"/>
      <c r="H997" s="80"/>
      <c r="I997" s="80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15"/>
      <c r="AK997" s="80"/>
      <c r="AL997" s="80"/>
      <c r="AM997" s="80"/>
      <c r="AN997" s="80"/>
      <c r="AO997" s="80"/>
      <c r="AP997" s="80"/>
      <c r="AQ997" s="80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</row>
    <row r="998">
      <c r="A998" s="80"/>
      <c r="B998" s="80"/>
      <c r="C998" s="80"/>
      <c r="D998" s="80"/>
      <c r="E998" s="124"/>
      <c r="F998" s="80"/>
      <c r="G998" s="80"/>
      <c r="H998" s="80"/>
      <c r="I998" s="80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15"/>
      <c r="AK998" s="80"/>
      <c r="AL998" s="80"/>
      <c r="AM998" s="80"/>
      <c r="AN998" s="80"/>
      <c r="AO998" s="80"/>
      <c r="AP998" s="80"/>
      <c r="AQ998" s="80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</row>
    <row r="999">
      <c r="A999" s="80"/>
      <c r="B999" s="80"/>
      <c r="C999" s="80"/>
      <c r="D999" s="80"/>
      <c r="E999" s="124"/>
      <c r="F999" s="80"/>
      <c r="G999" s="80"/>
      <c r="H999" s="80"/>
      <c r="I999" s="80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15"/>
      <c r="AK999" s="80"/>
      <c r="AL999" s="80"/>
      <c r="AM999" s="80"/>
      <c r="AN999" s="80"/>
      <c r="AO999" s="80"/>
      <c r="AP999" s="80"/>
      <c r="AQ999" s="80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</row>
    <row r="1000">
      <c r="A1000" s="80"/>
      <c r="B1000" s="80"/>
      <c r="C1000" s="80"/>
      <c r="D1000" s="80"/>
      <c r="E1000" s="124"/>
      <c r="F1000" s="80"/>
      <c r="G1000" s="80"/>
      <c r="H1000" s="80"/>
      <c r="I1000" s="80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15"/>
      <c r="AK1000" s="80"/>
      <c r="AL1000" s="80"/>
      <c r="AM1000" s="80"/>
      <c r="AN1000" s="80"/>
      <c r="AO1000" s="80"/>
      <c r="AP1000" s="80"/>
      <c r="AQ1000" s="80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</row>
    <row r="1001">
      <c r="A1001" s="80"/>
      <c r="B1001" s="80"/>
      <c r="C1001" s="80"/>
      <c r="D1001" s="80"/>
      <c r="E1001" s="124"/>
      <c r="F1001" s="80"/>
      <c r="G1001" s="80"/>
      <c r="H1001" s="80"/>
      <c r="I1001" s="80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  <c r="AJ1001" s="115"/>
      <c r="AK1001" s="80"/>
      <c r="AL1001" s="80"/>
      <c r="AM1001" s="80"/>
      <c r="AN1001" s="80"/>
      <c r="AO1001" s="80"/>
      <c r="AP1001" s="80"/>
      <c r="AQ1001" s="80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</row>
    <row r="1002">
      <c r="A1002" s="80"/>
      <c r="B1002" s="80"/>
      <c r="C1002" s="80"/>
      <c r="D1002" s="80"/>
      <c r="E1002" s="124"/>
      <c r="F1002" s="80"/>
      <c r="G1002" s="80"/>
      <c r="H1002" s="80"/>
      <c r="I1002" s="80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  <c r="AG1002" s="109"/>
      <c r="AH1002" s="109"/>
      <c r="AI1002" s="109"/>
      <c r="AJ1002" s="115"/>
      <c r="AK1002" s="80"/>
      <c r="AL1002" s="80"/>
      <c r="AM1002" s="80"/>
      <c r="AN1002" s="80"/>
      <c r="AO1002" s="80"/>
      <c r="AP1002" s="80"/>
      <c r="AQ1002" s="80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3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</row>
    <row r="1003">
      <c r="A1003" s="80"/>
      <c r="B1003" s="80"/>
      <c r="C1003" s="80"/>
      <c r="D1003" s="80"/>
      <c r="E1003" s="124"/>
      <c r="F1003" s="80"/>
      <c r="G1003" s="80"/>
      <c r="H1003" s="80"/>
      <c r="I1003" s="80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  <c r="AG1003" s="109"/>
      <c r="AH1003" s="109"/>
      <c r="AI1003" s="109"/>
      <c r="AJ1003" s="115"/>
      <c r="AK1003" s="80"/>
      <c r="AL1003" s="80"/>
      <c r="AM1003" s="80"/>
      <c r="AN1003" s="80"/>
      <c r="AO1003" s="80"/>
      <c r="AP1003" s="80"/>
      <c r="AQ1003" s="80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3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</row>
    <row r="1004">
      <c r="A1004" s="80"/>
      <c r="B1004" s="80"/>
      <c r="C1004" s="80"/>
      <c r="D1004" s="80"/>
      <c r="E1004" s="124"/>
      <c r="F1004" s="80"/>
      <c r="G1004" s="80"/>
      <c r="H1004" s="80"/>
      <c r="I1004" s="80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  <c r="AG1004" s="109"/>
      <c r="AH1004" s="109"/>
      <c r="AI1004" s="109"/>
      <c r="AJ1004" s="115"/>
      <c r="AK1004" s="80"/>
      <c r="AL1004" s="80"/>
      <c r="AM1004" s="80"/>
      <c r="AN1004" s="80"/>
      <c r="AO1004" s="80"/>
      <c r="AP1004" s="80"/>
      <c r="AQ1004" s="80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3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</row>
    <row r="1005">
      <c r="A1005" s="80"/>
      <c r="B1005" s="80"/>
      <c r="C1005" s="80"/>
      <c r="D1005" s="80"/>
      <c r="E1005" s="124"/>
      <c r="F1005" s="80"/>
      <c r="G1005" s="80"/>
      <c r="H1005" s="80"/>
      <c r="I1005" s="80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  <c r="AG1005" s="109"/>
      <c r="AH1005" s="109"/>
      <c r="AI1005" s="109"/>
      <c r="AJ1005" s="115"/>
      <c r="AK1005" s="80"/>
      <c r="AL1005" s="80"/>
      <c r="AM1005" s="80"/>
      <c r="AN1005" s="80"/>
      <c r="AO1005" s="80"/>
      <c r="AP1005" s="80"/>
      <c r="AQ1005" s="80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3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</row>
    <row r="1006">
      <c r="A1006" s="80"/>
      <c r="B1006" s="80"/>
      <c r="C1006" s="80"/>
      <c r="D1006" s="80"/>
      <c r="E1006" s="124"/>
      <c r="F1006" s="80"/>
      <c r="G1006" s="80"/>
      <c r="H1006" s="80"/>
      <c r="I1006" s="80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  <c r="AG1006" s="109"/>
      <c r="AH1006" s="109"/>
      <c r="AI1006" s="109"/>
      <c r="AJ1006" s="115"/>
      <c r="AK1006" s="80"/>
      <c r="AL1006" s="80"/>
      <c r="AM1006" s="80"/>
      <c r="AN1006" s="80"/>
      <c r="AO1006" s="80"/>
      <c r="AP1006" s="80"/>
      <c r="AQ1006" s="80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3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</row>
    <row r="1007">
      <c r="A1007" s="80"/>
      <c r="B1007" s="80"/>
      <c r="C1007" s="80"/>
      <c r="D1007" s="80"/>
      <c r="E1007" s="124"/>
      <c r="F1007" s="80"/>
      <c r="G1007" s="80"/>
      <c r="H1007" s="80"/>
      <c r="I1007" s="80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  <c r="AG1007" s="109"/>
      <c r="AH1007" s="109"/>
      <c r="AI1007" s="109"/>
      <c r="AJ1007" s="115"/>
      <c r="AK1007" s="80"/>
      <c r="AL1007" s="80"/>
      <c r="AM1007" s="80"/>
      <c r="AN1007" s="80"/>
      <c r="AO1007" s="80"/>
      <c r="AP1007" s="80"/>
      <c r="AQ1007" s="80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3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</row>
    <row r="1008">
      <c r="A1008" s="80"/>
      <c r="B1008" s="80"/>
      <c r="C1008" s="80"/>
      <c r="D1008" s="80"/>
      <c r="E1008" s="124"/>
      <c r="F1008" s="80"/>
      <c r="G1008" s="80"/>
      <c r="H1008" s="80"/>
      <c r="I1008" s="80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  <c r="AG1008" s="109"/>
      <c r="AH1008" s="109"/>
      <c r="AI1008" s="109"/>
      <c r="AJ1008" s="115"/>
      <c r="AK1008" s="80"/>
      <c r="AL1008" s="80"/>
      <c r="AM1008" s="80"/>
      <c r="AN1008" s="80"/>
      <c r="AO1008" s="80"/>
      <c r="AP1008" s="80"/>
      <c r="AQ1008" s="80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3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</row>
    <row r="1009">
      <c r="A1009" s="80"/>
      <c r="B1009" s="80"/>
      <c r="C1009" s="80"/>
      <c r="D1009" s="80"/>
      <c r="E1009" s="124"/>
      <c r="F1009" s="80"/>
      <c r="G1009" s="80"/>
      <c r="H1009" s="80"/>
      <c r="I1009" s="80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  <c r="AG1009" s="109"/>
      <c r="AH1009" s="109"/>
      <c r="AI1009" s="109"/>
      <c r="AJ1009" s="115"/>
      <c r="AK1009" s="80"/>
      <c r="AL1009" s="80"/>
      <c r="AM1009" s="80"/>
      <c r="AN1009" s="80"/>
      <c r="AO1009" s="80"/>
      <c r="AP1009" s="80"/>
      <c r="AQ1009" s="80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3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</row>
    <row r="1010">
      <c r="A1010" s="80"/>
      <c r="B1010" s="80"/>
      <c r="C1010" s="80"/>
      <c r="D1010" s="80"/>
      <c r="E1010" s="124"/>
      <c r="F1010" s="80"/>
      <c r="G1010" s="80"/>
      <c r="H1010" s="80"/>
      <c r="I1010" s="80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  <c r="AG1010" s="109"/>
      <c r="AH1010" s="109"/>
      <c r="AI1010" s="109"/>
      <c r="AJ1010" s="115"/>
      <c r="AK1010" s="80"/>
      <c r="AL1010" s="80"/>
      <c r="AM1010" s="80"/>
      <c r="AN1010" s="80"/>
      <c r="AO1010" s="80"/>
      <c r="AP1010" s="80"/>
      <c r="AQ1010" s="80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3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</row>
    <row r="1011">
      <c r="A1011" s="80"/>
      <c r="B1011" s="80"/>
      <c r="C1011" s="80"/>
      <c r="D1011" s="80"/>
      <c r="E1011" s="124"/>
      <c r="F1011" s="80"/>
      <c r="G1011" s="80"/>
      <c r="H1011" s="80"/>
      <c r="I1011" s="80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  <c r="AG1011" s="109"/>
      <c r="AH1011" s="109"/>
      <c r="AI1011" s="109"/>
      <c r="AJ1011" s="115"/>
      <c r="AK1011" s="80"/>
      <c r="AL1011" s="80"/>
      <c r="AM1011" s="80"/>
      <c r="AN1011" s="80"/>
      <c r="AO1011" s="80"/>
      <c r="AP1011" s="80"/>
      <c r="AQ1011" s="80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3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</row>
    <row r="1012">
      <c r="A1012" s="80"/>
      <c r="B1012" s="80"/>
      <c r="C1012" s="80"/>
      <c r="D1012" s="80"/>
      <c r="E1012" s="124"/>
      <c r="F1012" s="80"/>
      <c r="G1012" s="80"/>
      <c r="H1012" s="80"/>
      <c r="I1012" s="80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  <c r="AG1012" s="109"/>
      <c r="AH1012" s="109"/>
      <c r="AI1012" s="109"/>
      <c r="AJ1012" s="115"/>
      <c r="AK1012" s="80"/>
      <c r="AL1012" s="80"/>
      <c r="AM1012" s="80"/>
      <c r="AN1012" s="80"/>
      <c r="AO1012" s="80"/>
      <c r="AP1012" s="80"/>
      <c r="AQ1012" s="80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3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</row>
    <row r="1013">
      <c r="A1013" s="80"/>
      <c r="B1013" s="80"/>
      <c r="C1013" s="80"/>
      <c r="D1013" s="80"/>
      <c r="E1013" s="124"/>
      <c r="F1013" s="80"/>
      <c r="G1013" s="80"/>
      <c r="H1013" s="80"/>
      <c r="I1013" s="80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  <c r="AG1013" s="109"/>
      <c r="AH1013" s="109"/>
      <c r="AI1013" s="109"/>
      <c r="AJ1013" s="115"/>
      <c r="AK1013" s="80"/>
      <c r="AL1013" s="80"/>
      <c r="AM1013" s="80"/>
      <c r="AN1013" s="80"/>
      <c r="AO1013" s="80"/>
      <c r="AP1013" s="80"/>
      <c r="AQ1013" s="80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3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</row>
    <row r="1014">
      <c r="A1014" s="80"/>
      <c r="B1014" s="80"/>
      <c r="C1014" s="80"/>
      <c r="D1014" s="80"/>
      <c r="E1014" s="124"/>
      <c r="F1014" s="80"/>
      <c r="G1014" s="80"/>
      <c r="H1014" s="80"/>
      <c r="I1014" s="80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  <c r="AG1014" s="109"/>
      <c r="AH1014" s="109"/>
      <c r="AI1014" s="109"/>
      <c r="AJ1014" s="115"/>
      <c r="AK1014" s="80"/>
      <c r="AL1014" s="80"/>
      <c r="AM1014" s="80"/>
      <c r="AN1014" s="80"/>
      <c r="AO1014" s="80"/>
      <c r="AP1014" s="80"/>
      <c r="AQ1014" s="80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3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</row>
    <row r="1015">
      <c r="A1015" s="80"/>
      <c r="B1015" s="80"/>
      <c r="C1015" s="80"/>
      <c r="D1015" s="80"/>
      <c r="E1015" s="124"/>
      <c r="F1015" s="80"/>
      <c r="G1015" s="80"/>
      <c r="H1015" s="80"/>
      <c r="I1015" s="80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  <c r="AG1015" s="109"/>
      <c r="AH1015" s="109"/>
      <c r="AI1015" s="109"/>
      <c r="AJ1015" s="115"/>
      <c r="AK1015" s="80"/>
      <c r="AL1015" s="80"/>
      <c r="AM1015" s="80"/>
      <c r="AN1015" s="80"/>
      <c r="AO1015" s="80"/>
      <c r="AP1015" s="80"/>
      <c r="AQ1015" s="80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3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</row>
    <row r="1016">
      <c r="A1016" s="80"/>
      <c r="B1016" s="80"/>
      <c r="C1016" s="80"/>
      <c r="D1016" s="80"/>
      <c r="E1016" s="124"/>
      <c r="F1016" s="80"/>
      <c r="G1016" s="80"/>
      <c r="H1016" s="80"/>
      <c r="I1016" s="80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  <c r="AG1016" s="109"/>
      <c r="AH1016" s="109"/>
      <c r="AI1016" s="109"/>
      <c r="AJ1016" s="115"/>
      <c r="AK1016" s="80"/>
      <c r="AL1016" s="80"/>
      <c r="AM1016" s="80"/>
      <c r="AN1016" s="80"/>
      <c r="AO1016" s="80"/>
      <c r="AP1016" s="80"/>
      <c r="AQ1016" s="80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3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</row>
    <row r="1017">
      <c r="A1017" s="80"/>
      <c r="B1017" s="80"/>
      <c r="C1017" s="80"/>
      <c r="D1017" s="80"/>
      <c r="E1017" s="124"/>
      <c r="F1017" s="80"/>
      <c r="G1017" s="80"/>
      <c r="H1017" s="80"/>
      <c r="I1017" s="80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  <c r="AG1017" s="109"/>
      <c r="AH1017" s="109"/>
      <c r="AI1017" s="109"/>
      <c r="AJ1017" s="115"/>
      <c r="AK1017" s="80"/>
      <c r="AL1017" s="80"/>
      <c r="AM1017" s="80"/>
      <c r="AN1017" s="80"/>
      <c r="AO1017" s="80"/>
      <c r="AP1017" s="80"/>
      <c r="AQ1017" s="80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3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</row>
    <row r="1018">
      <c r="A1018" s="80"/>
      <c r="B1018" s="80"/>
      <c r="C1018" s="80"/>
      <c r="D1018" s="80"/>
      <c r="E1018" s="124"/>
      <c r="F1018" s="80"/>
      <c r="G1018" s="80"/>
      <c r="H1018" s="80"/>
      <c r="I1018" s="80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  <c r="AG1018" s="109"/>
      <c r="AH1018" s="109"/>
      <c r="AI1018" s="109"/>
      <c r="AJ1018" s="115"/>
      <c r="AK1018" s="80"/>
      <c r="AL1018" s="80"/>
      <c r="AM1018" s="80"/>
      <c r="AN1018" s="80"/>
      <c r="AO1018" s="80"/>
      <c r="AP1018" s="80"/>
      <c r="AQ1018" s="80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3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</row>
    <row r="1019">
      <c r="A1019" s="80"/>
      <c r="B1019" s="80"/>
      <c r="C1019" s="80"/>
      <c r="D1019" s="80"/>
      <c r="E1019" s="124"/>
      <c r="F1019" s="80"/>
      <c r="G1019" s="80"/>
      <c r="H1019" s="80"/>
      <c r="I1019" s="80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  <c r="AG1019" s="109"/>
      <c r="AH1019" s="109"/>
      <c r="AI1019" s="109"/>
      <c r="AJ1019" s="115"/>
      <c r="AK1019" s="80"/>
      <c r="AL1019" s="80"/>
      <c r="AM1019" s="80"/>
      <c r="AN1019" s="80"/>
      <c r="AO1019" s="80"/>
      <c r="AP1019" s="80"/>
      <c r="AQ1019" s="80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3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</row>
    <row r="1020">
      <c r="A1020" s="80"/>
      <c r="B1020" s="80"/>
      <c r="C1020" s="80"/>
      <c r="D1020" s="80"/>
      <c r="E1020" s="124"/>
      <c r="F1020" s="80"/>
      <c r="G1020" s="80"/>
      <c r="H1020" s="80"/>
      <c r="I1020" s="80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  <c r="AG1020" s="109"/>
      <c r="AH1020" s="109"/>
      <c r="AI1020" s="109"/>
      <c r="AJ1020" s="115"/>
      <c r="AK1020" s="80"/>
      <c r="AL1020" s="80"/>
      <c r="AM1020" s="80"/>
      <c r="AN1020" s="80"/>
      <c r="AO1020" s="80"/>
      <c r="AP1020" s="80"/>
      <c r="AQ1020" s="80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3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</row>
    <row r="1021">
      <c r="A1021" s="80"/>
      <c r="B1021" s="80"/>
      <c r="C1021" s="80"/>
      <c r="D1021" s="80"/>
      <c r="E1021" s="124"/>
      <c r="F1021" s="80"/>
      <c r="G1021" s="80"/>
      <c r="H1021" s="80"/>
      <c r="I1021" s="80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  <c r="AG1021" s="109"/>
      <c r="AH1021" s="109"/>
      <c r="AI1021" s="109"/>
      <c r="AJ1021" s="115"/>
      <c r="AK1021" s="80"/>
      <c r="AL1021" s="80"/>
      <c r="AM1021" s="80"/>
      <c r="AN1021" s="80"/>
      <c r="AO1021" s="80"/>
      <c r="AP1021" s="80"/>
      <c r="AQ1021" s="80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3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</row>
    <row r="1022">
      <c r="A1022" s="80"/>
      <c r="B1022" s="80"/>
      <c r="C1022" s="80"/>
      <c r="D1022" s="80"/>
      <c r="E1022" s="124"/>
      <c r="F1022" s="80"/>
      <c r="G1022" s="80"/>
      <c r="H1022" s="80"/>
      <c r="I1022" s="80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  <c r="AG1022" s="109"/>
      <c r="AH1022" s="109"/>
      <c r="AI1022" s="109"/>
      <c r="AJ1022" s="115"/>
      <c r="AK1022" s="80"/>
      <c r="AL1022" s="80"/>
      <c r="AM1022" s="80"/>
      <c r="AN1022" s="80"/>
      <c r="AO1022" s="80"/>
      <c r="AP1022" s="80"/>
      <c r="AQ1022" s="80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3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</row>
    <row r="1023">
      <c r="A1023" s="80"/>
      <c r="B1023" s="80"/>
      <c r="C1023" s="80"/>
      <c r="D1023" s="80"/>
      <c r="E1023" s="124"/>
      <c r="F1023" s="80"/>
      <c r="G1023" s="80"/>
      <c r="H1023" s="80"/>
      <c r="I1023" s="80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  <c r="AG1023" s="109"/>
      <c r="AH1023" s="109"/>
      <c r="AI1023" s="109"/>
      <c r="AJ1023" s="115"/>
      <c r="AK1023" s="80"/>
      <c r="AL1023" s="80"/>
      <c r="AM1023" s="80"/>
      <c r="AN1023" s="80"/>
      <c r="AO1023" s="80"/>
      <c r="AP1023" s="80"/>
      <c r="AQ1023" s="80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3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</row>
    <row r="1024">
      <c r="A1024" s="80"/>
      <c r="B1024" s="80"/>
      <c r="C1024" s="80"/>
      <c r="D1024" s="80"/>
      <c r="E1024" s="124"/>
      <c r="F1024" s="80"/>
      <c r="G1024" s="80"/>
      <c r="H1024" s="80"/>
      <c r="I1024" s="80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  <c r="AG1024" s="109"/>
      <c r="AH1024" s="109"/>
      <c r="AI1024" s="109"/>
      <c r="AJ1024" s="115"/>
      <c r="AK1024" s="80"/>
      <c r="AL1024" s="80"/>
      <c r="AM1024" s="80"/>
      <c r="AN1024" s="80"/>
      <c r="AO1024" s="80"/>
      <c r="AP1024" s="80"/>
      <c r="AQ1024" s="80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3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</row>
    <row r="1025">
      <c r="A1025" s="80"/>
      <c r="B1025" s="80"/>
      <c r="C1025" s="80"/>
      <c r="D1025" s="80"/>
      <c r="E1025" s="124"/>
      <c r="F1025" s="80"/>
      <c r="G1025" s="80"/>
      <c r="H1025" s="80"/>
      <c r="I1025" s="80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  <c r="AG1025" s="109"/>
      <c r="AH1025" s="109"/>
      <c r="AI1025" s="109"/>
      <c r="AJ1025" s="115"/>
      <c r="AK1025" s="80"/>
      <c r="AL1025" s="80"/>
      <c r="AM1025" s="80"/>
      <c r="AN1025" s="80"/>
      <c r="AO1025" s="80"/>
      <c r="AP1025" s="80"/>
      <c r="AQ1025" s="80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3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</row>
    <row r="1026">
      <c r="A1026" s="80"/>
      <c r="B1026" s="80"/>
      <c r="C1026" s="80"/>
      <c r="D1026" s="80"/>
      <c r="E1026" s="124"/>
      <c r="F1026" s="80"/>
      <c r="G1026" s="80"/>
      <c r="H1026" s="80"/>
      <c r="I1026" s="80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  <c r="AG1026" s="109"/>
      <c r="AH1026" s="109"/>
      <c r="AI1026" s="109"/>
      <c r="AJ1026" s="115"/>
      <c r="AK1026" s="80"/>
      <c r="AL1026" s="80"/>
      <c r="AM1026" s="80"/>
      <c r="AN1026" s="80"/>
      <c r="AO1026" s="80"/>
      <c r="AP1026" s="80"/>
      <c r="AQ1026" s="80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3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</row>
    <row r="1027">
      <c r="A1027" s="80"/>
      <c r="B1027" s="80"/>
      <c r="C1027" s="80"/>
      <c r="D1027" s="80"/>
      <c r="E1027" s="124"/>
      <c r="F1027" s="80"/>
      <c r="G1027" s="80"/>
      <c r="H1027" s="80"/>
      <c r="I1027" s="80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109"/>
      <c r="AG1027" s="109"/>
      <c r="AH1027" s="109"/>
      <c r="AI1027" s="109"/>
      <c r="AJ1027" s="115"/>
      <c r="AK1027" s="80"/>
      <c r="AL1027" s="80"/>
      <c r="AM1027" s="80"/>
      <c r="AN1027" s="80"/>
      <c r="AO1027" s="80"/>
      <c r="AP1027" s="80"/>
      <c r="AQ1027" s="80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3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</row>
    <row r="1028">
      <c r="A1028" s="80"/>
      <c r="B1028" s="80"/>
      <c r="C1028" s="80"/>
      <c r="D1028" s="80"/>
      <c r="E1028" s="124"/>
      <c r="F1028" s="80"/>
      <c r="G1028" s="80"/>
      <c r="H1028" s="80"/>
      <c r="I1028" s="80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109"/>
      <c r="AG1028" s="109"/>
      <c r="AH1028" s="109"/>
      <c r="AI1028" s="109"/>
      <c r="AJ1028" s="115"/>
      <c r="AK1028" s="80"/>
      <c r="AL1028" s="80"/>
      <c r="AM1028" s="80"/>
      <c r="AN1028" s="80"/>
      <c r="AO1028" s="80"/>
      <c r="AP1028" s="80"/>
      <c r="AQ1028" s="80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3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</row>
    <row r="1029">
      <c r="A1029" s="80"/>
      <c r="B1029" s="80"/>
      <c r="C1029" s="80"/>
      <c r="D1029" s="80"/>
      <c r="E1029" s="124"/>
      <c r="F1029" s="80"/>
      <c r="G1029" s="80"/>
      <c r="H1029" s="80"/>
      <c r="I1029" s="80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09"/>
      <c r="V1029" s="109"/>
      <c r="W1029" s="109"/>
      <c r="X1029" s="109"/>
      <c r="Y1029" s="109"/>
      <c r="Z1029" s="109"/>
      <c r="AA1029" s="109"/>
      <c r="AB1029" s="109"/>
      <c r="AC1029" s="109"/>
      <c r="AD1029" s="109"/>
      <c r="AE1029" s="109"/>
      <c r="AF1029" s="109"/>
      <c r="AG1029" s="109"/>
      <c r="AH1029" s="109"/>
      <c r="AI1029" s="109"/>
      <c r="AJ1029" s="115"/>
      <c r="AK1029" s="80"/>
      <c r="AL1029" s="80"/>
      <c r="AM1029" s="80"/>
      <c r="AN1029" s="80"/>
      <c r="AO1029" s="80"/>
      <c r="AP1029" s="80"/>
      <c r="AQ1029" s="80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3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</row>
    <row r="1030">
      <c r="A1030" s="80"/>
      <c r="B1030" s="80"/>
      <c r="C1030" s="80"/>
      <c r="D1030" s="80"/>
      <c r="E1030" s="124"/>
      <c r="F1030" s="80"/>
      <c r="G1030" s="80"/>
      <c r="H1030" s="80"/>
      <c r="I1030" s="80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09"/>
      <c r="V1030" s="109"/>
      <c r="W1030" s="109"/>
      <c r="X1030" s="109"/>
      <c r="Y1030" s="109"/>
      <c r="Z1030" s="109"/>
      <c r="AA1030" s="109"/>
      <c r="AB1030" s="109"/>
      <c r="AC1030" s="109"/>
      <c r="AD1030" s="109"/>
      <c r="AE1030" s="109"/>
      <c r="AF1030" s="109"/>
      <c r="AG1030" s="109"/>
      <c r="AH1030" s="109"/>
      <c r="AI1030" s="109"/>
      <c r="AJ1030" s="115"/>
      <c r="AK1030" s="80"/>
      <c r="AL1030" s="80"/>
      <c r="AM1030" s="80"/>
      <c r="AN1030" s="80"/>
      <c r="AO1030" s="80"/>
      <c r="AP1030" s="80"/>
      <c r="AQ1030" s="80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3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</row>
    <row r="1031">
      <c r="A1031" s="80"/>
      <c r="B1031" s="80"/>
      <c r="C1031" s="80"/>
      <c r="D1031" s="80"/>
      <c r="E1031" s="124"/>
      <c r="F1031" s="80"/>
      <c r="G1031" s="80"/>
      <c r="H1031" s="80"/>
      <c r="I1031" s="80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09"/>
      <c r="V1031" s="109"/>
      <c r="W1031" s="109"/>
      <c r="X1031" s="109"/>
      <c r="Y1031" s="109"/>
      <c r="Z1031" s="109"/>
      <c r="AA1031" s="109"/>
      <c r="AB1031" s="109"/>
      <c r="AC1031" s="109"/>
      <c r="AD1031" s="109"/>
      <c r="AE1031" s="109"/>
      <c r="AF1031" s="109"/>
      <c r="AG1031" s="109"/>
      <c r="AH1031" s="109"/>
      <c r="AI1031" s="109"/>
      <c r="AJ1031" s="115"/>
      <c r="AK1031" s="80"/>
      <c r="AL1031" s="80"/>
      <c r="AM1031" s="80"/>
      <c r="AN1031" s="80"/>
      <c r="AO1031" s="80"/>
      <c r="AP1031" s="80"/>
      <c r="AQ1031" s="80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3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</row>
    <row r="1032">
      <c r="A1032" s="80"/>
      <c r="B1032" s="80"/>
      <c r="C1032" s="80"/>
      <c r="D1032" s="80"/>
      <c r="E1032" s="124"/>
      <c r="F1032" s="80"/>
      <c r="G1032" s="80"/>
      <c r="H1032" s="80"/>
      <c r="I1032" s="80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09"/>
      <c r="V1032" s="109"/>
      <c r="W1032" s="109"/>
      <c r="X1032" s="109"/>
      <c r="Y1032" s="109"/>
      <c r="Z1032" s="109"/>
      <c r="AA1032" s="109"/>
      <c r="AB1032" s="109"/>
      <c r="AC1032" s="109"/>
      <c r="AD1032" s="109"/>
      <c r="AE1032" s="109"/>
      <c r="AF1032" s="109"/>
      <c r="AG1032" s="109"/>
      <c r="AH1032" s="109"/>
      <c r="AI1032" s="109"/>
      <c r="AJ1032" s="115"/>
      <c r="AK1032" s="80"/>
      <c r="AL1032" s="80"/>
      <c r="AM1032" s="80"/>
      <c r="AN1032" s="80"/>
      <c r="AO1032" s="80"/>
      <c r="AP1032" s="80"/>
      <c r="AQ1032" s="80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3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</row>
    <row r="1033">
      <c r="A1033" s="80"/>
      <c r="B1033" s="80"/>
      <c r="C1033" s="80"/>
      <c r="D1033" s="80"/>
      <c r="E1033" s="124"/>
      <c r="F1033" s="80"/>
      <c r="G1033" s="80"/>
      <c r="H1033" s="80"/>
      <c r="I1033" s="80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09"/>
      <c r="V1033" s="109"/>
      <c r="W1033" s="109"/>
      <c r="X1033" s="109"/>
      <c r="Y1033" s="109"/>
      <c r="Z1033" s="109"/>
      <c r="AA1033" s="109"/>
      <c r="AB1033" s="109"/>
      <c r="AC1033" s="109"/>
      <c r="AD1033" s="109"/>
      <c r="AE1033" s="109"/>
      <c r="AF1033" s="109"/>
      <c r="AG1033" s="109"/>
      <c r="AH1033" s="109"/>
      <c r="AI1033" s="109"/>
      <c r="AJ1033" s="115"/>
      <c r="AK1033" s="80"/>
      <c r="AL1033" s="80"/>
      <c r="AM1033" s="80"/>
      <c r="AN1033" s="80"/>
      <c r="AO1033" s="80"/>
      <c r="AP1033" s="80"/>
      <c r="AQ1033" s="80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3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</row>
    <row r="1034">
      <c r="A1034" s="80"/>
      <c r="B1034" s="80"/>
      <c r="C1034" s="80"/>
      <c r="D1034" s="80"/>
      <c r="E1034" s="124"/>
      <c r="F1034" s="80"/>
      <c r="G1034" s="80"/>
      <c r="H1034" s="80"/>
      <c r="I1034" s="80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09"/>
      <c r="V1034" s="109"/>
      <c r="W1034" s="109"/>
      <c r="X1034" s="109"/>
      <c r="Y1034" s="109"/>
      <c r="Z1034" s="109"/>
      <c r="AA1034" s="109"/>
      <c r="AB1034" s="109"/>
      <c r="AC1034" s="109"/>
      <c r="AD1034" s="109"/>
      <c r="AE1034" s="109"/>
      <c r="AF1034" s="109"/>
      <c r="AG1034" s="109"/>
      <c r="AH1034" s="109"/>
      <c r="AI1034" s="109"/>
      <c r="AJ1034" s="115"/>
      <c r="AK1034" s="80"/>
      <c r="AL1034" s="80"/>
      <c r="AM1034" s="80"/>
      <c r="AN1034" s="80"/>
      <c r="AO1034" s="80"/>
      <c r="AP1034" s="80"/>
      <c r="AQ1034" s="80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3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</row>
    <row r="1035">
      <c r="A1035" s="80"/>
      <c r="B1035" s="80"/>
      <c r="C1035" s="80"/>
      <c r="D1035" s="80"/>
      <c r="E1035" s="124"/>
      <c r="F1035" s="80"/>
      <c r="G1035" s="80"/>
      <c r="H1035" s="80"/>
      <c r="I1035" s="80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09"/>
      <c r="V1035" s="109"/>
      <c r="W1035" s="109"/>
      <c r="X1035" s="109"/>
      <c r="Y1035" s="109"/>
      <c r="Z1035" s="109"/>
      <c r="AA1035" s="109"/>
      <c r="AB1035" s="109"/>
      <c r="AC1035" s="109"/>
      <c r="AD1035" s="109"/>
      <c r="AE1035" s="109"/>
      <c r="AF1035" s="109"/>
      <c r="AG1035" s="109"/>
      <c r="AH1035" s="109"/>
      <c r="AI1035" s="109"/>
      <c r="AJ1035" s="115"/>
      <c r="AK1035" s="80"/>
      <c r="AL1035" s="80"/>
      <c r="AM1035" s="80"/>
      <c r="AN1035" s="80"/>
      <c r="AO1035" s="80"/>
      <c r="AP1035" s="80"/>
      <c r="AQ1035" s="80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3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</row>
    <row r="1036">
      <c r="A1036" s="80"/>
      <c r="B1036" s="80"/>
      <c r="C1036" s="80"/>
      <c r="D1036" s="80"/>
      <c r="E1036" s="124"/>
      <c r="F1036" s="80"/>
      <c r="G1036" s="80"/>
      <c r="H1036" s="80"/>
      <c r="I1036" s="80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09"/>
      <c r="V1036" s="109"/>
      <c r="W1036" s="109"/>
      <c r="X1036" s="109"/>
      <c r="Y1036" s="109"/>
      <c r="Z1036" s="109"/>
      <c r="AA1036" s="109"/>
      <c r="AB1036" s="109"/>
      <c r="AC1036" s="109"/>
      <c r="AD1036" s="109"/>
      <c r="AE1036" s="109"/>
      <c r="AF1036" s="109"/>
      <c r="AG1036" s="109"/>
      <c r="AH1036" s="109"/>
      <c r="AI1036" s="109"/>
      <c r="AJ1036" s="115"/>
      <c r="AK1036" s="80"/>
      <c r="AL1036" s="80"/>
      <c r="AM1036" s="80"/>
      <c r="AN1036" s="80"/>
      <c r="AO1036" s="80"/>
      <c r="AP1036" s="80"/>
      <c r="AQ1036" s="80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3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</row>
    <row r="1037">
      <c r="A1037" s="80"/>
      <c r="B1037" s="80"/>
      <c r="C1037" s="80"/>
      <c r="D1037" s="80"/>
      <c r="E1037" s="124"/>
      <c r="F1037" s="80"/>
      <c r="G1037" s="80"/>
      <c r="H1037" s="80"/>
      <c r="I1037" s="80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09"/>
      <c r="V1037" s="109"/>
      <c r="W1037" s="109"/>
      <c r="X1037" s="109"/>
      <c r="Y1037" s="109"/>
      <c r="Z1037" s="109"/>
      <c r="AA1037" s="109"/>
      <c r="AB1037" s="109"/>
      <c r="AC1037" s="109"/>
      <c r="AD1037" s="109"/>
      <c r="AE1037" s="109"/>
      <c r="AF1037" s="109"/>
      <c r="AG1037" s="109"/>
      <c r="AH1037" s="109"/>
      <c r="AI1037" s="109"/>
      <c r="AJ1037" s="115"/>
      <c r="AK1037" s="80"/>
      <c r="AL1037" s="80"/>
      <c r="AM1037" s="80"/>
      <c r="AN1037" s="80"/>
      <c r="AO1037" s="80"/>
      <c r="AP1037" s="80"/>
      <c r="AQ1037" s="80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3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</row>
    <row r="1038">
      <c r="A1038" s="80"/>
      <c r="B1038" s="80"/>
      <c r="C1038" s="80"/>
      <c r="D1038" s="80"/>
      <c r="E1038" s="124"/>
      <c r="F1038" s="80"/>
      <c r="G1038" s="80"/>
      <c r="H1038" s="80"/>
      <c r="I1038" s="80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09"/>
      <c r="V1038" s="109"/>
      <c r="W1038" s="109"/>
      <c r="X1038" s="109"/>
      <c r="Y1038" s="109"/>
      <c r="Z1038" s="109"/>
      <c r="AA1038" s="109"/>
      <c r="AB1038" s="109"/>
      <c r="AC1038" s="109"/>
      <c r="AD1038" s="109"/>
      <c r="AE1038" s="109"/>
      <c r="AF1038" s="109"/>
      <c r="AG1038" s="109"/>
      <c r="AH1038" s="109"/>
      <c r="AI1038" s="109"/>
      <c r="AJ1038" s="115"/>
      <c r="AK1038" s="80"/>
      <c r="AL1038" s="80"/>
      <c r="AM1038" s="80"/>
      <c r="AN1038" s="80"/>
      <c r="AO1038" s="80"/>
      <c r="AP1038" s="80"/>
      <c r="AQ1038" s="80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3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</row>
    <row r="1039">
      <c r="A1039" s="80"/>
      <c r="B1039" s="80"/>
      <c r="C1039" s="80"/>
      <c r="D1039" s="80"/>
      <c r="E1039" s="124"/>
      <c r="F1039" s="80"/>
      <c r="G1039" s="80"/>
      <c r="H1039" s="80"/>
      <c r="I1039" s="80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09"/>
      <c r="V1039" s="109"/>
      <c r="W1039" s="109"/>
      <c r="X1039" s="109"/>
      <c r="Y1039" s="109"/>
      <c r="Z1039" s="109"/>
      <c r="AA1039" s="109"/>
      <c r="AB1039" s="109"/>
      <c r="AC1039" s="109"/>
      <c r="AD1039" s="109"/>
      <c r="AE1039" s="109"/>
      <c r="AF1039" s="109"/>
      <c r="AG1039" s="109"/>
      <c r="AH1039" s="109"/>
      <c r="AI1039" s="109"/>
      <c r="AJ1039" s="115"/>
      <c r="AK1039" s="80"/>
      <c r="AL1039" s="80"/>
      <c r="AM1039" s="80"/>
      <c r="AN1039" s="80"/>
      <c r="AO1039" s="80"/>
      <c r="AP1039" s="80"/>
      <c r="AQ1039" s="80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3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</row>
    <row r="1040">
      <c r="A1040" s="80"/>
      <c r="B1040" s="80"/>
      <c r="C1040" s="80"/>
      <c r="D1040" s="80"/>
      <c r="E1040" s="124"/>
      <c r="F1040" s="80"/>
      <c r="G1040" s="80"/>
      <c r="H1040" s="80"/>
      <c r="I1040" s="80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09"/>
      <c r="V1040" s="109"/>
      <c r="W1040" s="109"/>
      <c r="X1040" s="109"/>
      <c r="Y1040" s="109"/>
      <c r="Z1040" s="109"/>
      <c r="AA1040" s="109"/>
      <c r="AB1040" s="109"/>
      <c r="AC1040" s="109"/>
      <c r="AD1040" s="109"/>
      <c r="AE1040" s="109"/>
      <c r="AF1040" s="109"/>
      <c r="AG1040" s="109"/>
      <c r="AH1040" s="109"/>
      <c r="AI1040" s="109"/>
      <c r="AJ1040" s="115"/>
      <c r="AK1040" s="80"/>
      <c r="AL1040" s="80"/>
      <c r="AM1040" s="80"/>
      <c r="AN1040" s="80"/>
      <c r="AO1040" s="80"/>
      <c r="AP1040" s="80"/>
      <c r="AQ1040" s="80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3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</row>
    <row r="1041">
      <c r="A1041" s="80"/>
      <c r="B1041" s="80"/>
      <c r="C1041" s="80"/>
      <c r="D1041" s="80"/>
      <c r="E1041" s="124"/>
      <c r="F1041" s="80"/>
      <c r="G1041" s="80"/>
      <c r="H1041" s="80"/>
      <c r="I1041" s="80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09"/>
      <c r="V1041" s="109"/>
      <c r="W1041" s="109"/>
      <c r="X1041" s="109"/>
      <c r="Y1041" s="109"/>
      <c r="Z1041" s="109"/>
      <c r="AA1041" s="109"/>
      <c r="AB1041" s="109"/>
      <c r="AC1041" s="109"/>
      <c r="AD1041" s="109"/>
      <c r="AE1041" s="109"/>
      <c r="AF1041" s="109"/>
      <c r="AG1041" s="109"/>
      <c r="AH1041" s="109"/>
      <c r="AI1041" s="109"/>
      <c r="AJ1041" s="115"/>
      <c r="AK1041" s="80"/>
      <c r="AL1041" s="80"/>
      <c r="AM1041" s="80"/>
      <c r="AN1041" s="80"/>
      <c r="AO1041" s="80"/>
      <c r="AP1041" s="80"/>
      <c r="AQ1041" s="80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3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</row>
    <row r="1042">
      <c r="A1042" s="80"/>
      <c r="B1042" s="80"/>
      <c r="C1042" s="80"/>
      <c r="D1042" s="80"/>
      <c r="E1042" s="124"/>
      <c r="F1042" s="80"/>
      <c r="G1042" s="80"/>
      <c r="H1042" s="80"/>
      <c r="I1042" s="80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09"/>
      <c r="V1042" s="109"/>
      <c r="W1042" s="109"/>
      <c r="X1042" s="109"/>
      <c r="Y1042" s="109"/>
      <c r="Z1042" s="109"/>
      <c r="AA1042" s="109"/>
      <c r="AB1042" s="109"/>
      <c r="AC1042" s="109"/>
      <c r="AD1042" s="109"/>
      <c r="AE1042" s="109"/>
      <c r="AF1042" s="109"/>
      <c r="AG1042" s="109"/>
      <c r="AH1042" s="109"/>
      <c r="AI1042" s="109"/>
      <c r="AJ1042" s="115"/>
      <c r="AK1042" s="80"/>
      <c r="AL1042" s="80"/>
      <c r="AM1042" s="80"/>
      <c r="AN1042" s="80"/>
      <c r="AO1042" s="80"/>
      <c r="AP1042" s="80"/>
      <c r="AQ1042" s="80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3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</row>
    <row r="1043">
      <c r="A1043" s="80"/>
      <c r="B1043" s="80"/>
      <c r="C1043" s="80"/>
      <c r="D1043" s="80"/>
      <c r="E1043" s="124"/>
      <c r="F1043" s="80"/>
      <c r="G1043" s="80"/>
      <c r="H1043" s="80"/>
      <c r="I1043" s="80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09"/>
      <c r="V1043" s="109"/>
      <c r="W1043" s="109"/>
      <c r="X1043" s="109"/>
      <c r="Y1043" s="109"/>
      <c r="Z1043" s="109"/>
      <c r="AA1043" s="109"/>
      <c r="AB1043" s="109"/>
      <c r="AC1043" s="109"/>
      <c r="AD1043" s="109"/>
      <c r="AE1043" s="109"/>
      <c r="AF1043" s="109"/>
      <c r="AG1043" s="109"/>
      <c r="AH1043" s="109"/>
      <c r="AI1043" s="109"/>
      <c r="AJ1043" s="115"/>
      <c r="AK1043" s="80"/>
      <c r="AL1043" s="80"/>
      <c r="AM1043" s="80"/>
      <c r="AN1043" s="80"/>
      <c r="AO1043" s="80"/>
      <c r="AP1043" s="80"/>
      <c r="AQ1043" s="80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3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</row>
    <row r="1044">
      <c r="A1044" s="80"/>
      <c r="B1044" s="80"/>
      <c r="C1044" s="80"/>
      <c r="D1044" s="80"/>
      <c r="E1044" s="124"/>
      <c r="F1044" s="80"/>
      <c r="G1044" s="80"/>
      <c r="H1044" s="80"/>
      <c r="I1044" s="80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09"/>
      <c r="V1044" s="109"/>
      <c r="W1044" s="109"/>
      <c r="X1044" s="109"/>
      <c r="Y1044" s="109"/>
      <c r="Z1044" s="109"/>
      <c r="AA1044" s="109"/>
      <c r="AB1044" s="109"/>
      <c r="AC1044" s="109"/>
      <c r="AD1044" s="109"/>
      <c r="AE1044" s="109"/>
      <c r="AF1044" s="109"/>
      <c r="AG1044" s="109"/>
      <c r="AH1044" s="109"/>
      <c r="AI1044" s="109"/>
      <c r="AJ1044" s="115"/>
      <c r="AK1044" s="80"/>
      <c r="AL1044" s="80"/>
      <c r="AM1044" s="80"/>
      <c r="AN1044" s="80"/>
      <c r="AO1044" s="80"/>
      <c r="AP1044" s="80"/>
      <c r="AQ1044" s="80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3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</row>
    <row r="1045">
      <c r="A1045" s="80"/>
      <c r="B1045" s="80"/>
      <c r="C1045" s="80"/>
      <c r="D1045" s="80"/>
      <c r="E1045" s="124"/>
      <c r="F1045" s="80"/>
      <c r="G1045" s="80"/>
      <c r="H1045" s="80"/>
      <c r="I1045" s="80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09"/>
      <c r="V1045" s="109"/>
      <c r="W1045" s="109"/>
      <c r="X1045" s="109"/>
      <c r="Y1045" s="109"/>
      <c r="Z1045" s="109"/>
      <c r="AA1045" s="109"/>
      <c r="AB1045" s="109"/>
      <c r="AC1045" s="109"/>
      <c r="AD1045" s="109"/>
      <c r="AE1045" s="109"/>
      <c r="AF1045" s="109"/>
      <c r="AG1045" s="109"/>
      <c r="AH1045" s="109"/>
      <c r="AI1045" s="109"/>
      <c r="AJ1045" s="115"/>
      <c r="AK1045" s="80"/>
      <c r="AL1045" s="80"/>
      <c r="AM1045" s="80"/>
      <c r="AN1045" s="80"/>
      <c r="AO1045" s="80"/>
      <c r="AP1045" s="80"/>
      <c r="AQ1045" s="80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3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</row>
    <row r="1046">
      <c r="A1046" s="80"/>
      <c r="B1046" s="80"/>
      <c r="C1046" s="80"/>
      <c r="D1046" s="80"/>
      <c r="E1046" s="124"/>
      <c r="F1046" s="80"/>
      <c r="G1046" s="80"/>
      <c r="H1046" s="80"/>
      <c r="I1046" s="80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09"/>
      <c r="V1046" s="109"/>
      <c r="W1046" s="109"/>
      <c r="X1046" s="109"/>
      <c r="Y1046" s="109"/>
      <c r="Z1046" s="109"/>
      <c r="AA1046" s="109"/>
      <c r="AB1046" s="109"/>
      <c r="AC1046" s="109"/>
      <c r="AD1046" s="109"/>
      <c r="AE1046" s="109"/>
      <c r="AF1046" s="109"/>
      <c r="AG1046" s="109"/>
      <c r="AH1046" s="109"/>
      <c r="AI1046" s="109"/>
      <c r="AJ1046" s="115"/>
      <c r="AK1046" s="80"/>
      <c r="AL1046" s="80"/>
      <c r="AM1046" s="80"/>
      <c r="AN1046" s="80"/>
      <c r="AO1046" s="80"/>
      <c r="AP1046" s="80"/>
      <c r="AQ1046" s="80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3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</row>
    <row r="1047">
      <c r="A1047" s="80"/>
      <c r="B1047" s="80"/>
      <c r="C1047" s="80"/>
      <c r="D1047" s="80"/>
      <c r="E1047" s="124"/>
      <c r="F1047" s="80"/>
      <c r="G1047" s="80"/>
      <c r="H1047" s="80"/>
      <c r="I1047" s="80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09"/>
      <c r="V1047" s="109"/>
      <c r="W1047" s="109"/>
      <c r="X1047" s="109"/>
      <c r="Y1047" s="109"/>
      <c r="Z1047" s="109"/>
      <c r="AA1047" s="109"/>
      <c r="AB1047" s="109"/>
      <c r="AC1047" s="109"/>
      <c r="AD1047" s="109"/>
      <c r="AE1047" s="109"/>
      <c r="AF1047" s="109"/>
      <c r="AG1047" s="109"/>
      <c r="AH1047" s="109"/>
      <c r="AI1047" s="109"/>
      <c r="AJ1047" s="115"/>
      <c r="AK1047" s="80"/>
      <c r="AL1047" s="80"/>
      <c r="AM1047" s="80"/>
      <c r="AN1047" s="80"/>
      <c r="AO1047" s="80"/>
      <c r="AP1047" s="80"/>
      <c r="AQ1047" s="80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3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</row>
    <row r="1048">
      <c r="A1048" s="80"/>
      <c r="B1048" s="80"/>
      <c r="C1048" s="80"/>
      <c r="D1048" s="80"/>
      <c r="E1048" s="124"/>
      <c r="F1048" s="80"/>
      <c r="G1048" s="80"/>
      <c r="H1048" s="80"/>
      <c r="I1048" s="80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09"/>
      <c r="V1048" s="109"/>
      <c r="W1048" s="109"/>
      <c r="X1048" s="109"/>
      <c r="Y1048" s="109"/>
      <c r="Z1048" s="109"/>
      <c r="AA1048" s="109"/>
      <c r="AB1048" s="109"/>
      <c r="AC1048" s="109"/>
      <c r="AD1048" s="109"/>
      <c r="AE1048" s="109"/>
      <c r="AF1048" s="109"/>
      <c r="AG1048" s="109"/>
      <c r="AH1048" s="109"/>
      <c r="AI1048" s="109"/>
      <c r="AJ1048" s="115"/>
      <c r="AK1048" s="80"/>
      <c r="AL1048" s="80"/>
      <c r="AM1048" s="80"/>
      <c r="AN1048" s="80"/>
      <c r="AO1048" s="80"/>
      <c r="AP1048" s="80"/>
      <c r="AQ1048" s="80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3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</row>
    <row r="1049">
      <c r="A1049" s="80"/>
      <c r="B1049" s="80"/>
      <c r="C1049" s="80"/>
      <c r="D1049" s="80"/>
      <c r="E1049" s="124"/>
      <c r="F1049" s="80"/>
      <c r="G1049" s="80"/>
      <c r="H1049" s="80"/>
      <c r="I1049" s="80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09"/>
      <c r="V1049" s="109"/>
      <c r="W1049" s="109"/>
      <c r="X1049" s="109"/>
      <c r="Y1049" s="109"/>
      <c r="Z1049" s="109"/>
      <c r="AA1049" s="109"/>
      <c r="AB1049" s="109"/>
      <c r="AC1049" s="109"/>
      <c r="AD1049" s="109"/>
      <c r="AE1049" s="109"/>
      <c r="AF1049" s="109"/>
      <c r="AG1049" s="109"/>
      <c r="AH1049" s="109"/>
      <c r="AI1049" s="109"/>
      <c r="AJ1049" s="115"/>
      <c r="AK1049" s="80"/>
      <c r="AL1049" s="80"/>
      <c r="AM1049" s="80"/>
      <c r="AN1049" s="80"/>
      <c r="AO1049" s="80"/>
      <c r="AP1049" s="80"/>
      <c r="AQ1049" s="80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3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</row>
    <row r="1050">
      <c r="A1050" s="80"/>
      <c r="B1050" s="80"/>
      <c r="C1050" s="80"/>
      <c r="D1050" s="80"/>
      <c r="E1050" s="124"/>
      <c r="F1050" s="80"/>
      <c r="G1050" s="80"/>
      <c r="H1050" s="80"/>
      <c r="I1050" s="80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09"/>
      <c r="V1050" s="109"/>
      <c r="W1050" s="109"/>
      <c r="X1050" s="109"/>
      <c r="Y1050" s="109"/>
      <c r="Z1050" s="109"/>
      <c r="AA1050" s="109"/>
      <c r="AB1050" s="109"/>
      <c r="AC1050" s="109"/>
      <c r="AD1050" s="109"/>
      <c r="AE1050" s="109"/>
      <c r="AF1050" s="109"/>
      <c r="AG1050" s="109"/>
      <c r="AH1050" s="109"/>
      <c r="AI1050" s="109"/>
      <c r="AJ1050" s="115"/>
      <c r="AK1050" s="80"/>
      <c r="AL1050" s="80"/>
      <c r="AM1050" s="80"/>
      <c r="AN1050" s="80"/>
      <c r="AO1050" s="80"/>
      <c r="AP1050" s="80"/>
      <c r="AQ1050" s="80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3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</row>
    <row r="1051">
      <c r="A1051" s="80"/>
      <c r="B1051" s="80"/>
      <c r="C1051" s="80"/>
      <c r="D1051" s="80"/>
      <c r="E1051" s="124"/>
      <c r="F1051" s="80"/>
      <c r="G1051" s="80"/>
      <c r="H1051" s="80"/>
      <c r="I1051" s="80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09"/>
      <c r="V1051" s="109"/>
      <c r="W1051" s="109"/>
      <c r="X1051" s="109"/>
      <c r="Y1051" s="109"/>
      <c r="Z1051" s="109"/>
      <c r="AA1051" s="109"/>
      <c r="AB1051" s="109"/>
      <c r="AC1051" s="109"/>
      <c r="AD1051" s="109"/>
      <c r="AE1051" s="109"/>
      <c r="AF1051" s="109"/>
      <c r="AG1051" s="109"/>
      <c r="AH1051" s="109"/>
      <c r="AI1051" s="109"/>
      <c r="AJ1051" s="115"/>
      <c r="AK1051" s="80"/>
      <c r="AL1051" s="80"/>
      <c r="AM1051" s="80"/>
      <c r="AN1051" s="80"/>
      <c r="AO1051" s="80"/>
      <c r="AP1051" s="80"/>
      <c r="AQ1051" s="80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3"/>
      <c r="BG1051" s="73"/>
      <c r="BH1051" s="73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</row>
    <row r="1052">
      <c r="A1052" s="80"/>
      <c r="B1052" s="80"/>
      <c r="C1052" s="80"/>
      <c r="D1052" s="80"/>
      <c r="E1052" s="124"/>
      <c r="F1052" s="80"/>
      <c r="G1052" s="80"/>
      <c r="H1052" s="80"/>
      <c r="I1052" s="80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09"/>
      <c r="V1052" s="109"/>
      <c r="W1052" s="109"/>
      <c r="X1052" s="109"/>
      <c r="Y1052" s="109"/>
      <c r="Z1052" s="109"/>
      <c r="AA1052" s="109"/>
      <c r="AB1052" s="109"/>
      <c r="AC1052" s="109"/>
      <c r="AD1052" s="109"/>
      <c r="AE1052" s="109"/>
      <c r="AF1052" s="109"/>
      <c r="AG1052" s="109"/>
      <c r="AH1052" s="109"/>
      <c r="AI1052" s="109"/>
      <c r="AJ1052" s="115"/>
      <c r="AK1052" s="80"/>
      <c r="AL1052" s="80"/>
      <c r="AM1052" s="80"/>
      <c r="AN1052" s="80"/>
      <c r="AO1052" s="80"/>
      <c r="AP1052" s="80"/>
      <c r="AQ1052" s="80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3"/>
      <c r="BG1052" s="73"/>
      <c r="BH1052" s="73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</row>
    <row r="1053">
      <c r="A1053" s="80"/>
      <c r="B1053" s="80"/>
      <c r="C1053" s="80"/>
      <c r="D1053" s="80"/>
      <c r="E1053" s="124"/>
      <c r="F1053" s="80"/>
      <c r="G1053" s="80"/>
      <c r="H1053" s="80"/>
      <c r="I1053" s="80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09"/>
      <c r="V1053" s="109"/>
      <c r="W1053" s="109"/>
      <c r="X1053" s="109"/>
      <c r="Y1053" s="109"/>
      <c r="Z1053" s="109"/>
      <c r="AA1053" s="109"/>
      <c r="AB1053" s="109"/>
      <c r="AC1053" s="109"/>
      <c r="AD1053" s="109"/>
      <c r="AE1053" s="109"/>
      <c r="AF1053" s="109"/>
      <c r="AG1053" s="109"/>
      <c r="AH1053" s="109"/>
      <c r="AI1053" s="109"/>
      <c r="AJ1053" s="115"/>
      <c r="AK1053" s="80"/>
      <c r="AL1053" s="80"/>
      <c r="AM1053" s="80"/>
      <c r="AN1053" s="80"/>
      <c r="AO1053" s="80"/>
      <c r="AP1053" s="80"/>
      <c r="AQ1053" s="80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3"/>
      <c r="BG1053" s="73"/>
      <c r="BH1053" s="73"/>
      <c r="BI1053" s="73"/>
      <c r="BJ1053" s="73"/>
      <c r="BK1053" s="73"/>
      <c r="BL1053" s="73"/>
      <c r="BM1053" s="73"/>
      <c r="BN1053" s="73"/>
      <c r="BO1053" s="73"/>
      <c r="BP1053" s="73"/>
      <c r="BQ1053" s="73"/>
      <c r="BR1053" s="73"/>
      <c r="BS1053" s="73"/>
      <c r="BT1053" s="73"/>
      <c r="BU1053" s="73"/>
      <c r="BV1053" s="73"/>
      <c r="BW1053" s="73"/>
      <c r="BX1053" s="73"/>
      <c r="BY1053" s="73"/>
      <c r="BZ1053" s="73"/>
      <c r="CA1053" s="73"/>
      <c r="CB1053" s="73"/>
      <c r="CC1053" s="73"/>
      <c r="CD1053" s="73"/>
      <c r="CE1053" s="73"/>
      <c r="CF1053" s="73"/>
      <c r="CG1053" s="73"/>
      <c r="CH1053" s="73"/>
    </row>
    <row r="1054">
      <c r="A1054" s="80"/>
      <c r="B1054" s="80"/>
      <c r="C1054" s="80"/>
      <c r="D1054" s="80"/>
      <c r="E1054" s="124"/>
      <c r="F1054" s="80"/>
      <c r="G1054" s="80"/>
      <c r="H1054" s="80"/>
      <c r="I1054" s="80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09"/>
      <c r="V1054" s="109"/>
      <c r="W1054" s="109"/>
      <c r="X1054" s="109"/>
      <c r="Y1054" s="109"/>
      <c r="Z1054" s="109"/>
      <c r="AA1054" s="109"/>
      <c r="AB1054" s="109"/>
      <c r="AC1054" s="109"/>
      <c r="AD1054" s="109"/>
      <c r="AE1054" s="109"/>
      <c r="AF1054" s="109"/>
      <c r="AG1054" s="109"/>
      <c r="AH1054" s="109"/>
      <c r="AI1054" s="109"/>
      <c r="AJ1054" s="115"/>
      <c r="AK1054" s="80"/>
      <c r="AL1054" s="80"/>
      <c r="AM1054" s="80"/>
      <c r="AN1054" s="80"/>
      <c r="AO1054" s="80"/>
      <c r="AP1054" s="80"/>
      <c r="AQ1054" s="80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3"/>
      <c r="BG1054" s="73"/>
      <c r="BH1054" s="73"/>
      <c r="BI1054" s="73"/>
      <c r="BJ1054" s="73"/>
      <c r="BK1054" s="73"/>
      <c r="BL1054" s="73"/>
      <c r="BM1054" s="73"/>
      <c r="BN1054" s="73"/>
      <c r="BO1054" s="73"/>
      <c r="BP1054" s="73"/>
      <c r="BQ1054" s="73"/>
      <c r="BR1054" s="73"/>
      <c r="BS1054" s="73"/>
      <c r="BT1054" s="73"/>
      <c r="BU1054" s="73"/>
      <c r="BV1054" s="73"/>
      <c r="BW1054" s="73"/>
      <c r="BX1054" s="73"/>
      <c r="BY1054" s="73"/>
      <c r="BZ1054" s="73"/>
      <c r="CA1054" s="73"/>
      <c r="CB1054" s="73"/>
      <c r="CC1054" s="73"/>
      <c r="CD1054" s="73"/>
      <c r="CE1054" s="73"/>
      <c r="CF1054" s="73"/>
      <c r="CG1054" s="73"/>
      <c r="CH1054" s="73"/>
    </row>
    <row r="1055">
      <c r="A1055" s="80"/>
      <c r="B1055" s="80"/>
      <c r="C1055" s="80"/>
      <c r="D1055" s="80"/>
      <c r="E1055" s="124"/>
      <c r="F1055" s="80"/>
      <c r="G1055" s="80"/>
      <c r="H1055" s="80"/>
      <c r="I1055" s="80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09"/>
      <c r="V1055" s="109"/>
      <c r="W1055" s="109"/>
      <c r="X1055" s="109"/>
      <c r="Y1055" s="109"/>
      <c r="Z1055" s="109"/>
      <c r="AA1055" s="109"/>
      <c r="AB1055" s="109"/>
      <c r="AC1055" s="109"/>
      <c r="AD1055" s="109"/>
      <c r="AE1055" s="109"/>
      <c r="AF1055" s="109"/>
      <c r="AG1055" s="109"/>
      <c r="AH1055" s="109"/>
      <c r="AI1055" s="109"/>
      <c r="AJ1055" s="115"/>
      <c r="AK1055" s="80"/>
      <c r="AL1055" s="80"/>
      <c r="AM1055" s="80"/>
      <c r="AN1055" s="80"/>
      <c r="AO1055" s="80"/>
      <c r="AP1055" s="80"/>
      <c r="AQ1055" s="80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3"/>
      <c r="BG1055" s="73"/>
      <c r="BH1055" s="73"/>
      <c r="BI1055" s="73"/>
      <c r="BJ1055" s="73"/>
      <c r="BK1055" s="73"/>
      <c r="BL1055" s="73"/>
      <c r="BM1055" s="73"/>
      <c r="BN1055" s="73"/>
      <c r="BO1055" s="73"/>
      <c r="BP1055" s="73"/>
      <c r="BQ1055" s="73"/>
      <c r="BR1055" s="73"/>
      <c r="BS1055" s="73"/>
      <c r="BT1055" s="73"/>
      <c r="BU1055" s="73"/>
      <c r="BV1055" s="73"/>
      <c r="BW1055" s="73"/>
      <c r="BX1055" s="73"/>
      <c r="BY1055" s="73"/>
      <c r="BZ1055" s="73"/>
      <c r="CA1055" s="73"/>
      <c r="CB1055" s="73"/>
      <c r="CC1055" s="73"/>
      <c r="CD1055" s="73"/>
      <c r="CE1055" s="73"/>
      <c r="CF1055" s="73"/>
      <c r="CG1055" s="73"/>
      <c r="CH1055" s="73"/>
    </row>
    <row r="1056">
      <c r="A1056" s="80"/>
      <c r="B1056" s="80"/>
      <c r="C1056" s="80"/>
      <c r="D1056" s="80"/>
      <c r="E1056" s="124"/>
      <c r="F1056" s="80"/>
      <c r="G1056" s="80"/>
      <c r="H1056" s="80"/>
      <c r="I1056" s="80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09"/>
      <c r="V1056" s="109"/>
      <c r="W1056" s="109"/>
      <c r="X1056" s="109"/>
      <c r="Y1056" s="109"/>
      <c r="Z1056" s="109"/>
      <c r="AA1056" s="109"/>
      <c r="AB1056" s="109"/>
      <c r="AC1056" s="109"/>
      <c r="AD1056" s="109"/>
      <c r="AE1056" s="109"/>
      <c r="AF1056" s="109"/>
      <c r="AG1056" s="109"/>
      <c r="AH1056" s="109"/>
      <c r="AI1056" s="109"/>
      <c r="AJ1056" s="115"/>
      <c r="AK1056" s="80"/>
      <c r="AL1056" s="80"/>
      <c r="AM1056" s="80"/>
      <c r="AN1056" s="80"/>
      <c r="AO1056" s="80"/>
      <c r="AP1056" s="80"/>
      <c r="AQ1056" s="80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3"/>
      <c r="BG1056" s="73"/>
      <c r="BH1056" s="73"/>
      <c r="BI1056" s="73"/>
      <c r="BJ1056" s="73"/>
      <c r="BK1056" s="73"/>
      <c r="BL1056" s="73"/>
      <c r="BM1056" s="73"/>
      <c r="BN1056" s="73"/>
      <c r="BO1056" s="73"/>
      <c r="BP1056" s="73"/>
      <c r="BQ1056" s="73"/>
      <c r="BR1056" s="73"/>
      <c r="BS1056" s="73"/>
      <c r="BT1056" s="73"/>
      <c r="BU1056" s="73"/>
      <c r="BV1056" s="73"/>
      <c r="BW1056" s="73"/>
      <c r="BX1056" s="73"/>
      <c r="BY1056" s="73"/>
      <c r="BZ1056" s="73"/>
      <c r="CA1056" s="73"/>
      <c r="CB1056" s="73"/>
      <c r="CC1056" s="73"/>
      <c r="CD1056" s="73"/>
      <c r="CE1056" s="73"/>
      <c r="CF1056" s="73"/>
      <c r="CG1056" s="73"/>
      <c r="CH1056" s="73"/>
    </row>
    <row r="1057">
      <c r="A1057" s="80"/>
      <c r="B1057" s="80"/>
      <c r="C1057" s="80"/>
      <c r="D1057" s="80"/>
      <c r="E1057" s="124"/>
      <c r="F1057" s="80"/>
      <c r="G1057" s="80"/>
      <c r="H1057" s="80"/>
      <c r="I1057" s="80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09"/>
      <c r="V1057" s="109"/>
      <c r="W1057" s="109"/>
      <c r="X1057" s="109"/>
      <c r="Y1057" s="109"/>
      <c r="Z1057" s="109"/>
      <c r="AA1057" s="109"/>
      <c r="AB1057" s="109"/>
      <c r="AC1057" s="109"/>
      <c r="AD1057" s="109"/>
      <c r="AE1057" s="109"/>
      <c r="AF1057" s="109"/>
      <c r="AG1057" s="109"/>
      <c r="AH1057" s="109"/>
      <c r="AI1057" s="109"/>
      <c r="AJ1057" s="115"/>
      <c r="AK1057" s="80"/>
      <c r="AL1057" s="80"/>
      <c r="AM1057" s="80"/>
      <c r="AN1057" s="80"/>
      <c r="AO1057" s="80"/>
      <c r="AP1057" s="80"/>
      <c r="AQ1057" s="80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3"/>
      <c r="BG1057" s="73"/>
      <c r="BH1057" s="73"/>
      <c r="BI1057" s="73"/>
      <c r="BJ1057" s="73"/>
      <c r="BK1057" s="73"/>
      <c r="BL1057" s="73"/>
      <c r="BM1057" s="73"/>
      <c r="BN1057" s="73"/>
      <c r="BO1057" s="73"/>
      <c r="BP1057" s="73"/>
      <c r="BQ1057" s="73"/>
      <c r="BR1057" s="73"/>
      <c r="BS1057" s="73"/>
      <c r="BT1057" s="73"/>
      <c r="BU1057" s="73"/>
      <c r="BV1057" s="73"/>
      <c r="BW1057" s="73"/>
      <c r="BX1057" s="73"/>
      <c r="BY1057" s="73"/>
      <c r="BZ1057" s="73"/>
      <c r="CA1057" s="73"/>
      <c r="CB1057" s="73"/>
      <c r="CC1057" s="73"/>
      <c r="CD1057" s="73"/>
      <c r="CE1057" s="73"/>
      <c r="CF1057" s="73"/>
      <c r="CG1057" s="73"/>
      <c r="CH1057" s="73"/>
    </row>
    <row r="1058">
      <c r="A1058" s="80"/>
      <c r="B1058" s="80"/>
      <c r="C1058" s="80"/>
      <c r="D1058" s="80"/>
      <c r="E1058" s="124"/>
      <c r="F1058" s="80"/>
      <c r="G1058" s="80"/>
      <c r="H1058" s="80"/>
      <c r="I1058" s="80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09"/>
      <c r="V1058" s="109"/>
      <c r="W1058" s="109"/>
      <c r="X1058" s="109"/>
      <c r="Y1058" s="109"/>
      <c r="Z1058" s="109"/>
      <c r="AA1058" s="109"/>
      <c r="AB1058" s="109"/>
      <c r="AC1058" s="109"/>
      <c r="AD1058" s="109"/>
      <c r="AE1058" s="109"/>
      <c r="AF1058" s="109"/>
      <c r="AG1058" s="109"/>
      <c r="AH1058" s="109"/>
      <c r="AI1058" s="109"/>
      <c r="AJ1058" s="115"/>
      <c r="AK1058" s="80"/>
      <c r="AL1058" s="80"/>
      <c r="AM1058" s="80"/>
      <c r="AN1058" s="80"/>
      <c r="AO1058" s="80"/>
      <c r="AP1058" s="80"/>
      <c r="AQ1058" s="80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3"/>
      <c r="BG1058" s="73"/>
      <c r="BH1058" s="73"/>
      <c r="BI1058" s="73"/>
      <c r="BJ1058" s="73"/>
      <c r="BK1058" s="73"/>
      <c r="BL1058" s="73"/>
      <c r="BM1058" s="73"/>
      <c r="BN1058" s="73"/>
      <c r="BO1058" s="73"/>
      <c r="BP1058" s="73"/>
      <c r="BQ1058" s="73"/>
      <c r="BR1058" s="73"/>
      <c r="BS1058" s="73"/>
      <c r="BT1058" s="73"/>
      <c r="BU1058" s="73"/>
      <c r="BV1058" s="73"/>
      <c r="BW1058" s="73"/>
      <c r="BX1058" s="73"/>
      <c r="BY1058" s="73"/>
      <c r="BZ1058" s="73"/>
      <c r="CA1058" s="73"/>
      <c r="CB1058" s="73"/>
      <c r="CC1058" s="73"/>
      <c r="CD1058" s="73"/>
      <c r="CE1058" s="73"/>
      <c r="CF1058" s="73"/>
      <c r="CG1058" s="73"/>
      <c r="CH1058" s="73"/>
    </row>
    <row r="1059">
      <c r="A1059" s="80"/>
      <c r="B1059" s="80"/>
      <c r="C1059" s="80"/>
      <c r="D1059" s="80"/>
      <c r="E1059" s="124"/>
      <c r="F1059" s="80"/>
      <c r="G1059" s="80"/>
      <c r="H1059" s="80"/>
      <c r="I1059" s="80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09"/>
      <c r="V1059" s="109"/>
      <c r="W1059" s="109"/>
      <c r="X1059" s="109"/>
      <c r="Y1059" s="109"/>
      <c r="Z1059" s="109"/>
      <c r="AA1059" s="109"/>
      <c r="AB1059" s="109"/>
      <c r="AC1059" s="109"/>
      <c r="AD1059" s="109"/>
      <c r="AE1059" s="109"/>
      <c r="AF1059" s="109"/>
      <c r="AG1059" s="109"/>
      <c r="AH1059" s="109"/>
      <c r="AI1059" s="109"/>
      <c r="AJ1059" s="115"/>
      <c r="AK1059" s="80"/>
      <c r="AL1059" s="80"/>
      <c r="AM1059" s="80"/>
      <c r="AN1059" s="80"/>
      <c r="AO1059" s="80"/>
      <c r="AP1059" s="80"/>
      <c r="AQ1059" s="80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3"/>
      <c r="BG1059" s="73"/>
      <c r="BH1059" s="73"/>
      <c r="BI1059" s="73"/>
      <c r="BJ1059" s="73"/>
      <c r="BK1059" s="73"/>
      <c r="BL1059" s="73"/>
      <c r="BM1059" s="73"/>
      <c r="BN1059" s="73"/>
      <c r="BO1059" s="73"/>
      <c r="BP1059" s="73"/>
      <c r="BQ1059" s="73"/>
      <c r="BR1059" s="73"/>
      <c r="BS1059" s="73"/>
      <c r="BT1059" s="73"/>
      <c r="BU1059" s="73"/>
      <c r="BV1059" s="73"/>
      <c r="BW1059" s="73"/>
      <c r="BX1059" s="73"/>
      <c r="BY1059" s="73"/>
      <c r="BZ1059" s="73"/>
      <c r="CA1059" s="73"/>
      <c r="CB1059" s="73"/>
      <c r="CC1059" s="73"/>
      <c r="CD1059" s="73"/>
      <c r="CE1059" s="73"/>
      <c r="CF1059" s="73"/>
      <c r="CG1059" s="73"/>
      <c r="CH1059" s="73"/>
    </row>
    <row r="1060">
      <c r="A1060" s="80"/>
      <c r="B1060" s="80"/>
      <c r="C1060" s="80"/>
      <c r="D1060" s="80"/>
      <c r="E1060" s="124"/>
      <c r="F1060" s="80"/>
      <c r="G1060" s="80"/>
      <c r="H1060" s="80"/>
      <c r="I1060" s="80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09"/>
      <c r="V1060" s="109"/>
      <c r="W1060" s="109"/>
      <c r="X1060" s="109"/>
      <c r="Y1060" s="109"/>
      <c r="Z1060" s="109"/>
      <c r="AA1060" s="109"/>
      <c r="AB1060" s="109"/>
      <c r="AC1060" s="109"/>
      <c r="AD1060" s="109"/>
      <c r="AE1060" s="109"/>
      <c r="AF1060" s="109"/>
      <c r="AG1060" s="109"/>
      <c r="AH1060" s="109"/>
      <c r="AI1060" s="109"/>
      <c r="AJ1060" s="115"/>
      <c r="AK1060" s="80"/>
      <c r="AL1060" s="80"/>
      <c r="AM1060" s="80"/>
      <c r="AN1060" s="80"/>
      <c r="AO1060" s="80"/>
      <c r="AP1060" s="80"/>
      <c r="AQ1060" s="80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3"/>
      <c r="BG1060" s="73"/>
      <c r="BH1060" s="73"/>
      <c r="BI1060" s="73"/>
      <c r="BJ1060" s="73"/>
      <c r="BK1060" s="73"/>
      <c r="BL1060" s="73"/>
      <c r="BM1060" s="73"/>
      <c r="BN1060" s="73"/>
      <c r="BO1060" s="73"/>
      <c r="BP1060" s="73"/>
      <c r="BQ1060" s="73"/>
      <c r="BR1060" s="73"/>
      <c r="BS1060" s="73"/>
      <c r="BT1060" s="73"/>
      <c r="BU1060" s="73"/>
      <c r="BV1060" s="73"/>
      <c r="BW1060" s="73"/>
      <c r="BX1060" s="73"/>
      <c r="BY1060" s="73"/>
      <c r="BZ1060" s="73"/>
      <c r="CA1060" s="73"/>
      <c r="CB1060" s="73"/>
      <c r="CC1060" s="73"/>
      <c r="CD1060" s="73"/>
      <c r="CE1060" s="73"/>
      <c r="CF1060" s="73"/>
      <c r="CG1060" s="73"/>
      <c r="CH1060" s="73"/>
    </row>
    <row r="1061">
      <c r="A1061" s="80"/>
      <c r="B1061" s="80"/>
      <c r="C1061" s="80"/>
      <c r="D1061" s="80"/>
      <c r="E1061" s="124"/>
      <c r="F1061" s="80"/>
      <c r="G1061" s="80"/>
      <c r="H1061" s="80"/>
      <c r="I1061" s="80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09"/>
      <c r="V1061" s="109"/>
      <c r="W1061" s="109"/>
      <c r="X1061" s="109"/>
      <c r="Y1061" s="109"/>
      <c r="Z1061" s="109"/>
      <c r="AA1061" s="109"/>
      <c r="AB1061" s="109"/>
      <c r="AC1061" s="109"/>
      <c r="AD1061" s="109"/>
      <c r="AE1061" s="109"/>
      <c r="AF1061" s="109"/>
      <c r="AG1061" s="109"/>
      <c r="AH1061" s="109"/>
      <c r="AI1061" s="109"/>
      <c r="AJ1061" s="115"/>
      <c r="AK1061" s="80"/>
      <c r="AL1061" s="80"/>
      <c r="AM1061" s="80"/>
      <c r="AN1061" s="80"/>
      <c r="AO1061" s="80"/>
      <c r="AP1061" s="80"/>
      <c r="AQ1061" s="80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3"/>
      <c r="BG1061" s="73"/>
      <c r="BH1061" s="73"/>
      <c r="BI1061" s="73"/>
      <c r="BJ1061" s="73"/>
      <c r="BK1061" s="73"/>
      <c r="BL1061" s="73"/>
      <c r="BM1061" s="73"/>
      <c r="BN1061" s="73"/>
      <c r="BO1061" s="73"/>
      <c r="BP1061" s="73"/>
      <c r="BQ1061" s="73"/>
      <c r="BR1061" s="73"/>
      <c r="BS1061" s="73"/>
      <c r="BT1061" s="73"/>
      <c r="BU1061" s="73"/>
      <c r="BV1061" s="73"/>
      <c r="BW1061" s="73"/>
      <c r="BX1061" s="73"/>
      <c r="BY1061" s="73"/>
      <c r="BZ1061" s="73"/>
      <c r="CA1061" s="73"/>
      <c r="CB1061" s="73"/>
      <c r="CC1061" s="73"/>
      <c r="CD1061" s="73"/>
      <c r="CE1061" s="73"/>
      <c r="CF1061" s="73"/>
      <c r="CG1061" s="73"/>
      <c r="CH1061" s="73"/>
    </row>
    <row r="1062">
      <c r="A1062" s="80"/>
      <c r="B1062" s="80"/>
      <c r="C1062" s="80"/>
      <c r="D1062" s="80"/>
      <c r="E1062" s="124"/>
      <c r="F1062" s="80"/>
      <c r="G1062" s="80"/>
      <c r="H1062" s="80"/>
      <c r="I1062" s="80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09"/>
      <c r="V1062" s="109"/>
      <c r="W1062" s="109"/>
      <c r="X1062" s="109"/>
      <c r="Y1062" s="109"/>
      <c r="Z1062" s="109"/>
      <c r="AA1062" s="109"/>
      <c r="AB1062" s="109"/>
      <c r="AC1062" s="109"/>
      <c r="AD1062" s="109"/>
      <c r="AE1062" s="109"/>
      <c r="AF1062" s="109"/>
      <c r="AG1062" s="109"/>
      <c r="AH1062" s="109"/>
      <c r="AI1062" s="109"/>
      <c r="AJ1062" s="115"/>
      <c r="AK1062" s="80"/>
      <c r="AL1062" s="80"/>
      <c r="AM1062" s="80"/>
      <c r="AN1062" s="80"/>
      <c r="AO1062" s="80"/>
      <c r="AP1062" s="80"/>
      <c r="AQ1062" s="80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3"/>
      <c r="BG1062" s="73"/>
      <c r="BH1062" s="73"/>
      <c r="BI1062" s="73"/>
      <c r="BJ1062" s="73"/>
      <c r="BK1062" s="73"/>
      <c r="BL1062" s="73"/>
      <c r="BM1062" s="73"/>
      <c r="BN1062" s="73"/>
      <c r="BO1062" s="73"/>
      <c r="BP1062" s="73"/>
      <c r="BQ1062" s="73"/>
      <c r="BR1062" s="73"/>
      <c r="BS1062" s="73"/>
      <c r="BT1062" s="73"/>
      <c r="BU1062" s="73"/>
      <c r="BV1062" s="73"/>
      <c r="BW1062" s="73"/>
      <c r="BX1062" s="73"/>
      <c r="BY1062" s="73"/>
      <c r="BZ1062" s="73"/>
      <c r="CA1062" s="73"/>
      <c r="CB1062" s="73"/>
      <c r="CC1062" s="73"/>
      <c r="CD1062" s="73"/>
      <c r="CE1062" s="73"/>
      <c r="CF1062" s="73"/>
      <c r="CG1062" s="73"/>
      <c r="CH1062" s="73"/>
    </row>
    <row r="1063">
      <c r="A1063" s="80"/>
      <c r="B1063" s="80"/>
      <c r="C1063" s="80"/>
      <c r="D1063" s="80"/>
      <c r="E1063" s="124"/>
      <c r="F1063" s="80"/>
      <c r="G1063" s="80"/>
      <c r="H1063" s="80"/>
      <c r="I1063" s="80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09"/>
      <c r="V1063" s="109"/>
      <c r="W1063" s="109"/>
      <c r="X1063" s="109"/>
      <c r="Y1063" s="109"/>
      <c r="Z1063" s="109"/>
      <c r="AA1063" s="109"/>
      <c r="AB1063" s="109"/>
      <c r="AC1063" s="109"/>
      <c r="AD1063" s="109"/>
      <c r="AE1063" s="109"/>
      <c r="AF1063" s="109"/>
      <c r="AG1063" s="109"/>
      <c r="AH1063" s="109"/>
      <c r="AI1063" s="109"/>
      <c r="AJ1063" s="115"/>
      <c r="AK1063" s="80"/>
      <c r="AL1063" s="80"/>
      <c r="AM1063" s="80"/>
      <c r="AN1063" s="80"/>
      <c r="AO1063" s="80"/>
      <c r="AP1063" s="80"/>
      <c r="AQ1063" s="80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3"/>
      <c r="BG1063" s="73"/>
      <c r="BH1063" s="73"/>
      <c r="BI1063" s="73"/>
      <c r="BJ1063" s="73"/>
      <c r="BK1063" s="73"/>
      <c r="BL1063" s="73"/>
      <c r="BM1063" s="73"/>
      <c r="BN1063" s="73"/>
      <c r="BO1063" s="73"/>
      <c r="BP1063" s="73"/>
      <c r="BQ1063" s="73"/>
      <c r="BR1063" s="73"/>
      <c r="BS1063" s="73"/>
      <c r="BT1063" s="73"/>
      <c r="BU1063" s="73"/>
      <c r="BV1063" s="73"/>
      <c r="BW1063" s="73"/>
      <c r="BX1063" s="73"/>
      <c r="BY1063" s="73"/>
      <c r="BZ1063" s="73"/>
      <c r="CA1063" s="73"/>
      <c r="CB1063" s="73"/>
      <c r="CC1063" s="73"/>
      <c r="CD1063" s="73"/>
      <c r="CE1063" s="73"/>
      <c r="CF1063" s="73"/>
      <c r="CG1063" s="73"/>
      <c r="CH1063" s="73"/>
    </row>
    <row r="1064">
      <c r="A1064" s="80"/>
      <c r="B1064" s="80"/>
      <c r="C1064" s="80"/>
      <c r="D1064" s="80"/>
      <c r="E1064" s="124"/>
      <c r="F1064" s="80"/>
      <c r="G1064" s="80"/>
      <c r="H1064" s="80"/>
      <c r="I1064" s="80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09"/>
      <c r="V1064" s="109"/>
      <c r="W1064" s="109"/>
      <c r="X1064" s="109"/>
      <c r="Y1064" s="109"/>
      <c r="Z1064" s="109"/>
      <c r="AA1064" s="109"/>
      <c r="AB1064" s="109"/>
      <c r="AC1064" s="109"/>
      <c r="AD1064" s="109"/>
      <c r="AE1064" s="109"/>
      <c r="AF1064" s="109"/>
      <c r="AG1064" s="109"/>
      <c r="AH1064" s="109"/>
      <c r="AI1064" s="109"/>
      <c r="AJ1064" s="115"/>
      <c r="AK1064" s="80"/>
      <c r="AL1064" s="80"/>
      <c r="AM1064" s="80"/>
      <c r="AN1064" s="80"/>
      <c r="AO1064" s="80"/>
      <c r="AP1064" s="80"/>
      <c r="AQ1064" s="80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3"/>
      <c r="BG1064" s="73"/>
      <c r="BH1064" s="73"/>
      <c r="BI1064" s="73"/>
      <c r="BJ1064" s="73"/>
      <c r="BK1064" s="73"/>
      <c r="BL1064" s="73"/>
      <c r="BM1064" s="73"/>
      <c r="BN1064" s="73"/>
      <c r="BO1064" s="73"/>
      <c r="BP1064" s="73"/>
      <c r="BQ1064" s="73"/>
      <c r="BR1064" s="73"/>
      <c r="BS1064" s="73"/>
      <c r="BT1064" s="73"/>
      <c r="BU1064" s="73"/>
      <c r="BV1064" s="73"/>
      <c r="BW1064" s="73"/>
      <c r="BX1064" s="73"/>
      <c r="BY1064" s="73"/>
      <c r="BZ1064" s="73"/>
      <c r="CA1064" s="73"/>
      <c r="CB1064" s="73"/>
      <c r="CC1064" s="73"/>
      <c r="CD1064" s="73"/>
      <c r="CE1064" s="73"/>
      <c r="CF1064" s="73"/>
      <c r="CG1064" s="73"/>
      <c r="CH1064" s="73"/>
    </row>
    <row r="1065">
      <c r="A1065" s="80"/>
      <c r="B1065" s="80"/>
      <c r="C1065" s="80"/>
      <c r="D1065" s="80"/>
      <c r="E1065" s="124"/>
      <c r="F1065" s="80"/>
      <c r="G1065" s="80"/>
      <c r="H1065" s="80"/>
      <c r="I1065" s="80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09"/>
      <c r="V1065" s="109"/>
      <c r="W1065" s="109"/>
      <c r="X1065" s="109"/>
      <c r="Y1065" s="109"/>
      <c r="Z1065" s="109"/>
      <c r="AA1065" s="109"/>
      <c r="AB1065" s="109"/>
      <c r="AC1065" s="109"/>
      <c r="AD1065" s="109"/>
      <c r="AE1065" s="109"/>
      <c r="AF1065" s="109"/>
      <c r="AG1065" s="109"/>
      <c r="AH1065" s="109"/>
      <c r="AI1065" s="109"/>
      <c r="AJ1065" s="115"/>
      <c r="AK1065" s="80"/>
      <c r="AL1065" s="80"/>
      <c r="AM1065" s="80"/>
      <c r="AN1065" s="80"/>
      <c r="AO1065" s="80"/>
      <c r="AP1065" s="80"/>
      <c r="AQ1065" s="80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3"/>
      <c r="BG1065" s="73"/>
      <c r="BH1065" s="73"/>
      <c r="BI1065" s="73"/>
      <c r="BJ1065" s="73"/>
      <c r="BK1065" s="73"/>
      <c r="BL1065" s="73"/>
      <c r="BM1065" s="73"/>
      <c r="BN1065" s="73"/>
      <c r="BO1065" s="73"/>
      <c r="BP1065" s="73"/>
      <c r="BQ1065" s="73"/>
      <c r="BR1065" s="73"/>
      <c r="BS1065" s="73"/>
      <c r="BT1065" s="73"/>
      <c r="BU1065" s="73"/>
      <c r="BV1065" s="73"/>
      <c r="BW1065" s="73"/>
      <c r="BX1065" s="73"/>
      <c r="BY1065" s="73"/>
      <c r="BZ1065" s="73"/>
      <c r="CA1065" s="73"/>
      <c r="CB1065" s="73"/>
      <c r="CC1065" s="73"/>
      <c r="CD1065" s="73"/>
      <c r="CE1065" s="73"/>
      <c r="CF1065" s="73"/>
      <c r="CG1065" s="73"/>
      <c r="CH1065" s="73"/>
    </row>
    <row r="1066">
      <c r="A1066" s="80"/>
      <c r="B1066" s="80"/>
      <c r="C1066" s="80"/>
      <c r="D1066" s="80"/>
      <c r="E1066" s="124"/>
      <c r="F1066" s="80"/>
      <c r="G1066" s="80"/>
      <c r="H1066" s="80"/>
      <c r="I1066" s="80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09"/>
      <c r="V1066" s="109"/>
      <c r="W1066" s="109"/>
      <c r="X1066" s="109"/>
      <c r="Y1066" s="109"/>
      <c r="Z1066" s="109"/>
      <c r="AA1066" s="109"/>
      <c r="AB1066" s="109"/>
      <c r="AC1066" s="109"/>
      <c r="AD1066" s="109"/>
      <c r="AE1066" s="109"/>
      <c r="AF1066" s="109"/>
      <c r="AG1066" s="109"/>
      <c r="AH1066" s="109"/>
      <c r="AI1066" s="109"/>
      <c r="AJ1066" s="115"/>
      <c r="AK1066" s="80"/>
      <c r="AL1066" s="80"/>
      <c r="AM1066" s="80"/>
      <c r="AN1066" s="80"/>
      <c r="AO1066" s="80"/>
      <c r="AP1066" s="80"/>
      <c r="AQ1066" s="80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3"/>
      <c r="BG1066" s="73"/>
      <c r="BH1066" s="73"/>
      <c r="BI1066" s="73"/>
      <c r="BJ1066" s="73"/>
      <c r="BK1066" s="73"/>
      <c r="BL1066" s="73"/>
      <c r="BM1066" s="73"/>
      <c r="BN1066" s="73"/>
      <c r="BO1066" s="73"/>
      <c r="BP1066" s="73"/>
      <c r="BQ1066" s="73"/>
      <c r="BR1066" s="73"/>
      <c r="BS1066" s="73"/>
      <c r="BT1066" s="73"/>
      <c r="BU1066" s="73"/>
      <c r="BV1066" s="73"/>
      <c r="BW1066" s="73"/>
      <c r="BX1066" s="73"/>
      <c r="BY1066" s="73"/>
      <c r="BZ1066" s="73"/>
      <c r="CA1066" s="73"/>
      <c r="CB1066" s="73"/>
      <c r="CC1066" s="73"/>
      <c r="CD1066" s="73"/>
      <c r="CE1066" s="73"/>
      <c r="CF1066" s="73"/>
      <c r="CG1066" s="73"/>
      <c r="CH1066" s="73"/>
    </row>
    <row r="1067">
      <c r="A1067" s="80"/>
      <c r="B1067" s="80"/>
      <c r="C1067" s="80"/>
      <c r="D1067" s="80"/>
      <c r="E1067" s="124"/>
      <c r="F1067" s="80"/>
      <c r="G1067" s="80"/>
      <c r="H1067" s="80"/>
      <c r="I1067" s="80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09"/>
      <c r="V1067" s="109"/>
      <c r="W1067" s="109"/>
      <c r="X1067" s="109"/>
      <c r="Y1067" s="109"/>
      <c r="Z1067" s="109"/>
      <c r="AA1067" s="109"/>
      <c r="AB1067" s="109"/>
      <c r="AC1067" s="109"/>
      <c r="AD1067" s="109"/>
      <c r="AE1067" s="109"/>
      <c r="AF1067" s="109"/>
      <c r="AG1067" s="109"/>
      <c r="AH1067" s="109"/>
      <c r="AI1067" s="109"/>
      <c r="AJ1067" s="115"/>
      <c r="AK1067" s="80"/>
      <c r="AL1067" s="80"/>
      <c r="AM1067" s="80"/>
      <c r="AN1067" s="80"/>
      <c r="AO1067" s="80"/>
      <c r="AP1067" s="80"/>
      <c r="AQ1067" s="80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3"/>
      <c r="BG1067" s="73"/>
      <c r="BH1067" s="73"/>
      <c r="BI1067" s="73"/>
      <c r="BJ1067" s="73"/>
      <c r="BK1067" s="73"/>
      <c r="BL1067" s="73"/>
      <c r="BM1067" s="73"/>
      <c r="BN1067" s="73"/>
      <c r="BO1067" s="73"/>
      <c r="BP1067" s="73"/>
      <c r="BQ1067" s="73"/>
      <c r="BR1067" s="73"/>
      <c r="BS1067" s="73"/>
      <c r="BT1067" s="73"/>
      <c r="BU1067" s="73"/>
      <c r="BV1067" s="73"/>
      <c r="BW1067" s="73"/>
      <c r="BX1067" s="73"/>
      <c r="BY1067" s="73"/>
      <c r="BZ1067" s="73"/>
      <c r="CA1067" s="73"/>
      <c r="CB1067" s="73"/>
      <c r="CC1067" s="73"/>
      <c r="CD1067" s="73"/>
      <c r="CE1067" s="73"/>
      <c r="CF1067" s="73"/>
      <c r="CG1067" s="73"/>
      <c r="CH1067" s="73"/>
    </row>
    <row r="1068">
      <c r="A1068" s="80"/>
      <c r="B1068" s="80"/>
      <c r="C1068" s="80"/>
      <c r="D1068" s="80"/>
      <c r="E1068" s="124"/>
      <c r="F1068" s="80"/>
      <c r="G1068" s="80"/>
      <c r="H1068" s="80"/>
      <c r="I1068" s="80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09"/>
      <c r="V1068" s="109"/>
      <c r="W1068" s="109"/>
      <c r="X1068" s="109"/>
      <c r="Y1068" s="109"/>
      <c r="Z1068" s="109"/>
      <c r="AA1068" s="109"/>
      <c r="AB1068" s="109"/>
      <c r="AC1068" s="109"/>
      <c r="AD1068" s="109"/>
      <c r="AE1068" s="109"/>
      <c r="AF1068" s="109"/>
      <c r="AG1068" s="109"/>
      <c r="AH1068" s="109"/>
      <c r="AI1068" s="109"/>
      <c r="AJ1068" s="115"/>
      <c r="AK1068" s="80"/>
      <c r="AL1068" s="80"/>
      <c r="AM1068" s="80"/>
      <c r="AN1068" s="80"/>
      <c r="AO1068" s="80"/>
      <c r="AP1068" s="80"/>
      <c r="AQ1068" s="80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3"/>
      <c r="BG1068" s="73"/>
      <c r="BH1068" s="73"/>
      <c r="BI1068" s="73"/>
      <c r="BJ1068" s="73"/>
      <c r="BK1068" s="73"/>
      <c r="BL1068" s="73"/>
      <c r="BM1068" s="73"/>
      <c r="BN1068" s="73"/>
      <c r="BO1068" s="73"/>
      <c r="BP1068" s="73"/>
      <c r="BQ1068" s="73"/>
      <c r="BR1068" s="73"/>
      <c r="BS1068" s="73"/>
      <c r="BT1068" s="73"/>
      <c r="BU1068" s="73"/>
      <c r="BV1068" s="73"/>
      <c r="BW1068" s="73"/>
      <c r="BX1068" s="73"/>
      <c r="BY1068" s="73"/>
      <c r="BZ1068" s="73"/>
      <c r="CA1068" s="73"/>
      <c r="CB1068" s="73"/>
      <c r="CC1068" s="73"/>
      <c r="CD1068" s="73"/>
      <c r="CE1068" s="73"/>
      <c r="CF1068" s="73"/>
      <c r="CG1068" s="73"/>
      <c r="CH1068" s="73"/>
    </row>
    <row r="1069">
      <c r="A1069" s="80"/>
      <c r="B1069" s="80"/>
      <c r="C1069" s="80"/>
      <c r="D1069" s="80"/>
      <c r="E1069" s="124"/>
      <c r="F1069" s="80"/>
      <c r="G1069" s="80"/>
      <c r="H1069" s="80"/>
      <c r="I1069" s="80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09"/>
      <c r="V1069" s="109"/>
      <c r="W1069" s="109"/>
      <c r="X1069" s="109"/>
      <c r="Y1069" s="109"/>
      <c r="Z1069" s="109"/>
      <c r="AA1069" s="109"/>
      <c r="AB1069" s="109"/>
      <c r="AC1069" s="109"/>
      <c r="AD1069" s="109"/>
      <c r="AE1069" s="109"/>
      <c r="AF1069" s="109"/>
      <c r="AG1069" s="109"/>
      <c r="AH1069" s="109"/>
      <c r="AI1069" s="109"/>
      <c r="AJ1069" s="115"/>
      <c r="AK1069" s="80"/>
      <c r="AL1069" s="80"/>
      <c r="AM1069" s="80"/>
      <c r="AN1069" s="80"/>
      <c r="AO1069" s="80"/>
      <c r="AP1069" s="80"/>
      <c r="AQ1069" s="80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3"/>
      <c r="BG1069" s="73"/>
      <c r="BH1069" s="73"/>
      <c r="BI1069" s="73"/>
      <c r="BJ1069" s="73"/>
      <c r="BK1069" s="73"/>
      <c r="BL1069" s="73"/>
      <c r="BM1069" s="73"/>
      <c r="BN1069" s="73"/>
      <c r="BO1069" s="73"/>
      <c r="BP1069" s="73"/>
      <c r="BQ1069" s="73"/>
      <c r="BR1069" s="73"/>
      <c r="BS1069" s="73"/>
      <c r="BT1069" s="73"/>
      <c r="BU1069" s="73"/>
      <c r="BV1069" s="73"/>
      <c r="BW1069" s="73"/>
      <c r="BX1069" s="73"/>
      <c r="BY1069" s="73"/>
      <c r="BZ1069" s="73"/>
      <c r="CA1069" s="73"/>
      <c r="CB1069" s="73"/>
      <c r="CC1069" s="73"/>
      <c r="CD1069" s="73"/>
      <c r="CE1069" s="73"/>
      <c r="CF1069" s="73"/>
      <c r="CG1069" s="73"/>
      <c r="CH1069" s="73"/>
    </row>
    <row r="1070">
      <c r="A1070" s="80"/>
      <c r="B1070" s="80"/>
      <c r="C1070" s="80"/>
      <c r="D1070" s="80"/>
      <c r="E1070" s="124"/>
      <c r="F1070" s="80"/>
      <c r="G1070" s="80"/>
      <c r="H1070" s="80"/>
      <c r="I1070" s="80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09"/>
      <c r="V1070" s="109"/>
      <c r="W1070" s="109"/>
      <c r="X1070" s="109"/>
      <c r="Y1070" s="109"/>
      <c r="Z1070" s="109"/>
      <c r="AA1070" s="109"/>
      <c r="AB1070" s="109"/>
      <c r="AC1070" s="109"/>
      <c r="AD1070" s="109"/>
      <c r="AE1070" s="109"/>
      <c r="AF1070" s="109"/>
      <c r="AG1070" s="109"/>
      <c r="AH1070" s="109"/>
      <c r="AI1070" s="109"/>
      <c r="AJ1070" s="115"/>
      <c r="AK1070" s="80"/>
      <c r="AL1070" s="80"/>
      <c r="AM1070" s="80"/>
      <c r="AN1070" s="80"/>
      <c r="AO1070" s="80"/>
      <c r="AP1070" s="80"/>
      <c r="AQ1070" s="80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3"/>
      <c r="BG1070" s="73"/>
      <c r="BH1070" s="73"/>
      <c r="BI1070" s="73"/>
      <c r="BJ1070" s="73"/>
      <c r="BK1070" s="73"/>
      <c r="BL1070" s="73"/>
      <c r="BM1070" s="73"/>
      <c r="BN1070" s="73"/>
      <c r="BO1070" s="73"/>
      <c r="BP1070" s="73"/>
      <c r="BQ1070" s="73"/>
      <c r="BR1070" s="73"/>
      <c r="BS1070" s="73"/>
      <c r="BT1070" s="73"/>
      <c r="BU1070" s="73"/>
      <c r="BV1070" s="73"/>
      <c r="BW1070" s="73"/>
      <c r="BX1070" s="73"/>
      <c r="BY1070" s="73"/>
      <c r="BZ1070" s="73"/>
      <c r="CA1070" s="73"/>
      <c r="CB1070" s="73"/>
      <c r="CC1070" s="73"/>
      <c r="CD1070" s="73"/>
      <c r="CE1070" s="73"/>
      <c r="CF1070" s="73"/>
      <c r="CG1070" s="73"/>
      <c r="CH1070" s="73"/>
    </row>
    <row r="1071">
      <c r="A1071" s="80"/>
      <c r="B1071" s="80"/>
      <c r="C1071" s="80"/>
      <c r="D1071" s="80"/>
      <c r="E1071" s="124"/>
      <c r="F1071" s="80"/>
      <c r="G1071" s="80"/>
      <c r="H1071" s="80"/>
      <c r="I1071" s="80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09"/>
      <c r="V1071" s="109"/>
      <c r="W1071" s="109"/>
      <c r="X1071" s="109"/>
      <c r="Y1071" s="109"/>
      <c r="Z1071" s="109"/>
      <c r="AA1071" s="109"/>
      <c r="AB1071" s="109"/>
      <c r="AC1071" s="109"/>
      <c r="AD1071" s="109"/>
      <c r="AE1071" s="109"/>
      <c r="AF1071" s="109"/>
      <c r="AG1071" s="109"/>
      <c r="AH1071" s="109"/>
      <c r="AI1071" s="109"/>
      <c r="AJ1071" s="115"/>
      <c r="AK1071" s="80"/>
      <c r="AL1071" s="80"/>
      <c r="AM1071" s="80"/>
      <c r="AN1071" s="80"/>
      <c r="AO1071" s="80"/>
      <c r="AP1071" s="80"/>
      <c r="AQ1071" s="80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3"/>
      <c r="BG1071" s="73"/>
      <c r="BH1071" s="73"/>
      <c r="BI1071" s="73"/>
      <c r="BJ1071" s="73"/>
      <c r="BK1071" s="73"/>
      <c r="BL1071" s="73"/>
      <c r="BM1071" s="73"/>
      <c r="BN1071" s="73"/>
      <c r="BO1071" s="73"/>
      <c r="BP1071" s="73"/>
      <c r="BQ1071" s="73"/>
      <c r="BR1071" s="73"/>
      <c r="BS1071" s="73"/>
      <c r="BT1071" s="73"/>
      <c r="BU1071" s="73"/>
      <c r="BV1071" s="73"/>
      <c r="BW1071" s="73"/>
      <c r="BX1071" s="73"/>
      <c r="BY1071" s="73"/>
      <c r="BZ1071" s="73"/>
      <c r="CA1071" s="73"/>
      <c r="CB1071" s="73"/>
      <c r="CC1071" s="73"/>
      <c r="CD1071" s="73"/>
      <c r="CE1071" s="73"/>
      <c r="CF1071" s="73"/>
      <c r="CG1071" s="73"/>
      <c r="CH1071" s="73"/>
    </row>
    <row r="1072">
      <c r="A1072" s="80"/>
      <c r="B1072" s="80"/>
      <c r="C1072" s="80"/>
      <c r="D1072" s="80"/>
      <c r="E1072" s="124"/>
      <c r="F1072" s="80"/>
      <c r="G1072" s="80"/>
      <c r="H1072" s="80"/>
      <c r="I1072" s="80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09"/>
      <c r="V1072" s="109"/>
      <c r="W1072" s="109"/>
      <c r="X1072" s="109"/>
      <c r="Y1072" s="109"/>
      <c r="Z1072" s="109"/>
      <c r="AA1072" s="109"/>
      <c r="AB1072" s="109"/>
      <c r="AC1072" s="109"/>
      <c r="AD1072" s="109"/>
      <c r="AE1072" s="109"/>
      <c r="AF1072" s="109"/>
      <c r="AG1072" s="109"/>
      <c r="AH1072" s="109"/>
      <c r="AI1072" s="109"/>
      <c r="AJ1072" s="115"/>
      <c r="AK1072" s="80"/>
      <c r="AL1072" s="80"/>
      <c r="AM1072" s="80"/>
      <c r="AN1072" s="80"/>
      <c r="AO1072" s="80"/>
      <c r="AP1072" s="80"/>
      <c r="AQ1072" s="80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3"/>
      <c r="BG1072" s="73"/>
      <c r="BH1072" s="73"/>
      <c r="BI1072" s="73"/>
      <c r="BJ1072" s="73"/>
      <c r="BK1072" s="73"/>
      <c r="BL1072" s="73"/>
      <c r="BM1072" s="73"/>
      <c r="BN1072" s="73"/>
      <c r="BO1072" s="73"/>
      <c r="BP1072" s="73"/>
      <c r="BQ1072" s="73"/>
      <c r="BR1072" s="73"/>
      <c r="BS1072" s="73"/>
      <c r="BT1072" s="73"/>
      <c r="BU1072" s="73"/>
      <c r="BV1072" s="73"/>
      <c r="BW1072" s="73"/>
      <c r="BX1072" s="73"/>
      <c r="BY1072" s="73"/>
      <c r="BZ1072" s="73"/>
      <c r="CA1072" s="73"/>
      <c r="CB1072" s="73"/>
      <c r="CC1072" s="73"/>
      <c r="CD1072" s="73"/>
      <c r="CE1072" s="73"/>
      <c r="CF1072" s="73"/>
      <c r="CG1072" s="73"/>
      <c r="CH1072" s="73"/>
    </row>
    <row r="1073">
      <c r="A1073" s="80"/>
      <c r="B1073" s="80"/>
      <c r="C1073" s="80"/>
      <c r="D1073" s="80"/>
      <c r="E1073" s="124"/>
      <c r="F1073" s="80"/>
      <c r="G1073" s="80"/>
      <c r="H1073" s="80"/>
      <c r="I1073" s="80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09"/>
      <c r="V1073" s="109"/>
      <c r="W1073" s="109"/>
      <c r="X1073" s="109"/>
      <c r="Y1073" s="109"/>
      <c r="Z1073" s="109"/>
      <c r="AA1073" s="109"/>
      <c r="AB1073" s="109"/>
      <c r="AC1073" s="109"/>
      <c r="AD1073" s="109"/>
      <c r="AE1073" s="109"/>
      <c r="AF1073" s="109"/>
      <c r="AG1073" s="109"/>
      <c r="AH1073" s="109"/>
      <c r="AI1073" s="109"/>
      <c r="AJ1073" s="115"/>
      <c r="AK1073" s="80"/>
      <c r="AL1073" s="80"/>
      <c r="AM1073" s="80"/>
      <c r="AN1073" s="80"/>
      <c r="AO1073" s="80"/>
      <c r="AP1073" s="80"/>
      <c r="AQ1073" s="80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3"/>
      <c r="BG1073" s="73"/>
      <c r="BH1073" s="73"/>
      <c r="BI1073" s="73"/>
      <c r="BJ1073" s="73"/>
      <c r="BK1073" s="73"/>
      <c r="BL1073" s="73"/>
      <c r="BM1073" s="73"/>
      <c r="BN1073" s="73"/>
      <c r="BO1073" s="73"/>
      <c r="BP1073" s="73"/>
      <c r="BQ1073" s="73"/>
      <c r="BR1073" s="73"/>
      <c r="BS1073" s="73"/>
      <c r="BT1073" s="73"/>
      <c r="BU1073" s="73"/>
      <c r="BV1073" s="73"/>
      <c r="BW1073" s="73"/>
      <c r="BX1073" s="73"/>
      <c r="BY1073" s="73"/>
      <c r="BZ1073" s="73"/>
      <c r="CA1073" s="73"/>
      <c r="CB1073" s="73"/>
      <c r="CC1073" s="73"/>
      <c r="CD1073" s="73"/>
      <c r="CE1073" s="73"/>
      <c r="CF1073" s="73"/>
      <c r="CG1073" s="73"/>
      <c r="CH1073" s="73"/>
    </row>
    <row r="1074">
      <c r="A1074" s="80"/>
      <c r="B1074" s="80"/>
      <c r="C1074" s="80"/>
      <c r="D1074" s="80"/>
      <c r="E1074" s="124"/>
      <c r="F1074" s="80"/>
      <c r="G1074" s="80"/>
      <c r="H1074" s="80"/>
      <c r="I1074" s="80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09"/>
      <c r="V1074" s="109"/>
      <c r="W1074" s="109"/>
      <c r="X1074" s="109"/>
      <c r="Y1074" s="109"/>
      <c r="Z1074" s="109"/>
      <c r="AA1074" s="109"/>
      <c r="AB1074" s="109"/>
      <c r="AC1074" s="109"/>
      <c r="AD1074" s="109"/>
      <c r="AE1074" s="109"/>
      <c r="AF1074" s="109"/>
      <c r="AG1074" s="109"/>
      <c r="AH1074" s="109"/>
      <c r="AI1074" s="109"/>
      <c r="AJ1074" s="115"/>
      <c r="AK1074" s="80"/>
      <c r="AL1074" s="80"/>
      <c r="AM1074" s="80"/>
      <c r="AN1074" s="80"/>
      <c r="AO1074" s="80"/>
      <c r="AP1074" s="80"/>
      <c r="AQ1074" s="80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3"/>
      <c r="BG1074" s="73"/>
      <c r="BH1074" s="73"/>
      <c r="BI1074" s="73"/>
      <c r="BJ1074" s="73"/>
      <c r="BK1074" s="73"/>
      <c r="BL1074" s="73"/>
      <c r="BM1074" s="73"/>
      <c r="BN1074" s="73"/>
      <c r="BO1074" s="73"/>
      <c r="BP1074" s="73"/>
      <c r="BQ1074" s="73"/>
      <c r="BR1074" s="73"/>
      <c r="BS1074" s="73"/>
      <c r="BT1074" s="73"/>
      <c r="BU1074" s="73"/>
      <c r="BV1074" s="73"/>
      <c r="BW1074" s="73"/>
      <c r="BX1074" s="73"/>
      <c r="BY1074" s="73"/>
      <c r="BZ1074" s="73"/>
      <c r="CA1074" s="73"/>
      <c r="CB1074" s="73"/>
      <c r="CC1074" s="73"/>
      <c r="CD1074" s="73"/>
      <c r="CE1074" s="73"/>
      <c r="CF1074" s="73"/>
      <c r="CG1074" s="73"/>
      <c r="CH1074" s="73"/>
    </row>
    <row r="1075">
      <c r="A1075" s="80"/>
      <c r="B1075" s="80"/>
      <c r="C1075" s="80"/>
      <c r="D1075" s="80"/>
      <c r="E1075" s="124"/>
      <c r="F1075" s="80"/>
      <c r="G1075" s="80"/>
      <c r="H1075" s="80"/>
      <c r="I1075" s="80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09"/>
      <c r="V1075" s="109"/>
      <c r="W1075" s="109"/>
      <c r="X1075" s="109"/>
      <c r="Y1075" s="109"/>
      <c r="Z1075" s="109"/>
      <c r="AA1075" s="109"/>
      <c r="AB1075" s="109"/>
      <c r="AC1075" s="109"/>
      <c r="AD1075" s="109"/>
      <c r="AE1075" s="109"/>
      <c r="AF1075" s="109"/>
      <c r="AG1075" s="109"/>
      <c r="AH1075" s="109"/>
      <c r="AI1075" s="109"/>
      <c r="AJ1075" s="115"/>
      <c r="AK1075" s="80"/>
      <c r="AL1075" s="80"/>
      <c r="AM1075" s="80"/>
      <c r="AN1075" s="80"/>
      <c r="AO1075" s="80"/>
      <c r="AP1075" s="80"/>
      <c r="AQ1075" s="80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3"/>
      <c r="BG1075" s="73"/>
      <c r="BH1075" s="73"/>
      <c r="BI1075" s="73"/>
      <c r="BJ1075" s="73"/>
      <c r="BK1075" s="73"/>
      <c r="BL1075" s="73"/>
      <c r="BM1075" s="73"/>
      <c r="BN1075" s="73"/>
      <c r="BO1075" s="73"/>
      <c r="BP1075" s="73"/>
      <c r="BQ1075" s="73"/>
      <c r="BR1075" s="73"/>
      <c r="BS1075" s="73"/>
      <c r="BT1075" s="73"/>
      <c r="BU1075" s="73"/>
      <c r="BV1075" s="73"/>
      <c r="BW1075" s="73"/>
      <c r="BX1075" s="73"/>
      <c r="BY1075" s="73"/>
      <c r="BZ1075" s="73"/>
      <c r="CA1075" s="73"/>
      <c r="CB1075" s="73"/>
      <c r="CC1075" s="73"/>
      <c r="CD1075" s="73"/>
      <c r="CE1075" s="73"/>
      <c r="CF1075" s="73"/>
      <c r="CG1075" s="73"/>
      <c r="CH1075" s="73"/>
    </row>
    <row r="1076">
      <c r="A1076" s="80"/>
      <c r="B1076" s="80"/>
      <c r="C1076" s="80"/>
      <c r="D1076" s="80"/>
      <c r="E1076" s="124"/>
      <c r="F1076" s="80"/>
      <c r="G1076" s="80"/>
      <c r="H1076" s="80"/>
      <c r="I1076" s="80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09"/>
      <c r="V1076" s="109"/>
      <c r="W1076" s="109"/>
      <c r="X1076" s="109"/>
      <c r="Y1076" s="109"/>
      <c r="Z1076" s="109"/>
      <c r="AA1076" s="109"/>
      <c r="AB1076" s="109"/>
      <c r="AC1076" s="109"/>
      <c r="AD1076" s="109"/>
      <c r="AE1076" s="109"/>
      <c r="AF1076" s="109"/>
      <c r="AG1076" s="109"/>
      <c r="AH1076" s="109"/>
      <c r="AI1076" s="109"/>
      <c r="AJ1076" s="115"/>
      <c r="AK1076" s="80"/>
      <c r="AL1076" s="80"/>
      <c r="AM1076" s="80"/>
      <c r="AN1076" s="80"/>
      <c r="AO1076" s="80"/>
      <c r="AP1076" s="80"/>
      <c r="AQ1076" s="80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3"/>
      <c r="BG1076" s="73"/>
      <c r="BH1076" s="73"/>
      <c r="BI1076" s="73"/>
      <c r="BJ1076" s="73"/>
      <c r="BK1076" s="73"/>
      <c r="BL1076" s="73"/>
      <c r="BM1076" s="73"/>
      <c r="BN1076" s="73"/>
      <c r="BO1076" s="73"/>
      <c r="BP1076" s="73"/>
      <c r="BQ1076" s="73"/>
      <c r="BR1076" s="73"/>
      <c r="BS1076" s="73"/>
      <c r="BT1076" s="73"/>
      <c r="BU1076" s="73"/>
      <c r="BV1076" s="73"/>
      <c r="BW1076" s="73"/>
      <c r="BX1076" s="73"/>
      <c r="BY1076" s="73"/>
      <c r="BZ1076" s="73"/>
      <c r="CA1076" s="73"/>
      <c r="CB1076" s="73"/>
      <c r="CC1076" s="73"/>
      <c r="CD1076" s="73"/>
      <c r="CE1076" s="73"/>
      <c r="CF1076" s="73"/>
      <c r="CG1076" s="73"/>
      <c r="CH1076" s="73"/>
    </row>
    <row r="1077">
      <c r="A1077" s="80"/>
      <c r="B1077" s="80"/>
      <c r="C1077" s="80"/>
      <c r="D1077" s="80"/>
      <c r="E1077" s="124"/>
      <c r="F1077" s="80"/>
      <c r="G1077" s="80"/>
      <c r="H1077" s="80"/>
      <c r="I1077" s="80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09"/>
      <c r="V1077" s="109"/>
      <c r="W1077" s="109"/>
      <c r="X1077" s="109"/>
      <c r="Y1077" s="109"/>
      <c r="Z1077" s="109"/>
      <c r="AA1077" s="109"/>
      <c r="AB1077" s="109"/>
      <c r="AC1077" s="109"/>
      <c r="AD1077" s="109"/>
      <c r="AE1077" s="109"/>
      <c r="AF1077" s="109"/>
      <c r="AG1077" s="109"/>
      <c r="AH1077" s="109"/>
      <c r="AI1077" s="109"/>
      <c r="AJ1077" s="115"/>
      <c r="AK1077" s="80"/>
      <c r="AL1077" s="80"/>
      <c r="AM1077" s="80"/>
      <c r="AN1077" s="80"/>
      <c r="AO1077" s="80"/>
      <c r="AP1077" s="80"/>
      <c r="AQ1077" s="80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3"/>
      <c r="BG1077" s="73"/>
      <c r="BH1077" s="73"/>
      <c r="BI1077" s="73"/>
      <c r="BJ1077" s="73"/>
      <c r="BK1077" s="73"/>
      <c r="BL1077" s="73"/>
      <c r="BM1077" s="73"/>
      <c r="BN1077" s="73"/>
      <c r="BO1077" s="73"/>
      <c r="BP1077" s="73"/>
      <c r="BQ1077" s="73"/>
      <c r="BR1077" s="73"/>
      <c r="BS1077" s="73"/>
      <c r="BT1077" s="73"/>
      <c r="BU1077" s="73"/>
      <c r="BV1077" s="73"/>
      <c r="BW1077" s="73"/>
      <c r="BX1077" s="73"/>
      <c r="BY1077" s="73"/>
      <c r="BZ1077" s="73"/>
      <c r="CA1077" s="73"/>
      <c r="CB1077" s="73"/>
      <c r="CC1077" s="73"/>
      <c r="CD1077" s="73"/>
      <c r="CE1077" s="73"/>
      <c r="CF1077" s="73"/>
      <c r="CG1077" s="73"/>
      <c r="CH1077" s="73"/>
    </row>
    <row r="1078">
      <c r="A1078" s="80"/>
      <c r="B1078" s="80"/>
      <c r="C1078" s="80"/>
      <c r="D1078" s="80"/>
      <c r="E1078" s="124"/>
      <c r="F1078" s="80"/>
      <c r="G1078" s="80"/>
      <c r="H1078" s="80"/>
      <c r="I1078" s="80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09"/>
      <c r="V1078" s="109"/>
      <c r="W1078" s="109"/>
      <c r="X1078" s="109"/>
      <c r="Y1078" s="109"/>
      <c r="Z1078" s="109"/>
      <c r="AA1078" s="109"/>
      <c r="AB1078" s="109"/>
      <c r="AC1078" s="109"/>
      <c r="AD1078" s="109"/>
      <c r="AE1078" s="109"/>
      <c r="AF1078" s="109"/>
      <c r="AG1078" s="109"/>
      <c r="AH1078" s="109"/>
      <c r="AI1078" s="109"/>
      <c r="AJ1078" s="115"/>
      <c r="AK1078" s="80"/>
      <c r="AL1078" s="80"/>
      <c r="AM1078" s="80"/>
      <c r="AN1078" s="80"/>
      <c r="AO1078" s="80"/>
      <c r="AP1078" s="80"/>
      <c r="AQ1078" s="80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3"/>
      <c r="BG1078" s="73"/>
      <c r="BH1078" s="73"/>
      <c r="BI1078" s="73"/>
      <c r="BJ1078" s="73"/>
      <c r="BK1078" s="73"/>
      <c r="BL1078" s="73"/>
      <c r="BM1078" s="73"/>
      <c r="BN1078" s="73"/>
      <c r="BO1078" s="73"/>
      <c r="BP1078" s="73"/>
      <c r="BQ1078" s="73"/>
      <c r="BR1078" s="73"/>
      <c r="BS1078" s="73"/>
      <c r="BT1078" s="73"/>
      <c r="BU1078" s="73"/>
      <c r="BV1078" s="73"/>
      <c r="BW1078" s="73"/>
      <c r="BX1078" s="73"/>
      <c r="BY1078" s="73"/>
      <c r="BZ1078" s="73"/>
      <c r="CA1078" s="73"/>
      <c r="CB1078" s="73"/>
      <c r="CC1078" s="73"/>
      <c r="CD1078" s="73"/>
      <c r="CE1078" s="73"/>
      <c r="CF1078" s="73"/>
      <c r="CG1078" s="73"/>
      <c r="CH1078" s="73"/>
    </row>
    <row r="1079">
      <c r="A1079" s="80"/>
      <c r="B1079" s="80"/>
      <c r="C1079" s="80"/>
      <c r="D1079" s="80"/>
      <c r="E1079" s="124"/>
      <c r="F1079" s="80"/>
      <c r="G1079" s="80"/>
      <c r="H1079" s="80"/>
      <c r="I1079" s="80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09"/>
      <c r="V1079" s="109"/>
      <c r="W1079" s="109"/>
      <c r="X1079" s="109"/>
      <c r="Y1079" s="109"/>
      <c r="Z1079" s="109"/>
      <c r="AA1079" s="109"/>
      <c r="AB1079" s="109"/>
      <c r="AC1079" s="109"/>
      <c r="AD1079" s="109"/>
      <c r="AE1079" s="109"/>
      <c r="AF1079" s="109"/>
      <c r="AG1079" s="109"/>
      <c r="AH1079" s="109"/>
      <c r="AI1079" s="109"/>
      <c r="AJ1079" s="115"/>
      <c r="AK1079" s="80"/>
      <c r="AL1079" s="80"/>
      <c r="AM1079" s="80"/>
      <c r="AN1079" s="80"/>
      <c r="AO1079" s="80"/>
      <c r="AP1079" s="80"/>
      <c r="AQ1079" s="80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3"/>
      <c r="BG1079" s="73"/>
      <c r="BH1079" s="73"/>
      <c r="BI1079" s="73"/>
      <c r="BJ1079" s="73"/>
      <c r="BK1079" s="73"/>
      <c r="BL1079" s="73"/>
      <c r="BM1079" s="73"/>
      <c r="BN1079" s="73"/>
      <c r="BO1079" s="73"/>
      <c r="BP1079" s="73"/>
      <c r="BQ1079" s="73"/>
      <c r="BR1079" s="73"/>
      <c r="BS1079" s="73"/>
      <c r="BT1079" s="73"/>
      <c r="BU1079" s="73"/>
      <c r="BV1079" s="73"/>
      <c r="BW1079" s="73"/>
      <c r="BX1079" s="73"/>
      <c r="BY1079" s="73"/>
      <c r="BZ1079" s="73"/>
      <c r="CA1079" s="73"/>
      <c r="CB1079" s="73"/>
      <c r="CC1079" s="73"/>
      <c r="CD1079" s="73"/>
      <c r="CE1079" s="73"/>
      <c r="CF1079" s="73"/>
      <c r="CG1079" s="73"/>
      <c r="CH1079" s="73"/>
    </row>
    <row r="1080">
      <c r="A1080" s="80"/>
      <c r="B1080" s="80"/>
      <c r="C1080" s="80"/>
      <c r="D1080" s="80"/>
      <c r="E1080" s="124"/>
      <c r="F1080" s="80"/>
      <c r="G1080" s="80"/>
      <c r="H1080" s="80"/>
      <c r="I1080" s="80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09"/>
      <c r="V1080" s="109"/>
      <c r="W1080" s="109"/>
      <c r="X1080" s="109"/>
      <c r="Y1080" s="109"/>
      <c r="Z1080" s="109"/>
      <c r="AA1080" s="109"/>
      <c r="AB1080" s="109"/>
      <c r="AC1080" s="109"/>
      <c r="AD1080" s="109"/>
      <c r="AE1080" s="109"/>
      <c r="AF1080" s="109"/>
      <c r="AG1080" s="109"/>
      <c r="AH1080" s="109"/>
      <c r="AI1080" s="109"/>
      <c r="AJ1080" s="115"/>
      <c r="AK1080" s="80"/>
      <c r="AL1080" s="80"/>
      <c r="AM1080" s="80"/>
      <c r="AN1080" s="80"/>
      <c r="AO1080" s="80"/>
      <c r="AP1080" s="80"/>
      <c r="AQ1080" s="80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3"/>
      <c r="BG1080" s="73"/>
      <c r="BH1080" s="73"/>
      <c r="BI1080" s="73"/>
      <c r="BJ1080" s="73"/>
      <c r="BK1080" s="73"/>
      <c r="BL1080" s="73"/>
      <c r="BM1080" s="73"/>
      <c r="BN1080" s="73"/>
      <c r="BO1080" s="73"/>
      <c r="BP1080" s="73"/>
      <c r="BQ1080" s="73"/>
      <c r="BR1080" s="73"/>
      <c r="BS1080" s="73"/>
      <c r="BT1080" s="73"/>
      <c r="BU1080" s="73"/>
      <c r="BV1080" s="73"/>
      <c r="BW1080" s="73"/>
      <c r="BX1080" s="73"/>
      <c r="BY1080" s="73"/>
      <c r="BZ1080" s="73"/>
      <c r="CA1080" s="73"/>
      <c r="CB1080" s="73"/>
      <c r="CC1080" s="73"/>
      <c r="CD1080" s="73"/>
      <c r="CE1080" s="73"/>
      <c r="CF1080" s="73"/>
      <c r="CG1080" s="73"/>
      <c r="CH1080" s="73"/>
    </row>
    <row r="1081">
      <c r="A1081" s="80"/>
      <c r="B1081" s="80"/>
      <c r="C1081" s="80"/>
      <c r="D1081" s="80"/>
      <c r="E1081" s="124"/>
      <c r="F1081" s="80"/>
      <c r="G1081" s="80"/>
      <c r="H1081" s="80"/>
      <c r="I1081" s="80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09"/>
      <c r="V1081" s="109"/>
      <c r="W1081" s="109"/>
      <c r="X1081" s="109"/>
      <c r="Y1081" s="109"/>
      <c r="Z1081" s="109"/>
      <c r="AA1081" s="109"/>
      <c r="AB1081" s="109"/>
      <c r="AC1081" s="109"/>
      <c r="AD1081" s="109"/>
      <c r="AE1081" s="109"/>
      <c r="AF1081" s="109"/>
      <c r="AG1081" s="109"/>
      <c r="AH1081" s="109"/>
      <c r="AI1081" s="109"/>
      <c r="AJ1081" s="115"/>
      <c r="AK1081" s="80"/>
      <c r="AL1081" s="80"/>
      <c r="AM1081" s="80"/>
      <c r="AN1081" s="80"/>
      <c r="AO1081" s="80"/>
      <c r="AP1081" s="80"/>
      <c r="AQ1081" s="80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3"/>
      <c r="BG1081" s="73"/>
      <c r="BH1081" s="73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73"/>
      <c r="BY1081" s="73"/>
      <c r="BZ1081" s="73"/>
      <c r="CA1081" s="73"/>
      <c r="CB1081" s="73"/>
      <c r="CC1081" s="73"/>
      <c r="CD1081" s="73"/>
      <c r="CE1081" s="73"/>
      <c r="CF1081" s="73"/>
      <c r="CG1081" s="73"/>
      <c r="CH1081" s="73"/>
    </row>
    <row r="1082">
      <c r="A1082" s="80"/>
      <c r="B1082" s="80"/>
      <c r="C1082" s="80"/>
      <c r="D1082" s="80"/>
      <c r="E1082" s="124"/>
      <c r="F1082" s="80"/>
      <c r="G1082" s="80"/>
      <c r="H1082" s="80"/>
      <c r="I1082" s="80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09"/>
      <c r="V1082" s="109"/>
      <c r="W1082" s="109"/>
      <c r="X1082" s="109"/>
      <c r="Y1082" s="109"/>
      <c r="Z1082" s="109"/>
      <c r="AA1082" s="109"/>
      <c r="AB1082" s="109"/>
      <c r="AC1082" s="109"/>
      <c r="AD1082" s="109"/>
      <c r="AE1082" s="109"/>
      <c r="AF1082" s="109"/>
      <c r="AG1082" s="109"/>
      <c r="AH1082" s="109"/>
      <c r="AI1082" s="109"/>
      <c r="AJ1082" s="115"/>
      <c r="AK1082" s="80"/>
      <c r="AL1082" s="80"/>
      <c r="AM1082" s="80"/>
      <c r="AN1082" s="80"/>
      <c r="AO1082" s="80"/>
      <c r="AP1082" s="80"/>
      <c r="AQ1082" s="80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3"/>
      <c r="BG1082" s="73"/>
      <c r="BH1082" s="73"/>
      <c r="BI1082" s="73"/>
      <c r="BJ1082" s="73"/>
      <c r="BK1082" s="73"/>
      <c r="BL1082" s="73"/>
      <c r="BM1082" s="73"/>
      <c r="BN1082" s="73"/>
      <c r="BO1082" s="73"/>
      <c r="BP1082" s="73"/>
      <c r="BQ1082" s="73"/>
      <c r="BR1082" s="73"/>
      <c r="BS1082" s="73"/>
      <c r="BT1082" s="73"/>
      <c r="BU1082" s="73"/>
      <c r="BV1082" s="73"/>
      <c r="BW1082" s="73"/>
      <c r="BX1082" s="73"/>
      <c r="BY1082" s="73"/>
      <c r="BZ1082" s="73"/>
      <c r="CA1082" s="73"/>
      <c r="CB1082" s="73"/>
      <c r="CC1082" s="73"/>
      <c r="CD1082" s="73"/>
      <c r="CE1082" s="73"/>
      <c r="CF1082" s="73"/>
      <c r="CG1082" s="73"/>
      <c r="CH1082" s="73"/>
    </row>
    <row r="1083">
      <c r="A1083" s="80"/>
      <c r="B1083" s="80"/>
      <c r="C1083" s="80"/>
      <c r="D1083" s="80"/>
      <c r="E1083" s="124"/>
      <c r="F1083" s="80"/>
      <c r="G1083" s="80"/>
      <c r="H1083" s="80"/>
      <c r="I1083" s="80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09"/>
      <c r="V1083" s="109"/>
      <c r="W1083" s="109"/>
      <c r="X1083" s="109"/>
      <c r="Y1083" s="109"/>
      <c r="Z1083" s="109"/>
      <c r="AA1083" s="109"/>
      <c r="AB1083" s="109"/>
      <c r="AC1083" s="109"/>
      <c r="AD1083" s="109"/>
      <c r="AE1083" s="109"/>
      <c r="AF1083" s="109"/>
      <c r="AG1083" s="109"/>
      <c r="AH1083" s="109"/>
      <c r="AI1083" s="109"/>
      <c r="AJ1083" s="115"/>
      <c r="AK1083" s="80"/>
      <c r="AL1083" s="80"/>
      <c r="AM1083" s="80"/>
      <c r="AN1083" s="80"/>
      <c r="AO1083" s="80"/>
      <c r="AP1083" s="80"/>
      <c r="AQ1083" s="80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3"/>
      <c r="BG1083" s="73"/>
      <c r="BH1083" s="73"/>
      <c r="BI1083" s="73"/>
      <c r="BJ1083" s="73"/>
      <c r="BK1083" s="73"/>
      <c r="BL1083" s="73"/>
      <c r="BM1083" s="73"/>
      <c r="BN1083" s="73"/>
      <c r="BO1083" s="73"/>
      <c r="BP1083" s="73"/>
      <c r="BQ1083" s="73"/>
      <c r="BR1083" s="73"/>
      <c r="BS1083" s="73"/>
      <c r="BT1083" s="73"/>
      <c r="BU1083" s="73"/>
      <c r="BV1083" s="73"/>
      <c r="BW1083" s="73"/>
      <c r="BX1083" s="73"/>
      <c r="BY1083" s="73"/>
      <c r="BZ1083" s="73"/>
      <c r="CA1083" s="73"/>
      <c r="CB1083" s="73"/>
      <c r="CC1083" s="73"/>
      <c r="CD1083" s="73"/>
      <c r="CE1083" s="73"/>
      <c r="CF1083" s="73"/>
      <c r="CG1083" s="73"/>
      <c r="CH1083" s="73"/>
    </row>
    <row r="1084">
      <c r="A1084" s="80"/>
      <c r="B1084" s="80"/>
      <c r="C1084" s="80"/>
      <c r="D1084" s="80"/>
      <c r="E1084" s="124"/>
      <c r="F1084" s="80"/>
      <c r="G1084" s="80"/>
      <c r="H1084" s="80"/>
      <c r="I1084" s="80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09"/>
      <c r="V1084" s="109"/>
      <c r="W1084" s="109"/>
      <c r="X1084" s="109"/>
      <c r="Y1084" s="109"/>
      <c r="Z1084" s="109"/>
      <c r="AA1084" s="109"/>
      <c r="AB1084" s="109"/>
      <c r="AC1084" s="109"/>
      <c r="AD1084" s="109"/>
      <c r="AE1084" s="109"/>
      <c r="AF1084" s="109"/>
      <c r="AG1084" s="109"/>
      <c r="AH1084" s="109"/>
      <c r="AI1084" s="109"/>
      <c r="AJ1084" s="115"/>
      <c r="AK1084" s="80"/>
      <c r="AL1084" s="80"/>
      <c r="AM1084" s="80"/>
      <c r="AN1084" s="80"/>
      <c r="AO1084" s="80"/>
      <c r="AP1084" s="80"/>
      <c r="AQ1084" s="80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3"/>
      <c r="BG1084" s="73"/>
      <c r="BH1084" s="73"/>
      <c r="BI1084" s="73"/>
      <c r="BJ1084" s="73"/>
      <c r="BK1084" s="73"/>
      <c r="BL1084" s="73"/>
      <c r="BM1084" s="73"/>
      <c r="BN1084" s="73"/>
      <c r="BO1084" s="73"/>
      <c r="BP1084" s="73"/>
      <c r="BQ1084" s="73"/>
      <c r="BR1084" s="73"/>
      <c r="BS1084" s="73"/>
      <c r="BT1084" s="73"/>
      <c r="BU1084" s="73"/>
      <c r="BV1084" s="73"/>
      <c r="BW1084" s="73"/>
      <c r="BX1084" s="73"/>
      <c r="BY1084" s="73"/>
      <c r="BZ1084" s="73"/>
      <c r="CA1084" s="73"/>
      <c r="CB1084" s="73"/>
      <c r="CC1084" s="73"/>
      <c r="CD1084" s="73"/>
      <c r="CE1084" s="73"/>
      <c r="CF1084" s="73"/>
      <c r="CG1084" s="73"/>
      <c r="CH1084" s="73"/>
    </row>
    <row r="1085">
      <c r="A1085" s="80"/>
      <c r="B1085" s="80"/>
      <c r="C1085" s="80"/>
      <c r="D1085" s="80"/>
      <c r="E1085" s="124"/>
      <c r="F1085" s="80"/>
      <c r="G1085" s="80"/>
      <c r="H1085" s="80"/>
      <c r="I1085" s="80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09"/>
      <c r="V1085" s="109"/>
      <c r="W1085" s="109"/>
      <c r="X1085" s="109"/>
      <c r="Y1085" s="109"/>
      <c r="Z1085" s="109"/>
      <c r="AA1085" s="109"/>
      <c r="AB1085" s="109"/>
      <c r="AC1085" s="109"/>
      <c r="AD1085" s="109"/>
      <c r="AE1085" s="109"/>
      <c r="AF1085" s="109"/>
      <c r="AG1085" s="109"/>
      <c r="AH1085" s="109"/>
      <c r="AI1085" s="109"/>
      <c r="AJ1085" s="115"/>
      <c r="AK1085" s="80"/>
      <c r="AL1085" s="80"/>
      <c r="AM1085" s="80"/>
      <c r="AN1085" s="80"/>
      <c r="AO1085" s="80"/>
      <c r="AP1085" s="80"/>
      <c r="AQ1085" s="80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3"/>
      <c r="BG1085" s="73"/>
      <c r="BH1085" s="73"/>
      <c r="BI1085" s="73"/>
      <c r="BJ1085" s="73"/>
      <c r="BK1085" s="73"/>
      <c r="BL1085" s="73"/>
      <c r="BM1085" s="73"/>
      <c r="BN1085" s="73"/>
      <c r="BO1085" s="73"/>
      <c r="BP1085" s="73"/>
      <c r="BQ1085" s="73"/>
      <c r="BR1085" s="73"/>
      <c r="BS1085" s="73"/>
      <c r="BT1085" s="73"/>
      <c r="BU1085" s="73"/>
      <c r="BV1085" s="73"/>
      <c r="BW1085" s="73"/>
      <c r="BX1085" s="73"/>
      <c r="BY1085" s="73"/>
      <c r="BZ1085" s="73"/>
      <c r="CA1085" s="73"/>
      <c r="CB1085" s="73"/>
      <c r="CC1085" s="73"/>
      <c r="CD1085" s="73"/>
      <c r="CE1085" s="73"/>
      <c r="CF1085" s="73"/>
      <c r="CG1085" s="73"/>
      <c r="CH1085" s="73"/>
    </row>
    <row r="1086">
      <c r="A1086" s="80"/>
      <c r="B1086" s="80"/>
      <c r="C1086" s="80"/>
      <c r="D1086" s="80"/>
      <c r="E1086" s="124"/>
      <c r="F1086" s="80"/>
      <c r="G1086" s="80"/>
      <c r="H1086" s="80"/>
      <c r="I1086" s="80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09"/>
      <c r="V1086" s="109"/>
      <c r="W1086" s="109"/>
      <c r="X1086" s="109"/>
      <c r="Y1086" s="109"/>
      <c r="Z1086" s="109"/>
      <c r="AA1086" s="109"/>
      <c r="AB1086" s="109"/>
      <c r="AC1086" s="109"/>
      <c r="AD1086" s="109"/>
      <c r="AE1086" s="109"/>
      <c r="AF1086" s="109"/>
      <c r="AG1086" s="109"/>
      <c r="AH1086" s="109"/>
      <c r="AI1086" s="109"/>
      <c r="AJ1086" s="115"/>
      <c r="AK1086" s="80"/>
      <c r="AL1086" s="80"/>
      <c r="AM1086" s="80"/>
      <c r="AN1086" s="80"/>
      <c r="AO1086" s="80"/>
      <c r="AP1086" s="80"/>
      <c r="AQ1086" s="80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3"/>
      <c r="BG1086" s="73"/>
      <c r="BH1086" s="73"/>
      <c r="BI1086" s="73"/>
      <c r="BJ1086" s="73"/>
      <c r="BK1086" s="73"/>
      <c r="BL1086" s="73"/>
      <c r="BM1086" s="73"/>
      <c r="BN1086" s="73"/>
      <c r="BO1086" s="73"/>
      <c r="BP1086" s="73"/>
      <c r="BQ1086" s="73"/>
      <c r="BR1086" s="73"/>
      <c r="BS1086" s="73"/>
      <c r="BT1086" s="73"/>
      <c r="BU1086" s="73"/>
      <c r="BV1086" s="73"/>
      <c r="BW1086" s="73"/>
      <c r="BX1086" s="73"/>
      <c r="BY1086" s="73"/>
      <c r="BZ1086" s="73"/>
      <c r="CA1086" s="73"/>
      <c r="CB1086" s="73"/>
      <c r="CC1086" s="73"/>
      <c r="CD1086" s="73"/>
      <c r="CE1086" s="73"/>
      <c r="CF1086" s="73"/>
      <c r="CG1086" s="73"/>
      <c r="CH1086" s="73"/>
    </row>
    <row r="1087">
      <c r="A1087" s="80"/>
      <c r="B1087" s="80"/>
      <c r="C1087" s="80"/>
      <c r="D1087" s="80"/>
      <c r="E1087" s="124"/>
      <c r="F1087" s="80"/>
      <c r="G1087" s="80"/>
      <c r="H1087" s="80"/>
      <c r="I1087" s="80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09"/>
      <c r="V1087" s="109"/>
      <c r="W1087" s="109"/>
      <c r="X1087" s="109"/>
      <c r="Y1087" s="109"/>
      <c r="Z1087" s="109"/>
      <c r="AA1087" s="109"/>
      <c r="AB1087" s="109"/>
      <c r="AC1087" s="109"/>
      <c r="AD1087" s="109"/>
      <c r="AE1087" s="109"/>
      <c r="AF1087" s="109"/>
      <c r="AG1087" s="109"/>
      <c r="AH1087" s="109"/>
      <c r="AI1087" s="109"/>
      <c r="AJ1087" s="115"/>
      <c r="AK1087" s="80"/>
      <c r="AL1087" s="80"/>
      <c r="AM1087" s="80"/>
      <c r="AN1087" s="80"/>
      <c r="AO1087" s="80"/>
      <c r="AP1087" s="80"/>
      <c r="AQ1087" s="80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3"/>
      <c r="BG1087" s="73"/>
      <c r="BH1087" s="73"/>
      <c r="BI1087" s="73"/>
      <c r="BJ1087" s="73"/>
      <c r="BK1087" s="73"/>
      <c r="BL1087" s="73"/>
      <c r="BM1087" s="73"/>
      <c r="BN1087" s="73"/>
      <c r="BO1087" s="73"/>
      <c r="BP1087" s="73"/>
      <c r="BQ1087" s="73"/>
      <c r="BR1087" s="73"/>
      <c r="BS1087" s="73"/>
      <c r="BT1087" s="73"/>
      <c r="BU1087" s="73"/>
      <c r="BV1087" s="73"/>
      <c r="BW1087" s="73"/>
      <c r="BX1087" s="73"/>
      <c r="BY1087" s="73"/>
      <c r="BZ1087" s="73"/>
      <c r="CA1087" s="73"/>
      <c r="CB1087" s="73"/>
      <c r="CC1087" s="73"/>
      <c r="CD1087" s="73"/>
      <c r="CE1087" s="73"/>
      <c r="CF1087" s="73"/>
      <c r="CG1087" s="73"/>
      <c r="CH1087" s="73"/>
    </row>
    <row r="1088">
      <c r="A1088" s="80"/>
      <c r="B1088" s="80"/>
      <c r="C1088" s="80"/>
      <c r="D1088" s="80"/>
      <c r="E1088" s="124"/>
      <c r="F1088" s="80"/>
      <c r="G1088" s="80"/>
      <c r="H1088" s="80"/>
      <c r="I1088" s="80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09"/>
      <c r="V1088" s="109"/>
      <c r="W1088" s="109"/>
      <c r="X1088" s="109"/>
      <c r="Y1088" s="109"/>
      <c r="Z1088" s="109"/>
      <c r="AA1088" s="109"/>
      <c r="AB1088" s="109"/>
      <c r="AC1088" s="109"/>
      <c r="AD1088" s="109"/>
      <c r="AE1088" s="109"/>
      <c r="AF1088" s="109"/>
      <c r="AG1088" s="109"/>
      <c r="AH1088" s="109"/>
      <c r="AI1088" s="109"/>
      <c r="AJ1088" s="115"/>
      <c r="AK1088" s="80"/>
      <c r="AL1088" s="80"/>
      <c r="AM1088" s="80"/>
      <c r="AN1088" s="80"/>
      <c r="AO1088" s="80"/>
      <c r="AP1088" s="80"/>
      <c r="AQ1088" s="80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3"/>
      <c r="BG1088" s="73"/>
      <c r="BH1088" s="73"/>
      <c r="BI1088" s="73"/>
      <c r="BJ1088" s="73"/>
      <c r="BK1088" s="73"/>
      <c r="BL1088" s="73"/>
      <c r="BM1088" s="73"/>
      <c r="BN1088" s="73"/>
      <c r="BO1088" s="73"/>
      <c r="BP1088" s="73"/>
      <c r="BQ1088" s="73"/>
      <c r="BR1088" s="73"/>
      <c r="BS1088" s="73"/>
      <c r="BT1088" s="73"/>
      <c r="BU1088" s="73"/>
      <c r="BV1088" s="73"/>
      <c r="BW1088" s="73"/>
      <c r="BX1088" s="73"/>
      <c r="BY1088" s="73"/>
      <c r="BZ1088" s="73"/>
      <c r="CA1088" s="73"/>
      <c r="CB1088" s="73"/>
      <c r="CC1088" s="73"/>
      <c r="CD1088" s="73"/>
      <c r="CE1088" s="73"/>
      <c r="CF1088" s="73"/>
      <c r="CG1088" s="73"/>
      <c r="CH1088" s="73"/>
    </row>
    <row r="1089">
      <c r="A1089" s="80"/>
      <c r="B1089" s="80"/>
      <c r="C1089" s="80"/>
      <c r="D1089" s="80"/>
      <c r="E1089" s="124"/>
      <c r="F1089" s="80"/>
      <c r="G1089" s="80"/>
      <c r="H1089" s="80"/>
      <c r="I1089" s="80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09"/>
      <c r="V1089" s="109"/>
      <c r="W1089" s="109"/>
      <c r="X1089" s="109"/>
      <c r="Y1089" s="109"/>
      <c r="Z1089" s="109"/>
      <c r="AA1089" s="109"/>
      <c r="AB1089" s="109"/>
      <c r="AC1089" s="109"/>
      <c r="AD1089" s="109"/>
      <c r="AE1089" s="109"/>
      <c r="AF1089" s="109"/>
      <c r="AG1089" s="109"/>
      <c r="AH1089" s="109"/>
      <c r="AI1089" s="109"/>
      <c r="AJ1089" s="115"/>
      <c r="AK1089" s="80"/>
      <c r="AL1089" s="80"/>
      <c r="AM1089" s="80"/>
      <c r="AN1089" s="80"/>
      <c r="AO1089" s="80"/>
      <c r="AP1089" s="80"/>
      <c r="AQ1089" s="80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3"/>
      <c r="BG1089" s="73"/>
      <c r="BH1089" s="73"/>
      <c r="BI1089" s="73"/>
      <c r="BJ1089" s="73"/>
      <c r="BK1089" s="73"/>
      <c r="BL1089" s="73"/>
      <c r="BM1089" s="73"/>
      <c r="BN1089" s="73"/>
      <c r="BO1089" s="73"/>
      <c r="BP1089" s="73"/>
      <c r="BQ1089" s="73"/>
      <c r="BR1089" s="73"/>
      <c r="BS1089" s="73"/>
      <c r="BT1089" s="73"/>
      <c r="BU1089" s="73"/>
      <c r="BV1089" s="73"/>
      <c r="BW1089" s="73"/>
      <c r="BX1089" s="73"/>
      <c r="BY1089" s="73"/>
      <c r="BZ1089" s="73"/>
      <c r="CA1089" s="73"/>
      <c r="CB1089" s="73"/>
      <c r="CC1089" s="73"/>
      <c r="CD1089" s="73"/>
      <c r="CE1089" s="73"/>
      <c r="CF1089" s="73"/>
      <c r="CG1089" s="73"/>
      <c r="CH1089" s="73"/>
    </row>
    <row r="1090">
      <c r="A1090" s="80"/>
      <c r="B1090" s="80"/>
      <c r="C1090" s="80"/>
      <c r="D1090" s="80"/>
      <c r="E1090" s="124"/>
      <c r="F1090" s="80"/>
      <c r="G1090" s="80"/>
      <c r="H1090" s="80"/>
      <c r="I1090" s="80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09"/>
      <c r="V1090" s="109"/>
      <c r="W1090" s="109"/>
      <c r="X1090" s="109"/>
      <c r="Y1090" s="109"/>
      <c r="Z1090" s="109"/>
      <c r="AA1090" s="109"/>
      <c r="AB1090" s="109"/>
      <c r="AC1090" s="109"/>
      <c r="AD1090" s="109"/>
      <c r="AE1090" s="109"/>
      <c r="AF1090" s="109"/>
      <c r="AG1090" s="109"/>
      <c r="AH1090" s="109"/>
      <c r="AI1090" s="109"/>
      <c r="AJ1090" s="115"/>
      <c r="AK1090" s="80"/>
      <c r="AL1090" s="80"/>
      <c r="AM1090" s="80"/>
      <c r="AN1090" s="80"/>
      <c r="AO1090" s="80"/>
      <c r="AP1090" s="80"/>
      <c r="AQ1090" s="80"/>
      <c r="AR1090" s="73"/>
      <c r="AS1090" s="73"/>
      <c r="AT1090" s="73"/>
      <c r="AU1090" s="73"/>
      <c r="AV1090" s="73"/>
      <c r="AW1090" s="73"/>
      <c r="AX1090" s="73"/>
      <c r="AY1090" s="73"/>
      <c r="AZ1090" s="73"/>
      <c r="BA1090" s="73"/>
      <c r="BB1090" s="73"/>
      <c r="BC1090" s="73"/>
      <c r="BD1090" s="73"/>
      <c r="BE1090" s="73"/>
      <c r="BF1090" s="73"/>
      <c r="BG1090" s="73"/>
      <c r="BH1090" s="73"/>
      <c r="BI1090" s="73"/>
      <c r="BJ1090" s="73"/>
      <c r="BK1090" s="73"/>
      <c r="BL1090" s="73"/>
      <c r="BM1090" s="73"/>
      <c r="BN1090" s="73"/>
      <c r="BO1090" s="73"/>
      <c r="BP1090" s="73"/>
      <c r="BQ1090" s="73"/>
      <c r="BR1090" s="73"/>
      <c r="BS1090" s="73"/>
      <c r="BT1090" s="73"/>
      <c r="BU1090" s="73"/>
      <c r="BV1090" s="73"/>
      <c r="BW1090" s="73"/>
      <c r="BX1090" s="73"/>
      <c r="BY1090" s="73"/>
      <c r="BZ1090" s="73"/>
      <c r="CA1090" s="73"/>
      <c r="CB1090" s="73"/>
      <c r="CC1090" s="73"/>
      <c r="CD1090" s="73"/>
      <c r="CE1090" s="73"/>
      <c r="CF1090" s="73"/>
      <c r="CG1090" s="73"/>
      <c r="CH1090" s="73"/>
    </row>
    <row r="1091">
      <c r="A1091" s="80"/>
      <c r="B1091" s="80"/>
      <c r="C1091" s="80"/>
      <c r="D1091" s="80"/>
      <c r="E1091" s="124"/>
      <c r="F1091" s="80"/>
      <c r="G1091" s="80"/>
      <c r="H1091" s="80"/>
      <c r="I1091" s="80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09"/>
      <c r="V1091" s="109"/>
      <c r="W1091" s="109"/>
      <c r="X1091" s="109"/>
      <c r="Y1091" s="109"/>
      <c r="Z1091" s="109"/>
      <c r="AA1091" s="109"/>
      <c r="AB1091" s="109"/>
      <c r="AC1091" s="109"/>
      <c r="AD1091" s="109"/>
      <c r="AE1091" s="109"/>
      <c r="AF1091" s="109"/>
      <c r="AG1091" s="109"/>
      <c r="AH1091" s="109"/>
      <c r="AI1091" s="109"/>
      <c r="AJ1091" s="115"/>
      <c r="AK1091" s="80"/>
      <c r="AL1091" s="80"/>
      <c r="AM1091" s="80"/>
      <c r="AN1091" s="80"/>
      <c r="AO1091" s="80"/>
      <c r="AP1091" s="80"/>
      <c r="AQ1091" s="80"/>
      <c r="AR1091" s="73"/>
      <c r="AS1091" s="73"/>
      <c r="AT1091" s="73"/>
      <c r="AU1091" s="73"/>
      <c r="AV1091" s="73"/>
      <c r="AW1091" s="73"/>
      <c r="AX1091" s="73"/>
      <c r="AY1091" s="73"/>
      <c r="AZ1091" s="73"/>
      <c r="BA1091" s="73"/>
      <c r="BB1091" s="73"/>
      <c r="BC1091" s="73"/>
      <c r="BD1091" s="73"/>
      <c r="BE1091" s="73"/>
      <c r="BF1091" s="73"/>
      <c r="BG1091" s="73"/>
      <c r="BH1091" s="73"/>
      <c r="BI1091" s="73"/>
      <c r="BJ1091" s="73"/>
      <c r="BK1091" s="73"/>
      <c r="BL1091" s="73"/>
      <c r="BM1091" s="73"/>
      <c r="BN1091" s="73"/>
      <c r="BO1091" s="73"/>
      <c r="BP1091" s="73"/>
      <c r="BQ1091" s="73"/>
      <c r="BR1091" s="73"/>
      <c r="BS1091" s="73"/>
      <c r="BT1091" s="73"/>
      <c r="BU1091" s="73"/>
      <c r="BV1091" s="73"/>
      <c r="BW1091" s="73"/>
      <c r="BX1091" s="73"/>
      <c r="BY1091" s="73"/>
      <c r="BZ1091" s="73"/>
      <c r="CA1091" s="73"/>
      <c r="CB1091" s="73"/>
      <c r="CC1091" s="73"/>
      <c r="CD1091" s="73"/>
      <c r="CE1091" s="73"/>
      <c r="CF1091" s="73"/>
      <c r="CG1091" s="73"/>
      <c r="CH1091" s="73"/>
    </row>
    <row r="1092">
      <c r="A1092" s="80"/>
      <c r="B1092" s="80"/>
      <c r="C1092" s="80"/>
      <c r="D1092" s="80"/>
      <c r="E1092" s="124"/>
      <c r="F1092" s="80"/>
      <c r="G1092" s="80"/>
      <c r="H1092" s="80"/>
      <c r="I1092" s="80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09"/>
      <c r="V1092" s="109"/>
      <c r="W1092" s="109"/>
      <c r="X1092" s="109"/>
      <c r="Y1092" s="109"/>
      <c r="Z1092" s="109"/>
      <c r="AA1092" s="109"/>
      <c r="AB1092" s="109"/>
      <c r="AC1092" s="109"/>
      <c r="AD1092" s="109"/>
      <c r="AE1092" s="109"/>
      <c r="AF1092" s="109"/>
      <c r="AG1092" s="109"/>
      <c r="AH1092" s="109"/>
      <c r="AI1092" s="109"/>
      <c r="AJ1092" s="115"/>
      <c r="AK1092" s="80"/>
      <c r="AL1092" s="80"/>
      <c r="AM1092" s="80"/>
      <c r="AN1092" s="80"/>
      <c r="AO1092" s="80"/>
      <c r="AP1092" s="80"/>
      <c r="AQ1092" s="80"/>
      <c r="AR1092" s="73"/>
      <c r="AS1092" s="73"/>
      <c r="AT1092" s="73"/>
      <c r="AU1092" s="73"/>
      <c r="AV1092" s="73"/>
      <c r="AW1092" s="73"/>
      <c r="AX1092" s="73"/>
      <c r="AY1092" s="73"/>
      <c r="AZ1092" s="73"/>
      <c r="BA1092" s="73"/>
      <c r="BB1092" s="73"/>
      <c r="BC1092" s="73"/>
      <c r="BD1092" s="73"/>
      <c r="BE1092" s="73"/>
      <c r="BF1092" s="73"/>
      <c r="BG1092" s="73"/>
      <c r="BH1092" s="73"/>
      <c r="BI1092" s="73"/>
      <c r="BJ1092" s="73"/>
      <c r="BK1092" s="73"/>
      <c r="BL1092" s="73"/>
      <c r="BM1092" s="73"/>
      <c r="BN1092" s="73"/>
      <c r="BO1092" s="73"/>
      <c r="BP1092" s="73"/>
      <c r="BQ1092" s="73"/>
      <c r="BR1092" s="73"/>
      <c r="BS1092" s="73"/>
      <c r="BT1092" s="73"/>
      <c r="BU1092" s="73"/>
      <c r="BV1092" s="73"/>
      <c r="BW1092" s="73"/>
      <c r="BX1092" s="73"/>
      <c r="BY1092" s="73"/>
      <c r="BZ1092" s="73"/>
      <c r="CA1092" s="73"/>
      <c r="CB1092" s="73"/>
      <c r="CC1092" s="73"/>
      <c r="CD1092" s="73"/>
      <c r="CE1092" s="73"/>
      <c r="CF1092" s="73"/>
      <c r="CG1092" s="73"/>
      <c r="CH1092" s="73"/>
    </row>
    <row r="1093">
      <c r="A1093" s="80"/>
      <c r="B1093" s="80"/>
      <c r="C1093" s="80"/>
      <c r="D1093" s="80"/>
      <c r="E1093" s="124"/>
      <c r="F1093" s="80"/>
      <c r="G1093" s="80"/>
      <c r="H1093" s="80"/>
      <c r="I1093" s="80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09"/>
      <c r="V1093" s="109"/>
      <c r="W1093" s="109"/>
      <c r="X1093" s="109"/>
      <c r="Y1093" s="109"/>
      <c r="Z1093" s="109"/>
      <c r="AA1093" s="109"/>
      <c r="AB1093" s="109"/>
      <c r="AC1093" s="109"/>
      <c r="AD1093" s="109"/>
      <c r="AE1093" s="109"/>
      <c r="AF1093" s="109"/>
      <c r="AG1093" s="109"/>
      <c r="AH1093" s="109"/>
      <c r="AI1093" s="109"/>
      <c r="AJ1093" s="115"/>
      <c r="AK1093" s="80"/>
      <c r="AL1093" s="80"/>
      <c r="AM1093" s="80"/>
      <c r="AN1093" s="80"/>
      <c r="AO1093" s="80"/>
      <c r="AP1093" s="80"/>
      <c r="AQ1093" s="80"/>
      <c r="AR1093" s="73"/>
      <c r="AS1093" s="73"/>
      <c r="AT1093" s="73"/>
      <c r="AU1093" s="73"/>
      <c r="AV1093" s="73"/>
      <c r="AW1093" s="73"/>
      <c r="AX1093" s="73"/>
      <c r="AY1093" s="73"/>
      <c r="AZ1093" s="73"/>
      <c r="BA1093" s="73"/>
      <c r="BB1093" s="73"/>
      <c r="BC1093" s="73"/>
      <c r="BD1093" s="73"/>
      <c r="BE1093" s="73"/>
      <c r="BF1093" s="73"/>
      <c r="BG1093" s="73"/>
      <c r="BH1093" s="73"/>
      <c r="BI1093" s="73"/>
      <c r="BJ1093" s="73"/>
      <c r="BK1093" s="73"/>
      <c r="BL1093" s="73"/>
      <c r="BM1093" s="73"/>
      <c r="BN1093" s="73"/>
      <c r="BO1093" s="73"/>
      <c r="BP1093" s="73"/>
      <c r="BQ1093" s="73"/>
      <c r="BR1093" s="73"/>
      <c r="BS1093" s="73"/>
      <c r="BT1093" s="73"/>
      <c r="BU1093" s="73"/>
      <c r="BV1093" s="73"/>
      <c r="BW1093" s="73"/>
      <c r="BX1093" s="73"/>
      <c r="BY1093" s="73"/>
      <c r="BZ1093" s="73"/>
      <c r="CA1093" s="73"/>
      <c r="CB1093" s="73"/>
      <c r="CC1093" s="73"/>
      <c r="CD1093" s="73"/>
      <c r="CE1093" s="73"/>
      <c r="CF1093" s="73"/>
      <c r="CG1093" s="73"/>
      <c r="CH1093" s="73"/>
    </row>
    <row r="1094">
      <c r="A1094" s="80"/>
      <c r="B1094" s="80"/>
      <c r="C1094" s="80"/>
      <c r="D1094" s="80"/>
      <c r="E1094" s="124"/>
      <c r="F1094" s="80"/>
      <c r="G1094" s="80"/>
      <c r="H1094" s="80"/>
      <c r="I1094" s="80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09"/>
      <c r="V1094" s="109"/>
      <c r="W1094" s="109"/>
      <c r="X1094" s="109"/>
      <c r="Y1094" s="109"/>
      <c r="Z1094" s="109"/>
      <c r="AA1094" s="109"/>
      <c r="AB1094" s="109"/>
      <c r="AC1094" s="109"/>
      <c r="AD1094" s="109"/>
      <c r="AE1094" s="109"/>
      <c r="AF1094" s="109"/>
      <c r="AG1094" s="109"/>
      <c r="AH1094" s="109"/>
      <c r="AI1094" s="109"/>
      <c r="AJ1094" s="115"/>
      <c r="AK1094" s="80"/>
      <c r="AL1094" s="80"/>
      <c r="AM1094" s="80"/>
      <c r="AN1094" s="80"/>
      <c r="AO1094" s="80"/>
      <c r="AP1094" s="80"/>
      <c r="AQ1094" s="80"/>
      <c r="AR1094" s="73"/>
      <c r="AS1094" s="73"/>
      <c r="AT1094" s="73"/>
      <c r="AU1094" s="73"/>
      <c r="AV1094" s="73"/>
      <c r="AW1094" s="73"/>
      <c r="AX1094" s="73"/>
      <c r="AY1094" s="73"/>
      <c r="AZ1094" s="73"/>
      <c r="BA1094" s="73"/>
      <c r="BB1094" s="73"/>
      <c r="BC1094" s="73"/>
      <c r="BD1094" s="73"/>
      <c r="BE1094" s="73"/>
      <c r="BF1094" s="73"/>
      <c r="BG1094" s="73"/>
      <c r="BH1094" s="73"/>
      <c r="BI1094" s="73"/>
      <c r="BJ1094" s="73"/>
      <c r="BK1094" s="73"/>
      <c r="BL1094" s="73"/>
      <c r="BM1094" s="73"/>
      <c r="BN1094" s="73"/>
      <c r="BO1094" s="73"/>
      <c r="BP1094" s="73"/>
      <c r="BQ1094" s="73"/>
      <c r="BR1094" s="73"/>
      <c r="BS1094" s="73"/>
      <c r="BT1094" s="73"/>
      <c r="BU1094" s="73"/>
      <c r="BV1094" s="73"/>
      <c r="BW1094" s="73"/>
      <c r="BX1094" s="73"/>
      <c r="BY1094" s="73"/>
      <c r="BZ1094" s="73"/>
      <c r="CA1094" s="73"/>
      <c r="CB1094" s="73"/>
      <c r="CC1094" s="73"/>
      <c r="CD1094" s="73"/>
      <c r="CE1094" s="73"/>
      <c r="CF1094" s="73"/>
      <c r="CG1094" s="73"/>
      <c r="CH1094" s="73"/>
    </row>
    <row r="1095">
      <c r="A1095" s="80"/>
      <c r="B1095" s="80"/>
      <c r="C1095" s="80"/>
      <c r="D1095" s="80"/>
      <c r="E1095" s="124"/>
      <c r="F1095" s="80"/>
      <c r="G1095" s="80"/>
      <c r="H1095" s="80"/>
      <c r="I1095" s="80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09"/>
      <c r="V1095" s="109"/>
      <c r="W1095" s="109"/>
      <c r="X1095" s="109"/>
      <c r="Y1095" s="109"/>
      <c r="Z1095" s="109"/>
      <c r="AA1095" s="109"/>
      <c r="AB1095" s="109"/>
      <c r="AC1095" s="109"/>
      <c r="AD1095" s="109"/>
      <c r="AE1095" s="109"/>
      <c r="AF1095" s="109"/>
      <c r="AG1095" s="109"/>
      <c r="AH1095" s="109"/>
      <c r="AI1095" s="109"/>
      <c r="AJ1095" s="115"/>
      <c r="AK1095" s="80"/>
      <c r="AL1095" s="80"/>
      <c r="AM1095" s="80"/>
      <c r="AN1095" s="80"/>
      <c r="AO1095" s="80"/>
      <c r="AP1095" s="80"/>
      <c r="AQ1095" s="80"/>
      <c r="AR1095" s="73"/>
      <c r="AS1095" s="73"/>
      <c r="AT1095" s="73"/>
      <c r="AU1095" s="73"/>
      <c r="AV1095" s="73"/>
      <c r="AW1095" s="73"/>
      <c r="AX1095" s="73"/>
      <c r="AY1095" s="73"/>
      <c r="AZ1095" s="73"/>
      <c r="BA1095" s="73"/>
      <c r="BB1095" s="73"/>
      <c r="BC1095" s="73"/>
      <c r="BD1095" s="73"/>
      <c r="BE1095" s="73"/>
      <c r="BF1095" s="73"/>
      <c r="BG1095" s="73"/>
      <c r="BH1095" s="73"/>
      <c r="BI1095" s="73"/>
      <c r="BJ1095" s="73"/>
      <c r="BK1095" s="73"/>
      <c r="BL1095" s="73"/>
      <c r="BM1095" s="73"/>
      <c r="BN1095" s="73"/>
      <c r="BO1095" s="73"/>
      <c r="BP1095" s="73"/>
      <c r="BQ1095" s="73"/>
      <c r="BR1095" s="73"/>
      <c r="BS1095" s="73"/>
      <c r="BT1095" s="73"/>
      <c r="BU1095" s="73"/>
      <c r="BV1095" s="73"/>
      <c r="BW1095" s="73"/>
      <c r="BX1095" s="73"/>
      <c r="BY1095" s="73"/>
      <c r="BZ1095" s="73"/>
      <c r="CA1095" s="73"/>
      <c r="CB1095" s="73"/>
      <c r="CC1095" s="73"/>
      <c r="CD1095" s="73"/>
      <c r="CE1095" s="73"/>
      <c r="CF1095" s="73"/>
      <c r="CG1095" s="73"/>
      <c r="CH1095" s="73"/>
    </row>
    <row r="1096">
      <c r="A1096" s="80"/>
      <c r="B1096" s="80"/>
      <c r="C1096" s="80"/>
      <c r="D1096" s="80"/>
      <c r="E1096" s="124"/>
      <c r="F1096" s="80"/>
      <c r="G1096" s="80"/>
      <c r="H1096" s="80"/>
      <c r="I1096" s="80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09"/>
      <c r="V1096" s="109"/>
      <c r="W1096" s="109"/>
      <c r="X1096" s="109"/>
      <c r="Y1096" s="109"/>
      <c r="Z1096" s="109"/>
      <c r="AA1096" s="109"/>
      <c r="AB1096" s="109"/>
      <c r="AC1096" s="109"/>
      <c r="AD1096" s="109"/>
      <c r="AE1096" s="109"/>
      <c r="AF1096" s="109"/>
      <c r="AG1096" s="109"/>
      <c r="AH1096" s="109"/>
      <c r="AI1096" s="109"/>
      <c r="AJ1096" s="115"/>
      <c r="AK1096" s="80"/>
      <c r="AL1096" s="80"/>
      <c r="AM1096" s="80"/>
      <c r="AN1096" s="80"/>
      <c r="AO1096" s="80"/>
      <c r="AP1096" s="80"/>
      <c r="AQ1096" s="80"/>
      <c r="AR1096" s="73"/>
      <c r="AS1096" s="73"/>
      <c r="AT1096" s="73"/>
      <c r="AU1096" s="73"/>
      <c r="AV1096" s="73"/>
      <c r="AW1096" s="73"/>
      <c r="AX1096" s="73"/>
      <c r="AY1096" s="73"/>
      <c r="AZ1096" s="73"/>
      <c r="BA1096" s="73"/>
      <c r="BB1096" s="73"/>
      <c r="BC1096" s="73"/>
      <c r="BD1096" s="73"/>
      <c r="BE1096" s="73"/>
      <c r="BF1096" s="73"/>
      <c r="BG1096" s="73"/>
      <c r="BH1096" s="73"/>
      <c r="BI1096" s="73"/>
      <c r="BJ1096" s="73"/>
      <c r="BK1096" s="73"/>
      <c r="BL1096" s="73"/>
      <c r="BM1096" s="73"/>
      <c r="BN1096" s="73"/>
      <c r="BO1096" s="73"/>
      <c r="BP1096" s="73"/>
      <c r="BQ1096" s="73"/>
      <c r="BR1096" s="73"/>
      <c r="BS1096" s="73"/>
      <c r="BT1096" s="73"/>
      <c r="BU1096" s="73"/>
      <c r="BV1096" s="73"/>
      <c r="BW1096" s="73"/>
      <c r="BX1096" s="73"/>
      <c r="BY1096" s="73"/>
      <c r="BZ1096" s="73"/>
      <c r="CA1096" s="73"/>
      <c r="CB1096" s="73"/>
      <c r="CC1096" s="73"/>
      <c r="CD1096" s="73"/>
      <c r="CE1096" s="73"/>
      <c r="CF1096" s="73"/>
      <c r="CG1096" s="73"/>
      <c r="CH1096" s="73"/>
    </row>
    <row r="1097">
      <c r="A1097" s="80"/>
      <c r="B1097" s="80"/>
      <c r="C1097" s="80"/>
      <c r="D1097" s="80"/>
      <c r="E1097" s="124"/>
      <c r="F1097" s="80"/>
      <c r="G1097" s="80"/>
      <c r="H1097" s="80"/>
      <c r="I1097" s="80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09"/>
      <c r="V1097" s="109"/>
      <c r="W1097" s="109"/>
      <c r="X1097" s="109"/>
      <c r="Y1097" s="109"/>
      <c r="Z1097" s="109"/>
      <c r="AA1097" s="109"/>
      <c r="AB1097" s="109"/>
      <c r="AC1097" s="109"/>
      <c r="AD1097" s="109"/>
      <c r="AE1097" s="109"/>
      <c r="AF1097" s="109"/>
      <c r="AG1097" s="109"/>
      <c r="AH1097" s="109"/>
      <c r="AI1097" s="109"/>
      <c r="AJ1097" s="115"/>
      <c r="AK1097" s="80"/>
      <c r="AL1097" s="80"/>
      <c r="AM1097" s="80"/>
      <c r="AN1097" s="80"/>
      <c r="AO1097" s="80"/>
      <c r="AP1097" s="80"/>
      <c r="AQ1097" s="80"/>
      <c r="AR1097" s="73"/>
      <c r="AS1097" s="73"/>
      <c r="AT1097" s="73"/>
      <c r="AU1097" s="73"/>
      <c r="AV1097" s="73"/>
      <c r="AW1097" s="73"/>
      <c r="AX1097" s="73"/>
      <c r="AY1097" s="73"/>
      <c r="AZ1097" s="73"/>
      <c r="BA1097" s="73"/>
      <c r="BB1097" s="73"/>
      <c r="BC1097" s="73"/>
      <c r="BD1097" s="73"/>
      <c r="BE1097" s="73"/>
      <c r="BF1097" s="73"/>
      <c r="BG1097" s="73"/>
      <c r="BH1097" s="73"/>
      <c r="BI1097" s="73"/>
      <c r="BJ1097" s="73"/>
      <c r="BK1097" s="73"/>
      <c r="BL1097" s="73"/>
      <c r="BM1097" s="73"/>
      <c r="BN1097" s="73"/>
      <c r="BO1097" s="73"/>
      <c r="BP1097" s="73"/>
      <c r="BQ1097" s="73"/>
      <c r="BR1097" s="73"/>
      <c r="BS1097" s="73"/>
      <c r="BT1097" s="73"/>
      <c r="BU1097" s="73"/>
      <c r="BV1097" s="73"/>
      <c r="BW1097" s="73"/>
      <c r="BX1097" s="73"/>
      <c r="BY1097" s="73"/>
      <c r="BZ1097" s="73"/>
      <c r="CA1097" s="73"/>
      <c r="CB1097" s="73"/>
      <c r="CC1097" s="73"/>
      <c r="CD1097" s="73"/>
      <c r="CE1097" s="73"/>
      <c r="CF1097" s="73"/>
      <c r="CG1097" s="73"/>
      <c r="CH1097" s="73"/>
    </row>
    <row r="1098">
      <c r="A1098" s="80"/>
      <c r="B1098" s="80"/>
      <c r="C1098" s="80"/>
      <c r="D1098" s="80"/>
      <c r="E1098" s="124"/>
      <c r="F1098" s="80"/>
      <c r="G1098" s="80"/>
      <c r="H1098" s="80"/>
      <c r="I1098" s="80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09"/>
      <c r="V1098" s="109"/>
      <c r="W1098" s="109"/>
      <c r="X1098" s="109"/>
      <c r="Y1098" s="109"/>
      <c r="Z1098" s="109"/>
      <c r="AA1098" s="109"/>
      <c r="AB1098" s="109"/>
      <c r="AC1098" s="109"/>
      <c r="AD1098" s="109"/>
      <c r="AE1098" s="109"/>
      <c r="AF1098" s="109"/>
      <c r="AG1098" s="109"/>
      <c r="AH1098" s="109"/>
      <c r="AI1098" s="109"/>
      <c r="AJ1098" s="115"/>
      <c r="AK1098" s="80"/>
      <c r="AL1098" s="80"/>
      <c r="AM1098" s="80"/>
      <c r="AN1098" s="80"/>
      <c r="AO1098" s="80"/>
      <c r="AP1098" s="80"/>
      <c r="AQ1098" s="80"/>
      <c r="AR1098" s="73"/>
      <c r="AS1098" s="73"/>
      <c r="AT1098" s="73"/>
      <c r="AU1098" s="73"/>
      <c r="AV1098" s="73"/>
      <c r="AW1098" s="73"/>
      <c r="AX1098" s="73"/>
      <c r="AY1098" s="73"/>
      <c r="AZ1098" s="73"/>
      <c r="BA1098" s="73"/>
      <c r="BB1098" s="73"/>
      <c r="BC1098" s="73"/>
      <c r="BD1098" s="73"/>
      <c r="BE1098" s="73"/>
      <c r="BF1098" s="73"/>
      <c r="BG1098" s="73"/>
      <c r="BH1098" s="73"/>
      <c r="BI1098" s="73"/>
      <c r="BJ1098" s="73"/>
      <c r="BK1098" s="73"/>
      <c r="BL1098" s="73"/>
      <c r="BM1098" s="73"/>
      <c r="BN1098" s="73"/>
      <c r="BO1098" s="73"/>
      <c r="BP1098" s="73"/>
      <c r="BQ1098" s="73"/>
      <c r="BR1098" s="73"/>
      <c r="BS1098" s="73"/>
      <c r="BT1098" s="73"/>
      <c r="BU1098" s="73"/>
      <c r="BV1098" s="73"/>
      <c r="BW1098" s="73"/>
      <c r="BX1098" s="73"/>
      <c r="BY1098" s="73"/>
      <c r="BZ1098" s="73"/>
      <c r="CA1098" s="73"/>
      <c r="CB1098" s="73"/>
      <c r="CC1098" s="73"/>
      <c r="CD1098" s="73"/>
      <c r="CE1098" s="73"/>
      <c r="CF1098" s="73"/>
      <c r="CG1098" s="73"/>
      <c r="CH1098" s="73"/>
    </row>
    <row r="1099">
      <c r="A1099" s="80"/>
      <c r="B1099" s="80"/>
      <c r="C1099" s="80"/>
      <c r="D1099" s="80"/>
      <c r="E1099" s="124"/>
      <c r="F1099" s="80"/>
      <c r="G1099" s="80"/>
      <c r="H1099" s="80"/>
      <c r="I1099" s="80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09"/>
      <c r="V1099" s="109"/>
      <c r="W1099" s="109"/>
      <c r="X1099" s="109"/>
      <c r="Y1099" s="109"/>
      <c r="Z1099" s="109"/>
      <c r="AA1099" s="109"/>
      <c r="AB1099" s="109"/>
      <c r="AC1099" s="109"/>
      <c r="AD1099" s="109"/>
      <c r="AE1099" s="109"/>
      <c r="AF1099" s="109"/>
      <c r="AG1099" s="109"/>
      <c r="AH1099" s="109"/>
      <c r="AI1099" s="109"/>
      <c r="AJ1099" s="115"/>
      <c r="AK1099" s="80"/>
      <c r="AL1099" s="80"/>
      <c r="AM1099" s="80"/>
      <c r="AN1099" s="80"/>
      <c r="AO1099" s="80"/>
      <c r="AP1099" s="80"/>
      <c r="AQ1099" s="80"/>
      <c r="AR1099" s="73"/>
      <c r="AS1099" s="73"/>
      <c r="AT1099" s="73"/>
      <c r="AU1099" s="73"/>
      <c r="AV1099" s="73"/>
      <c r="AW1099" s="73"/>
      <c r="AX1099" s="73"/>
      <c r="AY1099" s="73"/>
      <c r="AZ1099" s="73"/>
      <c r="BA1099" s="73"/>
      <c r="BB1099" s="73"/>
      <c r="BC1099" s="73"/>
      <c r="BD1099" s="73"/>
      <c r="BE1099" s="73"/>
      <c r="BF1099" s="73"/>
      <c r="BG1099" s="73"/>
      <c r="BH1099" s="73"/>
      <c r="BI1099" s="73"/>
      <c r="BJ1099" s="73"/>
      <c r="BK1099" s="73"/>
      <c r="BL1099" s="73"/>
      <c r="BM1099" s="73"/>
      <c r="BN1099" s="73"/>
      <c r="BO1099" s="73"/>
      <c r="BP1099" s="73"/>
      <c r="BQ1099" s="73"/>
      <c r="BR1099" s="73"/>
      <c r="BS1099" s="73"/>
      <c r="BT1099" s="73"/>
      <c r="BU1099" s="73"/>
      <c r="BV1099" s="73"/>
      <c r="BW1099" s="73"/>
      <c r="BX1099" s="73"/>
      <c r="BY1099" s="73"/>
      <c r="BZ1099" s="73"/>
      <c r="CA1099" s="73"/>
      <c r="CB1099" s="73"/>
      <c r="CC1099" s="73"/>
      <c r="CD1099" s="73"/>
      <c r="CE1099" s="73"/>
      <c r="CF1099" s="73"/>
      <c r="CG1099" s="73"/>
      <c r="CH1099" s="73"/>
    </row>
    <row r="1100">
      <c r="A1100" s="80"/>
      <c r="B1100" s="80"/>
      <c r="C1100" s="80"/>
      <c r="D1100" s="80"/>
      <c r="E1100" s="124"/>
      <c r="F1100" s="80"/>
      <c r="G1100" s="80"/>
      <c r="H1100" s="80"/>
      <c r="I1100" s="80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09"/>
      <c r="V1100" s="109"/>
      <c r="W1100" s="109"/>
      <c r="X1100" s="109"/>
      <c r="Y1100" s="109"/>
      <c r="Z1100" s="109"/>
      <c r="AA1100" s="109"/>
      <c r="AB1100" s="109"/>
      <c r="AC1100" s="109"/>
      <c r="AD1100" s="109"/>
      <c r="AE1100" s="109"/>
      <c r="AF1100" s="109"/>
      <c r="AG1100" s="109"/>
      <c r="AH1100" s="109"/>
      <c r="AI1100" s="109"/>
      <c r="AJ1100" s="115"/>
      <c r="AK1100" s="80"/>
      <c r="AL1100" s="80"/>
      <c r="AM1100" s="80"/>
      <c r="AN1100" s="80"/>
      <c r="AO1100" s="80"/>
      <c r="AP1100" s="80"/>
      <c r="AQ1100" s="80"/>
      <c r="AR1100" s="73"/>
      <c r="AS1100" s="73"/>
      <c r="AT1100" s="73"/>
      <c r="AU1100" s="73"/>
      <c r="AV1100" s="73"/>
      <c r="AW1100" s="73"/>
      <c r="AX1100" s="73"/>
      <c r="AY1100" s="73"/>
      <c r="AZ1100" s="73"/>
      <c r="BA1100" s="73"/>
      <c r="BB1100" s="73"/>
      <c r="BC1100" s="73"/>
      <c r="BD1100" s="73"/>
      <c r="BE1100" s="73"/>
      <c r="BF1100" s="73"/>
      <c r="BG1100" s="73"/>
      <c r="BH1100" s="73"/>
      <c r="BI1100" s="73"/>
      <c r="BJ1100" s="73"/>
      <c r="BK1100" s="73"/>
      <c r="BL1100" s="73"/>
      <c r="BM1100" s="73"/>
      <c r="BN1100" s="73"/>
      <c r="BO1100" s="73"/>
      <c r="BP1100" s="73"/>
      <c r="BQ1100" s="73"/>
      <c r="BR1100" s="73"/>
      <c r="BS1100" s="73"/>
      <c r="BT1100" s="73"/>
      <c r="BU1100" s="73"/>
      <c r="BV1100" s="73"/>
      <c r="BW1100" s="73"/>
      <c r="BX1100" s="73"/>
      <c r="BY1100" s="73"/>
      <c r="BZ1100" s="73"/>
      <c r="CA1100" s="73"/>
      <c r="CB1100" s="73"/>
      <c r="CC1100" s="73"/>
      <c r="CD1100" s="73"/>
      <c r="CE1100" s="73"/>
      <c r="CF1100" s="73"/>
      <c r="CG1100" s="73"/>
      <c r="CH1100" s="73"/>
    </row>
    <row r="1101">
      <c r="A1101" s="80"/>
      <c r="B1101" s="80"/>
      <c r="C1101" s="80"/>
      <c r="D1101" s="80"/>
      <c r="E1101" s="124"/>
      <c r="F1101" s="80"/>
      <c r="G1101" s="80"/>
      <c r="H1101" s="80"/>
      <c r="I1101" s="80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09"/>
      <c r="V1101" s="109"/>
      <c r="W1101" s="109"/>
      <c r="X1101" s="109"/>
      <c r="Y1101" s="109"/>
      <c r="Z1101" s="109"/>
      <c r="AA1101" s="109"/>
      <c r="AB1101" s="109"/>
      <c r="AC1101" s="109"/>
      <c r="AD1101" s="109"/>
      <c r="AE1101" s="109"/>
      <c r="AF1101" s="109"/>
      <c r="AG1101" s="109"/>
      <c r="AH1101" s="109"/>
      <c r="AI1101" s="109"/>
      <c r="AJ1101" s="115"/>
      <c r="AK1101" s="80"/>
      <c r="AL1101" s="80"/>
      <c r="AM1101" s="80"/>
      <c r="AN1101" s="80"/>
      <c r="AO1101" s="80"/>
      <c r="AP1101" s="80"/>
      <c r="AQ1101" s="80"/>
      <c r="AR1101" s="73"/>
      <c r="AS1101" s="73"/>
      <c r="AT1101" s="73"/>
      <c r="AU1101" s="73"/>
      <c r="AV1101" s="73"/>
      <c r="AW1101" s="73"/>
      <c r="AX1101" s="73"/>
      <c r="AY1101" s="73"/>
      <c r="AZ1101" s="73"/>
      <c r="BA1101" s="73"/>
      <c r="BB1101" s="73"/>
      <c r="BC1101" s="73"/>
      <c r="BD1101" s="73"/>
      <c r="BE1101" s="73"/>
      <c r="BF1101" s="73"/>
      <c r="BG1101" s="73"/>
      <c r="BH1101" s="73"/>
      <c r="BI1101" s="73"/>
      <c r="BJ1101" s="73"/>
      <c r="BK1101" s="73"/>
      <c r="BL1101" s="73"/>
      <c r="BM1101" s="73"/>
      <c r="BN1101" s="73"/>
      <c r="BO1101" s="73"/>
      <c r="BP1101" s="73"/>
      <c r="BQ1101" s="73"/>
      <c r="BR1101" s="73"/>
      <c r="BS1101" s="73"/>
      <c r="BT1101" s="73"/>
      <c r="BU1101" s="73"/>
      <c r="BV1101" s="73"/>
      <c r="BW1101" s="73"/>
      <c r="BX1101" s="73"/>
      <c r="BY1101" s="73"/>
      <c r="BZ1101" s="73"/>
      <c r="CA1101" s="73"/>
      <c r="CB1101" s="73"/>
      <c r="CC1101" s="73"/>
      <c r="CD1101" s="73"/>
      <c r="CE1101" s="73"/>
      <c r="CF1101" s="73"/>
      <c r="CG1101" s="73"/>
      <c r="CH1101" s="73"/>
    </row>
    <row r="1102">
      <c r="A1102" s="80"/>
      <c r="B1102" s="80"/>
      <c r="C1102" s="80"/>
      <c r="D1102" s="80"/>
      <c r="E1102" s="124"/>
      <c r="F1102" s="80"/>
      <c r="G1102" s="80"/>
      <c r="H1102" s="80"/>
      <c r="I1102" s="80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09"/>
      <c r="V1102" s="109"/>
      <c r="W1102" s="109"/>
      <c r="X1102" s="109"/>
      <c r="Y1102" s="109"/>
      <c r="Z1102" s="109"/>
      <c r="AA1102" s="109"/>
      <c r="AB1102" s="109"/>
      <c r="AC1102" s="109"/>
      <c r="AD1102" s="109"/>
      <c r="AE1102" s="109"/>
      <c r="AF1102" s="109"/>
      <c r="AG1102" s="109"/>
      <c r="AH1102" s="109"/>
      <c r="AI1102" s="109"/>
      <c r="AJ1102" s="115"/>
      <c r="AK1102" s="80"/>
      <c r="AL1102" s="80"/>
      <c r="AM1102" s="80"/>
      <c r="AN1102" s="80"/>
      <c r="AO1102" s="80"/>
      <c r="AP1102" s="80"/>
      <c r="AQ1102" s="80"/>
      <c r="AR1102" s="73"/>
      <c r="AS1102" s="73"/>
      <c r="AT1102" s="73"/>
      <c r="AU1102" s="73"/>
      <c r="AV1102" s="73"/>
      <c r="AW1102" s="73"/>
      <c r="AX1102" s="73"/>
      <c r="AY1102" s="73"/>
      <c r="AZ1102" s="73"/>
      <c r="BA1102" s="73"/>
      <c r="BB1102" s="73"/>
      <c r="BC1102" s="73"/>
      <c r="BD1102" s="73"/>
      <c r="BE1102" s="73"/>
      <c r="BF1102" s="73"/>
      <c r="BG1102" s="73"/>
      <c r="BH1102" s="73"/>
      <c r="BI1102" s="73"/>
      <c r="BJ1102" s="73"/>
      <c r="BK1102" s="73"/>
      <c r="BL1102" s="73"/>
      <c r="BM1102" s="73"/>
      <c r="BN1102" s="73"/>
      <c r="BO1102" s="73"/>
      <c r="BP1102" s="73"/>
      <c r="BQ1102" s="73"/>
      <c r="BR1102" s="73"/>
      <c r="BS1102" s="73"/>
      <c r="BT1102" s="73"/>
      <c r="BU1102" s="73"/>
      <c r="BV1102" s="73"/>
      <c r="BW1102" s="73"/>
      <c r="BX1102" s="73"/>
      <c r="BY1102" s="73"/>
      <c r="BZ1102" s="73"/>
      <c r="CA1102" s="73"/>
      <c r="CB1102" s="73"/>
      <c r="CC1102" s="73"/>
      <c r="CD1102" s="73"/>
      <c r="CE1102" s="73"/>
      <c r="CF1102" s="73"/>
      <c r="CG1102" s="73"/>
      <c r="CH1102" s="73"/>
    </row>
    <row r="1103">
      <c r="A1103" s="80"/>
      <c r="B1103" s="80"/>
      <c r="C1103" s="80"/>
      <c r="D1103" s="80"/>
      <c r="E1103" s="124"/>
      <c r="F1103" s="80"/>
      <c r="G1103" s="80"/>
      <c r="H1103" s="80"/>
      <c r="I1103" s="80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09"/>
      <c r="V1103" s="109"/>
      <c r="W1103" s="109"/>
      <c r="X1103" s="109"/>
      <c r="Y1103" s="109"/>
      <c r="Z1103" s="109"/>
      <c r="AA1103" s="109"/>
      <c r="AB1103" s="109"/>
      <c r="AC1103" s="109"/>
      <c r="AD1103" s="109"/>
      <c r="AE1103" s="109"/>
      <c r="AF1103" s="109"/>
      <c r="AG1103" s="109"/>
      <c r="AH1103" s="109"/>
      <c r="AI1103" s="109"/>
      <c r="AJ1103" s="115"/>
      <c r="AK1103" s="80"/>
      <c r="AL1103" s="80"/>
      <c r="AM1103" s="80"/>
      <c r="AN1103" s="80"/>
      <c r="AO1103" s="80"/>
      <c r="AP1103" s="80"/>
      <c r="AQ1103" s="80"/>
      <c r="AR1103" s="73"/>
      <c r="AS1103" s="73"/>
      <c r="AT1103" s="73"/>
      <c r="AU1103" s="73"/>
      <c r="AV1103" s="73"/>
      <c r="AW1103" s="73"/>
      <c r="AX1103" s="73"/>
      <c r="AY1103" s="73"/>
      <c r="AZ1103" s="73"/>
      <c r="BA1103" s="73"/>
      <c r="BB1103" s="73"/>
      <c r="BC1103" s="73"/>
      <c r="BD1103" s="73"/>
      <c r="BE1103" s="73"/>
      <c r="BF1103" s="73"/>
      <c r="BG1103" s="73"/>
      <c r="BH1103" s="73"/>
      <c r="BI1103" s="73"/>
      <c r="BJ1103" s="73"/>
      <c r="BK1103" s="73"/>
      <c r="BL1103" s="73"/>
      <c r="BM1103" s="73"/>
      <c r="BN1103" s="73"/>
      <c r="BO1103" s="73"/>
      <c r="BP1103" s="73"/>
      <c r="BQ1103" s="73"/>
      <c r="BR1103" s="73"/>
      <c r="BS1103" s="73"/>
      <c r="BT1103" s="73"/>
      <c r="BU1103" s="73"/>
      <c r="BV1103" s="73"/>
      <c r="BW1103" s="73"/>
      <c r="BX1103" s="73"/>
      <c r="BY1103" s="73"/>
      <c r="BZ1103" s="73"/>
      <c r="CA1103" s="73"/>
      <c r="CB1103" s="73"/>
      <c r="CC1103" s="73"/>
      <c r="CD1103" s="73"/>
      <c r="CE1103" s="73"/>
      <c r="CF1103" s="73"/>
      <c r="CG1103" s="73"/>
      <c r="CH1103" s="73"/>
    </row>
    <row r="1104">
      <c r="A1104" s="80"/>
      <c r="B1104" s="80"/>
      <c r="C1104" s="80"/>
      <c r="D1104" s="80"/>
      <c r="E1104" s="124"/>
      <c r="F1104" s="80"/>
      <c r="G1104" s="80"/>
      <c r="H1104" s="80"/>
      <c r="I1104" s="80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09"/>
      <c r="V1104" s="109"/>
      <c r="W1104" s="109"/>
      <c r="X1104" s="109"/>
      <c r="Y1104" s="109"/>
      <c r="Z1104" s="109"/>
      <c r="AA1104" s="109"/>
      <c r="AB1104" s="109"/>
      <c r="AC1104" s="109"/>
      <c r="AD1104" s="109"/>
      <c r="AE1104" s="109"/>
      <c r="AF1104" s="109"/>
      <c r="AG1104" s="109"/>
      <c r="AH1104" s="109"/>
      <c r="AI1104" s="109"/>
      <c r="AJ1104" s="115"/>
      <c r="AK1104" s="80"/>
      <c r="AL1104" s="80"/>
      <c r="AM1104" s="80"/>
      <c r="AN1104" s="80"/>
      <c r="AO1104" s="80"/>
      <c r="AP1104" s="80"/>
      <c r="AQ1104" s="80"/>
      <c r="AR1104" s="73"/>
      <c r="AS1104" s="73"/>
      <c r="AT1104" s="73"/>
      <c r="AU1104" s="73"/>
      <c r="AV1104" s="73"/>
      <c r="AW1104" s="73"/>
      <c r="AX1104" s="73"/>
      <c r="AY1104" s="73"/>
      <c r="AZ1104" s="73"/>
      <c r="BA1104" s="73"/>
      <c r="BB1104" s="73"/>
      <c r="BC1104" s="73"/>
      <c r="BD1104" s="73"/>
      <c r="BE1104" s="73"/>
      <c r="BF1104" s="73"/>
      <c r="BG1104" s="73"/>
      <c r="BH1104" s="73"/>
      <c r="BI1104" s="73"/>
      <c r="BJ1104" s="73"/>
      <c r="BK1104" s="73"/>
      <c r="BL1104" s="73"/>
      <c r="BM1104" s="73"/>
      <c r="BN1104" s="73"/>
      <c r="BO1104" s="73"/>
      <c r="BP1104" s="73"/>
      <c r="BQ1104" s="73"/>
      <c r="BR1104" s="73"/>
      <c r="BS1104" s="73"/>
      <c r="BT1104" s="73"/>
      <c r="BU1104" s="73"/>
      <c r="BV1104" s="73"/>
      <c r="BW1104" s="73"/>
      <c r="BX1104" s="73"/>
      <c r="BY1104" s="73"/>
      <c r="BZ1104" s="73"/>
      <c r="CA1104" s="73"/>
      <c r="CB1104" s="73"/>
      <c r="CC1104" s="73"/>
      <c r="CD1104" s="73"/>
      <c r="CE1104" s="73"/>
      <c r="CF1104" s="73"/>
      <c r="CG1104" s="73"/>
      <c r="CH1104" s="73"/>
    </row>
    <row r="1105">
      <c r="A1105" s="80"/>
      <c r="B1105" s="80"/>
      <c r="C1105" s="80"/>
      <c r="D1105" s="80"/>
      <c r="E1105" s="124"/>
      <c r="F1105" s="80"/>
      <c r="G1105" s="80"/>
      <c r="H1105" s="80"/>
      <c r="I1105" s="80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09"/>
      <c r="V1105" s="109"/>
      <c r="W1105" s="109"/>
      <c r="X1105" s="109"/>
      <c r="Y1105" s="109"/>
      <c r="Z1105" s="109"/>
      <c r="AA1105" s="109"/>
      <c r="AB1105" s="109"/>
      <c r="AC1105" s="109"/>
      <c r="AD1105" s="109"/>
      <c r="AE1105" s="109"/>
      <c r="AF1105" s="109"/>
      <c r="AG1105" s="109"/>
      <c r="AH1105" s="109"/>
      <c r="AI1105" s="109"/>
      <c r="AJ1105" s="115"/>
      <c r="AK1105" s="80"/>
      <c r="AL1105" s="80"/>
      <c r="AM1105" s="80"/>
      <c r="AN1105" s="80"/>
      <c r="AO1105" s="80"/>
      <c r="AP1105" s="80"/>
      <c r="AQ1105" s="80"/>
      <c r="AR1105" s="73"/>
      <c r="AS1105" s="73"/>
      <c r="AT1105" s="73"/>
      <c r="AU1105" s="73"/>
      <c r="AV1105" s="73"/>
      <c r="AW1105" s="73"/>
      <c r="AX1105" s="73"/>
      <c r="AY1105" s="73"/>
      <c r="AZ1105" s="73"/>
      <c r="BA1105" s="73"/>
      <c r="BB1105" s="73"/>
      <c r="BC1105" s="73"/>
      <c r="BD1105" s="73"/>
      <c r="BE1105" s="73"/>
      <c r="BF1105" s="73"/>
      <c r="BG1105" s="73"/>
      <c r="BH1105" s="73"/>
      <c r="BI1105" s="73"/>
      <c r="BJ1105" s="73"/>
      <c r="BK1105" s="73"/>
      <c r="BL1105" s="73"/>
      <c r="BM1105" s="73"/>
      <c r="BN1105" s="73"/>
      <c r="BO1105" s="73"/>
      <c r="BP1105" s="73"/>
      <c r="BQ1105" s="73"/>
      <c r="BR1105" s="73"/>
      <c r="BS1105" s="73"/>
      <c r="BT1105" s="73"/>
      <c r="BU1105" s="73"/>
      <c r="BV1105" s="73"/>
      <c r="BW1105" s="73"/>
      <c r="BX1105" s="73"/>
      <c r="BY1105" s="73"/>
      <c r="BZ1105" s="73"/>
      <c r="CA1105" s="73"/>
      <c r="CB1105" s="73"/>
      <c r="CC1105" s="73"/>
      <c r="CD1105" s="73"/>
      <c r="CE1105" s="73"/>
      <c r="CF1105" s="73"/>
      <c r="CG1105" s="73"/>
      <c r="CH1105" s="73"/>
    </row>
    <row r="1106">
      <c r="A1106" s="80"/>
      <c r="B1106" s="80"/>
      <c r="C1106" s="80"/>
      <c r="D1106" s="80"/>
      <c r="E1106" s="124"/>
      <c r="F1106" s="80"/>
      <c r="G1106" s="80"/>
      <c r="H1106" s="80"/>
      <c r="I1106" s="80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09"/>
      <c r="V1106" s="109"/>
      <c r="W1106" s="109"/>
      <c r="X1106" s="109"/>
      <c r="Y1106" s="109"/>
      <c r="Z1106" s="109"/>
      <c r="AA1106" s="109"/>
      <c r="AB1106" s="109"/>
      <c r="AC1106" s="109"/>
      <c r="AD1106" s="109"/>
      <c r="AE1106" s="109"/>
      <c r="AF1106" s="109"/>
      <c r="AG1106" s="109"/>
      <c r="AH1106" s="109"/>
      <c r="AI1106" s="109"/>
      <c r="AJ1106" s="115"/>
      <c r="AK1106" s="80"/>
      <c r="AL1106" s="80"/>
      <c r="AM1106" s="80"/>
      <c r="AN1106" s="80"/>
      <c r="AO1106" s="80"/>
      <c r="AP1106" s="80"/>
      <c r="AQ1106" s="80"/>
      <c r="AR1106" s="73"/>
      <c r="AS1106" s="73"/>
      <c r="AT1106" s="73"/>
      <c r="AU1106" s="73"/>
      <c r="AV1106" s="73"/>
      <c r="AW1106" s="73"/>
      <c r="AX1106" s="73"/>
      <c r="AY1106" s="73"/>
      <c r="AZ1106" s="73"/>
      <c r="BA1106" s="73"/>
      <c r="BB1106" s="73"/>
      <c r="BC1106" s="73"/>
      <c r="BD1106" s="73"/>
      <c r="BE1106" s="73"/>
      <c r="BF1106" s="73"/>
      <c r="BG1106" s="73"/>
      <c r="BH1106" s="73"/>
      <c r="BI1106" s="73"/>
      <c r="BJ1106" s="73"/>
      <c r="BK1106" s="73"/>
      <c r="BL1106" s="73"/>
      <c r="BM1106" s="73"/>
      <c r="BN1106" s="73"/>
      <c r="BO1106" s="73"/>
      <c r="BP1106" s="73"/>
      <c r="BQ1106" s="73"/>
      <c r="BR1106" s="73"/>
      <c r="BS1106" s="73"/>
      <c r="BT1106" s="73"/>
      <c r="BU1106" s="73"/>
      <c r="BV1106" s="73"/>
      <c r="BW1106" s="73"/>
      <c r="BX1106" s="73"/>
      <c r="BY1106" s="73"/>
      <c r="BZ1106" s="73"/>
      <c r="CA1106" s="73"/>
      <c r="CB1106" s="73"/>
      <c r="CC1106" s="73"/>
      <c r="CD1106" s="73"/>
      <c r="CE1106" s="73"/>
      <c r="CF1106" s="73"/>
      <c r="CG1106" s="73"/>
      <c r="CH1106" s="73"/>
    </row>
    <row r="1107">
      <c r="A1107" s="80"/>
      <c r="B1107" s="80"/>
      <c r="C1107" s="80"/>
      <c r="D1107" s="80"/>
      <c r="E1107" s="124"/>
      <c r="F1107" s="80"/>
      <c r="G1107" s="80"/>
      <c r="H1107" s="80"/>
      <c r="I1107" s="80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09"/>
      <c r="V1107" s="109"/>
      <c r="W1107" s="109"/>
      <c r="X1107" s="109"/>
      <c r="Y1107" s="109"/>
      <c r="Z1107" s="109"/>
      <c r="AA1107" s="109"/>
      <c r="AB1107" s="109"/>
      <c r="AC1107" s="109"/>
      <c r="AD1107" s="109"/>
      <c r="AE1107" s="109"/>
      <c r="AF1107" s="109"/>
      <c r="AG1107" s="109"/>
      <c r="AH1107" s="109"/>
      <c r="AI1107" s="109"/>
      <c r="AJ1107" s="115"/>
      <c r="AK1107" s="80"/>
      <c r="AL1107" s="80"/>
      <c r="AM1107" s="80"/>
      <c r="AN1107" s="80"/>
      <c r="AO1107" s="80"/>
      <c r="AP1107" s="80"/>
      <c r="AQ1107" s="80"/>
      <c r="AR1107" s="73"/>
      <c r="AS1107" s="73"/>
      <c r="AT1107" s="73"/>
      <c r="AU1107" s="73"/>
      <c r="AV1107" s="73"/>
      <c r="AW1107" s="73"/>
      <c r="AX1107" s="73"/>
      <c r="AY1107" s="73"/>
      <c r="AZ1107" s="73"/>
      <c r="BA1107" s="73"/>
      <c r="BB1107" s="73"/>
      <c r="BC1107" s="73"/>
      <c r="BD1107" s="73"/>
      <c r="BE1107" s="73"/>
      <c r="BF1107" s="73"/>
      <c r="BG1107" s="73"/>
      <c r="BH1107" s="73"/>
      <c r="BI1107" s="73"/>
      <c r="BJ1107" s="73"/>
      <c r="BK1107" s="73"/>
      <c r="BL1107" s="73"/>
      <c r="BM1107" s="73"/>
      <c r="BN1107" s="73"/>
      <c r="BO1107" s="73"/>
      <c r="BP1107" s="73"/>
      <c r="BQ1107" s="73"/>
      <c r="BR1107" s="73"/>
      <c r="BS1107" s="73"/>
      <c r="BT1107" s="73"/>
      <c r="BU1107" s="73"/>
      <c r="BV1107" s="73"/>
      <c r="BW1107" s="73"/>
      <c r="BX1107" s="73"/>
      <c r="BY1107" s="73"/>
      <c r="BZ1107" s="73"/>
      <c r="CA1107" s="73"/>
      <c r="CB1107" s="73"/>
      <c r="CC1107" s="73"/>
      <c r="CD1107" s="73"/>
      <c r="CE1107" s="73"/>
      <c r="CF1107" s="73"/>
      <c r="CG1107" s="73"/>
      <c r="CH1107" s="73"/>
    </row>
    <row r="1108">
      <c r="A1108" s="80"/>
      <c r="B1108" s="80"/>
      <c r="C1108" s="80"/>
      <c r="D1108" s="80"/>
      <c r="E1108" s="124"/>
      <c r="F1108" s="80"/>
      <c r="G1108" s="80"/>
      <c r="H1108" s="80"/>
      <c r="I1108" s="80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09"/>
      <c r="V1108" s="109"/>
      <c r="W1108" s="109"/>
      <c r="X1108" s="109"/>
      <c r="Y1108" s="109"/>
      <c r="Z1108" s="109"/>
      <c r="AA1108" s="109"/>
      <c r="AB1108" s="109"/>
      <c r="AC1108" s="109"/>
      <c r="AD1108" s="109"/>
      <c r="AE1108" s="109"/>
      <c r="AF1108" s="109"/>
      <c r="AG1108" s="109"/>
      <c r="AH1108" s="109"/>
      <c r="AI1108" s="109"/>
      <c r="AJ1108" s="115"/>
      <c r="AK1108" s="80"/>
      <c r="AL1108" s="80"/>
      <c r="AM1108" s="80"/>
      <c r="AN1108" s="80"/>
      <c r="AO1108" s="80"/>
      <c r="AP1108" s="80"/>
      <c r="AQ1108" s="80"/>
      <c r="AR1108" s="73"/>
      <c r="AS1108" s="73"/>
      <c r="AT1108" s="73"/>
      <c r="AU1108" s="73"/>
      <c r="AV1108" s="73"/>
      <c r="AW1108" s="73"/>
      <c r="AX1108" s="73"/>
      <c r="AY1108" s="73"/>
      <c r="AZ1108" s="73"/>
      <c r="BA1108" s="73"/>
      <c r="BB1108" s="73"/>
      <c r="BC1108" s="73"/>
      <c r="BD1108" s="73"/>
      <c r="BE1108" s="73"/>
      <c r="BF1108" s="73"/>
      <c r="BG1108" s="73"/>
      <c r="BH1108" s="73"/>
      <c r="BI1108" s="73"/>
      <c r="BJ1108" s="73"/>
      <c r="BK1108" s="73"/>
      <c r="BL1108" s="73"/>
      <c r="BM1108" s="73"/>
      <c r="BN1108" s="73"/>
      <c r="BO1108" s="73"/>
      <c r="BP1108" s="73"/>
      <c r="BQ1108" s="73"/>
      <c r="BR1108" s="73"/>
      <c r="BS1108" s="73"/>
      <c r="BT1108" s="73"/>
      <c r="BU1108" s="73"/>
      <c r="BV1108" s="73"/>
      <c r="BW1108" s="73"/>
      <c r="BX1108" s="73"/>
      <c r="BY1108" s="73"/>
      <c r="BZ1108" s="73"/>
      <c r="CA1108" s="73"/>
      <c r="CB1108" s="73"/>
      <c r="CC1108" s="73"/>
      <c r="CD1108" s="73"/>
      <c r="CE1108" s="73"/>
      <c r="CF1108" s="73"/>
      <c r="CG1108" s="73"/>
      <c r="CH1108" s="73"/>
    </row>
    <row r="1109">
      <c r="A1109" s="80"/>
      <c r="B1109" s="80"/>
      <c r="C1109" s="80"/>
      <c r="D1109" s="80"/>
      <c r="E1109" s="124"/>
      <c r="F1109" s="80"/>
      <c r="G1109" s="80"/>
      <c r="H1109" s="80"/>
      <c r="I1109" s="80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09"/>
      <c r="V1109" s="109"/>
      <c r="W1109" s="109"/>
      <c r="X1109" s="109"/>
      <c r="Y1109" s="109"/>
      <c r="Z1109" s="109"/>
      <c r="AA1109" s="109"/>
      <c r="AB1109" s="109"/>
      <c r="AC1109" s="109"/>
      <c r="AD1109" s="109"/>
      <c r="AE1109" s="109"/>
      <c r="AF1109" s="109"/>
      <c r="AG1109" s="109"/>
      <c r="AH1109" s="109"/>
      <c r="AI1109" s="109"/>
      <c r="AJ1109" s="115"/>
      <c r="AK1109" s="80"/>
      <c r="AL1109" s="80"/>
      <c r="AM1109" s="80"/>
      <c r="AN1109" s="80"/>
      <c r="AO1109" s="80"/>
      <c r="AP1109" s="80"/>
      <c r="AQ1109" s="80"/>
      <c r="AR1109" s="73"/>
      <c r="AS1109" s="73"/>
      <c r="AT1109" s="73"/>
      <c r="AU1109" s="73"/>
      <c r="AV1109" s="73"/>
      <c r="AW1109" s="73"/>
      <c r="AX1109" s="73"/>
      <c r="AY1109" s="73"/>
      <c r="AZ1109" s="73"/>
      <c r="BA1109" s="73"/>
      <c r="BB1109" s="73"/>
      <c r="BC1109" s="73"/>
      <c r="BD1109" s="73"/>
      <c r="BE1109" s="73"/>
      <c r="BF1109" s="73"/>
      <c r="BG1109" s="73"/>
      <c r="BH1109" s="73"/>
      <c r="BI1109" s="73"/>
      <c r="BJ1109" s="73"/>
      <c r="BK1109" s="73"/>
      <c r="BL1109" s="73"/>
      <c r="BM1109" s="73"/>
      <c r="BN1109" s="73"/>
      <c r="BO1109" s="73"/>
      <c r="BP1109" s="73"/>
      <c r="BQ1109" s="73"/>
      <c r="BR1109" s="73"/>
      <c r="BS1109" s="73"/>
      <c r="BT1109" s="73"/>
      <c r="BU1109" s="73"/>
      <c r="BV1109" s="73"/>
      <c r="BW1109" s="73"/>
      <c r="BX1109" s="73"/>
      <c r="BY1109" s="73"/>
      <c r="BZ1109" s="73"/>
      <c r="CA1109" s="73"/>
      <c r="CB1109" s="73"/>
      <c r="CC1109" s="73"/>
      <c r="CD1109" s="73"/>
      <c r="CE1109" s="73"/>
      <c r="CF1109" s="73"/>
      <c r="CG1109" s="73"/>
      <c r="CH1109" s="73"/>
    </row>
    <row r="1110">
      <c r="A1110" s="80"/>
      <c r="B1110" s="80"/>
      <c r="C1110" s="80"/>
      <c r="D1110" s="80"/>
      <c r="E1110" s="124"/>
      <c r="F1110" s="80"/>
      <c r="G1110" s="80"/>
      <c r="H1110" s="80"/>
      <c r="I1110" s="80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09"/>
      <c r="V1110" s="109"/>
      <c r="W1110" s="109"/>
      <c r="X1110" s="109"/>
      <c r="Y1110" s="109"/>
      <c r="Z1110" s="109"/>
      <c r="AA1110" s="109"/>
      <c r="AB1110" s="109"/>
      <c r="AC1110" s="109"/>
      <c r="AD1110" s="109"/>
      <c r="AE1110" s="109"/>
      <c r="AF1110" s="109"/>
      <c r="AG1110" s="109"/>
      <c r="AH1110" s="109"/>
      <c r="AI1110" s="109"/>
      <c r="AJ1110" s="115"/>
      <c r="AK1110" s="80"/>
      <c r="AL1110" s="80"/>
      <c r="AM1110" s="80"/>
      <c r="AN1110" s="80"/>
      <c r="AO1110" s="80"/>
      <c r="AP1110" s="80"/>
      <c r="AQ1110" s="80"/>
      <c r="AR1110" s="73"/>
      <c r="AS1110" s="73"/>
      <c r="AT1110" s="73"/>
      <c r="AU1110" s="73"/>
      <c r="AV1110" s="73"/>
      <c r="AW1110" s="73"/>
      <c r="AX1110" s="73"/>
      <c r="AY1110" s="73"/>
      <c r="AZ1110" s="73"/>
      <c r="BA1110" s="73"/>
      <c r="BB1110" s="73"/>
      <c r="BC1110" s="73"/>
      <c r="BD1110" s="73"/>
      <c r="BE1110" s="73"/>
      <c r="BF1110" s="73"/>
      <c r="BG1110" s="73"/>
      <c r="BH1110" s="73"/>
      <c r="BI1110" s="73"/>
      <c r="BJ1110" s="73"/>
      <c r="BK1110" s="73"/>
      <c r="BL1110" s="73"/>
      <c r="BM1110" s="73"/>
      <c r="BN1110" s="73"/>
      <c r="BO1110" s="73"/>
      <c r="BP1110" s="73"/>
      <c r="BQ1110" s="73"/>
      <c r="BR1110" s="73"/>
      <c r="BS1110" s="73"/>
      <c r="BT1110" s="73"/>
      <c r="BU1110" s="73"/>
      <c r="BV1110" s="73"/>
      <c r="BW1110" s="73"/>
      <c r="BX1110" s="73"/>
      <c r="BY1110" s="73"/>
      <c r="BZ1110" s="73"/>
      <c r="CA1110" s="73"/>
      <c r="CB1110" s="73"/>
      <c r="CC1110" s="73"/>
      <c r="CD1110" s="73"/>
      <c r="CE1110" s="73"/>
      <c r="CF1110" s="73"/>
      <c r="CG1110" s="73"/>
      <c r="CH1110" s="73"/>
    </row>
    <row r="1111">
      <c r="A1111" s="80"/>
      <c r="B1111" s="80"/>
      <c r="C1111" s="80"/>
      <c r="D1111" s="80"/>
      <c r="E1111" s="124"/>
      <c r="F1111" s="80"/>
      <c r="G1111" s="80"/>
      <c r="H1111" s="80"/>
      <c r="I1111" s="80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09"/>
      <c r="V1111" s="109"/>
      <c r="W1111" s="109"/>
      <c r="X1111" s="109"/>
      <c r="Y1111" s="109"/>
      <c r="Z1111" s="109"/>
      <c r="AA1111" s="109"/>
      <c r="AB1111" s="109"/>
      <c r="AC1111" s="109"/>
      <c r="AD1111" s="109"/>
      <c r="AE1111" s="109"/>
      <c r="AF1111" s="109"/>
      <c r="AG1111" s="109"/>
      <c r="AH1111" s="109"/>
      <c r="AI1111" s="109"/>
      <c r="AJ1111" s="115"/>
      <c r="AK1111" s="80"/>
      <c r="AL1111" s="80"/>
      <c r="AM1111" s="80"/>
      <c r="AN1111" s="80"/>
      <c r="AO1111" s="80"/>
      <c r="AP1111" s="80"/>
      <c r="AQ1111" s="80"/>
      <c r="AR1111" s="73"/>
      <c r="AS1111" s="73"/>
      <c r="AT1111" s="73"/>
      <c r="AU1111" s="73"/>
      <c r="AV1111" s="73"/>
      <c r="AW1111" s="73"/>
      <c r="AX1111" s="73"/>
      <c r="AY1111" s="73"/>
      <c r="AZ1111" s="73"/>
      <c r="BA1111" s="73"/>
      <c r="BB1111" s="73"/>
      <c r="BC1111" s="73"/>
      <c r="BD1111" s="73"/>
      <c r="BE1111" s="73"/>
      <c r="BF1111" s="73"/>
      <c r="BG1111" s="73"/>
      <c r="BH1111" s="73"/>
      <c r="BI1111" s="73"/>
      <c r="BJ1111" s="73"/>
      <c r="BK1111" s="73"/>
      <c r="BL1111" s="73"/>
      <c r="BM1111" s="73"/>
      <c r="BN1111" s="73"/>
      <c r="BO1111" s="73"/>
      <c r="BP1111" s="73"/>
      <c r="BQ1111" s="73"/>
      <c r="BR1111" s="73"/>
      <c r="BS1111" s="73"/>
      <c r="BT1111" s="73"/>
      <c r="BU1111" s="73"/>
      <c r="BV1111" s="73"/>
      <c r="BW1111" s="73"/>
      <c r="BX1111" s="73"/>
      <c r="BY1111" s="73"/>
      <c r="BZ1111" s="73"/>
      <c r="CA1111" s="73"/>
      <c r="CB1111" s="73"/>
      <c r="CC1111" s="73"/>
      <c r="CD1111" s="73"/>
      <c r="CE1111" s="73"/>
      <c r="CF1111" s="73"/>
      <c r="CG1111" s="73"/>
      <c r="CH1111" s="73"/>
    </row>
    <row r="1112">
      <c r="A1112" s="80"/>
      <c r="B1112" s="80"/>
      <c r="C1112" s="80"/>
      <c r="D1112" s="80"/>
      <c r="E1112" s="124"/>
      <c r="F1112" s="80"/>
      <c r="G1112" s="80"/>
      <c r="H1112" s="80"/>
      <c r="I1112" s="80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09"/>
      <c r="V1112" s="109"/>
      <c r="W1112" s="109"/>
      <c r="X1112" s="109"/>
      <c r="Y1112" s="109"/>
      <c r="Z1112" s="109"/>
      <c r="AA1112" s="109"/>
      <c r="AB1112" s="109"/>
      <c r="AC1112" s="109"/>
      <c r="AD1112" s="109"/>
      <c r="AE1112" s="109"/>
      <c r="AF1112" s="109"/>
      <c r="AG1112" s="109"/>
      <c r="AH1112" s="109"/>
      <c r="AI1112" s="109"/>
      <c r="AJ1112" s="115"/>
      <c r="AK1112" s="80"/>
      <c r="AL1112" s="80"/>
      <c r="AM1112" s="80"/>
      <c r="AN1112" s="80"/>
      <c r="AO1112" s="80"/>
      <c r="AP1112" s="80"/>
      <c r="AQ1112" s="80"/>
      <c r="AR1112" s="73"/>
      <c r="AS1112" s="73"/>
      <c r="AT1112" s="73"/>
      <c r="AU1112" s="73"/>
      <c r="AV1112" s="73"/>
      <c r="AW1112" s="73"/>
      <c r="AX1112" s="73"/>
      <c r="AY1112" s="73"/>
      <c r="AZ1112" s="73"/>
      <c r="BA1112" s="73"/>
      <c r="BB1112" s="73"/>
      <c r="BC1112" s="73"/>
      <c r="BD1112" s="73"/>
      <c r="BE1112" s="73"/>
      <c r="BF1112" s="73"/>
      <c r="BG1112" s="73"/>
      <c r="BH1112" s="73"/>
      <c r="BI1112" s="73"/>
      <c r="BJ1112" s="73"/>
      <c r="BK1112" s="73"/>
      <c r="BL1112" s="73"/>
      <c r="BM1112" s="73"/>
      <c r="BN1112" s="73"/>
      <c r="BO1112" s="73"/>
      <c r="BP1112" s="73"/>
      <c r="BQ1112" s="73"/>
      <c r="BR1112" s="73"/>
      <c r="BS1112" s="73"/>
      <c r="BT1112" s="73"/>
      <c r="BU1112" s="73"/>
      <c r="BV1112" s="73"/>
      <c r="BW1112" s="73"/>
      <c r="BX1112" s="73"/>
      <c r="BY1112" s="73"/>
      <c r="BZ1112" s="73"/>
      <c r="CA1112" s="73"/>
      <c r="CB1112" s="73"/>
      <c r="CC1112" s="73"/>
      <c r="CD1112" s="73"/>
      <c r="CE1112" s="73"/>
      <c r="CF1112" s="73"/>
      <c r="CG1112" s="73"/>
      <c r="CH1112" s="73"/>
    </row>
    <row r="1113">
      <c r="A1113" s="80"/>
      <c r="B1113" s="80"/>
      <c r="C1113" s="80"/>
      <c r="D1113" s="80"/>
      <c r="E1113" s="124"/>
      <c r="F1113" s="80"/>
      <c r="G1113" s="80"/>
      <c r="H1113" s="80"/>
      <c r="I1113" s="80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09"/>
      <c r="V1113" s="109"/>
      <c r="W1113" s="109"/>
      <c r="X1113" s="109"/>
      <c r="Y1113" s="109"/>
      <c r="Z1113" s="109"/>
      <c r="AA1113" s="109"/>
      <c r="AB1113" s="109"/>
      <c r="AC1113" s="109"/>
      <c r="AD1113" s="109"/>
      <c r="AE1113" s="109"/>
      <c r="AF1113" s="109"/>
      <c r="AG1113" s="109"/>
      <c r="AH1113" s="109"/>
      <c r="AI1113" s="109"/>
      <c r="AJ1113" s="115"/>
      <c r="AK1113" s="80"/>
      <c r="AL1113" s="80"/>
      <c r="AM1113" s="80"/>
      <c r="AN1113" s="80"/>
      <c r="AO1113" s="80"/>
      <c r="AP1113" s="80"/>
      <c r="AQ1113" s="80"/>
      <c r="AR1113" s="73"/>
      <c r="AS1113" s="73"/>
      <c r="AT1113" s="73"/>
      <c r="AU1113" s="73"/>
      <c r="AV1113" s="73"/>
      <c r="AW1113" s="73"/>
      <c r="AX1113" s="73"/>
      <c r="AY1113" s="73"/>
      <c r="AZ1113" s="73"/>
      <c r="BA1113" s="73"/>
      <c r="BB1113" s="73"/>
      <c r="BC1113" s="73"/>
      <c r="BD1113" s="73"/>
      <c r="BE1113" s="73"/>
      <c r="BF1113" s="73"/>
      <c r="BG1113" s="73"/>
      <c r="BH1113" s="73"/>
      <c r="BI1113" s="73"/>
      <c r="BJ1113" s="73"/>
      <c r="BK1113" s="73"/>
      <c r="BL1113" s="73"/>
      <c r="BM1113" s="73"/>
      <c r="BN1113" s="73"/>
      <c r="BO1113" s="73"/>
      <c r="BP1113" s="73"/>
      <c r="BQ1113" s="73"/>
      <c r="BR1113" s="73"/>
      <c r="BS1113" s="73"/>
      <c r="BT1113" s="73"/>
      <c r="BU1113" s="73"/>
      <c r="BV1113" s="73"/>
      <c r="BW1113" s="73"/>
      <c r="BX1113" s="73"/>
      <c r="BY1113" s="73"/>
      <c r="BZ1113" s="73"/>
      <c r="CA1113" s="73"/>
      <c r="CB1113" s="73"/>
      <c r="CC1113" s="73"/>
      <c r="CD1113" s="73"/>
      <c r="CE1113" s="73"/>
      <c r="CF1113" s="73"/>
      <c r="CG1113" s="73"/>
      <c r="CH1113" s="73"/>
    </row>
    <row r="1114">
      <c r="A1114" s="80"/>
      <c r="B1114" s="80"/>
      <c r="C1114" s="80"/>
      <c r="D1114" s="80"/>
      <c r="E1114" s="124"/>
      <c r="F1114" s="80"/>
      <c r="G1114" s="80"/>
      <c r="H1114" s="80"/>
      <c r="I1114" s="80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09"/>
      <c r="V1114" s="109"/>
      <c r="W1114" s="109"/>
      <c r="X1114" s="109"/>
      <c r="Y1114" s="109"/>
      <c r="Z1114" s="109"/>
      <c r="AA1114" s="109"/>
      <c r="AB1114" s="109"/>
      <c r="AC1114" s="109"/>
      <c r="AD1114" s="109"/>
      <c r="AE1114" s="109"/>
      <c r="AF1114" s="109"/>
      <c r="AG1114" s="109"/>
      <c r="AH1114" s="109"/>
      <c r="AI1114" s="109"/>
      <c r="AJ1114" s="115"/>
      <c r="AK1114" s="80"/>
      <c r="AL1114" s="80"/>
      <c r="AM1114" s="80"/>
      <c r="AN1114" s="80"/>
      <c r="AO1114" s="80"/>
      <c r="AP1114" s="80"/>
      <c r="AQ1114" s="80"/>
      <c r="AR1114" s="73"/>
      <c r="AS1114" s="73"/>
      <c r="AT1114" s="73"/>
      <c r="AU1114" s="73"/>
      <c r="AV1114" s="73"/>
      <c r="AW1114" s="73"/>
      <c r="AX1114" s="73"/>
      <c r="AY1114" s="73"/>
      <c r="AZ1114" s="73"/>
      <c r="BA1114" s="73"/>
      <c r="BB1114" s="73"/>
      <c r="BC1114" s="73"/>
      <c r="BD1114" s="73"/>
      <c r="BE1114" s="73"/>
      <c r="BF1114" s="73"/>
      <c r="BG1114" s="73"/>
      <c r="BH1114" s="73"/>
      <c r="BI1114" s="73"/>
      <c r="BJ1114" s="73"/>
      <c r="BK1114" s="73"/>
      <c r="BL1114" s="73"/>
      <c r="BM1114" s="73"/>
      <c r="BN1114" s="73"/>
      <c r="BO1114" s="73"/>
      <c r="BP1114" s="73"/>
      <c r="BQ1114" s="73"/>
      <c r="BR1114" s="73"/>
      <c r="BS1114" s="73"/>
      <c r="BT1114" s="73"/>
      <c r="BU1114" s="73"/>
      <c r="BV1114" s="73"/>
      <c r="BW1114" s="73"/>
      <c r="BX1114" s="73"/>
      <c r="BY1114" s="73"/>
      <c r="BZ1114" s="73"/>
      <c r="CA1114" s="73"/>
      <c r="CB1114" s="73"/>
      <c r="CC1114" s="73"/>
      <c r="CD1114" s="73"/>
      <c r="CE1114" s="73"/>
      <c r="CF1114" s="73"/>
      <c r="CG1114" s="73"/>
      <c r="CH1114" s="73"/>
    </row>
    <row r="1115">
      <c r="A1115" s="80"/>
      <c r="B1115" s="80"/>
      <c r="C1115" s="80"/>
      <c r="D1115" s="80"/>
      <c r="E1115" s="124"/>
      <c r="F1115" s="80"/>
      <c r="G1115" s="80"/>
      <c r="H1115" s="80"/>
      <c r="I1115" s="80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09"/>
      <c r="V1115" s="109"/>
      <c r="W1115" s="109"/>
      <c r="X1115" s="109"/>
      <c r="Y1115" s="109"/>
      <c r="Z1115" s="109"/>
      <c r="AA1115" s="109"/>
      <c r="AB1115" s="109"/>
      <c r="AC1115" s="109"/>
      <c r="AD1115" s="109"/>
      <c r="AE1115" s="109"/>
      <c r="AF1115" s="109"/>
      <c r="AG1115" s="109"/>
      <c r="AH1115" s="109"/>
      <c r="AI1115" s="109"/>
      <c r="AJ1115" s="115"/>
      <c r="AK1115" s="80"/>
      <c r="AL1115" s="80"/>
      <c r="AM1115" s="80"/>
      <c r="AN1115" s="80"/>
      <c r="AO1115" s="80"/>
      <c r="AP1115" s="80"/>
      <c r="AQ1115" s="80"/>
      <c r="AR1115" s="73"/>
      <c r="AS1115" s="73"/>
      <c r="AT1115" s="73"/>
      <c r="AU1115" s="73"/>
      <c r="AV1115" s="73"/>
      <c r="AW1115" s="73"/>
      <c r="AX1115" s="73"/>
      <c r="AY1115" s="73"/>
      <c r="AZ1115" s="73"/>
      <c r="BA1115" s="73"/>
      <c r="BB1115" s="73"/>
      <c r="BC1115" s="73"/>
      <c r="BD1115" s="73"/>
      <c r="BE1115" s="73"/>
      <c r="BF1115" s="73"/>
      <c r="BG1115" s="73"/>
      <c r="BH1115" s="73"/>
      <c r="BI1115" s="73"/>
      <c r="BJ1115" s="73"/>
      <c r="BK1115" s="73"/>
      <c r="BL1115" s="73"/>
      <c r="BM1115" s="73"/>
      <c r="BN1115" s="73"/>
      <c r="BO1115" s="73"/>
      <c r="BP1115" s="73"/>
      <c r="BQ1115" s="73"/>
      <c r="BR1115" s="73"/>
      <c r="BS1115" s="73"/>
      <c r="BT1115" s="73"/>
      <c r="BU1115" s="73"/>
      <c r="BV1115" s="73"/>
      <c r="BW1115" s="73"/>
      <c r="BX1115" s="73"/>
      <c r="BY1115" s="73"/>
      <c r="BZ1115" s="73"/>
      <c r="CA1115" s="73"/>
      <c r="CB1115" s="73"/>
      <c r="CC1115" s="73"/>
      <c r="CD1115" s="73"/>
      <c r="CE1115" s="73"/>
      <c r="CF1115" s="73"/>
      <c r="CG1115" s="73"/>
      <c r="CH1115" s="73"/>
    </row>
    <row r="1116">
      <c r="A1116" s="80"/>
      <c r="B1116" s="80"/>
      <c r="C1116" s="80"/>
      <c r="D1116" s="80"/>
      <c r="E1116" s="124"/>
      <c r="F1116" s="80"/>
      <c r="G1116" s="80"/>
      <c r="H1116" s="80"/>
      <c r="I1116" s="80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09"/>
      <c r="V1116" s="109"/>
      <c r="W1116" s="109"/>
      <c r="X1116" s="109"/>
      <c r="Y1116" s="109"/>
      <c r="Z1116" s="109"/>
      <c r="AA1116" s="109"/>
      <c r="AB1116" s="109"/>
      <c r="AC1116" s="109"/>
      <c r="AD1116" s="109"/>
      <c r="AE1116" s="109"/>
      <c r="AF1116" s="109"/>
      <c r="AG1116" s="109"/>
      <c r="AH1116" s="109"/>
      <c r="AI1116" s="109"/>
      <c r="AJ1116" s="115"/>
      <c r="AK1116" s="80"/>
      <c r="AL1116" s="80"/>
      <c r="AM1116" s="80"/>
      <c r="AN1116" s="80"/>
      <c r="AO1116" s="80"/>
      <c r="AP1116" s="80"/>
      <c r="AQ1116" s="80"/>
      <c r="AR1116" s="73"/>
      <c r="AS1116" s="73"/>
      <c r="AT1116" s="73"/>
      <c r="AU1116" s="73"/>
      <c r="AV1116" s="73"/>
      <c r="AW1116" s="73"/>
      <c r="AX1116" s="73"/>
      <c r="AY1116" s="73"/>
      <c r="AZ1116" s="73"/>
      <c r="BA1116" s="73"/>
      <c r="BB1116" s="73"/>
      <c r="BC1116" s="73"/>
      <c r="BD1116" s="73"/>
      <c r="BE1116" s="73"/>
      <c r="BF1116" s="73"/>
      <c r="BG1116" s="73"/>
      <c r="BH1116" s="73"/>
      <c r="BI1116" s="73"/>
      <c r="BJ1116" s="73"/>
      <c r="BK1116" s="73"/>
      <c r="BL1116" s="73"/>
      <c r="BM1116" s="73"/>
      <c r="BN1116" s="73"/>
      <c r="BO1116" s="73"/>
      <c r="BP1116" s="73"/>
      <c r="BQ1116" s="73"/>
      <c r="BR1116" s="73"/>
      <c r="BS1116" s="73"/>
      <c r="BT1116" s="73"/>
      <c r="BU1116" s="73"/>
      <c r="BV1116" s="73"/>
      <c r="BW1116" s="73"/>
      <c r="BX1116" s="73"/>
      <c r="BY1116" s="73"/>
      <c r="BZ1116" s="73"/>
      <c r="CA1116" s="73"/>
      <c r="CB1116" s="73"/>
      <c r="CC1116" s="73"/>
      <c r="CD1116" s="73"/>
      <c r="CE1116" s="73"/>
      <c r="CF1116" s="73"/>
      <c r="CG1116" s="73"/>
      <c r="CH1116" s="73"/>
    </row>
    <row r="1117">
      <c r="A1117" s="80"/>
      <c r="B1117" s="80"/>
      <c r="C1117" s="80"/>
      <c r="D1117" s="80"/>
      <c r="E1117" s="124"/>
      <c r="F1117" s="80"/>
      <c r="G1117" s="80"/>
      <c r="H1117" s="80"/>
      <c r="I1117" s="80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09"/>
      <c r="V1117" s="109"/>
      <c r="W1117" s="109"/>
      <c r="X1117" s="109"/>
      <c r="Y1117" s="109"/>
      <c r="Z1117" s="109"/>
      <c r="AA1117" s="109"/>
      <c r="AB1117" s="109"/>
      <c r="AC1117" s="109"/>
      <c r="AD1117" s="109"/>
      <c r="AE1117" s="109"/>
      <c r="AF1117" s="109"/>
      <c r="AG1117" s="109"/>
      <c r="AH1117" s="109"/>
      <c r="AI1117" s="109"/>
      <c r="AJ1117" s="115"/>
      <c r="AK1117" s="80"/>
      <c r="AL1117" s="80"/>
      <c r="AM1117" s="80"/>
      <c r="AN1117" s="80"/>
      <c r="AO1117" s="80"/>
      <c r="AP1117" s="80"/>
      <c r="AQ1117" s="80"/>
      <c r="AR1117" s="73"/>
      <c r="AS1117" s="73"/>
      <c r="AT1117" s="73"/>
      <c r="AU1117" s="73"/>
      <c r="AV1117" s="73"/>
      <c r="AW1117" s="73"/>
      <c r="AX1117" s="73"/>
      <c r="AY1117" s="73"/>
      <c r="AZ1117" s="73"/>
      <c r="BA1117" s="73"/>
      <c r="BB1117" s="73"/>
      <c r="BC1117" s="73"/>
      <c r="BD1117" s="73"/>
      <c r="BE1117" s="73"/>
      <c r="BF1117" s="73"/>
      <c r="BG1117" s="73"/>
      <c r="BH1117" s="73"/>
      <c r="BI1117" s="73"/>
      <c r="BJ1117" s="73"/>
      <c r="BK1117" s="73"/>
      <c r="BL1117" s="73"/>
      <c r="BM1117" s="73"/>
      <c r="BN1117" s="73"/>
      <c r="BO1117" s="73"/>
      <c r="BP1117" s="73"/>
      <c r="BQ1117" s="73"/>
      <c r="BR1117" s="73"/>
      <c r="BS1117" s="73"/>
      <c r="BT1117" s="73"/>
      <c r="BU1117" s="73"/>
      <c r="BV1117" s="73"/>
      <c r="BW1117" s="73"/>
      <c r="BX1117" s="73"/>
      <c r="BY1117" s="73"/>
      <c r="BZ1117" s="73"/>
      <c r="CA1117" s="73"/>
      <c r="CB1117" s="73"/>
      <c r="CC1117" s="73"/>
      <c r="CD1117" s="73"/>
      <c r="CE1117" s="73"/>
      <c r="CF1117" s="73"/>
      <c r="CG1117" s="73"/>
      <c r="CH1117" s="73"/>
    </row>
    <row r="1118">
      <c r="A1118" s="80"/>
      <c r="B1118" s="80"/>
      <c r="C1118" s="80"/>
      <c r="D1118" s="80"/>
      <c r="E1118" s="124"/>
      <c r="F1118" s="80"/>
      <c r="G1118" s="80"/>
      <c r="H1118" s="80"/>
      <c r="I1118" s="80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09"/>
      <c r="V1118" s="109"/>
      <c r="W1118" s="109"/>
      <c r="X1118" s="109"/>
      <c r="Y1118" s="109"/>
      <c r="Z1118" s="109"/>
      <c r="AA1118" s="109"/>
      <c r="AB1118" s="109"/>
      <c r="AC1118" s="109"/>
      <c r="AD1118" s="109"/>
      <c r="AE1118" s="109"/>
      <c r="AF1118" s="109"/>
      <c r="AG1118" s="109"/>
      <c r="AH1118" s="109"/>
      <c r="AI1118" s="109"/>
      <c r="AJ1118" s="115"/>
      <c r="AK1118" s="80"/>
      <c r="AL1118" s="80"/>
      <c r="AM1118" s="80"/>
      <c r="AN1118" s="80"/>
      <c r="AO1118" s="80"/>
      <c r="AP1118" s="80"/>
      <c r="AQ1118" s="80"/>
      <c r="AR1118" s="73"/>
      <c r="AS1118" s="73"/>
      <c r="AT1118" s="73"/>
      <c r="AU1118" s="73"/>
      <c r="AV1118" s="73"/>
      <c r="AW1118" s="73"/>
      <c r="AX1118" s="73"/>
      <c r="AY1118" s="73"/>
      <c r="AZ1118" s="73"/>
      <c r="BA1118" s="73"/>
      <c r="BB1118" s="73"/>
      <c r="BC1118" s="73"/>
      <c r="BD1118" s="73"/>
      <c r="BE1118" s="73"/>
      <c r="BF1118" s="73"/>
      <c r="BG1118" s="73"/>
      <c r="BH1118" s="73"/>
      <c r="BI1118" s="73"/>
      <c r="BJ1118" s="73"/>
      <c r="BK1118" s="73"/>
      <c r="BL1118" s="73"/>
      <c r="BM1118" s="73"/>
      <c r="BN1118" s="73"/>
      <c r="BO1118" s="73"/>
      <c r="BP1118" s="73"/>
      <c r="BQ1118" s="73"/>
      <c r="BR1118" s="73"/>
      <c r="BS1118" s="73"/>
      <c r="BT1118" s="73"/>
      <c r="BU1118" s="73"/>
      <c r="BV1118" s="73"/>
      <c r="BW1118" s="73"/>
      <c r="BX1118" s="73"/>
      <c r="BY1118" s="73"/>
      <c r="BZ1118" s="73"/>
      <c r="CA1118" s="73"/>
      <c r="CB1118" s="73"/>
      <c r="CC1118" s="73"/>
      <c r="CD1118" s="73"/>
      <c r="CE1118" s="73"/>
      <c r="CF1118" s="73"/>
      <c r="CG1118" s="73"/>
      <c r="CH1118" s="73"/>
    </row>
    <row r="1119">
      <c r="A1119" s="80"/>
      <c r="B1119" s="80"/>
      <c r="C1119" s="80"/>
      <c r="D1119" s="80"/>
      <c r="E1119" s="124"/>
      <c r="F1119" s="80"/>
      <c r="G1119" s="80"/>
      <c r="H1119" s="80"/>
      <c r="I1119" s="80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09"/>
      <c r="V1119" s="109"/>
      <c r="W1119" s="109"/>
      <c r="X1119" s="109"/>
      <c r="Y1119" s="109"/>
      <c r="Z1119" s="109"/>
      <c r="AA1119" s="109"/>
      <c r="AB1119" s="109"/>
      <c r="AC1119" s="109"/>
      <c r="AD1119" s="109"/>
      <c r="AE1119" s="109"/>
      <c r="AF1119" s="109"/>
      <c r="AG1119" s="109"/>
      <c r="AH1119" s="109"/>
      <c r="AI1119" s="109"/>
      <c r="AJ1119" s="115"/>
      <c r="AK1119" s="80"/>
      <c r="AL1119" s="80"/>
      <c r="AM1119" s="80"/>
      <c r="AN1119" s="80"/>
      <c r="AO1119" s="80"/>
      <c r="AP1119" s="80"/>
      <c r="AQ1119" s="80"/>
      <c r="AR1119" s="73"/>
      <c r="AS1119" s="73"/>
      <c r="AT1119" s="73"/>
      <c r="AU1119" s="73"/>
      <c r="AV1119" s="73"/>
      <c r="AW1119" s="73"/>
      <c r="AX1119" s="73"/>
      <c r="AY1119" s="73"/>
      <c r="AZ1119" s="73"/>
      <c r="BA1119" s="73"/>
      <c r="BB1119" s="73"/>
      <c r="BC1119" s="73"/>
      <c r="BD1119" s="73"/>
      <c r="BE1119" s="73"/>
      <c r="BF1119" s="73"/>
      <c r="BG1119" s="73"/>
      <c r="BH1119" s="73"/>
      <c r="BI1119" s="73"/>
      <c r="BJ1119" s="73"/>
      <c r="BK1119" s="73"/>
      <c r="BL1119" s="73"/>
      <c r="BM1119" s="73"/>
      <c r="BN1119" s="73"/>
      <c r="BO1119" s="73"/>
      <c r="BP1119" s="73"/>
      <c r="BQ1119" s="73"/>
      <c r="BR1119" s="73"/>
      <c r="BS1119" s="73"/>
      <c r="BT1119" s="73"/>
      <c r="BU1119" s="73"/>
      <c r="BV1119" s="73"/>
      <c r="BW1119" s="73"/>
      <c r="BX1119" s="73"/>
      <c r="BY1119" s="73"/>
      <c r="BZ1119" s="73"/>
      <c r="CA1119" s="73"/>
      <c r="CB1119" s="73"/>
      <c r="CC1119" s="73"/>
      <c r="CD1119" s="73"/>
      <c r="CE1119" s="73"/>
      <c r="CF1119" s="73"/>
      <c r="CG1119" s="73"/>
      <c r="CH1119" s="73"/>
    </row>
    <row r="1120">
      <c r="A1120" s="80"/>
      <c r="B1120" s="80"/>
      <c r="C1120" s="80"/>
      <c r="D1120" s="80"/>
      <c r="E1120" s="124"/>
      <c r="F1120" s="80"/>
      <c r="G1120" s="80"/>
      <c r="H1120" s="80"/>
      <c r="I1120" s="80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09"/>
      <c r="V1120" s="109"/>
      <c r="W1120" s="109"/>
      <c r="X1120" s="109"/>
      <c r="Y1120" s="109"/>
      <c r="Z1120" s="109"/>
      <c r="AA1120" s="109"/>
      <c r="AB1120" s="109"/>
      <c r="AC1120" s="109"/>
      <c r="AD1120" s="109"/>
      <c r="AE1120" s="109"/>
      <c r="AF1120" s="109"/>
      <c r="AG1120" s="109"/>
      <c r="AH1120" s="109"/>
      <c r="AI1120" s="109"/>
      <c r="AJ1120" s="115"/>
      <c r="AK1120" s="80"/>
      <c r="AL1120" s="80"/>
      <c r="AM1120" s="80"/>
      <c r="AN1120" s="80"/>
      <c r="AO1120" s="80"/>
      <c r="AP1120" s="80"/>
      <c r="AQ1120" s="80"/>
      <c r="AR1120" s="73"/>
      <c r="AS1120" s="73"/>
      <c r="AT1120" s="73"/>
      <c r="AU1120" s="73"/>
      <c r="AV1120" s="73"/>
      <c r="AW1120" s="73"/>
      <c r="AX1120" s="73"/>
      <c r="AY1120" s="73"/>
      <c r="AZ1120" s="73"/>
      <c r="BA1120" s="73"/>
      <c r="BB1120" s="73"/>
      <c r="BC1120" s="73"/>
      <c r="BD1120" s="73"/>
      <c r="BE1120" s="73"/>
      <c r="BF1120" s="73"/>
      <c r="BG1120" s="73"/>
      <c r="BH1120" s="73"/>
      <c r="BI1120" s="73"/>
      <c r="BJ1120" s="73"/>
      <c r="BK1120" s="73"/>
      <c r="BL1120" s="73"/>
      <c r="BM1120" s="73"/>
      <c r="BN1120" s="73"/>
      <c r="BO1120" s="73"/>
      <c r="BP1120" s="73"/>
      <c r="BQ1120" s="73"/>
      <c r="BR1120" s="73"/>
      <c r="BS1120" s="73"/>
      <c r="BT1120" s="73"/>
      <c r="BU1120" s="73"/>
      <c r="BV1120" s="73"/>
      <c r="BW1120" s="73"/>
      <c r="BX1120" s="73"/>
      <c r="BY1120" s="73"/>
      <c r="BZ1120" s="73"/>
      <c r="CA1120" s="73"/>
      <c r="CB1120" s="73"/>
      <c r="CC1120" s="73"/>
      <c r="CD1120" s="73"/>
      <c r="CE1120" s="73"/>
      <c r="CF1120" s="73"/>
      <c r="CG1120" s="73"/>
      <c r="CH1120" s="73"/>
    </row>
    <row r="1121">
      <c r="A1121" s="80"/>
      <c r="B1121" s="80"/>
      <c r="C1121" s="80"/>
      <c r="D1121" s="80"/>
      <c r="E1121" s="124"/>
      <c r="F1121" s="80"/>
      <c r="G1121" s="80"/>
      <c r="H1121" s="80"/>
      <c r="I1121" s="80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09"/>
      <c r="V1121" s="109"/>
      <c r="W1121" s="109"/>
      <c r="X1121" s="109"/>
      <c r="Y1121" s="109"/>
      <c r="Z1121" s="109"/>
      <c r="AA1121" s="109"/>
      <c r="AB1121" s="109"/>
      <c r="AC1121" s="109"/>
      <c r="AD1121" s="109"/>
      <c r="AE1121" s="109"/>
      <c r="AF1121" s="109"/>
      <c r="AG1121" s="109"/>
      <c r="AH1121" s="109"/>
      <c r="AI1121" s="109"/>
      <c r="AJ1121" s="115"/>
      <c r="AK1121" s="80"/>
      <c r="AL1121" s="80"/>
      <c r="AM1121" s="80"/>
      <c r="AN1121" s="80"/>
      <c r="AO1121" s="80"/>
      <c r="AP1121" s="80"/>
      <c r="AQ1121" s="80"/>
      <c r="AR1121" s="73"/>
      <c r="AS1121" s="73"/>
      <c r="AT1121" s="73"/>
      <c r="AU1121" s="73"/>
      <c r="AV1121" s="73"/>
      <c r="AW1121" s="73"/>
      <c r="AX1121" s="73"/>
      <c r="AY1121" s="73"/>
      <c r="AZ1121" s="73"/>
      <c r="BA1121" s="73"/>
      <c r="BB1121" s="73"/>
      <c r="BC1121" s="73"/>
      <c r="BD1121" s="73"/>
      <c r="BE1121" s="73"/>
      <c r="BF1121" s="73"/>
      <c r="BG1121" s="73"/>
      <c r="BH1121" s="73"/>
      <c r="BI1121" s="73"/>
      <c r="BJ1121" s="73"/>
      <c r="BK1121" s="73"/>
      <c r="BL1121" s="73"/>
      <c r="BM1121" s="73"/>
      <c r="BN1121" s="73"/>
      <c r="BO1121" s="73"/>
      <c r="BP1121" s="73"/>
      <c r="BQ1121" s="73"/>
      <c r="BR1121" s="73"/>
      <c r="BS1121" s="73"/>
      <c r="BT1121" s="73"/>
      <c r="BU1121" s="73"/>
      <c r="BV1121" s="73"/>
      <c r="BW1121" s="73"/>
      <c r="BX1121" s="73"/>
      <c r="BY1121" s="73"/>
      <c r="BZ1121" s="73"/>
      <c r="CA1121" s="73"/>
      <c r="CB1121" s="73"/>
      <c r="CC1121" s="73"/>
      <c r="CD1121" s="73"/>
      <c r="CE1121" s="73"/>
      <c r="CF1121" s="73"/>
      <c r="CG1121" s="73"/>
      <c r="CH1121" s="73"/>
    </row>
    <row r="1122">
      <c r="A1122" s="80"/>
      <c r="B1122" s="80"/>
      <c r="C1122" s="80"/>
      <c r="D1122" s="80"/>
      <c r="E1122" s="124"/>
      <c r="F1122" s="80"/>
      <c r="G1122" s="80"/>
      <c r="H1122" s="80"/>
      <c r="I1122" s="80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09"/>
      <c r="V1122" s="109"/>
      <c r="W1122" s="109"/>
      <c r="X1122" s="109"/>
      <c r="Y1122" s="109"/>
      <c r="Z1122" s="109"/>
      <c r="AA1122" s="109"/>
      <c r="AB1122" s="109"/>
      <c r="AC1122" s="109"/>
      <c r="AD1122" s="109"/>
      <c r="AE1122" s="109"/>
      <c r="AF1122" s="109"/>
      <c r="AG1122" s="109"/>
      <c r="AH1122" s="109"/>
      <c r="AI1122" s="109"/>
      <c r="AJ1122" s="115"/>
      <c r="AK1122" s="80"/>
      <c r="AL1122" s="80"/>
      <c r="AM1122" s="80"/>
      <c r="AN1122" s="80"/>
      <c r="AO1122" s="80"/>
      <c r="AP1122" s="80"/>
      <c r="AQ1122" s="80"/>
      <c r="AR1122" s="73"/>
      <c r="AS1122" s="73"/>
      <c r="AT1122" s="73"/>
      <c r="AU1122" s="73"/>
      <c r="AV1122" s="73"/>
      <c r="AW1122" s="73"/>
      <c r="AX1122" s="73"/>
      <c r="AY1122" s="73"/>
      <c r="AZ1122" s="73"/>
      <c r="BA1122" s="73"/>
      <c r="BB1122" s="73"/>
      <c r="BC1122" s="73"/>
      <c r="BD1122" s="73"/>
      <c r="BE1122" s="73"/>
      <c r="BF1122" s="73"/>
      <c r="BG1122" s="73"/>
      <c r="BH1122" s="73"/>
      <c r="BI1122" s="73"/>
      <c r="BJ1122" s="73"/>
      <c r="BK1122" s="73"/>
      <c r="BL1122" s="73"/>
      <c r="BM1122" s="73"/>
      <c r="BN1122" s="73"/>
      <c r="BO1122" s="73"/>
      <c r="BP1122" s="73"/>
      <c r="BQ1122" s="73"/>
      <c r="BR1122" s="73"/>
      <c r="BS1122" s="73"/>
      <c r="BT1122" s="73"/>
      <c r="BU1122" s="73"/>
      <c r="BV1122" s="73"/>
      <c r="BW1122" s="73"/>
      <c r="BX1122" s="73"/>
      <c r="BY1122" s="73"/>
      <c r="BZ1122" s="73"/>
      <c r="CA1122" s="73"/>
      <c r="CB1122" s="73"/>
      <c r="CC1122" s="73"/>
      <c r="CD1122" s="73"/>
      <c r="CE1122" s="73"/>
      <c r="CF1122" s="73"/>
      <c r="CG1122" s="73"/>
      <c r="CH1122" s="73"/>
    </row>
    <row r="1123">
      <c r="A1123" s="80"/>
      <c r="B1123" s="80"/>
      <c r="C1123" s="80"/>
      <c r="D1123" s="80"/>
      <c r="E1123" s="124"/>
      <c r="F1123" s="80"/>
      <c r="G1123" s="80"/>
      <c r="H1123" s="80"/>
      <c r="I1123" s="80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09"/>
      <c r="V1123" s="109"/>
      <c r="W1123" s="109"/>
      <c r="X1123" s="109"/>
      <c r="Y1123" s="109"/>
      <c r="Z1123" s="109"/>
      <c r="AA1123" s="109"/>
      <c r="AB1123" s="109"/>
      <c r="AC1123" s="109"/>
      <c r="AD1123" s="109"/>
      <c r="AE1123" s="109"/>
      <c r="AF1123" s="109"/>
      <c r="AG1123" s="109"/>
      <c r="AH1123" s="109"/>
      <c r="AI1123" s="109"/>
      <c r="AJ1123" s="115"/>
      <c r="AK1123" s="80"/>
      <c r="AL1123" s="80"/>
      <c r="AM1123" s="80"/>
      <c r="AN1123" s="80"/>
      <c r="AO1123" s="80"/>
      <c r="AP1123" s="80"/>
      <c r="AQ1123" s="80"/>
      <c r="AR1123" s="73"/>
      <c r="AS1123" s="73"/>
      <c r="AT1123" s="73"/>
      <c r="AU1123" s="73"/>
      <c r="AV1123" s="73"/>
      <c r="AW1123" s="73"/>
      <c r="AX1123" s="73"/>
      <c r="AY1123" s="73"/>
      <c r="AZ1123" s="73"/>
      <c r="BA1123" s="73"/>
      <c r="BB1123" s="73"/>
      <c r="BC1123" s="73"/>
      <c r="BD1123" s="73"/>
      <c r="BE1123" s="73"/>
      <c r="BF1123" s="73"/>
      <c r="BG1123" s="73"/>
      <c r="BH1123" s="73"/>
      <c r="BI1123" s="73"/>
      <c r="BJ1123" s="73"/>
      <c r="BK1123" s="73"/>
      <c r="BL1123" s="73"/>
      <c r="BM1123" s="73"/>
      <c r="BN1123" s="73"/>
      <c r="BO1123" s="73"/>
      <c r="BP1123" s="73"/>
      <c r="BQ1123" s="73"/>
      <c r="BR1123" s="73"/>
      <c r="BS1123" s="73"/>
      <c r="BT1123" s="73"/>
      <c r="BU1123" s="73"/>
      <c r="BV1123" s="73"/>
      <c r="BW1123" s="73"/>
      <c r="BX1123" s="73"/>
      <c r="BY1123" s="73"/>
      <c r="BZ1123" s="73"/>
      <c r="CA1123" s="73"/>
      <c r="CB1123" s="73"/>
      <c r="CC1123" s="73"/>
      <c r="CD1123" s="73"/>
      <c r="CE1123" s="73"/>
      <c r="CF1123" s="73"/>
      <c r="CG1123" s="73"/>
      <c r="CH1123" s="73"/>
    </row>
    <row r="1124">
      <c r="A1124" s="80"/>
      <c r="B1124" s="80"/>
      <c r="C1124" s="80"/>
      <c r="D1124" s="80"/>
      <c r="E1124" s="124"/>
      <c r="F1124" s="80"/>
      <c r="G1124" s="80"/>
      <c r="H1124" s="80"/>
      <c r="I1124" s="80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09"/>
      <c r="V1124" s="109"/>
      <c r="W1124" s="109"/>
      <c r="X1124" s="109"/>
      <c r="Y1124" s="109"/>
      <c r="Z1124" s="109"/>
      <c r="AA1124" s="109"/>
      <c r="AB1124" s="109"/>
      <c r="AC1124" s="109"/>
      <c r="AD1124" s="109"/>
      <c r="AE1124" s="109"/>
      <c r="AF1124" s="109"/>
      <c r="AG1124" s="109"/>
      <c r="AH1124" s="109"/>
      <c r="AI1124" s="109"/>
      <c r="AJ1124" s="115"/>
      <c r="AK1124" s="80"/>
      <c r="AL1124" s="80"/>
      <c r="AM1124" s="80"/>
      <c r="AN1124" s="80"/>
      <c r="AO1124" s="80"/>
      <c r="AP1124" s="80"/>
      <c r="AQ1124" s="80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3"/>
      <c r="BG1124" s="73"/>
      <c r="BH1124" s="73"/>
      <c r="BI1124" s="73"/>
      <c r="BJ1124" s="73"/>
      <c r="BK1124" s="73"/>
      <c r="BL1124" s="73"/>
      <c r="BM1124" s="73"/>
      <c r="BN1124" s="73"/>
      <c r="BO1124" s="73"/>
      <c r="BP1124" s="73"/>
      <c r="BQ1124" s="73"/>
      <c r="BR1124" s="73"/>
      <c r="BS1124" s="73"/>
      <c r="BT1124" s="73"/>
      <c r="BU1124" s="73"/>
      <c r="BV1124" s="73"/>
      <c r="BW1124" s="73"/>
      <c r="BX1124" s="73"/>
      <c r="BY1124" s="73"/>
      <c r="BZ1124" s="73"/>
      <c r="CA1124" s="73"/>
      <c r="CB1124" s="73"/>
      <c r="CC1124" s="73"/>
      <c r="CD1124" s="73"/>
      <c r="CE1124" s="73"/>
      <c r="CF1124" s="73"/>
      <c r="CG1124" s="73"/>
      <c r="CH1124" s="73"/>
    </row>
    <row r="1125">
      <c r="A1125" s="80"/>
      <c r="B1125" s="80"/>
      <c r="C1125" s="80"/>
      <c r="D1125" s="80"/>
      <c r="E1125" s="124"/>
      <c r="F1125" s="80"/>
      <c r="G1125" s="80"/>
      <c r="H1125" s="80"/>
      <c r="I1125" s="80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09"/>
      <c r="V1125" s="109"/>
      <c r="W1125" s="109"/>
      <c r="X1125" s="109"/>
      <c r="Y1125" s="109"/>
      <c r="Z1125" s="109"/>
      <c r="AA1125" s="109"/>
      <c r="AB1125" s="109"/>
      <c r="AC1125" s="109"/>
      <c r="AD1125" s="109"/>
      <c r="AE1125" s="109"/>
      <c r="AF1125" s="109"/>
      <c r="AG1125" s="109"/>
      <c r="AH1125" s="109"/>
      <c r="AI1125" s="109"/>
      <c r="AJ1125" s="115"/>
      <c r="AK1125" s="80"/>
      <c r="AL1125" s="80"/>
      <c r="AM1125" s="80"/>
      <c r="AN1125" s="80"/>
      <c r="AO1125" s="80"/>
      <c r="AP1125" s="80"/>
      <c r="AQ1125" s="80"/>
      <c r="AR1125" s="73"/>
      <c r="AS1125" s="73"/>
      <c r="AT1125" s="73"/>
      <c r="AU1125" s="73"/>
      <c r="AV1125" s="73"/>
      <c r="AW1125" s="73"/>
      <c r="AX1125" s="73"/>
      <c r="AY1125" s="73"/>
      <c r="AZ1125" s="73"/>
      <c r="BA1125" s="73"/>
      <c r="BB1125" s="73"/>
      <c r="BC1125" s="73"/>
      <c r="BD1125" s="73"/>
      <c r="BE1125" s="73"/>
      <c r="BF1125" s="73"/>
      <c r="BG1125" s="73"/>
      <c r="BH1125" s="73"/>
      <c r="BI1125" s="73"/>
      <c r="BJ1125" s="73"/>
      <c r="BK1125" s="73"/>
      <c r="BL1125" s="73"/>
      <c r="BM1125" s="73"/>
      <c r="BN1125" s="73"/>
      <c r="BO1125" s="73"/>
      <c r="BP1125" s="73"/>
      <c r="BQ1125" s="73"/>
      <c r="BR1125" s="73"/>
      <c r="BS1125" s="73"/>
      <c r="BT1125" s="73"/>
      <c r="BU1125" s="73"/>
      <c r="BV1125" s="73"/>
      <c r="BW1125" s="73"/>
      <c r="BX1125" s="73"/>
      <c r="BY1125" s="73"/>
      <c r="BZ1125" s="73"/>
      <c r="CA1125" s="73"/>
      <c r="CB1125" s="73"/>
      <c r="CC1125" s="73"/>
      <c r="CD1125" s="73"/>
      <c r="CE1125" s="73"/>
      <c r="CF1125" s="73"/>
      <c r="CG1125" s="73"/>
      <c r="CH1125" s="73"/>
    </row>
    <row r="1126">
      <c r="A1126" s="80"/>
      <c r="B1126" s="80"/>
      <c r="C1126" s="80"/>
      <c r="D1126" s="80"/>
      <c r="E1126" s="124"/>
      <c r="F1126" s="80"/>
      <c r="G1126" s="80"/>
      <c r="H1126" s="80"/>
      <c r="I1126" s="80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09"/>
      <c r="V1126" s="109"/>
      <c r="W1126" s="109"/>
      <c r="X1126" s="109"/>
      <c r="Y1126" s="109"/>
      <c r="Z1126" s="109"/>
      <c r="AA1126" s="109"/>
      <c r="AB1126" s="109"/>
      <c r="AC1126" s="109"/>
      <c r="AD1126" s="109"/>
      <c r="AE1126" s="109"/>
      <c r="AF1126" s="109"/>
      <c r="AG1126" s="109"/>
      <c r="AH1126" s="109"/>
      <c r="AI1126" s="109"/>
      <c r="AJ1126" s="115"/>
      <c r="AK1126" s="80"/>
      <c r="AL1126" s="80"/>
      <c r="AM1126" s="80"/>
      <c r="AN1126" s="80"/>
      <c r="AO1126" s="80"/>
      <c r="AP1126" s="80"/>
      <c r="AQ1126" s="80"/>
      <c r="AR1126" s="73"/>
      <c r="AS1126" s="73"/>
      <c r="AT1126" s="73"/>
      <c r="AU1126" s="73"/>
      <c r="AV1126" s="73"/>
      <c r="AW1126" s="73"/>
      <c r="AX1126" s="73"/>
      <c r="AY1126" s="73"/>
      <c r="AZ1126" s="73"/>
      <c r="BA1126" s="73"/>
      <c r="BB1126" s="73"/>
      <c r="BC1126" s="73"/>
      <c r="BD1126" s="73"/>
      <c r="BE1126" s="73"/>
      <c r="BF1126" s="73"/>
      <c r="BG1126" s="73"/>
      <c r="BH1126" s="73"/>
      <c r="BI1126" s="73"/>
      <c r="BJ1126" s="73"/>
      <c r="BK1126" s="73"/>
      <c r="BL1126" s="73"/>
      <c r="BM1126" s="73"/>
      <c r="BN1126" s="73"/>
      <c r="BO1126" s="73"/>
      <c r="BP1126" s="73"/>
      <c r="BQ1126" s="73"/>
      <c r="BR1126" s="73"/>
      <c r="BS1126" s="73"/>
      <c r="BT1126" s="73"/>
      <c r="BU1126" s="73"/>
      <c r="BV1126" s="73"/>
      <c r="BW1126" s="73"/>
      <c r="BX1126" s="73"/>
      <c r="BY1126" s="73"/>
      <c r="BZ1126" s="73"/>
      <c r="CA1126" s="73"/>
      <c r="CB1126" s="73"/>
      <c r="CC1126" s="73"/>
      <c r="CD1126" s="73"/>
      <c r="CE1126" s="73"/>
      <c r="CF1126" s="73"/>
      <c r="CG1126" s="73"/>
      <c r="CH1126" s="73"/>
    </row>
    <row r="1127">
      <c r="A1127" s="80"/>
      <c r="B1127" s="80"/>
      <c r="C1127" s="80"/>
      <c r="D1127" s="80"/>
      <c r="E1127" s="124"/>
      <c r="F1127" s="80"/>
      <c r="G1127" s="80"/>
      <c r="H1127" s="80"/>
      <c r="I1127" s="80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09"/>
      <c r="V1127" s="109"/>
      <c r="W1127" s="109"/>
      <c r="X1127" s="109"/>
      <c r="Y1127" s="109"/>
      <c r="Z1127" s="109"/>
      <c r="AA1127" s="109"/>
      <c r="AB1127" s="109"/>
      <c r="AC1127" s="109"/>
      <c r="AD1127" s="109"/>
      <c r="AE1127" s="109"/>
      <c r="AF1127" s="109"/>
      <c r="AG1127" s="109"/>
      <c r="AH1127" s="109"/>
      <c r="AI1127" s="109"/>
      <c r="AJ1127" s="115"/>
      <c r="AK1127" s="80"/>
      <c r="AL1127" s="80"/>
      <c r="AM1127" s="80"/>
      <c r="AN1127" s="80"/>
      <c r="AO1127" s="80"/>
      <c r="AP1127" s="80"/>
      <c r="AQ1127" s="80"/>
      <c r="AR1127" s="73"/>
      <c r="AS1127" s="73"/>
      <c r="AT1127" s="73"/>
      <c r="AU1127" s="73"/>
      <c r="AV1127" s="73"/>
      <c r="AW1127" s="73"/>
      <c r="AX1127" s="73"/>
      <c r="AY1127" s="73"/>
      <c r="AZ1127" s="73"/>
      <c r="BA1127" s="73"/>
      <c r="BB1127" s="73"/>
      <c r="BC1127" s="73"/>
      <c r="BD1127" s="73"/>
      <c r="BE1127" s="73"/>
      <c r="BF1127" s="73"/>
      <c r="BG1127" s="73"/>
      <c r="BH1127" s="73"/>
      <c r="BI1127" s="73"/>
      <c r="BJ1127" s="73"/>
      <c r="BK1127" s="73"/>
      <c r="BL1127" s="73"/>
      <c r="BM1127" s="73"/>
      <c r="BN1127" s="73"/>
      <c r="BO1127" s="73"/>
      <c r="BP1127" s="73"/>
      <c r="BQ1127" s="73"/>
      <c r="BR1127" s="73"/>
      <c r="BS1127" s="73"/>
      <c r="BT1127" s="73"/>
      <c r="BU1127" s="73"/>
      <c r="BV1127" s="73"/>
      <c r="BW1127" s="73"/>
      <c r="BX1127" s="73"/>
      <c r="BY1127" s="73"/>
      <c r="BZ1127" s="73"/>
      <c r="CA1127" s="73"/>
      <c r="CB1127" s="73"/>
      <c r="CC1127" s="73"/>
      <c r="CD1127" s="73"/>
      <c r="CE1127" s="73"/>
      <c r="CF1127" s="73"/>
      <c r="CG1127" s="73"/>
      <c r="CH1127" s="73"/>
    </row>
    <row r="1128">
      <c r="A1128" s="80"/>
      <c r="B1128" s="80"/>
      <c r="C1128" s="80"/>
      <c r="D1128" s="80"/>
      <c r="E1128" s="124"/>
      <c r="F1128" s="80"/>
      <c r="G1128" s="80"/>
      <c r="H1128" s="80"/>
      <c r="I1128" s="80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09"/>
      <c r="V1128" s="109"/>
      <c r="W1128" s="109"/>
      <c r="X1128" s="109"/>
      <c r="Y1128" s="109"/>
      <c r="Z1128" s="109"/>
      <c r="AA1128" s="109"/>
      <c r="AB1128" s="109"/>
      <c r="AC1128" s="109"/>
      <c r="AD1128" s="109"/>
      <c r="AE1128" s="109"/>
      <c r="AF1128" s="109"/>
      <c r="AG1128" s="109"/>
      <c r="AH1128" s="109"/>
      <c r="AI1128" s="109"/>
      <c r="AJ1128" s="115"/>
      <c r="AK1128" s="80"/>
      <c r="AL1128" s="80"/>
      <c r="AM1128" s="80"/>
      <c r="AN1128" s="80"/>
      <c r="AO1128" s="80"/>
      <c r="AP1128" s="80"/>
      <c r="AQ1128" s="80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73"/>
      <c r="BD1128" s="73"/>
      <c r="BE1128" s="73"/>
      <c r="BF1128" s="73"/>
      <c r="BG1128" s="73"/>
      <c r="BH1128" s="73"/>
      <c r="BI1128" s="73"/>
      <c r="BJ1128" s="73"/>
      <c r="BK1128" s="73"/>
      <c r="BL1128" s="73"/>
      <c r="BM1128" s="73"/>
      <c r="BN1128" s="73"/>
      <c r="BO1128" s="73"/>
      <c r="BP1128" s="73"/>
      <c r="BQ1128" s="73"/>
      <c r="BR1128" s="73"/>
      <c r="BS1128" s="73"/>
      <c r="BT1128" s="73"/>
      <c r="BU1128" s="73"/>
      <c r="BV1128" s="73"/>
      <c r="BW1128" s="73"/>
      <c r="BX1128" s="73"/>
      <c r="BY1128" s="73"/>
      <c r="BZ1128" s="73"/>
      <c r="CA1128" s="73"/>
      <c r="CB1128" s="73"/>
      <c r="CC1128" s="73"/>
      <c r="CD1128" s="73"/>
      <c r="CE1128" s="73"/>
      <c r="CF1128" s="73"/>
      <c r="CG1128" s="73"/>
      <c r="CH1128" s="73"/>
    </row>
    <row r="1129">
      <c r="A1129" s="80"/>
      <c r="B1129" s="80"/>
      <c r="C1129" s="80"/>
      <c r="D1129" s="80"/>
      <c r="E1129" s="124"/>
      <c r="F1129" s="80"/>
      <c r="G1129" s="80"/>
      <c r="H1129" s="80"/>
      <c r="I1129" s="80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09"/>
      <c r="V1129" s="109"/>
      <c r="W1129" s="109"/>
      <c r="X1129" s="109"/>
      <c r="Y1129" s="109"/>
      <c r="Z1129" s="109"/>
      <c r="AA1129" s="109"/>
      <c r="AB1129" s="109"/>
      <c r="AC1129" s="109"/>
      <c r="AD1129" s="109"/>
      <c r="AE1129" s="109"/>
      <c r="AF1129" s="109"/>
      <c r="AG1129" s="109"/>
      <c r="AH1129" s="109"/>
      <c r="AI1129" s="109"/>
      <c r="AJ1129" s="115"/>
      <c r="AK1129" s="80"/>
      <c r="AL1129" s="80"/>
      <c r="AM1129" s="80"/>
      <c r="AN1129" s="80"/>
      <c r="AO1129" s="80"/>
      <c r="AP1129" s="80"/>
      <c r="AQ1129" s="80"/>
      <c r="AR1129" s="73"/>
      <c r="AS1129" s="73"/>
      <c r="AT1129" s="73"/>
      <c r="AU1129" s="73"/>
      <c r="AV1129" s="73"/>
      <c r="AW1129" s="73"/>
      <c r="AX1129" s="73"/>
      <c r="AY1129" s="73"/>
      <c r="AZ1129" s="73"/>
      <c r="BA1129" s="73"/>
      <c r="BB1129" s="73"/>
      <c r="BC1129" s="73"/>
      <c r="BD1129" s="73"/>
      <c r="BE1129" s="73"/>
      <c r="BF1129" s="73"/>
      <c r="BG1129" s="73"/>
      <c r="BH1129" s="73"/>
      <c r="BI1129" s="73"/>
      <c r="BJ1129" s="73"/>
      <c r="BK1129" s="73"/>
      <c r="BL1129" s="73"/>
      <c r="BM1129" s="73"/>
      <c r="BN1129" s="73"/>
      <c r="BO1129" s="73"/>
      <c r="BP1129" s="73"/>
      <c r="BQ1129" s="73"/>
      <c r="BR1129" s="73"/>
      <c r="BS1129" s="73"/>
      <c r="BT1129" s="73"/>
      <c r="BU1129" s="73"/>
      <c r="BV1129" s="73"/>
      <c r="BW1129" s="73"/>
      <c r="BX1129" s="73"/>
      <c r="BY1129" s="73"/>
      <c r="BZ1129" s="73"/>
      <c r="CA1129" s="73"/>
      <c r="CB1129" s="73"/>
      <c r="CC1129" s="73"/>
      <c r="CD1129" s="73"/>
      <c r="CE1129" s="73"/>
      <c r="CF1129" s="73"/>
      <c r="CG1129" s="73"/>
      <c r="CH1129" s="73"/>
    </row>
    <row r="1130">
      <c r="A1130" s="80"/>
      <c r="B1130" s="80"/>
      <c r="C1130" s="80"/>
      <c r="D1130" s="80"/>
      <c r="E1130" s="124"/>
      <c r="F1130" s="80"/>
      <c r="G1130" s="80"/>
      <c r="H1130" s="80"/>
      <c r="I1130" s="80"/>
      <c r="J1130" s="109"/>
      <c r="K1130" s="109"/>
      <c r="L1130" s="109"/>
      <c r="M1130" s="109"/>
      <c r="N1130" s="109"/>
      <c r="O1130" s="109"/>
      <c r="P1130" s="109"/>
      <c r="Q1130" s="109"/>
      <c r="R1130" s="109"/>
      <c r="S1130" s="109"/>
      <c r="T1130" s="109"/>
      <c r="U1130" s="109"/>
      <c r="V1130" s="109"/>
      <c r="W1130" s="109"/>
      <c r="X1130" s="109"/>
      <c r="Y1130" s="109"/>
      <c r="Z1130" s="109"/>
      <c r="AA1130" s="109"/>
      <c r="AB1130" s="109"/>
      <c r="AC1130" s="109"/>
      <c r="AD1130" s="109"/>
      <c r="AE1130" s="109"/>
      <c r="AF1130" s="109"/>
      <c r="AG1130" s="109"/>
      <c r="AH1130" s="109"/>
      <c r="AI1130" s="109"/>
      <c r="AJ1130" s="115"/>
      <c r="AK1130" s="80"/>
      <c r="AL1130" s="80"/>
      <c r="AM1130" s="80"/>
      <c r="AN1130" s="80"/>
      <c r="AO1130" s="80"/>
      <c r="AP1130" s="80"/>
      <c r="AQ1130" s="80"/>
      <c r="AR1130" s="73"/>
      <c r="AS1130" s="73"/>
      <c r="AT1130" s="73"/>
      <c r="AU1130" s="73"/>
      <c r="AV1130" s="73"/>
      <c r="AW1130" s="73"/>
      <c r="AX1130" s="73"/>
      <c r="AY1130" s="73"/>
      <c r="AZ1130" s="73"/>
      <c r="BA1130" s="73"/>
      <c r="BB1130" s="73"/>
      <c r="BC1130" s="73"/>
      <c r="BD1130" s="73"/>
      <c r="BE1130" s="73"/>
      <c r="BF1130" s="73"/>
      <c r="BG1130" s="73"/>
      <c r="BH1130" s="73"/>
      <c r="BI1130" s="73"/>
      <c r="BJ1130" s="73"/>
      <c r="BK1130" s="73"/>
      <c r="BL1130" s="73"/>
      <c r="BM1130" s="73"/>
      <c r="BN1130" s="73"/>
      <c r="BO1130" s="73"/>
      <c r="BP1130" s="73"/>
      <c r="BQ1130" s="73"/>
      <c r="BR1130" s="73"/>
      <c r="BS1130" s="73"/>
      <c r="BT1130" s="73"/>
      <c r="BU1130" s="73"/>
      <c r="BV1130" s="73"/>
      <c r="BW1130" s="73"/>
      <c r="BX1130" s="73"/>
      <c r="BY1130" s="73"/>
      <c r="BZ1130" s="73"/>
      <c r="CA1130" s="73"/>
      <c r="CB1130" s="73"/>
      <c r="CC1130" s="73"/>
      <c r="CD1130" s="73"/>
      <c r="CE1130" s="73"/>
      <c r="CF1130" s="73"/>
      <c r="CG1130" s="73"/>
      <c r="CH1130" s="73"/>
    </row>
    <row r="1131">
      <c r="A1131" s="80"/>
      <c r="B1131" s="80"/>
      <c r="C1131" s="80"/>
      <c r="D1131" s="80"/>
      <c r="E1131" s="124"/>
      <c r="F1131" s="80"/>
      <c r="G1131" s="80"/>
      <c r="H1131" s="80"/>
      <c r="I1131" s="80"/>
      <c r="J1131" s="109"/>
      <c r="K1131" s="109"/>
      <c r="L1131" s="109"/>
      <c r="M1131" s="109"/>
      <c r="N1131" s="109"/>
      <c r="O1131" s="109"/>
      <c r="P1131" s="109"/>
      <c r="Q1131" s="109"/>
      <c r="R1131" s="109"/>
      <c r="S1131" s="109"/>
      <c r="T1131" s="109"/>
      <c r="U1131" s="109"/>
      <c r="V1131" s="109"/>
      <c r="W1131" s="109"/>
      <c r="X1131" s="109"/>
      <c r="Y1131" s="109"/>
      <c r="Z1131" s="109"/>
      <c r="AA1131" s="109"/>
      <c r="AB1131" s="109"/>
      <c r="AC1131" s="109"/>
      <c r="AD1131" s="109"/>
      <c r="AE1131" s="109"/>
      <c r="AF1131" s="109"/>
      <c r="AG1131" s="109"/>
      <c r="AH1131" s="109"/>
      <c r="AI1131" s="109"/>
      <c r="AJ1131" s="115"/>
      <c r="AK1131" s="80"/>
      <c r="AL1131" s="80"/>
      <c r="AM1131" s="80"/>
      <c r="AN1131" s="80"/>
      <c r="AO1131" s="80"/>
      <c r="AP1131" s="80"/>
      <c r="AQ1131" s="80"/>
      <c r="AR1131" s="73"/>
      <c r="AS1131" s="73"/>
      <c r="AT1131" s="73"/>
      <c r="AU1131" s="73"/>
      <c r="AV1131" s="73"/>
      <c r="AW1131" s="73"/>
      <c r="AX1131" s="73"/>
      <c r="AY1131" s="73"/>
      <c r="AZ1131" s="73"/>
      <c r="BA1131" s="73"/>
      <c r="BB1131" s="73"/>
      <c r="BC1131" s="73"/>
      <c r="BD1131" s="73"/>
      <c r="BE1131" s="73"/>
      <c r="BF1131" s="73"/>
      <c r="BG1131" s="73"/>
      <c r="BH1131" s="73"/>
      <c r="BI1131" s="73"/>
      <c r="BJ1131" s="73"/>
      <c r="BK1131" s="73"/>
      <c r="BL1131" s="73"/>
      <c r="BM1131" s="73"/>
      <c r="BN1131" s="73"/>
      <c r="BO1131" s="73"/>
      <c r="BP1131" s="73"/>
      <c r="BQ1131" s="73"/>
      <c r="BR1131" s="73"/>
      <c r="BS1131" s="73"/>
      <c r="BT1131" s="73"/>
      <c r="BU1131" s="73"/>
      <c r="BV1131" s="73"/>
      <c r="BW1131" s="73"/>
      <c r="BX1131" s="73"/>
      <c r="BY1131" s="73"/>
      <c r="BZ1131" s="73"/>
      <c r="CA1131" s="73"/>
      <c r="CB1131" s="73"/>
      <c r="CC1131" s="73"/>
      <c r="CD1131" s="73"/>
      <c r="CE1131" s="73"/>
      <c r="CF1131" s="73"/>
      <c r="CG1131" s="73"/>
      <c r="CH1131" s="73"/>
    </row>
    <row r="1132">
      <c r="A1132" s="80"/>
      <c r="B1132" s="80"/>
      <c r="C1132" s="80"/>
      <c r="D1132" s="80"/>
      <c r="E1132" s="124"/>
      <c r="F1132" s="80"/>
      <c r="G1132" s="80"/>
      <c r="H1132" s="80"/>
      <c r="I1132" s="80"/>
      <c r="J1132" s="109"/>
      <c r="K1132" s="109"/>
      <c r="L1132" s="109"/>
      <c r="M1132" s="109"/>
      <c r="N1132" s="109"/>
      <c r="O1132" s="109"/>
      <c r="P1132" s="109"/>
      <c r="Q1132" s="109"/>
      <c r="R1132" s="109"/>
      <c r="S1132" s="109"/>
      <c r="T1132" s="109"/>
      <c r="U1132" s="109"/>
      <c r="V1132" s="109"/>
      <c r="W1132" s="109"/>
      <c r="X1132" s="109"/>
      <c r="Y1132" s="109"/>
      <c r="Z1132" s="109"/>
      <c r="AA1132" s="109"/>
      <c r="AB1132" s="109"/>
      <c r="AC1132" s="109"/>
      <c r="AD1132" s="109"/>
      <c r="AE1132" s="109"/>
      <c r="AF1132" s="109"/>
      <c r="AG1132" s="109"/>
      <c r="AH1132" s="109"/>
      <c r="AI1132" s="109"/>
      <c r="AJ1132" s="115"/>
      <c r="AK1132" s="80"/>
      <c r="AL1132" s="80"/>
      <c r="AM1132" s="80"/>
      <c r="AN1132" s="80"/>
      <c r="AO1132" s="80"/>
      <c r="AP1132" s="80"/>
      <c r="AQ1132" s="80"/>
      <c r="AR1132" s="73"/>
      <c r="AS1132" s="73"/>
      <c r="AT1132" s="73"/>
      <c r="AU1132" s="73"/>
      <c r="AV1132" s="73"/>
      <c r="AW1132" s="73"/>
      <c r="AX1132" s="73"/>
      <c r="AY1132" s="73"/>
      <c r="AZ1132" s="73"/>
      <c r="BA1132" s="73"/>
      <c r="BB1132" s="73"/>
      <c r="BC1132" s="73"/>
      <c r="BD1132" s="73"/>
      <c r="BE1132" s="73"/>
      <c r="BF1132" s="73"/>
      <c r="BG1132" s="73"/>
      <c r="BH1132" s="73"/>
      <c r="BI1132" s="73"/>
      <c r="BJ1132" s="73"/>
      <c r="BK1132" s="73"/>
      <c r="BL1132" s="73"/>
      <c r="BM1132" s="73"/>
      <c r="BN1132" s="73"/>
      <c r="BO1132" s="73"/>
      <c r="BP1132" s="73"/>
      <c r="BQ1132" s="73"/>
      <c r="BR1132" s="73"/>
      <c r="BS1132" s="73"/>
      <c r="BT1132" s="73"/>
      <c r="BU1132" s="73"/>
      <c r="BV1132" s="73"/>
      <c r="BW1132" s="73"/>
      <c r="BX1132" s="73"/>
      <c r="BY1132" s="73"/>
      <c r="BZ1132" s="73"/>
      <c r="CA1132" s="73"/>
      <c r="CB1132" s="73"/>
      <c r="CC1132" s="73"/>
      <c r="CD1132" s="73"/>
      <c r="CE1132" s="73"/>
      <c r="CF1132" s="73"/>
      <c r="CG1132" s="73"/>
      <c r="CH1132" s="73"/>
    </row>
    <row r="1133">
      <c r="A1133" s="80"/>
      <c r="B1133" s="80"/>
      <c r="C1133" s="80"/>
      <c r="D1133" s="80"/>
      <c r="E1133" s="124"/>
      <c r="F1133" s="80"/>
      <c r="G1133" s="80"/>
      <c r="H1133" s="80"/>
      <c r="I1133" s="80"/>
      <c r="J1133" s="109"/>
      <c r="K1133" s="109"/>
      <c r="L1133" s="109"/>
      <c r="M1133" s="109"/>
      <c r="N1133" s="109"/>
      <c r="O1133" s="109"/>
      <c r="P1133" s="109"/>
      <c r="Q1133" s="109"/>
      <c r="R1133" s="109"/>
      <c r="S1133" s="109"/>
      <c r="T1133" s="109"/>
      <c r="U1133" s="109"/>
      <c r="V1133" s="109"/>
      <c r="W1133" s="109"/>
      <c r="X1133" s="109"/>
      <c r="Y1133" s="109"/>
      <c r="Z1133" s="109"/>
      <c r="AA1133" s="109"/>
      <c r="AB1133" s="109"/>
      <c r="AC1133" s="109"/>
      <c r="AD1133" s="109"/>
      <c r="AE1133" s="109"/>
      <c r="AF1133" s="109"/>
      <c r="AG1133" s="109"/>
      <c r="AH1133" s="109"/>
      <c r="AI1133" s="109"/>
      <c r="AJ1133" s="115"/>
      <c r="AK1133" s="80"/>
      <c r="AL1133" s="80"/>
      <c r="AM1133" s="80"/>
      <c r="AN1133" s="80"/>
      <c r="AO1133" s="80"/>
      <c r="AP1133" s="80"/>
      <c r="AQ1133" s="80"/>
      <c r="AR1133" s="73"/>
      <c r="AS1133" s="73"/>
      <c r="AT1133" s="73"/>
      <c r="AU1133" s="73"/>
      <c r="AV1133" s="73"/>
      <c r="AW1133" s="73"/>
      <c r="AX1133" s="73"/>
      <c r="AY1133" s="73"/>
      <c r="AZ1133" s="73"/>
      <c r="BA1133" s="73"/>
      <c r="BB1133" s="73"/>
      <c r="BC1133" s="73"/>
      <c r="BD1133" s="73"/>
      <c r="BE1133" s="73"/>
      <c r="BF1133" s="73"/>
      <c r="BG1133" s="73"/>
      <c r="BH1133" s="73"/>
      <c r="BI1133" s="73"/>
      <c r="BJ1133" s="73"/>
      <c r="BK1133" s="73"/>
      <c r="BL1133" s="73"/>
      <c r="BM1133" s="73"/>
      <c r="BN1133" s="73"/>
      <c r="BO1133" s="73"/>
      <c r="BP1133" s="73"/>
      <c r="BQ1133" s="73"/>
      <c r="BR1133" s="73"/>
      <c r="BS1133" s="73"/>
      <c r="BT1133" s="73"/>
      <c r="BU1133" s="73"/>
      <c r="BV1133" s="73"/>
      <c r="BW1133" s="73"/>
      <c r="BX1133" s="73"/>
      <c r="BY1133" s="73"/>
      <c r="BZ1133" s="73"/>
      <c r="CA1133" s="73"/>
      <c r="CB1133" s="73"/>
      <c r="CC1133" s="73"/>
      <c r="CD1133" s="73"/>
      <c r="CE1133" s="73"/>
      <c r="CF1133" s="73"/>
      <c r="CG1133" s="73"/>
      <c r="CH1133" s="73"/>
    </row>
    <row r="1134">
      <c r="A1134" s="80"/>
      <c r="B1134" s="80"/>
      <c r="C1134" s="80"/>
      <c r="D1134" s="80"/>
      <c r="E1134" s="124"/>
      <c r="F1134" s="80"/>
      <c r="G1134" s="80"/>
      <c r="H1134" s="80"/>
      <c r="I1134" s="80"/>
      <c r="J1134" s="109"/>
      <c r="K1134" s="109"/>
      <c r="L1134" s="109"/>
      <c r="M1134" s="109"/>
      <c r="N1134" s="109"/>
      <c r="O1134" s="109"/>
      <c r="P1134" s="109"/>
      <c r="Q1134" s="109"/>
      <c r="R1134" s="109"/>
      <c r="S1134" s="109"/>
      <c r="T1134" s="109"/>
      <c r="U1134" s="109"/>
      <c r="V1134" s="109"/>
      <c r="W1134" s="109"/>
      <c r="X1134" s="109"/>
      <c r="Y1134" s="109"/>
      <c r="Z1134" s="109"/>
      <c r="AA1134" s="109"/>
      <c r="AB1134" s="109"/>
      <c r="AC1134" s="109"/>
      <c r="AD1134" s="109"/>
      <c r="AE1134" s="109"/>
      <c r="AF1134" s="109"/>
      <c r="AG1134" s="109"/>
      <c r="AH1134" s="109"/>
      <c r="AI1134" s="109"/>
      <c r="AJ1134" s="115"/>
      <c r="AK1134" s="80"/>
      <c r="AL1134" s="80"/>
      <c r="AM1134" s="80"/>
      <c r="AN1134" s="80"/>
      <c r="AO1134" s="80"/>
      <c r="AP1134" s="80"/>
      <c r="AQ1134" s="80"/>
      <c r="AR1134" s="73"/>
      <c r="AS1134" s="73"/>
      <c r="AT1134" s="73"/>
      <c r="AU1134" s="73"/>
      <c r="AV1134" s="73"/>
      <c r="AW1134" s="73"/>
      <c r="AX1134" s="73"/>
      <c r="AY1134" s="73"/>
      <c r="AZ1134" s="73"/>
      <c r="BA1134" s="73"/>
      <c r="BB1134" s="73"/>
      <c r="BC1134" s="73"/>
      <c r="BD1134" s="73"/>
      <c r="BE1134" s="73"/>
      <c r="BF1134" s="73"/>
      <c r="BG1134" s="73"/>
      <c r="BH1134" s="73"/>
      <c r="BI1134" s="73"/>
      <c r="BJ1134" s="73"/>
      <c r="BK1134" s="73"/>
      <c r="BL1134" s="73"/>
      <c r="BM1134" s="73"/>
      <c r="BN1134" s="73"/>
      <c r="BO1134" s="73"/>
      <c r="BP1134" s="73"/>
      <c r="BQ1134" s="73"/>
      <c r="BR1134" s="73"/>
      <c r="BS1134" s="73"/>
      <c r="BT1134" s="73"/>
      <c r="BU1134" s="73"/>
      <c r="BV1134" s="73"/>
      <c r="BW1134" s="73"/>
      <c r="BX1134" s="73"/>
      <c r="BY1134" s="73"/>
      <c r="BZ1134" s="73"/>
      <c r="CA1134" s="73"/>
      <c r="CB1134" s="73"/>
      <c r="CC1134" s="73"/>
      <c r="CD1134" s="73"/>
      <c r="CE1134" s="73"/>
      <c r="CF1134" s="73"/>
      <c r="CG1134" s="73"/>
      <c r="CH1134" s="73"/>
    </row>
    <row r="1135">
      <c r="A1135" s="80"/>
      <c r="B1135" s="80"/>
      <c r="C1135" s="80"/>
      <c r="D1135" s="80"/>
      <c r="E1135" s="124"/>
      <c r="F1135" s="80"/>
      <c r="G1135" s="80"/>
      <c r="H1135" s="80"/>
      <c r="I1135" s="80"/>
      <c r="J1135" s="109"/>
      <c r="K1135" s="109"/>
      <c r="L1135" s="109"/>
      <c r="M1135" s="109"/>
      <c r="N1135" s="109"/>
      <c r="O1135" s="109"/>
      <c r="P1135" s="109"/>
      <c r="Q1135" s="109"/>
      <c r="R1135" s="109"/>
      <c r="S1135" s="109"/>
      <c r="T1135" s="109"/>
      <c r="U1135" s="109"/>
      <c r="V1135" s="109"/>
      <c r="W1135" s="109"/>
      <c r="X1135" s="109"/>
      <c r="Y1135" s="109"/>
      <c r="Z1135" s="109"/>
      <c r="AA1135" s="109"/>
      <c r="AB1135" s="109"/>
      <c r="AC1135" s="109"/>
      <c r="AD1135" s="109"/>
      <c r="AE1135" s="109"/>
      <c r="AF1135" s="109"/>
      <c r="AG1135" s="109"/>
      <c r="AH1135" s="109"/>
      <c r="AI1135" s="109"/>
      <c r="AJ1135" s="115"/>
      <c r="AK1135" s="80"/>
      <c r="AL1135" s="80"/>
      <c r="AM1135" s="80"/>
      <c r="AN1135" s="80"/>
      <c r="AO1135" s="80"/>
      <c r="AP1135" s="80"/>
      <c r="AQ1135" s="80"/>
      <c r="AR1135" s="73"/>
      <c r="AS1135" s="73"/>
      <c r="AT1135" s="73"/>
      <c r="AU1135" s="73"/>
      <c r="AV1135" s="73"/>
      <c r="AW1135" s="73"/>
      <c r="AX1135" s="73"/>
      <c r="AY1135" s="73"/>
      <c r="AZ1135" s="73"/>
      <c r="BA1135" s="73"/>
      <c r="BB1135" s="73"/>
      <c r="BC1135" s="73"/>
      <c r="BD1135" s="73"/>
      <c r="BE1135" s="73"/>
      <c r="BF1135" s="73"/>
      <c r="BG1135" s="73"/>
      <c r="BH1135" s="73"/>
      <c r="BI1135" s="73"/>
      <c r="BJ1135" s="73"/>
      <c r="BK1135" s="73"/>
      <c r="BL1135" s="73"/>
      <c r="BM1135" s="73"/>
      <c r="BN1135" s="73"/>
      <c r="BO1135" s="73"/>
      <c r="BP1135" s="73"/>
      <c r="BQ1135" s="73"/>
      <c r="BR1135" s="73"/>
      <c r="BS1135" s="73"/>
      <c r="BT1135" s="73"/>
      <c r="BU1135" s="73"/>
      <c r="BV1135" s="73"/>
      <c r="BW1135" s="73"/>
      <c r="BX1135" s="73"/>
      <c r="BY1135" s="73"/>
      <c r="BZ1135" s="73"/>
      <c r="CA1135" s="73"/>
      <c r="CB1135" s="73"/>
      <c r="CC1135" s="73"/>
      <c r="CD1135" s="73"/>
      <c r="CE1135" s="73"/>
      <c r="CF1135" s="73"/>
      <c r="CG1135" s="73"/>
      <c r="CH1135" s="73"/>
    </row>
    <row r="1136">
      <c r="A1136" s="80"/>
      <c r="B1136" s="80"/>
      <c r="C1136" s="80"/>
      <c r="D1136" s="80"/>
      <c r="E1136" s="124"/>
      <c r="F1136" s="80"/>
      <c r="G1136" s="80"/>
      <c r="H1136" s="80"/>
      <c r="I1136" s="80"/>
      <c r="J1136" s="109"/>
      <c r="K1136" s="109"/>
      <c r="L1136" s="109"/>
      <c r="M1136" s="109"/>
      <c r="N1136" s="109"/>
      <c r="O1136" s="109"/>
      <c r="P1136" s="109"/>
      <c r="Q1136" s="109"/>
      <c r="R1136" s="109"/>
      <c r="S1136" s="109"/>
      <c r="T1136" s="109"/>
      <c r="U1136" s="109"/>
      <c r="V1136" s="109"/>
      <c r="W1136" s="109"/>
      <c r="X1136" s="109"/>
      <c r="Y1136" s="109"/>
      <c r="Z1136" s="109"/>
      <c r="AA1136" s="109"/>
      <c r="AB1136" s="109"/>
      <c r="AC1136" s="109"/>
      <c r="AD1136" s="109"/>
      <c r="AE1136" s="109"/>
      <c r="AF1136" s="109"/>
      <c r="AG1136" s="109"/>
      <c r="AH1136" s="109"/>
      <c r="AI1136" s="109"/>
      <c r="AJ1136" s="115"/>
      <c r="AK1136" s="80"/>
      <c r="AL1136" s="80"/>
      <c r="AM1136" s="80"/>
      <c r="AN1136" s="80"/>
      <c r="AO1136" s="80"/>
      <c r="AP1136" s="80"/>
      <c r="AQ1136" s="80"/>
      <c r="AR1136" s="73"/>
      <c r="AS1136" s="73"/>
      <c r="AT1136" s="73"/>
      <c r="AU1136" s="73"/>
      <c r="AV1136" s="73"/>
      <c r="AW1136" s="73"/>
      <c r="AX1136" s="73"/>
      <c r="AY1136" s="73"/>
      <c r="AZ1136" s="73"/>
      <c r="BA1136" s="73"/>
      <c r="BB1136" s="73"/>
      <c r="BC1136" s="73"/>
      <c r="BD1136" s="73"/>
      <c r="BE1136" s="73"/>
      <c r="BF1136" s="73"/>
      <c r="BG1136" s="73"/>
      <c r="BH1136" s="73"/>
      <c r="BI1136" s="73"/>
      <c r="BJ1136" s="73"/>
      <c r="BK1136" s="73"/>
      <c r="BL1136" s="73"/>
      <c r="BM1136" s="73"/>
      <c r="BN1136" s="73"/>
      <c r="BO1136" s="73"/>
      <c r="BP1136" s="73"/>
      <c r="BQ1136" s="73"/>
      <c r="BR1136" s="73"/>
      <c r="BS1136" s="73"/>
      <c r="BT1136" s="73"/>
      <c r="BU1136" s="73"/>
      <c r="BV1136" s="73"/>
      <c r="BW1136" s="73"/>
      <c r="BX1136" s="73"/>
      <c r="BY1136" s="73"/>
      <c r="BZ1136" s="73"/>
      <c r="CA1136" s="73"/>
      <c r="CB1136" s="73"/>
      <c r="CC1136" s="73"/>
      <c r="CD1136" s="73"/>
      <c r="CE1136" s="73"/>
      <c r="CF1136" s="73"/>
      <c r="CG1136" s="73"/>
      <c r="CH1136" s="73"/>
    </row>
    <row r="1137">
      <c r="A1137" s="80"/>
      <c r="B1137" s="80"/>
      <c r="C1137" s="80"/>
      <c r="D1137" s="80"/>
      <c r="E1137" s="124"/>
      <c r="F1137" s="80"/>
      <c r="G1137" s="80"/>
      <c r="H1137" s="80"/>
      <c r="I1137" s="80"/>
      <c r="J1137" s="109"/>
      <c r="K1137" s="109"/>
      <c r="L1137" s="109"/>
      <c r="M1137" s="109"/>
      <c r="N1137" s="109"/>
      <c r="O1137" s="109"/>
      <c r="P1137" s="109"/>
      <c r="Q1137" s="109"/>
      <c r="R1137" s="109"/>
      <c r="S1137" s="109"/>
      <c r="T1137" s="109"/>
      <c r="U1137" s="109"/>
      <c r="V1137" s="109"/>
      <c r="W1137" s="109"/>
      <c r="X1137" s="109"/>
      <c r="Y1137" s="109"/>
      <c r="Z1137" s="109"/>
      <c r="AA1137" s="109"/>
      <c r="AB1137" s="109"/>
      <c r="AC1137" s="109"/>
      <c r="AD1137" s="109"/>
      <c r="AE1137" s="109"/>
      <c r="AF1137" s="109"/>
      <c r="AG1137" s="109"/>
      <c r="AH1137" s="109"/>
      <c r="AI1137" s="109"/>
      <c r="AJ1137" s="115"/>
      <c r="AK1137" s="80"/>
      <c r="AL1137" s="80"/>
      <c r="AM1137" s="80"/>
      <c r="AN1137" s="80"/>
      <c r="AO1137" s="80"/>
      <c r="AP1137" s="80"/>
      <c r="AQ1137" s="80"/>
      <c r="AR1137" s="73"/>
      <c r="AS1137" s="73"/>
      <c r="AT1137" s="73"/>
      <c r="AU1137" s="73"/>
      <c r="AV1137" s="73"/>
      <c r="AW1137" s="73"/>
      <c r="AX1137" s="73"/>
      <c r="AY1137" s="73"/>
      <c r="AZ1137" s="73"/>
      <c r="BA1137" s="73"/>
      <c r="BB1137" s="73"/>
      <c r="BC1137" s="73"/>
      <c r="BD1137" s="73"/>
      <c r="BE1137" s="73"/>
      <c r="BF1137" s="73"/>
      <c r="BG1137" s="73"/>
      <c r="BH1137" s="73"/>
      <c r="BI1137" s="73"/>
      <c r="BJ1137" s="73"/>
      <c r="BK1137" s="73"/>
      <c r="BL1137" s="73"/>
      <c r="BM1137" s="73"/>
      <c r="BN1137" s="73"/>
      <c r="BO1137" s="73"/>
      <c r="BP1137" s="73"/>
      <c r="BQ1137" s="73"/>
      <c r="BR1137" s="73"/>
      <c r="BS1137" s="73"/>
      <c r="BT1137" s="73"/>
      <c r="BU1137" s="73"/>
      <c r="BV1137" s="73"/>
      <c r="BW1137" s="73"/>
      <c r="BX1137" s="73"/>
      <c r="BY1137" s="73"/>
      <c r="BZ1137" s="73"/>
      <c r="CA1137" s="73"/>
      <c r="CB1137" s="73"/>
      <c r="CC1137" s="73"/>
      <c r="CD1137" s="73"/>
      <c r="CE1137" s="73"/>
      <c r="CF1137" s="73"/>
      <c r="CG1137" s="73"/>
      <c r="CH1137" s="73"/>
    </row>
    <row r="1138">
      <c r="A1138" s="80"/>
      <c r="B1138" s="80"/>
      <c r="C1138" s="80"/>
      <c r="D1138" s="80"/>
      <c r="E1138" s="124"/>
      <c r="F1138" s="80"/>
      <c r="G1138" s="80"/>
      <c r="H1138" s="80"/>
      <c r="I1138" s="80"/>
      <c r="J1138" s="109"/>
      <c r="K1138" s="109"/>
      <c r="L1138" s="109"/>
      <c r="M1138" s="109"/>
      <c r="N1138" s="109"/>
      <c r="O1138" s="109"/>
      <c r="P1138" s="109"/>
      <c r="Q1138" s="109"/>
      <c r="R1138" s="109"/>
      <c r="S1138" s="109"/>
      <c r="T1138" s="109"/>
      <c r="U1138" s="109"/>
      <c r="V1138" s="109"/>
      <c r="W1138" s="109"/>
      <c r="X1138" s="109"/>
      <c r="Y1138" s="109"/>
      <c r="Z1138" s="109"/>
      <c r="AA1138" s="109"/>
      <c r="AB1138" s="109"/>
      <c r="AC1138" s="109"/>
      <c r="AD1138" s="109"/>
      <c r="AE1138" s="109"/>
      <c r="AF1138" s="109"/>
      <c r="AG1138" s="109"/>
      <c r="AH1138" s="109"/>
      <c r="AI1138" s="109"/>
      <c r="AJ1138" s="115"/>
      <c r="AK1138" s="80"/>
      <c r="AL1138" s="80"/>
      <c r="AM1138" s="80"/>
      <c r="AN1138" s="80"/>
      <c r="AO1138" s="80"/>
      <c r="AP1138" s="80"/>
      <c r="AQ1138" s="80"/>
      <c r="AR1138" s="73"/>
      <c r="AS1138" s="73"/>
      <c r="AT1138" s="73"/>
      <c r="AU1138" s="73"/>
      <c r="AV1138" s="73"/>
      <c r="AW1138" s="73"/>
      <c r="AX1138" s="73"/>
      <c r="AY1138" s="73"/>
      <c r="AZ1138" s="73"/>
      <c r="BA1138" s="73"/>
      <c r="BB1138" s="73"/>
      <c r="BC1138" s="73"/>
      <c r="BD1138" s="73"/>
      <c r="BE1138" s="73"/>
      <c r="BF1138" s="73"/>
      <c r="BG1138" s="73"/>
      <c r="BH1138" s="73"/>
      <c r="BI1138" s="73"/>
      <c r="BJ1138" s="73"/>
      <c r="BK1138" s="73"/>
      <c r="BL1138" s="73"/>
      <c r="BM1138" s="73"/>
      <c r="BN1138" s="73"/>
      <c r="BO1138" s="73"/>
      <c r="BP1138" s="73"/>
      <c r="BQ1138" s="73"/>
      <c r="BR1138" s="73"/>
      <c r="BS1138" s="73"/>
      <c r="BT1138" s="73"/>
      <c r="BU1138" s="73"/>
      <c r="BV1138" s="73"/>
      <c r="BW1138" s="73"/>
      <c r="BX1138" s="73"/>
      <c r="BY1138" s="73"/>
      <c r="BZ1138" s="73"/>
      <c r="CA1138" s="73"/>
      <c r="CB1138" s="73"/>
      <c r="CC1138" s="73"/>
      <c r="CD1138" s="73"/>
      <c r="CE1138" s="73"/>
      <c r="CF1138" s="73"/>
      <c r="CG1138" s="73"/>
      <c r="CH1138" s="73"/>
    </row>
    <row r="1139">
      <c r="A1139" s="80"/>
      <c r="B1139" s="80"/>
      <c r="C1139" s="80"/>
      <c r="D1139" s="80"/>
      <c r="E1139" s="124"/>
      <c r="F1139" s="80"/>
      <c r="G1139" s="80"/>
      <c r="H1139" s="80"/>
      <c r="I1139" s="80"/>
      <c r="J1139" s="109"/>
      <c r="K1139" s="109"/>
      <c r="L1139" s="109"/>
      <c r="M1139" s="109"/>
      <c r="N1139" s="109"/>
      <c r="O1139" s="109"/>
      <c r="P1139" s="109"/>
      <c r="Q1139" s="109"/>
      <c r="R1139" s="109"/>
      <c r="S1139" s="109"/>
      <c r="T1139" s="109"/>
      <c r="U1139" s="109"/>
      <c r="V1139" s="109"/>
      <c r="W1139" s="109"/>
      <c r="X1139" s="109"/>
      <c r="Y1139" s="109"/>
      <c r="Z1139" s="109"/>
      <c r="AA1139" s="109"/>
      <c r="AB1139" s="109"/>
      <c r="AC1139" s="109"/>
      <c r="AD1139" s="109"/>
      <c r="AE1139" s="109"/>
      <c r="AF1139" s="109"/>
      <c r="AG1139" s="109"/>
      <c r="AH1139" s="109"/>
      <c r="AI1139" s="109"/>
      <c r="AJ1139" s="115"/>
      <c r="AK1139" s="80"/>
      <c r="AL1139" s="80"/>
      <c r="AM1139" s="80"/>
      <c r="AN1139" s="80"/>
      <c r="AO1139" s="80"/>
      <c r="AP1139" s="80"/>
      <c r="AQ1139" s="80"/>
      <c r="AR1139" s="73"/>
      <c r="AS1139" s="73"/>
      <c r="AT1139" s="73"/>
      <c r="AU1139" s="73"/>
      <c r="AV1139" s="73"/>
      <c r="AW1139" s="73"/>
      <c r="AX1139" s="73"/>
      <c r="AY1139" s="73"/>
      <c r="AZ1139" s="73"/>
      <c r="BA1139" s="73"/>
      <c r="BB1139" s="73"/>
      <c r="BC1139" s="73"/>
      <c r="BD1139" s="73"/>
      <c r="BE1139" s="73"/>
      <c r="BF1139" s="73"/>
      <c r="BG1139" s="73"/>
      <c r="BH1139" s="73"/>
      <c r="BI1139" s="73"/>
      <c r="BJ1139" s="73"/>
      <c r="BK1139" s="73"/>
      <c r="BL1139" s="73"/>
      <c r="BM1139" s="73"/>
      <c r="BN1139" s="73"/>
      <c r="BO1139" s="73"/>
      <c r="BP1139" s="73"/>
      <c r="BQ1139" s="73"/>
      <c r="BR1139" s="73"/>
      <c r="BS1139" s="73"/>
      <c r="BT1139" s="73"/>
      <c r="BU1139" s="73"/>
      <c r="BV1139" s="73"/>
      <c r="BW1139" s="73"/>
      <c r="BX1139" s="73"/>
      <c r="BY1139" s="73"/>
      <c r="BZ1139" s="73"/>
      <c r="CA1139" s="73"/>
      <c r="CB1139" s="73"/>
      <c r="CC1139" s="73"/>
      <c r="CD1139" s="73"/>
      <c r="CE1139" s="73"/>
      <c r="CF1139" s="73"/>
      <c r="CG1139" s="73"/>
      <c r="CH1139" s="73"/>
    </row>
    <row r="1140">
      <c r="A1140" s="80"/>
      <c r="B1140" s="80"/>
      <c r="C1140" s="80"/>
      <c r="D1140" s="80"/>
      <c r="E1140" s="124"/>
      <c r="F1140" s="80"/>
      <c r="G1140" s="80"/>
      <c r="H1140" s="80"/>
      <c r="I1140" s="80"/>
      <c r="J1140" s="109"/>
      <c r="K1140" s="109"/>
      <c r="L1140" s="109"/>
      <c r="M1140" s="109"/>
      <c r="N1140" s="109"/>
      <c r="O1140" s="109"/>
      <c r="P1140" s="109"/>
      <c r="Q1140" s="109"/>
      <c r="R1140" s="109"/>
      <c r="S1140" s="109"/>
      <c r="T1140" s="109"/>
      <c r="U1140" s="109"/>
      <c r="V1140" s="109"/>
      <c r="W1140" s="109"/>
      <c r="X1140" s="109"/>
      <c r="Y1140" s="109"/>
      <c r="Z1140" s="109"/>
      <c r="AA1140" s="109"/>
      <c r="AB1140" s="109"/>
      <c r="AC1140" s="109"/>
      <c r="AD1140" s="109"/>
      <c r="AE1140" s="109"/>
      <c r="AF1140" s="109"/>
      <c r="AG1140" s="109"/>
      <c r="AH1140" s="109"/>
      <c r="AI1140" s="109"/>
      <c r="AJ1140" s="115"/>
      <c r="AK1140" s="80"/>
      <c r="AL1140" s="80"/>
      <c r="AM1140" s="80"/>
      <c r="AN1140" s="80"/>
      <c r="AO1140" s="80"/>
      <c r="AP1140" s="80"/>
      <c r="AQ1140" s="80"/>
      <c r="AR1140" s="73"/>
      <c r="AS1140" s="73"/>
      <c r="AT1140" s="73"/>
      <c r="AU1140" s="73"/>
      <c r="AV1140" s="73"/>
      <c r="AW1140" s="73"/>
      <c r="AX1140" s="73"/>
      <c r="AY1140" s="73"/>
      <c r="AZ1140" s="73"/>
      <c r="BA1140" s="73"/>
      <c r="BB1140" s="73"/>
      <c r="BC1140" s="73"/>
      <c r="BD1140" s="73"/>
      <c r="BE1140" s="73"/>
      <c r="BF1140" s="73"/>
      <c r="BG1140" s="73"/>
      <c r="BH1140" s="73"/>
      <c r="BI1140" s="73"/>
      <c r="BJ1140" s="73"/>
      <c r="BK1140" s="73"/>
      <c r="BL1140" s="73"/>
      <c r="BM1140" s="73"/>
      <c r="BN1140" s="73"/>
      <c r="BO1140" s="73"/>
      <c r="BP1140" s="73"/>
      <c r="BQ1140" s="73"/>
      <c r="BR1140" s="73"/>
      <c r="BS1140" s="73"/>
      <c r="BT1140" s="73"/>
      <c r="BU1140" s="73"/>
      <c r="BV1140" s="73"/>
      <c r="BW1140" s="73"/>
      <c r="BX1140" s="73"/>
      <c r="BY1140" s="73"/>
      <c r="BZ1140" s="73"/>
      <c r="CA1140" s="73"/>
      <c r="CB1140" s="73"/>
      <c r="CC1140" s="73"/>
      <c r="CD1140" s="73"/>
      <c r="CE1140" s="73"/>
      <c r="CF1140" s="73"/>
      <c r="CG1140" s="73"/>
      <c r="CH1140" s="73"/>
    </row>
    <row r="1141">
      <c r="A1141" s="80"/>
      <c r="B1141" s="80"/>
      <c r="C1141" s="80"/>
      <c r="D1141" s="80"/>
      <c r="E1141" s="124"/>
      <c r="F1141" s="80"/>
      <c r="G1141" s="80"/>
      <c r="H1141" s="80"/>
      <c r="I1141" s="80"/>
      <c r="J1141" s="109"/>
      <c r="K1141" s="109"/>
      <c r="L1141" s="109"/>
      <c r="M1141" s="109"/>
      <c r="N1141" s="109"/>
      <c r="O1141" s="109"/>
      <c r="P1141" s="109"/>
      <c r="Q1141" s="109"/>
      <c r="R1141" s="109"/>
      <c r="S1141" s="109"/>
      <c r="T1141" s="109"/>
      <c r="U1141" s="109"/>
      <c r="V1141" s="109"/>
      <c r="W1141" s="109"/>
      <c r="X1141" s="109"/>
      <c r="Y1141" s="109"/>
      <c r="Z1141" s="109"/>
      <c r="AA1141" s="109"/>
      <c r="AB1141" s="109"/>
      <c r="AC1141" s="109"/>
      <c r="AD1141" s="109"/>
      <c r="AE1141" s="109"/>
      <c r="AF1141" s="109"/>
      <c r="AG1141" s="109"/>
      <c r="AH1141" s="109"/>
      <c r="AI1141" s="109"/>
      <c r="AJ1141" s="115"/>
      <c r="AK1141" s="80"/>
      <c r="AL1141" s="80"/>
      <c r="AM1141" s="80"/>
      <c r="AN1141" s="80"/>
      <c r="AO1141" s="80"/>
      <c r="AP1141" s="80"/>
      <c r="AQ1141" s="80"/>
      <c r="AR1141" s="73"/>
      <c r="AS1141" s="73"/>
      <c r="AT1141" s="73"/>
      <c r="AU1141" s="73"/>
      <c r="AV1141" s="73"/>
      <c r="AW1141" s="73"/>
      <c r="AX1141" s="73"/>
      <c r="AY1141" s="73"/>
      <c r="AZ1141" s="73"/>
      <c r="BA1141" s="73"/>
      <c r="BB1141" s="73"/>
      <c r="BC1141" s="73"/>
      <c r="BD1141" s="73"/>
      <c r="BE1141" s="73"/>
      <c r="BF1141" s="73"/>
      <c r="BG1141" s="73"/>
      <c r="BH1141" s="73"/>
      <c r="BI1141" s="73"/>
      <c r="BJ1141" s="73"/>
      <c r="BK1141" s="73"/>
      <c r="BL1141" s="73"/>
      <c r="BM1141" s="73"/>
      <c r="BN1141" s="73"/>
      <c r="BO1141" s="73"/>
      <c r="BP1141" s="73"/>
      <c r="BQ1141" s="73"/>
      <c r="BR1141" s="73"/>
      <c r="BS1141" s="73"/>
      <c r="BT1141" s="73"/>
      <c r="BU1141" s="73"/>
      <c r="BV1141" s="73"/>
      <c r="BW1141" s="73"/>
      <c r="BX1141" s="73"/>
      <c r="BY1141" s="73"/>
      <c r="BZ1141" s="73"/>
      <c r="CA1141" s="73"/>
      <c r="CB1141" s="73"/>
      <c r="CC1141" s="73"/>
      <c r="CD1141" s="73"/>
      <c r="CE1141" s="73"/>
      <c r="CF1141" s="73"/>
      <c r="CG1141" s="73"/>
      <c r="CH1141" s="73"/>
    </row>
    <row r="1142">
      <c r="A1142" s="80"/>
      <c r="B1142" s="80"/>
      <c r="C1142" s="80"/>
      <c r="D1142" s="80"/>
      <c r="E1142" s="124"/>
      <c r="F1142" s="80"/>
      <c r="G1142" s="80"/>
      <c r="H1142" s="80"/>
      <c r="I1142" s="80"/>
      <c r="J1142" s="109"/>
      <c r="K1142" s="109"/>
      <c r="L1142" s="109"/>
      <c r="M1142" s="109"/>
      <c r="N1142" s="109"/>
      <c r="O1142" s="109"/>
      <c r="P1142" s="109"/>
      <c r="Q1142" s="109"/>
      <c r="R1142" s="109"/>
      <c r="S1142" s="109"/>
      <c r="T1142" s="109"/>
      <c r="U1142" s="109"/>
      <c r="V1142" s="109"/>
      <c r="W1142" s="109"/>
      <c r="X1142" s="109"/>
      <c r="Y1142" s="109"/>
      <c r="Z1142" s="109"/>
      <c r="AA1142" s="109"/>
      <c r="AB1142" s="109"/>
      <c r="AC1142" s="109"/>
      <c r="AD1142" s="109"/>
      <c r="AE1142" s="109"/>
      <c r="AF1142" s="109"/>
      <c r="AG1142" s="109"/>
      <c r="AH1142" s="109"/>
      <c r="AI1142" s="109"/>
      <c r="AJ1142" s="115"/>
      <c r="AK1142" s="80"/>
      <c r="AL1142" s="80"/>
      <c r="AM1142" s="80"/>
      <c r="AN1142" s="80"/>
      <c r="AO1142" s="80"/>
      <c r="AP1142" s="80"/>
      <c r="AQ1142" s="80"/>
      <c r="AR1142" s="73"/>
      <c r="AS1142" s="73"/>
      <c r="AT1142" s="73"/>
      <c r="AU1142" s="73"/>
      <c r="AV1142" s="73"/>
      <c r="AW1142" s="73"/>
      <c r="AX1142" s="73"/>
      <c r="AY1142" s="73"/>
      <c r="AZ1142" s="73"/>
      <c r="BA1142" s="73"/>
      <c r="BB1142" s="73"/>
      <c r="BC1142" s="73"/>
      <c r="BD1142" s="73"/>
      <c r="BE1142" s="73"/>
      <c r="BF1142" s="73"/>
      <c r="BG1142" s="73"/>
      <c r="BH1142" s="73"/>
      <c r="BI1142" s="73"/>
      <c r="BJ1142" s="73"/>
      <c r="BK1142" s="73"/>
      <c r="BL1142" s="73"/>
      <c r="BM1142" s="73"/>
      <c r="BN1142" s="73"/>
      <c r="BO1142" s="73"/>
      <c r="BP1142" s="73"/>
      <c r="BQ1142" s="73"/>
      <c r="BR1142" s="73"/>
      <c r="BS1142" s="73"/>
      <c r="BT1142" s="73"/>
      <c r="BU1142" s="73"/>
      <c r="BV1142" s="73"/>
      <c r="BW1142" s="73"/>
      <c r="BX1142" s="73"/>
      <c r="BY1142" s="73"/>
      <c r="BZ1142" s="73"/>
      <c r="CA1142" s="73"/>
      <c r="CB1142" s="73"/>
      <c r="CC1142" s="73"/>
      <c r="CD1142" s="73"/>
      <c r="CE1142" s="73"/>
      <c r="CF1142" s="73"/>
      <c r="CG1142" s="73"/>
      <c r="CH1142" s="73"/>
    </row>
    <row r="1143">
      <c r="A1143" s="80"/>
      <c r="B1143" s="80"/>
      <c r="C1143" s="80"/>
      <c r="D1143" s="80"/>
      <c r="E1143" s="124"/>
      <c r="F1143" s="80"/>
      <c r="G1143" s="80"/>
      <c r="H1143" s="80"/>
      <c r="I1143" s="80"/>
      <c r="J1143" s="109"/>
      <c r="K1143" s="109"/>
      <c r="L1143" s="109"/>
      <c r="M1143" s="109"/>
      <c r="N1143" s="109"/>
      <c r="O1143" s="109"/>
      <c r="P1143" s="109"/>
      <c r="Q1143" s="109"/>
      <c r="R1143" s="109"/>
      <c r="S1143" s="109"/>
      <c r="T1143" s="109"/>
      <c r="U1143" s="109"/>
      <c r="V1143" s="109"/>
      <c r="W1143" s="109"/>
      <c r="X1143" s="109"/>
      <c r="Y1143" s="109"/>
      <c r="Z1143" s="109"/>
      <c r="AA1143" s="109"/>
      <c r="AB1143" s="109"/>
      <c r="AC1143" s="109"/>
      <c r="AD1143" s="109"/>
      <c r="AE1143" s="109"/>
      <c r="AF1143" s="109"/>
      <c r="AG1143" s="109"/>
      <c r="AH1143" s="109"/>
      <c r="AI1143" s="109"/>
      <c r="AJ1143" s="115"/>
      <c r="AK1143" s="80"/>
      <c r="AL1143" s="80"/>
      <c r="AM1143" s="80"/>
      <c r="AN1143" s="80"/>
      <c r="AO1143" s="80"/>
      <c r="AP1143" s="80"/>
      <c r="AQ1143" s="80"/>
      <c r="AR1143" s="73"/>
      <c r="AS1143" s="73"/>
      <c r="AT1143" s="73"/>
      <c r="AU1143" s="73"/>
      <c r="AV1143" s="73"/>
      <c r="AW1143" s="73"/>
      <c r="AX1143" s="73"/>
      <c r="AY1143" s="73"/>
      <c r="AZ1143" s="73"/>
      <c r="BA1143" s="73"/>
      <c r="BB1143" s="73"/>
      <c r="BC1143" s="73"/>
      <c r="BD1143" s="73"/>
      <c r="BE1143" s="73"/>
      <c r="BF1143" s="73"/>
      <c r="BG1143" s="73"/>
      <c r="BH1143" s="73"/>
      <c r="BI1143" s="73"/>
      <c r="BJ1143" s="73"/>
      <c r="BK1143" s="73"/>
      <c r="BL1143" s="73"/>
      <c r="BM1143" s="73"/>
      <c r="BN1143" s="73"/>
      <c r="BO1143" s="73"/>
      <c r="BP1143" s="73"/>
      <c r="BQ1143" s="73"/>
      <c r="BR1143" s="73"/>
      <c r="BS1143" s="73"/>
      <c r="BT1143" s="73"/>
      <c r="BU1143" s="73"/>
      <c r="BV1143" s="73"/>
      <c r="BW1143" s="73"/>
      <c r="BX1143" s="73"/>
      <c r="BY1143" s="73"/>
      <c r="BZ1143" s="73"/>
      <c r="CA1143" s="73"/>
      <c r="CB1143" s="73"/>
      <c r="CC1143" s="73"/>
      <c r="CD1143" s="73"/>
      <c r="CE1143" s="73"/>
      <c r="CF1143" s="73"/>
      <c r="CG1143" s="73"/>
      <c r="CH1143" s="73"/>
    </row>
    <row r="1144">
      <c r="A1144" s="80"/>
      <c r="B1144" s="80"/>
      <c r="C1144" s="80"/>
      <c r="D1144" s="80"/>
      <c r="E1144" s="124"/>
      <c r="F1144" s="80"/>
      <c r="G1144" s="80"/>
      <c r="H1144" s="80"/>
      <c r="I1144" s="80"/>
      <c r="J1144" s="109"/>
      <c r="K1144" s="109"/>
      <c r="L1144" s="109"/>
      <c r="M1144" s="109"/>
      <c r="N1144" s="109"/>
      <c r="O1144" s="109"/>
      <c r="P1144" s="109"/>
      <c r="Q1144" s="109"/>
      <c r="R1144" s="109"/>
      <c r="S1144" s="109"/>
      <c r="T1144" s="109"/>
      <c r="U1144" s="109"/>
      <c r="V1144" s="109"/>
      <c r="W1144" s="109"/>
      <c r="X1144" s="109"/>
      <c r="Y1144" s="109"/>
      <c r="Z1144" s="109"/>
      <c r="AA1144" s="109"/>
      <c r="AB1144" s="109"/>
      <c r="AC1144" s="109"/>
      <c r="AD1144" s="109"/>
      <c r="AE1144" s="109"/>
      <c r="AF1144" s="109"/>
      <c r="AG1144" s="109"/>
      <c r="AH1144" s="109"/>
      <c r="AI1144" s="109"/>
      <c r="AJ1144" s="115"/>
      <c r="AK1144" s="80"/>
      <c r="AL1144" s="80"/>
      <c r="AM1144" s="80"/>
      <c r="AN1144" s="80"/>
      <c r="AO1144" s="80"/>
      <c r="AP1144" s="80"/>
      <c r="AQ1144" s="80"/>
      <c r="AR1144" s="73"/>
      <c r="AS1144" s="73"/>
      <c r="AT1144" s="73"/>
      <c r="AU1144" s="73"/>
      <c r="AV1144" s="73"/>
      <c r="AW1144" s="73"/>
      <c r="AX1144" s="73"/>
      <c r="AY1144" s="73"/>
      <c r="AZ1144" s="73"/>
      <c r="BA1144" s="73"/>
      <c r="BB1144" s="73"/>
      <c r="BC1144" s="73"/>
      <c r="BD1144" s="73"/>
      <c r="BE1144" s="73"/>
      <c r="BF1144" s="73"/>
      <c r="BG1144" s="73"/>
      <c r="BH1144" s="73"/>
      <c r="BI1144" s="73"/>
      <c r="BJ1144" s="73"/>
      <c r="BK1144" s="73"/>
      <c r="BL1144" s="73"/>
      <c r="BM1144" s="73"/>
      <c r="BN1144" s="73"/>
      <c r="BO1144" s="73"/>
      <c r="BP1144" s="73"/>
      <c r="BQ1144" s="73"/>
      <c r="BR1144" s="73"/>
      <c r="BS1144" s="73"/>
      <c r="BT1144" s="73"/>
      <c r="BU1144" s="73"/>
      <c r="BV1144" s="73"/>
      <c r="BW1144" s="73"/>
      <c r="BX1144" s="73"/>
      <c r="BY1144" s="73"/>
      <c r="BZ1144" s="73"/>
      <c r="CA1144" s="73"/>
      <c r="CB1144" s="73"/>
      <c r="CC1144" s="73"/>
      <c r="CD1144" s="73"/>
      <c r="CE1144" s="73"/>
      <c r="CF1144" s="73"/>
      <c r="CG1144" s="73"/>
      <c r="CH1144" s="73"/>
    </row>
    <row r="1145">
      <c r="A1145" s="80"/>
      <c r="B1145" s="80"/>
      <c r="C1145" s="80"/>
      <c r="D1145" s="80"/>
      <c r="E1145" s="124"/>
      <c r="F1145" s="80"/>
      <c r="G1145" s="80"/>
      <c r="H1145" s="80"/>
      <c r="I1145" s="80"/>
      <c r="J1145" s="109"/>
      <c r="K1145" s="109"/>
      <c r="L1145" s="109"/>
      <c r="M1145" s="109"/>
      <c r="N1145" s="109"/>
      <c r="O1145" s="109"/>
      <c r="P1145" s="109"/>
      <c r="Q1145" s="109"/>
      <c r="R1145" s="109"/>
      <c r="S1145" s="109"/>
      <c r="T1145" s="109"/>
      <c r="U1145" s="109"/>
      <c r="V1145" s="109"/>
      <c r="W1145" s="109"/>
      <c r="X1145" s="109"/>
      <c r="Y1145" s="109"/>
      <c r="Z1145" s="109"/>
      <c r="AA1145" s="109"/>
      <c r="AB1145" s="109"/>
      <c r="AC1145" s="109"/>
      <c r="AD1145" s="109"/>
      <c r="AE1145" s="109"/>
      <c r="AF1145" s="109"/>
      <c r="AG1145" s="109"/>
      <c r="AH1145" s="109"/>
      <c r="AI1145" s="109"/>
      <c r="AJ1145" s="115"/>
      <c r="AK1145" s="80"/>
      <c r="AL1145" s="80"/>
      <c r="AM1145" s="80"/>
      <c r="AN1145" s="80"/>
      <c r="AO1145" s="80"/>
      <c r="AP1145" s="80"/>
      <c r="AQ1145" s="80"/>
      <c r="AR1145" s="73"/>
      <c r="AS1145" s="73"/>
      <c r="AT1145" s="73"/>
      <c r="AU1145" s="73"/>
      <c r="AV1145" s="73"/>
      <c r="AW1145" s="73"/>
      <c r="AX1145" s="73"/>
      <c r="AY1145" s="73"/>
      <c r="AZ1145" s="73"/>
      <c r="BA1145" s="73"/>
      <c r="BB1145" s="73"/>
      <c r="BC1145" s="73"/>
      <c r="BD1145" s="73"/>
      <c r="BE1145" s="73"/>
      <c r="BF1145" s="73"/>
      <c r="BG1145" s="73"/>
      <c r="BH1145" s="73"/>
      <c r="BI1145" s="73"/>
      <c r="BJ1145" s="73"/>
      <c r="BK1145" s="73"/>
      <c r="BL1145" s="73"/>
      <c r="BM1145" s="73"/>
      <c r="BN1145" s="73"/>
      <c r="BO1145" s="73"/>
      <c r="BP1145" s="73"/>
      <c r="BQ1145" s="73"/>
      <c r="BR1145" s="73"/>
      <c r="BS1145" s="73"/>
      <c r="BT1145" s="73"/>
      <c r="BU1145" s="73"/>
      <c r="BV1145" s="73"/>
      <c r="BW1145" s="73"/>
      <c r="BX1145" s="73"/>
      <c r="BY1145" s="73"/>
      <c r="BZ1145" s="73"/>
      <c r="CA1145" s="73"/>
      <c r="CB1145" s="73"/>
      <c r="CC1145" s="73"/>
      <c r="CD1145" s="73"/>
      <c r="CE1145" s="73"/>
      <c r="CF1145" s="73"/>
      <c r="CG1145" s="73"/>
      <c r="CH1145" s="73"/>
    </row>
    <row r="1146">
      <c r="A1146" s="80"/>
      <c r="B1146" s="80"/>
      <c r="C1146" s="80"/>
      <c r="D1146" s="80"/>
      <c r="E1146" s="124"/>
      <c r="F1146" s="80"/>
      <c r="G1146" s="80"/>
      <c r="H1146" s="80"/>
      <c r="I1146" s="80"/>
      <c r="J1146" s="109"/>
      <c r="K1146" s="109"/>
      <c r="L1146" s="109"/>
      <c r="M1146" s="109"/>
      <c r="N1146" s="109"/>
      <c r="O1146" s="109"/>
      <c r="P1146" s="109"/>
      <c r="Q1146" s="109"/>
      <c r="R1146" s="109"/>
      <c r="S1146" s="109"/>
      <c r="T1146" s="109"/>
      <c r="U1146" s="109"/>
      <c r="V1146" s="109"/>
      <c r="W1146" s="109"/>
      <c r="X1146" s="109"/>
      <c r="Y1146" s="109"/>
      <c r="Z1146" s="109"/>
      <c r="AA1146" s="109"/>
      <c r="AB1146" s="109"/>
      <c r="AC1146" s="109"/>
      <c r="AD1146" s="109"/>
      <c r="AE1146" s="109"/>
      <c r="AF1146" s="109"/>
      <c r="AG1146" s="109"/>
      <c r="AH1146" s="109"/>
      <c r="AI1146" s="109"/>
      <c r="AJ1146" s="115"/>
      <c r="AK1146" s="80"/>
      <c r="AL1146" s="80"/>
      <c r="AM1146" s="80"/>
      <c r="AN1146" s="80"/>
      <c r="AO1146" s="80"/>
      <c r="AP1146" s="80"/>
      <c r="AQ1146" s="80"/>
      <c r="AR1146" s="73"/>
      <c r="AS1146" s="73"/>
      <c r="AT1146" s="73"/>
      <c r="AU1146" s="73"/>
      <c r="AV1146" s="73"/>
      <c r="AW1146" s="73"/>
      <c r="AX1146" s="73"/>
      <c r="AY1146" s="73"/>
      <c r="AZ1146" s="73"/>
      <c r="BA1146" s="73"/>
      <c r="BB1146" s="73"/>
      <c r="BC1146" s="73"/>
      <c r="BD1146" s="73"/>
      <c r="BE1146" s="73"/>
      <c r="BF1146" s="73"/>
      <c r="BG1146" s="73"/>
      <c r="BH1146" s="73"/>
      <c r="BI1146" s="73"/>
      <c r="BJ1146" s="73"/>
      <c r="BK1146" s="73"/>
      <c r="BL1146" s="73"/>
      <c r="BM1146" s="73"/>
      <c r="BN1146" s="73"/>
      <c r="BO1146" s="73"/>
      <c r="BP1146" s="73"/>
      <c r="BQ1146" s="73"/>
      <c r="BR1146" s="73"/>
      <c r="BS1146" s="73"/>
      <c r="BT1146" s="73"/>
      <c r="BU1146" s="73"/>
      <c r="BV1146" s="73"/>
      <c r="BW1146" s="73"/>
      <c r="BX1146" s="73"/>
      <c r="BY1146" s="73"/>
      <c r="BZ1146" s="73"/>
      <c r="CA1146" s="73"/>
      <c r="CB1146" s="73"/>
      <c r="CC1146" s="73"/>
      <c r="CD1146" s="73"/>
      <c r="CE1146" s="73"/>
      <c r="CF1146" s="73"/>
      <c r="CG1146" s="73"/>
      <c r="CH1146" s="73"/>
    </row>
    <row r="1147">
      <c r="A1147" s="80"/>
      <c r="B1147" s="80"/>
      <c r="C1147" s="80"/>
      <c r="D1147" s="80"/>
      <c r="E1147" s="124"/>
      <c r="F1147" s="80"/>
      <c r="G1147" s="80"/>
      <c r="H1147" s="80"/>
      <c r="I1147" s="80"/>
      <c r="J1147" s="109"/>
      <c r="K1147" s="109"/>
      <c r="L1147" s="109"/>
      <c r="M1147" s="109"/>
      <c r="N1147" s="109"/>
      <c r="O1147" s="109"/>
      <c r="P1147" s="109"/>
      <c r="Q1147" s="109"/>
      <c r="R1147" s="109"/>
      <c r="S1147" s="109"/>
      <c r="T1147" s="109"/>
      <c r="U1147" s="109"/>
      <c r="V1147" s="109"/>
      <c r="W1147" s="109"/>
      <c r="X1147" s="109"/>
      <c r="Y1147" s="109"/>
      <c r="Z1147" s="109"/>
      <c r="AA1147" s="109"/>
      <c r="AB1147" s="109"/>
      <c r="AC1147" s="109"/>
      <c r="AD1147" s="109"/>
      <c r="AE1147" s="109"/>
      <c r="AF1147" s="109"/>
      <c r="AG1147" s="109"/>
      <c r="AH1147" s="109"/>
      <c r="AI1147" s="109"/>
      <c r="AJ1147" s="115"/>
      <c r="AK1147" s="80"/>
      <c r="AL1147" s="80"/>
      <c r="AM1147" s="80"/>
      <c r="AN1147" s="80"/>
      <c r="AO1147" s="80"/>
      <c r="AP1147" s="80"/>
      <c r="AQ1147" s="80"/>
      <c r="AR1147" s="73"/>
      <c r="AS1147" s="73"/>
      <c r="AT1147" s="73"/>
      <c r="AU1147" s="73"/>
      <c r="AV1147" s="73"/>
      <c r="AW1147" s="73"/>
      <c r="AX1147" s="73"/>
      <c r="AY1147" s="73"/>
      <c r="AZ1147" s="73"/>
      <c r="BA1147" s="73"/>
      <c r="BB1147" s="73"/>
      <c r="BC1147" s="73"/>
      <c r="BD1147" s="73"/>
      <c r="BE1147" s="73"/>
      <c r="BF1147" s="73"/>
      <c r="BG1147" s="73"/>
      <c r="BH1147" s="73"/>
      <c r="BI1147" s="73"/>
      <c r="BJ1147" s="73"/>
      <c r="BK1147" s="73"/>
      <c r="BL1147" s="73"/>
      <c r="BM1147" s="73"/>
      <c r="BN1147" s="73"/>
      <c r="BO1147" s="73"/>
      <c r="BP1147" s="73"/>
      <c r="BQ1147" s="73"/>
      <c r="BR1147" s="73"/>
      <c r="BS1147" s="73"/>
      <c r="BT1147" s="73"/>
      <c r="BU1147" s="73"/>
      <c r="BV1147" s="73"/>
      <c r="BW1147" s="73"/>
      <c r="BX1147" s="73"/>
      <c r="BY1147" s="73"/>
      <c r="BZ1147" s="73"/>
      <c r="CA1147" s="73"/>
      <c r="CB1147" s="73"/>
      <c r="CC1147" s="73"/>
      <c r="CD1147" s="73"/>
      <c r="CE1147" s="73"/>
      <c r="CF1147" s="73"/>
      <c r="CG1147" s="73"/>
      <c r="CH1147" s="73"/>
    </row>
    <row r="1148">
      <c r="A1148" s="80"/>
      <c r="B1148" s="80"/>
      <c r="C1148" s="80"/>
      <c r="D1148" s="80"/>
      <c r="E1148" s="124"/>
      <c r="F1148" s="80"/>
      <c r="G1148" s="80"/>
      <c r="H1148" s="80"/>
      <c r="I1148" s="80"/>
      <c r="J1148" s="109"/>
      <c r="K1148" s="109"/>
      <c r="L1148" s="109"/>
      <c r="M1148" s="109"/>
      <c r="N1148" s="109"/>
      <c r="O1148" s="109"/>
      <c r="P1148" s="109"/>
      <c r="Q1148" s="109"/>
      <c r="R1148" s="109"/>
      <c r="S1148" s="109"/>
      <c r="T1148" s="109"/>
      <c r="U1148" s="109"/>
      <c r="V1148" s="109"/>
      <c r="W1148" s="109"/>
      <c r="X1148" s="109"/>
      <c r="Y1148" s="109"/>
      <c r="Z1148" s="109"/>
      <c r="AA1148" s="109"/>
      <c r="AB1148" s="109"/>
      <c r="AC1148" s="109"/>
      <c r="AD1148" s="109"/>
      <c r="AE1148" s="109"/>
      <c r="AF1148" s="109"/>
      <c r="AG1148" s="109"/>
      <c r="AH1148" s="109"/>
      <c r="AI1148" s="109"/>
      <c r="AJ1148" s="115"/>
      <c r="AK1148" s="80"/>
      <c r="AL1148" s="80"/>
      <c r="AM1148" s="80"/>
      <c r="AN1148" s="80"/>
      <c r="AO1148" s="80"/>
      <c r="AP1148" s="80"/>
      <c r="AQ1148" s="80"/>
      <c r="AR1148" s="73"/>
      <c r="AS1148" s="73"/>
      <c r="AT1148" s="73"/>
      <c r="AU1148" s="73"/>
      <c r="AV1148" s="73"/>
      <c r="AW1148" s="73"/>
      <c r="AX1148" s="73"/>
      <c r="AY1148" s="73"/>
      <c r="AZ1148" s="73"/>
      <c r="BA1148" s="73"/>
      <c r="BB1148" s="73"/>
      <c r="BC1148" s="73"/>
      <c r="BD1148" s="73"/>
      <c r="BE1148" s="73"/>
      <c r="BF1148" s="73"/>
      <c r="BG1148" s="73"/>
      <c r="BH1148" s="73"/>
      <c r="BI1148" s="73"/>
      <c r="BJ1148" s="73"/>
      <c r="BK1148" s="73"/>
      <c r="BL1148" s="73"/>
      <c r="BM1148" s="73"/>
      <c r="BN1148" s="73"/>
      <c r="BO1148" s="73"/>
      <c r="BP1148" s="73"/>
      <c r="BQ1148" s="73"/>
      <c r="BR1148" s="73"/>
      <c r="BS1148" s="73"/>
      <c r="BT1148" s="73"/>
      <c r="BU1148" s="73"/>
      <c r="BV1148" s="73"/>
      <c r="BW1148" s="73"/>
      <c r="BX1148" s="73"/>
      <c r="BY1148" s="73"/>
      <c r="BZ1148" s="73"/>
      <c r="CA1148" s="73"/>
      <c r="CB1148" s="73"/>
      <c r="CC1148" s="73"/>
      <c r="CD1148" s="73"/>
      <c r="CE1148" s="73"/>
      <c r="CF1148" s="73"/>
      <c r="CG1148" s="73"/>
      <c r="CH1148" s="73"/>
    </row>
    <row r="1149">
      <c r="A1149" s="80"/>
      <c r="B1149" s="80"/>
      <c r="C1149" s="80"/>
      <c r="D1149" s="80"/>
      <c r="E1149" s="124"/>
      <c r="F1149" s="80"/>
      <c r="G1149" s="80"/>
      <c r="H1149" s="80"/>
      <c r="I1149" s="80"/>
      <c r="J1149" s="109"/>
      <c r="K1149" s="109"/>
      <c r="L1149" s="109"/>
      <c r="M1149" s="109"/>
      <c r="N1149" s="109"/>
      <c r="O1149" s="109"/>
      <c r="P1149" s="109"/>
      <c r="Q1149" s="109"/>
      <c r="R1149" s="109"/>
      <c r="S1149" s="109"/>
      <c r="T1149" s="109"/>
      <c r="U1149" s="109"/>
      <c r="V1149" s="109"/>
      <c r="W1149" s="109"/>
      <c r="X1149" s="109"/>
      <c r="Y1149" s="109"/>
      <c r="Z1149" s="109"/>
      <c r="AA1149" s="109"/>
      <c r="AB1149" s="109"/>
      <c r="AC1149" s="109"/>
      <c r="AD1149" s="109"/>
      <c r="AE1149" s="109"/>
      <c r="AF1149" s="109"/>
      <c r="AG1149" s="109"/>
      <c r="AH1149" s="109"/>
      <c r="AI1149" s="109"/>
      <c r="AJ1149" s="115"/>
      <c r="AK1149" s="80"/>
      <c r="AL1149" s="80"/>
      <c r="AM1149" s="80"/>
      <c r="AN1149" s="80"/>
      <c r="AO1149" s="80"/>
      <c r="AP1149" s="80"/>
      <c r="AQ1149" s="80"/>
      <c r="AR1149" s="73"/>
      <c r="AS1149" s="73"/>
      <c r="AT1149" s="73"/>
      <c r="AU1149" s="73"/>
      <c r="AV1149" s="73"/>
      <c r="AW1149" s="73"/>
      <c r="AX1149" s="73"/>
      <c r="AY1149" s="73"/>
      <c r="AZ1149" s="73"/>
      <c r="BA1149" s="73"/>
      <c r="BB1149" s="73"/>
      <c r="BC1149" s="73"/>
      <c r="BD1149" s="73"/>
      <c r="BE1149" s="73"/>
      <c r="BF1149" s="73"/>
      <c r="BG1149" s="73"/>
      <c r="BH1149" s="73"/>
      <c r="BI1149" s="73"/>
      <c r="BJ1149" s="73"/>
      <c r="BK1149" s="73"/>
      <c r="BL1149" s="73"/>
      <c r="BM1149" s="73"/>
      <c r="BN1149" s="73"/>
      <c r="BO1149" s="73"/>
      <c r="BP1149" s="73"/>
      <c r="BQ1149" s="73"/>
      <c r="BR1149" s="73"/>
      <c r="BS1149" s="73"/>
      <c r="BT1149" s="73"/>
      <c r="BU1149" s="73"/>
      <c r="BV1149" s="73"/>
      <c r="BW1149" s="73"/>
      <c r="BX1149" s="73"/>
      <c r="BY1149" s="73"/>
      <c r="BZ1149" s="73"/>
      <c r="CA1149" s="73"/>
      <c r="CB1149" s="73"/>
      <c r="CC1149" s="73"/>
      <c r="CD1149" s="73"/>
      <c r="CE1149" s="73"/>
      <c r="CF1149" s="73"/>
      <c r="CG1149" s="73"/>
      <c r="CH1149" s="73"/>
    </row>
    <row r="1150">
      <c r="A1150" s="80"/>
      <c r="B1150" s="80"/>
      <c r="C1150" s="80"/>
      <c r="D1150" s="80"/>
      <c r="E1150" s="124"/>
      <c r="F1150" s="80"/>
      <c r="G1150" s="80"/>
      <c r="H1150" s="80"/>
      <c r="I1150" s="80"/>
      <c r="J1150" s="109"/>
      <c r="K1150" s="109"/>
      <c r="L1150" s="109"/>
      <c r="M1150" s="109"/>
      <c r="N1150" s="109"/>
      <c r="O1150" s="109"/>
      <c r="P1150" s="109"/>
      <c r="Q1150" s="109"/>
      <c r="R1150" s="109"/>
      <c r="S1150" s="109"/>
      <c r="T1150" s="109"/>
      <c r="U1150" s="109"/>
      <c r="V1150" s="109"/>
      <c r="W1150" s="109"/>
      <c r="X1150" s="109"/>
      <c r="Y1150" s="109"/>
      <c r="Z1150" s="109"/>
      <c r="AA1150" s="109"/>
      <c r="AB1150" s="109"/>
      <c r="AC1150" s="109"/>
      <c r="AD1150" s="109"/>
      <c r="AE1150" s="109"/>
      <c r="AF1150" s="109"/>
      <c r="AG1150" s="109"/>
      <c r="AH1150" s="109"/>
      <c r="AI1150" s="109"/>
      <c r="AJ1150" s="115"/>
      <c r="AK1150" s="80"/>
      <c r="AL1150" s="80"/>
      <c r="AM1150" s="80"/>
      <c r="AN1150" s="80"/>
      <c r="AO1150" s="80"/>
      <c r="AP1150" s="80"/>
      <c r="AQ1150" s="80"/>
      <c r="AR1150" s="73"/>
      <c r="AS1150" s="73"/>
      <c r="AT1150" s="73"/>
      <c r="AU1150" s="73"/>
      <c r="AV1150" s="73"/>
      <c r="AW1150" s="73"/>
      <c r="AX1150" s="73"/>
      <c r="AY1150" s="73"/>
      <c r="AZ1150" s="73"/>
      <c r="BA1150" s="73"/>
      <c r="BB1150" s="73"/>
      <c r="BC1150" s="73"/>
      <c r="BD1150" s="73"/>
      <c r="BE1150" s="73"/>
      <c r="BF1150" s="73"/>
      <c r="BG1150" s="73"/>
      <c r="BH1150" s="73"/>
      <c r="BI1150" s="73"/>
      <c r="BJ1150" s="73"/>
      <c r="BK1150" s="73"/>
      <c r="BL1150" s="73"/>
      <c r="BM1150" s="73"/>
      <c r="BN1150" s="73"/>
      <c r="BO1150" s="73"/>
      <c r="BP1150" s="73"/>
      <c r="BQ1150" s="73"/>
      <c r="BR1150" s="73"/>
      <c r="BS1150" s="73"/>
      <c r="BT1150" s="73"/>
      <c r="BU1150" s="73"/>
      <c r="BV1150" s="73"/>
      <c r="BW1150" s="73"/>
      <c r="BX1150" s="73"/>
      <c r="BY1150" s="73"/>
      <c r="BZ1150" s="73"/>
      <c r="CA1150" s="73"/>
      <c r="CB1150" s="73"/>
      <c r="CC1150" s="73"/>
      <c r="CD1150" s="73"/>
      <c r="CE1150" s="73"/>
      <c r="CF1150" s="73"/>
      <c r="CG1150" s="73"/>
      <c r="CH1150" s="73"/>
    </row>
    <row r="1151">
      <c r="A1151" s="80"/>
      <c r="B1151" s="80"/>
      <c r="C1151" s="80"/>
      <c r="D1151" s="80"/>
      <c r="E1151" s="124"/>
      <c r="F1151" s="80"/>
      <c r="G1151" s="80"/>
      <c r="H1151" s="80"/>
      <c r="I1151" s="80"/>
      <c r="J1151" s="109"/>
      <c r="K1151" s="109"/>
      <c r="L1151" s="109"/>
      <c r="M1151" s="109"/>
      <c r="N1151" s="109"/>
      <c r="O1151" s="109"/>
      <c r="P1151" s="109"/>
      <c r="Q1151" s="109"/>
      <c r="R1151" s="109"/>
      <c r="S1151" s="109"/>
      <c r="T1151" s="109"/>
      <c r="U1151" s="109"/>
      <c r="V1151" s="109"/>
      <c r="W1151" s="109"/>
      <c r="X1151" s="109"/>
      <c r="Y1151" s="109"/>
      <c r="Z1151" s="109"/>
      <c r="AA1151" s="109"/>
      <c r="AB1151" s="109"/>
      <c r="AC1151" s="109"/>
      <c r="AD1151" s="109"/>
      <c r="AE1151" s="109"/>
      <c r="AF1151" s="109"/>
      <c r="AG1151" s="109"/>
      <c r="AH1151" s="109"/>
      <c r="AI1151" s="109"/>
      <c r="AJ1151" s="115"/>
      <c r="AK1151" s="80"/>
      <c r="AL1151" s="80"/>
      <c r="AM1151" s="80"/>
      <c r="AN1151" s="80"/>
      <c r="AO1151" s="80"/>
      <c r="AP1151" s="80"/>
      <c r="AQ1151" s="80"/>
      <c r="AR1151" s="73"/>
      <c r="AS1151" s="73"/>
      <c r="AT1151" s="73"/>
      <c r="AU1151" s="73"/>
      <c r="AV1151" s="73"/>
      <c r="AW1151" s="73"/>
      <c r="AX1151" s="73"/>
      <c r="AY1151" s="73"/>
      <c r="AZ1151" s="73"/>
      <c r="BA1151" s="73"/>
      <c r="BB1151" s="73"/>
      <c r="BC1151" s="73"/>
      <c r="BD1151" s="73"/>
      <c r="BE1151" s="73"/>
      <c r="BF1151" s="73"/>
      <c r="BG1151" s="73"/>
      <c r="BH1151" s="73"/>
      <c r="BI1151" s="73"/>
      <c r="BJ1151" s="73"/>
      <c r="BK1151" s="73"/>
      <c r="BL1151" s="73"/>
      <c r="BM1151" s="73"/>
      <c r="BN1151" s="73"/>
      <c r="BO1151" s="73"/>
      <c r="BP1151" s="73"/>
      <c r="BQ1151" s="73"/>
      <c r="BR1151" s="73"/>
      <c r="BS1151" s="73"/>
      <c r="BT1151" s="73"/>
      <c r="BU1151" s="73"/>
      <c r="BV1151" s="73"/>
      <c r="BW1151" s="73"/>
      <c r="BX1151" s="73"/>
      <c r="BY1151" s="73"/>
      <c r="BZ1151" s="73"/>
      <c r="CA1151" s="73"/>
      <c r="CB1151" s="73"/>
      <c r="CC1151" s="73"/>
      <c r="CD1151" s="73"/>
      <c r="CE1151" s="73"/>
      <c r="CF1151" s="73"/>
      <c r="CG1151" s="73"/>
      <c r="CH1151" s="73"/>
    </row>
    <row r="1152">
      <c r="A1152" s="80"/>
      <c r="B1152" s="80"/>
      <c r="C1152" s="80"/>
      <c r="D1152" s="80"/>
      <c r="E1152" s="124"/>
      <c r="F1152" s="80"/>
      <c r="G1152" s="80"/>
      <c r="H1152" s="80"/>
      <c r="I1152" s="80"/>
      <c r="J1152" s="109"/>
      <c r="K1152" s="109"/>
      <c r="L1152" s="109"/>
      <c r="M1152" s="109"/>
      <c r="N1152" s="109"/>
      <c r="O1152" s="109"/>
      <c r="P1152" s="109"/>
      <c r="Q1152" s="109"/>
      <c r="R1152" s="109"/>
      <c r="S1152" s="109"/>
      <c r="T1152" s="109"/>
      <c r="U1152" s="109"/>
      <c r="V1152" s="109"/>
      <c r="W1152" s="109"/>
      <c r="X1152" s="109"/>
      <c r="Y1152" s="109"/>
      <c r="Z1152" s="109"/>
      <c r="AA1152" s="109"/>
      <c r="AB1152" s="109"/>
      <c r="AC1152" s="109"/>
      <c r="AD1152" s="109"/>
      <c r="AE1152" s="109"/>
      <c r="AF1152" s="109"/>
      <c r="AG1152" s="109"/>
      <c r="AH1152" s="109"/>
      <c r="AI1152" s="109"/>
      <c r="AJ1152" s="115"/>
      <c r="AK1152" s="80"/>
      <c r="AL1152" s="80"/>
      <c r="AM1152" s="80"/>
      <c r="AN1152" s="80"/>
      <c r="AO1152" s="80"/>
      <c r="AP1152" s="80"/>
      <c r="AQ1152" s="80"/>
      <c r="AR1152" s="73"/>
      <c r="AS1152" s="73"/>
      <c r="AT1152" s="73"/>
      <c r="AU1152" s="73"/>
      <c r="AV1152" s="73"/>
      <c r="AW1152" s="73"/>
      <c r="AX1152" s="73"/>
      <c r="AY1152" s="73"/>
      <c r="AZ1152" s="73"/>
      <c r="BA1152" s="73"/>
      <c r="BB1152" s="73"/>
      <c r="BC1152" s="73"/>
      <c r="BD1152" s="73"/>
      <c r="BE1152" s="73"/>
      <c r="BF1152" s="73"/>
      <c r="BG1152" s="73"/>
      <c r="BH1152" s="73"/>
      <c r="BI1152" s="73"/>
      <c r="BJ1152" s="73"/>
      <c r="BK1152" s="73"/>
      <c r="BL1152" s="73"/>
      <c r="BM1152" s="73"/>
      <c r="BN1152" s="73"/>
      <c r="BO1152" s="73"/>
      <c r="BP1152" s="73"/>
      <c r="BQ1152" s="73"/>
      <c r="BR1152" s="73"/>
      <c r="BS1152" s="73"/>
      <c r="BT1152" s="73"/>
      <c r="BU1152" s="73"/>
      <c r="BV1152" s="73"/>
      <c r="BW1152" s="73"/>
      <c r="BX1152" s="73"/>
      <c r="BY1152" s="73"/>
      <c r="BZ1152" s="73"/>
      <c r="CA1152" s="73"/>
      <c r="CB1152" s="73"/>
      <c r="CC1152" s="73"/>
      <c r="CD1152" s="73"/>
      <c r="CE1152" s="73"/>
      <c r="CF1152" s="73"/>
      <c r="CG1152" s="73"/>
      <c r="CH1152" s="73"/>
    </row>
    <row r="1153">
      <c r="A1153" s="80"/>
      <c r="B1153" s="80"/>
      <c r="C1153" s="80"/>
      <c r="D1153" s="80"/>
      <c r="E1153" s="124"/>
      <c r="F1153" s="80"/>
      <c r="G1153" s="80"/>
      <c r="H1153" s="80"/>
      <c r="I1153" s="80"/>
      <c r="J1153" s="109"/>
      <c r="K1153" s="109"/>
      <c r="L1153" s="109"/>
      <c r="M1153" s="109"/>
      <c r="N1153" s="109"/>
      <c r="O1153" s="109"/>
      <c r="P1153" s="109"/>
      <c r="Q1153" s="109"/>
      <c r="R1153" s="109"/>
      <c r="S1153" s="109"/>
      <c r="T1153" s="109"/>
      <c r="U1153" s="109"/>
      <c r="V1153" s="109"/>
      <c r="W1153" s="109"/>
      <c r="X1153" s="109"/>
      <c r="Y1153" s="109"/>
      <c r="Z1153" s="109"/>
      <c r="AA1153" s="109"/>
      <c r="AB1153" s="109"/>
      <c r="AC1153" s="109"/>
      <c r="AD1153" s="109"/>
      <c r="AE1153" s="109"/>
      <c r="AF1153" s="109"/>
      <c r="AG1153" s="109"/>
      <c r="AH1153" s="109"/>
      <c r="AI1153" s="109"/>
      <c r="AJ1153" s="115"/>
      <c r="AK1153" s="80"/>
      <c r="AL1153" s="80"/>
      <c r="AM1153" s="80"/>
      <c r="AN1153" s="80"/>
      <c r="AO1153" s="80"/>
      <c r="AP1153" s="80"/>
      <c r="AQ1153" s="80"/>
      <c r="AR1153" s="73"/>
      <c r="AS1153" s="73"/>
      <c r="AT1153" s="73"/>
      <c r="AU1153" s="73"/>
      <c r="AV1153" s="73"/>
      <c r="AW1153" s="73"/>
      <c r="AX1153" s="73"/>
      <c r="AY1153" s="73"/>
      <c r="AZ1153" s="73"/>
      <c r="BA1153" s="73"/>
      <c r="BB1153" s="73"/>
      <c r="BC1153" s="73"/>
      <c r="BD1153" s="73"/>
      <c r="BE1153" s="73"/>
      <c r="BF1153" s="73"/>
      <c r="BG1153" s="73"/>
      <c r="BH1153" s="73"/>
      <c r="BI1153" s="73"/>
      <c r="BJ1153" s="73"/>
      <c r="BK1153" s="73"/>
      <c r="BL1153" s="73"/>
      <c r="BM1153" s="73"/>
      <c r="BN1153" s="73"/>
      <c r="BO1153" s="73"/>
      <c r="BP1153" s="73"/>
      <c r="BQ1153" s="73"/>
      <c r="BR1153" s="73"/>
      <c r="BS1153" s="73"/>
      <c r="BT1153" s="73"/>
      <c r="BU1153" s="73"/>
      <c r="BV1153" s="73"/>
      <c r="BW1153" s="73"/>
      <c r="BX1153" s="73"/>
      <c r="BY1153" s="73"/>
      <c r="BZ1153" s="73"/>
      <c r="CA1153" s="73"/>
      <c r="CB1153" s="73"/>
      <c r="CC1153" s="73"/>
      <c r="CD1153" s="73"/>
      <c r="CE1153" s="73"/>
      <c r="CF1153" s="73"/>
      <c r="CG1153" s="73"/>
      <c r="CH1153" s="73"/>
    </row>
    <row r="1154">
      <c r="A1154" s="80"/>
      <c r="B1154" s="80"/>
      <c r="C1154" s="80"/>
      <c r="D1154" s="80"/>
      <c r="E1154" s="124"/>
      <c r="F1154" s="80"/>
      <c r="G1154" s="80"/>
      <c r="H1154" s="80"/>
      <c r="I1154" s="80"/>
      <c r="J1154" s="109"/>
      <c r="K1154" s="109"/>
      <c r="L1154" s="109"/>
      <c r="M1154" s="109"/>
      <c r="N1154" s="109"/>
      <c r="O1154" s="109"/>
      <c r="P1154" s="109"/>
      <c r="Q1154" s="109"/>
      <c r="R1154" s="109"/>
      <c r="S1154" s="109"/>
      <c r="T1154" s="109"/>
      <c r="U1154" s="109"/>
      <c r="V1154" s="109"/>
      <c r="W1154" s="109"/>
      <c r="X1154" s="109"/>
      <c r="Y1154" s="109"/>
      <c r="Z1154" s="109"/>
      <c r="AA1154" s="109"/>
      <c r="AB1154" s="109"/>
      <c r="AC1154" s="109"/>
      <c r="AD1154" s="109"/>
      <c r="AE1154" s="109"/>
      <c r="AF1154" s="109"/>
      <c r="AG1154" s="109"/>
      <c r="AH1154" s="109"/>
      <c r="AI1154" s="109"/>
      <c r="AJ1154" s="115"/>
      <c r="AK1154" s="80"/>
      <c r="AL1154" s="80"/>
      <c r="AM1154" s="80"/>
      <c r="AN1154" s="80"/>
      <c r="AO1154" s="80"/>
      <c r="AP1154" s="80"/>
      <c r="AQ1154" s="80"/>
      <c r="AR1154" s="73"/>
      <c r="AS1154" s="73"/>
      <c r="AT1154" s="73"/>
      <c r="AU1154" s="73"/>
      <c r="AV1154" s="73"/>
      <c r="AW1154" s="73"/>
      <c r="AX1154" s="73"/>
      <c r="AY1154" s="73"/>
      <c r="AZ1154" s="73"/>
      <c r="BA1154" s="73"/>
      <c r="BB1154" s="73"/>
      <c r="BC1154" s="73"/>
      <c r="BD1154" s="73"/>
      <c r="BE1154" s="73"/>
      <c r="BF1154" s="73"/>
      <c r="BG1154" s="73"/>
      <c r="BH1154" s="73"/>
      <c r="BI1154" s="73"/>
      <c r="BJ1154" s="73"/>
      <c r="BK1154" s="73"/>
      <c r="BL1154" s="73"/>
      <c r="BM1154" s="73"/>
      <c r="BN1154" s="73"/>
      <c r="BO1154" s="73"/>
      <c r="BP1154" s="73"/>
      <c r="BQ1154" s="73"/>
      <c r="BR1154" s="73"/>
      <c r="BS1154" s="73"/>
      <c r="BT1154" s="73"/>
      <c r="BU1154" s="73"/>
      <c r="BV1154" s="73"/>
      <c r="BW1154" s="73"/>
      <c r="BX1154" s="73"/>
      <c r="BY1154" s="73"/>
      <c r="BZ1154" s="73"/>
      <c r="CA1154" s="73"/>
      <c r="CB1154" s="73"/>
      <c r="CC1154" s="73"/>
      <c r="CD1154" s="73"/>
      <c r="CE1154" s="73"/>
      <c r="CF1154" s="73"/>
      <c r="CG1154" s="73"/>
      <c r="CH1154" s="73"/>
    </row>
    <row r="1155">
      <c r="A1155" s="80"/>
      <c r="B1155" s="80"/>
      <c r="C1155" s="80"/>
      <c r="D1155" s="80"/>
      <c r="E1155" s="124"/>
      <c r="F1155" s="80"/>
      <c r="G1155" s="80"/>
      <c r="H1155" s="80"/>
      <c r="I1155" s="80"/>
      <c r="J1155" s="109"/>
      <c r="K1155" s="109"/>
      <c r="L1155" s="109"/>
      <c r="M1155" s="109"/>
      <c r="N1155" s="109"/>
      <c r="O1155" s="109"/>
      <c r="P1155" s="109"/>
      <c r="Q1155" s="109"/>
      <c r="R1155" s="109"/>
      <c r="S1155" s="109"/>
      <c r="T1155" s="109"/>
      <c r="U1155" s="109"/>
      <c r="V1155" s="109"/>
      <c r="W1155" s="109"/>
      <c r="X1155" s="109"/>
      <c r="Y1155" s="109"/>
      <c r="Z1155" s="109"/>
      <c r="AA1155" s="109"/>
      <c r="AB1155" s="109"/>
      <c r="AC1155" s="109"/>
      <c r="AD1155" s="109"/>
      <c r="AE1155" s="109"/>
      <c r="AF1155" s="109"/>
      <c r="AG1155" s="109"/>
      <c r="AH1155" s="109"/>
      <c r="AI1155" s="109"/>
      <c r="AJ1155" s="115"/>
      <c r="AK1155" s="80"/>
      <c r="AL1155" s="80"/>
      <c r="AM1155" s="80"/>
      <c r="AN1155" s="80"/>
      <c r="AO1155" s="80"/>
      <c r="AP1155" s="80"/>
      <c r="AQ1155" s="80"/>
      <c r="AR1155" s="73"/>
      <c r="AS1155" s="73"/>
      <c r="AT1155" s="73"/>
      <c r="AU1155" s="73"/>
      <c r="AV1155" s="73"/>
      <c r="AW1155" s="73"/>
      <c r="AX1155" s="73"/>
      <c r="AY1155" s="73"/>
      <c r="AZ1155" s="73"/>
      <c r="BA1155" s="73"/>
      <c r="BB1155" s="73"/>
      <c r="BC1155" s="73"/>
      <c r="BD1155" s="73"/>
      <c r="BE1155" s="73"/>
      <c r="BF1155" s="73"/>
      <c r="BG1155" s="73"/>
      <c r="BH1155" s="73"/>
      <c r="BI1155" s="73"/>
      <c r="BJ1155" s="73"/>
      <c r="BK1155" s="73"/>
      <c r="BL1155" s="73"/>
      <c r="BM1155" s="73"/>
      <c r="BN1155" s="73"/>
      <c r="BO1155" s="73"/>
      <c r="BP1155" s="73"/>
      <c r="BQ1155" s="73"/>
      <c r="BR1155" s="73"/>
      <c r="BS1155" s="73"/>
      <c r="BT1155" s="73"/>
      <c r="BU1155" s="73"/>
      <c r="BV1155" s="73"/>
      <c r="BW1155" s="73"/>
      <c r="BX1155" s="73"/>
      <c r="BY1155" s="73"/>
      <c r="BZ1155" s="73"/>
      <c r="CA1155" s="73"/>
      <c r="CB1155" s="73"/>
      <c r="CC1155" s="73"/>
      <c r="CD1155" s="73"/>
      <c r="CE1155" s="73"/>
      <c r="CF1155" s="73"/>
      <c r="CG1155" s="73"/>
      <c r="CH1155" s="73"/>
    </row>
    <row r="1156">
      <c r="A1156" s="80"/>
      <c r="B1156" s="80"/>
      <c r="C1156" s="80"/>
      <c r="D1156" s="80"/>
      <c r="E1156" s="124"/>
      <c r="F1156" s="80"/>
      <c r="G1156" s="80"/>
      <c r="H1156" s="80"/>
      <c r="I1156" s="80"/>
      <c r="J1156" s="109"/>
      <c r="K1156" s="109"/>
      <c r="L1156" s="109"/>
      <c r="M1156" s="109"/>
      <c r="N1156" s="109"/>
      <c r="O1156" s="109"/>
      <c r="P1156" s="109"/>
      <c r="Q1156" s="109"/>
      <c r="R1156" s="109"/>
      <c r="S1156" s="109"/>
      <c r="T1156" s="109"/>
      <c r="U1156" s="109"/>
      <c r="V1156" s="109"/>
      <c r="W1156" s="109"/>
      <c r="X1156" s="109"/>
      <c r="Y1156" s="109"/>
      <c r="Z1156" s="109"/>
      <c r="AA1156" s="109"/>
      <c r="AB1156" s="109"/>
      <c r="AC1156" s="109"/>
      <c r="AD1156" s="109"/>
      <c r="AE1156" s="109"/>
      <c r="AF1156" s="109"/>
      <c r="AG1156" s="109"/>
      <c r="AH1156" s="109"/>
      <c r="AI1156" s="109"/>
      <c r="AJ1156" s="115"/>
      <c r="AK1156" s="80"/>
      <c r="AL1156" s="80"/>
      <c r="AM1156" s="80"/>
      <c r="AN1156" s="80"/>
      <c r="AO1156" s="80"/>
      <c r="AP1156" s="80"/>
      <c r="AQ1156" s="80"/>
      <c r="AR1156" s="73"/>
      <c r="AS1156" s="73"/>
      <c r="AT1156" s="73"/>
      <c r="AU1156" s="73"/>
      <c r="AV1156" s="73"/>
      <c r="AW1156" s="73"/>
      <c r="AX1156" s="73"/>
      <c r="AY1156" s="73"/>
      <c r="AZ1156" s="73"/>
      <c r="BA1156" s="73"/>
      <c r="BB1156" s="73"/>
      <c r="BC1156" s="73"/>
      <c r="BD1156" s="73"/>
      <c r="BE1156" s="73"/>
      <c r="BF1156" s="73"/>
      <c r="BG1156" s="73"/>
      <c r="BH1156" s="73"/>
      <c r="BI1156" s="73"/>
      <c r="BJ1156" s="73"/>
      <c r="BK1156" s="73"/>
      <c r="BL1156" s="73"/>
      <c r="BM1156" s="73"/>
      <c r="BN1156" s="73"/>
      <c r="BO1156" s="73"/>
      <c r="BP1156" s="73"/>
      <c r="BQ1156" s="73"/>
      <c r="BR1156" s="73"/>
      <c r="BS1156" s="73"/>
      <c r="BT1156" s="73"/>
      <c r="BU1156" s="73"/>
      <c r="BV1156" s="73"/>
      <c r="BW1156" s="73"/>
      <c r="BX1156" s="73"/>
      <c r="BY1156" s="73"/>
      <c r="BZ1156" s="73"/>
      <c r="CA1156" s="73"/>
      <c r="CB1156" s="73"/>
      <c r="CC1156" s="73"/>
      <c r="CD1156" s="73"/>
      <c r="CE1156" s="73"/>
      <c r="CF1156" s="73"/>
      <c r="CG1156" s="73"/>
      <c r="CH1156" s="73"/>
    </row>
    <row r="1157">
      <c r="A1157" s="80"/>
      <c r="B1157" s="80"/>
      <c r="C1157" s="80"/>
      <c r="D1157" s="80"/>
      <c r="E1157" s="124"/>
      <c r="F1157" s="80"/>
      <c r="G1157" s="80"/>
      <c r="H1157" s="80"/>
      <c r="I1157" s="80"/>
      <c r="J1157" s="109"/>
      <c r="K1157" s="109"/>
      <c r="L1157" s="109"/>
      <c r="M1157" s="109"/>
      <c r="N1157" s="109"/>
      <c r="O1157" s="109"/>
      <c r="P1157" s="109"/>
      <c r="Q1157" s="109"/>
      <c r="R1157" s="109"/>
      <c r="S1157" s="109"/>
      <c r="T1157" s="109"/>
      <c r="U1157" s="109"/>
      <c r="V1157" s="109"/>
      <c r="W1157" s="109"/>
      <c r="X1157" s="109"/>
      <c r="Y1157" s="109"/>
      <c r="Z1157" s="109"/>
      <c r="AA1157" s="109"/>
      <c r="AB1157" s="109"/>
      <c r="AC1157" s="109"/>
      <c r="AD1157" s="109"/>
      <c r="AE1157" s="109"/>
      <c r="AF1157" s="109"/>
      <c r="AG1157" s="109"/>
      <c r="AH1157" s="109"/>
      <c r="AI1157" s="109"/>
      <c r="AJ1157" s="115"/>
      <c r="AK1157" s="80"/>
      <c r="AL1157" s="80"/>
      <c r="AM1157" s="80"/>
      <c r="AN1157" s="80"/>
      <c r="AO1157" s="80"/>
      <c r="AP1157" s="80"/>
      <c r="AQ1157" s="80"/>
      <c r="AR1157" s="73"/>
      <c r="AS1157" s="73"/>
      <c r="AT1157" s="73"/>
      <c r="AU1157" s="73"/>
      <c r="AV1157" s="73"/>
      <c r="AW1157" s="73"/>
      <c r="AX1157" s="73"/>
      <c r="AY1157" s="73"/>
      <c r="AZ1157" s="73"/>
      <c r="BA1157" s="73"/>
      <c r="BB1157" s="73"/>
      <c r="BC1157" s="73"/>
      <c r="BD1157" s="73"/>
      <c r="BE1157" s="73"/>
      <c r="BF1157" s="73"/>
      <c r="BG1157" s="73"/>
      <c r="BH1157" s="73"/>
      <c r="BI1157" s="73"/>
      <c r="BJ1157" s="73"/>
      <c r="BK1157" s="73"/>
      <c r="BL1157" s="73"/>
      <c r="BM1157" s="73"/>
      <c r="BN1157" s="73"/>
      <c r="BO1157" s="73"/>
      <c r="BP1157" s="73"/>
      <c r="BQ1157" s="73"/>
      <c r="BR1157" s="73"/>
      <c r="BS1157" s="73"/>
      <c r="BT1157" s="73"/>
      <c r="BU1157" s="73"/>
      <c r="BV1157" s="73"/>
      <c r="BW1157" s="73"/>
      <c r="BX1157" s="73"/>
      <c r="BY1157" s="73"/>
      <c r="BZ1157" s="73"/>
      <c r="CA1157" s="73"/>
      <c r="CB1157" s="73"/>
      <c r="CC1157" s="73"/>
      <c r="CD1157" s="73"/>
      <c r="CE1157" s="73"/>
      <c r="CF1157" s="73"/>
      <c r="CG1157" s="73"/>
      <c r="CH1157" s="73"/>
    </row>
    <row r="1158">
      <c r="A1158" s="80"/>
      <c r="B1158" s="80"/>
      <c r="C1158" s="80"/>
      <c r="D1158" s="80"/>
      <c r="E1158" s="124"/>
      <c r="F1158" s="80"/>
      <c r="G1158" s="80"/>
      <c r="H1158" s="80"/>
      <c r="I1158" s="80"/>
      <c r="J1158" s="109"/>
      <c r="K1158" s="109"/>
      <c r="L1158" s="109"/>
      <c r="M1158" s="109"/>
      <c r="N1158" s="109"/>
      <c r="O1158" s="109"/>
      <c r="P1158" s="109"/>
      <c r="Q1158" s="109"/>
      <c r="R1158" s="109"/>
      <c r="S1158" s="109"/>
      <c r="T1158" s="109"/>
      <c r="U1158" s="109"/>
      <c r="V1158" s="109"/>
      <c r="W1158" s="109"/>
      <c r="X1158" s="109"/>
      <c r="Y1158" s="109"/>
      <c r="Z1158" s="109"/>
      <c r="AA1158" s="109"/>
      <c r="AB1158" s="109"/>
      <c r="AC1158" s="109"/>
      <c r="AD1158" s="109"/>
      <c r="AE1158" s="109"/>
      <c r="AF1158" s="109"/>
      <c r="AG1158" s="109"/>
      <c r="AH1158" s="109"/>
      <c r="AI1158" s="109"/>
      <c r="AJ1158" s="115"/>
      <c r="AK1158" s="80"/>
      <c r="AL1158" s="80"/>
      <c r="AM1158" s="80"/>
      <c r="AN1158" s="80"/>
      <c r="AO1158" s="80"/>
      <c r="AP1158" s="80"/>
      <c r="AQ1158" s="80"/>
      <c r="AR1158" s="73"/>
      <c r="AS1158" s="73"/>
      <c r="AT1158" s="73"/>
      <c r="AU1158" s="73"/>
      <c r="AV1158" s="73"/>
      <c r="AW1158" s="73"/>
      <c r="AX1158" s="73"/>
      <c r="AY1158" s="73"/>
      <c r="AZ1158" s="73"/>
      <c r="BA1158" s="73"/>
      <c r="BB1158" s="73"/>
      <c r="BC1158" s="73"/>
      <c r="BD1158" s="73"/>
      <c r="BE1158" s="73"/>
      <c r="BF1158" s="73"/>
      <c r="BG1158" s="73"/>
      <c r="BH1158" s="73"/>
      <c r="BI1158" s="73"/>
      <c r="BJ1158" s="73"/>
      <c r="BK1158" s="73"/>
      <c r="BL1158" s="73"/>
      <c r="BM1158" s="73"/>
      <c r="BN1158" s="73"/>
      <c r="BO1158" s="73"/>
      <c r="BP1158" s="73"/>
      <c r="BQ1158" s="73"/>
      <c r="BR1158" s="73"/>
      <c r="BS1158" s="73"/>
      <c r="BT1158" s="73"/>
      <c r="BU1158" s="73"/>
      <c r="BV1158" s="73"/>
      <c r="BW1158" s="73"/>
      <c r="BX1158" s="73"/>
      <c r="BY1158" s="73"/>
      <c r="BZ1158" s="73"/>
      <c r="CA1158" s="73"/>
      <c r="CB1158" s="73"/>
      <c r="CC1158" s="73"/>
      <c r="CD1158" s="73"/>
      <c r="CE1158" s="73"/>
      <c r="CF1158" s="73"/>
      <c r="CG1158" s="73"/>
      <c r="CH1158" s="73"/>
    </row>
    <row r="1159">
      <c r="A1159" s="80"/>
      <c r="B1159" s="80"/>
      <c r="C1159" s="80"/>
      <c r="D1159" s="80"/>
      <c r="E1159" s="124"/>
      <c r="F1159" s="80"/>
      <c r="G1159" s="80"/>
      <c r="H1159" s="80"/>
      <c r="I1159" s="80"/>
      <c r="J1159" s="109"/>
      <c r="K1159" s="109"/>
      <c r="L1159" s="109"/>
      <c r="M1159" s="109"/>
      <c r="N1159" s="109"/>
      <c r="O1159" s="109"/>
      <c r="P1159" s="109"/>
      <c r="Q1159" s="109"/>
      <c r="R1159" s="109"/>
      <c r="S1159" s="109"/>
      <c r="T1159" s="109"/>
      <c r="U1159" s="109"/>
      <c r="V1159" s="109"/>
      <c r="W1159" s="109"/>
      <c r="X1159" s="109"/>
      <c r="Y1159" s="109"/>
      <c r="Z1159" s="109"/>
      <c r="AA1159" s="109"/>
      <c r="AB1159" s="109"/>
      <c r="AC1159" s="109"/>
      <c r="AD1159" s="109"/>
      <c r="AE1159" s="109"/>
      <c r="AF1159" s="109"/>
      <c r="AG1159" s="109"/>
      <c r="AH1159" s="109"/>
      <c r="AI1159" s="109"/>
      <c r="AJ1159" s="115"/>
      <c r="AK1159" s="80"/>
      <c r="AL1159" s="80"/>
      <c r="AM1159" s="80"/>
      <c r="AN1159" s="80"/>
      <c r="AO1159" s="80"/>
      <c r="AP1159" s="80"/>
      <c r="AQ1159" s="80"/>
      <c r="AR1159" s="73"/>
      <c r="AS1159" s="73"/>
      <c r="AT1159" s="73"/>
      <c r="AU1159" s="73"/>
      <c r="AV1159" s="73"/>
      <c r="AW1159" s="73"/>
      <c r="AX1159" s="73"/>
      <c r="AY1159" s="73"/>
      <c r="AZ1159" s="73"/>
      <c r="BA1159" s="73"/>
      <c r="BB1159" s="73"/>
      <c r="BC1159" s="73"/>
      <c r="BD1159" s="73"/>
      <c r="BE1159" s="73"/>
      <c r="BF1159" s="73"/>
      <c r="BG1159" s="73"/>
      <c r="BH1159" s="73"/>
      <c r="BI1159" s="73"/>
      <c r="BJ1159" s="73"/>
      <c r="BK1159" s="73"/>
      <c r="BL1159" s="73"/>
      <c r="BM1159" s="73"/>
      <c r="BN1159" s="73"/>
      <c r="BO1159" s="73"/>
      <c r="BP1159" s="73"/>
      <c r="BQ1159" s="73"/>
      <c r="BR1159" s="73"/>
      <c r="BS1159" s="73"/>
      <c r="BT1159" s="73"/>
      <c r="BU1159" s="73"/>
      <c r="BV1159" s="73"/>
      <c r="BW1159" s="73"/>
      <c r="BX1159" s="73"/>
      <c r="BY1159" s="73"/>
      <c r="BZ1159" s="73"/>
      <c r="CA1159" s="73"/>
      <c r="CB1159" s="73"/>
      <c r="CC1159" s="73"/>
      <c r="CD1159" s="73"/>
      <c r="CE1159" s="73"/>
      <c r="CF1159" s="73"/>
      <c r="CG1159" s="73"/>
      <c r="CH1159" s="73"/>
    </row>
    <row r="1160">
      <c r="A1160" s="80"/>
      <c r="B1160" s="80"/>
      <c r="C1160" s="80"/>
      <c r="D1160" s="80"/>
      <c r="E1160" s="124"/>
      <c r="F1160" s="80"/>
      <c r="G1160" s="80"/>
      <c r="H1160" s="80"/>
      <c r="I1160" s="80"/>
      <c r="J1160" s="109"/>
      <c r="K1160" s="109"/>
      <c r="L1160" s="109"/>
      <c r="M1160" s="109"/>
      <c r="N1160" s="109"/>
      <c r="O1160" s="109"/>
      <c r="P1160" s="109"/>
      <c r="Q1160" s="109"/>
      <c r="R1160" s="109"/>
      <c r="S1160" s="109"/>
      <c r="T1160" s="109"/>
      <c r="U1160" s="109"/>
      <c r="V1160" s="109"/>
      <c r="W1160" s="109"/>
      <c r="X1160" s="109"/>
      <c r="Y1160" s="109"/>
      <c r="Z1160" s="109"/>
      <c r="AA1160" s="109"/>
      <c r="AB1160" s="109"/>
      <c r="AC1160" s="109"/>
      <c r="AD1160" s="109"/>
      <c r="AE1160" s="109"/>
      <c r="AF1160" s="109"/>
      <c r="AG1160" s="109"/>
      <c r="AH1160" s="109"/>
      <c r="AI1160" s="109"/>
      <c r="AJ1160" s="115"/>
      <c r="AK1160" s="80"/>
      <c r="AL1160" s="80"/>
      <c r="AM1160" s="80"/>
      <c r="AN1160" s="80"/>
      <c r="AO1160" s="80"/>
      <c r="AP1160" s="80"/>
      <c r="AQ1160" s="80"/>
      <c r="AR1160" s="73"/>
      <c r="AS1160" s="73"/>
      <c r="AT1160" s="73"/>
      <c r="AU1160" s="73"/>
      <c r="AV1160" s="73"/>
      <c r="AW1160" s="73"/>
      <c r="AX1160" s="73"/>
      <c r="AY1160" s="73"/>
      <c r="AZ1160" s="73"/>
      <c r="BA1160" s="73"/>
      <c r="BB1160" s="73"/>
      <c r="BC1160" s="73"/>
      <c r="BD1160" s="73"/>
      <c r="BE1160" s="73"/>
      <c r="BF1160" s="73"/>
      <c r="BG1160" s="73"/>
      <c r="BH1160" s="73"/>
      <c r="BI1160" s="73"/>
      <c r="BJ1160" s="73"/>
      <c r="BK1160" s="73"/>
      <c r="BL1160" s="73"/>
      <c r="BM1160" s="73"/>
      <c r="BN1160" s="73"/>
      <c r="BO1160" s="73"/>
      <c r="BP1160" s="73"/>
      <c r="BQ1160" s="73"/>
      <c r="BR1160" s="73"/>
      <c r="BS1160" s="73"/>
      <c r="BT1160" s="73"/>
      <c r="BU1160" s="73"/>
      <c r="BV1160" s="73"/>
      <c r="BW1160" s="73"/>
      <c r="BX1160" s="73"/>
      <c r="BY1160" s="73"/>
      <c r="BZ1160" s="73"/>
      <c r="CA1160" s="73"/>
      <c r="CB1160" s="73"/>
      <c r="CC1160" s="73"/>
      <c r="CD1160" s="73"/>
      <c r="CE1160" s="73"/>
      <c r="CF1160" s="73"/>
      <c r="CG1160" s="73"/>
      <c r="CH1160" s="73"/>
    </row>
    <row r="1161">
      <c r="A1161" s="80"/>
      <c r="B1161" s="80"/>
      <c r="C1161" s="80"/>
      <c r="D1161" s="80"/>
      <c r="E1161" s="124"/>
      <c r="F1161" s="80"/>
      <c r="G1161" s="80"/>
      <c r="H1161" s="80"/>
      <c r="I1161" s="80"/>
      <c r="J1161" s="109"/>
      <c r="K1161" s="109"/>
      <c r="L1161" s="109"/>
      <c r="M1161" s="109"/>
      <c r="N1161" s="109"/>
      <c r="O1161" s="109"/>
      <c r="P1161" s="109"/>
      <c r="Q1161" s="109"/>
      <c r="R1161" s="109"/>
      <c r="S1161" s="109"/>
      <c r="T1161" s="109"/>
      <c r="U1161" s="109"/>
      <c r="V1161" s="109"/>
      <c r="W1161" s="109"/>
      <c r="X1161" s="109"/>
      <c r="Y1161" s="109"/>
      <c r="Z1161" s="109"/>
      <c r="AA1161" s="109"/>
      <c r="AB1161" s="109"/>
      <c r="AC1161" s="109"/>
      <c r="AD1161" s="109"/>
      <c r="AE1161" s="109"/>
      <c r="AF1161" s="109"/>
      <c r="AG1161" s="109"/>
      <c r="AH1161" s="109"/>
      <c r="AI1161" s="109"/>
      <c r="AJ1161" s="115"/>
      <c r="AK1161" s="80"/>
      <c r="AL1161" s="80"/>
      <c r="AM1161" s="80"/>
      <c r="AN1161" s="80"/>
      <c r="AO1161" s="80"/>
      <c r="AP1161" s="80"/>
      <c r="AQ1161" s="80"/>
      <c r="AR1161" s="73"/>
      <c r="AS1161" s="73"/>
      <c r="AT1161" s="73"/>
      <c r="AU1161" s="73"/>
      <c r="AV1161" s="73"/>
      <c r="AW1161" s="73"/>
      <c r="AX1161" s="73"/>
      <c r="AY1161" s="73"/>
      <c r="AZ1161" s="73"/>
      <c r="BA1161" s="73"/>
      <c r="BB1161" s="73"/>
      <c r="BC1161" s="73"/>
      <c r="BD1161" s="73"/>
      <c r="BE1161" s="73"/>
      <c r="BF1161" s="73"/>
      <c r="BG1161" s="73"/>
      <c r="BH1161" s="73"/>
      <c r="BI1161" s="73"/>
      <c r="BJ1161" s="73"/>
      <c r="BK1161" s="73"/>
      <c r="BL1161" s="73"/>
      <c r="BM1161" s="73"/>
      <c r="BN1161" s="73"/>
      <c r="BO1161" s="73"/>
      <c r="BP1161" s="73"/>
      <c r="BQ1161" s="73"/>
      <c r="BR1161" s="73"/>
      <c r="BS1161" s="73"/>
      <c r="BT1161" s="73"/>
      <c r="BU1161" s="73"/>
      <c r="BV1161" s="73"/>
      <c r="BW1161" s="73"/>
      <c r="BX1161" s="73"/>
      <c r="BY1161" s="73"/>
      <c r="BZ1161" s="73"/>
      <c r="CA1161" s="73"/>
      <c r="CB1161" s="73"/>
      <c r="CC1161" s="73"/>
      <c r="CD1161" s="73"/>
      <c r="CE1161" s="73"/>
      <c r="CF1161" s="73"/>
      <c r="CG1161" s="73"/>
      <c r="CH1161" s="73"/>
    </row>
    <row r="1162">
      <c r="A1162" s="80"/>
      <c r="B1162" s="80"/>
      <c r="C1162" s="80"/>
      <c r="D1162" s="80"/>
      <c r="E1162" s="124"/>
      <c r="F1162" s="80"/>
      <c r="G1162" s="80"/>
      <c r="H1162" s="80"/>
      <c r="I1162" s="80"/>
      <c r="J1162" s="109"/>
      <c r="K1162" s="109"/>
      <c r="L1162" s="109"/>
      <c r="M1162" s="109"/>
      <c r="N1162" s="109"/>
      <c r="O1162" s="109"/>
      <c r="P1162" s="109"/>
      <c r="Q1162" s="109"/>
      <c r="R1162" s="109"/>
      <c r="S1162" s="109"/>
      <c r="T1162" s="109"/>
      <c r="U1162" s="109"/>
      <c r="V1162" s="109"/>
      <c r="W1162" s="109"/>
      <c r="X1162" s="109"/>
      <c r="Y1162" s="109"/>
      <c r="Z1162" s="109"/>
      <c r="AA1162" s="109"/>
      <c r="AB1162" s="109"/>
      <c r="AC1162" s="109"/>
      <c r="AD1162" s="109"/>
      <c r="AE1162" s="109"/>
      <c r="AF1162" s="109"/>
      <c r="AG1162" s="109"/>
      <c r="AH1162" s="109"/>
      <c r="AI1162" s="109"/>
      <c r="AJ1162" s="115"/>
      <c r="AK1162" s="80"/>
      <c r="AL1162" s="80"/>
      <c r="AM1162" s="80"/>
      <c r="AN1162" s="80"/>
      <c r="AO1162" s="80"/>
      <c r="AP1162" s="80"/>
      <c r="AQ1162" s="80"/>
      <c r="AR1162" s="73"/>
      <c r="AS1162" s="73"/>
      <c r="AT1162" s="73"/>
      <c r="AU1162" s="73"/>
      <c r="AV1162" s="73"/>
      <c r="AW1162" s="73"/>
      <c r="AX1162" s="73"/>
      <c r="AY1162" s="73"/>
      <c r="AZ1162" s="73"/>
      <c r="BA1162" s="73"/>
      <c r="BB1162" s="73"/>
      <c r="BC1162" s="73"/>
      <c r="BD1162" s="73"/>
      <c r="BE1162" s="73"/>
      <c r="BF1162" s="73"/>
      <c r="BG1162" s="73"/>
      <c r="BH1162" s="73"/>
      <c r="BI1162" s="73"/>
      <c r="BJ1162" s="73"/>
      <c r="BK1162" s="73"/>
      <c r="BL1162" s="73"/>
      <c r="BM1162" s="73"/>
      <c r="BN1162" s="73"/>
      <c r="BO1162" s="73"/>
      <c r="BP1162" s="73"/>
      <c r="BQ1162" s="73"/>
      <c r="BR1162" s="73"/>
      <c r="BS1162" s="73"/>
      <c r="BT1162" s="73"/>
      <c r="BU1162" s="73"/>
      <c r="BV1162" s="73"/>
      <c r="BW1162" s="73"/>
      <c r="BX1162" s="73"/>
      <c r="BY1162" s="73"/>
      <c r="BZ1162" s="73"/>
      <c r="CA1162" s="73"/>
      <c r="CB1162" s="73"/>
      <c r="CC1162" s="73"/>
      <c r="CD1162" s="73"/>
      <c r="CE1162" s="73"/>
      <c r="CF1162" s="73"/>
      <c r="CG1162" s="73"/>
      <c r="CH1162" s="73"/>
    </row>
    <row r="1163">
      <c r="A1163" s="80"/>
      <c r="B1163" s="80"/>
      <c r="C1163" s="80"/>
      <c r="D1163" s="80"/>
      <c r="E1163" s="124"/>
      <c r="F1163" s="80"/>
      <c r="G1163" s="80"/>
      <c r="H1163" s="80"/>
      <c r="I1163" s="80"/>
      <c r="J1163" s="109"/>
      <c r="K1163" s="109"/>
      <c r="L1163" s="109"/>
      <c r="M1163" s="109"/>
      <c r="N1163" s="109"/>
      <c r="O1163" s="109"/>
      <c r="P1163" s="109"/>
      <c r="Q1163" s="109"/>
      <c r="R1163" s="109"/>
      <c r="S1163" s="109"/>
      <c r="T1163" s="109"/>
      <c r="U1163" s="109"/>
      <c r="V1163" s="109"/>
      <c r="W1163" s="109"/>
      <c r="X1163" s="109"/>
      <c r="Y1163" s="109"/>
      <c r="Z1163" s="109"/>
      <c r="AA1163" s="109"/>
      <c r="AB1163" s="109"/>
      <c r="AC1163" s="109"/>
      <c r="AD1163" s="109"/>
      <c r="AE1163" s="109"/>
      <c r="AF1163" s="109"/>
      <c r="AG1163" s="109"/>
      <c r="AH1163" s="109"/>
      <c r="AI1163" s="109"/>
      <c r="AJ1163" s="115"/>
      <c r="AK1163" s="80"/>
      <c r="AL1163" s="80"/>
      <c r="AM1163" s="80"/>
      <c r="AN1163" s="80"/>
      <c r="AO1163" s="80"/>
      <c r="AP1163" s="80"/>
      <c r="AQ1163" s="80"/>
      <c r="AR1163" s="73"/>
      <c r="AS1163" s="73"/>
      <c r="AT1163" s="73"/>
      <c r="AU1163" s="73"/>
      <c r="AV1163" s="73"/>
      <c r="AW1163" s="73"/>
      <c r="AX1163" s="73"/>
      <c r="AY1163" s="73"/>
      <c r="AZ1163" s="73"/>
      <c r="BA1163" s="73"/>
      <c r="BB1163" s="73"/>
      <c r="BC1163" s="73"/>
      <c r="BD1163" s="73"/>
      <c r="BE1163" s="73"/>
      <c r="BF1163" s="73"/>
      <c r="BG1163" s="73"/>
      <c r="BH1163" s="73"/>
      <c r="BI1163" s="73"/>
      <c r="BJ1163" s="73"/>
      <c r="BK1163" s="73"/>
      <c r="BL1163" s="73"/>
      <c r="BM1163" s="73"/>
      <c r="BN1163" s="73"/>
      <c r="BO1163" s="73"/>
      <c r="BP1163" s="73"/>
      <c r="BQ1163" s="73"/>
      <c r="BR1163" s="73"/>
      <c r="BS1163" s="73"/>
      <c r="BT1163" s="73"/>
      <c r="BU1163" s="73"/>
      <c r="BV1163" s="73"/>
      <c r="BW1163" s="73"/>
      <c r="BX1163" s="73"/>
      <c r="BY1163" s="73"/>
      <c r="BZ1163" s="73"/>
      <c r="CA1163" s="73"/>
      <c r="CB1163" s="73"/>
      <c r="CC1163" s="73"/>
      <c r="CD1163" s="73"/>
      <c r="CE1163" s="73"/>
      <c r="CF1163" s="73"/>
      <c r="CG1163" s="73"/>
      <c r="CH1163" s="73"/>
    </row>
    <row r="1164">
      <c r="A1164" s="80"/>
      <c r="B1164" s="80"/>
      <c r="C1164" s="80"/>
      <c r="D1164" s="80"/>
      <c r="E1164" s="124"/>
      <c r="F1164" s="80"/>
      <c r="G1164" s="80"/>
      <c r="H1164" s="80"/>
      <c r="I1164" s="80"/>
      <c r="J1164" s="109"/>
      <c r="K1164" s="109"/>
      <c r="L1164" s="109"/>
      <c r="M1164" s="109"/>
      <c r="N1164" s="109"/>
      <c r="O1164" s="109"/>
      <c r="P1164" s="109"/>
      <c r="Q1164" s="109"/>
      <c r="R1164" s="109"/>
      <c r="S1164" s="109"/>
      <c r="T1164" s="109"/>
      <c r="U1164" s="109"/>
      <c r="V1164" s="109"/>
      <c r="W1164" s="109"/>
      <c r="X1164" s="109"/>
      <c r="Y1164" s="109"/>
      <c r="Z1164" s="109"/>
      <c r="AA1164" s="109"/>
      <c r="AB1164" s="109"/>
      <c r="AC1164" s="109"/>
      <c r="AD1164" s="109"/>
      <c r="AE1164" s="109"/>
      <c r="AF1164" s="109"/>
      <c r="AG1164" s="109"/>
      <c r="AH1164" s="109"/>
      <c r="AI1164" s="109"/>
      <c r="AJ1164" s="115"/>
      <c r="AK1164" s="80"/>
      <c r="AL1164" s="80"/>
      <c r="AM1164" s="80"/>
      <c r="AN1164" s="80"/>
      <c r="AO1164" s="80"/>
      <c r="AP1164" s="80"/>
      <c r="AQ1164" s="80"/>
      <c r="AR1164" s="73"/>
      <c r="AS1164" s="73"/>
      <c r="AT1164" s="73"/>
      <c r="AU1164" s="73"/>
      <c r="AV1164" s="73"/>
      <c r="AW1164" s="73"/>
      <c r="AX1164" s="73"/>
      <c r="AY1164" s="73"/>
      <c r="AZ1164" s="73"/>
      <c r="BA1164" s="73"/>
      <c r="BB1164" s="73"/>
      <c r="BC1164" s="73"/>
      <c r="BD1164" s="73"/>
      <c r="BE1164" s="73"/>
      <c r="BF1164" s="73"/>
      <c r="BG1164" s="73"/>
      <c r="BH1164" s="73"/>
      <c r="BI1164" s="73"/>
      <c r="BJ1164" s="73"/>
      <c r="BK1164" s="73"/>
      <c r="BL1164" s="73"/>
      <c r="BM1164" s="73"/>
      <c r="BN1164" s="73"/>
      <c r="BO1164" s="73"/>
      <c r="BP1164" s="73"/>
      <c r="BQ1164" s="73"/>
      <c r="BR1164" s="73"/>
      <c r="BS1164" s="73"/>
      <c r="BT1164" s="73"/>
      <c r="BU1164" s="73"/>
      <c r="BV1164" s="73"/>
      <c r="BW1164" s="73"/>
      <c r="BX1164" s="73"/>
      <c r="BY1164" s="73"/>
      <c r="BZ1164" s="73"/>
      <c r="CA1164" s="73"/>
      <c r="CB1164" s="73"/>
      <c r="CC1164" s="73"/>
      <c r="CD1164" s="73"/>
      <c r="CE1164" s="73"/>
      <c r="CF1164" s="73"/>
      <c r="CG1164" s="73"/>
      <c r="CH1164" s="73"/>
    </row>
    <row r="1165">
      <c r="A1165" s="80"/>
      <c r="B1165" s="80"/>
      <c r="C1165" s="80"/>
      <c r="D1165" s="80"/>
      <c r="E1165" s="124"/>
      <c r="F1165" s="80"/>
      <c r="G1165" s="80"/>
      <c r="H1165" s="80"/>
      <c r="I1165" s="80"/>
      <c r="J1165" s="109"/>
      <c r="K1165" s="109"/>
      <c r="L1165" s="109"/>
      <c r="M1165" s="109"/>
      <c r="N1165" s="109"/>
      <c r="O1165" s="109"/>
      <c r="P1165" s="109"/>
      <c r="Q1165" s="109"/>
      <c r="R1165" s="109"/>
      <c r="S1165" s="109"/>
      <c r="T1165" s="109"/>
      <c r="U1165" s="109"/>
      <c r="V1165" s="109"/>
      <c r="W1165" s="109"/>
      <c r="X1165" s="109"/>
      <c r="Y1165" s="109"/>
      <c r="Z1165" s="109"/>
      <c r="AA1165" s="109"/>
      <c r="AB1165" s="109"/>
      <c r="AC1165" s="109"/>
      <c r="AD1165" s="109"/>
      <c r="AE1165" s="109"/>
      <c r="AF1165" s="109"/>
      <c r="AG1165" s="109"/>
      <c r="AH1165" s="109"/>
      <c r="AI1165" s="109"/>
      <c r="AJ1165" s="115"/>
      <c r="AK1165" s="80"/>
      <c r="AL1165" s="80"/>
      <c r="AM1165" s="80"/>
      <c r="AN1165" s="80"/>
      <c r="AO1165" s="80"/>
      <c r="AP1165" s="80"/>
      <c r="AQ1165" s="80"/>
      <c r="AR1165" s="73"/>
      <c r="AS1165" s="73"/>
      <c r="AT1165" s="73"/>
      <c r="AU1165" s="73"/>
      <c r="AV1165" s="73"/>
      <c r="AW1165" s="73"/>
      <c r="AX1165" s="73"/>
      <c r="AY1165" s="73"/>
      <c r="AZ1165" s="73"/>
      <c r="BA1165" s="73"/>
      <c r="BB1165" s="73"/>
      <c r="BC1165" s="73"/>
      <c r="BD1165" s="73"/>
      <c r="BE1165" s="73"/>
      <c r="BF1165" s="73"/>
      <c r="BG1165" s="73"/>
      <c r="BH1165" s="73"/>
      <c r="BI1165" s="73"/>
      <c r="BJ1165" s="73"/>
      <c r="BK1165" s="73"/>
      <c r="BL1165" s="73"/>
      <c r="BM1165" s="73"/>
      <c r="BN1165" s="73"/>
      <c r="BO1165" s="73"/>
      <c r="BP1165" s="73"/>
      <c r="BQ1165" s="73"/>
      <c r="BR1165" s="73"/>
      <c r="BS1165" s="73"/>
      <c r="BT1165" s="73"/>
      <c r="BU1165" s="73"/>
      <c r="BV1165" s="73"/>
      <c r="BW1165" s="73"/>
      <c r="BX1165" s="73"/>
      <c r="BY1165" s="73"/>
      <c r="BZ1165" s="73"/>
      <c r="CA1165" s="73"/>
      <c r="CB1165" s="73"/>
      <c r="CC1165" s="73"/>
      <c r="CD1165" s="73"/>
      <c r="CE1165" s="73"/>
      <c r="CF1165" s="73"/>
      <c r="CG1165" s="73"/>
      <c r="CH1165" s="73"/>
    </row>
    <row r="1166">
      <c r="A1166" s="80"/>
      <c r="B1166" s="80"/>
      <c r="C1166" s="80"/>
      <c r="D1166" s="80"/>
      <c r="E1166" s="124"/>
      <c r="F1166" s="80"/>
      <c r="G1166" s="80"/>
      <c r="H1166" s="80"/>
      <c r="I1166" s="80"/>
      <c r="J1166" s="109"/>
      <c r="K1166" s="109"/>
      <c r="L1166" s="109"/>
      <c r="M1166" s="109"/>
      <c r="N1166" s="109"/>
      <c r="O1166" s="109"/>
      <c r="P1166" s="109"/>
      <c r="Q1166" s="109"/>
      <c r="R1166" s="109"/>
      <c r="S1166" s="109"/>
      <c r="T1166" s="109"/>
      <c r="U1166" s="109"/>
      <c r="V1166" s="109"/>
      <c r="W1166" s="109"/>
      <c r="X1166" s="109"/>
      <c r="Y1166" s="109"/>
      <c r="Z1166" s="109"/>
      <c r="AA1166" s="109"/>
      <c r="AB1166" s="109"/>
      <c r="AC1166" s="109"/>
      <c r="AD1166" s="109"/>
      <c r="AE1166" s="109"/>
      <c r="AF1166" s="109"/>
      <c r="AG1166" s="109"/>
      <c r="AH1166" s="109"/>
      <c r="AI1166" s="109"/>
      <c r="AJ1166" s="115"/>
      <c r="AK1166" s="80"/>
      <c r="AL1166" s="80"/>
      <c r="AM1166" s="80"/>
      <c r="AN1166" s="80"/>
      <c r="AO1166" s="80"/>
      <c r="AP1166" s="80"/>
      <c r="AQ1166" s="80"/>
      <c r="AR1166" s="73"/>
      <c r="AS1166" s="73"/>
      <c r="AT1166" s="73"/>
      <c r="AU1166" s="73"/>
      <c r="AV1166" s="73"/>
      <c r="AW1166" s="73"/>
      <c r="AX1166" s="73"/>
      <c r="AY1166" s="73"/>
      <c r="AZ1166" s="73"/>
      <c r="BA1166" s="73"/>
      <c r="BB1166" s="73"/>
      <c r="BC1166" s="73"/>
      <c r="BD1166" s="73"/>
      <c r="BE1166" s="73"/>
      <c r="BF1166" s="73"/>
      <c r="BG1166" s="73"/>
      <c r="BH1166" s="73"/>
      <c r="BI1166" s="73"/>
      <c r="BJ1166" s="73"/>
      <c r="BK1166" s="73"/>
      <c r="BL1166" s="73"/>
      <c r="BM1166" s="73"/>
      <c r="BN1166" s="73"/>
      <c r="BO1166" s="73"/>
      <c r="BP1166" s="73"/>
      <c r="BQ1166" s="73"/>
      <c r="BR1166" s="73"/>
      <c r="BS1166" s="73"/>
      <c r="BT1166" s="73"/>
      <c r="BU1166" s="73"/>
      <c r="BV1166" s="73"/>
      <c r="BW1166" s="73"/>
      <c r="BX1166" s="73"/>
      <c r="BY1166" s="73"/>
      <c r="BZ1166" s="73"/>
      <c r="CA1166" s="73"/>
      <c r="CB1166" s="73"/>
      <c r="CC1166" s="73"/>
      <c r="CD1166" s="73"/>
      <c r="CE1166" s="73"/>
      <c r="CF1166" s="73"/>
      <c r="CG1166" s="73"/>
      <c r="CH1166" s="73"/>
    </row>
    <row r="1167">
      <c r="A1167" s="80"/>
      <c r="B1167" s="80"/>
      <c r="C1167" s="80"/>
      <c r="D1167" s="80"/>
      <c r="E1167" s="124"/>
      <c r="F1167" s="80"/>
      <c r="G1167" s="80"/>
      <c r="H1167" s="80"/>
      <c r="I1167" s="80"/>
      <c r="J1167" s="109"/>
      <c r="K1167" s="109"/>
      <c r="L1167" s="109"/>
      <c r="M1167" s="109"/>
      <c r="N1167" s="109"/>
      <c r="O1167" s="109"/>
      <c r="P1167" s="109"/>
      <c r="Q1167" s="109"/>
      <c r="R1167" s="109"/>
      <c r="S1167" s="109"/>
      <c r="T1167" s="109"/>
      <c r="U1167" s="109"/>
      <c r="V1167" s="109"/>
      <c r="W1167" s="109"/>
      <c r="X1167" s="109"/>
      <c r="Y1167" s="109"/>
      <c r="Z1167" s="109"/>
      <c r="AA1167" s="109"/>
      <c r="AB1167" s="109"/>
      <c r="AC1167" s="109"/>
      <c r="AD1167" s="109"/>
      <c r="AE1167" s="109"/>
      <c r="AF1167" s="109"/>
      <c r="AG1167" s="109"/>
      <c r="AH1167" s="109"/>
      <c r="AI1167" s="109"/>
      <c r="AJ1167" s="115"/>
      <c r="AK1167" s="80"/>
      <c r="AL1167" s="80"/>
      <c r="AM1167" s="80"/>
      <c r="AN1167" s="80"/>
      <c r="AO1167" s="80"/>
      <c r="AP1167" s="80"/>
      <c r="AQ1167" s="80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3"/>
      <c r="BG1167" s="73"/>
      <c r="BH1167" s="73"/>
      <c r="BI1167" s="73"/>
      <c r="BJ1167" s="73"/>
      <c r="BK1167" s="73"/>
      <c r="BL1167" s="73"/>
      <c r="BM1167" s="73"/>
      <c r="BN1167" s="73"/>
      <c r="BO1167" s="73"/>
      <c r="BP1167" s="73"/>
      <c r="BQ1167" s="73"/>
      <c r="BR1167" s="73"/>
      <c r="BS1167" s="73"/>
      <c r="BT1167" s="73"/>
      <c r="BU1167" s="73"/>
      <c r="BV1167" s="73"/>
      <c r="BW1167" s="73"/>
      <c r="BX1167" s="73"/>
      <c r="BY1167" s="73"/>
      <c r="BZ1167" s="73"/>
      <c r="CA1167" s="73"/>
      <c r="CB1167" s="73"/>
      <c r="CC1167" s="73"/>
      <c r="CD1167" s="73"/>
      <c r="CE1167" s="73"/>
      <c r="CF1167" s="73"/>
      <c r="CG1167" s="73"/>
      <c r="CH1167" s="73"/>
    </row>
    <row r="1168">
      <c r="A1168" s="80"/>
      <c r="B1168" s="80"/>
      <c r="C1168" s="80"/>
      <c r="D1168" s="80"/>
      <c r="E1168" s="124"/>
      <c r="F1168" s="80"/>
      <c r="G1168" s="80"/>
      <c r="H1168" s="80"/>
      <c r="I1168" s="80"/>
      <c r="J1168" s="109"/>
      <c r="K1168" s="109"/>
      <c r="L1168" s="109"/>
      <c r="M1168" s="109"/>
      <c r="N1168" s="109"/>
      <c r="O1168" s="109"/>
      <c r="P1168" s="109"/>
      <c r="Q1168" s="109"/>
      <c r="R1168" s="109"/>
      <c r="S1168" s="109"/>
      <c r="T1168" s="109"/>
      <c r="U1168" s="109"/>
      <c r="V1168" s="109"/>
      <c r="W1168" s="109"/>
      <c r="X1168" s="109"/>
      <c r="Y1168" s="109"/>
      <c r="Z1168" s="109"/>
      <c r="AA1168" s="109"/>
      <c r="AB1168" s="109"/>
      <c r="AC1168" s="109"/>
      <c r="AD1168" s="109"/>
      <c r="AE1168" s="109"/>
      <c r="AF1168" s="109"/>
      <c r="AG1168" s="109"/>
      <c r="AH1168" s="109"/>
      <c r="AI1168" s="109"/>
      <c r="AJ1168" s="115"/>
      <c r="AK1168" s="80"/>
      <c r="AL1168" s="80"/>
      <c r="AM1168" s="80"/>
      <c r="AN1168" s="80"/>
      <c r="AO1168" s="80"/>
      <c r="AP1168" s="80"/>
      <c r="AQ1168" s="80"/>
      <c r="AR1168" s="73"/>
      <c r="AS1168" s="73"/>
      <c r="AT1168" s="73"/>
      <c r="AU1168" s="73"/>
      <c r="AV1168" s="73"/>
      <c r="AW1168" s="73"/>
      <c r="AX1168" s="73"/>
      <c r="AY1168" s="73"/>
      <c r="AZ1168" s="73"/>
      <c r="BA1168" s="73"/>
      <c r="BB1168" s="73"/>
      <c r="BC1168" s="73"/>
      <c r="BD1168" s="73"/>
      <c r="BE1168" s="73"/>
      <c r="BF1168" s="73"/>
      <c r="BG1168" s="73"/>
      <c r="BH1168" s="73"/>
      <c r="BI1168" s="73"/>
      <c r="BJ1168" s="73"/>
      <c r="BK1168" s="73"/>
      <c r="BL1168" s="73"/>
      <c r="BM1168" s="73"/>
      <c r="BN1168" s="73"/>
      <c r="BO1168" s="73"/>
      <c r="BP1168" s="73"/>
      <c r="BQ1168" s="73"/>
      <c r="BR1168" s="73"/>
      <c r="BS1168" s="73"/>
      <c r="BT1168" s="73"/>
      <c r="BU1168" s="73"/>
      <c r="BV1168" s="73"/>
      <c r="BW1168" s="73"/>
      <c r="BX1168" s="73"/>
      <c r="BY1168" s="73"/>
      <c r="BZ1168" s="73"/>
      <c r="CA1168" s="73"/>
      <c r="CB1168" s="73"/>
      <c r="CC1168" s="73"/>
      <c r="CD1168" s="73"/>
      <c r="CE1168" s="73"/>
      <c r="CF1168" s="73"/>
      <c r="CG1168" s="73"/>
      <c r="CH1168" s="73"/>
    </row>
    <row r="1169">
      <c r="A1169" s="80"/>
      <c r="B1169" s="80"/>
      <c r="C1169" s="80"/>
      <c r="D1169" s="80"/>
      <c r="E1169" s="124"/>
      <c r="F1169" s="80"/>
      <c r="G1169" s="80"/>
      <c r="H1169" s="80"/>
      <c r="I1169" s="80"/>
      <c r="J1169" s="109"/>
      <c r="K1169" s="109"/>
      <c r="L1169" s="109"/>
      <c r="M1169" s="109"/>
      <c r="N1169" s="109"/>
      <c r="O1169" s="109"/>
      <c r="P1169" s="109"/>
      <c r="Q1169" s="109"/>
      <c r="R1169" s="109"/>
      <c r="S1169" s="109"/>
      <c r="T1169" s="109"/>
      <c r="U1169" s="109"/>
      <c r="V1169" s="109"/>
      <c r="W1169" s="109"/>
      <c r="X1169" s="109"/>
      <c r="Y1169" s="109"/>
      <c r="Z1169" s="109"/>
      <c r="AA1169" s="109"/>
      <c r="AB1169" s="109"/>
      <c r="AC1169" s="109"/>
      <c r="AD1169" s="109"/>
      <c r="AE1169" s="109"/>
      <c r="AF1169" s="109"/>
      <c r="AG1169" s="109"/>
      <c r="AH1169" s="109"/>
      <c r="AI1169" s="109"/>
      <c r="AJ1169" s="115"/>
      <c r="AK1169" s="80"/>
      <c r="AL1169" s="80"/>
      <c r="AM1169" s="80"/>
      <c r="AN1169" s="80"/>
      <c r="AO1169" s="80"/>
      <c r="AP1169" s="80"/>
      <c r="AQ1169" s="80"/>
      <c r="AR1169" s="73"/>
      <c r="AS1169" s="73"/>
      <c r="AT1169" s="73"/>
      <c r="AU1169" s="73"/>
      <c r="AV1169" s="73"/>
      <c r="AW1169" s="73"/>
      <c r="AX1169" s="73"/>
      <c r="AY1169" s="73"/>
      <c r="AZ1169" s="73"/>
      <c r="BA1169" s="73"/>
      <c r="BB1169" s="73"/>
      <c r="BC1169" s="73"/>
      <c r="BD1169" s="73"/>
      <c r="BE1169" s="73"/>
      <c r="BF1169" s="73"/>
      <c r="BG1169" s="73"/>
      <c r="BH1169" s="73"/>
      <c r="BI1169" s="73"/>
      <c r="BJ1169" s="73"/>
      <c r="BK1169" s="73"/>
      <c r="BL1169" s="73"/>
      <c r="BM1169" s="73"/>
      <c r="BN1169" s="73"/>
      <c r="BO1169" s="73"/>
      <c r="BP1169" s="73"/>
      <c r="BQ1169" s="73"/>
      <c r="BR1169" s="73"/>
      <c r="BS1169" s="73"/>
      <c r="BT1169" s="73"/>
      <c r="BU1169" s="73"/>
      <c r="BV1169" s="73"/>
      <c r="BW1169" s="73"/>
      <c r="BX1169" s="73"/>
      <c r="BY1169" s="73"/>
      <c r="BZ1169" s="73"/>
      <c r="CA1169" s="73"/>
      <c r="CB1169" s="73"/>
      <c r="CC1169" s="73"/>
      <c r="CD1169" s="73"/>
      <c r="CE1169" s="73"/>
      <c r="CF1169" s="73"/>
      <c r="CG1169" s="73"/>
      <c r="CH1169" s="73"/>
    </row>
    <row r="1170">
      <c r="A1170" s="80"/>
      <c r="B1170" s="80"/>
      <c r="C1170" s="80"/>
      <c r="D1170" s="80"/>
      <c r="E1170" s="124"/>
      <c r="F1170" s="80"/>
      <c r="G1170" s="80"/>
      <c r="H1170" s="80"/>
      <c r="I1170" s="80"/>
      <c r="J1170" s="109"/>
      <c r="K1170" s="109"/>
      <c r="L1170" s="109"/>
      <c r="M1170" s="109"/>
      <c r="N1170" s="109"/>
      <c r="O1170" s="109"/>
      <c r="P1170" s="109"/>
      <c r="Q1170" s="109"/>
      <c r="R1170" s="109"/>
      <c r="S1170" s="109"/>
      <c r="T1170" s="109"/>
      <c r="U1170" s="109"/>
      <c r="V1170" s="109"/>
      <c r="W1170" s="109"/>
      <c r="X1170" s="109"/>
      <c r="Y1170" s="109"/>
      <c r="Z1170" s="109"/>
      <c r="AA1170" s="109"/>
      <c r="AB1170" s="109"/>
      <c r="AC1170" s="109"/>
      <c r="AD1170" s="109"/>
      <c r="AE1170" s="109"/>
      <c r="AF1170" s="109"/>
      <c r="AG1170" s="109"/>
      <c r="AH1170" s="109"/>
      <c r="AI1170" s="109"/>
      <c r="AJ1170" s="115"/>
      <c r="AK1170" s="80"/>
      <c r="AL1170" s="80"/>
      <c r="AM1170" s="80"/>
      <c r="AN1170" s="80"/>
      <c r="AO1170" s="80"/>
      <c r="AP1170" s="80"/>
      <c r="AQ1170" s="80"/>
      <c r="AR1170" s="73"/>
      <c r="AS1170" s="73"/>
      <c r="AT1170" s="73"/>
      <c r="AU1170" s="73"/>
      <c r="AV1170" s="73"/>
      <c r="AW1170" s="73"/>
      <c r="AX1170" s="73"/>
      <c r="AY1170" s="73"/>
      <c r="AZ1170" s="73"/>
      <c r="BA1170" s="73"/>
      <c r="BB1170" s="73"/>
      <c r="BC1170" s="73"/>
      <c r="BD1170" s="73"/>
      <c r="BE1170" s="73"/>
      <c r="BF1170" s="73"/>
      <c r="BG1170" s="73"/>
      <c r="BH1170" s="73"/>
      <c r="BI1170" s="73"/>
      <c r="BJ1170" s="73"/>
      <c r="BK1170" s="73"/>
      <c r="BL1170" s="73"/>
      <c r="BM1170" s="73"/>
      <c r="BN1170" s="73"/>
      <c r="BO1170" s="73"/>
      <c r="BP1170" s="73"/>
      <c r="BQ1170" s="73"/>
      <c r="BR1170" s="73"/>
      <c r="BS1170" s="73"/>
      <c r="BT1170" s="73"/>
      <c r="BU1170" s="73"/>
      <c r="BV1170" s="73"/>
      <c r="BW1170" s="73"/>
      <c r="BX1170" s="73"/>
      <c r="BY1170" s="73"/>
      <c r="BZ1170" s="73"/>
      <c r="CA1170" s="73"/>
      <c r="CB1170" s="73"/>
      <c r="CC1170" s="73"/>
      <c r="CD1170" s="73"/>
      <c r="CE1170" s="73"/>
      <c r="CF1170" s="73"/>
      <c r="CG1170" s="73"/>
      <c r="CH1170" s="73"/>
    </row>
    <row r="1171">
      <c r="A1171" s="80"/>
      <c r="B1171" s="80"/>
      <c r="C1171" s="80"/>
      <c r="D1171" s="80"/>
      <c r="E1171" s="124"/>
      <c r="F1171" s="80"/>
      <c r="G1171" s="80"/>
      <c r="H1171" s="80"/>
      <c r="I1171" s="80"/>
      <c r="J1171" s="109"/>
      <c r="K1171" s="109"/>
      <c r="L1171" s="109"/>
      <c r="M1171" s="109"/>
      <c r="N1171" s="109"/>
      <c r="O1171" s="109"/>
      <c r="P1171" s="109"/>
      <c r="Q1171" s="109"/>
      <c r="R1171" s="109"/>
      <c r="S1171" s="109"/>
      <c r="T1171" s="109"/>
      <c r="U1171" s="109"/>
      <c r="V1171" s="109"/>
      <c r="W1171" s="109"/>
      <c r="X1171" s="109"/>
      <c r="Y1171" s="109"/>
      <c r="Z1171" s="109"/>
      <c r="AA1171" s="109"/>
      <c r="AB1171" s="109"/>
      <c r="AC1171" s="109"/>
      <c r="AD1171" s="109"/>
      <c r="AE1171" s="109"/>
      <c r="AF1171" s="109"/>
      <c r="AG1171" s="109"/>
      <c r="AH1171" s="109"/>
      <c r="AI1171" s="109"/>
      <c r="AJ1171" s="115"/>
      <c r="AK1171" s="80"/>
      <c r="AL1171" s="80"/>
      <c r="AM1171" s="80"/>
      <c r="AN1171" s="80"/>
      <c r="AO1171" s="80"/>
      <c r="AP1171" s="80"/>
      <c r="AQ1171" s="80"/>
      <c r="AR1171" s="73"/>
      <c r="AS1171" s="73"/>
      <c r="AT1171" s="73"/>
      <c r="AU1171" s="73"/>
      <c r="AV1171" s="73"/>
      <c r="AW1171" s="73"/>
      <c r="AX1171" s="73"/>
      <c r="AY1171" s="73"/>
      <c r="AZ1171" s="73"/>
      <c r="BA1171" s="73"/>
      <c r="BB1171" s="73"/>
      <c r="BC1171" s="73"/>
      <c r="BD1171" s="73"/>
      <c r="BE1171" s="73"/>
      <c r="BF1171" s="73"/>
      <c r="BG1171" s="73"/>
      <c r="BH1171" s="73"/>
      <c r="BI1171" s="73"/>
      <c r="BJ1171" s="73"/>
      <c r="BK1171" s="73"/>
      <c r="BL1171" s="73"/>
      <c r="BM1171" s="73"/>
      <c r="BN1171" s="73"/>
      <c r="BO1171" s="73"/>
      <c r="BP1171" s="73"/>
      <c r="BQ1171" s="73"/>
      <c r="BR1171" s="73"/>
      <c r="BS1171" s="73"/>
      <c r="BT1171" s="73"/>
      <c r="BU1171" s="73"/>
      <c r="BV1171" s="73"/>
      <c r="BW1171" s="73"/>
      <c r="BX1171" s="73"/>
      <c r="BY1171" s="73"/>
      <c r="BZ1171" s="73"/>
      <c r="CA1171" s="73"/>
      <c r="CB1171" s="73"/>
      <c r="CC1171" s="73"/>
      <c r="CD1171" s="73"/>
      <c r="CE1171" s="73"/>
      <c r="CF1171" s="73"/>
      <c r="CG1171" s="73"/>
      <c r="CH1171" s="73"/>
    </row>
    <row r="1172">
      <c r="A1172" s="80"/>
      <c r="B1172" s="80"/>
      <c r="C1172" s="80"/>
      <c r="D1172" s="80"/>
      <c r="E1172" s="124"/>
      <c r="F1172" s="80"/>
      <c r="G1172" s="80"/>
      <c r="H1172" s="80"/>
      <c r="I1172" s="80"/>
      <c r="J1172" s="109"/>
      <c r="K1172" s="109"/>
      <c r="L1172" s="109"/>
      <c r="M1172" s="109"/>
      <c r="N1172" s="109"/>
      <c r="O1172" s="109"/>
      <c r="P1172" s="109"/>
      <c r="Q1172" s="109"/>
      <c r="R1172" s="109"/>
      <c r="S1172" s="109"/>
      <c r="T1172" s="109"/>
      <c r="U1172" s="109"/>
      <c r="V1172" s="109"/>
      <c r="W1172" s="109"/>
      <c r="X1172" s="109"/>
      <c r="Y1172" s="109"/>
      <c r="Z1172" s="109"/>
      <c r="AA1172" s="109"/>
      <c r="AB1172" s="109"/>
      <c r="AC1172" s="109"/>
      <c r="AD1172" s="109"/>
      <c r="AE1172" s="109"/>
      <c r="AF1172" s="109"/>
      <c r="AG1172" s="109"/>
      <c r="AH1172" s="109"/>
      <c r="AI1172" s="109"/>
      <c r="AJ1172" s="115"/>
      <c r="AK1172" s="80"/>
      <c r="AL1172" s="80"/>
      <c r="AM1172" s="80"/>
      <c r="AN1172" s="80"/>
      <c r="AO1172" s="80"/>
      <c r="AP1172" s="80"/>
      <c r="AQ1172" s="80"/>
      <c r="AR1172" s="73"/>
      <c r="AS1172" s="73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73"/>
      <c r="BD1172" s="73"/>
      <c r="BE1172" s="73"/>
      <c r="BF1172" s="73"/>
      <c r="BG1172" s="73"/>
      <c r="BH1172" s="73"/>
      <c r="BI1172" s="73"/>
      <c r="BJ1172" s="73"/>
      <c r="BK1172" s="73"/>
      <c r="BL1172" s="73"/>
      <c r="BM1172" s="73"/>
      <c r="BN1172" s="73"/>
      <c r="BO1172" s="73"/>
      <c r="BP1172" s="73"/>
      <c r="BQ1172" s="73"/>
      <c r="BR1172" s="73"/>
      <c r="BS1172" s="73"/>
      <c r="BT1172" s="73"/>
      <c r="BU1172" s="73"/>
      <c r="BV1172" s="73"/>
      <c r="BW1172" s="73"/>
      <c r="BX1172" s="73"/>
      <c r="BY1172" s="73"/>
      <c r="BZ1172" s="73"/>
      <c r="CA1172" s="73"/>
      <c r="CB1172" s="73"/>
      <c r="CC1172" s="73"/>
      <c r="CD1172" s="73"/>
      <c r="CE1172" s="73"/>
      <c r="CF1172" s="73"/>
      <c r="CG1172" s="73"/>
      <c r="CH1172" s="73"/>
    </row>
    <row r="1173">
      <c r="A1173" s="80"/>
      <c r="B1173" s="80"/>
      <c r="C1173" s="80"/>
      <c r="D1173" s="80"/>
      <c r="E1173" s="124"/>
      <c r="F1173" s="80"/>
      <c r="G1173" s="80"/>
      <c r="H1173" s="80"/>
      <c r="I1173" s="80"/>
      <c r="J1173" s="109"/>
      <c r="K1173" s="109"/>
      <c r="L1173" s="109"/>
      <c r="M1173" s="109"/>
      <c r="N1173" s="109"/>
      <c r="O1173" s="109"/>
      <c r="P1173" s="109"/>
      <c r="Q1173" s="109"/>
      <c r="R1173" s="109"/>
      <c r="S1173" s="109"/>
      <c r="T1173" s="109"/>
      <c r="U1173" s="109"/>
      <c r="V1173" s="109"/>
      <c r="W1173" s="109"/>
      <c r="X1173" s="109"/>
      <c r="Y1173" s="109"/>
      <c r="Z1173" s="109"/>
      <c r="AA1173" s="109"/>
      <c r="AB1173" s="109"/>
      <c r="AC1173" s="109"/>
      <c r="AD1173" s="109"/>
      <c r="AE1173" s="109"/>
      <c r="AF1173" s="109"/>
      <c r="AG1173" s="109"/>
      <c r="AH1173" s="109"/>
      <c r="AI1173" s="109"/>
      <c r="AJ1173" s="115"/>
      <c r="AK1173" s="80"/>
      <c r="AL1173" s="80"/>
      <c r="AM1173" s="80"/>
      <c r="AN1173" s="80"/>
      <c r="AO1173" s="80"/>
      <c r="AP1173" s="80"/>
      <c r="AQ1173" s="80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3"/>
      <c r="BG1173" s="73"/>
      <c r="BH1173" s="73"/>
      <c r="BI1173" s="73"/>
      <c r="BJ1173" s="73"/>
      <c r="BK1173" s="73"/>
      <c r="BL1173" s="73"/>
      <c r="BM1173" s="73"/>
      <c r="BN1173" s="73"/>
      <c r="BO1173" s="73"/>
      <c r="BP1173" s="73"/>
      <c r="BQ1173" s="73"/>
      <c r="BR1173" s="73"/>
      <c r="BS1173" s="73"/>
      <c r="BT1173" s="73"/>
      <c r="BU1173" s="73"/>
      <c r="BV1173" s="73"/>
      <c r="BW1173" s="73"/>
      <c r="BX1173" s="73"/>
      <c r="BY1173" s="73"/>
      <c r="BZ1173" s="73"/>
      <c r="CA1173" s="73"/>
      <c r="CB1173" s="73"/>
      <c r="CC1173" s="73"/>
      <c r="CD1173" s="73"/>
      <c r="CE1173" s="73"/>
      <c r="CF1173" s="73"/>
      <c r="CG1173" s="73"/>
      <c r="CH1173" s="73"/>
    </row>
    <row r="1174">
      <c r="A1174" s="80"/>
      <c r="B1174" s="80"/>
      <c r="C1174" s="80"/>
      <c r="D1174" s="80"/>
      <c r="E1174" s="124"/>
      <c r="F1174" s="80"/>
      <c r="G1174" s="80"/>
      <c r="H1174" s="80"/>
      <c r="I1174" s="80"/>
      <c r="J1174" s="109"/>
      <c r="K1174" s="109"/>
      <c r="L1174" s="109"/>
      <c r="M1174" s="109"/>
      <c r="N1174" s="109"/>
      <c r="O1174" s="109"/>
      <c r="P1174" s="109"/>
      <c r="Q1174" s="109"/>
      <c r="R1174" s="109"/>
      <c r="S1174" s="109"/>
      <c r="T1174" s="109"/>
      <c r="U1174" s="109"/>
      <c r="V1174" s="109"/>
      <c r="W1174" s="109"/>
      <c r="X1174" s="109"/>
      <c r="Y1174" s="109"/>
      <c r="Z1174" s="109"/>
      <c r="AA1174" s="109"/>
      <c r="AB1174" s="109"/>
      <c r="AC1174" s="109"/>
      <c r="AD1174" s="109"/>
      <c r="AE1174" s="109"/>
      <c r="AF1174" s="109"/>
      <c r="AG1174" s="109"/>
      <c r="AH1174" s="109"/>
      <c r="AI1174" s="109"/>
      <c r="AJ1174" s="115"/>
      <c r="AK1174" s="80"/>
      <c r="AL1174" s="80"/>
      <c r="AM1174" s="80"/>
      <c r="AN1174" s="80"/>
      <c r="AO1174" s="80"/>
      <c r="AP1174" s="80"/>
      <c r="AQ1174" s="80"/>
      <c r="AR1174" s="73"/>
      <c r="AS1174" s="73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73"/>
      <c r="BD1174" s="73"/>
      <c r="BE1174" s="73"/>
      <c r="BF1174" s="73"/>
      <c r="BG1174" s="73"/>
      <c r="BH1174" s="73"/>
      <c r="BI1174" s="73"/>
      <c r="BJ1174" s="73"/>
      <c r="BK1174" s="73"/>
      <c r="BL1174" s="73"/>
      <c r="BM1174" s="73"/>
      <c r="BN1174" s="73"/>
      <c r="BO1174" s="73"/>
      <c r="BP1174" s="73"/>
      <c r="BQ1174" s="73"/>
      <c r="BR1174" s="73"/>
      <c r="BS1174" s="73"/>
      <c r="BT1174" s="73"/>
      <c r="BU1174" s="73"/>
      <c r="BV1174" s="73"/>
      <c r="BW1174" s="73"/>
      <c r="BX1174" s="73"/>
      <c r="BY1174" s="73"/>
      <c r="BZ1174" s="73"/>
      <c r="CA1174" s="73"/>
      <c r="CB1174" s="73"/>
      <c r="CC1174" s="73"/>
      <c r="CD1174" s="73"/>
      <c r="CE1174" s="73"/>
      <c r="CF1174" s="73"/>
      <c r="CG1174" s="73"/>
      <c r="CH1174" s="73"/>
    </row>
    <row r="1175">
      <c r="A1175" s="80"/>
      <c r="B1175" s="80"/>
      <c r="C1175" s="80"/>
      <c r="D1175" s="80"/>
      <c r="E1175" s="124"/>
      <c r="F1175" s="80"/>
      <c r="G1175" s="80"/>
      <c r="H1175" s="80"/>
      <c r="I1175" s="80"/>
      <c r="J1175" s="109"/>
      <c r="K1175" s="109"/>
      <c r="L1175" s="109"/>
      <c r="M1175" s="109"/>
      <c r="N1175" s="109"/>
      <c r="O1175" s="109"/>
      <c r="P1175" s="109"/>
      <c r="Q1175" s="109"/>
      <c r="R1175" s="109"/>
      <c r="S1175" s="109"/>
      <c r="T1175" s="109"/>
      <c r="U1175" s="109"/>
      <c r="V1175" s="109"/>
      <c r="W1175" s="109"/>
      <c r="X1175" s="109"/>
      <c r="Y1175" s="109"/>
      <c r="Z1175" s="109"/>
      <c r="AA1175" s="109"/>
      <c r="AB1175" s="109"/>
      <c r="AC1175" s="109"/>
      <c r="AD1175" s="109"/>
      <c r="AE1175" s="109"/>
      <c r="AF1175" s="109"/>
      <c r="AG1175" s="109"/>
      <c r="AH1175" s="109"/>
      <c r="AI1175" s="109"/>
      <c r="AJ1175" s="115"/>
      <c r="AK1175" s="80"/>
      <c r="AL1175" s="80"/>
      <c r="AM1175" s="80"/>
      <c r="AN1175" s="80"/>
      <c r="AO1175" s="80"/>
      <c r="AP1175" s="80"/>
      <c r="AQ1175" s="80"/>
      <c r="AR1175" s="73"/>
      <c r="AS1175" s="73"/>
      <c r="AT1175" s="73"/>
      <c r="AU1175" s="73"/>
      <c r="AV1175" s="73"/>
      <c r="AW1175" s="73"/>
      <c r="AX1175" s="73"/>
      <c r="AY1175" s="73"/>
      <c r="AZ1175" s="73"/>
      <c r="BA1175" s="73"/>
      <c r="BB1175" s="73"/>
      <c r="BC1175" s="73"/>
      <c r="BD1175" s="73"/>
      <c r="BE1175" s="73"/>
      <c r="BF1175" s="73"/>
      <c r="BG1175" s="73"/>
      <c r="BH1175" s="73"/>
      <c r="BI1175" s="73"/>
      <c r="BJ1175" s="73"/>
      <c r="BK1175" s="73"/>
      <c r="BL1175" s="73"/>
      <c r="BM1175" s="73"/>
      <c r="BN1175" s="73"/>
      <c r="BO1175" s="73"/>
      <c r="BP1175" s="73"/>
      <c r="BQ1175" s="73"/>
      <c r="BR1175" s="73"/>
      <c r="BS1175" s="73"/>
      <c r="BT1175" s="73"/>
      <c r="BU1175" s="73"/>
      <c r="BV1175" s="73"/>
      <c r="BW1175" s="73"/>
      <c r="BX1175" s="73"/>
      <c r="BY1175" s="73"/>
      <c r="BZ1175" s="73"/>
      <c r="CA1175" s="73"/>
      <c r="CB1175" s="73"/>
      <c r="CC1175" s="73"/>
      <c r="CD1175" s="73"/>
      <c r="CE1175" s="73"/>
      <c r="CF1175" s="73"/>
      <c r="CG1175" s="73"/>
      <c r="CH1175" s="73"/>
    </row>
    <row r="1176">
      <c r="A1176" s="80"/>
      <c r="B1176" s="80"/>
      <c r="C1176" s="80"/>
      <c r="D1176" s="80"/>
      <c r="E1176" s="124"/>
      <c r="F1176" s="80"/>
      <c r="G1176" s="80"/>
      <c r="H1176" s="80"/>
      <c r="I1176" s="80"/>
      <c r="J1176" s="109"/>
      <c r="K1176" s="109"/>
      <c r="L1176" s="109"/>
      <c r="M1176" s="109"/>
      <c r="N1176" s="109"/>
      <c r="O1176" s="109"/>
      <c r="P1176" s="109"/>
      <c r="Q1176" s="109"/>
      <c r="R1176" s="109"/>
      <c r="S1176" s="109"/>
      <c r="T1176" s="109"/>
      <c r="U1176" s="109"/>
      <c r="V1176" s="109"/>
      <c r="W1176" s="109"/>
      <c r="X1176" s="109"/>
      <c r="Y1176" s="109"/>
      <c r="Z1176" s="109"/>
      <c r="AA1176" s="109"/>
      <c r="AB1176" s="109"/>
      <c r="AC1176" s="109"/>
      <c r="AD1176" s="109"/>
      <c r="AE1176" s="109"/>
      <c r="AF1176" s="109"/>
      <c r="AG1176" s="109"/>
      <c r="AH1176" s="109"/>
      <c r="AI1176" s="109"/>
      <c r="AJ1176" s="115"/>
      <c r="AK1176" s="80"/>
      <c r="AL1176" s="80"/>
      <c r="AM1176" s="80"/>
      <c r="AN1176" s="80"/>
      <c r="AO1176" s="80"/>
      <c r="AP1176" s="80"/>
      <c r="AQ1176" s="80"/>
      <c r="AR1176" s="73"/>
      <c r="AS1176" s="73"/>
      <c r="AT1176" s="73"/>
      <c r="AU1176" s="73"/>
      <c r="AV1176" s="73"/>
      <c r="AW1176" s="73"/>
      <c r="AX1176" s="73"/>
      <c r="AY1176" s="73"/>
      <c r="AZ1176" s="73"/>
      <c r="BA1176" s="73"/>
      <c r="BB1176" s="73"/>
      <c r="BC1176" s="73"/>
      <c r="BD1176" s="73"/>
      <c r="BE1176" s="73"/>
      <c r="BF1176" s="73"/>
      <c r="BG1176" s="73"/>
      <c r="BH1176" s="73"/>
      <c r="BI1176" s="73"/>
      <c r="BJ1176" s="73"/>
      <c r="BK1176" s="73"/>
      <c r="BL1176" s="73"/>
      <c r="BM1176" s="73"/>
      <c r="BN1176" s="73"/>
      <c r="BO1176" s="73"/>
      <c r="BP1176" s="73"/>
      <c r="BQ1176" s="73"/>
      <c r="BR1176" s="73"/>
      <c r="BS1176" s="73"/>
      <c r="BT1176" s="73"/>
      <c r="BU1176" s="73"/>
      <c r="BV1176" s="73"/>
      <c r="BW1176" s="73"/>
      <c r="BX1176" s="73"/>
      <c r="BY1176" s="73"/>
      <c r="BZ1176" s="73"/>
      <c r="CA1176" s="73"/>
      <c r="CB1176" s="73"/>
      <c r="CC1176" s="73"/>
      <c r="CD1176" s="73"/>
      <c r="CE1176" s="73"/>
      <c r="CF1176" s="73"/>
      <c r="CG1176" s="73"/>
      <c r="CH1176" s="73"/>
    </row>
    <row r="1177">
      <c r="A1177" s="80"/>
      <c r="B1177" s="80"/>
      <c r="C1177" s="80"/>
      <c r="D1177" s="80"/>
      <c r="E1177" s="124"/>
      <c r="F1177" s="80"/>
      <c r="G1177" s="80"/>
      <c r="H1177" s="80"/>
      <c r="I1177" s="80"/>
      <c r="J1177" s="109"/>
      <c r="K1177" s="109"/>
      <c r="L1177" s="109"/>
      <c r="M1177" s="109"/>
      <c r="N1177" s="109"/>
      <c r="O1177" s="109"/>
      <c r="P1177" s="109"/>
      <c r="Q1177" s="109"/>
      <c r="R1177" s="109"/>
      <c r="S1177" s="109"/>
      <c r="T1177" s="109"/>
      <c r="U1177" s="109"/>
      <c r="V1177" s="109"/>
      <c r="W1177" s="109"/>
      <c r="X1177" s="109"/>
      <c r="Y1177" s="109"/>
      <c r="Z1177" s="109"/>
      <c r="AA1177" s="109"/>
      <c r="AB1177" s="109"/>
      <c r="AC1177" s="109"/>
      <c r="AD1177" s="109"/>
      <c r="AE1177" s="109"/>
      <c r="AF1177" s="109"/>
      <c r="AG1177" s="109"/>
      <c r="AH1177" s="109"/>
      <c r="AI1177" s="109"/>
      <c r="AJ1177" s="115"/>
      <c r="AK1177" s="80"/>
      <c r="AL1177" s="80"/>
      <c r="AM1177" s="80"/>
      <c r="AN1177" s="80"/>
      <c r="AO1177" s="80"/>
      <c r="AP1177" s="80"/>
      <c r="AQ1177" s="80"/>
      <c r="AR1177" s="73"/>
      <c r="AS1177" s="73"/>
      <c r="AT1177" s="73"/>
      <c r="AU1177" s="73"/>
      <c r="AV1177" s="73"/>
      <c r="AW1177" s="73"/>
      <c r="AX1177" s="73"/>
      <c r="AY1177" s="73"/>
      <c r="AZ1177" s="73"/>
      <c r="BA1177" s="73"/>
      <c r="BB1177" s="73"/>
      <c r="BC1177" s="73"/>
      <c r="BD1177" s="73"/>
      <c r="BE1177" s="73"/>
      <c r="BF1177" s="73"/>
      <c r="BG1177" s="73"/>
      <c r="BH1177" s="73"/>
      <c r="BI1177" s="73"/>
      <c r="BJ1177" s="73"/>
      <c r="BK1177" s="73"/>
      <c r="BL1177" s="73"/>
      <c r="BM1177" s="73"/>
      <c r="BN1177" s="73"/>
      <c r="BO1177" s="73"/>
      <c r="BP1177" s="73"/>
      <c r="BQ1177" s="73"/>
      <c r="BR1177" s="73"/>
      <c r="BS1177" s="73"/>
      <c r="BT1177" s="73"/>
      <c r="BU1177" s="73"/>
      <c r="BV1177" s="73"/>
      <c r="BW1177" s="73"/>
      <c r="BX1177" s="73"/>
      <c r="BY1177" s="73"/>
      <c r="BZ1177" s="73"/>
      <c r="CA1177" s="73"/>
      <c r="CB1177" s="73"/>
      <c r="CC1177" s="73"/>
      <c r="CD1177" s="73"/>
      <c r="CE1177" s="73"/>
      <c r="CF1177" s="73"/>
      <c r="CG1177" s="73"/>
      <c r="CH1177" s="73"/>
    </row>
    <row r="1178">
      <c r="A1178" s="80"/>
      <c r="B1178" s="80"/>
      <c r="C1178" s="80"/>
      <c r="D1178" s="80"/>
      <c r="E1178" s="124"/>
      <c r="F1178" s="80"/>
      <c r="G1178" s="80"/>
      <c r="H1178" s="80"/>
      <c r="I1178" s="80"/>
      <c r="J1178" s="109"/>
      <c r="K1178" s="109"/>
      <c r="L1178" s="109"/>
      <c r="M1178" s="109"/>
      <c r="N1178" s="109"/>
      <c r="O1178" s="109"/>
      <c r="P1178" s="109"/>
      <c r="Q1178" s="109"/>
      <c r="R1178" s="109"/>
      <c r="S1178" s="109"/>
      <c r="T1178" s="109"/>
      <c r="U1178" s="109"/>
      <c r="V1178" s="109"/>
      <c r="W1178" s="109"/>
      <c r="X1178" s="109"/>
      <c r="Y1178" s="109"/>
      <c r="Z1178" s="109"/>
      <c r="AA1178" s="109"/>
      <c r="AB1178" s="109"/>
      <c r="AC1178" s="109"/>
      <c r="AD1178" s="109"/>
      <c r="AE1178" s="109"/>
      <c r="AF1178" s="109"/>
      <c r="AG1178" s="109"/>
      <c r="AH1178" s="109"/>
      <c r="AI1178" s="109"/>
      <c r="AJ1178" s="115"/>
      <c r="AK1178" s="80"/>
      <c r="AL1178" s="80"/>
      <c r="AM1178" s="80"/>
      <c r="AN1178" s="80"/>
      <c r="AO1178" s="80"/>
      <c r="AP1178" s="80"/>
      <c r="AQ1178" s="80"/>
      <c r="AR1178" s="73"/>
      <c r="AS1178" s="73"/>
      <c r="AT1178" s="73"/>
      <c r="AU1178" s="73"/>
      <c r="AV1178" s="73"/>
      <c r="AW1178" s="73"/>
      <c r="AX1178" s="73"/>
      <c r="AY1178" s="73"/>
      <c r="AZ1178" s="73"/>
      <c r="BA1178" s="73"/>
      <c r="BB1178" s="73"/>
      <c r="BC1178" s="73"/>
      <c r="BD1178" s="73"/>
      <c r="BE1178" s="73"/>
      <c r="BF1178" s="73"/>
      <c r="BG1178" s="73"/>
      <c r="BH1178" s="73"/>
      <c r="BI1178" s="73"/>
      <c r="BJ1178" s="73"/>
      <c r="BK1178" s="73"/>
      <c r="BL1178" s="73"/>
      <c r="BM1178" s="73"/>
      <c r="BN1178" s="73"/>
      <c r="BO1178" s="73"/>
      <c r="BP1178" s="73"/>
      <c r="BQ1178" s="73"/>
      <c r="BR1178" s="73"/>
      <c r="BS1178" s="73"/>
      <c r="BT1178" s="73"/>
      <c r="BU1178" s="73"/>
      <c r="BV1178" s="73"/>
      <c r="BW1178" s="73"/>
      <c r="BX1178" s="73"/>
      <c r="BY1178" s="73"/>
      <c r="BZ1178" s="73"/>
      <c r="CA1178" s="73"/>
      <c r="CB1178" s="73"/>
      <c r="CC1178" s="73"/>
      <c r="CD1178" s="73"/>
      <c r="CE1178" s="73"/>
      <c r="CF1178" s="73"/>
      <c r="CG1178" s="73"/>
      <c r="CH1178" s="73"/>
    </row>
    <row r="1179">
      <c r="A1179" s="80"/>
      <c r="B1179" s="80"/>
      <c r="C1179" s="80"/>
      <c r="D1179" s="80"/>
      <c r="E1179" s="124"/>
      <c r="F1179" s="80"/>
      <c r="G1179" s="80"/>
      <c r="H1179" s="80"/>
      <c r="I1179" s="80"/>
      <c r="J1179" s="109"/>
      <c r="K1179" s="109"/>
      <c r="L1179" s="109"/>
      <c r="M1179" s="109"/>
      <c r="N1179" s="109"/>
      <c r="O1179" s="109"/>
      <c r="P1179" s="109"/>
      <c r="Q1179" s="109"/>
      <c r="R1179" s="109"/>
      <c r="S1179" s="109"/>
      <c r="T1179" s="109"/>
      <c r="U1179" s="109"/>
      <c r="V1179" s="109"/>
      <c r="W1179" s="109"/>
      <c r="X1179" s="109"/>
      <c r="Y1179" s="109"/>
      <c r="Z1179" s="109"/>
      <c r="AA1179" s="109"/>
      <c r="AB1179" s="109"/>
      <c r="AC1179" s="109"/>
      <c r="AD1179" s="109"/>
      <c r="AE1179" s="109"/>
      <c r="AF1179" s="109"/>
      <c r="AG1179" s="109"/>
      <c r="AH1179" s="109"/>
      <c r="AI1179" s="109"/>
      <c r="AJ1179" s="115"/>
      <c r="AK1179" s="80"/>
      <c r="AL1179" s="80"/>
      <c r="AM1179" s="80"/>
      <c r="AN1179" s="80"/>
      <c r="AO1179" s="80"/>
      <c r="AP1179" s="80"/>
      <c r="AQ1179" s="80"/>
      <c r="AR1179" s="73"/>
      <c r="AS1179" s="73"/>
      <c r="AT1179" s="73"/>
      <c r="AU1179" s="73"/>
      <c r="AV1179" s="73"/>
      <c r="AW1179" s="73"/>
      <c r="AX1179" s="73"/>
      <c r="AY1179" s="73"/>
      <c r="AZ1179" s="73"/>
      <c r="BA1179" s="73"/>
      <c r="BB1179" s="73"/>
      <c r="BC1179" s="73"/>
      <c r="BD1179" s="73"/>
      <c r="BE1179" s="73"/>
      <c r="BF1179" s="73"/>
      <c r="BG1179" s="73"/>
      <c r="BH1179" s="73"/>
      <c r="BI1179" s="73"/>
      <c r="BJ1179" s="73"/>
      <c r="BK1179" s="73"/>
      <c r="BL1179" s="73"/>
      <c r="BM1179" s="73"/>
      <c r="BN1179" s="73"/>
      <c r="BO1179" s="73"/>
      <c r="BP1179" s="73"/>
      <c r="BQ1179" s="73"/>
      <c r="BR1179" s="73"/>
      <c r="BS1179" s="73"/>
      <c r="BT1179" s="73"/>
      <c r="BU1179" s="73"/>
      <c r="BV1179" s="73"/>
      <c r="BW1179" s="73"/>
      <c r="BX1179" s="73"/>
      <c r="BY1179" s="73"/>
      <c r="BZ1179" s="73"/>
      <c r="CA1179" s="73"/>
      <c r="CB1179" s="73"/>
      <c r="CC1179" s="73"/>
      <c r="CD1179" s="73"/>
      <c r="CE1179" s="73"/>
      <c r="CF1179" s="73"/>
      <c r="CG1179" s="73"/>
      <c r="CH1179" s="73"/>
    </row>
    <row r="1180">
      <c r="A1180" s="80"/>
      <c r="B1180" s="80"/>
      <c r="C1180" s="80"/>
      <c r="D1180" s="80"/>
      <c r="E1180" s="124"/>
      <c r="F1180" s="80"/>
      <c r="G1180" s="80"/>
      <c r="H1180" s="80"/>
      <c r="I1180" s="80"/>
      <c r="J1180" s="109"/>
      <c r="K1180" s="109"/>
      <c r="L1180" s="109"/>
      <c r="M1180" s="109"/>
      <c r="N1180" s="109"/>
      <c r="O1180" s="109"/>
      <c r="P1180" s="109"/>
      <c r="Q1180" s="109"/>
      <c r="R1180" s="109"/>
      <c r="S1180" s="109"/>
      <c r="T1180" s="109"/>
      <c r="U1180" s="109"/>
      <c r="V1180" s="109"/>
      <c r="W1180" s="109"/>
      <c r="X1180" s="109"/>
      <c r="Y1180" s="109"/>
      <c r="Z1180" s="109"/>
      <c r="AA1180" s="109"/>
      <c r="AB1180" s="109"/>
      <c r="AC1180" s="109"/>
      <c r="AD1180" s="109"/>
      <c r="AE1180" s="109"/>
      <c r="AF1180" s="109"/>
      <c r="AG1180" s="109"/>
      <c r="AH1180" s="109"/>
      <c r="AI1180" s="109"/>
      <c r="AJ1180" s="115"/>
      <c r="AK1180" s="80"/>
      <c r="AL1180" s="80"/>
      <c r="AM1180" s="80"/>
      <c r="AN1180" s="80"/>
      <c r="AO1180" s="80"/>
      <c r="AP1180" s="80"/>
      <c r="AQ1180" s="80"/>
      <c r="AR1180" s="73"/>
      <c r="AS1180" s="73"/>
      <c r="AT1180" s="73"/>
      <c r="AU1180" s="73"/>
      <c r="AV1180" s="73"/>
      <c r="AW1180" s="73"/>
      <c r="AX1180" s="73"/>
      <c r="AY1180" s="73"/>
      <c r="AZ1180" s="73"/>
      <c r="BA1180" s="73"/>
      <c r="BB1180" s="73"/>
      <c r="BC1180" s="73"/>
      <c r="BD1180" s="73"/>
      <c r="BE1180" s="73"/>
      <c r="BF1180" s="73"/>
      <c r="BG1180" s="73"/>
      <c r="BH1180" s="73"/>
      <c r="BI1180" s="73"/>
      <c r="BJ1180" s="73"/>
      <c r="BK1180" s="73"/>
      <c r="BL1180" s="73"/>
      <c r="BM1180" s="73"/>
      <c r="BN1180" s="73"/>
      <c r="BO1180" s="73"/>
      <c r="BP1180" s="73"/>
      <c r="BQ1180" s="73"/>
      <c r="BR1180" s="73"/>
      <c r="BS1180" s="73"/>
      <c r="BT1180" s="73"/>
      <c r="BU1180" s="73"/>
      <c r="BV1180" s="73"/>
      <c r="BW1180" s="73"/>
      <c r="BX1180" s="73"/>
      <c r="BY1180" s="73"/>
      <c r="BZ1180" s="73"/>
      <c r="CA1180" s="73"/>
      <c r="CB1180" s="73"/>
      <c r="CC1180" s="73"/>
      <c r="CD1180" s="73"/>
      <c r="CE1180" s="73"/>
      <c r="CF1180" s="73"/>
      <c r="CG1180" s="73"/>
      <c r="CH1180" s="73"/>
    </row>
    <row r="1181">
      <c r="A1181" s="80"/>
      <c r="B1181" s="80"/>
      <c r="C1181" s="80"/>
      <c r="D1181" s="80"/>
      <c r="E1181" s="124"/>
      <c r="F1181" s="80"/>
      <c r="G1181" s="80"/>
      <c r="H1181" s="80"/>
      <c r="I1181" s="80"/>
      <c r="J1181" s="109"/>
      <c r="K1181" s="109"/>
      <c r="L1181" s="109"/>
      <c r="M1181" s="109"/>
      <c r="N1181" s="109"/>
      <c r="O1181" s="109"/>
      <c r="P1181" s="109"/>
      <c r="Q1181" s="109"/>
      <c r="R1181" s="109"/>
      <c r="S1181" s="109"/>
      <c r="T1181" s="109"/>
      <c r="U1181" s="109"/>
      <c r="V1181" s="109"/>
      <c r="W1181" s="109"/>
      <c r="X1181" s="109"/>
      <c r="Y1181" s="109"/>
      <c r="Z1181" s="109"/>
      <c r="AA1181" s="109"/>
      <c r="AB1181" s="109"/>
      <c r="AC1181" s="109"/>
      <c r="AD1181" s="109"/>
      <c r="AE1181" s="109"/>
      <c r="AF1181" s="109"/>
      <c r="AG1181" s="109"/>
      <c r="AH1181" s="109"/>
      <c r="AI1181" s="109"/>
      <c r="AJ1181" s="115"/>
      <c r="AK1181" s="80"/>
      <c r="AL1181" s="80"/>
      <c r="AM1181" s="80"/>
      <c r="AN1181" s="80"/>
      <c r="AO1181" s="80"/>
      <c r="AP1181" s="80"/>
      <c r="AQ1181" s="80"/>
      <c r="AR1181" s="73"/>
      <c r="AS1181" s="73"/>
      <c r="AT1181" s="73"/>
      <c r="AU1181" s="73"/>
      <c r="AV1181" s="73"/>
      <c r="AW1181" s="73"/>
      <c r="AX1181" s="73"/>
      <c r="AY1181" s="73"/>
      <c r="AZ1181" s="73"/>
      <c r="BA1181" s="73"/>
      <c r="BB1181" s="73"/>
      <c r="BC1181" s="73"/>
      <c r="BD1181" s="73"/>
      <c r="BE1181" s="73"/>
      <c r="BF1181" s="73"/>
      <c r="BG1181" s="73"/>
      <c r="BH1181" s="73"/>
      <c r="BI1181" s="73"/>
      <c r="BJ1181" s="73"/>
      <c r="BK1181" s="73"/>
      <c r="BL1181" s="73"/>
      <c r="BM1181" s="73"/>
      <c r="BN1181" s="73"/>
      <c r="BO1181" s="73"/>
      <c r="BP1181" s="73"/>
      <c r="BQ1181" s="73"/>
      <c r="BR1181" s="73"/>
      <c r="BS1181" s="73"/>
      <c r="BT1181" s="73"/>
      <c r="BU1181" s="73"/>
      <c r="BV1181" s="73"/>
      <c r="BW1181" s="73"/>
      <c r="BX1181" s="73"/>
      <c r="BY1181" s="73"/>
      <c r="BZ1181" s="73"/>
      <c r="CA1181" s="73"/>
      <c r="CB1181" s="73"/>
      <c r="CC1181" s="73"/>
      <c r="CD1181" s="73"/>
      <c r="CE1181" s="73"/>
      <c r="CF1181" s="73"/>
      <c r="CG1181" s="73"/>
      <c r="CH1181" s="73"/>
    </row>
    <row r="1182">
      <c r="A1182" s="80"/>
      <c r="B1182" s="80"/>
      <c r="C1182" s="80"/>
      <c r="D1182" s="80"/>
      <c r="E1182" s="124"/>
      <c r="F1182" s="80"/>
      <c r="G1182" s="80"/>
      <c r="H1182" s="80"/>
      <c r="I1182" s="80"/>
      <c r="J1182" s="109"/>
      <c r="K1182" s="109"/>
      <c r="L1182" s="109"/>
      <c r="M1182" s="109"/>
      <c r="N1182" s="109"/>
      <c r="O1182" s="109"/>
      <c r="P1182" s="109"/>
      <c r="Q1182" s="109"/>
      <c r="R1182" s="109"/>
      <c r="S1182" s="109"/>
      <c r="T1182" s="109"/>
      <c r="U1182" s="109"/>
      <c r="V1182" s="109"/>
      <c r="W1182" s="109"/>
      <c r="X1182" s="109"/>
      <c r="Y1182" s="109"/>
      <c r="Z1182" s="109"/>
      <c r="AA1182" s="109"/>
      <c r="AB1182" s="109"/>
      <c r="AC1182" s="109"/>
      <c r="AD1182" s="109"/>
      <c r="AE1182" s="109"/>
      <c r="AF1182" s="109"/>
      <c r="AG1182" s="109"/>
      <c r="AH1182" s="109"/>
      <c r="AI1182" s="109"/>
      <c r="AJ1182" s="115"/>
      <c r="AK1182" s="80"/>
      <c r="AL1182" s="80"/>
      <c r="AM1182" s="80"/>
      <c r="AN1182" s="80"/>
      <c r="AO1182" s="80"/>
      <c r="AP1182" s="80"/>
      <c r="AQ1182" s="80"/>
      <c r="AR1182" s="73"/>
      <c r="AS1182" s="73"/>
      <c r="AT1182" s="73"/>
      <c r="AU1182" s="73"/>
      <c r="AV1182" s="73"/>
      <c r="AW1182" s="73"/>
      <c r="AX1182" s="73"/>
      <c r="AY1182" s="73"/>
      <c r="AZ1182" s="73"/>
      <c r="BA1182" s="73"/>
      <c r="BB1182" s="73"/>
      <c r="BC1182" s="73"/>
      <c r="BD1182" s="73"/>
      <c r="BE1182" s="73"/>
      <c r="BF1182" s="73"/>
      <c r="BG1182" s="73"/>
      <c r="BH1182" s="73"/>
      <c r="BI1182" s="73"/>
      <c r="BJ1182" s="73"/>
      <c r="BK1182" s="73"/>
      <c r="BL1182" s="73"/>
      <c r="BM1182" s="73"/>
      <c r="BN1182" s="73"/>
      <c r="BO1182" s="73"/>
      <c r="BP1182" s="73"/>
      <c r="BQ1182" s="73"/>
      <c r="BR1182" s="73"/>
      <c r="BS1182" s="73"/>
      <c r="BT1182" s="73"/>
      <c r="BU1182" s="73"/>
      <c r="BV1182" s="73"/>
      <c r="BW1182" s="73"/>
      <c r="BX1182" s="73"/>
      <c r="BY1182" s="73"/>
      <c r="BZ1182" s="73"/>
      <c r="CA1182" s="73"/>
      <c r="CB1182" s="73"/>
      <c r="CC1182" s="73"/>
      <c r="CD1182" s="73"/>
      <c r="CE1182" s="73"/>
      <c r="CF1182" s="73"/>
      <c r="CG1182" s="73"/>
      <c r="CH1182" s="73"/>
    </row>
    <row r="1183">
      <c r="A1183" s="80"/>
      <c r="B1183" s="80"/>
      <c r="C1183" s="80"/>
      <c r="D1183" s="80"/>
      <c r="E1183" s="124"/>
      <c r="F1183" s="80"/>
      <c r="G1183" s="80"/>
      <c r="H1183" s="80"/>
      <c r="I1183" s="80"/>
      <c r="J1183" s="109"/>
      <c r="K1183" s="109"/>
      <c r="L1183" s="109"/>
      <c r="M1183" s="109"/>
      <c r="N1183" s="109"/>
      <c r="O1183" s="109"/>
      <c r="P1183" s="109"/>
      <c r="Q1183" s="109"/>
      <c r="R1183" s="109"/>
      <c r="S1183" s="109"/>
      <c r="T1183" s="109"/>
      <c r="U1183" s="109"/>
      <c r="V1183" s="109"/>
      <c r="W1183" s="109"/>
      <c r="X1183" s="109"/>
      <c r="Y1183" s="109"/>
      <c r="Z1183" s="109"/>
      <c r="AA1183" s="109"/>
      <c r="AB1183" s="109"/>
      <c r="AC1183" s="109"/>
      <c r="AD1183" s="109"/>
      <c r="AE1183" s="109"/>
      <c r="AF1183" s="109"/>
      <c r="AG1183" s="109"/>
      <c r="AH1183" s="109"/>
      <c r="AI1183" s="109"/>
      <c r="AJ1183" s="115"/>
      <c r="AK1183" s="80"/>
      <c r="AL1183" s="80"/>
      <c r="AM1183" s="80"/>
      <c r="AN1183" s="80"/>
      <c r="AO1183" s="80"/>
      <c r="AP1183" s="80"/>
      <c r="AQ1183" s="80"/>
      <c r="AR1183" s="73"/>
      <c r="AS1183" s="73"/>
      <c r="AT1183" s="73"/>
      <c r="AU1183" s="73"/>
      <c r="AV1183" s="73"/>
      <c r="AW1183" s="73"/>
      <c r="AX1183" s="73"/>
      <c r="AY1183" s="73"/>
      <c r="AZ1183" s="73"/>
      <c r="BA1183" s="73"/>
      <c r="BB1183" s="73"/>
      <c r="BC1183" s="73"/>
      <c r="BD1183" s="73"/>
      <c r="BE1183" s="73"/>
      <c r="BF1183" s="73"/>
      <c r="BG1183" s="73"/>
      <c r="BH1183" s="73"/>
      <c r="BI1183" s="73"/>
      <c r="BJ1183" s="73"/>
      <c r="BK1183" s="73"/>
      <c r="BL1183" s="73"/>
      <c r="BM1183" s="73"/>
      <c r="BN1183" s="73"/>
      <c r="BO1183" s="73"/>
      <c r="BP1183" s="73"/>
      <c r="BQ1183" s="73"/>
      <c r="BR1183" s="73"/>
      <c r="BS1183" s="73"/>
      <c r="BT1183" s="73"/>
      <c r="BU1183" s="73"/>
      <c r="BV1183" s="73"/>
      <c r="BW1183" s="73"/>
      <c r="BX1183" s="73"/>
      <c r="BY1183" s="73"/>
      <c r="BZ1183" s="73"/>
      <c r="CA1183" s="73"/>
      <c r="CB1183" s="73"/>
      <c r="CC1183" s="73"/>
      <c r="CD1183" s="73"/>
      <c r="CE1183" s="73"/>
      <c r="CF1183" s="73"/>
      <c r="CG1183" s="73"/>
      <c r="CH1183" s="73"/>
    </row>
    <row r="1184">
      <c r="A1184" s="80"/>
      <c r="B1184" s="80"/>
      <c r="C1184" s="80"/>
      <c r="D1184" s="80"/>
      <c r="E1184" s="124"/>
      <c r="F1184" s="80"/>
      <c r="G1184" s="80"/>
      <c r="H1184" s="80"/>
      <c r="I1184" s="80"/>
      <c r="J1184" s="109"/>
      <c r="K1184" s="109"/>
      <c r="L1184" s="109"/>
      <c r="M1184" s="109"/>
      <c r="N1184" s="109"/>
      <c r="O1184" s="109"/>
      <c r="P1184" s="109"/>
      <c r="Q1184" s="109"/>
      <c r="R1184" s="109"/>
      <c r="S1184" s="109"/>
      <c r="T1184" s="109"/>
      <c r="U1184" s="109"/>
      <c r="V1184" s="109"/>
      <c r="W1184" s="109"/>
      <c r="X1184" s="109"/>
      <c r="Y1184" s="109"/>
      <c r="Z1184" s="109"/>
      <c r="AA1184" s="109"/>
      <c r="AB1184" s="109"/>
      <c r="AC1184" s="109"/>
      <c r="AD1184" s="109"/>
      <c r="AE1184" s="109"/>
      <c r="AF1184" s="109"/>
      <c r="AG1184" s="109"/>
      <c r="AH1184" s="109"/>
      <c r="AI1184" s="109"/>
      <c r="AJ1184" s="115"/>
      <c r="AK1184" s="80"/>
      <c r="AL1184" s="80"/>
      <c r="AM1184" s="80"/>
      <c r="AN1184" s="80"/>
      <c r="AO1184" s="80"/>
      <c r="AP1184" s="80"/>
      <c r="AQ1184" s="80"/>
      <c r="AR1184" s="73"/>
      <c r="AS1184" s="73"/>
      <c r="AT1184" s="73"/>
      <c r="AU1184" s="73"/>
      <c r="AV1184" s="73"/>
      <c r="AW1184" s="73"/>
      <c r="AX1184" s="73"/>
      <c r="AY1184" s="73"/>
      <c r="AZ1184" s="73"/>
      <c r="BA1184" s="73"/>
      <c r="BB1184" s="73"/>
      <c r="BC1184" s="73"/>
      <c r="BD1184" s="73"/>
      <c r="BE1184" s="73"/>
      <c r="BF1184" s="73"/>
      <c r="BG1184" s="73"/>
      <c r="BH1184" s="73"/>
      <c r="BI1184" s="73"/>
      <c r="BJ1184" s="73"/>
      <c r="BK1184" s="73"/>
      <c r="BL1184" s="73"/>
      <c r="BM1184" s="73"/>
      <c r="BN1184" s="73"/>
      <c r="BO1184" s="73"/>
      <c r="BP1184" s="73"/>
      <c r="BQ1184" s="73"/>
      <c r="BR1184" s="73"/>
      <c r="BS1184" s="73"/>
      <c r="BT1184" s="73"/>
      <c r="BU1184" s="73"/>
      <c r="BV1184" s="73"/>
      <c r="BW1184" s="73"/>
      <c r="BX1184" s="73"/>
      <c r="BY1184" s="73"/>
      <c r="BZ1184" s="73"/>
      <c r="CA1184" s="73"/>
      <c r="CB1184" s="73"/>
      <c r="CC1184" s="73"/>
      <c r="CD1184" s="73"/>
      <c r="CE1184" s="73"/>
      <c r="CF1184" s="73"/>
      <c r="CG1184" s="73"/>
      <c r="CH1184" s="73"/>
    </row>
    <row r="1185">
      <c r="A1185" s="80"/>
      <c r="B1185" s="80"/>
      <c r="C1185" s="80"/>
      <c r="D1185" s="80"/>
      <c r="E1185" s="124"/>
      <c r="F1185" s="80"/>
      <c r="G1185" s="80"/>
      <c r="H1185" s="80"/>
      <c r="I1185" s="80"/>
      <c r="J1185" s="109"/>
      <c r="K1185" s="109"/>
      <c r="L1185" s="109"/>
      <c r="M1185" s="109"/>
      <c r="N1185" s="109"/>
      <c r="O1185" s="109"/>
      <c r="P1185" s="109"/>
      <c r="Q1185" s="109"/>
      <c r="R1185" s="109"/>
      <c r="S1185" s="109"/>
      <c r="T1185" s="109"/>
      <c r="U1185" s="109"/>
      <c r="V1185" s="109"/>
      <c r="W1185" s="109"/>
      <c r="X1185" s="109"/>
      <c r="Y1185" s="109"/>
      <c r="Z1185" s="109"/>
      <c r="AA1185" s="109"/>
      <c r="AB1185" s="109"/>
      <c r="AC1185" s="109"/>
      <c r="AD1185" s="109"/>
      <c r="AE1185" s="109"/>
      <c r="AF1185" s="109"/>
      <c r="AG1185" s="109"/>
      <c r="AH1185" s="109"/>
      <c r="AI1185" s="109"/>
      <c r="AJ1185" s="115"/>
      <c r="AK1185" s="80"/>
      <c r="AL1185" s="80"/>
      <c r="AM1185" s="80"/>
      <c r="AN1185" s="80"/>
      <c r="AO1185" s="80"/>
      <c r="AP1185" s="80"/>
      <c r="AQ1185" s="80"/>
      <c r="AR1185" s="73"/>
      <c r="AS1185" s="73"/>
      <c r="AT1185" s="73"/>
      <c r="AU1185" s="73"/>
      <c r="AV1185" s="73"/>
      <c r="AW1185" s="73"/>
      <c r="AX1185" s="73"/>
      <c r="AY1185" s="73"/>
      <c r="AZ1185" s="73"/>
      <c r="BA1185" s="73"/>
      <c r="BB1185" s="73"/>
      <c r="BC1185" s="73"/>
      <c r="BD1185" s="73"/>
      <c r="BE1185" s="73"/>
      <c r="BF1185" s="73"/>
      <c r="BG1185" s="73"/>
      <c r="BH1185" s="73"/>
      <c r="BI1185" s="73"/>
      <c r="BJ1185" s="73"/>
      <c r="BK1185" s="73"/>
      <c r="BL1185" s="73"/>
      <c r="BM1185" s="73"/>
      <c r="BN1185" s="73"/>
      <c r="BO1185" s="73"/>
      <c r="BP1185" s="73"/>
      <c r="BQ1185" s="73"/>
      <c r="BR1185" s="73"/>
      <c r="BS1185" s="73"/>
      <c r="BT1185" s="73"/>
      <c r="BU1185" s="73"/>
      <c r="BV1185" s="73"/>
      <c r="BW1185" s="73"/>
      <c r="BX1185" s="73"/>
      <c r="BY1185" s="73"/>
      <c r="BZ1185" s="73"/>
      <c r="CA1185" s="73"/>
      <c r="CB1185" s="73"/>
      <c r="CC1185" s="73"/>
      <c r="CD1185" s="73"/>
      <c r="CE1185" s="73"/>
      <c r="CF1185" s="73"/>
      <c r="CG1185" s="73"/>
      <c r="CH1185" s="73"/>
    </row>
    <row r="1186">
      <c r="A1186" s="80"/>
      <c r="B1186" s="80"/>
      <c r="C1186" s="80"/>
      <c r="D1186" s="80"/>
      <c r="E1186" s="124"/>
      <c r="F1186" s="80"/>
      <c r="G1186" s="80"/>
      <c r="H1186" s="80"/>
      <c r="I1186" s="80"/>
      <c r="J1186" s="109"/>
      <c r="K1186" s="109"/>
      <c r="L1186" s="109"/>
      <c r="M1186" s="109"/>
      <c r="N1186" s="109"/>
      <c r="O1186" s="109"/>
      <c r="P1186" s="109"/>
      <c r="Q1186" s="109"/>
      <c r="R1186" s="109"/>
      <c r="S1186" s="109"/>
      <c r="T1186" s="109"/>
      <c r="U1186" s="109"/>
      <c r="V1186" s="109"/>
      <c r="W1186" s="109"/>
      <c r="X1186" s="109"/>
      <c r="Y1186" s="109"/>
      <c r="Z1186" s="109"/>
      <c r="AA1186" s="109"/>
      <c r="AB1186" s="109"/>
      <c r="AC1186" s="109"/>
      <c r="AD1186" s="109"/>
      <c r="AE1186" s="109"/>
      <c r="AF1186" s="109"/>
      <c r="AG1186" s="109"/>
      <c r="AH1186" s="109"/>
      <c r="AI1186" s="109"/>
      <c r="AJ1186" s="115"/>
      <c r="AK1186" s="80"/>
      <c r="AL1186" s="80"/>
      <c r="AM1186" s="80"/>
      <c r="AN1186" s="80"/>
      <c r="AO1186" s="80"/>
      <c r="AP1186" s="80"/>
      <c r="AQ1186" s="80"/>
      <c r="AR1186" s="73"/>
      <c r="AS1186" s="73"/>
      <c r="AT1186" s="73"/>
      <c r="AU1186" s="73"/>
      <c r="AV1186" s="73"/>
      <c r="AW1186" s="73"/>
      <c r="AX1186" s="73"/>
      <c r="AY1186" s="73"/>
      <c r="AZ1186" s="73"/>
      <c r="BA1186" s="73"/>
      <c r="BB1186" s="73"/>
      <c r="BC1186" s="73"/>
      <c r="BD1186" s="73"/>
      <c r="BE1186" s="73"/>
      <c r="BF1186" s="73"/>
      <c r="BG1186" s="73"/>
      <c r="BH1186" s="73"/>
      <c r="BI1186" s="73"/>
      <c r="BJ1186" s="73"/>
      <c r="BK1186" s="73"/>
      <c r="BL1186" s="73"/>
      <c r="BM1186" s="73"/>
      <c r="BN1186" s="73"/>
      <c r="BO1186" s="73"/>
      <c r="BP1186" s="73"/>
      <c r="BQ1186" s="73"/>
      <c r="BR1186" s="73"/>
      <c r="BS1186" s="73"/>
      <c r="BT1186" s="73"/>
      <c r="BU1186" s="73"/>
      <c r="BV1186" s="73"/>
      <c r="BW1186" s="73"/>
      <c r="BX1186" s="73"/>
      <c r="BY1186" s="73"/>
      <c r="BZ1186" s="73"/>
      <c r="CA1186" s="73"/>
      <c r="CB1186" s="73"/>
      <c r="CC1186" s="73"/>
      <c r="CD1186" s="73"/>
      <c r="CE1186" s="73"/>
      <c r="CF1186" s="73"/>
      <c r="CG1186" s="73"/>
      <c r="CH1186" s="73"/>
    </row>
    <row r="1187">
      <c r="A1187" s="80"/>
      <c r="B1187" s="80"/>
      <c r="C1187" s="80"/>
      <c r="D1187" s="80"/>
      <c r="E1187" s="124"/>
      <c r="F1187" s="80"/>
      <c r="G1187" s="80"/>
      <c r="H1187" s="80"/>
      <c r="I1187" s="80"/>
      <c r="J1187" s="109"/>
      <c r="K1187" s="109"/>
      <c r="L1187" s="109"/>
      <c r="M1187" s="109"/>
      <c r="N1187" s="109"/>
      <c r="O1187" s="109"/>
      <c r="P1187" s="109"/>
      <c r="Q1187" s="109"/>
      <c r="R1187" s="109"/>
      <c r="S1187" s="109"/>
      <c r="T1187" s="109"/>
      <c r="U1187" s="109"/>
      <c r="V1187" s="109"/>
      <c r="W1187" s="109"/>
      <c r="X1187" s="109"/>
      <c r="Y1187" s="109"/>
      <c r="Z1187" s="109"/>
      <c r="AA1187" s="109"/>
      <c r="AB1187" s="109"/>
      <c r="AC1187" s="109"/>
      <c r="AD1187" s="109"/>
      <c r="AE1187" s="109"/>
      <c r="AF1187" s="109"/>
      <c r="AG1187" s="109"/>
      <c r="AH1187" s="109"/>
      <c r="AI1187" s="109"/>
      <c r="AJ1187" s="115"/>
      <c r="AK1187" s="80"/>
      <c r="AL1187" s="80"/>
      <c r="AM1187" s="80"/>
      <c r="AN1187" s="80"/>
      <c r="AO1187" s="80"/>
      <c r="AP1187" s="80"/>
      <c r="AQ1187" s="80"/>
      <c r="AR1187" s="73"/>
      <c r="AS1187" s="73"/>
      <c r="AT1187" s="73"/>
      <c r="AU1187" s="73"/>
      <c r="AV1187" s="73"/>
      <c r="AW1187" s="73"/>
      <c r="AX1187" s="73"/>
      <c r="AY1187" s="73"/>
      <c r="AZ1187" s="73"/>
      <c r="BA1187" s="73"/>
      <c r="BB1187" s="73"/>
      <c r="BC1187" s="73"/>
      <c r="BD1187" s="73"/>
      <c r="BE1187" s="73"/>
      <c r="BF1187" s="73"/>
      <c r="BG1187" s="73"/>
      <c r="BH1187" s="73"/>
      <c r="BI1187" s="73"/>
      <c r="BJ1187" s="73"/>
      <c r="BK1187" s="73"/>
      <c r="BL1187" s="73"/>
      <c r="BM1187" s="73"/>
      <c r="BN1187" s="73"/>
      <c r="BO1187" s="73"/>
      <c r="BP1187" s="73"/>
      <c r="BQ1187" s="73"/>
      <c r="BR1187" s="73"/>
      <c r="BS1187" s="73"/>
      <c r="BT1187" s="73"/>
      <c r="BU1187" s="73"/>
      <c r="BV1187" s="73"/>
      <c r="BW1187" s="73"/>
      <c r="BX1187" s="73"/>
      <c r="BY1187" s="73"/>
      <c r="BZ1187" s="73"/>
      <c r="CA1187" s="73"/>
      <c r="CB1187" s="73"/>
      <c r="CC1187" s="73"/>
      <c r="CD1187" s="73"/>
      <c r="CE1187" s="73"/>
      <c r="CF1187" s="73"/>
      <c r="CG1187" s="73"/>
      <c r="CH1187" s="73"/>
    </row>
    <row r="1188">
      <c r="A1188" s="80"/>
      <c r="B1188" s="80"/>
      <c r="C1188" s="80"/>
      <c r="D1188" s="80"/>
      <c r="E1188" s="124"/>
      <c r="F1188" s="80"/>
      <c r="G1188" s="80"/>
      <c r="H1188" s="80"/>
      <c r="I1188" s="80"/>
      <c r="J1188" s="109"/>
      <c r="K1188" s="109"/>
      <c r="L1188" s="109"/>
      <c r="M1188" s="109"/>
      <c r="N1188" s="109"/>
      <c r="O1188" s="109"/>
      <c r="P1188" s="109"/>
      <c r="Q1188" s="109"/>
      <c r="R1188" s="109"/>
      <c r="S1188" s="109"/>
      <c r="T1188" s="109"/>
      <c r="U1188" s="109"/>
      <c r="V1188" s="109"/>
      <c r="W1188" s="109"/>
      <c r="X1188" s="109"/>
      <c r="Y1188" s="109"/>
      <c r="Z1188" s="109"/>
      <c r="AA1188" s="109"/>
      <c r="AB1188" s="109"/>
      <c r="AC1188" s="109"/>
      <c r="AD1188" s="109"/>
      <c r="AE1188" s="109"/>
      <c r="AF1188" s="109"/>
      <c r="AG1188" s="109"/>
      <c r="AH1188" s="109"/>
      <c r="AI1188" s="109"/>
      <c r="AJ1188" s="115"/>
      <c r="AK1188" s="80"/>
      <c r="AL1188" s="80"/>
      <c r="AM1188" s="80"/>
      <c r="AN1188" s="80"/>
      <c r="AO1188" s="80"/>
      <c r="AP1188" s="80"/>
      <c r="AQ1188" s="80"/>
      <c r="AR1188" s="73"/>
      <c r="AS1188" s="73"/>
      <c r="AT1188" s="73"/>
      <c r="AU1188" s="73"/>
      <c r="AV1188" s="73"/>
      <c r="AW1188" s="73"/>
      <c r="AX1188" s="73"/>
      <c r="AY1188" s="73"/>
      <c r="AZ1188" s="73"/>
      <c r="BA1188" s="73"/>
      <c r="BB1188" s="73"/>
      <c r="BC1188" s="73"/>
      <c r="BD1188" s="73"/>
      <c r="BE1188" s="73"/>
      <c r="BF1188" s="73"/>
      <c r="BG1188" s="73"/>
      <c r="BH1188" s="73"/>
      <c r="BI1188" s="73"/>
      <c r="BJ1188" s="73"/>
      <c r="BK1188" s="73"/>
      <c r="BL1188" s="73"/>
      <c r="BM1188" s="73"/>
      <c r="BN1188" s="73"/>
      <c r="BO1188" s="73"/>
      <c r="BP1188" s="73"/>
      <c r="BQ1188" s="73"/>
      <c r="BR1188" s="73"/>
      <c r="BS1188" s="73"/>
      <c r="BT1188" s="73"/>
      <c r="BU1188" s="73"/>
      <c r="BV1188" s="73"/>
      <c r="BW1188" s="73"/>
      <c r="BX1188" s="73"/>
      <c r="BY1188" s="73"/>
      <c r="BZ1188" s="73"/>
      <c r="CA1188" s="73"/>
      <c r="CB1188" s="73"/>
      <c r="CC1188" s="73"/>
      <c r="CD1188" s="73"/>
      <c r="CE1188" s="73"/>
      <c r="CF1188" s="73"/>
      <c r="CG1188" s="73"/>
      <c r="CH1188" s="73"/>
    </row>
    <row r="1189">
      <c r="A1189" s="80"/>
      <c r="B1189" s="80"/>
      <c r="C1189" s="80"/>
      <c r="D1189" s="80"/>
      <c r="E1189" s="124"/>
      <c r="F1189" s="80"/>
      <c r="G1189" s="80"/>
      <c r="H1189" s="80"/>
      <c r="I1189" s="80"/>
      <c r="J1189" s="109"/>
      <c r="K1189" s="109"/>
      <c r="L1189" s="109"/>
      <c r="M1189" s="109"/>
      <c r="N1189" s="109"/>
      <c r="O1189" s="109"/>
      <c r="P1189" s="109"/>
      <c r="Q1189" s="109"/>
      <c r="R1189" s="109"/>
      <c r="S1189" s="109"/>
      <c r="T1189" s="109"/>
      <c r="U1189" s="109"/>
      <c r="V1189" s="109"/>
      <c r="W1189" s="109"/>
      <c r="X1189" s="109"/>
      <c r="Y1189" s="109"/>
      <c r="Z1189" s="109"/>
      <c r="AA1189" s="109"/>
      <c r="AB1189" s="109"/>
      <c r="AC1189" s="109"/>
      <c r="AD1189" s="109"/>
      <c r="AE1189" s="109"/>
      <c r="AF1189" s="109"/>
      <c r="AG1189" s="109"/>
      <c r="AH1189" s="109"/>
      <c r="AI1189" s="109"/>
      <c r="AJ1189" s="115"/>
      <c r="AK1189" s="80"/>
      <c r="AL1189" s="80"/>
      <c r="AM1189" s="80"/>
      <c r="AN1189" s="80"/>
      <c r="AO1189" s="80"/>
      <c r="AP1189" s="80"/>
      <c r="AQ1189" s="80"/>
      <c r="AR1189" s="73"/>
      <c r="AS1189" s="73"/>
      <c r="AT1189" s="73"/>
      <c r="AU1189" s="73"/>
      <c r="AV1189" s="73"/>
      <c r="AW1189" s="73"/>
      <c r="AX1189" s="73"/>
      <c r="AY1189" s="73"/>
      <c r="AZ1189" s="73"/>
      <c r="BA1189" s="73"/>
      <c r="BB1189" s="73"/>
      <c r="BC1189" s="73"/>
      <c r="BD1189" s="73"/>
      <c r="BE1189" s="73"/>
      <c r="BF1189" s="73"/>
      <c r="BG1189" s="73"/>
      <c r="BH1189" s="73"/>
      <c r="BI1189" s="73"/>
      <c r="BJ1189" s="73"/>
      <c r="BK1189" s="73"/>
      <c r="BL1189" s="73"/>
      <c r="BM1189" s="73"/>
      <c r="BN1189" s="73"/>
      <c r="BO1189" s="73"/>
      <c r="BP1189" s="73"/>
      <c r="BQ1189" s="73"/>
      <c r="BR1189" s="73"/>
      <c r="BS1189" s="73"/>
      <c r="BT1189" s="73"/>
      <c r="BU1189" s="73"/>
      <c r="BV1189" s="73"/>
      <c r="BW1189" s="73"/>
      <c r="BX1189" s="73"/>
      <c r="BY1189" s="73"/>
      <c r="BZ1189" s="73"/>
      <c r="CA1189" s="73"/>
      <c r="CB1189" s="73"/>
      <c r="CC1189" s="73"/>
      <c r="CD1189" s="73"/>
      <c r="CE1189" s="73"/>
      <c r="CF1189" s="73"/>
      <c r="CG1189" s="73"/>
      <c r="CH1189" s="73"/>
    </row>
    <row r="1190">
      <c r="A1190" s="80"/>
      <c r="B1190" s="80"/>
      <c r="C1190" s="80"/>
      <c r="D1190" s="80"/>
      <c r="E1190" s="124"/>
      <c r="F1190" s="80"/>
      <c r="G1190" s="80"/>
      <c r="H1190" s="80"/>
      <c r="I1190" s="80"/>
      <c r="J1190" s="109"/>
      <c r="K1190" s="109"/>
      <c r="L1190" s="109"/>
      <c r="M1190" s="109"/>
      <c r="N1190" s="109"/>
      <c r="O1190" s="109"/>
      <c r="P1190" s="109"/>
      <c r="Q1190" s="109"/>
      <c r="R1190" s="109"/>
      <c r="S1190" s="109"/>
      <c r="T1190" s="109"/>
      <c r="U1190" s="109"/>
      <c r="V1190" s="109"/>
      <c r="W1190" s="109"/>
      <c r="X1190" s="109"/>
      <c r="Y1190" s="109"/>
      <c r="Z1190" s="109"/>
      <c r="AA1190" s="109"/>
      <c r="AB1190" s="109"/>
      <c r="AC1190" s="109"/>
      <c r="AD1190" s="109"/>
      <c r="AE1190" s="109"/>
      <c r="AF1190" s="109"/>
      <c r="AG1190" s="109"/>
      <c r="AH1190" s="109"/>
      <c r="AI1190" s="109"/>
      <c r="AJ1190" s="115"/>
      <c r="AK1190" s="80"/>
      <c r="AL1190" s="80"/>
      <c r="AM1190" s="80"/>
      <c r="AN1190" s="80"/>
      <c r="AO1190" s="80"/>
      <c r="AP1190" s="80"/>
      <c r="AQ1190" s="80"/>
      <c r="AR1190" s="73"/>
      <c r="AS1190" s="73"/>
      <c r="AT1190" s="73"/>
      <c r="AU1190" s="73"/>
      <c r="AV1190" s="73"/>
      <c r="AW1190" s="73"/>
      <c r="AX1190" s="73"/>
      <c r="AY1190" s="73"/>
      <c r="AZ1190" s="73"/>
      <c r="BA1190" s="73"/>
      <c r="BB1190" s="73"/>
      <c r="BC1190" s="73"/>
      <c r="BD1190" s="73"/>
      <c r="BE1190" s="73"/>
      <c r="BF1190" s="73"/>
      <c r="BG1190" s="73"/>
      <c r="BH1190" s="73"/>
      <c r="BI1190" s="73"/>
      <c r="BJ1190" s="73"/>
      <c r="BK1190" s="73"/>
      <c r="BL1190" s="73"/>
      <c r="BM1190" s="73"/>
      <c r="BN1190" s="73"/>
      <c r="BO1190" s="73"/>
      <c r="BP1190" s="73"/>
      <c r="BQ1190" s="73"/>
      <c r="BR1190" s="73"/>
      <c r="BS1190" s="73"/>
      <c r="BT1190" s="73"/>
      <c r="BU1190" s="73"/>
      <c r="BV1190" s="73"/>
      <c r="BW1190" s="73"/>
      <c r="BX1190" s="73"/>
      <c r="BY1190" s="73"/>
      <c r="BZ1190" s="73"/>
      <c r="CA1190" s="73"/>
      <c r="CB1190" s="73"/>
      <c r="CC1190" s="73"/>
      <c r="CD1190" s="73"/>
      <c r="CE1190" s="73"/>
      <c r="CF1190" s="73"/>
      <c r="CG1190" s="73"/>
      <c r="CH1190" s="73"/>
    </row>
    <row r="1191">
      <c r="A1191" s="80"/>
      <c r="B1191" s="80"/>
      <c r="C1191" s="80"/>
      <c r="D1191" s="80"/>
      <c r="E1191" s="124"/>
      <c r="F1191" s="80"/>
      <c r="G1191" s="80"/>
      <c r="H1191" s="80"/>
      <c r="I1191" s="80"/>
      <c r="J1191" s="109"/>
      <c r="K1191" s="109"/>
      <c r="L1191" s="109"/>
      <c r="M1191" s="109"/>
      <c r="N1191" s="109"/>
      <c r="O1191" s="109"/>
      <c r="P1191" s="109"/>
      <c r="Q1191" s="109"/>
      <c r="R1191" s="109"/>
      <c r="S1191" s="109"/>
      <c r="T1191" s="109"/>
      <c r="U1191" s="109"/>
      <c r="V1191" s="109"/>
      <c r="W1191" s="109"/>
      <c r="X1191" s="109"/>
      <c r="Y1191" s="109"/>
      <c r="Z1191" s="109"/>
      <c r="AA1191" s="109"/>
      <c r="AB1191" s="109"/>
      <c r="AC1191" s="109"/>
      <c r="AD1191" s="109"/>
      <c r="AE1191" s="109"/>
      <c r="AF1191" s="109"/>
      <c r="AG1191" s="109"/>
      <c r="AH1191" s="109"/>
      <c r="AI1191" s="109"/>
      <c r="AJ1191" s="115"/>
      <c r="AK1191" s="80"/>
      <c r="AL1191" s="80"/>
      <c r="AM1191" s="80"/>
      <c r="AN1191" s="80"/>
      <c r="AO1191" s="80"/>
      <c r="AP1191" s="80"/>
      <c r="AQ1191" s="80"/>
      <c r="AR1191" s="73"/>
      <c r="AS1191" s="73"/>
      <c r="AT1191" s="73"/>
      <c r="AU1191" s="73"/>
      <c r="AV1191" s="73"/>
      <c r="AW1191" s="73"/>
      <c r="AX1191" s="73"/>
      <c r="AY1191" s="73"/>
      <c r="AZ1191" s="73"/>
      <c r="BA1191" s="73"/>
      <c r="BB1191" s="73"/>
      <c r="BC1191" s="73"/>
      <c r="BD1191" s="73"/>
      <c r="BE1191" s="73"/>
      <c r="BF1191" s="73"/>
      <c r="BG1191" s="73"/>
      <c r="BH1191" s="73"/>
      <c r="BI1191" s="73"/>
      <c r="BJ1191" s="73"/>
      <c r="BK1191" s="73"/>
      <c r="BL1191" s="73"/>
      <c r="BM1191" s="73"/>
      <c r="BN1191" s="73"/>
      <c r="BO1191" s="73"/>
      <c r="BP1191" s="73"/>
      <c r="BQ1191" s="73"/>
      <c r="BR1191" s="73"/>
      <c r="BS1191" s="73"/>
      <c r="BT1191" s="73"/>
      <c r="BU1191" s="73"/>
      <c r="BV1191" s="73"/>
      <c r="BW1191" s="73"/>
      <c r="BX1191" s="73"/>
      <c r="BY1191" s="73"/>
      <c r="BZ1191" s="73"/>
      <c r="CA1191" s="73"/>
      <c r="CB1191" s="73"/>
      <c r="CC1191" s="73"/>
      <c r="CD1191" s="73"/>
      <c r="CE1191" s="73"/>
      <c r="CF1191" s="73"/>
      <c r="CG1191" s="73"/>
      <c r="CH1191" s="73"/>
    </row>
    <row r="1192">
      <c r="A1192" s="80"/>
      <c r="B1192" s="80"/>
      <c r="C1192" s="80"/>
      <c r="D1192" s="80"/>
      <c r="E1192" s="124"/>
      <c r="F1192" s="80"/>
      <c r="G1192" s="80"/>
      <c r="H1192" s="80"/>
      <c r="I1192" s="80"/>
      <c r="J1192" s="109"/>
      <c r="K1192" s="109"/>
      <c r="L1192" s="109"/>
      <c r="M1192" s="109"/>
      <c r="N1192" s="109"/>
      <c r="O1192" s="109"/>
      <c r="P1192" s="109"/>
      <c r="Q1192" s="109"/>
      <c r="R1192" s="109"/>
      <c r="S1192" s="109"/>
      <c r="T1192" s="109"/>
      <c r="U1192" s="109"/>
      <c r="V1192" s="109"/>
      <c r="W1192" s="109"/>
      <c r="X1192" s="109"/>
      <c r="Y1192" s="109"/>
      <c r="Z1192" s="109"/>
      <c r="AA1192" s="109"/>
      <c r="AB1192" s="109"/>
      <c r="AC1192" s="109"/>
      <c r="AD1192" s="109"/>
      <c r="AE1192" s="109"/>
      <c r="AF1192" s="109"/>
      <c r="AG1192" s="109"/>
      <c r="AH1192" s="109"/>
      <c r="AI1192" s="109"/>
      <c r="AJ1192" s="115"/>
      <c r="AK1192" s="80"/>
      <c r="AL1192" s="80"/>
      <c r="AM1192" s="80"/>
      <c r="AN1192" s="80"/>
      <c r="AO1192" s="80"/>
      <c r="AP1192" s="80"/>
      <c r="AQ1192" s="80"/>
      <c r="AR1192" s="73"/>
      <c r="AS1192" s="73"/>
      <c r="AT1192" s="73"/>
      <c r="AU1192" s="73"/>
      <c r="AV1192" s="73"/>
      <c r="AW1192" s="73"/>
      <c r="AX1192" s="73"/>
      <c r="AY1192" s="73"/>
      <c r="AZ1192" s="73"/>
      <c r="BA1192" s="73"/>
      <c r="BB1192" s="73"/>
      <c r="BC1192" s="73"/>
      <c r="BD1192" s="73"/>
      <c r="BE1192" s="73"/>
      <c r="BF1192" s="73"/>
      <c r="BG1192" s="73"/>
      <c r="BH1192" s="73"/>
      <c r="BI1192" s="73"/>
      <c r="BJ1192" s="73"/>
      <c r="BK1192" s="73"/>
      <c r="BL1192" s="73"/>
      <c r="BM1192" s="73"/>
      <c r="BN1192" s="73"/>
      <c r="BO1192" s="73"/>
      <c r="BP1192" s="73"/>
      <c r="BQ1192" s="73"/>
      <c r="BR1192" s="73"/>
      <c r="BS1192" s="73"/>
      <c r="BT1192" s="73"/>
      <c r="BU1192" s="73"/>
      <c r="BV1192" s="73"/>
      <c r="BW1192" s="73"/>
      <c r="BX1192" s="73"/>
      <c r="BY1192" s="73"/>
      <c r="BZ1192" s="73"/>
      <c r="CA1192" s="73"/>
      <c r="CB1192" s="73"/>
      <c r="CC1192" s="73"/>
      <c r="CD1192" s="73"/>
      <c r="CE1192" s="73"/>
      <c r="CF1192" s="73"/>
      <c r="CG1192" s="73"/>
      <c r="CH1192" s="73"/>
    </row>
    <row r="1193">
      <c r="A1193" s="80"/>
      <c r="B1193" s="80"/>
      <c r="C1193" s="80"/>
      <c r="D1193" s="80"/>
      <c r="E1193" s="124"/>
      <c r="F1193" s="80"/>
      <c r="G1193" s="80"/>
      <c r="H1193" s="80"/>
      <c r="I1193" s="80"/>
      <c r="J1193" s="109"/>
      <c r="K1193" s="109"/>
      <c r="L1193" s="109"/>
      <c r="M1193" s="109"/>
      <c r="N1193" s="109"/>
      <c r="O1193" s="109"/>
      <c r="P1193" s="109"/>
      <c r="Q1193" s="109"/>
      <c r="R1193" s="109"/>
      <c r="S1193" s="109"/>
      <c r="T1193" s="109"/>
      <c r="U1193" s="109"/>
      <c r="V1193" s="109"/>
      <c r="W1193" s="109"/>
      <c r="X1193" s="109"/>
      <c r="Y1193" s="109"/>
      <c r="Z1193" s="109"/>
      <c r="AA1193" s="109"/>
      <c r="AB1193" s="109"/>
      <c r="AC1193" s="109"/>
      <c r="AD1193" s="109"/>
      <c r="AE1193" s="109"/>
      <c r="AF1193" s="109"/>
      <c r="AG1193" s="109"/>
      <c r="AH1193" s="109"/>
      <c r="AI1193" s="109"/>
      <c r="AJ1193" s="115"/>
      <c r="AK1193" s="80"/>
      <c r="AL1193" s="80"/>
      <c r="AM1193" s="80"/>
      <c r="AN1193" s="80"/>
      <c r="AO1193" s="80"/>
      <c r="AP1193" s="80"/>
      <c r="AQ1193" s="80"/>
      <c r="AR1193" s="73"/>
      <c r="AS1193" s="73"/>
      <c r="AT1193" s="73"/>
      <c r="AU1193" s="73"/>
      <c r="AV1193" s="73"/>
      <c r="AW1193" s="73"/>
      <c r="AX1193" s="73"/>
      <c r="AY1193" s="73"/>
      <c r="AZ1193" s="73"/>
      <c r="BA1193" s="73"/>
      <c r="BB1193" s="73"/>
      <c r="BC1193" s="73"/>
      <c r="BD1193" s="73"/>
      <c r="BE1193" s="73"/>
      <c r="BF1193" s="73"/>
      <c r="BG1193" s="73"/>
      <c r="BH1193" s="73"/>
      <c r="BI1193" s="73"/>
      <c r="BJ1193" s="73"/>
      <c r="BK1193" s="73"/>
      <c r="BL1193" s="73"/>
      <c r="BM1193" s="73"/>
      <c r="BN1193" s="73"/>
      <c r="BO1193" s="73"/>
      <c r="BP1193" s="73"/>
      <c r="BQ1193" s="73"/>
      <c r="BR1193" s="73"/>
      <c r="BS1193" s="73"/>
      <c r="BT1193" s="73"/>
      <c r="BU1193" s="73"/>
      <c r="BV1193" s="73"/>
      <c r="BW1193" s="73"/>
      <c r="BX1193" s="73"/>
      <c r="BY1193" s="73"/>
      <c r="BZ1193" s="73"/>
      <c r="CA1193" s="73"/>
      <c r="CB1193" s="73"/>
      <c r="CC1193" s="73"/>
      <c r="CD1193" s="73"/>
      <c r="CE1193" s="73"/>
      <c r="CF1193" s="73"/>
      <c r="CG1193" s="73"/>
      <c r="CH1193" s="73"/>
    </row>
    <row r="1194">
      <c r="A1194" s="80"/>
      <c r="B1194" s="80"/>
      <c r="C1194" s="80"/>
      <c r="D1194" s="80"/>
      <c r="E1194" s="124"/>
      <c r="F1194" s="80"/>
      <c r="G1194" s="80"/>
      <c r="H1194" s="80"/>
      <c r="I1194" s="80"/>
      <c r="J1194" s="109"/>
      <c r="K1194" s="109"/>
      <c r="L1194" s="109"/>
      <c r="M1194" s="109"/>
      <c r="N1194" s="109"/>
      <c r="O1194" s="109"/>
      <c r="P1194" s="109"/>
      <c r="Q1194" s="109"/>
      <c r="R1194" s="109"/>
      <c r="S1194" s="109"/>
      <c r="T1194" s="109"/>
      <c r="U1194" s="109"/>
      <c r="V1194" s="109"/>
      <c r="W1194" s="109"/>
      <c r="X1194" s="109"/>
      <c r="Y1194" s="109"/>
      <c r="Z1194" s="109"/>
      <c r="AA1194" s="109"/>
      <c r="AB1194" s="109"/>
      <c r="AC1194" s="109"/>
      <c r="AD1194" s="109"/>
      <c r="AE1194" s="109"/>
      <c r="AF1194" s="109"/>
      <c r="AG1194" s="109"/>
      <c r="AH1194" s="109"/>
      <c r="AI1194" s="109"/>
      <c r="AJ1194" s="115"/>
      <c r="AK1194" s="80"/>
      <c r="AL1194" s="80"/>
      <c r="AM1194" s="80"/>
      <c r="AN1194" s="80"/>
      <c r="AO1194" s="80"/>
      <c r="AP1194" s="80"/>
      <c r="AQ1194" s="80"/>
      <c r="AR1194" s="73"/>
      <c r="AS1194" s="73"/>
      <c r="AT1194" s="73"/>
      <c r="AU1194" s="73"/>
      <c r="AV1194" s="73"/>
      <c r="AW1194" s="73"/>
      <c r="AX1194" s="73"/>
      <c r="AY1194" s="73"/>
      <c r="AZ1194" s="73"/>
      <c r="BA1194" s="73"/>
      <c r="BB1194" s="73"/>
      <c r="BC1194" s="73"/>
      <c r="BD1194" s="73"/>
      <c r="BE1194" s="73"/>
      <c r="BF1194" s="73"/>
      <c r="BG1194" s="73"/>
      <c r="BH1194" s="73"/>
      <c r="BI1194" s="73"/>
      <c r="BJ1194" s="73"/>
      <c r="BK1194" s="73"/>
      <c r="BL1194" s="73"/>
      <c r="BM1194" s="73"/>
      <c r="BN1194" s="73"/>
      <c r="BO1194" s="73"/>
      <c r="BP1194" s="73"/>
      <c r="BQ1194" s="73"/>
      <c r="BR1194" s="73"/>
      <c r="BS1194" s="73"/>
      <c r="BT1194" s="73"/>
      <c r="BU1194" s="73"/>
      <c r="BV1194" s="73"/>
      <c r="BW1194" s="73"/>
      <c r="BX1194" s="73"/>
      <c r="BY1194" s="73"/>
      <c r="BZ1194" s="73"/>
      <c r="CA1194" s="73"/>
      <c r="CB1194" s="73"/>
      <c r="CC1194" s="73"/>
      <c r="CD1194" s="73"/>
      <c r="CE1194" s="73"/>
      <c r="CF1194" s="73"/>
      <c r="CG1194" s="73"/>
      <c r="CH1194" s="73"/>
    </row>
    <row r="1195">
      <c r="A1195" s="80"/>
      <c r="B1195" s="80"/>
      <c r="C1195" s="80"/>
      <c r="D1195" s="80"/>
      <c r="E1195" s="124"/>
      <c r="F1195" s="80"/>
      <c r="G1195" s="80"/>
      <c r="H1195" s="80"/>
      <c r="I1195" s="80"/>
      <c r="J1195" s="109"/>
      <c r="K1195" s="109"/>
      <c r="L1195" s="109"/>
      <c r="M1195" s="109"/>
      <c r="N1195" s="109"/>
      <c r="O1195" s="109"/>
      <c r="P1195" s="109"/>
      <c r="Q1195" s="109"/>
      <c r="R1195" s="109"/>
      <c r="S1195" s="109"/>
      <c r="T1195" s="109"/>
      <c r="U1195" s="109"/>
      <c r="V1195" s="109"/>
      <c r="W1195" s="109"/>
      <c r="X1195" s="109"/>
      <c r="Y1195" s="109"/>
      <c r="Z1195" s="109"/>
      <c r="AA1195" s="109"/>
      <c r="AB1195" s="109"/>
      <c r="AC1195" s="109"/>
      <c r="AD1195" s="109"/>
      <c r="AE1195" s="109"/>
      <c r="AF1195" s="109"/>
      <c r="AG1195" s="109"/>
      <c r="AH1195" s="109"/>
      <c r="AI1195" s="109"/>
      <c r="AJ1195" s="115"/>
      <c r="AK1195" s="80"/>
      <c r="AL1195" s="80"/>
      <c r="AM1195" s="80"/>
      <c r="AN1195" s="80"/>
      <c r="AO1195" s="80"/>
      <c r="AP1195" s="80"/>
      <c r="AQ1195" s="80"/>
      <c r="AR1195" s="73"/>
      <c r="AS1195" s="73"/>
      <c r="AT1195" s="73"/>
      <c r="AU1195" s="73"/>
      <c r="AV1195" s="73"/>
      <c r="AW1195" s="73"/>
      <c r="AX1195" s="73"/>
      <c r="AY1195" s="73"/>
      <c r="AZ1195" s="73"/>
      <c r="BA1195" s="73"/>
      <c r="BB1195" s="73"/>
      <c r="BC1195" s="73"/>
      <c r="BD1195" s="73"/>
      <c r="BE1195" s="73"/>
      <c r="BF1195" s="73"/>
      <c r="BG1195" s="73"/>
      <c r="BH1195" s="73"/>
      <c r="BI1195" s="73"/>
      <c r="BJ1195" s="73"/>
      <c r="BK1195" s="73"/>
      <c r="BL1195" s="73"/>
      <c r="BM1195" s="73"/>
      <c r="BN1195" s="73"/>
      <c r="BO1195" s="73"/>
      <c r="BP1195" s="73"/>
      <c r="BQ1195" s="73"/>
      <c r="BR1195" s="73"/>
      <c r="BS1195" s="73"/>
      <c r="BT1195" s="73"/>
      <c r="BU1195" s="73"/>
      <c r="BV1195" s="73"/>
      <c r="BW1195" s="73"/>
      <c r="BX1195" s="73"/>
      <c r="BY1195" s="73"/>
      <c r="BZ1195" s="73"/>
      <c r="CA1195" s="73"/>
      <c r="CB1195" s="73"/>
      <c r="CC1195" s="73"/>
      <c r="CD1195" s="73"/>
      <c r="CE1195" s="73"/>
      <c r="CF1195" s="73"/>
      <c r="CG1195" s="73"/>
      <c r="CH1195" s="73"/>
    </row>
    <row r="1196">
      <c r="A1196" s="80"/>
      <c r="B1196" s="80"/>
      <c r="C1196" s="80"/>
      <c r="D1196" s="80"/>
      <c r="E1196" s="124"/>
      <c r="F1196" s="80"/>
      <c r="G1196" s="80"/>
      <c r="H1196" s="80"/>
      <c r="I1196" s="80"/>
      <c r="J1196" s="109"/>
      <c r="K1196" s="109"/>
      <c r="L1196" s="109"/>
      <c r="M1196" s="109"/>
      <c r="N1196" s="109"/>
      <c r="O1196" s="109"/>
      <c r="P1196" s="109"/>
      <c r="Q1196" s="109"/>
      <c r="R1196" s="109"/>
      <c r="S1196" s="109"/>
      <c r="T1196" s="109"/>
      <c r="U1196" s="109"/>
      <c r="V1196" s="109"/>
      <c r="W1196" s="109"/>
      <c r="X1196" s="109"/>
      <c r="Y1196" s="109"/>
      <c r="Z1196" s="109"/>
      <c r="AA1196" s="109"/>
      <c r="AB1196" s="109"/>
      <c r="AC1196" s="109"/>
      <c r="AD1196" s="109"/>
      <c r="AE1196" s="109"/>
      <c r="AF1196" s="109"/>
      <c r="AG1196" s="109"/>
      <c r="AH1196" s="109"/>
      <c r="AI1196" s="109"/>
      <c r="AJ1196" s="115"/>
      <c r="AK1196" s="80"/>
      <c r="AL1196" s="80"/>
      <c r="AM1196" s="80"/>
      <c r="AN1196" s="80"/>
      <c r="AO1196" s="80"/>
      <c r="AP1196" s="80"/>
      <c r="AQ1196" s="80"/>
      <c r="AR1196" s="73"/>
      <c r="AS1196" s="73"/>
      <c r="AT1196" s="73"/>
      <c r="AU1196" s="73"/>
      <c r="AV1196" s="73"/>
      <c r="AW1196" s="73"/>
      <c r="AX1196" s="73"/>
      <c r="AY1196" s="73"/>
      <c r="AZ1196" s="73"/>
      <c r="BA1196" s="73"/>
      <c r="BB1196" s="73"/>
      <c r="BC1196" s="73"/>
      <c r="BD1196" s="73"/>
      <c r="BE1196" s="73"/>
      <c r="BF1196" s="73"/>
      <c r="BG1196" s="73"/>
      <c r="BH1196" s="73"/>
      <c r="BI1196" s="73"/>
      <c r="BJ1196" s="73"/>
      <c r="BK1196" s="73"/>
      <c r="BL1196" s="73"/>
      <c r="BM1196" s="73"/>
      <c r="BN1196" s="73"/>
      <c r="BO1196" s="73"/>
      <c r="BP1196" s="73"/>
      <c r="BQ1196" s="73"/>
      <c r="BR1196" s="73"/>
      <c r="BS1196" s="73"/>
      <c r="BT1196" s="73"/>
      <c r="BU1196" s="73"/>
      <c r="BV1196" s="73"/>
      <c r="BW1196" s="73"/>
      <c r="BX1196" s="73"/>
      <c r="BY1196" s="73"/>
      <c r="BZ1196" s="73"/>
      <c r="CA1196" s="73"/>
      <c r="CB1196" s="73"/>
      <c r="CC1196" s="73"/>
      <c r="CD1196" s="73"/>
      <c r="CE1196" s="73"/>
      <c r="CF1196" s="73"/>
      <c r="CG1196" s="73"/>
      <c r="CH1196" s="73"/>
    </row>
    <row r="1197">
      <c r="A1197" s="80"/>
      <c r="B1197" s="80"/>
      <c r="C1197" s="80"/>
      <c r="D1197" s="80"/>
      <c r="E1197" s="124"/>
      <c r="F1197" s="80"/>
      <c r="G1197" s="80"/>
      <c r="H1197" s="80"/>
      <c r="I1197" s="80"/>
      <c r="J1197" s="109"/>
      <c r="K1197" s="109"/>
      <c r="L1197" s="109"/>
      <c r="M1197" s="109"/>
      <c r="N1197" s="109"/>
      <c r="O1197" s="109"/>
      <c r="P1197" s="109"/>
      <c r="Q1197" s="109"/>
      <c r="R1197" s="109"/>
      <c r="S1197" s="109"/>
      <c r="T1197" s="109"/>
      <c r="U1197" s="109"/>
      <c r="V1197" s="109"/>
      <c r="W1197" s="109"/>
      <c r="X1197" s="109"/>
      <c r="Y1197" s="109"/>
      <c r="Z1197" s="109"/>
      <c r="AA1197" s="109"/>
      <c r="AB1197" s="109"/>
      <c r="AC1197" s="109"/>
      <c r="AD1197" s="109"/>
      <c r="AE1197" s="109"/>
      <c r="AF1197" s="109"/>
      <c r="AG1197" s="109"/>
      <c r="AH1197" s="109"/>
      <c r="AI1197" s="109"/>
      <c r="AJ1197" s="115"/>
      <c r="AK1197" s="80"/>
      <c r="AL1197" s="80"/>
      <c r="AM1197" s="80"/>
      <c r="AN1197" s="80"/>
      <c r="AO1197" s="80"/>
      <c r="AP1197" s="80"/>
      <c r="AQ1197" s="80"/>
      <c r="AR1197" s="73"/>
      <c r="AS1197" s="73"/>
      <c r="AT1197" s="73"/>
      <c r="AU1197" s="73"/>
      <c r="AV1197" s="73"/>
      <c r="AW1197" s="73"/>
      <c r="AX1197" s="73"/>
      <c r="AY1197" s="73"/>
      <c r="AZ1197" s="73"/>
      <c r="BA1197" s="73"/>
      <c r="BB1197" s="73"/>
      <c r="BC1197" s="73"/>
      <c r="BD1197" s="73"/>
      <c r="BE1197" s="73"/>
      <c r="BF1197" s="73"/>
      <c r="BG1197" s="73"/>
      <c r="BH1197" s="73"/>
      <c r="BI1197" s="73"/>
      <c r="BJ1197" s="73"/>
      <c r="BK1197" s="73"/>
      <c r="BL1197" s="73"/>
      <c r="BM1197" s="73"/>
      <c r="BN1197" s="73"/>
      <c r="BO1197" s="73"/>
      <c r="BP1197" s="73"/>
      <c r="BQ1197" s="73"/>
      <c r="BR1197" s="73"/>
      <c r="BS1197" s="73"/>
      <c r="BT1197" s="73"/>
      <c r="BU1197" s="73"/>
      <c r="BV1197" s="73"/>
      <c r="BW1197" s="73"/>
      <c r="BX1197" s="73"/>
      <c r="BY1197" s="73"/>
      <c r="BZ1197" s="73"/>
      <c r="CA1197" s="73"/>
      <c r="CB1197" s="73"/>
      <c r="CC1197" s="73"/>
      <c r="CD1197" s="73"/>
      <c r="CE1197" s="73"/>
      <c r="CF1197" s="73"/>
      <c r="CG1197" s="73"/>
      <c r="CH1197" s="73"/>
    </row>
    <row r="1198">
      <c r="A1198" s="80"/>
      <c r="B1198" s="80"/>
      <c r="C1198" s="80"/>
      <c r="D1198" s="80"/>
      <c r="E1198" s="124"/>
      <c r="F1198" s="80"/>
      <c r="G1198" s="80"/>
      <c r="H1198" s="80"/>
      <c r="I1198" s="80"/>
      <c r="J1198" s="109"/>
      <c r="K1198" s="109"/>
      <c r="L1198" s="109"/>
      <c r="M1198" s="109"/>
      <c r="N1198" s="109"/>
      <c r="O1198" s="109"/>
      <c r="P1198" s="109"/>
      <c r="Q1198" s="109"/>
      <c r="R1198" s="109"/>
      <c r="S1198" s="109"/>
      <c r="T1198" s="109"/>
      <c r="U1198" s="109"/>
      <c r="V1198" s="109"/>
      <c r="W1198" s="109"/>
      <c r="X1198" s="109"/>
      <c r="Y1198" s="109"/>
      <c r="Z1198" s="109"/>
      <c r="AA1198" s="109"/>
      <c r="AB1198" s="109"/>
      <c r="AC1198" s="109"/>
      <c r="AD1198" s="109"/>
      <c r="AE1198" s="109"/>
      <c r="AF1198" s="109"/>
      <c r="AG1198" s="109"/>
      <c r="AH1198" s="109"/>
      <c r="AI1198" s="109"/>
      <c r="AJ1198" s="115"/>
      <c r="AK1198" s="80"/>
      <c r="AL1198" s="80"/>
      <c r="AM1198" s="80"/>
      <c r="AN1198" s="80"/>
      <c r="AO1198" s="80"/>
      <c r="AP1198" s="80"/>
      <c r="AQ1198" s="80"/>
      <c r="AR1198" s="73"/>
      <c r="AS1198" s="73"/>
      <c r="AT1198" s="73"/>
      <c r="AU1198" s="73"/>
      <c r="AV1198" s="73"/>
      <c r="AW1198" s="73"/>
      <c r="AX1198" s="73"/>
      <c r="AY1198" s="73"/>
      <c r="AZ1198" s="73"/>
      <c r="BA1198" s="73"/>
      <c r="BB1198" s="73"/>
      <c r="BC1198" s="73"/>
      <c r="BD1198" s="73"/>
      <c r="BE1198" s="73"/>
      <c r="BF1198" s="73"/>
      <c r="BG1198" s="73"/>
      <c r="BH1198" s="73"/>
      <c r="BI1198" s="73"/>
      <c r="BJ1198" s="73"/>
      <c r="BK1198" s="73"/>
      <c r="BL1198" s="73"/>
      <c r="BM1198" s="73"/>
      <c r="BN1198" s="73"/>
      <c r="BO1198" s="73"/>
      <c r="BP1198" s="73"/>
      <c r="BQ1198" s="73"/>
      <c r="BR1198" s="73"/>
      <c r="BS1198" s="73"/>
      <c r="BT1198" s="73"/>
      <c r="BU1198" s="73"/>
      <c r="BV1198" s="73"/>
      <c r="BW1198" s="73"/>
      <c r="BX1198" s="73"/>
      <c r="BY1198" s="73"/>
      <c r="BZ1198" s="73"/>
      <c r="CA1198" s="73"/>
      <c r="CB1198" s="73"/>
      <c r="CC1198" s="73"/>
      <c r="CD1198" s="73"/>
      <c r="CE1198" s="73"/>
      <c r="CF1198" s="73"/>
      <c r="CG1198" s="73"/>
      <c r="CH1198" s="73"/>
    </row>
    <row r="1199">
      <c r="A1199" s="80"/>
      <c r="B1199" s="80"/>
      <c r="C1199" s="80"/>
      <c r="D1199" s="80"/>
      <c r="E1199" s="124"/>
      <c r="F1199" s="80"/>
      <c r="G1199" s="80"/>
      <c r="H1199" s="80"/>
      <c r="I1199" s="80"/>
      <c r="J1199" s="109"/>
      <c r="K1199" s="109"/>
      <c r="L1199" s="109"/>
      <c r="M1199" s="109"/>
      <c r="N1199" s="109"/>
      <c r="O1199" s="109"/>
      <c r="P1199" s="109"/>
      <c r="Q1199" s="109"/>
      <c r="R1199" s="109"/>
      <c r="S1199" s="109"/>
      <c r="T1199" s="109"/>
      <c r="U1199" s="109"/>
      <c r="V1199" s="109"/>
      <c r="W1199" s="109"/>
      <c r="X1199" s="109"/>
      <c r="Y1199" s="109"/>
      <c r="Z1199" s="109"/>
      <c r="AA1199" s="109"/>
      <c r="AB1199" s="109"/>
      <c r="AC1199" s="109"/>
      <c r="AD1199" s="109"/>
      <c r="AE1199" s="109"/>
      <c r="AF1199" s="109"/>
      <c r="AG1199" s="109"/>
      <c r="AH1199" s="109"/>
      <c r="AI1199" s="109"/>
      <c r="AJ1199" s="115"/>
      <c r="AK1199" s="80"/>
      <c r="AL1199" s="80"/>
      <c r="AM1199" s="80"/>
      <c r="AN1199" s="80"/>
      <c r="AO1199" s="80"/>
      <c r="AP1199" s="80"/>
      <c r="AQ1199" s="80"/>
      <c r="AR1199" s="73"/>
      <c r="AS1199" s="73"/>
      <c r="AT1199" s="73"/>
      <c r="AU1199" s="73"/>
      <c r="AV1199" s="73"/>
      <c r="AW1199" s="73"/>
      <c r="AX1199" s="73"/>
      <c r="AY1199" s="73"/>
      <c r="AZ1199" s="73"/>
      <c r="BA1199" s="73"/>
      <c r="BB1199" s="73"/>
      <c r="BC1199" s="73"/>
      <c r="BD1199" s="73"/>
      <c r="BE1199" s="73"/>
      <c r="BF1199" s="73"/>
      <c r="BG1199" s="73"/>
      <c r="BH1199" s="73"/>
      <c r="BI1199" s="73"/>
      <c r="BJ1199" s="73"/>
      <c r="BK1199" s="73"/>
      <c r="BL1199" s="73"/>
      <c r="BM1199" s="73"/>
      <c r="BN1199" s="73"/>
      <c r="BO1199" s="73"/>
      <c r="BP1199" s="73"/>
      <c r="BQ1199" s="73"/>
      <c r="BR1199" s="73"/>
      <c r="BS1199" s="73"/>
      <c r="BT1199" s="73"/>
      <c r="BU1199" s="73"/>
      <c r="BV1199" s="73"/>
      <c r="BW1199" s="73"/>
      <c r="BX1199" s="73"/>
      <c r="BY1199" s="73"/>
      <c r="BZ1199" s="73"/>
      <c r="CA1199" s="73"/>
      <c r="CB1199" s="73"/>
      <c r="CC1199" s="73"/>
      <c r="CD1199" s="73"/>
      <c r="CE1199" s="73"/>
      <c r="CF1199" s="73"/>
      <c r="CG1199" s="73"/>
      <c r="CH1199" s="73"/>
    </row>
    <row r="1200">
      <c r="A1200" s="80"/>
      <c r="B1200" s="80"/>
      <c r="C1200" s="80"/>
      <c r="D1200" s="80"/>
      <c r="E1200" s="124"/>
      <c r="F1200" s="80"/>
      <c r="G1200" s="80"/>
      <c r="H1200" s="80"/>
      <c r="I1200" s="80"/>
      <c r="J1200" s="109"/>
      <c r="K1200" s="109"/>
      <c r="L1200" s="109"/>
      <c r="M1200" s="109"/>
      <c r="N1200" s="109"/>
      <c r="O1200" s="109"/>
      <c r="P1200" s="109"/>
      <c r="Q1200" s="109"/>
      <c r="R1200" s="109"/>
      <c r="S1200" s="109"/>
      <c r="T1200" s="109"/>
      <c r="U1200" s="109"/>
      <c r="V1200" s="109"/>
      <c r="W1200" s="109"/>
      <c r="X1200" s="109"/>
      <c r="Y1200" s="109"/>
      <c r="Z1200" s="109"/>
      <c r="AA1200" s="109"/>
      <c r="AB1200" s="109"/>
      <c r="AC1200" s="109"/>
      <c r="AD1200" s="109"/>
      <c r="AE1200" s="109"/>
      <c r="AF1200" s="109"/>
      <c r="AG1200" s="109"/>
      <c r="AH1200" s="109"/>
      <c r="AI1200" s="109"/>
      <c r="AJ1200" s="115"/>
      <c r="AK1200" s="80"/>
      <c r="AL1200" s="80"/>
      <c r="AM1200" s="80"/>
      <c r="AN1200" s="80"/>
      <c r="AO1200" s="80"/>
      <c r="AP1200" s="80"/>
      <c r="AQ1200" s="80"/>
      <c r="AR1200" s="73"/>
      <c r="AS1200" s="73"/>
      <c r="AT1200" s="73"/>
      <c r="AU1200" s="73"/>
      <c r="AV1200" s="73"/>
      <c r="AW1200" s="73"/>
      <c r="AX1200" s="73"/>
      <c r="AY1200" s="73"/>
      <c r="AZ1200" s="73"/>
      <c r="BA1200" s="73"/>
      <c r="BB1200" s="73"/>
      <c r="BC1200" s="73"/>
      <c r="BD1200" s="73"/>
      <c r="BE1200" s="73"/>
      <c r="BF1200" s="73"/>
      <c r="BG1200" s="73"/>
      <c r="BH1200" s="73"/>
      <c r="BI1200" s="73"/>
      <c r="BJ1200" s="73"/>
      <c r="BK1200" s="73"/>
      <c r="BL1200" s="73"/>
      <c r="BM1200" s="73"/>
      <c r="BN1200" s="73"/>
      <c r="BO1200" s="73"/>
      <c r="BP1200" s="73"/>
      <c r="BQ1200" s="73"/>
      <c r="BR1200" s="73"/>
      <c r="BS1200" s="73"/>
      <c r="BT1200" s="73"/>
      <c r="BU1200" s="73"/>
      <c r="BV1200" s="73"/>
      <c r="BW1200" s="73"/>
      <c r="BX1200" s="73"/>
      <c r="BY1200" s="73"/>
      <c r="BZ1200" s="73"/>
      <c r="CA1200" s="73"/>
      <c r="CB1200" s="73"/>
      <c r="CC1200" s="73"/>
      <c r="CD1200" s="73"/>
      <c r="CE1200" s="73"/>
      <c r="CF1200" s="73"/>
      <c r="CG1200" s="73"/>
      <c r="CH1200" s="73"/>
    </row>
    <row r="1201">
      <c r="A1201" s="80"/>
      <c r="B1201" s="80"/>
      <c r="C1201" s="80"/>
      <c r="D1201" s="80"/>
      <c r="E1201" s="124"/>
      <c r="F1201" s="80"/>
      <c r="G1201" s="80"/>
      <c r="H1201" s="80"/>
      <c r="I1201" s="80"/>
      <c r="J1201" s="109"/>
      <c r="K1201" s="109"/>
      <c r="L1201" s="109"/>
      <c r="M1201" s="109"/>
      <c r="N1201" s="109"/>
      <c r="O1201" s="109"/>
      <c r="P1201" s="109"/>
      <c r="Q1201" s="109"/>
      <c r="R1201" s="109"/>
      <c r="S1201" s="109"/>
      <c r="T1201" s="109"/>
      <c r="U1201" s="109"/>
      <c r="V1201" s="109"/>
      <c r="W1201" s="109"/>
      <c r="X1201" s="109"/>
      <c r="Y1201" s="109"/>
      <c r="Z1201" s="109"/>
      <c r="AA1201" s="109"/>
      <c r="AB1201" s="109"/>
      <c r="AC1201" s="109"/>
      <c r="AD1201" s="109"/>
      <c r="AE1201" s="109"/>
      <c r="AF1201" s="109"/>
      <c r="AG1201" s="109"/>
      <c r="AH1201" s="109"/>
      <c r="AI1201" s="109"/>
      <c r="AJ1201" s="115"/>
      <c r="AK1201" s="80"/>
      <c r="AL1201" s="80"/>
      <c r="AM1201" s="80"/>
      <c r="AN1201" s="80"/>
      <c r="AO1201" s="80"/>
      <c r="AP1201" s="80"/>
      <c r="AQ1201" s="80"/>
      <c r="AR1201" s="73"/>
      <c r="AS1201" s="73"/>
      <c r="AT1201" s="73"/>
      <c r="AU1201" s="73"/>
      <c r="AV1201" s="73"/>
      <c r="AW1201" s="73"/>
      <c r="AX1201" s="73"/>
      <c r="AY1201" s="73"/>
      <c r="AZ1201" s="73"/>
      <c r="BA1201" s="73"/>
      <c r="BB1201" s="73"/>
      <c r="BC1201" s="73"/>
      <c r="BD1201" s="73"/>
      <c r="BE1201" s="73"/>
      <c r="BF1201" s="73"/>
      <c r="BG1201" s="73"/>
      <c r="BH1201" s="73"/>
      <c r="BI1201" s="73"/>
      <c r="BJ1201" s="73"/>
      <c r="BK1201" s="73"/>
      <c r="BL1201" s="73"/>
      <c r="BM1201" s="73"/>
      <c r="BN1201" s="73"/>
      <c r="BO1201" s="73"/>
      <c r="BP1201" s="73"/>
      <c r="BQ1201" s="73"/>
      <c r="BR1201" s="73"/>
      <c r="BS1201" s="73"/>
      <c r="BT1201" s="73"/>
      <c r="BU1201" s="73"/>
      <c r="BV1201" s="73"/>
      <c r="BW1201" s="73"/>
      <c r="BX1201" s="73"/>
      <c r="BY1201" s="73"/>
      <c r="BZ1201" s="73"/>
      <c r="CA1201" s="73"/>
      <c r="CB1201" s="73"/>
      <c r="CC1201" s="73"/>
      <c r="CD1201" s="73"/>
      <c r="CE1201" s="73"/>
      <c r="CF1201" s="73"/>
      <c r="CG1201" s="73"/>
      <c r="CH1201" s="73"/>
    </row>
    <row r="1202">
      <c r="A1202" s="80"/>
      <c r="B1202" s="80"/>
      <c r="C1202" s="80"/>
      <c r="D1202" s="80"/>
      <c r="E1202" s="124"/>
      <c r="F1202" s="80"/>
      <c r="G1202" s="80"/>
      <c r="H1202" s="80"/>
      <c r="I1202" s="80"/>
      <c r="J1202" s="109"/>
      <c r="K1202" s="109"/>
      <c r="L1202" s="109"/>
      <c r="M1202" s="109"/>
      <c r="N1202" s="109"/>
      <c r="O1202" s="109"/>
      <c r="P1202" s="109"/>
      <c r="Q1202" s="109"/>
      <c r="R1202" s="109"/>
      <c r="S1202" s="109"/>
      <c r="T1202" s="109"/>
      <c r="U1202" s="109"/>
      <c r="V1202" s="109"/>
      <c r="W1202" s="109"/>
      <c r="X1202" s="109"/>
      <c r="Y1202" s="109"/>
      <c r="Z1202" s="109"/>
      <c r="AA1202" s="109"/>
      <c r="AB1202" s="109"/>
      <c r="AC1202" s="109"/>
      <c r="AD1202" s="109"/>
      <c r="AE1202" s="109"/>
      <c r="AF1202" s="109"/>
      <c r="AG1202" s="109"/>
      <c r="AH1202" s="109"/>
      <c r="AI1202" s="109"/>
      <c r="AJ1202" s="115"/>
      <c r="AK1202" s="80"/>
      <c r="AL1202" s="80"/>
      <c r="AM1202" s="80"/>
      <c r="AN1202" s="80"/>
      <c r="AO1202" s="80"/>
      <c r="AP1202" s="80"/>
      <c r="AQ1202" s="80"/>
      <c r="AR1202" s="73"/>
      <c r="AS1202" s="73"/>
      <c r="AT1202" s="73"/>
      <c r="AU1202" s="73"/>
      <c r="AV1202" s="73"/>
      <c r="AW1202" s="73"/>
      <c r="AX1202" s="73"/>
      <c r="AY1202" s="73"/>
      <c r="AZ1202" s="73"/>
      <c r="BA1202" s="73"/>
      <c r="BB1202" s="73"/>
      <c r="BC1202" s="73"/>
      <c r="BD1202" s="73"/>
      <c r="BE1202" s="73"/>
      <c r="BF1202" s="73"/>
      <c r="BG1202" s="73"/>
      <c r="BH1202" s="73"/>
      <c r="BI1202" s="73"/>
      <c r="BJ1202" s="73"/>
      <c r="BK1202" s="73"/>
      <c r="BL1202" s="73"/>
      <c r="BM1202" s="73"/>
      <c r="BN1202" s="73"/>
      <c r="BO1202" s="73"/>
      <c r="BP1202" s="73"/>
      <c r="BQ1202" s="73"/>
      <c r="BR1202" s="73"/>
      <c r="BS1202" s="73"/>
      <c r="BT1202" s="73"/>
      <c r="BU1202" s="73"/>
      <c r="BV1202" s="73"/>
      <c r="BW1202" s="73"/>
      <c r="BX1202" s="73"/>
      <c r="BY1202" s="73"/>
      <c r="BZ1202" s="73"/>
      <c r="CA1202" s="73"/>
      <c r="CB1202" s="73"/>
      <c r="CC1202" s="73"/>
      <c r="CD1202" s="73"/>
      <c r="CE1202" s="73"/>
      <c r="CF1202" s="73"/>
      <c r="CG1202" s="73"/>
      <c r="CH1202" s="73"/>
    </row>
    <row r="1203">
      <c r="A1203" s="80"/>
      <c r="B1203" s="80"/>
      <c r="C1203" s="80"/>
      <c r="D1203" s="80"/>
      <c r="E1203" s="124"/>
      <c r="F1203" s="80"/>
      <c r="G1203" s="80"/>
      <c r="H1203" s="80"/>
      <c r="I1203" s="80"/>
      <c r="J1203" s="109"/>
      <c r="K1203" s="109"/>
      <c r="L1203" s="109"/>
      <c r="M1203" s="109"/>
      <c r="N1203" s="109"/>
      <c r="O1203" s="109"/>
      <c r="P1203" s="109"/>
      <c r="Q1203" s="109"/>
      <c r="R1203" s="109"/>
      <c r="S1203" s="109"/>
      <c r="T1203" s="109"/>
      <c r="U1203" s="109"/>
      <c r="V1203" s="109"/>
      <c r="W1203" s="109"/>
      <c r="X1203" s="109"/>
      <c r="Y1203" s="109"/>
      <c r="Z1203" s="109"/>
      <c r="AA1203" s="109"/>
      <c r="AB1203" s="109"/>
      <c r="AC1203" s="109"/>
      <c r="AD1203" s="109"/>
      <c r="AE1203" s="109"/>
      <c r="AF1203" s="109"/>
      <c r="AG1203" s="109"/>
      <c r="AH1203" s="109"/>
      <c r="AI1203" s="109"/>
      <c r="AJ1203" s="115"/>
      <c r="AK1203" s="80"/>
      <c r="AL1203" s="80"/>
      <c r="AM1203" s="80"/>
      <c r="AN1203" s="80"/>
      <c r="AO1203" s="80"/>
      <c r="AP1203" s="80"/>
      <c r="AQ1203" s="80"/>
      <c r="AR1203" s="73"/>
      <c r="AS1203" s="73"/>
      <c r="AT1203" s="73"/>
      <c r="AU1203" s="73"/>
      <c r="AV1203" s="73"/>
      <c r="AW1203" s="73"/>
      <c r="AX1203" s="73"/>
      <c r="AY1203" s="73"/>
      <c r="AZ1203" s="73"/>
      <c r="BA1203" s="73"/>
      <c r="BB1203" s="73"/>
      <c r="BC1203" s="73"/>
      <c r="BD1203" s="73"/>
      <c r="BE1203" s="73"/>
      <c r="BF1203" s="73"/>
      <c r="BG1203" s="73"/>
      <c r="BH1203" s="73"/>
      <c r="BI1203" s="73"/>
      <c r="BJ1203" s="73"/>
      <c r="BK1203" s="73"/>
      <c r="BL1203" s="73"/>
      <c r="BM1203" s="73"/>
      <c r="BN1203" s="73"/>
      <c r="BO1203" s="73"/>
      <c r="BP1203" s="73"/>
      <c r="BQ1203" s="73"/>
      <c r="BR1203" s="73"/>
      <c r="BS1203" s="73"/>
      <c r="BT1203" s="73"/>
      <c r="BU1203" s="73"/>
      <c r="BV1203" s="73"/>
      <c r="BW1203" s="73"/>
      <c r="BX1203" s="73"/>
      <c r="BY1203" s="73"/>
      <c r="BZ1203" s="73"/>
      <c r="CA1203" s="73"/>
      <c r="CB1203" s="73"/>
      <c r="CC1203" s="73"/>
      <c r="CD1203" s="73"/>
      <c r="CE1203" s="73"/>
      <c r="CF1203" s="73"/>
      <c r="CG1203" s="73"/>
      <c r="CH1203" s="73"/>
    </row>
    <row r="1204">
      <c r="A1204" s="80"/>
      <c r="B1204" s="80"/>
      <c r="C1204" s="80"/>
      <c r="D1204" s="80"/>
      <c r="E1204" s="124"/>
      <c r="F1204" s="80"/>
      <c r="G1204" s="80"/>
      <c r="H1204" s="80"/>
      <c r="I1204" s="80"/>
      <c r="J1204" s="109"/>
      <c r="K1204" s="109"/>
      <c r="L1204" s="109"/>
      <c r="M1204" s="109"/>
      <c r="N1204" s="109"/>
      <c r="O1204" s="109"/>
      <c r="P1204" s="109"/>
      <c r="Q1204" s="109"/>
      <c r="R1204" s="109"/>
      <c r="S1204" s="109"/>
      <c r="T1204" s="109"/>
      <c r="U1204" s="109"/>
      <c r="V1204" s="109"/>
      <c r="W1204" s="109"/>
      <c r="X1204" s="109"/>
      <c r="Y1204" s="109"/>
      <c r="Z1204" s="109"/>
      <c r="AA1204" s="109"/>
      <c r="AB1204" s="109"/>
      <c r="AC1204" s="109"/>
      <c r="AD1204" s="109"/>
      <c r="AE1204" s="109"/>
      <c r="AF1204" s="109"/>
      <c r="AG1204" s="109"/>
      <c r="AH1204" s="109"/>
      <c r="AI1204" s="109"/>
      <c r="AJ1204" s="115"/>
      <c r="AK1204" s="80"/>
      <c r="AL1204" s="80"/>
      <c r="AM1204" s="80"/>
      <c r="AN1204" s="80"/>
      <c r="AO1204" s="80"/>
      <c r="AP1204" s="80"/>
      <c r="AQ1204" s="80"/>
      <c r="AR1204" s="73"/>
      <c r="AS1204" s="73"/>
      <c r="AT1204" s="73"/>
      <c r="AU1204" s="73"/>
      <c r="AV1204" s="73"/>
      <c r="AW1204" s="73"/>
      <c r="AX1204" s="73"/>
      <c r="AY1204" s="73"/>
      <c r="AZ1204" s="73"/>
      <c r="BA1204" s="73"/>
      <c r="BB1204" s="73"/>
      <c r="BC1204" s="73"/>
      <c r="BD1204" s="73"/>
      <c r="BE1204" s="73"/>
      <c r="BF1204" s="73"/>
      <c r="BG1204" s="73"/>
      <c r="BH1204" s="73"/>
      <c r="BI1204" s="73"/>
      <c r="BJ1204" s="73"/>
      <c r="BK1204" s="73"/>
      <c r="BL1204" s="73"/>
      <c r="BM1204" s="73"/>
      <c r="BN1204" s="73"/>
      <c r="BO1204" s="73"/>
      <c r="BP1204" s="73"/>
      <c r="BQ1204" s="73"/>
      <c r="BR1204" s="73"/>
      <c r="BS1204" s="73"/>
      <c r="BT1204" s="73"/>
      <c r="BU1204" s="73"/>
      <c r="BV1204" s="73"/>
      <c r="BW1204" s="73"/>
      <c r="BX1204" s="73"/>
      <c r="BY1204" s="73"/>
      <c r="BZ1204" s="73"/>
      <c r="CA1204" s="73"/>
      <c r="CB1204" s="73"/>
      <c r="CC1204" s="73"/>
      <c r="CD1204" s="73"/>
      <c r="CE1204" s="73"/>
      <c r="CF1204" s="73"/>
      <c r="CG1204" s="73"/>
      <c r="CH1204" s="73"/>
    </row>
    <row r="1205">
      <c r="A1205" s="80"/>
      <c r="B1205" s="80"/>
      <c r="C1205" s="80"/>
      <c r="D1205" s="80"/>
      <c r="E1205" s="124"/>
      <c r="F1205" s="80"/>
      <c r="G1205" s="80"/>
      <c r="H1205" s="80"/>
      <c r="I1205" s="80"/>
      <c r="J1205" s="109"/>
      <c r="K1205" s="109"/>
      <c r="L1205" s="109"/>
      <c r="M1205" s="109"/>
      <c r="N1205" s="109"/>
      <c r="O1205" s="109"/>
      <c r="P1205" s="109"/>
      <c r="Q1205" s="109"/>
      <c r="R1205" s="109"/>
      <c r="S1205" s="109"/>
      <c r="T1205" s="109"/>
      <c r="U1205" s="109"/>
      <c r="V1205" s="109"/>
      <c r="W1205" s="109"/>
      <c r="X1205" s="109"/>
      <c r="Y1205" s="109"/>
      <c r="Z1205" s="109"/>
      <c r="AA1205" s="109"/>
      <c r="AB1205" s="109"/>
      <c r="AC1205" s="109"/>
      <c r="AD1205" s="109"/>
      <c r="AE1205" s="109"/>
      <c r="AF1205" s="109"/>
      <c r="AG1205" s="109"/>
      <c r="AH1205" s="109"/>
      <c r="AI1205" s="109"/>
      <c r="AJ1205" s="115"/>
      <c r="AK1205" s="80"/>
      <c r="AL1205" s="80"/>
      <c r="AM1205" s="80"/>
      <c r="AN1205" s="80"/>
      <c r="AO1205" s="80"/>
      <c r="AP1205" s="80"/>
      <c r="AQ1205" s="80"/>
      <c r="AR1205" s="73"/>
      <c r="AS1205" s="73"/>
      <c r="AT1205" s="73"/>
      <c r="AU1205" s="73"/>
      <c r="AV1205" s="73"/>
      <c r="AW1205" s="73"/>
      <c r="AX1205" s="73"/>
      <c r="AY1205" s="73"/>
      <c r="AZ1205" s="73"/>
      <c r="BA1205" s="73"/>
      <c r="BB1205" s="73"/>
      <c r="BC1205" s="73"/>
      <c r="BD1205" s="73"/>
      <c r="BE1205" s="73"/>
      <c r="BF1205" s="73"/>
      <c r="BG1205" s="73"/>
      <c r="BH1205" s="73"/>
      <c r="BI1205" s="73"/>
      <c r="BJ1205" s="73"/>
      <c r="BK1205" s="73"/>
      <c r="BL1205" s="73"/>
      <c r="BM1205" s="73"/>
      <c r="BN1205" s="73"/>
      <c r="BO1205" s="73"/>
      <c r="BP1205" s="73"/>
      <c r="BQ1205" s="73"/>
      <c r="BR1205" s="73"/>
      <c r="BS1205" s="73"/>
      <c r="BT1205" s="73"/>
      <c r="BU1205" s="73"/>
      <c r="BV1205" s="73"/>
      <c r="BW1205" s="73"/>
      <c r="BX1205" s="73"/>
      <c r="BY1205" s="73"/>
      <c r="BZ1205" s="73"/>
      <c r="CA1205" s="73"/>
      <c r="CB1205" s="73"/>
      <c r="CC1205" s="73"/>
      <c r="CD1205" s="73"/>
      <c r="CE1205" s="73"/>
      <c r="CF1205" s="73"/>
      <c r="CG1205" s="73"/>
      <c r="CH1205" s="73"/>
    </row>
    <row r="1206">
      <c r="A1206" s="80"/>
      <c r="B1206" s="80"/>
      <c r="C1206" s="80"/>
      <c r="D1206" s="80"/>
      <c r="E1206" s="124"/>
      <c r="F1206" s="80"/>
      <c r="G1206" s="80"/>
      <c r="H1206" s="80"/>
      <c r="I1206" s="80"/>
      <c r="J1206" s="109"/>
      <c r="K1206" s="109"/>
      <c r="L1206" s="109"/>
      <c r="M1206" s="109"/>
      <c r="N1206" s="109"/>
      <c r="O1206" s="109"/>
      <c r="P1206" s="109"/>
      <c r="Q1206" s="109"/>
      <c r="R1206" s="109"/>
      <c r="S1206" s="109"/>
      <c r="T1206" s="109"/>
      <c r="U1206" s="109"/>
      <c r="V1206" s="109"/>
      <c r="W1206" s="109"/>
      <c r="X1206" s="109"/>
      <c r="Y1206" s="109"/>
      <c r="Z1206" s="109"/>
      <c r="AA1206" s="109"/>
      <c r="AB1206" s="109"/>
      <c r="AC1206" s="109"/>
      <c r="AD1206" s="109"/>
      <c r="AE1206" s="109"/>
      <c r="AF1206" s="109"/>
      <c r="AG1206" s="109"/>
      <c r="AH1206" s="109"/>
      <c r="AI1206" s="109"/>
      <c r="AJ1206" s="115"/>
      <c r="AK1206" s="80"/>
      <c r="AL1206" s="80"/>
      <c r="AM1206" s="80"/>
      <c r="AN1206" s="80"/>
      <c r="AO1206" s="80"/>
      <c r="AP1206" s="80"/>
      <c r="AQ1206" s="80"/>
      <c r="AR1206" s="73"/>
      <c r="AS1206" s="73"/>
      <c r="AT1206" s="73"/>
      <c r="AU1206" s="73"/>
      <c r="AV1206" s="73"/>
      <c r="AW1206" s="73"/>
      <c r="AX1206" s="73"/>
      <c r="AY1206" s="73"/>
      <c r="AZ1206" s="73"/>
      <c r="BA1206" s="73"/>
      <c r="BB1206" s="73"/>
      <c r="BC1206" s="73"/>
      <c r="BD1206" s="73"/>
      <c r="BE1206" s="73"/>
      <c r="BF1206" s="73"/>
      <c r="BG1206" s="73"/>
      <c r="BH1206" s="73"/>
      <c r="BI1206" s="73"/>
      <c r="BJ1206" s="73"/>
      <c r="BK1206" s="73"/>
      <c r="BL1206" s="73"/>
      <c r="BM1206" s="73"/>
      <c r="BN1206" s="73"/>
      <c r="BO1206" s="73"/>
      <c r="BP1206" s="73"/>
      <c r="BQ1206" s="73"/>
      <c r="BR1206" s="73"/>
      <c r="BS1206" s="73"/>
      <c r="BT1206" s="73"/>
      <c r="BU1206" s="73"/>
      <c r="BV1206" s="73"/>
      <c r="BW1206" s="73"/>
      <c r="BX1206" s="73"/>
      <c r="BY1206" s="73"/>
      <c r="BZ1206" s="73"/>
      <c r="CA1206" s="73"/>
      <c r="CB1206" s="73"/>
      <c r="CC1206" s="73"/>
      <c r="CD1206" s="73"/>
      <c r="CE1206" s="73"/>
      <c r="CF1206" s="73"/>
      <c r="CG1206" s="73"/>
      <c r="CH1206" s="73"/>
    </row>
    <row r="1207">
      <c r="A1207" s="80"/>
      <c r="B1207" s="80"/>
      <c r="C1207" s="80"/>
      <c r="D1207" s="80"/>
      <c r="E1207" s="124"/>
      <c r="F1207" s="80"/>
      <c r="G1207" s="80"/>
      <c r="H1207" s="80"/>
      <c r="I1207" s="80"/>
      <c r="J1207" s="109"/>
      <c r="K1207" s="109"/>
      <c r="L1207" s="109"/>
      <c r="M1207" s="109"/>
      <c r="N1207" s="109"/>
      <c r="O1207" s="109"/>
      <c r="P1207" s="109"/>
      <c r="Q1207" s="109"/>
      <c r="R1207" s="109"/>
      <c r="S1207" s="109"/>
      <c r="T1207" s="109"/>
      <c r="U1207" s="109"/>
      <c r="V1207" s="109"/>
      <c r="W1207" s="109"/>
      <c r="X1207" s="109"/>
      <c r="Y1207" s="109"/>
      <c r="Z1207" s="109"/>
      <c r="AA1207" s="109"/>
      <c r="AB1207" s="109"/>
      <c r="AC1207" s="109"/>
      <c r="AD1207" s="109"/>
      <c r="AE1207" s="109"/>
      <c r="AF1207" s="109"/>
      <c r="AG1207" s="109"/>
      <c r="AH1207" s="109"/>
      <c r="AI1207" s="109"/>
      <c r="AJ1207" s="115"/>
      <c r="AK1207" s="80"/>
      <c r="AL1207" s="80"/>
      <c r="AM1207" s="80"/>
      <c r="AN1207" s="80"/>
      <c r="AO1207" s="80"/>
      <c r="AP1207" s="80"/>
      <c r="AQ1207" s="80"/>
      <c r="AR1207" s="73"/>
      <c r="AS1207" s="73"/>
      <c r="AT1207" s="73"/>
      <c r="AU1207" s="73"/>
      <c r="AV1207" s="73"/>
      <c r="AW1207" s="73"/>
      <c r="AX1207" s="73"/>
      <c r="AY1207" s="73"/>
      <c r="AZ1207" s="73"/>
      <c r="BA1207" s="73"/>
      <c r="BB1207" s="73"/>
      <c r="BC1207" s="73"/>
      <c r="BD1207" s="73"/>
      <c r="BE1207" s="73"/>
      <c r="BF1207" s="73"/>
      <c r="BG1207" s="73"/>
      <c r="BH1207" s="73"/>
      <c r="BI1207" s="73"/>
      <c r="BJ1207" s="73"/>
      <c r="BK1207" s="73"/>
      <c r="BL1207" s="73"/>
      <c r="BM1207" s="73"/>
      <c r="BN1207" s="73"/>
      <c r="BO1207" s="73"/>
      <c r="BP1207" s="73"/>
      <c r="BQ1207" s="73"/>
      <c r="BR1207" s="73"/>
      <c r="BS1207" s="73"/>
      <c r="BT1207" s="73"/>
      <c r="BU1207" s="73"/>
      <c r="BV1207" s="73"/>
      <c r="BW1207" s="73"/>
      <c r="BX1207" s="73"/>
      <c r="BY1207" s="73"/>
      <c r="BZ1207" s="73"/>
      <c r="CA1207" s="73"/>
      <c r="CB1207" s="73"/>
      <c r="CC1207" s="73"/>
      <c r="CD1207" s="73"/>
      <c r="CE1207" s="73"/>
      <c r="CF1207" s="73"/>
      <c r="CG1207" s="73"/>
      <c r="CH1207" s="73"/>
    </row>
    <row r="1208">
      <c r="A1208" s="80"/>
      <c r="B1208" s="80"/>
      <c r="C1208" s="80"/>
      <c r="D1208" s="80"/>
      <c r="E1208" s="124"/>
      <c r="F1208" s="80"/>
      <c r="G1208" s="80"/>
      <c r="H1208" s="80"/>
      <c r="I1208" s="80"/>
      <c r="J1208" s="109"/>
      <c r="K1208" s="109"/>
      <c r="L1208" s="109"/>
      <c r="M1208" s="109"/>
      <c r="N1208" s="109"/>
      <c r="O1208" s="109"/>
      <c r="P1208" s="109"/>
      <c r="Q1208" s="109"/>
      <c r="R1208" s="109"/>
      <c r="S1208" s="109"/>
      <c r="T1208" s="109"/>
      <c r="U1208" s="109"/>
      <c r="V1208" s="109"/>
      <c r="W1208" s="109"/>
      <c r="X1208" s="109"/>
      <c r="Y1208" s="109"/>
      <c r="Z1208" s="109"/>
      <c r="AA1208" s="109"/>
      <c r="AB1208" s="109"/>
      <c r="AC1208" s="109"/>
      <c r="AD1208" s="109"/>
      <c r="AE1208" s="109"/>
      <c r="AF1208" s="109"/>
      <c r="AG1208" s="109"/>
      <c r="AH1208" s="109"/>
      <c r="AI1208" s="109"/>
      <c r="AJ1208" s="115"/>
      <c r="AK1208" s="80"/>
      <c r="AL1208" s="80"/>
      <c r="AM1208" s="80"/>
      <c r="AN1208" s="80"/>
      <c r="AO1208" s="80"/>
      <c r="AP1208" s="80"/>
      <c r="AQ1208" s="80"/>
      <c r="AR1208" s="73"/>
      <c r="AS1208" s="73"/>
      <c r="AT1208" s="73"/>
      <c r="AU1208" s="73"/>
      <c r="AV1208" s="73"/>
      <c r="AW1208" s="73"/>
      <c r="AX1208" s="73"/>
      <c r="AY1208" s="73"/>
      <c r="AZ1208" s="73"/>
      <c r="BA1208" s="73"/>
      <c r="BB1208" s="73"/>
      <c r="BC1208" s="73"/>
      <c r="BD1208" s="73"/>
      <c r="BE1208" s="73"/>
      <c r="BF1208" s="73"/>
      <c r="BG1208" s="73"/>
      <c r="BH1208" s="73"/>
      <c r="BI1208" s="73"/>
      <c r="BJ1208" s="73"/>
      <c r="BK1208" s="73"/>
      <c r="BL1208" s="73"/>
      <c r="BM1208" s="73"/>
      <c r="BN1208" s="73"/>
      <c r="BO1208" s="73"/>
      <c r="BP1208" s="73"/>
      <c r="BQ1208" s="73"/>
      <c r="BR1208" s="73"/>
      <c r="BS1208" s="73"/>
      <c r="BT1208" s="73"/>
      <c r="BU1208" s="73"/>
      <c r="BV1208" s="73"/>
      <c r="BW1208" s="73"/>
      <c r="BX1208" s="73"/>
      <c r="BY1208" s="73"/>
      <c r="BZ1208" s="73"/>
      <c r="CA1208" s="73"/>
      <c r="CB1208" s="73"/>
      <c r="CC1208" s="73"/>
      <c r="CD1208" s="73"/>
      <c r="CE1208" s="73"/>
      <c r="CF1208" s="73"/>
      <c r="CG1208" s="73"/>
      <c r="CH1208" s="73"/>
    </row>
    <row r="1209">
      <c r="A1209" s="80"/>
      <c r="B1209" s="80"/>
      <c r="C1209" s="80"/>
      <c r="D1209" s="80"/>
      <c r="E1209" s="124"/>
      <c r="F1209" s="80"/>
      <c r="G1209" s="80"/>
      <c r="H1209" s="80"/>
      <c r="I1209" s="80"/>
      <c r="J1209" s="109"/>
      <c r="K1209" s="109"/>
      <c r="L1209" s="109"/>
      <c r="M1209" s="109"/>
      <c r="N1209" s="109"/>
      <c r="O1209" s="109"/>
      <c r="P1209" s="109"/>
      <c r="Q1209" s="109"/>
      <c r="R1209" s="109"/>
      <c r="S1209" s="109"/>
      <c r="T1209" s="109"/>
      <c r="U1209" s="109"/>
      <c r="V1209" s="109"/>
      <c r="W1209" s="109"/>
      <c r="X1209" s="109"/>
      <c r="Y1209" s="109"/>
      <c r="Z1209" s="109"/>
      <c r="AA1209" s="109"/>
      <c r="AB1209" s="109"/>
      <c r="AC1209" s="109"/>
      <c r="AD1209" s="109"/>
      <c r="AE1209" s="109"/>
      <c r="AF1209" s="109"/>
      <c r="AG1209" s="109"/>
      <c r="AH1209" s="109"/>
      <c r="AI1209" s="109"/>
      <c r="AJ1209" s="115"/>
      <c r="AK1209" s="80"/>
      <c r="AL1209" s="80"/>
      <c r="AM1209" s="80"/>
      <c r="AN1209" s="80"/>
      <c r="AO1209" s="80"/>
      <c r="AP1209" s="80"/>
      <c r="AQ1209" s="80"/>
      <c r="AR1209" s="73"/>
      <c r="AS1209" s="73"/>
      <c r="AT1209" s="73"/>
      <c r="AU1209" s="73"/>
      <c r="AV1209" s="73"/>
      <c r="AW1209" s="73"/>
      <c r="AX1209" s="73"/>
      <c r="AY1209" s="73"/>
      <c r="AZ1209" s="73"/>
      <c r="BA1209" s="73"/>
      <c r="BB1209" s="73"/>
      <c r="BC1209" s="73"/>
      <c r="BD1209" s="73"/>
      <c r="BE1209" s="73"/>
      <c r="BF1209" s="73"/>
      <c r="BG1209" s="73"/>
      <c r="BH1209" s="73"/>
      <c r="BI1209" s="73"/>
      <c r="BJ1209" s="73"/>
      <c r="BK1209" s="73"/>
      <c r="BL1209" s="73"/>
      <c r="BM1209" s="73"/>
      <c r="BN1209" s="73"/>
      <c r="BO1209" s="73"/>
      <c r="BP1209" s="73"/>
      <c r="BQ1209" s="73"/>
      <c r="BR1209" s="73"/>
      <c r="BS1209" s="73"/>
      <c r="BT1209" s="73"/>
      <c r="BU1209" s="73"/>
      <c r="BV1209" s="73"/>
      <c r="BW1209" s="73"/>
      <c r="BX1209" s="73"/>
      <c r="BY1209" s="73"/>
      <c r="BZ1209" s="73"/>
      <c r="CA1209" s="73"/>
      <c r="CB1209" s="73"/>
      <c r="CC1209" s="73"/>
      <c r="CD1209" s="73"/>
      <c r="CE1209" s="73"/>
      <c r="CF1209" s="73"/>
      <c r="CG1209" s="73"/>
      <c r="CH1209" s="73"/>
    </row>
    <row r="1210">
      <c r="A1210" s="80"/>
      <c r="B1210" s="80"/>
      <c r="C1210" s="80"/>
      <c r="D1210" s="80"/>
      <c r="E1210" s="124"/>
      <c r="F1210" s="80"/>
      <c r="G1210" s="80"/>
      <c r="H1210" s="80"/>
      <c r="I1210" s="80"/>
      <c r="J1210" s="109"/>
      <c r="K1210" s="109"/>
      <c r="L1210" s="109"/>
      <c r="M1210" s="109"/>
      <c r="N1210" s="109"/>
      <c r="O1210" s="109"/>
      <c r="P1210" s="109"/>
      <c r="Q1210" s="109"/>
      <c r="R1210" s="109"/>
      <c r="S1210" s="109"/>
      <c r="T1210" s="109"/>
      <c r="U1210" s="109"/>
      <c r="V1210" s="109"/>
      <c r="W1210" s="109"/>
      <c r="X1210" s="109"/>
      <c r="Y1210" s="109"/>
      <c r="Z1210" s="109"/>
      <c r="AA1210" s="109"/>
      <c r="AB1210" s="109"/>
      <c r="AC1210" s="109"/>
      <c r="AD1210" s="109"/>
      <c r="AE1210" s="109"/>
      <c r="AF1210" s="109"/>
      <c r="AG1210" s="109"/>
      <c r="AH1210" s="109"/>
      <c r="AI1210" s="109"/>
      <c r="AJ1210" s="115"/>
      <c r="AK1210" s="80"/>
      <c r="AL1210" s="80"/>
      <c r="AM1210" s="80"/>
      <c r="AN1210" s="80"/>
      <c r="AO1210" s="80"/>
      <c r="AP1210" s="80"/>
      <c r="AQ1210" s="80"/>
      <c r="AR1210" s="73"/>
      <c r="AS1210" s="73"/>
      <c r="AT1210" s="73"/>
      <c r="AU1210" s="73"/>
      <c r="AV1210" s="73"/>
      <c r="AW1210" s="73"/>
      <c r="AX1210" s="73"/>
      <c r="AY1210" s="73"/>
      <c r="AZ1210" s="73"/>
      <c r="BA1210" s="73"/>
      <c r="BB1210" s="73"/>
      <c r="BC1210" s="73"/>
      <c r="BD1210" s="73"/>
      <c r="BE1210" s="73"/>
      <c r="BF1210" s="73"/>
      <c r="BG1210" s="73"/>
      <c r="BH1210" s="73"/>
      <c r="BI1210" s="73"/>
      <c r="BJ1210" s="73"/>
      <c r="BK1210" s="73"/>
      <c r="BL1210" s="73"/>
      <c r="BM1210" s="73"/>
      <c r="BN1210" s="73"/>
      <c r="BO1210" s="73"/>
      <c r="BP1210" s="73"/>
      <c r="BQ1210" s="73"/>
      <c r="BR1210" s="73"/>
      <c r="BS1210" s="73"/>
      <c r="BT1210" s="73"/>
      <c r="BU1210" s="73"/>
      <c r="BV1210" s="73"/>
      <c r="BW1210" s="73"/>
      <c r="BX1210" s="73"/>
      <c r="BY1210" s="73"/>
      <c r="BZ1210" s="73"/>
      <c r="CA1210" s="73"/>
      <c r="CB1210" s="73"/>
      <c r="CC1210" s="73"/>
      <c r="CD1210" s="73"/>
      <c r="CE1210" s="73"/>
      <c r="CF1210" s="73"/>
      <c r="CG1210" s="73"/>
      <c r="CH1210" s="73"/>
    </row>
    <row r="1211">
      <c r="A1211" s="80"/>
      <c r="B1211" s="80"/>
      <c r="C1211" s="80"/>
      <c r="D1211" s="80"/>
      <c r="E1211" s="124"/>
      <c r="F1211" s="80"/>
      <c r="G1211" s="80"/>
      <c r="H1211" s="80"/>
      <c r="I1211" s="80"/>
      <c r="J1211" s="109"/>
      <c r="K1211" s="109"/>
      <c r="L1211" s="109"/>
      <c r="M1211" s="109"/>
      <c r="N1211" s="109"/>
      <c r="O1211" s="109"/>
      <c r="P1211" s="109"/>
      <c r="Q1211" s="109"/>
      <c r="R1211" s="109"/>
      <c r="S1211" s="109"/>
      <c r="T1211" s="109"/>
      <c r="U1211" s="109"/>
      <c r="V1211" s="109"/>
      <c r="W1211" s="109"/>
      <c r="X1211" s="109"/>
      <c r="Y1211" s="109"/>
      <c r="Z1211" s="109"/>
      <c r="AA1211" s="109"/>
      <c r="AB1211" s="109"/>
      <c r="AC1211" s="109"/>
      <c r="AD1211" s="109"/>
      <c r="AE1211" s="109"/>
      <c r="AF1211" s="109"/>
      <c r="AG1211" s="109"/>
      <c r="AH1211" s="109"/>
      <c r="AI1211" s="109"/>
      <c r="AJ1211" s="115"/>
      <c r="AK1211" s="80"/>
      <c r="AL1211" s="80"/>
      <c r="AM1211" s="80"/>
      <c r="AN1211" s="80"/>
      <c r="AO1211" s="80"/>
      <c r="AP1211" s="80"/>
      <c r="AQ1211" s="80"/>
      <c r="AR1211" s="73"/>
      <c r="AS1211" s="73"/>
      <c r="AT1211" s="73"/>
      <c r="AU1211" s="73"/>
      <c r="AV1211" s="73"/>
      <c r="AW1211" s="73"/>
      <c r="AX1211" s="73"/>
      <c r="AY1211" s="73"/>
      <c r="AZ1211" s="73"/>
      <c r="BA1211" s="73"/>
      <c r="BB1211" s="73"/>
      <c r="BC1211" s="73"/>
      <c r="BD1211" s="73"/>
      <c r="BE1211" s="73"/>
      <c r="BF1211" s="73"/>
      <c r="BG1211" s="73"/>
      <c r="BH1211" s="73"/>
      <c r="BI1211" s="73"/>
      <c r="BJ1211" s="73"/>
      <c r="BK1211" s="73"/>
      <c r="BL1211" s="73"/>
      <c r="BM1211" s="73"/>
      <c r="BN1211" s="73"/>
      <c r="BO1211" s="73"/>
      <c r="BP1211" s="73"/>
      <c r="BQ1211" s="73"/>
      <c r="BR1211" s="73"/>
      <c r="BS1211" s="73"/>
      <c r="BT1211" s="73"/>
      <c r="BU1211" s="73"/>
      <c r="BV1211" s="73"/>
      <c r="BW1211" s="73"/>
      <c r="BX1211" s="73"/>
      <c r="BY1211" s="73"/>
      <c r="BZ1211" s="73"/>
      <c r="CA1211" s="73"/>
      <c r="CB1211" s="73"/>
      <c r="CC1211" s="73"/>
      <c r="CD1211" s="73"/>
      <c r="CE1211" s="73"/>
      <c r="CF1211" s="73"/>
      <c r="CG1211" s="73"/>
      <c r="CH1211" s="73"/>
    </row>
    <row r="1212">
      <c r="A1212" s="80"/>
      <c r="B1212" s="80"/>
      <c r="C1212" s="80"/>
      <c r="D1212" s="80"/>
      <c r="E1212" s="124"/>
      <c r="F1212" s="80"/>
      <c r="G1212" s="80"/>
      <c r="H1212" s="80"/>
      <c r="I1212" s="80"/>
      <c r="J1212" s="109"/>
      <c r="K1212" s="109"/>
      <c r="L1212" s="109"/>
      <c r="M1212" s="109"/>
      <c r="N1212" s="109"/>
      <c r="O1212" s="109"/>
      <c r="P1212" s="109"/>
      <c r="Q1212" s="109"/>
      <c r="R1212" s="109"/>
      <c r="S1212" s="109"/>
      <c r="T1212" s="109"/>
      <c r="U1212" s="109"/>
      <c r="V1212" s="109"/>
      <c r="W1212" s="109"/>
      <c r="X1212" s="109"/>
      <c r="Y1212" s="109"/>
      <c r="Z1212" s="109"/>
      <c r="AA1212" s="109"/>
      <c r="AB1212" s="109"/>
      <c r="AC1212" s="109"/>
      <c r="AD1212" s="109"/>
      <c r="AE1212" s="109"/>
      <c r="AF1212" s="109"/>
      <c r="AG1212" s="109"/>
      <c r="AH1212" s="109"/>
      <c r="AI1212" s="109"/>
      <c r="AJ1212" s="115"/>
      <c r="AK1212" s="80"/>
      <c r="AL1212" s="80"/>
      <c r="AM1212" s="80"/>
      <c r="AN1212" s="80"/>
      <c r="AO1212" s="80"/>
      <c r="AP1212" s="80"/>
      <c r="AQ1212" s="80"/>
      <c r="AR1212" s="73"/>
      <c r="AS1212" s="73"/>
      <c r="AT1212" s="73"/>
      <c r="AU1212" s="73"/>
      <c r="AV1212" s="73"/>
      <c r="AW1212" s="73"/>
      <c r="AX1212" s="73"/>
      <c r="AY1212" s="73"/>
      <c r="AZ1212" s="73"/>
      <c r="BA1212" s="73"/>
      <c r="BB1212" s="73"/>
      <c r="BC1212" s="73"/>
      <c r="BD1212" s="73"/>
      <c r="BE1212" s="73"/>
      <c r="BF1212" s="73"/>
      <c r="BG1212" s="73"/>
      <c r="BH1212" s="73"/>
      <c r="BI1212" s="73"/>
      <c r="BJ1212" s="73"/>
      <c r="BK1212" s="73"/>
      <c r="BL1212" s="73"/>
      <c r="BM1212" s="73"/>
      <c r="BN1212" s="73"/>
      <c r="BO1212" s="73"/>
      <c r="BP1212" s="73"/>
      <c r="BQ1212" s="73"/>
      <c r="BR1212" s="73"/>
      <c r="BS1212" s="73"/>
      <c r="BT1212" s="73"/>
      <c r="BU1212" s="73"/>
      <c r="BV1212" s="73"/>
      <c r="BW1212" s="73"/>
      <c r="BX1212" s="73"/>
      <c r="BY1212" s="73"/>
      <c r="BZ1212" s="73"/>
      <c r="CA1212" s="73"/>
      <c r="CB1212" s="73"/>
      <c r="CC1212" s="73"/>
      <c r="CD1212" s="73"/>
      <c r="CE1212" s="73"/>
      <c r="CF1212" s="73"/>
      <c r="CG1212" s="73"/>
      <c r="CH1212" s="73"/>
    </row>
    <row r="1213">
      <c r="A1213" s="80"/>
      <c r="B1213" s="80"/>
      <c r="C1213" s="80"/>
      <c r="D1213" s="80"/>
      <c r="E1213" s="124"/>
      <c r="F1213" s="80"/>
      <c r="G1213" s="80"/>
      <c r="H1213" s="80"/>
      <c r="I1213" s="80"/>
      <c r="J1213" s="109"/>
      <c r="K1213" s="109"/>
      <c r="L1213" s="109"/>
      <c r="M1213" s="109"/>
      <c r="N1213" s="109"/>
      <c r="O1213" s="109"/>
      <c r="P1213" s="109"/>
      <c r="Q1213" s="109"/>
      <c r="R1213" s="109"/>
      <c r="S1213" s="109"/>
      <c r="T1213" s="109"/>
      <c r="U1213" s="109"/>
      <c r="V1213" s="109"/>
      <c r="W1213" s="109"/>
      <c r="X1213" s="109"/>
      <c r="Y1213" s="109"/>
      <c r="Z1213" s="109"/>
      <c r="AA1213" s="109"/>
      <c r="AB1213" s="109"/>
      <c r="AC1213" s="109"/>
      <c r="AD1213" s="109"/>
      <c r="AE1213" s="109"/>
      <c r="AF1213" s="109"/>
      <c r="AG1213" s="109"/>
      <c r="AH1213" s="109"/>
      <c r="AI1213" s="109"/>
      <c r="AJ1213" s="115"/>
      <c r="AK1213" s="80"/>
      <c r="AL1213" s="80"/>
      <c r="AM1213" s="80"/>
      <c r="AN1213" s="80"/>
      <c r="AO1213" s="80"/>
      <c r="AP1213" s="80"/>
      <c r="AQ1213" s="80"/>
      <c r="AR1213" s="73"/>
      <c r="AS1213" s="73"/>
      <c r="AT1213" s="73"/>
      <c r="AU1213" s="73"/>
      <c r="AV1213" s="73"/>
      <c r="AW1213" s="73"/>
      <c r="AX1213" s="73"/>
      <c r="AY1213" s="73"/>
      <c r="AZ1213" s="73"/>
      <c r="BA1213" s="73"/>
      <c r="BB1213" s="73"/>
      <c r="BC1213" s="73"/>
      <c r="BD1213" s="73"/>
      <c r="BE1213" s="73"/>
      <c r="BF1213" s="73"/>
      <c r="BG1213" s="73"/>
      <c r="BH1213" s="73"/>
      <c r="BI1213" s="73"/>
      <c r="BJ1213" s="73"/>
      <c r="BK1213" s="73"/>
      <c r="BL1213" s="73"/>
      <c r="BM1213" s="73"/>
      <c r="BN1213" s="73"/>
      <c r="BO1213" s="73"/>
      <c r="BP1213" s="73"/>
      <c r="BQ1213" s="73"/>
      <c r="BR1213" s="73"/>
      <c r="BS1213" s="73"/>
      <c r="BT1213" s="73"/>
      <c r="BU1213" s="73"/>
      <c r="BV1213" s="73"/>
      <c r="BW1213" s="73"/>
      <c r="BX1213" s="73"/>
      <c r="BY1213" s="73"/>
      <c r="BZ1213" s="73"/>
      <c r="CA1213" s="73"/>
      <c r="CB1213" s="73"/>
      <c r="CC1213" s="73"/>
      <c r="CD1213" s="73"/>
      <c r="CE1213" s="73"/>
      <c r="CF1213" s="73"/>
      <c r="CG1213" s="73"/>
      <c r="CH1213" s="73"/>
    </row>
    <row r="1214">
      <c r="A1214" s="80"/>
      <c r="B1214" s="80"/>
      <c r="C1214" s="80"/>
      <c r="D1214" s="80"/>
      <c r="E1214" s="124"/>
      <c r="F1214" s="80"/>
      <c r="G1214" s="80"/>
      <c r="H1214" s="80"/>
      <c r="I1214" s="80"/>
      <c r="J1214" s="109"/>
      <c r="K1214" s="109"/>
      <c r="L1214" s="109"/>
      <c r="M1214" s="109"/>
      <c r="N1214" s="109"/>
      <c r="O1214" s="109"/>
      <c r="P1214" s="109"/>
      <c r="Q1214" s="109"/>
      <c r="R1214" s="109"/>
      <c r="S1214" s="109"/>
      <c r="T1214" s="109"/>
      <c r="U1214" s="109"/>
      <c r="V1214" s="109"/>
      <c r="W1214" s="109"/>
      <c r="X1214" s="109"/>
      <c r="Y1214" s="109"/>
      <c r="Z1214" s="109"/>
      <c r="AA1214" s="109"/>
      <c r="AB1214" s="109"/>
      <c r="AC1214" s="109"/>
      <c r="AD1214" s="109"/>
      <c r="AE1214" s="109"/>
      <c r="AF1214" s="109"/>
      <c r="AG1214" s="109"/>
      <c r="AH1214" s="109"/>
      <c r="AI1214" s="109"/>
      <c r="AJ1214" s="115"/>
      <c r="AK1214" s="80"/>
      <c r="AL1214" s="80"/>
      <c r="AM1214" s="80"/>
      <c r="AN1214" s="80"/>
      <c r="AO1214" s="80"/>
      <c r="AP1214" s="80"/>
      <c r="AQ1214" s="80"/>
      <c r="AR1214" s="73"/>
      <c r="AS1214" s="73"/>
      <c r="AT1214" s="73"/>
      <c r="AU1214" s="73"/>
      <c r="AV1214" s="73"/>
      <c r="AW1214" s="73"/>
      <c r="AX1214" s="73"/>
      <c r="AY1214" s="73"/>
      <c r="AZ1214" s="73"/>
      <c r="BA1214" s="73"/>
      <c r="BB1214" s="73"/>
      <c r="BC1214" s="73"/>
      <c r="BD1214" s="73"/>
      <c r="BE1214" s="73"/>
      <c r="BF1214" s="73"/>
      <c r="BG1214" s="73"/>
      <c r="BH1214" s="73"/>
      <c r="BI1214" s="73"/>
      <c r="BJ1214" s="73"/>
      <c r="BK1214" s="73"/>
      <c r="BL1214" s="73"/>
      <c r="BM1214" s="73"/>
      <c r="BN1214" s="73"/>
      <c r="BO1214" s="73"/>
      <c r="BP1214" s="73"/>
      <c r="BQ1214" s="73"/>
      <c r="BR1214" s="73"/>
      <c r="BS1214" s="73"/>
      <c r="BT1214" s="73"/>
      <c r="BU1214" s="73"/>
      <c r="BV1214" s="73"/>
      <c r="BW1214" s="73"/>
      <c r="BX1214" s="73"/>
      <c r="BY1214" s="73"/>
      <c r="BZ1214" s="73"/>
      <c r="CA1214" s="73"/>
      <c r="CB1214" s="73"/>
      <c r="CC1214" s="73"/>
      <c r="CD1214" s="73"/>
      <c r="CE1214" s="73"/>
      <c r="CF1214" s="73"/>
      <c r="CG1214" s="73"/>
      <c r="CH1214" s="73"/>
    </row>
    <row r="1215">
      <c r="A1215" s="80"/>
      <c r="B1215" s="80"/>
      <c r="C1215" s="80"/>
      <c r="D1215" s="80"/>
      <c r="E1215" s="124"/>
      <c r="F1215" s="80"/>
      <c r="G1215" s="80"/>
      <c r="H1215" s="80"/>
      <c r="I1215" s="80"/>
      <c r="J1215" s="109"/>
      <c r="K1215" s="109"/>
      <c r="L1215" s="109"/>
      <c r="M1215" s="109"/>
      <c r="N1215" s="109"/>
      <c r="O1215" s="109"/>
      <c r="P1215" s="109"/>
      <c r="Q1215" s="109"/>
      <c r="R1215" s="109"/>
      <c r="S1215" s="109"/>
      <c r="T1215" s="109"/>
      <c r="U1215" s="109"/>
      <c r="V1215" s="109"/>
      <c r="W1215" s="109"/>
      <c r="X1215" s="109"/>
      <c r="Y1215" s="109"/>
      <c r="Z1215" s="109"/>
      <c r="AA1215" s="109"/>
      <c r="AB1215" s="109"/>
      <c r="AC1215" s="109"/>
      <c r="AD1215" s="109"/>
      <c r="AE1215" s="109"/>
      <c r="AF1215" s="109"/>
      <c r="AG1215" s="109"/>
      <c r="AH1215" s="109"/>
      <c r="AI1215" s="109"/>
      <c r="AJ1215" s="115"/>
      <c r="AK1215" s="80"/>
      <c r="AL1215" s="80"/>
      <c r="AM1215" s="80"/>
      <c r="AN1215" s="80"/>
      <c r="AO1215" s="80"/>
      <c r="AP1215" s="80"/>
      <c r="AQ1215" s="80"/>
      <c r="AR1215" s="73"/>
      <c r="AS1215" s="73"/>
      <c r="AT1215" s="73"/>
      <c r="AU1215" s="73"/>
      <c r="AV1215" s="73"/>
      <c r="AW1215" s="73"/>
      <c r="AX1215" s="73"/>
      <c r="AY1215" s="73"/>
      <c r="AZ1215" s="73"/>
      <c r="BA1215" s="73"/>
      <c r="BB1215" s="73"/>
      <c r="BC1215" s="73"/>
      <c r="BD1215" s="73"/>
      <c r="BE1215" s="73"/>
      <c r="BF1215" s="73"/>
      <c r="BG1215" s="73"/>
      <c r="BH1215" s="73"/>
      <c r="BI1215" s="73"/>
      <c r="BJ1215" s="73"/>
      <c r="BK1215" s="73"/>
      <c r="BL1215" s="73"/>
      <c r="BM1215" s="73"/>
      <c r="BN1215" s="73"/>
      <c r="BO1215" s="73"/>
      <c r="BP1215" s="73"/>
      <c r="BQ1215" s="73"/>
      <c r="BR1215" s="73"/>
      <c r="BS1215" s="73"/>
      <c r="BT1215" s="73"/>
      <c r="BU1215" s="73"/>
      <c r="BV1215" s="73"/>
      <c r="BW1215" s="73"/>
      <c r="BX1215" s="73"/>
      <c r="BY1215" s="73"/>
      <c r="BZ1215" s="73"/>
      <c r="CA1215" s="73"/>
      <c r="CB1215" s="73"/>
      <c r="CC1215" s="73"/>
      <c r="CD1215" s="73"/>
      <c r="CE1215" s="73"/>
      <c r="CF1215" s="73"/>
      <c r="CG1215" s="73"/>
      <c r="CH1215" s="73"/>
    </row>
    <row r="1216">
      <c r="A1216" s="80"/>
      <c r="B1216" s="80"/>
      <c r="C1216" s="80"/>
      <c r="D1216" s="80"/>
      <c r="E1216" s="124"/>
      <c r="F1216" s="80"/>
      <c r="G1216" s="80"/>
      <c r="H1216" s="80"/>
      <c r="I1216" s="80"/>
      <c r="J1216" s="109"/>
      <c r="K1216" s="109"/>
      <c r="L1216" s="109"/>
      <c r="M1216" s="109"/>
      <c r="N1216" s="109"/>
      <c r="O1216" s="109"/>
      <c r="P1216" s="109"/>
      <c r="Q1216" s="109"/>
      <c r="R1216" s="109"/>
      <c r="S1216" s="109"/>
      <c r="T1216" s="109"/>
      <c r="U1216" s="109"/>
      <c r="V1216" s="109"/>
      <c r="W1216" s="109"/>
      <c r="X1216" s="109"/>
      <c r="Y1216" s="109"/>
      <c r="Z1216" s="109"/>
      <c r="AA1216" s="109"/>
      <c r="AB1216" s="109"/>
      <c r="AC1216" s="109"/>
      <c r="AD1216" s="109"/>
      <c r="AE1216" s="109"/>
      <c r="AF1216" s="109"/>
      <c r="AG1216" s="109"/>
      <c r="AH1216" s="109"/>
      <c r="AI1216" s="109"/>
      <c r="AJ1216" s="115"/>
      <c r="AK1216" s="80"/>
      <c r="AL1216" s="80"/>
      <c r="AM1216" s="80"/>
      <c r="AN1216" s="80"/>
      <c r="AO1216" s="80"/>
      <c r="AP1216" s="80"/>
      <c r="AQ1216" s="80"/>
      <c r="AR1216" s="73"/>
      <c r="AS1216" s="73"/>
      <c r="AT1216" s="73"/>
      <c r="AU1216" s="73"/>
      <c r="AV1216" s="73"/>
      <c r="AW1216" s="73"/>
      <c r="AX1216" s="73"/>
      <c r="AY1216" s="73"/>
      <c r="AZ1216" s="73"/>
      <c r="BA1216" s="73"/>
      <c r="BB1216" s="73"/>
      <c r="BC1216" s="73"/>
      <c r="BD1216" s="73"/>
      <c r="BE1216" s="73"/>
      <c r="BF1216" s="73"/>
      <c r="BG1216" s="73"/>
      <c r="BH1216" s="73"/>
      <c r="BI1216" s="73"/>
      <c r="BJ1216" s="73"/>
      <c r="BK1216" s="73"/>
      <c r="BL1216" s="73"/>
      <c r="BM1216" s="73"/>
      <c r="BN1216" s="73"/>
      <c r="BO1216" s="73"/>
      <c r="BP1216" s="73"/>
      <c r="BQ1216" s="73"/>
      <c r="BR1216" s="73"/>
      <c r="BS1216" s="73"/>
      <c r="BT1216" s="73"/>
      <c r="BU1216" s="73"/>
      <c r="BV1216" s="73"/>
      <c r="BW1216" s="73"/>
      <c r="BX1216" s="73"/>
      <c r="BY1216" s="73"/>
      <c r="BZ1216" s="73"/>
      <c r="CA1216" s="73"/>
      <c r="CB1216" s="73"/>
      <c r="CC1216" s="73"/>
      <c r="CD1216" s="73"/>
      <c r="CE1216" s="73"/>
      <c r="CF1216" s="73"/>
      <c r="CG1216" s="73"/>
      <c r="CH1216" s="73"/>
    </row>
    <row r="1217">
      <c r="A1217" s="80"/>
      <c r="B1217" s="80"/>
      <c r="C1217" s="80"/>
      <c r="D1217" s="80"/>
      <c r="E1217" s="124"/>
      <c r="F1217" s="80"/>
      <c r="G1217" s="80"/>
      <c r="H1217" s="80"/>
      <c r="I1217" s="80"/>
      <c r="J1217" s="109"/>
      <c r="K1217" s="109"/>
      <c r="L1217" s="109"/>
      <c r="M1217" s="109"/>
      <c r="N1217" s="109"/>
      <c r="O1217" s="109"/>
      <c r="P1217" s="109"/>
      <c r="Q1217" s="109"/>
      <c r="R1217" s="109"/>
      <c r="S1217" s="109"/>
      <c r="T1217" s="109"/>
      <c r="U1217" s="109"/>
      <c r="V1217" s="109"/>
      <c r="W1217" s="109"/>
      <c r="X1217" s="109"/>
      <c r="Y1217" s="109"/>
      <c r="Z1217" s="109"/>
      <c r="AA1217" s="109"/>
      <c r="AB1217" s="109"/>
      <c r="AC1217" s="109"/>
      <c r="AD1217" s="109"/>
      <c r="AE1217" s="109"/>
      <c r="AF1217" s="109"/>
      <c r="AG1217" s="109"/>
      <c r="AH1217" s="109"/>
      <c r="AI1217" s="109"/>
      <c r="AJ1217" s="115"/>
      <c r="AK1217" s="80"/>
      <c r="AL1217" s="80"/>
      <c r="AM1217" s="80"/>
      <c r="AN1217" s="80"/>
      <c r="AO1217" s="80"/>
      <c r="AP1217" s="80"/>
      <c r="AQ1217" s="80"/>
      <c r="AR1217" s="73"/>
      <c r="AS1217" s="73"/>
      <c r="AT1217" s="73"/>
      <c r="AU1217" s="73"/>
      <c r="AV1217" s="73"/>
      <c r="AW1217" s="73"/>
      <c r="AX1217" s="73"/>
      <c r="AY1217" s="73"/>
      <c r="AZ1217" s="73"/>
      <c r="BA1217" s="73"/>
      <c r="BB1217" s="73"/>
      <c r="BC1217" s="73"/>
      <c r="BD1217" s="73"/>
      <c r="BE1217" s="73"/>
      <c r="BF1217" s="73"/>
      <c r="BG1217" s="73"/>
      <c r="BH1217" s="73"/>
      <c r="BI1217" s="73"/>
      <c r="BJ1217" s="73"/>
      <c r="BK1217" s="73"/>
      <c r="BL1217" s="73"/>
      <c r="BM1217" s="73"/>
      <c r="BN1217" s="73"/>
      <c r="BO1217" s="73"/>
      <c r="BP1217" s="73"/>
      <c r="BQ1217" s="73"/>
      <c r="BR1217" s="73"/>
      <c r="BS1217" s="73"/>
      <c r="BT1217" s="73"/>
      <c r="BU1217" s="73"/>
      <c r="BV1217" s="73"/>
      <c r="BW1217" s="73"/>
      <c r="BX1217" s="73"/>
      <c r="BY1217" s="73"/>
      <c r="BZ1217" s="73"/>
      <c r="CA1217" s="73"/>
      <c r="CB1217" s="73"/>
      <c r="CC1217" s="73"/>
      <c r="CD1217" s="73"/>
      <c r="CE1217" s="73"/>
      <c r="CF1217" s="73"/>
      <c r="CG1217" s="73"/>
      <c r="CH1217" s="73"/>
    </row>
    <row r="1218">
      <c r="A1218" s="80"/>
      <c r="B1218" s="80"/>
      <c r="C1218" s="80"/>
      <c r="D1218" s="80"/>
      <c r="E1218" s="124"/>
      <c r="F1218" s="80"/>
      <c r="G1218" s="80"/>
      <c r="H1218" s="80"/>
      <c r="I1218" s="80"/>
      <c r="J1218" s="109"/>
      <c r="K1218" s="109"/>
      <c r="L1218" s="109"/>
      <c r="M1218" s="109"/>
      <c r="N1218" s="109"/>
      <c r="O1218" s="109"/>
      <c r="P1218" s="109"/>
      <c r="Q1218" s="109"/>
      <c r="R1218" s="109"/>
      <c r="S1218" s="109"/>
      <c r="T1218" s="109"/>
      <c r="U1218" s="109"/>
      <c r="V1218" s="109"/>
      <c r="W1218" s="109"/>
      <c r="X1218" s="109"/>
      <c r="Y1218" s="109"/>
      <c r="Z1218" s="109"/>
      <c r="AA1218" s="109"/>
      <c r="AB1218" s="109"/>
      <c r="AC1218" s="109"/>
      <c r="AD1218" s="109"/>
      <c r="AE1218" s="109"/>
      <c r="AF1218" s="109"/>
      <c r="AG1218" s="109"/>
      <c r="AH1218" s="109"/>
      <c r="AI1218" s="109"/>
      <c r="AJ1218" s="115"/>
      <c r="AK1218" s="80"/>
      <c r="AL1218" s="80"/>
      <c r="AM1218" s="80"/>
      <c r="AN1218" s="80"/>
      <c r="AO1218" s="80"/>
      <c r="AP1218" s="80"/>
      <c r="AQ1218" s="80"/>
      <c r="AR1218" s="73"/>
      <c r="AS1218" s="73"/>
      <c r="AT1218" s="73"/>
      <c r="AU1218" s="73"/>
      <c r="AV1218" s="73"/>
      <c r="AW1218" s="73"/>
      <c r="AX1218" s="73"/>
      <c r="AY1218" s="73"/>
      <c r="AZ1218" s="73"/>
      <c r="BA1218" s="73"/>
      <c r="BB1218" s="73"/>
      <c r="BC1218" s="73"/>
      <c r="BD1218" s="73"/>
      <c r="BE1218" s="73"/>
      <c r="BF1218" s="73"/>
      <c r="BG1218" s="73"/>
      <c r="BH1218" s="73"/>
      <c r="BI1218" s="73"/>
      <c r="BJ1218" s="73"/>
      <c r="BK1218" s="73"/>
      <c r="BL1218" s="73"/>
      <c r="BM1218" s="73"/>
      <c r="BN1218" s="73"/>
      <c r="BO1218" s="73"/>
      <c r="BP1218" s="73"/>
      <c r="BQ1218" s="73"/>
      <c r="BR1218" s="73"/>
      <c r="BS1218" s="73"/>
      <c r="BT1218" s="73"/>
      <c r="BU1218" s="73"/>
      <c r="BV1218" s="73"/>
      <c r="BW1218" s="73"/>
      <c r="BX1218" s="73"/>
      <c r="BY1218" s="73"/>
      <c r="BZ1218" s="73"/>
      <c r="CA1218" s="73"/>
      <c r="CB1218" s="73"/>
      <c r="CC1218" s="73"/>
      <c r="CD1218" s="73"/>
      <c r="CE1218" s="73"/>
      <c r="CF1218" s="73"/>
      <c r="CG1218" s="73"/>
      <c r="CH1218" s="73"/>
    </row>
    <row r="1219">
      <c r="A1219" s="80"/>
      <c r="B1219" s="80"/>
      <c r="C1219" s="80"/>
      <c r="D1219" s="80"/>
      <c r="E1219" s="124"/>
      <c r="F1219" s="80"/>
      <c r="G1219" s="80"/>
      <c r="H1219" s="80"/>
      <c r="I1219" s="80"/>
      <c r="J1219" s="109"/>
      <c r="K1219" s="109"/>
      <c r="L1219" s="109"/>
      <c r="M1219" s="109"/>
      <c r="N1219" s="109"/>
      <c r="O1219" s="109"/>
      <c r="P1219" s="109"/>
      <c r="Q1219" s="109"/>
      <c r="R1219" s="109"/>
      <c r="S1219" s="109"/>
      <c r="T1219" s="109"/>
      <c r="U1219" s="109"/>
      <c r="V1219" s="109"/>
      <c r="W1219" s="109"/>
      <c r="X1219" s="109"/>
      <c r="Y1219" s="109"/>
      <c r="Z1219" s="109"/>
      <c r="AA1219" s="109"/>
      <c r="AB1219" s="109"/>
      <c r="AC1219" s="109"/>
      <c r="AD1219" s="109"/>
      <c r="AE1219" s="109"/>
      <c r="AF1219" s="109"/>
      <c r="AG1219" s="109"/>
      <c r="AH1219" s="109"/>
      <c r="AI1219" s="109"/>
      <c r="AJ1219" s="115"/>
      <c r="AK1219" s="80"/>
      <c r="AL1219" s="80"/>
      <c r="AM1219" s="80"/>
      <c r="AN1219" s="80"/>
      <c r="AO1219" s="80"/>
      <c r="AP1219" s="80"/>
      <c r="AQ1219" s="80"/>
      <c r="AR1219" s="73"/>
      <c r="AS1219" s="73"/>
      <c r="AT1219" s="73"/>
      <c r="AU1219" s="73"/>
      <c r="AV1219" s="73"/>
      <c r="AW1219" s="73"/>
      <c r="AX1219" s="73"/>
      <c r="AY1219" s="73"/>
      <c r="AZ1219" s="73"/>
      <c r="BA1219" s="73"/>
      <c r="BB1219" s="73"/>
      <c r="BC1219" s="73"/>
      <c r="BD1219" s="73"/>
      <c r="BE1219" s="73"/>
      <c r="BF1219" s="73"/>
      <c r="BG1219" s="73"/>
      <c r="BH1219" s="73"/>
      <c r="BI1219" s="73"/>
      <c r="BJ1219" s="73"/>
      <c r="BK1219" s="73"/>
      <c r="BL1219" s="73"/>
      <c r="BM1219" s="73"/>
      <c r="BN1219" s="73"/>
      <c r="BO1219" s="73"/>
      <c r="BP1219" s="73"/>
      <c r="BQ1219" s="73"/>
      <c r="BR1219" s="73"/>
      <c r="BS1219" s="73"/>
      <c r="BT1219" s="73"/>
      <c r="BU1219" s="73"/>
      <c r="BV1219" s="73"/>
      <c r="BW1219" s="73"/>
      <c r="BX1219" s="73"/>
      <c r="BY1219" s="73"/>
      <c r="BZ1219" s="73"/>
      <c r="CA1219" s="73"/>
      <c r="CB1219" s="73"/>
      <c r="CC1219" s="73"/>
      <c r="CD1219" s="73"/>
      <c r="CE1219" s="73"/>
      <c r="CF1219" s="73"/>
      <c r="CG1219" s="73"/>
      <c r="CH1219" s="73"/>
    </row>
    <row r="1220">
      <c r="A1220" s="80"/>
      <c r="B1220" s="80"/>
      <c r="C1220" s="80"/>
      <c r="D1220" s="80"/>
      <c r="E1220" s="124"/>
      <c r="F1220" s="80"/>
      <c r="G1220" s="80"/>
      <c r="H1220" s="80"/>
      <c r="I1220" s="80"/>
      <c r="J1220" s="109"/>
      <c r="K1220" s="109"/>
      <c r="L1220" s="109"/>
      <c r="M1220" s="109"/>
      <c r="N1220" s="109"/>
      <c r="O1220" s="109"/>
      <c r="P1220" s="109"/>
      <c r="Q1220" s="109"/>
      <c r="R1220" s="109"/>
      <c r="S1220" s="109"/>
      <c r="T1220" s="109"/>
      <c r="U1220" s="109"/>
      <c r="V1220" s="109"/>
      <c r="W1220" s="109"/>
      <c r="X1220" s="109"/>
      <c r="Y1220" s="109"/>
      <c r="Z1220" s="109"/>
      <c r="AA1220" s="109"/>
      <c r="AB1220" s="109"/>
      <c r="AC1220" s="109"/>
      <c r="AD1220" s="109"/>
      <c r="AE1220" s="109"/>
      <c r="AF1220" s="109"/>
      <c r="AG1220" s="109"/>
      <c r="AH1220" s="109"/>
      <c r="AI1220" s="109"/>
      <c r="AJ1220" s="115"/>
      <c r="AK1220" s="80"/>
      <c r="AL1220" s="80"/>
      <c r="AM1220" s="80"/>
      <c r="AN1220" s="80"/>
      <c r="AO1220" s="80"/>
      <c r="AP1220" s="80"/>
      <c r="AQ1220" s="80"/>
      <c r="AR1220" s="73"/>
      <c r="AS1220" s="73"/>
      <c r="AT1220" s="73"/>
      <c r="AU1220" s="73"/>
      <c r="AV1220" s="73"/>
      <c r="AW1220" s="73"/>
      <c r="AX1220" s="73"/>
      <c r="AY1220" s="73"/>
      <c r="AZ1220" s="73"/>
      <c r="BA1220" s="73"/>
      <c r="BB1220" s="73"/>
      <c r="BC1220" s="73"/>
      <c r="BD1220" s="73"/>
      <c r="BE1220" s="73"/>
      <c r="BF1220" s="73"/>
      <c r="BG1220" s="73"/>
      <c r="BH1220" s="73"/>
      <c r="BI1220" s="73"/>
      <c r="BJ1220" s="73"/>
      <c r="BK1220" s="73"/>
      <c r="BL1220" s="73"/>
      <c r="BM1220" s="73"/>
      <c r="BN1220" s="73"/>
      <c r="BO1220" s="73"/>
      <c r="BP1220" s="73"/>
      <c r="BQ1220" s="73"/>
      <c r="BR1220" s="73"/>
      <c r="BS1220" s="73"/>
      <c r="BT1220" s="73"/>
      <c r="BU1220" s="73"/>
      <c r="BV1220" s="73"/>
      <c r="BW1220" s="73"/>
      <c r="BX1220" s="73"/>
      <c r="BY1220" s="73"/>
      <c r="BZ1220" s="73"/>
      <c r="CA1220" s="73"/>
      <c r="CB1220" s="73"/>
      <c r="CC1220" s="73"/>
      <c r="CD1220" s="73"/>
      <c r="CE1220" s="73"/>
      <c r="CF1220" s="73"/>
      <c r="CG1220" s="73"/>
      <c r="CH1220" s="73"/>
    </row>
    <row r="1221">
      <c r="A1221" s="80"/>
      <c r="B1221" s="80"/>
      <c r="C1221" s="80"/>
      <c r="D1221" s="80"/>
      <c r="E1221" s="124"/>
      <c r="F1221" s="80"/>
      <c r="G1221" s="80"/>
      <c r="H1221" s="80"/>
      <c r="I1221" s="80"/>
      <c r="J1221" s="109"/>
      <c r="K1221" s="109"/>
      <c r="L1221" s="109"/>
      <c r="M1221" s="109"/>
      <c r="N1221" s="109"/>
      <c r="O1221" s="109"/>
      <c r="P1221" s="109"/>
      <c r="Q1221" s="109"/>
      <c r="R1221" s="109"/>
      <c r="S1221" s="109"/>
      <c r="T1221" s="109"/>
      <c r="U1221" s="109"/>
      <c r="V1221" s="109"/>
      <c r="W1221" s="109"/>
      <c r="X1221" s="109"/>
      <c r="Y1221" s="109"/>
      <c r="Z1221" s="109"/>
      <c r="AA1221" s="109"/>
      <c r="AB1221" s="109"/>
      <c r="AC1221" s="109"/>
      <c r="AD1221" s="109"/>
      <c r="AE1221" s="109"/>
      <c r="AF1221" s="109"/>
      <c r="AG1221" s="109"/>
      <c r="AH1221" s="109"/>
      <c r="AI1221" s="109"/>
      <c r="AJ1221" s="115"/>
      <c r="AK1221" s="80"/>
      <c r="AL1221" s="80"/>
      <c r="AM1221" s="80"/>
      <c r="AN1221" s="80"/>
      <c r="AO1221" s="80"/>
      <c r="AP1221" s="80"/>
      <c r="AQ1221" s="80"/>
      <c r="AR1221" s="73"/>
      <c r="AS1221" s="73"/>
      <c r="AT1221" s="73"/>
      <c r="AU1221" s="73"/>
      <c r="AV1221" s="73"/>
      <c r="AW1221" s="73"/>
      <c r="AX1221" s="73"/>
      <c r="AY1221" s="73"/>
      <c r="AZ1221" s="73"/>
      <c r="BA1221" s="73"/>
      <c r="BB1221" s="73"/>
      <c r="BC1221" s="73"/>
      <c r="BD1221" s="73"/>
      <c r="BE1221" s="73"/>
      <c r="BF1221" s="73"/>
      <c r="BG1221" s="73"/>
      <c r="BH1221" s="73"/>
      <c r="BI1221" s="73"/>
      <c r="BJ1221" s="73"/>
      <c r="BK1221" s="73"/>
      <c r="BL1221" s="73"/>
      <c r="BM1221" s="73"/>
      <c r="BN1221" s="73"/>
      <c r="BO1221" s="73"/>
      <c r="BP1221" s="73"/>
      <c r="BQ1221" s="73"/>
      <c r="BR1221" s="73"/>
      <c r="BS1221" s="73"/>
      <c r="BT1221" s="73"/>
      <c r="BU1221" s="73"/>
      <c r="BV1221" s="73"/>
      <c r="BW1221" s="73"/>
      <c r="BX1221" s="73"/>
      <c r="BY1221" s="73"/>
      <c r="BZ1221" s="73"/>
      <c r="CA1221" s="73"/>
      <c r="CB1221" s="73"/>
      <c r="CC1221" s="73"/>
      <c r="CD1221" s="73"/>
      <c r="CE1221" s="73"/>
      <c r="CF1221" s="73"/>
      <c r="CG1221" s="73"/>
      <c r="CH1221" s="73"/>
    </row>
    <row r="1222">
      <c r="A1222" s="80"/>
      <c r="B1222" s="80"/>
      <c r="C1222" s="80"/>
      <c r="D1222" s="80"/>
      <c r="E1222" s="124"/>
      <c r="F1222" s="80"/>
      <c r="G1222" s="80"/>
      <c r="H1222" s="80"/>
      <c r="I1222" s="80"/>
      <c r="J1222" s="109"/>
      <c r="K1222" s="109"/>
      <c r="L1222" s="109"/>
      <c r="M1222" s="109"/>
      <c r="N1222" s="109"/>
      <c r="O1222" s="109"/>
      <c r="P1222" s="109"/>
      <c r="Q1222" s="109"/>
      <c r="R1222" s="109"/>
      <c r="S1222" s="109"/>
      <c r="T1222" s="109"/>
      <c r="U1222" s="109"/>
      <c r="V1222" s="109"/>
      <c r="W1222" s="109"/>
      <c r="X1222" s="109"/>
      <c r="Y1222" s="109"/>
      <c r="Z1222" s="109"/>
      <c r="AA1222" s="109"/>
      <c r="AB1222" s="109"/>
      <c r="AC1222" s="109"/>
      <c r="AD1222" s="109"/>
      <c r="AE1222" s="109"/>
      <c r="AF1222" s="109"/>
      <c r="AG1222" s="109"/>
      <c r="AH1222" s="109"/>
      <c r="AI1222" s="109"/>
      <c r="AJ1222" s="115"/>
      <c r="AK1222" s="80"/>
      <c r="AL1222" s="80"/>
      <c r="AM1222" s="80"/>
      <c r="AN1222" s="80"/>
      <c r="AO1222" s="80"/>
      <c r="AP1222" s="80"/>
      <c r="AQ1222" s="80"/>
      <c r="AR1222" s="73"/>
      <c r="AS1222" s="73"/>
      <c r="AT1222" s="73"/>
      <c r="AU1222" s="73"/>
      <c r="AV1222" s="73"/>
      <c r="AW1222" s="73"/>
      <c r="AX1222" s="73"/>
      <c r="AY1222" s="73"/>
      <c r="AZ1222" s="73"/>
      <c r="BA1222" s="73"/>
      <c r="BB1222" s="73"/>
      <c r="BC1222" s="73"/>
      <c r="BD1222" s="73"/>
      <c r="BE1222" s="73"/>
      <c r="BF1222" s="73"/>
      <c r="BG1222" s="73"/>
      <c r="BH1222" s="73"/>
      <c r="BI1222" s="73"/>
      <c r="BJ1222" s="73"/>
      <c r="BK1222" s="73"/>
      <c r="BL1222" s="73"/>
      <c r="BM1222" s="73"/>
      <c r="BN1222" s="73"/>
      <c r="BO1222" s="73"/>
      <c r="BP1222" s="73"/>
      <c r="BQ1222" s="73"/>
      <c r="BR1222" s="73"/>
      <c r="BS1222" s="73"/>
      <c r="BT1222" s="73"/>
      <c r="BU1222" s="73"/>
      <c r="BV1222" s="73"/>
      <c r="BW1222" s="73"/>
      <c r="BX1222" s="73"/>
      <c r="BY1222" s="73"/>
      <c r="BZ1222" s="73"/>
      <c r="CA1222" s="73"/>
      <c r="CB1222" s="73"/>
      <c r="CC1222" s="73"/>
      <c r="CD1222" s="73"/>
      <c r="CE1222" s="73"/>
      <c r="CF1222" s="73"/>
      <c r="CG1222" s="73"/>
      <c r="CH1222" s="73"/>
    </row>
    <row r="1223">
      <c r="A1223" s="80"/>
      <c r="B1223" s="80"/>
      <c r="C1223" s="80"/>
      <c r="D1223" s="80"/>
      <c r="E1223" s="124"/>
      <c r="F1223" s="80"/>
      <c r="G1223" s="80"/>
      <c r="H1223" s="80"/>
      <c r="I1223" s="80"/>
      <c r="J1223" s="109"/>
      <c r="K1223" s="109"/>
      <c r="L1223" s="109"/>
      <c r="M1223" s="109"/>
      <c r="N1223" s="109"/>
      <c r="O1223" s="109"/>
      <c r="P1223" s="109"/>
      <c r="Q1223" s="109"/>
      <c r="R1223" s="109"/>
      <c r="S1223" s="109"/>
      <c r="T1223" s="109"/>
      <c r="U1223" s="109"/>
      <c r="V1223" s="109"/>
      <c r="W1223" s="109"/>
      <c r="X1223" s="109"/>
      <c r="Y1223" s="109"/>
      <c r="Z1223" s="109"/>
      <c r="AA1223" s="109"/>
      <c r="AB1223" s="109"/>
      <c r="AC1223" s="109"/>
      <c r="AD1223" s="109"/>
      <c r="AE1223" s="109"/>
      <c r="AF1223" s="109"/>
      <c r="AG1223" s="109"/>
      <c r="AH1223" s="109"/>
      <c r="AI1223" s="109"/>
      <c r="AJ1223" s="115"/>
      <c r="AK1223" s="80"/>
      <c r="AL1223" s="80"/>
      <c r="AM1223" s="80"/>
      <c r="AN1223" s="80"/>
      <c r="AO1223" s="80"/>
      <c r="AP1223" s="80"/>
      <c r="AQ1223" s="80"/>
      <c r="AR1223" s="73"/>
      <c r="AS1223" s="73"/>
      <c r="AT1223" s="73"/>
      <c r="AU1223" s="73"/>
      <c r="AV1223" s="73"/>
      <c r="AW1223" s="73"/>
      <c r="AX1223" s="73"/>
      <c r="AY1223" s="73"/>
      <c r="AZ1223" s="73"/>
      <c r="BA1223" s="73"/>
      <c r="BB1223" s="73"/>
      <c r="BC1223" s="73"/>
      <c r="BD1223" s="73"/>
      <c r="BE1223" s="73"/>
      <c r="BF1223" s="73"/>
      <c r="BG1223" s="73"/>
      <c r="BH1223" s="73"/>
      <c r="BI1223" s="73"/>
      <c r="BJ1223" s="73"/>
      <c r="BK1223" s="73"/>
      <c r="BL1223" s="73"/>
      <c r="BM1223" s="73"/>
      <c r="BN1223" s="73"/>
      <c r="BO1223" s="73"/>
      <c r="BP1223" s="73"/>
      <c r="BQ1223" s="73"/>
      <c r="BR1223" s="73"/>
      <c r="BS1223" s="73"/>
      <c r="BT1223" s="73"/>
      <c r="BU1223" s="73"/>
      <c r="BV1223" s="73"/>
      <c r="BW1223" s="73"/>
      <c r="BX1223" s="73"/>
      <c r="BY1223" s="73"/>
      <c r="BZ1223" s="73"/>
      <c r="CA1223" s="73"/>
      <c r="CB1223" s="73"/>
      <c r="CC1223" s="73"/>
      <c r="CD1223" s="73"/>
      <c r="CE1223" s="73"/>
      <c r="CF1223" s="73"/>
      <c r="CG1223" s="73"/>
      <c r="CH1223" s="73"/>
    </row>
    <row r="1224">
      <c r="A1224" s="80"/>
      <c r="B1224" s="80"/>
      <c r="C1224" s="80"/>
      <c r="D1224" s="80"/>
      <c r="E1224" s="124"/>
      <c r="F1224" s="80"/>
      <c r="G1224" s="80"/>
      <c r="H1224" s="80"/>
      <c r="I1224" s="80"/>
      <c r="J1224" s="109"/>
      <c r="K1224" s="109"/>
      <c r="L1224" s="109"/>
      <c r="M1224" s="109"/>
      <c r="N1224" s="109"/>
      <c r="O1224" s="109"/>
      <c r="P1224" s="109"/>
      <c r="Q1224" s="109"/>
      <c r="R1224" s="109"/>
      <c r="S1224" s="109"/>
      <c r="T1224" s="109"/>
      <c r="U1224" s="109"/>
      <c r="V1224" s="109"/>
      <c r="W1224" s="109"/>
      <c r="X1224" s="109"/>
      <c r="Y1224" s="109"/>
      <c r="Z1224" s="109"/>
      <c r="AA1224" s="109"/>
      <c r="AB1224" s="109"/>
      <c r="AC1224" s="109"/>
      <c r="AD1224" s="109"/>
      <c r="AE1224" s="109"/>
      <c r="AF1224" s="109"/>
      <c r="AG1224" s="109"/>
      <c r="AH1224" s="109"/>
      <c r="AI1224" s="109"/>
      <c r="AJ1224" s="115"/>
      <c r="AK1224" s="80"/>
      <c r="AL1224" s="80"/>
      <c r="AM1224" s="80"/>
      <c r="AN1224" s="80"/>
      <c r="AO1224" s="80"/>
      <c r="AP1224" s="80"/>
      <c r="AQ1224" s="80"/>
      <c r="AR1224" s="73"/>
      <c r="AS1224" s="73"/>
      <c r="AT1224" s="73"/>
      <c r="AU1224" s="73"/>
      <c r="AV1224" s="73"/>
      <c r="AW1224" s="73"/>
      <c r="AX1224" s="73"/>
      <c r="AY1224" s="73"/>
      <c r="AZ1224" s="73"/>
      <c r="BA1224" s="73"/>
      <c r="BB1224" s="73"/>
      <c r="BC1224" s="73"/>
      <c r="BD1224" s="73"/>
      <c r="BE1224" s="73"/>
      <c r="BF1224" s="73"/>
      <c r="BG1224" s="73"/>
      <c r="BH1224" s="73"/>
      <c r="BI1224" s="73"/>
      <c r="BJ1224" s="73"/>
      <c r="BK1224" s="73"/>
      <c r="BL1224" s="73"/>
      <c r="BM1224" s="73"/>
      <c r="BN1224" s="73"/>
      <c r="BO1224" s="73"/>
      <c r="BP1224" s="73"/>
      <c r="BQ1224" s="73"/>
      <c r="BR1224" s="73"/>
      <c r="BS1224" s="73"/>
      <c r="BT1224" s="73"/>
      <c r="BU1224" s="73"/>
      <c r="BV1224" s="73"/>
      <c r="BW1224" s="73"/>
      <c r="BX1224" s="73"/>
      <c r="BY1224" s="73"/>
      <c r="BZ1224" s="73"/>
      <c r="CA1224" s="73"/>
      <c r="CB1224" s="73"/>
      <c r="CC1224" s="73"/>
      <c r="CD1224" s="73"/>
      <c r="CE1224" s="73"/>
      <c r="CF1224" s="73"/>
      <c r="CG1224" s="73"/>
      <c r="CH1224" s="73"/>
    </row>
    <row r="1225">
      <c r="A1225" s="80"/>
      <c r="B1225" s="80"/>
      <c r="C1225" s="80"/>
      <c r="D1225" s="80"/>
      <c r="E1225" s="124"/>
      <c r="F1225" s="80"/>
      <c r="G1225" s="80"/>
      <c r="H1225" s="80"/>
      <c r="I1225" s="80"/>
      <c r="J1225" s="109"/>
      <c r="K1225" s="109"/>
      <c r="L1225" s="109"/>
      <c r="M1225" s="109"/>
      <c r="N1225" s="109"/>
      <c r="O1225" s="109"/>
      <c r="P1225" s="109"/>
      <c r="Q1225" s="109"/>
      <c r="R1225" s="109"/>
      <c r="S1225" s="109"/>
      <c r="T1225" s="109"/>
      <c r="U1225" s="109"/>
      <c r="V1225" s="109"/>
      <c r="W1225" s="109"/>
      <c r="X1225" s="109"/>
      <c r="Y1225" s="109"/>
      <c r="Z1225" s="109"/>
      <c r="AA1225" s="109"/>
      <c r="AB1225" s="109"/>
      <c r="AC1225" s="109"/>
      <c r="AD1225" s="109"/>
      <c r="AE1225" s="109"/>
      <c r="AF1225" s="109"/>
      <c r="AG1225" s="109"/>
      <c r="AH1225" s="109"/>
      <c r="AI1225" s="109"/>
      <c r="AJ1225" s="115"/>
      <c r="AK1225" s="80"/>
      <c r="AL1225" s="80"/>
      <c r="AM1225" s="80"/>
      <c r="AN1225" s="80"/>
      <c r="AO1225" s="80"/>
      <c r="AP1225" s="80"/>
      <c r="AQ1225" s="80"/>
      <c r="AR1225" s="73"/>
      <c r="AS1225" s="73"/>
      <c r="AT1225" s="73"/>
      <c r="AU1225" s="73"/>
      <c r="AV1225" s="73"/>
      <c r="AW1225" s="73"/>
      <c r="AX1225" s="73"/>
      <c r="AY1225" s="73"/>
      <c r="AZ1225" s="73"/>
      <c r="BA1225" s="73"/>
      <c r="BB1225" s="73"/>
      <c r="BC1225" s="73"/>
      <c r="BD1225" s="73"/>
      <c r="BE1225" s="73"/>
      <c r="BF1225" s="73"/>
      <c r="BG1225" s="73"/>
      <c r="BH1225" s="73"/>
      <c r="BI1225" s="73"/>
      <c r="BJ1225" s="73"/>
      <c r="BK1225" s="73"/>
      <c r="BL1225" s="73"/>
      <c r="BM1225" s="73"/>
      <c r="BN1225" s="73"/>
      <c r="BO1225" s="73"/>
      <c r="BP1225" s="73"/>
      <c r="BQ1225" s="73"/>
      <c r="BR1225" s="73"/>
      <c r="BS1225" s="73"/>
      <c r="BT1225" s="73"/>
      <c r="BU1225" s="73"/>
      <c r="BV1225" s="73"/>
      <c r="BW1225" s="73"/>
      <c r="BX1225" s="73"/>
      <c r="BY1225" s="73"/>
      <c r="BZ1225" s="73"/>
      <c r="CA1225" s="73"/>
      <c r="CB1225" s="73"/>
      <c r="CC1225" s="73"/>
      <c r="CD1225" s="73"/>
      <c r="CE1225" s="73"/>
      <c r="CF1225" s="73"/>
      <c r="CG1225" s="73"/>
      <c r="CH1225" s="73"/>
    </row>
    <row r="1226">
      <c r="A1226" s="80"/>
      <c r="B1226" s="80"/>
      <c r="C1226" s="80"/>
      <c r="D1226" s="80"/>
      <c r="E1226" s="124"/>
      <c r="F1226" s="80"/>
      <c r="G1226" s="80"/>
      <c r="H1226" s="80"/>
      <c r="I1226" s="80"/>
      <c r="J1226" s="109"/>
      <c r="K1226" s="109"/>
      <c r="L1226" s="109"/>
      <c r="M1226" s="109"/>
      <c r="N1226" s="109"/>
      <c r="O1226" s="109"/>
      <c r="P1226" s="109"/>
      <c r="Q1226" s="109"/>
      <c r="R1226" s="109"/>
      <c r="S1226" s="109"/>
      <c r="T1226" s="109"/>
      <c r="U1226" s="109"/>
      <c r="V1226" s="109"/>
      <c r="W1226" s="109"/>
      <c r="X1226" s="109"/>
      <c r="Y1226" s="109"/>
      <c r="Z1226" s="109"/>
      <c r="AA1226" s="109"/>
      <c r="AB1226" s="109"/>
      <c r="AC1226" s="109"/>
      <c r="AD1226" s="109"/>
      <c r="AE1226" s="109"/>
      <c r="AF1226" s="109"/>
      <c r="AG1226" s="109"/>
      <c r="AH1226" s="109"/>
      <c r="AI1226" s="109"/>
      <c r="AJ1226" s="115"/>
      <c r="AK1226" s="80"/>
      <c r="AL1226" s="80"/>
      <c r="AM1226" s="80"/>
      <c r="AN1226" s="80"/>
      <c r="AO1226" s="80"/>
      <c r="AP1226" s="80"/>
      <c r="AQ1226" s="80"/>
      <c r="AR1226" s="73"/>
      <c r="AS1226" s="73"/>
      <c r="AT1226" s="73"/>
      <c r="AU1226" s="73"/>
      <c r="AV1226" s="73"/>
      <c r="AW1226" s="73"/>
      <c r="AX1226" s="73"/>
      <c r="AY1226" s="73"/>
      <c r="AZ1226" s="73"/>
      <c r="BA1226" s="73"/>
      <c r="BB1226" s="73"/>
      <c r="BC1226" s="73"/>
      <c r="BD1226" s="73"/>
      <c r="BE1226" s="73"/>
      <c r="BF1226" s="73"/>
      <c r="BG1226" s="73"/>
      <c r="BH1226" s="73"/>
      <c r="BI1226" s="73"/>
      <c r="BJ1226" s="73"/>
      <c r="BK1226" s="73"/>
      <c r="BL1226" s="73"/>
      <c r="BM1226" s="73"/>
      <c r="BN1226" s="73"/>
      <c r="BO1226" s="73"/>
      <c r="BP1226" s="73"/>
      <c r="BQ1226" s="73"/>
      <c r="BR1226" s="73"/>
      <c r="BS1226" s="73"/>
      <c r="BT1226" s="73"/>
      <c r="BU1226" s="73"/>
      <c r="BV1226" s="73"/>
      <c r="BW1226" s="73"/>
      <c r="BX1226" s="73"/>
      <c r="BY1226" s="73"/>
      <c r="BZ1226" s="73"/>
      <c r="CA1226" s="73"/>
      <c r="CB1226" s="73"/>
      <c r="CC1226" s="73"/>
      <c r="CD1226" s="73"/>
      <c r="CE1226" s="73"/>
      <c r="CF1226" s="73"/>
      <c r="CG1226" s="73"/>
      <c r="CH1226" s="73"/>
    </row>
    <row r="1227">
      <c r="A1227" s="80"/>
      <c r="B1227" s="80"/>
      <c r="C1227" s="80"/>
      <c r="D1227" s="80"/>
      <c r="E1227" s="124"/>
      <c r="F1227" s="80"/>
      <c r="G1227" s="80"/>
      <c r="H1227" s="80"/>
      <c r="I1227" s="80"/>
      <c r="J1227" s="109"/>
      <c r="K1227" s="109"/>
      <c r="L1227" s="109"/>
      <c r="M1227" s="109"/>
      <c r="N1227" s="109"/>
      <c r="O1227" s="109"/>
      <c r="P1227" s="109"/>
      <c r="Q1227" s="109"/>
      <c r="R1227" s="109"/>
      <c r="S1227" s="109"/>
      <c r="T1227" s="109"/>
      <c r="U1227" s="109"/>
      <c r="V1227" s="109"/>
      <c r="W1227" s="109"/>
      <c r="X1227" s="109"/>
      <c r="Y1227" s="109"/>
      <c r="Z1227" s="109"/>
      <c r="AA1227" s="109"/>
      <c r="AB1227" s="109"/>
      <c r="AC1227" s="109"/>
      <c r="AD1227" s="109"/>
      <c r="AE1227" s="109"/>
      <c r="AF1227" s="109"/>
      <c r="AG1227" s="109"/>
      <c r="AH1227" s="109"/>
      <c r="AI1227" s="109"/>
      <c r="AJ1227" s="115"/>
      <c r="AK1227" s="80"/>
      <c r="AL1227" s="80"/>
      <c r="AM1227" s="80"/>
      <c r="AN1227" s="80"/>
      <c r="AO1227" s="80"/>
      <c r="AP1227" s="80"/>
      <c r="AQ1227" s="80"/>
      <c r="AR1227" s="73"/>
      <c r="AS1227" s="73"/>
      <c r="AT1227" s="73"/>
      <c r="AU1227" s="73"/>
      <c r="AV1227" s="73"/>
      <c r="AW1227" s="73"/>
      <c r="AX1227" s="73"/>
      <c r="AY1227" s="73"/>
      <c r="AZ1227" s="73"/>
      <c r="BA1227" s="73"/>
      <c r="BB1227" s="73"/>
      <c r="BC1227" s="73"/>
      <c r="BD1227" s="73"/>
      <c r="BE1227" s="73"/>
      <c r="BF1227" s="73"/>
      <c r="BG1227" s="73"/>
      <c r="BH1227" s="73"/>
      <c r="BI1227" s="73"/>
      <c r="BJ1227" s="73"/>
      <c r="BK1227" s="73"/>
      <c r="BL1227" s="73"/>
      <c r="BM1227" s="73"/>
      <c r="BN1227" s="73"/>
      <c r="BO1227" s="73"/>
      <c r="BP1227" s="73"/>
      <c r="BQ1227" s="73"/>
      <c r="BR1227" s="73"/>
      <c r="BS1227" s="73"/>
      <c r="BT1227" s="73"/>
      <c r="BU1227" s="73"/>
      <c r="BV1227" s="73"/>
      <c r="BW1227" s="73"/>
      <c r="BX1227" s="73"/>
      <c r="BY1227" s="73"/>
      <c r="BZ1227" s="73"/>
      <c r="CA1227" s="73"/>
      <c r="CB1227" s="73"/>
      <c r="CC1227" s="73"/>
      <c r="CD1227" s="73"/>
      <c r="CE1227" s="73"/>
      <c r="CF1227" s="73"/>
      <c r="CG1227" s="73"/>
      <c r="CH1227" s="73"/>
    </row>
    <row r="1228">
      <c r="A1228" s="80"/>
      <c r="B1228" s="80"/>
      <c r="C1228" s="80"/>
      <c r="D1228" s="80"/>
      <c r="E1228" s="124"/>
      <c r="F1228" s="80"/>
      <c r="G1228" s="80"/>
      <c r="H1228" s="80"/>
      <c r="I1228" s="80"/>
      <c r="J1228" s="109"/>
      <c r="K1228" s="109"/>
      <c r="L1228" s="109"/>
      <c r="M1228" s="109"/>
      <c r="N1228" s="109"/>
      <c r="O1228" s="109"/>
      <c r="P1228" s="109"/>
      <c r="Q1228" s="109"/>
      <c r="R1228" s="109"/>
      <c r="S1228" s="109"/>
      <c r="T1228" s="109"/>
      <c r="U1228" s="109"/>
      <c r="V1228" s="109"/>
      <c r="W1228" s="109"/>
      <c r="X1228" s="109"/>
      <c r="Y1228" s="109"/>
      <c r="Z1228" s="109"/>
      <c r="AA1228" s="109"/>
      <c r="AB1228" s="109"/>
      <c r="AC1228" s="109"/>
      <c r="AD1228" s="109"/>
      <c r="AE1228" s="109"/>
      <c r="AF1228" s="109"/>
      <c r="AG1228" s="109"/>
      <c r="AH1228" s="109"/>
      <c r="AI1228" s="109"/>
      <c r="AJ1228" s="115"/>
      <c r="AK1228" s="80"/>
      <c r="AL1228" s="80"/>
      <c r="AM1228" s="80"/>
      <c r="AN1228" s="80"/>
      <c r="AO1228" s="80"/>
      <c r="AP1228" s="80"/>
      <c r="AQ1228" s="80"/>
      <c r="AR1228" s="73"/>
      <c r="AS1228" s="73"/>
      <c r="AT1228" s="73"/>
      <c r="AU1228" s="73"/>
      <c r="AV1228" s="73"/>
      <c r="AW1228" s="73"/>
      <c r="AX1228" s="73"/>
      <c r="AY1228" s="73"/>
      <c r="AZ1228" s="73"/>
      <c r="BA1228" s="73"/>
      <c r="BB1228" s="73"/>
      <c r="BC1228" s="73"/>
      <c r="BD1228" s="73"/>
      <c r="BE1228" s="73"/>
      <c r="BF1228" s="73"/>
      <c r="BG1228" s="73"/>
      <c r="BH1228" s="73"/>
      <c r="BI1228" s="73"/>
      <c r="BJ1228" s="73"/>
      <c r="BK1228" s="73"/>
      <c r="BL1228" s="73"/>
      <c r="BM1228" s="73"/>
      <c r="BN1228" s="73"/>
      <c r="BO1228" s="73"/>
      <c r="BP1228" s="73"/>
      <c r="BQ1228" s="73"/>
      <c r="BR1228" s="73"/>
      <c r="BS1228" s="73"/>
      <c r="BT1228" s="73"/>
      <c r="BU1228" s="73"/>
      <c r="BV1228" s="73"/>
      <c r="BW1228" s="73"/>
      <c r="BX1228" s="73"/>
      <c r="BY1228" s="73"/>
      <c r="BZ1228" s="73"/>
      <c r="CA1228" s="73"/>
      <c r="CB1228" s="73"/>
      <c r="CC1228" s="73"/>
      <c r="CD1228" s="73"/>
      <c r="CE1228" s="73"/>
      <c r="CF1228" s="73"/>
      <c r="CG1228" s="73"/>
      <c r="CH1228" s="73"/>
    </row>
    <row r="1229">
      <c r="A1229" s="80"/>
      <c r="B1229" s="80"/>
      <c r="C1229" s="80"/>
      <c r="D1229" s="80"/>
      <c r="E1229" s="124"/>
      <c r="F1229" s="80"/>
      <c r="G1229" s="80"/>
      <c r="H1229" s="80"/>
      <c r="I1229" s="80"/>
      <c r="J1229" s="109"/>
      <c r="K1229" s="109"/>
      <c r="L1229" s="109"/>
      <c r="M1229" s="109"/>
      <c r="N1229" s="109"/>
      <c r="O1229" s="109"/>
      <c r="P1229" s="109"/>
      <c r="Q1229" s="109"/>
      <c r="R1229" s="109"/>
      <c r="S1229" s="109"/>
      <c r="T1229" s="109"/>
      <c r="U1229" s="109"/>
      <c r="V1229" s="109"/>
      <c r="W1229" s="109"/>
      <c r="X1229" s="109"/>
      <c r="Y1229" s="109"/>
      <c r="Z1229" s="109"/>
      <c r="AA1229" s="109"/>
      <c r="AB1229" s="109"/>
      <c r="AC1229" s="109"/>
      <c r="AD1229" s="109"/>
      <c r="AE1229" s="109"/>
      <c r="AF1229" s="109"/>
      <c r="AG1229" s="109"/>
      <c r="AH1229" s="109"/>
      <c r="AI1229" s="109"/>
      <c r="AJ1229" s="115"/>
      <c r="AK1229" s="80"/>
      <c r="AL1229" s="80"/>
      <c r="AM1229" s="80"/>
      <c r="AN1229" s="80"/>
      <c r="AO1229" s="80"/>
      <c r="AP1229" s="80"/>
      <c r="AQ1229" s="80"/>
      <c r="AR1229" s="73"/>
      <c r="AS1229" s="73"/>
      <c r="AT1229" s="73"/>
      <c r="AU1229" s="73"/>
      <c r="AV1229" s="73"/>
      <c r="AW1229" s="73"/>
      <c r="AX1229" s="73"/>
      <c r="AY1229" s="73"/>
      <c r="AZ1229" s="73"/>
      <c r="BA1229" s="73"/>
      <c r="BB1229" s="73"/>
      <c r="BC1229" s="73"/>
      <c r="BD1229" s="73"/>
      <c r="BE1229" s="73"/>
      <c r="BF1229" s="73"/>
      <c r="BG1229" s="73"/>
      <c r="BH1229" s="73"/>
      <c r="BI1229" s="73"/>
      <c r="BJ1229" s="73"/>
      <c r="BK1229" s="73"/>
      <c r="BL1229" s="73"/>
      <c r="BM1229" s="73"/>
      <c r="BN1229" s="73"/>
      <c r="BO1229" s="73"/>
      <c r="BP1229" s="73"/>
      <c r="BQ1229" s="73"/>
      <c r="BR1229" s="73"/>
      <c r="BS1229" s="73"/>
      <c r="BT1229" s="73"/>
      <c r="BU1229" s="73"/>
      <c r="BV1229" s="73"/>
      <c r="BW1229" s="73"/>
      <c r="BX1229" s="73"/>
      <c r="BY1229" s="73"/>
      <c r="BZ1229" s="73"/>
      <c r="CA1229" s="73"/>
      <c r="CB1229" s="73"/>
      <c r="CC1229" s="73"/>
      <c r="CD1229" s="73"/>
      <c r="CE1229" s="73"/>
      <c r="CF1229" s="73"/>
      <c r="CG1229" s="73"/>
      <c r="CH1229" s="73"/>
    </row>
    <row r="1230">
      <c r="A1230" s="80"/>
      <c r="B1230" s="80"/>
      <c r="C1230" s="80"/>
      <c r="D1230" s="80"/>
      <c r="E1230" s="124"/>
      <c r="F1230" s="80"/>
      <c r="G1230" s="80"/>
      <c r="H1230" s="80"/>
      <c r="I1230" s="80"/>
      <c r="J1230" s="109"/>
      <c r="K1230" s="109"/>
      <c r="L1230" s="109"/>
      <c r="M1230" s="109"/>
      <c r="N1230" s="109"/>
      <c r="O1230" s="109"/>
      <c r="P1230" s="109"/>
      <c r="Q1230" s="109"/>
      <c r="R1230" s="109"/>
      <c r="S1230" s="109"/>
      <c r="T1230" s="109"/>
      <c r="U1230" s="109"/>
      <c r="V1230" s="109"/>
      <c r="W1230" s="109"/>
      <c r="X1230" s="109"/>
      <c r="Y1230" s="109"/>
      <c r="Z1230" s="109"/>
      <c r="AA1230" s="109"/>
      <c r="AB1230" s="109"/>
      <c r="AC1230" s="109"/>
      <c r="AD1230" s="109"/>
      <c r="AE1230" s="109"/>
      <c r="AF1230" s="109"/>
      <c r="AG1230" s="109"/>
      <c r="AH1230" s="109"/>
      <c r="AI1230" s="109"/>
      <c r="AJ1230" s="115"/>
      <c r="AK1230" s="80"/>
      <c r="AL1230" s="80"/>
      <c r="AM1230" s="80"/>
      <c r="AN1230" s="80"/>
      <c r="AO1230" s="80"/>
      <c r="AP1230" s="80"/>
      <c r="AQ1230" s="80"/>
      <c r="AR1230" s="73"/>
      <c r="AS1230" s="73"/>
      <c r="AT1230" s="73"/>
      <c r="AU1230" s="73"/>
      <c r="AV1230" s="73"/>
      <c r="AW1230" s="73"/>
      <c r="AX1230" s="73"/>
      <c r="AY1230" s="73"/>
      <c r="AZ1230" s="73"/>
      <c r="BA1230" s="73"/>
      <c r="BB1230" s="73"/>
      <c r="BC1230" s="73"/>
      <c r="BD1230" s="73"/>
      <c r="BE1230" s="73"/>
      <c r="BF1230" s="73"/>
      <c r="BG1230" s="73"/>
      <c r="BH1230" s="73"/>
      <c r="BI1230" s="73"/>
      <c r="BJ1230" s="73"/>
      <c r="BK1230" s="73"/>
      <c r="BL1230" s="73"/>
      <c r="BM1230" s="73"/>
      <c r="BN1230" s="73"/>
      <c r="BO1230" s="73"/>
      <c r="BP1230" s="73"/>
      <c r="BQ1230" s="73"/>
      <c r="BR1230" s="73"/>
      <c r="BS1230" s="73"/>
      <c r="BT1230" s="73"/>
      <c r="BU1230" s="73"/>
      <c r="BV1230" s="73"/>
      <c r="BW1230" s="73"/>
      <c r="BX1230" s="73"/>
      <c r="BY1230" s="73"/>
      <c r="BZ1230" s="73"/>
      <c r="CA1230" s="73"/>
      <c r="CB1230" s="73"/>
      <c r="CC1230" s="73"/>
      <c r="CD1230" s="73"/>
      <c r="CE1230" s="73"/>
      <c r="CF1230" s="73"/>
      <c r="CG1230" s="73"/>
      <c r="CH1230" s="73"/>
    </row>
    <row r="1231">
      <c r="A1231" s="80"/>
      <c r="B1231" s="80"/>
      <c r="C1231" s="80"/>
      <c r="D1231" s="80"/>
      <c r="E1231" s="124"/>
      <c r="F1231" s="80"/>
      <c r="G1231" s="80"/>
      <c r="H1231" s="80"/>
      <c r="I1231" s="80"/>
      <c r="J1231" s="109"/>
      <c r="K1231" s="109"/>
      <c r="L1231" s="109"/>
      <c r="M1231" s="109"/>
      <c r="N1231" s="109"/>
      <c r="O1231" s="109"/>
      <c r="P1231" s="109"/>
      <c r="Q1231" s="109"/>
      <c r="R1231" s="109"/>
      <c r="S1231" s="109"/>
      <c r="T1231" s="109"/>
      <c r="U1231" s="109"/>
      <c r="V1231" s="109"/>
      <c r="W1231" s="109"/>
      <c r="X1231" s="109"/>
      <c r="Y1231" s="109"/>
      <c r="Z1231" s="109"/>
      <c r="AA1231" s="109"/>
      <c r="AB1231" s="109"/>
      <c r="AC1231" s="109"/>
      <c r="AD1231" s="109"/>
      <c r="AE1231" s="109"/>
      <c r="AF1231" s="109"/>
      <c r="AG1231" s="109"/>
      <c r="AH1231" s="109"/>
      <c r="AI1231" s="109"/>
      <c r="AJ1231" s="115"/>
      <c r="AK1231" s="80"/>
      <c r="AL1231" s="80"/>
      <c r="AM1231" s="80"/>
      <c r="AN1231" s="80"/>
      <c r="AO1231" s="80"/>
      <c r="AP1231" s="80"/>
      <c r="AQ1231" s="80"/>
      <c r="AR1231" s="73"/>
      <c r="AS1231" s="73"/>
      <c r="AT1231" s="73"/>
      <c r="AU1231" s="73"/>
      <c r="AV1231" s="73"/>
      <c r="AW1231" s="73"/>
      <c r="AX1231" s="73"/>
      <c r="AY1231" s="73"/>
      <c r="AZ1231" s="73"/>
      <c r="BA1231" s="73"/>
      <c r="BB1231" s="73"/>
      <c r="BC1231" s="73"/>
      <c r="BD1231" s="73"/>
      <c r="BE1231" s="73"/>
      <c r="BF1231" s="73"/>
      <c r="BG1231" s="73"/>
      <c r="BH1231" s="73"/>
      <c r="BI1231" s="73"/>
      <c r="BJ1231" s="73"/>
      <c r="BK1231" s="73"/>
      <c r="BL1231" s="73"/>
      <c r="BM1231" s="73"/>
      <c r="BN1231" s="73"/>
      <c r="BO1231" s="73"/>
      <c r="BP1231" s="73"/>
      <c r="BQ1231" s="73"/>
      <c r="BR1231" s="73"/>
      <c r="BS1231" s="73"/>
      <c r="BT1231" s="73"/>
      <c r="BU1231" s="73"/>
      <c r="BV1231" s="73"/>
      <c r="BW1231" s="73"/>
      <c r="BX1231" s="73"/>
      <c r="BY1231" s="73"/>
      <c r="BZ1231" s="73"/>
      <c r="CA1231" s="73"/>
      <c r="CB1231" s="73"/>
      <c r="CC1231" s="73"/>
      <c r="CD1231" s="73"/>
      <c r="CE1231" s="73"/>
      <c r="CF1231" s="73"/>
      <c r="CG1231" s="73"/>
      <c r="CH1231" s="73"/>
    </row>
    <row r="1232">
      <c r="A1232" s="80"/>
      <c r="B1232" s="80"/>
      <c r="C1232" s="80"/>
      <c r="D1232" s="80"/>
      <c r="E1232" s="124"/>
      <c r="F1232" s="80"/>
      <c r="G1232" s="80"/>
      <c r="H1232" s="80"/>
      <c r="I1232" s="80"/>
      <c r="J1232" s="109"/>
      <c r="K1232" s="109"/>
      <c r="L1232" s="109"/>
      <c r="M1232" s="109"/>
      <c r="N1232" s="109"/>
      <c r="O1232" s="109"/>
      <c r="P1232" s="109"/>
      <c r="Q1232" s="109"/>
      <c r="R1232" s="109"/>
      <c r="S1232" s="109"/>
      <c r="T1232" s="109"/>
      <c r="U1232" s="109"/>
      <c r="V1232" s="109"/>
      <c r="W1232" s="109"/>
      <c r="X1232" s="109"/>
      <c r="Y1232" s="109"/>
      <c r="Z1232" s="109"/>
      <c r="AA1232" s="109"/>
      <c r="AB1232" s="109"/>
      <c r="AC1232" s="109"/>
      <c r="AD1232" s="109"/>
      <c r="AE1232" s="109"/>
      <c r="AF1232" s="109"/>
      <c r="AG1232" s="109"/>
      <c r="AH1232" s="109"/>
      <c r="AI1232" s="109"/>
      <c r="AJ1232" s="115"/>
      <c r="AK1232" s="80"/>
      <c r="AL1232" s="80"/>
      <c r="AM1232" s="80"/>
      <c r="AN1232" s="80"/>
      <c r="AO1232" s="80"/>
      <c r="AP1232" s="80"/>
      <c r="AQ1232" s="80"/>
      <c r="AR1232" s="73"/>
      <c r="AS1232" s="73"/>
      <c r="AT1232" s="73"/>
      <c r="AU1232" s="73"/>
      <c r="AV1232" s="73"/>
      <c r="AW1232" s="73"/>
      <c r="AX1232" s="73"/>
      <c r="AY1232" s="73"/>
      <c r="AZ1232" s="73"/>
      <c r="BA1232" s="73"/>
      <c r="BB1232" s="73"/>
      <c r="BC1232" s="73"/>
      <c r="BD1232" s="73"/>
      <c r="BE1232" s="73"/>
      <c r="BF1232" s="73"/>
      <c r="BG1232" s="73"/>
      <c r="BH1232" s="73"/>
      <c r="BI1232" s="73"/>
      <c r="BJ1232" s="73"/>
      <c r="BK1232" s="73"/>
      <c r="BL1232" s="73"/>
      <c r="BM1232" s="73"/>
      <c r="BN1232" s="73"/>
      <c r="BO1232" s="73"/>
      <c r="BP1232" s="73"/>
      <c r="BQ1232" s="73"/>
      <c r="BR1232" s="73"/>
      <c r="BS1232" s="73"/>
      <c r="BT1232" s="73"/>
      <c r="BU1232" s="73"/>
      <c r="BV1232" s="73"/>
      <c r="BW1232" s="73"/>
      <c r="BX1232" s="73"/>
      <c r="BY1232" s="73"/>
      <c r="BZ1232" s="73"/>
      <c r="CA1232" s="73"/>
      <c r="CB1232" s="73"/>
      <c r="CC1232" s="73"/>
      <c r="CD1232" s="73"/>
      <c r="CE1232" s="73"/>
      <c r="CF1232" s="73"/>
      <c r="CG1232" s="73"/>
      <c r="CH1232" s="73"/>
    </row>
    <row r="1233">
      <c r="A1233" s="80"/>
      <c r="B1233" s="80"/>
      <c r="C1233" s="80"/>
      <c r="D1233" s="80"/>
      <c r="E1233" s="124"/>
      <c r="F1233" s="80"/>
      <c r="G1233" s="80"/>
      <c r="H1233" s="80"/>
      <c r="I1233" s="80"/>
      <c r="J1233" s="109"/>
      <c r="K1233" s="109"/>
      <c r="L1233" s="109"/>
      <c r="M1233" s="109"/>
      <c r="N1233" s="109"/>
      <c r="O1233" s="109"/>
      <c r="P1233" s="109"/>
      <c r="Q1233" s="109"/>
      <c r="R1233" s="109"/>
      <c r="S1233" s="109"/>
      <c r="T1233" s="109"/>
      <c r="U1233" s="109"/>
      <c r="V1233" s="109"/>
      <c r="W1233" s="109"/>
      <c r="X1233" s="109"/>
      <c r="Y1233" s="109"/>
      <c r="Z1233" s="109"/>
      <c r="AA1233" s="109"/>
      <c r="AB1233" s="109"/>
      <c r="AC1233" s="109"/>
      <c r="AD1233" s="109"/>
      <c r="AE1233" s="109"/>
      <c r="AF1233" s="109"/>
      <c r="AG1233" s="109"/>
      <c r="AH1233" s="109"/>
      <c r="AI1233" s="109"/>
      <c r="AJ1233" s="115"/>
      <c r="AK1233" s="80"/>
      <c r="AL1233" s="80"/>
      <c r="AM1233" s="80"/>
      <c r="AN1233" s="80"/>
      <c r="AO1233" s="80"/>
      <c r="AP1233" s="80"/>
      <c r="AQ1233" s="80"/>
      <c r="AR1233" s="73"/>
      <c r="AS1233" s="73"/>
      <c r="AT1233" s="73"/>
      <c r="AU1233" s="73"/>
      <c r="AV1233" s="73"/>
      <c r="AW1233" s="73"/>
      <c r="AX1233" s="73"/>
      <c r="AY1233" s="73"/>
      <c r="AZ1233" s="73"/>
      <c r="BA1233" s="73"/>
      <c r="BB1233" s="73"/>
      <c r="BC1233" s="73"/>
      <c r="BD1233" s="73"/>
      <c r="BE1233" s="73"/>
      <c r="BF1233" s="73"/>
      <c r="BG1233" s="73"/>
      <c r="BH1233" s="73"/>
      <c r="BI1233" s="73"/>
      <c r="BJ1233" s="73"/>
      <c r="BK1233" s="73"/>
      <c r="BL1233" s="73"/>
      <c r="BM1233" s="73"/>
      <c r="BN1233" s="73"/>
      <c r="BO1233" s="73"/>
      <c r="BP1233" s="73"/>
      <c r="BQ1233" s="73"/>
      <c r="BR1233" s="73"/>
      <c r="BS1233" s="73"/>
      <c r="BT1233" s="73"/>
      <c r="BU1233" s="73"/>
      <c r="BV1233" s="73"/>
      <c r="BW1233" s="73"/>
      <c r="BX1233" s="73"/>
      <c r="BY1233" s="73"/>
      <c r="BZ1233" s="73"/>
      <c r="CA1233" s="73"/>
      <c r="CB1233" s="73"/>
      <c r="CC1233" s="73"/>
      <c r="CD1233" s="73"/>
      <c r="CE1233" s="73"/>
      <c r="CF1233" s="73"/>
      <c r="CG1233" s="73"/>
      <c r="CH1233" s="73"/>
    </row>
    <row r="1234">
      <c r="A1234" s="80"/>
      <c r="B1234" s="80"/>
      <c r="C1234" s="80"/>
      <c r="D1234" s="80"/>
      <c r="E1234" s="124"/>
      <c r="F1234" s="80"/>
      <c r="G1234" s="80"/>
      <c r="H1234" s="80"/>
      <c r="I1234" s="80"/>
      <c r="J1234" s="109"/>
      <c r="K1234" s="109"/>
      <c r="L1234" s="109"/>
      <c r="M1234" s="109"/>
      <c r="N1234" s="109"/>
      <c r="O1234" s="109"/>
      <c r="P1234" s="109"/>
      <c r="Q1234" s="109"/>
      <c r="R1234" s="109"/>
      <c r="S1234" s="109"/>
      <c r="T1234" s="109"/>
      <c r="U1234" s="109"/>
      <c r="V1234" s="109"/>
      <c r="W1234" s="109"/>
      <c r="X1234" s="109"/>
      <c r="Y1234" s="109"/>
      <c r="Z1234" s="109"/>
      <c r="AA1234" s="109"/>
      <c r="AB1234" s="109"/>
      <c r="AC1234" s="109"/>
      <c r="AD1234" s="109"/>
      <c r="AE1234" s="109"/>
      <c r="AF1234" s="109"/>
      <c r="AG1234" s="109"/>
      <c r="AH1234" s="109"/>
      <c r="AI1234" s="109"/>
      <c r="AJ1234" s="115"/>
      <c r="AK1234" s="80"/>
      <c r="AL1234" s="80"/>
      <c r="AM1234" s="80"/>
      <c r="AN1234" s="80"/>
      <c r="AO1234" s="80"/>
      <c r="AP1234" s="80"/>
      <c r="AQ1234" s="80"/>
      <c r="AR1234" s="73"/>
      <c r="AS1234" s="73"/>
      <c r="AT1234" s="73"/>
      <c r="AU1234" s="73"/>
      <c r="AV1234" s="73"/>
      <c r="AW1234" s="73"/>
      <c r="AX1234" s="73"/>
      <c r="AY1234" s="73"/>
      <c r="AZ1234" s="73"/>
      <c r="BA1234" s="73"/>
      <c r="BB1234" s="73"/>
      <c r="BC1234" s="73"/>
      <c r="BD1234" s="73"/>
      <c r="BE1234" s="73"/>
      <c r="BF1234" s="73"/>
      <c r="BG1234" s="73"/>
      <c r="BH1234" s="73"/>
      <c r="BI1234" s="73"/>
      <c r="BJ1234" s="73"/>
      <c r="BK1234" s="73"/>
      <c r="BL1234" s="73"/>
      <c r="BM1234" s="73"/>
      <c r="BN1234" s="73"/>
      <c r="BO1234" s="73"/>
      <c r="BP1234" s="73"/>
      <c r="BQ1234" s="73"/>
      <c r="BR1234" s="73"/>
      <c r="BS1234" s="73"/>
      <c r="BT1234" s="73"/>
      <c r="BU1234" s="73"/>
      <c r="BV1234" s="73"/>
      <c r="BW1234" s="73"/>
      <c r="BX1234" s="73"/>
      <c r="BY1234" s="73"/>
      <c r="BZ1234" s="73"/>
      <c r="CA1234" s="73"/>
      <c r="CB1234" s="73"/>
      <c r="CC1234" s="73"/>
      <c r="CD1234" s="73"/>
      <c r="CE1234" s="73"/>
      <c r="CF1234" s="73"/>
      <c r="CG1234" s="73"/>
      <c r="CH1234" s="73"/>
    </row>
    <row r="1235">
      <c r="A1235" s="80"/>
      <c r="B1235" s="80"/>
      <c r="C1235" s="80"/>
      <c r="D1235" s="80"/>
      <c r="E1235" s="124"/>
      <c r="F1235" s="80"/>
      <c r="G1235" s="80"/>
      <c r="H1235" s="80"/>
      <c r="I1235" s="80"/>
      <c r="J1235" s="109"/>
      <c r="K1235" s="109"/>
      <c r="L1235" s="109"/>
      <c r="M1235" s="109"/>
      <c r="N1235" s="109"/>
      <c r="O1235" s="109"/>
      <c r="P1235" s="109"/>
      <c r="Q1235" s="109"/>
      <c r="R1235" s="109"/>
      <c r="S1235" s="109"/>
      <c r="T1235" s="109"/>
      <c r="U1235" s="109"/>
      <c r="V1235" s="109"/>
      <c r="W1235" s="109"/>
      <c r="X1235" s="109"/>
      <c r="Y1235" s="109"/>
      <c r="Z1235" s="109"/>
      <c r="AA1235" s="109"/>
      <c r="AB1235" s="109"/>
      <c r="AC1235" s="109"/>
      <c r="AD1235" s="109"/>
      <c r="AE1235" s="109"/>
      <c r="AF1235" s="109"/>
      <c r="AG1235" s="109"/>
      <c r="AH1235" s="109"/>
      <c r="AI1235" s="109"/>
      <c r="AJ1235" s="115"/>
      <c r="AK1235" s="80"/>
      <c r="AL1235" s="80"/>
      <c r="AM1235" s="80"/>
      <c r="AN1235" s="80"/>
      <c r="AO1235" s="80"/>
      <c r="AP1235" s="80"/>
      <c r="AQ1235" s="80"/>
      <c r="AR1235" s="73"/>
      <c r="AS1235" s="73"/>
      <c r="AT1235" s="73"/>
      <c r="AU1235" s="73"/>
      <c r="AV1235" s="73"/>
      <c r="AW1235" s="73"/>
      <c r="AX1235" s="73"/>
      <c r="AY1235" s="73"/>
      <c r="AZ1235" s="73"/>
      <c r="BA1235" s="73"/>
      <c r="BB1235" s="73"/>
      <c r="BC1235" s="73"/>
      <c r="BD1235" s="73"/>
      <c r="BE1235" s="73"/>
      <c r="BF1235" s="73"/>
      <c r="BG1235" s="73"/>
      <c r="BH1235" s="73"/>
      <c r="BI1235" s="73"/>
      <c r="BJ1235" s="73"/>
      <c r="BK1235" s="73"/>
      <c r="BL1235" s="73"/>
      <c r="BM1235" s="73"/>
      <c r="BN1235" s="73"/>
      <c r="BO1235" s="73"/>
      <c r="BP1235" s="73"/>
      <c r="BQ1235" s="73"/>
      <c r="BR1235" s="73"/>
      <c r="BS1235" s="73"/>
      <c r="BT1235" s="73"/>
      <c r="BU1235" s="73"/>
      <c r="BV1235" s="73"/>
      <c r="BW1235" s="73"/>
      <c r="BX1235" s="73"/>
      <c r="BY1235" s="73"/>
      <c r="BZ1235" s="73"/>
      <c r="CA1235" s="73"/>
      <c r="CB1235" s="73"/>
      <c r="CC1235" s="73"/>
      <c r="CD1235" s="73"/>
      <c r="CE1235" s="73"/>
      <c r="CF1235" s="73"/>
      <c r="CG1235" s="73"/>
      <c r="CH1235" s="73"/>
    </row>
    <row r="1236">
      <c r="A1236" s="80"/>
      <c r="B1236" s="80"/>
      <c r="C1236" s="80"/>
      <c r="D1236" s="80"/>
      <c r="E1236" s="124"/>
      <c r="F1236" s="80"/>
      <c r="G1236" s="80"/>
      <c r="H1236" s="80"/>
      <c r="I1236" s="80"/>
      <c r="J1236" s="109"/>
      <c r="K1236" s="109"/>
      <c r="L1236" s="109"/>
      <c r="M1236" s="109"/>
      <c r="N1236" s="109"/>
      <c r="O1236" s="109"/>
      <c r="P1236" s="109"/>
      <c r="Q1236" s="109"/>
      <c r="R1236" s="109"/>
      <c r="S1236" s="109"/>
      <c r="T1236" s="109"/>
      <c r="U1236" s="109"/>
      <c r="V1236" s="109"/>
      <c r="W1236" s="109"/>
      <c r="X1236" s="109"/>
      <c r="Y1236" s="109"/>
      <c r="Z1236" s="109"/>
      <c r="AA1236" s="109"/>
      <c r="AB1236" s="109"/>
      <c r="AC1236" s="109"/>
      <c r="AD1236" s="109"/>
      <c r="AE1236" s="109"/>
      <c r="AF1236" s="109"/>
      <c r="AG1236" s="109"/>
      <c r="AH1236" s="109"/>
      <c r="AI1236" s="109"/>
      <c r="AJ1236" s="115"/>
      <c r="AK1236" s="80"/>
      <c r="AL1236" s="80"/>
      <c r="AM1236" s="80"/>
      <c r="AN1236" s="80"/>
      <c r="AO1236" s="80"/>
      <c r="AP1236" s="80"/>
      <c r="AQ1236" s="80"/>
      <c r="AR1236" s="73"/>
      <c r="AS1236" s="73"/>
      <c r="AT1236" s="73"/>
      <c r="AU1236" s="73"/>
      <c r="AV1236" s="73"/>
      <c r="AW1236" s="73"/>
      <c r="AX1236" s="73"/>
      <c r="AY1236" s="73"/>
      <c r="AZ1236" s="73"/>
      <c r="BA1236" s="73"/>
      <c r="BB1236" s="73"/>
      <c r="BC1236" s="73"/>
      <c r="BD1236" s="73"/>
      <c r="BE1236" s="73"/>
      <c r="BF1236" s="73"/>
      <c r="BG1236" s="73"/>
      <c r="BH1236" s="73"/>
      <c r="BI1236" s="73"/>
      <c r="BJ1236" s="73"/>
      <c r="BK1236" s="73"/>
      <c r="BL1236" s="73"/>
      <c r="BM1236" s="73"/>
      <c r="BN1236" s="73"/>
      <c r="BO1236" s="73"/>
      <c r="BP1236" s="73"/>
      <c r="BQ1236" s="73"/>
      <c r="BR1236" s="73"/>
      <c r="BS1236" s="73"/>
      <c r="BT1236" s="73"/>
      <c r="BU1236" s="73"/>
      <c r="BV1236" s="73"/>
      <c r="BW1236" s="73"/>
      <c r="BX1236" s="73"/>
      <c r="BY1236" s="73"/>
      <c r="BZ1236" s="73"/>
      <c r="CA1236" s="73"/>
      <c r="CB1236" s="73"/>
      <c r="CC1236" s="73"/>
      <c r="CD1236" s="73"/>
      <c r="CE1236" s="73"/>
      <c r="CF1236" s="73"/>
      <c r="CG1236" s="73"/>
      <c r="CH1236" s="73"/>
    </row>
    <row r="1237">
      <c r="A1237" s="80"/>
      <c r="B1237" s="80"/>
      <c r="C1237" s="80"/>
      <c r="D1237" s="80"/>
      <c r="E1237" s="124"/>
      <c r="F1237" s="80"/>
      <c r="G1237" s="80"/>
      <c r="H1237" s="80"/>
      <c r="I1237" s="80"/>
      <c r="J1237" s="109"/>
      <c r="K1237" s="109"/>
      <c r="L1237" s="109"/>
      <c r="M1237" s="109"/>
      <c r="N1237" s="109"/>
      <c r="O1237" s="109"/>
      <c r="P1237" s="109"/>
      <c r="Q1237" s="109"/>
      <c r="R1237" s="109"/>
      <c r="S1237" s="109"/>
      <c r="T1237" s="109"/>
      <c r="U1237" s="109"/>
      <c r="V1237" s="109"/>
      <c r="W1237" s="109"/>
      <c r="X1237" s="109"/>
      <c r="Y1237" s="109"/>
      <c r="Z1237" s="109"/>
      <c r="AA1237" s="109"/>
      <c r="AB1237" s="109"/>
      <c r="AC1237" s="109"/>
      <c r="AD1237" s="109"/>
      <c r="AE1237" s="109"/>
      <c r="AF1237" s="109"/>
      <c r="AG1237" s="109"/>
      <c r="AH1237" s="109"/>
      <c r="AI1237" s="109"/>
      <c r="AJ1237" s="115"/>
      <c r="AK1237" s="80"/>
      <c r="AL1237" s="80"/>
      <c r="AM1237" s="80"/>
      <c r="AN1237" s="80"/>
      <c r="AO1237" s="80"/>
      <c r="AP1237" s="80"/>
      <c r="AQ1237" s="80"/>
      <c r="AR1237" s="73"/>
      <c r="AS1237" s="73"/>
      <c r="AT1237" s="73"/>
      <c r="AU1237" s="73"/>
      <c r="AV1237" s="73"/>
      <c r="AW1237" s="73"/>
      <c r="AX1237" s="73"/>
      <c r="AY1237" s="73"/>
      <c r="AZ1237" s="73"/>
      <c r="BA1237" s="73"/>
      <c r="BB1237" s="73"/>
      <c r="BC1237" s="73"/>
      <c r="BD1237" s="73"/>
      <c r="BE1237" s="73"/>
      <c r="BF1237" s="73"/>
      <c r="BG1237" s="73"/>
      <c r="BH1237" s="73"/>
      <c r="BI1237" s="73"/>
      <c r="BJ1237" s="73"/>
      <c r="BK1237" s="73"/>
      <c r="BL1237" s="73"/>
      <c r="BM1237" s="73"/>
      <c r="BN1237" s="73"/>
      <c r="BO1237" s="73"/>
      <c r="BP1237" s="73"/>
      <c r="BQ1237" s="73"/>
      <c r="BR1237" s="73"/>
      <c r="BS1237" s="73"/>
      <c r="BT1237" s="73"/>
      <c r="BU1237" s="73"/>
      <c r="BV1237" s="73"/>
      <c r="BW1237" s="73"/>
      <c r="BX1237" s="73"/>
      <c r="BY1237" s="73"/>
      <c r="BZ1237" s="73"/>
      <c r="CA1237" s="73"/>
      <c r="CB1237" s="73"/>
      <c r="CC1237" s="73"/>
      <c r="CD1237" s="73"/>
      <c r="CE1237" s="73"/>
      <c r="CF1237" s="73"/>
      <c r="CG1237" s="73"/>
      <c r="CH1237" s="73"/>
    </row>
    <row r="1238">
      <c r="A1238" s="80"/>
      <c r="B1238" s="80"/>
      <c r="C1238" s="80"/>
      <c r="D1238" s="80"/>
      <c r="E1238" s="124"/>
      <c r="F1238" s="80"/>
      <c r="G1238" s="80"/>
      <c r="H1238" s="80"/>
      <c r="I1238" s="80"/>
      <c r="J1238" s="109"/>
      <c r="K1238" s="109"/>
      <c r="L1238" s="109"/>
      <c r="M1238" s="109"/>
      <c r="N1238" s="109"/>
      <c r="O1238" s="109"/>
      <c r="P1238" s="109"/>
      <c r="Q1238" s="109"/>
      <c r="R1238" s="109"/>
      <c r="S1238" s="109"/>
      <c r="T1238" s="109"/>
      <c r="U1238" s="109"/>
      <c r="V1238" s="109"/>
      <c r="W1238" s="109"/>
      <c r="X1238" s="109"/>
      <c r="Y1238" s="109"/>
      <c r="Z1238" s="109"/>
      <c r="AA1238" s="109"/>
      <c r="AB1238" s="109"/>
      <c r="AC1238" s="109"/>
      <c r="AD1238" s="109"/>
      <c r="AE1238" s="109"/>
      <c r="AF1238" s="109"/>
      <c r="AG1238" s="109"/>
      <c r="AH1238" s="109"/>
      <c r="AI1238" s="109"/>
      <c r="AJ1238" s="115"/>
      <c r="AK1238" s="80"/>
      <c r="AL1238" s="80"/>
      <c r="AM1238" s="80"/>
      <c r="AN1238" s="80"/>
      <c r="AO1238" s="80"/>
      <c r="AP1238" s="80"/>
      <c r="AQ1238" s="80"/>
      <c r="AR1238" s="73"/>
      <c r="AS1238" s="73"/>
      <c r="AT1238" s="73"/>
      <c r="AU1238" s="73"/>
      <c r="AV1238" s="73"/>
      <c r="AW1238" s="73"/>
      <c r="AX1238" s="73"/>
      <c r="AY1238" s="73"/>
      <c r="AZ1238" s="73"/>
      <c r="BA1238" s="73"/>
      <c r="BB1238" s="73"/>
      <c r="BC1238" s="73"/>
      <c r="BD1238" s="73"/>
      <c r="BE1238" s="73"/>
      <c r="BF1238" s="73"/>
      <c r="BG1238" s="73"/>
      <c r="BH1238" s="73"/>
      <c r="BI1238" s="73"/>
      <c r="BJ1238" s="73"/>
      <c r="BK1238" s="73"/>
      <c r="BL1238" s="73"/>
      <c r="BM1238" s="73"/>
      <c r="BN1238" s="73"/>
      <c r="BO1238" s="73"/>
      <c r="BP1238" s="73"/>
      <c r="BQ1238" s="73"/>
      <c r="BR1238" s="73"/>
      <c r="BS1238" s="73"/>
      <c r="BT1238" s="73"/>
      <c r="BU1238" s="73"/>
      <c r="BV1238" s="73"/>
      <c r="BW1238" s="73"/>
      <c r="BX1238" s="73"/>
      <c r="BY1238" s="73"/>
      <c r="BZ1238" s="73"/>
      <c r="CA1238" s="73"/>
      <c r="CB1238" s="73"/>
      <c r="CC1238" s="73"/>
      <c r="CD1238" s="73"/>
      <c r="CE1238" s="73"/>
      <c r="CF1238" s="73"/>
      <c r="CG1238" s="73"/>
      <c r="CH1238" s="73"/>
    </row>
    <row r="1239">
      <c r="A1239" s="80"/>
      <c r="B1239" s="80"/>
      <c r="C1239" s="80"/>
      <c r="D1239" s="80"/>
      <c r="E1239" s="124"/>
      <c r="F1239" s="80"/>
      <c r="G1239" s="80"/>
      <c r="H1239" s="80"/>
      <c r="I1239" s="80"/>
      <c r="J1239" s="109"/>
      <c r="K1239" s="109"/>
      <c r="L1239" s="109"/>
      <c r="M1239" s="109"/>
      <c r="N1239" s="109"/>
      <c r="O1239" s="109"/>
      <c r="P1239" s="109"/>
      <c r="Q1239" s="109"/>
      <c r="R1239" s="109"/>
      <c r="S1239" s="109"/>
      <c r="T1239" s="109"/>
      <c r="U1239" s="109"/>
      <c r="V1239" s="109"/>
      <c r="W1239" s="109"/>
      <c r="X1239" s="109"/>
      <c r="Y1239" s="109"/>
      <c r="Z1239" s="109"/>
      <c r="AA1239" s="109"/>
      <c r="AB1239" s="109"/>
      <c r="AC1239" s="109"/>
      <c r="AD1239" s="109"/>
      <c r="AE1239" s="109"/>
      <c r="AF1239" s="109"/>
      <c r="AG1239" s="109"/>
      <c r="AH1239" s="109"/>
      <c r="AI1239" s="109"/>
      <c r="AJ1239" s="115"/>
      <c r="AK1239" s="80"/>
      <c r="AL1239" s="80"/>
      <c r="AM1239" s="80"/>
      <c r="AN1239" s="80"/>
      <c r="AO1239" s="80"/>
      <c r="AP1239" s="80"/>
      <c r="AQ1239" s="80"/>
      <c r="AR1239" s="73"/>
      <c r="AS1239" s="73"/>
      <c r="AT1239" s="73"/>
      <c r="AU1239" s="73"/>
      <c r="AV1239" s="73"/>
      <c r="AW1239" s="73"/>
      <c r="AX1239" s="73"/>
      <c r="AY1239" s="73"/>
      <c r="AZ1239" s="73"/>
      <c r="BA1239" s="73"/>
      <c r="BB1239" s="73"/>
      <c r="BC1239" s="73"/>
      <c r="BD1239" s="73"/>
      <c r="BE1239" s="73"/>
      <c r="BF1239" s="73"/>
      <c r="BG1239" s="73"/>
      <c r="BH1239" s="73"/>
      <c r="BI1239" s="73"/>
      <c r="BJ1239" s="73"/>
      <c r="BK1239" s="73"/>
      <c r="BL1239" s="73"/>
      <c r="BM1239" s="73"/>
      <c r="BN1239" s="73"/>
      <c r="BO1239" s="73"/>
      <c r="BP1239" s="73"/>
      <c r="BQ1239" s="73"/>
      <c r="BR1239" s="73"/>
      <c r="BS1239" s="73"/>
      <c r="BT1239" s="73"/>
      <c r="BU1239" s="73"/>
      <c r="BV1239" s="73"/>
      <c r="BW1239" s="73"/>
      <c r="BX1239" s="73"/>
      <c r="BY1239" s="73"/>
      <c r="BZ1239" s="73"/>
      <c r="CA1239" s="73"/>
      <c r="CB1239" s="73"/>
      <c r="CC1239" s="73"/>
      <c r="CD1239" s="73"/>
      <c r="CE1239" s="73"/>
      <c r="CF1239" s="73"/>
      <c r="CG1239" s="73"/>
      <c r="CH1239" s="73"/>
    </row>
    <row r="1240">
      <c r="A1240" s="80"/>
      <c r="B1240" s="80"/>
      <c r="C1240" s="80"/>
      <c r="D1240" s="80"/>
      <c r="E1240" s="124"/>
      <c r="F1240" s="80"/>
      <c r="G1240" s="80"/>
      <c r="H1240" s="80"/>
      <c r="I1240" s="80"/>
      <c r="J1240" s="109"/>
      <c r="K1240" s="109"/>
      <c r="L1240" s="109"/>
      <c r="M1240" s="109"/>
      <c r="N1240" s="109"/>
      <c r="O1240" s="109"/>
      <c r="P1240" s="109"/>
      <c r="Q1240" s="109"/>
      <c r="R1240" s="109"/>
      <c r="S1240" s="109"/>
      <c r="T1240" s="109"/>
      <c r="U1240" s="109"/>
      <c r="V1240" s="109"/>
      <c r="W1240" s="109"/>
      <c r="X1240" s="109"/>
      <c r="Y1240" s="109"/>
      <c r="Z1240" s="109"/>
      <c r="AA1240" s="109"/>
      <c r="AB1240" s="109"/>
      <c r="AC1240" s="109"/>
      <c r="AD1240" s="109"/>
      <c r="AE1240" s="109"/>
      <c r="AF1240" s="109"/>
      <c r="AG1240" s="109"/>
      <c r="AH1240" s="109"/>
      <c r="AI1240" s="109"/>
      <c r="AJ1240" s="115"/>
      <c r="AK1240" s="80"/>
      <c r="AL1240" s="80"/>
      <c r="AM1240" s="80"/>
      <c r="AN1240" s="80"/>
      <c r="AO1240" s="80"/>
      <c r="AP1240" s="80"/>
      <c r="AQ1240" s="80"/>
      <c r="AR1240" s="73"/>
      <c r="AS1240" s="73"/>
      <c r="AT1240" s="73"/>
      <c r="AU1240" s="73"/>
      <c r="AV1240" s="73"/>
      <c r="AW1240" s="73"/>
      <c r="AX1240" s="73"/>
      <c r="AY1240" s="73"/>
      <c r="AZ1240" s="73"/>
      <c r="BA1240" s="73"/>
      <c r="BB1240" s="73"/>
      <c r="BC1240" s="73"/>
      <c r="BD1240" s="73"/>
      <c r="BE1240" s="73"/>
      <c r="BF1240" s="73"/>
      <c r="BG1240" s="73"/>
      <c r="BH1240" s="73"/>
      <c r="BI1240" s="73"/>
      <c r="BJ1240" s="73"/>
      <c r="BK1240" s="73"/>
      <c r="BL1240" s="73"/>
      <c r="BM1240" s="73"/>
      <c r="BN1240" s="73"/>
      <c r="BO1240" s="73"/>
      <c r="BP1240" s="73"/>
      <c r="BQ1240" s="73"/>
      <c r="BR1240" s="73"/>
      <c r="BS1240" s="73"/>
      <c r="BT1240" s="73"/>
      <c r="BU1240" s="73"/>
      <c r="BV1240" s="73"/>
      <c r="BW1240" s="73"/>
      <c r="BX1240" s="73"/>
      <c r="BY1240" s="73"/>
      <c r="BZ1240" s="73"/>
      <c r="CA1240" s="73"/>
      <c r="CB1240" s="73"/>
      <c r="CC1240" s="73"/>
      <c r="CD1240" s="73"/>
      <c r="CE1240" s="73"/>
      <c r="CF1240" s="73"/>
      <c r="CG1240" s="73"/>
      <c r="CH1240" s="73"/>
    </row>
    <row r="1241">
      <c r="A1241" s="80"/>
      <c r="B1241" s="80"/>
      <c r="C1241" s="80"/>
      <c r="D1241" s="80"/>
      <c r="E1241" s="124"/>
      <c r="F1241" s="80"/>
      <c r="G1241" s="80"/>
      <c r="H1241" s="80"/>
      <c r="I1241" s="80"/>
      <c r="J1241" s="109"/>
      <c r="K1241" s="109"/>
      <c r="L1241" s="109"/>
      <c r="M1241" s="109"/>
      <c r="N1241" s="109"/>
      <c r="O1241" s="109"/>
      <c r="P1241" s="109"/>
      <c r="Q1241" s="109"/>
      <c r="R1241" s="109"/>
      <c r="S1241" s="109"/>
      <c r="T1241" s="109"/>
      <c r="U1241" s="109"/>
      <c r="V1241" s="109"/>
      <c r="W1241" s="109"/>
      <c r="X1241" s="109"/>
      <c r="Y1241" s="109"/>
      <c r="Z1241" s="109"/>
      <c r="AA1241" s="109"/>
      <c r="AB1241" s="109"/>
      <c r="AC1241" s="109"/>
      <c r="AD1241" s="109"/>
      <c r="AE1241" s="109"/>
      <c r="AF1241" s="109"/>
      <c r="AG1241" s="109"/>
      <c r="AH1241" s="109"/>
      <c r="AI1241" s="109"/>
      <c r="AJ1241" s="115"/>
      <c r="AK1241" s="80"/>
      <c r="AL1241" s="80"/>
      <c r="AM1241" s="80"/>
      <c r="AN1241" s="80"/>
      <c r="AO1241" s="80"/>
      <c r="AP1241" s="80"/>
      <c r="AQ1241" s="80"/>
      <c r="AR1241" s="73"/>
      <c r="AS1241" s="73"/>
      <c r="AT1241" s="73"/>
      <c r="AU1241" s="73"/>
      <c r="AV1241" s="73"/>
      <c r="AW1241" s="73"/>
      <c r="AX1241" s="73"/>
      <c r="AY1241" s="73"/>
      <c r="AZ1241" s="73"/>
      <c r="BA1241" s="73"/>
      <c r="BB1241" s="73"/>
      <c r="BC1241" s="73"/>
      <c r="BD1241" s="73"/>
      <c r="BE1241" s="73"/>
      <c r="BF1241" s="73"/>
      <c r="BG1241" s="73"/>
      <c r="BH1241" s="73"/>
      <c r="BI1241" s="73"/>
      <c r="BJ1241" s="73"/>
      <c r="BK1241" s="73"/>
      <c r="BL1241" s="73"/>
      <c r="BM1241" s="73"/>
      <c r="BN1241" s="73"/>
      <c r="BO1241" s="73"/>
      <c r="BP1241" s="73"/>
      <c r="BQ1241" s="73"/>
      <c r="BR1241" s="73"/>
      <c r="BS1241" s="73"/>
      <c r="BT1241" s="73"/>
      <c r="BU1241" s="73"/>
      <c r="BV1241" s="73"/>
      <c r="BW1241" s="73"/>
      <c r="BX1241" s="73"/>
      <c r="BY1241" s="73"/>
      <c r="BZ1241" s="73"/>
      <c r="CA1241" s="73"/>
      <c r="CB1241" s="73"/>
      <c r="CC1241" s="73"/>
      <c r="CD1241" s="73"/>
      <c r="CE1241" s="73"/>
      <c r="CF1241" s="73"/>
      <c r="CG1241" s="73"/>
      <c r="CH1241" s="73"/>
    </row>
    <row r="1242">
      <c r="A1242" s="80"/>
      <c r="B1242" s="80"/>
      <c r="C1242" s="80"/>
      <c r="D1242" s="80"/>
      <c r="E1242" s="124"/>
      <c r="F1242" s="80"/>
      <c r="G1242" s="80"/>
      <c r="H1242" s="80"/>
      <c r="I1242" s="80"/>
      <c r="J1242" s="109"/>
      <c r="K1242" s="109"/>
      <c r="L1242" s="109"/>
      <c r="M1242" s="109"/>
      <c r="N1242" s="109"/>
      <c r="O1242" s="109"/>
      <c r="P1242" s="109"/>
      <c r="Q1242" s="109"/>
      <c r="R1242" s="109"/>
      <c r="S1242" s="109"/>
      <c r="T1242" s="109"/>
      <c r="U1242" s="109"/>
      <c r="V1242" s="109"/>
      <c r="W1242" s="109"/>
      <c r="X1242" s="109"/>
      <c r="Y1242" s="109"/>
      <c r="Z1242" s="109"/>
      <c r="AA1242" s="109"/>
      <c r="AB1242" s="109"/>
      <c r="AC1242" s="109"/>
      <c r="AD1242" s="109"/>
      <c r="AE1242" s="109"/>
      <c r="AF1242" s="109"/>
      <c r="AG1242" s="109"/>
      <c r="AH1242" s="109"/>
      <c r="AI1242" s="109"/>
      <c r="AJ1242" s="115"/>
      <c r="AK1242" s="80"/>
      <c r="AL1242" s="80"/>
      <c r="AM1242" s="80"/>
      <c r="AN1242" s="80"/>
      <c r="AO1242" s="80"/>
      <c r="AP1242" s="80"/>
      <c r="AQ1242" s="80"/>
      <c r="AR1242" s="73"/>
      <c r="AS1242" s="73"/>
      <c r="AT1242" s="73"/>
      <c r="AU1242" s="73"/>
      <c r="AV1242" s="73"/>
      <c r="AW1242" s="73"/>
      <c r="AX1242" s="73"/>
      <c r="AY1242" s="73"/>
      <c r="AZ1242" s="73"/>
      <c r="BA1242" s="73"/>
      <c r="BB1242" s="73"/>
      <c r="BC1242" s="73"/>
      <c r="BD1242" s="73"/>
      <c r="BE1242" s="73"/>
      <c r="BF1242" s="73"/>
      <c r="BG1242" s="73"/>
      <c r="BH1242" s="73"/>
      <c r="BI1242" s="73"/>
      <c r="BJ1242" s="73"/>
      <c r="BK1242" s="73"/>
      <c r="BL1242" s="73"/>
      <c r="BM1242" s="73"/>
      <c r="BN1242" s="73"/>
      <c r="BO1242" s="73"/>
      <c r="BP1242" s="73"/>
      <c r="BQ1242" s="73"/>
      <c r="BR1242" s="73"/>
      <c r="BS1242" s="73"/>
      <c r="BT1242" s="73"/>
      <c r="BU1242" s="73"/>
      <c r="BV1242" s="73"/>
      <c r="BW1242" s="73"/>
      <c r="BX1242" s="73"/>
      <c r="BY1242" s="73"/>
      <c r="BZ1242" s="73"/>
      <c r="CA1242" s="73"/>
      <c r="CB1242" s="73"/>
      <c r="CC1242" s="73"/>
      <c r="CD1242" s="73"/>
      <c r="CE1242" s="73"/>
      <c r="CF1242" s="73"/>
      <c r="CG1242" s="73"/>
      <c r="CH1242" s="73"/>
    </row>
    <row r="1243">
      <c r="A1243" s="80"/>
      <c r="B1243" s="80"/>
      <c r="C1243" s="80"/>
      <c r="D1243" s="80"/>
      <c r="E1243" s="124"/>
      <c r="F1243" s="80"/>
      <c r="G1243" s="80"/>
      <c r="H1243" s="80"/>
      <c r="I1243" s="80"/>
      <c r="J1243" s="109"/>
      <c r="K1243" s="109"/>
      <c r="L1243" s="109"/>
      <c r="M1243" s="109"/>
      <c r="N1243" s="109"/>
      <c r="O1243" s="109"/>
      <c r="P1243" s="109"/>
      <c r="Q1243" s="109"/>
      <c r="R1243" s="109"/>
      <c r="S1243" s="109"/>
      <c r="T1243" s="109"/>
      <c r="U1243" s="109"/>
      <c r="V1243" s="109"/>
      <c r="W1243" s="109"/>
      <c r="X1243" s="109"/>
      <c r="Y1243" s="109"/>
      <c r="Z1243" s="109"/>
      <c r="AA1243" s="109"/>
      <c r="AB1243" s="109"/>
      <c r="AC1243" s="109"/>
      <c r="AD1243" s="109"/>
      <c r="AE1243" s="109"/>
      <c r="AF1243" s="109"/>
      <c r="AG1243" s="109"/>
      <c r="AH1243" s="109"/>
      <c r="AI1243" s="109"/>
      <c r="AJ1243" s="115"/>
      <c r="AK1243" s="80"/>
      <c r="AL1243" s="80"/>
      <c r="AM1243" s="80"/>
      <c r="AN1243" s="80"/>
      <c r="AO1243" s="80"/>
      <c r="AP1243" s="80"/>
      <c r="AQ1243" s="80"/>
      <c r="AR1243" s="73"/>
      <c r="AS1243" s="73"/>
      <c r="AT1243" s="73"/>
      <c r="AU1243" s="73"/>
      <c r="AV1243" s="73"/>
      <c r="AW1243" s="73"/>
      <c r="AX1243" s="73"/>
      <c r="AY1243" s="73"/>
      <c r="AZ1243" s="73"/>
      <c r="BA1243" s="73"/>
      <c r="BB1243" s="73"/>
      <c r="BC1243" s="73"/>
      <c r="BD1243" s="73"/>
      <c r="BE1243" s="73"/>
      <c r="BF1243" s="73"/>
      <c r="BG1243" s="73"/>
      <c r="BH1243" s="73"/>
      <c r="BI1243" s="73"/>
      <c r="BJ1243" s="73"/>
      <c r="BK1243" s="73"/>
      <c r="BL1243" s="73"/>
      <c r="BM1243" s="73"/>
      <c r="BN1243" s="73"/>
      <c r="BO1243" s="73"/>
      <c r="BP1243" s="73"/>
      <c r="BQ1243" s="73"/>
      <c r="BR1243" s="73"/>
      <c r="BS1243" s="73"/>
      <c r="BT1243" s="73"/>
      <c r="BU1243" s="73"/>
      <c r="BV1243" s="73"/>
      <c r="BW1243" s="73"/>
      <c r="BX1243" s="73"/>
      <c r="BY1243" s="73"/>
      <c r="BZ1243" s="73"/>
      <c r="CA1243" s="73"/>
      <c r="CB1243" s="73"/>
      <c r="CC1243" s="73"/>
      <c r="CD1243" s="73"/>
      <c r="CE1243" s="73"/>
      <c r="CF1243" s="73"/>
      <c r="CG1243" s="73"/>
      <c r="CH1243" s="73"/>
    </row>
    <row r="1244">
      <c r="A1244" s="80"/>
      <c r="B1244" s="80"/>
      <c r="C1244" s="80"/>
      <c r="D1244" s="80"/>
      <c r="E1244" s="124"/>
      <c r="F1244" s="80"/>
      <c r="G1244" s="80"/>
      <c r="H1244" s="80"/>
      <c r="I1244" s="80"/>
      <c r="J1244" s="109"/>
      <c r="K1244" s="109"/>
      <c r="L1244" s="109"/>
      <c r="M1244" s="109"/>
      <c r="N1244" s="109"/>
      <c r="O1244" s="109"/>
      <c r="P1244" s="109"/>
      <c r="Q1244" s="109"/>
      <c r="R1244" s="109"/>
      <c r="S1244" s="109"/>
      <c r="T1244" s="109"/>
      <c r="U1244" s="109"/>
      <c r="V1244" s="109"/>
      <c r="W1244" s="109"/>
      <c r="X1244" s="109"/>
      <c r="Y1244" s="109"/>
      <c r="Z1244" s="109"/>
      <c r="AA1244" s="109"/>
      <c r="AB1244" s="109"/>
      <c r="AC1244" s="109"/>
      <c r="AD1244" s="109"/>
      <c r="AE1244" s="109"/>
      <c r="AF1244" s="109"/>
      <c r="AG1244" s="109"/>
      <c r="AH1244" s="109"/>
      <c r="AI1244" s="109"/>
      <c r="AJ1244" s="115"/>
      <c r="AK1244" s="80"/>
      <c r="AL1244" s="80"/>
      <c r="AM1244" s="80"/>
      <c r="AN1244" s="80"/>
      <c r="AO1244" s="80"/>
      <c r="AP1244" s="80"/>
      <c r="AQ1244" s="80"/>
      <c r="AR1244" s="73"/>
      <c r="AS1244" s="73"/>
      <c r="AT1244" s="73"/>
      <c r="AU1244" s="73"/>
      <c r="AV1244" s="73"/>
      <c r="AW1244" s="73"/>
      <c r="AX1244" s="73"/>
      <c r="AY1244" s="73"/>
      <c r="AZ1244" s="73"/>
      <c r="BA1244" s="73"/>
      <c r="BB1244" s="73"/>
      <c r="BC1244" s="73"/>
      <c r="BD1244" s="73"/>
      <c r="BE1244" s="73"/>
      <c r="BF1244" s="73"/>
      <c r="BG1244" s="73"/>
      <c r="BH1244" s="73"/>
      <c r="BI1244" s="73"/>
      <c r="BJ1244" s="73"/>
      <c r="BK1244" s="73"/>
      <c r="BL1244" s="73"/>
      <c r="BM1244" s="73"/>
      <c r="BN1244" s="73"/>
      <c r="BO1244" s="73"/>
      <c r="BP1244" s="73"/>
      <c r="BQ1244" s="73"/>
      <c r="BR1244" s="73"/>
      <c r="BS1244" s="73"/>
      <c r="BT1244" s="73"/>
      <c r="BU1244" s="73"/>
      <c r="BV1244" s="73"/>
      <c r="BW1244" s="73"/>
      <c r="BX1244" s="73"/>
      <c r="BY1244" s="73"/>
      <c r="BZ1244" s="73"/>
      <c r="CA1244" s="73"/>
      <c r="CB1244" s="73"/>
      <c r="CC1244" s="73"/>
      <c r="CD1244" s="73"/>
      <c r="CE1244" s="73"/>
      <c r="CF1244" s="73"/>
      <c r="CG1244" s="73"/>
      <c r="CH1244" s="73"/>
    </row>
    <row r="1245">
      <c r="A1245" s="80"/>
      <c r="B1245" s="80"/>
      <c r="C1245" s="80"/>
      <c r="D1245" s="80"/>
      <c r="E1245" s="124"/>
      <c r="F1245" s="80"/>
      <c r="G1245" s="80"/>
      <c r="H1245" s="80"/>
      <c r="I1245" s="80"/>
      <c r="J1245" s="109"/>
      <c r="K1245" s="109"/>
      <c r="L1245" s="109"/>
      <c r="M1245" s="109"/>
      <c r="N1245" s="109"/>
      <c r="O1245" s="109"/>
      <c r="P1245" s="109"/>
      <c r="Q1245" s="109"/>
      <c r="R1245" s="109"/>
      <c r="S1245" s="109"/>
      <c r="T1245" s="109"/>
      <c r="U1245" s="109"/>
      <c r="V1245" s="109"/>
      <c r="W1245" s="109"/>
      <c r="X1245" s="109"/>
      <c r="Y1245" s="109"/>
      <c r="Z1245" s="109"/>
      <c r="AA1245" s="109"/>
      <c r="AB1245" s="109"/>
      <c r="AC1245" s="109"/>
      <c r="AD1245" s="109"/>
      <c r="AE1245" s="109"/>
      <c r="AF1245" s="109"/>
      <c r="AG1245" s="109"/>
      <c r="AH1245" s="109"/>
      <c r="AI1245" s="109"/>
      <c r="AJ1245" s="115"/>
      <c r="AK1245" s="80"/>
      <c r="AL1245" s="80"/>
      <c r="AM1245" s="80"/>
      <c r="AN1245" s="80"/>
      <c r="AO1245" s="80"/>
      <c r="AP1245" s="80"/>
      <c r="AQ1245" s="80"/>
      <c r="AR1245" s="73"/>
      <c r="AS1245" s="73"/>
      <c r="AT1245" s="73"/>
      <c r="AU1245" s="73"/>
      <c r="AV1245" s="73"/>
      <c r="AW1245" s="73"/>
      <c r="AX1245" s="73"/>
      <c r="AY1245" s="73"/>
      <c r="AZ1245" s="73"/>
      <c r="BA1245" s="73"/>
      <c r="BB1245" s="73"/>
      <c r="BC1245" s="73"/>
      <c r="BD1245" s="73"/>
      <c r="BE1245" s="73"/>
      <c r="BF1245" s="73"/>
      <c r="BG1245" s="73"/>
      <c r="BH1245" s="73"/>
      <c r="BI1245" s="73"/>
      <c r="BJ1245" s="73"/>
      <c r="BK1245" s="73"/>
      <c r="BL1245" s="73"/>
      <c r="BM1245" s="73"/>
      <c r="BN1245" s="73"/>
      <c r="BO1245" s="73"/>
      <c r="BP1245" s="73"/>
      <c r="BQ1245" s="73"/>
      <c r="BR1245" s="73"/>
      <c r="BS1245" s="73"/>
      <c r="BT1245" s="73"/>
      <c r="BU1245" s="73"/>
      <c r="BV1245" s="73"/>
      <c r="BW1245" s="73"/>
      <c r="BX1245" s="73"/>
      <c r="BY1245" s="73"/>
      <c r="BZ1245" s="73"/>
      <c r="CA1245" s="73"/>
      <c r="CB1245" s="73"/>
      <c r="CC1245" s="73"/>
      <c r="CD1245" s="73"/>
      <c r="CE1245" s="73"/>
      <c r="CF1245" s="73"/>
      <c r="CG1245" s="73"/>
      <c r="CH1245" s="73"/>
    </row>
    <row r="1246">
      <c r="A1246" s="80"/>
      <c r="B1246" s="80"/>
      <c r="C1246" s="80"/>
      <c r="D1246" s="80"/>
      <c r="E1246" s="124"/>
      <c r="F1246" s="80"/>
      <c r="G1246" s="80"/>
      <c r="H1246" s="80"/>
      <c r="I1246" s="80"/>
      <c r="J1246" s="109"/>
      <c r="K1246" s="109"/>
      <c r="L1246" s="109"/>
      <c r="M1246" s="109"/>
      <c r="N1246" s="109"/>
      <c r="O1246" s="109"/>
      <c r="P1246" s="109"/>
      <c r="Q1246" s="109"/>
      <c r="R1246" s="109"/>
      <c r="S1246" s="109"/>
      <c r="T1246" s="109"/>
      <c r="U1246" s="109"/>
      <c r="V1246" s="109"/>
      <c r="W1246" s="109"/>
      <c r="X1246" s="109"/>
      <c r="Y1246" s="109"/>
      <c r="Z1246" s="109"/>
      <c r="AA1246" s="109"/>
      <c r="AB1246" s="109"/>
      <c r="AC1246" s="109"/>
      <c r="AD1246" s="109"/>
      <c r="AE1246" s="109"/>
      <c r="AF1246" s="109"/>
      <c r="AG1246" s="109"/>
      <c r="AH1246" s="109"/>
      <c r="AI1246" s="109"/>
      <c r="AJ1246" s="115"/>
      <c r="AK1246" s="80"/>
      <c r="AL1246" s="80"/>
      <c r="AM1246" s="80"/>
      <c r="AN1246" s="80"/>
      <c r="AO1246" s="80"/>
      <c r="AP1246" s="80"/>
      <c r="AQ1246" s="80"/>
      <c r="AR1246" s="73"/>
      <c r="AS1246" s="73"/>
      <c r="AT1246" s="73"/>
      <c r="AU1246" s="73"/>
      <c r="AV1246" s="73"/>
      <c r="AW1246" s="73"/>
      <c r="AX1246" s="73"/>
      <c r="AY1246" s="73"/>
      <c r="AZ1246" s="73"/>
      <c r="BA1246" s="73"/>
      <c r="BB1246" s="73"/>
      <c r="BC1246" s="73"/>
      <c r="BD1246" s="73"/>
      <c r="BE1246" s="73"/>
      <c r="BF1246" s="73"/>
      <c r="BG1246" s="73"/>
      <c r="BH1246" s="73"/>
      <c r="BI1246" s="73"/>
      <c r="BJ1246" s="73"/>
      <c r="BK1246" s="73"/>
      <c r="BL1246" s="73"/>
      <c r="BM1246" s="73"/>
      <c r="BN1246" s="73"/>
      <c r="BO1246" s="73"/>
      <c r="BP1246" s="73"/>
      <c r="BQ1246" s="73"/>
      <c r="BR1246" s="73"/>
      <c r="BS1246" s="73"/>
      <c r="BT1246" s="73"/>
      <c r="BU1246" s="73"/>
      <c r="BV1246" s="73"/>
      <c r="BW1246" s="73"/>
      <c r="BX1246" s="73"/>
      <c r="BY1246" s="73"/>
      <c r="BZ1246" s="73"/>
      <c r="CA1246" s="73"/>
      <c r="CB1246" s="73"/>
      <c r="CC1246" s="73"/>
      <c r="CD1246" s="73"/>
      <c r="CE1246" s="73"/>
      <c r="CF1246" s="73"/>
      <c r="CG1246" s="73"/>
      <c r="CH1246" s="73"/>
    </row>
    <row r="1247">
      <c r="A1247" s="80"/>
      <c r="B1247" s="80"/>
      <c r="C1247" s="80"/>
      <c r="D1247" s="80"/>
      <c r="E1247" s="124"/>
      <c r="F1247" s="80"/>
      <c r="G1247" s="80"/>
      <c r="H1247" s="80"/>
      <c r="I1247" s="80"/>
      <c r="J1247" s="109"/>
      <c r="K1247" s="109"/>
      <c r="L1247" s="109"/>
      <c r="M1247" s="109"/>
      <c r="N1247" s="109"/>
      <c r="O1247" s="109"/>
      <c r="P1247" s="109"/>
      <c r="Q1247" s="109"/>
      <c r="R1247" s="109"/>
      <c r="S1247" s="109"/>
      <c r="T1247" s="109"/>
      <c r="U1247" s="109"/>
      <c r="V1247" s="109"/>
      <c r="W1247" s="109"/>
      <c r="X1247" s="109"/>
      <c r="Y1247" s="109"/>
      <c r="Z1247" s="109"/>
      <c r="AA1247" s="109"/>
      <c r="AB1247" s="109"/>
      <c r="AC1247" s="109"/>
      <c r="AD1247" s="109"/>
      <c r="AE1247" s="109"/>
      <c r="AF1247" s="109"/>
      <c r="AG1247" s="109"/>
      <c r="AH1247" s="109"/>
      <c r="AI1247" s="109"/>
      <c r="AJ1247" s="115"/>
      <c r="AK1247" s="80"/>
      <c r="AL1247" s="80"/>
      <c r="AM1247" s="80"/>
      <c r="AN1247" s="80"/>
      <c r="AO1247" s="80"/>
      <c r="AP1247" s="80"/>
      <c r="AQ1247" s="80"/>
      <c r="AR1247" s="73"/>
      <c r="AS1247" s="73"/>
      <c r="AT1247" s="73"/>
      <c r="AU1247" s="73"/>
      <c r="AV1247" s="73"/>
      <c r="AW1247" s="73"/>
      <c r="AX1247" s="73"/>
      <c r="AY1247" s="73"/>
      <c r="AZ1247" s="73"/>
      <c r="BA1247" s="73"/>
      <c r="BB1247" s="73"/>
      <c r="BC1247" s="73"/>
      <c r="BD1247" s="73"/>
      <c r="BE1247" s="73"/>
      <c r="BF1247" s="73"/>
      <c r="BG1247" s="73"/>
      <c r="BH1247" s="73"/>
      <c r="BI1247" s="73"/>
      <c r="BJ1247" s="73"/>
      <c r="BK1247" s="73"/>
      <c r="BL1247" s="73"/>
      <c r="BM1247" s="73"/>
      <c r="BN1247" s="73"/>
      <c r="BO1247" s="73"/>
      <c r="BP1247" s="73"/>
      <c r="BQ1247" s="73"/>
      <c r="BR1247" s="73"/>
      <c r="BS1247" s="73"/>
      <c r="BT1247" s="73"/>
      <c r="BU1247" s="73"/>
      <c r="BV1247" s="73"/>
      <c r="BW1247" s="73"/>
      <c r="BX1247" s="73"/>
      <c r="BY1247" s="73"/>
      <c r="BZ1247" s="73"/>
      <c r="CA1247" s="73"/>
      <c r="CB1247" s="73"/>
      <c r="CC1247" s="73"/>
      <c r="CD1247" s="73"/>
      <c r="CE1247" s="73"/>
      <c r="CF1247" s="73"/>
      <c r="CG1247" s="73"/>
      <c r="CH1247" s="73"/>
    </row>
    <row r="1248">
      <c r="A1248" s="80"/>
      <c r="B1248" s="80"/>
      <c r="C1248" s="80"/>
      <c r="D1248" s="80"/>
      <c r="E1248" s="124"/>
      <c r="F1248" s="80"/>
      <c r="G1248" s="80"/>
      <c r="H1248" s="80"/>
      <c r="I1248" s="80"/>
      <c r="J1248" s="109"/>
      <c r="K1248" s="109"/>
      <c r="L1248" s="109"/>
      <c r="M1248" s="109"/>
      <c r="N1248" s="109"/>
      <c r="O1248" s="109"/>
      <c r="P1248" s="109"/>
      <c r="Q1248" s="109"/>
      <c r="R1248" s="109"/>
      <c r="S1248" s="109"/>
      <c r="T1248" s="109"/>
      <c r="U1248" s="109"/>
      <c r="V1248" s="109"/>
      <c r="W1248" s="109"/>
      <c r="X1248" s="109"/>
      <c r="Y1248" s="109"/>
      <c r="Z1248" s="109"/>
      <c r="AA1248" s="109"/>
      <c r="AB1248" s="109"/>
      <c r="AC1248" s="109"/>
      <c r="AD1248" s="109"/>
      <c r="AE1248" s="109"/>
      <c r="AF1248" s="109"/>
      <c r="AG1248" s="109"/>
      <c r="AH1248" s="109"/>
      <c r="AI1248" s="109"/>
      <c r="AJ1248" s="115"/>
      <c r="AK1248" s="80"/>
      <c r="AL1248" s="80"/>
      <c r="AM1248" s="80"/>
      <c r="AN1248" s="80"/>
      <c r="AO1248" s="80"/>
      <c r="AP1248" s="80"/>
      <c r="AQ1248" s="80"/>
      <c r="AR1248" s="73"/>
      <c r="AS1248" s="73"/>
      <c r="AT1248" s="73"/>
      <c r="AU1248" s="73"/>
      <c r="AV1248" s="73"/>
      <c r="AW1248" s="73"/>
      <c r="AX1248" s="73"/>
      <c r="AY1248" s="73"/>
      <c r="AZ1248" s="73"/>
      <c r="BA1248" s="73"/>
      <c r="BB1248" s="73"/>
      <c r="BC1248" s="73"/>
      <c r="BD1248" s="73"/>
      <c r="BE1248" s="73"/>
      <c r="BF1248" s="73"/>
      <c r="BG1248" s="73"/>
      <c r="BH1248" s="73"/>
      <c r="BI1248" s="73"/>
      <c r="BJ1248" s="73"/>
      <c r="BK1248" s="73"/>
      <c r="BL1248" s="73"/>
      <c r="BM1248" s="73"/>
      <c r="BN1248" s="73"/>
      <c r="BO1248" s="73"/>
      <c r="BP1248" s="73"/>
      <c r="BQ1248" s="73"/>
      <c r="BR1248" s="73"/>
      <c r="BS1248" s="73"/>
      <c r="BT1248" s="73"/>
      <c r="BU1248" s="73"/>
      <c r="BV1248" s="73"/>
      <c r="BW1248" s="73"/>
      <c r="BX1248" s="73"/>
      <c r="BY1248" s="73"/>
      <c r="BZ1248" s="73"/>
      <c r="CA1248" s="73"/>
      <c r="CB1248" s="73"/>
      <c r="CC1248" s="73"/>
      <c r="CD1248" s="73"/>
      <c r="CE1248" s="73"/>
      <c r="CF1248" s="73"/>
      <c r="CG1248" s="73"/>
      <c r="CH1248" s="73"/>
    </row>
    <row r="1249">
      <c r="A1249" s="80"/>
      <c r="B1249" s="80"/>
      <c r="C1249" s="80"/>
      <c r="D1249" s="80"/>
      <c r="E1249" s="124"/>
      <c r="F1249" s="80"/>
      <c r="G1249" s="80"/>
      <c r="H1249" s="80"/>
      <c r="I1249" s="80"/>
      <c r="J1249" s="109"/>
      <c r="K1249" s="109"/>
      <c r="L1249" s="109"/>
      <c r="M1249" s="109"/>
      <c r="N1249" s="109"/>
      <c r="O1249" s="109"/>
      <c r="P1249" s="109"/>
      <c r="Q1249" s="109"/>
      <c r="R1249" s="109"/>
      <c r="S1249" s="109"/>
      <c r="T1249" s="109"/>
      <c r="U1249" s="109"/>
      <c r="V1249" s="109"/>
      <c r="W1249" s="109"/>
      <c r="X1249" s="109"/>
      <c r="Y1249" s="109"/>
      <c r="Z1249" s="109"/>
      <c r="AA1249" s="109"/>
      <c r="AB1249" s="109"/>
      <c r="AC1249" s="109"/>
      <c r="AD1249" s="109"/>
      <c r="AE1249" s="109"/>
      <c r="AF1249" s="109"/>
      <c r="AG1249" s="109"/>
      <c r="AH1249" s="109"/>
      <c r="AI1249" s="109"/>
      <c r="AJ1249" s="115"/>
      <c r="AK1249" s="80"/>
      <c r="AL1249" s="80"/>
      <c r="AM1249" s="80"/>
      <c r="AN1249" s="80"/>
      <c r="AO1249" s="80"/>
      <c r="AP1249" s="80"/>
      <c r="AQ1249" s="80"/>
      <c r="AR1249" s="73"/>
      <c r="AS1249" s="73"/>
      <c r="AT1249" s="73"/>
      <c r="AU1249" s="73"/>
      <c r="AV1249" s="73"/>
      <c r="AW1249" s="73"/>
      <c r="AX1249" s="73"/>
      <c r="AY1249" s="73"/>
      <c r="AZ1249" s="73"/>
      <c r="BA1249" s="73"/>
      <c r="BB1249" s="73"/>
      <c r="BC1249" s="73"/>
      <c r="BD1249" s="73"/>
      <c r="BE1249" s="73"/>
      <c r="BF1249" s="73"/>
      <c r="BG1249" s="73"/>
      <c r="BH1249" s="73"/>
      <c r="BI1249" s="73"/>
      <c r="BJ1249" s="73"/>
      <c r="BK1249" s="73"/>
      <c r="BL1249" s="73"/>
      <c r="BM1249" s="73"/>
      <c r="BN1249" s="73"/>
      <c r="BO1249" s="73"/>
      <c r="BP1249" s="73"/>
      <c r="BQ1249" s="73"/>
      <c r="BR1249" s="73"/>
      <c r="BS1249" s="73"/>
      <c r="BT1249" s="73"/>
      <c r="BU1249" s="73"/>
      <c r="BV1249" s="73"/>
      <c r="BW1249" s="73"/>
      <c r="BX1249" s="73"/>
      <c r="BY1249" s="73"/>
      <c r="BZ1249" s="73"/>
      <c r="CA1249" s="73"/>
      <c r="CB1249" s="73"/>
      <c r="CC1249" s="73"/>
      <c r="CD1249" s="73"/>
      <c r="CE1249" s="73"/>
      <c r="CF1249" s="73"/>
      <c r="CG1249" s="73"/>
      <c r="CH1249" s="73"/>
    </row>
    <row r="1250">
      <c r="A1250" s="80"/>
      <c r="B1250" s="80"/>
      <c r="C1250" s="80"/>
      <c r="D1250" s="80"/>
      <c r="E1250" s="124"/>
      <c r="F1250" s="80"/>
      <c r="G1250" s="80"/>
      <c r="H1250" s="80"/>
      <c r="I1250" s="80"/>
      <c r="J1250" s="109"/>
      <c r="K1250" s="109"/>
      <c r="L1250" s="109"/>
      <c r="M1250" s="109"/>
      <c r="N1250" s="109"/>
      <c r="O1250" s="109"/>
      <c r="P1250" s="109"/>
      <c r="Q1250" s="109"/>
      <c r="R1250" s="109"/>
      <c r="S1250" s="109"/>
      <c r="T1250" s="109"/>
      <c r="U1250" s="109"/>
      <c r="V1250" s="109"/>
      <c r="W1250" s="109"/>
      <c r="X1250" s="109"/>
      <c r="Y1250" s="109"/>
      <c r="Z1250" s="109"/>
      <c r="AA1250" s="109"/>
      <c r="AB1250" s="109"/>
      <c r="AC1250" s="109"/>
      <c r="AD1250" s="109"/>
      <c r="AE1250" s="109"/>
      <c r="AF1250" s="109"/>
      <c r="AG1250" s="109"/>
      <c r="AH1250" s="109"/>
      <c r="AI1250" s="109"/>
      <c r="AJ1250" s="115"/>
      <c r="AK1250" s="80"/>
      <c r="AL1250" s="80"/>
      <c r="AM1250" s="80"/>
      <c r="AN1250" s="80"/>
      <c r="AO1250" s="80"/>
      <c r="AP1250" s="80"/>
      <c r="AQ1250" s="80"/>
      <c r="AR1250" s="73"/>
      <c r="AS1250" s="73"/>
      <c r="AT1250" s="73"/>
      <c r="AU1250" s="73"/>
      <c r="AV1250" s="73"/>
      <c r="AW1250" s="73"/>
      <c r="AX1250" s="73"/>
      <c r="AY1250" s="73"/>
      <c r="AZ1250" s="73"/>
      <c r="BA1250" s="73"/>
      <c r="BB1250" s="73"/>
      <c r="BC1250" s="73"/>
      <c r="BD1250" s="73"/>
      <c r="BE1250" s="73"/>
      <c r="BF1250" s="73"/>
      <c r="BG1250" s="73"/>
      <c r="BH1250" s="73"/>
      <c r="BI1250" s="73"/>
      <c r="BJ1250" s="73"/>
      <c r="BK1250" s="73"/>
      <c r="BL1250" s="73"/>
      <c r="BM1250" s="73"/>
      <c r="BN1250" s="73"/>
      <c r="BO1250" s="73"/>
      <c r="BP1250" s="73"/>
      <c r="BQ1250" s="73"/>
      <c r="BR1250" s="73"/>
      <c r="BS1250" s="73"/>
      <c r="BT1250" s="73"/>
      <c r="BU1250" s="73"/>
      <c r="BV1250" s="73"/>
      <c r="BW1250" s="73"/>
      <c r="BX1250" s="73"/>
      <c r="BY1250" s="73"/>
      <c r="BZ1250" s="73"/>
      <c r="CA1250" s="73"/>
      <c r="CB1250" s="73"/>
      <c r="CC1250" s="73"/>
      <c r="CD1250" s="73"/>
      <c r="CE1250" s="73"/>
      <c r="CF1250" s="73"/>
      <c r="CG1250" s="73"/>
      <c r="CH1250" s="73"/>
    </row>
    <row r="1251">
      <c r="A1251" s="80"/>
      <c r="B1251" s="80"/>
      <c r="C1251" s="80"/>
      <c r="D1251" s="80"/>
      <c r="E1251" s="124"/>
      <c r="F1251" s="80"/>
      <c r="G1251" s="80"/>
      <c r="H1251" s="80"/>
      <c r="I1251" s="80"/>
      <c r="J1251" s="109"/>
      <c r="K1251" s="109"/>
      <c r="L1251" s="109"/>
      <c r="M1251" s="109"/>
      <c r="N1251" s="109"/>
      <c r="O1251" s="109"/>
      <c r="P1251" s="109"/>
      <c r="Q1251" s="109"/>
      <c r="R1251" s="109"/>
      <c r="S1251" s="109"/>
      <c r="T1251" s="109"/>
      <c r="U1251" s="109"/>
      <c r="V1251" s="109"/>
      <c r="W1251" s="109"/>
      <c r="X1251" s="109"/>
      <c r="Y1251" s="109"/>
      <c r="Z1251" s="109"/>
      <c r="AA1251" s="109"/>
      <c r="AB1251" s="109"/>
      <c r="AC1251" s="109"/>
      <c r="AD1251" s="109"/>
      <c r="AE1251" s="109"/>
      <c r="AF1251" s="109"/>
      <c r="AG1251" s="109"/>
      <c r="AH1251" s="109"/>
      <c r="AI1251" s="109"/>
      <c r="AJ1251" s="115"/>
      <c r="AK1251" s="80"/>
      <c r="AL1251" s="80"/>
      <c r="AM1251" s="80"/>
      <c r="AN1251" s="80"/>
      <c r="AO1251" s="80"/>
      <c r="AP1251" s="80"/>
      <c r="AQ1251" s="80"/>
      <c r="AR1251" s="73"/>
      <c r="AS1251" s="73"/>
      <c r="AT1251" s="73"/>
      <c r="AU1251" s="73"/>
      <c r="AV1251" s="73"/>
      <c r="AW1251" s="73"/>
      <c r="AX1251" s="73"/>
      <c r="AY1251" s="73"/>
      <c r="AZ1251" s="73"/>
      <c r="BA1251" s="73"/>
      <c r="BB1251" s="73"/>
      <c r="BC1251" s="73"/>
      <c r="BD1251" s="73"/>
      <c r="BE1251" s="73"/>
      <c r="BF1251" s="73"/>
      <c r="BG1251" s="73"/>
      <c r="BH1251" s="73"/>
      <c r="BI1251" s="73"/>
      <c r="BJ1251" s="73"/>
      <c r="BK1251" s="73"/>
      <c r="BL1251" s="73"/>
      <c r="BM1251" s="73"/>
      <c r="BN1251" s="73"/>
      <c r="BO1251" s="73"/>
      <c r="BP1251" s="73"/>
      <c r="BQ1251" s="73"/>
      <c r="BR1251" s="73"/>
      <c r="BS1251" s="73"/>
      <c r="BT1251" s="73"/>
      <c r="BU1251" s="73"/>
      <c r="BV1251" s="73"/>
      <c r="BW1251" s="73"/>
      <c r="BX1251" s="73"/>
      <c r="BY1251" s="73"/>
      <c r="BZ1251" s="73"/>
      <c r="CA1251" s="73"/>
      <c r="CB1251" s="73"/>
      <c r="CC1251" s="73"/>
      <c r="CD1251" s="73"/>
      <c r="CE1251" s="73"/>
      <c r="CF1251" s="73"/>
      <c r="CG1251" s="73"/>
      <c r="CH1251" s="73"/>
    </row>
    <row r="1252">
      <c r="A1252" s="80"/>
      <c r="B1252" s="80"/>
      <c r="C1252" s="80"/>
      <c r="D1252" s="80"/>
      <c r="E1252" s="124"/>
      <c r="F1252" s="80"/>
      <c r="G1252" s="80"/>
      <c r="H1252" s="80"/>
      <c r="I1252" s="80"/>
      <c r="J1252" s="109"/>
      <c r="K1252" s="109"/>
      <c r="L1252" s="109"/>
      <c r="M1252" s="109"/>
      <c r="N1252" s="109"/>
      <c r="O1252" s="109"/>
      <c r="P1252" s="109"/>
      <c r="Q1252" s="109"/>
      <c r="R1252" s="109"/>
      <c r="S1252" s="109"/>
      <c r="T1252" s="109"/>
      <c r="U1252" s="109"/>
      <c r="V1252" s="109"/>
      <c r="W1252" s="109"/>
      <c r="X1252" s="109"/>
      <c r="Y1252" s="109"/>
      <c r="Z1252" s="109"/>
      <c r="AA1252" s="109"/>
      <c r="AB1252" s="109"/>
      <c r="AC1252" s="109"/>
      <c r="AD1252" s="109"/>
      <c r="AE1252" s="109"/>
      <c r="AF1252" s="109"/>
      <c r="AG1252" s="109"/>
      <c r="AH1252" s="109"/>
      <c r="AI1252" s="109"/>
      <c r="AJ1252" s="115"/>
      <c r="AK1252" s="80"/>
      <c r="AL1252" s="80"/>
      <c r="AM1252" s="80"/>
      <c r="AN1252" s="80"/>
      <c r="AO1252" s="80"/>
      <c r="AP1252" s="80"/>
      <c r="AQ1252" s="80"/>
      <c r="AR1252" s="73"/>
      <c r="AS1252" s="73"/>
      <c r="AT1252" s="73"/>
      <c r="AU1252" s="73"/>
      <c r="AV1252" s="73"/>
      <c r="AW1252" s="73"/>
      <c r="AX1252" s="73"/>
      <c r="AY1252" s="73"/>
      <c r="AZ1252" s="73"/>
      <c r="BA1252" s="73"/>
      <c r="BB1252" s="73"/>
      <c r="BC1252" s="73"/>
      <c r="BD1252" s="73"/>
      <c r="BE1252" s="73"/>
      <c r="BF1252" s="73"/>
      <c r="BG1252" s="73"/>
      <c r="BH1252" s="73"/>
      <c r="BI1252" s="73"/>
      <c r="BJ1252" s="73"/>
      <c r="BK1252" s="73"/>
      <c r="BL1252" s="73"/>
      <c r="BM1252" s="73"/>
      <c r="BN1252" s="73"/>
      <c r="BO1252" s="73"/>
      <c r="BP1252" s="73"/>
      <c r="BQ1252" s="73"/>
      <c r="BR1252" s="73"/>
      <c r="BS1252" s="73"/>
      <c r="BT1252" s="73"/>
      <c r="BU1252" s="73"/>
      <c r="BV1252" s="73"/>
      <c r="BW1252" s="73"/>
      <c r="BX1252" s="73"/>
      <c r="BY1252" s="73"/>
      <c r="BZ1252" s="73"/>
      <c r="CA1252" s="73"/>
      <c r="CB1252" s="73"/>
      <c r="CC1252" s="73"/>
      <c r="CD1252" s="73"/>
      <c r="CE1252" s="73"/>
      <c r="CF1252" s="73"/>
      <c r="CG1252" s="73"/>
      <c r="CH1252" s="73"/>
    </row>
    <row r="1253">
      <c r="A1253" s="80"/>
      <c r="B1253" s="80"/>
      <c r="C1253" s="80"/>
      <c r="D1253" s="80"/>
      <c r="E1253" s="124"/>
      <c r="F1253" s="80"/>
      <c r="G1253" s="80"/>
      <c r="H1253" s="80"/>
      <c r="I1253" s="80"/>
      <c r="J1253" s="109"/>
      <c r="K1253" s="109"/>
      <c r="L1253" s="109"/>
      <c r="M1253" s="109"/>
      <c r="N1253" s="109"/>
      <c r="O1253" s="109"/>
      <c r="P1253" s="109"/>
      <c r="Q1253" s="109"/>
      <c r="R1253" s="109"/>
      <c r="S1253" s="109"/>
      <c r="T1253" s="109"/>
      <c r="U1253" s="109"/>
      <c r="V1253" s="109"/>
      <c r="W1253" s="109"/>
      <c r="X1253" s="109"/>
      <c r="Y1253" s="109"/>
      <c r="Z1253" s="109"/>
      <c r="AA1253" s="109"/>
      <c r="AB1253" s="109"/>
      <c r="AC1253" s="109"/>
      <c r="AD1253" s="109"/>
      <c r="AE1253" s="109"/>
      <c r="AF1253" s="109"/>
      <c r="AG1253" s="109"/>
      <c r="AH1253" s="109"/>
      <c r="AI1253" s="109"/>
      <c r="AJ1253" s="115"/>
      <c r="AK1253" s="80"/>
      <c r="AL1253" s="80"/>
      <c r="AM1253" s="80"/>
      <c r="AN1253" s="80"/>
      <c r="AO1253" s="80"/>
      <c r="AP1253" s="80"/>
      <c r="AQ1253" s="80"/>
      <c r="AR1253" s="73"/>
      <c r="AS1253" s="73"/>
      <c r="AT1253" s="73"/>
      <c r="AU1253" s="73"/>
      <c r="AV1253" s="73"/>
      <c r="AW1253" s="73"/>
      <c r="AX1253" s="73"/>
      <c r="AY1253" s="73"/>
      <c r="AZ1253" s="73"/>
      <c r="BA1253" s="73"/>
      <c r="BB1253" s="73"/>
      <c r="BC1253" s="73"/>
      <c r="BD1253" s="73"/>
      <c r="BE1253" s="73"/>
      <c r="BF1253" s="73"/>
      <c r="BG1253" s="73"/>
      <c r="BH1253" s="73"/>
      <c r="BI1253" s="73"/>
      <c r="BJ1253" s="73"/>
      <c r="BK1253" s="73"/>
      <c r="BL1253" s="73"/>
      <c r="BM1253" s="73"/>
      <c r="BN1253" s="73"/>
      <c r="BO1253" s="73"/>
      <c r="BP1253" s="73"/>
      <c r="BQ1253" s="73"/>
      <c r="BR1253" s="73"/>
      <c r="BS1253" s="73"/>
      <c r="BT1253" s="73"/>
      <c r="BU1253" s="73"/>
      <c r="BV1253" s="73"/>
      <c r="BW1253" s="73"/>
      <c r="BX1253" s="73"/>
      <c r="BY1253" s="73"/>
      <c r="BZ1253" s="73"/>
      <c r="CA1253" s="73"/>
      <c r="CB1253" s="73"/>
      <c r="CC1253" s="73"/>
      <c r="CD1253" s="73"/>
      <c r="CE1253" s="73"/>
      <c r="CF1253" s="73"/>
      <c r="CG1253" s="73"/>
      <c r="CH1253" s="73"/>
    </row>
    <row r="1254">
      <c r="A1254" s="80"/>
      <c r="B1254" s="80"/>
      <c r="C1254" s="80"/>
      <c r="D1254" s="80"/>
      <c r="E1254" s="124"/>
      <c r="F1254" s="80"/>
      <c r="G1254" s="80"/>
      <c r="H1254" s="80"/>
      <c r="I1254" s="80"/>
      <c r="J1254" s="109"/>
      <c r="K1254" s="109"/>
      <c r="L1254" s="109"/>
      <c r="M1254" s="109"/>
      <c r="N1254" s="109"/>
      <c r="O1254" s="109"/>
      <c r="P1254" s="109"/>
      <c r="Q1254" s="109"/>
      <c r="R1254" s="109"/>
      <c r="S1254" s="109"/>
      <c r="T1254" s="109"/>
      <c r="U1254" s="109"/>
      <c r="V1254" s="109"/>
      <c r="W1254" s="109"/>
      <c r="X1254" s="109"/>
      <c r="Y1254" s="109"/>
      <c r="Z1254" s="109"/>
      <c r="AA1254" s="109"/>
      <c r="AB1254" s="109"/>
      <c r="AC1254" s="109"/>
      <c r="AD1254" s="109"/>
      <c r="AE1254" s="109"/>
      <c r="AF1254" s="109"/>
      <c r="AG1254" s="109"/>
      <c r="AH1254" s="109"/>
      <c r="AI1254" s="109"/>
      <c r="AJ1254" s="115"/>
      <c r="AK1254" s="80"/>
      <c r="AL1254" s="80"/>
      <c r="AM1254" s="80"/>
      <c r="AN1254" s="80"/>
      <c r="AO1254" s="80"/>
      <c r="AP1254" s="80"/>
      <c r="AQ1254" s="80"/>
      <c r="AR1254" s="73"/>
      <c r="AS1254" s="73"/>
      <c r="AT1254" s="73"/>
      <c r="AU1254" s="73"/>
      <c r="AV1254" s="73"/>
      <c r="AW1254" s="73"/>
      <c r="AX1254" s="73"/>
      <c r="AY1254" s="73"/>
      <c r="AZ1254" s="73"/>
      <c r="BA1254" s="73"/>
      <c r="BB1254" s="73"/>
      <c r="BC1254" s="73"/>
      <c r="BD1254" s="73"/>
      <c r="BE1254" s="73"/>
      <c r="BF1254" s="73"/>
      <c r="BG1254" s="73"/>
      <c r="BH1254" s="73"/>
      <c r="BI1254" s="73"/>
      <c r="BJ1254" s="73"/>
      <c r="BK1254" s="73"/>
      <c r="BL1254" s="73"/>
      <c r="BM1254" s="73"/>
      <c r="BN1254" s="73"/>
      <c r="BO1254" s="73"/>
      <c r="BP1254" s="73"/>
      <c r="BQ1254" s="73"/>
      <c r="BR1254" s="73"/>
      <c r="BS1254" s="73"/>
      <c r="BT1254" s="73"/>
      <c r="BU1254" s="73"/>
      <c r="BV1254" s="73"/>
      <c r="BW1254" s="73"/>
      <c r="BX1254" s="73"/>
      <c r="BY1254" s="73"/>
      <c r="BZ1254" s="73"/>
      <c r="CA1254" s="73"/>
      <c r="CB1254" s="73"/>
      <c r="CC1254" s="73"/>
      <c r="CD1254" s="73"/>
      <c r="CE1254" s="73"/>
      <c r="CF1254" s="73"/>
      <c r="CG1254" s="73"/>
      <c r="CH1254" s="73"/>
    </row>
    <row r="1255">
      <c r="A1255" s="80"/>
      <c r="B1255" s="80"/>
      <c r="C1255" s="80"/>
      <c r="D1255" s="80"/>
      <c r="E1255" s="124"/>
      <c r="F1255" s="80"/>
      <c r="G1255" s="80"/>
      <c r="H1255" s="80"/>
      <c r="I1255" s="80"/>
      <c r="J1255" s="109"/>
      <c r="K1255" s="109"/>
      <c r="L1255" s="109"/>
      <c r="M1255" s="109"/>
      <c r="N1255" s="109"/>
      <c r="O1255" s="109"/>
      <c r="P1255" s="109"/>
      <c r="Q1255" s="109"/>
      <c r="R1255" s="109"/>
      <c r="S1255" s="109"/>
      <c r="T1255" s="109"/>
      <c r="U1255" s="109"/>
      <c r="V1255" s="109"/>
      <c r="W1255" s="109"/>
      <c r="X1255" s="109"/>
      <c r="Y1255" s="109"/>
      <c r="Z1255" s="109"/>
      <c r="AA1255" s="109"/>
      <c r="AB1255" s="109"/>
      <c r="AC1255" s="109"/>
      <c r="AD1255" s="109"/>
      <c r="AE1255" s="109"/>
      <c r="AF1255" s="109"/>
      <c r="AG1255" s="109"/>
      <c r="AH1255" s="109"/>
      <c r="AI1255" s="109"/>
      <c r="AJ1255" s="115"/>
      <c r="AK1255" s="80"/>
      <c r="AL1255" s="80"/>
      <c r="AM1255" s="80"/>
      <c r="AN1255" s="80"/>
      <c r="AO1255" s="80"/>
      <c r="AP1255" s="80"/>
      <c r="AQ1255" s="80"/>
      <c r="AR1255" s="73"/>
      <c r="AS1255" s="73"/>
      <c r="AT1255" s="73"/>
      <c r="AU1255" s="73"/>
      <c r="AV1255" s="73"/>
      <c r="AW1255" s="73"/>
      <c r="AX1255" s="73"/>
      <c r="AY1255" s="73"/>
      <c r="AZ1255" s="73"/>
      <c r="BA1255" s="73"/>
      <c r="BB1255" s="73"/>
      <c r="BC1255" s="73"/>
      <c r="BD1255" s="73"/>
      <c r="BE1255" s="73"/>
      <c r="BF1255" s="73"/>
      <c r="BG1255" s="73"/>
      <c r="BH1255" s="73"/>
      <c r="BI1255" s="73"/>
      <c r="BJ1255" s="73"/>
      <c r="BK1255" s="73"/>
      <c r="BL1255" s="73"/>
      <c r="BM1255" s="73"/>
      <c r="BN1255" s="73"/>
      <c r="BO1255" s="73"/>
      <c r="BP1255" s="73"/>
      <c r="BQ1255" s="73"/>
      <c r="BR1255" s="73"/>
      <c r="BS1255" s="73"/>
      <c r="BT1255" s="73"/>
      <c r="BU1255" s="73"/>
      <c r="BV1255" s="73"/>
      <c r="BW1255" s="73"/>
      <c r="BX1255" s="73"/>
      <c r="BY1255" s="73"/>
      <c r="BZ1255" s="73"/>
      <c r="CA1255" s="73"/>
      <c r="CB1255" s="73"/>
      <c r="CC1255" s="73"/>
      <c r="CD1255" s="73"/>
      <c r="CE1255" s="73"/>
      <c r="CF1255" s="73"/>
      <c r="CG1255" s="73"/>
      <c r="CH1255" s="73"/>
    </row>
    <row r="1256">
      <c r="A1256" s="80"/>
      <c r="B1256" s="80"/>
      <c r="C1256" s="80"/>
      <c r="D1256" s="80"/>
      <c r="E1256" s="124"/>
      <c r="F1256" s="80"/>
      <c r="G1256" s="80"/>
      <c r="H1256" s="80"/>
      <c r="I1256" s="80"/>
      <c r="J1256" s="109"/>
      <c r="K1256" s="109"/>
      <c r="L1256" s="109"/>
      <c r="M1256" s="109"/>
      <c r="N1256" s="109"/>
      <c r="O1256" s="109"/>
      <c r="P1256" s="109"/>
      <c r="Q1256" s="109"/>
      <c r="R1256" s="109"/>
      <c r="S1256" s="109"/>
      <c r="T1256" s="109"/>
      <c r="U1256" s="109"/>
      <c r="V1256" s="109"/>
      <c r="W1256" s="109"/>
      <c r="X1256" s="109"/>
      <c r="Y1256" s="109"/>
      <c r="Z1256" s="109"/>
      <c r="AA1256" s="109"/>
      <c r="AB1256" s="109"/>
      <c r="AC1256" s="109"/>
      <c r="AD1256" s="109"/>
      <c r="AE1256" s="109"/>
      <c r="AF1256" s="109"/>
      <c r="AG1256" s="109"/>
      <c r="AH1256" s="109"/>
      <c r="AI1256" s="109"/>
      <c r="AJ1256" s="115"/>
      <c r="AK1256" s="80"/>
      <c r="AL1256" s="80"/>
      <c r="AM1256" s="80"/>
      <c r="AN1256" s="80"/>
      <c r="AO1256" s="80"/>
      <c r="AP1256" s="80"/>
      <c r="AQ1256" s="80"/>
      <c r="AR1256" s="73"/>
      <c r="AS1256" s="73"/>
      <c r="AT1256" s="73"/>
      <c r="AU1256" s="73"/>
      <c r="AV1256" s="73"/>
      <c r="AW1256" s="73"/>
      <c r="AX1256" s="73"/>
      <c r="AY1256" s="73"/>
      <c r="AZ1256" s="73"/>
      <c r="BA1256" s="73"/>
      <c r="BB1256" s="73"/>
      <c r="BC1256" s="73"/>
      <c r="BD1256" s="73"/>
      <c r="BE1256" s="73"/>
      <c r="BF1256" s="73"/>
      <c r="BG1256" s="73"/>
      <c r="BH1256" s="73"/>
      <c r="BI1256" s="73"/>
      <c r="BJ1256" s="73"/>
      <c r="BK1256" s="73"/>
      <c r="BL1256" s="73"/>
      <c r="BM1256" s="73"/>
      <c r="BN1256" s="73"/>
      <c r="BO1256" s="73"/>
      <c r="BP1256" s="73"/>
      <c r="BQ1256" s="73"/>
      <c r="BR1256" s="73"/>
      <c r="BS1256" s="73"/>
      <c r="BT1256" s="73"/>
      <c r="BU1256" s="73"/>
      <c r="BV1256" s="73"/>
      <c r="BW1256" s="73"/>
      <c r="BX1256" s="73"/>
      <c r="BY1256" s="73"/>
      <c r="BZ1256" s="73"/>
      <c r="CA1256" s="73"/>
      <c r="CB1256" s="73"/>
      <c r="CC1256" s="73"/>
      <c r="CD1256" s="73"/>
      <c r="CE1256" s="73"/>
      <c r="CF1256" s="73"/>
      <c r="CG1256" s="73"/>
      <c r="CH1256" s="73"/>
    </row>
    <row r="1257">
      <c r="A1257" s="80"/>
      <c r="B1257" s="80"/>
      <c r="C1257" s="80"/>
      <c r="D1257" s="80"/>
      <c r="E1257" s="124"/>
      <c r="F1257" s="80"/>
      <c r="G1257" s="80"/>
      <c r="H1257" s="80"/>
      <c r="I1257" s="80"/>
      <c r="J1257" s="109"/>
      <c r="K1257" s="109"/>
      <c r="L1257" s="109"/>
      <c r="M1257" s="109"/>
      <c r="N1257" s="109"/>
      <c r="O1257" s="109"/>
      <c r="P1257" s="109"/>
      <c r="Q1257" s="109"/>
      <c r="R1257" s="109"/>
      <c r="S1257" s="109"/>
      <c r="T1257" s="109"/>
      <c r="U1257" s="109"/>
      <c r="V1257" s="109"/>
      <c r="W1257" s="109"/>
      <c r="X1257" s="109"/>
      <c r="Y1257" s="109"/>
      <c r="Z1257" s="109"/>
      <c r="AA1257" s="109"/>
      <c r="AB1257" s="109"/>
      <c r="AC1257" s="109"/>
      <c r="AD1257" s="109"/>
      <c r="AE1257" s="109"/>
      <c r="AF1257" s="109"/>
      <c r="AG1257" s="109"/>
      <c r="AH1257" s="109"/>
      <c r="AI1257" s="109"/>
      <c r="AJ1257" s="115"/>
      <c r="AK1257" s="80"/>
      <c r="AL1257" s="80"/>
      <c r="AM1257" s="80"/>
      <c r="AN1257" s="80"/>
      <c r="AO1257" s="80"/>
      <c r="AP1257" s="80"/>
      <c r="AQ1257" s="80"/>
      <c r="AR1257" s="73"/>
      <c r="AS1257" s="73"/>
      <c r="AT1257" s="73"/>
      <c r="AU1257" s="73"/>
      <c r="AV1257" s="73"/>
      <c r="AW1257" s="73"/>
      <c r="AX1257" s="73"/>
      <c r="AY1257" s="73"/>
      <c r="AZ1257" s="73"/>
      <c r="BA1257" s="73"/>
      <c r="BB1257" s="73"/>
      <c r="BC1257" s="73"/>
      <c r="BD1257" s="73"/>
      <c r="BE1257" s="73"/>
      <c r="BF1257" s="73"/>
      <c r="BG1257" s="73"/>
      <c r="BH1257" s="73"/>
      <c r="BI1257" s="73"/>
      <c r="BJ1257" s="73"/>
      <c r="BK1257" s="73"/>
      <c r="BL1257" s="73"/>
      <c r="BM1257" s="73"/>
      <c r="BN1257" s="73"/>
      <c r="BO1257" s="73"/>
      <c r="BP1257" s="73"/>
      <c r="BQ1257" s="73"/>
      <c r="BR1257" s="73"/>
      <c r="BS1257" s="73"/>
      <c r="BT1257" s="73"/>
      <c r="BU1257" s="73"/>
      <c r="BV1257" s="73"/>
      <c r="BW1257" s="73"/>
      <c r="BX1257" s="73"/>
      <c r="BY1257" s="73"/>
      <c r="BZ1257" s="73"/>
      <c r="CA1257" s="73"/>
      <c r="CB1257" s="73"/>
      <c r="CC1257" s="73"/>
      <c r="CD1257" s="73"/>
      <c r="CE1257" s="73"/>
      <c r="CF1257" s="73"/>
      <c r="CG1257" s="73"/>
      <c r="CH1257" s="73"/>
    </row>
    <row r="1258">
      <c r="A1258" s="80"/>
      <c r="B1258" s="80"/>
      <c r="C1258" s="80"/>
      <c r="D1258" s="80"/>
      <c r="E1258" s="124"/>
      <c r="F1258" s="80"/>
      <c r="G1258" s="80"/>
      <c r="H1258" s="80"/>
      <c r="I1258" s="80"/>
      <c r="J1258" s="109"/>
      <c r="K1258" s="109"/>
      <c r="L1258" s="109"/>
      <c r="M1258" s="109"/>
      <c r="N1258" s="109"/>
      <c r="O1258" s="109"/>
      <c r="P1258" s="109"/>
      <c r="Q1258" s="109"/>
      <c r="R1258" s="109"/>
      <c r="S1258" s="109"/>
      <c r="T1258" s="109"/>
      <c r="U1258" s="109"/>
      <c r="V1258" s="109"/>
      <c r="W1258" s="109"/>
      <c r="X1258" s="109"/>
      <c r="Y1258" s="109"/>
      <c r="Z1258" s="109"/>
      <c r="AA1258" s="109"/>
      <c r="AB1258" s="109"/>
      <c r="AC1258" s="109"/>
      <c r="AD1258" s="109"/>
      <c r="AE1258" s="109"/>
      <c r="AF1258" s="109"/>
      <c r="AG1258" s="109"/>
      <c r="AH1258" s="109"/>
      <c r="AI1258" s="109"/>
      <c r="AJ1258" s="115"/>
      <c r="AK1258" s="80"/>
      <c r="AL1258" s="80"/>
      <c r="AM1258" s="80"/>
      <c r="AN1258" s="80"/>
      <c r="AO1258" s="80"/>
      <c r="AP1258" s="80"/>
      <c r="AQ1258" s="80"/>
      <c r="AR1258" s="73"/>
      <c r="AS1258" s="73"/>
      <c r="AT1258" s="73"/>
      <c r="AU1258" s="73"/>
      <c r="AV1258" s="73"/>
      <c r="AW1258" s="73"/>
      <c r="AX1258" s="73"/>
      <c r="AY1258" s="73"/>
      <c r="AZ1258" s="73"/>
      <c r="BA1258" s="73"/>
      <c r="BB1258" s="73"/>
      <c r="BC1258" s="73"/>
      <c r="BD1258" s="73"/>
      <c r="BE1258" s="73"/>
      <c r="BF1258" s="73"/>
      <c r="BG1258" s="73"/>
      <c r="BH1258" s="73"/>
      <c r="BI1258" s="73"/>
      <c r="BJ1258" s="73"/>
      <c r="BK1258" s="73"/>
      <c r="BL1258" s="73"/>
      <c r="BM1258" s="73"/>
      <c r="BN1258" s="73"/>
      <c r="BO1258" s="73"/>
      <c r="BP1258" s="73"/>
      <c r="BQ1258" s="73"/>
      <c r="BR1258" s="73"/>
      <c r="BS1258" s="73"/>
      <c r="BT1258" s="73"/>
      <c r="BU1258" s="73"/>
      <c r="BV1258" s="73"/>
      <c r="BW1258" s="73"/>
      <c r="BX1258" s="73"/>
      <c r="BY1258" s="73"/>
      <c r="BZ1258" s="73"/>
      <c r="CA1258" s="73"/>
      <c r="CB1258" s="73"/>
      <c r="CC1258" s="73"/>
      <c r="CD1258" s="73"/>
      <c r="CE1258" s="73"/>
      <c r="CF1258" s="73"/>
      <c r="CG1258" s="73"/>
      <c r="CH1258" s="73"/>
    </row>
    <row r="1259">
      <c r="A1259" s="80"/>
      <c r="B1259" s="80"/>
      <c r="C1259" s="80"/>
      <c r="D1259" s="80"/>
      <c r="E1259" s="124"/>
      <c r="F1259" s="80"/>
      <c r="G1259" s="80"/>
      <c r="H1259" s="80"/>
      <c r="I1259" s="80"/>
      <c r="J1259" s="109"/>
      <c r="K1259" s="109"/>
      <c r="L1259" s="109"/>
      <c r="M1259" s="109"/>
      <c r="N1259" s="109"/>
      <c r="O1259" s="109"/>
      <c r="P1259" s="109"/>
      <c r="Q1259" s="109"/>
      <c r="R1259" s="109"/>
      <c r="S1259" s="109"/>
      <c r="T1259" s="109"/>
      <c r="U1259" s="109"/>
      <c r="V1259" s="109"/>
      <c r="W1259" s="109"/>
      <c r="X1259" s="109"/>
      <c r="Y1259" s="109"/>
      <c r="Z1259" s="109"/>
      <c r="AA1259" s="109"/>
      <c r="AB1259" s="109"/>
      <c r="AC1259" s="109"/>
      <c r="AD1259" s="109"/>
      <c r="AE1259" s="109"/>
      <c r="AF1259" s="109"/>
      <c r="AG1259" s="109"/>
      <c r="AH1259" s="109"/>
      <c r="AI1259" s="109"/>
      <c r="AJ1259" s="115"/>
      <c r="AK1259" s="80"/>
      <c r="AL1259" s="80"/>
      <c r="AM1259" s="80"/>
      <c r="AN1259" s="80"/>
      <c r="AO1259" s="80"/>
      <c r="AP1259" s="80"/>
      <c r="AQ1259" s="80"/>
      <c r="AR1259" s="73"/>
      <c r="AS1259" s="73"/>
      <c r="AT1259" s="73"/>
      <c r="AU1259" s="73"/>
      <c r="AV1259" s="73"/>
      <c r="AW1259" s="73"/>
      <c r="AX1259" s="73"/>
      <c r="AY1259" s="73"/>
      <c r="AZ1259" s="73"/>
      <c r="BA1259" s="73"/>
      <c r="BB1259" s="73"/>
      <c r="BC1259" s="73"/>
      <c r="BD1259" s="73"/>
      <c r="BE1259" s="73"/>
      <c r="BF1259" s="73"/>
      <c r="BG1259" s="73"/>
      <c r="BH1259" s="73"/>
      <c r="BI1259" s="73"/>
      <c r="BJ1259" s="73"/>
      <c r="BK1259" s="73"/>
      <c r="BL1259" s="73"/>
      <c r="BM1259" s="73"/>
      <c r="BN1259" s="73"/>
      <c r="BO1259" s="73"/>
      <c r="BP1259" s="73"/>
      <c r="BQ1259" s="73"/>
      <c r="BR1259" s="73"/>
      <c r="BS1259" s="73"/>
      <c r="BT1259" s="73"/>
      <c r="BU1259" s="73"/>
      <c r="BV1259" s="73"/>
      <c r="BW1259" s="73"/>
      <c r="BX1259" s="73"/>
      <c r="BY1259" s="73"/>
      <c r="BZ1259" s="73"/>
      <c r="CA1259" s="73"/>
      <c r="CB1259" s="73"/>
      <c r="CC1259" s="73"/>
      <c r="CD1259" s="73"/>
      <c r="CE1259" s="73"/>
      <c r="CF1259" s="73"/>
      <c r="CG1259" s="73"/>
      <c r="CH1259" s="73"/>
    </row>
    <row r="1260">
      <c r="A1260" s="80"/>
      <c r="B1260" s="80"/>
      <c r="C1260" s="80"/>
      <c r="D1260" s="80"/>
      <c r="E1260" s="124"/>
      <c r="F1260" s="80"/>
      <c r="G1260" s="80"/>
      <c r="H1260" s="80"/>
      <c r="I1260" s="80"/>
      <c r="J1260" s="109"/>
      <c r="K1260" s="109"/>
      <c r="L1260" s="109"/>
      <c r="M1260" s="109"/>
      <c r="N1260" s="109"/>
      <c r="O1260" s="109"/>
      <c r="P1260" s="109"/>
      <c r="Q1260" s="109"/>
      <c r="R1260" s="109"/>
      <c r="S1260" s="109"/>
      <c r="T1260" s="109"/>
      <c r="U1260" s="109"/>
      <c r="V1260" s="109"/>
      <c r="W1260" s="109"/>
      <c r="X1260" s="109"/>
      <c r="Y1260" s="109"/>
      <c r="Z1260" s="109"/>
      <c r="AA1260" s="109"/>
      <c r="AB1260" s="109"/>
      <c r="AC1260" s="109"/>
      <c r="AD1260" s="109"/>
      <c r="AE1260" s="109"/>
      <c r="AF1260" s="109"/>
      <c r="AG1260" s="109"/>
      <c r="AH1260" s="109"/>
      <c r="AI1260" s="109"/>
      <c r="AJ1260" s="115"/>
      <c r="AK1260" s="80"/>
      <c r="AL1260" s="80"/>
      <c r="AM1260" s="80"/>
      <c r="AN1260" s="80"/>
      <c r="AO1260" s="80"/>
      <c r="AP1260" s="80"/>
      <c r="AQ1260" s="80"/>
      <c r="AR1260" s="73"/>
      <c r="AS1260" s="73"/>
      <c r="AT1260" s="73"/>
      <c r="AU1260" s="73"/>
      <c r="AV1260" s="73"/>
      <c r="AW1260" s="73"/>
      <c r="AX1260" s="73"/>
      <c r="AY1260" s="73"/>
      <c r="AZ1260" s="73"/>
      <c r="BA1260" s="73"/>
      <c r="BB1260" s="73"/>
      <c r="BC1260" s="73"/>
      <c r="BD1260" s="73"/>
      <c r="BE1260" s="73"/>
      <c r="BF1260" s="73"/>
      <c r="BG1260" s="73"/>
      <c r="BH1260" s="73"/>
      <c r="BI1260" s="73"/>
      <c r="BJ1260" s="73"/>
      <c r="BK1260" s="73"/>
      <c r="BL1260" s="73"/>
      <c r="BM1260" s="73"/>
      <c r="BN1260" s="73"/>
      <c r="BO1260" s="73"/>
      <c r="BP1260" s="73"/>
      <c r="BQ1260" s="73"/>
      <c r="BR1260" s="73"/>
      <c r="BS1260" s="73"/>
      <c r="BT1260" s="73"/>
      <c r="BU1260" s="73"/>
      <c r="BV1260" s="73"/>
      <c r="BW1260" s="73"/>
      <c r="BX1260" s="73"/>
      <c r="BY1260" s="73"/>
      <c r="BZ1260" s="73"/>
      <c r="CA1260" s="73"/>
      <c r="CB1260" s="73"/>
      <c r="CC1260" s="73"/>
      <c r="CD1260" s="73"/>
      <c r="CE1260" s="73"/>
      <c r="CF1260" s="73"/>
      <c r="CG1260" s="73"/>
      <c r="CH1260" s="73"/>
    </row>
    <row r="1261">
      <c r="A1261" s="80"/>
      <c r="B1261" s="80"/>
      <c r="C1261" s="80"/>
      <c r="D1261" s="80"/>
      <c r="E1261" s="124"/>
      <c r="F1261" s="80"/>
      <c r="G1261" s="80"/>
      <c r="H1261" s="80"/>
      <c r="I1261" s="80"/>
      <c r="J1261" s="109"/>
      <c r="K1261" s="109"/>
      <c r="L1261" s="109"/>
      <c r="M1261" s="109"/>
      <c r="N1261" s="109"/>
      <c r="O1261" s="109"/>
      <c r="P1261" s="109"/>
      <c r="Q1261" s="109"/>
      <c r="R1261" s="109"/>
      <c r="S1261" s="109"/>
      <c r="T1261" s="109"/>
      <c r="U1261" s="109"/>
      <c r="V1261" s="109"/>
      <c r="W1261" s="109"/>
      <c r="X1261" s="109"/>
      <c r="Y1261" s="109"/>
      <c r="Z1261" s="109"/>
      <c r="AA1261" s="109"/>
      <c r="AB1261" s="109"/>
      <c r="AC1261" s="109"/>
      <c r="AD1261" s="109"/>
      <c r="AE1261" s="109"/>
      <c r="AF1261" s="109"/>
      <c r="AG1261" s="109"/>
      <c r="AH1261" s="109"/>
      <c r="AI1261" s="109"/>
      <c r="AJ1261" s="115"/>
      <c r="AK1261" s="80"/>
      <c r="AL1261" s="80"/>
      <c r="AM1261" s="80"/>
      <c r="AN1261" s="80"/>
      <c r="AO1261" s="80"/>
      <c r="AP1261" s="80"/>
      <c r="AQ1261" s="80"/>
      <c r="AR1261" s="73"/>
      <c r="AS1261" s="73"/>
      <c r="AT1261" s="73"/>
      <c r="AU1261" s="73"/>
      <c r="AV1261" s="73"/>
      <c r="AW1261" s="73"/>
      <c r="AX1261" s="73"/>
      <c r="AY1261" s="73"/>
      <c r="AZ1261" s="73"/>
      <c r="BA1261" s="73"/>
      <c r="BB1261" s="73"/>
      <c r="BC1261" s="73"/>
      <c r="BD1261" s="73"/>
      <c r="BE1261" s="73"/>
      <c r="BF1261" s="73"/>
      <c r="BG1261" s="73"/>
      <c r="BH1261" s="73"/>
      <c r="BI1261" s="73"/>
      <c r="BJ1261" s="73"/>
      <c r="BK1261" s="73"/>
      <c r="BL1261" s="73"/>
      <c r="BM1261" s="73"/>
      <c r="BN1261" s="73"/>
      <c r="BO1261" s="73"/>
      <c r="BP1261" s="73"/>
      <c r="BQ1261" s="73"/>
      <c r="BR1261" s="73"/>
      <c r="BS1261" s="73"/>
      <c r="BT1261" s="73"/>
      <c r="BU1261" s="73"/>
      <c r="BV1261" s="73"/>
      <c r="BW1261" s="73"/>
      <c r="BX1261" s="73"/>
      <c r="BY1261" s="73"/>
      <c r="BZ1261" s="73"/>
      <c r="CA1261" s="73"/>
      <c r="CB1261" s="73"/>
      <c r="CC1261" s="73"/>
      <c r="CD1261" s="73"/>
      <c r="CE1261" s="73"/>
      <c r="CF1261" s="73"/>
      <c r="CG1261" s="73"/>
      <c r="CH1261" s="73"/>
    </row>
    <row r="1262">
      <c r="A1262" s="80"/>
      <c r="B1262" s="80"/>
      <c r="C1262" s="80"/>
      <c r="D1262" s="80"/>
      <c r="E1262" s="124"/>
      <c r="F1262" s="80"/>
      <c r="G1262" s="80"/>
      <c r="H1262" s="80"/>
      <c r="I1262" s="80"/>
      <c r="J1262" s="109"/>
      <c r="K1262" s="109"/>
      <c r="L1262" s="109"/>
      <c r="M1262" s="109"/>
      <c r="N1262" s="109"/>
      <c r="O1262" s="109"/>
      <c r="P1262" s="109"/>
      <c r="Q1262" s="109"/>
      <c r="R1262" s="109"/>
      <c r="S1262" s="109"/>
      <c r="T1262" s="109"/>
      <c r="U1262" s="109"/>
      <c r="V1262" s="109"/>
      <c r="W1262" s="109"/>
      <c r="X1262" s="109"/>
      <c r="Y1262" s="109"/>
      <c r="Z1262" s="109"/>
      <c r="AA1262" s="109"/>
      <c r="AB1262" s="109"/>
      <c r="AC1262" s="109"/>
      <c r="AD1262" s="109"/>
      <c r="AE1262" s="109"/>
      <c r="AF1262" s="109"/>
      <c r="AG1262" s="109"/>
      <c r="AH1262" s="109"/>
      <c r="AI1262" s="109"/>
      <c r="AJ1262" s="115"/>
      <c r="AK1262" s="80"/>
      <c r="AL1262" s="80"/>
      <c r="AM1262" s="80"/>
      <c r="AN1262" s="80"/>
      <c r="AO1262" s="80"/>
      <c r="AP1262" s="80"/>
      <c r="AQ1262" s="80"/>
      <c r="AR1262" s="73"/>
      <c r="AS1262" s="73"/>
      <c r="AT1262" s="73"/>
      <c r="AU1262" s="73"/>
      <c r="AV1262" s="73"/>
      <c r="AW1262" s="73"/>
      <c r="AX1262" s="73"/>
      <c r="AY1262" s="73"/>
      <c r="AZ1262" s="73"/>
      <c r="BA1262" s="73"/>
      <c r="BB1262" s="73"/>
      <c r="BC1262" s="73"/>
      <c r="BD1262" s="73"/>
      <c r="BE1262" s="73"/>
      <c r="BF1262" s="73"/>
      <c r="BG1262" s="73"/>
      <c r="BH1262" s="73"/>
      <c r="BI1262" s="73"/>
      <c r="BJ1262" s="73"/>
      <c r="BK1262" s="73"/>
      <c r="BL1262" s="73"/>
      <c r="BM1262" s="73"/>
      <c r="BN1262" s="73"/>
      <c r="BO1262" s="73"/>
      <c r="BP1262" s="73"/>
      <c r="BQ1262" s="73"/>
      <c r="BR1262" s="73"/>
      <c r="BS1262" s="73"/>
      <c r="BT1262" s="73"/>
      <c r="BU1262" s="73"/>
      <c r="BV1262" s="73"/>
      <c r="BW1262" s="73"/>
      <c r="BX1262" s="73"/>
      <c r="BY1262" s="73"/>
      <c r="BZ1262" s="73"/>
      <c r="CA1262" s="73"/>
      <c r="CB1262" s="73"/>
      <c r="CC1262" s="73"/>
      <c r="CD1262" s="73"/>
      <c r="CE1262" s="73"/>
      <c r="CF1262" s="73"/>
      <c r="CG1262" s="73"/>
      <c r="CH1262" s="73"/>
    </row>
    <row r="1263">
      <c r="A1263" s="80"/>
      <c r="B1263" s="80"/>
      <c r="C1263" s="80"/>
      <c r="D1263" s="80"/>
      <c r="E1263" s="124"/>
      <c r="F1263" s="80"/>
      <c r="G1263" s="80"/>
      <c r="H1263" s="80"/>
      <c r="I1263" s="80"/>
      <c r="J1263" s="109"/>
      <c r="K1263" s="109"/>
      <c r="L1263" s="109"/>
      <c r="M1263" s="109"/>
      <c r="N1263" s="109"/>
      <c r="O1263" s="109"/>
      <c r="P1263" s="109"/>
      <c r="Q1263" s="109"/>
      <c r="R1263" s="109"/>
      <c r="S1263" s="109"/>
      <c r="T1263" s="109"/>
      <c r="U1263" s="109"/>
      <c r="V1263" s="109"/>
      <c r="W1263" s="109"/>
      <c r="X1263" s="109"/>
      <c r="Y1263" s="109"/>
      <c r="Z1263" s="109"/>
      <c r="AA1263" s="109"/>
      <c r="AB1263" s="109"/>
      <c r="AC1263" s="109"/>
      <c r="AD1263" s="109"/>
      <c r="AE1263" s="109"/>
      <c r="AF1263" s="109"/>
      <c r="AG1263" s="109"/>
      <c r="AH1263" s="109"/>
      <c r="AI1263" s="109"/>
      <c r="AJ1263" s="115"/>
      <c r="AK1263" s="80"/>
      <c r="AL1263" s="80"/>
      <c r="AM1263" s="80"/>
      <c r="AN1263" s="80"/>
      <c r="AO1263" s="80"/>
      <c r="AP1263" s="80"/>
      <c r="AQ1263" s="80"/>
      <c r="AR1263" s="73"/>
      <c r="AS1263" s="73"/>
      <c r="AT1263" s="73"/>
      <c r="AU1263" s="73"/>
      <c r="AV1263" s="73"/>
      <c r="AW1263" s="73"/>
      <c r="AX1263" s="73"/>
      <c r="AY1263" s="73"/>
      <c r="AZ1263" s="73"/>
      <c r="BA1263" s="73"/>
      <c r="BB1263" s="73"/>
      <c r="BC1263" s="73"/>
      <c r="BD1263" s="73"/>
      <c r="BE1263" s="73"/>
      <c r="BF1263" s="73"/>
      <c r="BG1263" s="73"/>
      <c r="BH1263" s="73"/>
      <c r="BI1263" s="73"/>
      <c r="BJ1263" s="73"/>
      <c r="BK1263" s="73"/>
      <c r="BL1263" s="73"/>
      <c r="BM1263" s="73"/>
      <c r="BN1263" s="73"/>
      <c r="BO1263" s="73"/>
      <c r="BP1263" s="73"/>
      <c r="BQ1263" s="73"/>
      <c r="BR1263" s="73"/>
      <c r="BS1263" s="73"/>
      <c r="BT1263" s="73"/>
      <c r="BU1263" s="73"/>
      <c r="BV1263" s="73"/>
      <c r="BW1263" s="73"/>
      <c r="BX1263" s="73"/>
      <c r="BY1263" s="73"/>
      <c r="BZ1263" s="73"/>
      <c r="CA1263" s="73"/>
      <c r="CB1263" s="73"/>
      <c r="CC1263" s="73"/>
      <c r="CD1263" s="73"/>
      <c r="CE1263" s="73"/>
      <c r="CF1263" s="73"/>
      <c r="CG1263" s="73"/>
      <c r="CH1263" s="73"/>
    </row>
    <row r="1264">
      <c r="A1264" s="80"/>
      <c r="B1264" s="80"/>
      <c r="C1264" s="80"/>
      <c r="D1264" s="80"/>
      <c r="E1264" s="124"/>
      <c r="F1264" s="80"/>
      <c r="G1264" s="80"/>
      <c r="H1264" s="80"/>
      <c r="I1264" s="80"/>
      <c r="J1264" s="109"/>
      <c r="K1264" s="109"/>
      <c r="L1264" s="109"/>
      <c r="M1264" s="109"/>
      <c r="N1264" s="109"/>
      <c r="O1264" s="109"/>
      <c r="P1264" s="109"/>
      <c r="Q1264" s="109"/>
      <c r="R1264" s="109"/>
      <c r="S1264" s="109"/>
      <c r="T1264" s="109"/>
      <c r="U1264" s="109"/>
      <c r="V1264" s="109"/>
      <c r="W1264" s="109"/>
      <c r="X1264" s="109"/>
      <c r="Y1264" s="109"/>
      <c r="Z1264" s="109"/>
      <c r="AA1264" s="109"/>
      <c r="AB1264" s="109"/>
      <c r="AC1264" s="109"/>
      <c r="AD1264" s="109"/>
      <c r="AE1264" s="109"/>
      <c r="AF1264" s="109"/>
      <c r="AG1264" s="109"/>
      <c r="AH1264" s="109"/>
      <c r="AI1264" s="109"/>
      <c r="AJ1264" s="115"/>
      <c r="AK1264" s="80"/>
      <c r="AL1264" s="80"/>
      <c r="AM1264" s="80"/>
      <c r="AN1264" s="80"/>
      <c r="AO1264" s="80"/>
      <c r="AP1264" s="80"/>
      <c r="AQ1264" s="80"/>
      <c r="AR1264" s="73"/>
      <c r="AS1264" s="73"/>
      <c r="AT1264" s="73"/>
      <c r="AU1264" s="73"/>
      <c r="AV1264" s="73"/>
      <c r="AW1264" s="73"/>
      <c r="AX1264" s="73"/>
      <c r="AY1264" s="73"/>
      <c r="AZ1264" s="73"/>
      <c r="BA1264" s="73"/>
      <c r="BB1264" s="73"/>
      <c r="BC1264" s="73"/>
      <c r="BD1264" s="73"/>
      <c r="BE1264" s="73"/>
      <c r="BF1264" s="73"/>
      <c r="BG1264" s="73"/>
      <c r="BH1264" s="73"/>
      <c r="BI1264" s="73"/>
      <c r="BJ1264" s="73"/>
      <c r="BK1264" s="73"/>
      <c r="BL1264" s="73"/>
      <c r="BM1264" s="73"/>
      <c r="BN1264" s="73"/>
      <c r="BO1264" s="73"/>
      <c r="BP1264" s="73"/>
      <c r="BQ1264" s="73"/>
      <c r="BR1264" s="73"/>
      <c r="BS1264" s="73"/>
      <c r="BT1264" s="73"/>
      <c r="BU1264" s="73"/>
      <c r="BV1264" s="73"/>
      <c r="BW1264" s="73"/>
      <c r="BX1264" s="73"/>
      <c r="BY1264" s="73"/>
      <c r="BZ1264" s="73"/>
      <c r="CA1264" s="73"/>
      <c r="CB1264" s="73"/>
      <c r="CC1264" s="73"/>
      <c r="CD1264" s="73"/>
      <c r="CE1264" s="73"/>
      <c r="CF1264" s="73"/>
      <c r="CG1264" s="73"/>
      <c r="CH1264" s="73"/>
    </row>
    <row r="1265">
      <c r="A1265" s="80"/>
      <c r="B1265" s="80"/>
      <c r="C1265" s="80"/>
      <c r="D1265" s="80"/>
      <c r="E1265" s="124"/>
      <c r="F1265" s="80"/>
      <c r="G1265" s="80"/>
      <c r="H1265" s="80"/>
      <c r="I1265" s="80"/>
      <c r="J1265" s="109"/>
      <c r="K1265" s="109"/>
      <c r="L1265" s="109"/>
      <c r="M1265" s="109"/>
      <c r="N1265" s="109"/>
      <c r="O1265" s="109"/>
      <c r="P1265" s="109"/>
      <c r="Q1265" s="109"/>
      <c r="R1265" s="109"/>
      <c r="S1265" s="109"/>
      <c r="T1265" s="109"/>
      <c r="U1265" s="109"/>
      <c r="V1265" s="109"/>
      <c r="W1265" s="109"/>
      <c r="X1265" s="109"/>
      <c r="Y1265" s="109"/>
      <c r="Z1265" s="109"/>
      <c r="AA1265" s="109"/>
      <c r="AB1265" s="109"/>
      <c r="AC1265" s="109"/>
      <c r="AD1265" s="109"/>
      <c r="AE1265" s="109"/>
      <c r="AF1265" s="109"/>
      <c r="AG1265" s="109"/>
      <c r="AH1265" s="109"/>
      <c r="AI1265" s="109"/>
      <c r="AJ1265" s="115"/>
      <c r="AK1265" s="80"/>
      <c r="AL1265" s="80"/>
      <c r="AM1265" s="80"/>
      <c r="AN1265" s="80"/>
      <c r="AO1265" s="80"/>
      <c r="AP1265" s="80"/>
      <c r="AQ1265" s="80"/>
      <c r="AR1265" s="73"/>
      <c r="AS1265" s="73"/>
      <c r="AT1265" s="73"/>
      <c r="AU1265" s="73"/>
      <c r="AV1265" s="73"/>
      <c r="AW1265" s="73"/>
      <c r="AX1265" s="73"/>
      <c r="AY1265" s="73"/>
      <c r="AZ1265" s="73"/>
      <c r="BA1265" s="73"/>
      <c r="BB1265" s="73"/>
      <c r="BC1265" s="73"/>
      <c r="BD1265" s="73"/>
      <c r="BE1265" s="73"/>
      <c r="BF1265" s="73"/>
      <c r="BG1265" s="73"/>
      <c r="BH1265" s="73"/>
      <c r="BI1265" s="73"/>
      <c r="BJ1265" s="73"/>
      <c r="BK1265" s="73"/>
      <c r="BL1265" s="73"/>
      <c r="BM1265" s="73"/>
      <c r="BN1265" s="73"/>
      <c r="BO1265" s="73"/>
      <c r="BP1265" s="73"/>
      <c r="BQ1265" s="73"/>
      <c r="BR1265" s="73"/>
      <c r="BS1265" s="73"/>
      <c r="BT1265" s="73"/>
      <c r="BU1265" s="73"/>
      <c r="BV1265" s="73"/>
      <c r="BW1265" s="73"/>
      <c r="BX1265" s="73"/>
      <c r="BY1265" s="73"/>
      <c r="BZ1265" s="73"/>
      <c r="CA1265" s="73"/>
      <c r="CB1265" s="73"/>
      <c r="CC1265" s="73"/>
      <c r="CD1265" s="73"/>
      <c r="CE1265" s="73"/>
      <c r="CF1265" s="73"/>
      <c r="CG1265" s="73"/>
      <c r="CH1265" s="73"/>
    </row>
    <row r="1266">
      <c r="A1266" s="80"/>
      <c r="B1266" s="80"/>
      <c r="C1266" s="80"/>
      <c r="D1266" s="80"/>
      <c r="E1266" s="124"/>
      <c r="F1266" s="80"/>
      <c r="G1266" s="80"/>
      <c r="H1266" s="80"/>
      <c r="I1266" s="80"/>
      <c r="J1266" s="109"/>
      <c r="K1266" s="109"/>
      <c r="L1266" s="109"/>
      <c r="M1266" s="109"/>
      <c r="N1266" s="109"/>
      <c r="O1266" s="109"/>
      <c r="P1266" s="109"/>
      <c r="Q1266" s="109"/>
      <c r="R1266" s="109"/>
      <c r="S1266" s="109"/>
      <c r="T1266" s="109"/>
      <c r="U1266" s="109"/>
      <c r="V1266" s="109"/>
      <c r="W1266" s="109"/>
      <c r="X1266" s="109"/>
      <c r="Y1266" s="109"/>
      <c r="Z1266" s="109"/>
      <c r="AA1266" s="109"/>
      <c r="AB1266" s="109"/>
      <c r="AC1266" s="109"/>
      <c r="AD1266" s="109"/>
      <c r="AE1266" s="109"/>
      <c r="AF1266" s="109"/>
      <c r="AG1266" s="109"/>
      <c r="AH1266" s="109"/>
      <c r="AI1266" s="109"/>
      <c r="AJ1266" s="115"/>
      <c r="AK1266" s="80"/>
      <c r="AL1266" s="80"/>
      <c r="AM1266" s="80"/>
      <c r="AN1266" s="80"/>
      <c r="AO1266" s="80"/>
      <c r="AP1266" s="80"/>
      <c r="AQ1266" s="80"/>
      <c r="AR1266" s="73"/>
      <c r="AS1266" s="73"/>
      <c r="AT1266" s="73"/>
      <c r="AU1266" s="73"/>
      <c r="AV1266" s="73"/>
      <c r="AW1266" s="73"/>
      <c r="AX1266" s="73"/>
      <c r="AY1266" s="73"/>
      <c r="AZ1266" s="73"/>
      <c r="BA1266" s="73"/>
      <c r="BB1266" s="73"/>
      <c r="BC1266" s="73"/>
      <c r="BD1266" s="73"/>
      <c r="BE1266" s="73"/>
      <c r="BF1266" s="73"/>
      <c r="BG1266" s="73"/>
      <c r="BH1266" s="73"/>
      <c r="BI1266" s="73"/>
      <c r="BJ1266" s="73"/>
      <c r="BK1266" s="73"/>
      <c r="BL1266" s="73"/>
      <c r="BM1266" s="73"/>
      <c r="BN1266" s="73"/>
      <c r="BO1266" s="73"/>
      <c r="BP1266" s="73"/>
      <c r="BQ1266" s="73"/>
      <c r="BR1266" s="73"/>
      <c r="BS1266" s="73"/>
      <c r="BT1266" s="73"/>
      <c r="BU1266" s="73"/>
      <c r="BV1266" s="73"/>
      <c r="BW1266" s="73"/>
      <c r="BX1266" s="73"/>
      <c r="BY1266" s="73"/>
      <c r="BZ1266" s="73"/>
      <c r="CA1266" s="73"/>
      <c r="CB1266" s="73"/>
      <c r="CC1266" s="73"/>
      <c r="CD1266" s="73"/>
      <c r="CE1266" s="73"/>
      <c r="CF1266" s="73"/>
      <c r="CG1266" s="73"/>
      <c r="CH1266" s="73"/>
    </row>
    <row r="1267">
      <c r="A1267" s="80"/>
      <c r="B1267" s="80"/>
      <c r="C1267" s="80"/>
      <c r="D1267" s="80"/>
      <c r="E1267" s="124"/>
      <c r="F1267" s="80"/>
      <c r="G1267" s="80"/>
      <c r="H1267" s="80"/>
      <c r="I1267" s="80"/>
      <c r="J1267" s="109"/>
      <c r="K1267" s="109"/>
      <c r="L1267" s="109"/>
      <c r="M1267" s="109"/>
      <c r="N1267" s="109"/>
      <c r="O1267" s="109"/>
      <c r="P1267" s="109"/>
      <c r="Q1267" s="109"/>
      <c r="R1267" s="109"/>
      <c r="S1267" s="109"/>
      <c r="T1267" s="109"/>
      <c r="U1267" s="109"/>
      <c r="V1267" s="109"/>
      <c r="W1267" s="109"/>
      <c r="X1267" s="109"/>
      <c r="Y1267" s="109"/>
      <c r="Z1267" s="109"/>
      <c r="AA1267" s="109"/>
      <c r="AB1267" s="109"/>
      <c r="AC1267" s="109"/>
      <c r="AD1267" s="109"/>
      <c r="AE1267" s="109"/>
      <c r="AF1267" s="109"/>
      <c r="AG1267" s="109"/>
      <c r="AH1267" s="109"/>
      <c r="AI1267" s="109"/>
      <c r="AJ1267" s="115"/>
      <c r="AK1267" s="80"/>
      <c r="AL1267" s="80"/>
      <c r="AM1267" s="80"/>
      <c r="AN1267" s="80"/>
      <c r="AO1267" s="80"/>
      <c r="AP1267" s="80"/>
      <c r="AQ1267" s="80"/>
      <c r="AR1267" s="73"/>
      <c r="AS1267" s="73"/>
      <c r="AT1267" s="73"/>
      <c r="AU1267" s="73"/>
      <c r="AV1267" s="73"/>
      <c r="AW1267" s="73"/>
      <c r="AX1267" s="73"/>
      <c r="AY1267" s="73"/>
      <c r="AZ1267" s="73"/>
      <c r="BA1267" s="73"/>
      <c r="BB1267" s="73"/>
      <c r="BC1267" s="73"/>
      <c r="BD1267" s="73"/>
      <c r="BE1267" s="73"/>
      <c r="BF1267" s="73"/>
      <c r="BG1267" s="73"/>
      <c r="BH1267" s="73"/>
      <c r="BI1267" s="73"/>
      <c r="BJ1267" s="73"/>
      <c r="BK1267" s="73"/>
      <c r="BL1267" s="73"/>
      <c r="BM1267" s="73"/>
      <c r="BN1267" s="73"/>
      <c r="BO1267" s="73"/>
      <c r="BP1267" s="73"/>
      <c r="BQ1267" s="73"/>
      <c r="BR1267" s="73"/>
      <c r="BS1267" s="73"/>
      <c r="BT1267" s="73"/>
      <c r="BU1267" s="73"/>
      <c r="BV1267" s="73"/>
      <c r="BW1267" s="73"/>
      <c r="BX1267" s="73"/>
      <c r="BY1267" s="73"/>
      <c r="BZ1267" s="73"/>
      <c r="CA1267" s="73"/>
      <c r="CB1267" s="73"/>
      <c r="CC1267" s="73"/>
      <c r="CD1267" s="73"/>
      <c r="CE1267" s="73"/>
      <c r="CF1267" s="73"/>
      <c r="CG1267" s="73"/>
      <c r="CH1267" s="73"/>
    </row>
    <row r="1268">
      <c r="A1268" s="80"/>
      <c r="B1268" s="80"/>
      <c r="C1268" s="80"/>
      <c r="D1268" s="80"/>
      <c r="E1268" s="124"/>
      <c r="F1268" s="80"/>
      <c r="G1268" s="80"/>
      <c r="H1268" s="80"/>
      <c r="I1268" s="80"/>
      <c r="J1268" s="109"/>
      <c r="K1268" s="109"/>
      <c r="L1268" s="109"/>
      <c r="M1268" s="109"/>
      <c r="N1268" s="109"/>
      <c r="O1268" s="109"/>
      <c r="P1268" s="109"/>
      <c r="Q1268" s="109"/>
      <c r="R1268" s="109"/>
      <c r="S1268" s="109"/>
      <c r="T1268" s="109"/>
      <c r="U1268" s="109"/>
      <c r="V1268" s="109"/>
      <c r="W1268" s="109"/>
      <c r="X1268" s="109"/>
      <c r="Y1268" s="109"/>
      <c r="Z1268" s="109"/>
      <c r="AA1268" s="109"/>
      <c r="AB1268" s="109"/>
      <c r="AC1268" s="109"/>
      <c r="AD1268" s="109"/>
      <c r="AE1268" s="109"/>
      <c r="AF1268" s="109"/>
      <c r="AG1268" s="109"/>
      <c r="AH1268" s="109"/>
      <c r="AI1268" s="109"/>
      <c r="AJ1268" s="115"/>
      <c r="AK1268" s="80"/>
      <c r="AL1268" s="80"/>
      <c r="AM1268" s="80"/>
      <c r="AN1268" s="80"/>
      <c r="AO1268" s="80"/>
      <c r="AP1268" s="80"/>
      <c r="AQ1268" s="80"/>
      <c r="AR1268" s="73"/>
      <c r="AS1268" s="73"/>
      <c r="AT1268" s="73"/>
      <c r="AU1268" s="73"/>
      <c r="AV1268" s="73"/>
      <c r="AW1268" s="73"/>
      <c r="AX1268" s="73"/>
      <c r="AY1268" s="73"/>
      <c r="AZ1268" s="73"/>
      <c r="BA1268" s="73"/>
      <c r="BB1268" s="73"/>
      <c r="BC1268" s="73"/>
      <c r="BD1268" s="73"/>
      <c r="BE1268" s="73"/>
      <c r="BF1268" s="73"/>
      <c r="BG1268" s="73"/>
      <c r="BH1268" s="73"/>
      <c r="BI1268" s="73"/>
      <c r="BJ1268" s="73"/>
      <c r="BK1268" s="73"/>
      <c r="BL1268" s="73"/>
      <c r="BM1268" s="73"/>
      <c r="BN1268" s="73"/>
      <c r="BO1268" s="73"/>
      <c r="BP1268" s="73"/>
      <c r="BQ1268" s="73"/>
      <c r="BR1268" s="73"/>
      <c r="BS1268" s="73"/>
      <c r="BT1268" s="73"/>
      <c r="BU1268" s="73"/>
      <c r="BV1268" s="73"/>
      <c r="BW1268" s="73"/>
      <c r="BX1268" s="73"/>
      <c r="BY1268" s="73"/>
      <c r="BZ1268" s="73"/>
      <c r="CA1268" s="73"/>
      <c r="CB1268" s="73"/>
      <c r="CC1268" s="73"/>
      <c r="CD1268" s="73"/>
      <c r="CE1268" s="73"/>
      <c r="CF1268" s="73"/>
      <c r="CG1268" s="73"/>
      <c r="CH1268" s="73"/>
    </row>
    <row r="1269">
      <c r="A1269" s="80"/>
      <c r="B1269" s="80"/>
      <c r="C1269" s="80"/>
      <c r="D1269" s="80"/>
      <c r="E1269" s="124"/>
      <c r="F1269" s="80"/>
      <c r="G1269" s="80"/>
      <c r="H1269" s="80"/>
      <c r="I1269" s="80"/>
      <c r="J1269" s="109"/>
      <c r="K1269" s="109"/>
      <c r="L1269" s="109"/>
      <c r="M1269" s="109"/>
      <c r="N1269" s="109"/>
      <c r="O1269" s="109"/>
      <c r="P1269" s="109"/>
      <c r="Q1269" s="109"/>
      <c r="R1269" s="109"/>
      <c r="S1269" s="109"/>
      <c r="T1269" s="109"/>
      <c r="U1269" s="109"/>
      <c r="V1269" s="109"/>
      <c r="W1269" s="109"/>
      <c r="X1269" s="109"/>
      <c r="Y1269" s="109"/>
      <c r="Z1269" s="109"/>
      <c r="AA1269" s="109"/>
      <c r="AB1269" s="109"/>
      <c r="AC1269" s="109"/>
      <c r="AD1269" s="109"/>
      <c r="AE1269" s="109"/>
      <c r="AF1269" s="109"/>
      <c r="AG1269" s="109"/>
      <c r="AH1269" s="109"/>
      <c r="AI1269" s="109"/>
      <c r="AJ1269" s="115"/>
      <c r="AK1269" s="80"/>
      <c r="AL1269" s="80"/>
      <c r="AM1269" s="80"/>
      <c r="AN1269" s="80"/>
      <c r="AO1269" s="80"/>
      <c r="AP1269" s="80"/>
      <c r="AQ1269" s="80"/>
      <c r="AR1269" s="73"/>
      <c r="AS1269" s="73"/>
      <c r="AT1269" s="73"/>
      <c r="AU1269" s="73"/>
      <c r="AV1269" s="73"/>
      <c r="AW1269" s="73"/>
      <c r="AX1269" s="73"/>
      <c r="AY1269" s="73"/>
      <c r="AZ1269" s="73"/>
      <c r="BA1269" s="73"/>
      <c r="BB1269" s="73"/>
      <c r="BC1269" s="73"/>
      <c r="BD1269" s="73"/>
      <c r="BE1269" s="73"/>
      <c r="BF1269" s="73"/>
      <c r="BG1269" s="73"/>
      <c r="BH1269" s="73"/>
      <c r="BI1269" s="73"/>
      <c r="BJ1269" s="73"/>
      <c r="BK1269" s="73"/>
      <c r="BL1269" s="73"/>
      <c r="BM1269" s="73"/>
      <c r="BN1269" s="73"/>
      <c r="BO1269" s="73"/>
      <c r="BP1269" s="73"/>
      <c r="BQ1269" s="73"/>
      <c r="BR1269" s="73"/>
      <c r="BS1269" s="73"/>
      <c r="BT1269" s="73"/>
      <c r="BU1269" s="73"/>
      <c r="BV1269" s="73"/>
      <c r="BW1269" s="73"/>
      <c r="BX1269" s="73"/>
      <c r="BY1269" s="73"/>
      <c r="BZ1269" s="73"/>
      <c r="CA1269" s="73"/>
      <c r="CB1269" s="73"/>
      <c r="CC1269" s="73"/>
      <c r="CD1269" s="73"/>
      <c r="CE1269" s="73"/>
      <c r="CF1269" s="73"/>
      <c r="CG1269" s="73"/>
      <c r="CH1269" s="73"/>
    </row>
    <row r="1270">
      <c r="A1270" s="80"/>
      <c r="B1270" s="80"/>
      <c r="C1270" s="80"/>
      <c r="D1270" s="80"/>
      <c r="E1270" s="124"/>
      <c r="F1270" s="80"/>
      <c r="G1270" s="80"/>
      <c r="H1270" s="80"/>
      <c r="I1270" s="80"/>
      <c r="J1270" s="109"/>
      <c r="K1270" s="109"/>
      <c r="L1270" s="109"/>
      <c r="M1270" s="109"/>
      <c r="N1270" s="109"/>
      <c r="O1270" s="109"/>
      <c r="P1270" s="109"/>
      <c r="Q1270" s="109"/>
      <c r="R1270" s="109"/>
      <c r="S1270" s="109"/>
      <c r="T1270" s="109"/>
      <c r="U1270" s="109"/>
      <c r="V1270" s="109"/>
      <c r="W1270" s="109"/>
      <c r="X1270" s="109"/>
      <c r="Y1270" s="109"/>
      <c r="Z1270" s="109"/>
      <c r="AA1270" s="109"/>
      <c r="AB1270" s="109"/>
      <c r="AC1270" s="109"/>
      <c r="AD1270" s="109"/>
      <c r="AE1270" s="109"/>
      <c r="AF1270" s="109"/>
      <c r="AG1270" s="109"/>
      <c r="AH1270" s="109"/>
      <c r="AI1270" s="109"/>
      <c r="AJ1270" s="115"/>
      <c r="AK1270" s="80"/>
      <c r="AL1270" s="80"/>
      <c r="AM1270" s="80"/>
      <c r="AN1270" s="80"/>
      <c r="AO1270" s="80"/>
      <c r="AP1270" s="80"/>
      <c r="AQ1270" s="80"/>
      <c r="AR1270" s="73"/>
      <c r="AS1270" s="73"/>
      <c r="AT1270" s="73"/>
      <c r="AU1270" s="73"/>
      <c r="AV1270" s="73"/>
      <c r="AW1270" s="73"/>
      <c r="AX1270" s="73"/>
      <c r="AY1270" s="73"/>
      <c r="AZ1270" s="73"/>
      <c r="BA1270" s="73"/>
      <c r="BB1270" s="73"/>
      <c r="BC1270" s="73"/>
      <c r="BD1270" s="73"/>
      <c r="BE1270" s="73"/>
      <c r="BF1270" s="73"/>
      <c r="BG1270" s="73"/>
      <c r="BH1270" s="73"/>
      <c r="BI1270" s="73"/>
      <c r="BJ1270" s="73"/>
      <c r="BK1270" s="73"/>
      <c r="BL1270" s="73"/>
      <c r="BM1270" s="73"/>
      <c r="BN1270" s="73"/>
      <c r="BO1270" s="73"/>
      <c r="BP1270" s="73"/>
      <c r="BQ1270" s="73"/>
      <c r="BR1270" s="73"/>
      <c r="BS1270" s="73"/>
      <c r="BT1270" s="73"/>
      <c r="BU1270" s="73"/>
      <c r="BV1270" s="73"/>
      <c r="BW1270" s="73"/>
      <c r="BX1270" s="73"/>
      <c r="BY1270" s="73"/>
      <c r="BZ1270" s="73"/>
      <c r="CA1270" s="73"/>
      <c r="CB1270" s="73"/>
      <c r="CC1270" s="73"/>
      <c r="CD1270" s="73"/>
      <c r="CE1270" s="73"/>
      <c r="CF1270" s="73"/>
      <c r="CG1270" s="73"/>
      <c r="CH1270" s="73"/>
    </row>
    <row r="1271">
      <c r="A1271" s="80"/>
      <c r="B1271" s="80"/>
      <c r="C1271" s="80"/>
      <c r="D1271" s="80"/>
      <c r="E1271" s="124"/>
      <c r="F1271" s="80"/>
      <c r="G1271" s="80"/>
      <c r="H1271" s="80"/>
      <c r="I1271" s="80"/>
      <c r="J1271" s="109"/>
      <c r="K1271" s="109"/>
      <c r="L1271" s="109"/>
      <c r="M1271" s="109"/>
      <c r="N1271" s="109"/>
      <c r="O1271" s="109"/>
      <c r="P1271" s="109"/>
      <c r="Q1271" s="109"/>
      <c r="R1271" s="109"/>
      <c r="S1271" s="109"/>
      <c r="T1271" s="109"/>
      <c r="U1271" s="109"/>
      <c r="V1271" s="109"/>
      <c r="W1271" s="109"/>
      <c r="X1271" s="109"/>
      <c r="Y1271" s="109"/>
      <c r="Z1271" s="109"/>
      <c r="AA1271" s="109"/>
      <c r="AB1271" s="109"/>
      <c r="AC1271" s="109"/>
      <c r="AD1271" s="109"/>
      <c r="AE1271" s="109"/>
      <c r="AF1271" s="109"/>
      <c r="AG1271" s="109"/>
      <c r="AH1271" s="109"/>
      <c r="AI1271" s="109"/>
      <c r="AJ1271" s="115"/>
      <c r="AK1271" s="80"/>
      <c r="AL1271" s="80"/>
      <c r="AM1271" s="80"/>
      <c r="AN1271" s="80"/>
      <c r="AO1271" s="80"/>
      <c r="AP1271" s="80"/>
      <c r="AQ1271" s="80"/>
      <c r="AR1271" s="73"/>
      <c r="AS1271" s="73"/>
      <c r="AT1271" s="73"/>
      <c r="AU1271" s="73"/>
      <c r="AV1271" s="73"/>
      <c r="AW1271" s="73"/>
      <c r="AX1271" s="73"/>
      <c r="AY1271" s="73"/>
      <c r="AZ1271" s="73"/>
      <c r="BA1271" s="73"/>
      <c r="BB1271" s="73"/>
      <c r="BC1271" s="73"/>
      <c r="BD1271" s="73"/>
      <c r="BE1271" s="73"/>
      <c r="BF1271" s="73"/>
      <c r="BG1271" s="73"/>
      <c r="BH1271" s="73"/>
      <c r="BI1271" s="73"/>
      <c r="BJ1271" s="73"/>
      <c r="BK1271" s="73"/>
      <c r="BL1271" s="73"/>
      <c r="BM1271" s="73"/>
      <c r="BN1271" s="73"/>
      <c r="BO1271" s="73"/>
      <c r="BP1271" s="73"/>
      <c r="BQ1271" s="73"/>
      <c r="BR1271" s="73"/>
      <c r="BS1271" s="73"/>
      <c r="BT1271" s="73"/>
      <c r="BU1271" s="73"/>
      <c r="BV1271" s="73"/>
      <c r="BW1271" s="73"/>
      <c r="BX1271" s="73"/>
      <c r="BY1271" s="73"/>
      <c r="BZ1271" s="73"/>
      <c r="CA1271" s="73"/>
      <c r="CB1271" s="73"/>
      <c r="CC1271" s="73"/>
      <c r="CD1271" s="73"/>
      <c r="CE1271" s="73"/>
      <c r="CF1271" s="73"/>
      <c r="CG1271" s="73"/>
      <c r="CH1271" s="73"/>
    </row>
    <row r="1272">
      <c r="A1272" s="80"/>
      <c r="B1272" s="80"/>
      <c r="C1272" s="80"/>
      <c r="D1272" s="80"/>
      <c r="E1272" s="124"/>
      <c r="F1272" s="80"/>
      <c r="G1272" s="80"/>
      <c r="H1272" s="80"/>
      <c r="I1272" s="80"/>
      <c r="J1272" s="109"/>
      <c r="K1272" s="109"/>
      <c r="L1272" s="109"/>
      <c r="M1272" s="109"/>
      <c r="N1272" s="109"/>
      <c r="O1272" s="109"/>
      <c r="P1272" s="109"/>
      <c r="Q1272" s="109"/>
      <c r="R1272" s="109"/>
      <c r="S1272" s="109"/>
      <c r="T1272" s="109"/>
      <c r="U1272" s="109"/>
      <c r="V1272" s="109"/>
      <c r="W1272" s="109"/>
      <c r="X1272" s="109"/>
      <c r="Y1272" s="109"/>
      <c r="Z1272" s="109"/>
      <c r="AA1272" s="109"/>
      <c r="AB1272" s="109"/>
      <c r="AC1272" s="109"/>
      <c r="AD1272" s="109"/>
      <c r="AE1272" s="109"/>
      <c r="AF1272" s="109"/>
      <c r="AG1272" s="109"/>
      <c r="AH1272" s="109"/>
      <c r="AI1272" s="109"/>
      <c r="AJ1272" s="115"/>
      <c r="AK1272" s="80"/>
      <c r="AL1272" s="80"/>
      <c r="AM1272" s="80"/>
      <c r="AN1272" s="80"/>
      <c r="AO1272" s="80"/>
      <c r="AP1272" s="80"/>
      <c r="AQ1272" s="80"/>
      <c r="AR1272" s="73"/>
      <c r="AS1272" s="73"/>
      <c r="AT1272" s="73"/>
      <c r="AU1272" s="73"/>
      <c r="AV1272" s="73"/>
      <c r="AW1272" s="73"/>
      <c r="AX1272" s="73"/>
      <c r="AY1272" s="73"/>
      <c r="AZ1272" s="73"/>
      <c r="BA1272" s="73"/>
      <c r="BB1272" s="73"/>
      <c r="BC1272" s="73"/>
      <c r="BD1272" s="73"/>
      <c r="BE1272" s="73"/>
      <c r="BF1272" s="73"/>
      <c r="BG1272" s="73"/>
      <c r="BH1272" s="73"/>
      <c r="BI1272" s="73"/>
      <c r="BJ1272" s="73"/>
      <c r="BK1272" s="73"/>
      <c r="BL1272" s="73"/>
      <c r="BM1272" s="73"/>
      <c r="BN1272" s="73"/>
      <c r="BO1272" s="73"/>
      <c r="BP1272" s="73"/>
      <c r="BQ1272" s="73"/>
      <c r="BR1272" s="73"/>
      <c r="BS1272" s="73"/>
      <c r="BT1272" s="73"/>
      <c r="BU1272" s="73"/>
      <c r="BV1272" s="73"/>
      <c r="BW1272" s="73"/>
      <c r="BX1272" s="73"/>
      <c r="BY1272" s="73"/>
      <c r="BZ1272" s="73"/>
      <c r="CA1272" s="73"/>
      <c r="CB1272" s="73"/>
      <c r="CC1272" s="73"/>
      <c r="CD1272" s="73"/>
      <c r="CE1272" s="73"/>
      <c r="CF1272" s="73"/>
      <c r="CG1272" s="73"/>
      <c r="CH1272" s="73"/>
    </row>
    <row r="1273">
      <c r="A1273" s="80"/>
      <c r="B1273" s="80"/>
      <c r="C1273" s="80"/>
      <c r="D1273" s="80"/>
      <c r="E1273" s="124"/>
      <c r="F1273" s="80"/>
      <c r="G1273" s="80"/>
      <c r="H1273" s="80"/>
      <c r="I1273" s="80"/>
      <c r="J1273" s="109"/>
      <c r="K1273" s="109"/>
      <c r="L1273" s="109"/>
      <c r="M1273" s="109"/>
      <c r="N1273" s="109"/>
      <c r="O1273" s="109"/>
      <c r="P1273" s="109"/>
      <c r="Q1273" s="109"/>
      <c r="R1273" s="109"/>
      <c r="S1273" s="109"/>
      <c r="T1273" s="109"/>
      <c r="U1273" s="109"/>
      <c r="V1273" s="109"/>
      <c r="W1273" s="109"/>
      <c r="X1273" s="109"/>
      <c r="Y1273" s="109"/>
      <c r="Z1273" s="109"/>
      <c r="AA1273" s="109"/>
      <c r="AB1273" s="109"/>
      <c r="AC1273" s="109"/>
      <c r="AD1273" s="109"/>
      <c r="AE1273" s="109"/>
      <c r="AF1273" s="109"/>
      <c r="AG1273" s="109"/>
      <c r="AH1273" s="109"/>
      <c r="AI1273" s="109"/>
      <c r="AJ1273" s="115"/>
      <c r="AK1273" s="80"/>
      <c r="AL1273" s="80"/>
      <c r="AM1273" s="80"/>
      <c r="AN1273" s="80"/>
      <c r="AO1273" s="80"/>
      <c r="AP1273" s="80"/>
      <c r="AQ1273" s="80"/>
      <c r="AR1273" s="73"/>
      <c r="AS1273" s="73"/>
      <c r="AT1273" s="73"/>
      <c r="AU1273" s="73"/>
      <c r="AV1273" s="73"/>
      <c r="AW1273" s="73"/>
      <c r="AX1273" s="73"/>
      <c r="AY1273" s="73"/>
      <c r="AZ1273" s="73"/>
      <c r="BA1273" s="73"/>
      <c r="BB1273" s="73"/>
      <c r="BC1273" s="73"/>
      <c r="BD1273" s="73"/>
      <c r="BE1273" s="73"/>
      <c r="BF1273" s="73"/>
      <c r="BG1273" s="73"/>
      <c r="BH1273" s="73"/>
      <c r="BI1273" s="73"/>
      <c r="BJ1273" s="73"/>
      <c r="BK1273" s="73"/>
      <c r="BL1273" s="73"/>
      <c r="BM1273" s="73"/>
      <c r="BN1273" s="73"/>
      <c r="BO1273" s="73"/>
      <c r="BP1273" s="73"/>
      <c r="BQ1273" s="73"/>
      <c r="BR1273" s="73"/>
      <c r="BS1273" s="73"/>
      <c r="BT1273" s="73"/>
      <c r="BU1273" s="73"/>
      <c r="BV1273" s="73"/>
      <c r="BW1273" s="73"/>
      <c r="BX1273" s="73"/>
      <c r="BY1273" s="73"/>
      <c r="BZ1273" s="73"/>
      <c r="CA1273" s="73"/>
      <c r="CB1273" s="73"/>
      <c r="CC1273" s="73"/>
      <c r="CD1273" s="73"/>
      <c r="CE1273" s="73"/>
      <c r="CF1273" s="73"/>
      <c r="CG1273" s="73"/>
      <c r="CH1273" s="73"/>
    </row>
    <row r="1274">
      <c r="A1274" s="80"/>
      <c r="B1274" s="80"/>
      <c r="C1274" s="80"/>
      <c r="D1274" s="80"/>
      <c r="E1274" s="124"/>
      <c r="F1274" s="80"/>
      <c r="G1274" s="80"/>
      <c r="H1274" s="80"/>
      <c r="I1274" s="80"/>
      <c r="J1274" s="109"/>
      <c r="K1274" s="109"/>
      <c r="L1274" s="109"/>
      <c r="M1274" s="109"/>
      <c r="N1274" s="109"/>
      <c r="O1274" s="109"/>
      <c r="P1274" s="109"/>
      <c r="Q1274" s="109"/>
      <c r="R1274" s="109"/>
      <c r="S1274" s="109"/>
      <c r="T1274" s="109"/>
      <c r="U1274" s="109"/>
      <c r="V1274" s="109"/>
      <c r="W1274" s="109"/>
      <c r="X1274" s="109"/>
      <c r="Y1274" s="109"/>
      <c r="Z1274" s="109"/>
      <c r="AA1274" s="109"/>
      <c r="AB1274" s="109"/>
      <c r="AC1274" s="109"/>
      <c r="AD1274" s="109"/>
      <c r="AE1274" s="109"/>
      <c r="AF1274" s="109"/>
      <c r="AG1274" s="109"/>
      <c r="AH1274" s="109"/>
      <c r="AI1274" s="109"/>
      <c r="AJ1274" s="115"/>
      <c r="AK1274" s="80"/>
      <c r="AL1274" s="80"/>
      <c r="AM1274" s="80"/>
      <c r="AN1274" s="80"/>
      <c r="AO1274" s="80"/>
      <c r="AP1274" s="80"/>
      <c r="AQ1274" s="80"/>
      <c r="AR1274" s="73"/>
      <c r="AS1274" s="73"/>
      <c r="AT1274" s="73"/>
      <c r="AU1274" s="73"/>
      <c r="AV1274" s="73"/>
      <c r="AW1274" s="73"/>
      <c r="AX1274" s="73"/>
      <c r="AY1274" s="73"/>
      <c r="AZ1274" s="73"/>
      <c r="BA1274" s="73"/>
      <c r="BB1274" s="73"/>
      <c r="BC1274" s="73"/>
      <c r="BD1274" s="73"/>
      <c r="BE1274" s="73"/>
      <c r="BF1274" s="73"/>
      <c r="BG1274" s="73"/>
      <c r="BH1274" s="73"/>
      <c r="BI1274" s="73"/>
      <c r="BJ1274" s="73"/>
      <c r="BK1274" s="73"/>
      <c r="BL1274" s="73"/>
      <c r="BM1274" s="73"/>
      <c r="BN1274" s="73"/>
      <c r="BO1274" s="73"/>
      <c r="BP1274" s="73"/>
      <c r="BQ1274" s="73"/>
      <c r="BR1274" s="73"/>
      <c r="BS1274" s="73"/>
      <c r="BT1274" s="73"/>
      <c r="BU1274" s="73"/>
      <c r="BV1274" s="73"/>
      <c r="BW1274" s="73"/>
      <c r="BX1274" s="73"/>
      <c r="BY1274" s="73"/>
      <c r="BZ1274" s="73"/>
      <c r="CA1274" s="73"/>
      <c r="CB1274" s="73"/>
      <c r="CC1274" s="73"/>
      <c r="CD1274" s="73"/>
      <c r="CE1274" s="73"/>
      <c r="CF1274" s="73"/>
      <c r="CG1274" s="73"/>
      <c r="CH1274" s="73"/>
    </row>
    <row r="1275">
      <c r="A1275" s="80"/>
      <c r="B1275" s="80"/>
      <c r="C1275" s="80"/>
      <c r="D1275" s="80"/>
      <c r="E1275" s="124"/>
      <c r="F1275" s="80"/>
      <c r="G1275" s="80"/>
      <c r="H1275" s="80"/>
      <c r="I1275" s="80"/>
      <c r="J1275" s="109"/>
      <c r="K1275" s="109"/>
      <c r="L1275" s="109"/>
      <c r="M1275" s="109"/>
      <c r="N1275" s="109"/>
      <c r="O1275" s="109"/>
      <c r="P1275" s="109"/>
      <c r="Q1275" s="109"/>
      <c r="R1275" s="109"/>
      <c r="S1275" s="109"/>
      <c r="T1275" s="109"/>
      <c r="U1275" s="109"/>
      <c r="V1275" s="109"/>
      <c r="W1275" s="109"/>
      <c r="X1275" s="109"/>
      <c r="Y1275" s="109"/>
      <c r="Z1275" s="109"/>
      <c r="AA1275" s="109"/>
      <c r="AB1275" s="109"/>
      <c r="AC1275" s="109"/>
      <c r="AD1275" s="109"/>
      <c r="AE1275" s="109"/>
      <c r="AF1275" s="109"/>
      <c r="AG1275" s="109"/>
      <c r="AH1275" s="109"/>
      <c r="AI1275" s="109"/>
      <c r="AJ1275" s="115"/>
      <c r="AK1275" s="80"/>
      <c r="AL1275" s="80"/>
      <c r="AM1275" s="80"/>
      <c r="AN1275" s="80"/>
      <c r="AO1275" s="80"/>
      <c r="AP1275" s="80"/>
      <c r="AQ1275" s="80"/>
      <c r="AR1275" s="73"/>
      <c r="AS1275" s="73"/>
      <c r="AT1275" s="73"/>
      <c r="AU1275" s="73"/>
      <c r="AV1275" s="73"/>
      <c r="AW1275" s="73"/>
      <c r="AX1275" s="73"/>
      <c r="AY1275" s="73"/>
      <c r="AZ1275" s="73"/>
      <c r="BA1275" s="73"/>
      <c r="BB1275" s="73"/>
      <c r="BC1275" s="73"/>
      <c r="BD1275" s="73"/>
      <c r="BE1275" s="73"/>
      <c r="BF1275" s="73"/>
      <c r="BG1275" s="73"/>
      <c r="BH1275" s="73"/>
      <c r="BI1275" s="73"/>
      <c r="BJ1275" s="73"/>
      <c r="BK1275" s="73"/>
      <c r="BL1275" s="73"/>
      <c r="BM1275" s="73"/>
      <c r="BN1275" s="73"/>
      <c r="BO1275" s="73"/>
      <c r="BP1275" s="73"/>
      <c r="BQ1275" s="73"/>
      <c r="BR1275" s="73"/>
      <c r="BS1275" s="73"/>
      <c r="BT1275" s="73"/>
      <c r="BU1275" s="73"/>
      <c r="BV1275" s="73"/>
      <c r="BW1275" s="73"/>
      <c r="BX1275" s="73"/>
      <c r="BY1275" s="73"/>
      <c r="BZ1275" s="73"/>
      <c r="CA1275" s="73"/>
      <c r="CB1275" s="73"/>
      <c r="CC1275" s="73"/>
      <c r="CD1275" s="73"/>
      <c r="CE1275" s="73"/>
      <c r="CF1275" s="73"/>
      <c r="CG1275" s="73"/>
      <c r="CH1275" s="73"/>
    </row>
    <row r="1276">
      <c r="A1276" s="80"/>
      <c r="B1276" s="80"/>
      <c r="C1276" s="80"/>
      <c r="D1276" s="80"/>
      <c r="E1276" s="124"/>
      <c r="F1276" s="80"/>
      <c r="G1276" s="80"/>
      <c r="H1276" s="80"/>
      <c r="I1276" s="80"/>
      <c r="J1276" s="109"/>
      <c r="K1276" s="109"/>
      <c r="L1276" s="109"/>
      <c r="M1276" s="109"/>
      <c r="N1276" s="109"/>
      <c r="O1276" s="109"/>
      <c r="P1276" s="109"/>
      <c r="Q1276" s="109"/>
      <c r="R1276" s="109"/>
      <c r="S1276" s="109"/>
      <c r="T1276" s="109"/>
      <c r="U1276" s="109"/>
      <c r="V1276" s="109"/>
      <c r="W1276" s="109"/>
      <c r="X1276" s="109"/>
      <c r="Y1276" s="109"/>
      <c r="Z1276" s="109"/>
      <c r="AA1276" s="109"/>
      <c r="AB1276" s="109"/>
      <c r="AC1276" s="109"/>
      <c r="AD1276" s="109"/>
      <c r="AE1276" s="109"/>
      <c r="AF1276" s="109"/>
      <c r="AG1276" s="109"/>
      <c r="AH1276" s="109"/>
      <c r="AI1276" s="109"/>
      <c r="AJ1276" s="115"/>
      <c r="AK1276" s="80"/>
      <c r="AL1276" s="80"/>
      <c r="AM1276" s="80"/>
      <c r="AN1276" s="80"/>
      <c r="AO1276" s="80"/>
      <c r="AP1276" s="80"/>
      <c r="AQ1276" s="80"/>
      <c r="AR1276" s="73"/>
      <c r="AS1276" s="73"/>
      <c r="AT1276" s="73"/>
      <c r="AU1276" s="73"/>
      <c r="AV1276" s="73"/>
      <c r="AW1276" s="73"/>
      <c r="AX1276" s="73"/>
      <c r="AY1276" s="73"/>
      <c r="AZ1276" s="73"/>
      <c r="BA1276" s="73"/>
      <c r="BB1276" s="73"/>
      <c r="BC1276" s="73"/>
      <c r="BD1276" s="73"/>
      <c r="BE1276" s="73"/>
      <c r="BF1276" s="73"/>
      <c r="BG1276" s="73"/>
      <c r="BH1276" s="73"/>
      <c r="BI1276" s="73"/>
      <c r="BJ1276" s="73"/>
      <c r="BK1276" s="73"/>
      <c r="BL1276" s="73"/>
      <c r="BM1276" s="73"/>
      <c r="BN1276" s="73"/>
      <c r="BO1276" s="73"/>
      <c r="BP1276" s="73"/>
      <c r="BQ1276" s="73"/>
      <c r="BR1276" s="73"/>
      <c r="BS1276" s="73"/>
      <c r="BT1276" s="73"/>
      <c r="BU1276" s="73"/>
      <c r="BV1276" s="73"/>
      <c r="BW1276" s="73"/>
      <c r="BX1276" s="73"/>
      <c r="BY1276" s="73"/>
      <c r="BZ1276" s="73"/>
      <c r="CA1276" s="73"/>
      <c r="CB1276" s="73"/>
      <c r="CC1276" s="73"/>
      <c r="CD1276" s="73"/>
      <c r="CE1276" s="73"/>
      <c r="CF1276" s="73"/>
      <c r="CG1276" s="73"/>
      <c r="CH1276" s="73"/>
    </row>
    <row r="1277">
      <c r="A1277" s="80"/>
      <c r="B1277" s="80"/>
      <c r="C1277" s="80"/>
      <c r="D1277" s="80"/>
      <c r="E1277" s="124"/>
      <c r="F1277" s="80"/>
      <c r="G1277" s="80"/>
      <c r="H1277" s="80"/>
      <c r="I1277" s="80"/>
      <c r="J1277" s="109"/>
      <c r="K1277" s="109"/>
      <c r="L1277" s="109"/>
      <c r="M1277" s="109"/>
      <c r="N1277" s="109"/>
      <c r="O1277" s="109"/>
      <c r="P1277" s="109"/>
      <c r="Q1277" s="109"/>
      <c r="R1277" s="109"/>
      <c r="S1277" s="109"/>
      <c r="T1277" s="109"/>
      <c r="U1277" s="109"/>
      <c r="V1277" s="109"/>
      <c r="W1277" s="109"/>
      <c r="X1277" s="109"/>
      <c r="Y1277" s="109"/>
      <c r="Z1277" s="109"/>
      <c r="AA1277" s="109"/>
      <c r="AB1277" s="109"/>
      <c r="AC1277" s="109"/>
      <c r="AD1277" s="109"/>
      <c r="AE1277" s="109"/>
      <c r="AF1277" s="109"/>
      <c r="AG1277" s="109"/>
      <c r="AH1277" s="109"/>
      <c r="AI1277" s="109"/>
      <c r="AJ1277" s="115"/>
      <c r="AK1277" s="80"/>
      <c r="AL1277" s="80"/>
      <c r="AM1277" s="80"/>
      <c r="AN1277" s="80"/>
      <c r="AO1277" s="80"/>
      <c r="AP1277" s="80"/>
      <c r="AQ1277" s="80"/>
      <c r="AR1277" s="73"/>
      <c r="AS1277" s="73"/>
      <c r="AT1277" s="73"/>
      <c r="AU1277" s="73"/>
      <c r="AV1277" s="73"/>
      <c r="AW1277" s="73"/>
      <c r="AX1277" s="73"/>
      <c r="AY1277" s="73"/>
      <c r="AZ1277" s="73"/>
      <c r="BA1277" s="73"/>
      <c r="BB1277" s="73"/>
      <c r="BC1277" s="73"/>
      <c r="BD1277" s="73"/>
      <c r="BE1277" s="73"/>
      <c r="BF1277" s="73"/>
      <c r="BG1277" s="73"/>
      <c r="BH1277" s="73"/>
      <c r="BI1277" s="73"/>
      <c r="BJ1277" s="73"/>
      <c r="BK1277" s="73"/>
      <c r="BL1277" s="73"/>
      <c r="BM1277" s="73"/>
      <c r="BN1277" s="73"/>
      <c r="BO1277" s="73"/>
      <c r="BP1277" s="73"/>
      <c r="BQ1277" s="73"/>
      <c r="BR1277" s="73"/>
      <c r="BS1277" s="73"/>
      <c r="BT1277" s="73"/>
      <c r="BU1277" s="73"/>
      <c r="BV1277" s="73"/>
      <c r="BW1277" s="73"/>
      <c r="BX1277" s="73"/>
      <c r="BY1277" s="73"/>
      <c r="BZ1277" s="73"/>
      <c r="CA1277" s="73"/>
      <c r="CB1277" s="73"/>
      <c r="CC1277" s="73"/>
      <c r="CD1277" s="73"/>
      <c r="CE1277" s="73"/>
      <c r="CF1277" s="73"/>
      <c r="CG1277" s="73"/>
      <c r="CH1277" s="73"/>
    </row>
    <row r="1278">
      <c r="A1278" s="80"/>
      <c r="B1278" s="80"/>
      <c r="C1278" s="80"/>
      <c r="D1278" s="80"/>
      <c r="E1278" s="124"/>
      <c r="F1278" s="80"/>
      <c r="G1278" s="80"/>
      <c r="H1278" s="80"/>
      <c r="I1278" s="80"/>
      <c r="J1278" s="109"/>
      <c r="K1278" s="109"/>
      <c r="L1278" s="109"/>
      <c r="M1278" s="109"/>
      <c r="N1278" s="109"/>
      <c r="O1278" s="109"/>
      <c r="P1278" s="109"/>
      <c r="Q1278" s="109"/>
      <c r="R1278" s="109"/>
      <c r="S1278" s="109"/>
      <c r="T1278" s="109"/>
      <c r="U1278" s="109"/>
      <c r="V1278" s="109"/>
      <c r="W1278" s="109"/>
      <c r="X1278" s="109"/>
      <c r="Y1278" s="109"/>
      <c r="Z1278" s="109"/>
      <c r="AA1278" s="109"/>
      <c r="AB1278" s="109"/>
      <c r="AC1278" s="109"/>
      <c r="AD1278" s="109"/>
      <c r="AE1278" s="109"/>
      <c r="AF1278" s="109"/>
      <c r="AG1278" s="109"/>
      <c r="AH1278" s="109"/>
      <c r="AI1278" s="109"/>
      <c r="AJ1278" s="115"/>
      <c r="AK1278" s="80"/>
      <c r="AL1278" s="80"/>
      <c r="AM1278" s="80"/>
      <c r="AN1278" s="80"/>
      <c r="AO1278" s="80"/>
      <c r="AP1278" s="80"/>
      <c r="AQ1278" s="80"/>
      <c r="AR1278" s="73"/>
      <c r="AS1278" s="73"/>
      <c r="AT1278" s="73"/>
      <c r="AU1278" s="73"/>
      <c r="AV1278" s="73"/>
      <c r="AW1278" s="73"/>
      <c r="AX1278" s="73"/>
      <c r="AY1278" s="73"/>
      <c r="AZ1278" s="73"/>
      <c r="BA1278" s="73"/>
      <c r="BB1278" s="73"/>
      <c r="BC1278" s="73"/>
      <c r="BD1278" s="73"/>
      <c r="BE1278" s="73"/>
      <c r="BF1278" s="73"/>
      <c r="BG1278" s="73"/>
      <c r="BH1278" s="73"/>
      <c r="BI1278" s="73"/>
      <c r="BJ1278" s="73"/>
      <c r="BK1278" s="73"/>
      <c r="BL1278" s="73"/>
      <c r="BM1278" s="73"/>
      <c r="BN1278" s="73"/>
      <c r="BO1278" s="73"/>
      <c r="BP1278" s="73"/>
      <c r="BQ1278" s="73"/>
      <c r="BR1278" s="73"/>
      <c r="BS1278" s="73"/>
      <c r="BT1278" s="73"/>
      <c r="BU1278" s="73"/>
      <c r="BV1278" s="73"/>
      <c r="BW1278" s="73"/>
      <c r="BX1278" s="73"/>
      <c r="BY1278" s="73"/>
      <c r="BZ1278" s="73"/>
      <c r="CA1278" s="73"/>
      <c r="CB1278" s="73"/>
      <c r="CC1278" s="73"/>
      <c r="CD1278" s="73"/>
      <c r="CE1278" s="73"/>
      <c r="CF1278" s="73"/>
      <c r="CG1278" s="73"/>
      <c r="CH1278" s="73"/>
    </row>
    <row r="1279">
      <c r="A1279" s="80"/>
      <c r="B1279" s="80"/>
      <c r="C1279" s="80"/>
      <c r="D1279" s="80"/>
      <c r="E1279" s="124"/>
      <c r="F1279" s="80"/>
      <c r="G1279" s="80"/>
      <c r="H1279" s="80"/>
      <c r="I1279" s="80"/>
      <c r="J1279" s="109"/>
      <c r="K1279" s="109"/>
      <c r="L1279" s="109"/>
      <c r="M1279" s="109"/>
      <c r="N1279" s="109"/>
      <c r="O1279" s="109"/>
      <c r="P1279" s="109"/>
      <c r="Q1279" s="109"/>
      <c r="R1279" s="109"/>
      <c r="S1279" s="109"/>
      <c r="T1279" s="109"/>
      <c r="U1279" s="109"/>
      <c r="V1279" s="109"/>
      <c r="W1279" s="109"/>
      <c r="X1279" s="109"/>
      <c r="Y1279" s="109"/>
      <c r="Z1279" s="109"/>
      <c r="AA1279" s="109"/>
      <c r="AB1279" s="109"/>
      <c r="AC1279" s="109"/>
      <c r="AD1279" s="109"/>
      <c r="AE1279" s="109"/>
      <c r="AF1279" s="109"/>
      <c r="AG1279" s="109"/>
      <c r="AH1279" s="109"/>
      <c r="AI1279" s="109"/>
      <c r="AJ1279" s="115"/>
      <c r="AK1279" s="80"/>
      <c r="AL1279" s="80"/>
      <c r="AM1279" s="80"/>
      <c r="AN1279" s="80"/>
      <c r="AO1279" s="80"/>
      <c r="AP1279" s="80"/>
      <c r="AQ1279" s="80"/>
      <c r="AR1279" s="73"/>
      <c r="AS1279" s="73"/>
      <c r="AT1279" s="73"/>
      <c r="AU1279" s="73"/>
      <c r="AV1279" s="73"/>
      <c r="AW1279" s="73"/>
      <c r="AX1279" s="73"/>
      <c r="AY1279" s="73"/>
      <c r="AZ1279" s="73"/>
      <c r="BA1279" s="73"/>
      <c r="BB1279" s="73"/>
      <c r="BC1279" s="73"/>
      <c r="BD1279" s="73"/>
      <c r="BE1279" s="73"/>
      <c r="BF1279" s="73"/>
      <c r="BG1279" s="73"/>
      <c r="BH1279" s="73"/>
      <c r="BI1279" s="73"/>
      <c r="BJ1279" s="73"/>
      <c r="BK1279" s="73"/>
      <c r="BL1279" s="73"/>
      <c r="BM1279" s="73"/>
      <c r="BN1279" s="73"/>
      <c r="BO1279" s="73"/>
      <c r="BP1279" s="73"/>
      <c r="BQ1279" s="73"/>
      <c r="BR1279" s="73"/>
      <c r="BS1279" s="73"/>
      <c r="BT1279" s="73"/>
      <c r="BU1279" s="73"/>
      <c r="BV1279" s="73"/>
      <c r="BW1279" s="73"/>
      <c r="BX1279" s="73"/>
      <c r="BY1279" s="73"/>
      <c r="BZ1279" s="73"/>
      <c r="CA1279" s="73"/>
      <c r="CB1279" s="73"/>
      <c r="CC1279" s="73"/>
      <c r="CD1279" s="73"/>
      <c r="CE1279" s="73"/>
      <c r="CF1279" s="73"/>
      <c r="CG1279" s="73"/>
      <c r="CH1279" s="73"/>
    </row>
    <row r="1280">
      <c r="A1280" s="80"/>
      <c r="B1280" s="80"/>
      <c r="C1280" s="80"/>
      <c r="D1280" s="80"/>
      <c r="E1280" s="124"/>
      <c r="F1280" s="80"/>
      <c r="G1280" s="80"/>
      <c r="H1280" s="80"/>
      <c r="I1280" s="80"/>
      <c r="J1280" s="109"/>
      <c r="K1280" s="109"/>
      <c r="L1280" s="109"/>
      <c r="M1280" s="109"/>
      <c r="N1280" s="109"/>
      <c r="O1280" s="109"/>
      <c r="P1280" s="109"/>
      <c r="Q1280" s="109"/>
      <c r="R1280" s="109"/>
      <c r="S1280" s="109"/>
      <c r="T1280" s="109"/>
      <c r="U1280" s="109"/>
      <c r="V1280" s="109"/>
      <c r="W1280" s="109"/>
      <c r="X1280" s="109"/>
      <c r="Y1280" s="109"/>
      <c r="Z1280" s="109"/>
      <c r="AA1280" s="109"/>
      <c r="AB1280" s="109"/>
      <c r="AC1280" s="109"/>
      <c r="AD1280" s="109"/>
      <c r="AE1280" s="109"/>
      <c r="AF1280" s="109"/>
      <c r="AG1280" s="109"/>
      <c r="AH1280" s="109"/>
      <c r="AI1280" s="109"/>
      <c r="AJ1280" s="115"/>
      <c r="AK1280" s="80"/>
      <c r="AL1280" s="80"/>
      <c r="AM1280" s="80"/>
      <c r="AN1280" s="80"/>
      <c r="AO1280" s="80"/>
      <c r="AP1280" s="80"/>
      <c r="AQ1280" s="80"/>
      <c r="AR1280" s="73"/>
      <c r="AS1280" s="73"/>
      <c r="AT1280" s="73"/>
      <c r="AU1280" s="73"/>
      <c r="AV1280" s="73"/>
      <c r="AW1280" s="73"/>
      <c r="AX1280" s="73"/>
      <c r="AY1280" s="73"/>
      <c r="AZ1280" s="73"/>
      <c r="BA1280" s="73"/>
      <c r="BB1280" s="73"/>
      <c r="BC1280" s="73"/>
      <c r="BD1280" s="73"/>
      <c r="BE1280" s="73"/>
      <c r="BF1280" s="73"/>
      <c r="BG1280" s="73"/>
      <c r="BH1280" s="73"/>
      <c r="BI1280" s="73"/>
      <c r="BJ1280" s="73"/>
      <c r="BK1280" s="73"/>
      <c r="BL1280" s="73"/>
      <c r="BM1280" s="73"/>
      <c r="BN1280" s="73"/>
      <c r="BO1280" s="73"/>
      <c r="BP1280" s="73"/>
      <c r="BQ1280" s="73"/>
      <c r="BR1280" s="73"/>
      <c r="BS1280" s="73"/>
      <c r="BT1280" s="73"/>
      <c r="BU1280" s="73"/>
      <c r="BV1280" s="73"/>
      <c r="BW1280" s="73"/>
      <c r="BX1280" s="73"/>
      <c r="BY1280" s="73"/>
      <c r="BZ1280" s="73"/>
      <c r="CA1280" s="73"/>
      <c r="CB1280" s="73"/>
      <c r="CC1280" s="73"/>
      <c r="CD1280" s="73"/>
      <c r="CE1280" s="73"/>
      <c r="CF1280" s="73"/>
      <c r="CG1280" s="73"/>
      <c r="CH1280" s="73"/>
    </row>
    <row r="1281">
      <c r="A1281" s="80"/>
      <c r="B1281" s="80"/>
      <c r="C1281" s="80"/>
      <c r="D1281" s="80"/>
      <c r="E1281" s="124"/>
      <c r="F1281" s="80"/>
      <c r="G1281" s="80"/>
      <c r="H1281" s="80"/>
      <c r="I1281" s="80"/>
      <c r="J1281" s="109"/>
      <c r="K1281" s="109"/>
      <c r="L1281" s="109"/>
      <c r="M1281" s="109"/>
      <c r="N1281" s="109"/>
      <c r="O1281" s="109"/>
      <c r="P1281" s="109"/>
      <c r="Q1281" s="109"/>
      <c r="R1281" s="109"/>
      <c r="S1281" s="109"/>
      <c r="T1281" s="109"/>
      <c r="U1281" s="109"/>
      <c r="V1281" s="109"/>
      <c r="W1281" s="109"/>
      <c r="X1281" s="109"/>
      <c r="Y1281" s="109"/>
      <c r="Z1281" s="109"/>
      <c r="AA1281" s="109"/>
      <c r="AB1281" s="109"/>
      <c r="AC1281" s="109"/>
      <c r="AD1281" s="109"/>
      <c r="AE1281" s="109"/>
      <c r="AF1281" s="109"/>
      <c r="AG1281" s="109"/>
      <c r="AH1281" s="109"/>
      <c r="AI1281" s="109"/>
      <c r="AJ1281" s="115"/>
      <c r="AK1281" s="80"/>
      <c r="AL1281" s="80"/>
      <c r="AM1281" s="80"/>
      <c r="AN1281" s="80"/>
      <c r="AO1281" s="80"/>
      <c r="AP1281" s="80"/>
      <c r="AQ1281" s="80"/>
      <c r="AR1281" s="73"/>
      <c r="AS1281" s="73"/>
      <c r="AT1281" s="73"/>
      <c r="AU1281" s="73"/>
      <c r="AV1281" s="73"/>
      <c r="AW1281" s="73"/>
      <c r="AX1281" s="73"/>
      <c r="AY1281" s="73"/>
      <c r="AZ1281" s="73"/>
      <c r="BA1281" s="73"/>
      <c r="BB1281" s="73"/>
      <c r="BC1281" s="73"/>
      <c r="BD1281" s="73"/>
      <c r="BE1281" s="73"/>
      <c r="BF1281" s="73"/>
      <c r="BG1281" s="73"/>
      <c r="BH1281" s="73"/>
      <c r="BI1281" s="73"/>
      <c r="BJ1281" s="73"/>
      <c r="BK1281" s="73"/>
      <c r="BL1281" s="73"/>
      <c r="BM1281" s="73"/>
      <c r="BN1281" s="73"/>
      <c r="BO1281" s="73"/>
      <c r="BP1281" s="73"/>
      <c r="BQ1281" s="73"/>
      <c r="BR1281" s="73"/>
      <c r="BS1281" s="73"/>
      <c r="BT1281" s="73"/>
      <c r="BU1281" s="73"/>
      <c r="BV1281" s="73"/>
      <c r="BW1281" s="73"/>
      <c r="BX1281" s="73"/>
      <c r="BY1281" s="73"/>
      <c r="BZ1281" s="73"/>
      <c r="CA1281" s="73"/>
      <c r="CB1281" s="73"/>
      <c r="CC1281" s="73"/>
      <c r="CD1281" s="73"/>
      <c r="CE1281" s="73"/>
      <c r="CF1281" s="73"/>
      <c r="CG1281" s="73"/>
      <c r="CH1281" s="73"/>
    </row>
    <row r="1282">
      <c r="A1282" s="80"/>
      <c r="B1282" s="80"/>
      <c r="C1282" s="80"/>
      <c r="D1282" s="80"/>
      <c r="E1282" s="124"/>
      <c r="F1282" s="80"/>
      <c r="G1282" s="80"/>
      <c r="H1282" s="80"/>
      <c r="I1282" s="80"/>
      <c r="J1282" s="109"/>
      <c r="K1282" s="109"/>
      <c r="L1282" s="109"/>
      <c r="M1282" s="109"/>
      <c r="N1282" s="109"/>
      <c r="O1282" s="109"/>
      <c r="P1282" s="109"/>
      <c r="Q1282" s="109"/>
      <c r="R1282" s="109"/>
      <c r="S1282" s="109"/>
      <c r="T1282" s="109"/>
      <c r="U1282" s="109"/>
      <c r="V1282" s="109"/>
      <c r="W1282" s="109"/>
      <c r="X1282" s="109"/>
      <c r="Y1282" s="109"/>
      <c r="Z1282" s="109"/>
      <c r="AA1282" s="109"/>
      <c r="AB1282" s="109"/>
      <c r="AC1282" s="109"/>
      <c r="AD1282" s="109"/>
      <c r="AE1282" s="109"/>
      <c r="AF1282" s="109"/>
      <c r="AG1282" s="109"/>
      <c r="AH1282" s="109"/>
      <c r="AI1282" s="109"/>
      <c r="AJ1282" s="115"/>
      <c r="AK1282" s="80"/>
      <c r="AL1282" s="80"/>
      <c r="AM1282" s="80"/>
      <c r="AN1282" s="80"/>
      <c r="AO1282" s="80"/>
      <c r="AP1282" s="80"/>
      <c r="AQ1282" s="80"/>
      <c r="AR1282" s="73"/>
      <c r="AS1282" s="73"/>
      <c r="AT1282" s="73"/>
      <c r="AU1282" s="73"/>
      <c r="AV1282" s="73"/>
      <c r="AW1282" s="73"/>
      <c r="AX1282" s="73"/>
      <c r="AY1282" s="73"/>
      <c r="AZ1282" s="73"/>
      <c r="BA1282" s="73"/>
      <c r="BB1282" s="73"/>
      <c r="BC1282" s="73"/>
      <c r="BD1282" s="73"/>
      <c r="BE1282" s="73"/>
      <c r="BF1282" s="73"/>
      <c r="BG1282" s="73"/>
      <c r="BH1282" s="73"/>
      <c r="BI1282" s="73"/>
      <c r="BJ1282" s="73"/>
      <c r="BK1282" s="73"/>
      <c r="BL1282" s="73"/>
      <c r="BM1282" s="73"/>
      <c r="BN1282" s="73"/>
      <c r="BO1282" s="73"/>
      <c r="BP1282" s="73"/>
      <c r="BQ1282" s="73"/>
      <c r="BR1282" s="73"/>
      <c r="BS1282" s="73"/>
      <c r="BT1282" s="73"/>
      <c r="BU1282" s="73"/>
      <c r="BV1282" s="73"/>
      <c r="BW1282" s="73"/>
      <c r="BX1282" s="73"/>
      <c r="BY1282" s="73"/>
      <c r="BZ1282" s="73"/>
      <c r="CA1282" s="73"/>
      <c r="CB1282" s="73"/>
      <c r="CC1282" s="73"/>
      <c r="CD1282" s="73"/>
      <c r="CE1282" s="73"/>
      <c r="CF1282" s="73"/>
      <c r="CG1282" s="73"/>
      <c r="CH1282" s="73"/>
    </row>
    <row r="1283">
      <c r="A1283" s="80"/>
      <c r="B1283" s="80"/>
      <c r="C1283" s="80"/>
      <c r="D1283" s="80"/>
      <c r="E1283" s="124"/>
      <c r="F1283" s="80"/>
      <c r="G1283" s="80"/>
      <c r="H1283" s="80"/>
      <c r="I1283" s="80"/>
      <c r="J1283" s="109"/>
      <c r="K1283" s="109"/>
      <c r="L1283" s="109"/>
      <c r="M1283" s="109"/>
      <c r="N1283" s="109"/>
      <c r="O1283" s="109"/>
      <c r="P1283" s="109"/>
      <c r="Q1283" s="109"/>
      <c r="R1283" s="109"/>
      <c r="S1283" s="109"/>
      <c r="T1283" s="109"/>
      <c r="U1283" s="109"/>
      <c r="V1283" s="109"/>
      <c r="W1283" s="109"/>
      <c r="X1283" s="109"/>
      <c r="Y1283" s="109"/>
      <c r="Z1283" s="109"/>
      <c r="AA1283" s="109"/>
      <c r="AB1283" s="109"/>
      <c r="AC1283" s="109"/>
      <c r="AD1283" s="109"/>
      <c r="AE1283" s="109"/>
      <c r="AF1283" s="109"/>
      <c r="AG1283" s="109"/>
      <c r="AH1283" s="109"/>
      <c r="AI1283" s="109"/>
      <c r="AJ1283" s="115"/>
      <c r="AK1283" s="80"/>
      <c r="AL1283" s="80"/>
      <c r="AM1283" s="80"/>
      <c r="AN1283" s="80"/>
      <c r="AO1283" s="80"/>
      <c r="AP1283" s="80"/>
      <c r="AQ1283" s="80"/>
      <c r="AR1283" s="73"/>
      <c r="AS1283" s="73"/>
      <c r="AT1283" s="73"/>
      <c r="AU1283" s="73"/>
      <c r="AV1283" s="73"/>
      <c r="AW1283" s="73"/>
      <c r="AX1283" s="73"/>
      <c r="AY1283" s="73"/>
      <c r="AZ1283" s="73"/>
      <c r="BA1283" s="73"/>
      <c r="BB1283" s="73"/>
      <c r="BC1283" s="73"/>
      <c r="BD1283" s="73"/>
      <c r="BE1283" s="73"/>
      <c r="BF1283" s="73"/>
      <c r="BG1283" s="73"/>
      <c r="BH1283" s="73"/>
      <c r="BI1283" s="73"/>
      <c r="BJ1283" s="73"/>
      <c r="BK1283" s="73"/>
      <c r="BL1283" s="73"/>
      <c r="BM1283" s="73"/>
      <c r="BN1283" s="73"/>
      <c r="BO1283" s="73"/>
      <c r="BP1283" s="73"/>
      <c r="BQ1283" s="73"/>
      <c r="BR1283" s="73"/>
      <c r="BS1283" s="73"/>
      <c r="BT1283" s="73"/>
      <c r="BU1283" s="73"/>
      <c r="BV1283" s="73"/>
      <c r="BW1283" s="73"/>
      <c r="BX1283" s="73"/>
      <c r="BY1283" s="73"/>
      <c r="BZ1283" s="73"/>
      <c r="CA1283" s="73"/>
      <c r="CB1283" s="73"/>
      <c r="CC1283" s="73"/>
      <c r="CD1283" s="73"/>
      <c r="CE1283" s="73"/>
      <c r="CF1283" s="73"/>
      <c r="CG1283" s="73"/>
      <c r="CH1283" s="73"/>
    </row>
    <row r="1284">
      <c r="A1284" s="80"/>
      <c r="B1284" s="80"/>
      <c r="C1284" s="80"/>
      <c r="D1284" s="80"/>
      <c r="E1284" s="124"/>
      <c r="F1284" s="80"/>
      <c r="G1284" s="80"/>
      <c r="H1284" s="80"/>
      <c r="I1284" s="80"/>
      <c r="J1284" s="109"/>
      <c r="K1284" s="109"/>
      <c r="L1284" s="109"/>
      <c r="M1284" s="109"/>
      <c r="N1284" s="109"/>
      <c r="O1284" s="109"/>
      <c r="P1284" s="109"/>
      <c r="Q1284" s="109"/>
      <c r="R1284" s="109"/>
      <c r="S1284" s="109"/>
      <c r="T1284" s="109"/>
      <c r="U1284" s="109"/>
      <c r="V1284" s="109"/>
      <c r="W1284" s="109"/>
      <c r="X1284" s="109"/>
      <c r="Y1284" s="109"/>
      <c r="Z1284" s="109"/>
      <c r="AA1284" s="109"/>
      <c r="AB1284" s="109"/>
      <c r="AC1284" s="109"/>
      <c r="AD1284" s="109"/>
      <c r="AE1284" s="109"/>
      <c r="AF1284" s="109"/>
      <c r="AG1284" s="109"/>
      <c r="AH1284" s="109"/>
      <c r="AI1284" s="109"/>
      <c r="AJ1284" s="115"/>
      <c r="AK1284" s="80"/>
      <c r="AL1284" s="80"/>
      <c r="AM1284" s="80"/>
      <c r="AN1284" s="80"/>
      <c r="AO1284" s="80"/>
      <c r="AP1284" s="80"/>
      <c r="AQ1284" s="80"/>
      <c r="AR1284" s="73"/>
      <c r="AS1284" s="73"/>
      <c r="AT1284" s="73"/>
      <c r="AU1284" s="73"/>
      <c r="AV1284" s="73"/>
      <c r="AW1284" s="73"/>
      <c r="AX1284" s="73"/>
      <c r="AY1284" s="73"/>
      <c r="AZ1284" s="73"/>
      <c r="BA1284" s="73"/>
      <c r="BB1284" s="73"/>
      <c r="BC1284" s="73"/>
      <c r="BD1284" s="73"/>
      <c r="BE1284" s="73"/>
      <c r="BF1284" s="73"/>
      <c r="BG1284" s="73"/>
      <c r="BH1284" s="73"/>
      <c r="BI1284" s="73"/>
      <c r="BJ1284" s="73"/>
      <c r="BK1284" s="73"/>
      <c r="BL1284" s="73"/>
      <c r="BM1284" s="73"/>
      <c r="BN1284" s="73"/>
      <c r="BO1284" s="73"/>
      <c r="BP1284" s="73"/>
      <c r="BQ1284" s="73"/>
      <c r="BR1284" s="73"/>
      <c r="BS1284" s="73"/>
      <c r="BT1284" s="73"/>
      <c r="BU1284" s="73"/>
      <c r="BV1284" s="73"/>
      <c r="BW1284" s="73"/>
      <c r="BX1284" s="73"/>
      <c r="BY1284" s="73"/>
      <c r="BZ1284" s="73"/>
      <c r="CA1284" s="73"/>
      <c r="CB1284" s="73"/>
      <c r="CC1284" s="73"/>
      <c r="CD1284" s="73"/>
      <c r="CE1284" s="73"/>
      <c r="CF1284" s="73"/>
      <c r="CG1284" s="73"/>
      <c r="CH1284" s="73"/>
    </row>
    <row r="1285">
      <c r="A1285" s="80"/>
      <c r="B1285" s="80"/>
      <c r="C1285" s="80"/>
      <c r="D1285" s="80"/>
      <c r="E1285" s="124"/>
      <c r="F1285" s="80"/>
      <c r="G1285" s="80"/>
      <c r="H1285" s="80"/>
      <c r="I1285" s="80"/>
      <c r="J1285" s="109"/>
      <c r="K1285" s="109"/>
      <c r="L1285" s="109"/>
      <c r="M1285" s="109"/>
      <c r="N1285" s="109"/>
      <c r="O1285" s="109"/>
      <c r="P1285" s="109"/>
      <c r="Q1285" s="109"/>
      <c r="R1285" s="109"/>
      <c r="S1285" s="109"/>
      <c r="T1285" s="109"/>
      <c r="U1285" s="109"/>
      <c r="V1285" s="109"/>
      <c r="W1285" s="109"/>
      <c r="X1285" s="109"/>
      <c r="Y1285" s="109"/>
      <c r="Z1285" s="109"/>
      <c r="AA1285" s="109"/>
      <c r="AB1285" s="109"/>
      <c r="AC1285" s="109"/>
      <c r="AD1285" s="109"/>
      <c r="AE1285" s="109"/>
      <c r="AF1285" s="109"/>
      <c r="AG1285" s="109"/>
      <c r="AH1285" s="109"/>
      <c r="AI1285" s="109"/>
      <c r="AJ1285" s="115"/>
      <c r="AK1285" s="80"/>
      <c r="AL1285" s="80"/>
      <c r="AM1285" s="80"/>
      <c r="AN1285" s="80"/>
      <c r="AO1285" s="80"/>
      <c r="AP1285" s="80"/>
      <c r="AQ1285" s="80"/>
      <c r="AR1285" s="73"/>
      <c r="AS1285" s="73"/>
      <c r="AT1285" s="73"/>
      <c r="AU1285" s="73"/>
      <c r="AV1285" s="73"/>
      <c r="AW1285" s="73"/>
      <c r="AX1285" s="73"/>
      <c r="AY1285" s="73"/>
      <c r="AZ1285" s="73"/>
      <c r="BA1285" s="73"/>
      <c r="BB1285" s="73"/>
      <c r="BC1285" s="73"/>
      <c r="BD1285" s="73"/>
      <c r="BE1285" s="73"/>
      <c r="BF1285" s="73"/>
      <c r="BG1285" s="73"/>
      <c r="BH1285" s="73"/>
      <c r="BI1285" s="73"/>
      <c r="BJ1285" s="73"/>
      <c r="BK1285" s="73"/>
      <c r="BL1285" s="73"/>
      <c r="BM1285" s="73"/>
      <c r="BN1285" s="73"/>
      <c r="BO1285" s="73"/>
      <c r="BP1285" s="73"/>
      <c r="BQ1285" s="73"/>
      <c r="BR1285" s="73"/>
      <c r="BS1285" s="73"/>
      <c r="BT1285" s="73"/>
      <c r="BU1285" s="73"/>
      <c r="BV1285" s="73"/>
      <c r="BW1285" s="73"/>
      <c r="BX1285" s="73"/>
      <c r="BY1285" s="73"/>
      <c r="BZ1285" s="73"/>
      <c r="CA1285" s="73"/>
      <c r="CB1285" s="73"/>
      <c r="CC1285" s="73"/>
      <c r="CD1285" s="73"/>
      <c r="CE1285" s="73"/>
      <c r="CF1285" s="73"/>
      <c r="CG1285" s="73"/>
      <c r="CH1285" s="73"/>
    </row>
    <row r="1286">
      <c r="A1286" s="80"/>
      <c r="B1286" s="80"/>
      <c r="C1286" s="80"/>
      <c r="D1286" s="80"/>
      <c r="E1286" s="124"/>
      <c r="F1286" s="80"/>
      <c r="G1286" s="80"/>
      <c r="H1286" s="80"/>
      <c r="I1286" s="80"/>
      <c r="J1286" s="109"/>
      <c r="K1286" s="109"/>
      <c r="L1286" s="109"/>
      <c r="M1286" s="109"/>
      <c r="N1286" s="109"/>
      <c r="O1286" s="109"/>
      <c r="P1286" s="109"/>
      <c r="Q1286" s="109"/>
      <c r="R1286" s="109"/>
      <c r="S1286" s="109"/>
      <c r="T1286" s="109"/>
      <c r="U1286" s="109"/>
      <c r="V1286" s="109"/>
      <c r="W1286" s="109"/>
      <c r="X1286" s="109"/>
      <c r="Y1286" s="109"/>
      <c r="Z1286" s="109"/>
      <c r="AA1286" s="109"/>
      <c r="AB1286" s="109"/>
      <c r="AC1286" s="109"/>
      <c r="AD1286" s="109"/>
      <c r="AE1286" s="109"/>
      <c r="AF1286" s="109"/>
      <c r="AG1286" s="109"/>
      <c r="AH1286" s="109"/>
      <c r="AI1286" s="109"/>
      <c r="AJ1286" s="115"/>
      <c r="AK1286" s="80"/>
      <c r="AL1286" s="80"/>
      <c r="AM1286" s="80"/>
      <c r="AN1286" s="80"/>
      <c r="AO1286" s="80"/>
      <c r="AP1286" s="80"/>
      <c r="AQ1286" s="80"/>
      <c r="AR1286" s="73"/>
      <c r="AS1286" s="73"/>
      <c r="AT1286" s="73"/>
      <c r="AU1286" s="73"/>
      <c r="AV1286" s="73"/>
      <c r="AW1286" s="73"/>
      <c r="AX1286" s="73"/>
      <c r="AY1286" s="73"/>
      <c r="AZ1286" s="73"/>
      <c r="BA1286" s="73"/>
      <c r="BB1286" s="73"/>
      <c r="BC1286" s="73"/>
      <c r="BD1286" s="73"/>
      <c r="BE1286" s="73"/>
      <c r="BF1286" s="73"/>
      <c r="BG1286" s="73"/>
      <c r="BH1286" s="73"/>
      <c r="BI1286" s="73"/>
      <c r="BJ1286" s="73"/>
      <c r="BK1286" s="73"/>
      <c r="BL1286" s="73"/>
      <c r="BM1286" s="73"/>
      <c r="BN1286" s="73"/>
      <c r="BO1286" s="73"/>
      <c r="BP1286" s="73"/>
      <c r="BQ1286" s="73"/>
      <c r="BR1286" s="73"/>
      <c r="BS1286" s="73"/>
      <c r="BT1286" s="73"/>
      <c r="BU1286" s="73"/>
      <c r="BV1286" s="73"/>
      <c r="BW1286" s="73"/>
      <c r="BX1286" s="73"/>
      <c r="BY1286" s="73"/>
      <c r="BZ1286" s="73"/>
      <c r="CA1286" s="73"/>
      <c r="CB1286" s="73"/>
      <c r="CC1286" s="73"/>
      <c r="CD1286" s="73"/>
      <c r="CE1286" s="73"/>
      <c r="CF1286" s="73"/>
      <c r="CG1286" s="73"/>
      <c r="CH1286" s="73"/>
    </row>
    <row r="1287">
      <c r="A1287" s="80"/>
      <c r="B1287" s="80"/>
      <c r="C1287" s="80"/>
      <c r="D1287" s="80"/>
      <c r="E1287" s="124"/>
      <c r="F1287" s="80"/>
      <c r="G1287" s="80"/>
      <c r="H1287" s="80"/>
      <c r="I1287" s="80"/>
      <c r="J1287" s="109"/>
      <c r="K1287" s="109"/>
      <c r="L1287" s="109"/>
      <c r="M1287" s="109"/>
      <c r="N1287" s="109"/>
      <c r="O1287" s="109"/>
      <c r="P1287" s="109"/>
      <c r="Q1287" s="109"/>
      <c r="R1287" s="109"/>
      <c r="S1287" s="109"/>
      <c r="T1287" s="109"/>
      <c r="U1287" s="109"/>
      <c r="V1287" s="109"/>
      <c r="W1287" s="109"/>
      <c r="X1287" s="109"/>
      <c r="Y1287" s="109"/>
      <c r="Z1287" s="109"/>
      <c r="AA1287" s="109"/>
      <c r="AB1287" s="109"/>
      <c r="AC1287" s="109"/>
      <c r="AD1287" s="109"/>
      <c r="AE1287" s="109"/>
      <c r="AF1287" s="109"/>
      <c r="AG1287" s="109"/>
      <c r="AH1287" s="109"/>
      <c r="AI1287" s="109"/>
      <c r="AJ1287" s="115"/>
      <c r="AK1287" s="80"/>
      <c r="AL1287" s="80"/>
      <c r="AM1287" s="80"/>
      <c r="AN1287" s="80"/>
      <c r="AO1287" s="80"/>
      <c r="AP1287" s="80"/>
      <c r="AQ1287" s="80"/>
      <c r="AR1287" s="73"/>
      <c r="AS1287" s="73"/>
      <c r="AT1287" s="73"/>
      <c r="AU1287" s="73"/>
      <c r="AV1287" s="73"/>
      <c r="AW1287" s="73"/>
      <c r="AX1287" s="73"/>
      <c r="AY1287" s="73"/>
      <c r="AZ1287" s="73"/>
      <c r="BA1287" s="73"/>
      <c r="BB1287" s="73"/>
      <c r="BC1287" s="73"/>
      <c r="BD1287" s="73"/>
      <c r="BE1287" s="73"/>
      <c r="BF1287" s="73"/>
      <c r="BG1287" s="73"/>
      <c r="BH1287" s="73"/>
      <c r="BI1287" s="73"/>
      <c r="BJ1287" s="73"/>
      <c r="BK1287" s="73"/>
      <c r="BL1287" s="73"/>
      <c r="BM1287" s="73"/>
      <c r="BN1287" s="73"/>
      <c r="BO1287" s="73"/>
      <c r="BP1287" s="73"/>
      <c r="BQ1287" s="73"/>
      <c r="BR1287" s="73"/>
      <c r="BS1287" s="73"/>
      <c r="BT1287" s="73"/>
      <c r="BU1287" s="73"/>
      <c r="BV1287" s="73"/>
      <c r="BW1287" s="73"/>
      <c r="BX1287" s="73"/>
      <c r="BY1287" s="73"/>
      <c r="BZ1287" s="73"/>
      <c r="CA1287" s="73"/>
      <c r="CB1287" s="73"/>
      <c r="CC1287" s="73"/>
      <c r="CD1287" s="73"/>
      <c r="CE1287" s="73"/>
      <c r="CF1287" s="73"/>
      <c r="CG1287" s="73"/>
      <c r="CH1287" s="73"/>
    </row>
    <row r="1288">
      <c r="A1288" s="80"/>
      <c r="B1288" s="80"/>
      <c r="C1288" s="80"/>
      <c r="D1288" s="80"/>
      <c r="E1288" s="124"/>
      <c r="F1288" s="80"/>
      <c r="G1288" s="80"/>
      <c r="H1288" s="80"/>
      <c r="I1288" s="80"/>
      <c r="J1288" s="109"/>
      <c r="K1288" s="109"/>
      <c r="L1288" s="109"/>
      <c r="M1288" s="109"/>
      <c r="N1288" s="109"/>
      <c r="O1288" s="109"/>
      <c r="P1288" s="109"/>
      <c r="Q1288" s="109"/>
      <c r="R1288" s="109"/>
      <c r="S1288" s="109"/>
      <c r="T1288" s="109"/>
      <c r="U1288" s="109"/>
      <c r="V1288" s="109"/>
      <c r="W1288" s="109"/>
      <c r="X1288" s="109"/>
      <c r="Y1288" s="109"/>
      <c r="Z1288" s="109"/>
      <c r="AA1288" s="109"/>
      <c r="AB1288" s="109"/>
      <c r="AC1288" s="109"/>
      <c r="AD1288" s="109"/>
      <c r="AE1288" s="109"/>
      <c r="AF1288" s="109"/>
      <c r="AG1288" s="109"/>
      <c r="AH1288" s="109"/>
      <c r="AI1288" s="109"/>
      <c r="AJ1288" s="115"/>
      <c r="AK1288" s="80"/>
      <c r="AL1288" s="80"/>
      <c r="AM1288" s="80"/>
      <c r="AN1288" s="80"/>
      <c r="AO1288" s="80"/>
      <c r="AP1288" s="80"/>
      <c r="AQ1288" s="80"/>
      <c r="AR1288" s="73"/>
      <c r="AS1288" s="73"/>
      <c r="AT1288" s="73"/>
      <c r="AU1288" s="73"/>
      <c r="AV1288" s="73"/>
      <c r="AW1288" s="73"/>
      <c r="AX1288" s="73"/>
      <c r="AY1288" s="73"/>
      <c r="AZ1288" s="73"/>
      <c r="BA1288" s="73"/>
      <c r="BB1288" s="73"/>
      <c r="BC1288" s="73"/>
      <c r="BD1288" s="73"/>
      <c r="BE1288" s="73"/>
      <c r="BF1288" s="73"/>
      <c r="BG1288" s="73"/>
      <c r="BH1288" s="73"/>
      <c r="BI1288" s="73"/>
      <c r="BJ1288" s="73"/>
      <c r="BK1288" s="73"/>
      <c r="BL1288" s="73"/>
      <c r="BM1288" s="73"/>
      <c r="BN1288" s="73"/>
      <c r="BO1288" s="73"/>
      <c r="BP1288" s="73"/>
      <c r="BQ1288" s="73"/>
      <c r="BR1288" s="73"/>
      <c r="BS1288" s="73"/>
      <c r="BT1288" s="73"/>
      <c r="BU1288" s="73"/>
      <c r="BV1288" s="73"/>
      <c r="BW1288" s="73"/>
      <c r="BX1288" s="73"/>
      <c r="BY1288" s="73"/>
      <c r="BZ1288" s="73"/>
      <c r="CA1288" s="73"/>
      <c r="CB1288" s="73"/>
      <c r="CC1288" s="73"/>
      <c r="CD1288" s="73"/>
      <c r="CE1288" s="73"/>
      <c r="CF1288" s="73"/>
      <c r="CG1288" s="73"/>
      <c r="CH1288" s="73"/>
    </row>
    <row r="1289">
      <c r="A1289" s="80"/>
      <c r="B1289" s="80"/>
      <c r="C1289" s="80"/>
      <c r="D1289" s="80"/>
      <c r="E1289" s="124"/>
      <c r="F1289" s="80"/>
      <c r="G1289" s="80"/>
      <c r="H1289" s="80"/>
      <c r="I1289" s="80"/>
      <c r="J1289" s="109"/>
      <c r="K1289" s="109"/>
      <c r="L1289" s="109"/>
      <c r="M1289" s="109"/>
      <c r="N1289" s="109"/>
      <c r="O1289" s="109"/>
      <c r="P1289" s="109"/>
      <c r="Q1289" s="109"/>
      <c r="R1289" s="109"/>
      <c r="S1289" s="109"/>
      <c r="T1289" s="109"/>
      <c r="U1289" s="109"/>
      <c r="V1289" s="109"/>
      <c r="W1289" s="109"/>
      <c r="X1289" s="109"/>
      <c r="Y1289" s="109"/>
      <c r="Z1289" s="109"/>
      <c r="AA1289" s="109"/>
      <c r="AB1289" s="109"/>
      <c r="AC1289" s="109"/>
      <c r="AD1289" s="109"/>
      <c r="AE1289" s="109"/>
      <c r="AF1289" s="109"/>
      <c r="AG1289" s="109"/>
      <c r="AH1289" s="109"/>
      <c r="AI1289" s="109"/>
      <c r="AJ1289" s="115"/>
      <c r="AK1289" s="80"/>
      <c r="AL1289" s="80"/>
      <c r="AM1289" s="80"/>
      <c r="AN1289" s="80"/>
      <c r="AO1289" s="80"/>
      <c r="AP1289" s="80"/>
      <c r="AQ1289" s="80"/>
      <c r="AR1289" s="73"/>
      <c r="AS1289" s="73"/>
      <c r="AT1289" s="73"/>
      <c r="AU1289" s="73"/>
      <c r="AV1289" s="73"/>
      <c r="AW1289" s="73"/>
      <c r="AX1289" s="73"/>
      <c r="AY1289" s="73"/>
      <c r="AZ1289" s="73"/>
      <c r="BA1289" s="73"/>
      <c r="BB1289" s="73"/>
      <c r="BC1289" s="73"/>
      <c r="BD1289" s="73"/>
      <c r="BE1289" s="73"/>
      <c r="BF1289" s="73"/>
      <c r="BG1289" s="73"/>
      <c r="BH1289" s="73"/>
      <c r="BI1289" s="73"/>
      <c r="BJ1289" s="73"/>
      <c r="BK1289" s="73"/>
      <c r="BL1289" s="73"/>
      <c r="BM1289" s="73"/>
      <c r="BN1289" s="73"/>
      <c r="BO1289" s="73"/>
      <c r="BP1289" s="73"/>
      <c r="BQ1289" s="73"/>
      <c r="BR1289" s="73"/>
      <c r="BS1289" s="73"/>
      <c r="BT1289" s="73"/>
      <c r="BU1289" s="73"/>
      <c r="BV1289" s="73"/>
      <c r="BW1289" s="73"/>
      <c r="BX1289" s="73"/>
      <c r="BY1289" s="73"/>
      <c r="BZ1289" s="73"/>
      <c r="CA1289" s="73"/>
      <c r="CB1289" s="73"/>
      <c r="CC1289" s="73"/>
      <c r="CD1289" s="73"/>
      <c r="CE1289" s="73"/>
      <c r="CF1289" s="73"/>
      <c r="CG1289" s="73"/>
      <c r="CH1289" s="73"/>
    </row>
    <row r="1290">
      <c r="A1290" s="80"/>
      <c r="B1290" s="80"/>
      <c r="C1290" s="80"/>
      <c r="D1290" s="80"/>
      <c r="E1290" s="124"/>
      <c r="F1290" s="80"/>
      <c r="G1290" s="80"/>
      <c r="H1290" s="80"/>
      <c r="I1290" s="80"/>
      <c r="J1290" s="109"/>
      <c r="K1290" s="109"/>
      <c r="L1290" s="109"/>
      <c r="M1290" s="109"/>
      <c r="N1290" s="109"/>
      <c r="O1290" s="109"/>
      <c r="P1290" s="109"/>
      <c r="Q1290" s="109"/>
      <c r="R1290" s="109"/>
      <c r="S1290" s="109"/>
      <c r="T1290" s="109"/>
      <c r="U1290" s="109"/>
      <c r="V1290" s="109"/>
      <c r="W1290" s="109"/>
      <c r="X1290" s="109"/>
      <c r="Y1290" s="109"/>
      <c r="Z1290" s="109"/>
      <c r="AA1290" s="109"/>
      <c r="AB1290" s="109"/>
      <c r="AC1290" s="109"/>
      <c r="AD1290" s="109"/>
      <c r="AE1290" s="109"/>
      <c r="AF1290" s="109"/>
      <c r="AG1290" s="109"/>
      <c r="AH1290" s="109"/>
      <c r="AI1290" s="109"/>
      <c r="AJ1290" s="115"/>
      <c r="AK1290" s="80"/>
      <c r="AL1290" s="80"/>
      <c r="AM1290" s="80"/>
      <c r="AN1290" s="80"/>
      <c r="AO1290" s="80"/>
      <c r="AP1290" s="80"/>
      <c r="AQ1290" s="80"/>
      <c r="AR1290" s="73"/>
      <c r="AS1290" s="73"/>
      <c r="AT1290" s="73"/>
      <c r="AU1290" s="73"/>
      <c r="AV1290" s="73"/>
      <c r="AW1290" s="73"/>
      <c r="AX1290" s="73"/>
      <c r="AY1290" s="73"/>
      <c r="AZ1290" s="73"/>
      <c r="BA1290" s="73"/>
      <c r="BB1290" s="73"/>
      <c r="BC1290" s="73"/>
      <c r="BD1290" s="73"/>
      <c r="BE1290" s="73"/>
      <c r="BF1290" s="73"/>
      <c r="BG1290" s="73"/>
      <c r="BH1290" s="73"/>
      <c r="BI1290" s="73"/>
      <c r="BJ1290" s="73"/>
      <c r="BK1290" s="73"/>
      <c r="BL1290" s="73"/>
      <c r="BM1290" s="73"/>
      <c r="BN1290" s="73"/>
      <c r="BO1290" s="73"/>
      <c r="BP1290" s="73"/>
      <c r="BQ1290" s="73"/>
      <c r="BR1290" s="73"/>
      <c r="BS1290" s="73"/>
      <c r="BT1290" s="73"/>
      <c r="BU1290" s="73"/>
      <c r="BV1290" s="73"/>
      <c r="BW1290" s="73"/>
      <c r="BX1290" s="73"/>
      <c r="BY1290" s="73"/>
      <c r="BZ1290" s="73"/>
      <c r="CA1290" s="73"/>
      <c r="CB1290" s="73"/>
      <c r="CC1290" s="73"/>
      <c r="CD1290" s="73"/>
      <c r="CE1290" s="73"/>
      <c r="CF1290" s="73"/>
      <c r="CG1290" s="73"/>
      <c r="CH1290" s="73"/>
    </row>
    <row r="1291">
      <c r="A1291" s="80"/>
      <c r="B1291" s="80"/>
      <c r="C1291" s="80"/>
      <c r="D1291" s="80"/>
      <c r="E1291" s="124"/>
      <c r="F1291" s="80"/>
      <c r="G1291" s="80"/>
      <c r="H1291" s="80"/>
      <c r="I1291" s="80"/>
      <c r="J1291" s="109"/>
      <c r="K1291" s="109"/>
      <c r="L1291" s="109"/>
      <c r="M1291" s="109"/>
      <c r="N1291" s="109"/>
      <c r="O1291" s="109"/>
      <c r="P1291" s="109"/>
      <c r="Q1291" s="109"/>
      <c r="R1291" s="109"/>
      <c r="S1291" s="109"/>
      <c r="T1291" s="109"/>
      <c r="U1291" s="109"/>
      <c r="V1291" s="109"/>
      <c r="W1291" s="109"/>
      <c r="X1291" s="109"/>
      <c r="Y1291" s="109"/>
      <c r="Z1291" s="109"/>
      <c r="AA1291" s="109"/>
      <c r="AB1291" s="109"/>
      <c r="AC1291" s="109"/>
      <c r="AD1291" s="109"/>
      <c r="AE1291" s="109"/>
      <c r="AF1291" s="109"/>
      <c r="AG1291" s="109"/>
      <c r="AH1291" s="109"/>
      <c r="AI1291" s="109"/>
      <c r="AJ1291" s="115"/>
      <c r="AK1291" s="80"/>
      <c r="AL1291" s="80"/>
      <c r="AM1291" s="80"/>
      <c r="AN1291" s="80"/>
      <c r="AO1291" s="80"/>
      <c r="AP1291" s="80"/>
      <c r="AQ1291" s="80"/>
      <c r="AR1291" s="73"/>
      <c r="AS1291" s="73"/>
      <c r="AT1291" s="73"/>
      <c r="AU1291" s="73"/>
      <c r="AV1291" s="73"/>
      <c r="AW1291" s="73"/>
      <c r="AX1291" s="73"/>
      <c r="AY1291" s="73"/>
      <c r="AZ1291" s="73"/>
      <c r="BA1291" s="73"/>
      <c r="BB1291" s="73"/>
      <c r="BC1291" s="73"/>
      <c r="BD1291" s="73"/>
      <c r="BE1291" s="73"/>
      <c r="BF1291" s="73"/>
      <c r="BG1291" s="73"/>
      <c r="BH1291" s="73"/>
      <c r="BI1291" s="73"/>
      <c r="BJ1291" s="73"/>
      <c r="BK1291" s="73"/>
      <c r="BL1291" s="73"/>
      <c r="BM1291" s="73"/>
      <c r="BN1291" s="73"/>
      <c r="BO1291" s="73"/>
      <c r="BP1291" s="73"/>
      <c r="BQ1291" s="73"/>
      <c r="BR1291" s="73"/>
      <c r="BS1291" s="73"/>
      <c r="BT1291" s="73"/>
      <c r="BU1291" s="73"/>
      <c r="BV1291" s="73"/>
      <c r="BW1291" s="73"/>
      <c r="BX1291" s="73"/>
      <c r="BY1291" s="73"/>
      <c r="BZ1291" s="73"/>
      <c r="CA1291" s="73"/>
      <c r="CB1291" s="73"/>
      <c r="CC1291" s="73"/>
      <c r="CD1291" s="73"/>
      <c r="CE1291" s="73"/>
      <c r="CF1291" s="73"/>
      <c r="CG1291" s="73"/>
      <c r="CH1291" s="73"/>
    </row>
    <row r="1292">
      <c r="A1292" s="80"/>
      <c r="B1292" s="80"/>
      <c r="C1292" s="80"/>
      <c r="D1292" s="80"/>
      <c r="E1292" s="124"/>
      <c r="F1292" s="80"/>
      <c r="G1292" s="80"/>
      <c r="H1292" s="80"/>
      <c r="I1292" s="80"/>
      <c r="J1292" s="109"/>
      <c r="K1292" s="109"/>
      <c r="L1292" s="109"/>
      <c r="M1292" s="109"/>
      <c r="N1292" s="109"/>
      <c r="O1292" s="109"/>
      <c r="P1292" s="109"/>
      <c r="Q1292" s="109"/>
      <c r="R1292" s="109"/>
      <c r="S1292" s="109"/>
      <c r="T1292" s="109"/>
      <c r="U1292" s="109"/>
      <c r="V1292" s="109"/>
      <c r="W1292" s="109"/>
      <c r="X1292" s="109"/>
      <c r="Y1292" s="109"/>
      <c r="Z1292" s="109"/>
      <c r="AA1292" s="109"/>
      <c r="AB1292" s="109"/>
      <c r="AC1292" s="109"/>
      <c r="AD1292" s="109"/>
      <c r="AE1292" s="109"/>
      <c r="AF1292" s="109"/>
      <c r="AG1292" s="109"/>
      <c r="AH1292" s="109"/>
      <c r="AI1292" s="109"/>
      <c r="AJ1292" s="115"/>
      <c r="AK1292" s="80"/>
      <c r="AL1292" s="80"/>
      <c r="AM1292" s="80"/>
      <c r="AN1292" s="80"/>
      <c r="AO1292" s="80"/>
      <c r="AP1292" s="80"/>
      <c r="AQ1292" s="80"/>
      <c r="AR1292" s="73"/>
      <c r="AS1292" s="73"/>
      <c r="AT1292" s="73"/>
      <c r="AU1292" s="73"/>
      <c r="AV1292" s="73"/>
      <c r="AW1292" s="73"/>
      <c r="AX1292" s="73"/>
      <c r="AY1292" s="73"/>
      <c r="AZ1292" s="73"/>
      <c r="BA1292" s="73"/>
      <c r="BB1292" s="73"/>
      <c r="BC1292" s="73"/>
      <c r="BD1292" s="73"/>
      <c r="BE1292" s="73"/>
      <c r="BF1292" s="73"/>
      <c r="BG1292" s="73"/>
      <c r="BH1292" s="73"/>
      <c r="BI1292" s="73"/>
      <c r="BJ1292" s="73"/>
      <c r="BK1292" s="73"/>
      <c r="BL1292" s="73"/>
      <c r="BM1292" s="73"/>
      <c r="BN1292" s="73"/>
      <c r="BO1292" s="73"/>
      <c r="BP1292" s="73"/>
      <c r="BQ1292" s="73"/>
      <c r="BR1292" s="73"/>
      <c r="BS1292" s="73"/>
      <c r="BT1292" s="73"/>
      <c r="BU1292" s="73"/>
      <c r="BV1292" s="73"/>
      <c r="BW1292" s="73"/>
      <c r="BX1292" s="73"/>
      <c r="BY1292" s="73"/>
      <c r="BZ1292" s="73"/>
      <c r="CA1292" s="73"/>
      <c r="CB1292" s="73"/>
      <c r="CC1292" s="73"/>
      <c r="CD1292" s="73"/>
      <c r="CE1292" s="73"/>
      <c r="CF1292" s="73"/>
      <c r="CG1292" s="73"/>
      <c r="CH1292" s="73"/>
    </row>
    <row r="1293">
      <c r="A1293" s="80"/>
      <c r="B1293" s="80"/>
      <c r="C1293" s="80"/>
      <c r="D1293" s="80"/>
      <c r="E1293" s="124"/>
      <c r="F1293" s="80"/>
      <c r="G1293" s="80"/>
      <c r="H1293" s="80"/>
      <c r="I1293" s="80"/>
      <c r="J1293" s="109"/>
      <c r="K1293" s="109"/>
      <c r="L1293" s="109"/>
      <c r="M1293" s="109"/>
      <c r="N1293" s="109"/>
      <c r="O1293" s="109"/>
      <c r="P1293" s="109"/>
      <c r="Q1293" s="109"/>
      <c r="R1293" s="109"/>
      <c r="S1293" s="109"/>
      <c r="T1293" s="109"/>
      <c r="U1293" s="109"/>
      <c r="V1293" s="109"/>
      <c r="W1293" s="109"/>
      <c r="X1293" s="109"/>
      <c r="Y1293" s="109"/>
      <c r="Z1293" s="109"/>
      <c r="AA1293" s="109"/>
      <c r="AB1293" s="109"/>
      <c r="AC1293" s="109"/>
      <c r="AD1293" s="109"/>
      <c r="AE1293" s="109"/>
      <c r="AF1293" s="109"/>
      <c r="AG1293" s="109"/>
      <c r="AH1293" s="109"/>
      <c r="AI1293" s="109"/>
      <c r="AJ1293" s="115"/>
      <c r="AK1293" s="80"/>
      <c r="AL1293" s="80"/>
      <c r="AM1293" s="80"/>
      <c r="AN1293" s="80"/>
      <c r="AO1293" s="80"/>
      <c r="AP1293" s="80"/>
      <c r="AQ1293" s="80"/>
      <c r="AR1293" s="73"/>
      <c r="AS1293" s="73"/>
      <c r="AT1293" s="73"/>
      <c r="AU1293" s="73"/>
      <c r="AV1293" s="73"/>
      <c r="AW1293" s="73"/>
      <c r="AX1293" s="73"/>
      <c r="AY1293" s="73"/>
      <c r="AZ1293" s="73"/>
      <c r="BA1293" s="73"/>
      <c r="BB1293" s="73"/>
      <c r="BC1293" s="73"/>
      <c r="BD1293" s="73"/>
      <c r="BE1293" s="73"/>
      <c r="BF1293" s="73"/>
      <c r="BG1293" s="73"/>
      <c r="BH1293" s="73"/>
      <c r="BI1293" s="73"/>
      <c r="BJ1293" s="73"/>
      <c r="BK1293" s="73"/>
      <c r="BL1293" s="73"/>
      <c r="BM1293" s="73"/>
      <c r="BN1293" s="73"/>
      <c r="BO1293" s="73"/>
      <c r="BP1293" s="73"/>
      <c r="BQ1293" s="73"/>
      <c r="BR1293" s="73"/>
      <c r="BS1293" s="73"/>
      <c r="BT1293" s="73"/>
      <c r="BU1293" s="73"/>
      <c r="BV1293" s="73"/>
      <c r="BW1293" s="73"/>
      <c r="BX1293" s="73"/>
      <c r="BY1293" s="73"/>
      <c r="BZ1293" s="73"/>
      <c r="CA1293" s="73"/>
      <c r="CB1293" s="73"/>
      <c r="CC1293" s="73"/>
      <c r="CD1293" s="73"/>
      <c r="CE1293" s="73"/>
      <c r="CF1293" s="73"/>
      <c r="CG1293" s="73"/>
      <c r="CH1293" s="73"/>
    </row>
    <row r="1294">
      <c r="A1294" s="80"/>
      <c r="B1294" s="80"/>
      <c r="C1294" s="80"/>
      <c r="D1294" s="80"/>
      <c r="E1294" s="124"/>
      <c r="F1294" s="80"/>
      <c r="G1294" s="80"/>
      <c r="H1294" s="80"/>
      <c r="I1294" s="80"/>
      <c r="J1294" s="109"/>
      <c r="K1294" s="109"/>
      <c r="L1294" s="109"/>
      <c r="M1294" s="109"/>
      <c r="N1294" s="109"/>
      <c r="O1294" s="109"/>
      <c r="P1294" s="109"/>
      <c r="Q1294" s="109"/>
      <c r="R1294" s="109"/>
      <c r="S1294" s="109"/>
      <c r="T1294" s="109"/>
      <c r="U1294" s="109"/>
      <c r="V1294" s="109"/>
      <c r="W1294" s="109"/>
      <c r="X1294" s="109"/>
      <c r="Y1294" s="109"/>
      <c r="Z1294" s="109"/>
      <c r="AA1294" s="109"/>
      <c r="AB1294" s="109"/>
      <c r="AC1294" s="109"/>
      <c r="AD1294" s="109"/>
      <c r="AE1294" s="109"/>
      <c r="AF1294" s="109"/>
      <c r="AG1294" s="109"/>
      <c r="AH1294" s="109"/>
      <c r="AI1294" s="109"/>
      <c r="AJ1294" s="115"/>
      <c r="AK1294" s="80"/>
      <c r="AL1294" s="80"/>
      <c r="AM1294" s="80"/>
      <c r="AN1294" s="80"/>
      <c r="AO1294" s="80"/>
      <c r="AP1294" s="80"/>
      <c r="AQ1294" s="80"/>
      <c r="AR1294" s="73"/>
      <c r="AS1294" s="73"/>
      <c r="AT1294" s="73"/>
      <c r="AU1294" s="73"/>
      <c r="AV1294" s="73"/>
      <c r="AW1294" s="73"/>
      <c r="AX1294" s="73"/>
      <c r="AY1294" s="73"/>
      <c r="AZ1294" s="73"/>
      <c r="BA1294" s="73"/>
      <c r="BB1294" s="73"/>
      <c r="BC1294" s="73"/>
      <c r="BD1294" s="73"/>
      <c r="BE1294" s="73"/>
      <c r="BF1294" s="73"/>
      <c r="BG1294" s="73"/>
      <c r="BH1294" s="73"/>
      <c r="BI1294" s="73"/>
      <c r="BJ1294" s="73"/>
      <c r="BK1294" s="73"/>
      <c r="BL1294" s="73"/>
      <c r="BM1294" s="73"/>
      <c r="BN1294" s="73"/>
      <c r="BO1294" s="73"/>
      <c r="BP1294" s="73"/>
      <c r="BQ1294" s="73"/>
      <c r="BR1294" s="73"/>
      <c r="BS1294" s="73"/>
      <c r="BT1294" s="73"/>
      <c r="BU1294" s="73"/>
      <c r="BV1294" s="73"/>
      <c r="BW1294" s="73"/>
      <c r="BX1294" s="73"/>
      <c r="BY1294" s="73"/>
      <c r="BZ1294" s="73"/>
      <c r="CA1294" s="73"/>
      <c r="CB1294" s="73"/>
      <c r="CC1294" s="73"/>
      <c r="CD1294" s="73"/>
      <c r="CE1294" s="73"/>
      <c r="CF1294" s="73"/>
      <c r="CG1294" s="73"/>
      <c r="CH1294" s="73"/>
    </row>
    <row r="1295">
      <c r="A1295" s="80"/>
      <c r="B1295" s="80"/>
      <c r="C1295" s="80"/>
      <c r="D1295" s="80"/>
      <c r="E1295" s="124"/>
      <c r="F1295" s="80"/>
      <c r="G1295" s="80"/>
      <c r="H1295" s="80"/>
      <c r="I1295" s="80"/>
      <c r="J1295" s="109"/>
      <c r="K1295" s="109"/>
      <c r="L1295" s="109"/>
      <c r="M1295" s="109"/>
      <c r="N1295" s="109"/>
      <c r="O1295" s="109"/>
      <c r="P1295" s="109"/>
      <c r="Q1295" s="109"/>
      <c r="R1295" s="109"/>
      <c r="S1295" s="109"/>
      <c r="T1295" s="109"/>
      <c r="U1295" s="109"/>
      <c r="V1295" s="109"/>
      <c r="W1295" s="109"/>
      <c r="X1295" s="109"/>
      <c r="Y1295" s="109"/>
      <c r="Z1295" s="109"/>
      <c r="AA1295" s="109"/>
      <c r="AB1295" s="109"/>
      <c r="AC1295" s="109"/>
      <c r="AD1295" s="109"/>
      <c r="AE1295" s="109"/>
      <c r="AF1295" s="109"/>
      <c r="AG1295" s="109"/>
      <c r="AH1295" s="109"/>
      <c r="AI1295" s="109"/>
      <c r="AJ1295" s="115"/>
      <c r="AK1295" s="80"/>
      <c r="AL1295" s="80"/>
      <c r="AM1295" s="80"/>
      <c r="AN1295" s="80"/>
      <c r="AO1295" s="80"/>
      <c r="AP1295" s="80"/>
      <c r="AQ1295" s="80"/>
      <c r="AR1295" s="73"/>
      <c r="AS1295" s="73"/>
      <c r="AT1295" s="73"/>
      <c r="AU1295" s="73"/>
      <c r="AV1295" s="73"/>
      <c r="AW1295" s="73"/>
      <c r="AX1295" s="73"/>
      <c r="AY1295" s="73"/>
      <c r="AZ1295" s="73"/>
      <c r="BA1295" s="73"/>
      <c r="BB1295" s="73"/>
      <c r="BC1295" s="73"/>
      <c r="BD1295" s="73"/>
      <c r="BE1295" s="73"/>
      <c r="BF1295" s="73"/>
      <c r="BG1295" s="73"/>
      <c r="BH1295" s="73"/>
      <c r="BI1295" s="73"/>
      <c r="BJ1295" s="73"/>
      <c r="BK1295" s="73"/>
      <c r="BL1295" s="73"/>
      <c r="BM1295" s="73"/>
      <c r="BN1295" s="73"/>
      <c r="BO1295" s="73"/>
      <c r="BP1295" s="73"/>
      <c r="BQ1295" s="73"/>
      <c r="BR1295" s="73"/>
      <c r="BS1295" s="73"/>
      <c r="BT1295" s="73"/>
      <c r="BU1295" s="73"/>
      <c r="BV1295" s="73"/>
      <c r="BW1295" s="73"/>
      <c r="BX1295" s="73"/>
      <c r="BY1295" s="73"/>
      <c r="BZ1295" s="73"/>
      <c r="CA1295" s="73"/>
      <c r="CB1295" s="73"/>
      <c r="CC1295" s="73"/>
      <c r="CD1295" s="73"/>
      <c r="CE1295" s="73"/>
      <c r="CF1295" s="73"/>
      <c r="CG1295" s="73"/>
      <c r="CH1295" s="73"/>
    </row>
    <row r="1296">
      <c r="A1296" s="80"/>
      <c r="B1296" s="80"/>
      <c r="C1296" s="80"/>
      <c r="D1296" s="80"/>
      <c r="E1296" s="124"/>
      <c r="F1296" s="80"/>
      <c r="G1296" s="80"/>
      <c r="H1296" s="80"/>
      <c r="I1296" s="80"/>
      <c r="J1296" s="109"/>
      <c r="K1296" s="109"/>
      <c r="L1296" s="109"/>
      <c r="M1296" s="109"/>
      <c r="N1296" s="109"/>
      <c r="O1296" s="109"/>
      <c r="P1296" s="109"/>
      <c r="Q1296" s="109"/>
      <c r="R1296" s="109"/>
      <c r="S1296" s="109"/>
      <c r="T1296" s="109"/>
      <c r="U1296" s="109"/>
      <c r="V1296" s="109"/>
      <c r="W1296" s="109"/>
      <c r="X1296" s="109"/>
      <c r="Y1296" s="109"/>
      <c r="Z1296" s="109"/>
      <c r="AA1296" s="109"/>
      <c r="AB1296" s="109"/>
      <c r="AC1296" s="109"/>
      <c r="AD1296" s="109"/>
      <c r="AE1296" s="109"/>
      <c r="AF1296" s="109"/>
      <c r="AG1296" s="109"/>
      <c r="AH1296" s="109"/>
      <c r="AI1296" s="109"/>
      <c r="AJ1296" s="115"/>
      <c r="AK1296" s="80"/>
      <c r="AL1296" s="80"/>
      <c r="AM1296" s="80"/>
      <c r="AN1296" s="80"/>
      <c r="AO1296" s="80"/>
      <c r="AP1296" s="80"/>
      <c r="AQ1296" s="80"/>
      <c r="AR1296" s="73"/>
      <c r="AS1296" s="73"/>
      <c r="AT1296" s="73"/>
      <c r="AU1296" s="73"/>
      <c r="AV1296" s="73"/>
      <c r="AW1296" s="73"/>
      <c r="AX1296" s="73"/>
      <c r="AY1296" s="73"/>
      <c r="AZ1296" s="73"/>
      <c r="BA1296" s="73"/>
      <c r="BB1296" s="73"/>
      <c r="BC1296" s="73"/>
      <c r="BD1296" s="73"/>
      <c r="BE1296" s="73"/>
      <c r="BF1296" s="73"/>
      <c r="BG1296" s="73"/>
      <c r="BH1296" s="73"/>
      <c r="BI1296" s="73"/>
      <c r="BJ1296" s="73"/>
      <c r="BK1296" s="73"/>
      <c r="BL1296" s="73"/>
      <c r="BM1296" s="73"/>
      <c r="BN1296" s="73"/>
      <c r="BO1296" s="73"/>
      <c r="BP1296" s="73"/>
      <c r="BQ1296" s="73"/>
      <c r="BR1296" s="73"/>
      <c r="BS1296" s="73"/>
      <c r="BT1296" s="73"/>
      <c r="BU1296" s="73"/>
      <c r="BV1296" s="73"/>
      <c r="BW1296" s="73"/>
      <c r="BX1296" s="73"/>
      <c r="BY1296" s="73"/>
      <c r="BZ1296" s="73"/>
      <c r="CA1296" s="73"/>
      <c r="CB1296" s="73"/>
      <c r="CC1296" s="73"/>
      <c r="CD1296" s="73"/>
      <c r="CE1296" s="73"/>
      <c r="CF1296" s="73"/>
      <c r="CG1296" s="73"/>
      <c r="CH1296" s="73"/>
    </row>
    <row r="1297">
      <c r="A1297" s="80"/>
      <c r="B1297" s="80"/>
      <c r="C1297" s="80"/>
      <c r="D1297" s="80"/>
      <c r="E1297" s="124"/>
      <c r="F1297" s="80"/>
      <c r="G1297" s="80"/>
      <c r="H1297" s="80"/>
      <c r="I1297" s="80"/>
      <c r="J1297" s="109"/>
      <c r="K1297" s="109"/>
      <c r="L1297" s="109"/>
      <c r="M1297" s="109"/>
      <c r="N1297" s="109"/>
      <c r="O1297" s="109"/>
      <c r="P1297" s="109"/>
      <c r="Q1297" s="109"/>
      <c r="R1297" s="109"/>
      <c r="S1297" s="109"/>
      <c r="T1297" s="109"/>
      <c r="U1297" s="109"/>
      <c r="V1297" s="109"/>
      <c r="W1297" s="109"/>
      <c r="X1297" s="109"/>
      <c r="Y1297" s="109"/>
      <c r="Z1297" s="109"/>
      <c r="AA1297" s="109"/>
      <c r="AB1297" s="109"/>
      <c r="AC1297" s="109"/>
      <c r="AD1297" s="109"/>
      <c r="AE1297" s="109"/>
      <c r="AF1297" s="109"/>
      <c r="AG1297" s="109"/>
      <c r="AH1297" s="109"/>
      <c r="AI1297" s="109"/>
      <c r="AJ1297" s="115"/>
      <c r="AK1297" s="80"/>
      <c r="AL1297" s="80"/>
      <c r="AM1297" s="80"/>
      <c r="AN1297" s="80"/>
      <c r="AO1297" s="80"/>
      <c r="AP1297" s="80"/>
      <c r="AQ1297" s="80"/>
      <c r="AR1297" s="73"/>
      <c r="AS1297" s="73"/>
      <c r="AT1297" s="73"/>
      <c r="AU1297" s="73"/>
      <c r="AV1297" s="73"/>
      <c r="AW1297" s="73"/>
      <c r="AX1297" s="73"/>
      <c r="AY1297" s="73"/>
      <c r="AZ1297" s="73"/>
      <c r="BA1297" s="73"/>
      <c r="BB1297" s="73"/>
      <c r="BC1297" s="73"/>
      <c r="BD1297" s="73"/>
      <c r="BE1297" s="73"/>
      <c r="BF1297" s="73"/>
      <c r="BG1297" s="73"/>
      <c r="BH1297" s="73"/>
      <c r="BI1297" s="73"/>
      <c r="BJ1297" s="73"/>
      <c r="BK1297" s="73"/>
      <c r="BL1297" s="73"/>
      <c r="BM1297" s="73"/>
      <c r="BN1297" s="73"/>
      <c r="BO1297" s="73"/>
      <c r="BP1297" s="73"/>
      <c r="BQ1297" s="73"/>
      <c r="BR1297" s="73"/>
      <c r="BS1297" s="73"/>
      <c r="BT1297" s="73"/>
      <c r="BU1297" s="73"/>
      <c r="BV1297" s="73"/>
      <c r="BW1297" s="73"/>
      <c r="BX1297" s="73"/>
      <c r="BY1297" s="73"/>
      <c r="BZ1297" s="73"/>
      <c r="CA1297" s="73"/>
      <c r="CB1297" s="73"/>
      <c r="CC1297" s="73"/>
      <c r="CD1297" s="73"/>
      <c r="CE1297" s="73"/>
      <c r="CF1297" s="73"/>
      <c r="CG1297" s="73"/>
      <c r="CH1297" s="73"/>
    </row>
    <row r="1298">
      <c r="A1298" s="80"/>
      <c r="B1298" s="80"/>
      <c r="C1298" s="80"/>
      <c r="D1298" s="80"/>
      <c r="E1298" s="124"/>
      <c r="F1298" s="80"/>
      <c r="G1298" s="80"/>
      <c r="H1298" s="80"/>
      <c r="I1298" s="80"/>
      <c r="J1298" s="109"/>
      <c r="K1298" s="109"/>
      <c r="L1298" s="109"/>
      <c r="M1298" s="109"/>
      <c r="N1298" s="109"/>
      <c r="O1298" s="109"/>
      <c r="P1298" s="109"/>
      <c r="Q1298" s="109"/>
      <c r="R1298" s="109"/>
      <c r="S1298" s="109"/>
      <c r="T1298" s="109"/>
      <c r="U1298" s="109"/>
      <c r="V1298" s="109"/>
      <c r="W1298" s="109"/>
      <c r="X1298" s="109"/>
      <c r="Y1298" s="109"/>
      <c r="Z1298" s="109"/>
      <c r="AA1298" s="109"/>
      <c r="AB1298" s="109"/>
      <c r="AC1298" s="109"/>
      <c r="AD1298" s="109"/>
      <c r="AE1298" s="109"/>
      <c r="AF1298" s="109"/>
      <c r="AG1298" s="109"/>
      <c r="AH1298" s="109"/>
      <c r="AI1298" s="109"/>
      <c r="AJ1298" s="115"/>
      <c r="AK1298" s="80"/>
      <c r="AL1298" s="80"/>
      <c r="AM1298" s="80"/>
      <c r="AN1298" s="80"/>
      <c r="AO1298" s="80"/>
      <c r="AP1298" s="80"/>
      <c r="AQ1298" s="80"/>
      <c r="AR1298" s="73"/>
      <c r="AS1298" s="73"/>
      <c r="AT1298" s="73"/>
      <c r="AU1298" s="73"/>
      <c r="AV1298" s="73"/>
      <c r="AW1298" s="73"/>
      <c r="AX1298" s="73"/>
      <c r="AY1298" s="73"/>
      <c r="AZ1298" s="73"/>
      <c r="BA1298" s="73"/>
      <c r="BB1298" s="73"/>
      <c r="BC1298" s="73"/>
      <c r="BD1298" s="73"/>
      <c r="BE1298" s="73"/>
      <c r="BF1298" s="73"/>
      <c r="BG1298" s="73"/>
      <c r="BH1298" s="73"/>
      <c r="BI1298" s="73"/>
      <c r="BJ1298" s="73"/>
      <c r="BK1298" s="73"/>
      <c r="BL1298" s="73"/>
      <c r="BM1298" s="73"/>
      <c r="BN1298" s="73"/>
      <c r="BO1298" s="73"/>
      <c r="BP1298" s="73"/>
      <c r="BQ1298" s="73"/>
      <c r="BR1298" s="73"/>
      <c r="BS1298" s="73"/>
      <c r="BT1298" s="73"/>
      <c r="BU1298" s="73"/>
      <c r="BV1298" s="73"/>
      <c r="BW1298" s="73"/>
      <c r="BX1298" s="73"/>
      <c r="BY1298" s="73"/>
      <c r="BZ1298" s="73"/>
      <c r="CA1298" s="73"/>
      <c r="CB1298" s="73"/>
      <c r="CC1298" s="73"/>
      <c r="CD1298" s="73"/>
      <c r="CE1298" s="73"/>
      <c r="CF1298" s="73"/>
      <c r="CG1298" s="73"/>
      <c r="CH1298" s="73"/>
    </row>
    <row r="1299">
      <c r="A1299" s="80"/>
      <c r="B1299" s="80"/>
      <c r="C1299" s="80"/>
      <c r="D1299" s="80"/>
      <c r="E1299" s="124"/>
      <c r="F1299" s="80"/>
      <c r="G1299" s="80"/>
      <c r="H1299" s="80"/>
      <c r="I1299" s="80"/>
      <c r="J1299" s="109"/>
      <c r="K1299" s="109"/>
      <c r="L1299" s="109"/>
      <c r="M1299" s="109"/>
      <c r="N1299" s="109"/>
      <c r="O1299" s="109"/>
      <c r="P1299" s="109"/>
      <c r="Q1299" s="109"/>
      <c r="R1299" s="109"/>
      <c r="S1299" s="109"/>
      <c r="T1299" s="109"/>
      <c r="U1299" s="109"/>
      <c r="V1299" s="109"/>
      <c r="W1299" s="109"/>
      <c r="X1299" s="109"/>
      <c r="Y1299" s="109"/>
      <c r="Z1299" s="109"/>
      <c r="AA1299" s="109"/>
      <c r="AB1299" s="109"/>
      <c r="AC1299" s="109"/>
      <c r="AD1299" s="109"/>
      <c r="AE1299" s="109"/>
      <c r="AF1299" s="109"/>
      <c r="AG1299" s="109"/>
      <c r="AH1299" s="109"/>
      <c r="AI1299" s="109"/>
      <c r="AJ1299" s="115"/>
      <c r="AK1299" s="80"/>
      <c r="AL1299" s="80"/>
      <c r="AM1299" s="80"/>
      <c r="AN1299" s="80"/>
      <c r="AO1299" s="80"/>
      <c r="AP1299" s="80"/>
      <c r="AQ1299" s="80"/>
      <c r="AR1299" s="73"/>
      <c r="AS1299" s="73"/>
      <c r="AT1299" s="73"/>
      <c r="AU1299" s="73"/>
      <c r="AV1299" s="73"/>
      <c r="AW1299" s="73"/>
      <c r="AX1299" s="73"/>
      <c r="AY1299" s="73"/>
      <c r="AZ1299" s="73"/>
      <c r="BA1299" s="73"/>
      <c r="BB1299" s="73"/>
      <c r="BC1299" s="73"/>
      <c r="BD1299" s="73"/>
      <c r="BE1299" s="73"/>
      <c r="BF1299" s="73"/>
      <c r="BG1299" s="73"/>
      <c r="BH1299" s="73"/>
      <c r="BI1299" s="73"/>
      <c r="BJ1299" s="73"/>
      <c r="BK1299" s="73"/>
      <c r="BL1299" s="73"/>
      <c r="BM1299" s="73"/>
      <c r="BN1299" s="73"/>
      <c r="BO1299" s="73"/>
      <c r="BP1299" s="73"/>
      <c r="BQ1299" s="73"/>
      <c r="BR1299" s="73"/>
      <c r="BS1299" s="73"/>
      <c r="BT1299" s="73"/>
      <c r="BU1299" s="73"/>
      <c r="BV1299" s="73"/>
      <c r="BW1299" s="73"/>
      <c r="BX1299" s="73"/>
      <c r="BY1299" s="73"/>
      <c r="BZ1299" s="73"/>
      <c r="CA1299" s="73"/>
      <c r="CB1299" s="73"/>
      <c r="CC1299" s="73"/>
      <c r="CD1299" s="73"/>
      <c r="CE1299" s="73"/>
      <c r="CF1299" s="73"/>
      <c r="CG1299" s="73"/>
      <c r="CH1299" s="73"/>
    </row>
    <row r="1300">
      <c r="A1300" s="80"/>
      <c r="B1300" s="80"/>
      <c r="C1300" s="80"/>
      <c r="D1300" s="80"/>
      <c r="E1300" s="124"/>
      <c r="F1300" s="80"/>
      <c r="G1300" s="80"/>
      <c r="H1300" s="80"/>
      <c r="I1300" s="80"/>
      <c r="J1300" s="109"/>
      <c r="K1300" s="109"/>
      <c r="L1300" s="109"/>
      <c r="M1300" s="109"/>
      <c r="N1300" s="109"/>
      <c r="O1300" s="109"/>
      <c r="P1300" s="109"/>
      <c r="Q1300" s="109"/>
      <c r="R1300" s="109"/>
      <c r="S1300" s="109"/>
      <c r="T1300" s="109"/>
      <c r="U1300" s="109"/>
      <c r="V1300" s="109"/>
      <c r="W1300" s="109"/>
      <c r="X1300" s="109"/>
      <c r="Y1300" s="109"/>
      <c r="Z1300" s="109"/>
      <c r="AA1300" s="109"/>
      <c r="AB1300" s="109"/>
      <c r="AC1300" s="109"/>
      <c r="AD1300" s="109"/>
      <c r="AE1300" s="109"/>
      <c r="AF1300" s="109"/>
      <c r="AG1300" s="109"/>
      <c r="AH1300" s="109"/>
      <c r="AI1300" s="109"/>
      <c r="AJ1300" s="115"/>
      <c r="AK1300" s="80"/>
      <c r="AL1300" s="80"/>
      <c r="AM1300" s="80"/>
      <c r="AN1300" s="80"/>
      <c r="AO1300" s="80"/>
      <c r="AP1300" s="80"/>
      <c r="AQ1300" s="80"/>
      <c r="AR1300" s="73"/>
      <c r="AS1300" s="73"/>
      <c r="AT1300" s="73"/>
      <c r="AU1300" s="73"/>
      <c r="AV1300" s="73"/>
      <c r="AW1300" s="73"/>
      <c r="AX1300" s="73"/>
      <c r="AY1300" s="73"/>
      <c r="AZ1300" s="73"/>
      <c r="BA1300" s="73"/>
      <c r="BB1300" s="73"/>
      <c r="BC1300" s="73"/>
      <c r="BD1300" s="73"/>
      <c r="BE1300" s="73"/>
      <c r="BF1300" s="73"/>
      <c r="BG1300" s="73"/>
      <c r="BH1300" s="73"/>
      <c r="BI1300" s="73"/>
      <c r="BJ1300" s="73"/>
      <c r="BK1300" s="73"/>
      <c r="BL1300" s="73"/>
      <c r="BM1300" s="73"/>
      <c r="BN1300" s="73"/>
      <c r="BO1300" s="73"/>
      <c r="BP1300" s="73"/>
      <c r="BQ1300" s="73"/>
      <c r="BR1300" s="73"/>
      <c r="BS1300" s="73"/>
      <c r="BT1300" s="73"/>
      <c r="BU1300" s="73"/>
      <c r="BV1300" s="73"/>
      <c r="BW1300" s="73"/>
      <c r="BX1300" s="73"/>
      <c r="BY1300" s="73"/>
      <c r="BZ1300" s="73"/>
      <c r="CA1300" s="73"/>
      <c r="CB1300" s="73"/>
      <c r="CC1300" s="73"/>
      <c r="CD1300" s="73"/>
      <c r="CE1300" s="73"/>
      <c r="CF1300" s="73"/>
      <c r="CG1300" s="73"/>
      <c r="CH1300" s="73"/>
    </row>
    <row r="1301">
      <c r="A1301" s="80"/>
      <c r="B1301" s="80"/>
      <c r="C1301" s="80"/>
      <c r="D1301" s="80"/>
      <c r="E1301" s="124"/>
      <c r="F1301" s="80"/>
      <c r="G1301" s="80"/>
      <c r="H1301" s="80"/>
      <c r="I1301" s="80"/>
      <c r="J1301" s="109"/>
      <c r="K1301" s="109"/>
      <c r="L1301" s="109"/>
      <c r="M1301" s="109"/>
      <c r="N1301" s="109"/>
      <c r="O1301" s="109"/>
      <c r="P1301" s="109"/>
      <c r="Q1301" s="109"/>
      <c r="R1301" s="109"/>
      <c r="S1301" s="109"/>
      <c r="T1301" s="109"/>
      <c r="U1301" s="109"/>
      <c r="V1301" s="109"/>
      <c r="W1301" s="109"/>
      <c r="X1301" s="109"/>
      <c r="Y1301" s="109"/>
      <c r="Z1301" s="109"/>
      <c r="AA1301" s="109"/>
      <c r="AB1301" s="109"/>
      <c r="AC1301" s="109"/>
      <c r="AD1301" s="109"/>
      <c r="AE1301" s="109"/>
      <c r="AF1301" s="109"/>
      <c r="AG1301" s="109"/>
      <c r="AH1301" s="109"/>
      <c r="AI1301" s="109"/>
      <c r="AJ1301" s="115"/>
      <c r="AK1301" s="80"/>
      <c r="AL1301" s="80"/>
      <c r="AM1301" s="80"/>
      <c r="AN1301" s="80"/>
      <c r="AO1301" s="80"/>
      <c r="AP1301" s="80"/>
      <c r="AQ1301" s="80"/>
      <c r="AR1301" s="73"/>
      <c r="AS1301" s="73"/>
      <c r="AT1301" s="73"/>
      <c r="AU1301" s="73"/>
      <c r="AV1301" s="73"/>
      <c r="AW1301" s="73"/>
      <c r="AX1301" s="73"/>
      <c r="AY1301" s="73"/>
      <c r="AZ1301" s="73"/>
      <c r="BA1301" s="73"/>
      <c r="BB1301" s="73"/>
      <c r="BC1301" s="73"/>
      <c r="BD1301" s="73"/>
      <c r="BE1301" s="73"/>
      <c r="BF1301" s="73"/>
      <c r="BG1301" s="73"/>
      <c r="BH1301" s="73"/>
      <c r="BI1301" s="73"/>
      <c r="BJ1301" s="73"/>
      <c r="BK1301" s="73"/>
      <c r="BL1301" s="73"/>
      <c r="BM1301" s="73"/>
      <c r="BN1301" s="73"/>
      <c r="BO1301" s="73"/>
      <c r="BP1301" s="73"/>
      <c r="BQ1301" s="73"/>
      <c r="BR1301" s="73"/>
      <c r="BS1301" s="73"/>
      <c r="BT1301" s="73"/>
      <c r="BU1301" s="73"/>
      <c r="BV1301" s="73"/>
      <c r="BW1301" s="73"/>
      <c r="BX1301" s="73"/>
      <c r="BY1301" s="73"/>
      <c r="BZ1301" s="73"/>
      <c r="CA1301" s="73"/>
      <c r="CB1301" s="73"/>
      <c r="CC1301" s="73"/>
      <c r="CD1301" s="73"/>
      <c r="CE1301" s="73"/>
      <c r="CF1301" s="73"/>
      <c r="CG1301" s="73"/>
      <c r="CH1301" s="73"/>
    </row>
    <row r="1302">
      <c r="A1302" s="80"/>
      <c r="B1302" s="80"/>
      <c r="C1302" s="80"/>
      <c r="D1302" s="80"/>
      <c r="E1302" s="124"/>
      <c r="F1302" s="80"/>
      <c r="G1302" s="80"/>
      <c r="H1302" s="80"/>
      <c r="I1302" s="80"/>
      <c r="J1302" s="109"/>
      <c r="K1302" s="109"/>
      <c r="L1302" s="109"/>
      <c r="M1302" s="109"/>
      <c r="N1302" s="109"/>
      <c r="O1302" s="109"/>
      <c r="P1302" s="109"/>
      <c r="Q1302" s="109"/>
      <c r="R1302" s="109"/>
      <c r="S1302" s="109"/>
      <c r="T1302" s="109"/>
      <c r="U1302" s="109"/>
      <c r="V1302" s="109"/>
      <c r="W1302" s="109"/>
      <c r="X1302" s="109"/>
      <c r="Y1302" s="109"/>
      <c r="Z1302" s="109"/>
      <c r="AA1302" s="109"/>
      <c r="AB1302" s="109"/>
      <c r="AC1302" s="109"/>
      <c r="AD1302" s="109"/>
      <c r="AE1302" s="109"/>
      <c r="AF1302" s="109"/>
      <c r="AG1302" s="109"/>
      <c r="AH1302" s="109"/>
      <c r="AI1302" s="109"/>
      <c r="AJ1302" s="115"/>
      <c r="AK1302" s="80"/>
      <c r="AL1302" s="80"/>
      <c r="AM1302" s="80"/>
      <c r="AN1302" s="80"/>
      <c r="AO1302" s="80"/>
      <c r="AP1302" s="80"/>
      <c r="AQ1302" s="80"/>
      <c r="AR1302" s="73"/>
      <c r="AS1302" s="73"/>
      <c r="AT1302" s="73"/>
      <c r="AU1302" s="73"/>
      <c r="AV1302" s="73"/>
      <c r="AW1302" s="73"/>
      <c r="AX1302" s="73"/>
      <c r="AY1302" s="73"/>
      <c r="AZ1302" s="73"/>
      <c r="BA1302" s="73"/>
      <c r="BB1302" s="73"/>
      <c r="BC1302" s="73"/>
      <c r="BD1302" s="73"/>
      <c r="BE1302" s="73"/>
      <c r="BF1302" s="73"/>
      <c r="BG1302" s="73"/>
      <c r="BH1302" s="73"/>
      <c r="BI1302" s="73"/>
      <c r="BJ1302" s="73"/>
      <c r="BK1302" s="73"/>
      <c r="BL1302" s="73"/>
      <c r="BM1302" s="73"/>
      <c r="BN1302" s="73"/>
      <c r="BO1302" s="73"/>
      <c r="BP1302" s="73"/>
      <c r="BQ1302" s="73"/>
      <c r="BR1302" s="73"/>
      <c r="BS1302" s="73"/>
      <c r="BT1302" s="73"/>
      <c r="BU1302" s="73"/>
      <c r="BV1302" s="73"/>
      <c r="BW1302" s="73"/>
      <c r="BX1302" s="73"/>
      <c r="BY1302" s="73"/>
      <c r="BZ1302" s="73"/>
      <c r="CA1302" s="73"/>
      <c r="CB1302" s="73"/>
      <c r="CC1302" s="73"/>
      <c r="CD1302" s="73"/>
      <c r="CE1302" s="73"/>
      <c r="CF1302" s="73"/>
      <c r="CG1302" s="73"/>
      <c r="CH1302" s="73"/>
    </row>
    <row r="1303">
      <c r="A1303" s="80"/>
      <c r="B1303" s="80"/>
      <c r="C1303" s="80"/>
      <c r="D1303" s="80"/>
      <c r="E1303" s="124"/>
      <c r="F1303" s="80"/>
      <c r="G1303" s="80"/>
      <c r="H1303" s="80"/>
      <c r="I1303" s="80"/>
      <c r="J1303" s="109"/>
      <c r="K1303" s="109"/>
      <c r="L1303" s="109"/>
      <c r="M1303" s="109"/>
      <c r="N1303" s="109"/>
      <c r="O1303" s="109"/>
      <c r="P1303" s="109"/>
      <c r="Q1303" s="109"/>
      <c r="R1303" s="109"/>
      <c r="S1303" s="109"/>
      <c r="T1303" s="109"/>
      <c r="U1303" s="109"/>
      <c r="V1303" s="109"/>
      <c r="W1303" s="109"/>
      <c r="X1303" s="109"/>
      <c r="Y1303" s="109"/>
      <c r="Z1303" s="109"/>
      <c r="AA1303" s="109"/>
      <c r="AB1303" s="109"/>
      <c r="AC1303" s="109"/>
      <c r="AD1303" s="109"/>
      <c r="AE1303" s="109"/>
      <c r="AF1303" s="109"/>
      <c r="AG1303" s="109"/>
      <c r="AH1303" s="109"/>
      <c r="AI1303" s="109"/>
      <c r="AJ1303" s="115"/>
      <c r="AK1303" s="80"/>
      <c r="AL1303" s="80"/>
      <c r="AM1303" s="80"/>
      <c r="AN1303" s="80"/>
      <c r="AO1303" s="80"/>
      <c r="AP1303" s="80"/>
      <c r="AQ1303" s="80"/>
      <c r="AR1303" s="73"/>
      <c r="AS1303" s="73"/>
      <c r="AT1303" s="73"/>
      <c r="AU1303" s="73"/>
      <c r="AV1303" s="73"/>
      <c r="AW1303" s="73"/>
      <c r="AX1303" s="73"/>
      <c r="AY1303" s="73"/>
      <c r="AZ1303" s="73"/>
      <c r="BA1303" s="73"/>
      <c r="BB1303" s="73"/>
      <c r="BC1303" s="73"/>
      <c r="BD1303" s="73"/>
      <c r="BE1303" s="73"/>
      <c r="BF1303" s="73"/>
      <c r="BG1303" s="73"/>
      <c r="BH1303" s="73"/>
      <c r="BI1303" s="73"/>
      <c r="BJ1303" s="73"/>
      <c r="BK1303" s="73"/>
      <c r="BL1303" s="73"/>
      <c r="BM1303" s="73"/>
      <c r="BN1303" s="73"/>
      <c r="BO1303" s="73"/>
      <c r="BP1303" s="73"/>
      <c r="BQ1303" s="73"/>
      <c r="BR1303" s="73"/>
      <c r="BS1303" s="73"/>
      <c r="BT1303" s="73"/>
      <c r="BU1303" s="73"/>
      <c r="BV1303" s="73"/>
      <c r="BW1303" s="73"/>
      <c r="BX1303" s="73"/>
      <c r="BY1303" s="73"/>
      <c r="BZ1303" s="73"/>
      <c r="CA1303" s="73"/>
      <c r="CB1303" s="73"/>
      <c r="CC1303" s="73"/>
      <c r="CD1303" s="73"/>
      <c r="CE1303" s="73"/>
      <c r="CF1303" s="73"/>
      <c r="CG1303" s="73"/>
      <c r="CH1303" s="73"/>
    </row>
    <row r="1304">
      <c r="A1304" s="80"/>
      <c r="B1304" s="80"/>
      <c r="C1304" s="80"/>
      <c r="D1304" s="80"/>
      <c r="E1304" s="124"/>
      <c r="F1304" s="80"/>
      <c r="G1304" s="80"/>
      <c r="H1304" s="80"/>
      <c r="I1304" s="80"/>
      <c r="J1304" s="109"/>
      <c r="K1304" s="109"/>
      <c r="L1304" s="109"/>
      <c r="M1304" s="109"/>
      <c r="N1304" s="109"/>
      <c r="O1304" s="109"/>
      <c r="P1304" s="109"/>
      <c r="Q1304" s="109"/>
      <c r="R1304" s="109"/>
      <c r="S1304" s="109"/>
      <c r="T1304" s="109"/>
      <c r="U1304" s="109"/>
      <c r="V1304" s="109"/>
      <c r="W1304" s="109"/>
      <c r="X1304" s="109"/>
      <c r="Y1304" s="109"/>
      <c r="Z1304" s="109"/>
      <c r="AA1304" s="109"/>
      <c r="AB1304" s="109"/>
      <c r="AC1304" s="109"/>
      <c r="AD1304" s="109"/>
      <c r="AE1304" s="109"/>
      <c r="AF1304" s="109"/>
      <c r="AG1304" s="109"/>
      <c r="AH1304" s="109"/>
      <c r="AI1304" s="109"/>
      <c r="AJ1304" s="115"/>
      <c r="AK1304" s="80"/>
      <c r="AL1304" s="80"/>
      <c r="AM1304" s="80"/>
      <c r="AN1304" s="80"/>
      <c r="AO1304" s="80"/>
      <c r="AP1304" s="80"/>
      <c r="AQ1304" s="80"/>
      <c r="AR1304" s="73"/>
      <c r="AS1304" s="73"/>
      <c r="AT1304" s="73"/>
      <c r="AU1304" s="73"/>
      <c r="AV1304" s="73"/>
      <c r="AW1304" s="73"/>
      <c r="AX1304" s="73"/>
      <c r="AY1304" s="73"/>
      <c r="AZ1304" s="73"/>
      <c r="BA1304" s="73"/>
      <c r="BB1304" s="73"/>
      <c r="BC1304" s="73"/>
      <c r="BD1304" s="73"/>
      <c r="BE1304" s="73"/>
      <c r="BF1304" s="73"/>
      <c r="BG1304" s="73"/>
      <c r="BH1304" s="73"/>
      <c r="BI1304" s="73"/>
      <c r="BJ1304" s="73"/>
      <c r="BK1304" s="73"/>
      <c r="BL1304" s="73"/>
      <c r="BM1304" s="73"/>
      <c r="BN1304" s="73"/>
      <c r="BO1304" s="73"/>
      <c r="BP1304" s="73"/>
      <c r="BQ1304" s="73"/>
      <c r="BR1304" s="73"/>
      <c r="BS1304" s="73"/>
      <c r="BT1304" s="73"/>
      <c r="BU1304" s="73"/>
      <c r="BV1304" s="73"/>
      <c r="BW1304" s="73"/>
      <c r="BX1304" s="73"/>
      <c r="BY1304" s="73"/>
      <c r="BZ1304" s="73"/>
      <c r="CA1304" s="73"/>
      <c r="CB1304" s="73"/>
      <c r="CC1304" s="73"/>
      <c r="CD1304" s="73"/>
      <c r="CE1304" s="73"/>
      <c r="CF1304" s="73"/>
      <c r="CG1304" s="73"/>
      <c r="CH1304" s="73"/>
    </row>
    <row r="1305">
      <c r="A1305" s="80"/>
      <c r="B1305" s="80"/>
      <c r="C1305" s="80"/>
      <c r="D1305" s="80"/>
      <c r="E1305" s="124"/>
      <c r="F1305" s="80"/>
      <c r="G1305" s="80"/>
      <c r="H1305" s="80"/>
      <c r="I1305" s="80"/>
      <c r="J1305" s="109"/>
      <c r="K1305" s="109"/>
      <c r="L1305" s="109"/>
      <c r="M1305" s="109"/>
      <c r="N1305" s="109"/>
      <c r="O1305" s="109"/>
      <c r="P1305" s="109"/>
      <c r="Q1305" s="109"/>
      <c r="R1305" s="109"/>
      <c r="S1305" s="109"/>
      <c r="T1305" s="109"/>
      <c r="U1305" s="109"/>
      <c r="V1305" s="109"/>
      <c r="W1305" s="109"/>
      <c r="X1305" s="109"/>
      <c r="Y1305" s="109"/>
      <c r="Z1305" s="109"/>
      <c r="AA1305" s="109"/>
      <c r="AB1305" s="109"/>
      <c r="AC1305" s="109"/>
      <c r="AD1305" s="109"/>
      <c r="AE1305" s="109"/>
      <c r="AF1305" s="109"/>
      <c r="AG1305" s="109"/>
      <c r="AH1305" s="109"/>
      <c r="AI1305" s="109"/>
      <c r="AJ1305" s="115"/>
      <c r="AK1305" s="80"/>
      <c r="AL1305" s="80"/>
      <c r="AM1305" s="80"/>
      <c r="AN1305" s="80"/>
      <c r="AO1305" s="80"/>
      <c r="AP1305" s="80"/>
      <c r="AQ1305" s="80"/>
      <c r="AR1305" s="73"/>
      <c r="AS1305" s="73"/>
      <c r="AT1305" s="73"/>
      <c r="AU1305" s="73"/>
      <c r="AV1305" s="73"/>
      <c r="AW1305" s="73"/>
      <c r="AX1305" s="73"/>
      <c r="AY1305" s="73"/>
      <c r="AZ1305" s="73"/>
      <c r="BA1305" s="73"/>
      <c r="BB1305" s="73"/>
      <c r="BC1305" s="73"/>
      <c r="BD1305" s="73"/>
      <c r="BE1305" s="73"/>
      <c r="BF1305" s="73"/>
      <c r="BG1305" s="73"/>
      <c r="BH1305" s="73"/>
      <c r="BI1305" s="73"/>
      <c r="BJ1305" s="73"/>
      <c r="BK1305" s="73"/>
      <c r="BL1305" s="73"/>
      <c r="BM1305" s="73"/>
      <c r="BN1305" s="73"/>
      <c r="BO1305" s="73"/>
      <c r="BP1305" s="73"/>
      <c r="BQ1305" s="73"/>
      <c r="BR1305" s="73"/>
      <c r="BS1305" s="73"/>
      <c r="BT1305" s="73"/>
      <c r="BU1305" s="73"/>
      <c r="BV1305" s="73"/>
      <c r="BW1305" s="73"/>
      <c r="BX1305" s="73"/>
      <c r="BY1305" s="73"/>
      <c r="BZ1305" s="73"/>
      <c r="CA1305" s="73"/>
      <c r="CB1305" s="73"/>
      <c r="CC1305" s="73"/>
      <c r="CD1305" s="73"/>
      <c r="CE1305" s="73"/>
      <c r="CF1305" s="73"/>
      <c r="CG1305" s="73"/>
      <c r="CH1305" s="73"/>
    </row>
    <row r="1306">
      <c r="A1306" s="80"/>
      <c r="B1306" s="80"/>
      <c r="C1306" s="80"/>
      <c r="D1306" s="80"/>
      <c r="E1306" s="124"/>
      <c r="F1306" s="80"/>
      <c r="G1306" s="80"/>
      <c r="H1306" s="80"/>
      <c r="I1306" s="80"/>
      <c r="J1306" s="109"/>
      <c r="K1306" s="109"/>
      <c r="L1306" s="109"/>
      <c r="M1306" s="109"/>
      <c r="N1306" s="109"/>
      <c r="O1306" s="109"/>
      <c r="P1306" s="109"/>
      <c r="Q1306" s="109"/>
      <c r="R1306" s="109"/>
      <c r="S1306" s="109"/>
      <c r="T1306" s="109"/>
      <c r="U1306" s="109"/>
      <c r="V1306" s="109"/>
      <c r="W1306" s="109"/>
      <c r="X1306" s="109"/>
      <c r="Y1306" s="109"/>
      <c r="Z1306" s="109"/>
      <c r="AA1306" s="109"/>
      <c r="AB1306" s="109"/>
      <c r="AC1306" s="109"/>
      <c r="AD1306" s="109"/>
      <c r="AE1306" s="109"/>
      <c r="AF1306" s="109"/>
      <c r="AG1306" s="109"/>
      <c r="AH1306" s="109"/>
      <c r="AI1306" s="109"/>
      <c r="AJ1306" s="115"/>
      <c r="AK1306" s="80"/>
      <c r="AL1306" s="80"/>
      <c r="AM1306" s="80"/>
      <c r="AN1306" s="80"/>
      <c r="AO1306" s="80"/>
      <c r="AP1306" s="80"/>
      <c r="AQ1306" s="80"/>
      <c r="AR1306" s="73"/>
      <c r="AS1306" s="73"/>
      <c r="AT1306" s="73"/>
      <c r="AU1306" s="73"/>
      <c r="AV1306" s="73"/>
      <c r="AW1306" s="73"/>
      <c r="AX1306" s="73"/>
      <c r="AY1306" s="73"/>
      <c r="AZ1306" s="73"/>
      <c r="BA1306" s="73"/>
      <c r="BB1306" s="73"/>
      <c r="BC1306" s="73"/>
      <c r="BD1306" s="73"/>
      <c r="BE1306" s="73"/>
      <c r="BF1306" s="73"/>
      <c r="BG1306" s="73"/>
      <c r="BH1306" s="73"/>
      <c r="BI1306" s="73"/>
      <c r="BJ1306" s="73"/>
      <c r="BK1306" s="73"/>
      <c r="BL1306" s="73"/>
      <c r="BM1306" s="73"/>
      <c r="BN1306" s="73"/>
      <c r="BO1306" s="73"/>
      <c r="BP1306" s="73"/>
      <c r="BQ1306" s="73"/>
      <c r="BR1306" s="73"/>
      <c r="BS1306" s="73"/>
      <c r="BT1306" s="73"/>
      <c r="BU1306" s="73"/>
      <c r="BV1306" s="73"/>
      <c r="BW1306" s="73"/>
      <c r="BX1306" s="73"/>
      <c r="BY1306" s="73"/>
      <c r="BZ1306" s="73"/>
      <c r="CA1306" s="73"/>
      <c r="CB1306" s="73"/>
      <c r="CC1306" s="73"/>
      <c r="CD1306" s="73"/>
      <c r="CE1306" s="73"/>
      <c r="CF1306" s="73"/>
      <c r="CG1306" s="73"/>
      <c r="CH1306" s="73"/>
    </row>
    <row r="1307">
      <c r="A1307" s="80"/>
      <c r="B1307" s="80"/>
      <c r="C1307" s="80"/>
      <c r="D1307" s="80"/>
      <c r="E1307" s="124"/>
      <c r="F1307" s="80"/>
      <c r="G1307" s="80"/>
      <c r="H1307" s="80"/>
      <c r="I1307" s="80"/>
      <c r="J1307" s="109"/>
      <c r="K1307" s="109"/>
      <c r="L1307" s="109"/>
      <c r="M1307" s="109"/>
      <c r="N1307" s="109"/>
      <c r="O1307" s="109"/>
      <c r="P1307" s="109"/>
      <c r="Q1307" s="109"/>
      <c r="R1307" s="109"/>
      <c r="S1307" s="109"/>
      <c r="T1307" s="109"/>
      <c r="U1307" s="109"/>
      <c r="V1307" s="109"/>
      <c r="W1307" s="109"/>
      <c r="X1307" s="109"/>
      <c r="Y1307" s="109"/>
      <c r="Z1307" s="109"/>
      <c r="AA1307" s="109"/>
      <c r="AB1307" s="109"/>
      <c r="AC1307" s="109"/>
      <c r="AD1307" s="109"/>
      <c r="AE1307" s="109"/>
      <c r="AF1307" s="109"/>
      <c r="AG1307" s="109"/>
      <c r="AH1307" s="109"/>
      <c r="AI1307" s="109"/>
      <c r="AJ1307" s="115"/>
      <c r="AK1307" s="80"/>
      <c r="AL1307" s="80"/>
      <c r="AM1307" s="80"/>
      <c r="AN1307" s="80"/>
      <c r="AO1307" s="80"/>
      <c r="AP1307" s="80"/>
      <c r="AQ1307" s="80"/>
      <c r="AR1307" s="73"/>
      <c r="AS1307" s="73"/>
      <c r="AT1307" s="73"/>
      <c r="AU1307" s="73"/>
      <c r="AV1307" s="73"/>
      <c r="AW1307" s="73"/>
      <c r="AX1307" s="73"/>
      <c r="AY1307" s="73"/>
      <c r="AZ1307" s="73"/>
      <c r="BA1307" s="73"/>
      <c r="BB1307" s="73"/>
      <c r="BC1307" s="73"/>
      <c r="BD1307" s="73"/>
      <c r="BE1307" s="73"/>
      <c r="BF1307" s="73"/>
      <c r="BG1307" s="73"/>
      <c r="BH1307" s="73"/>
      <c r="BI1307" s="73"/>
      <c r="BJ1307" s="73"/>
      <c r="BK1307" s="73"/>
      <c r="BL1307" s="73"/>
      <c r="BM1307" s="73"/>
      <c r="BN1307" s="73"/>
      <c r="BO1307" s="73"/>
      <c r="BP1307" s="73"/>
      <c r="BQ1307" s="73"/>
      <c r="BR1307" s="73"/>
      <c r="BS1307" s="73"/>
      <c r="BT1307" s="73"/>
      <c r="BU1307" s="73"/>
      <c r="BV1307" s="73"/>
      <c r="BW1307" s="73"/>
      <c r="BX1307" s="73"/>
      <c r="BY1307" s="73"/>
      <c r="BZ1307" s="73"/>
      <c r="CA1307" s="73"/>
      <c r="CB1307" s="73"/>
      <c r="CC1307" s="73"/>
      <c r="CD1307" s="73"/>
      <c r="CE1307" s="73"/>
      <c r="CF1307" s="73"/>
      <c r="CG1307" s="73"/>
      <c r="CH1307" s="73"/>
    </row>
    <row r="1308">
      <c r="A1308" s="80"/>
      <c r="B1308" s="80"/>
      <c r="C1308" s="80"/>
      <c r="D1308" s="80"/>
      <c r="E1308" s="124"/>
      <c r="F1308" s="80"/>
      <c r="G1308" s="80"/>
      <c r="H1308" s="80"/>
      <c r="I1308" s="80"/>
      <c r="J1308" s="109"/>
      <c r="K1308" s="109"/>
      <c r="L1308" s="109"/>
      <c r="M1308" s="109"/>
      <c r="N1308" s="109"/>
      <c r="O1308" s="109"/>
      <c r="P1308" s="109"/>
      <c r="Q1308" s="109"/>
      <c r="R1308" s="109"/>
      <c r="S1308" s="109"/>
      <c r="T1308" s="109"/>
      <c r="U1308" s="109"/>
      <c r="V1308" s="109"/>
      <c r="W1308" s="109"/>
      <c r="X1308" s="109"/>
      <c r="Y1308" s="109"/>
      <c r="Z1308" s="109"/>
      <c r="AA1308" s="109"/>
      <c r="AB1308" s="109"/>
      <c r="AC1308" s="109"/>
      <c r="AD1308" s="109"/>
      <c r="AE1308" s="109"/>
      <c r="AF1308" s="109"/>
      <c r="AG1308" s="109"/>
      <c r="AH1308" s="109"/>
      <c r="AI1308" s="109"/>
      <c r="AJ1308" s="115"/>
      <c r="AK1308" s="80"/>
      <c r="AL1308" s="80"/>
      <c r="AM1308" s="80"/>
      <c r="AN1308" s="80"/>
      <c r="AO1308" s="80"/>
      <c r="AP1308" s="80"/>
      <c r="AQ1308" s="80"/>
      <c r="AR1308" s="73"/>
      <c r="AS1308" s="73"/>
      <c r="AT1308" s="73"/>
      <c r="AU1308" s="73"/>
      <c r="AV1308" s="73"/>
      <c r="AW1308" s="73"/>
      <c r="AX1308" s="73"/>
      <c r="AY1308" s="73"/>
      <c r="AZ1308" s="73"/>
      <c r="BA1308" s="73"/>
      <c r="BB1308" s="73"/>
      <c r="BC1308" s="73"/>
      <c r="BD1308" s="73"/>
      <c r="BE1308" s="73"/>
      <c r="BF1308" s="73"/>
      <c r="BG1308" s="73"/>
      <c r="BH1308" s="73"/>
      <c r="BI1308" s="73"/>
      <c r="BJ1308" s="73"/>
      <c r="BK1308" s="73"/>
      <c r="BL1308" s="73"/>
      <c r="BM1308" s="73"/>
      <c r="BN1308" s="73"/>
      <c r="BO1308" s="73"/>
      <c r="BP1308" s="73"/>
      <c r="BQ1308" s="73"/>
      <c r="BR1308" s="73"/>
      <c r="BS1308" s="73"/>
      <c r="BT1308" s="73"/>
      <c r="BU1308" s="73"/>
      <c r="BV1308" s="73"/>
      <c r="BW1308" s="73"/>
      <c r="BX1308" s="73"/>
      <c r="BY1308" s="73"/>
      <c r="BZ1308" s="73"/>
      <c r="CA1308" s="73"/>
      <c r="CB1308" s="73"/>
      <c r="CC1308" s="73"/>
      <c r="CD1308" s="73"/>
      <c r="CE1308" s="73"/>
      <c r="CF1308" s="73"/>
      <c r="CG1308" s="73"/>
      <c r="CH1308" s="73"/>
    </row>
    <row r="1309">
      <c r="A1309" s="80"/>
      <c r="B1309" s="80"/>
      <c r="C1309" s="80"/>
      <c r="D1309" s="80"/>
      <c r="E1309" s="124"/>
      <c r="F1309" s="80"/>
      <c r="G1309" s="80"/>
      <c r="H1309" s="80"/>
      <c r="I1309" s="80"/>
      <c r="J1309" s="109"/>
      <c r="K1309" s="109"/>
      <c r="L1309" s="109"/>
      <c r="M1309" s="109"/>
      <c r="N1309" s="109"/>
      <c r="O1309" s="109"/>
      <c r="P1309" s="109"/>
      <c r="Q1309" s="109"/>
      <c r="R1309" s="109"/>
      <c r="S1309" s="109"/>
      <c r="T1309" s="109"/>
      <c r="U1309" s="109"/>
      <c r="V1309" s="109"/>
      <c r="W1309" s="109"/>
      <c r="X1309" s="109"/>
      <c r="Y1309" s="109"/>
      <c r="Z1309" s="109"/>
      <c r="AA1309" s="109"/>
      <c r="AB1309" s="109"/>
      <c r="AC1309" s="109"/>
      <c r="AD1309" s="109"/>
      <c r="AE1309" s="109"/>
      <c r="AF1309" s="109"/>
      <c r="AG1309" s="109"/>
      <c r="AH1309" s="109"/>
      <c r="AI1309" s="109"/>
      <c r="AJ1309" s="115"/>
      <c r="AK1309" s="80"/>
      <c r="AL1309" s="80"/>
      <c r="AM1309" s="80"/>
      <c r="AN1309" s="80"/>
      <c r="AO1309" s="80"/>
      <c r="AP1309" s="80"/>
      <c r="AQ1309" s="80"/>
      <c r="AR1309" s="73"/>
      <c r="AS1309" s="73"/>
      <c r="AT1309" s="73"/>
      <c r="AU1309" s="73"/>
      <c r="AV1309" s="73"/>
      <c r="AW1309" s="73"/>
      <c r="AX1309" s="73"/>
      <c r="AY1309" s="73"/>
      <c r="AZ1309" s="73"/>
      <c r="BA1309" s="73"/>
      <c r="BB1309" s="73"/>
      <c r="BC1309" s="73"/>
      <c r="BD1309" s="73"/>
      <c r="BE1309" s="73"/>
      <c r="BF1309" s="73"/>
      <c r="BG1309" s="73"/>
      <c r="BH1309" s="73"/>
      <c r="BI1309" s="73"/>
      <c r="BJ1309" s="73"/>
      <c r="BK1309" s="73"/>
      <c r="BL1309" s="73"/>
      <c r="BM1309" s="73"/>
      <c r="BN1309" s="73"/>
      <c r="BO1309" s="73"/>
      <c r="BP1309" s="73"/>
      <c r="BQ1309" s="73"/>
      <c r="BR1309" s="73"/>
      <c r="BS1309" s="73"/>
      <c r="BT1309" s="73"/>
      <c r="BU1309" s="73"/>
      <c r="BV1309" s="73"/>
      <c r="BW1309" s="73"/>
      <c r="BX1309" s="73"/>
      <c r="BY1309" s="73"/>
      <c r="BZ1309" s="73"/>
      <c r="CA1309" s="73"/>
      <c r="CB1309" s="73"/>
      <c r="CC1309" s="73"/>
      <c r="CD1309" s="73"/>
      <c r="CE1309" s="73"/>
      <c r="CF1309" s="73"/>
      <c r="CG1309" s="73"/>
      <c r="CH1309" s="73"/>
    </row>
    <row r="1310">
      <c r="A1310" s="80"/>
      <c r="B1310" s="80"/>
      <c r="C1310" s="80"/>
      <c r="D1310" s="80"/>
      <c r="E1310" s="124"/>
      <c r="F1310" s="80"/>
      <c r="G1310" s="80"/>
      <c r="H1310" s="80"/>
      <c r="I1310" s="80"/>
      <c r="J1310" s="109"/>
      <c r="K1310" s="109"/>
      <c r="L1310" s="109"/>
      <c r="M1310" s="109"/>
      <c r="N1310" s="109"/>
      <c r="O1310" s="109"/>
      <c r="P1310" s="109"/>
      <c r="Q1310" s="109"/>
      <c r="R1310" s="109"/>
      <c r="S1310" s="109"/>
      <c r="T1310" s="109"/>
      <c r="U1310" s="109"/>
      <c r="V1310" s="109"/>
      <c r="W1310" s="109"/>
      <c r="X1310" s="109"/>
      <c r="Y1310" s="109"/>
      <c r="Z1310" s="109"/>
      <c r="AA1310" s="109"/>
      <c r="AB1310" s="109"/>
      <c r="AC1310" s="109"/>
      <c r="AD1310" s="109"/>
      <c r="AE1310" s="109"/>
      <c r="AF1310" s="109"/>
      <c r="AG1310" s="109"/>
      <c r="AH1310" s="109"/>
      <c r="AI1310" s="109"/>
      <c r="AJ1310" s="115"/>
      <c r="AK1310" s="80"/>
      <c r="AL1310" s="80"/>
      <c r="AM1310" s="80"/>
      <c r="AN1310" s="80"/>
      <c r="AO1310" s="80"/>
      <c r="AP1310" s="80"/>
      <c r="AQ1310" s="80"/>
      <c r="AR1310" s="73"/>
      <c r="AS1310" s="73"/>
      <c r="AT1310" s="73"/>
      <c r="AU1310" s="73"/>
      <c r="AV1310" s="73"/>
      <c r="AW1310" s="73"/>
      <c r="AX1310" s="73"/>
      <c r="AY1310" s="73"/>
      <c r="AZ1310" s="73"/>
      <c r="BA1310" s="73"/>
      <c r="BB1310" s="73"/>
      <c r="BC1310" s="73"/>
      <c r="BD1310" s="73"/>
      <c r="BE1310" s="73"/>
      <c r="BF1310" s="73"/>
      <c r="BG1310" s="73"/>
      <c r="BH1310" s="73"/>
      <c r="BI1310" s="73"/>
      <c r="BJ1310" s="73"/>
      <c r="BK1310" s="73"/>
      <c r="BL1310" s="73"/>
      <c r="BM1310" s="73"/>
      <c r="BN1310" s="73"/>
      <c r="BO1310" s="73"/>
      <c r="BP1310" s="73"/>
      <c r="BQ1310" s="73"/>
      <c r="BR1310" s="73"/>
      <c r="BS1310" s="73"/>
      <c r="BT1310" s="73"/>
      <c r="BU1310" s="73"/>
      <c r="BV1310" s="73"/>
      <c r="BW1310" s="73"/>
      <c r="BX1310" s="73"/>
      <c r="BY1310" s="73"/>
      <c r="BZ1310" s="73"/>
      <c r="CA1310" s="73"/>
      <c r="CB1310" s="73"/>
      <c r="CC1310" s="73"/>
      <c r="CD1310" s="73"/>
      <c r="CE1310" s="73"/>
      <c r="CF1310" s="73"/>
      <c r="CG1310" s="73"/>
      <c r="CH1310" s="73"/>
    </row>
    <row r="1311">
      <c r="A1311" s="80"/>
      <c r="B1311" s="80"/>
      <c r="C1311" s="80"/>
      <c r="D1311" s="80"/>
      <c r="E1311" s="124"/>
      <c r="F1311" s="80"/>
      <c r="G1311" s="80"/>
      <c r="H1311" s="80"/>
      <c r="I1311" s="80"/>
      <c r="J1311" s="109"/>
      <c r="K1311" s="109"/>
      <c r="L1311" s="109"/>
      <c r="M1311" s="109"/>
      <c r="N1311" s="109"/>
      <c r="O1311" s="109"/>
      <c r="P1311" s="109"/>
      <c r="Q1311" s="109"/>
      <c r="R1311" s="109"/>
      <c r="S1311" s="109"/>
      <c r="T1311" s="109"/>
      <c r="U1311" s="109"/>
      <c r="V1311" s="109"/>
      <c r="W1311" s="109"/>
      <c r="X1311" s="109"/>
      <c r="Y1311" s="109"/>
      <c r="Z1311" s="109"/>
      <c r="AA1311" s="109"/>
      <c r="AB1311" s="109"/>
      <c r="AC1311" s="109"/>
      <c r="AD1311" s="109"/>
      <c r="AE1311" s="109"/>
      <c r="AF1311" s="109"/>
      <c r="AG1311" s="109"/>
      <c r="AH1311" s="109"/>
      <c r="AI1311" s="109"/>
      <c r="AJ1311" s="115"/>
      <c r="AK1311" s="80"/>
      <c r="AL1311" s="80"/>
      <c r="AM1311" s="80"/>
      <c r="AN1311" s="80"/>
      <c r="AO1311" s="80"/>
      <c r="AP1311" s="80"/>
      <c r="AQ1311" s="80"/>
      <c r="AR1311" s="73"/>
      <c r="AS1311" s="73"/>
      <c r="AT1311" s="73"/>
      <c r="AU1311" s="73"/>
      <c r="AV1311" s="73"/>
      <c r="AW1311" s="73"/>
      <c r="AX1311" s="73"/>
      <c r="AY1311" s="73"/>
      <c r="AZ1311" s="73"/>
      <c r="BA1311" s="73"/>
      <c r="BB1311" s="73"/>
      <c r="BC1311" s="73"/>
      <c r="BD1311" s="73"/>
      <c r="BE1311" s="73"/>
      <c r="BF1311" s="73"/>
      <c r="BG1311" s="73"/>
      <c r="BH1311" s="73"/>
      <c r="BI1311" s="73"/>
      <c r="BJ1311" s="73"/>
      <c r="BK1311" s="73"/>
      <c r="BL1311" s="73"/>
      <c r="BM1311" s="73"/>
      <c r="BN1311" s="73"/>
      <c r="BO1311" s="73"/>
      <c r="BP1311" s="73"/>
      <c r="BQ1311" s="73"/>
      <c r="BR1311" s="73"/>
      <c r="BS1311" s="73"/>
      <c r="BT1311" s="73"/>
      <c r="BU1311" s="73"/>
      <c r="BV1311" s="73"/>
      <c r="BW1311" s="73"/>
      <c r="BX1311" s="73"/>
      <c r="BY1311" s="73"/>
      <c r="BZ1311" s="73"/>
      <c r="CA1311" s="73"/>
      <c r="CB1311" s="73"/>
      <c r="CC1311" s="73"/>
      <c r="CD1311" s="73"/>
      <c r="CE1311" s="73"/>
      <c r="CF1311" s="73"/>
      <c r="CG1311" s="73"/>
      <c r="CH1311" s="73"/>
    </row>
    <row r="1312">
      <c r="A1312" s="80"/>
      <c r="B1312" s="80"/>
      <c r="C1312" s="80"/>
      <c r="D1312" s="80"/>
      <c r="E1312" s="124"/>
      <c r="F1312" s="80"/>
      <c r="G1312" s="80"/>
      <c r="H1312" s="80"/>
      <c r="I1312" s="80"/>
      <c r="J1312" s="109"/>
      <c r="K1312" s="109"/>
      <c r="L1312" s="109"/>
      <c r="M1312" s="109"/>
      <c r="N1312" s="109"/>
      <c r="O1312" s="109"/>
      <c r="P1312" s="109"/>
      <c r="Q1312" s="109"/>
      <c r="R1312" s="109"/>
      <c r="S1312" s="109"/>
      <c r="T1312" s="109"/>
      <c r="U1312" s="109"/>
      <c r="V1312" s="109"/>
      <c r="W1312" s="109"/>
      <c r="X1312" s="109"/>
      <c r="Y1312" s="109"/>
      <c r="Z1312" s="109"/>
      <c r="AA1312" s="109"/>
      <c r="AB1312" s="109"/>
      <c r="AC1312" s="109"/>
      <c r="AD1312" s="109"/>
      <c r="AE1312" s="109"/>
      <c r="AF1312" s="109"/>
      <c r="AG1312" s="109"/>
      <c r="AH1312" s="109"/>
      <c r="AI1312" s="109"/>
      <c r="AJ1312" s="115"/>
      <c r="AK1312" s="80"/>
      <c r="AL1312" s="80"/>
      <c r="AM1312" s="80"/>
      <c r="AN1312" s="80"/>
      <c r="AO1312" s="80"/>
      <c r="AP1312" s="80"/>
      <c r="AQ1312" s="80"/>
      <c r="AR1312" s="73"/>
      <c r="AS1312" s="73"/>
      <c r="AT1312" s="73"/>
      <c r="AU1312" s="73"/>
      <c r="AV1312" s="73"/>
      <c r="AW1312" s="73"/>
      <c r="AX1312" s="73"/>
      <c r="AY1312" s="73"/>
      <c r="AZ1312" s="73"/>
      <c r="BA1312" s="73"/>
      <c r="BB1312" s="73"/>
      <c r="BC1312" s="73"/>
      <c r="BD1312" s="73"/>
      <c r="BE1312" s="73"/>
      <c r="BF1312" s="73"/>
      <c r="BG1312" s="73"/>
      <c r="BH1312" s="73"/>
      <c r="BI1312" s="73"/>
      <c r="BJ1312" s="73"/>
      <c r="BK1312" s="73"/>
      <c r="BL1312" s="73"/>
      <c r="BM1312" s="73"/>
      <c r="BN1312" s="73"/>
      <c r="BO1312" s="73"/>
      <c r="BP1312" s="73"/>
      <c r="BQ1312" s="73"/>
      <c r="BR1312" s="73"/>
      <c r="BS1312" s="73"/>
      <c r="BT1312" s="73"/>
      <c r="BU1312" s="73"/>
      <c r="BV1312" s="73"/>
      <c r="BW1312" s="73"/>
      <c r="BX1312" s="73"/>
      <c r="BY1312" s="73"/>
      <c r="BZ1312" s="73"/>
      <c r="CA1312" s="73"/>
      <c r="CB1312" s="73"/>
      <c r="CC1312" s="73"/>
      <c r="CD1312" s="73"/>
      <c r="CE1312" s="73"/>
      <c r="CF1312" s="73"/>
      <c r="CG1312" s="73"/>
      <c r="CH1312" s="73"/>
    </row>
    <row r="1313">
      <c r="A1313" s="80"/>
      <c r="B1313" s="80"/>
      <c r="C1313" s="80"/>
      <c r="D1313" s="80"/>
      <c r="E1313" s="124"/>
      <c r="F1313" s="80"/>
      <c r="G1313" s="80"/>
      <c r="H1313" s="80"/>
      <c r="I1313" s="80"/>
      <c r="J1313" s="109"/>
      <c r="K1313" s="109"/>
      <c r="L1313" s="109"/>
      <c r="M1313" s="109"/>
      <c r="N1313" s="109"/>
      <c r="O1313" s="109"/>
      <c r="P1313" s="109"/>
      <c r="Q1313" s="109"/>
      <c r="R1313" s="109"/>
      <c r="S1313" s="109"/>
      <c r="T1313" s="109"/>
      <c r="U1313" s="109"/>
      <c r="V1313" s="109"/>
      <c r="W1313" s="109"/>
      <c r="X1313" s="109"/>
      <c r="Y1313" s="109"/>
      <c r="Z1313" s="109"/>
      <c r="AA1313" s="109"/>
      <c r="AB1313" s="109"/>
      <c r="AC1313" s="109"/>
      <c r="AD1313" s="109"/>
      <c r="AE1313" s="109"/>
      <c r="AF1313" s="109"/>
      <c r="AG1313" s="109"/>
      <c r="AH1313" s="109"/>
      <c r="AI1313" s="109"/>
      <c r="AJ1313" s="115"/>
      <c r="AK1313" s="80"/>
      <c r="AL1313" s="80"/>
      <c r="AM1313" s="80"/>
      <c r="AN1313" s="80"/>
      <c r="AO1313" s="80"/>
      <c r="AP1313" s="80"/>
      <c r="AQ1313" s="80"/>
      <c r="AR1313" s="73"/>
      <c r="AS1313" s="73"/>
      <c r="AT1313" s="73"/>
      <c r="AU1313" s="73"/>
      <c r="AV1313" s="73"/>
      <c r="AW1313" s="73"/>
      <c r="AX1313" s="73"/>
      <c r="AY1313" s="73"/>
      <c r="AZ1313" s="73"/>
      <c r="BA1313" s="73"/>
      <c r="BB1313" s="73"/>
      <c r="BC1313" s="73"/>
      <c r="BD1313" s="73"/>
      <c r="BE1313" s="73"/>
      <c r="BF1313" s="73"/>
      <c r="BG1313" s="73"/>
      <c r="BH1313" s="73"/>
      <c r="BI1313" s="73"/>
      <c r="BJ1313" s="73"/>
      <c r="BK1313" s="73"/>
      <c r="BL1313" s="73"/>
      <c r="BM1313" s="73"/>
      <c r="BN1313" s="73"/>
      <c r="BO1313" s="73"/>
      <c r="BP1313" s="73"/>
      <c r="BQ1313" s="73"/>
      <c r="BR1313" s="73"/>
      <c r="BS1313" s="73"/>
      <c r="BT1313" s="73"/>
      <c r="BU1313" s="73"/>
      <c r="BV1313" s="73"/>
      <c r="BW1313" s="73"/>
      <c r="BX1313" s="73"/>
      <c r="BY1313" s="73"/>
      <c r="BZ1313" s="73"/>
      <c r="CA1313" s="73"/>
      <c r="CB1313" s="73"/>
      <c r="CC1313" s="73"/>
      <c r="CD1313" s="73"/>
      <c r="CE1313" s="73"/>
      <c r="CF1313" s="73"/>
      <c r="CG1313" s="73"/>
      <c r="CH1313" s="73"/>
    </row>
    <row r="1314">
      <c r="A1314" s="80"/>
      <c r="B1314" s="80"/>
      <c r="C1314" s="80"/>
      <c r="D1314" s="80"/>
      <c r="E1314" s="124"/>
      <c r="F1314" s="80"/>
      <c r="G1314" s="80"/>
      <c r="H1314" s="80"/>
      <c r="I1314" s="80"/>
      <c r="J1314" s="109"/>
      <c r="K1314" s="109"/>
      <c r="L1314" s="109"/>
      <c r="M1314" s="109"/>
      <c r="N1314" s="109"/>
      <c r="O1314" s="109"/>
      <c r="P1314" s="109"/>
      <c r="Q1314" s="109"/>
      <c r="R1314" s="109"/>
      <c r="S1314" s="109"/>
      <c r="T1314" s="109"/>
      <c r="U1314" s="109"/>
      <c r="V1314" s="109"/>
      <c r="W1314" s="109"/>
      <c r="X1314" s="109"/>
      <c r="Y1314" s="109"/>
      <c r="Z1314" s="109"/>
      <c r="AA1314" s="109"/>
      <c r="AB1314" s="109"/>
      <c r="AC1314" s="109"/>
      <c r="AD1314" s="109"/>
      <c r="AE1314" s="109"/>
      <c r="AF1314" s="109"/>
      <c r="AG1314" s="109"/>
      <c r="AH1314" s="109"/>
      <c r="AI1314" s="109"/>
      <c r="AJ1314" s="115"/>
      <c r="AK1314" s="80"/>
      <c r="AL1314" s="80"/>
      <c r="AM1314" s="80"/>
      <c r="AN1314" s="80"/>
      <c r="AO1314" s="80"/>
      <c r="AP1314" s="80"/>
      <c r="AQ1314" s="80"/>
      <c r="AR1314" s="73"/>
      <c r="AS1314" s="73"/>
      <c r="AT1314" s="73"/>
      <c r="AU1314" s="73"/>
      <c r="AV1314" s="73"/>
      <c r="AW1314" s="73"/>
      <c r="AX1314" s="73"/>
      <c r="AY1314" s="73"/>
      <c r="AZ1314" s="73"/>
      <c r="BA1314" s="73"/>
      <c r="BB1314" s="73"/>
      <c r="BC1314" s="73"/>
      <c r="BD1314" s="73"/>
      <c r="BE1314" s="73"/>
      <c r="BF1314" s="73"/>
      <c r="BG1314" s="73"/>
      <c r="BH1314" s="73"/>
      <c r="BI1314" s="73"/>
      <c r="BJ1314" s="73"/>
      <c r="BK1314" s="73"/>
      <c r="BL1314" s="73"/>
      <c r="BM1314" s="73"/>
      <c r="BN1314" s="73"/>
      <c r="BO1314" s="73"/>
      <c r="BP1314" s="73"/>
      <c r="BQ1314" s="73"/>
      <c r="BR1314" s="73"/>
      <c r="BS1314" s="73"/>
      <c r="BT1314" s="73"/>
      <c r="BU1314" s="73"/>
      <c r="BV1314" s="73"/>
      <c r="BW1314" s="73"/>
      <c r="BX1314" s="73"/>
      <c r="BY1314" s="73"/>
      <c r="BZ1314" s="73"/>
      <c r="CA1314" s="73"/>
      <c r="CB1314" s="73"/>
      <c r="CC1314" s="73"/>
      <c r="CD1314" s="73"/>
      <c r="CE1314" s="73"/>
      <c r="CF1314" s="73"/>
      <c r="CG1314" s="73"/>
      <c r="CH1314" s="73"/>
    </row>
    <row r="1315">
      <c r="A1315" s="80"/>
      <c r="B1315" s="80"/>
      <c r="C1315" s="80"/>
      <c r="D1315" s="80"/>
      <c r="E1315" s="124"/>
      <c r="F1315" s="80"/>
      <c r="G1315" s="80"/>
      <c r="H1315" s="80"/>
      <c r="I1315" s="80"/>
      <c r="J1315" s="109"/>
      <c r="K1315" s="109"/>
      <c r="L1315" s="109"/>
      <c r="M1315" s="109"/>
      <c r="N1315" s="109"/>
      <c r="O1315" s="109"/>
      <c r="P1315" s="109"/>
      <c r="Q1315" s="109"/>
      <c r="R1315" s="109"/>
      <c r="S1315" s="109"/>
      <c r="T1315" s="109"/>
      <c r="U1315" s="109"/>
      <c r="V1315" s="109"/>
      <c r="W1315" s="109"/>
      <c r="X1315" s="109"/>
      <c r="Y1315" s="109"/>
      <c r="Z1315" s="109"/>
      <c r="AA1315" s="109"/>
      <c r="AB1315" s="109"/>
      <c r="AC1315" s="109"/>
      <c r="AD1315" s="109"/>
      <c r="AE1315" s="109"/>
      <c r="AF1315" s="109"/>
      <c r="AG1315" s="109"/>
      <c r="AH1315" s="109"/>
      <c r="AI1315" s="109"/>
      <c r="AJ1315" s="115"/>
      <c r="AK1315" s="80"/>
      <c r="AL1315" s="80"/>
      <c r="AM1315" s="80"/>
      <c r="AN1315" s="80"/>
      <c r="AO1315" s="80"/>
      <c r="AP1315" s="80"/>
      <c r="AQ1315" s="80"/>
      <c r="AR1315" s="73"/>
      <c r="AS1315" s="73"/>
      <c r="AT1315" s="73"/>
      <c r="AU1315" s="73"/>
      <c r="AV1315" s="73"/>
      <c r="AW1315" s="73"/>
      <c r="AX1315" s="73"/>
      <c r="AY1315" s="73"/>
      <c r="AZ1315" s="73"/>
      <c r="BA1315" s="73"/>
      <c r="BB1315" s="73"/>
      <c r="BC1315" s="73"/>
      <c r="BD1315" s="73"/>
      <c r="BE1315" s="73"/>
      <c r="BF1315" s="73"/>
      <c r="BG1315" s="73"/>
      <c r="BH1315" s="73"/>
      <c r="BI1315" s="73"/>
      <c r="BJ1315" s="73"/>
      <c r="BK1315" s="73"/>
      <c r="BL1315" s="73"/>
      <c r="BM1315" s="73"/>
      <c r="BN1315" s="73"/>
      <c r="BO1315" s="73"/>
      <c r="BP1315" s="73"/>
      <c r="BQ1315" s="73"/>
      <c r="BR1315" s="73"/>
      <c r="BS1315" s="73"/>
      <c r="BT1315" s="73"/>
      <c r="BU1315" s="73"/>
      <c r="BV1315" s="73"/>
      <c r="BW1315" s="73"/>
      <c r="BX1315" s="73"/>
      <c r="BY1315" s="73"/>
      <c r="BZ1315" s="73"/>
      <c r="CA1315" s="73"/>
      <c r="CB1315" s="73"/>
      <c r="CC1315" s="73"/>
      <c r="CD1315" s="73"/>
      <c r="CE1315" s="73"/>
      <c r="CF1315" s="73"/>
      <c r="CG1315" s="73"/>
      <c r="CH1315" s="73"/>
    </row>
    <row r="1316">
      <c r="A1316" s="80"/>
      <c r="B1316" s="80"/>
      <c r="C1316" s="80"/>
      <c r="D1316" s="80"/>
      <c r="E1316" s="124"/>
      <c r="F1316" s="80"/>
      <c r="G1316" s="80"/>
      <c r="H1316" s="80"/>
      <c r="I1316" s="80"/>
      <c r="J1316" s="109"/>
      <c r="K1316" s="109"/>
      <c r="L1316" s="109"/>
      <c r="M1316" s="109"/>
      <c r="N1316" s="109"/>
      <c r="O1316" s="109"/>
      <c r="P1316" s="109"/>
      <c r="Q1316" s="109"/>
      <c r="R1316" s="109"/>
      <c r="S1316" s="109"/>
      <c r="T1316" s="109"/>
      <c r="U1316" s="109"/>
      <c r="V1316" s="109"/>
      <c r="W1316" s="109"/>
      <c r="X1316" s="109"/>
      <c r="Y1316" s="109"/>
      <c r="Z1316" s="109"/>
      <c r="AA1316" s="109"/>
      <c r="AB1316" s="109"/>
      <c r="AC1316" s="109"/>
      <c r="AD1316" s="109"/>
      <c r="AE1316" s="109"/>
      <c r="AF1316" s="109"/>
      <c r="AG1316" s="109"/>
      <c r="AH1316" s="109"/>
      <c r="AI1316" s="109"/>
      <c r="AJ1316" s="115"/>
      <c r="AK1316" s="80"/>
      <c r="AL1316" s="80"/>
      <c r="AM1316" s="80"/>
      <c r="AN1316" s="80"/>
      <c r="AO1316" s="80"/>
      <c r="AP1316" s="80"/>
      <c r="AQ1316" s="80"/>
      <c r="AR1316" s="73"/>
      <c r="AS1316" s="73"/>
      <c r="AT1316" s="73"/>
      <c r="AU1316" s="73"/>
      <c r="AV1316" s="73"/>
      <c r="AW1316" s="73"/>
      <c r="AX1316" s="73"/>
      <c r="AY1316" s="73"/>
      <c r="AZ1316" s="73"/>
      <c r="BA1316" s="73"/>
      <c r="BB1316" s="73"/>
      <c r="BC1316" s="73"/>
      <c r="BD1316" s="73"/>
      <c r="BE1316" s="73"/>
      <c r="BF1316" s="73"/>
      <c r="BG1316" s="73"/>
      <c r="BH1316" s="73"/>
      <c r="BI1316" s="73"/>
      <c r="BJ1316" s="73"/>
      <c r="BK1316" s="73"/>
      <c r="BL1316" s="73"/>
      <c r="BM1316" s="73"/>
      <c r="BN1316" s="73"/>
      <c r="BO1316" s="73"/>
      <c r="BP1316" s="73"/>
      <c r="BQ1316" s="73"/>
      <c r="BR1316" s="73"/>
      <c r="BS1316" s="73"/>
      <c r="BT1316" s="73"/>
      <c r="BU1316" s="73"/>
      <c r="BV1316" s="73"/>
      <c r="BW1316" s="73"/>
      <c r="BX1316" s="73"/>
      <c r="BY1316" s="73"/>
      <c r="BZ1316" s="73"/>
      <c r="CA1316" s="73"/>
      <c r="CB1316" s="73"/>
      <c r="CC1316" s="73"/>
      <c r="CD1316" s="73"/>
      <c r="CE1316" s="73"/>
      <c r="CF1316" s="73"/>
      <c r="CG1316" s="73"/>
      <c r="CH1316" s="73"/>
    </row>
    <row r="1317">
      <c r="A1317" s="80"/>
      <c r="B1317" s="80"/>
      <c r="C1317" s="80"/>
      <c r="D1317" s="80"/>
      <c r="E1317" s="124"/>
      <c r="F1317" s="80"/>
      <c r="G1317" s="80"/>
      <c r="H1317" s="80"/>
      <c r="I1317" s="80"/>
      <c r="J1317" s="109"/>
      <c r="K1317" s="109"/>
      <c r="L1317" s="109"/>
      <c r="M1317" s="109"/>
      <c r="N1317" s="109"/>
      <c r="O1317" s="109"/>
      <c r="P1317" s="109"/>
      <c r="Q1317" s="109"/>
      <c r="R1317" s="109"/>
      <c r="S1317" s="109"/>
      <c r="T1317" s="109"/>
      <c r="U1317" s="109"/>
      <c r="V1317" s="109"/>
      <c r="W1317" s="109"/>
      <c r="X1317" s="109"/>
      <c r="Y1317" s="109"/>
      <c r="Z1317" s="109"/>
      <c r="AA1317" s="109"/>
      <c r="AB1317" s="109"/>
      <c r="AC1317" s="109"/>
      <c r="AD1317" s="109"/>
      <c r="AE1317" s="109"/>
      <c r="AF1317" s="109"/>
      <c r="AG1317" s="109"/>
      <c r="AH1317" s="109"/>
      <c r="AI1317" s="109"/>
      <c r="AJ1317" s="115"/>
      <c r="AK1317" s="80"/>
      <c r="AL1317" s="80"/>
      <c r="AM1317" s="80"/>
      <c r="AN1317" s="80"/>
      <c r="AO1317" s="80"/>
      <c r="AP1317" s="80"/>
      <c r="AQ1317" s="80"/>
      <c r="AR1317" s="73"/>
      <c r="AS1317" s="73"/>
      <c r="AT1317" s="73"/>
      <c r="AU1317" s="73"/>
      <c r="AV1317" s="73"/>
      <c r="AW1317" s="73"/>
      <c r="AX1317" s="73"/>
      <c r="AY1317" s="73"/>
      <c r="AZ1317" s="73"/>
      <c r="BA1317" s="73"/>
      <c r="BB1317" s="73"/>
      <c r="BC1317" s="73"/>
      <c r="BD1317" s="73"/>
      <c r="BE1317" s="73"/>
      <c r="BF1317" s="73"/>
      <c r="BG1317" s="73"/>
      <c r="BH1317" s="73"/>
      <c r="BI1317" s="73"/>
      <c r="BJ1317" s="73"/>
      <c r="BK1317" s="73"/>
      <c r="BL1317" s="73"/>
      <c r="BM1317" s="73"/>
      <c r="BN1317" s="73"/>
      <c r="BO1317" s="73"/>
      <c r="BP1317" s="73"/>
      <c r="BQ1317" s="73"/>
      <c r="BR1317" s="73"/>
      <c r="BS1317" s="73"/>
      <c r="BT1317" s="73"/>
      <c r="BU1317" s="73"/>
      <c r="BV1317" s="73"/>
      <c r="BW1317" s="73"/>
      <c r="BX1317" s="73"/>
      <c r="BY1317" s="73"/>
      <c r="BZ1317" s="73"/>
      <c r="CA1317" s="73"/>
      <c r="CB1317" s="73"/>
      <c r="CC1317" s="73"/>
      <c r="CD1317" s="73"/>
      <c r="CE1317" s="73"/>
      <c r="CF1317" s="73"/>
      <c r="CG1317" s="73"/>
      <c r="CH1317" s="73"/>
    </row>
    <row r="1318">
      <c r="A1318" s="80"/>
      <c r="B1318" s="80"/>
      <c r="C1318" s="80"/>
      <c r="D1318" s="80"/>
      <c r="E1318" s="124"/>
      <c r="F1318" s="80"/>
      <c r="G1318" s="80"/>
      <c r="H1318" s="80"/>
      <c r="I1318" s="80"/>
      <c r="J1318" s="109"/>
      <c r="K1318" s="109"/>
      <c r="L1318" s="109"/>
      <c r="M1318" s="109"/>
      <c r="N1318" s="109"/>
      <c r="O1318" s="109"/>
      <c r="P1318" s="109"/>
      <c r="Q1318" s="109"/>
      <c r="R1318" s="109"/>
      <c r="S1318" s="109"/>
      <c r="T1318" s="109"/>
      <c r="U1318" s="109"/>
      <c r="V1318" s="109"/>
      <c r="W1318" s="109"/>
      <c r="X1318" s="109"/>
      <c r="Y1318" s="109"/>
      <c r="Z1318" s="109"/>
      <c r="AA1318" s="109"/>
      <c r="AB1318" s="109"/>
      <c r="AC1318" s="109"/>
      <c r="AD1318" s="109"/>
      <c r="AE1318" s="109"/>
      <c r="AF1318" s="109"/>
      <c r="AG1318" s="109"/>
      <c r="AH1318" s="109"/>
      <c r="AI1318" s="109"/>
      <c r="AJ1318" s="115"/>
      <c r="AK1318" s="80"/>
      <c r="AL1318" s="80"/>
      <c r="AM1318" s="80"/>
      <c r="AN1318" s="80"/>
      <c r="AO1318" s="80"/>
      <c r="AP1318" s="80"/>
      <c r="AQ1318" s="80"/>
      <c r="AR1318" s="73"/>
      <c r="AS1318" s="73"/>
      <c r="AT1318" s="73"/>
      <c r="AU1318" s="73"/>
      <c r="AV1318" s="73"/>
      <c r="AW1318" s="73"/>
      <c r="AX1318" s="73"/>
      <c r="AY1318" s="73"/>
      <c r="AZ1318" s="73"/>
      <c r="BA1318" s="73"/>
      <c r="BB1318" s="73"/>
      <c r="BC1318" s="73"/>
      <c r="BD1318" s="73"/>
      <c r="BE1318" s="73"/>
      <c r="BF1318" s="73"/>
      <c r="BG1318" s="73"/>
      <c r="BH1318" s="73"/>
      <c r="BI1318" s="73"/>
      <c r="BJ1318" s="73"/>
      <c r="BK1318" s="73"/>
      <c r="BL1318" s="73"/>
      <c r="BM1318" s="73"/>
      <c r="BN1318" s="73"/>
      <c r="BO1318" s="73"/>
      <c r="BP1318" s="73"/>
      <c r="BQ1318" s="73"/>
      <c r="BR1318" s="73"/>
      <c r="BS1318" s="73"/>
      <c r="BT1318" s="73"/>
      <c r="BU1318" s="73"/>
      <c r="BV1318" s="73"/>
      <c r="BW1318" s="73"/>
      <c r="BX1318" s="73"/>
      <c r="BY1318" s="73"/>
      <c r="BZ1318" s="73"/>
      <c r="CA1318" s="73"/>
      <c r="CB1318" s="73"/>
      <c r="CC1318" s="73"/>
      <c r="CD1318" s="73"/>
      <c r="CE1318" s="73"/>
      <c r="CF1318" s="73"/>
      <c r="CG1318" s="73"/>
      <c r="CH1318" s="73"/>
    </row>
    <row r="1319">
      <c r="A1319" s="80"/>
      <c r="B1319" s="80"/>
      <c r="C1319" s="80"/>
      <c r="D1319" s="80"/>
      <c r="E1319" s="124"/>
      <c r="F1319" s="80"/>
      <c r="G1319" s="80"/>
      <c r="H1319" s="80"/>
      <c r="I1319" s="80"/>
      <c r="J1319" s="109"/>
      <c r="K1319" s="109"/>
      <c r="L1319" s="109"/>
      <c r="M1319" s="109"/>
      <c r="N1319" s="109"/>
      <c r="O1319" s="109"/>
      <c r="P1319" s="109"/>
      <c r="Q1319" s="109"/>
      <c r="R1319" s="109"/>
      <c r="S1319" s="109"/>
      <c r="T1319" s="109"/>
      <c r="U1319" s="109"/>
      <c r="V1319" s="109"/>
      <c r="W1319" s="109"/>
      <c r="X1319" s="109"/>
      <c r="Y1319" s="109"/>
      <c r="Z1319" s="109"/>
      <c r="AA1319" s="109"/>
      <c r="AB1319" s="109"/>
      <c r="AC1319" s="109"/>
      <c r="AD1319" s="109"/>
      <c r="AE1319" s="109"/>
      <c r="AF1319" s="109"/>
      <c r="AG1319" s="109"/>
      <c r="AH1319" s="109"/>
      <c r="AI1319" s="109"/>
      <c r="AJ1319" s="115"/>
      <c r="AK1319" s="80"/>
      <c r="AL1319" s="80"/>
      <c r="AM1319" s="80"/>
      <c r="AN1319" s="80"/>
      <c r="AO1319" s="80"/>
      <c r="AP1319" s="80"/>
      <c r="AQ1319" s="80"/>
      <c r="AR1319" s="73"/>
      <c r="AS1319" s="73"/>
      <c r="AT1319" s="73"/>
      <c r="AU1319" s="73"/>
      <c r="AV1319" s="73"/>
      <c r="AW1319" s="73"/>
      <c r="AX1319" s="73"/>
      <c r="AY1319" s="73"/>
      <c r="AZ1319" s="73"/>
      <c r="BA1319" s="73"/>
      <c r="BB1319" s="73"/>
      <c r="BC1319" s="73"/>
      <c r="BD1319" s="73"/>
      <c r="BE1319" s="73"/>
      <c r="BF1319" s="73"/>
      <c r="BG1319" s="73"/>
      <c r="BH1319" s="73"/>
      <c r="BI1319" s="73"/>
      <c r="BJ1319" s="73"/>
      <c r="BK1319" s="73"/>
      <c r="BL1319" s="73"/>
      <c r="BM1319" s="73"/>
      <c r="BN1319" s="73"/>
      <c r="BO1319" s="73"/>
      <c r="BP1319" s="73"/>
      <c r="BQ1319" s="73"/>
      <c r="BR1319" s="73"/>
      <c r="BS1319" s="73"/>
      <c r="BT1319" s="73"/>
      <c r="BU1319" s="73"/>
      <c r="BV1319" s="73"/>
      <c r="BW1319" s="73"/>
      <c r="BX1319" s="73"/>
      <c r="BY1319" s="73"/>
      <c r="BZ1319" s="73"/>
      <c r="CA1319" s="73"/>
      <c r="CB1319" s="73"/>
      <c r="CC1319" s="73"/>
      <c r="CD1319" s="73"/>
      <c r="CE1319" s="73"/>
      <c r="CF1319" s="73"/>
      <c r="CG1319" s="73"/>
      <c r="CH1319" s="73"/>
    </row>
    <row r="1320">
      <c r="A1320" s="80"/>
      <c r="B1320" s="80"/>
      <c r="C1320" s="80"/>
      <c r="D1320" s="80"/>
      <c r="E1320" s="124"/>
      <c r="F1320" s="80"/>
      <c r="G1320" s="80"/>
      <c r="H1320" s="80"/>
      <c r="I1320" s="80"/>
      <c r="J1320" s="109"/>
      <c r="K1320" s="109"/>
      <c r="L1320" s="109"/>
      <c r="M1320" s="109"/>
      <c r="N1320" s="109"/>
      <c r="O1320" s="109"/>
      <c r="P1320" s="109"/>
      <c r="Q1320" s="109"/>
      <c r="R1320" s="109"/>
      <c r="S1320" s="109"/>
      <c r="T1320" s="109"/>
      <c r="U1320" s="109"/>
      <c r="V1320" s="109"/>
      <c r="W1320" s="109"/>
      <c r="X1320" s="109"/>
      <c r="Y1320" s="109"/>
      <c r="Z1320" s="109"/>
      <c r="AA1320" s="109"/>
      <c r="AB1320" s="109"/>
      <c r="AC1320" s="109"/>
      <c r="AD1320" s="109"/>
      <c r="AE1320" s="109"/>
      <c r="AF1320" s="109"/>
      <c r="AG1320" s="109"/>
      <c r="AH1320" s="109"/>
      <c r="AI1320" s="109"/>
      <c r="AJ1320" s="115"/>
      <c r="AK1320" s="80"/>
      <c r="AL1320" s="80"/>
      <c r="AM1320" s="80"/>
      <c r="AN1320" s="80"/>
      <c r="AO1320" s="80"/>
      <c r="AP1320" s="80"/>
      <c r="AQ1320" s="80"/>
      <c r="AR1320" s="73"/>
      <c r="AS1320" s="73"/>
      <c r="AT1320" s="73"/>
      <c r="AU1320" s="73"/>
      <c r="AV1320" s="73"/>
      <c r="AW1320" s="73"/>
      <c r="AX1320" s="73"/>
      <c r="AY1320" s="73"/>
      <c r="AZ1320" s="73"/>
      <c r="BA1320" s="73"/>
      <c r="BB1320" s="73"/>
      <c r="BC1320" s="73"/>
      <c r="BD1320" s="73"/>
      <c r="BE1320" s="73"/>
      <c r="BF1320" s="73"/>
      <c r="BG1320" s="73"/>
      <c r="BH1320" s="73"/>
      <c r="BI1320" s="73"/>
      <c r="BJ1320" s="73"/>
      <c r="BK1320" s="73"/>
      <c r="BL1320" s="73"/>
      <c r="BM1320" s="73"/>
      <c r="BN1320" s="73"/>
      <c r="BO1320" s="73"/>
      <c r="BP1320" s="73"/>
      <c r="BQ1320" s="73"/>
      <c r="BR1320" s="73"/>
      <c r="BS1320" s="73"/>
      <c r="BT1320" s="73"/>
      <c r="BU1320" s="73"/>
      <c r="BV1320" s="73"/>
      <c r="BW1320" s="73"/>
      <c r="BX1320" s="73"/>
      <c r="BY1320" s="73"/>
      <c r="BZ1320" s="73"/>
      <c r="CA1320" s="73"/>
      <c r="CB1320" s="73"/>
      <c r="CC1320" s="73"/>
      <c r="CD1320" s="73"/>
      <c r="CE1320" s="73"/>
      <c r="CF1320" s="73"/>
      <c r="CG1320" s="73"/>
      <c r="CH1320" s="73"/>
    </row>
    <row r="1321">
      <c r="A1321" s="80"/>
      <c r="B1321" s="80"/>
      <c r="C1321" s="80"/>
      <c r="D1321" s="80"/>
      <c r="E1321" s="124"/>
      <c r="F1321" s="80"/>
      <c r="G1321" s="80"/>
      <c r="H1321" s="80"/>
      <c r="I1321" s="80"/>
      <c r="J1321" s="109"/>
      <c r="K1321" s="109"/>
      <c r="L1321" s="109"/>
      <c r="M1321" s="109"/>
      <c r="N1321" s="109"/>
      <c r="O1321" s="109"/>
      <c r="P1321" s="109"/>
      <c r="Q1321" s="109"/>
      <c r="R1321" s="109"/>
      <c r="S1321" s="109"/>
      <c r="T1321" s="109"/>
      <c r="U1321" s="109"/>
      <c r="V1321" s="109"/>
      <c r="W1321" s="109"/>
      <c r="X1321" s="109"/>
      <c r="Y1321" s="109"/>
      <c r="Z1321" s="109"/>
      <c r="AA1321" s="109"/>
      <c r="AB1321" s="109"/>
      <c r="AC1321" s="109"/>
      <c r="AD1321" s="109"/>
      <c r="AE1321" s="109"/>
      <c r="AF1321" s="109"/>
      <c r="AG1321" s="109"/>
      <c r="AH1321" s="109"/>
      <c r="AI1321" s="109"/>
      <c r="AJ1321" s="115"/>
      <c r="AK1321" s="80"/>
      <c r="AL1321" s="80"/>
      <c r="AM1321" s="80"/>
      <c r="AN1321" s="80"/>
      <c r="AO1321" s="80"/>
      <c r="AP1321" s="80"/>
      <c r="AQ1321" s="80"/>
      <c r="AR1321" s="73"/>
      <c r="AS1321" s="73"/>
      <c r="AT1321" s="73"/>
      <c r="AU1321" s="73"/>
      <c r="AV1321" s="73"/>
      <c r="AW1321" s="73"/>
      <c r="AX1321" s="73"/>
      <c r="AY1321" s="73"/>
      <c r="AZ1321" s="73"/>
      <c r="BA1321" s="73"/>
      <c r="BB1321" s="73"/>
      <c r="BC1321" s="73"/>
      <c r="BD1321" s="73"/>
      <c r="BE1321" s="73"/>
      <c r="BF1321" s="73"/>
      <c r="BG1321" s="73"/>
      <c r="BH1321" s="73"/>
      <c r="BI1321" s="73"/>
      <c r="BJ1321" s="73"/>
      <c r="BK1321" s="73"/>
      <c r="BL1321" s="73"/>
      <c r="BM1321" s="73"/>
      <c r="BN1321" s="73"/>
      <c r="BO1321" s="73"/>
      <c r="BP1321" s="73"/>
      <c r="BQ1321" s="73"/>
      <c r="BR1321" s="73"/>
      <c r="BS1321" s="73"/>
      <c r="BT1321" s="73"/>
      <c r="BU1321" s="73"/>
      <c r="BV1321" s="73"/>
      <c r="BW1321" s="73"/>
      <c r="BX1321" s="73"/>
      <c r="BY1321" s="73"/>
      <c r="BZ1321" s="73"/>
      <c r="CA1321" s="73"/>
      <c r="CB1321" s="73"/>
      <c r="CC1321" s="73"/>
      <c r="CD1321" s="73"/>
      <c r="CE1321" s="73"/>
      <c r="CF1321" s="73"/>
      <c r="CG1321" s="73"/>
      <c r="CH1321" s="73"/>
    </row>
    <row r="1322">
      <c r="A1322" s="80"/>
      <c r="B1322" s="80"/>
      <c r="C1322" s="80"/>
      <c r="D1322" s="80"/>
      <c r="E1322" s="124"/>
      <c r="F1322" s="80"/>
      <c r="G1322" s="80"/>
      <c r="H1322" s="80"/>
      <c r="I1322" s="80"/>
      <c r="J1322" s="109"/>
      <c r="K1322" s="109"/>
      <c r="L1322" s="109"/>
      <c r="M1322" s="109"/>
      <c r="N1322" s="109"/>
      <c r="O1322" s="109"/>
      <c r="P1322" s="109"/>
      <c r="Q1322" s="109"/>
      <c r="R1322" s="109"/>
      <c r="S1322" s="109"/>
      <c r="T1322" s="109"/>
      <c r="U1322" s="109"/>
      <c r="V1322" s="109"/>
      <c r="W1322" s="109"/>
      <c r="X1322" s="109"/>
      <c r="Y1322" s="109"/>
      <c r="Z1322" s="109"/>
      <c r="AA1322" s="109"/>
      <c r="AB1322" s="109"/>
      <c r="AC1322" s="109"/>
      <c r="AD1322" s="109"/>
      <c r="AE1322" s="109"/>
      <c r="AF1322" s="109"/>
      <c r="AG1322" s="109"/>
      <c r="AH1322" s="109"/>
      <c r="AI1322" s="109"/>
      <c r="AJ1322" s="115"/>
      <c r="AK1322" s="80"/>
      <c r="AL1322" s="80"/>
      <c r="AM1322" s="80"/>
      <c r="AN1322" s="80"/>
      <c r="AO1322" s="80"/>
      <c r="AP1322" s="80"/>
      <c r="AQ1322" s="80"/>
      <c r="AR1322" s="73"/>
      <c r="AS1322" s="73"/>
      <c r="AT1322" s="73"/>
      <c r="AU1322" s="73"/>
      <c r="AV1322" s="73"/>
      <c r="AW1322" s="73"/>
      <c r="AX1322" s="73"/>
      <c r="AY1322" s="73"/>
      <c r="AZ1322" s="73"/>
      <c r="BA1322" s="73"/>
      <c r="BB1322" s="73"/>
      <c r="BC1322" s="73"/>
      <c r="BD1322" s="73"/>
      <c r="BE1322" s="73"/>
      <c r="BF1322" s="73"/>
      <c r="BG1322" s="73"/>
      <c r="BH1322" s="73"/>
      <c r="BI1322" s="73"/>
      <c r="BJ1322" s="73"/>
      <c r="BK1322" s="73"/>
      <c r="BL1322" s="73"/>
      <c r="BM1322" s="73"/>
      <c r="BN1322" s="73"/>
      <c r="BO1322" s="73"/>
      <c r="BP1322" s="73"/>
      <c r="BQ1322" s="73"/>
      <c r="BR1322" s="73"/>
      <c r="BS1322" s="73"/>
      <c r="BT1322" s="73"/>
      <c r="BU1322" s="73"/>
      <c r="BV1322" s="73"/>
      <c r="BW1322" s="73"/>
      <c r="BX1322" s="73"/>
      <c r="BY1322" s="73"/>
      <c r="BZ1322" s="73"/>
      <c r="CA1322" s="73"/>
      <c r="CB1322" s="73"/>
      <c r="CC1322" s="73"/>
      <c r="CD1322" s="73"/>
      <c r="CE1322" s="73"/>
      <c r="CF1322" s="73"/>
      <c r="CG1322" s="73"/>
      <c r="CH1322" s="73"/>
    </row>
    <row r="1323">
      <c r="A1323" s="80"/>
      <c r="B1323" s="80"/>
      <c r="C1323" s="80"/>
      <c r="D1323" s="80"/>
      <c r="E1323" s="124"/>
      <c r="F1323" s="80"/>
      <c r="G1323" s="80"/>
      <c r="H1323" s="80"/>
      <c r="I1323" s="80"/>
      <c r="J1323" s="109"/>
      <c r="K1323" s="109"/>
      <c r="L1323" s="109"/>
      <c r="M1323" s="109"/>
      <c r="N1323" s="109"/>
      <c r="O1323" s="109"/>
      <c r="P1323" s="109"/>
      <c r="Q1323" s="109"/>
      <c r="R1323" s="109"/>
      <c r="S1323" s="109"/>
      <c r="T1323" s="109"/>
      <c r="U1323" s="109"/>
      <c r="V1323" s="109"/>
      <c r="W1323" s="109"/>
      <c r="X1323" s="109"/>
      <c r="Y1323" s="109"/>
      <c r="Z1323" s="109"/>
      <c r="AA1323" s="109"/>
      <c r="AB1323" s="109"/>
      <c r="AC1323" s="109"/>
      <c r="AD1323" s="109"/>
      <c r="AE1323" s="109"/>
      <c r="AF1323" s="109"/>
      <c r="AG1323" s="109"/>
      <c r="AH1323" s="109"/>
      <c r="AI1323" s="109"/>
      <c r="AJ1323" s="115"/>
      <c r="AK1323" s="80"/>
      <c r="AL1323" s="80"/>
      <c r="AM1323" s="80"/>
      <c r="AN1323" s="80"/>
      <c r="AO1323" s="80"/>
      <c r="AP1323" s="80"/>
      <c r="AQ1323" s="80"/>
      <c r="AR1323" s="73"/>
      <c r="AS1323" s="73"/>
      <c r="AT1323" s="73"/>
      <c r="AU1323" s="73"/>
      <c r="AV1323" s="73"/>
      <c r="AW1323" s="73"/>
      <c r="AX1323" s="73"/>
      <c r="AY1323" s="73"/>
      <c r="AZ1323" s="73"/>
      <c r="BA1323" s="73"/>
      <c r="BB1323" s="73"/>
      <c r="BC1323" s="73"/>
      <c r="BD1323" s="73"/>
      <c r="BE1323" s="73"/>
      <c r="BF1323" s="73"/>
      <c r="BG1323" s="73"/>
      <c r="BH1323" s="73"/>
      <c r="BI1323" s="73"/>
      <c r="BJ1323" s="73"/>
      <c r="BK1323" s="73"/>
      <c r="BL1323" s="73"/>
      <c r="BM1323" s="73"/>
      <c r="BN1323" s="73"/>
      <c r="BO1323" s="73"/>
      <c r="BP1323" s="73"/>
      <c r="BQ1323" s="73"/>
      <c r="BR1323" s="73"/>
      <c r="BS1323" s="73"/>
      <c r="BT1323" s="73"/>
      <c r="BU1323" s="73"/>
      <c r="BV1323" s="73"/>
      <c r="BW1323" s="73"/>
      <c r="BX1323" s="73"/>
      <c r="BY1323" s="73"/>
      <c r="BZ1323" s="73"/>
      <c r="CA1323" s="73"/>
      <c r="CB1323" s="73"/>
      <c r="CC1323" s="73"/>
      <c r="CD1323" s="73"/>
      <c r="CE1323" s="73"/>
      <c r="CF1323" s="73"/>
      <c r="CG1323" s="73"/>
      <c r="CH1323" s="73"/>
    </row>
    <row r="1324">
      <c r="A1324" s="80"/>
      <c r="B1324" s="80"/>
      <c r="C1324" s="80"/>
      <c r="D1324" s="80"/>
      <c r="E1324" s="124"/>
      <c r="F1324" s="80"/>
      <c r="G1324" s="80"/>
      <c r="H1324" s="80"/>
      <c r="I1324" s="80"/>
      <c r="J1324" s="109"/>
      <c r="K1324" s="109"/>
      <c r="L1324" s="109"/>
      <c r="M1324" s="109"/>
      <c r="N1324" s="109"/>
      <c r="O1324" s="109"/>
      <c r="P1324" s="109"/>
      <c r="Q1324" s="109"/>
      <c r="R1324" s="109"/>
      <c r="S1324" s="109"/>
      <c r="T1324" s="109"/>
      <c r="U1324" s="109"/>
      <c r="V1324" s="109"/>
      <c r="W1324" s="109"/>
      <c r="X1324" s="109"/>
      <c r="Y1324" s="109"/>
      <c r="Z1324" s="109"/>
      <c r="AA1324" s="109"/>
      <c r="AB1324" s="109"/>
      <c r="AC1324" s="109"/>
      <c r="AD1324" s="109"/>
      <c r="AE1324" s="109"/>
      <c r="AF1324" s="109"/>
      <c r="AG1324" s="109"/>
      <c r="AH1324" s="109"/>
      <c r="AI1324" s="109"/>
      <c r="AJ1324" s="115"/>
      <c r="AK1324" s="80"/>
      <c r="AL1324" s="80"/>
      <c r="AM1324" s="80"/>
      <c r="AN1324" s="80"/>
      <c r="AO1324" s="80"/>
      <c r="AP1324" s="80"/>
      <c r="AQ1324" s="80"/>
      <c r="AR1324" s="73"/>
      <c r="AS1324" s="73"/>
      <c r="AT1324" s="73"/>
      <c r="AU1324" s="73"/>
      <c r="AV1324" s="73"/>
      <c r="AW1324" s="73"/>
      <c r="AX1324" s="73"/>
      <c r="AY1324" s="73"/>
      <c r="AZ1324" s="73"/>
      <c r="BA1324" s="73"/>
      <c r="BB1324" s="73"/>
      <c r="BC1324" s="73"/>
      <c r="BD1324" s="73"/>
      <c r="BE1324" s="73"/>
      <c r="BF1324" s="73"/>
      <c r="BG1324" s="73"/>
      <c r="BH1324" s="73"/>
      <c r="BI1324" s="73"/>
      <c r="BJ1324" s="73"/>
      <c r="BK1324" s="73"/>
      <c r="BL1324" s="73"/>
      <c r="BM1324" s="73"/>
      <c r="BN1324" s="73"/>
      <c r="BO1324" s="73"/>
      <c r="BP1324" s="73"/>
      <c r="BQ1324" s="73"/>
      <c r="BR1324" s="73"/>
      <c r="BS1324" s="73"/>
      <c r="BT1324" s="73"/>
      <c r="BU1324" s="73"/>
      <c r="BV1324" s="73"/>
      <c r="BW1324" s="73"/>
      <c r="BX1324" s="73"/>
      <c r="BY1324" s="73"/>
      <c r="BZ1324" s="73"/>
      <c r="CA1324" s="73"/>
      <c r="CB1324" s="73"/>
      <c r="CC1324" s="73"/>
      <c r="CD1324" s="73"/>
      <c r="CE1324" s="73"/>
      <c r="CF1324" s="73"/>
      <c r="CG1324" s="73"/>
      <c r="CH1324" s="73"/>
    </row>
    <row r="1325">
      <c r="A1325" s="80"/>
      <c r="B1325" s="80"/>
      <c r="C1325" s="80"/>
      <c r="D1325" s="80"/>
      <c r="E1325" s="124"/>
      <c r="F1325" s="80"/>
      <c r="G1325" s="80"/>
      <c r="H1325" s="80"/>
      <c r="I1325" s="80"/>
      <c r="J1325" s="109"/>
      <c r="K1325" s="109"/>
      <c r="L1325" s="109"/>
      <c r="M1325" s="109"/>
      <c r="N1325" s="109"/>
      <c r="O1325" s="109"/>
      <c r="P1325" s="109"/>
      <c r="Q1325" s="109"/>
      <c r="R1325" s="109"/>
      <c r="S1325" s="109"/>
      <c r="T1325" s="109"/>
      <c r="U1325" s="109"/>
      <c r="V1325" s="109"/>
      <c r="W1325" s="109"/>
      <c r="X1325" s="109"/>
      <c r="Y1325" s="109"/>
      <c r="Z1325" s="109"/>
      <c r="AA1325" s="109"/>
      <c r="AB1325" s="109"/>
      <c r="AC1325" s="109"/>
      <c r="AD1325" s="109"/>
      <c r="AE1325" s="109"/>
      <c r="AF1325" s="109"/>
      <c r="AG1325" s="109"/>
      <c r="AH1325" s="109"/>
      <c r="AI1325" s="109"/>
      <c r="AJ1325" s="115"/>
      <c r="AK1325" s="80"/>
      <c r="AL1325" s="80"/>
      <c r="AM1325" s="80"/>
      <c r="AN1325" s="80"/>
      <c r="AO1325" s="80"/>
      <c r="AP1325" s="80"/>
      <c r="AQ1325" s="80"/>
      <c r="AR1325" s="73"/>
      <c r="AS1325" s="73"/>
      <c r="AT1325" s="73"/>
      <c r="AU1325" s="73"/>
      <c r="AV1325" s="73"/>
      <c r="AW1325" s="73"/>
      <c r="AX1325" s="73"/>
      <c r="AY1325" s="73"/>
      <c r="AZ1325" s="73"/>
      <c r="BA1325" s="73"/>
      <c r="BB1325" s="73"/>
      <c r="BC1325" s="73"/>
      <c r="BD1325" s="73"/>
      <c r="BE1325" s="73"/>
      <c r="BF1325" s="73"/>
      <c r="BG1325" s="73"/>
      <c r="BH1325" s="73"/>
      <c r="BI1325" s="73"/>
      <c r="BJ1325" s="73"/>
      <c r="BK1325" s="73"/>
      <c r="BL1325" s="73"/>
      <c r="BM1325" s="73"/>
      <c r="BN1325" s="73"/>
      <c r="BO1325" s="73"/>
      <c r="BP1325" s="73"/>
      <c r="BQ1325" s="73"/>
      <c r="BR1325" s="73"/>
      <c r="BS1325" s="73"/>
      <c r="BT1325" s="73"/>
      <c r="BU1325" s="73"/>
      <c r="BV1325" s="73"/>
      <c r="BW1325" s="73"/>
      <c r="BX1325" s="73"/>
      <c r="BY1325" s="73"/>
      <c r="BZ1325" s="73"/>
      <c r="CA1325" s="73"/>
      <c r="CB1325" s="73"/>
      <c r="CC1325" s="73"/>
      <c r="CD1325" s="73"/>
      <c r="CE1325" s="73"/>
      <c r="CF1325" s="73"/>
      <c r="CG1325" s="73"/>
      <c r="CH1325" s="73"/>
    </row>
    <row r="1326">
      <c r="A1326" s="80"/>
      <c r="B1326" s="80"/>
      <c r="C1326" s="80"/>
      <c r="D1326" s="80"/>
      <c r="E1326" s="124"/>
      <c r="F1326" s="80"/>
      <c r="G1326" s="80"/>
      <c r="H1326" s="80"/>
      <c r="I1326" s="80"/>
      <c r="J1326" s="109"/>
      <c r="K1326" s="109"/>
      <c r="L1326" s="109"/>
      <c r="M1326" s="109"/>
      <c r="N1326" s="109"/>
      <c r="O1326" s="109"/>
      <c r="P1326" s="109"/>
      <c r="Q1326" s="109"/>
      <c r="R1326" s="109"/>
      <c r="S1326" s="109"/>
      <c r="T1326" s="109"/>
      <c r="U1326" s="109"/>
      <c r="V1326" s="109"/>
      <c r="W1326" s="109"/>
      <c r="X1326" s="109"/>
      <c r="Y1326" s="109"/>
      <c r="Z1326" s="109"/>
      <c r="AA1326" s="109"/>
      <c r="AB1326" s="109"/>
      <c r="AC1326" s="109"/>
      <c r="AD1326" s="109"/>
      <c r="AE1326" s="109"/>
      <c r="AF1326" s="109"/>
      <c r="AG1326" s="109"/>
      <c r="AH1326" s="109"/>
      <c r="AI1326" s="109"/>
      <c r="AJ1326" s="115"/>
      <c r="AK1326" s="80"/>
      <c r="AL1326" s="80"/>
      <c r="AM1326" s="80"/>
      <c r="AN1326" s="80"/>
      <c r="AO1326" s="80"/>
      <c r="AP1326" s="80"/>
      <c r="AQ1326" s="80"/>
      <c r="AR1326" s="73"/>
      <c r="AS1326" s="73"/>
      <c r="AT1326" s="73"/>
      <c r="AU1326" s="73"/>
      <c r="AV1326" s="73"/>
      <c r="AW1326" s="73"/>
      <c r="AX1326" s="73"/>
      <c r="AY1326" s="73"/>
      <c r="AZ1326" s="73"/>
      <c r="BA1326" s="73"/>
      <c r="BB1326" s="73"/>
      <c r="BC1326" s="73"/>
      <c r="BD1326" s="73"/>
      <c r="BE1326" s="73"/>
      <c r="BF1326" s="73"/>
      <c r="BG1326" s="73"/>
      <c r="BH1326" s="73"/>
      <c r="BI1326" s="73"/>
      <c r="BJ1326" s="73"/>
      <c r="BK1326" s="73"/>
      <c r="BL1326" s="73"/>
      <c r="BM1326" s="73"/>
      <c r="BN1326" s="73"/>
      <c r="BO1326" s="73"/>
      <c r="BP1326" s="73"/>
      <c r="BQ1326" s="73"/>
      <c r="BR1326" s="73"/>
      <c r="BS1326" s="73"/>
      <c r="BT1326" s="73"/>
      <c r="BU1326" s="73"/>
      <c r="BV1326" s="73"/>
      <c r="BW1326" s="73"/>
      <c r="BX1326" s="73"/>
      <c r="BY1326" s="73"/>
      <c r="BZ1326" s="73"/>
      <c r="CA1326" s="73"/>
      <c r="CB1326" s="73"/>
      <c r="CC1326" s="73"/>
      <c r="CD1326" s="73"/>
      <c r="CE1326" s="73"/>
      <c r="CF1326" s="73"/>
      <c r="CG1326" s="73"/>
      <c r="CH1326" s="73"/>
    </row>
    <row r="1327">
      <c r="A1327" s="80"/>
      <c r="B1327" s="80"/>
      <c r="C1327" s="80"/>
      <c r="D1327" s="80"/>
      <c r="E1327" s="124"/>
      <c r="F1327" s="80"/>
      <c r="G1327" s="80"/>
      <c r="H1327" s="80"/>
      <c r="I1327" s="80"/>
      <c r="J1327" s="109"/>
      <c r="K1327" s="109"/>
      <c r="L1327" s="109"/>
      <c r="M1327" s="109"/>
      <c r="N1327" s="109"/>
      <c r="O1327" s="109"/>
      <c r="P1327" s="109"/>
      <c r="Q1327" s="109"/>
      <c r="R1327" s="109"/>
      <c r="S1327" s="109"/>
      <c r="T1327" s="109"/>
      <c r="U1327" s="109"/>
      <c r="V1327" s="109"/>
      <c r="W1327" s="109"/>
      <c r="X1327" s="109"/>
      <c r="Y1327" s="109"/>
      <c r="Z1327" s="109"/>
      <c r="AA1327" s="109"/>
      <c r="AB1327" s="109"/>
      <c r="AC1327" s="109"/>
      <c r="AD1327" s="109"/>
      <c r="AE1327" s="109"/>
      <c r="AF1327" s="109"/>
      <c r="AG1327" s="109"/>
      <c r="AH1327" s="109"/>
      <c r="AI1327" s="109"/>
      <c r="AJ1327" s="115"/>
      <c r="AK1327" s="80"/>
      <c r="AL1327" s="80"/>
      <c r="AM1327" s="80"/>
      <c r="AN1327" s="80"/>
      <c r="AO1327" s="80"/>
      <c r="AP1327" s="80"/>
      <c r="AQ1327" s="80"/>
      <c r="AR1327" s="73"/>
      <c r="AS1327" s="73"/>
      <c r="AT1327" s="73"/>
      <c r="AU1327" s="73"/>
      <c r="AV1327" s="73"/>
      <c r="AW1327" s="73"/>
      <c r="AX1327" s="73"/>
      <c r="AY1327" s="73"/>
      <c r="AZ1327" s="73"/>
      <c r="BA1327" s="73"/>
      <c r="BB1327" s="73"/>
      <c r="BC1327" s="73"/>
      <c r="BD1327" s="73"/>
      <c r="BE1327" s="73"/>
      <c r="BF1327" s="73"/>
      <c r="BG1327" s="73"/>
      <c r="BH1327" s="73"/>
      <c r="BI1327" s="73"/>
      <c r="BJ1327" s="73"/>
      <c r="BK1327" s="73"/>
      <c r="BL1327" s="73"/>
      <c r="BM1327" s="73"/>
      <c r="BN1327" s="73"/>
      <c r="BO1327" s="73"/>
      <c r="BP1327" s="73"/>
      <c r="BQ1327" s="73"/>
      <c r="BR1327" s="73"/>
      <c r="BS1327" s="73"/>
      <c r="BT1327" s="73"/>
      <c r="BU1327" s="73"/>
      <c r="BV1327" s="73"/>
      <c r="BW1327" s="73"/>
      <c r="BX1327" s="73"/>
      <c r="BY1327" s="73"/>
      <c r="BZ1327" s="73"/>
      <c r="CA1327" s="73"/>
      <c r="CB1327" s="73"/>
      <c r="CC1327" s="73"/>
      <c r="CD1327" s="73"/>
      <c r="CE1327" s="73"/>
      <c r="CF1327" s="73"/>
      <c r="CG1327" s="73"/>
      <c r="CH1327" s="73"/>
    </row>
    <row r="1328">
      <c r="A1328" s="80"/>
      <c r="B1328" s="80"/>
      <c r="C1328" s="80"/>
      <c r="D1328" s="80"/>
      <c r="E1328" s="124"/>
      <c r="F1328" s="80"/>
      <c r="G1328" s="80"/>
      <c r="H1328" s="80"/>
      <c r="I1328" s="80"/>
      <c r="J1328" s="109"/>
      <c r="K1328" s="109"/>
      <c r="L1328" s="109"/>
      <c r="M1328" s="109"/>
      <c r="N1328" s="109"/>
      <c r="O1328" s="109"/>
      <c r="P1328" s="109"/>
      <c r="Q1328" s="109"/>
      <c r="R1328" s="109"/>
      <c r="S1328" s="109"/>
      <c r="T1328" s="109"/>
      <c r="U1328" s="109"/>
      <c r="V1328" s="109"/>
      <c r="W1328" s="109"/>
      <c r="X1328" s="109"/>
      <c r="Y1328" s="109"/>
      <c r="Z1328" s="109"/>
      <c r="AA1328" s="109"/>
      <c r="AB1328" s="109"/>
      <c r="AC1328" s="109"/>
      <c r="AD1328" s="109"/>
      <c r="AE1328" s="109"/>
      <c r="AF1328" s="109"/>
      <c r="AG1328" s="109"/>
      <c r="AH1328" s="109"/>
      <c r="AI1328" s="109"/>
      <c r="AJ1328" s="115"/>
      <c r="AK1328" s="80"/>
      <c r="AL1328" s="80"/>
      <c r="AM1328" s="80"/>
      <c r="AN1328" s="80"/>
      <c r="AO1328" s="80"/>
      <c r="AP1328" s="80"/>
      <c r="AQ1328" s="80"/>
      <c r="AR1328" s="73"/>
      <c r="AS1328" s="73"/>
      <c r="AT1328" s="73"/>
      <c r="AU1328" s="73"/>
      <c r="AV1328" s="73"/>
      <c r="AW1328" s="73"/>
      <c r="AX1328" s="73"/>
      <c r="AY1328" s="73"/>
      <c r="AZ1328" s="73"/>
      <c r="BA1328" s="73"/>
      <c r="BB1328" s="73"/>
      <c r="BC1328" s="73"/>
      <c r="BD1328" s="73"/>
      <c r="BE1328" s="73"/>
      <c r="BF1328" s="73"/>
      <c r="BG1328" s="73"/>
      <c r="BH1328" s="73"/>
      <c r="BI1328" s="73"/>
      <c r="BJ1328" s="73"/>
      <c r="BK1328" s="73"/>
      <c r="BL1328" s="73"/>
      <c r="BM1328" s="73"/>
      <c r="BN1328" s="73"/>
      <c r="BO1328" s="73"/>
      <c r="BP1328" s="73"/>
      <c r="BQ1328" s="73"/>
      <c r="BR1328" s="73"/>
      <c r="BS1328" s="73"/>
      <c r="BT1328" s="73"/>
      <c r="BU1328" s="73"/>
      <c r="BV1328" s="73"/>
      <c r="BW1328" s="73"/>
      <c r="BX1328" s="73"/>
      <c r="BY1328" s="73"/>
      <c r="BZ1328" s="73"/>
      <c r="CA1328" s="73"/>
      <c r="CB1328" s="73"/>
      <c r="CC1328" s="73"/>
      <c r="CD1328" s="73"/>
      <c r="CE1328" s="73"/>
      <c r="CF1328" s="73"/>
      <c r="CG1328" s="73"/>
      <c r="CH1328" s="73"/>
    </row>
    <row r="1329">
      <c r="A1329" s="80"/>
      <c r="B1329" s="80"/>
      <c r="C1329" s="80"/>
      <c r="D1329" s="80"/>
      <c r="E1329" s="124"/>
      <c r="F1329" s="80"/>
      <c r="G1329" s="80"/>
      <c r="H1329" s="80"/>
      <c r="I1329" s="80"/>
      <c r="J1329" s="109"/>
      <c r="K1329" s="109"/>
      <c r="L1329" s="109"/>
      <c r="M1329" s="109"/>
      <c r="N1329" s="109"/>
      <c r="O1329" s="109"/>
      <c r="P1329" s="109"/>
      <c r="Q1329" s="109"/>
      <c r="R1329" s="109"/>
      <c r="S1329" s="109"/>
      <c r="T1329" s="109"/>
      <c r="U1329" s="109"/>
      <c r="V1329" s="109"/>
      <c r="W1329" s="109"/>
      <c r="X1329" s="109"/>
      <c r="Y1329" s="109"/>
      <c r="Z1329" s="109"/>
      <c r="AA1329" s="109"/>
      <c r="AB1329" s="109"/>
      <c r="AC1329" s="109"/>
      <c r="AD1329" s="109"/>
      <c r="AE1329" s="109"/>
      <c r="AF1329" s="109"/>
      <c r="AG1329" s="109"/>
      <c r="AH1329" s="109"/>
      <c r="AI1329" s="109"/>
      <c r="AJ1329" s="115"/>
      <c r="AK1329" s="80"/>
      <c r="AL1329" s="80"/>
      <c r="AM1329" s="80"/>
      <c r="AN1329" s="80"/>
      <c r="AO1329" s="80"/>
      <c r="AP1329" s="80"/>
      <c r="AQ1329" s="80"/>
      <c r="AR1329" s="73"/>
      <c r="AS1329" s="73"/>
      <c r="AT1329" s="73"/>
      <c r="AU1329" s="73"/>
      <c r="AV1329" s="73"/>
      <c r="AW1329" s="73"/>
      <c r="AX1329" s="73"/>
      <c r="AY1329" s="73"/>
      <c r="AZ1329" s="73"/>
      <c r="BA1329" s="73"/>
      <c r="BB1329" s="73"/>
      <c r="BC1329" s="73"/>
      <c r="BD1329" s="73"/>
      <c r="BE1329" s="73"/>
      <c r="BF1329" s="73"/>
      <c r="BG1329" s="73"/>
      <c r="BH1329" s="73"/>
      <c r="BI1329" s="73"/>
      <c r="BJ1329" s="73"/>
      <c r="BK1329" s="73"/>
      <c r="BL1329" s="73"/>
      <c r="BM1329" s="73"/>
      <c r="BN1329" s="73"/>
      <c r="BO1329" s="73"/>
      <c r="BP1329" s="73"/>
      <c r="BQ1329" s="73"/>
      <c r="BR1329" s="73"/>
      <c r="BS1329" s="73"/>
      <c r="BT1329" s="73"/>
      <c r="BU1329" s="73"/>
      <c r="BV1329" s="73"/>
      <c r="BW1329" s="73"/>
      <c r="BX1329" s="73"/>
      <c r="BY1329" s="73"/>
      <c r="BZ1329" s="73"/>
      <c r="CA1329" s="73"/>
      <c r="CB1329" s="73"/>
      <c r="CC1329" s="73"/>
      <c r="CD1329" s="73"/>
      <c r="CE1329" s="73"/>
      <c r="CF1329" s="73"/>
      <c r="CG1329" s="73"/>
      <c r="CH1329" s="73"/>
    </row>
    <row r="1330">
      <c r="A1330" s="80"/>
      <c r="B1330" s="80"/>
      <c r="C1330" s="80"/>
      <c r="D1330" s="80"/>
      <c r="E1330" s="124"/>
      <c r="F1330" s="80"/>
      <c r="G1330" s="80"/>
      <c r="H1330" s="80"/>
      <c r="I1330" s="80"/>
      <c r="J1330" s="109"/>
      <c r="K1330" s="109"/>
      <c r="L1330" s="109"/>
      <c r="M1330" s="109"/>
      <c r="N1330" s="109"/>
      <c r="O1330" s="109"/>
      <c r="P1330" s="109"/>
      <c r="Q1330" s="109"/>
      <c r="R1330" s="109"/>
      <c r="S1330" s="109"/>
      <c r="T1330" s="109"/>
      <c r="U1330" s="109"/>
      <c r="V1330" s="109"/>
      <c r="W1330" s="109"/>
      <c r="X1330" s="109"/>
      <c r="Y1330" s="109"/>
      <c r="Z1330" s="109"/>
      <c r="AA1330" s="109"/>
      <c r="AB1330" s="109"/>
      <c r="AC1330" s="109"/>
      <c r="AD1330" s="109"/>
      <c r="AE1330" s="109"/>
      <c r="AF1330" s="109"/>
      <c r="AG1330" s="109"/>
      <c r="AH1330" s="109"/>
      <c r="AI1330" s="109"/>
      <c r="AJ1330" s="115"/>
      <c r="AK1330" s="80"/>
      <c r="AL1330" s="80"/>
      <c r="AM1330" s="80"/>
      <c r="AN1330" s="80"/>
      <c r="AO1330" s="80"/>
      <c r="AP1330" s="80"/>
      <c r="AQ1330" s="80"/>
      <c r="AR1330" s="73"/>
      <c r="AS1330" s="73"/>
      <c r="AT1330" s="73"/>
      <c r="AU1330" s="73"/>
      <c r="AV1330" s="73"/>
      <c r="AW1330" s="73"/>
      <c r="AX1330" s="73"/>
      <c r="AY1330" s="73"/>
      <c r="AZ1330" s="73"/>
      <c r="BA1330" s="73"/>
      <c r="BB1330" s="73"/>
      <c r="BC1330" s="73"/>
      <c r="BD1330" s="73"/>
      <c r="BE1330" s="73"/>
      <c r="BF1330" s="73"/>
      <c r="BG1330" s="73"/>
      <c r="BH1330" s="73"/>
      <c r="BI1330" s="73"/>
      <c r="BJ1330" s="73"/>
      <c r="BK1330" s="73"/>
      <c r="BL1330" s="73"/>
      <c r="BM1330" s="73"/>
      <c r="BN1330" s="73"/>
      <c r="BO1330" s="73"/>
      <c r="BP1330" s="73"/>
      <c r="BQ1330" s="73"/>
      <c r="BR1330" s="73"/>
      <c r="BS1330" s="73"/>
      <c r="BT1330" s="73"/>
      <c r="BU1330" s="73"/>
      <c r="BV1330" s="73"/>
      <c r="BW1330" s="73"/>
      <c r="BX1330" s="73"/>
      <c r="BY1330" s="73"/>
      <c r="BZ1330" s="73"/>
      <c r="CA1330" s="73"/>
      <c r="CB1330" s="73"/>
      <c r="CC1330" s="73"/>
      <c r="CD1330" s="73"/>
      <c r="CE1330" s="73"/>
      <c r="CF1330" s="73"/>
      <c r="CG1330" s="73"/>
      <c r="CH1330" s="73"/>
    </row>
    <row r="1331">
      <c r="A1331" s="80"/>
      <c r="B1331" s="80"/>
      <c r="C1331" s="80"/>
      <c r="D1331" s="80"/>
      <c r="E1331" s="124"/>
      <c r="F1331" s="80"/>
      <c r="G1331" s="80"/>
      <c r="H1331" s="80"/>
      <c r="I1331" s="80"/>
      <c r="J1331" s="109"/>
      <c r="K1331" s="109"/>
      <c r="L1331" s="109"/>
      <c r="M1331" s="109"/>
      <c r="N1331" s="109"/>
      <c r="O1331" s="109"/>
      <c r="P1331" s="109"/>
      <c r="Q1331" s="109"/>
      <c r="R1331" s="109"/>
      <c r="S1331" s="109"/>
      <c r="T1331" s="109"/>
      <c r="U1331" s="109"/>
      <c r="V1331" s="109"/>
      <c r="W1331" s="109"/>
      <c r="X1331" s="109"/>
      <c r="Y1331" s="109"/>
      <c r="Z1331" s="109"/>
      <c r="AA1331" s="109"/>
      <c r="AB1331" s="109"/>
      <c r="AC1331" s="109"/>
      <c r="AD1331" s="109"/>
      <c r="AE1331" s="109"/>
      <c r="AF1331" s="109"/>
      <c r="AG1331" s="109"/>
      <c r="AH1331" s="109"/>
      <c r="AI1331" s="109"/>
      <c r="AJ1331" s="115"/>
      <c r="AK1331" s="80"/>
      <c r="AL1331" s="80"/>
      <c r="AM1331" s="80"/>
      <c r="AN1331" s="80"/>
      <c r="AO1331" s="80"/>
      <c r="AP1331" s="80"/>
      <c r="AQ1331" s="80"/>
      <c r="AR1331" s="73"/>
      <c r="AS1331" s="73"/>
      <c r="AT1331" s="73"/>
      <c r="AU1331" s="73"/>
      <c r="AV1331" s="73"/>
      <c r="AW1331" s="73"/>
      <c r="AX1331" s="73"/>
      <c r="AY1331" s="73"/>
      <c r="AZ1331" s="73"/>
      <c r="BA1331" s="73"/>
      <c r="BB1331" s="73"/>
      <c r="BC1331" s="73"/>
      <c r="BD1331" s="73"/>
      <c r="BE1331" s="73"/>
      <c r="BF1331" s="73"/>
      <c r="BG1331" s="73"/>
      <c r="BH1331" s="73"/>
      <c r="BI1331" s="73"/>
      <c r="BJ1331" s="73"/>
      <c r="BK1331" s="73"/>
      <c r="BL1331" s="73"/>
      <c r="BM1331" s="73"/>
      <c r="BN1331" s="73"/>
      <c r="BO1331" s="73"/>
      <c r="BP1331" s="73"/>
      <c r="BQ1331" s="73"/>
      <c r="BR1331" s="73"/>
      <c r="BS1331" s="73"/>
      <c r="BT1331" s="73"/>
      <c r="BU1331" s="73"/>
      <c r="BV1331" s="73"/>
      <c r="BW1331" s="73"/>
      <c r="BX1331" s="73"/>
      <c r="BY1331" s="73"/>
      <c r="BZ1331" s="73"/>
      <c r="CA1331" s="73"/>
      <c r="CB1331" s="73"/>
      <c r="CC1331" s="73"/>
      <c r="CD1331" s="73"/>
      <c r="CE1331" s="73"/>
      <c r="CF1331" s="73"/>
      <c r="CG1331" s="73"/>
      <c r="CH1331" s="73"/>
    </row>
    <row r="1332">
      <c r="A1332" s="80"/>
      <c r="B1332" s="80"/>
      <c r="C1332" s="80"/>
      <c r="D1332" s="80"/>
      <c r="E1332" s="124"/>
      <c r="F1332" s="80"/>
      <c r="G1332" s="80"/>
      <c r="H1332" s="80"/>
      <c r="I1332" s="80"/>
      <c r="J1332" s="109"/>
      <c r="K1332" s="109"/>
      <c r="L1332" s="109"/>
      <c r="M1332" s="109"/>
      <c r="N1332" s="109"/>
      <c r="O1332" s="109"/>
      <c r="P1332" s="109"/>
      <c r="Q1332" s="109"/>
      <c r="R1332" s="109"/>
      <c r="S1332" s="109"/>
      <c r="T1332" s="109"/>
      <c r="U1332" s="109"/>
      <c r="V1332" s="109"/>
      <c r="W1332" s="109"/>
      <c r="X1332" s="109"/>
      <c r="Y1332" s="109"/>
      <c r="Z1332" s="109"/>
      <c r="AA1332" s="109"/>
      <c r="AB1332" s="109"/>
      <c r="AC1332" s="109"/>
      <c r="AD1332" s="109"/>
      <c r="AE1332" s="109"/>
      <c r="AF1332" s="109"/>
      <c r="AG1332" s="109"/>
      <c r="AH1332" s="109"/>
      <c r="AI1332" s="109"/>
      <c r="AJ1332" s="115"/>
      <c r="AK1332" s="80"/>
      <c r="AL1332" s="80"/>
      <c r="AM1332" s="80"/>
      <c r="AN1332" s="80"/>
      <c r="AO1332" s="80"/>
      <c r="AP1332" s="80"/>
      <c r="AQ1332" s="80"/>
      <c r="AR1332" s="73"/>
      <c r="AS1332" s="73"/>
      <c r="AT1332" s="73"/>
      <c r="AU1332" s="73"/>
      <c r="AV1332" s="73"/>
      <c r="AW1332" s="73"/>
      <c r="AX1332" s="73"/>
      <c r="AY1332" s="73"/>
      <c r="AZ1332" s="73"/>
      <c r="BA1332" s="73"/>
      <c r="BB1332" s="73"/>
      <c r="BC1332" s="73"/>
      <c r="BD1332" s="73"/>
      <c r="BE1332" s="73"/>
      <c r="BF1332" s="73"/>
      <c r="BG1332" s="73"/>
      <c r="BH1332" s="73"/>
      <c r="BI1332" s="73"/>
      <c r="BJ1332" s="73"/>
      <c r="BK1332" s="73"/>
      <c r="BL1332" s="73"/>
      <c r="BM1332" s="73"/>
      <c r="BN1332" s="73"/>
      <c r="BO1332" s="73"/>
      <c r="BP1332" s="73"/>
      <c r="BQ1332" s="73"/>
      <c r="BR1332" s="73"/>
      <c r="BS1332" s="73"/>
      <c r="BT1332" s="73"/>
      <c r="BU1332" s="73"/>
      <c r="BV1332" s="73"/>
      <c r="BW1332" s="73"/>
      <c r="BX1332" s="73"/>
      <c r="BY1332" s="73"/>
      <c r="BZ1332" s="73"/>
      <c r="CA1332" s="73"/>
      <c r="CB1332" s="73"/>
      <c r="CC1332" s="73"/>
      <c r="CD1332" s="73"/>
      <c r="CE1332" s="73"/>
      <c r="CF1332" s="73"/>
      <c r="CG1332" s="73"/>
      <c r="CH1332" s="73"/>
    </row>
    <row r="1333">
      <c r="A1333" s="80"/>
      <c r="B1333" s="80"/>
      <c r="C1333" s="80"/>
      <c r="D1333" s="80"/>
      <c r="E1333" s="124"/>
      <c r="F1333" s="80"/>
      <c r="G1333" s="80"/>
      <c r="H1333" s="80"/>
      <c r="I1333" s="80"/>
      <c r="J1333" s="109"/>
      <c r="K1333" s="109"/>
      <c r="L1333" s="109"/>
      <c r="M1333" s="109"/>
      <c r="N1333" s="109"/>
      <c r="O1333" s="109"/>
      <c r="P1333" s="109"/>
      <c r="Q1333" s="109"/>
      <c r="R1333" s="109"/>
      <c r="S1333" s="109"/>
      <c r="T1333" s="109"/>
      <c r="U1333" s="109"/>
      <c r="V1333" s="109"/>
      <c r="W1333" s="109"/>
      <c r="X1333" s="109"/>
      <c r="Y1333" s="109"/>
      <c r="Z1333" s="109"/>
      <c r="AA1333" s="109"/>
      <c r="AB1333" s="109"/>
      <c r="AC1333" s="109"/>
      <c r="AD1333" s="109"/>
      <c r="AE1333" s="109"/>
      <c r="AF1333" s="109"/>
      <c r="AG1333" s="109"/>
      <c r="AH1333" s="109"/>
      <c r="AI1333" s="109"/>
      <c r="AJ1333" s="115"/>
      <c r="AK1333" s="80"/>
      <c r="AL1333" s="80"/>
      <c r="AM1333" s="80"/>
      <c r="AN1333" s="80"/>
      <c r="AO1333" s="80"/>
      <c r="AP1333" s="80"/>
      <c r="AQ1333" s="80"/>
      <c r="AR1333" s="73"/>
      <c r="AS1333" s="73"/>
      <c r="AT1333" s="73"/>
      <c r="AU1333" s="73"/>
      <c r="AV1333" s="73"/>
      <c r="AW1333" s="73"/>
      <c r="AX1333" s="73"/>
      <c r="AY1333" s="73"/>
      <c r="AZ1333" s="73"/>
      <c r="BA1333" s="73"/>
      <c r="BB1333" s="73"/>
      <c r="BC1333" s="73"/>
      <c r="BD1333" s="73"/>
      <c r="BE1333" s="73"/>
      <c r="BF1333" s="73"/>
      <c r="BG1333" s="73"/>
      <c r="BH1333" s="73"/>
      <c r="BI1333" s="73"/>
      <c r="BJ1333" s="73"/>
      <c r="BK1333" s="73"/>
      <c r="BL1333" s="73"/>
      <c r="BM1333" s="73"/>
      <c r="BN1333" s="73"/>
      <c r="BO1333" s="73"/>
      <c r="BP1333" s="73"/>
      <c r="BQ1333" s="73"/>
      <c r="BR1333" s="73"/>
      <c r="BS1333" s="73"/>
      <c r="BT1333" s="73"/>
      <c r="BU1333" s="73"/>
      <c r="BV1333" s="73"/>
      <c r="BW1333" s="73"/>
      <c r="BX1333" s="73"/>
      <c r="BY1333" s="73"/>
      <c r="BZ1333" s="73"/>
      <c r="CA1333" s="73"/>
      <c r="CB1333" s="73"/>
      <c r="CC1333" s="73"/>
      <c r="CD1333" s="73"/>
      <c r="CE1333" s="73"/>
      <c r="CF1333" s="73"/>
      <c r="CG1333" s="73"/>
      <c r="CH1333" s="73"/>
    </row>
    <row r="1334">
      <c r="A1334" s="80"/>
      <c r="B1334" s="80"/>
      <c r="C1334" s="80"/>
      <c r="D1334" s="80"/>
      <c r="E1334" s="124"/>
      <c r="F1334" s="80"/>
      <c r="G1334" s="80"/>
      <c r="H1334" s="80"/>
      <c r="I1334" s="80"/>
      <c r="J1334" s="109"/>
      <c r="K1334" s="109"/>
      <c r="L1334" s="109"/>
      <c r="M1334" s="109"/>
      <c r="N1334" s="109"/>
      <c r="O1334" s="109"/>
      <c r="P1334" s="109"/>
      <c r="Q1334" s="109"/>
      <c r="R1334" s="109"/>
      <c r="S1334" s="109"/>
      <c r="T1334" s="109"/>
      <c r="U1334" s="109"/>
      <c r="V1334" s="109"/>
      <c r="W1334" s="109"/>
      <c r="X1334" s="109"/>
      <c r="Y1334" s="109"/>
      <c r="Z1334" s="109"/>
      <c r="AA1334" s="109"/>
      <c r="AB1334" s="109"/>
      <c r="AC1334" s="109"/>
      <c r="AD1334" s="109"/>
      <c r="AE1334" s="109"/>
      <c r="AF1334" s="109"/>
      <c r="AG1334" s="109"/>
      <c r="AH1334" s="109"/>
      <c r="AI1334" s="109"/>
      <c r="AJ1334" s="115"/>
      <c r="AK1334" s="80"/>
      <c r="AL1334" s="80"/>
      <c r="AM1334" s="80"/>
      <c r="AN1334" s="80"/>
      <c r="AO1334" s="80"/>
      <c r="AP1334" s="80"/>
      <c r="AQ1334" s="80"/>
      <c r="AR1334" s="73"/>
      <c r="AS1334" s="73"/>
      <c r="AT1334" s="73"/>
      <c r="AU1334" s="73"/>
      <c r="AV1334" s="73"/>
      <c r="AW1334" s="73"/>
      <c r="AX1334" s="73"/>
      <c r="AY1334" s="73"/>
      <c r="AZ1334" s="73"/>
      <c r="BA1334" s="73"/>
      <c r="BB1334" s="73"/>
      <c r="BC1334" s="73"/>
      <c r="BD1334" s="73"/>
      <c r="BE1334" s="73"/>
      <c r="BF1334" s="73"/>
      <c r="BG1334" s="73"/>
      <c r="BH1334" s="73"/>
      <c r="BI1334" s="73"/>
      <c r="BJ1334" s="73"/>
      <c r="BK1334" s="73"/>
      <c r="BL1334" s="73"/>
      <c r="BM1334" s="73"/>
      <c r="BN1334" s="73"/>
      <c r="BO1334" s="73"/>
      <c r="BP1334" s="73"/>
      <c r="BQ1334" s="73"/>
      <c r="BR1334" s="73"/>
      <c r="BS1334" s="73"/>
      <c r="BT1334" s="73"/>
      <c r="BU1334" s="73"/>
      <c r="BV1334" s="73"/>
      <c r="BW1334" s="73"/>
      <c r="BX1334" s="73"/>
      <c r="BY1334" s="73"/>
      <c r="BZ1334" s="73"/>
      <c r="CA1334" s="73"/>
      <c r="CB1334" s="73"/>
      <c r="CC1334" s="73"/>
      <c r="CD1334" s="73"/>
      <c r="CE1334" s="73"/>
      <c r="CF1334" s="73"/>
      <c r="CG1334" s="73"/>
      <c r="CH1334" s="73"/>
    </row>
    <row r="1335">
      <c r="A1335" s="80"/>
      <c r="B1335" s="80"/>
      <c r="C1335" s="80"/>
      <c r="D1335" s="80"/>
      <c r="E1335" s="124"/>
      <c r="F1335" s="80"/>
      <c r="G1335" s="80"/>
      <c r="H1335" s="80"/>
      <c r="I1335" s="80"/>
      <c r="J1335" s="109"/>
      <c r="K1335" s="109"/>
      <c r="L1335" s="109"/>
      <c r="M1335" s="109"/>
      <c r="N1335" s="109"/>
      <c r="O1335" s="109"/>
      <c r="P1335" s="109"/>
      <c r="Q1335" s="109"/>
      <c r="R1335" s="109"/>
      <c r="S1335" s="109"/>
      <c r="T1335" s="109"/>
      <c r="U1335" s="109"/>
      <c r="V1335" s="109"/>
      <c r="W1335" s="109"/>
      <c r="X1335" s="109"/>
      <c r="Y1335" s="109"/>
      <c r="Z1335" s="109"/>
      <c r="AA1335" s="109"/>
      <c r="AB1335" s="109"/>
      <c r="AC1335" s="109"/>
      <c r="AD1335" s="109"/>
      <c r="AE1335" s="109"/>
      <c r="AF1335" s="109"/>
      <c r="AG1335" s="109"/>
      <c r="AH1335" s="109"/>
      <c r="AI1335" s="109"/>
      <c r="AJ1335" s="115"/>
      <c r="AK1335" s="80"/>
      <c r="AL1335" s="80"/>
      <c r="AM1335" s="80"/>
      <c r="AN1335" s="80"/>
      <c r="AO1335" s="80"/>
      <c r="AP1335" s="80"/>
      <c r="AQ1335" s="80"/>
      <c r="AR1335" s="73"/>
      <c r="AS1335" s="73"/>
      <c r="AT1335" s="73"/>
      <c r="AU1335" s="73"/>
      <c r="AV1335" s="73"/>
      <c r="AW1335" s="73"/>
      <c r="AX1335" s="73"/>
      <c r="AY1335" s="73"/>
      <c r="AZ1335" s="73"/>
      <c r="BA1335" s="73"/>
      <c r="BB1335" s="73"/>
      <c r="BC1335" s="73"/>
      <c r="BD1335" s="73"/>
      <c r="BE1335" s="73"/>
      <c r="BF1335" s="73"/>
      <c r="BG1335" s="73"/>
      <c r="BH1335" s="73"/>
      <c r="BI1335" s="73"/>
      <c r="BJ1335" s="73"/>
      <c r="BK1335" s="73"/>
      <c r="BL1335" s="73"/>
      <c r="BM1335" s="73"/>
      <c r="BN1335" s="73"/>
      <c r="BO1335" s="73"/>
      <c r="BP1335" s="73"/>
      <c r="BQ1335" s="73"/>
      <c r="BR1335" s="73"/>
      <c r="BS1335" s="73"/>
      <c r="BT1335" s="73"/>
      <c r="BU1335" s="73"/>
      <c r="BV1335" s="73"/>
      <c r="BW1335" s="73"/>
      <c r="BX1335" s="73"/>
      <c r="BY1335" s="73"/>
      <c r="BZ1335" s="73"/>
      <c r="CA1335" s="73"/>
      <c r="CB1335" s="73"/>
      <c r="CC1335" s="73"/>
      <c r="CD1335" s="73"/>
      <c r="CE1335" s="73"/>
      <c r="CF1335" s="73"/>
      <c r="CG1335" s="73"/>
      <c r="CH1335" s="73"/>
    </row>
    <row r="1336">
      <c r="A1336" s="80"/>
      <c r="B1336" s="80"/>
      <c r="C1336" s="80"/>
      <c r="D1336" s="80"/>
      <c r="E1336" s="124"/>
      <c r="F1336" s="80"/>
      <c r="G1336" s="80"/>
      <c r="H1336" s="80"/>
      <c r="I1336" s="80"/>
      <c r="J1336" s="109"/>
      <c r="K1336" s="109"/>
      <c r="L1336" s="109"/>
      <c r="M1336" s="109"/>
      <c r="N1336" s="109"/>
      <c r="O1336" s="109"/>
      <c r="P1336" s="109"/>
      <c r="Q1336" s="109"/>
      <c r="R1336" s="109"/>
      <c r="S1336" s="109"/>
      <c r="T1336" s="109"/>
      <c r="U1336" s="109"/>
      <c r="V1336" s="109"/>
      <c r="W1336" s="109"/>
      <c r="X1336" s="109"/>
      <c r="Y1336" s="109"/>
      <c r="Z1336" s="109"/>
      <c r="AA1336" s="109"/>
      <c r="AB1336" s="109"/>
      <c r="AC1336" s="109"/>
      <c r="AD1336" s="109"/>
      <c r="AE1336" s="109"/>
      <c r="AF1336" s="109"/>
      <c r="AG1336" s="109"/>
      <c r="AH1336" s="109"/>
      <c r="AI1336" s="109"/>
      <c r="AJ1336" s="115"/>
      <c r="AK1336" s="80"/>
      <c r="AL1336" s="80"/>
      <c r="AM1336" s="80"/>
      <c r="AN1336" s="80"/>
      <c r="AO1336" s="80"/>
      <c r="AP1336" s="80"/>
      <c r="AQ1336" s="80"/>
      <c r="AR1336" s="73"/>
      <c r="AS1336" s="73"/>
      <c r="AT1336" s="73"/>
      <c r="AU1336" s="73"/>
      <c r="AV1336" s="73"/>
      <c r="AW1336" s="73"/>
      <c r="AX1336" s="73"/>
      <c r="AY1336" s="73"/>
      <c r="AZ1336" s="73"/>
      <c r="BA1336" s="73"/>
      <c r="BB1336" s="73"/>
      <c r="BC1336" s="73"/>
      <c r="BD1336" s="73"/>
      <c r="BE1336" s="73"/>
      <c r="BF1336" s="73"/>
      <c r="BG1336" s="73"/>
      <c r="BH1336" s="73"/>
      <c r="BI1336" s="73"/>
      <c r="BJ1336" s="73"/>
      <c r="BK1336" s="73"/>
      <c r="BL1336" s="73"/>
      <c r="BM1336" s="73"/>
      <c r="BN1336" s="73"/>
      <c r="BO1336" s="73"/>
      <c r="BP1336" s="73"/>
      <c r="BQ1336" s="73"/>
      <c r="BR1336" s="73"/>
      <c r="BS1336" s="73"/>
      <c r="BT1336" s="73"/>
      <c r="BU1336" s="73"/>
      <c r="BV1336" s="73"/>
      <c r="BW1336" s="73"/>
      <c r="BX1336" s="73"/>
      <c r="BY1336" s="73"/>
      <c r="BZ1336" s="73"/>
      <c r="CA1336" s="73"/>
      <c r="CB1336" s="73"/>
      <c r="CC1336" s="73"/>
      <c r="CD1336" s="73"/>
      <c r="CE1336" s="73"/>
      <c r="CF1336" s="73"/>
      <c r="CG1336" s="73"/>
      <c r="CH1336" s="73"/>
    </row>
    <row r="1337">
      <c r="A1337" s="80"/>
      <c r="B1337" s="80"/>
      <c r="C1337" s="80"/>
      <c r="D1337" s="80"/>
      <c r="E1337" s="124"/>
      <c r="F1337" s="80"/>
      <c r="G1337" s="80"/>
      <c r="H1337" s="80"/>
      <c r="I1337" s="80"/>
      <c r="J1337" s="109"/>
      <c r="K1337" s="109"/>
      <c r="L1337" s="109"/>
      <c r="M1337" s="109"/>
      <c r="N1337" s="109"/>
      <c r="O1337" s="109"/>
      <c r="P1337" s="109"/>
      <c r="Q1337" s="109"/>
      <c r="R1337" s="109"/>
      <c r="S1337" s="109"/>
      <c r="T1337" s="109"/>
      <c r="U1337" s="109"/>
      <c r="V1337" s="109"/>
      <c r="W1337" s="109"/>
      <c r="X1337" s="109"/>
      <c r="Y1337" s="109"/>
      <c r="Z1337" s="109"/>
      <c r="AA1337" s="109"/>
      <c r="AB1337" s="109"/>
      <c r="AC1337" s="109"/>
      <c r="AD1337" s="109"/>
      <c r="AE1337" s="109"/>
      <c r="AF1337" s="109"/>
      <c r="AG1337" s="109"/>
      <c r="AH1337" s="109"/>
      <c r="AI1337" s="109"/>
      <c r="AJ1337" s="115"/>
      <c r="AK1337" s="80"/>
      <c r="AL1337" s="80"/>
      <c r="AM1337" s="80"/>
      <c r="AN1337" s="80"/>
      <c r="AO1337" s="80"/>
      <c r="AP1337" s="80"/>
      <c r="AQ1337" s="80"/>
      <c r="AR1337" s="73"/>
      <c r="AS1337" s="73"/>
      <c r="AT1337" s="73"/>
      <c r="AU1337" s="73"/>
      <c r="AV1337" s="73"/>
      <c r="AW1337" s="73"/>
      <c r="AX1337" s="73"/>
      <c r="AY1337" s="73"/>
      <c r="AZ1337" s="73"/>
      <c r="BA1337" s="73"/>
      <c r="BB1337" s="73"/>
      <c r="BC1337" s="73"/>
      <c r="BD1337" s="73"/>
      <c r="BE1337" s="73"/>
      <c r="BF1337" s="73"/>
      <c r="BG1337" s="73"/>
      <c r="BH1337" s="73"/>
      <c r="BI1337" s="73"/>
      <c r="BJ1337" s="73"/>
      <c r="BK1337" s="73"/>
      <c r="BL1337" s="73"/>
      <c r="BM1337" s="73"/>
      <c r="BN1337" s="73"/>
      <c r="BO1337" s="73"/>
      <c r="BP1337" s="73"/>
      <c r="BQ1337" s="73"/>
      <c r="BR1337" s="73"/>
      <c r="BS1337" s="73"/>
      <c r="BT1337" s="73"/>
      <c r="BU1337" s="73"/>
      <c r="BV1337" s="73"/>
      <c r="BW1337" s="73"/>
      <c r="BX1337" s="73"/>
      <c r="BY1337" s="73"/>
      <c r="BZ1337" s="73"/>
      <c r="CA1337" s="73"/>
      <c r="CB1337" s="73"/>
      <c r="CC1337" s="73"/>
      <c r="CD1337" s="73"/>
      <c r="CE1337" s="73"/>
      <c r="CF1337" s="73"/>
      <c r="CG1337" s="73"/>
      <c r="CH1337" s="73"/>
    </row>
    <row r="1338">
      <c r="A1338" s="80"/>
      <c r="B1338" s="80"/>
      <c r="C1338" s="80"/>
      <c r="D1338" s="80"/>
      <c r="E1338" s="124"/>
      <c r="F1338" s="80"/>
      <c r="G1338" s="80"/>
      <c r="H1338" s="80"/>
      <c r="I1338" s="80"/>
      <c r="J1338" s="109"/>
      <c r="K1338" s="109"/>
      <c r="L1338" s="109"/>
      <c r="M1338" s="109"/>
      <c r="N1338" s="109"/>
      <c r="O1338" s="109"/>
      <c r="P1338" s="109"/>
      <c r="Q1338" s="109"/>
      <c r="R1338" s="109"/>
      <c r="S1338" s="109"/>
      <c r="T1338" s="109"/>
      <c r="U1338" s="109"/>
      <c r="V1338" s="109"/>
      <c r="W1338" s="109"/>
      <c r="X1338" s="109"/>
      <c r="Y1338" s="109"/>
      <c r="Z1338" s="109"/>
      <c r="AA1338" s="109"/>
      <c r="AB1338" s="109"/>
      <c r="AC1338" s="109"/>
      <c r="AD1338" s="109"/>
      <c r="AE1338" s="109"/>
      <c r="AF1338" s="109"/>
      <c r="AG1338" s="109"/>
      <c r="AH1338" s="109"/>
      <c r="AI1338" s="109"/>
      <c r="AJ1338" s="115"/>
      <c r="AK1338" s="80"/>
      <c r="AL1338" s="80"/>
      <c r="AM1338" s="80"/>
      <c r="AN1338" s="80"/>
      <c r="AO1338" s="80"/>
      <c r="AP1338" s="80"/>
      <c r="AQ1338" s="80"/>
      <c r="AR1338" s="73"/>
      <c r="AS1338" s="73"/>
      <c r="AT1338" s="73"/>
      <c r="AU1338" s="73"/>
      <c r="AV1338" s="73"/>
      <c r="AW1338" s="73"/>
      <c r="AX1338" s="73"/>
      <c r="AY1338" s="73"/>
      <c r="AZ1338" s="73"/>
      <c r="BA1338" s="73"/>
      <c r="BB1338" s="73"/>
      <c r="BC1338" s="73"/>
      <c r="BD1338" s="73"/>
      <c r="BE1338" s="73"/>
      <c r="BF1338" s="73"/>
      <c r="BG1338" s="73"/>
      <c r="BH1338" s="73"/>
      <c r="BI1338" s="73"/>
      <c r="BJ1338" s="73"/>
      <c r="BK1338" s="73"/>
      <c r="BL1338" s="73"/>
      <c r="BM1338" s="73"/>
      <c r="BN1338" s="73"/>
      <c r="BO1338" s="73"/>
      <c r="BP1338" s="73"/>
      <c r="BQ1338" s="73"/>
      <c r="BR1338" s="73"/>
      <c r="BS1338" s="73"/>
      <c r="BT1338" s="73"/>
      <c r="BU1338" s="73"/>
      <c r="BV1338" s="73"/>
      <c r="BW1338" s="73"/>
      <c r="BX1338" s="73"/>
      <c r="BY1338" s="73"/>
      <c r="BZ1338" s="73"/>
      <c r="CA1338" s="73"/>
      <c r="CB1338" s="73"/>
      <c r="CC1338" s="73"/>
      <c r="CD1338" s="73"/>
      <c r="CE1338" s="73"/>
      <c r="CF1338" s="73"/>
      <c r="CG1338" s="73"/>
      <c r="CH1338" s="73"/>
    </row>
    <row r="1339">
      <c r="A1339" s="80"/>
      <c r="B1339" s="80"/>
      <c r="C1339" s="80"/>
      <c r="D1339" s="80"/>
      <c r="E1339" s="124"/>
      <c r="F1339" s="80"/>
      <c r="G1339" s="80"/>
      <c r="H1339" s="80"/>
      <c r="I1339" s="80"/>
      <c r="J1339" s="109"/>
      <c r="K1339" s="109"/>
      <c r="L1339" s="109"/>
      <c r="M1339" s="109"/>
      <c r="N1339" s="109"/>
      <c r="O1339" s="109"/>
      <c r="P1339" s="109"/>
      <c r="Q1339" s="109"/>
      <c r="R1339" s="109"/>
      <c r="S1339" s="109"/>
      <c r="T1339" s="109"/>
      <c r="U1339" s="109"/>
      <c r="V1339" s="109"/>
      <c r="W1339" s="109"/>
      <c r="X1339" s="109"/>
      <c r="Y1339" s="109"/>
      <c r="Z1339" s="109"/>
      <c r="AA1339" s="109"/>
      <c r="AB1339" s="109"/>
      <c r="AC1339" s="109"/>
      <c r="AD1339" s="109"/>
      <c r="AE1339" s="109"/>
      <c r="AF1339" s="109"/>
      <c r="AG1339" s="109"/>
      <c r="AH1339" s="109"/>
      <c r="AI1339" s="109"/>
      <c r="AJ1339" s="115"/>
      <c r="AK1339" s="80"/>
      <c r="AL1339" s="80"/>
      <c r="AM1339" s="80"/>
      <c r="AN1339" s="80"/>
      <c r="AO1339" s="80"/>
      <c r="AP1339" s="80"/>
      <c r="AQ1339" s="80"/>
      <c r="AR1339" s="73"/>
      <c r="AS1339" s="73"/>
      <c r="AT1339" s="73"/>
      <c r="AU1339" s="73"/>
      <c r="AV1339" s="73"/>
      <c r="AW1339" s="73"/>
      <c r="AX1339" s="73"/>
      <c r="AY1339" s="73"/>
      <c r="AZ1339" s="73"/>
      <c r="BA1339" s="73"/>
      <c r="BB1339" s="73"/>
      <c r="BC1339" s="73"/>
      <c r="BD1339" s="73"/>
      <c r="BE1339" s="73"/>
      <c r="BF1339" s="73"/>
      <c r="BG1339" s="73"/>
      <c r="BH1339" s="73"/>
      <c r="BI1339" s="73"/>
      <c r="BJ1339" s="73"/>
      <c r="BK1339" s="73"/>
      <c r="BL1339" s="73"/>
      <c r="BM1339" s="73"/>
      <c r="BN1339" s="73"/>
      <c r="BO1339" s="73"/>
      <c r="BP1339" s="73"/>
      <c r="BQ1339" s="73"/>
      <c r="BR1339" s="73"/>
      <c r="BS1339" s="73"/>
      <c r="BT1339" s="73"/>
      <c r="BU1339" s="73"/>
      <c r="BV1339" s="73"/>
      <c r="BW1339" s="73"/>
      <c r="BX1339" s="73"/>
      <c r="BY1339" s="73"/>
      <c r="BZ1339" s="73"/>
      <c r="CA1339" s="73"/>
      <c r="CB1339" s="73"/>
      <c r="CC1339" s="73"/>
      <c r="CD1339" s="73"/>
      <c r="CE1339" s="73"/>
      <c r="CF1339" s="73"/>
      <c r="CG1339" s="73"/>
      <c r="CH1339" s="73"/>
    </row>
    <row r="1340">
      <c r="A1340" s="80"/>
      <c r="B1340" s="80"/>
      <c r="C1340" s="80"/>
      <c r="D1340" s="80"/>
      <c r="E1340" s="124"/>
      <c r="F1340" s="80"/>
      <c r="G1340" s="80"/>
      <c r="H1340" s="80"/>
      <c r="I1340" s="80"/>
      <c r="J1340" s="109"/>
      <c r="K1340" s="109"/>
      <c r="L1340" s="109"/>
      <c r="M1340" s="109"/>
      <c r="N1340" s="109"/>
      <c r="O1340" s="109"/>
      <c r="P1340" s="109"/>
      <c r="Q1340" s="109"/>
      <c r="R1340" s="109"/>
      <c r="S1340" s="109"/>
      <c r="T1340" s="109"/>
      <c r="U1340" s="109"/>
      <c r="V1340" s="109"/>
      <c r="W1340" s="109"/>
      <c r="X1340" s="109"/>
      <c r="Y1340" s="109"/>
      <c r="Z1340" s="109"/>
      <c r="AA1340" s="109"/>
      <c r="AB1340" s="109"/>
      <c r="AC1340" s="109"/>
      <c r="AD1340" s="109"/>
      <c r="AE1340" s="109"/>
      <c r="AF1340" s="109"/>
      <c r="AG1340" s="109"/>
      <c r="AH1340" s="109"/>
      <c r="AI1340" s="109"/>
      <c r="AJ1340" s="115"/>
      <c r="AK1340" s="80"/>
      <c r="AL1340" s="80"/>
      <c r="AM1340" s="80"/>
      <c r="AN1340" s="80"/>
      <c r="AO1340" s="80"/>
      <c r="AP1340" s="80"/>
      <c r="AQ1340" s="80"/>
      <c r="AR1340" s="73"/>
      <c r="AS1340" s="73"/>
      <c r="AT1340" s="73"/>
      <c r="AU1340" s="73"/>
      <c r="AV1340" s="73"/>
      <c r="AW1340" s="73"/>
      <c r="AX1340" s="73"/>
      <c r="AY1340" s="73"/>
      <c r="AZ1340" s="73"/>
      <c r="BA1340" s="73"/>
      <c r="BB1340" s="73"/>
      <c r="BC1340" s="73"/>
      <c r="BD1340" s="73"/>
      <c r="BE1340" s="73"/>
      <c r="BF1340" s="73"/>
      <c r="BG1340" s="73"/>
      <c r="BH1340" s="73"/>
      <c r="BI1340" s="73"/>
      <c r="BJ1340" s="73"/>
      <c r="BK1340" s="73"/>
      <c r="BL1340" s="73"/>
      <c r="BM1340" s="73"/>
      <c r="BN1340" s="73"/>
      <c r="BO1340" s="73"/>
      <c r="BP1340" s="73"/>
      <c r="BQ1340" s="73"/>
      <c r="BR1340" s="73"/>
      <c r="BS1340" s="73"/>
      <c r="BT1340" s="73"/>
      <c r="BU1340" s="73"/>
      <c r="BV1340" s="73"/>
      <c r="BW1340" s="73"/>
      <c r="BX1340" s="73"/>
      <c r="BY1340" s="73"/>
      <c r="BZ1340" s="73"/>
      <c r="CA1340" s="73"/>
      <c r="CB1340" s="73"/>
      <c r="CC1340" s="73"/>
      <c r="CD1340" s="73"/>
      <c r="CE1340" s="73"/>
      <c r="CF1340" s="73"/>
      <c r="CG1340" s="73"/>
      <c r="CH1340" s="73"/>
    </row>
    <row r="1341">
      <c r="A1341" s="80"/>
      <c r="B1341" s="80"/>
      <c r="C1341" s="80"/>
      <c r="D1341" s="80"/>
      <c r="E1341" s="124"/>
      <c r="F1341" s="80"/>
      <c r="G1341" s="80"/>
      <c r="H1341" s="80"/>
      <c r="I1341" s="80"/>
      <c r="J1341" s="109"/>
      <c r="K1341" s="109"/>
      <c r="L1341" s="109"/>
      <c r="M1341" s="109"/>
      <c r="N1341" s="109"/>
      <c r="O1341" s="109"/>
      <c r="P1341" s="109"/>
      <c r="Q1341" s="109"/>
      <c r="R1341" s="109"/>
      <c r="S1341" s="109"/>
      <c r="T1341" s="109"/>
      <c r="U1341" s="109"/>
      <c r="V1341" s="109"/>
      <c r="W1341" s="109"/>
      <c r="X1341" s="109"/>
      <c r="Y1341" s="109"/>
      <c r="Z1341" s="109"/>
      <c r="AA1341" s="109"/>
      <c r="AB1341" s="109"/>
      <c r="AC1341" s="109"/>
      <c r="AD1341" s="109"/>
      <c r="AE1341" s="109"/>
      <c r="AF1341" s="109"/>
      <c r="AG1341" s="109"/>
      <c r="AH1341" s="109"/>
      <c r="AI1341" s="109"/>
      <c r="AJ1341" s="115"/>
      <c r="AK1341" s="80"/>
      <c r="AL1341" s="80"/>
      <c r="AM1341" s="80"/>
      <c r="AN1341" s="80"/>
      <c r="AO1341" s="80"/>
      <c r="AP1341" s="80"/>
      <c r="AQ1341" s="80"/>
      <c r="AR1341" s="73"/>
      <c r="AS1341" s="73"/>
      <c r="AT1341" s="73"/>
      <c r="AU1341" s="73"/>
      <c r="AV1341" s="73"/>
      <c r="AW1341" s="73"/>
      <c r="AX1341" s="73"/>
      <c r="AY1341" s="73"/>
      <c r="AZ1341" s="73"/>
      <c r="BA1341" s="73"/>
      <c r="BB1341" s="73"/>
      <c r="BC1341" s="73"/>
      <c r="BD1341" s="73"/>
      <c r="BE1341" s="73"/>
      <c r="BF1341" s="73"/>
      <c r="BG1341" s="73"/>
      <c r="BH1341" s="73"/>
      <c r="BI1341" s="73"/>
      <c r="BJ1341" s="73"/>
      <c r="BK1341" s="73"/>
      <c r="BL1341" s="73"/>
      <c r="BM1341" s="73"/>
      <c r="BN1341" s="73"/>
      <c r="BO1341" s="73"/>
      <c r="BP1341" s="73"/>
      <c r="BQ1341" s="73"/>
      <c r="BR1341" s="73"/>
      <c r="BS1341" s="73"/>
      <c r="BT1341" s="73"/>
      <c r="BU1341" s="73"/>
      <c r="BV1341" s="73"/>
      <c r="BW1341" s="73"/>
      <c r="BX1341" s="73"/>
      <c r="BY1341" s="73"/>
      <c r="BZ1341" s="73"/>
      <c r="CA1341" s="73"/>
      <c r="CB1341" s="73"/>
      <c r="CC1341" s="73"/>
      <c r="CD1341" s="73"/>
      <c r="CE1341" s="73"/>
      <c r="CF1341" s="73"/>
      <c r="CG1341" s="73"/>
      <c r="CH1341" s="73"/>
    </row>
    <row r="1342">
      <c r="A1342" s="80"/>
      <c r="B1342" s="80"/>
      <c r="C1342" s="80"/>
      <c r="D1342" s="80"/>
      <c r="E1342" s="124"/>
      <c r="F1342" s="80"/>
      <c r="G1342" s="80"/>
      <c r="H1342" s="80"/>
      <c r="I1342" s="80"/>
      <c r="J1342" s="109"/>
      <c r="K1342" s="109"/>
      <c r="L1342" s="109"/>
      <c r="M1342" s="109"/>
      <c r="N1342" s="109"/>
      <c r="O1342" s="109"/>
      <c r="P1342" s="109"/>
      <c r="Q1342" s="109"/>
      <c r="R1342" s="109"/>
      <c r="S1342" s="109"/>
      <c r="T1342" s="109"/>
      <c r="U1342" s="109"/>
      <c r="V1342" s="109"/>
      <c r="W1342" s="109"/>
      <c r="X1342" s="109"/>
      <c r="Y1342" s="109"/>
      <c r="Z1342" s="109"/>
      <c r="AA1342" s="109"/>
      <c r="AB1342" s="109"/>
      <c r="AC1342" s="109"/>
      <c r="AD1342" s="109"/>
      <c r="AE1342" s="109"/>
      <c r="AF1342" s="109"/>
      <c r="AG1342" s="109"/>
      <c r="AH1342" s="109"/>
      <c r="AI1342" s="109"/>
      <c r="AJ1342" s="115"/>
      <c r="AK1342" s="80"/>
      <c r="AL1342" s="80"/>
      <c r="AM1342" s="80"/>
      <c r="AN1342" s="80"/>
      <c r="AO1342" s="80"/>
      <c r="AP1342" s="80"/>
      <c r="AQ1342" s="80"/>
      <c r="AR1342" s="73"/>
      <c r="AS1342" s="73"/>
      <c r="AT1342" s="73"/>
      <c r="AU1342" s="73"/>
      <c r="AV1342" s="73"/>
      <c r="AW1342" s="73"/>
      <c r="AX1342" s="73"/>
      <c r="AY1342" s="73"/>
      <c r="AZ1342" s="73"/>
      <c r="BA1342" s="73"/>
      <c r="BB1342" s="73"/>
      <c r="BC1342" s="73"/>
      <c r="BD1342" s="73"/>
      <c r="BE1342" s="73"/>
      <c r="BF1342" s="73"/>
      <c r="BG1342" s="73"/>
      <c r="BH1342" s="73"/>
      <c r="BI1342" s="73"/>
      <c r="BJ1342" s="73"/>
      <c r="BK1342" s="73"/>
      <c r="BL1342" s="73"/>
      <c r="BM1342" s="73"/>
      <c r="BN1342" s="73"/>
      <c r="BO1342" s="73"/>
      <c r="BP1342" s="73"/>
      <c r="BQ1342" s="73"/>
      <c r="BR1342" s="73"/>
      <c r="BS1342" s="73"/>
      <c r="BT1342" s="73"/>
      <c r="BU1342" s="73"/>
      <c r="BV1342" s="73"/>
      <c r="BW1342" s="73"/>
      <c r="BX1342" s="73"/>
      <c r="BY1342" s="73"/>
      <c r="BZ1342" s="73"/>
      <c r="CA1342" s="73"/>
      <c r="CB1342" s="73"/>
      <c r="CC1342" s="73"/>
      <c r="CD1342" s="73"/>
      <c r="CE1342" s="73"/>
      <c r="CF1342" s="73"/>
      <c r="CG1342" s="73"/>
      <c r="CH1342" s="73"/>
    </row>
    <row r="1343">
      <c r="A1343" s="80"/>
      <c r="B1343" s="80"/>
      <c r="C1343" s="80"/>
      <c r="D1343" s="80"/>
      <c r="E1343" s="124"/>
      <c r="F1343" s="80"/>
      <c r="G1343" s="80"/>
      <c r="H1343" s="80"/>
      <c r="I1343" s="80"/>
      <c r="J1343" s="109"/>
      <c r="K1343" s="109"/>
      <c r="L1343" s="109"/>
      <c r="M1343" s="109"/>
      <c r="N1343" s="109"/>
      <c r="O1343" s="109"/>
      <c r="P1343" s="109"/>
      <c r="Q1343" s="109"/>
      <c r="R1343" s="109"/>
      <c r="S1343" s="109"/>
      <c r="T1343" s="109"/>
      <c r="U1343" s="109"/>
      <c r="V1343" s="109"/>
      <c r="W1343" s="109"/>
      <c r="X1343" s="109"/>
      <c r="Y1343" s="109"/>
      <c r="Z1343" s="109"/>
      <c r="AA1343" s="109"/>
      <c r="AB1343" s="109"/>
      <c r="AC1343" s="109"/>
      <c r="AD1343" s="109"/>
      <c r="AE1343" s="109"/>
      <c r="AF1343" s="109"/>
      <c r="AG1343" s="109"/>
      <c r="AH1343" s="109"/>
      <c r="AI1343" s="109"/>
      <c r="AJ1343" s="115"/>
      <c r="AK1343" s="80"/>
      <c r="AL1343" s="80"/>
      <c r="AM1343" s="80"/>
      <c r="AN1343" s="80"/>
      <c r="AO1343" s="80"/>
      <c r="AP1343" s="80"/>
      <c r="AQ1343" s="80"/>
      <c r="AR1343" s="73"/>
      <c r="AS1343" s="73"/>
      <c r="AT1343" s="73"/>
      <c r="AU1343" s="73"/>
      <c r="AV1343" s="73"/>
      <c r="AW1343" s="73"/>
      <c r="AX1343" s="73"/>
      <c r="AY1343" s="73"/>
      <c r="AZ1343" s="73"/>
      <c r="BA1343" s="73"/>
      <c r="BB1343" s="73"/>
      <c r="BC1343" s="73"/>
      <c r="BD1343" s="73"/>
      <c r="BE1343" s="73"/>
      <c r="BF1343" s="73"/>
      <c r="BG1343" s="73"/>
      <c r="BH1343" s="73"/>
      <c r="BI1343" s="73"/>
      <c r="BJ1343" s="73"/>
      <c r="BK1343" s="73"/>
      <c r="BL1343" s="73"/>
      <c r="BM1343" s="73"/>
      <c r="BN1343" s="73"/>
      <c r="BO1343" s="73"/>
      <c r="BP1343" s="73"/>
      <c r="BQ1343" s="73"/>
      <c r="BR1343" s="73"/>
      <c r="BS1343" s="73"/>
      <c r="BT1343" s="73"/>
      <c r="BU1343" s="73"/>
      <c r="BV1343" s="73"/>
      <c r="BW1343" s="73"/>
      <c r="BX1343" s="73"/>
      <c r="BY1343" s="73"/>
      <c r="BZ1343" s="73"/>
      <c r="CA1343" s="73"/>
      <c r="CB1343" s="73"/>
      <c r="CC1343" s="73"/>
      <c r="CD1343" s="73"/>
      <c r="CE1343" s="73"/>
      <c r="CF1343" s="73"/>
      <c r="CG1343" s="73"/>
      <c r="CH1343" s="73"/>
    </row>
    <row r="1344">
      <c r="A1344" s="80"/>
      <c r="B1344" s="80"/>
      <c r="C1344" s="80"/>
      <c r="D1344" s="80"/>
      <c r="E1344" s="124"/>
      <c r="F1344" s="80"/>
      <c r="G1344" s="80"/>
      <c r="H1344" s="80"/>
      <c r="I1344" s="80"/>
      <c r="J1344" s="109"/>
      <c r="K1344" s="109"/>
      <c r="L1344" s="109"/>
      <c r="M1344" s="109"/>
      <c r="N1344" s="109"/>
      <c r="O1344" s="109"/>
      <c r="P1344" s="109"/>
      <c r="Q1344" s="109"/>
      <c r="R1344" s="109"/>
      <c r="S1344" s="109"/>
      <c r="T1344" s="109"/>
      <c r="U1344" s="109"/>
      <c r="V1344" s="109"/>
      <c r="W1344" s="109"/>
      <c r="X1344" s="109"/>
      <c r="Y1344" s="109"/>
      <c r="Z1344" s="109"/>
      <c r="AA1344" s="109"/>
      <c r="AB1344" s="109"/>
      <c r="AC1344" s="109"/>
      <c r="AD1344" s="109"/>
      <c r="AE1344" s="109"/>
      <c r="AF1344" s="109"/>
      <c r="AG1344" s="109"/>
      <c r="AH1344" s="109"/>
      <c r="AI1344" s="109"/>
      <c r="AJ1344" s="115"/>
      <c r="AK1344" s="80"/>
      <c r="AL1344" s="80"/>
      <c r="AM1344" s="80"/>
      <c r="AN1344" s="80"/>
      <c r="AO1344" s="80"/>
      <c r="AP1344" s="80"/>
      <c r="AQ1344" s="80"/>
      <c r="AR1344" s="73"/>
      <c r="AS1344" s="73"/>
      <c r="AT1344" s="73"/>
      <c r="AU1344" s="73"/>
      <c r="AV1344" s="73"/>
      <c r="AW1344" s="73"/>
      <c r="AX1344" s="73"/>
      <c r="AY1344" s="73"/>
      <c r="AZ1344" s="73"/>
      <c r="BA1344" s="73"/>
      <c r="BB1344" s="73"/>
      <c r="BC1344" s="73"/>
      <c r="BD1344" s="73"/>
      <c r="BE1344" s="73"/>
      <c r="BF1344" s="73"/>
      <c r="BG1344" s="73"/>
      <c r="BH1344" s="73"/>
      <c r="BI1344" s="73"/>
      <c r="BJ1344" s="73"/>
      <c r="BK1344" s="73"/>
      <c r="BL1344" s="73"/>
      <c r="BM1344" s="73"/>
      <c r="BN1344" s="73"/>
      <c r="BO1344" s="73"/>
      <c r="BP1344" s="73"/>
      <c r="BQ1344" s="73"/>
      <c r="BR1344" s="73"/>
      <c r="BS1344" s="73"/>
      <c r="BT1344" s="73"/>
      <c r="BU1344" s="73"/>
      <c r="BV1344" s="73"/>
      <c r="BW1344" s="73"/>
      <c r="BX1344" s="73"/>
      <c r="BY1344" s="73"/>
      <c r="BZ1344" s="73"/>
      <c r="CA1344" s="73"/>
      <c r="CB1344" s="73"/>
      <c r="CC1344" s="73"/>
      <c r="CD1344" s="73"/>
      <c r="CE1344" s="73"/>
      <c r="CF1344" s="73"/>
      <c r="CG1344" s="73"/>
      <c r="CH1344" s="73"/>
    </row>
    <row r="1345">
      <c r="A1345" s="80"/>
      <c r="B1345" s="80"/>
      <c r="C1345" s="80"/>
      <c r="D1345" s="80"/>
      <c r="E1345" s="124"/>
      <c r="F1345" s="80"/>
      <c r="G1345" s="80"/>
      <c r="H1345" s="80"/>
      <c r="I1345" s="80"/>
      <c r="J1345" s="109"/>
      <c r="K1345" s="109"/>
      <c r="L1345" s="109"/>
      <c r="M1345" s="109"/>
      <c r="N1345" s="109"/>
      <c r="O1345" s="109"/>
      <c r="P1345" s="109"/>
      <c r="Q1345" s="109"/>
      <c r="R1345" s="109"/>
      <c r="S1345" s="109"/>
      <c r="T1345" s="109"/>
      <c r="U1345" s="109"/>
      <c r="V1345" s="109"/>
      <c r="W1345" s="109"/>
      <c r="X1345" s="109"/>
      <c r="Y1345" s="109"/>
      <c r="Z1345" s="109"/>
      <c r="AA1345" s="109"/>
      <c r="AB1345" s="109"/>
      <c r="AC1345" s="109"/>
      <c r="AD1345" s="109"/>
      <c r="AE1345" s="109"/>
      <c r="AF1345" s="109"/>
      <c r="AG1345" s="109"/>
      <c r="AH1345" s="109"/>
      <c r="AI1345" s="109"/>
      <c r="AJ1345" s="115"/>
      <c r="AK1345" s="80"/>
      <c r="AL1345" s="80"/>
      <c r="AM1345" s="80"/>
      <c r="AN1345" s="80"/>
      <c r="AO1345" s="80"/>
      <c r="AP1345" s="80"/>
      <c r="AQ1345" s="80"/>
      <c r="AR1345" s="73"/>
      <c r="AS1345" s="73"/>
      <c r="AT1345" s="73"/>
      <c r="AU1345" s="73"/>
      <c r="AV1345" s="73"/>
      <c r="AW1345" s="73"/>
      <c r="AX1345" s="73"/>
      <c r="AY1345" s="73"/>
      <c r="AZ1345" s="73"/>
      <c r="BA1345" s="73"/>
      <c r="BB1345" s="73"/>
      <c r="BC1345" s="73"/>
      <c r="BD1345" s="73"/>
      <c r="BE1345" s="73"/>
      <c r="BF1345" s="73"/>
      <c r="BG1345" s="73"/>
      <c r="BH1345" s="73"/>
      <c r="BI1345" s="73"/>
      <c r="BJ1345" s="73"/>
      <c r="BK1345" s="73"/>
      <c r="BL1345" s="73"/>
      <c r="BM1345" s="73"/>
      <c r="BN1345" s="73"/>
      <c r="BO1345" s="73"/>
      <c r="BP1345" s="73"/>
      <c r="BQ1345" s="73"/>
      <c r="BR1345" s="73"/>
      <c r="BS1345" s="73"/>
      <c r="BT1345" s="73"/>
      <c r="BU1345" s="73"/>
      <c r="BV1345" s="73"/>
      <c r="BW1345" s="73"/>
      <c r="BX1345" s="73"/>
      <c r="BY1345" s="73"/>
      <c r="BZ1345" s="73"/>
      <c r="CA1345" s="73"/>
      <c r="CB1345" s="73"/>
      <c r="CC1345" s="73"/>
      <c r="CD1345" s="73"/>
      <c r="CE1345" s="73"/>
      <c r="CF1345" s="73"/>
      <c r="CG1345" s="73"/>
      <c r="CH1345" s="73"/>
    </row>
    <row r="1346">
      <c r="A1346" s="80"/>
      <c r="B1346" s="80"/>
      <c r="C1346" s="80"/>
      <c r="D1346" s="80"/>
      <c r="E1346" s="124"/>
      <c r="F1346" s="80"/>
      <c r="G1346" s="80"/>
      <c r="H1346" s="80"/>
      <c r="I1346" s="80"/>
      <c r="J1346" s="109"/>
      <c r="K1346" s="109"/>
      <c r="L1346" s="109"/>
      <c r="M1346" s="109"/>
      <c r="N1346" s="109"/>
      <c r="O1346" s="109"/>
      <c r="P1346" s="109"/>
      <c r="Q1346" s="109"/>
      <c r="R1346" s="109"/>
      <c r="S1346" s="109"/>
      <c r="T1346" s="109"/>
      <c r="U1346" s="109"/>
      <c r="V1346" s="109"/>
      <c r="W1346" s="109"/>
      <c r="X1346" s="109"/>
      <c r="Y1346" s="109"/>
      <c r="Z1346" s="109"/>
      <c r="AA1346" s="109"/>
      <c r="AB1346" s="109"/>
      <c r="AC1346" s="109"/>
      <c r="AD1346" s="109"/>
      <c r="AE1346" s="109"/>
      <c r="AF1346" s="109"/>
      <c r="AG1346" s="109"/>
      <c r="AH1346" s="109"/>
      <c r="AI1346" s="109"/>
      <c r="AJ1346" s="115"/>
      <c r="AK1346" s="80"/>
      <c r="AL1346" s="80"/>
      <c r="AM1346" s="80"/>
      <c r="AN1346" s="80"/>
      <c r="AO1346" s="80"/>
      <c r="AP1346" s="80"/>
      <c r="AQ1346" s="80"/>
      <c r="AR1346" s="73"/>
      <c r="AS1346" s="73"/>
      <c r="AT1346" s="73"/>
      <c r="AU1346" s="73"/>
      <c r="AV1346" s="73"/>
      <c r="AW1346" s="73"/>
      <c r="AX1346" s="73"/>
      <c r="AY1346" s="73"/>
      <c r="AZ1346" s="73"/>
      <c r="BA1346" s="73"/>
      <c r="BB1346" s="73"/>
      <c r="BC1346" s="73"/>
      <c r="BD1346" s="73"/>
      <c r="BE1346" s="73"/>
      <c r="BF1346" s="73"/>
      <c r="BG1346" s="73"/>
      <c r="BH1346" s="73"/>
      <c r="BI1346" s="73"/>
      <c r="BJ1346" s="73"/>
      <c r="BK1346" s="73"/>
      <c r="BL1346" s="73"/>
      <c r="BM1346" s="73"/>
      <c r="BN1346" s="73"/>
      <c r="BO1346" s="73"/>
      <c r="BP1346" s="73"/>
      <c r="BQ1346" s="73"/>
      <c r="BR1346" s="73"/>
      <c r="BS1346" s="73"/>
      <c r="BT1346" s="73"/>
      <c r="BU1346" s="73"/>
      <c r="BV1346" s="73"/>
      <c r="BW1346" s="73"/>
      <c r="BX1346" s="73"/>
      <c r="BY1346" s="73"/>
      <c r="BZ1346" s="73"/>
      <c r="CA1346" s="73"/>
      <c r="CB1346" s="73"/>
      <c r="CC1346" s="73"/>
      <c r="CD1346" s="73"/>
      <c r="CE1346" s="73"/>
      <c r="CF1346" s="73"/>
      <c r="CG1346" s="73"/>
      <c r="CH1346" s="73"/>
    </row>
    <row r="1347">
      <c r="A1347" s="80"/>
      <c r="B1347" s="80"/>
      <c r="C1347" s="80"/>
      <c r="D1347" s="80"/>
      <c r="E1347" s="124"/>
      <c r="F1347" s="80"/>
      <c r="G1347" s="80"/>
      <c r="H1347" s="80"/>
      <c r="I1347" s="80"/>
      <c r="J1347" s="109"/>
      <c r="K1347" s="109"/>
      <c r="L1347" s="109"/>
      <c r="M1347" s="109"/>
      <c r="N1347" s="109"/>
      <c r="O1347" s="109"/>
      <c r="P1347" s="109"/>
      <c r="Q1347" s="109"/>
      <c r="R1347" s="109"/>
      <c r="S1347" s="109"/>
      <c r="T1347" s="109"/>
      <c r="U1347" s="109"/>
      <c r="V1347" s="109"/>
      <c r="W1347" s="109"/>
      <c r="X1347" s="109"/>
      <c r="Y1347" s="109"/>
      <c r="Z1347" s="109"/>
      <c r="AA1347" s="109"/>
      <c r="AB1347" s="109"/>
      <c r="AC1347" s="109"/>
      <c r="AD1347" s="109"/>
      <c r="AE1347" s="109"/>
      <c r="AF1347" s="109"/>
      <c r="AG1347" s="109"/>
      <c r="AH1347" s="109"/>
      <c r="AI1347" s="109"/>
      <c r="AJ1347" s="115"/>
      <c r="AK1347" s="80"/>
      <c r="AL1347" s="80"/>
      <c r="AM1347" s="80"/>
      <c r="AN1347" s="80"/>
      <c r="AO1347" s="80"/>
      <c r="AP1347" s="80"/>
      <c r="AQ1347" s="80"/>
      <c r="AR1347" s="73"/>
      <c r="AS1347" s="73"/>
      <c r="AT1347" s="73"/>
      <c r="AU1347" s="73"/>
      <c r="AV1347" s="73"/>
      <c r="AW1347" s="73"/>
      <c r="AX1347" s="73"/>
      <c r="AY1347" s="73"/>
      <c r="AZ1347" s="73"/>
      <c r="BA1347" s="73"/>
      <c r="BB1347" s="73"/>
      <c r="BC1347" s="73"/>
      <c r="BD1347" s="73"/>
      <c r="BE1347" s="73"/>
      <c r="BF1347" s="73"/>
      <c r="BG1347" s="73"/>
      <c r="BH1347" s="73"/>
      <c r="BI1347" s="73"/>
      <c r="BJ1347" s="73"/>
      <c r="BK1347" s="73"/>
      <c r="BL1347" s="73"/>
      <c r="BM1347" s="73"/>
      <c r="BN1347" s="73"/>
      <c r="BO1347" s="73"/>
      <c r="BP1347" s="73"/>
      <c r="BQ1347" s="73"/>
      <c r="BR1347" s="73"/>
      <c r="BS1347" s="73"/>
      <c r="BT1347" s="73"/>
      <c r="BU1347" s="73"/>
      <c r="BV1347" s="73"/>
      <c r="BW1347" s="73"/>
      <c r="BX1347" s="73"/>
      <c r="BY1347" s="73"/>
      <c r="BZ1347" s="73"/>
      <c r="CA1347" s="73"/>
      <c r="CB1347" s="73"/>
      <c r="CC1347" s="73"/>
      <c r="CD1347" s="73"/>
      <c r="CE1347" s="73"/>
      <c r="CF1347" s="73"/>
      <c r="CG1347" s="73"/>
      <c r="CH1347" s="73"/>
    </row>
    <row r="1348">
      <c r="A1348" s="80"/>
      <c r="B1348" s="80"/>
      <c r="C1348" s="80"/>
      <c r="D1348" s="80"/>
      <c r="E1348" s="124"/>
      <c r="F1348" s="80"/>
      <c r="G1348" s="80"/>
      <c r="H1348" s="80"/>
      <c r="I1348" s="80"/>
      <c r="J1348" s="109"/>
      <c r="K1348" s="109"/>
      <c r="L1348" s="109"/>
      <c r="M1348" s="109"/>
      <c r="N1348" s="109"/>
      <c r="O1348" s="109"/>
      <c r="P1348" s="109"/>
      <c r="Q1348" s="109"/>
      <c r="R1348" s="109"/>
      <c r="S1348" s="109"/>
      <c r="T1348" s="109"/>
      <c r="U1348" s="109"/>
      <c r="V1348" s="109"/>
      <c r="W1348" s="109"/>
      <c r="X1348" s="109"/>
      <c r="Y1348" s="109"/>
      <c r="Z1348" s="109"/>
      <c r="AA1348" s="109"/>
      <c r="AB1348" s="109"/>
      <c r="AC1348" s="109"/>
      <c r="AD1348" s="109"/>
      <c r="AE1348" s="109"/>
      <c r="AF1348" s="109"/>
      <c r="AG1348" s="109"/>
      <c r="AH1348" s="109"/>
      <c r="AI1348" s="109"/>
      <c r="AJ1348" s="115"/>
      <c r="AK1348" s="80"/>
      <c r="AL1348" s="80"/>
      <c r="AM1348" s="80"/>
      <c r="AN1348" s="80"/>
      <c r="AO1348" s="80"/>
      <c r="AP1348" s="80"/>
      <c r="AQ1348" s="80"/>
      <c r="AR1348" s="73"/>
      <c r="AS1348" s="73"/>
      <c r="AT1348" s="73"/>
      <c r="AU1348" s="73"/>
      <c r="AV1348" s="73"/>
      <c r="AW1348" s="73"/>
      <c r="AX1348" s="73"/>
      <c r="AY1348" s="73"/>
      <c r="AZ1348" s="73"/>
      <c r="BA1348" s="73"/>
      <c r="BB1348" s="73"/>
      <c r="BC1348" s="73"/>
      <c r="BD1348" s="73"/>
      <c r="BE1348" s="73"/>
      <c r="BF1348" s="73"/>
      <c r="BG1348" s="73"/>
      <c r="BH1348" s="73"/>
      <c r="BI1348" s="73"/>
      <c r="BJ1348" s="73"/>
      <c r="BK1348" s="73"/>
      <c r="BL1348" s="73"/>
      <c r="BM1348" s="73"/>
      <c r="BN1348" s="73"/>
      <c r="BO1348" s="73"/>
      <c r="BP1348" s="73"/>
      <c r="BQ1348" s="73"/>
      <c r="BR1348" s="73"/>
      <c r="BS1348" s="73"/>
      <c r="BT1348" s="73"/>
      <c r="BU1348" s="73"/>
      <c r="BV1348" s="73"/>
      <c r="BW1348" s="73"/>
      <c r="BX1348" s="73"/>
      <c r="BY1348" s="73"/>
      <c r="BZ1348" s="73"/>
      <c r="CA1348" s="73"/>
      <c r="CB1348" s="73"/>
      <c r="CC1348" s="73"/>
      <c r="CD1348" s="73"/>
      <c r="CE1348" s="73"/>
      <c r="CF1348" s="73"/>
      <c r="CG1348" s="73"/>
      <c r="CH1348" s="73"/>
    </row>
    <row r="1349">
      <c r="A1349" s="80"/>
      <c r="B1349" s="80"/>
      <c r="C1349" s="80"/>
      <c r="D1349" s="80"/>
      <c r="E1349" s="124"/>
      <c r="F1349" s="80"/>
      <c r="G1349" s="80"/>
      <c r="H1349" s="80"/>
      <c r="I1349" s="80"/>
      <c r="J1349" s="109"/>
      <c r="K1349" s="109"/>
      <c r="L1349" s="109"/>
      <c r="M1349" s="109"/>
      <c r="N1349" s="109"/>
      <c r="O1349" s="109"/>
      <c r="P1349" s="109"/>
      <c r="Q1349" s="109"/>
      <c r="R1349" s="109"/>
      <c r="S1349" s="109"/>
      <c r="T1349" s="109"/>
      <c r="U1349" s="109"/>
      <c r="V1349" s="109"/>
      <c r="W1349" s="109"/>
      <c r="X1349" s="109"/>
      <c r="Y1349" s="109"/>
      <c r="Z1349" s="109"/>
      <c r="AA1349" s="109"/>
      <c r="AB1349" s="109"/>
      <c r="AC1349" s="109"/>
      <c r="AD1349" s="109"/>
      <c r="AE1349" s="109"/>
      <c r="AF1349" s="109"/>
      <c r="AG1349" s="109"/>
      <c r="AH1349" s="109"/>
      <c r="AI1349" s="109"/>
      <c r="AJ1349" s="115"/>
      <c r="AK1349" s="80"/>
      <c r="AL1349" s="80"/>
      <c r="AM1349" s="80"/>
      <c r="AN1349" s="80"/>
      <c r="AO1349" s="80"/>
      <c r="AP1349" s="80"/>
      <c r="AQ1349" s="80"/>
      <c r="AR1349" s="73"/>
      <c r="AS1349" s="73"/>
      <c r="AT1349" s="73"/>
      <c r="AU1349" s="73"/>
      <c r="AV1349" s="73"/>
      <c r="AW1349" s="73"/>
      <c r="AX1349" s="73"/>
      <c r="AY1349" s="73"/>
      <c r="AZ1349" s="73"/>
      <c r="BA1349" s="73"/>
      <c r="BB1349" s="73"/>
      <c r="BC1349" s="73"/>
      <c r="BD1349" s="73"/>
      <c r="BE1349" s="73"/>
      <c r="BF1349" s="73"/>
      <c r="BG1349" s="73"/>
      <c r="BH1349" s="73"/>
      <c r="BI1349" s="73"/>
      <c r="BJ1349" s="73"/>
      <c r="BK1349" s="73"/>
      <c r="BL1349" s="73"/>
      <c r="BM1349" s="73"/>
      <c r="BN1349" s="73"/>
      <c r="BO1349" s="73"/>
      <c r="BP1349" s="73"/>
      <c r="BQ1349" s="73"/>
      <c r="BR1349" s="73"/>
      <c r="BS1349" s="73"/>
      <c r="BT1349" s="73"/>
      <c r="BU1349" s="73"/>
      <c r="BV1349" s="73"/>
      <c r="BW1349" s="73"/>
      <c r="BX1349" s="73"/>
      <c r="BY1349" s="73"/>
      <c r="BZ1349" s="73"/>
      <c r="CA1349" s="73"/>
      <c r="CB1349" s="73"/>
      <c r="CC1349" s="73"/>
      <c r="CD1349" s="73"/>
      <c r="CE1349" s="73"/>
      <c r="CF1349" s="73"/>
      <c r="CG1349" s="73"/>
      <c r="CH1349" s="73"/>
    </row>
    <row r="1350">
      <c r="A1350" s="80"/>
      <c r="B1350" s="80"/>
      <c r="C1350" s="80"/>
      <c r="D1350" s="80"/>
      <c r="E1350" s="124"/>
      <c r="F1350" s="80"/>
      <c r="G1350" s="80"/>
      <c r="H1350" s="80"/>
      <c r="I1350" s="80"/>
      <c r="J1350" s="109"/>
      <c r="K1350" s="109"/>
      <c r="L1350" s="109"/>
      <c r="M1350" s="109"/>
      <c r="N1350" s="109"/>
      <c r="O1350" s="109"/>
      <c r="P1350" s="109"/>
      <c r="Q1350" s="109"/>
      <c r="R1350" s="109"/>
      <c r="S1350" s="109"/>
      <c r="T1350" s="109"/>
      <c r="U1350" s="109"/>
      <c r="V1350" s="109"/>
      <c r="W1350" s="109"/>
      <c r="X1350" s="109"/>
      <c r="Y1350" s="109"/>
      <c r="Z1350" s="109"/>
      <c r="AA1350" s="109"/>
      <c r="AB1350" s="109"/>
      <c r="AC1350" s="109"/>
      <c r="AD1350" s="109"/>
      <c r="AE1350" s="109"/>
      <c r="AF1350" s="109"/>
      <c r="AG1350" s="109"/>
      <c r="AH1350" s="109"/>
      <c r="AI1350" s="109"/>
      <c r="AJ1350" s="115"/>
      <c r="AK1350" s="80"/>
      <c r="AL1350" s="80"/>
      <c r="AM1350" s="80"/>
      <c r="AN1350" s="80"/>
      <c r="AO1350" s="80"/>
      <c r="AP1350" s="80"/>
      <c r="AQ1350" s="80"/>
      <c r="AR1350" s="73"/>
      <c r="AS1350" s="73"/>
      <c r="AT1350" s="73"/>
      <c r="AU1350" s="73"/>
      <c r="AV1350" s="73"/>
      <c r="AW1350" s="73"/>
      <c r="AX1350" s="73"/>
      <c r="AY1350" s="73"/>
      <c r="AZ1350" s="73"/>
      <c r="BA1350" s="73"/>
      <c r="BB1350" s="73"/>
      <c r="BC1350" s="73"/>
      <c r="BD1350" s="73"/>
      <c r="BE1350" s="73"/>
      <c r="BF1350" s="73"/>
      <c r="BG1350" s="73"/>
      <c r="BH1350" s="73"/>
      <c r="BI1350" s="73"/>
      <c r="BJ1350" s="73"/>
      <c r="BK1350" s="73"/>
      <c r="BL1350" s="73"/>
      <c r="BM1350" s="73"/>
      <c r="BN1350" s="73"/>
      <c r="BO1350" s="73"/>
      <c r="BP1350" s="73"/>
      <c r="BQ1350" s="73"/>
      <c r="BR1350" s="73"/>
      <c r="BS1350" s="73"/>
      <c r="BT1350" s="73"/>
      <c r="BU1350" s="73"/>
      <c r="BV1350" s="73"/>
      <c r="BW1350" s="73"/>
      <c r="BX1350" s="73"/>
      <c r="BY1350" s="73"/>
      <c r="BZ1350" s="73"/>
      <c r="CA1350" s="73"/>
      <c r="CB1350" s="73"/>
      <c r="CC1350" s="73"/>
      <c r="CD1350" s="73"/>
      <c r="CE1350" s="73"/>
      <c r="CF1350" s="73"/>
      <c r="CG1350" s="73"/>
      <c r="CH1350" s="73"/>
    </row>
    <row r="1351">
      <c r="A1351" s="80"/>
      <c r="B1351" s="80"/>
      <c r="C1351" s="80"/>
      <c r="D1351" s="80"/>
      <c r="E1351" s="124"/>
      <c r="F1351" s="80"/>
      <c r="G1351" s="80"/>
      <c r="H1351" s="80"/>
      <c r="I1351" s="80"/>
      <c r="J1351" s="109"/>
      <c r="K1351" s="109"/>
      <c r="L1351" s="109"/>
      <c r="M1351" s="109"/>
      <c r="N1351" s="109"/>
      <c r="O1351" s="109"/>
      <c r="P1351" s="109"/>
      <c r="Q1351" s="109"/>
      <c r="R1351" s="109"/>
      <c r="S1351" s="109"/>
      <c r="T1351" s="109"/>
      <c r="U1351" s="109"/>
      <c r="V1351" s="109"/>
      <c r="W1351" s="109"/>
      <c r="X1351" s="109"/>
      <c r="Y1351" s="109"/>
      <c r="Z1351" s="109"/>
      <c r="AA1351" s="109"/>
      <c r="AB1351" s="109"/>
      <c r="AC1351" s="109"/>
      <c r="AD1351" s="109"/>
      <c r="AE1351" s="109"/>
      <c r="AF1351" s="109"/>
      <c r="AG1351" s="109"/>
      <c r="AH1351" s="109"/>
      <c r="AI1351" s="109"/>
      <c r="AJ1351" s="115"/>
      <c r="AK1351" s="80"/>
      <c r="AL1351" s="80"/>
      <c r="AM1351" s="80"/>
      <c r="AN1351" s="80"/>
      <c r="AO1351" s="80"/>
      <c r="AP1351" s="80"/>
      <c r="AQ1351" s="80"/>
      <c r="AR1351" s="73"/>
      <c r="AS1351" s="73"/>
      <c r="AT1351" s="73"/>
      <c r="AU1351" s="73"/>
      <c r="AV1351" s="73"/>
      <c r="AW1351" s="73"/>
      <c r="AX1351" s="73"/>
      <c r="AY1351" s="73"/>
      <c r="AZ1351" s="73"/>
      <c r="BA1351" s="73"/>
      <c r="BB1351" s="73"/>
      <c r="BC1351" s="73"/>
      <c r="BD1351" s="73"/>
      <c r="BE1351" s="73"/>
      <c r="BF1351" s="73"/>
      <c r="BG1351" s="73"/>
      <c r="BH1351" s="73"/>
      <c r="BI1351" s="73"/>
      <c r="BJ1351" s="73"/>
      <c r="BK1351" s="73"/>
      <c r="BL1351" s="73"/>
      <c r="BM1351" s="73"/>
      <c r="BN1351" s="73"/>
      <c r="BO1351" s="73"/>
      <c r="BP1351" s="73"/>
      <c r="BQ1351" s="73"/>
      <c r="BR1351" s="73"/>
      <c r="BS1351" s="73"/>
      <c r="BT1351" s="73"/>
      <c r="BU1351" s="73"/>
      <c r="BV1351" s="73"/>
      <c r="BW1351" s="73"/>
      <c r="BX1351" s="73"/>
      <c r="BY1351" s="73"/>
      <c r="BZ1351" s="73"/>
      <c r="CA1351" s="73"/>
      <c r="CB1351" s="73"/>
      <c r="CC1351" s="73"/>
      <c r="CD1351" s="73"/>
      <c r="CE1351" s="73"/>
      <c r="CF1351" s="73"/>
      <c r="CG1351" s="73"/>
      <c r="CH1351" s="73"/>
    </row>
    <row r="1352">
      <c r="A1352" s="80"/>
      <c r="B1352" s="80"/>
      <c r="C1352" s="80"/>
      <c r="D1352" s="80"/>
      <c r="E1352" s="124"/>
      <c r="F1352" s="80"/>
      <c r="G1352" s="80"/>
      <c r="H1352" s="80"/>
      <c r="I1352" s="80"/>
      <c r="J1352" s="109"/>
      <c r="K1352" s="109"/>
      <c r="L1352" s="109"/>
      <c r="M1352" s="109"/>
      <c r="N1352" s="109"/>
      <c r="O1352" s="109"/>
      <c r="P1352" s="109"/>
      <c r="Q1352" s="109"/>
      <c r="R1352" s="109"/>
      <c r="S1352" s="109"/>
      <c r="T1352" s="109"/>
      <c r="U1352" s="109"/>
      <c r="V1352" s="109"/>
      <c r="W1352" s="109"/>
      <c r="X1352" s="109"/>
      <c r="Y1352" s="109"/>
      <c r="Z1352" s="109"/>
      <c r="AA1352" s="109"/>
      <c r="AB1352" s="109"/>
      <c r="AC1352" s="109"/>
      <c r="AD1352" s="109"/>
      <c r="AE1352" s="109"/>
      <c r="AF1352" s="109"/>
      <c r="AG1352" s="109"/>
      <c r="AH1352" s="109"/>
      <c r="AI1352" s="109"/>
      <c r="AJ1352" s="115"/>
      <c r="AK1352" s="80"/>
      <c r="AL1352" s="80"/>
      <c r="AM1352" s="80"/>
      <c r="AN1352" s="80"/>
      <c r="AO1352" s="80"/>
      <c r="AP1352" s="80"/>
      <c r="AQ1352" s="80"/>
      <c r="AR1352" s="73"/>
      <c r="AS1352" s="73"/>
      <c r="AT1352" s="73"/>
      <c r="AU1352" s="73"/>
      <c r="AV1352" s="73"/>
      <c r="AW1352" s="73"/>
      <c r="AX1352" s="73"/>
      <c r="AY1352" s="73"/>
      <c r="AZ1352" s="73"/>
      <c r="BA1352" s="73"/>
      <c r="BB1352" s="73"/>
      <c r="BC1352" s="73"/>
      <c r="BD1352" s="73"/>
      <c r="BE1352" s="73"/>
      <c r="BF1352" s="73"/>
      <c r="BG1352" s="73"/>
      <c r="BH1352" s="73"/>
      <c r="BI1352" s="73"/>
      <c r="BJ1352" s="73"/>
      <c r="BK1352" s="73"/>
      <c r="BL1352" s="73"/>
      <c r="BM1352" s="73"/>
      <c r="BN1352" s="73"/>
      <c r="BO1352" s="73"/>
      <c r="BP1352" s="73"/>
      <c r="BQ1352" s="73"/>
      <c r="BR1352" s="73"/>
      <c r="BS1352" s="73"/>
      <c r="BT1352" s="73"/>
      <c r="BU1352" s="73"/>
      <c r="BV1352" s="73"/>
      <c r="BW1352" s="73"/>
      <c r="BX1352" s="73"/>
      <c r="BY1352" s="73"/>
      <c r="BZ1352" s="73"/>
      <c r="CA1352" s="73"/>
      <c r="CB1352" s="73"/>
      <c r="CC1352" s="73"/>
      <c r="CD1352" s="73"/>
      <c r="CE1352" s="73"/>
      <c r="CF1352" s="73"/>
      <c r="CG1352" s="73"/>
      <c r="CH1352" s="73"/>
    </row>
    <row r="1353">
      <c r="A1353" s="80"/>
      <c r="B1353" s="80"/>
      <c r="C1353" s="80"/>
      <c r="D1353" s="80"/>
      <c r="E1353" s="124"/>
      <c r="F1353" s="80"/>
      <c r="G1353" s="80"/>
      <c r="H1353" s="80"/>
      <c r="I1353" s="80"/>
      <c r="J1353" s="109"/>
      <c r="K1353" s="109"/>
      <c r="L1353" s="109"/>
      <c r="M1353" s="109"/>
      <c r="N1353" s="109"/>
      <c r="O1353" s="109"/>
      <c r="P1353" s="109"/>
      <c r="Q1353" s="109"/>
      <c r="R1353" s="109"/>
      <c r="S1353" s="109"/>
      <c r="T1353" s="109"/>
      <c r="U1353" s="109"/>
      <c r="V1353" s="109"/>
      <c r="W1353" s="109"/>
      <c r="X1353" s="109"/>
      <c r="Y1353" s="109"/>
      <c r="Z1353" s="109"/>
      <c r="AA1353" s="109"/>
      <c r="AB1353" s="109"/>
      <c r="AC1353" s="109"/>
      <c r="AD1353" s="109"/>
      <c r="AE1353" s="109"/>
      <c r="AF1353" s="109"/>
      <c r="AG1353" s="109"/>
      <c r="AH1353" s="109"/>
      <c r="AI1353" s="109"/>
      <c r="AJ1353" s="115"/>
      <c r="AK1353" s="80"/>
      <c r="AL1353" s="80"/>
      <c r="AM1353" s="80"/>
      <c r="AN1353" s="80"/>
      <c r="AO1353" s="80"/>
      <c r="AP1353" s="80"/>
      <c r="AQ1353" s="80"/>
      <c r="AR1353" s="73"/>
      <c r="AS1353" s="73"/>
      <c r="AT1353" s="73"/>
      <c r="AU1353" s="73"/>
      <c r="AV1353" s="73"/>
      <c r="AW1353" s="73"/>
      <c r="AX1353" s="73"/>
      <c r="AY1353" s="73"/>
      <c r="AZ1353" s="73"/>
      <c r="BA1353" s="73"/>
      <c r="BB1353" s="73"/>
      <c r="BC1353" s="73"/>
      <c r="BD1353" s="73"/>
      <c r="BE1353" s="73"/>
      <c r="BF1353" s="73"/>
      <c r="BG1353" s="73"/>
      <c r="BH1353" s="73"/>
      <c r="BI1353" s="73"/>
      <c r="BJ1353" s="73"/>
      <c r="BK1353" s="73"/>
      <c r="BL1353" s="73"/>
      <c r="BM1353" s="73"/>
      <c r="BN1353" s="73"/>
      <c r="BO1353" s="73"/>
      <c r="BP1353" s="73"/>
      <c r="BQ1353" s="73"/>
      <c r="BR1353" s="73"/>
      <c r="BS1353" s="73"/>
      <c r="BT1353" s="73"/>
      <c r="BU1353" s="73"/>
      <c r="BV1353" s="73"/>
      <c r="BW1353" s="73"/>
      <c r="BX1353" s="73"/>
      <c r="BY1353" s="73"/>
      <c r="BZ1353" s="73"/>
      <c r="CA1353" s="73"/>
      <c r="CB1353" s="73"/>
      <c r="CC1353" s="73"/>
      <c r="CD1353" s="73"/>
      <c r="CE1353" s="73"/>
      <c r="CF1353" s="73"/>
      <c r="CG1353" s="73"/>
      <c r="CH1353" s="73"/>
    </row>
    <row r="1354">
      <c r="A1354" s="80"/>
      <c r="B1354" s="80"/>
      <c r="C1354" s="80"/>
      <c r="D1354" s="80"/>
      <c r="E1354" s="124"/>
      <c r="F1354" s="80"/>
      <c r="G1354" s="80"/>
      <c r="H1354" s="80"/>
      <c r="I1354" s="80"/>
      <c r="J1354" s="109"/>
      <c r="K1354" s="109"/>
      <c r="L1354" s="109"/>
      <c r="M1354" s="109"/>
      <c r="N1354" s="109"/>
      <c r="O1354" s="109"/>
      <c r="P1354" s="109"/>
      <c r="Q1354" s="109"/>
      <c r="R1354" s="109"/>
      <c r="S1354" s="109"/>
      <c r="T1354" s="109"/>
      <c r="U1354" s="109"/>
      <c r="V1354" s="109"/>
      <c r="W1354" s="109"/>
      <c r="X1354" s="109"/>
      <c r="Y1354" s="109"/>
      <c r="Z1354" s="109"/>
      <c r="AA1354" s="109"/>
      <c r="AB1354" s="109"/>
      <c r="AC1354" s="109"/>
      <c r="AD1354" s="109"/>
      <c r="AE1354" s="109"/>
      <c r="AF1354" s="109"/>
      <c r="AG1354" s="109"/>
      <c r="AH1354" s="109"/>
      <c r="AI1354" s="109"/>
      <c r="AJ1354" s="115"/>
      <c r="AK1354" s="80"/>
      <c r="AL1354" s="80"/>
      <c r="AM1354" s="80"/>
      <c r="AN1354" s="80"/>
      <c r="AO1354" s="80"/>
      <c r="AP1354" s="80"/>
      <c r="AQ1354" s="80"/>
      <c r="AR1354" s="73"/>
      <c r="AS1354" s="73"/>
      <c r="AT1354" s="73"/>
      <c r="AU1354" s="73"/>
      <c r="AV1354" s="73"/>
      <c r="AW1354" s="73"/>
      <c r="AX1354" s="73"/>
      <c r="AY1354" s="73"/>
      <c r="AZ1354" s="73"/>
      <c r="BA1354" s="73"/>
      <c r="BB1354" s="73"/>
      <c r="BC1354" s="73"/>
      <c r="BD1354" s="73"/>
      <c r="BE1354" s="73"/>
      <c r="BF1354" s="73"/>
      <c r="BG1354" s="73"/>
      <c r="BH1354" s="73"/>
      <c r="BI1354" s="73"/>
      <c r="BJ1354" s="73"/>
      <c r="BK1354" s="73"/>
      <c r="BL1354" s="73"/>
      <c r="BM1354" s="73"/>
      <c r="BN1354" s="73"/>
      <c r="BO1354" s="73"/>
      <c r="BP1354" s="73"/>
      <c r="BQ1354" s="73"/>
      <c r="BR1354" s="73"/>
      <c r="BS1354" s="73"/>
      <c r="BT1354" s="73"/>
      <c r="BU1354" s="73"/>
      <c r="BV1354" s="73"/>
      <c r="BW1354" s="73"/>
      <c r="BX1354" s="73"/>
      <c r="BY1354" s="73"/>
      <c r="BZ1354" s="73"/>
      <c r="CA1354" s="73"/>
      <c r="CB1354" s="73"/>
      <c r="CC1354" s="73"/>
      <c r="CD1354" s="73"/>
      <c r="CE1354" s="73"/>
      <c r="CF1354" s="73"/>
      <c r="CG1354" s="73"/>
      <c r="CH1354" s="73"/>
    </row>
    <row r="1355">
      <c r="A1355" s="80"/>
      <c r="B1355" s="80"/>
      <c r="C1355" s="80"/>
      <c r="D1355" s="80"/>
      <c r="E1355" s="124"/>
      <c r="F1355" s="80"/>
      <c r="G1355" s="80"/>
      <c r="H1355" s="80"/>
      <c r="I1355" s="80"/>
      <c r="J1355" s="109"/>
      <c r="K1355" s="109"/>
      <c r="L1355" s="109"/>
      <c r="M1355" s="109"/>
      <c r="N1355" s="109"/>
      <c r="O1355" s="109"/>
      <c r="P1355" s="109"/>
      <c r="Q1355" s="109"/>
      <c r="R1355" s="109"/>
      <c r="S1355" s="109"/>
      <c r="T1355" s="109"/>
      <c r="U1355" s="109"/>
      <c r="V1355" s="109"/>
      <c r="W1355" s="109"/>
      <c r="X1355" s="109"/>
      <c r="Y1355" s="109"/>
      <c r="Z1355" s="109"/>
      <c r="AA1355" s="109"/>
      <c r="AB1355" s="109"/>
      <c r="AC1355" s="109"/>
      <c r="AD1355" s="109"/>
      <c r="AE1355" s="109"/>
      <c r="AF1355" s="109"/>
      <c r="AG1355" s="109"/>
      <c r="AH1355" s="109"/>
      <c r="AI1355" s="109"/>
      <c r="AJ1355" s="115"/>
      <c r="AK1355" s="80"/>
      <c r="AL1355" s="80"/>
      <c r="AM1355" s="80"/>
      <c r="AN1355" s="80"/>
      <c r="AO1355" s="80"/>
      <c r="AP1355" s="80"/>
      <c r="AQ1355" s="80"/>
      <c r="AR1355" s="73"/>
      <c r="AS1355" s="73"/>
      <c r="AT1355" s="73"/>
      <c r="AU1355" s="73"/>
      <c r="AV1355" s="73"/>
      <c r="AW1355" s="73"/>
      <c r="AX1355" s="73"/>
      <c r="AY1355" s="73"/>
      <c r="AZ1355" s="73"/>
      <c r="BA1355" s="73"/>
      <c r="BB1355" s="73"/>
      <c r="BC1355" s="73"/>
      <c r="BD1355" s="73"/>
      <c r="BE1355" s="73"/>
      <c r="BF1355" s="73"/>
      <c r="BG1355" s="73"/>
      <c r="BH1355" s="73"/>
      <c r="BI1355" s="73"/>
      <c r="BJ1355" s="73"/>
      <c r="BK1355" s="73"/>
      <c r="BL1355" s="73"/>
      <c r="BM1355" s="73"/>
      <c r="BN1355" s="73"/>
      <c r="BO1355" s="73"/>
      <c r="BP1355" s="73"/>
      <c r="BQ1355" s="73"/>
      <c r="BR1355" s="73"/>
      <c r="BS1355" s="73"/>
      <c r="BT1355" s="73"/>
      <c r="BU1355" s="73"/>
      <c r="BV1355" s="73"/>
      <c r="BW1355" s="73"/>
      <c r="BX1355" s="73"/>
      <c r="BY1355" s="73"/>
      <c r="BZ1355" s="73"/>
      <c r="CA1355" s="73"/>
      <c r="CB1355" s="73"/>
      <c r="CC1355" s="73"/>
      <c r="CD1355" s="73"/>
      <c r="CE1355" s="73"/>
      <c r="CF1355" s="73"/>
      <c r="CG1355" s="73"/>
      <c r="CH1355" s="73"/>
    </row>
    <row r="1356">
      <c r="A1356" s="80"/>
      <c r="B1356" s="80"/>
      <c r="C1356" s="80"/>
      <c r="D1356" s="80"/>
      <c r="E1356" s="124"/>
      <c r="F1356" s="80"/>
      <c r="G1356" s="80"/>
      <c r="H1356" s="80"/>
      <c r="I1356" s="80"/>
      <c r="J1356" s="109"/>
      <c r="K1356" s="109"/>
      <c r="L1356" s="109"/>
      <c r="M1356" s="109"/>
      <c r="N1356" s="109"/>
      <c r="O1356" s="109"/>
      <c r="P1356" s="109"/>
      <c r="Q1356" s="109"/>
      <c r="R1356" s="109"/>
      <c r="S1356" s="109"/>
      <c r="T1356" s="109"/>
      <c r="U1356" s="109"/>
      <c r="V1356" s="109"/>
      <c r="W1356" s="109"/>
      <c r="X1356" s="109"/>
      <c r="Y1356" s="109"/>
      <c r="Z1356" s="109"/>
      <c r="AA1356" s="109"/>
      <c r="AB1356" s="109"/>
      <c r="AC1356" s="109"/>
      <c r="AD1356" s="109"/>
      <c r="AE1356" s="109"/>
      <c r="AF1356" s="109"/>
      <c r="AG1356" s="109"/>
      <c r="AH1356" s="109"/>
      <c r="AI1356" s="109"/>
      <c r="AJ1356" s="115"/>
      <c r="AK1356" s="80"/>
      <c r="AL1356" s="80"/>
      <c r="AM1356" s="80"/>
      <c r="AN1356" s="80"/>
      <c r="AO1356" s="80"/>
      <c r="AP1356" s="80"/>
      <c r="AQ1356" s="80"/>
      <c r="AR1356" s="73"/>
      <c r="AS1356" s="73"/>
      <c r="AT1356" s="73"/>
      <c r="AU1356" s="73"/>
      <c r="AV1356" s="73"/>
      <c r="AW1356" s="73"/>
      <c r="AX1356" s="73"/>
      <c r="AY1356" s="73"/>
      <c r="AZ1356" s="73"/>
      <c r="BA1356" s="73"/>
      <c r="BB1356" s="73"/>
      <c r="BC1356" s="73"/>
      <c r="BD1356" s="73"/>
      <c r="BE1356" s="73"/>
      <c r="BF1356" s="73"/>
      <c r="BG1356" s="73"/>
      <c r="BH1356" s="73"/>
      <c r="BI1356" s="73"/>
      <c r="BJ1356" s="73"/>
      <c r="BK1356" s="73"/>
      <c r="BL1356" s="73"/>
      <c r="BM1356" s="73"/>
      <c r="BN1356" s="73"/>
      <c r="BO1356" s="73"/>
      <c r="BP1356" s="73"/>
      <c r="BQ1356" s="73"/>
      <c r="BR1356" s="73"/>
      <c r="BS1356" s="73"/>
      <c r="BT1356" s="73"/>
      <c r="BU1356" s="73"/>
      <c r="BV1356" s="73"/>
      <c r="BW1356" s="73"/>
      <c r="BX1356" s="73"/>
      <c r="BY1356" s="73"/>
      <c r="BZ1356" s="73"/>
      <c r="CA1356" s="73"/>
      <c r="CB1356" s="73"/>
      <c r="CC1356" s="73"/>
      <c r="CD1356" s="73"/>
      <c r="CE1356" s="73"/>
      <c r="CF1356" s="73"/>
      <c r="CG1356" s="73"/>
      <c r="CH1356" s="73"/>
    </row>
    <row r="1357">
      <c r="A1357" s="80"/>
      <c r="B1357" s="80"/>
      <c r="C1357" s="80"/>
      <c r="D1357" s="80"/>
      <c r="E1357" s="124"/>
      <c r="F1357" s="80"/>
      <c r="G1357" s="80"/>
      <c r="H1357" s="80"/>
      <c r="I1357" s="80"/>
      <c r="J1357" s="109"/>
      <c r="K1357" s="109"/>
      <c r="L1357" s="109"/>
      <c r="M1357" s="109"/>
      <c r="N1357" s="109"/>
      <c r="O1357" s="109"/>
      <c r="P1357" s="109"/>
      <c r="Q1357" s="109"/>
      <c r="R1357" s="109"/>
      <c r="S1357" s="109"/>
      <c r="T1357" s="109"/>
      <c r="U1357" s="109"/>
      <c r="V1357" s="109"/>
      <c r="W1357" s="109"/>
      <c r="X1357" s="109"/>
      <c r="Y1357" s="109"/>
      <c r="Z1357" s="109"/>
      <c r="AA1357" s="109"/>
      <c r="AB1357" s="109"/>
      <c r="AC1357" s="109"/>
      <c r="AD1357" s="109"/>
      <c r="AE1357" s="109"/>
      <c r="AF1357" s="109"/>
      <c r="AG1357" s="109"/>
      <c r="AH1357" s="109"/>
      <c r="AI1357" s="109"/>
      <c r="AJ1357" s="115"/>
      <c r="AK1357" s="80"/>
      <c r="AL1357" s="80"/>
      <c r="AM1357" s="80"/>
      <c r="AN1357" s="80"/>
      <c r="AO1357" s="80"/>
      <c r="AP1357" s="80"/>
      <c r="AQ1357" s="80"/>
      <c r="AR1357" s="73"/>
      <c r="AS1357" s="73"/>
      <c r="AT1357" s="73"/>
      <c r="AU1357" s="73"/>
      <c r="AV1357" s="73"/>
      <c r="AW1357" s="73"/>
      <c r="AX1357" s="73"/>
      <c r="AY1357" s="73"/>
      <c r="AZ1357" s="73"/>
      <c r="BA1357" s="73"/>
      <c r="BB1357" s="73"/>
      <c r="BC1357" s="73"/>
      <c r="BD1357" s="73"/>
      <c r="BE1357" s="73"/>
      <c r="BF1357" s="73"/>
      <c r="BG1357" s="73"/>
      <c r="BH1357" s="73"/>
      <c r="BI1357" s="73"/>
      <c r="BJ1357" s="73"/>
      <c r="BK1357" s="73"/>
      <c r="BL1357" s="73"/>
      <c r="BM1357" s="73"/>
      <c r="BN1357" s="73"/>
      <c r="BO1357" s="73"/>
      <c r="BP1357" s="73"/>
      <c r="BQ1357" s="73"/>
      <c r="BR1357" s="73"/>
      <c r="BS1357" s="73"/>
      <c r="BT1357" s="73"/>
      <c r="BU1357" s="73"/>
      <c r="BV1357" s="73"/>
      <c r="BW1357" s="73"/>
      <c r="BX1357" s="73"/>
      <c r="BY1357" s="73"/>
      <c r="BZ1357" s="73"/>
      <c r="CA1357" s="73"/>
      <c r="CB1357" s="73"/>
      <c r="CC1357" s="73"/>
      <c r="CD1357" s="73"/>
      <c r="CE1357" s="73"/>
      <c r="CF1357" s="73"/>
      <c r="CG1357" s="73"/>
      <c r="CH1357" s="73"/>
    </row>
    <row r="1358">
      <c r="A1358" s="80"/>
      <c r="B1358" s="80"/>
      <c r="C1358" s="80"/>
      <c r="D1358" s="80"/>
      <c r="E1358" s="124"/>
      <c r="F1358" s="80"/>
      <c r="G1358" s="80"/>
      <c r="H1358" s="80"/>
      <c r="I1358" s="80"/>
      <c r="J1358" s="109"/>
      <c r="K1358" s="109"/>
      <c r="L1358" s="109"/>
      <c r="M1358" s="109"/>
      <c r="N1358" s="109"/>
      <c r="O1358" s="109"/>
      <c r="P1358" s="109"/>
      <c r="Q1358" s="109"/>
      <c r="R1358" s="109"/>
      <c r="S1358" s="109"/>
      <c r="T1358" s="109"/>
      <c r="U1358" s="109"/>
      <c r="V1358" s="109"/>
      <c r="W1358" s="109"/>
      <c r="X1358" s="109"/>
      <c r="Y1358" s="109"/>
      <c r="Z1358" s="109"/>
      <c r="AA1358" s="109"/>
      <c r="AB1358" s="109"/>
      <c r="AC1358" s="109"/>
      <c r="AD1358" s="109"/>
      <c r="AE1358" s="109"/>
      <c r="AF1358" s="109"/>
      <c r="AG1358" s="109"/>
      <c r="AH1358" s="109"/>
      <c r="AI1358" s="109"/>
      <c r="AJ1358" s="115"/>
      <c r="AK1358" s="80"/>
      <c r="AL1358" s="80"/>
      <c r="AM1358" s="80"/>
      <c r="AN1358" s="80"/>
      <c r="AO1358" s="80"/>
      <c r="AP1358" s="80"/>
      <c r="AQ1358" s="80"/>
      <c r="AR1358" s="73"/>
      <c r="AS1358" s="73"/>
      <c r="AT1358" s="73"/>
      <c r="AU1358" s="73"/>
      <c r="AV1358" s="73"/>
      <c r="AW1358" s="73"/>
      <c r="AX1358" s="73"/>
      <c r="AY1358" s="73"/>
      <c r="AZ1358" s="73"/>
      <c r="BA1358" s="73"/>
      <c r="BB1358" s="73"/>
      <c r="BC1358" s="73"/>
      <c r="BD1358" s="73"/>
      <c r="BE1358" s="73"/>
      <c r="BF1358" s="73"/>
      <c r="BG1358" s="73"/>
      <c r="BH1358" s="73"/>
      <c r="BI1358" s="73"/>
      <c r="BJ1358" s="73"/>
      <c r="BK1358" s="73"/>
      <c r="BL1358" s="73"/>
      <c r="BM1358" s="73"/>
      <c r="BN1358" s="73"/>
      <c r="BO1358" s="73"/>
      <c r="BP1358" s="73"/>
      <c r="BQ1358" s="73"/>
      <c r="BR1358" s="73"/>
      <c r="BS1358" s="73"/>
      <c r="BT1358" s="73"/>
      <c r="BU1358" s="73"/>
      <c r="BV1358" s="73"/>
      <c r="BW1358" s="73"/>
      <c r="BX1358" s="73"/>
      <c r="BY1358" s="73"/>
      <c r="BZ1358" s="73"/>
      <c r="CA1358" s="73"/>
      <c r="CB1358" s="73"/>
      <c r="CC1358" s="73"/>
      <c r="CD1358" s="73"/>
      <c r="CE1358" s="73"/>
      <c r="CF1358" s="73"/>
      <c r="CG1358" s="73"/>
      <c r="CH1358" s="73"/>
    </row>
    <row r="1359">
      <c r="A1359" s="80"/>
      <c r="B1359" s="80"/>
      <c r="C1359" s="80"/>
      <c r="D1359" s="80"/>
      <c r="E1359" s="124"/>
      <c r="F1359" s="80"/>
      <c r="G1359" s="80"/>
      <c r="H1359" s="80"/>
      <c r="I1359" s="80"/>
      <c r="J1359" s="109"/>
      <c r="K1359" s="109"/>
      <c r="L1359" s="109"/>
      <c r="M1359" s="109"/>
      <c r="N1359" s="109"/>
      <c r="O1359" s="109"/>
      <c r="P1359" s="109"/>
      <c r="Q1359" s="109"/>
      <c r="R1359" s="109"/>
      <c r="S1359" s="109"/>
      <c r="T1359" s="109"/>
      <c r="U1359" s="109"/>
      <c r="V1359" s="109"/>
      <c r="W1359" s="109"/>
      <c r="X1359" s="109"/>
      <c r="Y1359" s="109"/>
      <c r="Z1359" s="109"/>
      <c r="AA1359" s="109"/>
      <c r="AB1359" s="109"/>
      <c r="AC1359" s="109"/>
      <c r="AD1359" s="109"/>
      <c r="AE1359" s="109"/>
      <c r="AF1359" s="109"/>
      <c r="AG1359" s="109"/>
      <c r="AH1359" s="109"/>
      <c r="AI1359" s="109"/>
      <c r="AJ1359" s="115"/>
      <c r="AK1359" s="80"/>
      <c r="AL1359" s="80"/>
      <c r="AM1359" s="80"/>
      <c r="AN1359" s="80"/>
      <c r="AO1359" s="80"/>
      <c r="AP1359" s="80"/>
      <c r="AQ1359" s="80"/>
      <c r="AR1359" s="73"/>
      <c r="AS1359" s="73"/>
      <c r="AT1359" s="73"/>
      <c r="AU1359" s="73"/>
      <c r="AV1359" s="73"/>
      <c r="AW1359" s="73"/>
      <c r="AX1359" s="73"/>
      <c r="AY1359" s="73"/>
      <c r="AZ1359" s="73"/>
      <c r="BA1359" s="73"/>
      <c r="BB1359" s="73"/>
      <c r="BC1359" s="73"/>
      <c r="BD1359" s="73"/>
      <c r="BE1359" s="73"/>
      <c r="BF1359" s="73"/>
      <c r="BG1359" s="73"/>
      <c r="BH1359" s="73"/>
      <c r="BI1359" s="73"/>
      <c r="BJ1359" s="73"/>
      <c r="BK1359" s="73"/>
      <c r="BL1359" s="73"/>
      <c r="BM1359" s="73"/>
      <c r="BN1359" s="73"/>
      <c r="BO1359" s="73"/>
      <c r="BP1359" s="73"/>
      <c r="BQ1359" s="73"/>
      <c r="BR1359" s="73"/>
      <c r="BS1359" s="73"/>
      <c r="BT1359" s="73"/>
      <c r="BU1359" s="73"/>
      <c r="BV1359" s="73"/>
      <c r="BW1359" s="73"/>
      <c r="BX1359" s="73"/>
      <c r="BY1359" s="73"/>
      <c r="BZ1359" s="73"/>
      <c r="CA1359" s="73"/>
      <c r="CB1359" s="73"/>
      <c r="CC1359" s="73"/>
      <c r="CD1359" s="73"/>
      <c r="CE1359" s="73"/>
      <c r="CF1359" s="73"/>
      <c r="CG1359" s="73"/>
      <c r="CH1359" s="73"/>
    </row>
    <row r="1360">
      <c r="A1360" s="80"/>
      <c r="B1360" s="80"/>
      <c r="C1360" s="80"/>
      <c r="D1360" s="80"/>
      <c r="E1360" s="124"/>
      <c r="F1360" s="80"/>
      <c r="G1360" s="80"/>
      <c r="H1360" s="80"/>
      <c r="I1360" s="80"/>
      <c r="J1360" s="109"/>
      <c r="K1360" s="109"/>
      <c r="L1360" s="109"/>
      <c r="M1360" s="109"/>
      <c r="N1360" s="109"/>
      <c r="O1360" s="109"/>
      <c r="P1360" s="109"/>
      <c r="Q1360" s="109"/>
      <c r="R1360" s="109"/>
      <c r="S1360" s="109"/>
      <c r="T1360" s="109"/>
      <c r="U1360" s="109"/>
      <c r="V1360" s="109"/>
      <c r="W1360" s="109"/>
      <c r="X1360" s="109"/>
      <c r="Y1360" s="109"/>
      <c r="Z1360" s="109"/>
      <c r="AA1360" s="109"/>
      <c r="AB1360" s="109"/>
      <c r="AC1360" s="109"/>
      <c r="AD1360" s="109"/>
      <c r="AE1360" s="109"/>
      <c r="AF1360" s="109"/>
      <c r="AG1360" s="109"/>
      <c r="AH1360" s="109"/>
      <c r="AI1360" s="109"/>
      <c r="AJ1360" s="115"/>
      <c r="AK1360" s="80"/>
      <c r="AL1360" s="80"/>
      <c r="AM1360" s="80"/>
      <c r="AN1360" s="80"/>
      <c r="AO1360" s="80"/>
      <c r="AP1360" s="80"/>
      <c r="AQ1360" s="80"/>
      <c r="AR1360" s="73"/>
      <c r="AS1360" s="73"/>
      <c r="AT1360" s="73"/>
      <c r="AU1360" s="73"/>
      <c r="AV1360" s="73"/>
      <c r="AW1360" s="73"/>
      <c r="AX1360" s="73"/>
      <c r="AY1360" s="73"/>
      <c r="AZ1360" s="73"/>
      <c r="BA1360" s="73"/>
      <c r="BB1360" s="73"/>
      <c r="BC1360" s="73"/>
      <c r="BD1360" s="73"/>
      <c r="BE1360" s="73"/>
      <c r="BF1360" s="73"/>
      <c r="BG1360" s="73"/>
      <c r="BH1360" s="73"/>
      <c r="BI1360" s="73"/>
      <c r="BJ1360" s="73"/>
      <c r="BK1360" s="73"/>
      <c r="BL1360" s="73"/>
      <c r="BM1360" s="73"/>
      <c r="BN1360" s="73"/>
      <c r="BO1360" s="73"/>
      <c r="BP1360" s="73"/>
      <c r="BQ1360" s="73"/>
      <c r="BR1360" s="73"/>
      <c r="BS1360" s="73"/>
      <c r="BT1360" s="73"/>
      <c r="BU1360" s="73"/>
      <c r="BV1360" s="73"/>
      <c r="BW1360" s="73"/>
      <c r="BX1360" s="73"/>
      <c r="BY1360" s="73"/>
      <c r="BZ1360" s="73"/>
      <c r="CA1360" s="73"/>
      <c r="CB1360" s="73"/>
      <c r="CC1360" s="73"/>
      <c r="CD1360" s="73"/>
      <c r="CE1360" s="73"/>
      <c r="CF1360" s="73"/>
      <c r="CG1360" s="73"/>
      <c r="CH1360" s="73"/>
    </row>
    <row r="1361">
      <c r="A1361" s="80"/>
      <c r="B1361" s="80"/>
      <c r="C1361" s="80"/>
      <c r="D1361" s="80"/>
      <c r="E1361" s="124"/>
      <c r="F1361" s="80"/>
      <c r="G1361" s="80"/>
      <c r="H1361" s="80"/>
      <c r="I1361" s="80"/>
      <c r="J1361" s="109"/>
      <c r="K1361" s="109"/>
      <c r="L1361" s="109"/>
      <c r="M1361" s="109"/>
      <c r="N1361" s="109"/>
      <c r="O1361" s="109"/>
      <c r="P1361" s="109"/>
      <c r="Q1361" s="109"/>
      <c r="R1361" s="109"/>
      <c r="S1361" s="109"/>
      <c r="T1361" s="109"/>
      <c r="U1361" s="109"/>
      <c r="V1361" s="109"/>
      <c r="W1361" s="109"/>
      <c r="X1361" s="109"/>
      <c r="Y1361" s="109"/>
      <c r="Z1361" s="109"/>
      <c r="AA1361" s="109"/>
      <c r="AB1361" s="109"/>
      <c r="AC1361" s="109"/>
      <c r="AD1361" s="109"/>
      <c r="AE1361" s="109"/>
      <c r="AF1361" s="109"/>
      <c r="AG1361" s="109"/>
      <c r="AH1361" s="109"/>
      <c r="AI1361" s="109"/>
      <c r="AJ1361" s="115"/>
      <c r="AK1361" s="80"/>
      <c r="AL1361" s="80"/>
      <c r="AM1361" s="80"/>
      <c r="AN1361" s="80"/>
      <c r="AO1361" s="80"/>
      <c r="AP1361" s="80"/>
      <c r="AQ1361" s="80"/>
      <c r="AR1361" s="73"/>
      <c r="AS1361" s="73"/>
      <c r="AT1361" s="73"/>
      <c r="AU1361" s="73"/>
      <c r="AV1361" s="73"/>
      <c r="AW1361" s="73"/>
      <c r="AX1361" s="73"/>
      <c r="AY1361" s="73"/>
      <c r="AZ1361" s="73"/>
      <c r="BA1361" s="73"/>
      <c r="BB1361" s="73"/>
      <c r="BC1361" s="73"/>
      <c r="BD1361" s="73"/>
      <c r="BE1361" s="73"/>
      <c r="BF1361" s="73"/>
      <c r="BG1361" s="73"/>
      <c r="BH1361" s="73"/>
      <c r="BI1361" s="73"/>
      <c r="BJ1361" s="73"/>
      <c r="BK1361" s="73"/>
      <c r="BL1361" s="73"/>
      <c r="BM1361" s="73"/>
      <c r="BN1361" s="73"/>
      <c r="BO1361" s="73"/>
      <c r="BP1361" s="73"/>
      <c r="BQ1361" s="73"/>
      <c r="BR1361" s="73"/>
      <c r="BS1361" s="73"/>
      <c r="BT1361" s="73"/>
      <c r="BU1361" s="73"/>
      <c r="BV1361" s="73"/>
      <c r="BW1361" s="73"/>
      <c r="BX1361" s="73"/>
      <c r="BY1361" s="73"/>
      <c r="BZ1361" s="73"/>
      <c r="CA1361" s="73"/>
      <c r="CB1361" s="73"/>
      <c r="CC1361" s="73"/>
      <c r="CD1361" s="73"/>
      <c r="CE1361" s="73"/>
      <c r="CF1361" s="73"/>
      <c r="CG1361" s="73"/>
      <c r="CH1361" s="73"/>
    </row>
    <row r="1362">
      <c r="A1362" s="80"/>
      <c r="B1362" s="80"/>
      <c r="C1362" s="80"/>
      <c r="D1362" s="80"/>
      <c r="E1362" s="124"/>
      <c r="F1362" s="80"/>
      <c r="G1362" s="80"/>
      <c r="H1362" s="80"/>
      <c r="I1362" s="80"/>
      <c r="J1362" s="109"/>
      <c r="K1362" s="109"/>
      <c r="L1362" s="109"/>
      <c r="M1362" s="109"/>
      <c r="N1362" s="109"/>
      <c r="O1362" s="109"/>
      <c r="P1362" s="109"/>
      <c r="Q1362" s="109"/>
      <c r="R1362" s="109"/>
      <c r="S1362" s="109"/>
      <c r="T1362" s="109"/>
      <c r="U1362" s="109"/>
      <c r="V1362" s="109"/>
      <c r="W1362" s="109"/>
      <c r="X1362" s="109"/>
      <c r="Y1362" s="109"/>
      <c r="Z1362" s="109"/>
      <c r="AA1362" s="109"/>
      <c r="AB1362" s="109"/>
      <c r="AC1362" s="109"/>
      <c r="AD1362" s="109"/>
      <c r="AE1362" s="109"/>
      <c r="AF1362" s="109"/>
      <c r="AG1362" s="109"/>
      <c r="AH1362" s="109"/>
      <c r="AI1362" s="109"/>
      <c r="AJ1362" s="115"/>
      <c r="AK1362" s="80"/>
      <c r="AL1362" s="80"/>
      <c r="AM1362" s="80"/>
      <c r="AN1362" s="80"/>
      <c r="AO1362" s="80"/>
      <c r="AP1362" s="80"/>
      <c r="AQ1362" s="80"/>
      <c r="AR1362" s="73"/>
      <c r="AS1362" s="73"/>
      <c r="AT1362" s="73"/>
      <c r="AU1362" s="73"/>
      <c r="AV1362" s="73"/>
      <c r="AW1362" s="73"/>
      <c r="AX1362" s="73"/>
      <c r="AY1362" s="73"/>
      <c r="AZ1362" s="73"/>
      <c r="BA1362" s="73"/>
      <c r="BB1362" s="73"/>
      <c r="BC1362" s="73"/>
      <c r="BD1362" s="73"/>
      <c r="BE1362" s="73"/>
      <c r="BF1362" s="73"/>
      <c r="BG1362" s="73"/>
      <c r="BH1362" s="73"/>
      <c r="BI1362" s="73"/>
      <c r="BJ1362" s="73"/>
      <c r="BK1362" s="73"/>
      <c r="BL1362" s="73"/>
      <c r="BM1362" s="73"/>
      <c r="BN1362" s="73"/>
      <c r="BO1362" s="73"/>
      <c r="BP1362" s="73"/>
      <c r="BQ1362" s="73"/>
      <c r="BR1362" s="73"/>
      <c r="BS1362" s="73"/>
      <c r="BT1362" s="73"/>
      <c r="BU1362" s="73"/>
      <c r="BV1362" s="73"/>
      <c r="BW1362" s="73"/>
      <c r="BX1362" s="73"/>
      <c r="BY1362" s="73"/>
      <c r="BZ1362" s="73"/>
      <c r="CA1362" s="73"/>
      <c r="CB1362" s="73"/>
      <c r="CC1362" s="73"/>
      <c r="CD1362" s="73"/>
      <c r="CE1362" s="73"/>
      <c r="CF1362" s="73"/>
      <c r="CG1362" s="73"/>
      <c r="CH1362" s="73"/>
    </row>
    <row r="1363">
      <c r="A1363" s="80"/>
      <c r="B1363" s="80"/>
      <c r="C1363" s="80"/>
      <c r="D1363" s="80"/>
      <c r="E1363" s="124"/>
      <c r="F1363" s="80"/>
      <c r="G1363" s="80"/>
      <c r="H1363" s="80"/>
      <c r="I1363" s="80"/>
      <c r="J1363" s="109"/>
      <c r="K1363" s="109"/>
      <c r="L1363" s="109"/>
      <c r="M1363" s="109"/>
      <c r="N1363" s="109"/>
      <c r="O1363" s="109"/>
      <c r="P1363" s="109"/>
      <c r="Q1363" s="109"/>
      <c r="R1363" s="109"/>
      <c r="S1363" s="109"/>
      <c r="T1363" s="109"/>
      <c r="U1363" s="109"/>
      <c r="V1363" s="109"/>
      <c r="W1363" s="109"/>
      <c r="X1363" s="109"/>
      <c r="Y1363" s="109"/>
      <c r="Z1363" s="109"/>
      <c r="AA1363" s="109"/>
      <c r="AB1363" s="109"/>
      <c r="AC1363" s="109"/>
      <c r="AD1363" s="109"/>
      <c r="AE1363" s="109"/>
      <c r="AF1363" s="109"/>
      <c r="AG1363" s="109"/>
      <c r="AH1363" s="109"/>
      <c r="AI1363" s="109"/>
      <c r="AJ1363" s="115"/>
      <c r="AK1363" s="80"/>
      <c r="AL1363" s="80"/>
      <c r="AM1363" s="80"/>
      <c r="AN1363" s="80"/>
      <c r="AO1363" s="80"/>
      <c r="AP1363" s="80"/>
      <c r="AQ1363" s="80"/>
      <c r="AR1363" s="73"/>
      <c r="AS1363" s="73"/>
      <c r="AT1363" s="73"/>
      <c r="AU1363" s="73"/>
      <c r="AV1363" s="73"/>
      <c r="AW1363" s="73"/>
      <c r="AX1363" s="73"/>
      <c r="AY1363" s="73"/>
      <c r="AZ1363" s="73"/>
      <c r="BA1363" s="73"/>
      <c r="BB1363" s="73"/>
      <c r="BC1363" s="73"/>
      <c r="BD1363" s="73"/>
      <c r="BE1363" s="73"/>
      <c r="BF1363" s="73"/>
      <c r="BG1363" s="73"/>
      <c r="BH1363" s="73"/>
      <c r="BI1363" s="73"/>
      <c r="BJ1363" s="73"/>
      <c r="BK1363" s="73"/>
      <c r="BL1363" s="73"/>
      <c r="BM1363" s="73"/>
      <c r="BN1363" s="73"/>
      <c r="BO1363" s="73"/>
      <c r="BP1363" s="73"/>
      <c r="BQ1363" s="73"/>
      <c r="BR1363" s="73"/>
      <c r="BS1363" s="73"/>
      <c r="BT1363" s="73"/>
      <c r="BU1363" s="73"/>
      <c r="BV1363" s="73"/>
      <c r="BW1363" s="73"/>
      <c r="BX1363" s="73"/>
      <c r="BY1363" s="73"/>
      <c r="BZ1363" s="73"/>
      <c r="CA1363" s="73"/>
      <c r="CB1363" s="73"/>
      <c r="CC1363" s="73"/>
      <c r="CD1363" s="73"/>
      <c r="CE1363" s="73"/>
      <c r="CF1363" s="73"/>
      <c r="CG1363" s="73"/>
      <c r="CH1363" s="73"/>
    </row>
    <row r="1364">
      <c r="A1364" s="80"/>
      <c r="B1364" s="80"/>
      <c r="C1364" s="80"/>
      <c r="D1364" s="80"/>
      <c r="E1364" s="124"/>
      <c r="F1364" s="80"/>
      <c r="G1364" s="80"/>
      <c r="H1364" s="80"/>
      <c r="I1364" s="80"/>
      <c r="J1364" s="109"/>
      <c r="K1364" s="109"/>
      <c r="L1364" s="109"/>
      <c r="M1364" s="109"/>
      <c r="N1364" s="109"/>
      <c r="O1364" s="109"/>
      <c r="P1364" s="109"/>
      <c r="Q1364" s="109"/>
      <c r="R1364" s="109"/>
      <c r="S1364" s="109"/>
      <c r="T1364" s="109"/>
      <c r="U1364" s="109"/>
      <c r="V1364" s="109"/>
      <c r="W1364" s="109"/>
      <c r="X1364" s="109"/>
      <c r="Y1364" s="109"/>
      <c r="Z1364" s="109"/>
      <c r="AA1364" s="109"/>
      <c r="AB1364" s="109"/>
      <c r="AC1364" s="109"/>
      <c r="AD1364" s="109"/>
      <c r="AE1364" s="109"/>
      <c r="AF1364" s="109"/>
      <c r="AG1364" s="109"/>
      <c r="AH1364" s="109"/>
      <c r="AI1364" s="109"/>
      <c r="AJ1364" s="115"/>
      <c r="AK1364" s="80"/>
      <c r="AL1364" s="80"/>
      <c r="AM1364" s="80"/>
      <c r="AN1364" s="80"/>
      <c r="AO1364" s="80"/>
      <c r="AP1364" s="80"/>
      <c r="AQ1364" s="80"/>
      <c r="AR1364" s="73"/>
      <c r="AS1364" s="73"/>
      <c r="AT1364" s="73"/>
      <c r="AU1364" s="73"/>
      <c r="AV1364" s="73"/>
      <c r="AW1364" s="73"/>
      <c r="AX1364" s="73"/>
      <c r="AY1364" s="73"/>
      <c r="AZ1364" s="73"/>
      <c r="BA1364" s="73"/>
      <c r="BB1364" s="73"/>
      <c r="BC1364" s="73"/>
      <c r="BD1364" s="73"/>
      <c r="BE1364" s="73"/>
      <c r="BF1364" s="73"/>
      <c r="BG1364" s="73"/>
      <c r="BH1364" s="73"/>
      <c r="BI1364" s="73"/>
      <c r="BJ1364" s="73"/>
      <c r="BK1364" s="73"/>
      <c r="BL1364" s="73"/>
      <c r="BM1364" s="73"/>
      <c r="BN1364" s="73"/>
      <c r="BO1364" s="73"/>
      <c r="BP1364" s="73"/>
      <c r="BQ1364" s="73"/>
      <c r="BR1364" s="73"/>
      <c r="BS1364" s="73"/>
      <c r="BT1364" s="73"/>
      <c r="BU1364" s="73"/>
      <c r="BV1364" s="73"/>
      <c r="BW1364" s="73"/>
      <c r="BX1364" s="73"/>
      <c r="BY1364" s="73"/>
      <c r="BZ1364" s="73"/>
      <c r="CA1364" s="73"/>
      <c r="CB1364" s="73"/>
      <c r="CC1364" s="73"/>
      <c r="CD1364" s="73"/>
      <c r="CE1364" s="73"/>
      <c r="CF1364" s="73"/>
      <c r="CG1364" s="73"/>
      <c r="CH1364" s="73"/>
    </row>
    <row r="1365">
      <c r="A1365" s="80"/>
      <c r="B1365" s="80"/>
      <c r="C1365" s="80"/>
      <c r="D1365" s="80"/>
      <c r="E1365" s="124"/>
      <c r="F1365" s="80"/>
      <c r="G1365" s="80"/>
      <c r="H1365" s="80"/>
      <c r="I1365" s="80"/>
      <c r="J1365" s="109"/>
      <c r="K1365" s="109"/>
      <c r="L1365" s="109"/>
      <c r="M1365" s="109"/>
      <c r="N1365" s="109"/>
      <c r="O1365" s="109"/>
      <c r="P1365" s="109"/>
      <c r="Q1365" s="109"/>
      <c r="R1365" s="109"/>
      <c r="S1365" s="109"/>
      <c r="T1365" s="109"/>
      <c r="U1365" s="109"/>
      <c r="V1365" s="109"/>
      <c r="W1365" s="109"/>
      <c r="X1365" s="109"/>
      <c r="Y1365" s="109"/>
      <c r="Z1365" s="109"/>
      <c r="AA1365" s="109"/>
      <c r="AB1365" s="109"/>
      <c r="AC1365" s="109"/>
      <c r="AD1365" s="109"/>
      <c r="AE1365" s="109"/>
      <c r="AF1365" s="109"/>
      <c r="AG1365" s="109"/>
      <c r="AH1365" s="109"/>
      <c r="AI1365" s="109"/>
      <c r="AJ1365" s="115"/>
      <c r="AK1365" s="80"/>
      <c r="AL1365" s="80"/>
      <c r="AM1365" s="80"/>
      <c r="AN1365" s="80"/>
      <c r="AO1365" s="80"/>
      <c r="AP1365" s="80"/>
      <c r="AQ1365" s="80"/>
      <c r="AR1365" s="73"/>
      <c r="AS1365" s="73"/>
      <c r="AT1365" s="73"/>
      <c r="AU1365" s="73"/>
      <c r="AV1365" s="73"/>
      <c r="AW1365" s="73"/>
      <c r="AX1365" s="73"/>
      <c r="AY1365" s="73"/>
      <c r="AZ1365" s="73"/>
      <c r="BA1365" s="73"/>
      <c r="BB1365" s="73"/>
      <c r="BC1365" s="73"/>
      <c r="BD1365" s="73"/>
      <c r="BE1365" s="73"/>
      <c r="BF1365" s="73"/>
      <c r="BG1365" s="73"/>
      <c r="BH1365" s="73"/>
      <c r="BI1365" s="73"/>
      <c r="BJ1365" s="73"/>
      <c r="BK1365" s="73"/>
      <c r="BL1365" s="73"/>
      <c r="BM1365" s="73"/>
      <c r="BN1365" s="73"/>
      <c r="BO1365" s="73"/>
      <c r="BP1365" s="73"/>
      <c r="BQ1365" s="73"/>
      <c r="BR1365" s="73"/>
      <c r="BS1365" s="73"/>
      <c r="BT1365" s="73"/>
      <c r="BU1365" s="73"/>
      <c r="BV1365" s="73"/>
      <c r="BW1365" s="73"/>
      <c r="BX1365" s="73"/>
      <c r="BY1365" s="73"/>
      <c r="BZ1365" s="73"/>
      <c r="CA1365" s="73"/>
      <c r="CB1365" s="73"/>
      <c r="CC1365" s="73"/>
      <c r="CD1365" s="73"/>
      <c r="CE1365" s="73"/>
      <c r="CF1365" s="73"/>
      <c r="CG1365" s="73"/>
      <c r="CH1365" s="73"/>
    </row>
    <row r="1366">
      <c r="A1366" s="80"/>
      <c r="B1366" s="80"/>
      <c r="C1366" s="80"/>
      <c r="D1366" s="80"/>
      <c r="E1366" s="124"/>
      <c r="F1366" s="80"/>
      <c r="G1366" s="80"/>
      <c r="H1366" s="80"/>
      <c r="I1366" s="80"/>
      <c r="J1366" s="109"/>
      <c r="K1366" s="109"/>
      <c r="L1366" s="109"/>
      <c r="M1366" s="109"/>
      <c r="N1366" s="109"/>
      <c r="O1366" s="109"/>
      <c r="P1366" s="109"/>
      <c r="Q1366" s="109"/>
      <c r="R1366" s="109"/>
      <c r="S1366" s="109"/>
      <c r="T1366" s="109"/>
      <c r="U1366" s="109"/>
      <c r="V1366" s="109"/>
      <c r="W1366" s="109"/>
      <c r="X1366" s="109"/>
      <c r="Y1366" s="109"/>
      <c r="Z1366" s="109"/>
      <c r="AA1366" s="109"/>
      <c r="AB1366" s="109"/>
      <c r="AC1366" s="109"/>
      <c r="AD1366" s="109"/>
      <c r="AE1366" s="109"/>
      <c r="AF1366" s="109"/>
      <c r="AG1366" s="109"/>
      <c r="AH1366" s="109"/>
      <c r="AI1366" s="109"/>
      <c r="AJ1366" s="115"/>
      <c r="AK1366" s="80"/>
      <c r="AL1366" s="80"/>
      <c r="AM1366" s="80"/>
      <c r="AN1366" s="80"/>
      <c r="AO1366" s="80"/>
      <c r="AP1366" s="80"/>
      <c r="AQ1366" s="80"/>
      <c r="AR1366" s="73"/>
      <c r="AS1366" s="73"/>
      <c r="AT1366" s="73"/>
      <c r="AU1366" s="73"/>
      <c r="AV1366" s="73"/>
      <c r="AW1366" s="73"/>
      <c r="AX1366" s="73"/>
      <c r="AY1366" s="73"/>
      <c r="AZ1366" s="73"/>
      <c r="BA1366" s="73"/>
      <c r="BB1366" s="73"/>
      <c r="BC1366" s="73"/>
      <c r="BD1366" s="73"/>
      <c r="BE1366" s="73"/>
      <c r="BF1366" s="73"/>
      <c r="BG1366" s="73"/>
      <c r="BH1366" s="73"/>
      <c r="BI1366" s="73"/>
      <c r="BJ1366" s="73"/>
      <c r="BK1366" s="73"/>
      <c r="BL1366" s="73"/>
      <c r="BM1366" s="73"/>
      <c r="BN1366" s="73"/>
      <c r="BO1366" s="73"/>
      <c r="BP1366" s="73"/>
      <c r="BQ1366" s="73"/>
      <c r="BR1366" s="73"/>
      <c r="BS1366" s="73"/>
      <c r="BT1366" s="73"/>
      <c r="BU1366" s="73"/>
      <c r="BV1366" s="73"/>
      <c r="BW1366" s="73"/>
      <c r="BX1366" s="73"/>
      <c r="BY1366" s="73"/>
      <c r="BZ1366" s="73"/>
      <c r="CA1366" s="73"/>
      <c r="CB1366" s="73"/>
      <c r="CC1366" s="73"/>
      <c r="CD1366" s="73"/>
      <c r="CE1366" s="73"/>
      <c r="CF1366" s="73"/>
      <c r="CG1366" s="73"/>
      <c r="CH1366" s="73"/>
    </row>
    <row r="1367">
      <c r="A1367" s="80"/>
      <c r="B1367" s="80"/>
      <c r="C1367" s="80"/>
      <c r="D1367" s="80"/>
      <c r="E1367" s="124"/>
      <c r="F1367" s="80"/>
      <c r="G1367" s="80"/>
      <c r="H1367" s="80"/>
      <c r="I1367" s="80"/>
      <c r="J1367" s="109"/>
      <c r="K1367" s="109"/>
      <c r="L1367" s="109"/>
      <c r="M1367" s="109"/>
      <c r="N1367" s="109"/>
      <c r="O1367" s="109"/>
      <c r="P1367" s="109"/>
      <c r="Q1367" s="109"/>
      <c r="R1367" s="109"/>
      <c r="S1367" s="109"/>
      <c r="T1367" s="109"/>
      <c r="U1367" s="109"/>
      <c r="V1367" s="109"/>
      <c r="W1367" s="109"/>
      <c r="X1367" s="109"/>
      <c r="Y1367" s="109"/>
      <c r="Z1367" s="109"/>
      <c r="AA1367" s="109"/>
      <c r="AB1367" s="109"/>
      <c r="AC1367" s="109"/>
      <c r="AD1367" s="109"/>
      <c r="AE1367" s="109"/>
      <c r="AF1367" s="109"/>
      <c r="AG1367" s="109"/>
      <c r="AH1367" s="109"/>
      <c r="AI1367" s="109"/>
      <c r="AJ1367" s="115"/>
      <c r="AK1367" s="80"/>
      <c r="AL1367" s="80"/>
      <c r="AM1367" s="80"/>
      <c r="AN1367" s="80"/>
      <c r="AO1367" s="80"/>
      <c r="AP1367" s="80"/>
      <c r="AQ1367" s="80"/>
      <c r="AR1367" s="73"/>
      <c r="AS1367" s="73"/>
      <c r="AT1367" s="73"/>
      <c r="AU1367" s="73"/>
      <c r="AV1367" s="73"/>
      <c r="AW1367" s="73"/>
      <c r="AX1367" s="73"/>
      <c r="AY1367" s="73"/>
      <c r="AZ1367" s="73"/>
      <c r="BA1367" s="73"/>
      <c r="BB1367" s="73"/>
      <c r="BC1367" s="73"/>
      <c r="BD1367" s="73"/>
      <c r="BE1367" s="73"/>
      <c r="BF1367" s="73"/>
      <c r="BG1367" s="73"/>
      <c r="BH1367" s="73"/>
      <c r="BI1367" s="73"/>
      <c r="BJ1367" s="73"/>
      <c r="BK1367" s="73"/>
      <c r="BL1367" s="73"/>
      <c r="BM1367" s="73"/>
      <c r="BN1367" s="73"/>
      <c r="BO1367" s="73"/>
      <c r="BP1367" s="73"/>
      <c r="BQ1367" s="73"/>
      <c r="BR1367" s="73"/>
      <c r="BS1367" s="73"/>
      <c r="BT1367" s="73"/>
      <c r="BU1367" s="73"/>
      <c r="BV1367" s="73"/>
      <c r="BW1367" s="73"/>
      <c r="BX1367" s="73"/>
      <c r="BY1367" s="73"/>
      <c r="BZ1367" s="73"/>
      <c r="CA1367" s="73"/>
      <c r="CB1367" s="73"/>
      <c r="CC1367" s="73"/>
      <c r="CD1367" s="73"/>
      <c r="CE1367" s="73"/>
      <c r="CF1367" s="73"/>
      <c r="CG1367" s="73"/>
      <c r="CH1367" s="73"/>
    </row>
    <row r="1368">
      <c r="A1368" s="80"/>
      <c r="B1368" s="80"/>
      <c r="C1368" s="80"/>
      <c r="D1368" s="80"/>
      <c r="E1368" s="124"/>
      <c r="F1368" s="80"/>
      <c r="G1368" s="80"/>
      <c r="H1368" s="80"/>
      <c r="I1368" s="80"/>
      <c r="J1368" s="109"/>
      <c r="K1368" s="109"/>
      <c r="L1368" s="109"/>
      <c r="M1368" s="109"/>
      <c r="N1368" s="109"/>
      <c r="O1368" s="109"/>
      <c r="P1368" s="109"/>
      <c r="Q1368" s="109"/>
      <c r="R1368" s="109"/>
      <c r="S1368" s="109"/>
      <c r="T1368" s="109"/>
      <c r="U1368" s="109"/>
      <c r="V1368" s="109"/>
      <c r="W1368" s="109"/>
      <c r="X1368" s="109"/>
      <c r="Y1368" s="109"/>
      <c r="Z1368" s="109"/>
      <c r="AA1368" s="109"/>
      <c r="AB1368" s="109"/>
      <c r="AC1368" s="109"/>
      <c r="AD1368" s="109"/>
      <c r="AE1368" s="109"/>
      <c r="AF1368" s="109"/>
      <c r="AG1368" s="109"/>
      <c r="AH1368" s="109"/>
      <c r="AI1368" s="109"/>
      <c r="AJ1368" s="115"/>
      <c r="AK1368" s="80"/>
      <c r="AL1368" s="80"/>
      <c r="AM1368" s="80"/>
      <c r="AN1368" s="80"/>
      <c r="AO1368" s="80"/>
      <c r="AP1368" s="80"/>
      <c r="AQ1368" s="80"/>
      <c r="AR1368" s="73"/>
      <c r="AS1368" s="73"/>
      <c r="AT1368" s="73"/>
      <c r="AU1368" s="73"/>
      <c r="AV1368" s="73"/>
      <c r="AW1368" s="73"/>
      <c r="AX1368" s="73"/>
      <c r="AY1368" s="73"/>
      <c r="AZ1368" s="73"/>
      <c r="BA1368" s="73"/>
      <c r="BB1368" s="73"/>
      <c r="BC1368" s="73"/>
      <c r="BD1368" s="73"/>
      <c r="BE1368" s="73"/>
      <c r="BF1368" s="73"/>
      <c r="BG1368" s="73"/>
      <c r="BH1368" s="73"/>
      <c r="BI1368" s="73"/>
      <c r="BJ1368" s="73"/>
      <c r="BK1368" s="73"/>
      <c r="BL1368" s="73"/>
      <c r="BM1368" s="73"/>
      <c r="BN1368" s="73"/>
      <c r="BO1368" s="73"/>
      <c r="BP1368" s="73"/>
      <c r="BQ1368" s="73"/>
      <c r="BR1368" s="73"/>
      <c r="BS1368" s="73"/>
      <c r="BT1368" s="73"/>
      <c r="BU1368" s="73"/>
      <c r="BV1368" s="73"/>
      <c r="BW1368" s="73"/>
      <c r="BX1368" s="73"/>
      <c r="BY1368" s="73"/>
      <c r="BZ1368" s="73"/>
      <c r="CA1368" s="73"/>
      <c r="CB1368" s="73"/>
      <c r="CC1368" s="73"/>
      <c r="CD1368" s="73"/>
      <c r="CE1368" s="73"/>
      <c r="CF1368" s="73"/>
      <c r="CG1368" s="73"/>
      <c r="CH1368" s="73"/>
    </row>
    <row r="1369">
      <c r="A1369" s="80"/>
      <c r="B1369" s="80"/>
      <c r="C1369" s="80"/>
      <c r="D1369" s="80"/>
      <c r="E1369" s="124"/>
      <c r="F1369" s="80"/>
      <c r="G1369" s="80"/>
      <c r="H1369" s="80"/>
      <c r="I1369" s="80"/>
      <c r="J1369" s="109"/>
      <c r="K1369" s="109"/>
      <c r="L1369" s="109"/>
      <c r="M1369" s="109"/>
      <c r="N1369" s="109"/>
      <c r="O1369" s="109"/>
      <c r="P1369" s="109"/>
      <c r="Q1369" s="109"/>
      <c r="R1369" s="109"/>
      <c r="S1369" s="109"/>
      <c r="T1369" s="109"/>
      <c r="U1369" s="109"/>
      <c r="V1369" s="109"/>
      <c r="W1369" s="109"/>
      <c r="X1369" s="109"/>
      <c r="Y1369" s="109"/>
      <c r="Z1369" s="109"/>
      <c r="AA1369" s="109"/>
      <c r="AB1369" s="109"/>
      <c r="AC1369" s="109"/>
      <c r="AD1369" s="109"/>
      <c r="AE1369" s="109"/>
      <c r="AF1369" s="109"/>
      <c r="AG1369" s="109"/>
      <c r="AH1369" s="109"/>
      <c r="AI1369" s="109"/>
      <c r="AJ1369" s="115"/>
      <c r="AK1369" s="80"/>
      <c r="AL1369" s="80"/>
      <c r="AM1369" s="80"/>
      <c r="AN1369" s="80"/>
      <c r="AO1369" s="80"/>
      <c r="AP1369" s="80"/>
      <c r="AQ1369" s="80"/>
      <c r="AR1369" s="73"/>
      <c r="AS1369" s="73"/>
      <c r="AT1369" s="73"/>
      <c r="AU1369" s="73"/>
      <c r="AV1369" s="73"/>
      <c r="AW1369" s="73"/>
      <c r="AX1369" s="73"/>
      <c r="AY1369" s="73"/>
      <c r="AZ1369" s="73"/>
      <c r="BA1369" s="73"/>
      <c r="BB1369" s="73"/>
      <c r="BC1369" s="73"/>
      <c r="BD1369" s="73"/>
      <c r="BE1369" s="73"/>
      <c r="BF1369" s="73"/>
      <c r="BG1369" s="73"/>
      <c r="BH1369" s="73"/>
      <c r="BI1369" s="73"/>
      <c r="BJ1369" s="73"/>
      <c r="BK1369" s="73"/>
      <c r="BL1369" s="73"/>
      <c r="BM1369" s="73"/>
      <c r="BN1369" s="73"/>
      <c r="BO1369" s="73"/>
      <c r="BP1369" s="73"/>
      <c r="BQ1369" s="73"/>
      <c r="BR1369" s="73"/>
      <c r="BS1369" s="73"/>
      <c r="BT1369" s="73"/>
      <c r="BU1369" s="73"/>
      <c r="BV1369" s="73"/>
      <c r="BW1369" s="73"/>
      <c r="BX1369" s="73"/>
      <c r="BY1369" s="73"/>
      <c r="BZ1369" s="73"/>
      <c r="CA1369" s="73"/>
      <c r="CB1369" s="73"/>
      <c r="CC1369" s="73"/>
      <c r="CD1369" s="73"/>
      <c r="CE1369" s="73"/>
      <c r="CF1369" s="73"/>
      <c r="CG1369" s="73"/>
      <c r="CH1369" s="73"/>
    </row>
    <row r="1370">
      <c r="A1370" s="80"/>
      <c r="B1370" s="80"/>
      <c r="C1370" s="80"/>
      <c r="D1370" s="80"/>
      <c r="E1370" s="124"/>
      <c r="F1370" s="80"/>
      <c r="G1370" s="80"/>
      <c r="H1370" s="80"/>
      <c r="I1370" s="80"/>
      <c r="J1370" s="109"/>
      <c r="K1370" s="109"/>
      <c r="L1370" s="109"/>
      <c r="M1370" s="109"/>
      <c r="N1370" s="109"/>
      <c r="O1370" s="109"/>
      <c r="P1370" s="109"/>
      <c r="Q1370" s="109"/>
      <c r="R1370" s="109"/>
      <c r="S1370" s="109"/>
      <c r="T1370" s="109"/>
      <c r="U1370" s="109"/>
      <c r="V1370" s="109"/>
      <c r="W1370" s="109"/>
      <c r="X1370" s="109"/>
      <c r="Y1370" s="109"/>
      <c r="Z1370" s="109"/>
      <c r="AA1370" s="109"/>
      <c r="AB1370" s="109"/>
      <c r="AC1370" s="109"/>
      <c r="AD1370" s="109"/>
      <c r="AE1370" s="109"/>
      <c r="AF1370" s="109"/>
      <c r="AG1370" s="109"/>
      <c r="AH1370" s="109"/>
      <c r="AI1370" s="109"/>
      <c r="AJ1370" s="115"/>
      <c r="AK1370" s="80"/>
      <c r="AL1370" s="80"/>
      <c r="AM1370" s="80"/>
      <c r="AN1370" s="80"/>
      <c r="AO1370" s="80"/>
      <c r="AP1370" s="80"/>
      <c r="AQ1370" s="80"/>
      <c r="AR1370" s="73"/>
      <c r="AS1370" s="73"/>
      <c r="AT1370" s="73"/>
      <c r="AU1370" s="73"/>
      <c r="AV1370" s="73"/>
      <c r="AW1370" s="73"/>
      <c r="AX1370" s="73"/>
      <c r="AY1370" s="73"/>
      <c r="AZ1370" s="73"/>
      <c r="BA1370" s="73"/>
      <c r="BB1370" s="73"/>
      <c r="BC1370" s="73"/>
      <c r="BD1370" s="73"/>
      <c r="BE1370" s="73"/>
      <c r="BF1370" s="73"/>
      <c r="BG1370" s="73"/>
      <c r="BH1370" s="73"/>
      <c r="BI1370" s="73"/>
      <c r="BJ1370" s="73"/>
      <c r="BK1370" s="73"/>
      <c r="BL1370" s="73"/>
      <c r="BM1370" s="73"/>
      <c r="BN1370" s="73"/>
      <c r="BO1370" s="73"/>
      <c r="BP1370" s="73"/>
      <c r="BQ1370" s="73"/>
      <c r="BR1370" s="73"/>
      <c r="BS1370" s="73"/>
      <c r="BT1370" s="73"/>
      <c r="BU1370" s="73"/>
      <c r="BV1370" s="73"/>
      <c r="BW1370" s="73"/>
      <c r="BX1370" s="73"/>
      <c r="BY1370" s="73"/>
      <c r="BZ1370" s="73"/>
      <c r="CA1370" s="73"/>
      <c r="CB1370" s="73"/>
      <c r="CC1370" s="73"/>
      <c r="CD1370" s="73"/>
      <c r="CE1370" s="73"/>
      <c r="CF1370" s="73"/>
      <c r="CG1370" s="73"/>
      <c r="CH1370" s="73"/>
    </row>
    <row r="1371">
      <c r="A1371" s="80"/>
      <c r="B1371" s="80"/>
      <c r="C1371" s="80"/>
      <c r="D1371" s="80"/>
      <c r="E1371" s="124"/>
      <c r="F1371" s="80"/>
      <c r="G1371" s="80"/>
      <c r="H1371" s="80"/>
      <c r="I1371" s="80"/>
      <c r="J1371" s="109"/>
      <c r="K1371" s="109"/>
      <c r="L1371" s="109"/>
      <c r="M1371" s="109"/>
      <c r="N1371" s="109"/>
      <c r="O1371" s="109"/>
      <c r="P1371" s="109"/>
      <c r="Q1371" s="109"/>
      <c r="R1371" s="109"/>
      <c r="S1371" s="109"/>
      <c r="T1371" s="109"/>
      <c r="U1371" s="109"/>
      <c r="V1371" s="109"/>
      <c r="W1371" s="109"/>
      <c r="X1371" s="109"/>
      <c r="Y1371" s="109"/>
      <c r="Z1371" s="109"/>
      <c r="AA1371" s="109"/>
      <c r="AB1371" s="109"/>
      <c r="AC1371" s="109"/>
      <c r="AD1371" s="109"/>
      <c r="AE1371" s="109"/>
      <c r="AF1371" s="109"/>
      <c r="AG1371" s="109"/>
      <c r="AH1371" s="109"/>
      <c r="AI1371" s="109"/>
      <c r="AJ1371" s="115"/>
      <c r="AK1371" s="80"/>
      <c r="AL1371" s="80"/>
      <c r="AM1371" s="80"/>
      <c r="AN1371" s="80"/>
      <c r="AO1371" s="80"/>
      <c r="AP1371" s="80"/>
      <c r="AQ1371" s="80"/>
      <c r="AR1371" s="73"/>
      <c r="AS1371" s="73"/>
      <c r="AT1371" s="73"/>
      <c r="AU1371" s="73"/>
      <c r="AV1371" s="73"/>
      <c r="AW1371" s="73"/>
      <c r="AX1371" s="73"/>
      <c r="AY1371" s="73"/>
      <c r="AZ1371" s="73"/>
      <c r="BA1371" s="73"/>
      <c r="BB1371" s="73"/>
      <c r="BC1371" s="73"/>
      <c r="BD1371" s="73"/>
      <c r="BE1371" s="73"/>
      <c r="BF1371" s="73"/>
      <c r="BG1371" s="73"/>
      <c r="BH1371" s="73"/>
      <c r="BI1371" s="73"/>
      <c r="BJ1371" s="73"/>
      <c r="BK1371" s="73"/>
      <c r="BL1371" s="73"/>
      <c r="BM1371" s="73"/>
      <c r="BN1371" s="73"/>
      <c r="BO1371" s="73"/>
      <c r="BP1371" s="73"/>
      <c r="BQ1371" s="73"/>
      <c r="BR1371" s="73"/>
      <c r="BS1371" s="73"/>
      <c r="BT1371" s="73"/>
      <c r="BU1371" s="73"/>
      <c r="BV1371" s="73"/>
      <c r="BW1371" s="73"/>
      <c r="BX1371" s="73"/>
      <c r="BY1371" s="73"/>
      <c r="BZ1371" s="73"/>
      <c r="CA1371" s="73"/>
      <c r="CB1371" s="73"/>
      <c r="CC1371" s="73"/>
      <c r="CD1371" s="73"/>
      <c r="CE1371" s="73"/>
      <c r="CF1371" s="73"/>
      <c r="CG1371" s="73"/>
      <c r="CH1371" s="73"/>
    </row>
    <row r="1372">
      <c r="A1372" s="80"/>
      <c r="B1372" s="80"/>
      <c r="C1372" s="80"/>
      <c r="D1372" s="80"/>
      <c r="E1372" s="124"/>
      <c r="F1372" s="80"/>
      <c r="G1372" s="80"/>
      <c r="H1372" s="80"/>
      <c r="I1372" s="80"/>
      <c r="J1372" s="109"/>
      <c r="K1372" s="109"/>
      <c r="L1372" s="109"/>
      <c r="M1372" s="109"/>
      <c r="N1372" s="109"/>
      <c r="O1372" s="109"/>
      <c r="P1372" s="109"/>
      <c r="Q1372" s="109"/>
      <c r="R1372" s="109"/>
      <c r="S1372" s="109"/>
      <c r="T1372" s="109"/>
      <c r="U1372" s="109"/>
      <c r="V1372" s="109"/>
      <c r="W1372" s="109"/>
      <c r="X1372" s="109"/>
      <c r="Y1372" s="109"/>
      <c r="Z1372" s="109"/>
      <c r="AA1372" s="109"/>
      <c r="AB1372" s="109"/>
      <c r="AC1372" s="109"/>
      <c r="AD1372" s="109"/>
      <c r="AE1372" s="109"/>
      <c r="AF1372" s="109"/>
      <c r="AG1372" s="109"/>
      <c r="AH1372" s="109"/>
      <c r="AI1372" s="109"/>
      <c r="AJ1372" s="115"/>
      <c r="AK1372" s="80"/>
      <c r="AL1372" s="80"/>
      <c r="AM1372" s="80"/>
      <c r="AN1372" s="80"/>
      <c r="AO1372" s="80"/>
      <c r="AP1372" s="80"/>
      <c r="AQ1372" s="80"/>
      <c r="AR1372" s="73"/>
      <c r="AS1372" s="73"/>
      <c r="AT1372" s="73"/>
      <c r="AU1372" s="73"/>
      <c r="AV1372" s="73"/>
      <c r="AW1372" s="73"/>
      <c r="AX1372" s="73"/>
      <c r="AY1372" s="73"/>
      <c r="AZ1372" s="73"/>
      <c r="BA1372" s="73"/>
      <c r="BB1372" s="73"/>
      <c r="BC1372" s="73"/>
      <c r="BD1372" s="73"/>
      <c r="BE1372" s="73"/>
      <c r="BF1372" s="73"/>
      <c r="BG1372" s="73"/>
      <c r="BH1372" s="73"/>
      <c r="BI1372" s="73"/>
      <c r="BJ1372" s="73"/>
      <c r="BK1372" s="73"/>
      <c r="BL1372" s="73"/>
      <c r="BM1372" s="73"/>
      <c r="BN1372" s="73"/>
      <c r="BO1372" s="73"/>
      <c r="BP1372" s="73"/>
      <c r="BQ1372" s="73"/>
      <c r="BR1372" s="73"/>
      <c r="BS1372" s="73"/>
      <c r="BT1372" s="73"/>
      <c r="BU1372" s="73"/>
      <c r="BV1372" s="73"/>
      <c r="BW1372" s="73"/>
      <c r="BX1372" s="73"/>
      <c r="BY1372" s="73"/>
      <c r="BZ1372" s="73"/>
      <c r="CA1372" s="73"/>
      <c r="CB1372" s="73"/>
      <c r="CC1372" s="73"/>
      <c r="CD1372" s="73"/>
      <c r="CE1372" s="73"/>
      <c r="CF1372" s="73"/>
      <c r="CG1372" s="73"/>
      <c r="CH1372" s="73"/>
    </row>
    <row r="1373">
      <c r="A1373" s="80"/>
      <c r="B1373" s="80"/>
      <c r="C1373" s="80"/>
      <c r="D1373" s="80"/>
      <c r="E1373" s="124"/>
      <c r="F1373" s="80"/>
      <c r="G1373" s="80"/>
      <c r="H1373" s="80"/>
      <c r="I1373" s="80"/>
      <c r="J1373" s="109"/>
      <c r="K1373" s="109"/>
      <c r="L1373" s="109"/>
      <c r="M1373" s="109"/>
      <c r="N1373" s="109"/>
      <c r="O1373" s="109"/>
      <c r="P1373" s="109"/>
      <c r="Q1373" s="109"/>
      <c r="R1373" s="109"/>
      <c r="S1373" s="109"/>
      <c r="T1373" s="109"/>
      <c r="U1373" s="109"/>
      <c r="V1373" s="109"/>
      <c r="W1373" s="109"/>
      <c r="X1373" s="109"/>
      <c r="Y1373" s="109"/>
      <c r="Z1373" s="109"/>
      <c r="AA1373" s="109"/>
      <c r="AB1373" s="109"/>
      <c r="AC1373" s="109"/>
      <c r="AD1373" s="109"/>
      <c r="AE1373" s="109"/>
      <c r="AF1373" s="109"/>
      <c r="AG1373" s="109"/>
      <c r="AH1373" s="109"/>
      <c r="AI1373" s="109"/>
      <c r="AJ1373" s="115"/>
      <c r="AK1373" s="80"/>
      <c r="AL1373" s="80"/>
      <c r="AM1373" s="80"/>
      <c r="AN1373" s="80"/>
      <c r="AO1373" s="80"/>
      <c r="AP1373" s="80"/>
      <c r="AQ1373" s="80"/>
      <c r="AR1373" s="73"/>
      <c r="AS1373" s="73"/>
      <c r="AT1373" s="73"/>
      <c r="AU1373" s="73"/>
      <c r="AV1373" s="73"/>
      <c r="AW1373" s="73"/>
      <c r="AX1373" s="73"/>
      <c r="AY1373" s="73"/>
      <c r="AZ1373" s="73"/>
      <c r="BA1373" s="73"/>
      <c r="BB1373" s="73"/>
      <c r="BC1373" s="73"/>
      <c r="BD1373" s="73"/>
      <c r="BE1373" s="73"/>
      <c r="BF1373" s="73"/>
      <c r="BG1373" s="73"/>
      <c r="BH1373" s="73"/>
      <c r="BI1373" s="73"/>
      <c r="BJ1373" s="73"/>
      <c r="BK1373" s="73"/>
      <c r="BL1373" s="73"/>
      <c r="BM1373" s="73"/>
      <c r="BN1373" s="73"/>
      <c r="BO1373" s="73"/>
      <c r="BP1373" s="73"/>
      <c r="BQ1373" s="73"/>
      <c r="BR1373" s="73"/>
      <c r="BS1373" s="73"/>
      <c r="BT1373" s="73"/>
      <c r="BU1373" s="73"/>
      <c r="BV1373" s="73"/>
      <c r="BW1373" s="73"/>
      <c r="BX1373" s="73"/>
      <c r="BY1373" s="73"/>
      <c r="BZ1373" s="73"/>
      <c r="CA1373" s="73"/>
      <c r="CB1373" s="73"/>
      <c r="CC1373" s="73"/>
      <c r="CD1373" s="73"/>
      <c r="CE1373" s="73"/>
      <c r="CF1373" s="73"/>
      <c r="CG1373" s="73"/>
      <c r="CH1373" s="73"/>
    </row>
    <row r="1374">
      <c r="A1374" s="80"/>
      <c r="B1374" s="80"/>
      <c r="C1374" s="80"/>
      <c r="D1374" s="80"/>
      <c r="E1374" s="124"/>
      <c r="F1374" s="80"/>
      <c r="G1374" s="80"/>
      <c r="H1374" s="80"/>
      <c r="I1374" s="80"/>
      <c r="J1374" s="109"/>
      <c r="K1374" s="109"/>
      <c r="L1374" s="109"/>
      <c r="M1374" s="109"/>
      <c r="N1374" s="109"/>
      <c r="O1374" s="109"/>
      <c r="P1374" s="109"/>
      <c r="Q1374" s="109"/>
      <c r="R1374" s="109"/>
      <c r="S1374" s="109"/>
      <c r="T1374" s="109"/>
      <c r="U1374" s="109"/>
      <c r="V1374" s="109"/>
      <c r="W1374" s="109"/>
      <c r="X1374" s="109"/>
      <c r="Y1374" s="109"/>
      <c r="Z1374" s="109"/>
      <c r="AA1374" s="109"/>
      <c r="AB1374" s="109"/>
      <c r="AC1374" s="109"/>
      <c r="AD1374" s="109"/>
      <c r="AE1374" s="109"/>
      <c r="AF1374" s="109"/>
      <c r="AG1374" s="109"/>
      <c r="AH1374" s="109"/>
      <c r="AI1374" s="109"/>
      <c r="AJ1374" s="115"/>
      <c r="AK1374" s="80"/>
      <c r="AL1374" s="80"/>
      <c r="AM1374" s="80"/>
      <c r="AN1374" s="80"/>
      <c r="AO1374" s="80"/>
      <c r="AP1374" s="80"/>
      <c r="AQ1374" s="80"/>
      <c r="AR1374" s="73"/>
      <c r="AS1374" s="73"/>
      <c r="AT1374" s="73"/>
      <c r="AU1374" s="73"/>
      <c r="AV1374" s="73"/>
      <c r="AW1374" s="73"/>
      <c r="AX1374" s="73"/>
      <c r="AY1374" s="73"/>
      <c r="AZ1374" s="73"/>
      <c r="BA1374" s="73"/>
      <c r="BB1374" s="73"/>
      <c r="BC1374" s="73"/>
      <c r="BD1374" s="73"/>
      <c r="BE1374" s="73"/>
      <c r="BF1374" s="73"/>
      <c r="BG1374" s="73"/>
      <c r="BH1374" s="73"/>
      <c r="BI1374" s="73"/>
      <c r="BJ1374" s="73"/>
      <c r="BK1374" s="73"/>
      <c r="BL1374" s="73"/>
      <c r="BM1374" s="73"/>
      <c r="BN1374" s="73"/>
      <c r="BO1374" s="73"/>
      <c r="BP1374" s="73"/>
      <c r="BQ1374" s="73"/>
      <c r="BR1374" s="73"/>
      <c r="BS1374" s="73"/>
      <c r="BT1374" s="73"/>
      <c r="BU1374" s="73"/>
      <c r="BV1374" s="73"/>
      <c r="BW1374" s="73"/>
      <c r="BX1374" s="73"/>
      <c r="BY1374" s="73"/>
      <c r="BZ1374" s="73"/>
      <c r="CA1374" s="73"/>
      <c r="CB1374" s="73"/>
      <c r="CC1374" s="73"/>
      <c r="CD1374" s="73"/>
      <c r="CE1374" s="73"/>
      <c r="CF1374" s="73"/>
      <c r="CG1374" s="73"/>
      <c r="CH1374" s="73"/>
    </row>
    <row r="1375">
      <c r="A1375" s="80"/>
      <c r="B1375" s="80"/>
      <c r="C1375" s="80"/>
      <c r="D1375" s="80"/>
      <c r="E1375" s="124"/>
      <c r="F1375" s="80"/>
      <c r="G1375" s="80"/>
      <c r="H1375" s="80"/>
      <c r="I1375" s="80"/>
      <c r="J1375" s="109"/>
      <c r="K1375" s="109"/>
      <c r="L1375" s="109"/>
      <c r="M1375" s="109"/>
      <c r="N1375" s="109"/>
      <c r="O1375" s="109"/>
      <c r="P1375" s="109"/>
      <c r="Q1375" s="109"/>
      <c r="R1375" s="109"/>
      <c r="S1375" s="109"/>
      <c r="T1375" s="109"/>
      <c r="U1375" s="109"/>
      <c r="V1375" s="109"/>
      <c r="W1375" s="109"/>
      <c r="X1375" s="109"/>
      <c r="Y1375" s="109"/>
      <c r="Z1375" s="109"/>
      <c r="AA1375" s="109"/>
      <c r="AB1375" s="109"/>
      <c r="AC1375" s="109"/>
      <c r="AD1375" s="109"/>
      <c r="AE1375" s="109"/>
      <c r="AF1375" s="109"/>
      <c r="AG1375" s="109"/>
      <c r="AH1375" s="109"/>
      <c r="AI1375" s="109"/>
      <c r="AJ1375" s="115"/>
      <c r="AK1375" s="80"/>
      <c r="AL1375" s="80"/>
      <c r="AM1375" s="80"/>
      <c r="AN1375" s="80"/>
      <c r="AO1375" s="80"/>
      <c r="AP1375" s="80"/>
      <c r="AQ1375" s="80"/>
      <c r="AR1375" s="73"/>
      <c r="AS1375" s="73"/>
      <c r="AT1375" s="73"/>
      <c r="AU1375" s="73"/>
      <c r="AV1375" s="73"/>
      <c r="AW1375" s="73"/>
      <c r="AX1375" s="73"/>
      <c r="AY1375" s="73"/>
      <c r="AZ1375" s="73"/>
      <c r="BA1375" s="73"/>
      <c r="BB1375" s="73"/>
      <c r="BC1375" s="73"/>
      <c r="BD1375" s="73"/>
      <c r="BE1375" s="73"/>
      <c r="BF1375" s="73"/>
      <c r="BG1375" s="73"/>
      <c r="BH1375" s="73"/>
      <c r="BI1375" s="73"/>
      <c r="BJ1375" s="73"/>
      <c r="BK1375" s="73"/>
      <c r="BL1375" s="73"/>
      <c r="BM1375" s="73"/>
      <c r="BN1375" s="73"/>
      <c r="BO1375" s="73"/>
      <c r="BP1375" s="73"/>
      <c r="BQ1375" s="73"/>
      <c r="BR1375" s="73"/>
      <c r="BS1375" s="73"/>
      <c r="BT1375" s="73"/>
      <c r="BU1375" s="73"/>
      <c r="BV1375" s="73"/>
      <c r="BW1375" s="73"/>
      <c r="BX1375" s="73"/>
      <c r="BY1375" s="73"/>
      <c r="BZ1375" s="73"/>
      <c r="CA1375" s="73"/>
      <c r="CB1375" s="73"/>
      <c r="CC1375" s="73"/>
      <c r="CD1375" s="73"/>
      <c r="CE1375" s="73"/>
      <c r="CF1375" s="73"/>
      <c r="CG1375" s="73"/>
      <c r="CH1375" s="73"/>
    </row>
    <row r="1376">
      <c r="A1376" s="80"/>
      <c r="B1376" s="80"/>
      <c r="C1376" s="80"/>
      <c r="D1376" s="80"/>
      <c r="E1376" s="124"/>
      <c r="F1376" s="80"/>
      <c r="G1376" s="80"/>
      <c r="H1376" s="80"/>
      <c r="I1376" s="80"/>
      <c r="J1376" s="109"/>
      <c r="K1376" s="109"/>
      <c r="L1376" s="109"/>
      <c r="M1376" s="109"/>
      <c r="N1376" s="109"/>
      <c r="O1376" s="109"/>
      <c r="P1376" s="109"/>
      <c r="Q1376" s="109"/>
      <c r="R1376" s="109"/>
      <c r="S1376" s="109"/>
      <c r="T1376" s="109"/>
      <c r="U1376" s="109"/>
      <c r="V1376" s="109"/>
      <c r="W1376" s="109"/>
      <c r="X1376" s="109"/>
      <c r="Y1376" s="109"/>
      <c r="Z1376" s="109"/>
      <c r="AA1376" s="109"/>
      <c r="AB1376" s="109"/>
      <c r="AC1376" s="109"/>
      <c r="AD1376" s="109"/>
      <c r="AE1376" s="109"/>
      <c r="AF1376" s="109"/>
      <c r="AG1376" s="109"/>
      <c r="AH1376" s="109"/>
      <c r="AI1376" s="109"/>
      <c r="AJ1376" s="115"/>
      <c r="AK1376" s="80"/>
      <c r="AL1376" s="80"/>
      <c r="AM1376" s="80"/>
      <c r="AN1376" s="80"/>
      <c r="AO1376" s="80"/>
      <c r="AP1376" s="80"/>
      <c r="AQ1376" s="80"/>
      <c r="AR1376" s="73"/>
      <c r="AS1376" s="73"/>
      <c r="AT1376" s="73"/>
      <c r="AU1376" s="73"/>
      <c r="AV1376" s="73"/>
      <c r="AW1376" s="73"/>
      <c r="AX1376" s="73"/>
      <c r="AY1376" s="73"/>
      <c r="AZ1376" s="73"/>
      <c r="BA1376" s="73"/>
      <c r="BB1376" s="73"/>
      <c r="BC1376" s="73"/>
      <c r="BD1376" s="73"/>
      <c r="BE1376" s="73"/>
      <c r="BF1376" s="73"/>
      <c r="BG1376" s="73"/>
      <c r="BH1376" s="73"/>
      <c r="BI1376" s="73"/>
      <c r="BJ1376" s="73"/>
      <c r="BK1376" s="73"/>
      <c r="BL1376" s="73"/>
      <c r="BM1376" s="73"/>
      <c r="BN1376" s="73"/>
      <c r="BO1376" s="73"/>
      <c r="BP1376" s="73"/>
      <c r="BQ1376" s="73"/>
      <c r="BR1376" s="73"/>
      <c r="BS1376" s="73"/>
      <c r="BT1376" s="73"/>
      <c r="BU1376" s="73"/>
      <c r="BV1376" s="73"/>
      <c r="BW1376" s="73"/>
      <c r="BX1376" s="73"/>
      <c r="BY1376" s="73"/>
      <c r="BZ1376" s="73"/>
      <c r="CA1376" s="73"/>
      <c r="CB1376" s="73"/>
      <c r="CC1376" s="73"/>
      <c r="CD1376" s="73"/>
      <c r="CE1376" s="73"/>
      <c r="CF1376" s="73"/>
      <c r="CG1376" s="73"/>
      <c r="CH1376" s="73"/>
    </row>
    <row r="1377">
      <c r="A1377" s="80"/>
      <c r="B1377" s="80"/>
      <c r="C1377" s="80"/>
      <c r="D1377" s="80"/>
      <c r="E1377" s="124"/>
      <c r="F1377" s="80"/>
      <c r="G1377" s="80"/>
      <c r="H1377" s="80"/>
      <c r="I1377" s="80"/>
      <c r="J1377" s="109"/>
      <c r="K1377" s="109"/>
      <c r="L1377" s="109"/>
      <c r="M1377" s="109"/>
      <c r="N1377" s="109"/>
      <c r="O1377" s="109"/>
      <c r="P1377" s="109"/>
      <c r="Q1377" s="109"/>
      <c r="R1377" s="109"/>
      <c r="S1377" s="109"/>
      <c r="T1377" s="109"/>
      <c r="U1377" s="109"/>
      <c r="V1377" s="109"/>
      <c r="W1377" s="109"/>
      <c r="X1377" s="109"/>
      <c r="Y1377" s="109"/>
      <c r="Z1377" s="109"/>
      <c r="AA1377" s="109"/>
      <c r="AB1377" s="109"/>
      <c r="AC1377" s="109"/>
      <c r="AD1377" s="109"/>
      <c r="AE1377" s="109"/>
      <c r="AF1377" s="109"/>
      <c r="AG1377" s="109"/>
      <c r="AH1377" s="109"/>
      <c r="AI1377" s="109"/>
      <c r="AJ1377" s="115"/>
      <c r="AK1377" s="80"/>
      <c r="AL1377" s="80"/>
      <c r="AM1377" s="80"/>
      <c r="AN1377" s="80"/>
      <c r="AO1377" s="80"/>
      <c r="AP1377" s="80"/>
      <c r="AQ1377" s="80"/>
      <c r="AR1377" s="73"/>
      <c r="AS1377" s="73"/>
      <c r="AT1377" s="73"/>
      <c r="AU1377" s="73"/>
      <c r="AV1377" s="73"/>
      <c r="AW1377" s="73"/>
      <c r="AX1377" s="73"/>
      <c r="AY1377" s="73"/>
      <c r="AZ1377" s="73"/>
      <c r="BA1377" s="73"/>
      <c r="BB1377" s="73"/>
      <c r="BC1377" s="73"/>
      <c r="BD1377" s="73"/>
      <c r="BE1377" s="73"/>
      <c r="BF1377" s="73"/>
      <c r="BG1377" s="73"/>
      <c r="BH1377" s="73"/>
      <c r="BI1377" s="73"/>
      <c r="BJ1377" s="73"/>
      <c r="BK1377" s="73"/>
      <c r="BL1377" s="73"/>
      <c r="BM1377" s="73"/>
      <c r="BN1377" s="73"/>
      <c r="BO1377" s="73"/>
      <c r="BP1377" s="73"/>
      <c r="BQ1377" s="73"/>
      <c r="BR1377" s="73"/>
      <c r="BS1377" s="73"/>
      <c r="BT1377" s="73"/>
      <c r="BU1377" s="73"/>
      <c r="BV1377" s="73"/>
      <c r="BW1377" s="73"/>
      <c r="BX1377" s="73"/>
      <c r="BY1377" s="73"/>
      <c r="BZ1377" s="73"/>
      <c r="CA1377" s="73"/>
      <c r="CB1377" s="73"/>
      <c r="CC1377" s="73"/>
      <c r="CD1377" s="73"/>
      <c r="CE1377" s="73"/>
      <c r="CF1377" s="73"/>
      <c r="CG1377" s="73"/>
      <c r="CH1377" s="73"/>
    </row>
    <row r="1378">
      <c r="A1378" s="80"/>
      <c r="B1378" s="80"/>
      <c r="C1378" s="80"/>
      <c r="D1378" s="80"/>
      <c r="E1378" s="124"/>
      <c r="F1378" s="80"/>
      <c r="G1378" s="80"/>
      <c r="H1378" s="80"/>
      <c r="I1378" s="80"/>
      <c r="J1378" s="109"/>
      <c r="K1378" s="109"/>
      <c r="L1378" s="109"/>
      <c r="M1378" s="109"/>
      <c r="N1378" s="109"/>
      <c r="O1378" s="109"/>
      <c r="P1378" s="109"/>
      <c r="Q1378" s="109"/>
      <c r="R1378" s="109"/>
      <c r="S1378" s="109"/>
      <c r="T1378" s="109"/>
      <c r="U1378" s="109"/>
      <c r="V1378" s="109"/>
      <c r="W1378" s="109"/>
      <c r="X1378" s="109"/>
      <c r="Y1378" s="109"/>
      <c r="Z1378" s="109"/>
      <c r="AA1378" s="109"/>
      <c r="AB1378" s="109"/>
      <c r="AC1378" s="109"/>
      <c r="AD1378" s="109"/>
      <c r="AE1378" s="109"/>
      <c r="AF1378" s="109"/>
      <c r="AG1378" s="109"/>
      <c r="AH1378" s="109"/>
      <c r="AI1378" s="109"/>
      <c r="AJ1378" s="115"/>
      <c r="AK1378" s="80"/>
      <c r="AL1378" s="80"/>
      <c r="AM1378" s="80"/>
      <c r="AN1378" s="80"/>
      <c r="AO1378" s="80"/>
      <c r="AP1378" s="80"/>
      <c r="AQ1378" s="80"/>
      <c r="AR1378" s="73"/>
      <c r="AS1378" s="73"/>
      <c r="AT1378" s="73"/>
      <c r="AU1378" s="73"/>
      <c r="AV1378" s="73"/>
      <c r="AW1378" s="73"/>
      <c r="AX1378" s="73"/>
      <c r="AY1378" s="73"/>
      <c r="AZ1378" s="73"/>
      <c r="BA1378" s="73"/>
      <c r="BB1378" s="73"/>
      <c r="BC1378" s="73"/>
      <c r="BD1378" s="73"/>
      <c r="BE1378" s="73"/>
      <c r="BF1378" s="73"/>
      <c r="BG1378" s="73"/>
      <c r="BH1378" s="73"/>
      <c r="BI1378" s="73"/>
      <c r="BJ1378" s="73"/>
      <c r="BK1378" s="73"/>
      <c r="BL1378" s="73"/>
      <c r="BM1378" s="73"/>
      <c r="BN1378" s="73"/>
      <c r="BO1378" s="73"/>
      <c r="BP1378" s="73"/>
      <c r="BQ1378" s="73"/>
      <c r="BR1378" s="73"/>
      <c r="BS1378" s="73"/>
      <c r="BT1378" s="73"/>
      <c r="BU1378" s="73"/>
      <c r="BV1378" s="73"/>
      <c r="BW1378" s="73"/>
      <c r="BX1378" s="73"/>
      <c r="BY1378" s="73"/>
      <c r="BZ1378" s="73"/>
      <c r="CA1378" s="73"/>
      <c r="CB1378" s="73"/>
      <c r="CC1378" s="73"/>
      <c r="CD1378" s="73"/>
      <c r="CE1378" s="73"/>
      <c r="CF1378" s="73"/>
      <c r="CG1378" s="73"/>
      <c r="CH1378" s="73"/>
    </row>
    <row r="1379">
      <c r="A1379" s="80"/>
      <c r="B1379" s="80"/>
      <c r="C1379" s="80"/>
      <c r="D1379" s="80"/>
      <c r="E1379" s="124"/>
      <c r="F1379" s="80"/>
      <c r="G1379" s="80"/>
      <c r="H1379" s="80"/>
      <c r="I1379" s="80"/>
      <c r="J1379" s="109"/>
      <c r="K1379" s="109"/>
      <c r="L1379" s="109"/>
      <c r="M1379" s="109"/>
      <c r="N1379" s="109"/>
      <c r="O1379" s="109"/>
      <c r="P1379" s="109"/>
      <c r="Q1379" s="109"/>
      <c r="R1379" s="109"/>
      <c r="S1379" s="109"/>
      <c r="T1379" s="109"/>
      <c r="U1379" s="109"/>
      <c r="V1379" s="109"/>
      <c r="W1379" s="109"/>
      <c r="X1379" s="109"/>
      <c r="Y1379" s="109"/>
      <c r="Z1379" s="109"/>
      <c r="AA1379" s="109"/>
      <c r="AB1379" s="109"/>
      <c r="AC1379" s="109"/>
      <c r="AD1379" s="109"/>
      <c r="AE1379" s="109"/>
      <c r="AF1379" s="109"/>
      <c r="AG1379" s="109"/>
      <c r="AH1379" s="109"/>
      <c r="AI1379" s="109"/>
      <c r="AJ1379" s="115"/>
      <c r="AK1379" s="80"/>
      <c r="AL1379" s="80"/>
      <c r="AM1379" s="80"/>
      <c r="AN1379" s="80"/>
      <c r="AO1379" s="80"/>
      <c r="AP1379" s="80"/>
      <c r="AQ1379" s="80"/>
      <c r="AR1379" s="73"/>
      <c r="AS1379" s="73"/>
      <c r="AT1379" s="73"/>
      <c r="AU1379" s="73"/>
      <c r="AV1379" s="73"/>
      <c r="AW1379" s="73"/>
      <c r="AX1379" s="73"/>
      <c r="AY1379" s="73"/>
      <c r="AZ1379" s="73"/>
      <c r="BA1379" s="73"/>
      <c r="BB1379" s="73"/>
      <c r="BC1379" s="73"/>
      <c r="BD1379" s="73"/>
      <c r="BE1379" s="73"/>
      <c r="BF1379" s="73"/>
      <c r="BG1379" s="73"/>
      <c r="BH1379" s="73"/>
      <c r="BI1379" s="73"/>
      <c r="BJ1379" s="73"/>
      <c r="BK1379" s="73"/>
      <c r="BL1379" s="73"/>
      <c r="BM1379" s="73"/>
      <c r="BN1379" s="73"/>
      <c r="BO1379" s="73"/>
      <c r="BP1379" s="73"/>
      <c r="BQ1379" s="73"/>
      <c r="BR1379" s="73"/>
      <c r="BS1379" s="73"/>
      <c r="BT1379" s="73"/>
      <c r="BU1379" s="73"/>
      <c r="BV1379" s="73"/>
      <c r="BW1379" s="73"/>
      <c r="BX1379" s="73"/>
      <c r="BY1379" s="73"/>
      <c r="BZ1379" s="73"/>
      <c r="CA1379" s="73"/>
      <c r="CB1379" s="73"/>
      <c r="CC1379" s="73"/>
      <c r="CD1379" s="73"/>
      <c r="CE1379" s="73"/>
      <c r="CF1379" s="73"/>
      <c r="CG1379" s="73"/>
      <c r="CH1379" s="73"/>
    </row>
    <row r="1380">
      <c r="A1380" s="80"/>
      <c r="B1380" s="80"/>
      <c r="C1380" s="80"/>
      <c r="D1380" s="80"/>
      <c r="E1380" s="124"/>
      <c r="F1380" s="80"/>
      <c r="G1380" s="80"/>
      <c r="H1380" s="80"/>
      <c r="I1380" s="80"/>
      <c r="J1380" s="109"/>
      <c r="K1380" s="109"/>
      <c r="L1380" s="109"/>
      <c r="M1380" s="109"/>
      <c r="N1380" s="109"/>
      <c r="O1380" s="109"/>
      <c r="P1380" s="109"/>
      <c r="Q1380" s="109"/>
      <c r="R1380" s="109"/>
      <c r="S1380" s="109"/>
      <c r="T1380" s="109"/>
      <c r="U1380" s="109"/>
      <c r="V1380" s="109"/>
      <c r="W1380" s="109"/>
      <c r="X1380" s="109"/>
      <c r="Y1380" s="109"/>
      <c r="Z1380" s="109"/>
      <c r="AA1380" s="109"/>
      <c r="AB1380" s="109"/>
      <c r="AC1380" s="109"/>
      <c r="AD1380" s="109"/>
      <c r="AE1380" s="109"/>
      <c r="AF1380" s="109"/>
      <c r="AG1380" s="109"/>
      <c r="AH1380" s="109"/>
      <c r="AI1380" s="109"/>
      <c r="AJ1380" s="115"/>
      <c r="AK1380" s="80"/>
      <c r="AL1380" s="80"/>
      <c r="AM1380" s="80"/>
      <c r="AN1380" s="80"/>
      <c r="AO1380" s="80"/>
      <c r="AP1380" s="80"/>
      <c r="AQ1380" s="80"/>
      <c r="AR1380" s="73"/>
      <c r="AS1380" s="73"/>
      <c r="AT1380" s="73"/>
      <c r="AU1380" s="73"/>
      <c r="AV1380" s="73"/>
      <c r="AW1380" s="73"/>
      <c r="AX1380" s="73"/>
      <c r="AY1380" s="73"/>
      <c r="AZ1380" s="73"/>
      <c r="BA1380" s="73"/>
      <c r="BB1380" s="73"/>
      <c r="BC1380" s="73"/>
      <c r="BD1380" s="73"/>
      <c r="BE1380" s="73"/>
      <c r="BF1380" s="73"/>
      <c r="BG1380" s="73"/>
      <c r="BH1380" s="73"/>
      <c r="BI1380" s="73"/>
      <c r="BJ1380" s="73"/>
      <c r="BK1380" s="73"/>
      <c r="BL1380" s="73"/>
      <c r="BM1380" s="73"/>
      <c r="BN1380" s="73"/>
      <c r="BO1380" s="73"/>
      <c r="BP1380" s="73"/>
      <c r="BQ1380" s="73"/>
      <c r="BR1380" s="73"/>
      <c r="BS1380" s="73"/>
      <c r="BT1380" s="73"/>
      <c r="BU1380" s="73"/>
      <c r="BV1380" s="73"/>
      <c r="BW1380" s="73"/>
      <c r="BX1380" s="73"/>
      <c r="BY1380" s="73"/>
      <c r="BZ1380" s="73"/>
      <c r="CA1380" s="73"/>
      <c r="CB1380" s="73"/>
      <c r="CC1380" s="73"/>
      <c r="CD1380" s="73"/>
      <c r="CE1380" s="73"/>
      <c r="CF1380" s="73"/>
      <c r="CG1380" s="73"/>
      <c r="CH1380" s="73"/>
    </row>
    <row r="1381">
      <c r="A1381" s="80"/>
      <c r="B1381" s="80"/>
      <c r="C1381" s="80"/>
      <c r="D1381" s="80"/>
      <c r="E1381" s="124"/>
      <c r="F1381" s="80"/>
      <c r="G1381" s="80"/>
      <c r="H1381" s="80"/>
      <c r="I1381" s="80"/>
      <c r="J1381" s="109"/>
      <c r="K1381" s="109"/>
      <c r="L1381" s="109"/>
      <c r="M1381" s="109"/>
      <c r="N1381" s="109"/>
      <c r="O1381" s="109"/>
      <c r="P1381" s="109"/>
      <c r="Q1381" s="109"/>
      <c r="R1381" s="109"/>
      <c r="S1381" s="109"/>
      <c r="T1381" s="109"/>
      <c r="U1381" s="109"/>
      <c r="V1381" s="109"/>
      <c r="W1381" s="109"/>
      <c r="X1381" s="109"/>
      <c r="Y1381" s="109"/>
      <c r="Z1381" s="109"/>
      <c r="AA1381" s="109"/>
      <c r="AB1381" s="109"/>
      <c r="AC1381" s="109"/>
      <c r="AD1381" s="109"/>
      <c r="AE1381" s="109"/>
      <c r="AF1381" s="109"/>
      <c r="AG1381" s="109"/>
      <c r="AH1381" s="109"/>
      <c r="AI1381" s="109"/>
      <c r="AJ1381" s="115"/>
      <c r="AK1381" s="80"/>
      <c r="AL1381" s="80"/>
      <c r="AM1381" s="80"/>
      <c r="AN1381" s="80"/>
      <c r="AO1381" s="80"/>
      <c r="AP1381" s="80"/>
      <c r="AQ1381" s="80"/>
      <c r="AR1381" s="73"/>
      <c r="AS1381" s="73"/>
      <c r="AT1381" s="73"/>
      <c r="AU1381" s="73"/>
      <c r="AV1381" s="73"/>
      <c r="AW1381" s="73"/>
      <c r="AX1381" s="73"/>
      <c r="AY1381" s="73"/>
      <c r="AZ1381" s="73"/>
      <c r="BA1381" s="73"/>
      <c r="BB1381" s="73"/>
      <c r="BC1381" s="73"/>
      <c r="BD1381" s="73"/>
      <c r="BE1381" s="73"/>
      <c r="BF1381" s="73"/>
      <c r="BG1381" s="73"/>
      <c r="BH1381" s="73"/>
      <c r="BI1381" s="73"/>
      <c r="BJ1381" s="73"/>
      <c r="BK1381" s="73"/>
      <c r="BL1381" s="73"/>
      <c r="BM1381" s="73"/>
      <c r="BN1381" s="73"/>
      <c r="BO1381" s="73"/>
      <c r="BP1381" s="73"/>
      <c r="BQ1381" s="73"/>
      <c r="BR1381" s="73"/>
      <c r="BS1381" s="73"/>
      <c r="BT1381" s="73"/>
      <c r="BU1381" s="73"/>
      <c r="BV1381" s="73"/>
      <c r="BW1381" s="73"/>
      <c r="BX1381" s="73"/>
      <c r="BY1381" s="73"/>
      <c r="BZ1381" s="73"/>
      <c r="CA1381" s="73"/>
      <c r="CB1381" s="73"/>
      <c r="CC1381" s="73"/>
      <c r="CD1381" s="73"/>
      <c r="CE1381" s="73"/>
      <c r="CF1381" s="73"/>
      <c r="CG1381" s="73"/>
      <c r="CH1381" s="73"/>
    </row>
    <row r="1382">
      <c r="A1382" s="80"/>
      <c r="B1382" s="80"/>
      <c r="C1382" s="80"/>
      <c r="D1382" s="80"/>
      <c r="E1382" s="124"/>
      <c r="F1382" s="80"/>
      <c r="G1382" s="80"/>
      <c r="H1382" s="80"/>
      <c r="I1382" s="80"/>
      <c r="J1382" s="109"/>
      <c r="K1382" s="109"/>
      <c r="L1382" s="109"/>
      <c r="M1382" s="109"/>
      <c r="N1382" s="109"/>
      <c r="O1382" s="109"/>
      <c r="P1382" s="109"/>
      <c r="Q1382" s="109"/>
      <c r="R1382" s="109"/>
      <c r="S1382" s="109"/>
      <c r="T1382" s="109"/>
      <c r="U1382" s="109"/>
      <c r="V1382" s="109"/>
      <c r="W1382" s="109"/>
      <c r="X1382" s="109"/>
      <c r="Y1382" s="109"/>
      <c r="Z1382" s="109"/>
      <c r="AA1382" s="109"/>
      <c r="AB1382" s="109"/>
      <c r="AC1382" s="109"/>
      <c r="AD1382" s="109"/>
      <c r="AE1382" s="109"/>
      <c r="AF1382" s="109"/>
      <c r="AG1382" s="109"/>
      <c r="AH1382" s="109"/>
      <c r="AI1382" s="109"/>
      <c r="AJ1382" s="115"/>
      <c r="AK1382" s="80"/>
      <c r="AL1382" s="80"/>
      <c r="AM1382" s="80"/>
      <c r="AN1382" s="80"/>
      <c r="AO1382" s="80"/>
      <c r="AP1382" s="80"/>
      <c r="AQ1382" s="80"/>
      <c r="AR1382" s="73"/>
      <c r="AS1382" s="73"/>
      <c r="AT1382" s="73"/>
      <c r="AU1382" s="73"/>
      <c r="AV1382" s="73"/>
      <c r="AW1382" s="73"/>
      <c r="AX1382" s="73"/>
      <c r="AY1382" s="73"/>
      <c r="AZ1382" s="73"/>
      <c r="BA1382" s="73"/>
      <c r="BB1382" s="73"/>
      <c r="BC1382" s="73"/>
      <c r="BD1382" s="73"/>
      <c r="BE1382" s="73"/>
      <c r="BF1382" s="73"/>
      <c r="BG1382" s="73"/>
      <c r="BH1382" s="73"/>
      <c r="BI1382" s="73"/>
      <c r="BJ1382" s="73"/>
      <c r="BK1382" s="73"/>
      <c r="BL1382" s="73"/>
      <c r="BM1382" s="73"/>
      <c r="BN1382" s="73"/>
      <c r="BO1382" s="73"/>
      <c r="BP1382" s="73"/>
      <c r="BQ1382" s="73"/>
      <c r="BR1382" s="73"/>
      <c r="BS1382" s="73"/>
      <c r="BT1382" s="73"/>
      <c r="BU1382" s="73"/>
      <c r="BV1382" s="73"/>
      <c r="BW1382" s="73"/>
      <c r="BX1382" s="73"/>
      <c r="BY1382" s="73"/>
      <c r="BZ1382" s="73"/>
      <c r="CA1382" s="73"/>
      <c r="CB1382" s="73"/>
      <c r="CC1382" s="73"/>
      <c r="CD1382" s="73"/>
      <c r="CE1382" s="73"/>
      <c r="CF1382" s="73"/>
      <c r="CG1382" s="73"/>
      <c r="CH1382" s="73"/>
    </row>
    <row r="1383">
      <c r="A1383" s="80"/>
      <c r="B1383" s="80"/>
      <c r="C1383" s="80"/>
      <c r="D1383" s="80"/>
      <c r="E1383" s="124"/>
      <c r="F1383" s="80"/>
      <c r="G1383" s="80"/>
      <c r="H1383" s="80"/>
      <c r="I1383" s="80"/>
      <c r="J1383" s="109"/>
      <c r="K1383" s="109"/>
      <c r="L1383" s="109"/>
      <c r="M1383" s="109"/>
      <c r="N1383" s="109"/>
      <c r="O1383" s="109"/>
      <c r="P1383" s="109"/>
      <c r="Q1383" s="109"/>
      <c r="R1383" s="109"/>
      <c r="S1383" s="109"/>
      <c r="T1383" s="109"/>
      <c r="U1383" s="109"/>
      <c r="V1383" s="109"/>
      <c r="W1383" s="109"/>
      <c r="X1383" s="109"/>
      <c r="Y1383" s="109"/>
      <c r="Z1383" s="109"/>
      <c r="AA1383" s="109"/>
      <c r="AB1383" s="109"/>
      <c r="AC1383" s="109"/>
      <c r="AD1383" s="109"/>
      <c r="AE1383" s="109"/>
      <c r="AF1383" s="109"/>
      <c r="AG1383" s="109"/>
      <c r="AH1383" s="109"/>
      <c r="AI1383" s="109"/>
      <c r="AJ1383" s="115"/>
      <c r="AK1383" s="80"/>
      <c r="AL1383" s="80"/>
      <c r="AM1383" s="80"/>
      <c r="AN1383" s="80"/>
      <c r="AO1383" s="80"/>
      <c r="AP1383" s="80"/>
      <c r="AQ1383" s="80"/>
      <c r="AR1383" s="73"/>
      <c r="AS1383" s="73"/>
      <c r="AT1383" s="73"/>
      <c r="AU1383" s="73"/>
      <c r="AV1383" s="73"/>
      <c r="AW1383" s="73"/>
      <c r="AX1383" s="73"/>
      <c r="AY1383" s="73"/>
      <c r="AZ1383" s="73"/>
      <c r="BA1383" s="73"/>
      <c r="BB1383" s="73"/>
      <c r="BC1383" s="73"/>
      <c r="BD1383" s="73"/>
      <c r="BE1383" s="73"/>
      <c r="BF1383" s="73"/>
      <c r="BG1383" s="73"/>
      <c r="BH1383" s="73"/>
      <c r="BI1383" s="73"/>
      <c r="BJ1383" s="73"/>
      <c r="BK1383" s="73"/>
      <c r="BL1383" s="73"/>
      <c r="BM1383" s="73"/>
      <c r="BN1383" s="73"/>
      <c r="BO1383" s="73"/>
      <c r="BP1383" s="73"/>
      <c r="BQ1383" s="73"/>
      <c r="BR1383" s="73"/>
      <c r="BS1383" s="73"/>
      <c r="BT1383" s="73"/>
      <c r="BU1383" s="73"/>
      <c r="BV1383" s="73"/>
      <c r="BW1383" s="73"/>
      <c r="BX1383" s="73"/>
      <c r="BY1383" s="73"/>
      <c r="BZ1383" s="73"/>
      <c r="CA1383" s="73"/>
      <c r="CB1383" s="73"/>
      <c r="CC1383" s="73"/>
      <c r="CD1383" s="73"/>
      <c r="CE1383" s="73"/>
      <c r="CF1383" s="73"/>
      <c r="CG1383" s="73"/>
      <c r="CH1383" s="73"/>
    </row>
    <row r="1384">
      <c r="A1384" s="80"/>
      <c r="B1384" s="80"/>
      <c r="C1384" s="80"/>
      <c r="D1384" s="80"/>
      <c r="E1384" s="124"/>
      <c r="F1384" s="80"/>
      <c r="G1384" s="80"/>
      <c r="H1384" s="80"/>
      <c r="I1384" s="80"/>
      <c r="J1384" s="109"/>
      <c r="K1384" s="109"/>
      <c r="L1384" s="109"/>
      <c r="M1384" s="109"/>
      <c r="N1384" s="109"/>
      <c r="O1384" s="109"/>
      <c r="P1384" s="109"/>
      <c r="Q1384" s="109"/>
      <c r="R1384" s="109"/>
      <c r="S1384" s="109"/>
      <c r="T1384" s="109"/>
      <c r="U1384" s="109"/>
      <c r="V1384" s="109"/>
      <c r="W1384" s="109"/>
      <c r="X1384" s="109"/>
      <c r="Y1384" s="109"/>
      <c r="Z1384" s="109"/>
      <c r="AA1384" s="109"/>
      <c r="AB1384" s="109"/>
      <c r="AC1384" s="109"/>
      <c r="AD1384" s="109"/>
      <c r="AE1384" s="109"/>
      <c r="AF1384" s="109"/>
      <c r="AG1384" s="109"/>
      <c r="AH1384" s="109"/>
      <c r="AI1384" s="109"/>
      <c r="AJ1384" s="115"/>
      <c r="AK1384" s="80"/>
      <c r="AL1384" s="80"/>
      <c r="AM1384" s="80"/>
      <c r="AN1384" s="80"/>
      <c r="AO1384" s="80"/>
      <c r="AP1384" s="80"/>
      <c r="AQ1384" s="80"/>
      <c r="AR1384" s="73"/>
      <c r="AS1384" s="73"/>
      <c r="AT1384" s="73"/>
      <c r="AU1384" s="73"/>
      <c r="AV1384" s="73"/>
      <c r="AW1384" s="73"/>
      <c r="AX1384" s="73"/>
      <c r="AY1384" s="73"/>
      <c r="AZ1384" s="73"/>
      <c r="BA1384" s="73"/>
      <c r="BB1384" s="73"/>
      <c r="BC1384" s="73"/>
      <c r="BD1384" s="73"/>
      <c r="BE1384" s="73"/>
      <c r="BF1384" s="73"/>
      <c r="BG1384" s="73"/>
      <c r="BH1384" s="73"/>
      <c r="BI1384" s="73"/>
      <c r="BJ1384" s="73"/>
      <c r="BK1384" s="73"/>
      <c r="BL1384" s="73"/>
      <c r="BM1384" s="73"/>
      <c r="BN1384" s="73"/>
      <c r="BO1384" s="73"/>
      <c r="BP1384" s="73"/>
      <c r="BQ1384" s="73"/>
      <c r="BR1384" s="73"/>
      <c r="BS1384" s="73"/>
      <c r="BT1384" s="73"/>
      <c r="BU1384" s="73"/>
      <c r="BV1384" s="73"/>
      <c r="BW1384" s="73"/>
      <c r="BX1384" s="73"/>
      <c r="BY1384" s="73"/>
      <c r="BZ1384" s="73"/>
      <c r="CA1384" s="73"/>
      <c r="CB1384" s="73"/>
      <c r="CC1384" s="73"/>
      <c r="CD1384" s="73"/>
      <c r="CE1384" s="73"/>
      <c r="CF1384" s="73"/>
      <c r="CG1384" s="73"/>
      <c r="CH1384" s="73"/>
    </row>
    <row r="1385">
      <c r="A1385" s="80"/>
      <c r="B1385" s="80"/>
      <c r="C1385" s="80"/>
      <c r="D1385" s="80"/>
      <c r="E1385" s="124"/>
      <c r="F1385" s="80"/>
      <c r="G1385" s="80"/>
      <c r="H1385" s="80"/>
      <c r="I1385" s="80"/>
      <c r="J1385" s="109"/>
      <c r="K1385" s="109"/>
      <c r="L1385" s="109"/>
      <c r="M1385" s="109"/>
      <c r="N1385" s="109"/>
      <c r="O1385" s="109"/>
      <c r="P1385" s="109"/>
      <c r="Q1385" s="109"/>
      <c r="R1385" s="109"/>
      <c r="S1385" s="109"/>
      <c r="T1385" s="109"/>
      <c r="U1385" s="109"/>
      <c r="V1385" s="109"/>
      <c r="W1385" s="109"/>
      <c r="X1385" s="109"/>
      <c r="Y1385" s="109"/>
      <c r="Z1385" s="109"/>
      <c r="AA1385" s="109"/>
      <c r="AB1385" s="109"/>
      <c r="AC1385" s="109"/>
      <c r="AD1385" s="109"/>
      <c r="AE1385" s="109"/>
      <c r="AF1385" s="109"/>
      <c r="AG1385" s="109"/>
      <c r="AH1385" s="109"/>
      <c r="AI1385" s="109"/>
      <c r="AJ1385" s="115"/>
      <c r="AK1385" s="80"/>
      <c r="AL1385" s="80"/>
      <c r="AM1385" s="80"/>
      <c r="AN1385" s="80"/>
      <c r="AO1385" s="80"/>
      <c r="AP1385" s="80"/>
      <c r="AQ1385" s="80"/>
      <c r="AR1385" s="73"/>
      <c r="AS1385" s="73"/>
      <c r="AT1385" s="73"/>
      <c r="AU1385" s="73"/>
      <c r="AV1385" s="73"/>
      <c r="AW1385" s="73"/>
      <c r="AX1385" s="73"/>
      <c r="AY1385" s="73"/>
      <c r="AZ1385" s="73"/>
      <c r="BA1385" s="73"/>
      <c r="BB1385" s="73"/>
      <c r="BC1385" s="73"/>
      <c r="BD1385" s="73"/>
      <c r="BE1385" s="73"/>
      <c r="BF1385" s="73"/>
      <c r="BG1385" s="73"/>
      <c r="BH1385" s="73"/>
      <c r="BI1385" s="73"/>
      <c r="BJ1385" s="73"/>
      <c r="BK1385" s="73"/>
      <c r="BL1385" s="73"/>
      <c r="BM1385" s="73"/>
      <c r="BN1385" s="73"/>
      <c r="BO1385" s="73"/>
      <c r="BP1385" s="73"/>
      <c r="BQ1385" s="73"/>
      <c r="BR1385" s="73"/>
      <c r="BS1385" s="73"/>
      <c r="BT1385" s="73"/>
      <c r="BU1385" s="73"/>
      <c r="BV1385" s="73"/>
      <c r="BW1385" s="73"/>
      <c r="BX1385" s="73"/>
      <c r="BY1385" s="73"/>
      <c r="BZ1385" s="73"/>
      <c r="CA1385" s="73"/>
      <c r="CB1385" s="73"/>
      <c r="CC1385" s="73"/>
      <c r="CD1385" s="73"/>
      <c r="CE1385" s="73"/>
      <c r="CF1385" s="73"/>
      <c r="CG1385" s="73"/>
      <c r="CH1385" s="73"/>
    </row>
    <row r="1386">
      <c r="A1386" s="80"/>
      <c r="B1386" s="80"/>
      <c r="C1386" s="80"/>
      <c r="D1386" s="80"/>
      <c r="E1386" s="124"/>
      <c r="F1386" s="80"/>
      <c r="G1386" s="80"/>
      <c r="H1386" s="80"/>
      <c r="I1386" s="80"/>
      <c r="J1386" s="109"/>
      <c r="K1386" s="109"/>
      <c r="L1386" s="109"/>
      <c r="M1386" s="109"/>
      <c r="N1386" s="109"/>
      <c r="O1386" s="109"/>
      <c r="P1386" s="109"/>
      <c r="Q1386" s="109"/>
      <c r="R1386" s="109"/>
      <c r="S1386" s="109"/>
      <c r="T1386" s="109"/>
      <c r="U1386" s="109"/>
      <c r="V1386" s="109"/>
      <c r="W1386" s="109"/>
      <c r="X1386" s="109"/>
      <c r="Y1386" s="109"/>
      <c r="Z1386" s="109"/>
      <c r="AA1386" s="109"/>
      <c r="AB1386" s="109"/>
      <c r="AC1386" s="109"/>
      <c r="AD1386" s="109"/>
      <c r="AE1386" s="109"/>
      <c r="AF1386" s="109"/>
      <c r="AG1386" s="109"/>
      <c r="AH1386" s="109"/>
      <c r="AI1386" s="109"/>
      <c r="AJ1386" s="115"/>
      <c r="AK1386" s="80"/>
      <c r="AL1386" s="80"/>
      <c r="AM1386" s="80"/>
      <c r="AN1386" s="80"/>
      <c r="AO1386" s="80"/>
      <c r="AP1386" s="80"/>
      <c r="AQ1386" s="80"/>
      <c r="AR1386" s="73"/>
      <c r="AS1386" s="73"/>
      <c r="AT1386" s="73"/>
      <c r="AU1386" s="73"/>
      <c r="AV1386" s="73"/>
      <c r="AW1386" s="73"/>
      <c r="AX1386" s="73"/>
      <c r="AY1386" s="73"/>
      <c r="AZ1386" s="73"/>
      <c r="BA1386" s="73"/>
      <c r="BB1386" s="73"/>
      <c r="BC1386" s="73"/>
      <c r="BD1386" s="73"/>
      <c r="BE1386" s="73"/>
      <c r="BF1386" s="73"/>
      <c r="BG1386" s="73"/>
      <c r="BH1386" s="73"/>
      <c r="BI1386" s="73"/>
      <c r="BJ1386" s="73"/>
      <c r="BK1386" s="73"/>
      <c r="BL1386" s="73"/>
      <c r="BM1386" s="73"/>
      <c r="BN1386" s="73"/>
      <c r="BO1386" s="73"/>
      <c r="BP1386" s="73"/>
      <c r="BQ1386" s="73"/>
      <c r="BR1386" s="73"/>
      <c r="BS1386" s="73"/>
      <c r="BT1386" s="73"/>
      <c r="BU1386" s="73"/>
      <c r="BV1386" s="73"/>
      <c r="BW1386" s="73"/>
      <c r="BX1386" s="73"/>
      <c r="BY1386" s="73"/>
      <c r="BZ1386" s="73"/>
      <c r="CA1386" s="73"/>
      <c r="CB1386" s="73"/>
      <c r="CC1386" s="73"/>
      <c r="CD1386" s="73"/>
      <c r="CE1386" s="73"/>
      <c r="CF1386" s="73"/>
      <c r="CG1386" s="73"/>
      <c r="CH1386" s="73"/>
    </row>
    <row r="1387">
      <c r="A1387" s="80"/>
      <c r="B1387" s="80"/>
      <c r="C1387" s="80"/>
      <c r="D1387" s="80"/>
      <c r="E1387" s="124"/>
      <c r="F1387" s="80"/>
      <c r="G1387" s="80"/>
      <c r="H1387" s="80"/>
      <c r="I1387" s="80"/>
      <c r="J1387" s="109"/>
      <c r="K1387" s="109"/>
      <c r="L1387" s="109"/>
      <c r="M1387" s="109"/>
      <c r="N1387" s="109"/>
      <c r="O1387" s="109"/>
      <c r="P1387" s="109"/>
      <c r="Q1387" s="109"/>
      <c r="R1387" s="109"/>
      <c r="S1387" s="109"/>
      <c r="T1387" s="109"/>
      <c r="U1387" s="109"/>
      <c r="V1387" s="109"/>
      <c r="W1387" s="109"/>
      <c r="X1387" s="109"/>
      <c r="Y1387" s="109"/>
      <c r="Z1387" s="109"/>
      <c r="AA1387" s="109"/>
      <c r="AB1387" s="109"/>
      <c r="AC1387" s="109"/>
      <c r="AD1387" s="109"/>
      <c r="AE1387" s="109"/>
      <c r="AF1387" s="109"/>
      <c r="AG1387" s="109"/>
      <c r="AH1387" s="109"/>
      <c r="AI1387" s="109"/>
      <c r="AJ1387" s="115"/>
      <c r="AK1387" s="80"/>
      <c r="AL1387" s="80"/>
      <c r="AM1387" s="80"/>
      <c r="AN1387" s="80"/>
      <c r="AO1387" s="80"/>
      <c r="AP1387" s="80"/>
      <c r="AQ1387" s="80"/>
      <c r="AR1387" s="73"/>
      <c r="AS1387" s="73"/>
      <c r="AT1387" s="73"/>
      <c r="AU1387" s="73"/>
      <c r="AV1387" s="73"/>
      <c r="AW1387" s="73"/>
      <c r="AX1387" s="73"/>
      <c r="AY1387" s="73"/>
      <c r="AZ1387" s="73"/>
      <c r="BA1387" s="73"/>
      <c r="BB1387" s="73"/>
      <c r="BC1387" s="73"/>
      <c r="BD1387" s="73"/>
      <c r="BE1387" s="73"/>
      <c r="BF1387" s="73"/>
      <c r="BG1387" s="73"/>
      <c r="BH1387" s="73"/>
      <c r="BI1387" s="73"/>
      <c r="BJ1387" s="73"/>
      <c r="BK1387" s="73"/>
      <c r="BL1387" s="73"/>
      <c r="BM1387" s="73"/>
      <c r="BN1387" s="73"/>
      <c r="BO1387" s="73"/>
      <c r="BP1387" s="73"/>
      <c r="BQ1387" s="73"/>
      <c r="BR1387" s="73"/>
      <c r="BS1387" s="73"/>
      <c r="BT1387" s="73"/>
      <c r="BU1387" s="73"/>
      <c r="BV1387" s="73"/>
      <c r="BW1387" s="73"/>
      <c r="BX1387" s="73"/>
      <c r="BY1387" s="73"/>
      <c r="BZ1387" s="73"/>
      <c r="CA1387" s="73"/>
      <c r="CB1387" s="73"/>
      <c r="CC1387" s="73"/>
      <c r="CD1387" s="73"/>
      <c r="CE1387" s="73"/>
      <c r="CF1387" s="73"/>
      <c r="CG1387" s="73"/>
      <c r="CH1387" s="73"/>
    </row>
    <row r="1388">
      <c r="A1388" s="80"/>
      <c r="B1388" s="80"/>
      <c r="C1388" s="80"/>
      <c r="D1388" s="80"/>
      <c r="E1388" s="124"/>
      <c r="F1388" s="80"/>
      <c r="G1388" s="80"/>
      <c r="H1388" s="80"/>
      <c r="I1388" s="80"/>
      <c r="J1388" s="109"/>
      <c r="K1388" s="109"/>
      <c r="L1388" s="109"/>
      <c r="M1388" s="109"/>
      <c r="N1388" s="109"/>
      <c r="O1388" s="109"/>
      <c r="P1388" s="109"/>
      <c r="Q1388" s="109"/>
      <c r="R1388" s="109"/>
      <c r="S1388" s="109"/>
      <c r="T1388" s="109"/>
      <c r="U1388" s="109"/>
      <c r="V1388" s="109"/>
      <c r="W1388" s="109"/>
      <c r="X1388" s="109"/>
      <c r="Y1388" s="109"/>
      <c r="Z1388" s="109"/>
      <c r="AA1388" s="109"/>
      <c r="AB1388" s="109"/>
      <c r="AC1388" s="109"/>
      <c r="AD1388" s="109"/>
      <c r="AE1388" s="109"/>
      <c r="AF1388" s="109"/>
      <c r="AG1388" s="109"/>
      <c r="AH1388" s="109"/>
      <c r="AI1388" s="109"/>
      <c r="AJ1388" s="115"/>
      <c r="AK1388" s="80"/>
      <c r="AL1388" s="80"/>
      <c r="AM1388" s="80"/>
      <c r="AN1388" s="80"/>
      <c r="AO1388" s="80"/>
      <c r="AP1388" s="80"/>
      <c r="AQ1388" s="80"/>
      <c r="AR1388" s="73"/>
      <c r="AS1388" s="73"/>
      <c r="AT1388" s="73"/>
      <c r="AU1388" s="73"/>
      <c r="AV1388" s="73"/>
      <c r="AW1388" s="73"/>
      <c r="AX1388" s="73"/>
      <c r="AY1388" s="73"/>
      <c r="AZ1388" s="73"/>
      <c r="BA1388" s="73"/>
      <c r="BB1388" s="73"/>
      <c r="BC1388" s="73"/>
      <c r="BD1388" s="73"/>
      <c r="BE1388" s="73"/>
      <c r="BF1388" s="73"/>
      <c r="BG1388" s="73"/>
      <c r="BH1388" s="73"/>
      <c r="BI1388" s="73"/>
      <c r="BJ1388" s="73"/>
      <c r="BK1388" s="73"/>
      <c r="BL1388" s="73"/>
      <c r="BM1388" s="73"/>
      <c r="BN1388" s="73"/>
      <c r="BO1388" s="73"/>
      <c r="BP1388" s="73"/>
      <c r="BQ1388" s="73"/>
      <c r="BR1388" s="73"/>
      <c r="BS1388" s="73"/>
      <c r="BT1388" s="73"/>
      <c r="BU1388" s="73"/>
      <c r="BV1388" s="73"/>
      <c r="BW1388" s="73"/>
      <c r="BX1388" s="73"/>
      <c r="BY1388" s="73"/>
      <c r="BZ1388" s="73"/>
      <c r="CA1388" s="73"/>
      <c r="CB1388" s="73"/>
      <c r="CC1388" s="73"/>
      <c r="CD1388" s="73"/>
      <c r="CE1388" s="73"/>
      <c r="CF1388" s="73"/>
      <c r="CG1388" s="73"/>
      <c r="CH1388" s="73"/>
    </row>
    <row r="1389">
      <c r="A1389" s="80"/>
      <c r="B1389" s="80"/>
      <c r="C1389" s="80"/>
      <c r="D1389" s="80"/>
      <c r="E1389" s="124"/>
      <c r="F1389" s="80"/>
      <c r="G1389" s="80"/>
      <c r="H1389" s="80"/>
      <c r="I1389" s="80"/>
      <c r="J1389" s="109"/>
      <c r="K1389" s="109"/>
      <c r="L1389" s="109"/>
      <c r="M1389" s="109"/>
      <c r="N1389" s="109"/>
      <c r="O1389" s="109"/>
      <c r="P1389" s="109"/>
      <c r="Q1389" s="109"/>
      <c r="R1389" s="109"/>
      <c r="S1389" s="109"/>
      <c r="T1389" s="109"/>
      <c r="U1389" s="109"/>
      <c r="V1389" s="109"/>
      <c r="W1389" s="109"/>
      <c r="X1389" s="109"/>
      <c r="Y1389" s="109"/>
      <c r="Z1389" s="109"/>
      <c r="AA1389" s="109"/>
      <c r="AB1389" s="109"/>
      <c r="AC1389" s="109"/>
      <c r="AD1389" s="109"/>
      <c r="AE1389" s="109"/>
      <c r="AF1389" s="109"/>
      <c r="AG1389" s="109"/>
      <c r="AH1389" s="109"/>
      <c r="AI1389" s="109"/>
      <c r="AJ1389" s="115"/>
      <c r="AK1389" s="80"/>
      <c r="AL1389" s="80"/>
      <c r="AM1389" s="80"/>
      <c r="AN1389" s="80"/>
      <c r="AO1389" s="80"/>
      <c r="AP1389" s="80"/>
      <c r="AQ1389" s="80"/>
      <c r="AR1389" s="73"/>
      <c r="AS1389" s="73"/>
      <c r="AT1389" s="73"/>
      <c r="AU1389" s="73"/>
      <c r="AV1389" s="73"/>
      <c r="AW1389" s="73"/>
      <c r="AX1389" s="73"/>
      <c r="AY1389" s="73"/>
      <c r="AZ1389" s="73"/>
      <c r="BA1389" s="73"/>
      <c r="BB1389" s="73"/>
      <c r="BC1389" s="73"/>
      <c r="BD1389" s="73"/>
      <c r="BE1389" s="73"/>
      <c r="BF1389" s="73"/>
      <c r="BG1389" s="73"/>
      <c r="BH1389" s="73"/>
      <c r="BI1389" s="73"/>
      <c r="BJ1389" s="73"/>
      <c r="BK1389" s="73"/>
      <c r="BL1389" s="73"/>
      <c r="BM1389" s="73"/>
      <c r="BN1389" s="73"/>
      <c r="BO1389" s="73"/>
      <c r="BP1389" s="73"/>
      <c r="BQ1389" s="73"/>
      <c r="BR1389" s="73"/>
      <c r="BS1389" s="73"/>
      <c r="BT1389" s="73"/>
      <c r="BU1389" s="73"/>
      <c r="BV1389" s="73"/>
      <c r="BW1389" s="73"/>
      <c r="BX1389" s="73"/>
      <c r="BY1389" s="73"/>
      <c r="BZ1389" s="73"/>
      <c r="CA1389" s="73"/>
      <c r="CB1389" s="73"/>
      <c r="CC1389" s="73"/>
      <c r="CD1389" s="73"/>
      <c r="CE1389" s="73"/>
      <c r="CF1389" s="73"/>
      <c r="CG1389" s="73"/>
      <c r="CH1389" s="73"/>
    </row>
    <row r="1390">
      <c r="A1390" s="80"/>
      <c r="B1390" s="80"/>
      <c r="C1390" s="80"/>
      <c r="D1390" s="80"/>
      <c r="E1390" s="124"/>
      <c r="F1390" s="80"/>
      <c r="G1390" s="80"/>
      <c r="H1390" s="80"/>
      <c r="I1390" s="80"/>
      <c r="J1390" s="109"/>
      <c r="K1390" s="109"/>
      <c r="L1390" s="109"/>
      <c r="M1390" s="109"/>
      <c r="N1390" s="109"/>
      <c r="O1390" s="109"/>
      <c r="P1390" s="109"/>
      <c r="Q1390" s="109"/>
      <c r="R1390" s="109"/>
      <c r="S1390" s="109"/>
      <c r="T1390" s="109"/>
      <c r="U1390" s="109"/>
      <c r="V1390" s="109"/>
      <c r="W1390" s="109"/>
      <c r="X1390" s="109"/>
      <c r="Y1390" s="109"/>
      <c r="Z1390" s="109"/>
      <c r="AA1390" s="109"/>
      <c r="AB1390" s="109"/>
      <c r="AC1390" s="109"/>
      <c r="AD1390" s="109"/>
      <c r="AE1390" s="109"/>
      <c r="AF1390" s="109"/>
      <c r="AG1390" s="109"/>
      <c r="AH1390" s="109"/>
      <c r="AI1390" s="109"/>
      <c r="AJ1390" s="115"/>
      <c r="AK1390" s="80"/>
      <c r="AL1390" s="80"/>
      <c r="AM1390" s="80"/>
      <c r="AN1390" s="80"/>
      <c r="AO1390" s="80"/>
      <c r="AP1390" s="80"/>
      <c r="AQ1390" s="80"/>
      <c r="AR1390" s="73"/>
      <c r="AS1390" s="73"/>
      <c r="AT1390" s="73"/>
      <c r="AU1390" s="73"/>
      <c r="AV1390" s="73"/>
      <c r="AW1390" s="73"/>
      <c r="AX1390" s="73"/>
      <c r="AY1390" s="73"/>
      <c r="AZ1390" s="73"/>
      <c r="BA1390" s="73"/>
      <c r="BB1390" s="73"/>
      <c r="BC1390" s="73"/>
      <c r="BD1390" s="73"/>
      <c r="BE1390" s="73"/>
      <c r="BF1390" s="73"/>
      <c r="BG1390" s="73"/>
      <c r="BH1390" s="73"/>
      <c r="BI1390" s="73"/>
      <c r="BJ1390" s="73"/>
      <c r="BK1390" s="73"/>
      <c r="BL1390" s="73"/>
      <c r="BM1390" s="73"/>
      <c r="BN1390" s="73"/>
      <c r="BO1390" s="73"/>
      <c r="BP1390" s="73"/>
      <c r="BQ1390" s="73"/>
      <c r="BR1390" s="73"/>
      <c r="BS1390" s="73"/>
      <c r="BT1390" s="73"/>
      <c r="BU1390" s="73"/>
      <c r="BV1390" s="73"/>
      <c r="BW1390" s="73"/>
      <c r="BX1390" s="73"/>
      <c r="BY1390" s="73"/>
      <c r="BZ1390" s="73"/>
      <c r="CA1390" s="73"/>
      <c r="CB1390" s="73"/>
      <c r="CC1390" s="73"/>
      <c r="CD1390" s="73"/>
      <c r="CE1390" s="73"/>
      <c r="CF1390" s="73"/>
      <c r="CG1390" s="73"/>
      <c r="CH1390" s="73"/>
    </row>
    <row r="1391">
      <c r="A1391" s="80"/>
      <c r="B1391" s="80"/>
      <c r="C1391" s="80"/>
      <c r="D1391" s="80"/>
      <c r="E1391" s="124"/>
      <c r="F1391" s="80"/>
      <c r="G1391" s="80"/>
      <c r="H1391" s="80"/>
      <c r="I1391" s="80"/>
      <c r="J1391" s="109"/>
      <c r="K1391" s="109"/>
      <c r="L1391" s="109"/>
      <c r="M1391" s="109"/>
      <c r="N1391" s="109"/>
      <c r="O1391" s="109"/>
      <c r="P1391" s="109"/>
      <c r="Q1391" s="109"/>
      <c r="R1391" s="109"/>
      <c r="S1391" s="109"/>
      <c r="T1391" s="109"/>
      <c r="U1391" s="109"/>
      <c r="V1391" s="109"/>
      <c r="W1391" s="109"/>
      <c r="X1391" s="109"/>
      <c r="Y1391" s="109"/>
      <c r="Z1391" s="109"/>
      <c r="AA1391" s="109"/>
      <c r="AB1391" s="109"/>
      <c r="AC1391" s="109"/>
      <c r="AD1391" s="109"/>
      <c r="AE1391" s="109"/>
      <c r="AF1391" s="109"/>
      <c r="AG1391" s="109"/>
      <c r="AH1391" s="109"/>
      <c r="AI1391" s="109"/>
      <c r="AJ1391" s="115"/>
      <c r="AK1391" s="80"/>
      <c r="AL1391" s="80"/>
      <c r="AM1391" s="80"/>
      <c r="AN1391" s="80"/>
      <c r="AO1391" s="80"/>
      <c r="AP1391" s="80"/>
      <c r="AQ1391" s="80"/>
      <c r="AR1391" s="73"/>
      <c r="AS1391" s="73"/>
      <c r="AT1391" s="73"/>
      <c r="AU1391" s="73"/>
      <c r="AV1391" s="73"/>
      <c r="AW1391" s="73"/>
      <c r="AX1391" s="73"/>
      <c r="AY1391" s="73"/>
      <c r="AZ1391" s="73"/>
      <c r="BA1391" s="73"/>
      <c r="BB1391" s="73"/>
      <c r="BC1391" s="73"/>
      <c r="BD1391" s="73"/>
      <c r="BE1391" s="73"/>
      <c r="BF1391" s="73"/>
      <c r="BG1391" s="73"/>
      <c r="BH1391" s="73"/>
      <c r="BI1391" s="73"/>
      <c r="BJ1391" s="73"/>
      <c r="BK1391" s="73"/>
      <c r="BL1391" s="73"/>
      <c r="BM1391" s="73"/>
      <c r="BN1391" s="73"/>
      <c r="BO1391" s="73"/>
      <c r="BP1391" s="73"/>
      <c r="BQ1391" s="73"/>
      <c r="BR1391" s="73"/>
      <c r="BS1391" s="73"/>
      <c r="BT1391" s="73"/>
      <c r="BU1391" s="73"/>
      <c r="BV1391" s="73"/>
      <c r="BW1391" s="73"/>
      <c r="BX1391" s="73"/>
      <c r="BY1391" s="73"/>
      <c r="BZ1391" s="73"/>
      <c r="CA1391" s="73"/>
      <c r="CB1391" s="73"/>
      <c r="CC1391" s="73"/>
      <c r="CD1391" s="73"/>
      <c r="CE1391" s="73"/>
      <c r="CF1391" s="73"/>
      <c r="CG1391" s="73"/>
      <c r="CH1391" s="73"/>
    </row>
    <row r="1392">
      <c r="A1392" s="80"/>
      <c r="B1392" s="80"/>
      <c r="C1392" s="80"/>
      <c r="D1392" s="80"/>
      <c r="E1392" s="124"/>
      <c r="F1392" s="80"/>
      <c r="G1392" s="80"/>
      <c r="H1392" s="80"/>
      <c r="I1392" s="80"/>
      <c r="J1392" s="109"/>
      <c r="K1392" s="109"/>
      <c r="L1392" s="109"/>
      <c r="M1392" s="109"/>
      <c r="N1392" s="109"/>
      <c r="O1392" s="109"/>
      <c r="P1392" s="109"/>
      <c r="Q1392" s="109"/>
      <c r="R1392" s="109"/>
      <c r="S1392" s="109"/>
      <c r="T1392" s="109"/>
      <c r="U1392" s="109"/>
      <c r="V1392" s="109"/>
      <c r="W1392" s="109"/>
      <c r="X1392" s="109"/>
      <c r="Y1392" s="109"/>
      <c r="Z1392" s="109"/>
      <c r="AA1392" s="109"/>
      <c r="AB1392" s="109"/>
      <c r="AC1392" s="109"/>
      <c r="AD1392" s="109"/>
      <c r="AE1392" s="109"/>
      <c r="AF1392" s="109"/>
      <c r="AG1392" s="109"/>
      <c r="AH1392" s="109"/>
      <c r="AI1392" s="109"/>
      <c r="AJ1392" s="115"/>
      <c r="AK1392" s="80"/>
      <c r="AL1392" s="80"/>
      <c r="AM1392" s="80"/>
      <c r="AN1392" s="80"/>
      <c r="AO1392" s="80"/>
      <c r="AP1392" s="80"/>
      <c r="AQ1392" s="80"/>
      <c r="AR1392" s="73"/>
      <c r="AS1392" s="73"/>
      <c r="AT1392" s="73"/>
      <c r="AU1392" s="73"/>
      <c r="AV1392" s="73"/>
      <c r="AW1392" s="73"/>
      <c r="AX1392" s="73"/>
      <c r="AY1392" s="73"/>
      <c r="AZ1392" s="73"/>
      <c r="BA1392" s="73"/>
      <c r="BB1392" s="73"/>
      <c r="BC1392" s="73"/>
      <c r="BD1392" s="73"/>
      <c r="BE1392" s="73"/>
      <c r="BF1392" s="73"/>
      <c r="BG1392" s="73"/>
      <c r="BH1392" s="73"/>
      <c r="BI1392" s="73"/>
      <c r="BJ1392" s="73"/>
      <c r="BK1392" s="73"/>
      <c r="BL1392" s="73"/>
      <c r="BM1392" s="73"/>
      <c r="BN1392" s="73"/>
      <c r="BO1392" s="73"/>
      <c r="BP1392" s="73"/>
      <c r="BQ1392" s="73"/>
      <c r="BR1392" s="73"/>
      <c r="BS1392" s="73"/>
      <c r="BT1392" s="73"/>
      <c r="BU1392" s="73"/>
      <c r="BV1392" s="73"/>
      <c r="BW1392" s="73"/>
      <c r="BX1392" s="73"/>
      <c r="BY1392" s="73"/>
      <c r="BZ1392" s="73"/>
      <c r="CA1392" s="73"/>
      <c r="CB1392" s="73"/>
      <c r="CC1392" s="73"/>
      <c r="CD1392" s="73"/>
      <c r="CE1392" s="73"/>
      <c r="CF1392" s="73"/>
      <c r="CG1392" s="73"/>
      <c r="CH1392" s="73"/>
    </row>
    <row r="1393">
      <c r="A1393" s="80"/>
      <c r="B1393" s="80"/>
      <c r="C1393" s="80"/>
      <c r="D1393" s="80"/>
      <c r="E1393" s="124"/>
      <c r="F1393" s="80"/>
      <c r="G1393" s="80"/>
      <c r="H1393" s="80"/>
      <c r="I1393" s="80"/>
      <c r="J1393" s="109"/>
      <c r="K1393" s="109"/>
      <c r="L1393" s="109"/>
      <c r="M1393" s="109"/>
      <c r="N1393" s="109"/>
      <c r="O1393" s="109"/>
      <c r="P1393" s="109"/>
      <c r="Q1393" s="109"/>
      <c r="R1393" s="109"/>
      <c r="S1393" s="109"/>
      <c r="T1393" s="109"/>
      <c r="U1393" s="109"/>
      <c r="V1393" s="109"/>
      <c r="W1393" s="109"/>
      <c r="X1393" s="109"/>
      <c r="Y1393" s="109"/>
      <c r="Z1393" s="109"/>
      <c r="AA1393" s="109"/>
      <c r="AB1393" s="109"/>
      <c r="AC1393" s="109"/>
      <c r="AD1393" s="109"/>
      <c r="AE1393" s="109"/>
      <c r="AF1393" s="109"/>
      <c r="AG1393" s="109"/>
      <c r="AH1393" s="109"/>
      <c r="AI1393" s="109"/>
      <c r="AJ1393" s="115"/>
      <c r="AK1393" s="80"/>
      <c r="AL1393" s="80"/>
      <c r="AM1393" s="80"/>
      <c r="AN1393" s="80"/>
      <c r="AO1393" s="80"/>
      <c r="AP1393" s="80"/>
      <c r="AQ1393" s="80"/>
      <c r="AR1393" s="73"/>
      <c r="AS1393" s="73"/>
      <c r="AT1393" s="73"/>
      <c r="AU1393" s="73"/>
      <c r="AV1393" s="73"/>
      <c r="AW1393" s="73"/>
      <c r="AX1393" s="73"/>
      <c r="AY1393" s="73"/>
      <c r="AZ1393" s="73"/>
      <c r="BA1393" s="73"/>
      <c r="BB1393" s="73"/>
      <c r="BC1393" s="73"/>
      <c r="BD1393" s="73"/>
      <c r="BE1393" s="73"/>
      <c r="BF1393" s="73"/>
      <c r="BG1393" s="73"/>
      <c r="BH1393" s="73"/>
      <c r="BI1393" s="73"/>
      <c r="BJ1393" s="73"/>
      <c r="BK1393" s="73"/>
      <c r="BL1393" s="73"/>
      <c r="BM1393" s="73"/>
      <c r="BN1393" s="73"/>
      <c r="BO1393" s="73"/>
      <c r="BP1393" s="73"/>
      <c r="BQ1393" s="73"/>
      <c r="BR1393" s="73"/>
      <c r="BS1393" s="73"/>
      <c r="BT1393" s="73"/>
      <c r="BU1393" s="73"/>
      <c r="BV1393" s="73"/>
      <c r="BW1393" s="73"/>
      <c r="BX1393" s="73"/>
      <c r="BY1393" s="73"/>
      <c r="BZ1393" s="73"/>
      <c r="CA1393" s="73"/>
      <c r="CB1393" s="73"/>
      <c r="CC1393" s="73"/>
      <c r="CD1393" s="73"/>
      <c r="CE1393" s="73"/>
      <c r="CF1393" s="73"/>
      <c r="CG1393" s="73"/>
      <c r="CH1393" s="73"/>
    </row>
    <row r="1394">
      <c r="A1394" s="80"/>
      <c r="B1394" s="80"/>
      <c r="C1394" s="80"/>
      <c r="D1394" s="80"/>
      <c r="E1394" s="124"/>
      <c r="F1394" s="80"/>
      <c r="G1394" s="80"/>
      <c r="H1394" s="80"/>
      <c r="I1394" s="80"/>
      <c r="J1394" s="109"/>
      <c r="K1394" s="109"/>
      <c r="L1394" s="109"/>
      <c r="M1394" s="109"/>
      <c r="N1394" s="109"/>
      <c r="O1394" s="109"/>
      <c r="P1394" s="109"/>
      <c r="Q1394" s="109"/>
      <c r="R1394" s="109"/>
      <c r="S1394" s="109"/>
      <c r="T1394" s="109"/>
      <c r="U1394" s="109"/>
      <c r="V1394" s="109"/>
      <c r="W1394" s="109"/>
      <c r="X1394" s="109"/>
      <c r="Y1394" s="109"/>
      <c r="Z1394" s="109"/>
      <c r="AA1394" s="109"/>
      <c r="AB1394" s="109"/>
      <c r="AC1394" s="109"/>
      <c r="AD1394" s="109"/>
      <c r="AE1394" s="109"/>
      <c r="AF1394" s="109"/>
      <c r="AG1394" s="109"/>
      <c r="AH1394" s="109"/>
      <c r="AI1394" s="109"/>
      <c r="AJ1394" s="115"/>
      <c r="AK1394" s="80"/>
      <c r="AL1394" s="80"/>
      <c r="AM1394" s="80"/>
      <c r="AN1394" s="80"/>
      <c r="AO1394" s="80"/>
      <c r="AP1394" s="80"/>
      <c r="AQ1394" s="80"/>
      <c r="AR1394" s="73"/>
      <c r="AS1394" s="73"/>
      <c r="AT1394" s="73"/>
      <c r="AU1394" s="73"/>
      <c r="AV1394" s="73"/>
      <c r="AW1394" s="73"/>
      <c r="AX1394" s="73"/>
      <c r="AY1394" s="73"/>
      <c r="AZ1394" s="73"/>
      <c r="BA1394" s="73"/>
      <c r="BB1394" s="73"/>
      <c r="BC1394" s="73"/>
      <c r="BD1394" s="73"/>
      <c r="BE1394" s="73"/>
      <c r="BF1394" s="73"/>
      <c r="BG1394" s="73"/>
      <c r="BH1394" s="73"/>
      <c r="BI1394" s="73"/>
      <c r="BJ1394" s="73"/>
      <c r="BK1394" s="73"/>
      <c r="BL1394" s="73"/>
      <c r="BM1394" s="73"/>
      <c r="BN1394" s="73"/>
      <c r="BO1394" s="73"/>
      <c r="BP1394" s="73"/>
      <c r="BQ1394" s="73"/>
      <c r="BR1394" s="73"/>
      <c r="BS1394" s="73"/>
      <c r="BT1394" s="73"/>
      <c r="BU1394" s="73"/>
      <c r="BV1394" s="73"/>
      <c r="BW1394" s="73"/>
      <c r="BX1394" s="73"/>
      <c r="BY1394" s="73"/>
      <c r="BZ1394" s="73"/>
      <c r="CA1394" s="73"/>
      <c r="CB1394" s="73"/>
      <c r="CC1394" s="73"/>
      <c r="CD1394" s="73"/>
      <c r="CE1394" s="73"/>
      <c r="CF1394" s="73"/>
      <c r="CG1394" s="73"/>
      <c r="CH1394" s="73"/>
    </row>
    <row r="1395">
      <c r="A1395" s="80"/>
      <c r="B1395" s="80"/>
      <c r="C1395" s="80"/>
      <c r="D1395" s="80"/>
      <c r="E1395" s="124"/>
      <c r="F1395" s="80"/>
      <c r="G1395" s="80"/>
      <c r="H1395" s="80"/>
      <c r="I1395" s="80"/>
      <c r="J1395" s="109"/>
      <c r="K1395" s="109"/>
      <c r="L1395" s="109"/>
      <c r="M1395" s="109"/>
      <c r="N1395" s="109"/>
      <c r="O1395" s="109"/>
      <c r="P1395" s="109"/>
      <c r="Q1395" s="109"/>
      <c r="R1395" s="109"/>
      <c r="S1395" s="109"/>
      <c r="T1395" s="109"/>
      <c r="U1395" s="109"/>
      <c r="V1395" s="109"/>
      <c r="W1395" s="109"/>
      <c r="X1395" s="109"/>
      <c r="Y1395" s="109"/>
      <c r="Z1395" s="109"/>
      <c r="AA1395" s="109"/>
      <c r="AB1395" s="109"/>
      <c r="AC1395" s="109"/>
      <c r="AD1395" s="109"/>
      <c r="AE1395" s="109"/>
      <c r="AF1395" s="109"/>
      <c r="AG1395" s="109"/>
      <c r="AH1395" s="109"/>
      <c r="AI1395" s="109"/>
      <c r="AJ1395" s="115"/>
      <c r="AK1395" s="80"/>
      <c r="AL1395" s="80"/>
      <c r="AM1395" s="80"/>
      <c r="AN1395" s="80"/>
      <c r="AO1395" s="80"/>
      <c r="AP1395" s="80"/>
      <c r="AQ1395" s="80"/>
      <c r="AR1395" s="73"/>
      <c r="AS1395" s="73"/>
      <c r="AT1395" s="73"/>
      <c r="AU1395" s="73"/>
      <c r="AV1395" s="73"/>
      <c r="AW1395" s="73"/>
      <c r="AX1395" s="73"/>
      <c r="AY1395" s="73"/>
      <c r="AZ1395" s="73"/>
      <c r="BA1395" s="73"/>
      <c r="BB1395" s="73"/>
      <c r="BC1395" s="73"/>
      <c r="BD1395" s="73"/>
      <c r="BE1395" s="73"/>
      <c r="BF1395" s="73"/>
      <c r="BG1395" s="73"/>
      <c r="BH1395" s="73"/>
      <c r="BI1395" s="73"/>
      <c r="BJ1395" s="73"/>
      <c r="BK1395" s="73"/>
      <c r="BL1395" s="73"/>
      <c r="BM1395" s="73"/>
      <c r="BN1395" s="73"/>
      <c r="BO1395" s="73"/>
      <c r="BP1395" s="73"/>
      <c r="BQ1395" s="73"/>
      <c r="BR1395" s="73"/>
      <c r="BS1395" s="73"/>
      <c r="BT1395" s="73"/>
      <c r="BU1395" s="73"/>
      <c r="BV1395" s="73"/>
      <c r="BW1395" s="73"/>
      <c r="BX1395" s="73"/>
      <c r="BY1395" s="73"/>
      <c r="BZ1395" s="73"/>
      <c r="CA1395" s="73"/>
      <c r="CB1395" s="73"/>
      <c r="CC1395" s="73"/>
      <c r="CD1395" s="73"/>
      <c r="CE1395" s="73"/>
      <c r="CF1395" s="73"/>
      <c r="CG1395" s="73"/>
      <c r="CH1395" s="73"/>
    </row>
    <row r="1396">
      <c r="A1396" s="80"/>
      <c r="B1396" s="80"/>
      <c r="C1396" s="80"/>
      <c r="D1396" s="80"/>
      <c r="E1396" s="124"/>
      <c r="F1396" s="80"/>
      <c r="G1396" s="80"/>
      <c r="H1396" s="80"/>
      <c r="I1396" s="80"/>
      <c r="J1396" s="109"/>
      <c r="K1396" s="109"/>
      <c r="L1396" s="109"/>
      <c r="M1396" s="109"/>
      <c r="N1396" s="109"/>
      <c r="O1396" s="109"/>
      <c r="P1396" s="109"/>
      <c r="Q1396" s="109"/>
      <c r="R1396" s="109"/>
      <c r="S1396" s="109"/>
      <c r="T1396" s="109"/>
      <c r="U1396" s="109"/>
      <c r="V1396" s="109"/>
      <c r="W1396" s="109"/>
      <c r="X1396" s="109"/>
      <c r="Y1396" s="109"/>
      <c r="Z1396" s="109"/>
      <c r="AA1396" s="109"/>
      <c r="AB1396" s="109"/>
      <c r="AC1396" s="109"/>
      <c r="AD1396" s="109"/>
      <c r="AE1396" s="109"/>
      <c r="AF1396" s="109"/>
      <c r="AG1396" s="109"/>
      <c r="AH1396" s="109"/>
      <c r="AI1396" s="109"/>
      <c r="AJ1396" s="115"/>
      <c r="AK1396" s="80"/>
      <c r="AL1396" s="80"/>
      <c r="AM1396" s="80"/>
      <c r="AN1396" s="80"/>
      <c r="AO1396" s="80"/>
      <c r="AP1396" s="80"/>
      <c r="AQ1396" s="80"/>
      <c r="AR1396" s="73"/>
      <c r="AS1396" s="73"/>
      <c r="AT1396" s="73"/>
      <c r="AU1396" s="73"/>
      <c r="AV1396" s="73"/>
      <c r="AW1396" s="73"/>
      <c r="AX1396" s="73"/>
      <c r="AY1396" s="73"/>
      <c r="AZ1396" s="73"/>
      <c r="BA1396" s="73"/>
      <c r="BB1396" s="73"/>
      <c r="BC1396" s="73"/>
      <c r="BD1396" s="73"/>
      <c r="BE1396" s="73"/>
      <c r="BF1396" s="73"/>
      <c r="BG1396" s="73"/>
      <c r="BH1396" s="73"/>
      <c r="BI1396" s="73"/>
      <c r="BJ1396" s="73"/>
      <c r="BK1396" s="73"/>
      <c r="BL1396" s="73"/>
      <c r="BM1396" s="73"/>
      <c r="BN1396" s="73"/>
      <c r="BO1396" s="73"/>
      <c r="BP1396" s="73"/>
      <c r="BQ1396" s="73"/>
      <c r="BR1396" s="73"/>
      <c r="BS1396" s="73"/>
      <c r="BT1396" s="73"/>
      <c r="BU1396" s="73"/>
      <c r="BV1396" s="73"/>
      <c r="BW1396" s="73"/>
      <c r="BX1396" s="73"/>
      <c r="BY1396" s="73"/>
      <c r="BZ1396" s="73"/>
      <c r="CA1396" s="73"/>
      <c r="CB1396" s="73"/>
      <c r="CC1396" s="73"/>
      <c r="CD1396" s="73"/>
      <c r="CE1396" s="73"/>
      <c r="CF1396" s="73"/>
      <c r="CG1396" s="73"/>
      <c r="CH1396" s="73"/>
    </row>
    <row r="1397">
      <c r="A1397" s="80"/>
      <c r="B1397" s="80"/>
      <c r="C1397" s="80"/>
      <c r="D1397" s="80"/>
      <c r="E1397" s="124"/>
      <c r="F1397" s="80"/>
      <c r="G1397" s="80"/>
      <c r="H1397" s="80"/>
      <c r="I1397" s="80"/>
      <c r="J1397" s="109"/>
      <c r="K1397" s="109"/>
      <c r="L1397" s="109"/>
      <c r="M1397" s="109"/>
      <c r="N1397" s="109"/>
      <c r="O1397" s="109"/>
      <c r="P1397" s="109"/>
      <c r="Q1397" s="109"/>
      <c r="R1397" s="109"/>
      <c r="S1397" s="109"/>
      <c r="T1397" s="109"/>
      <c r="U1397" s="109"/>
      <c r="V1397" s="109"/>
      <c r="W1397" s="109"/>
      <c r="X1397" s="109"/>
      <c r="Y1397" s="109"/>
      <c r="Z1397" s="109"/>
      <c r="AA1397" s="109"/>
      <c r="AB1397" s="109"/>
      <c r="AC1397" s="109"/>
      <c r="AD1397" s="109"/>
      <c r="AE1397" s="109"/>
      <c r="AF1397" s="109"/>
      <c r="AG1397" s="109"/>
      <c r="AH1397" s="109"/>
      <c r="AI1397" s="109"/>
      <c r="AJ1397" s="115"/>
      <c r="AK1397" s="80"/>
      <c r="AL1397" s="80"/>
      <c r="AM1397" s="80"/>
      <c r="AN1397" s="80"/>
      <c r="AO1397" s="80"/>
      <c r="AP1397" s="80"/>
      <c r="AQ1397" s="80"/>
      <c r="AR1397" s="73"/>
      <c r="AS1397" s="73"/>
      <c r="AT1397" s="73"/>
      <c r="AU1397" s="73"/>
      <c r="AV1397" s="73"/>
      <c r="AW1397" s="73"/>
      <c r="AX1397" s="73"/>
      <c r="AY1397" s="73"/>
      <c r="AZ1397" s="73"/>
      <c r="BA1397" s="73"/>
      <c r="BB1397" s="73"/>
      <c r="BC1397" s="73"/>
      <c r="BD1397" s="73"/>
      <c r="BE1397" s="73"/>
      <c r="BF1397" s="73"/>
      <c r="BG1397" s="73"/>
      <c r="BH1397" s="73"/>
      <c r="BI1397" s="73"/>
      <c r="BJ1397" s="73"/>
      <c r="BK1397" s="73"/>
      <c r="BL1397" s="73"/>
      <c r="BM1397" s="73"/>
      <c r="BN1397" s="73"/>
      <c r="BO1397" s="73"/>
      <c r="BP1397" s="73"/>
      <c r="BQ1397" s="73"/>
      <c r="BR1397" s="73"/>
      <c r="BS1397" s="73"/>
      <c r="BT1397" s="73"/>
      <c r="BU1397" s="73"/>
      <c r="BV1397" s="73"/>
      <c r="BW1397" s="73"/>
      <c r="BX1397" s="73"/>
      <c r="BY1397" s="73"/>
      <c r="BZ1397" s="73"/>
      <c r="CA1397" s="73"/>
      <c r="CB1397" s="73"/>
      <c r="CC1397" s="73"/>
      <c r="CD1397" s="73"/>
      <c r="CE1397" s="73"/>
      <c r="CF1397" s="73"/>
      <c r="CG1397" s="73"/>
      <c r="CH1397" s="73"/>
    </row>
    <row r="1398">
      <c r="A1398" s="80"/>
      <c r="B1398" s="80"/>
      <c r="C1398" s="80"/>
      <c r="D1398" s="80"/>
      <c r="E1398" s="124"/>
      <c r="F1398" s="80"/>
      <c r="G1398" s="80"/>
      <c r="H1398" s="80"/>
      <c r="I1398" s="80"/>
      <c r="J1398" s="109"/>
      <c r="K1398" s="109"/>
      <c r="L1398" s="109"/>
      <c r="M1398" s="109"/>
      <c r="N1398" s="109"/>
      <c r="O1398" s="109"/>
      <c r="P1398" s="109"/>
      <c r="Q1398" s="109"/>
      <c r="R1398" s="109"/>
      <c r="S1398" s="109"/>
      <c r="T1398" s="109"/>
      <c r="U1398" s="109"/>
      <c r="V1398" s="109"/>
      <c r="W1398" s="109"/>
      <c r="X1398" s="109"/>
      <c r="Y1398" s="109"/>
      <c r="Z1398" s="109"/>
      <c r="AA1398" s="109"/>
      <c r="AB1398" s="109"/>
      <c r="AC1398" s="109"/>
      <c r="AD1398" s="109"/>
      <c r="AE1398" s="109"/>
      <c r="AF1398" s="109"/>
      <c r="AG1398" s="109"/>
      <c r="AH1398" s="109"/>
      <c r="AI1398" s="109"/>
      <c r="AJ1398" s="115"/>
      <c r="AK1398" s="80"/>
      <c r="AL1398" s="80"/>
      <c r="AM1398" s="80"/>
      <c r="AN1398" s="80"/>
      <c r="AO1398" s="80"/>
      <c r="AP1398" s="80"/>
      <c r="AQ1398" s="80"/>
      <c r="AR1398" s="73"/>
      <c r="AS1398" s="73"/>
      <c r="AT1398" s="73"/>
      <c r="AU1398" s="73"/>
      <c r="AV1398" s="73"/>
      <c r="AW1398" s="73"/>
      <c r="AX1398" s="73"/>
      <c r="AY1398" s="73"/>
      <c r="AZ1398" s="73"/>
      <c r="BA1398" s="73"/>
      <c r="BB1398" s="73"/>
      <c r="BC1398" s="73"/>
      <c r="BD1398" s="73"/>
      <c r="BE1398" s="73"/>
      <c r="BF1398" s="73"/>
      <c r="BG1398" s="73"/>
      <c r="BH1398" s="73"/>
      <c r="BI1398" s="73"/>
      <c r="BJ1398" s="73"/>
      <c r="BK1398" s="73"/>
      <c r="BL1398" s="73"/>
      <c r="BM1398" s="73"/>
      <c r="BN1398" s="73"/>
      <c r="BO1398" s="73"/>
      <c r="BP1398" s="73"/>
      <c r="BQ1398" s="73"/>
      <c r="BR1398" s="73"/>
      <c r="BS1398" s="73"/>
      <c r="BT1398" s="73"/>
      <c r="BU1398" s="73"/>
      <c r="BV1398" s="73"/>
      <c r="BW1398" s="73"/>
      <c r="BX1398" s="73"/>
      <c r="BY1398" s="73"/>
      <c r="BZ1398" s="73"/>
      <c r="CA1398" s="73"/>
      <c r="CB1398" s="73"/>
      <c r="CC1398" s="73"/>
      <c r="CD1398" s="73"/>
      <c r="CE1398" s="73"/>
      <c r="CF1398" s="73"/>
      <c r="CG1398" s="73"/>
      <c r="CH1398" s="73"/>
    </row>
    <row r="1399">
      <c r="A1399" s="80"/>
      <c r="B1399" s="80"/>
      <c r="C1399" s="80"/>
      <c r="D1399" s="80"/>
      <c r="E1399" s="124"/>
      <c r="F1399" s="80"/>
      <c r="G1399" s="80"/>
      <c r="H1399" s="80"/>
      <c r="I1399" s="80"/>
      <c r="J1399" s="109"/>
      <c r="K1399" s="109"/>
      <c r="L1399" s="109"/>
      <c r="M1399" s="109"/>
      <c r="N1399" s="109"/>
      <c r="O1399" s="109"/>
      <c r="P1399" s="109"/>
      <c r="Q1399" s="109"/>
      <c r="R1399" s="109"/>
      <c r="S1399" s="109"/>
      <c r="T1399" s="109"/>
      <c r="U1399" s="109"/>
      <c r="V1399" s="109"/>
      <c r="W1399" s="109"/>
      <c r="X1399" s="109"/>
      <c r="Y1399" s="109"/>
      <c r="Z1399" s="109"/>
      <c r="AA1399" s="109"/>
      <c r="AB1399" s="109"/>
      <c r="AC1399" s="109"/>
      <c r="AD1399" s="109"/>
      <c r="AE1399" s="109"/>
      <c r="AF1399" s="109"/>
      <c r="AG1399" s="109"/>
      <c r="AH1399" s="109"/>
      <c r="AI1399" s="109"/>
      <c r="AJ1399" s="115"/>
      <c r="AK1399" s="80"/>
      <c r="AL1399" s="80"/>
      <c r="AM1399" s="80"/>
      <c r="AN1399" s="80"/>
      <c r="AO1399" s="80"/>
      <c r="AP1399" s="80"/>
      <c r="AQ1399" s="80"/>
      <c r="AR1399" s="73"/>
      <c r="AS1399" s="73"/>
      <c r="AT1399" s="73"/>
      <c r="AU1399" s="73"/>
      <c r="AV1399" s="73"/>
      <c r="AW1399" s="73"/>
      <c r="AX1399" s="73"/>
      <c r="AY1399" s="73"/>
      <c r="AZ1399" s="73"/>
      <c r="BA1399" s="73"/>
      <c r="BB1399" s="73"/>
      <c r="BC1399" s="73"/>
      <c r="BD1399" s="73"/>
      <c r="BE1399" s="73"/>
      <c r="BF1399" s="73"/>
      <c r="BG1399" s="73"/>
      <c r="BH1399" s="73"/>
      <c r="BI1399" s="73"/>
      <c r="BJ1399" s="73"/>
      <c r="BK1399" s="73"/>
      <c r="BL1399" s="73"/>
      <c r="BM1399" s="73"/>
      <c r="BN1399" s="73"/>
      <c r="BO1399" s="73"/>
      <c r="BP1399" s="73"/>
      <c r="BQ1399" s="73"/>
      <c r="BR1399" s="73"/>
      <c r="BS1399" s="73"/>
      <c r="BT1399" s="73"/>
      <c r="BU1399" s="73"/>
      <c r="BV1399" s="73"/>
      <c r="BW1399" s="73"/>
      <c r="BX1399" s="73"/>
      <c r="BY1399" s="73"/>
      <c r="BZ1399" s="73"/>
      <c r="CA1399" s="73"/>
      <c r="CB1399" s="73"/>
      <c r="CC1399" s="73"/>
      <c r="CD1399" s="73"/>
      <c r="CE1399" s="73"/>
      <c r="CF1399" s="73"/>
      <c r="CG1399" s="73"/>
      <c r="CH1399" s="73"/>
    </row>
    <row r="1400">
      <c r="A1400" s="80"/>
      <c r="B1400" s="80"/>
      <c r="C1400" s="80"/>
      <c r="D1400" s="80"/>
      <c r="E1400" s="124"/>
      <c r="F1400" s="80"/>
      <c r="G1400" s="80"/>
      <c r="H1400" s="80"/>
      <c r="I1400" s="80"/>
      <c r="J1400" s="109"/>
      <c r="K1400" s="109"/>
      <c r="L1400" s="109"/>
      <c r="M1400" s="109"/>
      <c r="N1400" s="109"/>
      <c r="O1400" s="109"/>
      <c r="P1400" s="109"/>
      <c r="Q1400" s="109"/>
      <c r="R1400" s="109"/>
      <c r="S1400" s="109"/>
      <c r="T1400" s="109"/>
      <c r="U1400" s="109"/>
      <c r="V1400" s="109"/>
      <c r="W1400" s="109"/>
      <c r="X1400" s="109"/>
      <c r="Y1400" s="109"/>
      <c r="Z1400" s="109"/>
      <c r="AA1400" s="109"/>
      <c r="AB1400" s="109"/>
      <c r="AC1400" s="109"/>
      <c r="AD1400" s="109"/>
      <c r="AE1400" s="109"/>
      <c r="AF1400" s="109"/>
      <c r="AG1400" s="109"/>
      <c r="AH1400" s="109"/>
      <c r="AI1400" s="109"/>
      <c r="AJ1400" s="115"/>
      <c r="AK1400" s="80"/>
      <c r="AL1400" s="80"/>
      <c r="AM1400" s="80"/>
      <c r="AN1400" s="80"/>
      <c r="AO1400" s="80"/>
      <c r="AP1400" s="80"/>
      <c r="AQ1400" s="80"/>
      <c r="AR1400" s="73"/>
      <c r="AS1400" s="73"/>
      <c r="AT1400" s="73"/>
      <c r="AU1400" s="73"/>
      <c r="AV1400" s="73"/>
      <c r="AW1400" s="73"/>
      <c r="AX1400" s="73"/>
      <c r="AY1400" s="73"/>
      <c r="AZ1400" s="73"/>
      <c r="BA1400" s="73"/>
      <c r="BB1400" s="73"/>
      <c r="BC1400" s="73"/>
      <c r="BD1400" s="73"/>
      <c r="BE1400" s="73"/>
      <c r="BF1400" s="73"/>
      <c r="BG1400" s="73"/>
      <c r="BH1400" s="73"/>
      <c r="BI1400" s="73"/>
      <c r="BJ1400" s="73"/>
      <c r="BK1400" s="73"/>
      <c r="BL1400" s="73"/>
      <c r="BM1400" s="73"/>
      <c r="BN1400" s="73"/>
      <c r="BO1400" s="73"/>
      <c r="BP1400" s="73"/>
      <c r="BQ1400" s="73"/>
      <c r="BR1400" s="73"/>
      <c r="BS1400" s="73"/>
      <c r="BT1400" s="73"/>
      <c r="BU1400" s="73"/>
      <c r="BV1400" s="73"/>
      <c r="BW1400" s="73"/>
      <c r="BX1400" s="73"/>
      <c r="BY1400" s="73"/>
      <c r="BZ1400" s="73"/>
      <c r="CA1400" s="73"/>
      <c r="CB1400" s="73"/>
      <c r="CC1400" s="73"/>
      <c r="CD1400" s="73"/>
      <c r="CE1400" s="73"/>
      <c r="CF1400" s="73"/>
      <c r="CG1400" s="73"/>
      <c r="CH1400" s="73"/>
    </row>
    <row r="1401">
      <c r="A1401" s="80"/>
      <c r="B1401" s="80"/>
      <c r="C1401" s="80"/>
      <c r="D1401" s="80"/>
      <c r="E1401" s="124"/>
      <c r="F1401" s="80"/>
      <c r="G1401" s="80"/>
      <c r="H1401" s="80"/>
      <c r="I1401" s="80"/>
      <c r="J1401" s="109"/>
      <c r="K1401" s="109"/>
      <c r="L1401" s="109"/>
      <c r="M1401" s="109"/>
      <c r="N1401" s="109"/>
      <c r="O1401" s="109"/>
      <c r="P1401" s="109"/>
      <c r="Q1401" s="109"/>
      <c r="R1401" s="109"/>
      <c r="S1401" s="109"/>
      <c r="T1401" s="109"/>
      <c r="U1401" s="109"/>
      <c r="V1401" s="109"/>
      <c r="W1401" s="109"/>
      <c r="X1401" s="109"/>
      <c r="Y1401" s="109"/>
      <c r="Z1401" s="109"/>
      <c r="AA1401" s="109"/>
      <c r="AB1401" s="109"/>
      <c r="AC1401" s="109"/>
      <c r="AD1401" s="109"/>
      <c r="AE1401" s="109"/>
      <c r="AF1401" s="109"/>
      <c r="AG1401" s="109"/>
      <c r="AH1401" s="109"/>
      <c r="AI1401" s="109"/>
      <c r="AJ1401" s="115"/>
      <c r="AK1401" s="80"/>
      <c r="AL1401" s="80"/>
      <c r="AM1401" s="80"/>
      <c r="AN1401" s="80"/>
      <c r="AO1401" s="80"/>
      <c r="AP1401" s="80"/>
      <c r="AQ1401" s="80"/>
      <c r="AR1401" s="73"/>
      <c r="AS1401" s="73"/>
      <c r="AT1401" s="73"/>
      <c r="AU1401" s="73"/>
      <c r="AV1401" s="73"/>
      <c r="AW1401" s="73"/>
      <c r="AX1401" s="73"/>
      <c r="AY1401" s="73"/>
      <c r="AZ1401" s="73"/>
      <c r="BA1401" s="73"/>
      <c r="BB1401" s="73"/>
      <c r="BC1401" s="73"/>
      <c r="BD1401" s="73"/>
      <c r="BE1401" s="73"/>
      <c r="BF1401" s="73"/>
      <c r="BG1401" s="73"/>
      <c r="BH1401" s="73"/>
      <c r="BI1401" s="73"/>
      <c r="BJ1401" s="73"/>
      <c r="BK1401" s="73"/>
      <c r="BL1401" s="73"/>
      <c r="BM1401" s="73"/>
      <c r="BN1401" s="73"/>
      <c r="BO1401" s="73"/>
      <c r="BP1401" s="73"/>
      <c r="BQ1401" s="73"/>
      <c r="BR1401" s="73"/>
      <c r="BS1401" s="73"/>
      <c r="BT1401" s="73"/>
      <c r="BU1401" s="73"/>
      <c r="BV1401" s="73"/>
      <c r="BW1401" s="73"/>
      <c r="BX1401" s="73"/>
      <c r="BY1401" s="73"/>
      <c r="BZ1401" s="73"/>
      <c r="CA1401" s="73"/>
      <c r="CB1401" s="73"/>
      <c r="CC1401" s="73"/>
      <c r="CD1401" s="73"/>
      <c r="CE1401" s="73"/>
      <c r="CF1401" s="73"/>
      <c r="CG1401" s="73"/>
      <c r="CH1401" s="73"/>
    </row>
    <row r="1402">
      <c r="A1402" s="80"/>
      <c r="B1402" s="80"/>
      <c r="C1402" s="80"/>
      <c r="D1402" s="80"/>
      <c r="E1402" s="124"/>
      <c r="F1402" s="80"/>
      <c r="G1402" s="80"/>
      <c r="H1402" s="80"/>
      <c r="I1402" s="80"/>
      <c r="J1402" s="109"/>
      <c r="K1402" s="109"/>
      <c r="L1402" s="109"/>
      <c r="M1402" s="109"/>
      <c r="N1402" s="109"/>
      <c r="O1402" s="109"/>
      <c r="P1402" s="109"/>
      <c r="Q1402" s="109"/>
      <c r="R1402" s="109"/>
      <c r="S1402" s="109"/>
      <c r="T1402" s="109"/>
      <c r="U1402" s="109"/>
      <c r="V1402" s="109"/>
      <c r="W1402" s="109"/>
      <c r="X1402" s="109"/>
      <c r="Y1402" s="109"/>
      <c r="Z1402" s="109"/>
      <c r="AA1402" s="109"/>
      <c r="AB1402" s="109"/>
      <c r="AC1402" s="109"/>
      <c r="AD1402" s="109"/>
      <c r="AE1402" s="109"/>
      <c r="AF1402" s="109"/>
      <c r="AG1402" s="109"/>
      <c r="AH1402" s="109"/>
      <c r="AI1402" s="109"/>
      <c r="AJ1402" s="115"/>
      <c r="AK1402" s="80"/>
      <c r="AL1402" s="80"/>
      <c r="AM1402" s="80"/>
      <c r="AN1402" s="80"/>
      <c r="AO1402" s="80"/>
      <c r="AP1402" s="80"/>
      <c r="AQ1402" s="80"/>
      <c r="AR1402" s="73"/>
      <c r="AS1402" s="73"/>
      <c r="AT1402" s="73"/>
      <c r="AU1402" s="73"/>
      <c r="AV1402" s="73"/>
      <c r="AW1402" s="73"/>
      <c r="AX1402" s="73"/>
      <c r="AY1402" s="73"/>
      <c r="AZ1402" s="73"/>
      <c r="BA1402" s="73"/>
      <c r="BB1402" s="73"/>
      <c r="BC1402" s="73"/>
      <c r="BD1402" s="73"/>
      <c r="BE1402" s="73"/>
      <c r="BF1402" s="73"/>
      <c r="BG1402" s="73"/>
      <c r="BH1402" s="73"/>
      <c r="BI1402" s="73"/>
      <c r="BJ1402" s="73"/>
      <c r="BK1402" s="73"/>
      <c r="BL1402" s="73"/>
      <c r="BM1402" s="73"/>
      <c r="BN1402" s="73"/>
      <c r="BO1402" s="73"/>
      <c r="BP1402" s="73"/>
      <c r="BQ1402" s="73"/>
      <c r="BR1402" s="73"/>
      <c r="BS1402" s="73"/>
      <c r="BT1402" s="73"/>
      <c r="BU1402" s="73"/>
      <c r="BV1402" s="73"/>
      <c r="BW1402" s="73"/>
      <c r="BX1402" s="73"/>
      <c r="BY1402" s="73"/>
      <c r="BZ1402" s="73"/>
      <c r="CA1402" s="73"/>
      <c r="CB1402" s="73"/>
      <c r="CC1402" s="73"/>
      <c r="CD1402" s="73"/>
      <c r="CE1402" s="73"/>
      <c r="CF1402" s="73"/>
      <c r="CG1402" s="73"/>
      <c r="CH1402" s="73"/>
    </row>
    <row r="1403">
      <c r="A1403" s="80"/>
      <c r="B1403" s="80"/>
      <c r="C1403" s="80"/>
      <c r="D1403" s="80"/>
      <c r="E1403" s="124"/>
      <c r="F1403" s="80"/>
      <c r="G1403" s="80"/>
      <c r="H1403" s="80"/>
      <c r="I1403" s="80"/>
      <c r="J1403" s="109"/>
      <c r="K1403" s="109"/>
      <c r="L1403" s="109"/>
      <c r="M1403" s="109"/>
      <c r="N1403" s="109"/>
      <c r="O1403" s="109"/>
      <c r="P1403" s="109"/>
      <c r="Q1403" s="109"/>
      <c r="R1403" s="109"/>
      <c r="S1403" s="109"/>
      <c r="T1403" s="109"/>
      <c r="U1403" s="109"/>
      <c r="V1403" s="109"/>
      <c r="W1403" s="109"/>
      <c r="X1403" s="109"/>
      <c r="Y1403" s="109"/>
      <c r="Z1403" s="109"/>
      <c r="AA1403" s="109"/>
      <c r="AB1403" s="109"/>
      <c r="AC1403" s="109"/>
      <c r="AD1403" s="109"/>
      <c r="AE1403" s="109"/>
      <c r="AF1403" s="109"/>
      <c r="AG1403" s="109"/>
      <c r="AH1403" s="109"/>
      <c r="AI1403" s="109"/>
      <c r="AJ1403" s="115"/>
      <c r="AK1403" s="80"/>
      <c r="AL1403" s="80"/>
      <c r="AM1403" s="80"/>
      <c r="AN1403" s="80"/>
      <c r="AO1403" s="80"/>
      <c r="AP1403" s="80"/>
      <c r="AQ1403" s="80"/>
      <c r="AR1403" s="73"/>
      <c r="AS1403" s="73"/>
      <c r="AT1403" s="73"/>
      <c r="AU1403" s="73"/>
      <c r="AV1403" s="73"/>
      <c r="AW1403" s="73"/>
      <c r="AX1403" s="73"/>
      <c r="AY1403" s="73"/>
      <c r="AZ1403" s="73"/>
      <c r="BA1403" s="73"/>
      <c r="BB1403" s="73"/>
      <c r="BC1403" s="73"/>
      <c r="BD1403" s="73"/>
      <c r="BE1403" s="73"/>
      <c r="BF1403" s="73"/>
      <c r="BG1403" s="73"/>
      <c r="BH1403" s="73"/>
      <c r="BI1403" s="73"/>
      <c r="BJ1403" s="73"/>
      <c r="BK1403" s="73"/>
      <c r="BL1403" s="73"/>
      <c r="BM1403" s="73"/>
      <c r="BN1403" s="73"/>
      <c r="BO1403" s="73"/>
      <c r="BP1403" s="73"/>
      <c r="BQ1403" s="73"/>
      <c r="BR1403" s="73"/>
      <c r="BS1403" s="73"/>
      <c r="BT1403" s="73"/>
      <c r="BU1403" s="73"/>
      <c r="BV1403" s="73"/>
      <c r="BW1403" s="73"/>
      <c r="BX1403" s="73"/>
      <c r="BY1403" s="73"/>
      <c r="BZ1403" s="73"/>
      <c r="CA1403" s="73"/>
      <c r="CB1403" s="73"/>
      <c r="CC1403" s="73"/>
      <c r="CD1403" s="73"/>
      <c r="CE1403" s="73"/>
      <c r="CF1403" s="73"/>
      <c r="CG1403" s="73"/>
      <c r="CH1403" s="73"/>
    </row>
    <row r="1404">
      <c r="A1404" s="80"/>
      <c r="B1404" s="80"/>
      <c r="C1404" s="80"/>
      <c r="D1404" s="80"/>
      <c r="E1404" s="124"/>
      <c r="F1404" s="80"/>
      <c r="G1404" s="80"/>
      <c r="H1404" s="80"/>
      <c r="I1404" s="80"/>
      <c r="J1404" s="109"/>
      <c r="K1404" s="109"/>
      <c r="L1404" s="109"/>
      <c r="M1404" s="109"/>
      <c r="N1404" s="109"/>
      <c r="O1404" s="109"/>
      <c r="P1404" s="109"/>
      <c r="Q1404" s="109"/>
      <c r="R1404" s="109"/>
      <c r="S1404" s="109"/>
      <c r="T1404" s="109"/>
      <c r="U1404" s="109"/>
      <c r="V1404" s="109"/>
      <c r="W1404" s="109"/>
      <c r="X1404" s="109"/>
      <c r="Y1404" s="109"/>
      <c r="Z1404" s="109"/>
      <c r="AA1404" s="109"/>
      <c r="AB1404" s="109"/>
      <c r="AC1404" s="109"/>
      <c r="AD1404" s="109"/>
      <c r="AE1404" s="109"/>
      <c r="AF1404" s="109"/>
      <c r="AG1404" s="109"/>
      <c r="AH1404" s="109"/>
      <c r="AI1404" s="109"/>
      <c r="AJ1404" s="115"/>
      <c r="AK1404" s="80"/>
      <c r="AL1404" s="80"/>
      <c r="AM1404" s="80"/>
      <c r="AN1404" s="80"/>
      <c r="AO1404" s="80"/>
      <c r="AP1404" s="80"/>
      <c r="AQ1404" s="80"/>
      <c r="AR1404" s="73"/>
      <c r="AS1404" s="73"/>
      <c r="AT1404" s="73"/>
      <c r="AU1404" s="73"/>
      <c r="AV1404" s="73"/>
      <c r="AW1404" s="73"/>
      <c r="AX1404" s="73"/>
      <c r="AY1404" s="73"/>
      <c r="AZ1404" s="73"/>
      <c r="BA1404" s="73"/>
      <c r="BB1404" s="73"/>
      <c r="BC1404" s="73"/>
      <c r="BD1404" s="73"/>
      <c r="BE1404" s="73"/>
      <c r="BF1404" s="73"/>
      <c r="BG1404" s="73"/>
      <c r="BH1404" s="73"/>
      <c r="BI1404" s="73"/>
      <c r="BJ1404" s="73"/>
      <c r="BK1404" s="73"/>
      <c r="BL1404" s="73"/>
      <c r="BM1404" s="73"/>
      <c r="BN1404" s="73"/>
      <c r="BO1404" s="73"/>
      <c r="BP1404" s="73"/>
      <c r="BQ1404" s="73"/>
      <c r="BR1404" s="73"/>
      <c r="BS1404" s="73"/>
      <c r="BT1404" s="73"/>
      <c r="BU1404" s="73"/>
      <c r="BV1404" s="73"/>
      <c r="BW1404" s="73"/>
      <c r="BX1404" s="73"/>
      <c r="BY1404" s="73"/>
      <c r="BZ1404" s="73"/>
      <c r="CA1404" s="73"/>
      <c r="CB1404" s="73"/>
      <c r="CC1404" s="73"/>
      <c r="CD1404" s="73"/>
      <c r="CE1404" s="73"/>
      <c r="CF1404" s="73"/>
      <c r="CG1404" s="73"/>
      <c r="CH1404" s="73"/>
    </row>
    <row r="1405">
      <c r="A1405" s="80"/>
      <c r="B1405" s="80"/>
      <c r="C1405" s="80"/>
      <c r="D1405" s="80"/>
      <c r="E1405" s="124"/>
      <c r="F1405" s="80"/>
      <c r="G1405" s="80"/>
      <c r="H1405" s="80"/>
      <c r="I1405" s="80"/>
      <c r="J1405" s="109"/>
      <c r="K1405" s="109"/>
      <c r="L1405" s="109"/>
      <c r="M1405" s="109"/>
      <c r="N1405" s="109"/>
      <c r="O1405" s="109"/>
      <c r="P1405" s="109"/>
      <c r="Q1405" s="109"/>
      <c r="R1405" s="109"/>
      <c r="S1405" s="109"/>
      <c r="T1405" s="109"/>
      <c r="U1405" s="109"/>
      <c r="V1405" s="109"/>
      <c r="W1405" s="109"/>
      <c r="X1405" s="109"/>
      <c r="Y1405" s="109"/>
      <c r="Z1405" s="109"/>
      <c r="AA1405" s="109"/>
      <c r="AB1405" s="109"/>
      <c r="AC1405" s="109"/>
      <c r="AD1405" s="109"/>
      <c r="AE1405" s="109"/>
      <c r="AF1405" s="109"/>
      <c r="AG1405" s="109"/>
      <c r="AH1405" s="109"/>
      <c r="AI1405" s="109"/>
      <c r="AJ1405" s="115"/>
      <c r="AK1405" s="80"/>
      <c r="AL1405" s="80"/>
      <c r="AM1405" s="80"/>
      <c r="AN1405" s="80"/>
      <c r="AO1405" s="80"/>
      <c r="AP1405" s="80"/>
      <c r="AQ1405" s="80"/>
      <c r="AR1405" s="73"/>
      <c r="AS1405" s="73"/>
      <c r="AT1405" s="73"/>
      <c r="AU1405" s="73"/>
      <c r="AV1405" s="73"/>
      <c r="AW1405" s="73"/>
      <c r="AX1405" s="73"/>
      <c r="AY1405" s="73"/>
      <c r="AZ1405" s="73"/>
      <c r="BA1405" s="73"/>
      <c r="BB1405" s="73"/>
      <c r="BC1405" s="73"/>
      <c r="BD1405" s="73"/>
      <c r="BE1405" s="73"/>
      <c r="BF1405" s="73"/>
      <c r="BG1405" s="73"/>
      <c r="BH1405" s="73"/>
      <c r="BI1405" s="73"/>
      <c r="BJ1405" s="73"/>
      <c r="BK1405" s="73"/>
      <c r="BL1405" s="73"/>
      <c r="BM1405" s="73"/>
      <c r="BN1405" s="73"/>
      <c r="BO1405" s="73"/>
      <c r="BP1405" s="73"/>
      <c r="BQ1405" s="73"/>
      <c r="BR1405" s="73"/>
      <c r="BS1405" s="73"/>
      <c r="BT1405" s="73"/>
      <c r="BU1405" s="73"/>
      <c r="BV1405" s="73"/>
      <c r="BW1405" s="73"/>
      <c r="BX1405" s="73"/>
      <c r="BY1405" s="73"/>
      <c r="BZ1405" s="73"/>
      <c r="CA1405" s="73"/>
      <c r="CB1405" s="73"/>
      <c r="CC1405" s="73"/>
      <c r="CD1405" s="73"/>
      <c r="CE1405" s="73"/>
      <c r="CF1405" s="73"/>
      <c r="CG1405" s="73"/>
      <c r="CH1405" s="73"/>
    </row>
    <row r="1406">
      <c r="A1406" s="80"/>
      <c r="B1406" s="80"/>
      <c r="C1406" s="80"/>
      <c r="D1406" s="80"/>
      <c r="E1406" s="124"/>
      <c r="F1406" s="80"/>
      <c r="G1406" s="80"/>
      <c r="H1406" s="80"/>
      <c r="I1406" s="80"/>
      <c r="J1406" s="109"/>
      <c r="K1406" s="109"/>
      <c r="L1406" s="109"/>
      <c r="M1406" s="109"/>
      <c r="N1406" s="109"/>
      <c r="O1406" s="109"/>
      <c r="P1406" s="109"/>
      <c r="Q1406" s="109"/>
      <c r="R1406" s="109"/>
      <c r="S1406" s="109"/>
      <c r="T1406" s="109"/>
      <c r="U1406" s="109"/>
      <c r="V1406" s="109"/>
      <c r="W1406" s="109"/>
      <c r="X1406" s="109"/>
      <c r="Y1406" s="109"/>
      <c r="Z1406" s="109"/>
      <c r="AA1406" s="109"/>
      <c r="AB1406" s="109"/>
      <c r="AC1406" s="109"/>
      <c r="AD1406" s="109"/>
      <c r="AE1406" s="109"/>
      <c r="AF1406" s="109"/>
      <c r="AG1406" s="109"/>
      <c r="AH1406" s="109"/>
      <c r="AI1406" s="109"/>
      <c r="AJ1406" s="115"/>
      <c r="AK1406" s="80"/>
      <c r="AL1406" s="80"/>
      <c r="AM1406" s="80"/>
      <c r="AN1406" s="80"/>
      <c r="AO1406" s="80"/>
      <c r="AP1406" s="80"/>
      <c r="AQ1406" s="80"/>
      <c r="AR1406" s="73"/>
      <c r="AS1406" s="73"/>
      <c r="AT1406" s="73"/>
      <c r="AU1406" s="73"/>
      <c r="AV1406" s="73"/>
      <c r="AW1406" s="73"/>
      <c r="AX1406" s="73"/>
      <c r="AY1406" s="73"/>
      <c r="AZ1406" s="73"/>
      <c r="BA1406" s="73"/>
      <c r="BB1406" s="73"/>
      <c r="BC1406" s="73"/>
      <c r="BD1406" s="73"/>
      <c r="BE1406" s="73"/>
      <c r="BF1406" s="73"/>
      <c r="BG1406" s="73"/>
      <c r="BH1406" s="73"/>
      <c r="BI1406" s="73"/>
      <c r="BJ1406" s="73"/>
      <c r="BK1406" s="73"/>
      <c r="BL1406" s="73"/>
      <c r="BM1406" s="73"/>
      <c r="BN1406" s="73"/>
      <c r="BO1406" s="73"/>
      <c r="BP1406" s="73"/>
      <c r="BQ1406" s="73"/>
      <c r="BR1406" s="73"/>
      <c r="BS1406" s="73"/>
      <c r="BT1406" s="73"/>
      <c r="BU1406" s="73"/>
      <c r="BV1406" s="73"/>
      <c r="BW1406" s="73"/>
      <c r="BX1406" s="73"/>
      <c r="BY1406" s="73"/>
      <c r="BZ1406" s="73"/>
      <c r="CA1406" s="73"/>
      <c r="CB1406" s="73"/>
      <c r="CC1406" s="73"/>
      <c r="CD1406" s="73"/>
      <c r="CE1406" s="73"/>
      <c r="CF1406" s="73"/>
      <c r="CG1406" s="73"/>
      <c r="CH1406" s="73"/>
    </row>
    <row r="1407">
      <c r="A1407" s="80"/>
      <c r="B1407" s="80"/>
      <c r="C1407" s="80"/>
      <c r="D1407" s="80"/>
      <c r="E1407" s="124"/>
      <c r="F1407" s="80"/>
      <c r="G1407" s="80"/>
      <c r="H1407" s="80"/>
      <c r="I1407" s="80"/>
      <c r="J1407" s="109"/>
      <c r="K1407" s="109"/>
      <c r="L1407" s="109"/>
      <c r="M1407" s="109"/>
      <c r="N1407" s="109"/>
      <c r="O1407" s="109"/>
      <c r="P1407" s="109"/>
      <c r="Q1407" s="109"/>
      <c r="R1407" s="109"/>
      <c r="S1407" s="109"/>
      <c r="T1407" s="109"/>
      <c r="U1407" s="109"/>
      <c r="V1407" s="109"/>
      <c r="W1407" s="109"/>
      <c r="X1407" s="109"/>
      <c r="Y1407" s="109"/>
      <c r="Z1407" s="109"/>
      <c r="AA1407" s="109"/>
      <c r="AB1407" s="109"/>
      <c r="AC1407" s="109"/>
      <c r="AD1407" s="109"/>
      <c r="AE1407" s="109"/>
      <c r="AF1407" s="109"/>
      <c r="AG1407" s="109"/>
      <c r="AH1407" s="109"/>
      <c r="AI1407" s="109"/>
      <c r="AJ1407" s="115"/>
      <c r="AK1407" s="80"/>
      <c r="AL1407" s="80"/>
      <c r="AM1407" s="80"/>
      <c r="AN1407" s="80"/>
      <c r="AO1407" s="80"/>
      <c r="AP1407" s="80"/>
      <c r="AQ1407" s="80"/>
      <c r="AR1407" s="73"/>
      <c r="AS1407" s="73"/>
      <c r="AT1407" s="73"/>
      <c r="AU1407" s="73"/>
      <c r="AV1407" s="73"/>
      <c r="AW1407" s="73"/>
      <c r="AX1407" s="73"/>
      <c r="AY1407" s="73"/>
      <c r="AZ1407" s="73"/>
      <c r="BA1407" s="73"/>
      <c r="BB1407" s="73"/>
      <c r="BC1407" s="73"/>
      <c r="BD1407" s="73"/>
      <c r="BE1407" s="73"/>
      <c r="BF1407" s="73"/>
      <c r="BG1407" s="73"/>
      <c r="BH1407" s="73"/>
      <c r="BI1407" s="73"/>
      <c r="BJ1407" s="73"/>
      <c r="BK1407" s="73"/>
      <c r="BL1407" s="73"/>
      <c r="BM1407" s="73"/>
      <c r="BN1407" s="73"/>
      <c r="BO1407" s="73"/>
      <c r="BP1407" s="73"/>
      <c r="BQ1407" s="73"/>
      <c r="BR1407" s="73"/>
      <c r="BS1407" s="73"/>
      <c r="BT1407" s="73"/>
      <c r="BU1407" s="73"/>
      <c r="BV1407" s="73"/>
      <c r="BW1407" s="73"/>
      <c r="BX1407" s="73"/>
      <c r="BY1407" s="73"/>
      <c r="BZ1407" s="73"/>
      <c r="CA1407" s="73"/>
      <c r="CB1407" s="73"/>
      <c r="CC1407" s="73"/>
      <c r="CD1407" s="73"/>
      <c r="CE1407" s="73"/>
      <c r="CF1407" s="73"/>
      <c r="CG1407" s="73"/>
      <c r="CH1407" s="73"/>
    </row>
    <row r="1408">
      <c r="A1408" s="80"/>
      <c r="B1408" s="80"/>
      <c r="C1408" s="80"/>
      <c r="D1408" s="80"/>
      <c r="E1408" s="124"/>
      <c r="F1408" s="80"/>
      <c r="G1408" s="80"/>
      <c r="H1408" s="80"/>
      <c r="I1408" s="80"/>
      <c r="J1408" s="109"/>
      <c r="K1408" s="109"/>
      <c r="L1408" s="109"/>
      <c r="M1408" s="109"/>
      <c r="N1408" s="109"/>
      <c r="O1408" s="109"/>
      <c r="P1408" s="109"/>
      <c r="Q1408" s="109"/>
      <c r="R1408" s="109"/>
      <c r="S1408" s="109"/>
      <c r="T1408" s="109"/>
      <c r="U1408" s="109"/>
      <c r="V1408" s="109"/>
      <c r="W1408" s="109"/>
      <c r="X1408" s="109"/>
      <c r="Y1408" s="109"/>
      <c r="Z1408" s="109"/>
      <c r="AA1408" s="109"/>
      <c r="AB1408" s="109"/>
      <c r="AC1408" s="109"/>
      <c r="AD1408" s="109"/>
      <c r="AE1408" s="109"/>
      <c r="AF1408" s="109"/>
      <c r="AG1408" s="109"/>
      <c r="AH1408" s="109"/>
      <c r="AI1408" s="109"/>
      <c r="AJ1408" s="115"/>
      <c r="AK1408" s="80"/>
      <c r="AL1408" s="80"/>
      <c r="AM1408" s="80"/>
      <c r="AN1408" s="80"/>
      <c r="AO1408" s="80"/>
      <c r="AP1408" s="80"/>
      <c r="AQ1408" s="80"/>
      <c r="AR1408" s="73"/>
      <c r="AS1408" s="73"/>
      <c r="AT1408" s="73"/>
      <c r="AU1408" s="73"/>
      <c r="AV1408" s="73"/>
      <c r="AW1408" s="73"/>
      <c r="AX1408" s="73"/>
      <c r="AY1408" s="73"/>
      <c r="AZ1408" s="73"/>
      <c r="BA1408" s="73"/>
      <c r="BB1408" s="73"/>
      <c r="BC1408" s="73"/>
      <c r="BD1408" s="73"/>
      <c r="BE1408" s="73"/>
      <c r="BF1408" s="73"/>
      <c r="BG1408" s="73"/>
      <c r="BH1408" s="73"/>
      <c r="BI1408" s="73"/>
      <c r="BJ1408" s="73"/>
      <c r="BK1408" s="73"/>
      <c r="BL1408" s="73"/>
      <c r="BM1408" s="73"/>
      <c r="BN1408" s="73"/>
      <c r="BO1408" s="73"/>
      <c r="BP1408" s="73"/>
      <c r="BQ1408" s="73"/>
      <c r="BR1408" s="73"/>
      <c r="BS1408" s="73"/>
      <c r="BT1408" s="73"/>
      <c r="BU1408" s="73"/>
      <c r="BV1408" s="73"/>
      <c r="BW1408" s="73"/>
      <c r="BX1408" s="73"/>
      <c r="BY1408" s="73"/>
      <c r="BZ1408" s="73"/>
      <c r="CA1408" s="73"/>
      <c r="CB1408" s="73"/>
      <c r="CC1408" s="73"/>
      <c r="CD1408" s="73"/>
      <c r="CE1408" s="73"/>
      <c r="CF1408" s="73"/>
      <c r="CG1408" s="73"/>
      <c r="CH1408" s="73"/>
    </row>
    <row r="1409">
      <c r="A1409" s="80"/>
      <c r="B1409" s="80"/>
      <c r="C1409" s="80"/>
      <c r="D1409" s="80"/>
      <c r="E1409" s="124"/>
      <c r="F1409" s="80"/>
      <c r="G1409" s="80"/>
      <c r="H1409" s="80"/>
      <c r="I1409" s="80"/>
      <c r="J1409" s="109"/>
      <c r="K1409" s="109"/>
      <c r="L1409" s="109"/>
      <c r="M1409" s="109"/>
      <c r="N1409" s="109"/>
      <c r="O1409" s="109"/>
      <c r="P1409" s="109"/>
      <c r="Q1409" s="109"/>
      <c r="R1409" s="109"/>
      <c r="S1409" s="109"/>
      <c r="T1409" s="109"/>
      <c r="U1409" s="109"/>
      <c r="V1409" s="109"/>
      <c r="W1409" s="109"/>
      <c r="X1409" s="109"/>
      <c r="Y1409" s="109"/>
      <c r="Z1409" s="109"/>
      <c r="AA1409" s="109"/>
      <c r="AB1409" s="109"/>
      <c r="AC1409" s="109"/>
      <c r="AD1409" s="109"/>
      <c r="AE1409" s="109"/>
      <c r="AF1409" s="109"/>
      <c r="AG1409" s="109"/>
      <c r="AH1409" s="109"/>
      <c r="AI1409" s="109"/>
      <c r="AJ1409" s="115"/>
      <c r="AK1409" s="80"/>
      <c r="AL1409" s="80"/>
      <c r="AM1409" s="80"/>
      <c r="AN1409" s="80"/>
      <c r="AO1409" s="80"/>
      <c r="AP1409" s="80"/>
      <c r="AQ1409" s="80"/>
      <c r="AR1409" s="73"/>
      <c r="AS1409" s="73"/>
      <c r="AT1409" s="73"/>
      <c r="AU1409" s="73"/>
      <c r="AV1409" s="73"/>
      <c r="AW1409" s="73"/>
      <c r="AX1409" s="73"/>
      <c r="AY1409" s="73"/>
      <c r="AZ1409" s="73"/>
      <c r="BA1409" s="73"/>
      <c r="BB1409" s="73"/>
      <c r="BC1409" s="73"/>
      <c r="BD1409" s="73"/>
      <c r="BE1409" s="73"/>
      <c r="BF1409" s="73"/>
      <c r="BG1409" s="73"/>
      <c r="BH1409" s="73"/>
      <c r="BI1409" s="73"/>
      <c r="BJ1409" s="73"/>
      <c r="BK1409" s="73"/>
      <c r="BL1409" s="73"/>
      <c r="BM1409" s="73"/>
      <c r="BN1409" s="73"/>
      <c r="BO1409" s="73"/>
      <c r="BP1409" s="73"/>
      <c r="BQ1409" s="73"/>
      <c r="BR1409" s="73"/>
      <c r="BS1409" s="73"/>
      <c r="BT1409" s="73"/>
      <c r="BU1409" s="73"/>
      <c r="BV1409" s="73"/>
      <c r="BW1409" s="73"/>
      <c r="BX1409" s="73"/>
      <c r="BY1409" s="73"/>
      <c r="BZ1409" s="73"/>
      <c r="CA1409" s="73"/>
      <c r="CB1409" s="73"/>
      <c r="CC1409" s="73"/>
      <c r="CD1409" s="73"/>
      <c r="CE1409" s="73"/>
      <c r="CF1409" s="73"/>
      <c r="CG1409" s="73"/>
      <c r="CH1409" s="73"/>
    </row>
    <row r="1410">
      <c r="A1410" s="80"/>
      <c r="B1410" s="80"/>
      <c r="C1410" s="80"/>
      <c r="D1410" s="80"/>
      <c r="E1410" s="124"/>
      <c r="F1410" s="80"/>
      <c r="G1410" s="80"/>
      <c r="H1410" s="80"/>
      <c r="I1410" s="80"/>
      <c r="J1410" s="109"/>
      <c r="K1410" s="109"/>
      <c r="L1410" s="109"/>
      <c r="M1410" s="109"/>
      <c r="N1410" s="109"/>
      <c r="O1410" s="109"/>
      <c r="P1410" s="109"/>
      <c r="Q1410" s="109"/>
      <c r="R1410" s="109"/>
      <c r="S1410" s="109"/>
      <c r="T1410" s="109"/>
      <c r="U1410" s="109"/>
      <c r="V1410" s="109"/>
      <c r="W1410" s="109"/>
      <c r="X1410" s="109"/>
      <c r="Y1410" s="109"/>
      <c r="Z1410" s="109"/>
      <c r="AA1410" s="109"/>
      <c r="AB1410" s="109"/>
      <c r="AC1410" s="109"/>
      <c r="AD1410" s="109"/>
      <c r="AE1410" s="109"/>
      <c r="AF1410" s="109"/>
      <c r="AG1410" s="109"/>
      <c r="AH1410" s="109"/>
      <c r="AI1410" s="109"/>
      <c r="AJ1410" s="115"/>
      <c r="AK1410" s="80"/>
      <c r="AL1410" s="80"/>
      <c r="AM1410" s="80"/>
      <c r="AN1410" s="80"/>
      <c r="AO1410" s="80"/>
      <c r="AP1410" s="80"/>
      <c r="AQ1410" s="80"/>
      <c r="AR1410" s="73"/>
      <c r="AS1410" s="73"/>
      <c r="AT1410" s="73"/>
      <c r="AU1410" s="73"/>
      <c r="AV1410" s="73"/>
      <c r="AW1410" s="73"/>
      <c r="AX1410" s="73"/>
      <c r="AY1410" s="73"/>
      <c r="AZ1410" s="73"/>
      <c r="BA1410" s="73"/>
      <c r="BB1410" s="73"/>
      <c r="BC1410" s="73"/>
      <c r="BD1410" s="73"/>
      <c r="BE1410" s="73"/>
      <c r="BF1410" s="73"/>
      <c r="BG1410" s="73"/>
      <c r="BH1410" s="73"/>
      <c r="BI1410" s="73"/>
      <c r="BJ1410" s="73"/>
      <c r="BK1410" s="73"/>
      <c r="BL1410" s="73"/>
      <c r="BM1410" s="73"/>
      <c r="BN1410" s="73"/>
      <c r="BO1410" s="73"/>
      <c r="BP1410" s="73"/>
      <c r="BQ1410" s="73"/>
      <c r="BR1410" s="73"/>
      <c r="BS1410" s="73"/>
      <c r="BT1410" s="73"/>
      <c r="BU1410" s="73"/>
      <c r="BV1410" s="73"/>
      <c r="BW1410" s="73"/>
      <c r="BX1410" s="73"/>
      <c r="BY1410" s="73"/>
      <c r="BZ1410" s="73"/>
      <c r="CA1410" s="73"/>
      <c r="CB1410" s="73"/>
      <c r="CC1410" s="73"/>
      <c r="CD1410" s="73"/>
      <c r="CE1410" s="73"/>
      <c r="CF1410" s="73"/>
      <c r="CG1410" s="73"/>
      <c r="CH1410" s="73"/>
    </row>
    <row r="1411">
      <c r="A1411" s="80"/>
      <c r="B1411" s="80"/>
      <c r="C1411" s="80"/>
      <c r="D1411" s="80"/>
      <c r="E1411" s="124"/>
      <c r="F1411" s="80"/>
      <c r="G1411" s="80"/>
      <c r="H1411" s="80"/>
      <c r="I1411" s="80"/>
      <c r="J1411" s="109"/>
      <c r="K1411" s="109"/>
      <c r="L1411" s="109"/>
      <c r="M1411" s="109"/>
      <c r="N1411" s="109"/>
      <c r="O1411" s="109"/>
      <c r="P1411" s="109"/>
      <c r="Q1411" s="109"/>
      <c r="R1411" s="109"/>
      <c r="S1411" s="109"/>
      <c r="T1411" s="109"/>
      <c r="U1411" s="109"/>
      <c r="V1411" s="109"/>
      <c r="W1411" s="109"/>
      <c r="X1411" s="109"/>
      <c r="Y1411" s="109"/>
      <c r="Z1411" s="109"/>
      <c r="AA1411" s="109"/>
      <c r="AB1411" s="109"/>
      <c r="AC1411" s="109"/>
      <c r="AD1411" s="109"/>
      <c r="AE1411" s="109"/>
      <c r="AF1411" s="109"/>
      <c r="AG1411" s="109"/>
      <c r="AH1411" s="109"/>
      <c r="AI1411" s="109"/>
      <c r="AJ1411" s="115"/>
      <c r="AK1411" s="80"/>
      <c r="AL1411" s="80"/>
      <c r="AM1411" s="80"/>
      <c r="AN1411" s="80"/>
      <c r="AO1411" s="80"/>
      <c r="AP1411" s="80"/>
      <c r="AQ1411" s="80"/>
      <c r="AR1411" s="73"/>
      <c r="AS1411" s="73"/>
      <c r="AT1411" s="73"/>
      <c r="AU1411" s="73"/>
      <c r="AV1411" s="73"/>
      <c r="AW1411" s="73"/>
      <c r="AX1411" s="73"/>
      <c r="AY1411" s="73"/>
      <c r="AZ1411" s="73"/>
      <c r="BA1411" s="73"/>
      <c r="BB1411" s="73"/>
      <c r="BC1411" s="73"/>
      <c r="BD1411" s="73"/>
      <c r="BE1411" s="73"/>
      <c r="BF1411" s="73"/>
      <c r="BG1411" s="73"/>
      <c r="BH1411" s="73"/>
      <c r="BI1411" s="73"/>
      <c r="BJ1411" s="73"/>
      <c r="BK1411" s="73"/>
      <c r="BL1411" s="73"/>
      <c r="BM1411" s="73"/>
      <c r="BN1411" s="73"/>
      <c r="BO1411" s="73"/>
      <c r="BP1411" s="73"/>
      <c r="BQ1411" s="73"/>
      <c r="BR1411" s="73"/>
      <c r="BS1411" s="73"/>
      <c r="BT1411" s="73"/>
      <c r="BU1411" s="73"/>
      <c r="BV1411" s="73"/>
      <c r="BW1411" s="73"/>
      <c r="BX1411" s="73"/>
      <c r="BY1411" s="73"/>
      <c r="BZ1411" s="73"/>
      <c r="CA1411" s="73"/>
      <c r="CB1411" s="73"/>
      <c r="CC1411" s="73"/>
      <c r="CD1411" s="73"/>
      <c r="CE1411" s="73"/>
      <c r="CF1411" s="73"/>
      <c r="CG1411" s="73"/>
      <c r="CH1411" s="73"/>
    </row>
    <row r="1412">
      <c r="A1412" s="80"/>
      <c r="B1412" s="80"/>
      <c r="C1412" s="80"/>
      <c r="D1412" s="80"/>
      <c r="E1412" s="124"/>
      <c r="F1412" s="80"/>
      <c r="G1412" s="80"/>
      <c r="H1412" s="80"/>
      <c r="I1412" s="80"/>
      <c r="J1412" s="109"/>
      <c r="K1412" s="109"/>
      <c r="L1412" s="109"/>
      <c r="M1412" s="109"/>
      <c r="N1412" s="109"/>
      <c r="O1412" s="109"/>
      <c r="P1412" s="109"/>
      <c r="Q1412" s="109"/>
      <c r="R1412" s="109"/>
      <c r="S1412" s="109"/>
      <c r="T1412" s="109"/>
      <c r="U1412" s="109"/>
      <c r="V1412" s="109"/>
      <c r="W1412" s="109"/>
      <c r="X1412" s="109"/>
      <c r="Y1412" s="109"/>
      <c r="Z1412" s="109"/>
      <c r="AA1412" s="109"/>
      <c r="AB1412" s="109"/>
      <c r="AC1412" s="109"/>
      <c r="AD1412" s="109"/>
      <c r="AE1412" s="109"/>
      <c r="AF1412" s="109"/>
      <c r="AG1412" s="109"/>
      <c r="AH1412" s="109"/>
      <c r="AI1412" s="109"/>
      <c r="AJ1412" s="115"/>
      <c r="AK1412" s="80"/>
      <c r="AL1412" s="80"/>
      <c r="AM1412" s="80"/>
      <c r="AN1412" s="80"/>
      <c r="AO1412" s="80"/>
      <c r="AP1412" s="80"/>
      <c r="AQ1412" s="80"/>
      <c r="AR1412" s="73"/>
      <c r="AS1412" s="73"/>
      <c r="AT1412" s="73"/>
      <c r="AU1412" s="73"/>
      <c r="AV1412" s="73"/>
      <c r="AW1412" s="73"/>
      <c r="AX1412" s="73"/>
      <c r="AY1412" s="73"/>
      <c r="AZ1412" s="73"/>
      <c r="BA1412" s="73"/>
      <c r="BB1412" s="73"/>
      <c r="BC1412" s="73"/>
      <c r="BD1412" s="73"/>
      <c r="BE1412" s="73"/>
      <c r="BF1412" s="73"/>
      <c r="BG1412" s="73"/>
      <c r="BH1412" s="73"/>
      <c r="BI1412" s="73"/>
      <c r="BJ1412" s="73"/>
      <c r="BK1412" s="73"/>
      <c r="BL1412" s="73"/>
      <c r="BM1412" s="73"/>
      <c r="BN1412" s="73"/>
      <c r="BO1412" s="73"/>
      <c r="BP1412" s="73"/>
      <c r="BQ1412" s="73"/>
      <c r="BR1412" s="73"/>
      <c r="BS1412" s="73"/>
      <c r="BT1412" s="73"/>
      <c r="BU1412" s="73"/>
      <c r="BV1412" s="73"/>
      <c r="BW1412" s="73"/>
      <c r="BX1412" s="73"/>
      <c r="BY1412" s="73"/>
      <c r="BZ1412" s="73"/>
      <c r="CA1412" s="73"/>
      <c r="CB1412" s="73"/>
      <c r="CC1412" s="73"/>
      <c r="CD1412" s="73"/>
      <c r="CE1412" s="73"/>
      <c r="CF1412" s="73"/>
      <c r="CG1412" s="73"/>
      <c r="CH1412" s="73"/>
    </row>
    <row r="1413">
      <c r="A1413" s="80"/>
      <c r="B1413" s="80"/>
      <c r="C1413" s="80"/>
      <c r="D1413" s="80"/>
      <c r="E1413" s="124"/>
      <c r="F1413" s="80"/>
      <c r="G1413" s="80"/>
      <c r="H1413" s="80"/>
      <c r="I1413" s="80"/>
      <c r="J1413" s="109"/>
      <c r="K1413" s="109"/>
      <c r="L1413" s="109"/>
      <c r="M1413" s="109"/>
      <c r="N1413" s="109"/>
      <c r="O1413" s="109"/>
      <c r="P1413" s="109"/>
      <c r="Q1413" s="109"/>
      <c r="R1413" s="109"/>
      <c r="S1413" s="109"/>
      <c r="T1413" s="109"/>
      <c r="U1413" s="109"/>
      <c r="V1413" s="109"/>
      <c r="W1413" s="109"/>
      <c r="X1413" s="109"/>
      <c r="Y1413" s="109"/>
      <c r="Z1413" s="109"/>
      <c r="AA1413" s="109"/>
      <c r="AB1413" s="109"/>
      <c r="AC1413" s="109"/>
      <c r="AD1413" s="109"/>
      <c r="AE1413" s="109"/>
      <c r="AF1413" s="109"/>
      <c r="AG1413" s="109"/>
      <c r="AH1413" s="109"/>
      <c r="AI1413" s="109"/>
      <c r="AJ1413" s="115"/>
      <c r="AK1413" s="80"/>
      <c r="AL1413" s="80"/>
      <c r="AM1413" s="80"/>
      <c r="AN1413" s="80"/>
      <c r="AO1413" s="80"/>
      <c r="AP1413" s="80"/>
      <c r="AQ1413" s="80"/>
      <c r="AR1413" s="73"/>
      <c r="AS1413" s="73"/>
      <c r="AT1413" s="73"/>
      <c r="AU1413" s="73"/>
      <c r="AV1413" s="73"/>
      <c r="AW1413" s="73"/>
      <c r="AX1413" s="73"/>
      <c r="AY1413" s="73"/>
      <c r="AZ1413" s="73"/>
      <c r="BA1413" s="73"/>
      <c r="BB1413" s="73"/>
      <c r="BC1413" s="73"/>
      <c r="BD1413" s="73"/>
      <c r="BE1413" s="73"/>
      <c r="BF1413" s="73"/>
      <c r="BG1413" s="73"/>
      <c r="BH1413" s="73"/>
      <c r="BI1413" s="73"/>
      <c r="BJ1413" s="73"/>
      <c r="BK1413" s="73"/>
      <c r="BL1413" s="73"/>
      <c r="BM1413" s="73"/>
      <c r="BN1413" s="73"/>
      <c r="BO1413" s="73"/>
      <c r="BP1413" s="73"/>
      <c r="BQ1413" s="73"/>
      <c r="BR1413" s="73"/>
      <c r="BS1413" s="73"/>
      <c r="BT1413" s="73"/>
      <c r="BU1413" s="73"/>
      <c r="BV1413" s="73"/>
      <c r="BW1413" s="73"/>
      <c r="BX1413" s="73"/>
      <c r="BY1413" s="73"/>
      <c r="BZ1413" s="73"/>
      <c r="CA1413" s="73"/>
      <c r="CB1413" s="73"/>
      <c r="CC1413" s="73"/>
      <c r="CD1413" s="73"/>
      <c r="CE1413" s="73"/>
      <c r="CF1413" s="73"/>
      <c r="CG1413" s="73"/>
      <c r="CH1413" s="73"/>
    </row>
    <row r="1414">
      <c r="A1414" s="80"/>
      <c r="B1414" s="80"/>
      <c r="C1414" s="80"/>
      <c r="D1414" s="80"/>
      <c r="E1414" s="124"/>
      <c r="F1414" s="80"/>
      <c r="G1414" s="80"/>
      <c r="H1414" s="80"/>
      <c r="I1414" s="80"/>
      <c r="J1414" s="109"/>
      <c r="K1414" s="109"/>
      <c r="L1414" s="109"/>
      <c r="M1414" s="109"/>
      <c r="N1414" s="109"/>
      <c r="O1414" s="109"/>
      <c r="P1414" s="109"/>
      <c r="Q1414" s="109"/>
      <c r="R1414" s="109"/>
      <c r="S1414" s="109"/>
      <c r="T1414" s="109"/>
      <c r="U1414" s="109"/>
      <c r="V1414" s="109"/>
      <c r="W1414" s="109"/>
      <c r="X1414" s="109"/>
      <c r="Y1414" s="109"/>
      <c r="Z1414" s="109"/>
      <c r="AA1414" s="109"/>
      <c r="AB1414" s="109"/>
      <c r="AC1414" s="109"/>
      <c r="AD1414" s="109"/>
      <c r="AE1414" s="109"/>
      <c r="AF1414" s="109"/>
      <c r="AG1414" s="109"/>
      <c r="AH1414" s="109"/>
      <c r="AI1414" s="109"/>
      <c r="AJ1414" s="115"/>
      <c r="AK1414" s="80"/>
      <c r="AL1414" s="80"/>
      <c r="AM1414" s="80"/>
      <c r="AN1414" s="80"/>
      <c r="AO1414" s="80"/>
      <c r="AP1414" s="80"/>
      <c r="AQ1414" s="80"/>
      <c r="AR1414" s="73"/>
      <c r="AS1414" s="73"/>
      <c r="AT1414" s="73"/>
      <c r="AU1414" s="73"/>
      <c r="AV1414" s="73"/>
      <c r="AW1414" s="73"/>
      <c r="AX1414" s="73"/>
      <c r="AY1414" s="73"/>
      <c r="AZ1414" s="73"/>
      <c r="BA1414" s="73"/>
      <c r="BB1414" s="73"/>
      <c r="BC1414" s="73"/>
      <c r="BD1414" s="73"/>
      <c r="BE1414" s="73"/>
      <c r="BF1414" s="73"/>
      <c r="BG1414" s="73"/>
      <c r="BH1414" s="73"/>
      <c r="BI1414" s="73"/>
      <c r="BJ1414" s="73"/>
      <c r="BK1414" s="73"/>
      <c r="BL1414" s="73"/>
      <c r="BM1414" s="73"/>
      <c r="BN1414" s="73"/>
      <c r="BO1414" s="73"/>
      <c r="BP1414" s="73"/>
      <c r="BQ1414" s="73"/>
      <c r="BR1414" s="73"/>
      <c r="BS1414" s="73"/>
      <c r="BT1414" s="73"/>
      <c r="BU1414" s="73"/>
      <c r="BV1414" s="73"/>
      <c r="BW1414" s="73"/>
      <c r="BX1414" s="73"/>
      <c r="BY1414" s="73"/>
      <c r="BZ1414" s="73"/>
      <c r="CA1414" s="73"/>
      <c r="CB1414" s="73"/>
      <c r="CC1414" s="73"/>
      <c r="CD1414" s="73"/>
      <c r="CE1414" s="73"/>
      <c r="CF1414" s="73"/>
      <c r="CG1414" s="73"/>
      <c r="CH1414" s="73"/>
    </row>
    <row r="1415">
      <c r="A1415" s="80"/>
      <c r="B1415" s="80"/>
      <c r="C1415" s="80"/>
      <c r="D1415" s="80"/>
      <c r="E1415" s="124"/>
      <c r="F1415" s="80"/>
      <c r="G1415" s="80"/>
      <c r="H1415" s="80"/>
      <c r="I1415" s="80"/>
      <c r="J1415" s="109"/>
      <c r="K1415" s="109"/>
      <c r="L1415" s="109"/>
      <c r="M1415" s="109"/>
      <c r="N1415" s="109"/>
      <c r="O1415" s="109"/>
      <c r="P1415" s="109"/>
      <c r="Q1415" s="109"/>
      <c r="R1415" s="109"/>
      <c r="S1415" s="109"/>
      <c r="T1415" s="109"/>
      <c r="U1415" s="109"/>
      <c r="V1415" s="109"/>
      <c r="W1415" s="109"/>
      <c r="X1415" s="109"/>
      <c r="Y1415" s="109"/>
      <c r="Z1415" s="109"/>
      <c r="AA1415" s="109"/>
      <c r="AB1415" s="109"/>
      <c r="AC1415" s="109"/>
      <c r="AD1415" s="109"/>
      <c r="AE1415" s="109"/>
      <c r="AF1415" s="109"/>
      <c r="AG1415" s="109"/>
      <c r="AH1415" s="109"/>
      <c r="AI1415" s="109"/>
      <c r="AJ1415" s="115"/>
      <c r="AK1415" s="80"/>
      <c r="AL1415" s="80"/>
      <c r="AM1415" s="80"/>
      <c r="AN1415" s="80"/>
      <c r="AO1415" s="80"/>
      <c r="AP1415" s="80"/>
      <c r="AQ1415" s="80"/>
      <c r="AR1415" s="73"/>
      <c r="AS1415" s="73"/>
      <c r="AT1415" s="73"/>
      <c r="AU1415" s="73"/>
      <c r="AV1415" s="73"/>
      <c r="AW1415" s="73"/>
      <c r="AX1415" s="73"/>
      <c r="AY1415" s="73"/>
      <c r="AZ1415" s="73"/>
      <c r="BA1415" s="73"/>
      <c r="BB1415" s="73"/>
      <c r="BC1415" s="73"/>
      <c r="BD1415" s="73"/>
      <c r="BE1415" s="73"/>
      <c r="BF1415" s="73"/>
      <c r="BG1415" s="73"/>
      <c r="BH1415" s="73"/>
      <c r="BI1415" s="73"/>
      <c r="BJ1415" s="73"/>
      <c r="BK1415" s="73"/>
      <c r="BL1415" s="73"/>
      <c r="BM1415" s="73"/>
      <c r="BN1415" s="73"/>
      <c r="BO1415" s="73"/>
      <c r="BP1415" s="73"/>
      <c r="BQ1415" s="73"/>
      <c r="BR1415" s="73"/>
      <c r="BS1415" s="73"/>
      <c r="BT1415" s="73"/>
      <c r="BU1415" s="73"/>
      <c r="BV1415" s="73"/>
      <c r="BW1415" s="73"/>
      <c r="BX1415" s="73"/>
      <c r="BY1415" s="73"/>
      <c r="BZ1415" s="73"/>
      <c r="CA1415" s="73"/>
      <c r="CB1415" s="73"/>
      <c r="CC1415" s="73"/>
      <c r="CD1415" s="73"/>
      <c r="CE1415" s="73"/>
      <c r="CF1415" s="73"/>
      <c r="CG1415" s="73"/>
      <c r="CH1415" s="73"/>
    </row>
    <row r="1416">
      <c r="A1416" s="80"/>
      <c r="B1416" s="80"/>
      <c r="C1416" s="80"/>
      <c r="D1416" s="80"/>
      <c r="E1416" s="124"/>
      <c r="F1416" s="80"/>
      <c r="G1416" s="80"/>
      <c r="H1416" s="80"/>
      <c r="I1416" s="80"/>
      <c r="J1416" s="109"/>
      <c r="K1416" s="109"/>
      <c r="L1416" s="109"/>
      <c r="M1416" s="109"/>
      <c r="N1416" s="109"/>
      <c r="O1416" s="109"/>
      <c r="P1416" s="109"/>
      <c r="Q1416" s="109"/>
      <c r="R1416" s="109"/>
      <c r="S1416" s="109"/>
      <c r="T1416" s="109"/>
      <c r="U1416" s="109"/>
      <c r="V1416" s="109"/>
      <c r="W1416" s="109"/>
      <c r="X1416" s="109"/>
      <c r="Y1416" s="109"/>
      <c r="Z1416" s="109"/>
      <c r="AA1416" s="109"/>
      <c r="AB1416" s="109"/>
      <c r="AC1416" s="109"/>
      <c r="AD1416" s="109"/>
      <c r="AE1416" s="109"/>
      <c r="AF1416" s="109"/>
      <c r="AG1416" s="109"/>
      <c r="AH1416" s="109"/>
      <c r="AI1416" s="109"/>
      <c r="AJ1416" s="115"/>
      <c r="AK1416" s="80"/>
      <c r="AL1416" s="80"/>
      <c r="AM1416" s="80"/>
      <c r="AN1416" s="80"/>
      <c r="AO1416" s="80"/>
      <c r="AP1416" s="80"/>
      <c r="AQ1416" s="80"/>
      <c r="AR1416" s="73"/>
      <c r="AS1416" s="73"/>
      <c r="AT1416" s="73"/>
      <c r="AU1416" s="73"/>
      <c r="AV1416" s="73"/>
      <c r="AW1416" s="73"/>
      <c r="AX1416" s="73"/>
      <c r="AY1416" s="73"/>
      <c r="AZ1416" s="73"/>
      <c r="BA1416" s="73"/>
      <c r="BB1416" s="73"/>
      <c r="BC1416" s="73"/>
      <c r="BD1416" s="73"/>
      <c r="BE1416" s="73"/>
      <c r="BF1416" s="73"/>
      <c r="BG1416" s="73"/>
      <c r="BH1416" s="73"/>
      <c r="BI1416" s="73"/>
      <c r="BJ1416" s="73"/>
      <c r="BK1416" s="73"/>
      <c r="BL1416" s="73"/>
      <c r="BM1416" s="73"/>
      <c r="BN1416" s="73"/>
      <c r="BO1416" s="73"/>
      <c r="BP1416" s="73"/>
      <c r="BQ1416" s="73"/>
      <c r="BR1416" s="73"/>
      <c r="BS1416" s="73"/>
      <c r="BT1416" s="73"/>
      <c r="BU1416" s="73"/>
      <c r="BV1416" s="73"/>
      <c r="BW1416" s="73"/>
      <c r="BX1416" s="73"/>
      <c r="BY1416" s="73"/>
      <c r="BZ1416" s="73"/>
      <c r="CA1416" s="73"/>
      <c r="CB1416" s="73"/>
      <c r="CC1416" s="73"/>
      <c r="CD1416" s="73"/>
      <c r="CE1416" s="73"/>
      <c r="CF1416" s="73"/>
      <c r="CG1416" s="73"/>
      <c r="CH1416" s="73"/>
    </row>
    <row r="1417">
      <c r="A1417" s="80"/>
      <c r="B1417" s="80"/>
      <c r="C1417" s="80"/>
      <c r="D1417" s="80"/>
      <c r="E1417" s="124"/>
      <c r="F1417" s="80"/>
      <c r="G1417" s="80"/>
      <c r="H1417" s="80"/>
      <c r="I1417" s="80"/>
      <c r="J1417" s="109"/>
      <c r="K1417" s="109"/>
      <c r="L1417" s="109"/>
      <c r="M1417" s="109"/>
      <c r="N1417" s="109"/>
      <c r="O1417" s="109"/>
      <c r="P1417" s="109"/>
      <c r="Q1417" s="109"/>
      <c r="R1417" s="109"/>
      <c r="S1417" s="109"/>
      <c r="T1417" s="109"/>
      <c r="U1417" s="109"/>
      <c r="V1417" s="109"/>
      <c r="W1417" s="109"/>
      <c r="X1417" s="109"/>
      <c r="Y1417" s="109"/>
      <c r="Z1417" s="109"/>
      <c r="AA1417" s="109"/>
      <c r="AB1417" s="109"/>
      <c r="AC1417" s="109"/>
      <c r="AD1417" s="109"/>
      <c r="AE1417" s="109"/>
      <c r="AF1417" s="109"/>
      <c r="AG1417" s="109"/>
      <c r="AH1417" s="109"/>
      <c r="AI1417" s="109"/>
      <c r="AJ1417" s="115"/>
      <c r="AK1417" s="80"/>
      <c r="AL1417" s="80"/>
      <c r="AM1417" s="80"/>
      <c r="AN1417" s="80"/>
      <c r="AO1417" s="80"/>
      <c r="AP1417" s="80"/>
      <c r="AQ1417" s="80"/>
      <c r="AR1417" s="73"/>
      <c r="AS1417" s="73"/>
      <c r="AT1417" s="73"/>
      <c r="AU1417" s="73"/>
      <c r="AV1417" s="73"/>
      <c r="AW1417" s="73"/>
      <c r="AX1417" s="73"/>
      <c r="AY1417" s="73"/>
      <c r="AZ1417" s="73"/>
      <c r="BA1417" s="73"/>
      <c r="BB1417" s="73"/>
      <c r="BC1417" s="73"/>
      <c r="BD1417" s="73"/>
      <c r="BE1417" s="73"/>
      <c r="BF1417" s="73"/>
      <c r="BG1417" s="73"/>
      <c r="BH1417" s="73"/>
      <c r="BI1417" s="73"/>
      <c r="BJ1417" s="73"/>
      <c r="BK1417" s="73"/>
      <c r="BL1417" s="73"/>
      <c r="BM1417" s="73"/>
      <c r="BN1417" s="73"/>
      <c r="BO1417" s="73"/>
      <c r="BP1417" s="73"/>
      <c r="BQ1417" s="73"/>
      <c r="BR1417" s="73"/>
      <c r="BS1417" s="73"/>
      <c r="BT1417" s="73"/>
      <c r="BU1417" s="73"/>
      <c r="BV1417" s="73"/>
      <c r="BW1417" s="73"/>
      <c r="BX1417" s="73"/>
      <c r="BY1417" s="73"/>
      <c r="BZ1417" s="73"/>
      <c r="CA1417" s="73"/>
      <c r="CB1417" s="73"/>
      <c r="CC1417" s="73"/>
      <c r="CD1417" s="73"/>
      <c r="CE1417" s="73"/>
      <c r="CF1417" s="73"/>
      <c r="CG1417" s="73"/>
      <c r="CH1417" s="73"/>
    </row>
    <row r="1418">
      <c r="A1418" s="80"/>
      <c r="B1418" s="80"/>
      <c r="C1418" s="80"/>
      <c r="D1418" s="80"/>
      <c r="E1418" s="124"/>
      <c r="F1418" s="80"/>
      <c r="G1418" s="80"/>
      <c r="H1418" s="80"/>
      <c r="I1418" s="80"/>
      <c r="J1418" s="109"/>
      <c r="K1418" s="109"/>
      <c r="L1418" s="109"/>
      <c r="M1418" s="109"/>
      <c r="N1418" s="109"/>
      <c r="O1418" s="109"/>
      <c r="P1418" s="109"/>
      <c r="Q1418" s="109"/>
      <c r="R1418" s="109"/>
      <c r="S1418" s="109"/>
      <c r="T1418" s="109"/>
      <c r="U1418" s="109"/>
      <c r="V1418" s="109"/>
      <c r="W1418" s="109"/>
      <c r="X1418" s="109"/>
      <c r="Y1418" s="109"/>
      <c r="Z1418" s="109"/>
      <c r="AA1418" s="109"/>
      <c r="AB1418" s="109"/>
      <c r="AC1418" s="109"/>
      <c r="AD1418" s="109"/>
      <c r="AE1418" s="109"/>
      <c r="AF1418" s="109"/>
      <c r="AG1418" s="109"/>
      <c r="AH1418" s="109"/>
      <c r="AI1418" s="109"/>
      <c r="AJ1418" s="115"/>
      <c r="AK1418" s="80"/>
      <c r="AL1418" s="80"/>
      <c r="AM1418" s="80"/>
      <c r="AN1418" s="80"/>
      <c r="AO1418" s="80"/>
      <c r="AP1418" s="80"/>
      <c r="AQ1418" s="80"/>
      <c r="AR1418" s="73"/>
      <c r="AS1418" s="73"/>
      <c r="AT1418" s="73"/>
      <c r="AU1418" s="73"/>
      <c r="AV1418" s="73"/>
      <c r="AW1418" s="73"/>
      <c r="AX1418" s="73"/>
      <c r="AY1418" s="73"/>
      <c r="AZ1418" s="73"/>
      <c r="BA1418" s="73"/>
      <c r="BB1418" s="73"/>
      <c r="BC1418" s="73"/>
      <c r="BD1418" s="73"/>
      <c r="BE1418" s="73"/>
      <c r="BF1418" s="73"/>
      <c r="BG1418" s="73"/>
      <c r="BH1418" s="73"/>
      <c r="BI1418" s="73"/>
      <c r="BJ1418" s="73"/>
      <c r="BK1418" s="73"/>
      <c r="BL1418" s="73"/>
      <c r="BM1418" s="73"/>
      <c r="BN1418" s="73"/>
      <c r="BO1418" s="73"/>
      <c r="BP1418" s="73"/>
      <c r="BQ1418" s="73"/>
      <c r="BR1418" s="73"/>
      <c r="BS1418" s="73"/>
      <c r="BT1418" s="73"/>
      <c r="BU1418" s="73"/>
      <c r="BV1418" s="73"/>
      <c r="BW1418" s="73"/>
      <c r="BX1418" s="73"/>
      <c r="BY1418" s="73"/>
      <c r="BZ1418" s="73"/>
      <c r="CA1418" s="73"/>
      <c r="CB1418" s="73"/>
      <c r="CC1418" s="73"/>
      <c r="CD1418" s="73"/>
      <c r="CE1418" s="73"/>
      <c r="CF1418" s="73"/>
      <c r="CG1418" s="73"/>
      <c r="CH1418" s="73"/>
    </row>
    <row r="1419">
      <c r="A1419" s="80"/>
      <c r="B1419" s="80"/>
      <c r="C1419" s="80"/>
      <c r="D1419" s="80"/>
      <c r="E1419" s="124"/>
      <c r="F1419" s="80"/>
      <c r="G1419" s="80"/>
      <c r="H1419" s="80"/>
      <c r="I1419" s="80"/>
      <c r="J1419" s="109"/>
      <c r="K1419" s="109"/>
      <c r="L1419" s="109"/>
      <c r="M1419" s="109"/>
      <c r="N1419" s="109"/>
      <c r="O1419" s="109"/>
      <c r="P1419" s="109"/>
      <c r="Q1419" s="109"/>
      <c r="R1419" s="109"/>
      <c r="S1419" s="109"/>
      <c r="T1419" s="109"/>
      <c r="U1419" s="109"/>
      <c r="V1419" s="109"/>
      <c r="W1419" s="109"/>
      <c r="X1419" s="109"/>
      <c r="Y1419" s="109"/>
      <c r="Z1419" s="109"/>
      <c r="AA1419" s="109"/>
      <c r="AB1419" s="109"/>
      <c r="AC1419" s="109"/>
      <c r="AD1419" s="109"/>
      <c r="AE1419" s="109"/>
      <c r="AF1419" s="109"/>
      <c r="AG1419" s="109"/>
      <c r="AH1419" s="109"/>
      <c r="AI1419" s="109"/>
      <c r="AJ1419" s="115"/>
      <c r="AK1419" s="80"/>
      <c r="AL1419" s="80"/>
      <c r="AM1419" s="80"/>
      <c r="AN1419" s="80"/>
      <c r="AO1419" s="80"/>
      <c r="AP1419" s="80"/>
      <c r="AQ1419" s="80"/>
      <c r="AR1419" s="73"/>
      <c r="AS1419" s="73"/>
      <c r="AT1419" s="73"/>
      <c r="AU1419" s="73"/>
      <c r="AV1419" s="73"/>
      <c r="AW1419" s="73"/>
      <c r="AX1419" s="73"/>
      <c r="AY1419" s="73"/>
      <c r="AZ1419" s="73"/>
      <c r="BA1419" s="73"/>
      <c r="BB1419" s="73"/>
      <c r="BC1419" s="73"/>
      <c r="BD1419" s="73"/>
      <c r="BE1419" s="73"/>
      <c r="BF1419" s="73"/>
      <c r="BG1419" s="73"/>
      <c r="BH1419" s="73"/>
      <c r="BI1419" s="73"/>
      <c r="BJ1419" s="73"/>
      <c r="BK1419" s="73"/>
      <c r="BL1419" s="73"/>
      <c r="BM1419" s="73"/>
      <c r="BN1419" s="73"/>
      <c r="BO1419" s="73"/>
      <c r="BP1419" s="73"/>
      <c r="BQ1419" s="73"/>
      <c r="BR1419" s="73"/>
      <c r="BS1419" s="73"/>
      <c r="BT1419" s="73"/>
      <c r="BU1419" s="73"/>
      <c r="BV1419" s="73"/>
      <c r="BW1419" s="73"/>
      <c r="BX1419" s="73"/>
      <c r="BY1419" s="73"/>
      <c r="BZ1419" s="73"/>
      <c r="CA1419" s="73"/>
      <c r="CB1419" s="73"/>
      <c r="CC1419" s="73"/>
      <c r="CD1419" s="73"/>
      <c r="CE1419" s="73"/>
      <c r="CF1419" s="73"/>
      <c r="CG1419" s="73"/>
      <c r="CH1419" s="73"/>
    </row>
    <row r="1420">
      <c r="A1420" s="80"/>
      <c r="B1420" s="80"/>
      <c r="C1420" s="80"/>
      <c r="D1420" s="80"/>
      <c r="E1420" s="124"/>
      <c r="F1420" s="80"/>
      <c r="G1420" s="80"/>
      <c r="H1420" s="80"/>
      <c r="I1420" s="80"/>
      <c r="J1420" s="109"/>
      <c r="K1420" s="109"/>
      <c r="L1420" s="109"/>
      <c r="M1420" s="109"/>
      <c r="N1420" s="109"/>
      <c r="O1420" s="109"/>
      <c r="P1420" s="109"/>
      <c r="Q1420" s="109"/>
      <c r="R1420" s="109"/>
      <c r="S1420" s="109"/>
      <c r="T1420" s="109"/>
      <c r="U1420" s="109"/>
      <c r="V1420" s="109"/>
      <c r="W1420" s="109"/>
      <c r="X1420" s="109"/>
      <c r="Y1420" s="109"/>
      <c r="Z1420" s="109"/>
      <c r="AA1420" s="109"/>
      <c r="AB1420" s="109"/>
      <c r="AC1420" s="109"/>
      <c r="AD1420" s="109"/>
      <c r="AE1420" s="109"/>
      <c r="AF1420" s="109"/>
      <c r="AG1420" s="109"/>
      <c r="AH1420" s="109"/>
      <c r="AI1420" s="109"/>
      <c r="AJ1420" s="115"/>
      <c r="AK1420" s="80"/>
      <c r="AL1420" s="80"/>
      <c r="AM1420" s="80"/>
      <c r="AN1420" s="80"/>
      <c r="AO1420" s="80"/>
      <c r="AP1420" s="80"/>
      <c r="AQ1420" s="80"/>
      <c r="AR1420" s="73"/>
      <c r="AS1420" s="73"/>
      <c r="AT1420" s="73"/>
      <c r="AU1420" s="73"/>
      <c r="AV1420" s="73"/>
      <c r="AW1420" s="73"/>
      <c r="AX1420" s="73"/>
      <c r="AY1420" s="73"/>
      <c r="AZ1420" s="73"/>
      <c r="BA1420" s="73"/>
      <c r="BB1420" s="73"/>
      <c r="BC1420" s="73"/>
      <c r="BD1420" s="73"/>
      <c r="BE1420" s="73"/>
      <c r="BF1420" s="73"/>
      <c r="BG1420" s="73"/>
      <c r="BH1420" s="73"/>
      <c r="BI1420" s="73"/>
      <c r="BJ1420" s="73"/>
      <c r="BK1420" s="73"/>
      <c r="BL1420" s="73"/>
      <c r="BM1420" s="73"/>
      <c r="BN1420" s="73"/>
      <c r="BO1420" s="73"/>
      <c r="BP1420" s="73"/>
      <c r="BQ1420" s="73"/>
      <c r="BR1420" s="73"/>
      <c r="BS1420" s="73"/>
      <c r="BT1420" s="73"/>
      <c r="BU1420" s="73"/>
      <c r="BV1420" s="73"/>
      <c r="BW1420" s="73"/>
      <c r="BX1420" s="73"/>
      <c r="BY1420" s="73"/>
      <c r="BZ1420" s="73"/>
      <c r="CA1420" s="73"/>
      <c r="CB1420" s="73"/>
      <c r="CC1420" s="73"/>
      <c r="CD1420" s="73"/>
      <c r="CE1420" s="73"/>
      <c r="CF1420" s="73"/>
      <c r="CG1420" s="73"/>
      <c r="CH1420" s="73"/>
    </row>
    <row r="1421">
      <c r="A1421" s="80"/>
      <c r="B1421" s="80"/>
      <c r="C1421" s="80"/>
      <c r="D1421" s="80"/>
      <c r="E1421" s="124"/>
      <c r="F1421" s="80"/>
      <c r="G1421" s="80"/>
      <c r="H1421" s="80"/>
      <c r="I1421" s="80"/>
      <c r="J1421" s="109"/>
      <c r="K1421" s="109"/>
      <c r="L1421" s="109"/>
      <c r="M1421" s="109"/>
      <c r="N1421" s="109"/>
      <c r="O1421" s="109"/>
      <c r="P1421" s="109"/>
      <c r="Q1421" s="109"/>
      <c r="R1421" s="109"/>
      <c r="S1421" s="109"/>
      <c r="T1421" s="109"/>
      <c r="U1421" s="109"/>
      <c r="V1421" s="109"/>
      <c r="W1421" s="109"/>
      <c r="X1421" s="109"/>
      <c r="Y1421" s="109"/>
      <c r="Z1421" s="109"/>
      <c r="AA1421" s="109"/>
      <c r="AB1421" s="109"/>
      <c r="AC1421" s="109"/>
      <c r="AD1421" s="109"/>
      <c r="AE1421" s="109"/>
      <c r="AF1421" s="109"/>
      <c r="AG1421" s="109"/>
      <c r="AH1421" s="109"/>
      <c r="AI1421" s="109"/>
      <c r="AJ1421" s="115"/>
      <c r="AK1421" s="80"/>
      <c r="AL1421" s="80"/>
      <c r="AM1421" s="80"/>
      <c r="AN1421" s="80"/>
      <c r="AO1421" s="80"/>
      <c r="AP1421" s="80"/>
      <c r="AQ1421" s="80"/>
      <c r="AR1421" s="73"/>
      <c r="AS1421" s="73"/>
      <c r="AT1421" s="73"/>
      <c r="AU1421" s="73"/>
      <c r="AV1421" s="73"/>
      <c r="AW1421" s="73"/>
      <c r="AX1421" s="73"/>
      <c r="AY1421" s="73"/>
      <c r="AZ1421" s="73"/>
      <c r="BA1421" s="73"/>
      <c r="BB1421" s="73"/>
      <c r="BC1421" s="73"/>
      <c r="BD1421" s="73"/>
      <c r="BE1421" s="73"/>
      <c r="BF1421" s="73"/>
      <c r="BG1421" s="73"/>
      <c r="BH1421" s="73"/>
      <c r="BI1421" s="73"/>
      <c r="BJ1421" s="73"/>
      <c r="BK1421" s="73"/>
      <c r="BL1421" s="73"/>
      <c r="BM1421" s="73"/>
      <c r="BN1421" s="73"/>
      <c r="BO1421" s="73"/>
      <c r="BP1421" s="73"/>
      <c r="BQ1421" s="73"/>
      <c r="BR1421" s="73"/>
      <c r="BS1421" s="73"/>
      <c r="BT1421" s="73"/>
      <c r="BU1421" s="73"/>
      <c r="BV1421" s="73"/>
      <c r="BW1421" s="73"/>
      <c r="BX1421" s="73"/>
      <c r="BY1421" s="73"/>
      <c r="BZ1421" s="73"/>
      <c r="CA1421" s="73"/>
      <c r="CB1421" s="73"/>
      <c r="CC1421" s="73"/>
      <c r="CD1421" s="73"/>
      <c r="CE1421" s="73"/>
      <c r="CF1421" s="73"/>
      <c r="CG1421" s="73"/>
      <c r="CH1421" s="73"/>
    </row>
    <row r="1422">
      <c r="A1422" s="80"/>
      <c r="B1422" s="80"/>
      <c r="C1422" s="80"/>
      <c r="D1422" s="80"/>
      <c r="E1422" s="124"/>
      <c r="F1422" s="80"/>
      <c r="G1422" s="80"/>
      <c r="H1422" s="80"/>
      <c r="I1422" s="80"/>
      <c r="J1422" s="109"/>
      <c r="K1422" s="109"/>
      <c r="L1422" s="109"/>
      <c r="M1422" s="109"/>
      <c r="N1422" s="109"/>
      <c r="O1422" s="109"/>
      <c r="P1422" s="109"/>
      <c r="Q1422" s="109"/>
      <c r="R1422" s="109"/>
      <c r="S1422" s="109"/>
      <c r="T1422" s="109"/>
      <c r="U1422" s="109"/>
      <c r="V1422" s="109"/>
      <c r="W1422" s="109"/>
      <c r="X1422" s="109"/>
      <c r="Y1422" s="109"/>
      <c r="Z1422" s="109"/>
      <c r="AA1422" s="109"/>
      <c r="AB1422" s="109"/>
      <c r="AC1422" s="109"/>
      <c r="AD1422" s="109"/>
      <c r="AE1422" s="109"/>
      <c r="AF1422" s="109"/>
      <c r="AG1422" s="109"/>
      <c r="AH1422" s="109"/>
      <c r="AI1422" s="109"/>
      <c r="AJ1422" s="115"/>
      <c r="AK1422" s="80"/>
      <c r="AL1422" s="80"/>
      <c r="AM1422" s="80"/>
      <c r="AN1422" s="80"/>
      <c r="AO1422" s="80"/>
      <c r="AP1422" s="80"/>
      <c r="AQ1422" s="80"/>
      <c r="AR1422" s="73"/>
      <c r="AS1422" s="73"/>
      <c r="AT1422" s="73"/>
      <c r="AU1422" s="73"/>
      <c r="AV1422" s="73"/>
      <c r="AW1422" s="73"/>
      <c r="AX1422" s="73"/>
      <c r="AY1422" s="73"/>
      <c r="AZ1422" s="73"/>
      <c r="BA1422" s="73"/>
      <c r="BB1422" s="73"/>
      <c r="BC1422" s="73"/>
      <c r="BD1422" s="73"/>
      <c r="BE1422" s="73"/>
      <c r="BF1422" s="73"/>
      <c r="BG1422" s="73"/>
      <c r="BH1422" s="73"/>
      <c r="BI1422" s="73"/>
      <c r="BJ1422" s="73"/>
      <c r="BK1422" s="73"/>
      <c r="BL1422" s="73"/>
      <c r="BM1422" s="73"/>
      <c r="BN1422" s="73"/>
      <c r="BO1422" s="73"/>
      <c r="BP1422" s="73"/>
      <c r="BQ1422" s="73"/>
      <c r="BR1422" s="73"/>
      <c r="BS1422" s="73"/>
      <c r="BT1422" s="73"/>
      <c r="BU1422" s="73"/>
      <c r="BV1422" s="73"/>
      <c r="BW1422" s="73"/>
      <c r="BX1422" s="73"/>
      <c r="BY1422" s="73"/>
      <c r="BZ1422" s="73"/>
      <c r="CA1422" s="73"/>
      <c r="CB1422" s="73"/>
      <c r="CC1422" s="73"/>
      <c r="CD1422" s="73"/>
      <c r="CE1422" s="73"/>
      <c r="CF1422" s="73"/>
      <c r="CG1422" s="73"/>
      <c r="CH1422" s="73"/>
    </row>
    <row r="1423">
      <c r="A1423" s="80"/>
      <c r="B1423" s="80"/>
      <c r="C1423" s="80"/>
      <c r="D1423" s="80"/>
      <c r="E1423" s="124"/>
      <c r="F1423" s="80"/>
      <c r="G1423" s="80"/>
      <c r="H1423" s="80"/>
      <c r="I1423" s="80"/>
      <c r="J1423" s="109"/>
      <c r="K1423" s="109"/>
      <c r="L1423" s="109"/>
      <c r="M1423" s="109"/>
      <c r="N1423" s="109"/>
      <c r="O1423" s="109"/>
      <c r="P1423" s="109"/>
      <c r="Q1423" s="109"/>
      <c r="R1423" s="109"/>
      <c r="S1423" s="109"/>
      <c r="T1423" s="109"/>
      <c r="U1423" s="109"/>
      <c r="V1423" s="109"/>
      <c r="W1423" s="109"/>
      <c r="X1423" s="109"/>
      <c r="Y1423" s="109"/>
      <c r="Z1423" s="109"/>
      <c r="AA1423" s="109"/>
      <c r="AB1423" s="109"/>
      <c r="AC1423" s="109"/>
      <c r="AD1423" s="109"/>
      <c r="AE1423" s="109"/>
      <c r="AF1423" s="109"/>
      <c r="AG1423" s="109"/>
      <c r="AH1423" s="109"/>
      <c r="AI1423" s="109"/>
      <c r="AJ1423" s="115"/>
      <c r="AK1423" s="80"/>
      <c r="AL1423" s="80"/>
      <c r="AM1423" s="80"/>
      <c r="AN1423" s="80"/>
      <c r="AO1423" s="80"/>
      <c r="AP1423" s="80"/>
      <c r="AQ1423" s="80"/>
      <c r="AR1423" s="73"/>
      <c r="AS1423" s="73"/>
      <c r="AT1423" s="73"/>
      <c r="AU1423" s="73"/>
      <c r="AV1423" s="73"/>
      <c r="AW1423" s="73"/>
      <c r="AX1423" s="73"/>
      <c r="AY1423" s="73"/>
      <c r="AZ1423" s="73"/>
      <c r="BA1423" s="73"/>
      <c r="BB1423" s="73"/>
      <c r="BC1423" s="73"/>
      <c r="BD1423" s="73"/>
      <c r="BE1423" s="73"/>
      <c r="BF1423" s="73"/>
      <c r="BG1423" s="73"/>
      <c r="BH1423" s="73"/>
      <c r="BI1423" s="73"/>
      <c r="BJ1423" s="73"/>
      <c r="BK1423" s="73"/>
      <c r="BL1423" s="73"/>
      <c r="BM1423" s="73"/>
      <c r="BN1423" s="73"/>
      <c r="BO1423" s="73"/>
      <c r="BP1423" s="73"/>
      <c r="BQ1423" s="73"/>
      <c r="BR1423" s="73"/>
      <c r="BS1423" s="73"/>
      <c r="BT1423" s="73"/>
      <c r="BU1423" s="73"/>
      <c r="BV1423" s="73"/>
      <c r="BW1423" s="73"/>
      <c r="BX1423" s="73"/>
      <c r="BY1423" s="73"/>
      <c r="BZ1423" s="73"/>
      <c r="CA1423" s="73"/>
      <c r="CB1423" s="73"/>
      <c r="CC1423" s="73"/>
      <c r="CD1423" s="73"/>
      <c r="CE1423" s="73"/>
      <c r="CF1423" s="73"/>
      <c r="CG1423" s="73"/>
      <c r="CH1423" s="73"/>
    </row>
  </sheetData>
  <hyperlinks>
    <hyperlink r:id="rId1" ref="AJ16"/>
    <hyperlink r:id="rId2" ref="A17"/>
    <hyperlink r:id="rId3" ref="AJ17"/>
    <hyperlink r:id="rId4" ref="A18"/>
    <hyperlink r:id="rId5" ref="AJ18"/>
    <hyperlink r:id="rId6" ref="A19"/>
    <hyperlink r:id="rId7" ref="AJ19"/>
    <hyperlink r:id="rId8" ref="A20"/>
    <hyperlink r:id="rId9" ref="AJ20"/>
    <hyperlink r:id="rId10" ref="A21"/>
    <hyperlink r:id="rId11" ref="AJ21"/>
    <hyperlink r:id="rId12" ref="A22"/>
    <hyperlink r:id="rId13" ref="AJ22"/>
    <hyperlink r:id="rId14" ref="A23"/>
    <hyperlink r:id="rId15" ref="AJ23"/>
    <hyperlink r:id="rId16" ref="A24"/>
    <hyperlink r:id="rId17" ref="AJ24"/>
    <hyperlink r:id="rId18" ref="A25"/>
    <hyperlink r:id="rId19" ref="AJ25"/>
    <hyperlink r:id="rId20" ref="A26"/>
    <hyperlink r:id="rId21" ref="AJ26"/>
    <hyperlink r:id="rId22" ref="A27"/>
    <hyperlink r:id="rId23" ref="AJ27"/>
    <hyperlink r:id="rId24" ref="A28"/>
    <hyperlink r:id="rId25" ref="AJ28"/>
    <hyperlink r:id="rId26" ref="A29"/>
    <hyperlink r:id="rId27" ref="AJ29"/>
    <hyperlink r:id="rId28" ref="A30"/>
    <hyperlink r:id="rId29" ref="AJ30"/>
    <hyperlink r:id="rId30" ref="A31"/>
    <hyperlink r:id="rId31" ref="AJ31"/>
    <hyperlink r:id="rId32" ref="A32"/>
    <hyperlink r:id="rId33" ref="AJ32"/>
    <hyperlink r:id="rId34" ref="A33"/>
    <hyperlink r:id="rId35" ref="AJ33"/>
    <hyperlink r:id="rId36" ref="A34"/>
    <hyperlink r:id="rId37" ref="AJ34"/>
    <hyperlink r:id="rId38" ref="A35"/>
    <hyperlink r:id="rId39" ref="AJ35"/>
    <hyperlink r:id="rId40" ref="A36"/>
    <hyperlink r:id="rId41" ref="AJ36"/>
    <hyperlink r:id="rId42" ref="A37"/>
    <hyperlink r:id="rId43" ref="AJ37"/>
    <hyperlink r:id="rId44" ref="A38"/>
    <hyperlink r:id="rId45" ref="A39"/>
    <hyperlink r:id="rId46" ref="A40"/>
    <hyperlink r:id="rId47" ref="A41"/>
    <hyperlink r:id="rId48" ref="A42"/>
    <hyperlink r:id="rId49" ref="A43"/>
    <hyperlink r:id="rId50" ref="A44"/>
    <hyperlink r:id="rId51" ref="A45"/>
    <hyperlink r:id="rId52" ref="A46"/>
    <hyperlink r:id="rId53" ref="A47"/>
    <hyperlink r:id="rId54" ref="A48"/>
    <hyperlink r:id="rId55" ref="A49"/>
    <hyperlink r:id="rId56" ref="A50"/>
    <hyperlink r:id="rId57" ref="A51"/>
    <hyperlink r:id="rId58" ref="A52"/>
    <hyperlink r:id="rId59" ref="A53"/>
    <hyperlink r:id="rId60" ref="A54"/>
    <hyperlink r:id="rId61" ref="A55"/>
    <hyperlink r:id="rId62" ref="A56"/>
    <hyperlink r:id="rId63" ref="A57"/>
    <hyperlink r:id="rId64" ref="A58"/>
    <hyperlink r:id="rId65" ref="A59"/>
    <hyperlink r:id="rId66" ref="A60"/>
    <hyperlink r:id="rId67" ref="A61"/>
    <hyperlink r:id="rId68" ref="A62"/>
    <hyperlink r:id="rId69" ref="A63"/>
    <hyperlink r:id="rId70" ref="A64"/>
    <hyperlink r:id="rId71" ref="A65"/>
    <hyperlink r:id="rId72" ref="A66"/>
    <hyperlink r:id="rId73" ref="A67"/>
    <hyperlink r:id="rId74" ref="A68"/>
    <hyperlink r:id="rId75" ref="A69"/>
  </hyperlinks>
  <drawing r:id="rId7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8"/>
      <c r="B1" s="198" t="str">
        <f>Main!B1</f>
        <v>Category</v>
      </c>
      <c r="C1" s="198" t="str">
        <f>Main!C1</f>
        <v>Sub Category</v>
      </c>
      <c r="D1" s="198" t="str">
        <f>Main!D1</f>
        <v>Specifications</v>
      </c>
      <c r="E1" s="189" t="str">
        <f>Main!E1</f>
        <v>No.  of Ups</v>
      </c>
      <c r="F1" s="198" t="str">
        <f>Main!F1</f>
        <v>Machine</v>
      </c>
      <c r="G1" s="198" t="str">
        <f>Main!J1</f>
        <v>GSM</v>
      </c>
      <c r="H1" s="198" t="str">
        <f>Main!K1</f>
        <v>Final Qty</v>
      </c>
      <c r="I1" s="198" t="str">
        <f>Main!L1</f>
        <v>Sheet Qty</v>
      </c>
      <c r="J1" s="196" t="str">
        <f>Main!AG1:AG630</f>
        <v>SBS</v>
      </c>
      <c r="K1" s="196" t="str">
        <f>Main!AH1</f>
        <v>WhiteBack</v>
      </c>
      <c r="L1" s="196" t="str">
        <f>Main!AI1</f>
        <v>GreyBack</v>
      </c>
      <c r="M1" s="196" t="str">
        <f>Main!AJ1</f>
        <v>Art Card</v>
      </c>
      <c r="N1" s="196" t="str">
        <f>Main!AK1</f>
        <v>Maplitho</v>
      </c>
      <c r="O1" s="196" t="str">
        <f>Main!AL1</f>
        <v>Other Type</v>
      </c>
      <c r="P1" s="196" t="str">
        <f>Main!AW1</f>
        <v>Lamination Thermal</v>
      </c>
      <c r="Q1" s="196" t="str">
        <f>Main!AX1</f>
        <v>Lamination Normal Gloss</v>
      </c>
      <c r="R1" s="196" t="str">
        <f>Main!AY1</f>
        <v>Lamination Normal Matt</v>
      </c>
      <c r="S1" s="196" t="str">
        <f>Main!AZ1</f>
        <v>Varnish</v>
      </c>
      <c r="T1" s="196" t="str">
        <f>Main!BC1</f>
        <v>UV Hybrid</v>
      </c>
      <c r="U1" s="196" t="str">
        <f>Main!BD1</f>
        <v>Spot UV</v>
      </c>
      <c r="V1" s="198" t="s">
        <v>74</v>
      </c>
      <c r="W1" s="199"/>
      <c r="X1" s="80">
        <f>roundup((Z16+AA16)+((Z16+AA16)*0.2),0)</f>
        <v>0</v>
      </c>
      <c r="Y1" s="80">
        <f>X1*Price!W7</f>
        <v>0</v>
      </c>
      <c r="Z1" s="80"/>
      <c r="AA1" s="73"/>
      <c r="AB1" s="73"/>
      <c r="AC1" s="73"/>
      <c r="AD1" s="73"/>
      <c r="AE1" s="73"/>
      <c r="AF1" s="200" t="s">
        <v>42</v>
      </c>
      <c r="AG1" s="111" t="s">
        <v>43</v>
      </c>
      <c r="AH1" s="111" t="s">
        <v>44</v>
      </c>
      <c r="AI1" s="201" t="s">
        <v>92</v>
      </c>
      <c r="AJ1" s="201" t="s">
        <v>94</v>
      </c>
      <c r="AK1" s="201" t="s">
        <v>47</v>
      </c>
      <c r="AL1" s="199" t="s">
        <v>74</v>
      </c>
      <c r="AT1" s="92" t="s">
        <v>233</v>
      </c>
      <c r="AU1" s="92" t="s">
        <v>2</v>
      </c>
    </row>
    <row r="2">
      <c r="A2" s="202"/>
      <c r="B2" s="180"/>
      <c r="C2" s="80" t="str">
        <f>Quotation!A39</f>
        <v>Cashify</v>
      </c>
      <c r="D2" s="80" t="str">
        <f>Quotation!D38</f>
        <v/>
      </c>
      <c r="E2" s="124" t="str">
        <f>AF16</f>
        <v/>
      </c>
      <c r="F2" s="124" t="str">
        <f>V16</f>
        <v/>
      </c>
      <c r="G2" s="80" t="str">
        <f>'Custom Quote'!C34</f>
        <v>#REF!</v>
      </c>
      <c r="H2" s="104" t="str">
        <f>'Custom Quote'!E33</f>
        <v>#REF!</v>
      </c>
      <c r="I2" s="104" t="str">
        <f>Main!L18</f>
        <v/>
      </c>
      <c r="J2" s="203" t="str">
        <f>Main!AG26</f>
        <v/>
      </c>
      <c r="K2" s="196" t="str">
        <f>Main!AH26</f>
        <v/>
      </c>
      <c r="L2" s="203" t="str">
        <f>Main!AI26</f>
        <v/>
      </c>
      <c r="M2" s="203" t="str">
        <f>Main!AJ26</f>
        <v/>
      </c>
      <c r="N2" s="203" t="str">
        <f>Main!AK26</f>
        <v/>
      </c>
      <c r="O2" s="203" t="str">
        <f>Main!AL26</f>
        <v/>
      </c>
      <c r="P2" s="196" t="str">
        <f t="shared" ref="P2:S2" si="1">'Client Price'!AX5</f>
        <v>#REF!</v>
      </c>
      <c r="Q2" s="196" t="str">
        <f t="shared" si="1"/>
        <v>#REF!</v>
      </c>
      <c r="R2" s="196" t="str">
        <f t="shared" si="1"/>
        <v>#REF!</v>
      </c>
      <c r="S2" s="196" t="str">
        <f t="shared" si="1"/>
        <v>#REF!</v>
      </c>
      <c r="T2" s="203" t="str">
        <f>Main!BC26</f>
        <v/>
      </c>
      <c r="U2" s="203" t="str">
        <f>Main!BD26</f>
        <v/>
      </c>
      <c r="V2" s="104">
        <v>0.0</v>
      </c>
      <c r="W2" s="102"/>
      <c r="X2" s="80"/>
      <c r="Y2" s="80"/>
      <c r="Z2" s="80"/>
      <c r="AA2" s="73"/>
      <c r="AB2" s="73"/>
      <c r="AC2" s="73"/>
      <c r="AD2" s="73"/>
      <c r="AE2" s="73"/>
      <c r="AF2" s="194" t="str">
        <f>Main!BI26</f>
        <v/>
      </c>
      <c r="AG2" s="194" t="str">
        <f>Main!BJ26</f>
        <v/>
      </c>
      <c r="AH2" s="194" t="str">
        <f>Main!BK26</f>
        <v/>
      </c>
      <c r="AI2" s="194" t="str">
        <f>Main!BL26</f>
        <v/>
      </c>
      <c r="AJ2" s="194" t="str">
        <f>Main!BM26</f>
        <v/>
      </c>
      <c r="AK2" s="194" t="str">
        <f>Main!BN26</f>
        <v/>
      </c>
      <c r="AL2" s="102">
        <v>0.0</v>
      </c>
      <c r="AT2" s="49" t="str">
        <f t="array" ref="AT2:AT8">Unique(INDEX(Price!F2:F630,0))</f>
        <v>Gumming Sticker</v>
      </c>
      <c r="AU2" s="33" t="str">
        <f t="array" ref="AU2:AU7">unique(INDEX(Price!A2:A630,0))</f>
        <v>#REF!</v>
      </c>
    </row>
    <row r="3">
      <c r="A3" s="204"/>
      <c r="B3" s="204" t="str">
        <f t="shared" ref="B3:V3" si="2">B1</f>
        <v>Category</v>
      </c>
      <c r="C3" s="204" t="str">
        <f t="shared" si="2"/>
        <v>Sub Category</v>
      </c>
      <c r="D3" s="204" t="str">
        <f t="shared" si="2"/>
        <v>Specifications</v>
      </c>
      <c r="E3" s="204" t="str">
        <f t="shared" si="2"/>
        <v>No.  of Ups</v>
      </c>
      <c r="F3" s="204" t="str">
        <f t="shared" si="2"/>
        <v>Machine</v>
      </c>
      <c r="G3" s="204" t="str">
        <f t="shared" si="2"/>
        <v>GSM</v>
      </c>
      <c r="H3" s="204" t="str">
        <f t="shared" si="2"/>
        <v>Final Qty</v>
      </c>
      <c r="I3" s="204" t="str">
        <f t="shared" si="2"/>
        <v>Sheet Qty</v>
      </c>
      <c r="J3" s="204" t="str">
        <f t="shared" si="2"/>
        <v>SBS</v>
      </c>
      <c r="K3" s="204" t="str">
        <f t="shared" si="2"/>
        <v>WhiteBack</v>
      </c>
      <c r="L3" s="204" t="str">
        <f t="shared" si="2"/>
        <v>GreyBack</v>
      </c>
      <c r="M3" s="204" t="str">
        <f t="shared" si="2"/>
        <v>Art Card</v>
      </c>
      <c r="N3" s="204" t="str">
        <f t="shared" si="2"/>
        <v>Maplitho</v>
      </c>
      <c r="O3" s="204" t="str">
        <f t="shared" si="2"/>
        <v>Other Type</v>
      </c>
      <c r="P3" s="204" t="str">
        <f t="shared" si="2"/>
        <v>Lamination Thermal</v>
      </c>
      <c r="Q3" s="204" t="str">
        <f t="shared" si="2"/>
        <v>Lamination Normal Gloss</v>
      </c>
      <c r="R3" s="204" t="str">
        <f t="shared" si="2"/>
        <v>Lamination Normal Matt</v>
      </c>
      <c r="S3" s="204" t="str">
        <f t="shared" si="2"/>
        <v>Varnish</v>
      </c>
      <c r="T3" s="204" t="str">
        <f t="shared" si="2"/>
        <v>UV Hybrid</v>
      </c>
      <c r="U3" s="204" t="str">
        <f t="shared" si="2"/>
        <v>Spot UV</v>
      </c>
      <c r="V3" s="204" t="str">
        <f t="shared" si="2"/>
        <v>Plain</v>
      </c>
      <c r="W3" s="204"/>
      <c r="X3" s="80"/>
      <c r="Y3" s="80"/>
      <c r="Z3" s="80"/>
      <c r="AA3" s="73"/>
      <c r="AB3" s="73"/>
      <c r="AC3" s="73"/>
      <c r="AD3" s="73"/>
      <c r="AE3" s="73"/>
      <c r="AF3" s="200" t="s">
        <v>42</v>
      </c>
      <c r="AG3" s="111" t="s">
        <v>43</v>
      </c>
      <c r="AH3" s="111" t="s">
        <v>44</v>
      </c>
      <c r="AI3" s="201" t="s">
        <v>92</v>
      </c>
      <c r="AJ3" s="201" t="s">
        <v>94</v>
      </c>
      <c r="AK3" s="201" t="s">
        <v>47</v>
      </c>
      <c r="AL3" s="204" t="str">
        <f>AL1</f>
        <v>Plain</v>
      </c>
      <c r="AT3" s="49" t="s">
        <v>29</v>
      </c>
      <c r="AU3" s="49"/>
    </row>
    <row r="4">
      <c r="A4" s="80"/>
      <c r="B4" s="80" t="str">
        <f t="shared" ref="B4:G4" si="3">B2</f>
        <v/>
      </c>
      <c r="C4" s="80" t="str">
        <f t="shared" si="3"/>
        <v>Cashify</v>
      </c>
      <c r="D4" s="80" t="str">
        <f t="shared" si="3"/>
        <v/>
      </c>
      <c r="E4" s="124" t="str">
        <f t="shared" si="3"/>
        <v/>
      </c>
      <c r="F4" s="124" t="str">
        <f t="shared" si="3"/>
        <v/>
      </c>
      <c r="G4" s="124" t="str">
        <f t="shared" si="3"/>
        <v>#REF!</v>
      </c>
      <c r="H4" s="104" t="str">
        <f>'Custom Quote'!E34</f>
        <v>#REF!</v>
      </c>
      <c r="I4" s="104" t="str">
        <f>Main!L19</f>
        <v/>
      </c>
      <c r="J4" s="203" t="str">
        <f>Main!AG27</f>
        <v/>
      </c>
      <c r="K4" s="196" t="str">
        <f>Main!AH27</f>
        <v/>
      </c>
      <c r="L4" s="203" t="str">
        <f>Main!AI27</f>
        <v/>
      </c>
      <c r="M4" s="203" t="str">
        <f>Main!AJ27</f>
        <v/>
      </c>
      <c r="N4" s="203" t="str">
        <f>Main!AK27</f>
        <v/>
      </c>
      <c r="O4" s="203" t="str">
        <f>Main!AL27</f>
        <v/>
      </c>
      <c r="P4" s="196" t="str">
        <f t="shared" ref="P4:S4" si="4">'Client Price'!AX7</f>
        <v>#REF!</v>
      </c>
      <c r="Q4" s="196" t="str">
        <f t="shared" si="4"/>
        <v>#REF!</v>
      </c>
      <c r="R4" s="196" t="str">
        <f t="shared" si="4"/>
        <v>#REF!</v>
      </c>
      <c r="S4" s="196" t="str">
        <f t="shared" si="4"/>
        <v>#REF!</v>
      </c>
      <c r="T4" s="203" t="str">
        <f>Main!BC27</f>
        <v/>
      </c>
      <c r="U4" s="203" t="str">
        <f>Main!BD27</f>
        <v/>
      </c>
      <c r="V4" s="104">
        <v>0.0</v>
      </c>
      <c r="W4" s="102"/>
      <c r="X4" s="80"/>
      <c r="Y4" s="80"/>
      <c r="Z4" s="80"/>
      <c r="AA4" s="73"/>
      <c r="AB4" s="73"/>
      <c r="AC4" s="73"/>
      <c r="AD4" s="73"/>
      <c r="AE4" s="73"/>
      <c r="AF4" s="194" t="str">
        <f>Main!BI27</f>
        <v/>
      </c>
      <c r="AG4" s="194" t="str">
        <f>Main!BJ27</f>
        <v/>
      </c>
      <c r="AH4" s="194" t="str">
        <f>Main!BK27</f>
        <v/>
      </c>
      <c r="AI4" s="194" t="str">
        <f>Main!BL27</f>
        <v/>
      </c>
      <c r="AJ4" s="194" t="str">
        <f>Main!BM27</f>
        <v/>
      </c>
      <c r="AK4" s="194" t="str">
        <f>Main!BN27</f>
        <v/>
      </c>
      <c r="AL4" s="102">
        <v>0.0</v>
      </c>
      <c r="AT4" s="49" t="s">
        <v>234</v>
      </c>
      <c r="AU4" s="49"/>
    </row>
    <row r="5">
      <c r="A5" s="204"/>
      <c r="B5" s="204" t="str">
        <f t="shared" ref="B5:V5" si="5">B3</f>
        <v>Category</v>
      </c>
      <c r="C5" s="204" t="str">
        <f t="shared" si="5"/>
        <v>Sub Category</v>
      </c>
      <c r="D5" s="204" t="str">
        <f t="shared" si="5"/>
        <v>Specifications</v>
      </c>
      <c r="E5" s="204" t="str">
        <f t="shared" si="5"/>
        <v>No.  of Ups</v>
      </c>
      <c r="F5" s="204" t="str">
        <f t="shared" si="5"/>
        <v>Machine</v>
      </c>
      <c r="G5" s="204" t="str">
        <f t="shared" si="5"/>
        <v>GSM</v>
      </c>
      <c r="H5" s="204" t="str">
        <f t="shared" si="5"/>
        <v>Final Qty</v>
      </c>
      <c r="I5" s="204" t="str">
        <f t="shared" si="5"/>
        <v>Sheet Qty</v>
      </c>
      <c r="J5" s="204" t="str">
        <f t="shared" si="5"/>
        <v>SBS</v>
      </c>
      <c r="K5" s="204" t="str">
        <f t="shared" si="5"/>
        <v>WhiteBack</v>
      </c>
      <c r="L5" s="204" t="str">
        <f t="shared" si="5"/>
        <v>GreyBack</v>
      </c>
      <c r="M5" s="204" t="str">
        <f t="shared" si="5"/>
        <v>Art Card</v>
      </c>
      <c r="N5" s="204" t="str">
        <f t="shared" si="5"/>
        <v>Maplitho</v>
      </c>
      <c r="O5" s="204" t="str">
        <f t="shared" si="5"/>
        <v>Other Type</v>
      </c>
      <c r="P5" s="204" t="str">
        <f t="shared" si="5"/>
        <v>Lamination Thermal</v>
      </c>
      <c r="Q5" s="204" t="str">
        <f t="shared" si="5"/>
        <v>Lamination Normal Gloss</v>
      </c>
      <c r="R5" s="204" t="str">
        <f t="shared" si="5"/>
        <v>Lamination Normal Matt</v>
      </c>
      <c r="S5" s="204" t="str">
        <f t="shared" si="5"/>
        <v>Varnish</v>
      </c>
      <c r="T5" s="204" t="str">
        <f t="shared" si="5"/>
        <v>UV Hybrid</v>
      </c>
      <c r="U5" s="204" t="str">
        <f t="shared" si="5"/>
        <v>Spot UV</v>
      </c>
      <c r="V5" s="204" t="str">
        <f t="shared" si="5"/>
        <v>Plain</v>
      </c>
      <c r="W5" s="204"/>
      <c r="X5" s="80"/>
      <c r="Y5" s="80"/>
      <c r="Z5" s="80"/>
      <c r="AA5" s="73"/>
      <c r="AB5" s="73"/>
      <c r="AC5" s="73"/>
      <c r="AD5" s="73"/>
      <c r="AE5" s="73"/>
      <c r="AF5" s="200" t="s">
        <v>42</v>
      </c>
      <c r="AG5" s="111" t="s">
        <v>43</v>
      </c>
      <c r="AH5" s="111" t="s">
        <v>44</v>
      </c>
      <c r="AI5" s="201" t="s">
        <v>92</v>
      </c>
      <c r="AJ5" s="201" t="s">
        <v>94</v>
      </c>
      <c r="AK5" s="201" t="s">
        <v>47</v>
      </c>
      <c r="AL5" s="204" t="str">
        <f>AL1</f>
        <v>Plain</v>
      </c>
      <c r="AT5" s="49" t="s">
        <v>235</v>
      </c>
      <c r="AU5" s="49"/>
    </row>
    <row r="6">
      <c r="A6" s="80"/>
      <c r="B6" s="80" t="str">
        <f t="shared" ref="B6:G6" si="6">B4</f>
        <v/>
      </c>
      <c r="C6" s="80" t="str">
        <f t="shared" si="6"/>
        <v>Cashify</v>
      </c>
      <c r="D6" s="80" t="str">
        <f t="shared" si="6"/>
        <v/>
      </c>
      <c r="E6" s="124" t="str">
        <f t="shared" si="6"/>
        <v/>
      </c>
      <c r="F6" s="124" t="str">
        <f t="shared" si="6"/>
        <v/>
      </c>
      <c r="G6" s="124" t="str">
        <f t="shared" si="6"/>
        <v>#REF!</v>
      </c>
      <c r="H6" s="104" t="str">
        <f>'Custom Quote'!E35</f>
        <v>#REF!</v>
      </c>
      <c r="I6" s="104" t="str">
        <f>Main!L20</f>
        <v/>
      </c>
      <c r="J6" s="203" t="str">
        <f>Main!AG28</f>
        <v/>
      </c>
      <c r="K6" s="196" t="str">
        <f>Main!AH28</f>
        <v/>
      </c>
      <c r="L6" s="203" t="str">
        <f>Main!AI28</f>
        <v/>
      </c>
      <c r="M6" s="203" t="str">
        <f>Main!AJ28</f>
        <v/>
      </c>
      <c r="N6" s="203" t="str">
        <f>Main!AK28</f>
        <v/>
      </c>
      <c r="O6" s="203" t="str">
        <f>Main!AL28</f>
        <v/>
      </c>
      <c r="P6" s="203" t="str">
        <f>Main!AW28</f>
        <v/>
      </c>
      <c r="Q6" s="203" t="str">
        <f>Main!AX28</f>
        <v/>
      </c>
      <c r="R6" s="203" t="str">
        <f>Main!AY28</f>
        <v/>
      </c>
      <c r="S6" s="203" t="str">
        <f>Main!AZ28</f>
        <v/>
      </c>
      <c r="T6" s="203" t="str">
        <f>Main!BC28</f>
        <v/>
      </c>
      <c r="U6" s="203" t="str">
        <f>Main!BD28</f>
        <v/>
      </c>
      <c r="V6" s="104">
        <v>0.0</v>
      </c>
      <c r="W6" s="102"/>
      <c r="X6" s="80"/>
      <c r="Y6" s="80"/>
      <c r="Z6" s="80"/>
      <c r="AA6" s="73"/>
      <c r="AB6" s="73"/>
      <c r="AC6" s="73"/>
      <c r="AD6" s="73"/>
      <c r="AE6" s="73"/>
      <c r="AF6" s="194" t="str">
        <f>Main!BI28</f>
        <v/>
      </c>
      <c r="AG6" s="194" t="str">
        <f>Main!BJ28</f>
        <v/>
      </c>
      <c r="AH6" s="194" t="str">
        <f>Main!BK28</f>
        <v/>
      </c>
      <c r="AI6" s="194" t="str">
        <f>Main!BL28</f>
        <v/>
      </c>
      <c r="AJ6" s="194" t="str">
        <f>Main!BM28</f>
        <v/>
      </c>
      <c r="AK6" s="194" t="str">
        <f>Main!BN28</f>
        <v/>
      </c>
      <c r="AL6" s="102">
        <v>0.0</v>
      </c>
      <c r="AT6" s="49" t="s">
        <v>30</v>
      </c>
      <c r="AU6" s="49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40"/>
      <c r="Q7" s="140"/>
      <c r="R7" s="77"/>
      <c r="S7" s="73"/>
      <c r="T7" s="73"/>
      <c r="U7" s="73"/>
      <c r="V7" s="73"/>
      <c r="W7" s="49">
        <f>Product3!BI45</f>
        <v>1926</v>
      </c>
      <c r="X7" s="33" t="str">
        <f>IF(W7="","","and AM = "&amp;W7&amp;"")</f>
        <v>and AM = 1926</v>
      </c>
      <c r="AT7" s="49" t="s">
        <v>87</v>
      </c>
      <c r="AU7" s="49" t="s">
        <v>236</v>
      </c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40"/>
      <c r="R8" s="77"/>
      <c r="X8" s="33" t="str">
        <f>CONCATENATE("select * where 1=1",X7)</f>
        <v>select * where 1=1and AM = 1926</v>
      </c>
      <c r="AT8" s="49"/>
      <c r="AU8" s="49" t="s">
        <v>237</v>
      </c>
    </row>
    <row r="9">
      <c r="A9" s="205" t="s">
        <v>238</v>
      </c>
      <c r="B9" s="206" t="s">
        <v>239</v>
      </c>
      <c r="C9" s="206" t="s">
        <v>240</v>
      </c>
      <c r="D9" s="207" t="s">
        <v>241</v>
      </c>
      <c r="E9" s="207" t="s">
        <v>5</v>
      </c>
      <c r="F9" s="208" t="s">
        <v>242</v>
      </c>
      <c r="G9" s="208" t="s">
        <v>243</v>
      </c>
      <c r="H9" s="209" t="s">
        <v>244</v>
      </c>
      <c r="I9" s="16" t="s">
        <v>245</v>
      </c>
      <c r="J9" s="16" t="s">
        <v>246</v>
      </c>
      <c r="K9" s="16" t="s">
        <v>247</v>
      </c>
      <c r="L9" s="16" t="s">
        <v>248</v>
      </c>
      <c r="M9" s="16" t="s">
        <v>249</v>
      </c>
      <c r="N9" s="16" t="s">
        <v>250</v>
      </c>
      <c r="O9" s="210" t="s">
        <v>251</v>
      </c>
      <c r="P9" s="211" t="s">
        <v>252</v>
      </c>
      <c r="Q9" s="212"/>
      <c r="R9" s="213" t="s">
        <v>253</v>
      </c>
      <c r="U9" s="33" t="str">
        <f>IF(T12="All","","and U = "&amp;T12&amp;"")</f>
        <v>#VALUE!</v>
      </c>
      <c r="X9" s="214" t="str">
        <f>IF(B2="","","and F = '"&amp;B2&amp;"'")</f>
        <v/>
      </c>
      <c r="Z9" s="33" t="str">
        <f>IF(C2="","","and A = '"&amp;C2&amp;"'")</f>
        <v>and A = 'Cashify'</v>
      </c>
      <c r="AU9" s="49" t="s">
        <v>254</v>
      </c>
    </row>
    <row r="10">
      <c r="A10" s="77"/>
      <c r="B10" s="78" t="str">
        <f>IFERROR(__xludf.DUMMYFUNCTION("SPLIT(Quotation!D38,""*"")"),"#VALUE!")</f>
        <v>#VALUE!</v>
      </c>
      <c r="C10" s="78"/>
      <c r="D10" s="33" t="str">
        <f>IFERROR(__xludf.DUMMYFUNCTION("QUERY(AL16:AP630,X8)"),"#N/A")</f>
        <v>#N/A</v>
      </c>
      <c r="E10" s="78"/>
      <c r="F10" s="77"/>
      <c r="G10" s="77"/>
      <c r="H10" s="77"/>
      <c r="I10" s="77" t="str">
        <f t="shared" ref="I10:I69" si="7">rounddown(F10/$B$10,0)</f>
        <v>#VALUE!</v>
      </c>
      <c r="J10" s="77" t="str">
        <f t="shared" ref="J10:J69" si="8">rounddown(G10/$C$10,0)</f>
        <v>#DIV/0!</v>
      </c>
      <c r="K10" s="83" t="str">
        <f t="shared" ref="K10:K69" si="9">rounddown(G10/$B$10,0)</f>
        <v>#VALUE!</v>
      </c>
      <c r="L10" s="83" t="str">
        <f t="shared" ref="L10:L69" si="10">rounddown(F10/$C$10,0)</f>
        <v>#DIV/0!</v>
      </c>
      <c r="M10" s="77" t="str">
        <f t="shared" ref="M10:M69" si="11">(I10*J10)+(MAX((ROUNDDOWN((F10-(I10*$B$10))/$B$10,0)),(ROUNDDOWN((G10-(J10*$C$10))/$B$10,0)))*L10)</f>
        <v>#VALUE!</v>
      </c>
      <c r="N10" s="77" t="str">
        <f t="shared" ref="N10:N69" si="12">(K10*L10)+((MAX((Rounddown((G10-(K10*$B$10))/$B$10,0)),(Rounddown((F10-(L10*$C$10))/$B$10,0)))*J10))</f>
        <v>#VALUE!</v>
      </c>
      <c r="O10" s="77" t="str">
        <f t="shared" ref="O10:O15" si="13">ifna(max(M10:N10),"")</f>
        <v>#VALUE!</v>
      </c>
      <c r="P10" s="46" t="str">
        <f t="shared" ref="P10:P11" si="14">H10/O10</f>
        <v>#VALUE!</v>
      </c>
      <c r="Q10" s="215"/>
      <c r="R10" s="77" t="str">
        <f t="shared" ref="R10:R69" si="15">roundup(Q10/O10,0)</f>
        <v>#VALUE!</v>
      </c>
      <c r="S10" s="216" t="str">
        <f t="shared" ref="S10:S21" si="16">((F10+0.5)*G10)/O10</f>
        <v>#VALUE!</v>
      </c>
      <c r="T10" s="92" t="str">
        <f>MIN(S10:S13)</f>
        <v>#VALUE!</v>
      </c>
      <c r="U10" s="33" t="str">
        <f t="shared" ref="U10:U11" si="17">IF(T10="All","","and O = "&amp;T10&amp;"")</f>
        <v>#VALUE!</v>
      </c>
      <c r="X10" s="214" t="str">
        <f>IF(A10="","","and A = '"&amp;A10&amp;"'")</f>
        <v/>
      </c>
      <c r="AG10" s="33" t="str">
        <f>IF(J10="","","and A = '"&amp;J10&amp;"'")</f>
        <v>#DIV/0!</v>
      </c>
    </row>
    <row r="11">
      <c r="A11" s="73"/>
      <c r="B11" s="74"/>
      <c r="C11" s="74"/>
      <c r="D11" s="77"/>
      <c r="E11" s="77"/>
      <c r="F11" s="77"/>
      <c r="G11" s="77"/>
      <c r="H11" s="77"/>
      <c r="I11" s="77" t="str">
        <f t="shared" si="7"/>
        <v>#VALUE!</v>
      </c>
      <c r="J11" s="77" t="str">
        <f t="shared" si="8"/>
        <v>#DIV/0!</v>
      </c>
      <c r="K11" s="83" t="str">
        <f t="shared" si="9"/>
        <v>#VALUE!</v>
      </c>
      <c r="L11" s="83" t="str">
        <f t="shared" si="10"/>
        <v>#DIV/0!</v>
      </c>
      <c r="M11" s="77" t="str">
        <f t="shared" si="11"/>
        <v>#VALUE!</v>
      </c>
      <c r="N11" s="77" t="str">
        <f t="shared" si="12"/>
        <v>#VALUE!</v>
      </c>
      <c r="O11" s="77" t="str">
        <f t="shared" si="13"/>
        <v>#VALUE!</v>
      </c>
      <c r="P11" s="46" t="str">
        <f t="shared" si="14"/>
        <v>#VALUE!</v>
      </c>
      <c r="Q11" s="215"/>
      <c r="R11" s="77" t="str">
        <f t="shared" si="15"/>
        <v>#VALUE!</v>
      </c>
      <c r="S11" s="216" t="str">
        <f t="shared" si="16"/>
        <v>#VALUE!</v>
      </c>
      <c r="T11" s="49" t="str">
        <f>MAX(O10:O13)</f>
        <v>#VALUE!</v>
      </c>
      <c r="U11" s="33" t="str">
        <f t="shared" si="17"/>
        <v>#VALUE!</v>
      </c>
      <c r="X11" s="214" t="str">
        <f>CONCATENATE("select * where 1=1",X9,Z9)</f>
        <v>select * where 1=1and A = 'Cashify'</v>
      </c>
    </row>
    <row r="12">
      <c r="A12" s="73"/>
      <c r="B12" s="73"/>
      <c r="C12" s="73"/>
      <c r="D12" s="77"/>
      <c r="E12" s="77"/>
      <c r="F12" s="77"/>
      <c r="G12" s="77"/>
      <c r="I12" s="77" t="str">
        <f t="shared" si="7"/>
        <v>#VALUE!</v>
      </c>
      <c r="J12" s="77" t="str">
        <f t="shared" si="8"/>
        <v>#DIV/0!</v>
      </c>
      <c r="K12" s="83" t="str">
        <f t="shared" si="9"/>
        <v>#VALUE!</v>
      </c>
      <c r="L12" s="83" t="str">
        <f t="shared" si="10"/>
        <v>#DIV/0!</v>
      </c>
      <c r="M12" s="77" t="str">
        <f t="shared" si="11"/>
        <v>#VALUE!</v>
      </c>
      <c r="N12" s="77" t="str">
        <f t="shared" si="12"/>
        <v>#VALUE!</v>
      </c>
      <c r="O12" s="77" t="str">
        <f t="shared" si="13"/>
        <v>#VALUE!</v>
      </c>
      <c r="P12" s="46" t="str">
        <f>H11/O12</f>
        <v>#VALUE!</v>
      </c>
      <c r="Q12" s="140"/>
      <c r="R12" s="77" t="str">
        <f t="shared" si="15"/>
        <v>#VALUE!</v>
      </c>
      <c r="S12" s="216" t="str">
        <f t="shared" si="16"/>
        <v>#VALUE!</v>
      </c>
      <c r="T12" s="49" t="str">
        <f>MIN(U29:U630)</f>
        <v>#VALUE!</v>
      </c>
      <c r="U12" s="33" t="str">
        <f>CONCATENATE("select * where 1=1",U11)</f>
        <v>#VALUE!</v>
      </c>
    </row>
    <row r="13">
      <c r="A13" s="73"/>
      <c r="B13" s="73"/>
      <c r="C13" s="73"/>
      <c r="D13" s="77"/>
      <c r="E13" s="77"/>
      <c r="F13" s="77"/>
      <c r="G13" s="77"/>
      <c r="H13" s="77"/>
      <c r="I13" s="77" t="str">
        <f t="shared" si="7"/>
        <v>#VALUE!</v>
      </c>
      <c r="J13" s="77" t="str">
        <f t="shared" si="8"/>
        <v>#DIV/0!</v>
      </c>
      <c r="K13" s="83" t="str">
        <f t="shared" si="9"/>
        <v>#VALUE!</v>
      </c>
      <c r="L13" s="83" t="str">
        <f t="shared" si="10"/>
        <v>#DIV/0!</v>
      </c>
      <c r="M13" s="77" t="str">
        <f t="shared" si="11"/>
        <v>#VALUE!</v>
      </c>
      <c r="N13" s="77" t="str">
        <f t="shared" si="12"/>
        <v>#VALUE!</v>
      </c>
      <c r="O13" s="77" t="str">
        <f t="shared" si="13"/>
        <v>#VALUE!</v>
      </c>
      <c r="P13" s="46" t="str">
        <f t="shared" ref="P13:P69" si="18">H13/O13</f>
        <v>#VALUE!</v>
      </c>
      <c r="Q13" s="140"/>
      <c r="R13" s="77" t="str">
        <f t="shared" si="15"/>
        <v>#VALUE!</v>
      </c>
      <c r="S13" s="216" t="str">
        <f t="shared" si="16"/>
        <v>#VALUE!</v>
      </c>
      <c r="U13" s="33" t="str">
        <f>CONCATENATE("select * where 1=1",U9)</f>
        <v>#VALUE!</v>
      </c>
    </row>
    <row r="14">
      <c r="A14" s="73"/>
      <c r="B14" s="73"/>
      <c r="C14" s="73"/>
      <c r="D14" s="73"/>
      <c r="E14" s="73"/>
      <c r="F14" s="77"/>
      <c r="G14" s="77"/>
      <c r="H14" s="73"/>
      <c r="I14" s="77" t="str">
        <f t="shared" si="7"/>
        <v>#VALUE!</v>
      </c>
      <c r="J14" s="77" t="str">
        <f t="shared" si="8"/>
        <v>#DIV/0!</v>
      </c>
      <c r="K14" s="83" t="str">
        <f t="shared" si="9"/>
        <v>#VALUE!</v>
      </c>
      <c r="L14" s="83" t="str">
        <f t="shared" si="10"/>
        <v>#DIV/0!</v>
      </c>
      <c r="M14" s="77" t="str">
        <f t="shared" si="11"/>
        <v>#VALUE!</v>
      </c>
      <c r="N14" s="77" t="str">
        <f t="shared" si="12"/>
        <v>#VALUE!</v>
      </c>
      <c r="O14" s="77" t="str">
        <f t="shared" si="13"/>
        <v>#VALUE!</v>
      </c>
      <c r="P14" s="46" t="str">
        <f t="shared" si="18"/>
        <v>#VALUE!</v>
      </c>
      <c r="Q14" s="140"/>
      <c r="R14" s="77" t="str">
        <f t="shared" si="15"/>
        <v>#VALUE!</v>
      </c>
      <c r="S14" s="216" t="str">
        <f t="shared" si="16"/>
        <v>#VALUE!</v>
      </c>
    </row>
    <row r="15">
      <c r="A15" s="73"/>
      <c r="B15" s="73"/>
      <c r="C15" s="73"/>
      <c r="D15" s="73"/>
      <c r="E15" s="73"/>
      <c r="F15" s="77"/>
      <c r="G15" s="77"/>
      <c r="H15" s="73"/>
      <c r="I15" s="77" t="str">
        <f t="shared" si="7"/>
        <v>#VALUE!</v>
      </c>
      <c r="J15" s="77" t="str">
        <f t="shared" si="8"/>
        <v>#DIV/0!</v>
      </c>
      <c r="K15" s="83" t="str">
        <f t="shared" si="9"/>
        <v>#VALUE!</v>
      </c>
      <c r="L15" s="83" t="str">
        <f t="shared" si="10"/>
        <v>#DIV/0!</v>
      </c>
      <c r="M15" s="77" t="str">
        <f t="shared" si="11"/>
        <v>#VALUE!</v>
      </c>
      <c r="N15" s="77" t="str">
        <f t="shared" si="12"/>
        <v>#VALUE!</v>
      </c>
      <c r="O15" s="77" t="str">
        <f t="shared" si="13"/>
        <v>#VALUE!</v>
      </c>
      <c r="P15" s="46" t="str">
        <f t="shared" si="18"/>
        <v>#VALUE!</v>
      </c>
      <c r="Q15" s="140"/>
      <c r="R15" s="77" t="str">
        <f t="shared" si="15"/>
        <v>#VALUE!</v>
      </c>
      <c r="S15" s="216" t="str">
        <f t="shared" si="16"/>
        <v>#VALUE!</v>
      </c>
      <c r="U15" s="207" t="s">
        <v>241</v>
      </c>
      <c r="V15" s="207" t="s">
        <v>5</v>
      </c>
      <c r="W15" s="208" t="s">
        <v>242</v>
      </c>
      <c r="X15" s="208" t="s">
        <v>243</v>
      </c>
      <c r="Y15" s="209" t="s">
        <v>244</v>
      </c>
      <c r="Z15" s="16" t="s">
        <v>245</v>
      </c>
      <c r="AA15" s="16" t="s">
        <v>246</v>
      </c>
      <c r="AB15" s="16" t="s">
        <v>247</v>
      </c>
      <c r="AC15" s="16" t="s">
        <v>248</v>
      </c>
      <c r="AD15" s="16" t="s">
        <v>249</v>
      </c>
      <c r="AE15" s="16" t="s">
        <v>250</v>
      </c>
      <c r="AF15" s="210" t="s">
        <v>251</v>
      </c>
      <c r="AG15" s="211" t="s">
        <v>252</v>
      </c>
      <c r="AH15" s="212"/>
      <c r="AI15" s="217" t="s">
        <v>253</v>
      </c>
      <c r="AL15" s="207" t="s">
        <v>241</v>
      </c>
      <c r="AM15" s="207" t="s">
        <v>5</v>
      </c>
      <c r="AN15" s="208" t="s">
        <v>242</v>
      </c>
      <c r="AO15" s="208" t="s">
        <v>243</v>
      </c>
      <c r="AP15" s="209" t="s">
        <v>244</v>
      </c>
      <c r="AQ15" s="218"/>
      <c r="AR15" s="105"/>
      <c r="AS15" s="200"/>
      <c r="AT15" s="219"/>
      <c r="AU15" s="220" t="s">
        <v>233</v>
      </c>
      <c r="AV15" s="220" t="s">
        <v>241</v>
      </c>
      <c r="AW15" s="220" t="s">
        <v>255</v>
      </c>
      <c r="AX15" s="221" t="s">
        <v>256</v>
      </c>
      <c r="AY15" s="222" t="s">
        <v>5</v>
      </c>
      <c r="AZ15" s="218" t="s">
        <v>233</v>
      </c>
      <c r="BA15" s="105" t="s">
        <v>257</v>
      </c>
      <c r="BB15" s="200" t="s">
        <v>258</v>
      </c>
      <c r="BD15" s="220" t="s">
        <v>233</v>
      </c>
      <c r="BE15" s="220" t="s">
        <v>241</v>
      </c>
      <c r="BF15" s="220" t="s">
        <v>255</v>
      </c>
      <c r="BG15" s="221" t="s">
        <v>256</v>
      </c>
      <c r="BH15" s="222" t="s">
        <v>5</v>
      </c>
      <c r="BI15" s="218" t="s">
        <v>233</v>
      </c>
      <c r="BJ15" s="105" t="s">
        <v>257</v>
      </c>
      <c r="BK15" s="200" t="s">
        <v>258</v>
      </c>
    </row>
    <row r="16">
      <c r="A16" s="73"/>
      <c r="B16" s="33"/>
      <c r="C16" s="33"/>
      <c r="D16" s="73"/>
      <c r="E16" s="73"/>
      <c r="F16" s="77"/>
      <c r="G16" s="77"/>
      <c r="H16" s="73"/>
      <c r="I16" s="77" t="str">
        <f t="shared" si="7"/>
        <v>#VALUE!</v>
      </c>
      <c r="J16" s="77" t="str">
        <f t="shared" si="8"/>
        <v>#DIV/0!</v>
      </c>
      <c r="K16" s="83" t="str">
        <f t="shared" si="9"/>
        <v>#VALUE!</v>
      </c>
      <c r="L16" s="83" t="str">
        <f t="shared" si="10"/>
        <v>#DIV/0!</v>
      </c>
      <c r="M16" s="77" t="str">
        <f t="shared" si="11"/>
        <v>#VALUE!</v>
      </c>
      <c r="N16" s="77" t="str">
        <f t="shared" si="12"/>
        <v>#VALUE!</v>
      </c>
      <c r="O16" s="77" t="str">
        <f t="shared" ref="O16:O69" si="20">max(M16:N16)</f>
        <v>#VALUE!</v>
      </c>
      <c r="P16" s="46" t="str">
        <f t="shared" si="18"/>
        <v>#VALUE!</v>
      </c>
      <c r="Q16" s="140"/>
      <c r="R16" s="77" t="str">
        <f t="shared" si="15"/>
        <v>#VALUE!</v>
      </c>
      <c r="S16" s="216" t="str">
        <f t="shared" si="16"/>
        <v>#VALUE!</v>
      </c>
      <c r="U16" s="33" t="str">
        <f>IFERROR(__xludf.DUMMYFUNCTION("QUERY($U$29:$AI$100,U$13)"),"#VALUE!")</f>
        <v>#VALUE!</v>
      </c>
      <c r="AL16" s="33" t="str">
        <f t="array" ref="AL16:AL630">INDEX(BE16:BE630,0)</f>
        <v/>
      </c>
      <c r="AM16" s="33" t="str">
        <f t="array" ref="AM16:AM630">INDEX(BH16:BH630,0)</f>
        <v/>
      </c>
      <c r="AN16" s="33" t="str">
        <f t="shared" ref="AN16:AO16" si="19">INDEX((BJ16:BJ630)-0.5,0)</f>
        <v>#VALUE!</v>
      </c>
      <c r="AO16" s="33">
        <f t="shared" si="19"/>
        <v>-0.5</v>
      </c>
      <c r="AP16" s="33" t="str">
        <f t="array" ref="AP16:AP630">INDEX(BG16:BG630,0)</f>
        <v/>
      </c>
      <c r="AR16" s="127"/>
      <c r="AU16" s="33" t="str">
        <f>IFERROR(__xludf.DUMMYFUNCTION("QUERY(Price!$A$2:$F630,$X$11)"),"#N/A")</f>
        <v>#N/A</v>
      </c>
      <c r="BA16" s="127" t="str">
        <f>IFERROR(__xludf.DUMMYFUNCTION("SPLIT(AW16,""*"")"),"#VALUE!")</f>
        <v>#VALUE!</v>
      </c>
      <c r="BD16" s="33" t="str">
        <f>IFERROR(__xludf.DUMMYFUNCTION("QUERY(AU16:BB630,""Select * where AU is not null"",0)"),"#N/A")</f>
        <v>#N/A</v>
      </c>
      <c r="BE16" s="49"/>
      <c r="BF16" s="49"/>
      <c r="BG16" s="49"/>
      <c r="BH16" s="49"/>
      <c r="BI16" s="49"/>
      <c r="BJ16" s="49" t="str">
        <f>IFERROR(__xludf.DUMMYFUNCTION("""COMPUTED_VALUE"""),"#VALUE!")</f>
        <v>#VALUE!</v>
      </c>
      <c r="BK16" s="49"/>
    </row>
    <row r="17">
      <c r="A17" s="73"/>
      <c r="B17" s="73"/>
      <c r="C17" s="73"/>
      <c r="D17" s="73"/>
      <c r="E17" s="73"/>
      <c r="F17" s="77"/>
      <c r="G17" s="77"/>
      <c r="H17" s="73"/>
      <c r="I17" s="77" t="str">
        <f t="shared" si="7"/>
        <v>#VALUE!</v>
      </c>
      <c r="J17" s="77" t="str">
        <f t="shared" si="8"/>
        <v>#DIV/0!</v>
      </c>
      <c r="K17" s="83" t="str">
        <f t="shared" si="9"/>
        <v>#VALUE!</v>
      </c>
      <c r="L17" s="83" t="str">
        <f t="shared" si="10"/>
        <v>#DIV/0!</v>
      </c>
      <c r="M17" s="77" t="str">
        <f t="shared" si="11"/>
        <v>#VALUE!</v>
      </c>
      <c r="N17" s="77" t="str">
        <f t="shared" si="12"/>
        <v>#VALUE!</v>
      </c>
      <c r="O17" s="77" t="str">
        <f t="shared" si="20"/>
        <v>#VALUE!</v>
      </c>
      <c r="P17" s="46" t="str">
        <f t="shared" si="18"/>
        <v>#VALUE!</v>
      </c>
      <c r="Q17" s="140"/>
      <c r="R17" s="77" t="str">
        <f t="shared" si="15"/>
        <v>#VALUE!</v>
      </c>
      <c r="S17" s="216" t="str">
        <f t="shared" si="16"/>
        <v>#VALUE!</v>
      </c>
      <c r="AL17" s="49"/>
      <c r="AM17" s="49"/>
      <c r="AN17" s="49">
        <v>-0.5</v>
      </c>
      <c r="AO17" s="49">
        <v>-0.5</v>
      </c>
      <c r="AP17" s="49"/>
      <c r="AR17" s="127"/>
      <c r="BA17" s="127" t="str">
        <f>IFERROR(__xludf.DUMMYFUNCTION("SPLIT(AW17,""*"")"),"#VALUE!")</f>
        <v>#VALUE!</v>
      </c>
    </row>
    <row r="18">
      <c r="A18" s="73"/>
      <c r="B18" s="73"/>
      <c r="C18" s="73"/>
      <c r="D18" s="73"/>
      <c r="E18" s="73"/>
      <c r="F18" s="77"/>
      <c r="G18" s="77"/>
      <c r="H18" s="73"/>
      <c r="I18" s="77" t="str">
        <f t="shared" si="7"/>
        <v>#VALUE!</v>
      </c>
      <c r="J18" s="77" t="str">
        <f t="shared" si="8"/>
        <v>#DIV/0!</v>
      </c>
      <c r="K18" s="83" t="str">
        <f t="shared" si="9"/>
        <v>#VALUE!</v>
      </c>
      <c r="L18" s="83" t="str">
        <f t="shared" si="10"/>
        <v>#DIV/0!</v>
      </c>
      <c r="M18" s="77" t="str">
        <f t="shared" si="11"/>
        <v>#VALUE!</v>
      </c>
      <c r="N18" s="77" t="str">
        <f t="shared" si="12"/>
        <v>#VALUE!</v>
      </c>
      <c r="O18" s="77" t="str">
        <f t="shared" si="20"/>
        <v>#VALUE!</v>
      </c>
      <c r="P18" s="46" t="str">
        <f t="shared" si="18"/>
        <v>#VALUE!</v>
      </c>
      <c r="Q18" s="140"/>
      <c r="R18" s="77" t="str">
        <f t="shared" si="15"/>
        <v>#VALUE!</v>
      </c>
      <c r="S18" s="216" t="str">
        <f t="shared" si="16"/>
        <v>#VALUE!</v>
      </c>
      <c r="AL18" s="49"/>
      <c r="AM18" s="49"/>
      <c r="AN18" s="49">
        <v>-0.5</v>
      </c>
      <c r="AO18" s="49">
        <v>-0.5</v>
      </c>
      <c r="AP18" s="49"/>
      <c r="AR18" s="127"/>
      <c r="BA18" s="127" t="str">
        <f>IFERROR(__xludf.DUMMYFUNCTION("SPLIT(AW18,""*"")"),"#VALUE!")</f>
        <v>#VALUE!</v>
      </c>
    </row>
    <row r="19">
      <c r="A19" s="73"/>
      <c r="B19" s="73"/>
      <c r="C19" s="73"/>
      <c r="D19" s="73"/>
      <c r="E19" s="73"/>
      <c r="F19" s="77"/>
      <c r="G19" s="77"/>
      <c r="H19" s="73"/>
      <c r="I19" s="77" t="str">
        <f t="shared" si="7"/>
        <v>#VALUE!</v>
      </c>
      <c r="J19" s="77" t="str">
        <f t="shared" si="8"/>
        <v>#DIV/0!</v>
      </c>
      <c r="K19" s="83" t="str">
        <f t="shared" si="9"/>
        <v>#VALUE!</v>
      </c>
      <c r="L19" s="83" t="str">
        <f t="shared" si="10"/>
        <v>#DIV/0!</v>
      </c>
      <c r="M19" s="77" t="str">
        <f t="shared" si="11"/>
        <v>#VALUE!</v>
      </c>
      <c r="N19" s="77" t="str">
        <f t="shared" si="12"/>
        <v>#VALUE!</v>
      </c>
      <c r="O19" s="77" t="str">
        <f t="shared" si="20"/>
        <v>#VALUE!</v>
      </c>
      <c r="P19" s="46" t="str">
        <f t="shared" si="18"/>
        <v>#VALUE!</v>
      </c>
      <c r="Q19" s="140"/>
      <c r="R19" s="77" t="str">
        <f t="shared" si="15"/>
        <v>#VALUE!</v>
      </c>
      <c r="S19" s="216" t="str">
        <f t="shared" si="16"/>
        <v>#VALUE!</v>
      </c>
      <c r="AL19" s="49"/>
      <c r="AM19" s="49"/>
      <c r="AN19" s="49">
        <v>-0.5</v>
      </c>
      <c r="AO19" s="49">
        <v>-0.5</v>
      </c>
      <c r="AP19" s="49"/>
      <c r="AR19" s="127"/>
      <c r="BA19" s="127" t="str">
        <f>IFERROR(__xludf.DUMMYFUNCTION("SPLIT(AW19,""*"")"),"#VALUE!")</f>
        <v>#VALUE!</v>
      </c>
    </row>
    <row r="20">
      <c r="A20" s="73"/>
      <c r="B20" s="73"/>
      <c r="C20" s="73"/>
      <c r="D20" s="73"/>
      <c r="E20" s="73"/>
      <c r="F20" s="77"/>
      <c r="G20" s="77"/>
      <c r="H20" s="73"/>
      <c r="I20" s="77" t="str">
        <f t="shared" si="7"/>
        <v>#VALUE!</v>
      </c>
      <c r="J20" s="77" t="str">
        <f t="shared" si="8"/>
        <v>#DIV/0!</v>
      </c>
      <c r="K20" s="83" t="str">
        <f t="shared" si="9"/>
        <v>#VALUE!</v>
      </c>
      <c r="L20" s="83" t="str">
        <f t="shared" si="10"/>
        <v>#DIV/0!</v>
      </c>
      <c r="M20" s="77" t="str">
        <f t="shared" si="11"/>
        <v>#VALUE!</v>
      </c>
      <c r="N20" s="77" t="str">
        <f t="shared" si="12"/>
        <v>#VALUE!</v>
      </c>
      <c r="O20" s="77" t="str">
        <f t="shared" si="20"/>
        <v>#VALUE!</v>
      </c>
      <c r="P20" s="46" t="str">
        <f t="shared" si="18"/>
        <v>#VALUE!</v>
      </c>
      <c r="Q20" s="140"/>
      <c r="R20" s="77" t="str">
        <f t="shared" si="15"/>
        <v>#VALUE!</v>
      </c>
      <c r="S20" s="216" t="str">
        <f t="shared" si="16"/>
        <v>#VALUE!</v>
      </c>
      <c r="AL20" s="49"/>
      <c r="AM20" s="49"/>
      <c r="AN20" s="49">
        <v>-0.5</v>
      </c>
      <c r="AO20" s="49">
        <v>-0.5</v>
      </c>
      <c r="AP20" s="49"/>
      <c r="AR20" s="127"/>
      <c r="BA20" s="127" t="str">
        <f>IFERROR(__xludf.DUMMYFUNCTION("SPLIT(AW20,""*"")"),"#VALUE!")</f>
        <v>#VALUE!</v>
      </c>
    </row>
    <row r="21">
      <c r="A21" s="73"/>
      <c r="B21" s="73"/>
      <c r="C21" s="73"/>
      <c r="D21" s="73"/>
      <c r="E21" s="73"/>
      <c r="F21" s="77"/>
      <c r="G21" s="77"/>
      <c r="H21" s="77"/>
      <c r="I21" s="77" t="str">
        <f t="shared" si="7"/>
        <v>#VALUE!</v>
      </c>
      <c r="J21" s="77" t="str">
        <f t="shared" si="8"/>
        <v>#DIV/0!</v>
      </c>
      <c r="K21" s="83" t="str">
        <f t="shared" si="9"/>
        <v>#VALUE!</v>
      </c>
      <c r="L21" s="83" t="str">
        <f t="shared" si="10"/>
        <v>#DIV/0!</v>
      </c>
      <c r="M21" s="77" t="str">
        <f t="shared" si="11"/>
        <v>#VALUE!</v>
      </c>
      <c r="N21" s="77" t="str">
        <f t="shared" si="12"/>
        <v>#VALUE!</v>
      </c>
      <c r="O21" s="77" t="str">
        <f t="shared" si="20"/>
        <v>#VALUE!</v>
      </c>
      <c r="P21" s="46" t="str">
        <f t="shared" si="18"/>
        <v>#VALUE!</v>
      </c>
      <c r="Q21" s="140"/>
      <c r="R21" s="77" t="str">
        <f t="shared" si="15"/>
        <v>#VALUE!</v>
      </c>
      <c r="S21" s="216" t="str">
        <f t="shared" si="16"/>
        <v>#VALUE!</v>
      </c>
      <c r="AL21" s="49"/>
      <c r="AM21" s="49"/>
      <c r="AN21" s="49">
        <v>-0.5</v>
      </c>
      <c r="AO21" s="49">
        <v>-0.5</v>
      </c>
      <c r="AP21" s="49"/>
      <c r="AR21" s="127"/>
      <c r="BA21" s="127" t="str">
        <f>IFERROR(__xludf.DUMMYFUNCTION("SPLIT(AW21,""*"")"),"#VALUE!")</f>
        <v>#VALUE!</v>
      </c>
    </row>
    <row r="22">
      <c r="A22" s="73"/>
      <c r="B22" s="73"/>
      <c r="C22" s="73"/>
      <c r="D22" s="73"/>
      <c r="E22" s="73"/>
      <c r="F22" s="77"/>
      <c r="G22" s="77"/>
      <c r="H22" s="77"/>
      <c r="I22" s="77" t="str">
        <f t="shared" si="7"/>
        <v>#VALUE!</v>
      </c>
      <c r="J22" s="77" t="str">
        <f t="shared" si="8"/>
        <v>#DIV/0!</v>
      </c>
      <c r="K22" s="83" t="str">
        <f t="shared" si="9"/>
        <v>#VALUE!</v>
      </c>
      <c r="L22" s="83" t="str">
        <f t="shared" si="10"/>
        <v>#DIV/0!</v>
      </c>
      <c r="M22" s="77" t="str">
        <f t="shared" si="11"/>
        <v>#VALUE!</v>
      </c>
      <c r="N22" s="77" t="str">
        <f t="shared" si="12"/>
        <v>#VALUE!</v>
      </c>
      <c r="O22" s="77" t="str">
        <f t="shared" si="20"/>
        <v>#VALUE!</v>
      </c>
      <c r="P22" s="46" t="str">
        <f t="shared" si="18"/>
        <v>#VALUE!</v>
      </c>
      <c r="Q22" s="140"/>
      <c r="R22" s="77" t="str">
        <f t="shared" si="15"/>
        <v>#VALUE!</v>
      </c>
      <c r="AL22" s="49"/>
      <c r="AM22" s="49"/>
      <c r="AN22" s="49">
        <v>-0.5</v>
      </c>
      <c r="AO22" s="49">
        <v>-0.5</v>
      </c>
      <c r="AP22" s="49"/>
      <c r="AR22" s="127"/>
      <c r="BA22" s="127" t="str">
        <f>IFERROR(__xludf.DUMMYFUNCTION("SPLIT(AW22,""*"")"),"#VALUE!")</f>
        <v>#VALUE!</v>
      </c>
    </row>
    <row r="23">
      <c r="A23" s="73"/>
      <c r="B23" s="73"/>
      <c r="C23" s="73"/>
      <c r="D23" s="73"/>
      <c r="E23" s="73"/>
      <c r="F23" s="77"/>
      <c r="G23" s="77"/>
      <c r="H23" s="77"/>
      <c r="I23" s="77" t="str">
        <f t="shared" si="7"/>
        <v>#VALUE!</v>
      </c>
      <c r="J23" s="77" t="str">
        <f t="shared" si="8"/>
        <v>#DIV/0!</v>
      </c>
      <c r="K23" s="83" t="str">
        <f t="shared" si="9"/>
        <v>#VALUE!</v>
      </c>
      <c r="L23" s="83" t="str">
        <f t="shared" si="10"/>
        <v>#DIV/0!</v>
      </c>
      <c r="M23" s="77" t="str">
        <f t="shared" si="11"/>
        <v>#VALUE!</v>
      </c>
      <c r="N23" s="77" t="str">
        <f t="shared" si="12"/>
        <v>#VALUE!</v>
      </c>
      <c r="O23" s="77" t="str">
        <f t="shared" si="20"/>
        <v>#VALUE!</v>
      </c>
      <c r="P23" s="46" t="str">
        <f t="shared" si="18"/>
        <v>#VALUE!</v>
      </c>
      <c r="Q23" s="140"/>
      <c r="R23" s="77" t="str">
        <f t="shared" si="15"/>
        <v>#VALUE!</v>
      </c>
      <c r="AL23" s="49"/>
      <c r="AM23" s="49"/>
      <c r="AN23" s="49">
        <v>-0.5</v>
      </c>
      <c r="AO23" s="49">
        <v>-0.5</v>
      </c>
      <c r="AP23" s="49"/>
      <c r="AR23" s="127"/>
      <c r="BA23" s="127" t="str">
        <f>IFERROR(__xludf.DUMMYFUNCTION("SPLIT(AW23,""*"")"),"#VALUE!")</f>
        <v>#VALUE!</v>
      </c>
    </row>
    <row r="24">
      <c r="A24" s="73"/>
      <c r="B24" s="73"/>
      <c r="C24" s="73"/>
      <c r="D24" s="73"/>
      <c r="E24" s="73"/>
      <c r="F24" s="77"/>
      <c r="G24" s="77"/>
      <c r="H24" s="73"/>
      <c r="I24" s="77" t="str">
        <f t="shared" si="7"/>
        <v>#VALUE!</v>
      </c>
      <c r="J24" s="77" t="str">
        <f t="shared" si="8"/>
        <v>#DIV/0!</v>
      </c>
      <c r="K24" s="83" t="str">
        <f t="shared" si="9"/>
        <v>#VALUE!</v>
      </c>
      <c r="L24" s="83" t="str">
        <f t="shared" si="10"/>
        <v>#DIV/0!</v>
      </c>
      <c r="M24" s="77" t="str">
        <f t="shared" si="11"/>
        <v>#VALUE!</v>
      </c>
      <c r="N24" s="77" t="str">
        <f t="shared" si="12"/>
        <v>#VALUE!</v>
      </c>
      <c r="O24" s="77" t="str">
        <f t="shared" si="20"/>
        <v>#VALUE!</v>
      </c>
      <c r="P24" s="46" t="str">
        <f t="shared" si="18"/>
        <v>#VALUE!</v>
      </c>
      <c r="Q24" s="140"/>
      <c r="R24" s="77" t="str">
        <f t="shared" si="15"/>
        <v>#VALUE!</v>
      </c>
      <c r="U24" s="33"/>
      <c r="AL24" s="49"/>
      <c r="AM24" s="49"/>
      <c r="AN24" s="49">
        <v>-0.5</v>
      </c>
      <c r="AO24" s="49">
        <v>-0.5</v>
      </c>
      <c r="AP24" s="49"/>
      <c r="AR24" s="127"/>
      <c r="BA24" s="127" t="str">
        <f>IFERROR(__xludf.DUMMYFUNCTION("SPLIT(AW24,""*"")"),"#VALUE!")</f>
        <v>#VALUE!</v>
      </c>
    </row>
    <row r="25">
      <c r="A25" s="73"/>
      <c r="B25" s="73"/>
      <c r="C25" s="73"/>
      <c r="D25" s="73"/>
      <c r="E25" s="73"/>
      <c r="F25" s="77"/>
      <c r="G25" s="77"/>
      <c r="H25" s="73"/>
      <c r="I25" s="77" t="str">
        <f t="shared" si="7"/>
        <v>#VALUE!</v>
      </c>
      <c r="J25" s="77" t="str">
        <f t="shared" si="8"/>
        <v>#DIV/0!</v>
      </c>
      <c r="K25" s="83" t="str">
        <f t="shared" si="9"/>
        <v>#VALUE!</v>
      </c>
      <c r="L25" s="83" t="str">
        <f t="shared" si="10"/>
        <v>#DIV/0!</v>
      </c>
      <c r="M25" s="77" t="str">
        <f t="shared" si="11"/>
        <v>#VALUE!</v>
      </c>
      <c r="N25" s="77" t="str">
        <f t="shared" si="12"/>
        <v>#VALUE!</v>
      </c>
      <c r="O25" s="77" t="str">
        <f t="shared" si="20"/>
        <v>#VALUE!</v>
      </c>
      <c r="P25" s="46" t="str">
        <f t="shared" si="18"/>
        <v>#VALUE!</v>
      </c>
      <c r="Q25" s="140"/>
      <c r="R25" s="77" t="str">
        <f t="shared" si="15"/>
        <v>#VALUE!</v>
      </c>
      <c r="AL25" s="49"/>
      <c r="AM25" s="49"/>
      <c r="AN25" s="49">
        <v>-0.5</v>
      </c>
      <c r="AO25" s="49">
        <v>-0.5</v>
      </c>
      <c r="AP25" s="49"/>
      <c r="AR25" s="127"/>
      <c r="BA25" s="127" t="str">
        <f>IFERROR(__xludf.DUMMYFUNCTION("SPLIT(AW25,""*"")"),"#VALUE!")</f>
        <v>#VALUE!</v>
      </c>
    </row>
    <row r="26">
      <c r="A26" s="73"/>
      <c r="B26" s="73"/>
      <c r="C26" s="73"/>
      <c r="D26" s="73"/>
      <c r="E26" s="73"/>
      <c r="F26" s="77"/>
      <c r="G26" s="77"/>
      <c r="H26" s="73"/>
      <c r="I26" s="77" t="str">
        <f t="shared" si="7"/>
        <v>#VALUE!</v>
      </c>
      <c r="J26" s="77" t="str">
        <f t="shared" si="8"/>
        <v>#DIV/0!</v>
      </c>
      <c r="K26" s="83" t="str">
        <f t="shared" si="9"/>
        <v>#VALUE!</v>
      </c>
      <c r="L26" s="83" t="str">
        <f t="shared" si="10"/>
        <v>#DIV/0!</v>
      </c>
      <c r="M26" s="77" t="str">
        <f t="shared" si="11"/>
        <v>#VALUE!</v>
      </c>
      <c r="N26" s="77" t="str">
        <f t="shared" si="12"/>
        <v>#VALUE!</v>
      </c>
      <c r="O26" s="77" t="str">
        <f t="shared" si="20"/>
        <v>#VALUE!</v>
      </c>
      <c r="P26" s="46" t="str">
        <f t="shared" si="18"/>
        <v>#VALUE!</v>
      </c>
      <c r="Q26" s="140"/>
      <c r="R26" s="77" t="str">
        <f t="shared" si="15"/>
        <v>#VALUE!</v>
      </c>
      <c r="AL26" s="49"/>
      <c r="AM26" s="49"/>
      <c r="AN26" s="49">
        <v>-0.5</v>
      </c>
      <c r="AO26" s="49">
        <v>-0.5</v>
      </c>
      <c r="AP26" s="49"/>
      <c r="AR26" s="127"/>
      <c r="BA26" s="127" t="str">
        <f>IFERROR(__xludf.DUMMYFUNCTION("SPLIT(AW26,""*"")"),"#VALUE!")</f>
        <v>#VALUE!</v>
      </c>
    </row>
    <row r="27">
      <c r="A27" s="73"/>
      <c r="B27" s="73"/>
      <c r="C27" s="73"/>
      <c r="D27" s="73"/>
      <c r="E27" s="73"/>
      <c r="F27" s="77"/>
      <c r="G27" s="77"/>
      <c r="H27" s="73"/>
      <c r="I27" s="77" t="str">
        <f t="shared" si="7"/>
        <v>#VALUE!</v>
      </c>
      <c r="J27" s="77" t="str">
        <f t="shared" si="8"/>
        <v>#DIV/0!</v>
      </c>
      <c r="K27" s="83" t="str">
        <f t="shared" si="9"/>
        <v>#VALUE!</v>
      </c>
      <c r="L27" s="83" t="str">
        <f t="shared" si="10"/>
        <v>#DIV/0!</v>
      </c>
      <c r="M27" s="77" t="str">
        <f t="shared" si="11"/>
        <v>#VALUE!</v>
      </c>
      <c r="N27" s="77" t="str">
        <f t="shared" si="12"/>
        <v>#VALUE!</v>
      </c>
      <c r="O27" s="77" t="str">
        <f t="shared" si="20"/>
        <v>#VALUE!</v>
      </c>
      <c r="P27" s="46" t="str">
        <f t="shared" si="18"/>
        <v>#VALUE!</v>
      </c>
      <c r="Q27" s="140"/>
      <c r="R27" s="77" t="str">
        <f t="shared" si="15"/>
        <v>#VALUE!</v>
      </c>
      <c r="AL27" s="49"/>
      <c r="AM27" s="49"/>
      <c r="AN27" s="49">
        <v>-0.5</v>
      </c>
      <c r="AO27" s="49">
        <v>-0.5</v>
      </c>
      <c r="AP27" s="49"/>
      <c r="AR27" s="127"/>
      <c r="BA27" s="127" t="str">
        <f>IFERROR(__xludf.DUMMYFUNCTION("SPLIT(AW27,""*"")"),"#VALUE!")</f>
        <v>#VALUE!</v>
      </c>
    </row>
    <row r="28">
      <c r="A28" s="73"/>
      <c r="B28" s="73"/>
      <c r="C28" s="73"/>
      <c r="D28" s="73"/>
      <c r="E28" s="73"/>
      <c r="F28" s="77"/>
      <c r="G28" s="77"/>
      <c r="H28" s="73"/>
      <c r="I28" s="77" t="str">
        <f t="shared" si="7"/>
        <v>#VALUE!</v>
      </c>
      <c r="J28" s="77" t="str">
        <f t="shared" si="8"/>
        <v>#DIV/0!</v>
      </c>
      <c r="K28" s="83" t="str">
        <f t="shared" si="9"/>
        <v>#VALUE!</v>
      </c>
      <c r="L28" s="83" t="str">
        <f t="shared" si="10"/>
        <v>#DIV/0!</v>
      </c>
      <c r="M28" s="77" t="str">
        <f t="shared" si="11"/>
        <v>#VALUE!</v>
      </c>
      <c r="N28" s="77" t="str">
        <f t="shared" si="12"/>
        <v>#VALUE!</v>
      </c>
      <c r="O28" s="77" t="str">
        <f t="shared" si="20"/>
        <v>#VALUE!</v>
      </c>
      <c r="P28" s="46" t="str">
        <f t="shared" si="18"/>
        <v>#VALUE!</v>
      </c>
      <c r="Q28" s="140"/>
      <c r="R28" s="77" t="str">
        <f t="shared" si="15"/>
        <v>#VALUE!</v>
      </c>
      <c r="U28" s="207" t="s">
        <v>241</v>
      </c>
      <c r="V28" s="207" t="s">
        <v>5</v>
      </c>
      <c r="W28" s="208" t="s">
        <v>242</v>
      </c>
      <c r="X28" s="208" t="s">
        <v>243</v>
      </c>
      <c r="Y28" s="209" t="s">
        <v>244</v>
      </c>
      <c r="Z28" s="16" t="s">
        <v>245</v>
      </c>
      <c r="AA28" s="16" t="s">
        <v>246</v>
      </c>
      <c r="AB28" s="16" t="s">
        <v>247</v>
      </c>
      <c r="AC28" s="16" t="s">
        <v>248</v>
      </c>
      <c r="AD28" s="16" t="s">
        <v>249</v>
      </c>
      <c r="AE28" s="16" t="s">
        <v>250</v>
      </c>
      <c r="AF28" s="210" t="s">
        <v>251</v>
      </c>
      <c r="AG28" s="211" t="s">
        <v>252</v>
      </c>
      <c r="AH28" s="212"/>
      <c r="AI28" s="217" t="s">
        <v>253</v>
      </c>
      <c r="AL28" s="49"/>
      <c r="AM28" s="49"/>
      <c r="AN28" s="49">
        <v>-0.5</v>
      </c>
      <c r="AO28" s="49">
        <v>-0.5</v>
      </c>
      <c r="AP28" s="49"/>
      <c r="AR28" s="127"/>
      <c r="BA28" s="127" t="str">
        <f>IFERROR(__xludf.DUMMYFUNCTION("SPLIT(AW28,""*"")"),"#VALUE!")</f>
        <v>#VALUE!</v>
      </c>
    </row>
    <row r="29">
      <c r="A29" s="73"/>
      <c r="B29" s="73"/>
      <c r="C29" s="73"/>
      <c r="D29" s="73"/>
      <c r="E29" s="73"/>
      <c r="F29" s="77"/>
      <c r="G29" s="77"/>
      <c r="H29" s="73"/>
      <c r="I29" s="77" t="str">
        <f t="shared" si="7"/>
        <v>#VALUE!</v>
      </c>
      <c r="J29" s="77" t="str">
        <f t="shared" si="8"/>
        <v>#DIV/0!</v>
      </c>
      <c r="K29" s="83" t="str">
        <f t="shared" si="9"/>
        <v>#VALUE!</v>
      </c>
      <c r="L29" s="83" t="str">
        <f t="shared" si="10"/>
        <v>#DIV/0!</v>
      </c>
      <c r="M29" s="77" t="str">
        <f t="shared" si="11"/>
        <v>#VALUE!</v>
      </c>
      <c r="N29" s="77" t="str">
        <f t="shared" si="12"/>
        <v>#VALUE!</v>
      </c>
      <c r="O29" s="77" t="str">
        <f t="shared" si="20"/>
        <v>#VALUE!</v>
      </c>
      <c r="P29" s="46" t="str">
        <f t="shared" si="18"/>
        <v>#VALUE!</v>
      </c>
      <c r="Q29" s="140"/>
      <c r="R29" s="77" t="str">
        <f t="shared" si="15"/>
        <v>#VALUE!</v>
      </c>
      <c r="U29" s="33" t="str">
        <f>IFERROR(__xludf.DUMMYFUNCTION("QUERY($D$10:$S$20,U$12)"),"#VALUE!")</f>
        <v>#VALUE!</v>
      </c>
      <c r="AL29" s="49"/>
      <c r="AM29" s="49"/>
      <c r="AN29" s="49">
        <v>-0.5</v>
      </c>
      <c r="AO29" s="49">
        <v>-0.5</v>
      </c>
      <c r="AP29" s="49"/>
      <c r="AR29" s="127"/>
      <c r="BA29" s="127" t="str">
        <f>IFERROR(__xludf.DUMMYFUNCTION("SPLIT(AW29,""*"")"),"#VALUE!")</f>
        <v>#VALUE!</v>
      </c>
    </row>
    <row r="30">
      <c r="A30" s="73"/>
      <c r="B30" s="73"/>
      <c r="C30" s="73"/>
      <c r="D30" s="73"/>
      <c r="E30" s="73"/>
      <c r="F30" s="77"/>
      <c r="G30" s="77"/>
      <c r="H30" s="73"/>
      <c r="I30" s="77" t="str">
        <f t="shared" si="7"/>
        <v>#VALUE!</v>
      </c>
      <c r="J30" s="77" t="str">
        <f t="shared" si="8"/>
        <v>#DIV/0!</v>
      </c>
      <c r="K30" s="83" t="str">
        <f t="shared" si="9"/>
        <v>#VALUE!</v>
      </c>
      <c r="L30" s="83" t="str">
        <f t="shared" si="10"/>
        <v>#DIV/0!</v>
      </c>
      <c r="M30" s="77" t="str">
        <f t="shared" si="11"/>
        <v>#VALUE!</v>
      </c>
      <c r="N30" s="77" t="str">
        <f t="shared" si="12"/>
        <v>#VALUE!</v>
      </c>
      <c r="O30" s="77" t="str">
        <f t="shared" si="20"/>
        <v>#VALUE!</v>
      </c>
      <c r="P30" s="46" t="str">
        <f t="shared" si="18"/>
        <v>#VALUE!</v>
      </c>
      <c r="Q30" s="140"/>
      <c r="R30" s="77" t="str">
        <f t="shared" si="15"/>
        <v>#VALUE!</v>
      </c>
      <c r="AL30" s="49"/>
      <c r="AM30" s="49"/>
      <c r="AN30" s="49">
        <v>-0.5</v>
      </c>
      <c r="AO30" s="49">
        <v>-0.5</v>
      </c>
      <c r="AP30" s="49"/>
      <c r="AR30" s="127"/>
      <c r="BA30" s="127" t="str">
        <f>IFERROR(__xludf.DUMMYFUNCTION("SPLIT(AW30,""*"")"),"#VALUE!")</f>
        <v>#VALUE!</v>
      </c>
    </row>
    <row r="31">
      <c r="A31" s="73"/>
      <c r="B31" s="73"/>
      <c r="C31" s="73"/>
      <c r="D31" s="73"/>
      <c r="E31" s="73"/>
      <c r="F31" s="77"/>
      <c r="G31" s="77"/>
      <c r="H31" s="73"/>
      <c r="I31" s="77" t="str">
        <f t="shared" si="7"/>
        <v>#VALUE!</v>
      </c>
      <c r="J31" s="77" t="str">
        <f t="shared" si="8"/>
        <v>#DIV/0!</v>
      </c>
      <c r="K31" s="83" t="str">
        <f t="shared" si="9"/>
        <v>#VALUE!</v>
      </c>
      <c r="L31" s="83" t="str">
        <f t="shared" si="10"/>
        <v>#DIV/0!</v>
      </c>
      <c r="M31" s="77" t="str">
        <f t="shared" si="11"/>
        <v>#VALUE!</v>
      </c>
      <c r="N31" s="77" t="str">
        <f t="shared" si="12"/>
        <v>#VALUE!</v>
      </c>
      <c r="O31" s="77" t="str">
        <f t="shared" si="20"/>
        <v>#VALUE!</v>
      </c>
      <c r="P31" s="46" t="str">
        <f t="shared" si="18"/>
        <v>#VALUE!</v>
      </c>
      <c r="Q31" s="140"/>
      <c r="R31" s="77" t="str">
        <f t="shared" si="15"/>
        <v>#VALUE!</v>
      </c>
      <c r="AL31" s="49"/>
      <c r="AM31" s="49"/>
      <c r="AN31" s="49">
        <v>-0.5</v>
      </c>
      <c r="AO31" s="49">
        <v>-0.5</v>
      </c>
      <c r="AP31" s="49"/>
      <c r="AR31" s="127"/>
      <c r="BA31" s="127" t="str">
        <f>IFERROR(__xludf.DUMMYFUNCTION("SPLIT(AW31,""*"")"),"#VALUE!")</f>
        <v>#VALUE!</v>
      </c>
    </row>
    <row r="32">
      <c r="A32" s="73"/>
      <c r="B32" s="73"/>
      <c r="C32" s="73"/>
      <c r="D32" s="73"/>
      <c r="E32" s="73"/>
      <c r="F32" s="77"/>
      <c r="G32" s="77"/>
      <c r="H32" s="73"/>
      <c r="I32" s="77" t="str">
        <f t="shared" si="7"/>
        <v>#VALUE!</v>
      </c>
      <c r="J32" s="77" t="str">
        <f t="shared" si="8"/>
        <v>#DIV/0!</v>
      </c>
      <c r="K32" s="83" t="str">
        <f t="shared" si="9"/>
        <v>#VALUE!</v>
      </c>
      <c r="L32" s="83" t="str">
        <f t="shared" si="10"/>
        <v>#DIV/0!</v>
      </c>
      <c r="M32" s="77" t="str">
        <f t="shared" si="11"/>
        <v>#VALUE!</v>
      </c>
      <c r="N32" s="77" t="str">
        <f t="shared" si="12"/>
        <v>#VALUE!</v>
      </c>
      <c r="O32" s="77" t="str">
        <f t="shared" si="20"/>
        <v>#VALUE!</v>
      </c>
      <c r="P32" s="46" t="str">
        <f t="shared" si="18"/>
        <v>#VALUE!</v>
      </c>
      <c r="Q32" s="140"/>
      <c r="R32" s="77" t="str">
        <f t="shared" si="15"/>
        <v>#VALUE!</v>
      </c>
      <c r="AL32" s="49"/>
      <c r="AM32" s="49"/>
      <c r="AN32" s="49">
        <v>-0.5</v>
      </c>
      <c r="AO32" s="49">
        <v>-0.5</v>
      </c>
      <c r="AP32" s="49"/>
      <c r="AR32" s="127"/>
      <c r="BA32" s="127" t="str">
        <f>IFERROR(__xludf.DUMMYFUNCTION("SPLIT(AW32,""*"")"),"#VALUE!")</f>
        <v>#VALUE!</v>
      </c>
    </row>
    <row r="33">
      <c r="A33" s="73"/>
      <c r="B33" s="73"/>
      <c r="C33" s="73"/>
      <c r="D33" s="73"/>
      <c r="E33" s="73"/>
      <c r="F33" s="77"/>
      <c r="G33" s="77"/>
      <c r="H33" s="73"/>
      <c r="I33" s="77" t="str">
        <f t="shared" si="7"/>
        <v>#VALUE!</v>
      </c>
      <c r="J33" s="77" t="str">
        <f t="shared" si="8"/>
        <v>#DIV/0!</v>
      </c>
      <c r="K33" s="83" t="str">
        <f t="shared" si="9"/>
        <v>#VALUE!</v>
      </c>
      <c r="L33" s="83" t="str">
        <f t="shared" si="10"/>
        <v>#DIV/0!</v>
      </c>
      <c r="M33" s="77" t="str">
        <f t="shared" si="11"/>
        <v>#VALUE!</v>
      </c>
      <c r="N33" s="77" t="str">
        <f t="shared" si="12"/>
        <v>#VALUE!</v>
      </c>
      <c r="O33" s="77" t="str">
        <f t="shared" si="20"/>
        <v>#VALUE!</v>
      </c>
      <c r="P33" s="46" t="str">
        <f t="shared" si="18"/>
        <v>#VALUE!</v>
      </c>
      <c r="Q33" s="140"/>
      <c r="R33" s="77" t="str">
        <f t="shared" si="15"/>
        <v>#VALUE!</v>
      </c>
      <c r="AL33" s="49"/>
      <c r="AM33" s="49"/>
      <c r="AN33" s="49">
        <v>-0.5</v>
      </c>
      <c r="AO33" s="49">
        <v>-0.5</v>
      </c>
      <c r="AP33" s="49"/>
      <c r="AR33" s="127"/>
      <c r="BA33" s="127" t="str">
        <f>IFERROR(__xludf.DUMMYFUNCTION("SPLIT(AW33,""*"")"),"#VALUE!")</f>
        <v>#VALUE!</v>
      </c>
    </row>
    <row r="34">
      <c r="A34" s="73"/>
      <c r="B34" s="73"/>
      <c r="C34" s="73"/>
      <c r="D34" s="73"/>
      <c r="E34" s="73"/>
      <c r="F34" s="77"/>
      <c r="G34" s="77"/>
      <c r="H34" s="73"/>
      <c r="I34" s="77" t="str">
        <f t="shared" si="7"/>
        <v>#VALUE!</v>
      </c>
      <c r="J34" s="77" t="str">
        <f t="shared" si="8"/>
        <v>#DIV/0!</v>
      </c>
      <c r="K34" s="83" t="str">
        <f t="shared" si="9"/>
        <v>#VALUE!</v>
      </c>
      <c r="L34" s="83" t="str">
        <f t="shared" si="10"/>
        <v>#DIV/0!</v>
      </c>
      <c r="M34" s="77" t="str">
        <f t="shared" si="11"/>
        <v>#VALUE!</v>
      </c>
      <c r="N34" s="77" t="str">
        <f t="shared" si="12"/>
        <v>#VALUE!</v>
      </c>
      <c r="O34" s="77" t="str">
        <f t="shared" si="20"/>
        <v>#VALUE!</v>
      </c>
      <c r="P34" s="46" t="str">
        <f t="shared" si="18"/>
        <v>#VALUE!</v>
      </c>
      <c r="Q34" s="140"/>
      <c r="R34" s="77" t="str">
        <f t="shared" si="15"/>
        <v>#VALUE!</v>
      </c>
      <c r="AL34" s="49"/>
      <c r="AM34" s="49"/>
      <c r="AN34" s="49">
        <v>-0.5</v>
      </c>
      <c r="AO34" s="49">
        <v>-0.5</v>
      </c>
      <c r="AP34" s="49"/>
      <c r="AR34" s="127"/>
      <c r="BA34" s="127" t="str">
        <f>IFERROR(__xludf.DUMMYFUNCTION("SPLIT(AW34,""*"")"),"#VALUE!")</f>
        <v>#VALUE!</v>
      </c>
    </row>
    <row r="35">
      <c r="A35" s="73"/>
      <c r="B35" s="73"/>
      <c r="C35" s="73"/>
      <c r="D35" s="73"/>
      <c r="E35" s="73"/>
      <c r="F35" s="77"/>
      <c r="G35" s="77"/>
      <c r="H35" s="73"/>
      <c r="I35" s="77" t="str">
        <f t="shared" si="7"/>
        <v>#VALUE!</v>
      </c>
      <c r="J35" s="77" t="str">
        <f t="shared" si="8"/>
        <v>#DIV/0!</v>
      </c>
      <c r="K35" s="83" t="str">
        <f t="shared" si="9"/>
        <v>#VALUE!</v>
      </c>
      <c r="L35" s="83" t="str">
        <f t="shared" si="10"/>
        <v>#DIV/0!</v>
      </c>
      <c r="M35" s="77" t="str">
        <f t="shared" si="11"/>
        <v>#VALUE!</v>
      </c>
      <c r="N35" s="77" t="str">
        <f t="shared" si="12"/>
        <v>#VALUE!</v>
      </c>
      <c r="O35" s="77" t="str">
        <f t="shared" si="20"/>
        <v>#VALUE!</v>
      </c>
      <c r="P35" s="46" t="str">
        <f t="shared" si="18"/>
        <v>#VALUE!</v>
      </c>
      <c r="Q35" s="140"/>
      <c r="R35" s="77" t="str">
        <f t="shared" si="15"/>
        <v>#VALUE!</v>
      </c>
      <c r="AL35" s="49"/>
      <c r="AM35" s="49"/>
      <c r="AN35" s="49">
        <v>-0.5</v>
      </c>
      <c r="AO35" s="49">
        <v>-0.5</v>
      </c>
      <c r="AP35" s="49"/>
      <c r="AR35" s="127"/>
      <c r="BA35" s="127" t="str">
        <f>IFERROR(__xludf.DUMMYFUNCTION("SPLIT(AW35,""*"")"),"#VALUE!")</f>
        <v>#VALUE!</v>
      </c>
    </row>
    <row r="36">
      <c r="A36" s="73"/>
      <c r="B36" s="73"/>
      <c r="C36" s="73"/>
      <c r="D36" s="73"/>
      <c r="E36" s="73"/>
      <c r="F36" s="77"/>
      <c r="G36" s="77"/>
      <c r="H36" s="73"/>
      <c r="I36" s="77" t="str">
        <f t="shared" si="7"/>
        <v>#VALUE!</v>
      </c>
      <c r="J36" s="77" t="str">
        <f t="shared" si="8"/>
        <v>#DIV/0!</v>
      </c>
      <c r="K36" s="83" t="str">
        <f t="shared" si="9"/>
        <v>#VALUE!</v>
      </c>
      <c r="L36" s="83" t="str">
        <f t="shared" si="10"/>
        <v>#DIV/0!</v>
      </c>
      <c r="M36" s="77" t="str">
        <f t="shared" si="11"/>
        <v>#VALUE!</v>
      </c>
      <c r="N36" s="77" t="str">
        <f t="shared" si="12"/>
        <v>#VALUE!</v>
      </c>
      <c r="O36" s="77" t="str">
        <f t="shared" si="20"/>
        <v>#VALUE!</v>
      </c>
      <c r="P36" s="46" t="str">
        <f t="shared" si="18"/>
        <v>#VALUE!</v>
      </c>
      <c r="Q36" s="140"/>
      <c r="R36" s="77" t="str">
        <f t="shared" si="15"/>
        <v>#VALUE!</v>
      </c>
      <c r="AL36" s="49"/>
      <c r="AM36" s="49"/>
      <c r="AN36" s="49">
        <v>-0.5</v>
      </c>
      <c r="AO36" s="49">
        <v>-0.5</v>
      </c>
      <c r="AP36" s="49"/>
      <c r="AR36" s="127"/>
      <c r="BA36" s="127" t="str">
        <f>IFERROR(__xludf.DUMMYFUNCTION("SPLIT(AW36,""*"")"),"#VALUE!")</f>
        <v>#VALUE!</v>
      </c>
    </row>
    <row r="37">
      <c r="A37" s="73"/>
      <c r="B37" s="73"/>
      <c r="C37" s="73"/>
      <c r="D37" s="73"/>
      <c r="E37" s="73"/>
      <c r="F37" s="77"/>
      <c r="G37" s="77"/>
      <c r="H37" s="73"/>
      <c r="I37" s="77" t="str">
        <f t="shared" si="7"/>
        <v>#VALUE!</v>
      </c>
      <c r="J37" s="77" t="str">
        <f t="shared" si="8"/>
        <v>#DIV/0!</v>
      </c>
      <c r="K37" s="83" t="str">
        <f t="shared" si="9"/>
        <v>#VALUE!</v>
      </c>
      <c r="L37" s="83" t="str">
        <f t="shared" si="10"/>
        <v>#DIV/0!</v>
      </c>
      <c r="M37" s="77" t="str">
        <f t="shared" si="11"/>
        <v>#VALUE!</v>
      </c>
      <c r="N37" s="77" t="str">
        <f t="shared" si="12"/>
        <v>#VALUE!</v>
      </c>
      <c r="O37" s="77" t="str">
        <f t="shared" si="20"/>
        <v>#VALUE!</v>
      </c>
      <c r="P37" s="46" t="str">
        <f t="shared" si="18"/>
        <v>#VALUE!</v>
      </c>
      <c r="Q37" s="140"/>
      <c r="R37" s="77" t="str">
        <f t="shared" si="15"/>
        <v>#VALUE!</v>
      </c>
      <c r="AL37" s="49"/>
      <c r="AM37" s="49"/>
      <c r="AN37" s="49">
        <v>-0.5</v>
      </c>
      <c r="AO37" s="49">
        <v>-0.5</v>
      </c>
      <c r="AP37" s="49"/>
      <c r="AR37" s="127"/>
      <c r="BA37" s="127" t="str">
        <f>IFERROR(__xludf.DUMMYFUNCTION("SPLIT(AW37,""*"")"),"#VALUE!")</f>
        <v>#VALUE!</v>
      </c>
    </row>
    <row r="38">
      <c r="A38" s="73"/>
      <c r="B38" s="73"/>
      <c r="C38" s="73"/>
      <c r="D38" s="73"/>
      <c r="E38" s="73"/>
      <c r="F38" s="77"/>
      <c r="G38" s="77"/>
      <c r="H38" s="73"/>
      <c r="I38" s="77" t="str">
        <f t="shared" si="7"/>
        <v>#VALUE!</v>
      </c>
      <c r="J38" s="77" t="str">
        <f t="shared" si="8"/>
        <v>#DIV/0!</v>
      </c>
      <c r="K38" s="83" t="str">
        <f t="shared" si="9"/>
        <v>#VALUE!</v>
      </c>
      <c r="L38" s="83" t="str">
        <f t="shared" si="10"/>
        <v>#DIV/0!</v>
      </c>
      <c r="M38" s="77" t="str">
        <f t="shared" si="11"/>
        <v>#VALUE!</v>
      </c>
      <c r="N38" s="77" t="str">
        <f t="shared" si="12"/>
        <v>#VALUE!</v>
      </c>
      <c r="O38" s="77" t="str">
        <f t="shared" si="20"/>
        <v>#VALUE!</v>
      </c>
      <c r="P38" s="46" t="str">
        <f t="shared" si="18"/>
        <v>#VALUE!</v>
      </c>
      <c r="Q38" s="140"/>
      <c r="R38" s="77" t="str">
        <f t="shared" si="15"/>
        <v>#VALUE!</v>
      </c>
      <c r="AL38" s="49"/>
      <c r="AM38" s="49"/>
      <c r="AN38" s="49">
        <v>-0.5</v>
      </c>
      <c r="AO38" s="49">
        <v>-0.5</v>
      </c>
      <c r="AP38" s="49"/>
      <c r="AR38" s="127"/>
    </row>
    <row r="39">
      <c r="A39" s="73"/>
      <c r="B39" s="73"/>
      <c r="C39" s="73"/>
      <c r="D39" s="73"/>
      <c r="E39" s="73"/>
      <c r="F39" s="77"/>
      <c r="G39" s="77"/>
      <c r="H39" s="73"/>
      <c r="I39" s="77" t="str">
        <f t="shared" si="7"/>
        <v>#VALUE!</v>
      </c>
      <c r="J39" s="77" t="str">
        <f t="shared" si="8"/>
        <v>#DIV/0!</v>
      </c>
      <c r="K39" s="83" t="str">
        <f t="shared" si="9"/>
        <v>#VALUE!</v>
      </c>
      <c r="L39" s="83" t="str">
        <f t="shared" si="10"/>
        <v>#DIV/0!</v>
      </c>
      <c r="M39" s="77" t="str">
        <f t="shared" si="11"/>
        <v>#VALUE!</v>
      </c>
      <c r="N39" s="77" t="str">
        <f t="shared" si="12"/>
        <v>#VALUE!</v>
      </c>
      <c r="O39" s="77" t="str">
        <f t="shared" si="20"/>
        <v>#VALUE!</v>
      </c>
      <c r="P39" s="46" t="str">
        <f t="shared" si="18"/>
        <v>#VALUE!</v>
      </c>
      <c r="Q39" s="140"/>
      <c r="R39" s="77" t="str">
        <f t="shared" si="15"/>
        <v>#VALUE!</v>
      </c>
      <c r="AL39" s="49"/>
      <c r="AM39" s="49"/>
      <c r="AN39" s="49">
        <v>-0.5</v>
      </c>
      <c r="AO39" s="49">
        <v>-0.5</v>
      </c>
      <c r="AP39" s="49"/>
      <c r="AR39" s="127"/>
    </row>
    <row r="40">
      <c r="A40" s="73"/>
      <c r="B40" s="73"/>
      <c r="C40" s="73"/>
      <c r="D40" s="73"/>
      <c r="E40" s="73"/>
      <c r="F40" s="77"/>
      <c r="G40" s="77"/>
      <c r="H40" s="73"/>
      <c r="I40" s="77" t="str">
        <f t="shared" si="7"/>
        <v>#VALUE!</v>
      </c>
      <c r="J40" s="77" t="str">
        <f t="shared" si="8"/>
        <v>#DIV/0!</v>
      </c>
      <c r="K40" s="83" t="str">
        <f t="shared" si="9"/>
        <v>#VALUE!</v>
      </c>
      <c r="L40" s="83" t="str">
        <f t="shared" si="10"/>
        <v>#DIV/0!</v>
      </c>
      <c r="M40" s="77" t="str">
        <f t="shared" si="11"/>
        <v>#VALUE!</v>
      </c>
      <c r="N40" s="77" t="str">
        <f t="shared" si="12"/>
        <v>#VALUE!</v>
      </c>
      <c r="O40" s="77" t="str">
        <f t="shared" si="20"/>
        <v>#VALUE!</v>
      </c>
      <c r="P40" s="46" t="str">
        <f t="shared" si="18"/>
        <v>#VALUE!</v>
      </c>
      <c r="Q40" s="140"/>
      <c r="R40" s="77" t="str">
        <f t="shared" si="15"/>
        <v>#VALUE!</v>
      </c>
      <c r="AL40" s="49"/>
      <c r="AM40" s="49"/>
      <c r="AN40" s="49">
        <v>-0.5</v>
      </c>
      <c r="AO40" s="49">
        <v>-0.5</v>
      </c>
      <c r="AP40" s="49"/>
      <c r="AR40" s="127"/>
    </row>
    <row r="41">
      <c r="A41" s="73"/>
      <c r="B41" s="73"/>
      <c r="C41" s="73"/>
      <c r="D41" s="73"/>
      <c r="E41" s="73"/>
      <c r="F41" s="77"/>
      <c r="G41" s="77"/>
      <c r="H41" s="73"/>
      <c r="I41" s="77" t="str">
        <f t="shared" si="7"/>
        <v>#VALUE!</v>
      </c>
      <c r="J41" s="77" t="str">
        <f t="shared" si="8"/>
        <v>#DIV/0!</v>
      </c>
      <c r="K41" s="83" t="str">
        <f t="shared" si="9"/>
        <v>#VALUE!</v>
      </c>
      <c r="L41" s="83" t="str">
        <f t="shared" si="10"/>
        <v>#DIV/0!</v>
      </c>
      <c r="M41" s="77" t="str">
        <f t="shared" si="11"/>
        <v>#VALUE!</v>
      </c>
      <c r="N41" s="77" t="str">
        <f t="shared" si="12"/>
        <v>#VALUE!</v>
      </c>
      <c r="O41" s="77" t="str">
        <f t="shared" si="20"/>
        <v>#VALUE!</v>
      </c>
      <c r="P41" s="46" t="str">
        <f t="shared" si="18"/>
        <v>#VALUE!</v>
      </c>
      <c r="Q41" s="140"/>
      <c r="R41" s="77" t="str">
        <f t="shared" si="15"/>
        <v>#VALUE!</v>
      </c>
      <c r="AL41" s="49"/>
      <c r="AM41" s="49"/>
      <c r="AN41" s="49">
        <v>-0.5</v>
      </c>
      <c r="AO41" s="49">
        <v>-0.5</v>
      </c>
      <c r="AP41" s="49"/>
      <c r="AR41" s="127"/>
    </row>
    <row r="42">
      <c r="A42" s="73"/>
      <c r="B42" s="73"/>
      <c r="C42" s="73"/>
      <c r="D42" s="73"/>
      <c r="E42" s="73"/>
      <c r="F42" s="77"/>
      <c r="G42" s="77"/>
      <c r="H42" s="73"/>
      <c r="I42" s="77" t="str">
        <f t="shared" si="7"/>
        <v>#VALUE!</v>
      </c>
      <c r="J42" s="77" t="str">
        <f t="shared" si="8"/>
        <v>#DIV/0!</v>
      </c>
      <c r="K42" s="83" t="str">
        <f t="shared" si="9"/>
        <v>#VALUE!</v>
      </c>
      <c r="L42" s="83" t="str">
        <f t="shared" si="10"/>
        <v>#DIV/0!</v>
      </c>
      <c r="M42" s="77" t="str">
        <f t="shared" si="11"/>
        <v>#VALUE!</v>
      </c>
      <c r="N42" s="77" t="str">
        <f t="shared" si="12"/>
        <v>#VALUE!</v>
      </c>
      <c r="O42" s="77" t="str">
        <f t="shared" si="20"/>
        <v>#VALUE!</v>
      </c>
      <c r="P42" s="46" t="str">
        <f t="shared" si="18"/>
        <v>#VALUE!</v>
      </c>
      <c r="Q42" s="140"/>
      <c r="R42" s="77" t="str">
        <f t="shared" si="15"/>
        <v>#VALUE!</v>
      </c>
      <c r="AL42" s="49"/>
      <c r="AM42" s="49"/>
      <c r="AN42" s="49">
        <v>-0.5</v>
      </c>
      <c r="AO42" s="49">
        <v>-0.5</v>
      </c>
      <c r="AP42" s="49"/>
      <c r="AR42" s="127"/>
    </row>
    <row r="43">
      <c r="A43" s="73"/>
      <c r="B43" s="73"/>
      <c r="C43" s="73"/>
      <c r="D43" s="73"/>
      <c r="E43" s="73"/>
      <c r="F43" s="77"/>
      <c r="G43" s="77"/>
      <c r="H43" s="73"/>
      <c r="I43" s="77" t="str">
        <f t="shared" si="7"/>
        <v>#VALUE!</v>
      </c>
      <c r="J43" s="77" t="str">
        <f t="shared" si="8"/>
        <v>#DIV/0!</v>
      </c>
      <c r="K43" s="83" t="str">
        <f t="shared" si="9"/>
        <v>#VALUE!</v>
      </c>
      <c r="L43" s="83" t="str">
        <f t="shared" si="10"/>
        <v>#DIV/0!</v>
      </c>
      <c r="M43" s="77" t="str">
        <f t="shared" si="11"/>
        <v>#VALUE!</v>
      </c>
      <c r="N43" s="77" t="str">
        <f t="shared" si="12"/>
        <v>#VALUE!</v>
      </c>
      <c r="O43" s="77" t="str">
        <f t="shared" si="20"/>
        <v>#VALUE!</v>
      </c>
      <c r="P43" s="46" t="str">
        <f t="shared" si="18"/>
        <v>#VALUE!</v>
      </c>
      <c r="Q43" s="140"/>
      <c r="R43" s="77" t="str">
        <f t="shared" si="15"/>
        <v>#VALUE!</v>
      </c>
      <c r="AL43" s="49"/>
      <c r="AM43" s="49"/>
      <c r="AN43" s="49">
        <v>-0.5</v>
      </c>
      <c r="AO43" s="49">
        <v>-0.5</v>
      </c>
      <c r="AP43" s="49"/>
      <c r="AR43" s="127"/>
    </row>
    <row r="44">
      <c r="A44" s="73"/>
      <c r="B44" s="73"/>
      <c r="C44" s="73"/>
      <c r="D44" s="73"/>
      <c r="E44" s="73"/>
      <c r="F44" s="77"/>
      <c r="G44" s="77"/>
      <c r="H44" s="73"/>
      <c r="I44" s="77" t="str">
        <f t="shared" si="7"/>
        <v>#VALUE!</v>
      </c>
      <c r="J44" s="77" t="str">
        <f t="shared" si="8"/>
        <v>#DIV/0!</v>
      </c>
      <c r="K44" s="83" t="str">
        <f t="shared" si="9"/>
        <v>#VALUE!</v>
      </c>
      <c r="L44" s="83" t="str">
        <f t="shared" si="10"/>
        <v>#DIV/0!</v>
      </c>
      <c r="M44" s="77" t="str">
        <f t="shared" si="11"/>
        <v>#VALUE!</v>
      </c>
      <c r="N44" s="77" t="str">
        <f t="shared" si="12"/>
        <v>#VALUE!</v>
      </c>
      <c r="O44" s="77" t="str">
        <f t="shared" si="20"/>
        <v>#VALUE!</v>
      </c>
      <c r="P44" s="46" t="str">
        <f t="shared" si="18"/>
        <v>#VALUE!</v>
      </c>
      <c r="Q44" s="140"/>
      <c r="R44" s="77" t="str">
        <f t="shared" si="15"/>
        <v>#VALUE!</v>
      </c>
      <c r="AL44" s="49"/>
      <c r="AM44" s="49"/>
      <c r="AN44" s="49">
        <v>-0.5</v>
      </c>
      <c r="AO44" s="49">
        <v>-0.5</v>
      </c>
      <c r="AP44" s="49"/>
      <c r="AR44" s="127"/>
    </row>
    <row r="45">
      <c r="A45" s="73"/>
      <c r="B45" s="73"/>
      <c r="C45" s="73"/>
      <c r="D45" s="73"/>
      <c r="E45" s="73"/>
      <c r="F45" s="77"/>
      <c r="G45" s="77"/>
      <c r="H45" s="73"/>
      <c r="I45" s="77" t="str">
        <f t="shared" si="7"/>
        <v>#VALUE!</v>
      </c>
      <c r="J45" s="77" t="str">
        <f t="shared" si="8"/>
        <v>#DIV/0!</v>
      </c>
      <c r="K45" s="83" t="str">
        <f t="shared" si="9"/>
        <v>#VALUE!</v>
      </c>
      <c r="L45" s="83" t="str">
        <f t="shared" si="10"/>
        <v>#DIV/0!</v>
      </c>
      <c r="M45" s="77" t="str">
        <f t="shared" si="11"/>
        <v>#VALUE!</v>
      </c>
      <c r="N45" s="77" t="str">
        <f t="shared" si="12"/>
        <v>#VALUE!</v>
      </c>
      <c r="O45" s="77" t="str">
        <f t="shared" si="20"/>
        <v>#VALUE!</v>
      </c>
      <c r="P45" s="46" t="str">
        <f t="shared" si="18"/>
        <v>#VALUE!</v>
      </c>
      <c r="Q45" s="140"/>
      <c r="R45" s="77" t="str">
        <f t="shared" si="15"/>
        <v>#VALUE!</v>
      </c>
      <c r="AL45" s="49"/>
      <c r="AM45" s="49"/>
      <c r="AN45" s="49">
        <v>-0.5</v>
      </c>
      <c r="AO45" s="49">
        <v>-0.5</v>
      </c>
      <c r="AP45" s="49"/>
      <c r="AR45" s="127"/>
    </row>
    <row r="46">
      <c r="A46" s="73"/>
      <c r="B46" s="73"/>
      <c r="C46" s="73"/>
      <c r="D46" s="73"/>
      <c r="E46" s="73"/>
      <c r="F46" s="77"/>
      <c r="G46" s="77"/>
      <c r="H46" s="73"/>
      <c r="I46" s="77" t="str">
        <f t="shared" si="7"/>
        <v>#VALUE!</v>
      </c>
      <c r="J46" s="77" t="str">
        <f t="shared" si="8"/>
        <v>#DIV/0!</v>
      </c>
      <c r="K46" s="83" t="str">
        <f t="shared" si="9"/>
        <v>#VALUE!</v>
      </c>
      <c r="L46" s="83" t="str">
        <f t="shared" si="10"/>
        <v>#DIV/0!</v>
      </c>
      <c r="M46" s="77" t="str">
        <f t="shared" si="11"/>
        <v>#VALUE!</v>
      </c>
      <c r="N46" s="77" t="str">
        <f t="shared" si="12"/>
        <v>#VALUE!</v>
      </c>
      <c r="O46" s="77" t="str">
        <f t="shared" si="20"/>
        <v>#VALUE!</v>
      </c>
      <c r="P46" s="46" t="str">
        <f t="shared" si="18"/>
        <v>#VALUE!</v>
      </c>
      <c r="Q46" s="140"/>
      <c r="R46" s="77" t="str">
        <f t="shared" si="15"/>
        <v>#VALUE!</v>
      </c>
      <c r="T46" s="33" t="str">
        <f>IFERROR(__xludf.DUMMYFUNCTION("QUERY(D10:H630,X8)"),"#VALUE!")</f>
        <v>#VALUE!</v>
      </c>
      <c r="AL46" s="49"/>
      <c r="AM46" s="49"/>
      <c r="AN46" s="49">
        <v>-0.5</v>
      </c>
      <c r="AO46" s="49">
        <v>-0.5</v>
      </c>
      <c r="AP46" s="49"/>
      <c r="AR46" s="127"/>
    </row>
    <row r="47">
      <c r="A47" s="73"/>
      <c r="B47" s="73"/>
      <c r="C47" s="73"/>
      <c r="D47" s="73"/>
      <c r="E47" s="73"/>
      <c r="F47" s="77"/>
      <c r="G47" s="77"/>
      <c r="H47" s="73"/>
      <c r="I47" s="77" t="str">
        <f t="shared" si="7"/>
        <v>#VALUE!</v>
      </c>
      <c r="J47" s="77" t="str">
        <f t="shared" si="8"/>
        <v>#DIV/0!</v>
      </c>
      <c r="K47" s="83" t="str">
        <f t="shared" si="9"/>
        <v>#VALUE!</v>
      </c>
      <c r="L47" s="83" t="str">
        <f t="shared" si="10"/>
        <v>#DIV/0!</v>
      </c>
      <c r="M47" s="77" t="str">
        <f t="shared" si="11"/>
        <v>#VALUE!</v>
      </c>
      <c r="N47" s="77" t="str">
        <f t="shared" si="12"/>
        <v>#VALUE!</v>
      </c>
      <c r="O47" s="77" t="str">
        <f t="shared" si="20"/>
        <v>#VALUE!</v>
      </c>
      <c r="P47" s="46" t="str">
        <f t="shared" si="18"/>
        <v>#VALUE!</v>
      </c>
      <c r="Q47" s="140"/>
      <c r="R47" s="77" t="str">
        <f t="shared" si="15"/>
        <v>#VALUE!</v>
      </c>
      <c r="AL47" s="49"/>
      <c r="AM47" s="49"/>
      <c r="AN47" s="49">
        <v>-0.5</v>
      </c>
      <c r="AO47" s="49">
        <v>-0.5</v>
      </c>
      <c r="AP47" s="49"/>
      <c r="AR47" s="127"/>
    </row>
    <row r="48">
      <c r="A48" s="73"/>
      <c r="B48" s="73"/>
      <c r="C48" s="73"/>
      <c r="D48" s="73"/>
      <c r="E48" s="73"/>
      <c r="F48" s="77"/>
      <c r="G48" s="77"/>
      <c r="H48" s="73"/>
      <c r="I48" s="77" t="str">
        <f t="shared" si="7"/>
        <v>#VALUE!</v>
      </c>
      <c r="J48" s="77" t="str">
        <f t="shared" si="8"/>
        <v>#DIV/0!</v>
      </c>
      <c r="K48" s="83" t="str">
        <f t="shared" si="9"/>
        <v>#VALUE!</v>
      </c>
      <c r="L48" s="83" t="str">
        <f t="shared" si="10"/>
        <v>#DIV/0!</v>
      </c>
      <c r="M48" s="77" t="str">
        <f t="shared" si="11"/>
        <v>#VALUE!</v>
      </c>
      <c r="N48" s="77" t="str">
        <f t="shared" si="12"/>
        <v>#VALUE!</v>
      </c>
      <c r="O48" s="77" t="str">
        <f t="shared" si="20"/>
        <v>#VALUE!</v>
      </c>
      <c r="P48" s="46" t="str">
        <f t="shared" si="18"/>
        <v>#VALUE!</v>
      </c>
      <c r="Q48" s="140"/>
      <c r="R48" s="77" t="str">
        <f t="shared" si="15"/>
        <v>#VALUE!</v>
      </c>
      <c r="AL48" s="49"/>
      <c r="AM48" s="49"/>
      <c r="AN48" s="49">
        <v>-0.5</v>
      </c>
      <c r="AO48" s="49">
        <v>-0.5</v>
      </c>
      <c r="AP48" s="49"/>
      <c r="AR48" s="127"/>
    </row>
    <row r="49">
      <c r="A49" s="73"/>
      <c r="B49" s="73"/>
      <c r="C49" s="73"/>
      <c r="D49" s="73"/>
      <c r="E49" s="73"/>
      <c r="F49" s="77"/>
      <c r="G49" s="77"/>
      <c r="H49" s="73"/>
      <c r="I49" s="77" t="str">
        <f t="shared" si="7"/>
        <v>#VALUE!</v>
      </c>
      <c r="J49" s="77" t="str">
        <f t="shared" si="8"/>
        <v>#DIV/0!</v>
      </c>
      <c r="K49" s="83" t="str">
        <f t="shared" si="9"/>
        <v>#VALUE!</v>
      </c>
      <c r="L49" s="83" t="str">
        <f t="shared" si="10"/>
        <v>#DIV/0!</v>
      </c>
      <c r="M49" s="77" t="str">
        <f t="shared" si="11"/>
        <v>#VALUE!</v>
      </c>
      <c r="N49" s="77" t="str">
        <f t="shared" si="12"/>
        <v>#VALUE!</v>
      </c>
      <c r="O49" s="77" t="str">
        <f t="shared" si="20"/>
        <v>#VALUE!</v>
      </c>
      <c r="P49" s="46" t="str">
        <f t="shared" si="18"/>
        <v>#VALUE!</v>
      </c>
      <c r="Q49" s="140"/>
      <c r="R49" s="77" t="str">
        <f t="shared" si="15"/>
        <v>#VALUE!</v>
      </c>
      <c r="AL49" s="49"/>
      <c r="AM49" s="49"/>
      <c r="AN49" s="49">
        <v>-0.5</v>
      </c>
      <c r="AO49" s="49">
        <v>-0.5</v>
      </c>
      <c r="AP49" s="49"/>
      <c r="AR49" s="127"/>
    </row>
    <row r="50">
      <c r="A50" s="73"/>
      <c r="B50" s="73"/>
      <c r="C50" s="73"/>
      <c r="D50" s="73"/>
      <c r="E50" s="73"/>
      <c r="F50" s="77"/>
      <c r="G50" s="77"/>
      <c r="H50" s="73"/>
      <c r="I50" s="77" t="str">
        <f t="shared" si="7"/>
        <v>#VALUE!</v>
      </c>
      <c r="J50" s="77" t="str">
        <f t="shared" si="8"/>
        <v>#DIV/0!</v>
      </c>
      <c r="K50" s="83" t="str">
        <f t="shared" si="9"/>
        <v>#VALUE!</v>
      </c>
      <c r="L50" s="83" t="str">
        <f t="shared" si="10"/>
        <v>#DIV/0!</v>
      </c>
      <c r="M50" s="77" t="str">
        <f t="shared" si="11"/>
        <v>#VALUE!</v>
      </c>
      <c r="N50" s="77" t="str">
        <f t="shared" si="12"/>
        <v>#VALUE!</v>
      </c>
      <c r="O50" s="77" t="str">
        <f t="shared" si="20"/>
        <v>#VALUE!</v>
      </c>
      <c r="P50" s="46" t="str">
        <f t="shared" si="18"/>
        <v>#VALUE!</v>
      </c>
      <c r="Q50" s="140"/>
      <c r="R50" s="77" t="str">
        <f t="shared" si="15"/>
        <v>#VALUE!</v>
      </c>
      <c r="AL50" s="49"/>
      <c r="AM50" s="49"/>
      <c r="AN50" s="49">
        <v>-0.5</v>
      </c>
      <c r="AO50" s="49">
        <v>-0.5</v>
      </c>
      <c r="AP50" s="49"/>
      <c r="AR50" s="127"/>
    </row>
    <row r="51">
      <c r="A51" s="73"/>
      <c r="B51" s="73"/>
      <c r="C51" s="73"/>
      <c r="D51" s="73"/>
      <c r="E51" s="73"/>
      <c r="F51" s="77"/>
      <c r="G51" s="77"/>
      <c r="H51" s="73"/>
      <c r="I51" s="77" t="str">
        <f t="shared" si="7"/>
        <v>#VALUE!</v>
      </c>
      <c r="J51" s="77" t="str">
        <f t="shared" si="8"/>
        <v>#DIV/0!</v>
      </c>
      <c r="K51" s="83" t="str">
        <f t="shared" si="9"/>
        <v>#VALUE!</v>
      </c>
      <c r="L51" s="83" t="str">
        <f t="shared" si="10"/>
        <v>#DIV/0!</v>
      </c>
      <c r="M51" s="77" t="str">
        <f t="shared" si="11"/>
        <v>#VALUE!</v>
      </c>
      <c r="N51" s="77" t="str">
        <f t="shared" si="12"/>
        <v>#VALUE!</v>
      </c>
      <c r="O51" s="77" t="str">
        <f t="shared" si="20"/>
        <v>#VALUE!</v>
      </c>
      <c r="P51" s="46" t="str">
        <f t="shared" si="18"/>
        <v>#VALUE!</v>
      </c>
      <c r="Q51" s="140"/>
      <c r="R51" s="77" t="str">
        <f t="shared" si="15"/>
        <v>#VALUE!</v>
      </c>
      <c r="AL51" s="49"/>
      <c r="AM51" s="49"/>
      <c r="AN51" s="49">
        <v>-0.5</v>
      </c>
      <c r="AO51" s="49">
        <v>-0.5</v>
      </c>
      <c r="AP51" s="49"/>
      <c r="AR51" s="127"/>
    </row>
    <row r="52">
      <c r="A52" s="73"/>
      <c r="B52" s="73"/>
      <c r="C52" s="73"/>
      <c r="D52" s="73"/>
      <c r="E52" s="73"/>
      <c r="F52" s="77"/>
      <c r="G52" s="77"/>
      <c r="H52" s="73"/>
      <c r="I52" s="77" t="str">
        <f t="shared" si="7"/>
        <v>#VALUE!</v>
      </c>
      <c r="J52" s="77" t="str">
        <f t="shared" si="8"/>
        <v>#DIV/0!</v>
      </c>
      <c r="K52" s="83" t="str">
        <f t="shared" si="9"/>
        <v>#VALUE!</v>
      </c>
      <c r="L52" s="83" t="str">
        <f t="shared" si="10"/>
        <v>#DIV/0!</v>
      </c>
      <c r="M52" s="77" t="str">
        <f t="shared" si="11"/>
        <v>#VALUE!</v>
      </c>
      <c r="N52" s="77" t="str">
        <f t="shared" si="12"/>
        <v>#VALUE!</v>
      </c>
      <c r="O52" s="77" t="str">
        <f t="shared" si="20"/>
        <v>#VALUE!</v>
      </c>
      <c r="P52" s="46" t="str">
        <f t="shared" si="18"/>
        <v>#VALUE!</v>
      </c>
      <c r="Q52" s="140"/>
      <c r="R52" s="77" t="str">
        <f t="shared" si="15"/>
        <v>#VALUE!</v>
      </c>
      <c r="AL52" s="49"/>
      <c r="AM52" s="49"/>
      <c r="AN52" s="49">
        <v>-0.5</v>
      </c>
      <c r="AO52" s="49">
        <v>-0.5</v>
      </c>
      <c r="AP52" s="49"/>
      <c r="AR52" s="127"/>
    </row>
    <row r="53">
      <c r="A53" s="73"/>
      <c r="B53" s="73"/>
      <c r="C53" s="73"/>
      <c r="D53" s="73"/>
      <c r="E53" s="73"/>
      <c r="F53" s="77"/>
      <c r="G53" s="77"/>
      <c r="H53" s="73"/>
      <c r="I53" s="77" t="str">
        <f t="shared" si="7"/>
        <v>#VALUE!</v>
      </c>
      <c r="J53" s="77" t="str">
        <f t="shared" si="8"/>
        <v>#DIV/0!</v>
      </c>
      <c r="K53" s="83" t="str">
        <f t="shared" si="9"/>
        <v>#VALUE!</v>
      </c>
      <c r="L53" s="83" t="str">
        <f t="shared" si="10"/>
        <v>#DIV/0!</v>
      </c>
      <c r="M53" s="77" t="str">
        <f t="shared" si="11"/>
        <v>#VALUE!</v>
      </c>
      <c r="N53" s="77" t="str">
        <f t="shared" si="12"/>
        <v>#VALUE!</v>
      </c>
      <c r="O53" s="77" t="str">
        <f t="shared" si="20"/>
        <v>#VALUE!</v>
      </c>
      <c r="P53" s="46" t="str">
        <f t="shared" si="18"/>
        <v>#VALUE!</v>
      </c>
      <c r="Q53" s="140"/>
      <c r="R53" s="77" t="str">
        <f t="shared" si="15"/>
        <v>#VALUE!</v>
      </c>
      <c r="AL53" s="49"/>
      <c r="AM53" s="49"/>
      <c r="AN53" s="49">
        <v>-0.5</v>
      </c>
      <c r="AO53" s="49">
        <v>-0.5</v>
      </c>
      <c r="AP53" s="49"/>
      <c r="AR53" s="127"/>
    </row>
    <row r="54">
      <c r="A54" s="73"/>
      <c r="B54" s="73"/>
      <c r="C54" s="73"/>
      <c r="D54" s="73"/>
      <c r="E54" s="73"/>
      <c r="F54" s="77"/>
      <c r="G54" s="77"/>
      <c r="H54" s="73"/>
      <c r="I54" s="77" t="str">
        <f t="shared" si="7"/>
        <v>#VALUE!</v>
      </c>
      <c r="J54" s="77" t="str">
        <f t="shared" si="8"/>
        <v>#DIV/0!</v>
      </c>
      <c r="K54" s="83" t="str">
        <f t="shared" si="9"/>
        <v>#VALUE!</v>
      </c>
      <c r="L54" s="83" t="str">
        <f t="shared" si="10"/>
        <v>#DIV/0!</v>
      </c>
      <c r="M54" s="77" t="str">
        <f t="shared" si="11"/>
        <v>#VALUE!</v>
      </c>
      <c r="N54" s="77" t="str">
        <f t="shared" si="12"/>
        <v>#VALUE!</v>
      </c>
      <c r="O54" s="77" t="str">
        <f t="shared" si="20"/>
        <v>#VALUE!</v>
      </c>
      <c r="P54" s="46" t="str">
        <f t="shared" si="18"/>
        <v>#VALUE!</v>
      </c>
      <c r="Q54" s="140"/>
      <c r="R54" s="77" t="str">
        <f t="shared" si="15"/>
        <v>#VALUE!</v>
      </c>
      <c r="AL54" s="49"/>
      <c r="AM54" s="49"/>
      <c r="AN54" s="49">
        <v>-0.5</v>
      </c>
      <c r="AO54" s="49">
        <v>-0.5</v>
      </c>
      <c r="AP54" s="49"/>
      <c r="AR54" s="127"/>
    </row>
    <row r="55">
      <c r="A55" s="73"/>
      <c r="B55" s="73"/>
      <c r="C55" s="73"/>
      <c r="D55" s="73"/>
      <c r="E55" s="73"/>
      <c r="F55" s="77"/>
      <c r="G55" s="77"/>
      <c r="H55" s="73"/>
      <c r="I55" s="77" t="str">
        <f t="shared" si="7"/>
        <v>#VALUE!</v>
      </c>
      <c r="J55" s="77" t="str">
        <f t="shared" si="8"/>
        <v>#DIV/0!</v>
      </c>
      <c r="K55" s="83" t="str">
        <f t="shared" si="9"/>
        <v>#VALUE!</v>
      </c>
      <c r="L55" s="83" t="str">
        <f t="shared" si="10"/>
        <v>#DIV/0!</v>
      </c>
      <c r="M55" s="77" t="str">
        <f t="shared" si="11"/>
        <v>#VALUE!</v>
      </c>
      <c r="N55" s="77" t="str">
        <f t="shared" si="12"/>
        <v>#VALUE!</v>
      </c>
      <c r="O55" s="77" t="str">
        <f t="shared" si="20"/>
        <v>#VALUE!</v>
      </c>
      <c r="P55" s="46" t="str">
        <f t="shared" si="18"/>
        <v>#VALUE!</v>
      </c>
      <c r="Q55" s="140"/>
      <c r="R55" s="77" t="str">
        <f t="shared" si="15"/>
        <v>#VALUE!</v>
      </c>
      <c r="AL55" s="49"/>
      <c r="AM55" s="49"/>
      <c r="AN55" s="49">
        <v>-0.5</v>
      </c>
      <c r="AO55" s="49">
        <v>-0.5</v>
      </c>
      <c r="AP55" s="49"/>
      <c r="AR55" s="127"/>
    </row>
    <row r="56">
      <c r="A56" s="73"/>
      <c r="B56" s="73"/>
      <c r="C56" s="73"/>
      <c r="D56" s="73"/>
      <c r="E56" s="73"/>
      <c r="F56" s="77"/>
      <c r="G56" s="77"/>
      <c r="H56" s="73"/>
      <c r="I56" s="77" t="str">
        <f t="shared" si="7"/>
        <v>#VALUE!</v>
      </c>
      <c r="J56" s="77" t="str">
        <f t="shared" si="8"/>
        <v>#DIV/0!</v>
      </c>
      <c r="K56" s="83" t="str">
        <f t="shared" si="9"/>
        <v>#VALUE!</v>
      </c>
      <c r="L56" s="83" t="str">
        <f t="shared" si="10"/>
        <v>#DIV/0!</v>
      </c>
      <c r="M56" s="77" t="str">
        <f t="shared" si="11"/>
        <v>#VALUE!</v>
      </c>
      <c r="N56" s="77" t="str">
        <f t="shared" si="12"/>
        <v>#VALUE!</v>
      </c>
      <c r="O56" s="77" t="str">
        <f t="shared" si="20"/>
        <v>#VALUE!</v>
      </c>
      <c r="P56" s="46" t="str">
        <f t="shared" si="18"/>
        <v>#VALUE!</v>
      </c>
      <c r="Q56" s="140"/>
      <c r="R56" s="77" t="str">
        <f t="shared" si="15"/>
        <v>#VALUE!</v>
      </c>
      <c r="AL56" s="49"/>
      <c r="AM56" s="49"/>
      <c r="AN56" s="49">
        <v>-0.5</v>
      </c>
      <c r="AO56" s="49">
        <v>-0.5</v>
      </c>
      <c r="AP56" s="49"/>
      <c r="AR56" s="127"/>
    </row>
    <row r="57">
      <c r="A57" s="73"/>
      <c r="B57" s="73"/>
      <c r="C57" s="73"/>
      <c r="D57" s="73"/>
      <c r="E57" s="73"/>
      <c r="F57" s="77"/>
      <c r="G57" s="77"/>
      <c r="H57" s="73"/>
      <c r="I57" s="77" t="str">
        <f t="shared" si="7"/>
        <v>#VALUE!</v>
      </c>
      <c r="J57" s="77" t="str">
        <f t="shared" si="8"/>
        <v>#DIV/0!</v>
      </c>
      <c r="K57" s="83" t="str">
        <f t="shared" si="9"/>
        <v>#VALUE!</v>
      </c>
      <c r="L57" s="83" t="str">
        <f t="shared" si="10"/>
        <v>#DIV/0!</v>
      </c>
      <c r="M57" s="77" t="str">
        <f t="shared" si="11"/>
        <v>#VALUE!</v>
      </c>
      <c r="N57" s="77" t="str">
        <f t="shared" si="12"/>
        <v>#VALUE!</v>
      </c>
      <c r="O57" s="77" t="str">
        <f t="shared" si="20"/>
        <v>#VALUE!</v>
      </c>
      <c r="P57" s="46" t="str">
        <f t="shared" si="18"/>
        <v>#VALUE!</v>
      </c>
      <c r="Q57" s="140"/>
      <c r="R57" s="77" t="str">
        <f t="shared" si="15"/>
        <v>#VALUE!</v>
      </c>
      <c r="AL57" s="49"/>
      <c r="AM57" s="49"/>
      <c r="AN57" s="49">
        <v>-0.5</v>
      </c>
      <c r="AO57" s="49">
        <v>-0.5</v>
      </c>
      <c r="AP57" s="49"/>
      <c r="AR57" s="127"/>
    </row>
    <row r="58">
      <c r="A58" s="73"/>
      <c r="B58" s="73"/>
      <c r="C58" s="73"/>
      <c r="D58" s="73"/>
      <c r="E58" s="73"/>
      <c r="F58" s="77"/>
      <c r="G58" s="77"/>
      <c r="H58" s="73"/>
      <c r="I58" s="77" t="str">
        <f t="shared" si="7"/>
        <v>#VALUE!</v>
      </c>
      <c r="J58" s="77" t="str">
        <f t="shared" si="8"/>
        <v>#DIV/0!</v>
      </c>
      <c r="K58" s="83" t="str">
        <f t="shared" si="9"/>
        <v>#VALUE!</v>
      </c>
      <c r="L58" s="83" t="str">
        <f t="shared" si="10"/>
        <v>#DIV/0!</v>
      </c>
      <c r="M58" s="77" t="str">
        <f t="shared" si="11"/>
        <v>#VALUE!</v>
      </c>
      <c r="N58" s="77" t="str">
        <f t="shared" si="12"/>
        <v>#VALUE!</v>
      </c>
      <c r="O58" s="77" t="str">
        <f t="shared" si="20"/>
        <v>#VALUE!</v>
      </c>
      <c r="P58" s="46" t="str">
        <f t="shared" si="18"/>
        <v>#VALUE!</v>
      </c>
      <c r="Q58" s="140"/>
      <c r="R58" s="77" t="str">
        <f t="shared" si="15"/>
        <v>#VALUE!</v>
      </c>
      <c r="AL58" s="49"/>
      <c r="AM58" s="49"/>
      <c r="AN58" s="49">
        <v>-0.5</v>
      </c>
      <c r="AO58" s="49">
        <v>-0.5</v>
      </c>
      <c r="AP58" s="49"/>
      <c r="AR58" s="127"/>
    </row>
    <row r="59">
      <c r="A59" s="73"/>
      <c r="B59" s="73"/>
      <c r="C59" s="73"/>
      <c r="D59" s="73"/>
      <c r="E59" s="73"/>
      <c r="F59" s="77"/>
      <c r="G59" s="77"/>
      <c r="H59" s="73"/>
      <c r="I59" s="77" t="str">
        <f t="shared" si="7"/>
        <v>#VALUE!</v>
      </c>
      <c r="J59" s="77" t="str">
        <f t="shared" si="8"/>
        <v>#DIV/0!</v>
      </c>
      <c r="K59" s="83" t="str">
        <f t="shared" si="9"/>
        <v>#VALUE!</v>
      </c>
      <c r="L59" s="83" t="str">
        <f t="shared" si="10"/>
        <v>#DIV/0!</v>
      </c>
      <c r="M59" s="77" t="str">
        <f t="shared" si="11"/>
        <v>#VALUE!</v>
      </c>
      <c r="N59" s="77" t="str">
        <f t="shared" si="12"/>
        <v>#VALUE!</v>
      </c>
      <c r="O59" s="77" t="str">
        <f t="shared" si="20"/>
        <v>#VALUE!</v>
      </c>
      <c r="P59" s="46" t="str">
        <f t="shared" si="18"/>
        <v>#VALUE!</v>
      </c>
      <c r="Q59" s="140"/>
      <c r="R59" s="77" t="str">
        <f t="shared" si="15"/>
        <v>#VALUE!</v>
      </c>
      <c r="AL59" s="49"/>
      <c r="AM59" s="49"/>
      <c r="AN59" s="49">
        <v>-0.5</v>
      </c>
      <c r="AO59" s="49">
        <v>-0.5</v>
      </c>
      <c r="AP59" s="49"/>
      <c r="AR59" s="127"/>
    </row>
    <row r="60">
      <c r="A60" s="73"/>
      <c r="B60" s="73"/>
      <c r="C60" s="73"/>
      <c r="D60" s="73"/>
      <c r="E60" s="73"/>
      <c r="F60" s="77"/>
      <c r="G60" s="77"/>
      <c r="H60" s="73"/>
      <c r="I60" s="77" t="str">
        <f t="shared" si="7"/>
        <v>#VALUE!</v>
      </c>
      <c r="J60" s="77" t="str">
        <f t="shared" si="8"/>
        <v>#DIV/0!</v>
      </c>
      <c r="K60" s="83" t="str">
        <f t="shared" si="9"/>
        <v>#VALUE!</v>
      </c>
      <c r="L60" s="83" t="str">
        <f t="shared" si="10"/>
        <v>#DIV/0!</v>
      </c>
      <c r="M60" s="77" t="str">
        <f t="shared" si="11"/>
        <v>#VALUE!</v>
      </c>
      <c r="N60" s="77" t="str">
        <f t="shared" si="12"/>
        <v>#VALUE!</v>
      </c>
      <c r="O60" s="77" t="str">
        <f t="shared" si="20"/>
        <v>#VALUE!</v>
      </c>
      <c r="P60" s="46" t="str">
        <f t="shared" si="18"/>
        <v>#VALUE!</v>
      </c>
      <c r="Q60" s="140"/>
      <c r="R60" s="77" t="str">
        <f t="shared" si="15"/>
        <v>#VALUE!</v>
      </c>
      <c r="AL60" s="49"/>
      <c r="AM60" s="49"/>
      <c r="AN60" s="49">
        <v>-0.5</v>
      </c>
      <c r="AO60" s="49">
        <v>-0.5</v>
      </c>
      <c r="AP60" s="49"/>
      <c r="AR60" s="127"/>
    </row>
    <row r="61">
      <c r="A61" s="73"/>
      <c r="B61" s="73"/>
      <c r="C61" s="73"/>
      <c r="D61" s="73"/>
      <c r="E61" s="73"/>
      <c r="F61" s="77"/>
      <c r="G61" s="77"/>
      <c r="H61" s="73"/>
      <c r="I61" s="77" t="str">
        <f t="shared" si="7"/>
        <v>#VALUE!</v>
      </c>
      <c r="J61" s="77" t="str">
        <f t="shared" si="8"/>
        <v>#DIV/0!</v>
      </c>
      <c r="K61" s="83" t="str">
        <f t="shared" si="9"/>
        <v>#VALUE!</v>
      </c>
      <c r="L61" s="83" t="str">
        <f t="shared" si="10"/>
        <v>#DIV/0!</v>
      </c>
      <c r="M61" s="77" t="str">
        <f t="shared" si="11"/>
        <v>#VALUE!</v>
      </c>
      <c r="N61" s="77" t="str">
        <f t="shared" si="12"/>
        <v>#VALUE!</v>
      </c>
      <c r="O61" s="77" t="str">
        <f t="shared" si="20"/>
        <v>#VALUE!</v>
      </c>
      <c r="P61" s="46" t="str">
        <f t="shared" si="18"/>
        <v>#VALUE!</v>
      </c>
      <c r="Q61" s="140"/>
      <c r="R61" s="77" t="str">
        <f t="shared" si="15"/>
        <v>#VALUE!</v>
      </c>
      <c r="AL61" s="49"/>
      <c r="AM61" s="49"/>
      <c r="AN61" s="49">
        <v>-0.5</v>
      </c>
      <c r="AO61" s="49">
        <v>-0.5</v>
      </c>
      <c r="AP61" s="49"/>
      <c r="AR61" s="127"/>
    </row>
    <row r="62">
      <c r="A62" s="73"/>
      <c r="B62" s="73"/>
      <c r="C62" s="73"/>
      <c r="D62" s="73"/>
      <c r="E62" s="73"/>
      <c r="F62" s="77"/>
      <c r="G62" s="77"/>
      <c r="H62" s="73"/>
      <c r="I62" s="77" t="str">
        <f t="shared" si="7"/>
        <v>#VALUE!</v>
      </c>
      <c r="J62" s="77" t="str">
        <f t="shared" si="8"/>
        <v>#DIV/0!</v>
      </c>
      <c r="K62" s="83" t="str">
        <f t="shared" si="9"/>
        <v>#VALUE!</v>
      </c>
      <c r="L62" s="83" t="str">
        <f t="shared" si="10"/>
        <v>#DIV/0!</v>
      </c>
      <c r="M62" s="77" t="str">
        <f t="shared" si="11"/>
        <v>#VALUE!</v>
      </c>
      <c r="N62" s="77" t="str">
        <f t="shared" si="12"/>
        <v>#VALUE!</v>
      </c>
      <c r="O62" s="77" t="str">
        <f t="shared" si="20"/>
        <v>#VALUE!</v>
      </c>
      <c r="P62" s="46" t="str">
        <f t="shared" si="18"/>
        <v>#VALUE!</v>
      </c>
      <c r="Q62" s="140"/>
      <c r="R62" s="77" t="str">
        <f t="shared" si="15"/>
        <v>#VALUE!</v>
      </c>
      <c r="AL62" s="49"/>
      <c r="AM62" s="49"/>
      <c r="AN62" s="49">
        <v>-0.5</v>
      </c>
      <c r="AO62" s="49">
        <v>-0.5</v>
      </c>
      <c r="AP62" s="49"/>
      <c r="AR62" s="127"/>
    </row>
    <row r="63">
      <c r="A63" s="73"/>
      <c r="B63" s="73"/>
      <c r="C63" s="73"/>
      <c r="D63" s="73"/>
      <c r="E63" s="73"/>
      <c r="F63" s="77"/>
      <c r="G63" s="77"/>
      <c r="H63" s="73"/>
      <c r="I63" s="77" t="str">
        <f t="shared" si="7"/>
        <v>#VALUE!</v>
      </c>
      <c r="J63" s="77" t="str">
        <f t="shared" si="8"/>
        <v>#DIV/0!</v>
      </c>
      <c r="K63" s="83" t="str">
        <f t="shared" si="9"/>
        <v>#VALUE!</v>
      </c>
      <c r="L63" s="83" t="str">
        <f t="shared" si="10"/>
        <v>#DIV/0!</v>
      </c>
      <c r="M63" s="77" t="str">
        <f t="shared" si="11"/>
        <v>#VALUE!</v>
      </c>
      <c r="N63" s="77" t="str">
        <f t="shared" si="12"/>
        <v>#VALUE!</v>
      </c>
      <c r="O63" s="77" t="str">
        <f t="shared" si="20"/>
        <v>#VALUE!</v>
      </c>
      <c r="P63" s="46" t="str">
        <f t="shared" si="18"/>
        <v>#VALUE!</v>
      </c>
      <c r="Q63" s="140"/>
      <c r="R63" s="77" t="str">
        <f t="shared" si="15"/>
        <v>#VALUE!</v>
      </c>
      <c r="AL63" s="49"/>
      <c r="AM63" s="49"/>
      <c r="AN63" s="49">
        <v>-0.5</v>
      </c>
      <c r="AO63" s="49">
        <v>-0.5</v>
      </c>
      <c r="AP63" s="49"/>
      <c r="AR63" s="127"/>
    </row>
    <row r="64">
      <c r="A64" s="73"/>
      <c r="B64" s="73"/>
      <c r="C64" s="73"/>
      <c r="D64" s="73"/>
      <c r="E64" s="73"/>
      <c r="F64" s="77"/>
      <c r="G64" s="77"/>
      <c r="H64" s="73"/>
      <c r="I64" s="77" t="str">
        <f t="shared" si="7"/>
        <v>#VALUE!</v>
      </c>
      <c r="J64" s="77" t="str">
        <f t="shared" si="8"/>
        <v>#DIV/0!</v>
      </c>
      <c r="K64" s="83" t="str">
        <f t="shared" si="9"/>
        <v>#VALUE!</v>
      </c>
      <c r="L64" s="83" t="str">
        <f t="shared" si="10"/>
        <v>#DIV/0!</v>
      </c>
      <c r="M64" s="77" t="str">
        <f t="shared" si="11"/>
        <v>#VALUE!</v>
      </c>
      <c r="N64" s="77" t="str">
        <f t="shared" si="12"/>
        <v>#VALUE!</v>
      </c>
      <c r="O64" s="77" t="str">
        <f t="shared" si="20"/>
        <v>#VALUE!</v>
      </c>
      <c r="P64" s="46" t="str">
        <f t="shared" si="18"/>
        <v>#VALUE!</v>
      </c>
      <c r="Q64" s="140"/>
      <c r="R64" s="77" t="str">
        <f t="shared" si="15"/>
        <v>#VALUE!</v>
      </c>
      <c r="AL64" s="49"/>
      <c r="AM64" s="49"/>
      <c r="AN64" s="49">
        <v>-0.5</v>
      </c>
      <c r="AO64" s="49">
        <v>-0.5</v>
      </c>
      <c r="AP64" s="49"/>
      <c r="AR64" s="127"/>
    </row>
    <row r="65">
      <c r="A65" s="73"/>
      <c r="B65" s="73"/>
      <c r="C65" s="73"/>
      <c r="D65" s="73"/>
      <c r="E65" s="73"/>
      <c r="F65" s="77"/>
      <c r="G65" s="77"/>
      <c r="H65" s="73"/>
      <c r="I65" s="77" t="str">
        <f t="shared" si="7"/>
        <v>#VALUE!</v>
      </c>
      <c r="J65" s="77" t="str">
        <f t="shared" si="8"/>
        <v>#DIV/0!</v>
      </c>
      <c r="K65" s="83" t="str">
        <f t="shared" si="9"/>
        <v>#VALUE!</v>
      </c>
      <c r="L65" s="83" t="str">
        <f t="shared" si="10"/>
        <v>#DIV/0!</v>
      </c>
      <c r="M65" s="77" t="str">
        <f t="shared" si="11"/>
        <v>#VALUE!</v>
      </c>
      <c r="N65" s="77" t="str">
        <f t="shared" si="12"/>
        <v>#VALUE!</v>
      </c>
      <c r="O65" s="77" t="str">
        <f t="shared" si="20"/>
        <v>#VALUE!</v>
      </c>
      <c r="P65" s="46" t="str">
        <f t="shared" si="18"/>
        <v>#VALUE!</v>
      </c>
      <c r="Q65" s="140"/>
      <c r="R65" s="77" t="str">
        <f t="shared" si="15"/>
        <v>#VALUE!</v>
      </c>
      <c r="AL65" s="49"/>
      <c r="AM65" s="49"/>
      <c r="AN65" s="49">
        <v>-0.5</v>
      </c>
      <c r="AO65" s="49">
        <v>-0.5</v>
      </c>
      <c r="AP65" s="49"/>
      <c r="AR65" s="127"/>
    </row>
    <row r="66">
      <c r="A66" s="73"/>
      <c r="B66" s="73"/>
      <c r="C66" s="73"/>
      <c r="D66" s="73"/>
      <c r="E66" s="73"/>
      <c r="F66" s="77"/>
      <c r="G66" s="77"/>
      <c r="H66" s="73"/>
      <c r="I66" s="77" t="str">
        <f t="shared" si="7"/>
        <v>#VALUE!</v>
      </c>
      <c r="J66" s="77" t="str">
        <f t="shared" si="8"/>
        <v>#DIV/0!</v>
      </c>
      <c r="K66" s="83" t="str">
        <f t="shared" si="9"/>
        <v>#VALUE!</v>
      </c>
      <c r="L66" s="83" t="str">
        <f t="shared" si="10"/>
        <v>#DIV/0!</v>
      </c>
      <c r="M66" s="77" t="str">
        <f t="shared" si="11"/>
        <v>#VALUE!</v>
      </c>
      <c r="N66" s="77" t="str">
        <f t="shared" si="12"/>
        <v>#VALUE!</v>
      </c>
      <c r="O66" s="77" t="str">
        <f t="shared" si="20"/>
        <v>#VALUE!</v>
      </c>
      <c r="P66" s="46" t="str">
        <f t="shared" si="18"/>
        <v>#VALUE!</v>
      </c>
      <c r="Q66" s="140"/>
      <c r="R66" s="77" t="str">
        <f t="shared" si="15"/>
        <v>#VALUE!</v>
      </c>
      <c r="AL66" s="49"/>
      <c r="AM66" s="49"/>
      <c r="AN66" s="49">
        <v>-0.5</v>
      </c>
      <c r="AO66" s="49">
        <v>-0.5</v>
      </c>
      <c r="AP66" s="49"/>
      <c r="AR66" s="127"/>
    </row>
    <row r="67">
      <c r="A67" s="73"/>
      <c r="B67" s="73"/>
      <c r="C67" s="73"/>
      <c r="D67" s="73"/>
      <c r="E67" s="73"/>
      <c r="F67" s="77"/>
      <c r="G67" s="77"/>
      <c r="H67" s="73"/>
      <c r="I67" s="77" t="str">
        <f t="shared" si="7"/>
        <v>#VALUE!</v>
      </c>
      <c r="J67" s="77" t="str">
        <f t="shared" si="8"/>
        <v>#DIV/0!</v>
      </c>
      <c r="K67" s="83" t="str">
        <f t="shared" si="9"/>
        <v>#VALUE!</v>
      </c>
      <c r="L67" s="83" t="str">
        <f t="shared" si="10"/>
        <v>#DIV/0!</v>
      </c>
      <c r="M67" s="77" t="str">
        <f t="shared" si="11"/>
        <v>#VALUE!</v>
      </c>
      <c r="N67" s="77" t="str">
        <f t="shared" si="12"/>
        <v>#VALUE!</v>
      </c>
      <c r="O67" s="77" t="str">
        <f t="shared" si="20"/>
        <v>#VALUE!</v>
      </c>
      <c r="P67" s="46" t="str">
        <f t="shared" si="18"/>
        <v>#VALUE!</v>
      </c>
      <c r="Q67" s="140"/>
      <c r="R67" s="77" t="str">
        <f t="shared" si="15"/>
        <v>#VALUE!</v>
      </c>
      <c r="AL67" s="49"/>
      <c r="AM67" s="49"/>
      <c r="AN67" s="49">
        <v>-0.5</v>
      </c>
      <c r="AO67" s="49">
        <v>-0.5</v>
      </c>
      <c r="AP67" s="49"/>
      <c r="AR67" s="127"/>
    </row>
    <row r="68">
      <c r="A68" s="73"/>
      <c r="B68" s="73"/>
      <c r="C68" s="73"/>
      <c r="D68" s="73"/>
      <c r="E68" s="73"/>
      <c r="F68" s="77"/>
      <c r="G68" s="77"/>
      <c r="H68" s="73"/>
      <c r="I68" s="77" t="str">
        <f t="shared" si="7"/>
        <v>#VALUE!</v>
      </c>
      <c r="J68" s="77" t="str">
        <f t="shared" si="8"/>
        <v>#DIV/0!</v>
      </c>
      <c r="K68" s="83" t="str">
        <f t="shared" si="9"/>
        <v>#VALUE!</v>
      </c>
      <c r="L68" s="83" t="str">
        <f t="shared" si="10"/>
        <v>#DIV/0!</v>
      </c>
      <c r="M68" s="77" t="str">
        <f t="shared" si="11"/>
        <v>#VALUE!</v>
      </c>
      <c r="N68" s="77" t="str">
        <f t="shared" si="12"/>
        <v>#VALUE!</v>
      </c>
      <c r="O68" s="77" t="str">
        <f t="shared" si="20"/>
        <v>#VALUE!</v>
      </c>
      <c r="P68" s="46" t="str">
        <f t="shared" si="18"/>
        <v>#VALUE!</v>
      </c>
      <c r="Q68" s="140"/>
      <c r="R68" s="77" t="str">
        <f t="shared" si="15"/>
        <v>#VALUE!</v>
      </c>
      <c r="AL68" s="49"/>
      <c r="AM68" s="49"/>
      <c r="AN68" s="49">
        <v>-0.5</v>
      </c>
      <c r="AO68" s="49">
        <v>-0.5</v>
      </c>
      <c r="AP68" s="49"/>
      <c r="AR68" s="127"/>
    </row>
    <row r="69">
      <c r="A69" s="73"/>
      <c r="B69" s="73"/>
      <c r="C69" s="73"/>
      <c r="D69" s="73"/>
      <c r="E69" s="73"/>
      <c r="F69" s="77"/>
      <c r="G69" s="77"/>
      <c r="H69" s="73"/>
      <c r="I69" s="77" t="str">
        <f t="shared" si="7"/>
        <v>#VALUE!</v>
      </c>
      <c r="J69" s="77" t="str">
        <f t="shared" si="8"/>
        <v>#DIV/0!</v>
      </c>
      <c r="K69" s="83" t="str">
        <f t="shared" si="9"/>
        <v>#VALUE!</v>
      </c>
      <c r="L69" s="83" t="str">
        <f t="shared" si="10"/>
        <v>#DIV/0!</v>
      </c>
      <c r="M69" s="77" t="str">
        <f t="shared" si="11"/>
        <v>#VALUE!</v>
      </c>
      <c r="N69" s="77" t="str">
        <f t="shared" si="12"/>
        <v>#VALUE!</v>
      </c>
      <c r="O69" s="77" t="str">
        <f t="shared" si="20"/>
        <v>#VALUE!</v>
      </c>
      <c r="P69" s="46" t="str">
        <f t="shared" si="18"/>
        <v>#VALUE!</v>
      </c>
      <c r="Q69" s="140"/>
      <c r="R69" s="77" t="str">
        <f t="shared" si="15"/>
        <v>#VALUE!</v>
      </c>
      <c r="AL69" s="49"/>
      <c r="AM69" s="49"/>
      <c r="AN69" s="49">
        <v>-0.5</v>
      </c>
      <c r="AO69" s="49">
        <v>-0.5</v>
      </c>
      <c r="AP69" s="49"/>
      <c r="AR69" s="127"/>
    </row>
    <row r="70">
      <c r="F70" s="77"/>
      <c r="G70" s="77"/>
      <c r="R70" s="223"/>
      <c r="AL70" s="49"/>
      <c r="AM70" s="49"/>
      <c r="AN70" s="49">
        <v>-0.5</v>
      </c>
      <c r="AO70" s="49">
        <v>-0.5</v>
      </c>
      <c r="AP70" s="49"/>
      <c r="AR70" s="127"/>
    </row>
    <row r="71">
      <c r="F71" s="77"/>
      <c r="G71" s="77"/>
      <c r="R71" s="223"/>
      <c r="AL71" s="49"/>
      <c r="AM71" s="49"/>
      <c r="AN71" s="49">
        <v>-0.5</v>
      </c>
      <c r="AO71" s="49">
        <v>-0.5</v>
      </c>
      <c r="AP71" s="49"/>
      <c r="AR71" s="127"/>
    </row>
    <row r="72">
      <c r="F72" s="77"/>
      <c r="G72" s="77"/>
      <c r="R72" s="223"/>
      <c r="AL72" s="49"/>
      <c r="AM72" s="49"/>
      <c r="AN72" s="49">
        <v>-0.5</v>
      </c>
      <c r="AO72" s="49">
        <v>-0.5</v>
      </c>
      <c r="AP72" s="49"/>
      <c r="AR72" s="127"/>
    </row>
    <row r="73">
      <c r="F73" s="77"/>
      <c r="G73" s="77"/>
      <c r="R73" s="223"/>
      <c r="AL73" s="49"/>
      <c r="AM73" s="49"/>
      <c r="AN73" s="49">
        <v>-0.5</v>
      </c>
      <c r="AO73" s="49">
        <v>-0.5</v>
      </c>
      <c r="AP73" s="49"/>
      <c r="AR73" s="127"/>
    </row>
    <row r="74">
      <c r="F74" s="77"/>
      <c r="G74" s="77"/>
      <c r="R74" s="223"/>
      <c r="AL74" s="49"/>
      <c r="AM74" s="49"/>
      <c r="AN74" s="49">
        <v>-0.5</v>
      </c>
      <c r="AO74" s="49">
        <v>-0.5</v>
      </c>
      <c r="AP74" s="49"/>
      <c r="AR74" s="127"/>
    </row>
    <row r="75">
      <c r="F75" s="77"/>
      <c r="G75" s="77"/>
      <c r="R75" s="223"/>
      <c r="AL75" s="49"/>
      <c r="AM75" s="49"/>
      <c r="AN75" s="49">
        <v>-0.5</v>
      </c>
      <c r="AO75" s="49">
        <v>-0.5</v>
      </c>
      <c r="AP75" s="49"/>
      <c r="AR75" s="127"/>
    </row>
    <row r="76">
      <c r="F76" s="77"/>
      <c r="G76" s="77"/>
      <c r="R76" s="223"/>
      <c r="AL76" s="49"/>
      <c r="AM76" s="49"/>
      <c r="AN76" s="49">
        <v>-0.5</v>
      </c>
      <c r="AO76" s="49">
        <v>-0.5</v>
      </c>
      <c r="AP76" s="49"/>
      <c r="AR76" s="127"/>
    </row>
    <row r="77">
      <c r="F77" s="77"/>
      <c r="G77" s="77"/>
      <c r="R77" s="223"/>
      <c r="AL77" s="49"/>
      <c r="AM77" s="49"/>
      <c r="AN77" s="49">
        <v>-0.5</v>
      </c>
      <c r="AO77" s="49">
        <v>-0.5</v>
      </c>
      <c r="AP77" s="49"/>
      <c r="AR77" s="127"/>
    </row>
    <row r="78">
      <c r="F78" s="77"/>
      <c r="G78" s="77"/>
      <c r="R78" s="223"/>
      <c r="AL78" s="49"/>
      <c r="AM78" s="49"/>
      <c r="AN78" s="49">
        <v>-0.5</v>
      </c>
      <c r="AO78" s="49">
        <v>-0.5</v>
      </c>
      <c r="AP78" s="49"/>
      <c r="AR78" s="127"/>
    </row>
    <row r="79">
      <c r="F79" s="77"/>
      <c r="G79" s="77"/>
      <c r="R79" s="223"/>
      <c r="AL79" s="49"/>
      <c r="AM79" s="49"/>
      <c r="AN79" s="49">
        <v>-0.5</v>
      </c>
      <c r="AO79" s="49">
        <v>-0.5</v>
      </c>
      <c r="AP79" s="49"/>
      <c r="AR79" s="127"/>
    </row>
    <row r="80">
      <c r="F80" s="77"/>
      <c r="G80" s="77"/>
      <c r="R80" s="223"/>
      <c r="AL80" s="49"/>
      <c r="AM80" s="49"/>
      <c r="AN80" s="49">
        <v>-0.5</v>
      </c>
      <c r="AO80" s="49">
        <v>-0.5</v>
      </c>
      <c r="AP80" s="49"/>
      <c r="AR80" s="127"/>
    </row>
    <row r="81">
      <c r="F81" s="77"/>
      <c r="G81" s="77"/>
      <c r="R81" s="223"/>
      <c r="AL81" s="49"/>
      <c r="AM81" s="49"/>
      <c r="AN81" s="49">
        <v>-0.5</v>
      </c>
      <c r="AO81" s="49">
        <v>-0.5</v>
      </c>
      <c r="AP81" s="49"/>
      <c r="AR81" s="127"/>
    </row>
    <row r="82">
      <c r="F82" s="77"/>
      <c r="G82" s="77"/>
      <c r="R82" s="223"/>
      <c r="AL82" s="49"/>
      <c r="AM82" s="49"/>
      <c r="AN82" s="49">
        <v>-0.5</v>
      </c>
      <c r="AO82" s="49">
        <v>-0.5</v>
      </c>
      <c r="AP82" s="49"/>
      <c r="AR82" s="127"/>
    </row>
    <row r="83">
      <c r="F83" s="77"/>
      <c r="G83" s="77"/>
      <c r="R83" s="223"/>
      <c r="AL83" s="49"/>
      <c r="AM83" s="49"/>
      <c r="AN83" s="49">
        <v>-0.5</v>
      </c>
      <c r="AO83" s="49">
        <v>-0.5</v>
      </c>
      <c r="AP83" s="49"/>
      <c r="AR83" s="127"/>
    </row>
    <row r="84">
      <c r="F84" s="77"/>
      <c r="G84" s="77"/>
      <c r="R84" s="223"/>
      <c r="AL84" s="49"/>
      <c r="AM84" s="49"/>
      <c r="AN84" s="49">
        <v>-0.5</v>
      </c>
      <c r="AO84" s="49">
        <v>-0.5</v>
      </c>
      <c r="AP84" s="49"/>
      <c r="AR84" s="127"/>
    </row>
    <row r="85">
      <c r="F85" s="77"/>
      <c r="G85" s="77"/>
      <c r="R85" s="223"/>
      <c r="AL85" s="49"/>
      <c r="AM85" s="49"/>
      <c r="AN85" s="49">
        <v>-0.5</v>
      </c>
      <c r="AO85" s="49">
        <v>-0.5</v>
      </c>
      <c r="AP85" s="49"/>
      <c r="AR85" s="127"/>
    </row>
    <row r="86">
      <c r="F86" s="77"/>
      <c r="G86" s="77"/>
      <c r="R86" s="223"/>
      <c r="AL86" s="49"/>
      <c r="AM86" s="49"/>
      <c r="AN86" s="49">
        <v>-0.5</v>
      </c>
      <c r="AO86" s="49">
        <v>-0.5</v>
      </c>
      <c r="AP86" s="49"/>
      <c r="AR86" s="127"/>
    </row>
    <row r="87">
      <c r="F87" s="77"/>
      <c r="G87" s="77"/>
      <c r="R87" s="223"/>
      <c r="AL87" s="49"/>
      <c r="AM87" s="49"/>
      <c r="AN87" s="49">
        <v>-0.5</v>
      </c>
      <c r="AO87" s="49">
        <v>-0.5</v>
      </c>
      <c r="AP87" s="49"/>
      <c r="AR87" s="127"/>
    </row>
    <row r="88">
      <c r="F88" s="77"/>
      <c r="G88" s="77"/>
      <c r="R88" s="223"/>
      <c r="AL88" s="49"/>
      <c r="AM88" s="49"/>
      <c r="AN88" s="49">
        <v>-0.5</v>
      </c>
      <c r="AO88" s="49">
        <v>-0.5</v>
      </c>
      <c r="AP88" s="49"/>
      <c r="AR88" s="127"/>
    </row>
    <row r="89">
      <c r="F89" s="77"/>
      <c r="G89" s="77"/>
      <c r="R89" s="223"/>
      <c r="AL89" s="49"/>
      <c r="AM89" s="49"/>
      <c r="AN89" s="49">
        <v>-0.5</v>
      </c>
      <c r="AO89" s="49">
        <v>-0.5</v>
      </c>
      <c r="AP89" s="49"/>
      <c r="AR89" s="127"/>
    </row>
    <row r="90">
      <c r="F90" s="77"/>
      <c r="G90" s="77"/>
      <c r="R90" s="223"/>
      <c r="AL90" s="49"/>
      <c r="AM90" s="49"/>
      <c r="AN90" s="49">
        <v>-0.5</v>
      </c>
      <c r="AO90" s="49">
        <v>-0.5</v>
      </c>
      <c r="AP90" s="49"/>
      <c r="AR90" s="127"/>
    </row>
    <row r="91">
      <c r="F91" s="77"/>
      <c r="G91" s="77"/>
      <c r="R91" s="223"/>
      <c r="AL91" s="49"/>
      <c r="AM91" s="49"/>
      <c r="AN91" s="49">
        <v>-0.5</v>
      </c>
      <c r="AO91" s="49">
        <v>-0.5</v>
      </c>
      <c r="AP91" s="49"/>
      <c r="AR91" s="127">
        <f>IFERROR(__xludf.DUMMYFUNCTION("SPLIT(AN91,""*"")"),-0.5)</f>
        <v>-0.5</v>
      </c>
    </row>
    <row r="92">
      <c r="F92" s="77"/>
      <c r="G92" s="77"/>
      <c r="R92" s="223"/>
      <c r="AL92" s="49"/>
      <c r="AM92" s="49"/>
      <c r="AN92" s="49">
        <v>-0.5</v>
      </c>
      <c r="AO92" s="49">
        <v>-0.5</v>
      </c>
      <c r="AP92" s="49"/>
      <c r="AR92" s="127">
        <f>IFERROR(__xludf.DUMMYFUNCTION("SPLIT(AN92,""*"")"),-0.5)</f>
        <v>-0.5</v>
      </c>
    </row>
    <row r="93">
      <c r="F93" s="77"/>
      <c r="G93" s="77"/>
      <c r="R93" s="223"/>
      <c r="AL93" s="49"/>
      <c r="AM93" s="49"/>
      <c r="AN93" s="49">
        <v>-0.5</v>
      </c>
      <c r="AO93" s="49">
        <v>-0.5</v>
      </c>
      <c r="AP93" s="49"/>
      <c r="AR93" s="127">
        <f>IFERROR(__xludf.DUMMYFUNCTION("SPLIT(AN93,""*"")"),-0.5)</f>
        <v>-0.5</v>
      </c>
    </row>
    <row r="94">
      <c r="F94" s="77"/>
      <c r="G94" s="77"/>
      <c r="R94" s="223"/>
      <c r="AL94" s="49"/>
      <c r="AM94" s="49"/>
      <c r="AN94" s="49">
        <v>-0.5</v>
      </c>
      <c r="AO94" s="49">
        <v>-0.5</v>
      </c>
      <c r="AP94" s="49"/>
      <c r="AR94" s="127">
        <f>IFERROR(__xludf.DUMMYFUNCTION("SPLIT(AN94,""*"")"),-0.5)</f>
        <v>-0.5</v>
      </c>
    </row>
    <row r="95">
      <c r="F95" s="77"/>
      <c r="G95" s="77"/>
      <c r="R95" s="223"/>
      <c r="AL95" s="49"/>
      <c r="AM95" s="49"/>
      <c r="AN95" s="49">
        <v>-0.5</v>
      </c>
      <c r="AO95" s="49">
        <v>-0.5</v>
      </c>
      <c r="AP95" s="49"/>
      <c r="AR95" s="127">
        <f>IFERROR(__xludf.DUMMYFUNCTION("SPLIT(AN95,""*"")"),-0.5)</f>
        <v>-0.5</v>
      </c>
    </row>
    <row r="96">
      <c r="F96" s="77"/>
      <c r="G96" s="77"/>
      <c r="R96" s="223"/>
      <c r="AL96" s="49"/>
      <c r="AM96" s="49"/>
      <c r="AN96" s="49">
        <v>-0.5</v>
      </c>
      <c r="AO96" s="49">
        <v>-0.5</v>
      </c>
      <c r="AP96" s="49"/>
      <c r="AR96" s="127">
        <f>IFERROR(__xludf.DUMMYFUNCTION("SPLIT(AN96,""*"")"),-0.5)</f>
        <v>-0.5</v>
      </c>
    </row>
    <row r="97">
      <c r="F97" s="77"/>
      <c r="G97" s="77"/>
      <c r="R97" s="223"/>
      <c r="AL97" s="49"/>
      <c r="AM97" s="49"/>
      <c r="AN97" s="49">
        <v>-0.5</v>
      </c>
      <c r="AO97" s="49">
        <v>-0.5</v>
      </c>
      <c r="AP97" s="49"/>
      <c r="AR97" s="127">
        <f>IFERROR(__xludf.DUMMYFUNCTION("SPLIT(AN97,""*"")"),-0.5)</f>
        <v>-0.5</v>
      </c>
    </row>
    <row r="98">
      <c r="R98" s="223"/>
      <c r="AL98" s="49"/>
      <c r="AM98" s="49"/>
      <c r="AN98" s="49">
        <v>-0.5</v>
      </c>
      <c r="AO98" s="49">
        <v>-0.5</v>
      </c>
      <c r="AP98" s="49"/>
      <c r="AR98" s="127">
        <f>IFERROR(__xludf.DUMMYFUNCTION("SPLIT(AN98,""*"")"),-0.5)</f>
        <v>-0.5</v>
      </c>
    </row>
    <row r="99">
      <c r="R99" s="223"/>
      <c r="AL99" s="49"/>
      <c r="AM99" s="49"/>
      <c r="AN99" s="49">
        <v>-0.5</v>
      </c>
      <c r="AO99" s="49">
        <v>-0.5</v>
      </c>
      <c r="AP99" s="49"/>
      <c r="AR99" s="127">
        <f>IFERROR(__xludf.DUMMYFUNCTION("SPLIT(AN99,""*"")"),-0.5)</f>
        <v>-0.5</v>
      </c>
    </row>
    <row r="100">
      <c r="R100" s="223"/>
      <c r="AL100" s="49"/>
      <c r="AM100" s="49"/>
      <c r="AN100" s="49">
        <v>-0.5</v>
      </c>
      <c r="AO100" s="49">
        <v>-0.5</v>
      </c>
      <c r="AP100" s="49"/>
      <c r="AR100" s="127">
        <f>IFERROR(__xludf.DUMMYFUNCTION("SPLIT(AN100,""*"")"),-0.5)</f>
        <v>-0.5</v>
      </c>
    </row>
    <row r="101">
      <c r="R101" s="223"/>
      <c r="AL101" s="49"/>
      <c r="AM101" s="49"/>
      <c r="AN101" s="49">
        <v>-0.5</v>
      </c>
      <c r="AO101" s="49">
        <v>-0.5</v>
      </c>
      <c r="AP101" s="49"/>
      <c r="AR101" s="127"/>
    </row>
    <row r="102">
      <c r="R102" s="223"/>
      <c r="AL102" s="49"/>
      <c r="AM102" s="49"/>
      <c r="AN102" s="49">
        <v>-0.5</v>
      </c>
      <c r="AO102" s="49">
        <v>-0.5</v>
      </c>
      <c r="AP102" s="49"/>
      <c r="AR102" s="127"/>
    </row>
    <row r="103">
      <c r="R103" s="223"/>
      <c r="AL103" s="49"/>
      <c r="AM103" s="49"/>
      <c r="AN103" s="49">
        <v>-0.5</v>
      </c>
      <c r="AO103" s="49">
        <v>-0.5</v>
      </c>
      <c r="AP103" s="49"/>
      <c r="AR103" s="127"/>
    </row>
    <row r="104">
      <c r="R104" s="223"/>
      <c r="AL104" s="49"/>
      <c r="AM104" s="49"/>
      <c r="AN104" s="49">
        <v>-0.5</v>
      </c>
      <c r="AO104" s="49">
        <v>-0.5</v>
      </c>
      <c r="AP104" s="49"/>
      <c r="AR104" s="127"/>
    </row>
    <row r="105">
      <c r="R105" s="223"/>
      <c r="AL105" s="49"/>
      <c r="AM105" s="49"/>
      <c r="AN105" s="49">
        <v>-0.5</v>
      </c>
      <c r="AO105" s="49">
        <v>-0.5</v>
      </c>
      <c r="AP105" s="49"/>
      <c r="AR105" s="127"/>
    </row>
    <row r="106">
      <c r="R106" s="223"/>
      <c r="AL106" s="49"/>
      <c r="AM106" s="49"/>
      <c r="AN106" s="49">
        <v>-0.5</v>
      </c>
      <c r="AO106" s="49">
        <v>-0.5</v>
      </c>
      <c r="AP106" s="49"/>
      <c r="AR106" s="127"/>
    </row>
    <row r="107">
      <c r="R107" s="223"/>
      <c r="AL107" s="49"/>
      <c r="AM107" s="49"/>
      <c r="AN107" s="49">
        <v>-0.5</v>
      </c>
      <c r="AO107" s="49">
        <v>-0.5</v>
      </c>
      <c r="AP107" s="49"/>
      <c r="AR107" s="127"/>
    </row>
    <row r="108">
      <c r="R108" s="223"/>
      <c r="AL108" s="49"/>
      <c r="AM108" s="49"/>
      <c r="AN108" s="49">
        <v>-0.5</v>
      </c>
      <c r="AO108" s="49">
        <v>-0.5</v>
      </c>
      <c r="AP108" s="49"/>
      <c r="AR108" s="127"/>
    </row>
    <row r="109">
      <c r="R109" s="223"/>
      <c r="AL109" s="49"/>
      <c r="AM109" s="49"/>
      <c r="AN109" s="49">
        <v>-0.5</v>
      </c>
      <c r="AO109" s="49">
        <v>-0.5</v>
      </c>
      <c r="AP109" s="49"/>
      <c r="AR109" s="127"/>
    </row>
    <row r="110">
      <c r="R110" s="223"/>
      <c r="AL110" s="49"/>
      <c r="AM110" s="49"/>
      <c r="AN110" s="49">
        <v>-0.5</v>
      </c>
      <c r="AO110" s="49">
        <v>-0.5</v>
      </c>
      <c r="AP110" s="49"/>
      <c r="AR110" s="127"/>
    </row>
    <row r="111">
      <c r="R111" s="223"/>
      <c r="AL111" s="49"/>
      <c r="AM111" s="49"/>
      <c r="AN111" s="49">
        <v>-0.5</v>
      </c>
      <c r="AO111" s="49">
        <v>-0.5</v>
      </c>
      <c r="AP111" s="49"/>
      <c r="AR111" s="127"/>
    </row>
    <row r="112">
      <c r="R112" s="223"/>
      <c r="AL112" s="49"/>
      <c r="AM112" s="49"/>
      <c r="AN112" s="49">
        <v>-0.5</v>
      </c>
      <c r="AO112" s="49">
        <v>-0.5</v>
      </c>
      <c r="AP112" s="49"/>
      <c r="AR112" s="127"/>
    </row>
    <row r="113">
      <c r="R113" s="223"/>
      <c r="AL113" s="49"/>
      <c r="AM113" s="49"/>
      <c r="AN113" s="49">
        <v>-0.5</v>
      </c>
      <c r="AO113" s="49">
        <v>-0.5</v>
      </c>
      <c r="AP113" s="49"/>
      <c r="AR113" s="127"/>
    </row>
    <row r="114">
      <c r="R114" s="223"/>
      <c r="AL114" s="49"/>
      <c r="AM114" s="49"/>
      <c r="AN114" s="49">
        <v>-0.5</v>
      </c>
      <c r="AO114" s="49">
        <v>-0.5</v>
      </c>
      <c r="AP114" s="49"/>
      <c r="AR114" s="127"/>
    </row>
    <row r="115">
      <c r="R115" s="223"/>
      <c r="AL115" s="49"/>
      <c r="AM115" s="49"/>
      <c r="AN115" s="49">
        <v>-0.5</v>
      </c>
      <c r="AO115" s="49">
        <v>-0.5</v>
      </c>
      <c r="AP115" s="49"/>
      <c r="AR115" s="127"/>
    </row>
    <row r="116">
      <c r="R116" s="223"/>
      <c r="AL116" s="49"/>
      <c r="AM116" s="49"/>
      <c r="AN116" s="49">
        <v>-0.5</v>
      </c>
      <c r="AO116" s="49">
        <v>-0.5</v>
      </c>
      <c r="AP116" s="49"/>
      <c r="AR116" s="127"/>
    </row>
    <row r="117">
      <c r="R117" s="223"/>
      <c r="AL117" s="49"/>
      <c r="AM117" s="49"/>
      <c r="AN117" s="49">
        <v>-0.5</v>
      </c>
      <c r="AO117" s="49">
        <v>-0.5</v>
      </c>
      <c r="AP117" s="49"/>
      <c r="AR117" s="127"/>
    </row>
    <row r="118">
      <c r="R118" s="223"/>
      <c r="AL118" s="49"/>
      <c r="AM118" s="49"/>
      <c r="AN118" s="49">
        <v>-0.5</v>
      </c>
      <c r="AO118" s="49">
        <v>-0.5</v>
      </c>
      <c r="AP118" s="49"/>
      <c r="AR118" s="127"/>
    </row>
    <row r="119">
      <c r="R119" s="223"/>
      <c r="AL119" s="49"/>
      <c r="AM119" s="49"/>
      <c r="AN119" s="49">
        <v>-0.5</v>
      </c>
      <c r="AO119" s="49">
        <v>-0.5</v>
      </c>
      <c r="AP119" s="49"/>
      <c r="AR119" s="127"/>
    </row>
    <row r="120">
      <c r="R120" s="223"/>
      <c r="AL120" s="49"/>
      <c r="AM120" s="49"/>
      <c r="AN120" s="49">
        <v>-0.5</v>
      </c>
      <c r="AO120" s="49">
        <v>-0.5</v>
      </c>
      <c r="AP120" s="49"/>
      <c r="AR120" s="127"/>
    </row>
    <row r="121">
      <c r="R121" s="223"/>
      <c r="AL121" s="49"/>
      <c r="AM121" s="49"/>
      <c r="AN121" s="49">
        <v>-0.5</v>
      </c>
      <c r="AO121" s="49">
        <v>-0.5</v>
      </c>
      <c r="AP121" s="49"/>
      <c r="AR121" s="127"/>
    </row>
    <row r="122">
      <c r="R122" s="223"/>
      <c r="AL122" s="49"/>
      <c r="AM122" s="49"/>
      <c r="AN122" s="49">
        <v>-0.5</v>
      </c>
      <c r="AO122" s="49">
        <v>-0.5</v>
      </c>
      <c r="AP122" s="49"/>
      <c r="AR122" s="127"/>
    </row>
    <row r="123">
      <c r="R123" s="223"/>
      <c r="AL123" s="49"/>
      <c r="AM123" s="49"/>
      <c r="AN123" s="49">
        <v>-0.5</v>
      </c>
      <c r="AO123" s="49">
        <v>-0.5</v>
      </c>
      <c r="AP123" s="49"/>
      <c r="AR123" s="127"/>
    </row>
    <row r="124">
      <c r="R124" s="223"/>
      <c r="AL124" s="49"/>
      <c r="AM124" s="49"/>
      <c r="AN124" s="49">
        <v>-0.5</v>
      </c>
      <c r="AO124" s="49">
        <v>-0.5</v>
      </c>
      <c r="AP124" s="49"/>
      <c r="AR124" s="127"/>
    </row>
    <row r="125">
      <c r="R125" s="223"/>
      <c r="AL125" s="49"/>
      <c r="AM125" s="49"/>
      <c r="AN125" s="49">
        <v>-0.5</v>
      </c>
      <c r="AO125" s="49">
        <v>-0.5</v>
      </c>
      <c r="AP125" s="49"/>
      <c r="AR125" s="127"/>
    </row>
    <row r="126">
      <c r="R126" s="223"/>
      <c r="AL126" s="49"/>
      <c r="AM126" s="49"/>
      <c r="AN126" s="49">
        <v>-0.5</v>
      </c>
      <c r="AO126" s="49">
        <v>-0.5</v>
      </c>
      <c r="AP126" s="49"/>
      <c r="AR126" s="127"/>
    </row>
    <row r="127">
      <c r="R127" s="223"/>
      <c r="AL127" s="49"/>
      <c r="AM127" s="49"/>
      <c r="AN127" s="49">
        <v>-0.5</v>
      </c>
      <c r="AO127" s="49">
        <v>-0.5</v>
      </c>
      <c r="AP127" s="49"/>
      <c r="AR127" s="127"/>
    </row>
    <row r="128">
      <c r="R128" s="223"/>
      <c r="AL128" s="49"/>
      <c r="AM128" s="49"/>
      <c r="AN128" s="49">
        <v>-0.5</v>
      </c>
      <c r="AO128" s="49">
        <v>-0.5</v>
      </c>
      <c r="AP128" s="49"/>
      <c r="AR128" s="127"/>
    </row>
    <row r="129">
      <c r="R129" s="223"/>
      <c r="AL129" s="49"/>
      <c r="AM129" s="49"/>
      <c r="AN129" s="49">
        <v>-0.5</v>
      </c>
      <c r="AO129" s="49">
        <v>-0.5</v>
      </c>
      <c r="AP129" s="49"/>
      <c r="AR129" s="127"/>
    </row>
    <row r="130">
      <c r="R130" s="223"/>
      <c r="AL130" s="49"/>
      <c r="AM130" s="49"/>
      <c r="AN130" s="49">
        <v>-0.5</v>
      </c>
      <c r="AO130" s="49">
        <v>-0.5</v>
      </c>
      <c r="AP130" s="49"/>
      <c r="AR130" s="127"/>
    </row>
    <row r="131">
      <c r="R131" s="223"/>
      <c r="AL131" s="49"/>
      <c r="AM131" s="49"/>
      <c r="AN131" s="49">
        <v>-0.5</v>
      </c>
      <c r="AO131" s="49">
        <v>-0.5</v>
      </c>
      <c r="AP131" s="49"/>
      <c r="AR131" s="127"/>
    </row>
    <row r="132">
      <c r="R132" s="223"/>
      <c r="AL132" s="49"/>
      <c r="AM132" s="49"/>
      <c r="AN132" s="49">
        <v>-0.5</v>
      </c>
      <c r="AO132" s="49">
        <v>-0.5</v>
      </c>
      <c r="AP132" s="49"/>
      <c r="AR132" s="127"/>
    </row>
    <row r="133">
      <c r="R133" s="223"/>
      <c r="AL133" s="49"/>
      <c r="AM133" s="49"/>
      <c r="AN133" s="49">
        <v>-0.5</v>
      </c>
      <c r="AO133" s="49">
        <v>-0.5</v>
      </c>
      <c r="AP133" s="49"/>
      <c r="AR133" s="127"/>
    </row>
    <row r="134">
      <c r="R134" s="223"/>
      <c r="AL134" s="49"/>
      <c r="AM134" s="49"/>
      <c r="AN134" s="49">
        <v>-0.5</v>
      </c>
      <c r="AO134" s="49">
        <v>-0.5</v>
      </c>
      <c r="AP134" s="49"/>
      <c r="AR134" s="127"/>
    </row>
    <row r="135">
      <c r="R135" s="223"/>
      <c r="AL135" s="49"/>
      <c r="AM135" s="49"/>
      <c r="AN135" s="49">
        <v>-0.5</v>
      </c>
      <c r="AO135" s="49">
        <v>-0.5</v>
      </c>
      <c r="AP135" s="49"/>
      <c r="AR135" s="127"/>
    </row>
    <row r="136">
      <c r="R136" s="223"/>
      <c r="AL136" s="49"/>
      <c r="AM136" s="49"/>
      <c r="AN136" s="49">
        <v>-0.5</v>
      </c>
      <c r="AO136" s="49">
        <v>-0.5</v>
      </c>
      <c r="AP136" s="49"/>
      <c r="AR136" s="127"/>
    </row>
    <row r="137">
      <c r="R137" s="223"/>
      <c r="AL137" s="49"/>
      <c r="AM137" s="49"/>
      <c r="AN137" s="49">
        <v>-0.5</v>
      </c>
      <c r="AO137" s="49">
        <v>-0.5</v>
      </c>
      <c r="AP137" s="49"/>
      <c r="AR137" s="127"/>
    </row>
    <row r="138">
      <c r="R138" s="223"/>
      <c r="AL138" s="49"/>
      <c r="AM138" s="49"/>
      <c r="AN138" s="49">
        <v>-0.5</v>
      </c>
      <c r="AO138" s="49">
        <v>-0.5</v>
      </c>
      <c r="AP138" s="49"/>
      <c r="AR138" s="127"/>
    </row>
    <row r="139">
      <c r="R139" s="223"/>
      <c r="AL139" s="49"/>
      <c r="AM139" s="49"/>
      <c r="AN139" s="49">
        <v>-0.5</v>
      </c>
      <c r="AO139" s="49">
        <v>-0.5</v>
      </c>
      <c r="AP139" s="49"/>
      <c r="AR139" s="127"/>
    </row>
    <row r="140">
      <c r="R140" s="223"/>
      <c r="AL140" s="49"/>
      <c r="AM140" s="49"/>
      <c r="AN140" s="49">
        <v>-0.5</v>
      </c>
      <c r="AO140" s="49">
        <v>-0.5</v>
      </c>
      <c r="AP140" s="49"/>
      <c r="AR140" s="127"/>
    </row>
    <row r="141">
      <c r="R141" s="223"/>
      <c r="AL141" s="49"/>
      <c r="AM141" s="49"/>
      <c r="AN141" s="49">
        <v>-0.5</v>
      </c>
      <c r="AO141" s="49">
        <v>-0.5</v>
      </c>
      <c r="AP141" s="49"/>
      <c r="AR141" s="127"/>
    </row>
    <row r="142">
      <c r="R142" s="223"/>
      <c r="AL142" s="49"/>
      <c r="AM142" s="49"/>
      <c r="AN142" s="49">
        <v>-0.5</v>
      </c>
      <c r="AO142" s="49">
        <v>-0.5</v>
      </c>
      <c r="AP142" s="49"/>
      <c r="AR142" s="127"/>
    </row>
    <row r="143">
      <c r="R143" s="223"/>
      <c r="AL143" s="49"/>
      <c r="AM143" s="49"/>
      <c r="AN143" s="49">
        <v>-0.5</v>
      </c>
      <c r="AO143" s="49">
        <v>-0.5</v>
      </c>
      <c r="AP143" s="49"/>
      <c r="AR143" s="127"/>
    </row>
    <row r="144">
      <c r="R144" s="223"/>
      <c r="AL144" s="49"/>
      <c r="AM144" s="49"/>
      <c r="AN144" s="49">
        <v>-0.5</v>
      </c>
      <c r="AO144" s="49">
        <v>-0.5</v>
      </c>
      <c r="AP144" s="49"/>
      <c r="AR144" s="127"/>
    </row>
    <row r="145">
      <c r="R145" s="223"/>
      <c r="AL145" s="49"/>
      <c r="AM145" s="49"/>
      <c r="AN145" s="49">
        <v>-0.5</v>
      </c>
      <c r="AO145" s="49">
        <v>-0.5</v>
      </c>
      <c r="AP145" s="49"/>
      <c r="AR145" s="127"/>
    </row>
    <row r="146">
      <c r="R146" s="223"/>
      <c r="AL146" s="49"/>
      <c r="AM146" s="49"/>
      <c r="AN146" s="49">
        <v>-0.5</v>
      </c>
      <c r="AO146" s="49">
        <v>-0.5</v>
      </c>
      <c r="AP146" s="49"/>
      <c r="AR146" s="127"/>
    </row>
    <row r="147">
      <c r="R147" s="223"/>
      <c r="AL147" s="49"/>
      <c r="AM147" s="49"/>
      <c r="AN147" s="49">
        <v>-0.5</v>
      </c>
      <c r="AO147" s="49">
        <v>-0.5</v>
      </c>
      <c r="AP147" s="49"/>
      <c r="AR147" s="127"/>
    </row>
    <row r="148">
      <c r="R148" s="223"/>
      <c r="AL148" s="49"/>
      <c r="AM148" s="49"/>
      <c r="AN148" s="49">
        <v>-0.5</v>
      </c>
      <c r="AO148" s="49">
        <v>-0.5</v>
      </c>
      <c r="AP148" s="49"/>
      <c r="AR148" s="127"/>
    </row>
    <row r="149">
      <c r="R149" s="223"/>
      <c r="AL149" s="49"/>
      <c r="AM149" s="49"/>
      <c r="AN149" s="49">
        <v>-0.5</v>
      </c>
      <c r="AO149" s="49">
        <v>-0.5</v>
      </c>
      <c r="AP149" s="49"/>
      <c r="AR149" s="127"/>
    </row>
    <row r="150">
      <c r="R150" s="223"/>
      <c r="AL150" s="49"/>
      <c r="AM150" s="49"/>
      <c r="AN150" s="49">
        <v>-0.5</v>
      </c>
      <c r="AO150" s="49">
        <v>-0.5</v>
      </c>
      <c r="AP150" s="49"/>
      <c r="AR150" s="127"/>
    </row>
    <row r="151">
      <c r="R151" s="223"/>
      <c r="AL151" s="49"/>
      <c r="AM151" s="49"/>
      <c r="AN151" s="49">
        <v>-0.5</v>
      </c>
      <c r="AO151" s="49">
        <v>-0.5</v>
      </c>
      <c r="AP151" s="49"/>
      <c r="AR151" s="127"/>
    </row>
    <row r="152">
      <c r="R152" s="223"/>
      <c r="AL152" s="49"/>
      <c r="AM152" s="49"/>
      <c r="AN152" s="49">
        <v>-0.5</v>
      </c>
      <c r="AO152" s="49">
        <v>-0.5</v>
      </c>
      <c r="AP152" s="49"/>
      <c r="AR152" s="127"/>
    </row>
    <row r="153">
      <c r="R153" s="223"/>
      <c r="AL153" s="49"/>
      <c r="AM153" s="49"/>
      <c r="AN153" s="49">
        <v>-0.5</v>
      </c>
      <c r="AO153" s="49">
        <v>-0.5</v>
      </c>
      <c r="AP153" s="49"/>
      <c r="AR153" s="127"/>
    </row>
    <row r="154">
      <c r="R154" s="223"/>
      <c r="AL154" s="49"/>
      <c r="AM154" s="49"/>
      <c r="AN154" s="49">
        <v>-0.5</v>
      </c>
      <c r="AO154" s="49">
        <v>-0.5</v>
      </c>
      <c r="AP154" s="49"/>
      <c r="AR154" s="127"/>
    </row>
    <row r="155">
      <c r="R155" s="223"/>
      <c r="AL155" s="49"/>
      <c r="AM155" s="49"/>
      <c r="AN155" s="49">
        <v>-0.5</v>
      </c>
      <c r="AO155" s="49">
        <v>-0.5</v>
      </c>
      <c r="AP155" s="49"/>
      <c r="AR155" s="127"/>
    </row>
    <row r="156">
      <c r="R156" s="223"/>
      <c r="AL156" s="49"/>
      <c r="AM156" s="49"/>
      <c r="AN156" s="49">
        <v>-0.5</v>
      </c>
      <c r="AO156" s="49">
        <v>-0.5</v>
      </c>
      <c r="AP156" s="49"/>
      <c r="AR156" s="127"/>
    </row>
    <row r="157">
      <c r="R157" s="223"/>
      <c r="AL157" s="49"/>
      <c r="AM157" s="49"/>
      <c r="AN157" s="49">
        <v>-0.5</v>
      </c>
      <c r="AO157" s="49">
        <v>-0.5</v>
      </c>
      <c r="AP157" s="49"/>
      <c r="AR157" s="127"/>
    </row>
    <row r="158">
      <c r="R158" s="223"/>
      <c r="AL158" s="49"/>
      <c r="AM158" s="49"/>
      <c r="AN158" s="49">
        <v>-0.5</v>
      </c>
      <c r="AO158" s="49">
        <v>-0.5</v>
      </c>
      <c r="AP158" s="49"/>
      <c r="AR158" s="127"/>
    </row>
    <row r="159">
      <c r="R159" s="223"/>
      <c r="AL159" s="49"/>
      <c r="AM159" s="49"/>
      <c r="AN159" s="49">
        <v>-0.5</v>
      </c>
      <c r="AO159" s="49">
        <v>-0.5</v>
      </c>
      <c r="AP159" s="49"/>
      <c r="AR159" s="127"/>
    </row>
    <row r="160">
      <c r="R160" s="223"/>
      <c r="AL160" s="49"/>
      <c r="AM160" s="49"/>
      <c r="AN160" s="49">
        <v>-0.5</v>
      </c>
      <c r="AO160" s="49">
        <v>-0.5</v>
      </c>
      <c r="AP160" s="49"/>
      <c r="AR160" s="127"/>
    </row>
    <row r="161">
      <c r="R161" s="223"/>
      <c r="AL161" s="49"/>
      <c r="AM161" s="49"/>
      <c r="AN161" s="49">
        <v>-0.5</v>
      </c>
      <c r="AO161" s="49">
        <v>-0.5</v>
      </c>
      <c r="AP161" s="49"/>
      <c r="AR161" s="127"/>
    </row>
    <row r="162">
      <c r="R162" s="223"/>
      <c r="AL162" s="49"/>
      <c r="AM162" s="49"/>
      <c r="AN162" s="49">
        <v>-0.5</v>
      </c>
      <c r="AO162" s="49">
        <v>-0.5</v>
      </c>
      <c r="AP162" s="49"/>
      <c r="AR162" s="127"/>
    </row>
    <row r="163">
      <c r="R163" s="223"/>
      <c r="AL163" s="49"/>
      <c r="AM163" s="49"/>
      <c r="AN163" s="49">
        <v>-0.5</v>
      </c>
      <c r="AO163" s="49">
        <v>-0.5</v>
      </c>
      <c r="AP163" s="49"/>
      <c r="AR163" s="127"/>
    </row>
    <row r="164">
      <c r="R164" s="223"/>
      <c r="AL164" s="49"/>
      <c r="AM164" s="49"/>
      <c r="AN164" s="49">
        <v>-0.5</v>
      </c>
      <c r="AO164" s="49">
        <v>-0.5</v>
      </c>
      <c r="AP164" s="49"/>
      <c r="AR164" s="127"/>
    </row>
    <row r="165">
      <c r="R165" s="223"/>
      <c r="AL165" s="49"/>
      <c r="AM165" s="49"/>
      <c r="AN165" s="49">
        <v>-0.5</v>
      </c>
      <c r="AO165" s="49">
        <v>-0.5</v>
      </c>
      <c r="AP165" s="49"/>
      <c r="AR165" s="127"/>
    </row>
    <row r="166">
      <c r="R166" s="223"/>
      <c r="AL166" s="49"/>
      <c r="AM166" s="49"/>
      <c r="AN166" s="49">
        <v>-0.5</v>
      </c>
      <c r="AO166" s="49">
        <v>-0.5</v>
      </c>
      <c r="AP166" s="49"/>
      <c r="AR166" s="127"/>
    </row>
    <row r="167">
      <c r="R167" s="223"/>
      <c r="AL167" s="49"/>
      <c r="AM167" s="49"/>
      <c r="AN167" s="49">
        <v>-0.5</v>
      </c>
      <c r="AO167" s="49">
        <v>-0.5</v>
      </c>
      <c r="AP167" s="49"/>
      <c r="AR167" s="127"/>
    </row>
    <row r="168">
      <c r="R168" s="223"/>
      <c r="AL168" s="49"/>
      <c r="AM168" s="49"/>
      <c r="AN168" s="49">
        <v>-0.5</v>
      </c>
      <c r="AO168" s="49">
        <v>-0.5</v>
      </c>
      <c r="AP168" s="49"/>
      <c r="AR168" s="127"/>
    </row>
    <row r="169">
      <c r="R169" s="223"/>
      <c r="AL169" s="49"/>
      <c r="AM169" s="49"/>
      <c r="AN169" s="49">
        <v>-0.5</v>
      </c>
      <c r="AO169" s="49">
        <v>-0.5</v>
      </c>
      <c r="AP169" s="49"/>
      <c r="AR169" s="127"/>
    </row>
    <row r="170">
      <c r="R170" s="223"/>
      <c r="AL170" s="49"/>
      <c r="AM170" s="49"/>
      <c r="AN170" s="49">
        <v>-0.5</v>
      </c>
      <c r="AO170" s="49">
        <v>-0.5</v>
      </c>
      <c r="AP170" s="49"/>
      <c r="AR170" s="127"/>
    </row>
    <row r="171">
      <c r="R171" s="223"/>
      <c r="AL171" s="49"/>
      <c r="AM171" s="49"/>
      <c r="AN171" s="49">
        <v>-0.5</v>
      </c>
      <c r="AO171" s="49">
        <v>-0.5</v>
      </c>
      <c r="AP171" s="49"/>
      <c r="AR171" s="127"/>
    </row>
    <row r="172">
      <c r="R172" s="223"/>
      <c r="AL172" s="49"/>
      <c r="AM172" s="49"/>
      <c r="AN172" s="49">
        <v>-0.5</v>
      </c>
      <c r="AO172" s="49">
        <v>-0.5</v>
      </c>
      <c r="AP172" s="49"/>
      <c r="AR172" s="127"/>
    </row>
    <row r="173">
      <c r="R173" s="223"/>
      <c r="AL173" s="49"/>
      <c r="AM173" s="49"/>
      <c r="AN173" s="49">
        <v>-0.5</v>
      </c>
      <c r="AO173" s="49">
        <v>-0.5</v>
      </c>
      <c r="AP173" s="49"/>
      <c r="AR173" s="127"/>
    </row>
    <row r="174">
      <c r="R174" s="223"/>
      <c r="AL174" s="49"/>
      <c r="AM174" s="49"/>
      <c r="AN174" s="49">
        <v>-0.5</v>
      </c>
      <c r="AO174" s="49">
        <v>-0.5</v>
      </c>
      <c r="AP174" s="49"/>
      <c r="AR174" s="127"/>
    </row>
    <row r="175">
      <c r="R175" s="223"/>
      <c r="AL175" s="49"/>
      <c r="AM175" s="49"/>
      <c r="AN175" s="49">
        <v>-0.5</v>
      </c>
      <c r="AO175" s="49">
        <v>-0.5</v>
      </c>
      <c r="AP175" s="49"/>
      <c r="AR175" s="127"/>
    </row>
    <row r="176">
      <c r="R176" s="223"/>
      <c r="AL176" s="49"/>
      <c r="AM176" s="49"/>
      <c r="AN176" s="49">
        <v>-0.5</v>
      </c>
      <c r="AO176" s="49">
        <v>-0.5</v>
      </c>
      <c r="AP176" s="49"/>
      <c r="AR176" s="127"/>
    </row>
    <row r="177">
      <c r="R177" s="223"/>
      <c r="AL177" s="49"/>
      <c r="AM177" s="49"/>
      <c r="AN177" s="49">
        <v>-0.5</v>
      </c>
      <c r="AO177" s="49">
        <v>-0.5</v>
      </c>
      <c r="AP177" s="49"/>
      <c r="AR177" s="127"/>
    </row>
    <row r="178">
      <c r="R178" s="223"/>
      <c r="AL178" s="49"/>
      <c r="AM178" s="49"/>
      <c r="AN178" s="49">
        <v>-0.5</v>
      </c>
      <c r="AO178" s="49">
        <v>-0.5</v>
      </c>
      <c r="AP178" s="49"/>
      <c r="AR178" s="127"/>
    </row>
    <row r="179">
      <c r="R179" s="223"/>
      <c r="AL179" s="49"/>
      <c r="AM179" s="49"/>
      <c r="AN179" s="49">
        <v>-0.5</v>
      </c>
      <c r="AO179" s="49">
        <v>-0.5</v>
      </c>
      <c r="AP179" s="49"/>
      <c r="AR179" s="127"/>
    </row>
    <row r="180">
      <c r="R180" s="223"/>
      <c r="AL180" s="49"/>
      <c r="AM180" s="49"/>
      <c r="AN180" s="49">
        <v>-0.5</v>
      </c>
      <c r="AO180" s="49">
        <v>-0.5</v>
      </c>
      <c r="AP180" s="49"/>
      <c r="AR180" s="127"/>
    </row>
    <row r="181">
      <c r="R181" s="223"/>
      <c r="AL181" s="49"/>
      <c r="AM181" s="49"/>
      <c r="AN181" s="49">
        <v>-0.5</v>
      </c>
      <c r="AO181" s="49">
        <v>-0.5</v>
      </c>
      <c r="AP181" s="49"/>
      <c r="AR181" s="127"/>
    </row>
    <row r="182">
      <c r="R182" s="223"/>
      <c r="AL182" s="49"/>
      <c r="AM182" s="49"/>
      <c r="AN182" s="49">
        <v>-0.5</v>
      </c>
      <c r="AO182" s="49">
        <v>-0.5</v>
      </c>
      <c r="AP182" s="49"/>
      <c r="AR182" s="127"/>
    </row>
    <row r="183">
      <c r="R183" s="223"/>
      <c r="AL183" s="49"/>
      <c r="AM183" s="49"/>
      <c r="AN183" s="49">
        <v>-0.5</v>
      </c>
      <c r="AO183" s="49">
        <v>-0.5</v>
      </c>
      <c r="AP183" s="49"/>
      <c r="AR183" s="127"/>
    </row>
    <row r="184">
      <c r="R184" s="223"/>
      <c r="AL184" s="49"/>
      <c r="AM184" s="49"/>
      <c r="AN184" s="49">
        <v>-0.5</v>
      </c>
      <c r="AO184" s="49">
        <v>-0.5</v>
      </c>
      <c r="AP184" s="49"/>
      <c r="AR184" s="127"/>
    </row>
    <row r="185">
      <c r="R185" s="223"/>
      <c r="AL185" s="49"/>
      <c r="AM185" s="49"/>
      <c r="AN185" s="49">
        <v>-0.5</v>
      </c>
      <c r="AO185" s="49">
        <v>-0.5</v>
      </c>
      <c r="AP185" s="49"/>
      <c r="AR185" s="127"/>
    </row>
    <row r="186">
      <c r="R186" s="223"/>
      <c r="AL186" s="49"/>
      <c r="AM186" s="49"/>
      <c r="AN186" s="49">
        <v>-0.5</v>
      </c>
      <c r="AO186" s="49">
        <v>-0.5</v>
      </c>
      <c r="AP186" s="49"/>
      <c r="AR186" s="127"/>
    </row>
    <row r="187">
      <c r="R187" s="223"/>
      <c r="AL187" s="49"/>
      <c r="AM187" s="49"/>
      <c r="AN187" s="49">
        <v>-0.5</v>
      </c>
      <c r="AO187" s="49">
        <v>-0.5</v>
      </c>
      <c r="AP187" s="49"/>
      <c r="AR187" s="127"/>
    </row>
    <row r="188">
      <c r="R188" s="223"/>
      <c r="AL188" s="49"/>
      <c r="AM188" s="49"/>
      <c r="AN188" s="49">
        <v>-0.5</v>
      </c>
      <c r="AO188" s="49">
        <v>-0.5</v>
      </c>
      <c r="AP188" s="49"/>
      <c r="AR188" s="127"/>
    </row>
    <row r="189">
      <c r="R189" s="223"/>
      <c r="AL189" s="49"/>
      <c r="AM189" s="49"/>
      <c r="AN189" s="49">
        <v>-0.5</v>
      </c>
      <c r="AO189" s="49">
        <v>-0.5</v>
      </c>
      <c r="AP189" s="49"/>
      <c r="AR189" s="127"/>
    </row>
    <row r="190">
      <c r="R190" s="223"/>
      <c r="AL190" s="49"/>
      <c r="AM190" s="49"/>
      <c r="AN190" s="49">
        <v>-0.5</v>
      </c>
      <c r="AO190" s="49">
        <v>-0.5</v>
      </c>
      <c r="AP190" s="49"/>
      <c r="AR190" s="127"/>
    </row>
    <row r="191">
      <c r="R191" s="223"/>
      <c r="AL191" s="49"/>
      <c r="AM191" s="49"/>
      <c r="AN191" s="49">
        <v>-0.5</v>
      </c>
      <c r="AO191" s="49">
        <v>-0.5</v>
      </c>
      <c r="AP191" s="49"/>
      <c r="AR191" s="127"/>
    </row>
    <row r="192">
      <c r="R192" s="223"/>
      <c r="AL192" s="49"/>
      <c r="AM192" s="49"/>
      <c r="AN192" s="49">
        <v>-0.5</v>
      </c>
      <c r="AO192" s="49">
        <v>-0.5</v>
      </c>
      <c r="AP192" s="49"/>
      <c r="AR192" s="127"/>
    </row>
    <row r="193">
      <c r="R193" s="223"/>
      <c r="AL193" s="49"/>
      <c r="AM193" s="49"/>
      <c r="AN193" s="49">
        <v>-0.5</v>
      </c>
      <c r="AO193" s="49">
        <v>-0.5</v>
      </c>
      <c r="AP193" s="49"/>
      <c r="AR193" s="127"/>
    </row>
    <row r="194">
      <c r="R194" s="223"/>
      <c r="AL194" s="49"/>
      <c r="AM194" s="49"/>
      <c r="AN194" s="49">
        <v>-0.5</v>
      </c>
      <c r="AO194" s="49">
        <v>-0.5</v>
      </c>
      <c r="AP194" s="49"/>
      <c r="AR194" s="127"/>
    </row>
    <row r="195">
      <c r="R195" s="223"/>
      <c r="AL195" s="49"/>
      <c r="AM195" s="49"/>
      <c r="AN195" s="49">
        <v>-0.5</v>
      </c>
      <c r="AO195" s="49">
        <v>-0.5</v>
      </c>
      <c r="AP195" s="49"/>
      <c r="AR195" s="127"/>
    </row>
    <row r="196">
      <c r="R196" s="223"/>
      <c r="AL196" s="49"/>
      <c r="AM196" s="49"/>
      <c r="AN196" s="49">
        <v>-0.5</v>
      </c>
      <c r="AO196" s="49">
        <v>-0.5</v>
      </c>
      <c r="AP196" s="49"/>
      <c r="AR196" s="127"/>
    </row>
    <row r="197">
      <c r="R197" s="223"/>
      <c r="AL197" s="49"/>
      <c r="AM197" s="49"/>
      <c r="AN197" s="49">
        <v>-0.5</v>
      </c>
      <c r="AO197" s="49">
        <v>-0.5</v>
      </c>
      <c r="AP197" s="49"/>
      <c r="AR197" s="127"/>
    </row>
    <row r="198">
      <c r="R198" s="223"/>
      <c r="AL198" s="49"/>
      <c r="AM198" s="49"/>
      <c r="AN198" s="49">
        <v>-0.5</v>
      </c>
      <c r="AO198" s="49">
        <v>-0.5</v>
      </c>
      <c r="AP198" s="49"/>
      <c r="AR198" s="127"/>
    </row>
    <row r="199">
      <c r="R199" s="223"/>
      <c r="AL199" s="49"/>
      <c r="AM199" s="49"/>
      <c r="AN199" s="49">
        <v>-0.5</v>
      </c>
      <c r="AO199" s="49">
        <v>-0.5</v>
      </c>
      <c r="AP199" s="49"/>
      <c r="AR199" s="127"/>
    </row>
    <row r="200">
      <c r="R200" s="223"/>
      <c r="AL200" s="49"/>
      <c r="AM200" s="49"/>
      <c r="AN200" s="49">
        <v>-0.5</v>
      </c>
      <c r="AO200" s="49">
        <v>-0.5</v>
      </c>
      <c r="AP200" s="49"/>
      <c r="AR200" s="127"/>
    </row>
    <row r="201">
      <c r="R201" s="223"/>
      <c r="AL201" s="49"/>
      <c r="AM201" s="49"/>
      <c r="AN201" s="49">
        <v>-0.5</v>
      </c>
      <c r="AO201" s="49">
        <v>-0.5</v>
      </c>
      <c r="AP201" s="49"/>
      <c r="AR201" s="127"/>
    </row>
    <row r="202">
      <c r="R202" s="223"/>
      <c r="AL202" s="49"/>
      <c r="AM202" s="49"/>
      <c r="AN202" s="49">
        <v>-0.5</v>
      </c>
      <c r="AO202" s="49">
        <v>-0.5</v>
      </c>
      <c r="AP202" s="49"/>
      <c r="AR202" s="127"/>
    </row>
    <row r="203">
      <c r="R203" s="223"/>
      <c r="AL203" s="49"/>
      <c r="AM203" s="49"/>
      <c r="AN203" s="49">
        <v>-0.5</v>
      </c>
      <c r="AO203" s="49">
        <v>-0.5</v>
      </c>
      <c r="AP203" s="49"/>
      <c r="AR203" s="127"/>
    </row>
    <row r="204">
      <c r="R204" s="223"/>
      <c r="AL204" s="49"/>
      <c r="AM204" s="49"/>
      <c r="AN204" s="49">
        <v>-0.5</v>
      </c>
      <c r="AO204" s="49">
        <v>-0.5</v>
      </c>
      <c r="AP204" s="49"/>
      <c r="AR204" s="127"/>
    </row>
    <row r="205">
      <c r="R205" s="223"/>
      <c r="AL205" s="49"/>
      <c r="AM205" s="49"/>
      <c r="AN205" s="49">
        <v>-0.5</v>
      </c>
      <c r="AO205" s="49">
        <v>-0.5</v>
      </c>
      <c r="AP205" s="49"/>
      <c r="AR205" s="127"/>
    </row>
    <row r="206">
      <c r="R206" s="223"/>
      <c r="AL206" s="49"/>
      <c r="AM206" s="49"/>
      <c r="AN206" s="49">
        <v>-0.5</v>
      </c>
      <c r="AO206" s="49">
        <v>-0.5</v>
      </c>
      <c r="AP206" s="49"/>
      <c r="AR206" s="127"/>
    </row>
    <row r="207">
      <c r="R207" s="223"/>
      <c r="AL207" s="49"/>
      <c r="AM207" s="49"/>
      <c r="AN207" s="49">
        <v>-0.5</v>
      </c>
      <c r="AO207" s="49">
        <v>-0.5</v>
      </c>
      <c r="AP207" s="49"/>
      <c r="AR207" s="127"/>
    </row>
    <row r="208">
      <c r="R208" s="223"/>
      <c r="AL208" s="49"/>
      <c r="AM208" s="49"/>
      <c r="AN208" s="49">
        <v>-0.5</v>
      </c>
      <c r="AO208" s="49">
        <v>-0.5</v>
      </c>
      <c r="AP208" s="49"/>
      <c r="AR208" s="127"/>
    </row>
    <row r="209">
      <c r="R209" s="223"/>
      <c r="AL209" s="49"/>
      <c r="AM209" s="49"/>
      <c r="AN209" s="49">
        <v>-0.5</v>
      </c>
      <c r="AO209" s="49">
        <v>-0.5</v>
      </c>
      <c r="AP209" s="49"/>
      <c r="AR209" s="127"/>
    </row>
    <row r="210">
      <c r="R210" s="223"/>
      <c r="AL210" s="49"/>
      <c r="AM210" s="49"/>
      <c r="AN210" s="49">
        <v>-0.5</v>
      </c>
      <c r="AO210" s="49">
        <v>-0.5</v>
      </c>
      <c r="AP210" s="49"/>
      <c r="AR210" s="127"/>
    </row>
    <row r="211">
      <c r="R211" s="223"/>
      <c r="AL211" s="49"/>
      <c r="AM211" s="49"/>
      <c r="AN211" s="49">
        <v>-0.5</v>
      </c>
      <c r="AO211" s="49">
        <v>-0.5</v>
      </c>
      <c r="AP211" s="49"/>
      <c r="AR211" s="127"/>
    </row>
    <row r="212">
      <c r="R212" s="223"/>
      <c r="AL212" s="49"/>
      <c r="AM212" s="49"/>
      <c r="AN212" s="49">
        <v>-0.5</v>
      </c>
      <c r="AO212" s="49">
        <v>-0.5</v>
      </c>
      <c r="AP212" s="49"/>
      <c r="AR212" s="127"/>
    </row>
    <row r="213">
      <c r="R213" s="223"/>
      <c r="AL213" s="49"/>
      <c r="AM213" s="49"/>
      <c r="AN213" s="49">
        <v>-0.5</v>
      </c>
      <c r="AO213" s="49">
        <v>-0.5</v>
      </c>
      <c r="AP213" s="49"/>
      <c r="AR213" s="127"/>
    </row>
    <row r="214">
      <c r="R214" s="223"/>
      <c r="AL214" s="49"/>
      <c r="AM214" s="49"/>
      <c r="AN214" s="49">
        <v>-0.5</v>
      </c>
      <c r="AO214" s="49">
        <v>-0.5</v>
      </c>
      <c r="AP214" s="49"/>
      <c r="AR214" s="127"/>
    </row>
    <row r="215">
      <c r="R215" s="223"/>
      <c r="AL215" s="49"/>
      <c r="AM215" s="49"/>
      <c r="AN215" s="49">
        <v>-0.5</v>
      </c>
      <c r="AO215" s="49">
        <v>-0.5</v>
      </c>
      <c r="AP215" s="49"/>
      <c r="AR215" s="127"/>
    </row>
    <row r="216">
      <c r="R216" s="223"/>
      <c r="AL216" s="49"/>
      <c r="AM216" s="49"/>
      <c r="AN216" s="49">
        <v>-0.5</v>
      </c>
      <c r="AO216" s="49">
        <v>-0.5</v>
      </c>
      <c r="AP216" s="49"/>
      <c r="AR216" s="127"/>
    </row>
    <row r="217">
      <c r="R217" s="223"/>
      <c r="AL217" s="49"/>
      <c r="AM217" s="49"/>
      <c r="AN217" s="49">
        <v>-0.5</v>
      </c>
      <c r="AO217" s="49">
        <v>-0.5</v>
      </c>
      <c r="AP217" s="49"/>
      <c r="AR217" s="127"/>
    </row>
    <row r="218">
      <c r="R218" s="223"/>
      <c r="AL218" s="49"/>
      <c r="AM218" s="49"/>
      <c r="AN218" s="49">
        <v>-0.5</v>
      </c>
      <c r="AO218" s="49">
        <v>-0.5</v>
      </c>
      <c r="AP218" s="49"/>
      <c r="AR218" s="127"/>
    </row>
    <row r="219">
      <c r="R219" s="223"/>
      <c r="AL219" s="49"/>
      <c r="AM219" s="49"/>
      <c r="AN219" s="49">
        <v>-0.5</v>
      </c>
      <c r="AO219" s="49">
        <v>-0.5</v>
      </c>
      <c r="AP219" s="49"/>
      <c r="AR219" s="127"/>
    </row>
    <row r="220">
      <c r="R220" s="223"/>
      <c r="AL220" s="49"/>
      <c r="AM220" s="49"/>
      <c r="AN220" s="49">
        <v>-0.5</v>
      </c>
      <c r="AO220" s="49">
        <v>-0.5</v>
      </c>
      <c r="AP220" s="49"/>
      <c r="AR220" s="127"/>
    </row>
    <row r="221">
      <c r="R221" s="223"/>
      <c r="AL221" s="49"/>
      <c r="AM221" s="49"/>
      <c r="AN221" s="49">
        <v>-0.5</v>
      </c>
      <c r="AO221" s="49">
        <v>-0.5</v>
      </c>
      <c r="AP221" s="49"/>
      <c r="AR221" s="127"/>
    </row>
    <row r="222">
      <c r="R222" s="223"/>
      <c r="AL222" s="49"/>
      <c r="AM222" s="49"/>
      <c r="AN222" s="49">
        <v>-0.5</v>
      </c>
      <c r="AO222" s="49">
        <v>-0.5</v>
      </c>
      <c r="AP222" s="49"/>
      <c r="AR222" s="127"/>
    </row>
    <row r="223">
      <c r="R223" s="223"/>
      <c r="AL223" s="49"/>
      <c r="AM223" s="49"/>
      <c r="AN223" s="49">
        <v>-0.5</v>
      </c>
      <c r="AO223" s="49">
        <v>-0.5</v>
      </c>
      <c r="AP223" s="49"/>
      <c r="AR223" s="127"/>
    </row>
    <row r="224">
      <c r="R224" s="223"/>
      <c r="AL224" s="49"/>
      <c r="AM224" s="49"/>
      <c r="AN224" s="49">
        <v>-0.5</v>
      </c>
      <c r="AO224" s="49">
        <v>-0.5</v>
      </c>
      <c r="AP224" s="49"/>
      <c r="AR224" s="127"/>
    </row>
    <row r="225">
      <c r="R225" s="223"/>
      <c r="AL225" s="49"/>
      <c r="AM225" s="49"/>
      <c r="AN225" s="49">
        <v>-0.5</v>
      </c>
      <c r="AO225" s="49">
        <v>-0.5</v>
      </c>
      <c r="AP225" s="49"/>
      <c r="AR225" s="127"/>
    </row>
    <row r="226">
      <c r="R226" s="223"/>
      <c r="AL226" s="49"/>
      <c r="AM226" s="49"/>
      <c r="AN226" s="49">
        <v>-0.5</v>
      </c>
      <c r="AO226" s="49">
        <v>-0.5</v>
      </c>
      <c r="AP226" s="49"/>
      <c r="AR226" s="127"/>
    </row>
    <row r="227">
      <c r="R227" s="223"/>
      <c r="AL227" s="49"/>
      <c r="AM227" s="49"/>
      <c r="AN227" s="49">
        <v>-0.5</v>
      </c>
      <c r="AO227" s="49">
        <v>-0.5</v>
      </c>
      <c r="AP227" s="49"/>
      <c r="AR227" s="127"/>
    </row>
    <row r="228">
      <c r="R228" s="223"/>
      <c r="AL228" s="49"/>
      <c r="AM228" s="49"/>
      <c r="AN228" s="49">
        <v>-0.5</v>
      </c>
      <c r="AO228" s="49">
        <v>-0.5</v>
      </c>
      <c r="AP228" s="49"/>
      <c r="AR228" s="127"/>
    </row>
    <row r="229">
      <c r="R229" s="223"/>
      <c r="AL229" s="49"/>
      <c r="AM229" s="49"/>
      <c r="AN229" s="49">
        <v>-0.5</v>
      </c>
      <c r="AO229" s="49">
        <v>-0.5</v>
      </c>
      <c r="AP229" s="49"/>
      <c r="AR229" s="127"/>
    </row>
    <row r="230">
      <c r="R230" s="223"/>
      <c r="AL230" s="49"/>
      <c r="AM230" s="49"/>
      <c r="AN230" s="49">
        <v>-0.5</v>
      </c>
      <c r="AO230" s="49">
        <v>-0.5</v>
      </c>
      <c r="AP230" s="49"/>
      <c r="AR230" s="127"/>
    </row>
    <row r="231">
      <c r="R231" s="223"/>
      <c r="AL231" s="49"/>
      <c r="AM231" s="49"/>
      <c r="AN231" s="49">
        <v>-0.5</v>
      </c>
      <c r="AO231" s="49">
        <v>-0.5</v>
      </c>
      <c r="AP231" s="49"/>
      <c r="AR231" s="127"/>
    </row>
    <row r="232">
      <c r="R232" s="223"/>
      <c r="AL232" s="49"/>
      <c r="AM232" s="49"/>
      <c r="AN232" s="49">
        <v>-0.5</v>
      </c>
      <c r="AO232" s="49">
        <v>-0.5</v>
      </c>
      <c r="AP232" s="49"/>
      <c r="AR232" s="127"/>
    </row>
    <row r="233">
      <c r="R233" s="223"/>
      <c r="AL233" s="49"/>
      <c r="AM233" s="49"/>
      <c r="AN233" s="49">
        <v>-0.5</v>
      </c>
      <c r="AO233" s="49">
        <v>-0.5</v>
      </c>
      <c r="AP233" s="49"/>
      <c r="AR233" s="127"/>
    </row>
    <row r="234">
      <c r="R234" s="223"/>
      <c r="AL234" s="49"/>
      <c r="AM234" s="49"/>
      <c r="AN234" s="49">
        <v>-0.5</v>
      </c>
      <c r="AO234" s="49">
        <v>-0.5</v>
      </c>
      <c r="AP234" s="49"/>
      <c r="AR234" s="127"/>
    </row>
    <row r="235">
      <c r="R235" s="223"/>
      <c r="AL235" s="49"/>
      <c r="AM235" s="49"/>
      <c r="AN235" s="49">
        <v>-0.5</v>
      </c>
      <c r="AO235" s="49">
        <v>-0.5</v>
      </c>
      <c r="AP235" s="49"/>
      <c r="AR235" s="127"/>
    </row>
    <row r="236">
      <c r="R236" s="223"/>
      <c r="AL236" s="49"/>
      <c r="AM236" s="49"/>
      <c r="AN236" s="49">
        <v>-0.5</v>
      </c>
      <c r="AO236" s="49">
        <v>-0.5</v>
      </c>
      <c r="AP236" s="49"/>
      <c r="AR236" s="127"/>
    </row>
    <row r="237">
      <c r="R237" s="223"/>
      <c r="AL237" s="49"/>
      <c r="AM237" s="49"/>
      <c r="AN237" s="49">
        <v>-0.5</v>
      </c>
      <c r="AO237" s="49">
        <v>-0.5</v>
      </c>
      <c r="AP237" s="49"/>
      <c r="AR237" s="127"/>
    </row>
    <row r="238">
      <c r="R238" s="223"/>
      <c r="AL238" s="49"/>
      <c r="AM238" s="49"/>
      <c r="AN238" s="49">
        <v>-0.5</v>
      </c>
      <c r="AO238" s="49">
        <v>-0.5</v>
      </c>
      <c r="AP238" s="49"/>
      <c r="AR238" s="127"/>
    </row>
    <row r="239">
      <c r="R239" s="223"/>
      <c r="AL239" s="49"/>
      <c r="AM239" s="49"/>
      <c r="AN239" s="49">
        <v>-0.5</v>
      </c>
      <c r="AO239" s="49">
        <v>-0.5</v>
      </c>
      <c r="AP239" s="49"/>
      <c r="AR239" s="127"/>
    </row>
    <row r="240">
      <c r="R240" s="223"/>
      <c r="AL240" s="49"/>
      <c r="AM240" s="49"/>
      <c r="AN240" s="49">
        <v>-0.5</v>
      </c>
      <c r="AO240" s="49">
        <v>-0.5</v>
      </c>
      <c r="AP240" s="49"/>
      <c r="AR240" s="127"/>
    </row>
    <row r="241">
      <c r="R241" s="223"/>
      <c r="AL241" s="49"/>
      <c r="AM241" s="49"/>
      <c r="AN241" s="49">
        <v>-0.5</v>
      </c>
      <c r="AO241" s="49">
        <v>-0.5</v>
      </c>
      <c r="AP241" s="49"/>
      <c r="AR241" s="127"/>
    </row>
    <row r="242">
      <c r="R242" s="223"/>
      <c r="AL242" s="49"/>
      <c r="AM242" s="49"/>
      <c r="AN242" s="49">
        <v>-0.5</v>
      </c>
      <c r="AO242" s="49">
        <v>-0.5</v>
      </c>
      <c r="AP242" s="49"/>
      <c r="AR242" s="127"/>
    </row>
    <row r="243">
      <c r="R243" s="223"/>
      <c r="AL243" s="49"/>
      <c r="AM243" s="49"/>
      <c r="AN243" s="49">
        <v>-0.5</v>
      </c>
      <c r="AO243" s="49">
        <v>-0.5</v>
      </c>
      <c r="AP243" s="49"/>
      <c r="AR243" s="127"/>
    </row>
    <row r="244">
      <c r="R244" s="223"/>
      <c r="AL244" s="49"/>
      <c r="AM244" s="49"/>
      <c r="AN244" s="49">
        <v>-0.5</v>
      </c>
      <c r="AO244" s="49">
        <v>-0.5</v>
      </c>
      <c r="AP244" s="49"/>
      <c r="AR244" s="127"/>
    </row>
    <row r="245">
      <c r="R245" s="223"/>
      <c r="AL245" s="49"/>
      <c r="AM245" s="49"/>
      <c r="AN245" s="49">
        <v>-0.5</v>
      </c>
      <c r="AO245" s="49">
        <v>-0.5</v>
      </c>
      <c r="AP245" s="49"/>
      <c r="AR245" s="127"/>
    </row>
    <row r="246">
      <c r="R246" s="223"/>
      <c r="AL246" s="49"/>
      <c r="AM246" s="49"/>
      <c r="AN246" s="49">
        <v>-0.5</v>
      </c>
      <c r="AO246" s="49">
        <v>-0.5</v>
      </c>
      <c r="AP246" s="49"/>
      <c r="AR246" s="127"/>
    </row>
    <row r="247">
      <c r="R247" s="223"/>
      <c r="AL247" s="49"/>
      <c r="AM247" s="49"/>
      <c r="AN247" s="49">
        <v>-0.5</v>
      </c>
      <c r="AO247" s="49">
        <v>-0.5</v>
      </c>
      <c r="AP247" s="49"/>
      <c r="AR247" s="127"/>
    </row>
    <row r="248">
      <c r="R248" s="223"/>
      <c r="AL248" s="49"/>
      <c r="AM248" s="49"/>
      <c r="AN248" s="49">
        <v>-0.5</v>
      </c>
      <c r="AO248" s="49">
        <v>-0.5</v>
      </c>
      <c r="AP248" s="49"/>
      <c r="AR248" s="127"/>
    </row>
    <row r="249">
      <c r="R249" s="223"/>
      <c r="AL249" s="49"/>
      <c r="AM249" s="49"/>
      <c r="AN249" s="49">
        <v>-0.5</v>
      </c>
      <c r="AO249" s="49">
        <v>-0.5</v>
      </c>
      <c r="AP249" s="49"/>
      <c r="AR249" s="127"/>
    </row>
    <row r="250">
      <c r="R250" s="223"/>
      <c r="AL250" s="49"/>
      <c r="AM250" s="49"/>
      <c r="AN250" s="49">
        <v>-0.5</v>
      </c>
      <c r="AO250" s="49">
        <v>-0.5</v>
      </c>
      <c r="AP250" s="49"/>
      <c r="AR250" s="127"/>
    </row>
    <row r="251">
      <c r="R251" s="223"/>
      <c r="AL251" s="49"/>
      <c r="AM251" s="49"/>
      <c r="AN251" s="49">
        <v>-0.5</v>
      </c>
      <c r="AO251" s="49">
        <v>-0.5</v>
      </c>
      <c r="AP251" s="49"/>
      <c r="AR251" s="127"/>
    </row>
    <row r="252">
      <c r="R252" s="223"/>
      <c r="AL252" s="49"/>
      <c r="AM252" s="49"/>
      <c r="AN252" s="49">
        <v>-0.5</v>
      </c>
      <c r="AO252" s="49">
        <v>-0.5</v>
      </c>
      <c r="AP252" s="49"/>
      <c r="AR252" s="127"/>
    </row>
    <row r="253">
      <c r="R253" s="223"/>
      <c r="AL253" s="49"/>
      <c r="AM253" s="49"/>
      <c r="AN253" s="49">
        <v>-0.5</v>
      </c>
      <c r="AO253" s="49">
        <v>-0.5</v>
      </c>
      <c r="AP253" s="49"/>
      <c r="AR253" s="127"/>
    </row>
    <row r="254">
      <c r="R254" s="223"/>
      <c r="AL254" s="49"/>
      <c r="AM254" s="49"/>
      <c r="AN254" s="49">
        <v>-0.5</v>
      </c>
      <c r="AO254" s="49">
        <v>-0.5</v>
      </c>
      <c r="AP254" s="49"/>
      <c r="AR254" s="127"/>
    </row>
    <row r="255">
      <c r="R255" s="223"/>
      <c r="AL255" s="49"/>
      <c r="AM255" s="49"/>
      <c r="AN255" s="49">
        <v>-0.5</v>
      </c>
      <c r="AO255" s="49">
        <v>-0.5</v>
      </c>
      <c r="AP255" s="49"/>
      <c r="AR255" s="127"/>
    </row>
    <row r="256">
      <c r="R256" s="223"/>
      <c r="AL256" s="49"/>
      <c r="AM256" s="49"/>
      <c r="AN256" s="49">
        <v>-0.5</v>
      </c>
      <c r="AO256" s="49">
        <v>-0.5</v>
      </c>
      <c r="AP256" s="49"/>
      <c r="AR256" s="127"/>
    </row>
    <row r="257">
      <c r="R257" s="223"/>
      <c r="AL257" s="49"/>
      <c r="AM257" s="49"/>
      <c r="AN257" s="49">
        <v>-0.5</v>
      </c>
      <c r="AO257" s="49">
        <v>-0.5</v>
      </c>
      <c r="AP257" s="49"/>
      <c r="AR257" s="127"/>
    </row>
    <row r="258">
      <c r="R258" s="223"/>
      <c r="AL258" s="49"/>
      <c r="AM258" s="49"/>
      <c r="AN258" s="49">
        <v>-0.5</v>
      </c>
      <c r="AO258" s="49">
        <v>-0.5</v>
      </c>
      <c r="AP258" s="49"/>
      <c r="AR258" s="127"/>
    </row>
    <row r="259">
      <c r="R259" s="223"/>
      <c r="AL259" s="49"/>
      <c r="AM259" s="49"/>
      <c r="AN259" s="49">
        <v>-0.5</v>
      </c>
      <c r="AO259" s="49">
        <v>-0.5</v>
      </c>
      <c r="AP259" s="49"/>
      <c r="AR259" s="127"/>
    </row>
    <row r="260">
      <c r="R260" s="223"/>
      <c r="AL260" s="49"/>
      <c r="AM260" s="49"/>
      <c r="AN260" s="49">
        <v>-0.5</v>
      </c>
      <c r="AO260" s="49">
        <v>-0.5</v>
      </c>
      <c r="AP260" s="49"/>
      <c r="AR260" s="127"/>
    </row>
    <row r="261">
      <c r="R261" s="223"/>
      <c r="AL261" s="49"/>
      <c r="AM261" s="49"/>
      <c r="AN261" s="49">
        <v>-0.5</v>
      </c>
      <c r="AO261" s="49">
        <v>-0.5</v>
      </c>
      <c r="AP261" s="49"/>
      <c r="AR261" s="127"/>
    </row>
    <row r="262">
      <c r="R262" s="223"/>
      <c r="AL262" s="49"/>
      <c r="AM262" s="49"/>
      <c r="AN262" s="49">
        <v>-0.5</v>
      </c>
      <c r="AO262" s="49">
        <v>-0.5</v>
      </c>
      <c r="AP262" s="49"/>
      <c r="AR262" s="127"/>
    </row>
    <row r="263">
      <c r="R263" s="223"/>
      <c r="AL263" s="49"/>
      <c r="AM263" s="49"/>
      <c r="AN263" s="49">
        <v>-0.5</v>
      </c>
      <c r="AO263" s="49">
        <v>-0.5</v>
      </c>
      <c r="AP263" s="49"/>
      <c r="AR263" s="127"/>
    </row>
    <row r="264">
      <c r="R264" s="223"/>
      <c r="AL264" s="49"/>
      <c r="AM264" s="49"/>
      <c r="AN264" s="49">
        <v>-0.5</v>
      </c>
      <c r="AO264" s="49">
        <v>-0.5</v>
      </c>
      <c r="AP264" s="49"/>
      <c r="AR264" s="127"/>
    </row>
    <row r="265">
      <c r="R265" s="223"/>
      <c r="AL265" s="49"/>
      <c r="AM265" s="49"/>
      <c r="AN265" s="49">
        <v>-0.5</v>
      </c>
      <c r="AO265" s="49">
        <v>-0.5</v>
      </c>
      <c r="AP265" s="49"/>
      <c r="AR265" s="127"/>
    </row>
    <row r="266">
      <c r="R266" s="223"/>
      <c r="AL266" s="49"/>
      <c r="AM266" s="49"/>
      <c r="AN266" s="49">
        <v>-0.5</v>
      </c>
      <c r="AO266" s="49">
        <v>-0.5</v>
      </c>
      <c r="AP266" s="49"/>
      <c r="AR266" s="127"/>
    </row>
    <row r="267">
      <c r="R267" s="223"/>
      <c r="AL267" s="49"/>
      <c r="AM267" s="49"/>
      <c r="AN267" s="49">
        <v>-0.5</v>
      </c>
      <c r="AO267" s="49">
        <v>-0.5</v>
      </c>
      <c r="AP267" s="49"/>
      <c r="AR267" s="127"/>
    </row>
    <row r="268">
      <c r="R268" s="223"/>
      <c r="AL268" s="49"/>
      <c r="AM268" s="49"/>
      <c r="AN268" s="49">
        <v>-0.5</v>
      </c>
      <c r="AO268" s="49">
        <v>-0.5</v>
      </c>
      <c r="AP268" s="49"/>
      <c r="AR268" s="127"/>
    </row>
    <row r="269">
      <c r="R269" s="223"/>
      <c r="AL269" s="49"/>
      <c r="AM269" s="49"/>
      <c r="AN269" s="49">
        <v>-0.5</v>
      </c>
      <c r="AO269" s="49">
        <v>-0.5</v>
      </c>
      <c r="AP269" s="49"/>
      <c r="AR269" s="127"/>
    </row>
    <row r="270">
      <c r="R270" s="223"/>
      <c r="AL270" s="49"/>
      <c r="AM270" s="49"/>
      <c r="AN270" s="49">
        <v>-0.5</v>
      </c>
      <c r="AO270" s="49">
        <v>-0.5</v>
      </c>
      <c r="AP270" s="49"/>
      <c r="AR270" s="127"/>
    </row>
    <row r="271">
      <c r="R271" s="223"/>
      <c r="AL271" s="49"/>
      <c r="AM271" s="49"/>
      <c r="AN271" s="49">
        <v>-0.5</v>
      </c>
      <c r="AO271" s="49">
        <v>-0.5</v>
      </c>
      <c r="AP271" s="49"/>
      <c r="AR271" s="127"/>
    </row>
    <row r="272">
      <c r="R272" s="223"/>
      <c r="AL272" s="49"/>
      <c r="AM272" s="49"/>
      <c r="AN272" s="49">
        <v>-0.5</v>
      </c>
      <c r="AO272" s="49">
        <v>-0.5</v>
      </c>
      <c r="AP272" s="49"/>
      <c r="AR272" s="127"/>
    </row>
    <row r="273">
      <c r="R273" s="223"/>
      <c r="AL273" s="49"/>
      <c r="AM273" s="49"/>
      <c r="AN273" s="49">
        <v>-0.5</v>
      </c>
      <c r="AO273" s="49">
        <v>-0.5</v>
      </c>
      <c r="AP273" s="49"/>
      <c r="AR273" s="127"/>
    </row>
    <row r="274">
      <c r="R274" s="223"/>
      <c r="AL274" s="49"/>
      <c r="AM274" s="49"/>
      <c r="AN274" s="49">
        <v>-0.5</v>
      </c>
      <c r="AO274" s="49">
        <v>-0.5</v>
      </c>
      <c r="AP274" s="49"/>
      <c r="AR274" s="127"/>
    </row>
    <row r="275">
      <c r="R275" s="223"/>
      <c r="AL275" s="49"/>
      <c r="AM275" s="49"/>
      <c r="AN275" s="49">
        <v>-0.5</v>
      </c>
      <c r="AO275" s="49">
        <v>-0.5</v>
      </c>
      <c r="AP275" s="49"/>
      <c r="AR275" s="127"/>
    </row>
    <row r="276">
      <c r="R276" s="223"/>
      <c r="AL276" s="49"/>
      <c r="AM276" s="49"/>
      <c r="AN276" s="49">
        <v>-0.5</v>
      </c>
      <c r="AO276" s="49">
        <v>-0.5</v>
      </c>
      <c r="AP276" s="49"/>
      <c r="AR276" s="127"/>
    </row>
    <row r="277">
      <c r="R277" s="223"/>
      <c r="AL277" s="49"/>
      <c r="AM277" s="49"/>
      <c r="AN277" s="49">
        <v>-0.5</v>
      </c>
      <c r="AO277" s="49">
        <v>-0.5</v>
      </c>
      <c r="AP277" s="49"/>
      <c r="AR277" s="127"/>
    </row>
    <row r="278">
      <c r="R278" s="223"/>
      <c r="AL278" s="49"/>
      <c r="AM278" s="49"/>
      <c r="AN278" s="49">
        <v>-0.5</v>
      </c>
      <c r="AO278" s="49">
        <v>-0.5</v>
      </c>
      <c r="AP278" s="49"/>
      <c r="AR278" s="127"/>
    </row>
    <row r="279">
      <c r="R279" s="223"/>
      <c r="AL279" s="49"/>
      <c r="AM279" s="49"/>
      <c r="AN279" s="49">
        <v>-0.5</v>
      </c>
      <c r="AO279" s="49">
        <v>-0.5</v>
      </c>
      <c r="AP279" s="49"/>
      <c r="AR279" s="127"/>
    </row>
    <row r="280">
      <c r="R280" s="223"/>
      <c r="AL280" s="49"/>
      <c r="AM280" s="49"/>
      <c r="AN280" s="49">
        <v>-0.5</v>
      </c>
      <c r="AO280" s="49">
        <v>-0.5</v>
      </c>
      <c r="AP280" s="49"/>
      <c r="AR280" s="127"/>
    </row>
    <row r="281">
      <c r="R281" s="223"/>
      <c r="AL281" s="49"/>
      <c r="AM281" s="49"/>
      <c r="AN281" s="49">
        <v>-0.5</v>
      </c>
      <c r="AO281" s="49">
        <v>-0.5</v>
      </c>
      <c r="AP281" s="49"/>
      <c r="AR281" s="127"/>
    </row>
    <row r="282">
      <c r="R282" s="223"/>
      <c r="AL282" s="49"/>
      <c r="AM282" s="49"/>
      <c r="AN282" s="49">
        <v>-0.5</v>
      </c>
      <c r="AO282" s="49">
        <v>-0.5</v>
      </c>
      <c r="AP282" s="49"/>
      <c r="AR282" s="127"/>
    </row>
    <row r="283">
      <c r="R283" s="223"/>
      <c r="AL283" s="49"/>
      <c r="AM283" s="49"/>
      <c r="AN283" s="49">
        <v>-0.5</v>
      </c>
      <c r="AO283" s="49">
        <v>-0.5</v>
      </c>
      <c r="AP283" s="49"/>
      <c r="AR283" s="127"/>
    </row>
    <row r="284">
      <c r="R284" s="223"/>
      <c r="AL284" s="49"/>
      <c r="AM284" s="49"/>
      <c r="AN284" s="49">
        <v>-0.5</v>
      </c>
      <c r="AO284" s="49">
        <v>-0.5</v>
      </c>
      <c r="AP284" s="49"/>
      <c r="AR284" s="127"/>
    </row>
    <row r="285">
      <c r="R285" s="223"/>
      <c r="AL285" s="49"/>
      <c r="AM285" s="49"/>
      <c r="AN285" s="49">
        <v>-0.5</v>
      </c>
      <c r="AO285" s="49">
        <v>-0.5</v>
      </c>
      <c r="AP285" s="49"/>
      <c r="AR285" s="127"/>
    </row>
    <row r="286">
      <c r="R286" s="223"/>
      <c r="AL286" s="49"/>
      <c r="AM286" s="49"/>
      <c r="AN286" s="49">
        <v>-0.5</v>
      </c>
      <c r="AO286" s="49">
        <v>-0.5</v>
      </c>
      <c r="AP286" s="49"/>
      <c r="AR286" s="127"/>
    </row>
    <row r="287">
      <c r="R287" s="223"/>
      <c r="AL287" s="49"/>
      <c r="AM287" s="49"/>
      <c r="AN287" s="49">
        <v>-0.5</v>
      </c>
      <c r="AO287" s="49">
        <v>-0.5</v>
      </c>
      <c r="AP287" s="49"/>
      <c r="AR287" s="127"/>
    </row>
    <row r="288">
      <c r="R288" s="223"/>
      <c r="AL288" s="49"/>
      <c r="AM288" s="49"/>
      <c r="AN288" s="49">
        <v>-0.5</v>
      </c>
      <c r="AO288" s="49">
        <v>-0.5</v>
      </c>
      <c r="AP288" s="49"/>
      <c r="AR288" s="127"/>
    </row>
    <row r="289">
      <c r="R289" s="223"/>
      <c r="AL289" s="49"/>
      <c r="AM289" s="49"/>
      <c r="AN289" s="49">
        <v>-0.5</v>
      </c>
      <c r="AO289" s="49">
        <v>-0.5</v>
      </c>
      <c r="AP289" s="49"/>
      <c r="AR289" s="127"/>
    </row>
    <row r="290">
      <c r="R290" s="223"/>
      <c r="AL290" s="49"/>
      <c r="AM290" s="49"/>
      <c r="AN290" s="49">
        <v>-0.5</v>
      </c>
      <c r="AO290" s="49">
        <v>-0.5</v>
      </c>
      <c r="AP290" s="49"/>
      <c r="AR290" s="127"/>
    </row>
    <row r="291">
      <c r="R291" s="223"/>
      <c r="AL291" s="49"/>
      <c r="AM291" s="49"/>
      <c r="AN291" s="49">
        <v>-0.5</v>
      </c>
      <c r="AO291" s="49">
        <v>-0.5</v>
      </c>
      <c r="AP291" s="49"/>
      <c r="AR291" s="127"/>
    </row>
    <row r="292">
      <c r="R292" s="223"/>
      <c r="AL292" s="49"/>
      <c r="AM292" s="49"/>
      <c r="AN292" s="49">
        <v>-0.5</v>
      </c>
      <c r="AO292" s="49">
        <v>-0.5</v>
      </c>
      <c r="AP292" s="49"/>
      <c r="AR292" s="127"/>
    </row>
    <row r="293">
      <c r="R293" s="223"/>
      <c r="AL293" s="49"/>
      <c r="AM293" s="49"/>
      <c r="AN293" s="49">
        <v>-0.5</v>
      </c>
      <c r="AO293" s="49">
        <v>-0.5</v>
      </c>
      <c r="AP293" s="49"/>
      <c r="AR293" s="127"/>
    </row>
    <row r="294">
      <c r="R294" s="223"/>
      <c r="AL294" s="49"/>
      <c r="AM294" s="49"/>
      <c r="AN294" s="49">
        <v>-0.5</v>
      </c>
      <c r="AO294" s="49">
        <v>-0.5</v>
      </c>
      <c r="AP294" s="49"/>
      <c r="AR294" s="127"/>
    </row>
    <row r="295">
      <c r="R295" s="223"/>
      <c r="AL295" s="49"/>
      <c r="AM295" s="49"/>
      <c r="AN295" s="49">
        <v>-0.5</v>
      </c>
      <c r="AO295" s="49">
        <v>-0.5</v>
      </c>
      <c r="AP295" s="49"/>
      <c r="AR295" s="127"/>
    </row>
    <row r="296">
      <c r="R296" s="223"/>
      <c r="AL296" s="49"/>
      <c r="AM296" s="49"/>
      <c r="AN296" s="49">
        <v>-0.5</v>
      </c>
      <c r="AO296" s="49">
        <v>-0.5</v>
      </c>
      <c r="AP296" s="49"/>
      <c r="AR296" s="127"/>
    </row>
    <row r="297">
      <c r="R297" s="223"/>
      <c r="AL297" s="49"/>
      <c r="AM297" s="49"/>
      <c r="AN297" s="49">
        <v>-0.5</v>
      </c>
      <c r="AO297" s="49">
        <v>-0.5</v>
      </c>
      <c r="AP297" s="49"/>
      <c r="AR297" s="127"/>
    </row>
    <row r="298">
      <c r="R298" s="223"/>
      <c r="AL298" s="49"/>
      <c r="AM298" s="49"/>
      <c r="AN298" s="49">
        <v>-0.5</v>
      </c>
      <c r="AO298" s="49">
        <v>-0.5</v>
      </c>
      <c r="AP298" s="49"/>
      <c r="AR298" s="127"/>
    </row>
    <row r="299">
      <c r="R299" s="223"/>
      <c r="AL299" s="49"/>
      <c r="AM299" s="49"/>
      <c r="AN299" s="49">
        <v>-0.5</v>
      </c>
      <c r="AO299" s="49">
        <v>-0.5</v>
      </c>
      <c r="AP299" s="49"/>
      <c r="AR299" s="127"/>
    </row>
    <row r="300">
      <c r="R300" s="223"/>
      <c r="AL300" s="49"/>
      <c r="AM300" s="49"/>
      <c r="AN300" s="49">
        <v>-0.5</v>
      </c>
      <c r="AO300" s="49">
        <v>-0.5</v>
      </c>
      <c r="AP300" s="49"/>
      <c r="AR300" s="127"/>
    </row>
    <row r="301">
      <c r="R301" s="223"/>
      <c r="AL301" s="49"/>
      <c r="AM301" s="49"/>
      <c r="AN301" s="49">
        <v>-0.5</v>
      </c>
      <c r="AO301" s="49">
        <v>-0.5</v>
      </c>
      <c r="AP301" s="49"/>
      <c r="AR301" s="127"/>
    </row>
    <row r="302">
      <c r="R302" s="223"/>
      <c r="AL302" s="49"/>
      <c r="AM302" s="49"/>
      <c r="AN302" s="49">
        <v>-0.5</v>
      </c>
      <c r="AO302" s="49">
        <v>-0.5</v>
      </c>
      <c r="AP302" s="49"/>
      <c r="AR302" s="127"/>
    </row>
    <row r="303">
      <c r="R303" s="223"/>
      <c r="AL303" s="49"/>
      <c r="AM303" s="49"/>
      <c r="AN303" s="49">
        <v>-0.5</v>
      </c>
      <c r="AO303" s="49">
        <v>-0.5</v>
      </c>
      <c r="AP303" s="49"/>
      <c r="AR303" s="127"/>
    </row>
    <row r="304">
      <c r="R304" s="223"/>
      <c r="AL304" s="49"/>
      <c r="AM304" s="49"/>
      <c r="AN304" s="49">
        <v>-0.5</v>
      </c>
      <c r="AO304" s="49">
        <v>-0.5</v>
      </c>
      <c r="AP304" s="49"/>
      <c r="AR304" s="127"/>
    </row>
    <row r="305">
      <c r="R305" s="223"/>
      <c r="AL305" s="49"/>
      <c r="AM305" s="49"/>
      <c r="AN305" s="49">
        <v>-0.5</v>
      </c>
      <c r="AO305" s="49">
        <v>-0.5</v>
      </c>
      <c r="AP305" s="49"/>
      <c r="AR305" s="127"/>
    </row>
    <row r="306">
      <c r="R306" s="223"/>
      <c r="AL306" s="49"/>
      <c r="AM306" s="49"/>
      <c r="AN306" s="49">
        <v>-0.5</v>
      </c>
      <c r="AO306" s="49">
        <v>-0.5</v>
      </c>
      <c r="AP306" s="49"/>
      <c r="AR306" s="127"/>
    </row>
    <row r="307">
      <c r="R307" s="223"/>
      <c r="AL307" s="49"/>
      <c r="AM307" s="49"/>
      <c r="AN307" s="49">
        <v>-0.5</v>
      </c>
      <c r="AO307" s="49">
        <v>-0.5</v>
      </c>
      <c r="AP307" s="49"/>
      <c r="AR307" s="127"/>
    </row>
    <row r="308">
      <c r="R308" s="223"/>
      <c r="AL308" s="49"/>
      <c r="AM308" s="49"/>
      <c r="AN308" s="49">
        <v>-0.5</v>
      </c>
      <c r="AO308" s="49">
        <v>-0.5</v>
      </c>
      <c r="AP308" s="49"/>
      <c r="AR308" s="127"/>
    </row>
    <row r="309">
      <c r="R309" s="223"/>
      <c r="AL309" s="49"/>
      <c r="AM309" s="49"/>
      <c r="AN309" s="49">
        <v>-0.5</v>
      </c>
      <c r="AO309" s="49">
        <v>-0.5</v>
      </c>
      <c r="AP309" s="49"/>
      <c r="AR309" s="127"/>
    </row>
    <row r="310">
      <c r="R310" s="223"/>
      <c r="AL310" s="49"/>
      <c r="AM310" s="49"/>
      <c r="AN310" s="49">
        <v>-0.5</v>
      </c>
      <c r="AO310" s="49">
        <v>-0.5</v>
      </c>
      <c r="AP310" s="49"/>
      <c r="AR310" s="127"/>
    </row>
    <row r="311">
      <c r="R311" s="223"/>
      <c r="AL311" s="49"/>
      <c r="AM311" s="49"/>
      <c r="AN311" s="49">
        <v>-0.5</v>
      </c>
      <c r="AO311" s="49">
        <v>-0.5</v>
      </c>
      <c r="AP311" s="49"/>
      <c r="AR311" s="127"/>
    </row>
    <row r="312">
      <c r="R312" s="223"/>
      <c r="AL312" s="49"/>
      <c r="AM312" s="49"/>
      <c r="AN312" s="49">
        <v>-0.5</v>
      </c>
      <c r="AO312" s="49">
        <v>-0.5</v>
      </c>
      <c r="AP312" s="49"/>
      <c r="AR312" s="127"/>
    </row>
    <row r="313">
      <c r="R313" s="223"/>
      <c r="AL313" s="49"/>
      <c r="AM313" s="49"/>
      <c r="AN313" s="49">
        <v>-0.5</v>
      </c>
      <c r="AO313" s="49">
        <v>-0.5</v>
      </c>
      <c r="AP313" s="49"/>
      <c r="AR313" s="127"/>
    </row>
    <row r="314">
      <c r="R314" s="223"/>
      <c r="AL314" s="49"/>
      <c r="AM314" s="49"/>
      <c r="AN314" s="49">
        <v>-0.5</v>
      </c>
      <c r="AO314" s="49">
        <v>-0.5</v>
      </c>
      <c r="AP314" s="49"/>
      <c r="AR314" s="127"/>
    </row>
    <row r="315">
      <c r="R315" s="223"/>
      <c r="AL315" s="49"/>
      <c r="AM315" s="49"/>
      <c r="AN315" s="49">
        <v>-0.5</v>
      </c>
      <c r="AO315" s="49">
        <v>-0.5</v>
      </c>
      <c r="AP315" s="49"/>
      <c r="AR315" s="127"/>
    </row>
    <row r="316">
      <c r="R316" s="223"/>
      <c r="AL316" s="49"/>
      <c r="AM316" s="49"/>
      <c r="AN316" s="49">
        <v>-0.5</v>
      </c>
      <c r="AO316" s="49">
        <v>-0.5</v>
      </c>
      <c r="AP316" s="49"/>
      <c r="AR316" s="127"/>
    </row>
    <row r="317">
      <c r="R317" s="223"/>
      <c r="AL317" s="49"/>
      <c r="AM317" s="49"/>
      <c r="AN317" s="49">
        <v>-0.5</v>
      </c>
      <c r="AO317" s="49">
        <v>-0.5</v>
      </c>
      <c r="AP317" s="49"/>
      <c r="AR317" s="127"/>
    </row>
    <row r="318">
      <c r="R318" s="223"/>
      <c r="AL318" s="49"/>
      <c r="AM318" s="49"/>
      <c r="AN318" s="49">
        <v>-0.5</v>
      </c>
      <c r="AO318" s="49">
        <v>-0.5</v>
      </c>
      <c r="AP318" s="49"/>
      <c r="AR318" s="127"/>
    </row>
    <row r="319">
      <c r="R319" s="223"/>
      <c r="AL319" s="49"/>
      <c r="AM319" s="49"/>
      <c r="AN319" s="49">
        <v>-0.5</v>
      </c>
      <c r="AO319" s="49">
        <v>-0.5</v>
      </c>
      <c r="AP319" s="49"/>
      <c r="AR319" s="127"/>
    </row>
    <row r="320">
      <c r="R320" s="223"/>
      <c r="AL320" s="49"/>
      <c r="AM320" s="49"/>
      <c r="AN320" s="49">
        <v>-0.5</v>
      </c>
      <c r="AO320" s="49">
        <v>-0.5</v>
      </c>
      <c r="AP320" s="49"/>
      <c r="AR320" s="127"/>
    </row>
    <row r="321">
      <c r="R321" s="223"/>
      <c r="AL321" s="49"/>
      <c r="AM321" s="49"/>
      <c r="AN321" s="49">
        <v>-0.5</v>
      </c>
      <c r="AO321" s="49">
        <v>-0.5</v>
      </c>
      <c r="AP321" s="49"/>
      <c r="AR321" s="127"/>
    </row>
    <row r="322">
      <c r="R322" s="223"/>
      <c r="AL322" s="49"/>
      <c r="AM322" s="49"/>
      <c r="AN322" s="49">
        <v>-0.5</v>
      </c>
      <c r="AO322" s="49">
        <v>-0.5</v>
      </c>
      <c r="AP322" s="49"/>
      <c r="AR322" s="127"/>
    </row>
    <row r="323">
      <c r="R323" s="223"/>
      <c r="AL323" s="49"/>
      <c r="AM323" s="49"/>
      <c r="AN323" s="49">
        <v>-0.5</v>
      </c>
      <c r="AO323" s="49">
        <v>-0.5</v>
      </c>
      <c r="AP323" s="49"/>
      <c r="AR323" s="127"/>
    </row>
    <row r="324">
      <c r="R324" s="223"/>
      <c r="AL324" s="49"/>
      <c r="AM324" s="49"/>
      <c r="AN324" s="49">
        <v>-0.5</v>
      </c>
      <c r="AO324" s="49">
        <v>-0.5</v>
      </c>
      <c r="AP324" s="49"/>
      <c r="AR324" s="127"/>
    </row>
    <row r="325">
      <c r="R325" s="223"/>
      <c r="AL325" s="49"/>
      <c r="AM325" s="49"/>
      <c r="AN325" s="49">
        <v>-0.5</v>
      </c>
      <c r="AO325" s="49">
        <v>-0.5</v>
      </c>
      <c r="AP325" s="49"/>
      <c r="AR325" s="127"/>
    </row>
    <row r="326">
      <c r="R326" s="223"/>
      <c r="AL326" s="49"/>
      <c r="AM326" s="49"/>
      <c r="AN326" s="49">
        <v>-0.5</v>
      </c>
      <c r="AO326" s="49">
        <v>-0.5</v>
      </c>
      <c r="AP326" s="49"/>
      <c r="AR326" s="127"/>
    </row>
    <row r="327">
      <c r="R327" s="223"/>
      <c r="AL327" s="49"/>
      <c r="AM327" s="49"/>
      <c r="AN327" s="49">
        <v>-0.5</v>
      </c>
      <c r="AO327" s="49">
        <v>-0.5</v>
      </c>
      <c r="AP327" s="49"/>
      <c r="AR327" s="127"/>
    </row>
    <row r="328">
      <c r="R328" s="223"/>
      <c r="AL328" s="49"/>
      <c r="AM328" s="49"/>
      <c r="AN328" s="49">
        <v>-0.5</v>
      </c>
      <c r="AO328" s="49">
        <v>-0.5</v>
      </c>
      <c r="AP328" s="49"/>
      <c r="AR328" s="127"/>
    </row>
    <row r="329">
      <c r="R329" s="223"/>
      <c r="AL329" s="49"/>
      <c r="AM329" s="49"/>
      <c r="AN329" s="49">
        <v>-0.5</v>
      </c>
      <c r="AO329" s="49">
        <v>-0.5</v>
      </c>
      <c r="AP329" s="49"/>
      <c r="AR329" s="127"/>
    </row>
    <row r="330">
      <c r="R330" s="223"/>
      <c r="AL330" s="49"/>
      <c r="AM330" s="49"/>
      <c r="AN330" s="49">
        <v>-0.5</v>
      </c>
      <c r="AO330" s="49">
        <v>-0.5</v>
      </c>
      <c r="AP330" s="49"/>
      <c r="AR330" s="127"/>
    </row>
    <row r="331">
      <c r="R331" s="223"/>
      <c r="AL331" s="49"/>
      <c r="AM331" s="49"/>
      <c r="AN331" s="49">
        <v>-0.5</v>
      </c>
      <c r="AO331" s="49">
        <v>-0.5</v>
      </c>
      <c r="AP331" s="49"/>
      <c r="AR331" s="127"/>
    </row>
    <row r="332">
      <c r="R332" s="223"/>
      <c r="AL332" s="49"/>
      <c r="AM332" s="49"/>
      <c r="AN332" s="49">
        <v>-0.5</v>
      </c>
      <c r="AO332" s="49">
        <v>-0.5</v>
      </c>
      <c r="AP332" s="49"/>
      <c r="AR332" s="127"/>
    </row>
    <row r="333">
      <c r="R333" s="223"/>
      <c r="AL333" s="49"/>
      <c r="AM333" s="49"/>
      <c r="AN333" s="49">
        <v>-0.5</v>
      </c>
      <c r="AO333" s="49">
        <v>-0.5</v>
      </c>
      <c r="AP333" s="49"/>
      <c r="AR333" s="127"/>
    </row>
    <row r="334">
      <c r="R334" s="223"/>
      <c r="AL334" s="49"/>
      <c r="AM334" s="49"/>
      <c r="AN334" s="49">
        <v>-0.5</v>
      </c>
      <c r="AO334" s="49">
        <v>-0.5</v>
      </c>
      <c r="AP334" s="49"/>
      <c r="AR334" s="127"/>
    </row>
    <row r="335">
      <c r="R335" s="223"/>
      <c r="AL335" s="49"/>
      <c r="AM335" s="49"/>
      <c r="AN335" s="49">
        <v>-0.5</v>
      </c>
      <c r="AO335" s="49">
        <v>-0.5</v>
      </c>
      <c r="AP335" s="49"/>
      <c r="AR335" s="127"/>
    </row>
    <row r="336">
      <c r="R336" s="223"/>
      <c r="AL336" s="49"/>
      <c r="AM336" s="49"/>
      <c r="AN336" s="49">
        <v>-0.5</v>
      </c>
      <c r="AO336" s="49">
        <v>-0.5</v>
      </c>
      <c r="AP336" s="49"/>
      <c r="AR336" s="127"/>
    </row>
    <row r="337">
      <c r="R337" s="223"/>
      <c r="AL337" s="49"/>
      <c r="AM337" s="49"/>
      <c r="AN337" s="49">
        <v>-0.5</v>
      </c>
      <c r="AO337" s="49">
        <v>-0.5</v>
      </c>
      <c r="AP337" s="49"/>
      <c r="AR337" s="127"/>
    </row>
    <row r="338">
      <c r="R338" s="223"/>
      <c r="AL338" s="49"/>
      <c r="AM338" s="49"/>
      <c r="AN338" s="49">
        <v>-0.5</v>
      </c>
      <c r="AO338" s="49">
        <v>-0.5</v>
      </c>
      <c r="AP338" s="49"/>
      <c r="AR338" s="127"/>
    </row>
    <row r="339">
      <c r="R339" s="223"/>
      <c r="AL339" s="49"/>
      <c r="AM339" s="49"/>
      <c r="AN339" s="49">
        <v>-0.5</v>
      </c>
      <c r="AO339" s="49">
        <v>-0.5</v>
      </c>
      <c r="AP339" s="49"/>
      <c r="AR339" s="127"/>
    </row>
    <row r="340">
      <c r="R340" s="223"/>
      <c r="AL340" s="49"/>
      <c r="AM340" s="49"/>
      <c r="AN340" s="49">
        <v>-0.5</v>
      </c>
      <c r="AO340" s="49">
        <v>-0.5</v>
      </c>
      <c r="AP340" s="49"/>
      <c r="AR340" s="127"/>
    </row>
    <row r="341">
      <c r="R341" s="223"/>
      <c r="AL341" s="49"/>
      <c r="AM341" s="49"/>
      <c r="AN341" s="49">
        <v>-0.5</v>
      </c>
      <c r="AO341" s="49">
        <v>-0.5</v>
      </c>
      <c r="AP341" s="49"/>
      <c r="AR341" s="127"/>
    </row>
    <row r="342">
      <c r="R342" s="223"/>
      <c r="AL342" s="49"/>
      <c r="AM342" s="49"/>
      <c r="AN342" s="49">
        <v>-0.5</v>
      </c>
      <c r="AO342" s="49">
        <v>-0.5</v>
      </c>
      <c r="AP342" s="49"/>
      <c r="AR342" s="127"/>
    </row>
    <row r="343">
      <c r="R343" s="223"/>
      <c r="AL343" s="49"/>
      <c r="AM343" s="49"/>
      <c r="AN343" s="49">
        <v>-0.5</v>
      </c>
      <c r="AO343" s="49">
        <v>-0.5</v>
      </c>
      <c r="AP343" s="49"/>
      <c r="AR343" s="127"/>
    </row>
    <row r="344">
      <c r="R344" s="223"/>
      <c r="AL344" s="49"/>
      <c r="AM344" s="49"/>
      <c r="AN344" s="49">
        <v>-0.5</v>
      </c>
      <c r="AO344" s="49">
        <v>-0.5</v>
      </c>
      <c r="AP344" s="49"/>
      <c r="AR344" s="127"/>
    </row>
    <row r="345">
      <c r="R345" s="223"/>
      <c r="AL345" s="49"/>
      <c r="AM345" s="49"/>
      <c r="AN345" s="49">
        <v>-0.5</v>
      </c>
      <c r="AO345" s="49">
        <v>-0.5</v>
      </c>
      <c r="AP345" s="49"/>
      <c r="AR345" s="127"/>
    </row>
    <row r="346">
      <c r="R346" s="223"/>
      <c r="AL346" s="49"/>
      <c r="AM346" s="49"/>
      <c r="AN346" s="49">
        <v>-0.5</v>
      </c>
      <c r="AO346" s="49">
        <v>-0.5</v>
      </c>
      <c r="AP346" s="49"/>
      <c r="AR346" s="127"/>
    </row>
    <row r="347">
      <c r="R347" s="223"/>
      <c r="AL347" s="49"/>
      <c r="AM347" s="49"/>
      <c r="AN347" s="49">
        <v>-0.5</v>
      </c>
      <c r="AO347" s="49">
        <v>-0.5</v>
      </c>
      <c r="AP347" s="49"/>
      <c r="AR347" s="127"/>
    </row>
    <row r="348">
      <c r="R348" s="223"/>
      <c r="AL348" s="49"/>
      <c r="AM348" s="49"/>
      <c r="AN348" s="49">
        <v>-0.5</v>
      </c>
      <c r="AO348" s="49">
        <v>-0.5</v>
      </c>
      <c r="AP348" s="49"/>
      <c r="AR348" s="127"/>
    </row>
    <row r="349">
      <c r="R349" s="223"/>
      <c r="AL349" s="49"/>
      <c r="AM349" s="49"/>
      <c r="AN349" s="49">
        <v>-0.5</v>
      </c>
      <c r="AO349" s="49">
        <v>-0.5</v>
      </c>
      <c r="AP349" s="49"/>
      <c r="AR349" s="127"/>
    </row>
    <row r="350">
      <c r="R350" s="223"/>
      <c r="AL350" s="49"/>
      <c r="AM350" s="49"/>
      <c r="AN350" s="49">
        <v>-0.5</v>
      </c>
      <c r="AO350" s="49">
        <v>-0.5</v>
      </c>
      <c r="AP350" s="49"/>
      <c r="AR350" s="127"/>
    </row>
    <row r="351">
      <c r="R351" s="223"/>
      <c r="AL351" s="49"/>
      <c r="AM351" s="49"/>
      <c r="AN351" s="49">
        <v>-0.5</v>
      </c>
      <c r="AO351" s="49">
        <v>-0.5</v>
      </c>
      <c r="AP351" s="49"/>
      <c r="AR351" s="127"/>
    </row>
    <row r="352">
      <c r="R352" s="223"/>
      <c r="AL352" s="49"/>
      <c r="AM352" s="49"/>
      <c r="AN352" s="49">
        <v>-0.5</v>
      </c>
      <c r="AO352" s="49">
        <v>-0.5</v>
      </c>
      <c r="AP352" s="49"/>
      <c r="AR352" s="127"/>
    </row>
    <row r="353">
      <c r="R353" s="223"/>
      <c r="AL353" s="49"/>
      <c r="AM353" s="49"/>
      <c r="AN353" s="49">
        <v>-0.5</v>
      </c>
      <c r="AO353" s="49">
        <v>-0.5</v>
      </c>
      <c r="AP353" s="49"/>
      <c r="AR353" s="127"/>
    </row>
    <row r="354">
      <c r="R354" s="223"/>
      <c r="AL354" s="49"/>
      <c r="AM354" s="49"/>
      <c r="AN354" s="49">
        <v>-0.5</v>
      </c>
      <c r="AO354" s="49">
        <v>-0.5</v>
      </c>
      <c r="AP354" s="49"/>
      <c r="AR354" s="127"/>
    </row>
    <row r="355">
      <c r="R355" s="223"/>
      <c r="AL355" s="49"/>
      <c r="AM355" s="49"/>
      <c r="AN355" s="49">
        <v>-0.5</v>
      </c>
      <c r="AO355" s="49">
        <v>-0.5</v>
      </c>
      <c r="AP355" s="49"/>
      <c r="AR355" s="127"/>
    </row>
    <row r="356">
      <c r="R356" s="223"/>
      <c r="AL356" s="49"/>
      <c r="AM356" s="49"/>
      <c r="AN356" s="49">
        <v>-0.5</v>
      </c>
      <c r="AO356" s="49">
        <v>-0.5</v>
      </c>
      <c r="AP356" s="49"/>
      <c r="AR356" s="127"/>
    </row>
    <row r="357">
      <c r="R357" s="223"/>
      <c r="AL357" s="49"/>
      <c r="AM357" s="49"/>
      <c r="AN357" s="49">
        <v>-0.5</v>
      </c>
      <c r="AO357" s="49">
        <v>-0.5</v>
      </c>
      <c r="AP357" s="49"/>
      <c r="AR357" s="127"/>
    </row>
    <row r="358">
      <c r="R358" s="223"/>
      <c r="AL358" s="49"/>
      <c r="AM358" s="49"/>
      <c r="AN358" s="49">
        <v>-0.5</v>
      </c>
      <c r="AO358" s="49">
        <v>-0.5</v>
      </c>
      <c r="AP358" s="49"/>
      <c r="AR358" s="127"/>
    </row>
    <row r="359">
      <c r="R359" s="223"/>
      <c r="AL359" s="49"/>
      <c r="AM359" s="49"/>
      <c r="AN359" s="49">
        <v>-0.5</v>
      </c>
      <c r="AO359" s="49">
        <v>-0.5</v>
      </c>
      <c r="AP359" s="49"/>
      <c r="AR359" s="127"/>
    </row>
    <row r="360">
      <c r="R360" s="223"/>
      <c r="AL360" s="49"/>
      <c r="AM360" s="49"/>
      <c r="AN360" s="49">
        <v>-0.5</v>
      </c>
      <c r="AO360" s="49">
        <v>-0.5</v>
      </c>
      <c r="AP360" s="49"/>
      <c r="AR360" s="127"/>
    </row>
    <row r="361">
      <c r="R361" s="223"/>
      <c r="AL361" s="49"/>
      <c r="AM361" s="49"/>
      <c r="AN361" s="49">
        <v>-0.5</v>
      </c>
      <c r="AO361" s="49">
        <v>-0.5</v>
      </c>
      <c r="AP361" s="49"/>
      <c r="AR361" s="127"/>
    </row>
    <row r="362">
      <c r="R362" s="223"/>
      <c r="AL362" s="49"/>
      <c r="AM362" s="49"/>
      <c r="AN362" s="49">
        <v>-0.5</v>
      </c>
      <c r="AO362" s="49">
        <v>-0.5</v>
      </c>
      <c r="AP362" s="49"/>
      <c r="AR362" s="127"/>
    </row>
    <row r="363">
      <c r="R363" s="223"/>
      <c r="AL363" s="49"/>
      <c r="AM363" s="49"/>
      <c r="AN363" s="49">
        <v>-0.5</v>
      </c>
      <c r="AO363" s="49">
        <v>-0.5</v>
      </c>
      <c r="AP363" s="49"/>
      <c r="AR363" s="127"/>
    </row>
    <row r="364">
      <c r="R364" s="223"/>
      <c r="AL364" s="49"/>
      <c r="AM364" s="49"/>
      <c r="AN364" s="49">
        <v>-0.5</v>
      </c>
      <c r="AO364" s="49">
        <v>-0.5</v>
      </c>
      <c r="AP364" s="49"/>
      <c r="AR364" s="127"/>
    </row>
    <row r="365">
      <c r="R365" s="223"/>
      <c r="AL365" s="49"/>
      <c r="AM365" s="49"/>
      <c r="AN365" s="49">
        <v>-0.5</v>
      </c>
      <c r="AO365" s="49">
        <v>-0.5</v>
      </c>
      <c r="AP365" s="49"/>
      <c r="AR365" s="127"/>
    </row>
    <row r="366">
      <c r="R366" s="223"/>
      <c r="AL366" s="49"/>
      <c r="AM366" s="49"/>
      <c r="AN366" s="49">
        <v>-0.5</v>
      </c>
      <c r="AO366" s="49">
        <v>-0.5</v>
      </c>
      <c r="AP366" s="49"/>
      <c r="AR366" s="127"/>
    </row>
    <row r="367">
      <c r="R367" s="223"/>
      <c r="AL367" s="49"/>
      <c r="AM367" s="49"/>
      <c r="AN367" s="49">
        <v>-0.5</v>
      </c>
      <c r="AO367" s="49">
        <v>-0.5</v>
      </c>
      <c r="AP367" s="49"/>
      <c r="AR367" s="127"/>
    </row>
    <row r="368">
      <c r="R368" s="223"/>
      <c r="AL368" s="49"/>
      <c r="AM368" s="49"/>
      <c r="AN368" s="49">
        <v>-0.5</v>
      </c>
      <c r="AO368" s="49">
        <v>-0.5</v>
      </c>
      <c r="AP368" s="49"/>
      <c r="AR368" s="127"/>
    </row>
    <row r="369">
      <c r="R369" s="223"/>
      <c r="AL369" s="49"/>
      <c r="AM369" s="49"/>
      <c r="AN369" s="49">
        <v>-0.5</v>
      </c>
      <c r="AO369" s="49">
        <v>-0.5</v>
      </c>
      <c r="AP369" s="49"/>
      <c r="AR369" s="127"/>
    </row>
    <row r="370">
      <c r="R370" s="223"/>
      <c r="AL370" s="49"/>
      <c r="AM370" s="49"/>
      <c r="AN370" s="49">
        <v>-0.5</v>
      </c>
      <c r="AO370" s="49">
        <v>-0.5</v>
      </c>
      <c r="AP370" s="49"/>
      <c r="AR370" s="127"/>
    </row>
    <row r="371">
      <c r="R371" s="223"/>
      <c r="AL371" s="49"/>
      <c r="AM371" s="49"/>
      <c r="AN371" s="49">
        <v>-0.5</v>
      </c>
      <c r="AO371" s="49">
        <v>-0.5</v>
      </c>
      <c r="AP371" s="49"/>
      <c r="AR371" s="127"/>
    </row>
    <row r="372">
      <c r="R372" s="223"/>
      <c r="AL372" s="49"/>
      <c r="AM372" s="49"/>
      <c r="AN372" s="49">
        <v>-0.5</v>
      </c>
      <c r="AO372" s="49">
        <v>-0.5</v>
      </c>
      <c r="AP372" s="49"/>
      <c r="AR372" s="127"/>
    </row>
    <row r="373">
      <c r="R373" s="223"/>
      <c r="AL373" s="49"/>
      <c r="AM373" s="49"/>
      <c r="AN373" s="49">
        <v>-0.5</v>
      </c>
      <c r="AO373" s="49">
        <v>-0.5</v>
      </c>
      <c r="AP373" s="49"/>
      <c r="AR373" s="127"/>
    </row>
    <row r="374">
      <c r="R374" s="223"/>
      <c r="AL374" s="49"/>
      <c r="AM374" s="49"/>
      <c r="AN374" s="49">
        <v>-0.5</v>
      </c>
      <c r="AO374" s="49">
        <v>-0.5</v>
      </c>
      <c r="AP374" s="49"/>
      <c r="AR374" s="127"/>
    </row>
    <row r="375">
      <c r="R375" s="223"/>
      <c r="AL375" s="49"/>
      <c r="AM375" s="49"/>
      <c r="AN375" s="49">
        <v>-0.5</v>
      </c>
      <c r="AO375" s="49">
        <v>-0.5</v>
      </c>
      <c r="AP375" s="49"/>
      <c r="AR375" s="127"/>
    </row>
    <row r="376">
      <c r="R376" s="223"/>
      <c r="AL376" s="49"/>
      <c r="AM376" s="49"/>
      <c r="AN376" s="49">
        <v>-0.5</v>
      </c>
      <c r="AO376" s="49">
        <v>-0.5</v>
      </c>
      <c r="AP376" s="49"/>
      <c r="AR376" s="127"/>
    </row>
    <row r="377">
      <c r="R377" s="223"/>
      <c r="AL377" s="49"/>
      <c r="AM377" s="49"/>
      <c r="AN377" s="49">
        <v>-0.5</v>
      </c>
      <c r="AO377" s="49">
        <v>-0.5</v>
      </c>
      <c r="AP377" s="49"/>
      <c r="AR377" s="127"/>
    </row>
    <row r="378">
      <c r="R378" s="223"/>
      <c r="AL378" s="49"/>
      <c r="AM378" s="49"/>
      <c r="AN378" s="49">
        <v>-0.5</v>
      </c>
      <c r="AO378" s="49">
        <v>-0.5</v>
      </c>
      <c r="AP378" s="49"/>
      <c r="AR378" s="127"/>
    </row>
    <row r="379">
      <c r="R379" s="223"/>
      <c r="AL379" s="49"/>
      <c r="AM379" s="49"/>
      <c r="AN379" s="49">
        <v>-0.5</v>
      </c>
      <c r="AO379" s="49">
        <v>-0.5</v>
      </c>
      <c r="AP379" s="49"/>
      <c r="AR379" s="127"/>
    </row>
    <row r="380">
      <c r="R380" s="223"/>
      <c r="AL380" s="49"/>
      <c r="AM380" s="49"/>
      <c r="AN380" s="49">
        <v>-0.5</v>
      </c>
      <c r="AO380" s="49">
        <v>-0.5</v>
      </c>
      <c r="AP380" s="49"/>
      <c r="AR380" s="127"/>
    </row>
    <row r="381">
      <c r="R381" s="223"/>
      <c r="AL381" s="49"/>
      <c r="AM381" s="49"/>
      <c r="AN381" s="49">
        <v>-0.5</v>
      </c>
      <c r="AO381" s="49">
        <v>-0.5</v>
      </c>
      <c r="AP381" s="49"/>
      <c r="AR381" s="127"/>
    </row>
    <row r="382">
      <c r="R382" s="223"/>
      <c r="AL382" s="49"/>
      <c r="AM382" s="49"/>
      <c r="AN382" s="49">
        <v>-0.5</v>
      </c>
      <c r="AO382" s="49">
        <v>-0.5</v>
      </c>
      <c r="AP382" s="49"/>
      <c r="AR382" s="127"/>
    </row>
    <row r="383">
      <c r="R383" s="223"/>
      <c r="AL383" s="49"/>
      <c r="AM383" s="49"/>
      <c r="AN383" s="49">
        <v>-0.5</v>
      </c>
      <c r="AO383" s="49">
        <v>-0.5</v>
      </c>
      <c r="AP383" s="49"/>
      <c r="AR383" s="127"/>
    </row>
    <row r="384">
      <c r="R384" s="223"/>
      <c r="AL384" s="49"/>
      <c r="AM384" s="49"/>
      <c r="AN384" s="49">
        <v>-0.5</v>
      </c>
      <c r="AO384" s="49">
        <v>-0.5</v>
      </c>
      <c r="AP384" s="49"/>
      <c r="AR384" s="127"/>
    </row>
    <row r="385">
      <c r="R385" s="223"/>
      <c r="AL385" s="49"/>
      <c r="AM385" s="49"/>
      <c r="AN385" s="49">
        <v>-0.5</v>
      </c>
      <c r="AO385" s="49">
        <v>-0.5</v>
      </c>
      <c r="AP385" s="49"/>
      <c r="AR385" s="127"/>
    </row>
    <row r="386">
      <c r="R386" s="223"/>
      <c r="AL386" s="49"/>
      <c r="AM386" s="49"/>
      <c r="AN386" s="49">
        <v>-0.5</v>
      </c>
      <c r="AO386" s="49">
        <v>-0.5</v>
      </c>
      <c r="AP386" s="49"/>
      <c r="AR386" s="127"/>
    </row>
    <row r="387">
      <c r="R387" s="223"/>
      <c r="AL387" s="49"/>
      <c r="AM387" s="49"/>
      <c r="AN387" s="49">
        <v>-0.5</v>
      </c>
      <c r="AO387" s="49">
        <v>-0.5</v>
      </c>
      <c r="AP387" s="49"/>
      <c r="AR387" s="127"/>
    </row>
    <row r="388">
      <c r="R388" s="223"/>
      <c r="AL388" s="49"/>
      <c r="AM388" s="49"/>
      <c r="AN388" s="49">
        <v>-0.5</v>
      </c>
      <c r="AO388" s="49">
        <v>-0.5</v>
      </c>
      <c r="AP388" s="49"/>
      <c r="AR388" s="127"/>
    </row>
    <row r="389">
      <c r="R389" s="223"/>
      <c r="AL389" s="49"/>
      <c r="AM389" s="49"/>
      <c r="AN389" s="49">
        <v>-0.5</v>
      </c>
      <c r="AO389" s="49">
        <v>-0.5</v>
      </c>
      <c r="AP389" s="49"/>
      <c r="AR389" s="127"/>
    </row>
    <row r="390">
      <c r="R390" s="223"/>
      <c r="AL390" s="49"/>
      <c r="AM390" s="49"/>
      <c r="AN390" s="49">
        <v>-0.5</v>
      </c>
      <c r="AO390" s="49">
        <v>-0.5</v>
      </c>
      <c r="AP390" s="49"/>
      <c r="AR390" s="127"/>
    </row>
    <row r="391">
      <c r="R391" s="223"/>
      <c r="AL391" s="49"/>
      <c r="AM391" s="49"/>
      <c r="AN391" s="49">
        <v>-0.5</v>
      </c>
      <c r="AO391" s="49">
        <v>-0.5</v>
      </c>
      <c r="AP391" s="49"/>
      <c r="AR391" s="127"/>
    </row>
    <row r="392">
      <c r="R392" s="223"/>
      <c r="AL392" s="49"/>
      <c r="AM392" s="49"/>
      <c r="AN392" s="49">
        <v>-0.5</v>
      </c>
      <c r="AO392" s="49">
        <v>-0.5</v>
      </c>
      <c r="AP392" s="49"/>
      <c r="AR392" s="127"/>
    </row>
    <row r="393">
      <c r="R393" s="223"/>
      <c r="AL393" s="49"/>
      <c r="AM393" s="49"/>
      <c r="AN393" s="49">
        <v>-0.5</v>
      </c>
      <c r="AO393" s="49">
        <v>-0.5</v>
      </c>
      <c r="AP393" s="49"/>
      <c r="AR393" s="127"/>
    </row>
    <row r="394">
      <c r="R394" s="223"/>
      <c r="AL394" s="49"/>
      <c r="AM394" s="49"/>
      <c r="AN394" s="49">
        <v>-0.5</v>
      </c>
      <c r="AO394" s="49">
        <v>-0.5</v>
      </c>
      <c r="AP394" s="49"/>
      <c r="AR394" s="127"/>
    </row>
    <row r="395">
      <c r="R395" s="223"/>
      <c r="AL395" s="49"/>
      <c r="AM395" s="49"/>
      <c r="AN395" s="49">
        <v>-0.5</v>
      </c>
      <c r="AO395" s="49">
        <v>-0.5</v>
      </c>
      <c r="AP395" s="49"/>
      <c r="AR395" s="127"/>
    </row>
    <row r="396">
      <c r="R396" s="223"/>
      <c r="AL396" s="49"/>
      <c r="AM396" s="49"/>
      <c r="AN396" s="49">
        <v>-0.5</v>
      </c>
      <c r="AO396" s="49">
        <v>-0.5</v>
      </c>
      <c r="AP396" s="49"/>
      <c r="AR396" s="127"/>
    </row>
    <row r="397">
      <c r="R397" s="223"/>
      <c r="AL397" s="49"/>
      <c r="AM397" s="49"/>
      <c r="AN397" s="49">
        <v>-0.5</v>
      </c>
      <c r="AO397" s="49">
        <v>-0.5</v>
      </c>
      <c r="AP397" s="49"/>
      <c r="AR397" s="127"/>
    </row>
    <row r="398">
      <c r="R398" s="223"/>
      <c r="AL398" s="49"/>
      <c r="AM398" s="49"/>
      <c r="AN398" s="49">
        <v>-0.5</v>
      </c>
      <c r="AO398" s="49">
        <v>-0.5</v>
      </c>
      <c r="AP398" s="49"/>
      <c r="AR398" s="127"/>
    </row>
    <row r="399">
      <c r="R399" s="223"/>
      <c r="AL399" s="49"/>
      <c r="AM399" s="49"/>
      <c r="AN399" s="49">
        <v>-0.5</v>
      </c>
      <c r="AO399" s="49">
        <v>-0.5</v>
      </c>
      <c r="AP399" s="49"/>
      <c r="AR399" s="127"/>
    </row>
    <row r="400">
      <c r="R400" s="223"/>
      <c r="AL400" s="49"/>
      <c r="AM400" s="49"/>
      <c r="AN400" s="49">
        <v>-0.5</v>
      </c>
      <c r="AO400" s="49">
        <v>-0.5</v>
      </c>
      <c r="AP400" s="49"/>
      <c r="AR400" s="127"/>
    </row>
    <row r="401">
      <c r="R401" s="223"/>
      <c r="AL401" s="49"/>
      <c r="AM401" s="49"/>
      <c r="AN401" s="49">
        <v>-0.5</v>
      </c>
      <c r="AO401" s="49">
        <v>-0.5</v>
      </c>
      <c r="AP401" s="49"/>
      <c r="AR401" s="127"/>
    </row>
    <row r="402">
      <c r="R402" s="223"/>
      <c r="AL402" s="49"/>
      <c r="AM402" s="49"/>
      <c r="AN402" s="49">
        <v>-0.5</v>
      </c>
      <c r="AO402" s="49">
        <v>-0.5</v>
      </c>
      <c r="AP402" s="49"/>
      <c r="AR402" s="127"/>
    </row>
    <row r="403">
      <c r="R403" s="223"/>
      <c r="AL403" s="49"/>
      <c r="AM403" s="49"/>
      <c r="AN403" s="49">
        <v>-0.5</v>
      </c>
      <c r="AO403" s="49">
        <v>-0.5</v>
      </c>
      <c r="AP403" s="49"/>
      <c r="AR403" s="127"/>
    </row>
    <row r="404">
      <c r="R404" s="223"/>
      <c r="AL404" s="49"/>
      <c r="AM404" s="49"/>
      <c r="AN404" s="49">
        <v>-0.5</v>
      </c>
      <c r="AO404" s="49">
        <v>-0.5</v>
      </c>
      <c r="AP404" s="49"/>
      <c r="AR404" s="127"/>
    </row>
    <row r="405">
      <c r="R405" s="223"/>
      <c r="AL405" s="49"/>
      <c r="AM405" s="49"/>
      <c r="AN405" s="49">
        <v>-0.5</v>
      </c>
      <c r="AO405" s="49">
        <v>-0.5</v>
      </c>
      <c r="AP405" s="49"/>
      <c r="AR405" s="127"/>
    </row>
    <row r="406">
      <c r="R406" s="223"/>
      <c r="AL406" s="49"/>
      <c r="AM406" s="49"/>
      <c r="AN406" s="49">
        <v>-0.5</v>
      </c>
      <c r="AO406" s="49">
        <v>-0.5</v>
      </c>
      <c r="AP406" s="49"/>
      <c r="AR406" s="127"/>
    </row>
    <row r="407">
      <c r="R407" s="223"/>
      <c r="AL407" s="49"/>
      <c r="AM407" s="49"/>
      <c r="AN407" s="49">
        <v>-0.5</v>
      </c>
      <c r="AO407" s="49">
        <v>-0.5</v>
      </c>
      <c r="AP407" s="49"/>
      <c r="AR407" s="127"/>
    </row>
    <row r="408">
      <c r="R408" s="223"/>
      <c r="AL408" s="49"/>
      <c r="AM408" s="49"/>
      <c r="AN408" s="49">
        <v>-0.5</v>
      </c>
      <c r="AO408" s="49">
        <v>-0.5</v>
      </c>
      <c r="AP408" s="49"/>
      <c r="AR408" s="127"/>
    </row>
    <row r="409">
      <c r="R409" s="223"/>
      <c r="AL409" s="49"/>
      <c r="AM409" s="49"/>
      <c r="AN409" s="49">
        <v>-0.5</v>
      </c>
      <c r="AO409" s="49">
        <v>-0.5</v>
      </c>
      <c r="AP409" s="49"/>
      <c r="AR409" s="127"/>
    </row>
    <row r="410">
      <c r="R410" s="223"/>
      <c r="AL410" s="49"/>
      <c r="AM410" s="49"/>
      <c r="AN410" s="49">
        <v>-0.5</v>
      </c>
      <c r="AO410" s="49">
        <v>-0.5</v>
      </c>
      <c r="AP410" s="49"/>
      <c r="AR410" s="127"/>
    </row>
    <row r="411">
      <c r="R411" s="223"/>
      <c r="AL411" s="49"/>
      <c r="AM411" s="49"/>
      <c r="AN411" s="49">
        <v>-0.5</v>
      </c>
      <c r="AO411" s="49">
        <v>-0.5</v>
      </c>
      <c r="AP411" s="49"/>
      <c r="AR411" s="127"/>
    </row>
    <row r="412">
      <c r="R412" s="223"/>
      <c r="AL412" s="49"/>
      <c r="AM412" s="49"/>
      <c r="AN412" s="49">
        <v>-0.5</v>
      </c>
      <c r="AO412" s="49">
        <v>-0.5</v>
      </c>
      <c r="AP412" s="49"/>
      <c r="AR412" s="127"/>
    </row>
    <row r="413">
      <c r="R413" s="223"/>
      <c r="AL413" s="49"/>
      <c r="AM413" s="49"/>
      <c r="AN413" s="49">
        <v>-0.5</v>
      </c>
      <c r="AO413" s="49">
        <v>-0.5</v>
      </c>
      <c r="AP413" s="49"/>
      <c r="AR413" s="127"/>
    </row>
    <row r="414">
      <c r="R414" s="223"/>
      <c r="AL414" s="49"/>
      <c r="AM414" s="49"/>
      <c r="AN414" s="49">
        <v>-0.5</v>
      </c>
      <c r="AO414" s="49">
        <v>-0.5</v>
      </c>
      <c r="AP414" s="49"/>
      <c r="AR414" s="127"/>
    </row>
    <row r="415">
      <c r="R415" s="223"/>
      <c r="AL415" s="49"/>
      <c r="AM415" s="49"/>
      <c r="AN415" s="49">
        <v>-0.5</v>
      </c>
      <c r="AO415" s="49">
        <v>-0.5</v>
      </c>
      <c r="AP415" s="49"/>
      <c r="AR415" s="127"/>
    </row>
    <row r="416">
      <c r="R416" s="223"/>
      <c r="AL416" s="49"/>
      <c r="AM416" s="49"/>
      <c r="AN416" s="49">
        <v>-0.5</v>
      </c>
      <c r="AO416" s="49">
        <v>-0.5</v>
      </c>
      <c r="AP416" s="49"/>
      <c r="AR416" s="127"/>
    </row>
    <row r="417">
      <c r="R417" s="223"/>
      <c r="AL417" s="49"/>
      <c r="AM417" s="49"/>
      <c r="AN417" s="49">
        <v>-0.5</v>
      </c>
      <c r="AO417" s="49">
        <v>-0.5</v>
      </c>
      <c r="AP417" s="49"/>
      <c r="AR417" s="127"/>
    </row>
    <row r="418">
      <c r="R418" s="223"/>
      <c r="AL418" s="49"/>
      <c r="AM418" s="49"/>
      <c r="AN418" s="49">
        <v>-0.5</v>
      </c>
      <c r="AO418" s="49">
        <v>-0.5</v>
      </c>
      <c r="AP418" s="49"/>
      <c r="AR418" s="127"/>
    </row>
    <row r="419">
      <c r="R419" s="223"/>
      <c r="AL419" s="49"/>
      <c r="AM419" s="49"/>
      <c r="AN419" s="49">
        <v>-0.5</v>
      </c>
      <c r="AO419" s="49">
        <v>-0.5</v>
      </c>
      <c r="AP419" s="49"/>
      <c r="AR419" s="127"/>
    </row>
    <row r="420">
      <c r="R420" s="223"/>
      <c r="AL420" s="49"/>
      <c r="AM420" s="49"/>
      <c r="AN420" s="49">
        <v>-0.5</v>
      </c>
      <c r="AO420" s="49">
        <v>-0.5</v>
      </c>
      <c r="AP420" s="49"/>
      <c r="AR420" s="127"/>
    </row>
    <row r="421">
      <c r="R421" s="223"/>
      <c r="AL421" s="49"/>
      <c r="AM421" s="49"/>
      <c r="AN421" s="49">
        <v>-0.5</v>
      </c>
      <c r="AO421" s="49">
        <v>-0.5</v>
      </c>
      <c r="AP421" s="49"/>
      <c r="AR421" s="127"/>
    </row>
    <row r="422">
      <c r="R422" s="223"/>
      <c r="AL422" s="49"/>
      <c r="AM422" s="49"/>
      <c r="AN422" s="49">
        <v>-0.5</v>
      </c>
      <c r="AO422" s="49">
        <v>-0.5</v>
      </c>
      <c r="AP422" s="49"/>
      <c r="AR422" s="127"/>
    </row>
    <row r="423">
      <c r="R423" s="223"/>
      <c r="AL423" s="49"/>
      <c r="AM423" s="49"/>
      <c r="AN423" s="49">
        <v>-0.5</v>
      </c>
      <c r="AO423" s="49">
        <v>-0.5</v>
      </c>
      <c r="AP423" s="49"/>
      <c r="AR423" s="127"/>
    </row>
    <row r="424">
      <c r="R424" s="223"/>
      <c r="AL424" s="49"/>
      <c r="AM424" s="49"/>
      <c r="AN424" s="49">
        <v>-0.5</v>
      </c>
      <c r="AO424" s="49">
        <v>-0.5</v>
      </c>
      <c r="AP424" s="49"/>
      <c r="AR424" s="127"/>
    </row>
    <row r="425">
      <c r="R425" s="223"/>
      <c r="AL425" s="49"/>
      <c r="AM425" s="49"/>
      <c r="AN425" s="49">
        <v>-0.5</v>
      </c>
      <c r="AO425" s="49">
        <v>-0.5</v>
      </c>
      <c r="AP425" s="49"/>
      <c r="AR425" s="127"/>
    </row>
    <row r="426">
      <c r="R426" s="223"/>
      <c r="AL426" s="49"/>
      <c r="AM426" s="49"/>
      <c r="AN426" s="49">
        <v>-0.5</v>
      </c>
      <c r="AO426" s="49">
        <v>-0.5</v>
      </c>
      <c r="AP426" s="49"/>
      <c r="AR426" s="127"/>
    </row>
    <row r="427">
      <c r="R427" s="223"/>
      <c r="AL427" s="49"/>
      <c r="AM427" s="49"/>
      <c r="AN427" s="49">
        <v>-0.5</v>
      </c>
      <c r="AO427" s="49">
        <v>-0.5</v>
      </c>
      <c r="AP427" s="49"/>
      <c r="AR427" s="127"/>
    </row>
    <row r="428">
      <c r="R428" s="223"/>
      <c r="AL428" s="49"/>
      <c r="AM428" s="49"/>
      <c r="AN428" s="49">
        <v>-0.5</v>
      </c>
      <c r="AO428" s="49">
        <v>-0.5</v>
      </c>
      <c r="AP428" s="49"/>
      <c r="AR428" s="127"/>
    </row>
    <row r="429">
      <c r="R429" s="223"/>
      <c r="AL429" s="49"/>
      <c r="AM429" s="49"/>
      <c r="AN429" s="49">
        <v>-0.5</v>
      </c>
      <c r="AO429" s="49">
        <v>-0.5</v>
      </c>
      <c r="AP429" s="49"/>
      <c r="AR429" s="127"/>
    </row>
    <row r="430">
      <c r="R430" s="223"/>
      <c r="AL430" s="49"/>
      <c r="AM430" s="49"/>
      <c r="AN430" s="49">
        <v>-0.5</v>
      </c>
      <c r="AO430" s="49">
        <v>-0.5</v>
      </c>
      <c r="AP430" s="49"/>
      <c r="AR430" s="127"/>
    </row>
    <row r="431">
      <c r="R431" s="223"/>
      <c r="AL431" s="49"/>
      <c r="AM431" s="49"/>
      <c r="AN431" s="49">
        <v>-0.5</v>
      </c>
      <c r="AO431" s="49">
        <v>-0.5</v>
      </c>
      <c r="AP431" s="49"/>
      <c r="AR431" s="127"/>
    </row>
    <row r="432">
      <c r="R432" s="223"/>
      <c r="AL432" s="49"/>
      <c r="AM432" s="49"/>
      <c r="AN432" s="49">
        <v>-0.5</v>
      </c>
      <c r="AO432" s="49">
        <v>-0.5</v>
      </c>
      <c r="AP432" s="49"/>
      <c r="AR432" s="127"/>
    </row>
    <row r="433">
      <c r="R433" s="223"/>
      <c r="AL433" s="49"/>
      <c r="AM433" s="49"/>
      <c r="AN433" s="49">
        <v>-0.5</v>
      </c>
      <c r="AO433" s="49">
        <v>-0.5</v>
      </c>
      <c r="AP433" s="49"/>
      <c r="AR433" s="127"/>
    </row>
    <row r="434">
      <c r="R434" s="223"/>
      <c r="AL434" s="49"/>
      <c r="AM434" s="49"/>
      <c r="AN434" s="49">
        <v>-0.5</v>
      </c>
      <c r="AO434" s="49">
        <v>-0.5</v>
      </c>
      <c r="AP434" s="49"/>
      <c r="AR434" s="127"/>
    </row>
    <row r="435">
      <c r="R435" s="223"/>
      <c r="AL435" s="49"/>
      <c r="AM435" s="49"/>
      <c r="AN435" s="49">
        <v>-0.5</v>
      </c>
      <c r="AO435" s="49">
        <v>-0.5</v>
      </c>
      <c r="AP435" s="49"/>
      <c r="AR435" s="127"/>
    </row>
    <row r="436">
      <c r="R436" s="223"/>
      <c r="AL436" s="49"/>
      <c r="AM436" s="49"/>
      <c r="AN436" s="49">
        <v>-0.5</v>
      </c>
      <c r="AO436" s="49">
        <v>-0.5</v>
      </c>
      <c r="AP436" s="49"/>
      <c r="AR436" s="127"/>
    </row>
    <row r="437">
      <c r="R437" s="223"/>
      <c r="AL437" s="49"/>
      <c r="AM437" s="49"/>
      <c r="AN437" s="49">
        <v>-0.5</v>
      </c>
      <c r="AO437" s="49">
        <v>-0.5</v>
      </c>
      <c r="AP437" s="49"/>
      <c r="AR437" s="127"/>
    </row>
    <row r="438">
      <c r="R438" s="223"/>
      <c r="AL438" s="49"/>
      <c r="AM438" s="49"/>
      <c r="AN438" s="49">
        <v>-0.5</v>
      </c>
      <c r="AO438" s="49">
        <v>-0.5</v>
      </c>
      <c r="AP438" s="49"/>
      <c r="AR438" s="127"/>
    </row>
    <row r="439">
      <c r="R439" s="223"/>
      <c r="AL439" s="49"/>
      <c r="AM439" s="49"/>
      <c r="AN439" s="49">
        <v>-0.5</v>
      </c>
      <c r="AO439" s="49">
        <v>-0.5</v>
      </c>
      <c r="AP439" s="49"/>
      <c r="AR439" s="127"/>
    </row>
    <row r="440">
      <c r="R440" s="223"/>
      <c r="AL440" s="49"/>
      <c r="AM440" s="49"/>
      <c r="AN440" s="49">
        <v>-0.5</v>
      </c>
      <c r="AO440" s="49">
        <v>-0.5</v>
      </c>
      <c r="AP440" s="49"/>
      <c r="AR440" s="127"/>
    </row>
    <row r="441">
      <c r="R441" s="223"/>
      <c r="AL441" s="49"/>
      <c r="AM441" s="49"/>
      <c r="AN441" s="49">
        <v>-0.5</v>
      </c>
      <c r="AO441" s="49">
        <v>-0.5</v>
      </c>
      <c r="AP441" s="49"/>
      <c r="AR441" s="127"/>
    </row>
    <row r="442">
      <c r="R442" s="223"/>
      <c r="AL442" s="49"/>
      <c r="AM442" s="49"/>
      <c r="AN442" s="49">
        <v>-0.5</v>
      </c>
      <c r="AO442" s="49">
        <v>-0.5</v>
      </c>
      <c r="AP442" s="49"/>
      <c r="AR442" s="127"/>
    </row>
    <row r="443">
      <c r="R443" s="223"/>
      <c r="AL443" s="49"/>
      <c r="AM443" s="49"/>
      <c r="AN443" s="49">
        <v>-0.5</v>
      </c>
      <c r="AO443" s="49">
        <v>-0.5</v>
      </c>
      <c r="AP443" s="49"/>
      <c r="AR443" s="127"/>
    </row>
    <row r="444">
      <c r="R444" s="223"/>
      <c r="AL444" s="49"/>
      <c r="AM444" s="49"/>
      <c r="AN444" s="49">
        <v>-0.5</v>
      </c>
      <c r="AO444" s="49">
        <v>-0.5</v>
      </c>
      <c r="AP444" s="49"/>
      <c r="AR444" s="127"/>
    </row>
    <row r="445">
      <c r="R445" s="223"/>
      <c r="AL445" s="49"/>
      <c r="AM445" s="49"/>
      <c r="AN445" s="49">
        <v>-0.5</v>
      </c>
      <c r="AO445" s="49">
        <v>-0.5</v>
      </c>
      <c r="AP445" s="49"/>
      <c r="AR445" s="127"/>
    </row>
    <row r="446">
      <c r="R446" s="223"/>
      <c r="AL446" s="49"/>
      <c r="AM446" s="49"/>
      <c r="AN446" s="49">
        <v>-0.5</v>
      </c>
      <c r="AO446" s="49">
        <v>-0.5</v>
      </c>
      <c r="AP446" s="49"/>
      <c r="AR446" s="127"/>
    </row>
    <row r="447">
      <c r="R447" s="223"/>
      <c r="AL447" s="49"/>
      <c r="AM447" s="49"/>
      <c r="AN447" s="49">
        <v>-0.5</v>
      </c>
      <c r="AO447" s="49">
        <v>-0.5</v>
      </c>
      <c r="AP447" s="49"/>
      <c r="AR447" s="127"/>
    </row>
    <row r="448">
      <c r="R448" s="223"/>
      <c r="AL448" s="49"/>
      <c r="AM448" s="49"/>
      <c r="AN448" s="49">
        <v>-0.5</v>
      </c>
      <c r="AO448" s="49">
        <v>-0.5</v>
      </c>
      <c r="AP448" s="49"/>
      <c r="AR448" s="127"/>
    </row>
    <row r="449">
      <c r="R449" s="223"/>
      <c r="AL449" s="49"/>
      <c r="AM449" s="49"/>
      <c r="AN449" s="49">
        <v>-0.5</v>
      </c>
      <c r="AO449" s="49">
        <v>-0.5</v>
      </c>
      <c r="AP449" s="49"/>
      <c r="AR449" s="127"/>
    </row>
    <row r="450">
      <c r="R450" s="223"/>
      <c r="AL450" s="49"/>
      <c r="AM450" s="49"/>
      <c r="AN450" s="49">
        <v>-0.5</v>
      </c>
      <c r="AO450" s="49">
        <v>-0.5</v>
      </c>
      <c r="AP450" s="49"/>
      <c r="AR450" s="127"/>
    </row>
    <row r="451">
      <c r="R451" s="223"/>
      <c r="AL451" s="49"/>
      <c r="AM451" s="49"/>
      <c r="AN451" s="49">
        <v>-0.5</v>
      </c>
      <c r="AO451" s="49">
        <v>-0.5</v>
      </c>
      <c r="AP451" s="49"/>
      <c r="AR451" s="127"/>
    </row>
    <row r="452">
      <c r="R452" s="223"/>
      <c r="AL452" s="49"/>
      <c r="AM452" s="49"/>
      <c r="AN452" s="49">
        <v>-0.5</v>
      </c>
      <c r="AO452" s="49">
        <v>-0.5</v>
      </c>
      <c r="AP452" s="49"/>
      <c r="AR452" s="127"/>
    </row>
    <row r="453">
      <c r="R453" s="223"/>
      <c r="AL453" s="49"/>
      <c r="AM453" s="49"/>
      <c r="AN453" s="49">
        <v>-0.5</v>
      </c>
      <c r="AO453" s="49">
        <v>-0.5</v>
      </c>
      <c r="AP453" s="49"/>
      <c r="AR453" s="127"/>
    </row>
    <row r="454">
      <c r="R454" s="223"/>
      <c r="AL454" s="49"/>
      <c r="AM454" s="49"/>
      <c r="AN454" s="49">
        <v>-0.5</v>
      </c>
      <c r="AO454" s="49">
        <v>-0.5</v>
      </c>
      <c r="AP454" s="49"/>
      <c r="AR454" s="127"/>
    </row>
    <row r="455">
      <c r="R455" s="223"/>
      <c r="AL455" s="49"/>
      <c r="AM455" s="49"/>
      <c r="AN455" s="49">
        <v>-0.5</v>
      </c>
      <c r="AO455" s="49">
        <v>-0.5</v>
      </c>
      <c r="AP455" s="49"/>
      <c r="AR455" s="127"/>
    </row>
    <row r="456">
      <c r="R456" s="223"/>
      <c r="AL456" s="49"/>
      <c r="AM456" s="49"/>
      <c r="AN456" s="49">
        <v>-0.5</v>
      </c>
      <c r="AO456" s="49">
        <v>-0.5</v>
      </c>
      <c r="AP456" s="49"/>
      <c r="AR456" s="127"/>
    </row>
    <row r="457">
      <c r="R457" s="223"/>
      <c r="AL457" s="49"/>
      <c r="AM457" s="49"/>
      <c r="AN457" s="49">
        <v>-0.5</v>
      </c>
      <c r="AO457" s="49">
        <v>-0.5</v>
      </c>
      <c r="AP457" s="49"/>
      <c r="AR457" s="127"/>
    </row>
    <row r="458">
      <c r="R458" s="223"/>
      <c r="AL458" s="49"/>
      <c r="AM458" s="49"/>
      <c r="AN458" s="49">
        <v>-0.5</v>
      </c>
      <c r="AO458" s="49">
        <v>-0.5</v>
      </c>
      <c r="AP458" s="49"/>
      <c r="AR458" s="127"/>
    </row>
    <row r="459">
      <c r="R459" s="223"/>
      <c r="AL459" s="49"/>
      <c r="AM459" s="49"/>
      <c r="AN459" s="49">
        <v>-0.5</v>
      </c>
      <c r="AO459" s="49">
        <v>-0.5</v>
      </c>
      <c r="AP459" s="49"/>
      <c r="AR459" s="127"/>
    </row>
    <row r="460">
      <c r="R460" s="223"/>
      <c r="AL460" s="49"/>
      <c r="AM460" s="49"/>
      <c r="AN460" s="49">
        <v>-0.5</v>
      </c>
      <c r="AO460" s="49">
        <v>-0.5</v>
      </c>
      <c r="AP460" s="49"/>
      <c r="AR460" s="127"/>
    </row>
    <row r="461">
      <c r="R461" s="223"/>
      <c r="AL461" s="49"/>
      <c r="AM461" s="49"/>
      <c r="AN461" s="49">
        <v>-0.5</v>
      </c>
      <c r="AO461" s="49">
        <v>-0.5</v>
      </c>
      <c r="AP461" s="49"/>
      <c r="AR461" s="127"/>
    </row>
    <row r="462">
      <c r="R462" s="223"/>
      <c r="AL462" s="49"/>
      <c r="AM462" s="49"/>
      <c r="AN462" s="49">
        <v>-0.5</v>
      </c>
      <c r="AO462" s="49">
        <v>-0.5</v>
      </c>
      <c r="AP462" s="49"/>
      <c r="AR462" s="127"/>
    </row>
    <row r="463">
      <c r="R463" s="223"/>
      <c r="AL463" s="49"/>
      <c r="AM463" s="49"/>
      <c r="AN463" s="49">
        <v>-0.5</v>
      </c>
      <c r="AO463" s="49">
        <v>-0.5</v>
      </c>
      <c r="AP463" s="49"/>
      <c r="AR463" s="127"/>
    </row>
    <row r="464">
      <c r="R464" s="223"/>
      <c r="AL464" s="49"/>
      <c r="AM464" s="49"/>
      <c r="AN464" s="49">
        <v>-0.5</v>
      </c>
      <c r="AO464" s="49">
        <v>-0.5</v>
      </c>
      <c r="AP464" s="49"/>
      <c r="AR464" s="127"/>
    </row>
    <row r="465">
      <c r="R465" s="223"/>
      <c r="AL465" s="49"/>
      <c r="AM465" s="49"/>
      <c r="AN465" s="49">
        <v>-0.5</v>
      </c>
      <c r="AO465" s="49">
        <v>-0.5</v>
      </c>
      <c r="AP465" s="49"/>
      <c r="AR465" s="127"/>
    </row>
    <row r="466">
      <c r="R466" s="223"/>
      <c r="AL466" s="49"/>
      <c r="AM466" s="49"/>
      <c r="AN466" s="49">
        <v>-0.5</v>
      </c>
      <c r="AO466" s="49">
        <v>-0.5</v>
      </c>
      <c r="AP466" s="49"/>
      <c r="AR466" s="127"/>
    </row>
    <row r="467">
      <c r="R467" s="223"/>
      <c r="AL467" s="49"/>
      <c r="AM467" s="49"/>
      <c r="AN467" s="49">
        <v>-0.5</v>
      </c>
      <c r="AO467" s="49">
        <v>-0.5</v>
      </c>
      <c r="AP467" s="49"/>
      <c r="AR467" s="127"/>
    </row>
    <row r="468">
      <c r="R468" s="223"/>
      <c r="AL468" s="49"/>
      <c r="AM468" s="49"/>
      <c r="AN468" s="49">
        <v>-0.5</v>
      </c>
      <c r="AO468" s="49">
        <v>-0.5</v>
      </c>
      <c r="AP468" s="49"/>
      <c r="AR468" s="127"/>
    </row>
    <row r="469">
      <c r="R469" s="223"/>
      <c r="AL469" s="49"/>
      <c r="AM469" s="49"/>
      <c r="AN469" s="49">
        <v>-0.5</v>
      </c>
      <c r="AO469" s="49">
        <v>-0.5</v>
      </c>
      <c r="AP469" s="49"/>
      <c r="AR469" s="127"/>
    </row>
    <row r="470">
      <c r="R470" s="223"/>
      <c r="AL470" s="49"/>
      <c r="AM470" s="49"/>
      <c r="AN470" s="49">
        <v>-0.5</v>
      </c>
      <c r="AO470" s="49">
        <v>-0.5</v>
      </c>
      <c r="AP470" s="49"/>
      <c r="AR470" s="127"/>
    </row>
    <row r="471">
      <c r="R471" s="223"/>
      <c r="AL471" s="49"/>
      <c r="AM471" s="49"/>
      <c r="AN471" s="49">
        <v>-0.5</v>
      </c>
      <c r="AO471" s="49">
        <v>-0.5</v>
      </c>
      <c r="AP471" s="49"/>
      <c r="AR471" s="127"/>
    </row>
    <row r="472">
      <c r="R472" s="223"/>
      <c r="AL472" s="49"/>
      <c r="AM472" s="49"/>
      <c r="AN472" s="49">
        <v>-0.5</v>
      </c>
      <c r="AO472" s="49">
        <v>-0.5</v>
      </c>
      <c r="AP472" s="49"/>
      <c r="AR472" s="127"/>
    </row>
    <row r="473">
      <c r="R473" s="223"/>
      <c r="AL473" s="49"/>
      <c r="AM473" s="49"/>
      <c r="AN473" s="49">
        <v>-0.5</v>
      </c>
      <c r="AO473" s="49">
        <v>-0.5</v>
      </c>
      <c r="AP473" s="49"/>
      <c r="AR473" s="127"/>
    </row>
    <row r="474">
      <c r="R474" s="223"/>
      <c r="AL474" s="49"/>
      <c r="AM474" s="49"/>
      <c r="AN474" s="49">
        <v>-0.5</v>
      </c>
      <c r="AO474" s="49">
        <v>-0.5</v>
      </c>
      <c r="AP474" s="49"/>
      <c r="AR474" s="127"/>
    </row>
    <row r="475">
      <c r="R475" s="223"/>
      <c r="AL475" s="49"/>
      <c r="AM475" s="49"/>
      <c r="AN475" s="49">
        <v>-0.5</v>
      </c>
      <c r="AO475" s="49">
        <v>-0.5</v>
      </c>
      <c r="AP475" s="49"/>
      <c r="AR475" s="127"/>
    </row>
    <row r="476">
      <c r="R476" s="223"/>
      <c r="AL476" s="49"/>
      <c r="AM476" s="49"/>
      <c r="AN476" s="49">
        <v>-0.5</v>
      </c>
      <c r="AO476" s="49">
        <v>-0.5</v>
      </c>
      <c r="AP476" s="49"/>
      <c r="AR476" s="127"/>
    </row>
    <row r="477">
      <c r="R477" s="223"/>
      <c r="AL477" s="49"/>
      <c r="AM477" s="49"/>
      <c r="AN477" s="49">
        <v>-0.5</v>
      </c>
      <c r="AO477" s="49">
        <v>-0.5</v>
      </c>
      <c r="AP477" s="49"/>
      <c r="AR477" s="127"/>
    </row>
    <row r="478">
      <c r="R478" s="223"/>
      <c r="AL478" s="49"/>
      <c r="AM478" s="49"/>
      <c r="AN478" s="49">
        <v>-0.5</v>
      </c>
      <c r="AO478" s="49">
        <v>-0.5</v>
      </c>
      <c r="AP478" s="49"/>
      <c r="AR478" s="127"/>
    </row>
    <row r="479">
      <c r="R479" s="223"/>
      <c r="AL479" s="49"/>
      <c r="AM479" s="49"/>
      <c r="AN479" s="49">
        <v>-0.5</v>
      </c>
      <c r="AO479" s="49">
        <v>-0.5</v>
      </c>
      <c r="AP479" s="49"/>
      <c r="AR479" s="127"/>
    </row>
    <row r="480">
      <c r="R480" s="223"/>
      <c r="AL480" s="49"/>
      <c r="AM480" s="49"/>
      <c r="AN480" s="49">
        <v>-0.5</v>
      </c>
      <c r="AO480" s="49">
        <v>-0.5</v>
      </c>
      <c r="AP480" s="49"/>
      <c r="AR480" s="127"/>
    </row>
    <row r="481">
      <c r="R481" s="223"/>
      <c r="AL481" s="49"/>
      <c r="AM481" s="49"/>
      <c r="AN481" s="49">
        <v>-0.5</v>
      </c>
      <c r="AO481" s="49">
        <v>-0.5</v>
      </c>
      <c r="AP481" s="49"/>
      <c r="AR481" s="127"/>
    </row>
    <row r="482">
      <c r="R482" s="223"/>
      <c r="AL482" s="49"/>
      <c r="AM482" s="49"/>
      <c r="AN482" s="49">
        <v>-0.5</v>
      </c>
      <c r="AO482" s="49">
        <v>-0.5</v>
      </c>
      <c r="AP482" s="49"/>
      <c r="AR482" s="127"/>
    </row>
    <row r="483">
      <c r="R483" s="223"/>
      <c r="AL483" s="49"/>
      <c r="AM483" s="49"/>
      <c r="AN483" s="49">
        <v>-0.5</v>
      </c>
      <c r="AO483" s="49">
        <v>-0.5</v>
      </c>
      <c r="AP483" s="49"/>
      <c r="AR483" s="127"/>
    </row>
    <row r="484">
      <c r="R484" s="223"/>
      <c r="AL484" s="49"/>
      <c r="AM484" s="49"/>
      <c r="AN484" s="49">
        <v>-0.5</v>
      </c>
      <c r="AO484" s="49">
        <v>-0.5</v>
      </c>
      <c r="AP484" s="49"/>
      <c r="AR484" s="127"/>
    </row>
    <row r="485">
      <c r="R485" s="223"/>
      <c r="AL485" s="49"/>
      <c r="AM485" s="49"/>
      <c r="AN485" s="49">
        <v>-0.5</v>
      </c>
      <c r="AO485" s="49">
        <v>-0.5</v>
      </c>
      <c r="AP485" s="49"/>
      <c r="AR485" s="127"/>
    </row>
    <row r="486">
      <c r="R486" s="223"/>
      <c r="AL486" s="49"/>
      <c r="AM486" s="49"/>
      <c r="AN486" s="49">
        <v>-0.5</v>
      </c>
      <c r="AO486" s="49">
        <v>-0.5</v>
      </c>
      <c r="AP486" s="49"/>
      <c r="AR486" s="127"/>
    </row>
    <row r="487">
      <c r="R487" s="223"/>
      <c r="AL487" s="49"/>
      <c r="AM487" s="49"/>
      <c r="AN487" s="49">
        <v>-0.5</v>
      </c>
      <c r="AO487" s="49">
        <v>-0.5</v>
      </c>
      <c r="AP487" s="49"/>
      <c r="AR487" s="127"/>
    </row>
    <row r="488">
      <c r="R488" s="223"/>
      <c r="AL488" s="49"/>
      <c r="AM488" s="49"/>
      <c r="AN488" s="49">
        <v>-0.5</v>
      </c>
      <c r="AO488" s="49">
        <v>-0.5</v>
      </c>
      <c r="AP488" s="49"/>
      <c r="AR488" s="127"/>
    </row>
    <row r="489">
      <c r="R489" s="223"/>
      <c r="AL489" s="49"/>
      <c r="AM489" s="49"/>
      <c r="AN489" s="49">
        <v>-0.5</v>
      </c>
      <c r="AO489" s="49">
        <v>-0.5</v>
      </c>
      <c r="AP489" s="49"/>
      <c r="AR489" s="127"/>
    </row>
    <row r="490">
      <c r="R490" s="223"/>
      <c r="AL490" s="49"/>
      <c r="AM490" s="49"/>
      <c r="AN490" s="49">
        <v>-0.5</v>
      </c>
      <c r="AO490" s="49">
        <v>-0.5</v>
      </c>
      <c r="AP490" s="49"/>
      <c r="AR490" s="127"/>
    </row>
    <row r="491">
      <c r="R491" s="223"/>
      <c r="AL491" s="49"/>
      <c r="AM491" s="49"/>
      <c r="AN491" s="49">
        <v>-0.5</v>
      </c>
      <c r="AO491" s="49">
        <v>-0.5</v>
      </c>
      <c r="AP491" s="49"/>
      <c r="AR491" s="127"/>
    </row>
    <row r="492">
      <c r="R492" s="223"/>
      <c r="AL492" s="49"/>
      <c r="AM492" s="49"/>
      <c r="AN492" s="49">
        <v>-0.5</v>
      </c>
      <c r="AO492" s="49">
        <v>-0.5</v>
      </c>
      <c r="AP492" s="49"/>
      <c r="AR492" s="127"/>
    </row>
    <row r="493">
      <c r="R493" s="223"/>
      <c r="AL493" s="49"/>
      <c r="AM493" s="49"/>
      <c r="AN493" s="49">
        <v>-0.5</v>
      </c>
      <c r="AO493" s="49">
        <v>-0.5</v>
      </c>
      <c r="AP493" s="49"/>
      <c r="AR493" s="127"/>
    </row>
    <row r="494">
      <c r="R494" s="223"/>
      <c r="AL494" s="49"/>
      <c r="AM494" s="49"/>
      <c r="AN494" s="49">
        <v>-0.5</v>
      </c>
      <c r="AO494" s="49">
        <v>-0.5</v>
      </c>
      <c r="AP494" s="49"/>
      <c r="AR494" s="127"/>
    </row>
    <row r="495">
      <c r="R495" s="223"/>
      <c r="AL495" s="49"/>
      <c r="AM495" s="49"/>
      <c r="AN495" s="49">
        <v>-0.5</v>
      </c>
      <c r="AO495" s="49">
        <v>-0.5</v>
      </c>
      <c r="AP495" s="49"/>
      <c r="AR495" s="127"/>
    </row>
    <row r="496">
      <c r="R496" s="223"/>
      <c r="AL496" s="49"/>
      <c r="AM496" s="49"/>
      <c r="AN496" s="49">
        <v>-0.5</v>
      </c>
      <c r="AO496" s="49">
        <v>-0.5</v>
      </c>
      <c r="AP496" s="49"/>
      <c r="AR496" s="127"/>
    </row>
    <row r="497">
      <c r="R497" s="223"/>
      <c r="AL497" s="49"/>
      <c r="AM497" s="49"/>
      <c r="AN497" s="49">
        <v>-0.5</v>
      </c>
      <c r="AO497" s="49">
        <v>-0.5</v>
      </c>
      <c r="AP497" s="49"/>
      <c r="AR497" s="127"/>
    </row>
    <row r="498">
      <c r="R498" s="223"/>
      <c r="AL498" s="49"/>
      <c r="AM498" s="49"/>
      <c r="AN498" s="49">
        <v>-0.5</v>
      </c>
      <c r="AO498" s="49">
        <v>-0.5</v>
      </c>
      <c r="AP498" s="49"/>
      <c r="AR498" s="127"/>
    </row>
    <row r="499">
      <c r="R499" s="223"/>
      <c r="AL499" s="49"/>
      <c r="AM499" s="49"/>
      <c r="AN499" s="49">
        <v>-0.5</v>
      </c>
      <c r="AO499" s="49">
        <v>-0.5</v>
      </c>
      <c r="AP499" s="49"/>
      <c r="AR499" s="127"/>
    </row>
    <row r="500">
      <c r="R500" s="223"/>
      <c r="AL500" s="49"/>
      <c r="AM500" s="49"/>
      <c r="AN500" s="49">
        <v>-0.5</v>
      </c>
      <c r="AO500" s="49">
        <v>-0.5</v>
      </c>
      <c r="AP500" s="49"/>
      <c r="AR500" s="127"/>
    </row>
    <row r="501">
      <c r="R501" s="223"/>
      <c r="AL501" s="49"/>
      <c r="AM501" s="49"/>
      <c r="AN501" s="49">
        <v>-0.5</v>
      </c>
      <c r="AO501" s="49">
        <v>-0.5</v>
      </c>
      <c r="AP501" s="49"/>
      <c r="AR501" s="127"/>
    </row>
    <row r="502">
      <c r="R502" s="223"/>
      <c r="AL502" s="49"/>
      <c r="AM502" s="49"/>
      <c r="AN502" s="49">
        <v>-0.5</v>
      </c>
      <c r="AO502" s="49">
        <v>-0.5</v>
      </c>
      <c r="AP502" s="49"/>
      <c r="AR502" s="127"/>
    </row>
    <row r="503">
      <c r="R503" s="223"/>
      <c r="AL503" s="49"/>
      <c r="AM503" s="49"/>
      <c r="AN503" s="49">
        <v>-0.5</v>
      </c>
      <c r="AO503" s="49">
        <v>-0.5</v>
      </c>
      <c r="AP503" s="49"/>
      <c r="AR503" s="127"/>
    </row>
    <row r="504">
      <c r="R504" s="223"/>
      <c r="AL504" s="49"/>
      <c r="AM504" s="49"/>
      <c r="AN504" s="49">
        <v>-0.5</v>
      </c>
      <c r="AO504" s="49">
        <v>-0.5</v>
      </c>
      <c r="AP504" s="49"/>
      <c r="AR504" s="127"/>
    </row>
    <row r="505">
      <c r="R505" s="223"/>
      <c r="AL505" s="49"/>
      <c r="AM505" s="49"/>
      <c r="AN505" s="49">
        <v>-0.5</v>
      </c>
      <c r="AO505" s="49">
        <v>-0.5</v>
      </c>
      <c r="AP505" s="49"/>
      <c r="AR505" s="127"/>
    </row>
    <row r="506">
      <c r="R506" s="223"/>
      <c r="AL506" s="49"/>
      <c r="AM506" s="49"/>
      <c r="AN506" s="49">
        <v>-0.5</v>
      </c>
      <c r="AO506" s="49">
        <v>-0.5</v>
      </c>
      <c r="AP506" s="49"/>
      <c r="AR506" s="127"/>
    </row>
    <row r="507">
      <c r="R507" s="223"/>
      <c r="AL507" s="49"/>
      <c r="AM507" s="49"/>
      <c r="AN507" s="49">
        <v>-0.5</v>
      </c>
      <c r="AO507" s="49">
        <v>-0.5</v>
      </c>
      <c r="AP507" s="49"/>
      <c r="AR507" s="127"/>
    </row>
    <row r="508">
      <c r="R508" s="223"/>
      <c r="AL508" s="49"/>
      <c r="AM508" s="49"/>
      <c r="AN508" s="49">
        <v>-0.5</v>
      </c>
      <c r="AO508" s="49">
        <v>-0.5</v>
      </c>
      <c r="AP508" s="49"/>
      <c r="AR508" s="127"/>
    </row>
    <row r="509">
      <c r="R509" s="223"/>
      <c r="AL509" s="49"/>
      <c r="AM509" s="49"/>
      <c r="AN509" s="49">
        <v>-0.5</v>
      </c>
      <c r="AO509" s="49">
        <v>-0.5</v>
      </c>
      <c r="AP509" s="49"/>
      <c r="AR509" s="127"/>
    </row>
    <row r="510">
      <c r="R510" s="223"/>
      <c r="AL510" s="49"/>
      <c r="AM510" s="49"/>
      <c r="AN510" s="49">
        <v>-0.5</v>
      </c>
      <c r="AO510" s="49">
        <v>-0.5</v>
      </c>
      <c r="AP510" s="49"/>
      <c r="AR510" s="127"/>
    </row>
    <row r="511">
      <c r="R511" s="223"/>
      <c r="AL511" s="49"/>
      <c r="AM511" s="49"/>
      <c r="AN511" s="49">
        <v>-0.5</v>
      </c>
      <c r="AO511" s="49">
        <v>-0.5</v>
      </c>
      <c r="AP511" s="49"/>
      <c r="AR511" s="127"/>
    </row>
    <row r="512">
      <c r="R512" s="223"/>
      <c r="AL512" s="49"/>
      <c r="AM512" s="49"/>
      <c r="AN512" s="49">
        <v>-0.5</v>
      </c>
      <c r="AO512" s="49">
        <v>-0.5</v>
      </c>
      <c r="AP512" s="49"/>
      <c r="AR512" s="127"/>
    </row>
    <row r="513">
      <c r="R513" s="223"/>
      <c r="AL513" s="49"/>
      <c r="AM513" s="49"/>
      <c r="AN513" s="49">
        <v>-0.5</v>
      </c>
      <c r="AO513" s="49">
        <v>-0.5</v>
      </c>
      <c r="AP513" s="49"/>
      <c r="AR513" s="127"/>
    </row>
    <row r="514">
      <c r="R514" s="223"/>
      <c r="AL514" s="49"/>
      <c r="AM514" s="49"/>
      <c r="AN514" s="49">
        <v>-0.5</v>
      </c>
      <c r="AO514" s="49">
        <v>-0.5</v>
      </c>
      <c r="AP514" s="49"/>
      <c r="AR514" s="127"/>
    </row>
    <row r="515">
      <c r="R515" s="223"/>
      <c r="AL515" s="49"/>
      <c r="AM515" s="49"/>
      <c r="AN515" s="49">
        <v>-0.5</v>
      </c>
      <c r="AO515" s="49">
        <v>-0.5</v>
      </c>
      <c r="AP515" s="49"/>
      <c r="AR515" s="127"/>
    </row>
    <row r="516">
      <c r="R516" s="223"/>
      <c r="AL516" s="49"/>
      <c r="AM516" s="49"/>
      <c r="AN516" s="49">
        <v>-0.5</v>
      </c>
      <c r="AO516" s="49">
        <v>-0.5</v>
      </c>
      <c r="AP516" s="49"/>
      <c r="AR516" s="127"/>
    </row>
    <row r="517">
      <c r="R517" s="223"/>
      <c r="AL517" s="49"/>
      <c r="AM517" s="49"/>
      <c r="AN517" s="49">
        <v>-0.5</v>
      </c>
      <c r="AO517" s="49">
        <v>-0.5</v>
      </c>
      <c r="AP517" s="49"/>
      <c r="AR517" s="127"/>
    </row>
    <row r="518">
      <c r="R518" s="223"/>
      <c r="AL518" s="49"/>
      <c r="AM518" s="49"/>
      <c r="AN518" s="49">
        <v>-0.5</v>
      </c>
      <c r="AO518" s="49">
        <v>-0.5</v>
      </c>
      <c r="AP518" s="49"/>
      <c r="AR518" s="127"/>
    </row>
    <row r="519">
      <c r="R519" s="223"/>
      <c r="AL519" s="49"/>
      <c r="AM519" s="49"/>
      <c r="AN519" s="49">
        <v>-0.5</v>
      </c>
      <c r="AO519" s="49">
        <v>-0.5</v>
      </c>
      <c r="AP519" s="49"/>
      <c r="AR519" s="127"/>
    </row>
    <row r="520">
      <c r="R520" s="223"/>
      <c r="AL520" s="49"/>
      <c r="AM520" s="49"/>
      <c r="AN520" s="49">
        <v>-0.5</v>
      </c>
      <c r="AO520" s="49">
        <v>-0.5</v>
      </c>
      <c r="AP520" s="49"/>
      <c r="AR520" s="127"/>
    </row>
    <row r="521">
      <c r="R521" s="223"/>
      <c r="AL521" s="49"/>
      <c r="AM521" s="49"/>
      <c r="AN521" s="49">
        <v>-0.5</v>
      </c>
      <c r="AO521" s="49">
        <v>-0.5</v>
      </c>
      <c r="AP521" s="49"/>
      <c r="AR521" s="127"/>
    </row>
    <row r="522">
      <c r="R522" s="223"/>
      <c r="AL522" s="49"/>
      <c r="AM522" s="49"/>
      <c r="AN522" s="49">
        <v>-0.5</v>
      </c>
      <c r="AO522" s="49">
        <v>-0.5</v>
      </c>
      <c r="AP522" s="49"/>
      <c r="AR522" s="127"/>
    </row>
    <row r="523">
      <c r="R523" s="223"/>
      <c r="AL523" s="49"/>
      <c r="AM523" s="49"/>
      <c r="AN523" s="49">
        <v>-0.5</v>
      </c>
      <c r="AO523" s="49">
        <v>-0.5</v>
      </c>
      <c r="AP523" s="49"/>
      <c r="AR523" s="127"/>
    </row>
    <row r="524">
      <c r="R524" s="223"/>
      <c r="AL524" s="49"/>
      <c r="AM524" s="49"/>
      <c r="AN524" s="49">
        <v>-0.5</v>
      </c>
      <c r="AO524" s="49">
        <v>-0.5</v>
      </c>
      <c r="AP524" s="49"/>
      <c r="AR524" s="127"/>
    </row>
    <row r="525">
      <c r="R525" s="223"/>
      <c r="AL525" s="49"/>
      <c r="AM525" s="49"/>
      <c r="AN525" s="49">
        <v>-0.5</v>
      </c>
      <c r="AO525" s="49">
        <v>-0.5</v>
      </c>
      <c r="AP525" s="49"/>
      <c r="AR525" s="127"/>
    </row>
    <row r="526">
      <c r="R526" s="223"/>
      <c r="AL526" s="49"/>
      <c r="AM526" s="49"/>
      <c r="AN526" s="49">
        <v>-0.5</v>
      </c>
      <c r="AO526" s="49">
        <v>-0.5</v>
      </c>
      <c r="AP526" s="49"/>
      <c r="AR526" s="127"/>
    </row>
    <row r="527">
      <c r="R527" s="223"/>
      <c r="AL527" s="49"/>
      <c r="AM527" s="49"/>
      <c r="AN527" s="49">
        <v>-0.5</v>
      </c>
      <c r="AO527" s="49">
        <v>-0.5</v>
      </c>
      <c r="AP527" s="49"/>
      <c r="AR527" s="127"/>
    </row>
    <row r="528">
      <c r="R528" s="223"/>
      <c r="AL528" s="49"/>
      <c r="AM528" s="49"/>
      <c r="AN528" s="49">
        <v>-0.5</v>
      </c>
      <c r="AO528" s="49">
        <v>-0.5</v>
      </c>
      <c r="AP528" s="49"/>
      <c r="AR528" s="127"/>
    </row>
    <row r="529">
      <c r="R529" s="223"/>
      <c r="AL529" s="49"/>
      <c r="AM529" s="49"/>
      <c r="AN529" s="49">
        <v>-0.5</v>
      </c>
      <c r="AO529" s="49">
        <v>-0.5</v>
      </c>
      <c r="AP529" s="49"/>
      <c r="AR529" s="127"/>
    </row>
    <row r="530">
      <c r="R530" s="223"/>
      <c r="AL530" s="49"/>
      <c r="AM530" s="49"/>
      <c r="AN530" s="49">
        <v>-0.5</v>
      </c>
      <c r="AO530" s="49">
        <v>-0.5</v>
      </c>
      <c r="AP530" s="49"/>
      <c r="AR530" s="127"/>
    </row>
    <row r="531">
      <c r="R531" s="223"/>
      <c r="AL531" s="49"/>
      <c r="AM531" s="49"/>
      <c r="AN531" s="49">
        <v>-0.5</v>
      </c>
      <c r="AO531" s="49">
        <v>-0.5</v>
      </c>
      <c r="AP531" s="49"/>
      <c r="AR531" s="127"/>
    </row>
    <row r="532">
      <c r="R532" s="223"/>
      <c r="AL532" s="49"/>
      <c r="AM532" s="49"/>
      <c r="AN532" s="49">
        <v>-0.5</v>
      </c>
      <c r="AO532" s="49">
        <v>-0.5</v>
      </c>
      <c r="AP532" s="49"/>
      <c r="AR532" s="127"/>
    </row>
    <row r="533">
      <c r="R533" s="223"/>
      <c r="AL533" s="49"/>
      <c r="AM533" s="49"/>
      <c r="AN533" s="49">
        <v>-0.5</v>
      </c>
      <c r="AO533" s="49">
        <v>-0.5</v>
      </c>
      <c r="AP533" s="49"/>
      <c r="AR533" s="127"/>
    </row>
    <row r="534">
      <c r="R534" s="223"/>
      <c r="AL534" s="49"/>
      <c r="AM534" s="49"/>
      <c r="AN534" s="49">
        <v>-0.5</v>
      </c>
      <c r="AO534" s="49">
        <v>-0.5</v>
      </c>
      <c r="AP534" s="49"/>
      <c r="AR534" s="127"/>
    </row>
    <row r="535">
      <c r="R535" s="223"/>
      <c r="AL535" s="49"/>
      <c r="AM535" s="49"/>
      <c r="AN535" s="49">
        <v>-0.5</v>
      </c>
      <c r="AO535" s="49">
        <v>-0.5</v>
      </c>
      <c r="AP535" s="49"/>
      <c r="AR535" s="127"/>
    </row>
    <row r="536">
      <c r="R536" s="223"/>
      <c r="AL536" s="49"/>
      <c r="AM536" s="49"/>
      <c r="AN536" s="49">
        <v>-0.5</v>
      </c>
      <c r="AO536" s="49">
        <v>-0.5</v>
      </c>
      <c r="AP536" s="49"/>
      <c r="AR536" s="127"/>
    </row>
    <row r="537">
      <c r="R537" s="223"/>
      <c r="AL537" s="49"/>
      <c r="AM537" s="49"/>
      <c r="AN537" s="49">
        <v>-0.5</v>
      </c>
      <c r="AO537" s="49">
        <v>-0.5</v>
      </c>
      <c r="AP537" s="49"/>
      <c r="AR537" s="127"/>
    </row>
    <row r="538">
      <c r="R538" s="223"/>
      <c r="AL538" s="49"/>
      <c r="AM538" s="49"/>
      <c r="AN538" s="49">
        <v>-0.5</v>
      </c>
      <c r="AO538" s="49">
        <v>-0.5</v>
      </c>
      <c r="AP538" s="49"/>
      <c r="AR538" s="127"/>
    </row>
    <row r="539">
      <c r="R539" s="223"/>
      <c r="AL539" s="49"/>
      <c r="AM539" s="49"/>
      <c r="AN539" s="49">
        <v>-0.5</v>
      </c>
      <c r="AO539" s="49">
        <v>-0.5</v>
      </c>
      <c r="AP539" s="49"/>
      <c r="AR539" s="127"/>
    </row>
    <row r="540">
      <c r="R540" s="223"/>
      <c r="AL540" s="49"/>
      <c r="AM540" s="49"/>
      <c r="AN540" s="49">
        <v>-0.5</v>
      </c>
      <c r="AO540" s="49">
        <v>-0.5</v>
      </c>
      <c r="AP540" s="49"/>
      <c r="AR540" s="127"/>
    </row>
    <row r="541">
      <c r="R541" s="223"/>
      <c r="AL541" s="49"/>
      <c r="AM541" s="49"/>
      <c r="AN541" s="49">
        <v>-0.5</v>
      </c>
      <c r="AO541" s="49">
        <v>-0.5</v>
      </c>
      <c r="AP541" s="49"/>
      <c r="AR541" s="127"/>
    </row>
    <row r="542">
      <c r="R542" s="223"/>
      <c r="AL542" s="49"/>
      <c r="AM542" s="49"/>
      <c r="AN542" s="49">
        <v>-0.5</v>
      </c>
      <c r="AO542" s="49">
        <v>-0.5</v>
      </c>
      <c r="AP542" s="49"/>
      <c r="AR542" s="127"/>
    </row>
    <row r="543">
      <c r="R543" s="223"/>
      <c r="AL543" s="49"/>
      <c r="AM543" s="49"/>
      <c r="AN543" s="49">
        <v>-0.5</v>
      </c>
      <c r="AO543" s="49">
        <v>-0.5</v>
      </c>
      <c r="AP543" s="49"/>
      <c r="AR543" s="127"/>
    </row>
    <row r="544">
      <c r="R544" s="223"/>
      <c r="AL544" s="49"/>
      <c r="AM544" s="49"/>
      <c r="AN544" s="49">
        <v>-0.5</v>
      </c>
      <c r="AO544" s="49">
        <v>-0.5</v>
      </c>
      <c r="AP544" s="49"/>
      <c r="AR544" s="127"/>
    </row>
    <row r="545">
      <c r="R545" s="223"/>
      <c r="AL545" s="49"/>
      <c r="AM545" s="49"/>
      <c r="AN545" s="49">
        <v>-0.5</v>
      </c>
      <c r="AO545" s="49">
        <v>-0.5</v>
      </c>
      <c r="AP545" s="49"/>
      <c r="AR545" s="127"/>
    </row>
    <row r="546">
      <c r="R546" s="223"/>
      <c r="AL546" s="49"/>
      <c r="AM546" s="49"/>
      <c r="AN546" s="49">
        <v>-0.5</v>
      </c>
      <c r="AO546" s="49">
        <v>-0.5</v>
      </c>
      <c r="AP546" s="49"/>
      <c r="AR546" s="127"/>
    </row>
    <row r="547">
      <c r="R547" s="223"/>
      <c r="AL547" s="49"/>
      <c r="AM547" s="49"/>
      <c r="AN547" s="49">
        <v>-0.5</v>
      </c>
      <c r="AO547" s="49">
        <v>-0.5</v>
      </c>
      <c r="AP547" s="49"/>
      <c r="AR547" s="127"/>
    </row>
    <row r="548">
      <c r="R548" s="223"/>
      <c r="AL548" s="49"/>
      <c r="AM548" s="49"/>
      <c r="AN548" s="49">
        <v>-0.5</v>
      </c>
      <c r="AO548" s="49">
        <v>-0.5</v>
      </c>
      <c r="AP548" s="49"/>
      <c r="AR548" s="127"/>
    </row>
    <row r="549">
      <c r="R549" s="223"/>
      <c r="AL549" s="49"/>
      <c r="AM549" s="49"/>
      <c r="AN549" s="49">
        <v>-0.5</v>
      </c>
      <c r="AO549" s="49">
        <v>-0.5</v>
      </c>
      <c r="AP549" s="49"/>
      <c r="AR549" s="127"/>
    </row>
    <row r="550">
      <c r="R550" s="223"/>
      <c r="AL550" s="49"/>
      <c r="AM550" s="49"/>
      <c r="AN550" s="49">
        <v>-0.5</v>
      </c>
      <c r="AO550" s="49">
        <v>-0.5</v>
      </c>
      <c r="AP550" s="49"/>
      <c r="AR550" s="127"/>
    </row>
    <row r="551">
      <c r="R551" s="223"/>
      <c r="AL551" s="49"/>
      <c r="AM551" s="49"/>
      <c r="AN551" s="49">
        <v>-0.5</v>
      </c>
      <c r="AO551" s="49">
        <v>-0.5</v>
      </c>
      <c r="AP551" s="49"/>
      <c r="AR551" s="127"/>
    </row>
    <row r="552">
      <c r="R552" s="223"/>
      <c r="AL552" s="49"/>
      <c r="AM552" s="49"/>
      <c r="AN552" s="49">
        <v>-0.5</v>
      </c>
      <c r="AO552" s="49">
        <v>-0.5</v>
      </c>
      <c r="AP552" s="49"/>
      <c r="AR552" s="127"/>
    </row>
    <row r="553">
      <c r="R553" s="223"/>
      <c r="AL553" s="49"/>
      <c r="AM553" s="49"/>
      <c r="AN553" s="49">
        <v>-0.5</v>
      </c>
      <c r="AO553" s="49">
        <v>-0.5</v>
      </c>
      <c r="AP553" s="49"/>
      <c r="AR553" s="127"/>
    </row>
    <row r="554">
      <c r="R554" s="223"/>
      <c r="AL554" s="49"/>
      <c r="AM554" s="49"/>
      <c r="AN554" s="49">
        <v>-0.5</v>
      </c>
      <c r="AO554" s="49">
        <v>-0.5</v>
      </c>
      <c r="AP554" s="49"/>
      <c r="AR554" s="127"/>
    </row>
    <row r="555">
      <c r="R555" s="223"/>
      <c r="AL555" s="49"/>
      <c r="AM555" s="49"/>
      <c r="AN555" s="49">
        <v>-0.5</v>
      </c>
      <c r="AO555" s="49">
        <v>-0.5</v>
      </c>
      <c r="AP555" s="49"/>
      <c r="AR555" s="127"/>
    </row>
    <row r="556">
      <c r="R556" s="223"/>
      <c r="AL556" s="49"/>
      <c r="AM556" s="49"/>
      <c r="AN556" s="49">
        <v>-0.5</v>
      </c>
      <c r="AO556" s="49">
        <v>-0.5</v>
      </c>
      <c r="AP556" s="49"/>
      <c r="AR556" s="127"/>
    </row>
    <row r="557">
      <c r="R557" s="223"/>
      <c r="AL557" s="49"/>
      <c r="AM557" s="49"/>
      <c r="AN557" s="49">
        <v>-0.5</v>
      </c>
      <c r="AO557" s="49">
        <v>-0.5</v>
      </c>
      <c r="AP557" s="49"/>
      <c r="AR557" s="127"/>
    </row>
    <row r="558">
      <c r="R558" s="223"/>
      <c r="AL558" s="49"/>
      <c r="AM558" s="49"/>
      <c r="AN558" s="49">
        <v>-0.5</v>
      </c>
      <c r="AO558" s="49">
        <v>-0.5</v>
      </c>
      <c r="AP558" s="49"/>
      <c r="AR558" s="127"/>
    </row>
    <row r="559">
      <c r="R559" s="223"/>
      <c r="AL559" s="49"/>
      <c r="AM559" s="49"/>
      <c r="AN559" s="49">
        <v>-0.5</v>
      </c>
      <c r="AO559" s="49">
        <v>-0.5</v>
      </c>
      <c r="AP559" s="49"/>
      <c r="AR559" s="127"/>
    </row>
    <row r="560">
      <c r="R560" s="223"/>
      <c r="AL560" s="49"/>
      <c r="AM560" s="49"/>
      <c r="AN560" s="49">
        <v>-0.5</v>
      </c>
      <c r="AO560" s="49">
        <v>-0.5</v>
      </c>
      <c r="AP560" s="49"/>
      <c r="AR560" s="127"/>
    </row>
    <row r="561">
      <c r="R561" s="223"/>
      <c r="AL561" s="49"/>
      <c r="AM561" s="49"/>
      <c r="AN561" s="49">
        <v>-0.5</v>
      </c>
      <c r="AO561" s="49">
        <v>-0.5</v>
      </c>
      <c r="AP561" s="49"/>
      <c r="AR561" s="127"/>
    </row>
    <row r="562">
      <c r="R562" s="223"/>
      <c r="AL562" s="49"/>
      <c r="AM562" s="49"/>
      <c r="AN562" s="49">
        <v>-0.5</v>
      </c>
      <c r="AO562" s="49">
        <v>-0.5</v>
      </c>
      <c r="AP562" s="49"/>
      <c r="AR562" s="127"/>
    </row>
    <row r="563">
      <c r="R563" s="223"/>
      <c r="AL563" s="49"/>
      <c r="AM563" s="49"/>
      <c r="AN563" s="49">
        <v>-0.5</v>
      </c>
      <c r="AO563" s="49">
        <v>-0.5</v>
      </c>
      <c r="AP563" s="49"/>
      <c r="AR563" s="127"/>
    </row>
    <row r="564">
      <c r="R564" s="223"/>
      <c r="AL564" s="49"/>
      <c r="AM564" s="49"/>
      <c r="AN564" s="49">
        <v>-0.5</v>
      </c>
      <c r="AO564" s="49">
        <v>-0.5</v>
      </c>
      <c r="AP564" s="49"/>
      <c r="AR564" s="127"/>
    </row>
    <row r="565">
      <c r="R565" s="223"/>
      <c r="AL565" s="49"/>
      <c r="AM565" s="49"/>
      <c r="AN565" s="49">
        <v>-0.5</v>
      </c>
      <c r="AO565" s="49">
        <v>-0.5</v>
      </c>
      <c r="AP565" s="49"/>
      <c r="AR565" s="127"/>
    </row>
    <row r="566">
      <c r="R566" s="223"/>
      <c r="AL566" s="49"/>
      <c r="AM566" s="49"/>
      <c r="AN566" s="49">
        <v>-0.5</v>
      </c>
      <c r="AO566" s="49">
        <v>-0.5</v>
      </c>
      <c r="AP566" s="49"/>
      <c r="AR566" s="127"/>
    </row>
    <row r="567">
      <c r="R567" s="223"/>
      <c r="AL567" s="49"/>
      <c r="AM567" s="49"/>
      <c r="AN567" s="49">
        <v>-0.5</v>
      </c>
      <c r="AO567" s="49">
        <v>-0.5</v>
      </c>
      <c r="AP567" s="49"/>
      <c r="AR567" s="127"/>
    </row>
    <row r="568">
      <c r="R568" s="223"/>
      <c r="AL568" s="49"/>
      <c r="AM568" s="49"/>
      <c r="AN568" s="49">
        <v>-0.5</v>
      </c>
      <c r="AO568" s="49">
        <v>-0.5</v>
      </c>
      <c r="AP568" s="49"/>
      <c r="AR568" s="127"/>
    </row>
    <row r="569">
      <c r="R569" s="223"/>
      <c r="AL569" s="49"/>
      <c r="AM569" s="49"/>
      <c r="AN569" s="49">
        <v>-0.5</v>
      </c>
      <c r="AO569" s="49">
        <v>-0.5</v>
      </c>
      <c r="AP569" s="49"/>
      <c r="AR569" s="127"/>
    </row>
    <row r="570">
      <c r="R570" s="223"/>
      <c r="AL570" s="49"/>
      <c r="AM570" s="49"/>
      <c r="AN570" s="49">
        <v>-0.5</v>
      </c>
      <c r="AO570" s="49">
        <v>-0.5</v>
      </c>
      <c r="AP570" s="49"/>
      <c r="AR570" s="127"/>
    </row>
    <row r="571">
      <c r="R571" s="223"/>
      <c r="AL571" s="49"/>
      <c r="AM571" s="49"/>
      <c r="AN571" s="49">
        <v>-0.5</v>
      </c>
      <c r="AO571" s="49">
        <v>-0.5</v>
      </c>
      <c r="AP571" s="49"/>
      <c r="AR571" s="127"/>
    </row>
    <row r="572">
      <c r="R572" s="223"/>
      <c r="AL572" s="49"/>
      <c r="AM572" s="49"/>
      <c r="AN572" s="49">
        <v>-0.5</v>
      </c>
      <c r="AO572" s="49">
        <v>-0.5</v>
      </c>
      <c r="AP572" s="49"/>
      <c r="AR572" s="127"/>
    </row>
    <row r="573">
      <c r="R573" s="223"/>
      <c r="AL573" s="49"/>
      <c r="AM573" s="49"/>
      <c r="AN573" s="49">
        <v>-0.5</v>
      </c>
      <c r="AO573" s="49">
        <v>-0.5</v>
      </c>
      <c r="AP573" s="49"/>
      <c r="AR573" s="127"/>
    </row>
    <row r="574">
      <c r="R574" s="223"/>
      <c r="AL574" s="49"/>
      <c r="AM574" s="49"/>
      <c r="AN574" s="49">
        <v>-0.5</v>
      </c>
      <c r="AO574" s="49">
        <v>-0.5</v>
      </c>
      <c r="AP574" s="49"/>
      <c r="AR574" s="127"/>
    </row>
    <row r="575">
      <c r="R575" s="223"/>
      <c r="AL575" s="49"/>
      <c r="AM575" s="49"/>
      <c r="AN575" s="49">
        <v>-0.5</v>
      </c>
      <c r="AO575" s="49">
        <v>-0.5</v>
      </c>
      <c r="AP575" s="49"/>
      <c r="AR575" s="127"/>
    </row>
    <row r="576">
      <c r="R576" s="223"/>
      <c r="AL576" s="49"/>
      <c r="AM576" s="49"/>
      <c r="AN576" s="49">
        <v>-0.5</v>
      </c>
      <c r="AO576" s="49">
        <v>-0.5</v>
      </c>
      <c r="AP576" s="49"/>
      <c r="AR576" s="127"/>
    </row>
    <row r="577">
      <c r="R577" s="223"/>
      <c r="AL577" s="49"/>
      <c r="AM577" s="49"/>
      <c r="AN577" s="49">
        <v>-0.5</v>
      </c>
      <c r="AO577" s="49">
        <v>-0.5</v>
      </c>
      <c r="AP577" s="49"/>
      <c r="AR577" s="127"/>
    </row>
    <row r="578">
      <c r="R578" s="223"/>
      <c r="AL578" s="49"/>
      <c r="AM578" s="49"/>
      <c r="AN578" s="49">
        <v>-0.5</v>
      </c>
      <c r="AO578" s="49">
        <v>-0.5</v>
      </c>
      <c r="AP578" s="49"/>
      <c r="AR578" s="127"/>
    </row>
    <row r="579">
      <c r="R579" s="223"/>
      <c r="AL579" s="49"/>
      <c r="AM579" s="49"/>
      <c r="AN579" s="49">
        <v>-0.5</v>
      </c>
      <c r="AO579" s="49">
        <v>-0.5</v>
      </c>
      <c r="AP579" s="49"/>
      <c r="AR579" s="127"/>
    </row>
    <row r="580">
      <c r="R580" s="223"/>
      <c r="AL580" s="49"/>
      <c r="AM580" s="49"/>
      <c r="AN580" s="49">
        <v>-0.5</v>
      </c>
      <c r="AO580" s="49">
        <v>-0.5</v>
      </c>
      <c r="AP580" s="49"/>
      <c r="AR580" s="127"/>
    </row>
    <row r="581">
      <c r="R581" s="223"/>
      <c r="AL581" s="49"/>
      <c r="AM581" s="49"/>
      <c r="AN581" s="49">
        <v>-0.5</v>
      </c>
      <c r="AO581" s="49">
        <v>-0.5</v>
      </c>
      <c r="AP581" s="49"/>
      <c r="AR581" s="127"/>
    </row>
    <row r="582">
      <c r="R582" s="223"/>
      <c r="AL582" s="49"/>
      <c r="AM582" s="49"/>
      <c r="AN582" s="49">
        <v>-0.5</v>
      </c>
      <c r="AO582" s="49">
        <v>-0.5</v>
      </c>
      <c r="AP582" s="49"/>
      <c r="AR582" s="127"/>
    </row>
    <row r="583">
      <c r="R583" s="223"/>
      <c r="AL583" s="49"/>
      <c r="AM583" s="49"/>
      <c r="AN583" s="49">
        <v>-0.5</v>
      </c>
      <c r="AO583" s="49">
        <v>-0.5</v>
      </c>
      <c r="AP583" s="49"/>
      <c r="AR583" s="127"/>
    </row>
    <row r="584">
      <c r="R584" s="223"/>
      <c r="AL584" s="49"/>
      <c r="AM584" s="49"/>
      <c r="AN584" s="49">
        <v>-0.5</v>
      </c>
      <c r="AO584" s="49">
        <v>-0.5</v>
      </c>
      <c r="AP584" s="49"/>
      <c r="AR584" s="127"/>
    </row>
    <row r="585">
      <c r="R585" s="223"/>
      <c r="AL585" s="49"/>
      <c r="AM585" s="49"/>
      <c r="AN585" s="49">
        <v>-0.5</v>
      </c>
      <c r="AO585" s="49">
        <v>-0.5</v>
      </c>
      <c r="AP585" s="49"/>
      <c r="AR585" s="127"/>
    </row>
    <row r="586">
      <c r="R586" s="223"/>
      <c r="AL586" s="49"/>
      <c r="AM586" s="49"/>
      <c r="AN586" s="49">
        <v>-0.5</v>
      </c>
      <c r="AO586" s="49">
        <v>-0.5</v>
      </c>
      <c r="AP586" s="49"/>
      <c r="AR586" s="127"/>
    </row>
    <row r="587">
      <c r="R587" s="223"/>
      <c r="AL587" s="49"/>
      <c r="AM587" s="49"/>
      <c r="AN587" s="49">
        <v>-0.5</v>
      </c>
      <c r="AO587" s="49">
        <v>-0.5</v>
      </c>
      <c r="AP587" s="49"/>
      <c r="AR587" s="127"/>
    </row>
    <row r="588">
      <c r="R588" s="223"/>
      <c r="AL588" s="49"/>
      <c r="AM588" s="49"/>
      <c r="AN588" s="49">
        <v>-0.5</v>
      </c>
      <c r="AO588" s="49">
        <v>-0.5</v>
      </c>
      <c r="AP588" s="49"/>
      <c r="AR588" s="127"/>
    </row>
    <row r="589">
      <c r="R589" s="223"/>
      <c r="AL589" s="49"/>
      <c r="AM589" s="49"/>
      <c r="AN589" s="49">
        <v>-0.5</v>
      </c>
      <c r="AO589" s="49">
        <v>-0.5</v>
      </c>
      <c r="AP589" s="49"/>
      <c r="AR589" s="127"/>
    </row>
    <row r="590">
      <c r="R590" s="223"/>
      <c r="AL590" s="49"/>
      <c r="AM590" s="49"/>
      <c r="AN590" s="49">
        <v>-0.5</v>
      </c>
      <c r="AO590" s="49">
        <v>-0.5</v>
      </c>
      <c r="AP590" s="49"/>
      <c r="AR590" s="127"/>
    </row>
    <row r="591">
      <c r="R591" s="223"/>
      <c r="AL591" s="49"/>
      <c r="AM591" s="49"/>
      <c r="AN591" s="49">
        <v>-0.5</v>
      </c>
      <c r="AO591" s="49">
        <v>-0.5</v>
      </c>
      <c r="AP591" s="49"/>
      <c r="AR591" s="127"/>
    </row>
    <row r="592">
      <c r="R592" s="223"/>
      <c r="AL592" s="49"/>
      <c r="AM592" s="49"/>
      <c r="AN592" s="49">
        <v>-0.5</v>
      </c>
      <c r="AO592" s="49">
        <v>-0.5</v>
      </c>
      <c r="AP592" s="49"/>
      <c r="AR592" s="127"/>
    </row>
    <row r="593">
      <c r="R593" s="223"/>
      <c r="AL593" s="49"/>
      <c r="AM593" s="49"/>
      <c r="AN593" s="49">
        <v>-0.5</v>
      </c>
      <c r="AO593" s="49">
        <v>-0.5</v>
      </c>
      <c r="AP593" s="49"/>
      <c r="AR593" s="127"/>
    </row>
    <row r="594">
      <c r="R594" s="223"/>
      <c r="AL594" s="49"/>
      <c r="AM594" s="49"/>
      <c r="AN594" s="49">
        <v>-0.5</v>
      </c>
      <c r="AO594" s="49">
        <v>-0.5</v>
      </c>
      <c r="AP594" s="49"/>
      <c r="AR594" s="127"/>
    </row>
    <row r="595">
      <c r="R595" s="223"/>
      <c r="AL595" s="49"/>
      <c r="AM595" s="49"/>
      <c r="AN595" s="49">
        <v>-0.5</v>
      </c>
      <c r="AO595" s="49">
        <v>-0.5</v>
      </c>
      <c r="AP595" s="49"/>
      <c r="AR595" s="127"/>
    </row>
    <row r="596">
      <c r="R596" s="223"/>
      <c r="AL596" s="49"/>
      <c r="AM596" s="49"/>
      <c r="AN596" s="49">
        <v>-0.5</v>
      </c>
      <c r="AO596" s="49">
        <v>-0.5</v>
      </c>
      <c r="AP596" s="49"/>
      <c r="AR596" s="127"/>
    </row>
    <row r="597">
      <c r="R597" s="223"/>
      <c r="AL597" s="49"/>
      <c r="AM597" s="49"/>
      <c r="AN597" s="49">
        <v>-0.5</v>
      </c>
      <c r="AO597" s="49">
        <v>-0.5</v>
      </c>
      <c r="AP597" s="49"/>
      <c r="AR597" s="127"/>
    </row>
    <row r="598">
      <c r="R598" s="223"/>
      <c r="AL598" s="49"/>
      <c r="AM598" s="49"/>
      <c r="AN598" s="49">
        <v>-0.5</v>
      </c>
      <c r="AO598" s="49">
        <v>-0.5</v>
      </c>
      <c r="AP598" s="49"/>
      <c r="AR598" s="127"/>
    </row>
    <row r="599">
      <c r="R599" s="223"/>
      <c r="AL599" s="49"/>
      <c r="AM599" s="49"/>
      <c r="AN599" s="49">
        <v>-0.5</v>
      </c>
      <c r="AO599" s="49">
        <v>-0.5</v>
      </c>
      <c r="AP599" s="49"/>
      <c r="AR599" s="127"/>
    </row>
    <row r="600">
      <c r="R600" s="223"/>
      <c r="AL600" s="49"/>
      <c r="AM600" s="49"/>
      <c r="AN600" s="49">
        <v>-0.5</v>
      </c>
      <c r="AO600" s="49">
        <v>-0.5</v>
      </c>
      <c r="AP600" s="49"/>
      <c r="AR600" s="127"/>
    </row>
    <row r="601">
      <c r="R601" s="223"/>
      <c r="AL601" s="49"/>
      <c r="AM601" s="49"/>
      <c r="AN601" s="49">
        <v>-0.5</v>
      </c>
      <c r="AO601" s="49">
        <v>-0.5</v>
      </c>
      <c r="AP601" s="49"/>
      <c r="AR601" s="127"/>
    </row>
    <row r="602">
      <c r="R602" s="223"/>
      <c r="AL602" s="49"/>
      <c r="AM602" s="49"/>
      <c r="AN602" s="49">
        <v>-0.5</v>
      </c>
      <c r="AO602" s="49">
        <v>-0.5</v>
      </c>
      <c r="AP602" s="49"/>
      <c r="AR602" s="127"/>
    </row>
    <row r="603">
      <c r="R603" s="223"/>
      <c r="AL603" s="49"/>
      <c r="AM603" s="49"/>
      <c r="AN603" s="49">
        <v>-0.5</v>
      </c>
      <c r="AO603" s="49">
        <v>-0.5</v>
      </c>
      <c r="AP603" s="49"/>
      <c r="AR603" s="127"/>
    </row>
    <row r="604">
      <c r="R604" s="223"/>
      <c r="AL604" s="49"/>
      <c r="AM604" s="49"/>
      <c r="AN604" s="49">
        <v>-0.5</v>
      </c>
      <c r="AO604" s="49">
        <v>-0.5</v>
      </c>
      <c r="AP604" s="49"/>
      <c r="AR604" s="127"/>
    </row>
    <row r="605">
      <c r="R605" s="223"/>
      <c r="AL605" s="49"/>
      <c r="AM605" s="49"/>
      <c r="AN605" s="49">
        <v>-0.5</v>
      </c>
      <c r="AO605" s="49">
        <v>-0.5</v>
      </c>
      <c r="AP605" s="49"/>
      <c r="AR605" s="127"/>
    </row>
    <row r="606">
      <c r="R606" s="223"/>
      <c r="AL606" s="49"/>
      <c r="AM606" s="49"/>
      <c r="AN606" s="49">
        <v>-0.5</v>
      </c>
      <c r="AO606" s="49">
        <v>-0.5</v>
      </c>
      <c r="AP606" s="49"/>
      <c r="AR606" s="127"/>
    </row>
    <row r="607">
      <c r="R607" s="223"/>
      <c r="AL607" s="49"/>
      <c r="AM607" s="49"/>
      <c r="AN607" s="49">
        <v>-0.5</v>
      </c>
      <c r="AO607" s="49">
        <v>-0.5</v>
      </c>
      <c r="AP607" s="49"/>
      <c r="AR607" s="127"/>
    </row>
    <row r="608">
      <c r="R608" s="223"/>
      <c r="AL608" s="49"/>
      <c r="AM608" s="49"/>
      <c r="AN608" s="49">
        <v>-0.5</v>
      </c>
      <c r="AO608" s="49">
        <v>-0.5</v>
      </c>
      <c r="AP608" s="49"/>
      <c r="AR608" s="127"/>
    </row>
    <row r="609">
      <c r="R609" s="223"/>
      <c r="AL609" s="49"/>
      <c r="AM609" s="49"/>
      <c r="AN609" s="49">
        <v>-0.5</v>
      </c>
      <c r="AO609" s="49">
        <v>-0.5</v>
      </c>
      <c r="AP609" s="49"/>
      <c r="AR609" s="127"/>
    </row>
    <row r="610">
      <c r="R610" s="223"/>
      <c r="AL610" s="49"/>
      <c r="AM610" s="49"/>
      <c r="AN610" s="49">
        <v>-0.5</v>
      </c>
      <c r="AO610" s="49">
        <v>-0.5</v>
      </c>
      <c r="AP610" s="49"/>
      <c r="AR610" s="127"/>
    </row>
    <row r="611">
      <c r="R611" s="223"/>
      <c r="AL611" s="49"/>
      <c r="AM611" s="49"/>
      <c r="AN611" s="49">
        <v>-0.5</v>
      </c>
      <c r="AO611" s="49">
        <v>-0.5</v>
      </c>
      <c r="AP611" s="49"/>
      <c r="AR611" s="127"/>
    </row>
    <row r="612">
      <c r="R612" s="223"/>
      <c r="AL612" s="49"/>
      <c r="AM612" s="49"/>
      <c r="AN612" s="49">
        <v>-0.5</v>
      </c>
      <c r="AO612" s="49">
        <v>-0.5</v>
      </c>
      <c r="AP612" s="49"/>
      <c r="AR612" s="127"/>
    </row>
    <row r="613">
      <c r="R613" s="223"/>
      <c r="AL613" s="49"/>
      <c r="AM613" s="49"/>
      <c r="AN613" s="49">
        <v>-0.5</v>
      </c>
      <c r="AO613" s="49">
        <v>-0.5</v>
      </c>
      <c r="AP613" s="49"/>
      <c r="AR613" s="127"/>
    </row>
    <row r="614">
      <c r="R614" s="223"/>
      <c r="AL614" s="49"/>
      <c r="AM614" s="49"/>
      <c r="AN614" s="49">
        <v>-0.5</v>
      </c>
      <c r="AO614" s="49">
        <v>-0.5</v>
      </c>
      <c r="AP614" s="49"/>
      <c r="AR614" s="127"/>
    </row>
    <row r="615">
      <c r="R615" s="223"/>
      <c r="AL615" s="49"/>
      <c r="AM615" s="49"/>
      <c r="AN615" s="49">
        <v>-0.5</v>
      </c>
      <c r="AO615" s="49">
        <v>-0.5</v>
      </c>
      <c r="AP615" s="49"/>
      <c r="AR615" s="127"/>
    </row>
    <row r="616">
      <c r="R616" s="223"/>
      <c r="AL616" s="49"/>
      <c r="AM616" s="49"/>
      <c r="AN616" s="49">
        <v>-0.5</v>
      </c>
      <c r="AO616" s="49">
        <v>-0.5</v>
      </c>
      <c r="AP616" s="49"/>
      <c r="AR616" s="127"/>
    </row>
    <row r="617">
      <c r="R617" s="223"/>
      <c r="AL617" s="49"/>
      <c r="AM617" s="49"/>
      <c r="AN617" s="49">
        <v>-0.5</v>
      </c>
      <c r="AO617" s="49">
        <v>-0.5</v>
      </c>
      <c r="AP617" s="49"/>
      <c r="AR617" s="127"/>
    </row>
    <row r="618">
      <c r="R618" s="223"/>
      <c r="AL618" s="49"/>
      <c r="AM618" s="49"/>
      <c r="AN618" s="49">
        <v>-0.5</v>
      </c>
      <c r="AO618" s="49">
        <v>-0.5</v>
      </c>
      <c r="AP618" s="49"/>
      <c r="AR618" s="127"/>
    </row>
    <row r="619">
      <c r="R619" s="223"/>
      <c r="AL619" s="49"/>
      <c r="AM619" s="49"/>
      <c r="AN619" s="49">
        <v>-0.5</v>
      </c>
      <c r="AO619" s="49">
        <v>-0.5</v>
      </c>
      <c r="AP619" s="49"/>
      <c r="AR619" s="127"/>
    </row>
    <row r="620">
      <c r="R620" s="223"/>
      <c r="AL620" s="49"/>
      <c r="AM620" s="49"/>
      <c r="AN620" s="49">
        <v>-0.5</v>
      </c>
      <c r="AO620" s="49">
        <v>-0.5</v>
      </c>
      <c r="AP620" s="49"/>
      <c r="AR620" s="127"/>
    </row>
    <row r="621">
      <c r="R621" s="223"/>
      <c r="AL621" s="49"/>
      <c r="AM621" s="49"/>
      <c r="AN621" s="49">
        <v>-0.5</v>
      </c>
      <c r="AO621" s="49">
        <v>-0.5</v>
      </c>
      <c r="AP621" s="49"/>
      <c r="AR621" s="127"/>
    </row>
    <row r="622">
      <c r="R622" s="223"/>
      <c r="AL622" s="49"/>
      <c r="AM622" s="49"/>
      <c r="AN622" s="49">
        <v>-0.5</v>
      </c>
      <c r="AO622" s="49">
        <v>-0.5</v>
      </c>
      <c r="AP622" s="49"/>
      <c r="AR622" s="127"/>
    </row>
    <row r="623">
      <c r="R623" s="223"/>
      <c r="AL623" s="49"/>
      <c r="AM623" s="49"/>
      <c r="AN623" s="49">
        <v>-0.5</v>
      </c>
      <c r="AO623" s="49">
        <v>-0.5</v>
      </c>
      <c r="AP623" s="49"/>
      <c r="AR623" s="127"/>
    </row>
    <row r="624">
      <c r="R624" s="223"/>
      <c r="AL624" s="49"/>
      <c r="AM624" s="49"/>
      <c r="AN624" s="49">
        <v>-0.5</v>
      </c>
      <c r="AO624" s="49">
        <v>-0.5</v>
      </c>
      <c r="AP624" s="49"/>
      <c r="AR624" s="127"/>
    </row>
    <row r="625">
      <c r="R625" s="223"/>
      <c r="AL625" s="49"/>
      <c r="AM625" s="49"/>
      <c r="AN625" s="49">
        <v>-0.5</v>
      </c>
      <c r="AO625" s="49">
        <v>-0.5</v>
      </c>
      <c r="AP625" s="49"/>
      <c r="AR625" s="127"/>
    </row>
    <row r="626">
      <c r="R626" s="223"/>
      <c r="AL626" s="49"/>
      <c r="AM626" s="49"/>
      <c r="AN626" s="49">
        <v>-0.5</v>
      </c>
      <c r="AO626" s="49">
        <v>-0.5</v>
      </c>
      <c r="AP626" s="49"/>
      <c r="AR626" s="127"/>
    </row>
    <row r="627">
      <c r="R627" s="223"/>
      <c r="AL627" s="49"/>
      <c r="AM627" s="49"/>
      <c r="AN627" s="49">
        <v>-0.5</v>
      </c>
      <c r="AO627" s="49">
        <v>-0.5</v>
      </c>
      <c r="AP627" s="49"/>
      <c r="AR627" s="127"/>
    </row>
    <row r="628">
      <c r="R628" s="223"/>
      <c r="AL628" s="49"/>
      <c r="AM628" s="49"/>
      <c r="AN628" s="49">
        <v>-0.5</v>
      </c>
      <c r="AO628" s="49">
        <v>-0.5</v>
      </c>
      <c r="AP628" s="49"/>
      <c r="AR628" s="127"/>
    </row>
    <row r="629">
      <c r="R629" s="223"/>
      <c r="AL629" s="49"/>
      <c r="AM629" s="49"/>
      <c r="AN629" s="49">
        <v>-0.5</v>
      </c>
      <c r="AO629" s="49">
        <v>-0.5</v>
      </c>
      <c r="AP629" s="49"/>
      <c r="AR629" s="127"/>
    </row>
    <row r="630">
      <c r="R630" s="223"/>
      <c r="AL630" s="49"/>
      <c r="AM630" s="49"/>
      <c r="AN630" s="49">
        <v>-0.5</v>
      </c>
      <c r="AO630" s="49">
        <v>-0.5</v>
      </c>
      <c r="AP630" s="49"/>
      <c r="AR630" s="12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6" max="31" width="12.63"/>
  </cols>
  <sheetData>
    <row r="1">
      <c r="A1" s="198"/>
      <c r="B1" s="198" t="str">
        <f>Main!B1</f>
        <v>Category</v>
      </c>
      <c r="C1" s="198" t="str">
        <f>Main!C1</f>
        <v>Sub Category</v>
      </c>
      <c r="D1" s="198" t="str">
        <f>Main!D1</f>
        <v>Specifications</v>
      </c>
      <c r="E1" s="189" t="str">
        <f>Main!E1</f>
        <v>No.  of Ups</v>
      </c>
      <c r="F1" s="198" t="str">
        <f>Main!F1</f>
        <v>Machine</v>
      </c>
      <c r="G1" s="198" t="str">
        <f>Main!J1</f>
        <v>GSM</v>
      </c>
      <c r="H1" s="198" t="str">
        <f>Main!K1</f>
        <v>Final Qty</v>
      </c>
      <c r="I1" s="198" t="str">
        <f>Main!L1</f>
        <v>Sheet Qty</v>
      </c>
      <c r="J1" s="196" t="str">
        <f>Main!AG1:AG630</f>
        <v>SBS</v>
      </c>
      <c r="K1" s="196" t="str">
        <f>Main!AH1</f>
        <v>WhiteBack</v>
      </c>
      <c r="L1" s="196" t="str">
        <f>Main!AI1</f>
        <v>GreyBack</v>
      </c>
      <c r="M1" s="196" t="str">
        <f>Main!AJ1</f>
        <v>Art Card</v>
      </c>
      <c r="N1" s="196" t="str">
        <f>Main!AK1</f>
        <v>Maplitho</v>
      </c>
      <c r="O1" s="196" t="str">
        <f>Main!AL1</f>
        <v>Other Type</v>
      </c>
      <c r="P1" s="196" t="str">
        <f>Main!AW1</f>
        <v>Lamination Thermal</v>
      </c>
      <c r="Q1" s="196" t="str">
        <f>Main!AX1</f>
        <v>Lamination Normal Gloss</v>
      </c>
      <c r="R1" s="196" t="str">
        <f>Main!AY1</f>
        <v>Lamination Normal Matt</v>
      </c>
      <c r="S1" s="196" t="str">
        <f>Main!AZ1</f>
        <v>Varnish</v>
      </c>
      <c r="T1" s="196" t="str">
        <f>Main!BC1</f>
        <v>UV Hybrid</v>
      </c>
      <c r="U1" s="196" t="str">
        <f>Main!BD1</f>
        <v>Spot UV</v>
      </c>
      <c r="V1" s="198" t="s">
        <v>74</v>
      </c>
      <c r="W1" s="199"/>
      <c r="X1" s="80"/>
      <c r="Y1" s="80"/>
      <c r="Z1" s="80"/>
      <c r="AA1" s="73"/>
      <c r="AB1" s="73"/>
      <c r="AC1" s="73"/>
      <c r="AD1" s="73"/>
      <c r="AE1" s="73"/>
      <c r="AF1" s="200" t="s">
        <v>42</v>
      </c>
      <c r="AG1" s="111" t="s">
        <v>43</v>
      </c>
      <c r="AH1" s="111" t="s">
        <v>44</v>
      </c>
      <c r="AI1" s="201" t="s">
        <v>92</v>
      </c>
      <c r="AJ1" s="201" t="s">
        <v>94</v>
      </c>
      <c r="AK1" s="201" t="s">
        <v>47</v>
      </c>
      <c r="AL1" s="199" t="s">
        <v>74</v>
      </c>
      <c r="AT1" s="92" t="s">
        <v>233</v>
      </c>
      <c r="AU1" s="92" t="s">
        <v>2</v>
      </c>
    </row>
    <row r="2">
      <c r="A2" s="202"/>
      <c r="B2" s="180"/>
      <c r="C2" s="180" t="str">
        <f>Quotation!A47</f>
        <v>A5</v>
      </c>
      <c r="D2" s="80" t="str">
        <f>Quotation!D46</f>
        <v/>
      </c>
      <c r="E2" s="124" t="str">
        <f>AF16</f>
        <v/>
      </c>
      <c r="F2" s="124" t="str">
        <f>V16</f>
        <v/>
      </c>
      <c r="G2" s="80" t="str">
        <f>'Custom Quote'!C40</f>
        <v>#REF!</v>
      </c>
      <c r="H2" s="104" t="str">
        <f>'Custom Quote'!E39</f>
        <v>#REF!</v>
      </c>
      <c r="I2" s="104" t="str">
        <f>Main!L30</f>
        <v/>
      </c>
      <c r="J2" s="203" t="str">
        <f>Main!AG30</f>
        <v/>
      </c>
      <c r="K2" s="196" t="str">
        <f>Main!AH30</f>
        <v/>
      </c>
      <c r="L2" s="203" t="str">
        <f>Main!AI30</f>
        <v/>
      </c>
      <c r="M2" s="203" t="str">
        <f>Main!AJ30</f>
        <v/>
      </c>
      <c r="N2" s="203" t="str">
        <f>Main!AK30</f>
        <v/>
      </c>
      <c r="O2" s="203" t="str">
        <f>Main!AL30</f>
        <v/>
      </c>
      <c r="P2" s="203" t="str">
        <f>Main!AW30</f>
        <v/>
      </c>
      <c r="Q2" s="203" t="str">
        <f>Main!AX30</f>
        <v/>
      </c>
      <c r="R2" s="203" t="str">
        <f>Main!AY30</f>
        <v/>
      </c>
      <c r="S2" s="203" t="str">
        <f>Main!AZ30</f>
        <v/>
      </c>
      <c r="T2" s="203" t="str">
        <f>Main!BC30</f>
        <v/>
      </c>
      <c r="U2" s="203" t="str">
        <f>Main!BD30</f>
        <v/>
      </c>
      <c r="V2" s="104">
        <v>0.0</v>
      </c>
      <c r="W2" s="102"/>
      <c r="X2" s="80"/>
      <c r="Y2" s="80"/>
      <c r="Z2" s="80"/>
      <c r="AA2" s="73"/>
      <c r="AB2" s="73"/>
      <c r="AC2" s="73"/>
      <c r="AD2" s="73"/>
      <c r="AE2" s="73"/>
      <c r="AF2" s="194" t="str">
        <f>Main!BI30</f>
        <v/>
      </c>
      <c r="AG2" s="194" t="str">
        <f>Main!BJ30</f>
        <v/>
      </c>
      <c r="AH2" s="194" t="str">
        <f>Main!BK30</f>
        <v/>
      </c>
      <c r="AI2" s="194" t="str">
        <f>Main!BL30</f>
        <v/>
      </c>
      <c r="AJ2" s="194" t="str">
        <f>Main!BM30</f>
        <v/>
      </c>
      <c r="AK2" s="194" t="str">
        <f>Main!BN30</f>
        <v/>
      </c>
      <c r="AL2" s="102">
        <v>0.0</v>
      </c>
      <c r="AT2" s="49" t="str">
        <f t="array" ref="AT2:AT8">Unique(INDEX(Price!F2:F630,0))</f>
        <v>Gumming Sticker</v>
      </c>
      <c r="AU2" s="33" t="str">
        <f t="array" ref="AU2:AU7">unique(INDEX(Price!A2:A630,0))</f>
        <v>#REF!</v>
      </c>
    </row>
    <row r="3">
      <c r="A3" s="204"/>
      <c r="B3" s="204" t="str">
        <f t="shared" ref="B3:V3" si="1">B1</f>
        <v>Category</v>
      </c>
      <c r="C3" s="204" t="str">
        <f t="shared" si="1"/>
        <v>Sub Category</v>
      </c>
      <c r="D3" s="204" t="str">
        <f t="shared" si="1"/>
        <v>Specifications</v>
      </c>
      <c r="E3" s="204" t="str">
        <f t="shared" si="1"/>
        <v>No.  of Ups</v>
      </c>
      <c r="F3" s="204" t="str">
        <f t="shared" si="1"/>
        <v>Machine</v>
      </c>
      <c r="G3" s="204" t="str">
        <f t="shared" si="1"/>
        <v>GSM</v>
      </c>
      <c r="H3" s="204" t="str">
        <f t="shared" si="1"/>
        <v>Final Qty</v>
      </c>
      <c r="I3" s="204" t="str">
        <f t="shared" si="1"/>
        <v>Sheet Qty</v>
      </c>
      <c r="J3" s="204" t="str">
        <f t="shared" si="1"/>
        <v>SBS</v>
      </c>
      <c r="K3" s="204" t="str">
        <f t="shared" si="1"/>
        <v>WhiteBack</v>
      </c>
      <c r="L3" s="204" t="str">
        <f t="shared" si="1"/>
        <v>GreyBack</v>
      </c>
      <c r="M3" s="204" t="str">
        <f t="shared" si="1"/>
        <v>Art Card</v>
      </c>
      <c r="N3" s="204" t="str">
        <f t="shared" si="1"/>
        <v>Maplitho</v>
      </c>
      <c r="O3" s="204" t="str">
        <f t="shared" si="1"/>
        <v>Other Type</v>
      </c>
      <c r="P3" s="204" t="str">
        <f t="shared" si="1"/>
        <v>Lamination Thermal</v>
      </c>
      <c r="Q3" s="204" t="str">
        <f t="shared" si="1"/>
        <v>Lamination Normal Gloss</v>
      </c>
      <c r="R3" s="204" t="str">
        <f t="shared" si="1"/>
        <v>Lamination Normal Matt</v>
      </c>
      <c r="S3" s="204" t="str">
        <f t="shared" si="1"/>
        <v>Varnish</v>
      </c>
      <c r="T3" s="204" t="str">
        <f t="shared" si="1"/>
        <v>UV Hybrid</v>
      </c>
      <c r="U3" s="204" t="str">
        <f t="shared" si="1"/>
        <v>Spot UV</v>
      </c>
      <c r="V3" s="204" t="str">
        <f t="shared" si="1"/>
        <v>Plain</v>
      </c>
      <c r="W3" s="204"/>
      <c r="X3" s="80"/>
      <c r="Y3" s="80"/>
      <c r="Z3" s="80"/>
      <c r="AA3" s="73"/>
      <c r="AB3" s="73"/>
      <c r="AC3" s="73"/>
      <c r="AD3" s="73"/>
      <c r="AE3" s="73"/>
      <c r="AF3" s="200" t="s">
        <v>42</v>
      </c>
      <c r="AG3" s="111" t="s">
        <v>43</v>
      </c>
      <c r="AH3" s="111" t="s">
        <v>44</v>
      </c>
      <c r="AI3" s="201" t="s">
        <v>92</v>
      </c>
      <c r="AJ3" s="201" t="s">
        <v>94</v>
      </c>
      <c r="AK3" s="201" t="s">
        <v>47</v>
      </c>
      <c r="AL3" s="199" t="s">
        <v>74</v>
      </c>
      <c r="AT3" s="49" t="s">
        <v>29</v>
      </c>
      <c r="AU3" s="49"/>
    </row>
    <row r="4">
      <c r="A4" s="80"/>
      <c r="B4" s="80" t="str">
        <f t="shared" ref="B4:G4" si="2">B2</f>
        <v/>
      </c>
      <c r="C4" s="80" t="str">
        <f t="shared" si="2"/>
        <v>A5</v>
      </c>
      <c r="D4" s="80" t="str">
        <f t="shared" si="2"/>
        <v/>
      </c>
      <c r="E4" s="124" t="str">
        <f t="shared" si="2"/>
        <v/>
      </c>
      <c r="F4" s="124" t="str">
        <f t="shared" si="2"/>
        <v/>
      </c>
      <c r="G4" s="124" t="str">
        <f t="shared" si="2"/>
        <v>#REF!</v>
      </c>
      <c r="H4" s="104" t="str">
        <f>'Custom Quote'!E40</f>
        <v>#REF!</v>
      </c>
      <c r="I4" s="104" t="str">
        <f>Main!L31</f>
        <v/>
      </c>
      <c r="J4" s="203" t="str">
        <f>Main!AG31</f>
        <v/>
      </c>
      <c r="K4" s="196" t="str">
        <f>Main!AH31</f>
        <v/>
      </c>
      <c r="L4" s="203" t="str">
        <f>Main!AI31</f>
        <v/>
      </c>
      <c r="M4" s="203" t="str">
        <f>Main!AJ31</f>
        <v/>
      </c>
      <c r="N4" s="203" t="str">
        <f>Main!AK31</f>
        <v/>
      </c>
      <c r="O4" s="203" t="str">
        <f>Main!AL31</f>
        <v/>
      </c>
      <c r="P4" s="203" t="str">
        <f>Main!AW31</f>
        <v/>
      </c>
      <c r="Q4" s="203" t="str">
        <f>Main!AX31</f>
        <v/>
      </c>
      <c r="R4" s="203" t="str">
        <f>Main!AY31</f>
        <v/>
      </c>
      <c r="S4" s="203" t="str">
        <f>Main!AZ31</f>
        <v/>
      </c>
      <c r="T4" s="203" t="str">
        <f>Main!BC31</f>
        <v/>
      </c>
      <c r="U4" s="203" t="str">
        <f>Main!BD31</f>
        <v/>
      </c>
      <c r="V4" s="104">
        <v>0.0</v>
      </c>
      <c r="W4" s="102"/>
      <c r="X4" s="80"/>
      <c r="Y4" s="80"/>
      <c r="Z4" s="80"/>
      <c r="AA4" s="73"/>
      <c r="AB4" s="73"/>
      <c r="AC4" s="73"/>
      <c r="AD4" s="73"/>
      <c r="AE4" s="73"/>
      <c r="AF4" s="194" t="str">
        <f>Main!BI31</f>
        <v/>
      </c>
      <c r="AG4" s="194" t="str">
        <f>Main!BJ31</f>
        <v/>
      </c>
      <c r="AH4" s="194" t="str">
        <f>Main!BK31</f>
        <v/>
      </c>
      <c r="AI4" s="194" t="str">
        <f>Main!BL31</f>
        <v/>
      </c>
      <c r="AJ4" s="194" t="str">
        <f>Main!BM31</f>
        <v/>
      </c>
      <c r="AK4" s="194" t="str">
        <f>Main!BN31</f>
        <v/>
      </c>
      <c r="AL4" s="102">
        <v>0.0</v>
      </c>
      <c r="AT4" s="49" t="s">
        <v>234</v>
      </c>
      <c r="AU4" s="49"/>
    </row>
    <row r="5">
      <c r="A5" s="204"/>
      <c r="B5" s="204" t="str">
        <f t="shared" ref="B5:V5" si="3">B3</f>
        <v>Category</v>
      </c>
      <c r="C5" s="204" t="str">
        <f t="shared" si="3"/>
        <v>Sub Category</v>
      </c>
      <c r="D5" s="204" t="str">
        <f t="shared" si="3"/>
        <v>Specifications</v>
      </c>
      <c r="E5" s="204" t="str">
        <f t="shared" si="3"/>
        <v>No.  of Ups</v>
      </c>
      <c r="F5" s="204" t="str">
        <f t="shared" si="3"/>
        <v>Machine</v>
      </c>
      <c r="G5" s="204" t="str">
        <f t="shared" si="3"/>
        <v>GSM</v>
      </c>
      <c r="H5" s="204" t="str">
        <f t="shared" si="3"/>
        <v>Final Qty</v>
      </c>
      <c r="I5" s="204" t="str">
        <f t="shared" si="3"/>
        <v>Sheet Qty</v>
      </c>
      <c r="J5" s="204" t="str">
        <f t="shared" si="3"/>
        <v>SBS</v>
      </c>
      <c r="K5" s="204" t="str">
        <f t="shared" si="3"/>
        <v>WhiteBack</v>
      </c>
      <c r="L5" s="204" t="str">
        <f t="shared" si="3"/>
        <v>GreyBack</v>
      </c>
      <c r="M5" s="204" t="str">
        <f t="shared" si="3"/>
        <v>Art Card</v>
      </c>
      <c r="N5" s="204" t="str">
        <f t="shared" si="3"/>
        <v>Maplitho</v>
      </c>
      <c r="O5" s="204" t="str">
        <f t="shared" si="3"/>
        <v>Other Type</v>
      </c>
      <c r="P5" s="204" t="str">
        <f t="shared" si="3"/>
        <v>Lamination Thermal</v>
      </c>
      <c r="Q5" s="204" t="str">
        <f t="shared" si="3"/>
        <v>Lamination Normal Gloss</v>
      </c>
      <c r="R5" s="204" t="str">
        <f t="shared" si="3"/>
        <v>Lamination Normal Matt</v>
      </c>
      <c r="S5" s="204" t="str">
        <f t="shared" si="3"/>
        <v>Varnish</v>
      </c>
      <c r="T5" s="204" t="str">
        <f t="shared" si="3"/>
        <v>UV Hybrid</v>
      </c>
      <c r="U5" s="204" t="str">
        <f t="shared" si="3"/>
        <v>Spot UV</v>
      </c>
      <c r="V5" s="204" t="str">
        <f t="shared" si="3"/>
        <v>Plain</v>
      </c>
      <c r="W5" s="204"/>
      <c r="X5" s="80"/>
      <c r="Y5" s="80"/>
      <c r="Z5" s="80"/>
      <c r="AA5" s="73"/>
      <c r="AB5" s="73"/>
      <c r="AC5" s="73"/>
      <c r="AD5" s="73"/>
      <c r="AE5" s="73"/>
      <c r="AF5" s="200" t="s">
        <v>42</v>
      </c>
      <c r="AG5" s="111" t="s">
        <v>43</v>
      </c>
      <c r="AH5" s="111" t="s">
        <v>44</v>
      </c>
      <c r="AI5" s="201" t="s">
        <v>92</v>
      </c>
      <c r="AJ5" s="201" t="s">
        <v>94</v>
      </c>
      <c r="AK5" s="201" t="s">
        <v>47</v>
      </c>
      <c r="AL5" s="199" t="s">
        <v>74</v>
      </c>
      <c r="AT5" s="49" t="s">
        <v>235</v>
      </c>
      <c r="AU5" s="49"/>
    </row>
    <row r="6">
      <c r="A6" s="80"/>
      <c r="B6" s="80" t="str">
        <f t="shared" ref="B6:G6" si="4">B4</f>
        <v/>
      </c>
      <c r="C6" s="80" t="str">
        <f t="shared" si="4"/>
        <v>A5</v>
      </c>
      <c r="D6" s="80" t="str">
        <f t="shared" si="4"/>
        <v/>
      </c>
      <c r="E6" s="124" t="str">
        <f t="shared" si="4"/>
        <v/>
      </c>
      <c r="F6" s="124" t="str">
        <f t="shared" si="4"/>
        <v/>
      </c>
      <c r="G6" s="124" t="str">
        <f t="shared" si="4"/>
        <v>#REF!</v>
      </c>
      <c r="H6" s="104" t="str">
        <f>'Custom Quote'!E41</f>
        <v>#REF!</v>
      </c>
      <c r="I6" s="104" t="str">
        <f>Main!L32</f>
        <v/>
      </c>
      <c r="J6" s="203" t="str">
        <f>Main!AG32</f>
        <v/>
      </c>
      <c r="K6" s="196" t="str">
        <f>Main!AH32</f>
        <v/>
      </c>
      <c r="L6" s="203" t="str">
        <f>Main!AI32</f>
        <v/>
      </c>
      <c r="M6" s="203" t="str">
        <f>Main!AJ32</f>
        <v/>
      </c>
      <c r="N6" s="203" t="str">
        <f>Main!AK32</f>
        <v/>
      </c>
      <c r="O6" s="203" t="str">
        <f>Main!AL32</f>
        <v/>
      </c>
      <c r="P6" s="203" t="str">
        <f>Main!AW32</f>
        <v/>
      </c>
      <c r="Q6" s="203" t="str">
        <f>Main!AX32</f>
        <v/>
      </c>
      <c r="R6" s="203" t="str">
        <f>Main!AY32</f>
        <v/>
      </c>
      <c r="S6" s="203" t="str">
        <f>Main!AZ32</f>
        <v/>
      </c>
      <c r="T6" s="203" t="str">
        <f>Main!BC32</f>
        <v/>
      </c>
      <c r="U6" s="203" t="str">
        <f>Main!BD32</f>
        <v/>
      </c>
      <c r="V6" s="104">
        <v>0.0</v>
      </c>
      <c r="W6" s="102"/>
      <c r="X6" s="80"/>
      <c r="Y6" s="80"/>
      <c r="Z6" s="80"/>
      <c r="AA6" s="73"/>
      <c r="AB6" s="73"/>
      <c r="AC6" s="73"/>
      <c r="AD6" s="73"/>
      <c r="AE6" s="73"/>
      <c r="AF6" s="194" t="str">
        <f>Main!BI32</f>
        <v/>
      </c>
      <c r="AG6" s="194" t="str">
        <f>Main!BJ32</f>
        <v/>
      </c>
      <c r="AH6" s="194" t="str">
        <f>Main!BK32</f>
        <v/>
      </c>
      <c r="AI6" s="194" t="str">
        <f>Main!BL32</f>
        <v/>
      </c>
      <c r="AJ6" s="194" t="str">
        <f>Main!BM32</f>
        <v/>
      </c>
      <c r="AK6" s="194" t="str">
        <f>Main!BN32</f>
        <v/>
      </c>
      <c r="AL6" s="102">
        <v>0.0</v>
      </c>
      <c r="AT6" s="49" t="s">
        <v>30</v>
      </c>
      <c r="AU6" s="49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40"/>
      <c r="Q7" s="140"/>
      <c r="R7" s="77"/>
      <c r="S7" s="73"/>
      <c r="T7" s="73"/>
      <c r="U7" s="73"/>
      <c r="V7" s="73"/>
      <c r="W7" s="49">
        <f>Product4!BI45</f>
        <v>1926</v>
      </c>
      <c r="X7" s="33" t="str">
        <f>IF(W7="","","and AM = "&amp;W7&amp;"")</f>
        <v>and AM = 1926</v>
      </c>
      <c r="AT7" s="49" t="s">
        <v>87</v>
      </c>
      <c r="AU7" s="49" t="s">
        <v>236</v>
      </c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40"/>
      <c r="R8" s="77"/>
      <c r="X8" s="33" t="str">
        <f>CONCATENATE("select * where 1=1",X7)</f>
        <v>select * where 1=1and AM = 1926</v>
      </c>
      <c r="AT8" s="49"/>
      <c r="AU8" s="49" t="s">
        <v>237</v>
      </c>
    </row>
    <row r="9">
      <c r="A9" s="205" t="s">
        <v>238</v>
      </c>
      <c r="B9" s="206" t="s">
        <v>239</v>
      </c>
      <c r="C9" s="206" t="s">
        <v>240</v>
      </c>
      <c r="D9" s="207" t="s">
        <v>241</v>
      </c>
      <c r="E9" s="207" t="s">
        <v>5</v>
      </c>
      <c r="F9" s="208" t="s">
        <v>242</v>
      </c>
      <c r="G9" s="208" t="s">
        <v>243</v>
      </c>
      <c r="H9" s="209" t="s">
        <v>244</v>
      </c>
      <c r="I9" s="16" t="s">
        <v>245</v>
      </c>
      <c r="J9" s="16" t="s">
        <v>246</v>
      </c>
      <c r="K9" s="16" t="s">
        <v>247</v>
      </c>
      <c r="L9" s="16" t="s">
        <v>248</v>
      </c>
      <c r="M9" s="16" t="s">
        <v>249</v>
      </c>
      <c r="N9" s="16" t="s">
        <v>250</v>
      </c>
      <c r="O9" s="210" t="s">
        <v>251</v>
      </c>
      <c r="P9" s="211" t="s">
        <v>252</v>
      </c>
      <c r="Q9" s="212"/>
      <c r="R9" s="213" t="s">
        <v>253</v>
      </c>
      <c r="U9" s="33" t="str">
        <f>IF(T12="All","","and U = "&amp;T12&amp;"")</f>
        <v>#VALUE!</v>
      </c>
      <c r="X9" s="214" t="str">
        <f>IF(B2="","","and F = '"&amp;B2&amp;"'")</f>
        <v/>
      </c>
      <c r="Z9" s="33" t="str">
        <f>IF(C2="","","and A = '"&amp;C2&amp;"'")</f>
        <v>and A = 'A5'</v>
      </c>
      <c r="AU9" s="49" t="s">
        <v>254</v>
      </c>
    </row>
    <row r="10">
      <c r="A10" s="77"/>
      <c r="B10" s="78" t="str">
        <f>IFERROR(__xludf.DUMMYFUNCTION("SPLIT(Quotation!D46,""*"")"),"#VALUE!")</f>
        <v>#VALUE!</v>
      </c>
      <c r="C10" s="78"/>
      <c r="D10" s="33" t="str">
        <f>IFERROR(__xludf.DUMMYFUNCTION("QUERY(AL16:AP630,X8)"),"#N/A")</f>
        <v>#N/A</v>
      </c>
      <c r="E10" s="78"/>
      <c r="F10" s="77"/>
      <c r="G10" s="77"/>
      <c r="H10" s="77"/>
      <c r="I10" s="77" t="str">
        <f t="shared" ref="I10:I69" si="5">rounddown(F10/$B$10,0)</f>
        <v>#VALUE!</v>
      </c>
      <c r="J10" s="77" t="str">
        <f t="shared" ref="J10:J69" si="6">rounddown(G10/$C$10,0)</f>
        <v>#DIV/0!</v>
      </c>
      <c r="K10" s="83" t="str">
        <f t="shared" ref="K10:K69" si="7">rounddown(G10/$B$10,0)</f>
        <v>#VALUE!</v>
      </c>
      <c r="L10" s="83" t="str">
        <f t="shared" ref="L10:L69" si="8">rounddown(F10/$C$10,0)</f>
        <v>#DIV/0!</v>
      </c>
      <c r="M10" s="77" t="str">
        <f t="shared" ref="M10:M69" si="9">(I10*J10)+(MAX((ROUNDDOWN((F10-(I10*$B$10))/$B$10,0)),(ROUNDDOWN((G10-(J10*$C$10))/$B$10,0)))*L10)</f>
        <v>#VALUE!</v>
      </c>
      <c r="N10" s="77" t="str">
        <f t="shared" ref="N10:N69" si="10">(K10*L10)+((MAX((Rounddown((G10-(K10*$B$10))/$B$10,0)),(Rounddown((F10-(L10*$C$10))/$B$10,0)))*J10))</f>
        <v>#VALUE!</v>
      </c>
      <c r="O10" s="77" t="str">
        <f t="shared" ref="O10:O15" si="11">ifna(max(M10:N10),"")</f>
        <v>#VALUE!</v>
      </c>
      <c r="P10" s="46" t="str">
        <f t="shared" ref="P10:P11" si="12">H10/O10</f>
        <v>#VALUE!</v>
      </c>
      <c r="Q10" s="215"/>
      <c r="R10" s="77" t="str">
        <f t="shared" ref="R10:R69" si="13">roundup(Q10/O10,0)</f>
        <v>#VALUE!</v>
      </c>
      <c r="S10" s="216" t="str">
        <f t="shared" ref="S10:S21" si="14">((F10+0.5)*G10)/O10</f>
        <v>#VALUE!</v>
      </c>
      <c r="T10" s="92" t="str">
        <f>MIN(S10:S13)</f>
        <v>#VALUE!</v>
      </c>
      <c r="U10" s="33" t="str">
        <f t="shared" ref="U10:U11" si="15">IF(T10="All","","and O = "&amp;T10&amp;"")</f>
        <v>#VALUE!</v>
      </c>
      <c r="X10" s="214" t="str">
        <f>IF(A10="","","and A = '"&amp;A10&amp;"'")</f>
        <v/>
      </c>
      <c r="AG10" s="33" t="str">
        <f>IF(J10="","","and A = '"&amp;J10&amp;"'")</f>
        <v>#DIV/0!</v>
      </c>
    </row>
    <row r="11">
      <c r="A11" s="73"/>
      <c r="B11" s="74"/>
      <c r="C11" s="74"/>
      <c r="D11" s="77"/>
      <c r="E11" s="77"/>
      <c r="F11" s="77"/>
      <c r="G11" s="77"/>
      <c r="H11" s="77"/>
      <c r="I11" s="77" t="str">
        <f t="shared" si="5"/>
        <v>#VALUE!</v>
      </c>
      <c r="J11" s="77" t="str">
        <f t="shared" si="6"/>
        <v>#DIV/0!</v>
      </c>
      <c r="K11" s="83" t="str">
        <f t="shared" si="7"/>
        <v>#VALUE!</v>
      </c>
      <c r="L11" s="83" t="str">
        <f t="shared" si="8"/>
        <v>#DIV/0!</v>
      </c>
      <c r="M11" s="77" t="str">
        <f t="shared" si="9"/>
        <v>#VALUE!</v>
      </c>
      <c r="N11" s="77" t="str">
        <f t="shared" si="10"/>
        <v>#VALUE!</v>
      </c>
      <c r="O11" s="77" t="str">
        <f t="shared" si="11"/>
        <v>#VALUE!</v>
      </c>
      <c r="P11" s="46" t="str">
        <f t="shared" si="12"/>
        <v>#VALUE!</v>
      </c>
      <c r="Q11" s="215"/>
      <c r="R11" s="77" t="str">
        <f t="shared" si="13"/>
        <v>#VALUE!</v>
      </c>
      <c r="S11" s="216" t="str">
        <f t="shared" si="14"/>
        <v>#VALUE!</v>
      </c>
      <c r="T11" s="49" t="str">
        <f>MAX(O10:O13)</f>
        <v>#VALUE!</v>
      </c>
      <c r="U11" s="33" t="str">
        <f t="shared" si="15"/>
        <v>#VALUE!</v>
      </c>
      <c r="X11" s="214" t="str">
        <f>CONCATENATE("select * where 1=1",X9,Z9)</f>
        <v>select * where 1=1and A = 'A5'</v>
      </c>
    </row>
    <row r="12">
      <c r="A12" s="73"/>
      <c r="B12" s="73"/>
      <c r="C12" s="73"/>
      <c r="D12" s="77"/>
      <c r="E12" s="77"/>
      <c r="F12" s="77"/>
      <c r="G12" s="77"/>
      <c r="I12" s="77" t="str">
        <f t="shared" si="5"/>
        <v>#VALUE!</v>
      </c>
      <c r="J12" s="77" t="str">
        <f t="shared" si="6"/>
        <v>#DIV/0!</v>
      </c>
      <c r="K12" s="83" t="str">
        <f t="shared" si="7"/>
        <v>#VALUE!</v>
      </c>
      <c r="L12" s="83" t="str">
        <f t="shared" si="8"/>
        <v>#DIV/0!</v>
      </c>
      <c r="M12" s="77" t="str">
        <f t="shared" si="9"/>
        <v>#VALUE!</v>
      </c>
      <c r="N12" s="77" t="str">
        <f t="shared" si="10"/>
        <v>#VALUE!</v>
      </c>
      <c r="O12" s="77" t="str">
        <f t="shared" si="11"/>
        <v>#VALUE!</v>
      </c>
      <c r="P12" s="46" t="str">
        <f>H11/O12</f>
        <v>#VALUE!</v>
      </c>
      <c r="Q12" s="140"/>
      <c r="R12" s="77" t="str">
        <f t="shared" si="13"/>
        <v>#VALUE!</v>
      </c>
      <c r="S12" s="216" t="str">
        <f t="shared" si="14"/>
        <v>#VALUE!</v>
      </c>
      <c r="T12" s="49" t="str">
        <f>MIN(U29:U630)</f>
        <v>#VALUE!</v>
      </c>
      <c r="U12" s="33" t="str">
        <f>CONCATENATE("select * where 1=1",U11)</f>
        <v>#VALUE!</v>
      </c>
    </row>
    <row r="13">
      <c r="A13" s="73"/>
      <c r="B13" s="73"/>
      <c r="C13" s="73"/>
      <c r="D13" s="77"/>
      <c r="E13" s="77"/>
      <c r="F13" s="77"/>
      <c r="G13" s="77"/>
      <c r="H13" s="77"/>
      <c r="I13" s="77" t="str">
        <f t="shared" si="5"/>
        <v>#VALUE!</v>
      </c>
      <c r="J13" s="77" t="str">
        <f t="shared" si="6"/>
        <v>#DIV/0!</v>
      </c>
      <c r="K13" s="83" t="str">
        <f t="shared" si="7"/>
        <v>#VALUE!</v>
      </c>
      <c r="L13" s="83" t="str">
        <f t="shared" si="8"/>
        <v>#DIV/0!</v>
      </c>
      <c r="M13" s="77" t="str">
        <f t="shared" si="9"/>
        <v>#VALUE!</v>
      </c>
      <c r="N13" s="77" t="str">
        <f t="shared" si="10"/>
        <v>#VALUE!</v>
      </c>
      <c r="O13" s="77" t="str">
        <f t="shared" si="11"/>
        <v>#VALUE!</v>
      </c>
      <c r="P13" s="46" t="str">
        <f t="shared" ref="P13:P69" si="16">H13/O13</f>
        <v>#VALUE!</v>
      </c>
      <c r="Q13" s="140"/>
      <c r="R13" s="77" t="str">
        <f t="shared" si="13"/>
        <v>#VALUE!</v>
      </c>
      <c r="S13" s="216" t="str">
        <f t="shared" si="14"/>
        <v>#VALUE!</v>
      </c>
      <c r="U13" s="33" t="str">
        <f>CONCATENATE("select * where 1=1",U9)</f>
        <v>#VALUE!</v>
      </c>
    </row>
    <row r="14">
      <c r="A14" s="73"/>
      <c r="B14" s="73"/>
      <c r="C14" s="73"/>
      <c r="D14" s="73"/>
      <c r="E14" s="73"/>
      <c r="F14" s="77"/>
      <c r="G14" s="77"/>
      <c r="H14" s="73"/>
      <c r="I14" s="77" t="str">
        <f t="shared" si="5"/>
        <v>#VALUE!</v>
      </c>
      <c r="J14" s="77" t="str">
        <f t="shared" si="6"/>
        <v>#DIV/0!</v>
      </c>
      <c r="K14" s="83" t="str">
        <f t="shared" si="7"/>
        <v>#VALUE!</v>
      </c>
      <c r="L14" s="83" t="str">
        <f t="shared" si="8"/>
        <v>#DIV/0!</v>
      </c>
      <c r="M14" s="77" t="str">
        <f t="shared" si="9"/>
        <v>#VALUE!</v>
      </c>
      <c r="N14" s="77" t="str">
        <f t="shared" si="10"/>
        <v>#VALUE!</v>
      </c>
      <c r="O14" s="77" t="str">
        <f t="shared" si="11"/>
        <v>#VALUE!</v>
      </c>
      <c r="P14" s="46" t="str">
        <f t="shared" si="16"/>
        <v>#VALUE!</v>
      </c>
      <c r="Q14" s="140"/>
      <c r="R14" s="77" t="str">
        <f t="shared" si="13"/>
        <v>#VALUE!</v>
      </c>
      <c r="S14" s="216" t="str">
        <f t="shared" si="14"/>
        <v>#VALUE!</v>
      </c>
    </row>
    <row r="15">
      <c r="A15" s="73"/>
      <c r="B15" s="73"/>
      <c r="C15" s="73"/>
      <c r="D15" s="73"/>
      <c r="E15" s="73"/>
      <c r="F15" s="77"/>
      <c r="G15" s="77"/>
      <c r="H15" s="73"/>
      <c r="I15" s="77" t="str">
        <f t="shared" si="5"/>
        <v>#VALUE!</v>
      </c>
      <c r="J15" s="77" t="str">
        <f t="shared" si="6"/>
        <v>#DIV/0!</v>
      </c>
      <c r="K15" s="83" t="str">
        <f t="shared" si="7"/>
        <v>#VALUE!</v>
      </c>
      <c r="L15" s="83" t="str">
        <f t="shared" si="8"/>
        <v>#DIV/0!</v>
      </c>
      <c r="M15" s="77" t="str">
        <f t="shared" si="9"/>
        <v>#VALUE!</v>
      </c>
      <c r="N15" s="77" t="str">
        <f t="shared" si="10"/>
        <v>#VALUE!</v>
      </c>
      <c r="O15" s="77" t="str">
        <f t="shared" si="11"/>
        <v>#VALUE!</v>
      </c>
      <c r="P15" s="46" t="str">
        <f t="shared" si="16"/>
        <v>#VALUE!</v>
      </c>
      <c r="Q15" s="140"/>
      <c r="R15" s="77" t="str">
        <f t="shared" si="13"/>
        <v>#VALUE!</v>
      </c>
      <c r="S15" s="216" t="str">
        <f t="shared" si="14"/>
        <v>#VALUE!</v>
      </c>
      <c r="U15" s="207" t="s">
        <v>241</v>
      </c>
      <c r="V15" s="207" t="s">
        <v>5</v>
      </c>
      <c r="W15" s="208" t="s">
        <v>242</v>
      </c>
      <c r="X15" s="208" t="s">
        <v>243</v>
      </c>
      <c r="Y15" s="209" t="s">
        <v>244</v>
      </c>
      <c r="Z15" s="16" t="s">
        <v>245</v>
      </c>
      <c r="AA15" s="16" t="s">
        <v>246</v>
      </c>
      <c r="AB15" s="16" t="s">
        <v>247</v>
      </c>
      <c r="AC15" s="16" t="s">
        <v>248</v>
      </c>
      <c r="AD15" s="16" t="s">
        <v>249</v>
      </c>
      <c r="AE15" s="16" t="s">
        <v>250</v>
      </c>
      <c r="AF15" s="210" t="s">
        <v>251</v>
      </c>
      <c r="AG15" s="211" t="s">
        <v>252</v>
      </c>
      <c r="AH15" s="212"/>
      <c r="AI15" s="217" t="s">
        <v>253</v>
      </c>
      <c r="AL15" s="207" t="s">
        <v>241</v>
      </c>
      <c r="AM15" s="207" t="s">
        <v>5</v>
      </c>
      <c r="AN15" s="208" t="s">
        <v>242</v>
      </c>
      <c r="AO15" s="208" t="s">
        <v>243</v>
      </c>
      <c r="AP15" s="209" t="s">
        <v>244</v>
      </c>
      <c r="AQ15" s="218"/>
      <c r="AR15" s="105"/>
      <c r="AS15" s="200"/>
      <c r="AT15" s="219"/>
      <c r="AU15" s="220" t="s">
        <v>233</v>
      </c>
      <c r="AV15" s="220" t="s">
        <v>241</v>
      </c>
      <c r="AW15" s="220" t="s">
        <v>255</v>
      </c>
      <c r="AX15" s="221" t="s">
        <v>256</v>
      </c>
      <c r="AY15" s="222" t="s">
        <v>5</v>
      </c>
      <c r="AZ15" s="218" t="s">
        <v>233</v>
      </c>
      <c r="BA15" s="105" t="s">
        <v>257</v>
      </c>
      <c r="BB15" s="200" t="s">
        <v>258</v>
      </c>
      <c r="BD15" s="220" t="s">
        <v>233</v>
      </c>
      <c r="BE15" s="220" t="s">
        <v>241</v>
      </c>
      <c r="BF15" s="220" t="s">
        <v>255</v>
      </c>
      <c r="BG15" s="221" t="s">
        <v>256</v>
      </c>
      <c r="BH15" s="222" t="s">
        <v>5</v>
      </c>
      <c r="BI15" s="218" t="s">
        <v>233</v>
      </c>
      <c r="BJ15" s="105" t="s">
        <v>257</v>
      </c>
      <c r="BK15" s="200" t="s">
        <v>258</v>
      </c>
    </row>
    <row r="16">
      <c r="A16" s="73"/>
      <c r="B16" s="33"/>
      <c r="C16" s="33"/>
      <c r="D16" s="73"/>
      <c r="E16" s="73"/>
      <c r="F16" s="77"/>
      <c r="G16" s="77"/>
      <c r="H16" s="73"/>
      <c r="I16" s="77" t="str">
        <f t="shared" si="5"/>
        <v>#VALUE!</v>
      </c>
      <c r="J16" s="77" t="str">
        <f t="shared" si="6"/>
        <v>#DIV/0!</v>
      </c>
      <c r="K16" s="83" t="str">
        <f t="shared" si="7"/>
        <v>#VALUE!</v>
      </c>
      <c r="L16" s="83" t="str">
        <f t="shared" si="8"/>
        <v>#DIV/0!</v>
      </c>
      <c r="M16" s="77" t="str">
        <f t="shared" si="9"/>
        <v>#VALUE!</v>
      </c>
      <c r="N16" s="77" t="str">
        <f t="shared" si="10"/>
        <v>#VALUE!</v>
      </c>
      <c r="O16" s="77" t="str">
        <f t="shared" ref="O16:O69" si="18">max(M16:N16)</f>
        <v>#VALUE!</v>
      </c>
      <c r="P16" s="46" t="str">
        <f t="shared" si="16"/>
        <v>#VALUE!</v>
      </c>
      <c r="Q16" s="140"/>
      <c r="R16" s="77" t="str">
        <f t="shared" si="13"/>
        <v>#VALUE!</v>
      </c>
      <c r="S16" s="216" t="str">
        <f t="shared" si="14"/>
        <v>#VALUE!</v>
      </c>
      <c r="U16" s="33" t="str">
        <f>IFERROR(__xludf.DUMMYFUNCTION("QUERY($U$29:$AI$100,U$13)"),"#VALUE!")</f>
        <v>#VALUE!</v>
      </c>
      <c r="AL16" s="33" t="str">
        <f t="array" ref="AL16:AL630">INDEX(BE16:BE630,0)</f>
        <v/>
      </c>
      <c r="AM16" s="33" t="str">
        <f t="array" ref="AM16:AM630">INDEX(BH16:BH630,0)</f>
        <v/>
      </c>
      <c r="AN16" s="33" t="str">
        <f t="shared" ref="AN16:AO16" si="17">INDEX((BJ16:BJ630)-0.5,0)</f>
        <v>#VALUE!</v>
      </c>
      <c r="AO16" s="49">
        <f t="shared" si="17"/>
        <v>-0.5</v>
      </c>
      <c r="AP16" s="33" t="str">
        <f t="array" ref="AP16:AP630">INDEX(BG16:BG630,0)</f>
        <v/>
      </c>
      <c r="AR16" s="127"/>
      <c r="AU16" s="33" t="str">
        <f>IFERROR(__xludf.DUMMYFUNCTION("QUERY(Price!$A$2:$F630,$X$11)"),"#N/A")</f>
        <v>#N/A</v>
      </c>
      <c r="BA16" s="127" t="str">
        <f>IFERROR(__xludf.DUMMYFUNCTION("SPLIT(AW16,""*"")"),"#VALUE!")</f>
        <v>#VALUE!</v>
      </c>
      <c r="BD16" s="33" t="str">
        <f>IFERROR(__xludf.DUMMYFUNCTION("QUERY(AU16:BB630,""Select * where AU is not null"",0)"),"#N/A")</f>
        <v>#N/A</v>
      </c>
      <c r="BE16" s="49"/>
      <c r="BF16" s="49"/>
      <c r="BG16" s="49"/>
      <c r="BH16" s="49"/>
      <c r="BI16" s="49"/>
      <c r="BJ16" s="49" t="str">
        <f>IFERROR(__xludf.DUMMYFUNCTION("""COMPUTED_VALUE"""),"#VALUE!")</f>
        <v>#VALUE!</v>
      </c>
      <c r="BK16" s="49"/>
    </row>
    <row r="17">
      <c r="A17" s="73"/>
      <c r="B17" s="73"/>
      <c r="C17" s="73"/>
      <c r="D17" s="73"/>
      <c r="E17" s="73"/>
      <c r="F17" s="77"/>
      <c r="G17" s="77"/>
      <c r="H17" s="73"/>
      <c r="I17" s="77" t="str">
        <f t="shared" si="5"/>
        <v>#VALUE!</v>
      </c>
      <c r="J17" s="77" t="str">
        <f t="shared" si="6"/>
        <v>#DIV/0!</v>
      </c>
      <c r="K17" s="83" t="str">
        <f t="shared" si="7"/>
        <v>#VALUE!</v>
      </c>
      <c r="L17" s="83" t="str">
        <f t="shared" si="8"/>
        <v>#DIV/0!</v>
      </c>
      <c r="M17" s="77" t="str">
        <f t="shared" si="9"/>
        <v>#VALUE!</v>
      </c>
      <c r="N17" s="77" t="str">
        <f t="shared" si="10"/>
        <v>#VALUE!</v>
      </c>
      <c r="O17" s="77" t="str">
        <f t="shared" si="18"/>
        <v>#VALUE!</v>
      </c>
      <c r="P17" s="46" t="str">
        <f t="shared" si="16"/>
        <v>#VALUE!</v>
      </c>
      <c r="Q17" s="140"/>
      <c r="R17" s="77" t="str">
        <f t="shared" si="13"/>
        <v>#VALUE!</v>
      </c>
      <c r="S17" s="216" t="str">
        <f t="shared" si="14"/>
        <v>#VALUE!</v>
      </c>
      <c r="AL17" s="49"/>
      <c r="AM17" s="49"/>
      <c r="AN17" s="49">
        <v>-0.5</v>
      </c>
      <c r="AO17" s="49">
        <v>-0.5</v>
      </c>
      <c r="AP17" s="49"/>
      <c r="AR17" s="127"/>
      <c r="BA17" s="127" t="str">
        <f>IFERROR(__xludf.DUMMYFUNCTION("SPLIT(AW17,""*"")"),"#VALUE!")</f>
        <v>#VALUE!</v>
      </c>
    </row>
    <row r="18">
      <c r="A18" s="73"/>
      <c r="B18" s="73"/>
      <c r="C18" s="73"/>
      <c r="D18" s="73"/>
      <c r="E18" s="73"/>
      <c r="F18" s="77"/>
      <c r="G18" s="77"/>
      <c r="H18" s="73"/>
      <c r="I18" s="77" t="str">
        <f t="shared" si="5"/>
        <v>#VALUE!</v>
      </c>
      <c r="J18" s="77" t="str">
        <f t="shared" si="6"/>
        <v>#DIV/0!</v>
      </c>
      <c r="K18" s="83" t="str">
        <f t="shared" si="7"/>
        <v>#VALUE!</v>
      </c>
      <c r="L18" s="83" t="str">
        <f t="shared" si="8"/>
        <v>#DIV/0!</v>
      </c>
      <c r="M18" s="77" t="str">
        <f t="shared" si="9"/>
        <v>#VALUE!</v>
      </c>
      <c r="N18" s="77" t="str">
        <f t="shared" si="10"/>
        <v>#VALUE!</v>
      </c>
      <c r="O18" s="77" t="str">
        <f t="shared" si="18"/>
        <v>#VALUE!</v>
      </c>
      <c r="P18" s="46" t="str">
        <f t="shared" si="16"/>
        <v>#VALUE!</v>
      </c>
      <c r="Q18" s="140"/>
      <c r="R18" s="77" t="str">
        <f t="shared" si="13"/>
        <v>#VALUE!</v>
      </c>
      <c r="S18" s="216" t="str">
        <f t="shared" si="14"/>
        <v>#VALUE!</v>
      </c>
      <c r="AL18" s="49"/>
      <c r="AM18" s="49"/>
      <c r="AN18" s="49">
        <v>-0.5</v>
      </c>
      <c r="AO18" s="49">
        <v>-0.5</v>
      </c>
      <c r="AP18" s="49"/>
      <c r="AR18" s="127"/>
      <c r="BA18" s="127" t="str">
        <f>IFERROR(__xludf.DUMMYFUNCTION("SPLIT(AW18,""*"")"),"#VALUE!")</f>
        <v>#VALUE!</v>
      </c>
    </row>
    <row r="19">
      <c r="A19" s="73"/>
      <c r="B19" s="73"/>
      <c r="C19" s="73"/>
      <c r="D19" s="73"/>
      <c r="E19" s="73"/>
      <c r="F19" s="77"/>
      <c r="G19" s="77"/>
      <c r="H19" s="73"/>
      <c r="I19" s="77" t="str">
        <f t="shared" si="5"/>
        <v>#VALUE!</v>
      </c>
      <c r="J19" s="77" t="str">
        <f t="shared" si="6"/>
        <v>#DIV/0!</v>
      </c>
      <c r="K19" s="83" t="str">
        <f t="shared" si="7"/>
        <v>#VALUE!</v>
      </c>
      <c r="L19" s="83" t="str">
        <f t="shared" si="8"/>
        <v>#DIV/0!</v>
      </c>
      <c r="M19" s="77" t="str">
        <f t="shared" si="9"/>
        <v>#VALUE!</v>
      </c>
      <c r="N19" s="77" t="str">
        <f t="shared" si="10"/>
        <v>#VALUE!</v>
      </c>
      <c r="O19" s="77" t="str">
        <f t="shared" si="18"/>
        <v>#VALUE!</v>
      </c>
      <c r="P19" s="46" t="str">
        <f t="shared" si="16"/>
        <v>#VALUE!</v>
      </c>
      <c r="Q19" s="140"/>
      <c r="R19" s="77" t="str">
        <f t="shared" si="13"/>
        <v>#VALUE!</v>
      </c>
      <c r="S19" s="216" t="str">
        <f t="shared" si="14"/>
        <v>#VALUE!</v>
      </c>
      <c r="AL19" s="49"/>
      <c r="AM19" s="49"/>
      <c r="AN19" s="49">
        <v>-0.5</v>
      </c>
      <c r="AO19" s="49">
        <v>-0.5</v>
      </c>
      <c r="AP19" s="49"/>
      <c r="AR19" s="127"/>
      <c r="BA19" s="127" t="str">
        <f>IFERROR(__xludf.DUMMYFUNCTION("SPLIT(AW19,""*"")"),"#VALUE!")</f>
        <v>#VALUE!</v>
      </c>
    </row>
    <row r="20">
      <c r="A20" s="73"/>
      <c r="B20" s="73"/>
      <c r="C20" s="73"/>
      <c r="D20" s="73"/>
      <c r="E20" s="73"/>
      <c r="F20" s="77"/>
      <c r="G20" s="77"/>
      <c r="H20" s="73"/>
      <c r="I20" s="77" t="str">
        <f t="shared" si="5"/>
        <v>#VALUE!</v>
      </c>
      <c r="J20" s="77" t="str">
        <f t="shared" si="6"/>
        <v>#DIV/0!</v>
      </c>
      <c r="K20" s="83" t="str">
        <f t="shared" si="7"/>
        <v>#VALUE!</v>
      </c>
      <c r="L20" s="83" t="str">
        <f t="shared" si="8"/>
        <v>#DIV/0!</v>
      </c>
      <c r="M20" s="77" t="str">
        <f t="shared" si="9"/>
        <v>#VALUE!</v>
      </c>
      <c r="N20" s="77" t="str">
        <f t="shared" si="10"/>
        <v>#VALUE!</v>
      </c>
      <c r="O20" s="77" t="str">
        <f t="shared" si="18"/>
        <v>#VALUE!</v>
      </c>
      <c r="P20" s="46" t="str">
        <f t="shared" si="16"/>
        <v>#VALUE!</v>
      </c>
      <c r="Q20" s="140"/>
      <c r="R20" s="77" t="str">
        <f t="shared" si="13"/>
        <v>#VALUE!</v>
      </c>
      <c r="S20" s="216" t="str">
        <f t="shared" si="14"/>
        <v>#VALUE!</v>
      </c>
      <c r="AL20" s="49"/>
      <c r="AM20" s="49"/>
      <c r="AN20" s="49">
        <v>-0.5</v>
      </c>
      <c r="AO20" s="49">
        <v>-0.5</v>
      </c>
      <c r="AP20" s="49"/>
      <c r="AR20" s="127"/>
      <c r="BA20" s="127" t="str">
        <f>IFERROR(__xludf.DUMMYFUNCTION("SPLIT(AW20,""*"")"),"#VALUE!")</f>
        <v>#VALUE!</v>
      </c>
    </row>
    <row r="21">
      <c r="A21" s="73"/>
      <c r="B21" s="73"/>
      <c r="C21" s="73"/>
      <c r="D21" s="73"/>
      <c r="E21" s="73"/>
      <c r="F21" s="77"/>
      <c r="G21" s="77"/>
      <c r="H21" s="77"/>
      <c r="I21" s="77" t="str">
        <f t="shared" si="5"/>
        <v>#VALUE!</v>
      </c>
      <c r="J21" s="77" t="str">
        <f t="shared" si="6"/>
        <v>#DIV/0!</v>
      </c>
      <c r="K21" s="83" t="str">
        <f t="shared" si="7"/>
        <v>#VALUE!</v>
      </c>
      <c r="L21" s="83" t="str">
        <f t="shared" si="8"/>
        <v>#DIV/0!</v>
      </c>
      <c r="M21" s="77" t="str">
        <f t="shared" si="9"/>
        <v>#VALUE!</v>
      </c>
      <c r="N21" s="77" t="str">
        <f t="shared" si="10"/>
        <v>#VALUE!</v>
      </c>
      <c r="O21" s="77" t="str">
        <f t="shared" si="18"/>
        <v>#VALUE!</v>
      </c>
      <c r="P21" s="46" t="str">
        <f t="shared" si="16"/>
        <v>#VALUE!</v>
      </c>
      <c r="Q21" s="140"/>
      <c r="R21" s="77" t="str">
        <f t="shared" si="13"/>
        <v>#VALUE!</v>
      </c>
      <c r="S21" s="216" t="str">
        <f t="shared" si="14"/>
        <v>#VALUE!</v>
      </c>
      <c r="AL21" s="49"/>
      <c r="AM21" s="49"/>
      <c r="AN21" s="49">
        <v>-0.5</v>
      </c>
      <c r="AO21" s="49">
        <v>-0.5</v>
      </c>
      <c r="AP21" s="49"/>
      <c r="AR21" s="127"/>
      <c r="BA21" s="127" t="str">
        <f>IFERROR(__xludf.DUMMYFUNCTION("SPLIT(AW21,""*"")"),"#VALUE!")</f>
        <v>#VALUE!</v>
      </c>
    </row>
    <row r="22">
      <c r="A22" s="73"/>
      <c r="B22" s="73"/>
      <c r="C22" s="73"/>
      <c r="D22" s="73"/>
      <c r="E22" s="73"/>
      <c r="F22" s="77"/>
      <c r="G22" s="77"/>
      <c r="H22" s="77"/>
      <c r="I22" s="77" t="str">
        <f t="shared" si="5"/>
        <v>#VALUE!</v>
      </c>
      <c r="J22" s="77" t="str">
        <f t="shared" si="6"/>
        <v>#DIV/0!</v>
      </c>
      <c r="K22" s="83" t="str">
        <f t="shared" si="7"/>
        <v>#VALUE!</v>
      </c>
      <c r="L22" s="83" t="str">
        <f t="shared" si="8"/>
        <v>#DIV/0!</v>
      </c>
      <c r="M22" s="77" t="str">
        <f t="shared" si="9"/>
        <v>#VALUE!</v>
      </c>
      <c r="N22" s="77" t="str">
        <f t="shared" si="10"/>
        <v>#VALUE!</v>
      </c>
      <c r="O22" s="77" t="str">
        <f t="shared" si="18"/>
        <v>#VALUE!</v>
      </c>
      <c r="P22" s="46" t="str">
        <f t="shared" si="16"/>
        <v>#VALUE!</v>
      </c>
      <c r="Q22" s="140"/>
      <c r="R22" s="77" t="str">
        <f t="shared" si="13"/>
        <v>#VALUE!</v>
      </c>
      <c r="AL22" s="49"/>
      <c r="AM22" s="49"/>
      <c r="AN22" s="49">
        <v>-0.5</v>
      </c>
      <c r="AO22" s="49">
        <v>-0.5</v>
      </c>
      <c r="AP22" s="49"/>
      <c r="AR22" s="127"/>
      <c r="BA22" s="127" t="str">
        <f>IFERROR(__xludf.DUMMYFUNCTION("SPLIT(AW22,""*"")"),"#VALUE!")</f>
        <v>#VALUE!</v>
      </c>
    </row>
    <row r="23">
      <c r="A23" s="73"/>
      <c r="B23" s="73"/>
      <c r="C23" s="73"/>
      <c r="D23" s="73"/>
      <c r="E23" s="73"/>
      <c r="F23" s="77"/>
      <c r="G23" s="77"/>
      <c r="H23" s="77"/>
      <c r="I23" s="77" t="str">
        <f t="shared" si="5"/>
        <v>#VALUE!</v>
      </c>
      <c r="J23" s="77" t="str">
        <f t="shared" si="6"/>
        <v>#DIV/0!</v>
      </c>
      <c r="K23" s="83" t="str">
        <f t="shared" si="7"/>
        <v>#VALUE!</v>
      </c>
      <c r="L23" s="83" t="str">
        <f t="shared" si="8"/>
        <v>#DIV/0!</v>
      </c>
      <c r="M23" s="77" t="str">
        <f t="shared" si="9"/>
        <v>#VALUE!</v>
      </c>
      <c r="N23" s="77" t="str">
        <f t="shared" si="10"/>
        <v>#VALUE!</v>
      </c>
      <c r="O23" s="77" t="str">
        <f t="shared" si="18"/>
        <v>#VALUE!</v>
      </c>
      <c r="P23" s="46" t="str">
        <f t="shared" si="16"/>
        <v>#VALUE!</v>
      </c>
      <c r="Q23" s="140"/>
      <c r="R23" s="77" t="str">
        <f t="shared" si="13"/>
        <v>#VALUE!</v>
      </c>
      <c r="AL23" s="49"/>
      <c r="AM23" s="49"/>
      <c r="AN23" s="49">
        <v>-0.5</v>
      </c>
      <c r="AO23" s="49">
        <v>-0.5</v>
      </c>
      <c r="AP23" s="49"/>
      <c r="AR23" s="127"/>
      <c r="BA23" s="127" t="str">
        <f>IFERROR(__xludf.DUMMYFUNCTION("SPLIT(AW23,""*"")"),"#VALUE!")</f>
        <v>#VALUE!</v>
      </c>
    </row>
    <row r="24">
      <c r="A24" s="73"/>
      <c r="B24" s="73"/>
      <c r="C24" s="73"/>
      <c r="D24" s="73"/>
      <c r="E24" s="73"/>
      <c r="F24" s="77"/>
      <c r="G24" s="77"/>
      <c r="H24" s="73"/>
      <c r="I24" s="77" t="str">
        <f t="shared" si="5"/>
        <v>#VALUE!</v>
      </c>
      <c r="J24" s="77" t="str">
        <f t="shared" si="6"/>
        <v>#DIV/0!</v>
      </c>
      <c r="K24" s="83" t="str">
        <f t="shared" si="7"/>
        <v>#VALUE!</v>
      </c>
      <c r="L24" s="83" t="str">
        <f t="shared" si="8"/>
        <v>#DIV/0!</v>
      </c>
      <c r="M24" s="77" t="str">
        <f t="shared" si="9"/>
        <v>#VALUE!</v>
      </c>
      <c r="N24" s="77" t="str">
        <f t="shared" si="10"/>
        <v>#VALUE!</v>
      </c>
      <c r="O24" s="77" t="str">
        <f t="shared" si="18"/>
        <v>#VALUE!</v>
      </c>
      <c r="P24" s="46" t="str">
        <f t="shared" si="16"/>
        <v>#VALUE!</v>
      </c>
      <c r="Q24" s="140"/>
      <c r="R24" s="77" t="str">
        <f t="shared" si="13"/>
        <v>#VALUE!</v>
      </c>
      <c r="U24" s="33"/>
      <c r="AL24" s="49"/>
      <c r="AM24" s="49"/>
      <c r="AN24" s="49">
        <v>-0.5</v>
      </c>
      <c r="AO24" s="49">
        <v>-0.5</v>
      </c>
      <c r="AP24" s="49"/>
      <c r="AR24" s="127"/>
      <c r="BA24" s="127" t="str">
        <f>IFERROR(__xludf.DUMMYFUNCTION("SPLIT(AW24,""*"")"),"#VALUE!")</f>
        <v>#VALUE!</v>
      </c>
    </row>
    <row r="25">
      <c r="A25" s="73"/>
      <c r="B25" s="73"/>
      <c r="C25" s="73"/>
      <c r="D25" s="73"/>
      <c r="E25" s="73"/>
      <c r="F25" s="77"/>
      <c r="G25" s="77"/>
      <c r="H25" s="73"/>
      <c r="I25" s="77" t="str">
        <f t="shared" si="5"/>
        <v>#VALUE!</v>
      </c>
      <c r="J25" s="77" t="str">
        <f t="shared" si="6"/>
        <v>#DIV/0!</v>
      </c>
      <c r="K25" s="83" t="str">
        <f t="shared" si="7"/>
        <v>#VALUE!</v>
      </c>
      <c r="L25" s="83" t="str">
        <f t="shared" si="8"/>
        <v>#DIV/0!</v>
      </c>
      <c r="M25" s="77" t="str">
        <f t="shared" si="9"/>
        <v>#VALUE!</v>
      </c>
      <c r="N25" s="77" t="str">
        <f t="shared" si="10"/>
        <v>#VALUE!</v>
      </c>
      <c r="O25" s="77" t="str">
        <f t="shared" si="18"/>
        <v>#VALUE!</v>
      </c>
      <c r="P25" s="46" t="str">
        <f t="shared" si="16"/>
        <v>#VALUE!</v>
      </c>
      <c r="Q25" s="140"/>
      <c r="R25" s="77" t="str">
        <f t="shared" si="13"/>
        <v>#VALUE!</v>
      </c>
      <c r="AL25" s="49"/>
      <c r="AM25" s="49"/>
      <c r="AN25" s="49">
        <v>-0.5</v>
      </c>
      <c r="AO25" s="49">
        <v>-0.5</v>
      </c>
      <c r="AP25" s="49"/>
      <c r="AR25" s="127"/>
      <c r="BA25" s="127" t="str">
        <f>IFERROR(__xludf.DUMMYFUNCTION("SPLIT(AW25,""*"")"),"#VALUE!")</f>
        <v>#VALUE!</v>
      </c>
    </row>
    <row r="26">
      <c r="A26" s="73"/>
      <c r="B26" s="73"/>
      <c r="C26" s="73"/>
      <c r="D26" s="73"/>
      <c r="E26" s="73"/>
      <c r="F26" s="77"/>
      <c r="G26" s="77"/>
      <c r="H26" s="73"/>
      <c r="I26" s="77" t="str">
        <f t="shared" si="5"/>
        <v>#VALUE!</v>
      </c>
      <c r="J26" s="77" t="str">
        <f t="shared" si="6"/>
        <v>#DIV/0!</v>
      </c>
      <c r="K26" s="83" t="str">
        <f t="shared" si="7"/>
        <v>#VALUE!</v>
      </c>
      <c r="L26" s="83" t="str">
        <f t="shared" si="8"/>
        <v>#DIV/0!</v>
      </c>
      <c r="M26" s="77" t="str">
        <f t="shared" si="9"/>
        <v>#VALUE!</v>
      </c>
      <c r="N26" s="77" t="str">
        <f t="shared" si="10"/>
        <v>#VALUE!</v>
      </c>
      <c r="O26" s="77" t="str">
        <f t="shared" si="18"/>
        <v>#VALUE!</v>
      </c>
      <c r="P26" s="46" t="str">
        <f t="shared" si="16"/>
        <v>#VALUE!</v>
      </c>
      <c r="Q26" s="140"/>
      <c r="R26" s="77" t="str">
        <f t="shared" si="13"/>
        <v>#VALUE!</v>
      </c>
      <c r="AL26" s="49"/>
      <c r="AM26" s="49"/>
      <c r="AN26" s="49">
        <v>-0.5</v>
      </c>
      <c r="AO26" s="49">
        <v>-0.5</v>
      </c>
      <c r="AP26" s="49"/>
      <c r="AR26" s="127"/>
      <c r="BA26" s="127" t="str">
        <f>IFERROR(__xludf.DUMMYFUNCTION("SPLIT(AW26,""*"")"),"#VALUE!")</f>
        <v>#VALUE!</v>
      </c>
    </row>
    <row r="27">
      <c r="A27" s="73"/>
      <c r="B27" s="73"/>
      <c r="C27" s="73"/>
      <c r="D27" s="73"/>
      <c r="E27" s="73"/>
      <c r="F27" s="77"/>
      <c r="G27" s="77"/>
      <c r="H27" s="73"/>
      <c r="I27" s="77" t="str">
        <f t="shared" si="5"/>
        <v>#VALUE!</v>
      </c>
      <c r="J27" s="77" t="str">
        <f t="shared" si="6"/>
        <v>#DIV/0!</v>
      </c>
      <c r="K27" s="83" t="str">
        <f t="shared" si="7"/>
        <v>#VALUE!</v>
      </c>
      <c r="L27" s="83" t="str">
        <f t="shared" si="8"/>
        <v>#DIV/0!</v>
      </c>
      <c r="M27" s="77" t="str">
        <f t="shared" si="9"/>
        <v>#VALUE!</v>
      </c>
      <c r="N27" s="77" t="str">
        <f t="shared" si="10"/>
        <v>#VALUE!</v>
      </c>
      <c r="O27" s="77" t="str">
        <f t="shared" si="18"/>
        <v>#VALUE!</v>
      </c>
      <c r="P27" s="46" t="str">
        <f t="shared" si="16"/>
        <v>#VALUE!</v>
      </c>
      <c r="Q27" s="140"/>
      <c r="R27" s="77" t="str">
        <f t="shared" si="13"/>
        <v>#VALUE!</v>
      </c>
      <c r="AL27" s="49"/>
      <c r="AM27" s="49"/>
      <c r="AN27" s="49">
        <v>-0.5</v>
      </c>
      <c r="AO27" s="49">
        <v>-0.5</v>
      </c>
      <c r="AP27" s="49"/>
      <c r="AR27" s="127"/>
      <c r="BA27" s="127" t="str">
        <f>IFERROR(__xludf.DUMMYFUNCTION("SPLIT(AW27,""*"")"),"#VALUE!")</f>
        <v>#VALUE!</v>
      </c>
    </row>
    <row r="28">
      <c r="A28" s="73"/>
      <c r="B28" s="73"/>
      <c r="C28" s="73"/>
      <c r="D28" s="73"/>
      <c r="E28" s="73"/>
      <c r="F28" s="77"/>
      <c r="G28" s="77"/>
      <c r="H28" s="73"/>
      <c r="I28" s="77" t="str">
        <f t="shared" si="5"/>
        <v>#VALUE!</v>
      </c>
      <c r="J28" s="77" t="str">
        <f t="shared" si="6"/>
        <v>#DIV/0!</v>
      </c>
      <c r="K28" s="83" t="str">
        <f t="shared" si="7"/>
        <v>#VALUE!</v>
      </c>
      <c r="L28" s="83" t="str">
        <f t="shared" si="8"/>
        <v>#DIV/0!</v>
      </c>
      <c r="M28" s="77" t="str">
        <f t="shared" si="9"/>
        <v>#VALUE!</v>
      </c>
      <c r="N28" s="77" t="str">
        <f t="shared" si="10"/>
        <v>#VALUE!</v>
      </c>
      <c r="O28" s="77" t="str">
        <f t="shared" si="18"/>
        <v>#VALUE!</v>
      </c>
      <c r="P28" s="46" t="str">
        <f t="shared" si="16"/>
        <v>#VALUE!</v>
      </c>
      <c r="Q28" s="140"/>
      <c r="R28" s="77" t="str">
        <f t="shared" si="13"/>
        <v>#VALUE!</v>
      </c>
      <c r="U28" s="207" t="s">
        <v>241</v>
      </c>
      <c r="V28" s="207" t="s">
        <v>5</v>
      </c>
      <c r="W28" s="208" t="s">
        <v>242</v>
      </c>
      <c r="X28" s="208" t="s">
        <v>243</v>
      </c>
      <c r="Y28" s="209" t="s">
        <v>244</v>
      </c>
      <c r="Z28" s="16" t="s">
        <v>245</v>
      </c>
      <c r="AA28" s="16" t="s">
        <v>246</v>
      </c>
      <c r="AB28" s="16" t="s">
        <v>247</v>
      </c>
      <c r="AC28" s="16" t="s">
        <v>248</v>
      </c>
      <c r="AD28" s="16" t="s">
        <v>249</v>
      </c>
      <c r="AE28" s="16" t="s">
        <v>250</v>
      </c>
      <c r="AF28" s="210" t="s">
        <v>251</v>
      </c>
      <c r="AG28" s="211" t="s">
        <v>252</v>
      </c>
      <c r="AH28" s="212"/>
      <c r="AI28" s="217" t="s">
        <v>253</v>
      </c>
      <c r="AL28" s="49"/>
      <c r="AM28" s="49"/>
      <c r="AN28" s="49">
        <v>-0.5</v>
      </c>
      <c r="AO28" s="49">
        <v>-0.5</v>
      </c>
      <c r="AP28" s="49"/>
      <c r="AR28" s="127"/>
      <c r="BA28" s="127" t="str">
        <f>IFERROR(__xludf.DUMMYFUNCTION("SPLIT(AW28,""*"")"),"#VALUE!")</f>
        <v>#VALUE!</v>
      </c>
    </row>
    <row r="29">
      <c r="A29" s="73"/>
      <c r="B29" s="73"/>
      <c r="C29" s="73"/>
      <c r="D29" s="73"/>
      <c r="E29" s="73"/>
      <c r="F29" s="77"/>
      <c r="G29" s="77"/>
      <c r="H29" s="73"/>
      <c r="I29" s="77" t="str">
        <f t="shared" si="5"/>
        <v>#VALUE!</v>
      </c>
      <c r="J29" s="77" t="str">
        <f t="shared" si="6"/>
        <v>#DIV/0!</v>
      </c>
      <c r="K29" s="83" t="str">
        <f t="shared" si="7"/>
        <v>#VALUE!</v>
      </c>
      <c r="L29" s="83" t="str">
        <f t="shared" si="8"/>
        <v>#DIV/0!</v>
      </c>
      <c r="M29" s="77" t="str">
        <f t="shared" si="9"/>
        <v>#VALUE!</v>
      </c>
      <c r="N29" s="77" t="str">
        <f t="shared" si="10"/>
        <v>#VALUE!</v>
      </c>
      <c r="O29" s="77" t="str">
        <f t="shared" si="18"/>
        <v>#VALUE!</v>
      </c>
      <c r="P29" s="46" t="str">
        <f t="shared" si="16"/>
        <v>#VALUE!</v>
      </c>
      <c r="Q29" s="140"/>
      <c r="R29" s="77" t="str">
        <f t="shared" si="13"/>
        <v>#VALUE!</v>
      </c>
      <c r="U29" s="33" t="str">
        <f>IFERROR(__xludf.DUMMYFUNCTION("QUERY($D$10:$S$20,U$12)"),"#VALUE!")</f>
        <v>#VALUE!</v>
      </c>
      <c r="AL29" s="49"/>
      <c r="AM29" s="49"/>
      <c r="AN29" s="49">
        <v>-0.5</v>
      </c>
      <c r="AO29" s="49">
        <v>-0.5</v>
      </c>
      <c r="AP29" s="49"/>
      <c r="AR29" s="127"/>
      <c r="BA29" s="127" t="str">
        <f>IFERROR(__xludf.DUMMYFUNCTION("SPLIT(AW29,""*"")"),"#VALUE!")</f>
        <v>#VALUE!</v>
      </c>
    </row>
    <row r="30">
      <c r="A30" s="73"/>
      <c r="B30" s="73"/>
      <c r="C30" s="73"/>
      <c r="D30" s="73"/>
      <c r="E30" s="73"/>
      <c r="F30" s="77"/>
      <c r="G30" s="77"/>
      <c r="H30" s="73"/>
      <c r="I30" s="77" t="str">
        <f t="shared" si="5"/>
        <v>#VALUE!</v>
      </c>
      <c r="J30" s="77" t="str">
        <f t="shared" si="6"/>
        <v>#DIV/0!</v>
      </c>
      <c r="K30" s="83" t="str">
        <f t="shared" si="7"/>
        <v>#VALUE!</v>
      </c>
      <c r="L30" s="83" t="str">
        <f t="shared" si="8"/>
        <v>#DIV/0!</v>
      </c>
      <c r="M30" s="77" t="str">
        <f t="shared" si="9"/>
        <v>#VALUE!</v>
      </c>
      <c r="N30" s="77" t="str">
        <f t="shared" si="10"/>
        <v>#VALUE!</v>
      </c>
      <c r="O30" s="77" t="str">
        <f t="shared" si="18"/>
        <v>#VALUE!</v>
      </c>
      <c r="P30" s="46" t="str">
        <f t="shared" si="16"/>
        <v>#VALUE!</v>
      </c>
      <c r="Q30" s="140"/>
      <c r="R30" s="77" t="str">
        <f t="shared" si="13"/>
        <v>#VALUE!</v>
      </c>
      <c r="AL30" s="49"/>
      <c r="AM30" s="49"/>
      <c r="AN30" s="49">
        <v>-0.5</v>
      </c>
      <c r="AO30" s="49">
        <v>-0.5</v>
      </c>
      <c r="AP30" s="49"/>
      <c r="AR30" s="127"/>
      <c r="BA30" s="127" t="str">
        <f>IFERROR(__xludf.DUMMYFUNCTION("SPLIT(AW30,""*"")"),"#VALUE!")</f>
        <v>#VALUE!</v>
      </c>
    </row>
    <row r="31">
      <c r="A31" s="73"/>
      <c r="B31" s="73"/>
      <c r="C31" s="73"/>
      <c r="D31" s="73"/>
      <c r="E31" s="73"/>
      <c r="F31" s="77"/>
      <c r="G31" s="77"/>
      <c r="H31" s="73"/>
      <c r="I31" s="77" t="str">
        <f t="shared" si="5"/>
        <v>#VALUE!</v>
      </c>
      <c r="J31" s="77" t="str">
        <f t="shared" si="6"/>
        <v>#DIV/0!</v>
      </c>
      <c r="K31" s="83" t="str">
        <f t="shared" si="7"/>
        <v>#VALUE!</v>
      </c>
      <c r="L31" s="83" t="str">
        <f t="shared" si="8"/>
        <v>#DIV/0!</v>
      </c>
      <c r="M31" s="77" t="str">
        <f t="shared" si="9"/>
        <v>#VALUE!</v>
      </c>
      <c r="N31" s="77" t="str">
        <f t="shared" si="10"/>
        <v>#VALUE!</v>
      </c>
      <c r="O31" s="77" t="str">
        <f t="shared" si="18"/>
        <v>#VALUE!</v>
      </c>
      <c r="P31" s="46" t="str">
        <f t="shared" si="16"/>
        <v>#VALUE!</v>
      </c>
      <c r="Q31" s="140"/>
      <c r="R31" s="77" t="str">
        <f t="shared" si="13"/>
        <v>#VALUE!</v>
      </c>
      <c r="AL31" s="49"/>
      <c r="AM31" s="49"/>
      <c r="AN31" s="49">
        <v>-0.5</v>
      </c>
      <c r="AO31" s="49">
        <v>-0.5</v>
      </c>
      <c r="AP31" s="49"/>
      <c r="AR31" s="127"/>
      <c r="BA31" s="127" t="str">
        <f>IFERROR(__xludf.DUMMYFUNCTION("SPLIT(AW31,""*"")"),"#VALUE!")</f>
        <v>#VALUE!</v>
      </c>
    </row>
    <row r="32">
      <c r="A32" s="73"/>
      <c r="B32" s="73"/>
      <c r="C32" s="73"/>
      <c r="D32" s="73"/>
      <c r="E32" s="73"/>
      <c r="F32" s="77"/>
      <c r="G32" s="77"/>
      <c r="H32" s="73"/>
      <c r="I32" s="77" t="str">
        <f t="shared" si="5"/>
        <v>#VALUE!</v>
      </c>
      <c r="J32" s="77" t="str">
        <f t="shared" si="6"/>
        <v>#DIV/0!</v>
      </c>
      <c r="K32" s="83" t="str">
        <f t="shared" si="7"/>
        <v>#VALUE!</v>
      </c>
      <c r="L32" s="83" t="str">
        <f t="shared" si="8"/>
        <v>#DIV/0!</v>
      </c>
      <c r="M32" s="77" t="str">
        <f t="shared" si="9"/>
        <v>#VALUE!</v>
      </c>
      <c r="N32" s="77" t="str">
        <f t="shared" si="10"/>
        <v>#VALUE!</v>
      </c>
      <c r="O32" s="77" t="str">
        <f t="shared" si="18"/>
        <v>#VALUE!</v>
      </c>
      <c r="P32" s="46" t="str">
        <f t="shared" si="16"/>
        <v>#VALUE!</v>
      </c>
      <c r="Q32" s="140"/>
      <c r="R32" s="77" t="str">
        <f t="shared" si="13"/>
        <v>#VALUE!</v>
      </c>
      <c r="AL32" s="49"/>
      <c r="AM32" s="49"/>
      <c r="AN32" s="49">
        <v>-0.5</v>
      </c>
      <c r="AO32" s="49">
        <v>-0.5</v>
      </c>
      <c r="AP32" s="49"/>
      <c r="AR32" s="127"/>
      <c r="BA32" s="127" t="str">
        <f>IFERROR(__xludf.DUMMYFUNCTION("SPLIT(AW32,""*"")"),"#VALUE!")</f>
        <v>#VALUE!</v>
      </c>
    </row>
    <row r="33">
      <c r="A33" s="73"/>
      <c r="B33" s="73"/>
      <c r="C33" s="73"/>
      <c r="D33" s="73"/>
      <c r="E33" s="73"/>
      <c r="F33" s="77"/>
      <c r="G33" s="77"/>
      <c r="H33" s="73"/>
      <c r="I33" s="77" t="str">
        <f t="shared" si="5"/>
        <v>#VALUE!</v>
      </c>
      <c r="J33" s="77" t="str">
        <f t="shared" si="6"/>
        <v>#DIV/0!</v>
      </c>
      <c r="K33" s="83" t="str">
        <f t="shared" si="7"/>
        <v>#VALUE!</v>
      </c>
      <c r="L33" s="83" t="str">
        <f t="shared" si="8"/>
        <v>#DIV/0!</v>
      </c>
      <c r="M33" s="77" t="str">
        <f t="shared" si="9"/>
        <v>#VALUE!</v>
      </c>
      <c r="N33" s="77" t="str">
        <f t="shared" si="10"/>
        <v>#VALUE!</v>
      </c>
      <c r="O33" s="77" t="str">
        <f t="shared" si="18"/>
        <v>#VALUE!</v>
      </c>
      <c r="P33" s="46" t="str">
        <f t="shared" si="16"/>
        <v>#VALUE!</v>
      </c>
      <c r="Q33" s="140"/>
      <c r="R33" s="77" t="str">
        <f t="shared" si="13"/>
        <v>#VALUE!</v>
      </c>
      <c r="AL33" s="49"/>
      <c r="AM33" s="49"/>
      <c r="AN33" s="49">
        <v>-0.5</v>
      </c>
      <c r="AO33" s="49">
        <v>-0.5</v>
      </c>
      <c r="AP33" s="49"/>
      <c r="AR33" s="127"/>
      <c r="BA33" s="127" t="str">
        <f>IFERROR(__xludf.DUMMYFUNCTION("SPLIT(AW33,""*"")"),"#VALUE!")</f>
        <v>#VALUE!</v>
      </c>
    </row>
    <row r="34">
      <c r="A34" s="73"/>
      <c r="B34" s="73"/>
      <c r="C34" s="73"/>
      <c r="D34" s="73"/>
      <c r="E34" s="73"/>
      <c r="F34" s="77"/>
      <c r="G34" s="77"/>
      <c r="H34" s="73"/>
      <c r="I34" s="77" t="str">
        <f t="shared" si="5"/>
        <v>#VALUE!</v>
      </c>
      <c r="J34" s="77" t="str">
        <f t="shared" si="6"/>
        <v>#DIV/0!</v>
      </c>
      <c r="K34" s="83" t="str">
        <f t="shared" si="7"/>
        <v>#VALUE!</v>
      </c>
      <c r="L34" s="83" t="str">
        <f t="shared" si="8"/>
        <v>#DIV/0!</v>
      </c>
      <c r="M34" s="77" t="str">
        <f t="shared" si="9"/>
        <v>#VALUE!</v>
      </c>
      <c r="N34" s="77" t="str">
        <f t="shared" si="10"/>
        <v>#VALUE!</v>
      </c>
      <c r="O34" s="77" t="str">
        <f t="shared" si="18"/>
        <v>#VALUE!</v>
      </c>
      <c r="P34" s="46" t="str">
        <f t="shared" si="16"/>
        <v>#VALUE!</v>
      </c>
      <c r="Q34" s="140"/>
      <c r="R34" s="77" t="str">
        <f t="shared" si="13"/>
        <v>#VALUE!</v>
      </c>
      <c r="AL34" s="49"/>
      <c r="AM34" s="49"/>
      <c r="AN34" s="49">
        <v>-0.5</v>
      </c>
      <c r="AO34" s="49">
        <v>-0.5</v>
      </c>
      <c r="AP34" s="49"/>
      <c r="AR34" s="127"/>
      <c r="BA34" s="127" t="str">
        <f>IFERROR(__xludf.DUMMYFUNCTION("SPLIT(AW34,""*"")"),"#VALUE!")</f>
        <v>#VALUE!</v>
      </c>
    </row>
    <row r="35">
      <c r="A35" s="73"/>
      <c r="B35" s="73"/>
      <c r="C35" s="73"/>
      <c r="D35" s="73"/>
      <c r="E35" s="73"/>
      <c r="F35" s="77"/>
      <c r="G35" s="77"/>
      <c r="H35" s="73"/>
      <c r="I35" s="77" t="str">
        <f t="shared" si="5"/>
        <v>#VALUE!</v>
      </c>
      <c r="J35" s="77" t="str">
        <f t="shared" si="6"/>
        <v>#DIV/0!</v>
      </c>
      <c r="K35" s="83" t="str">
        <f t="shared" si="7"/>
        <v>#VALUE!</v>
      </c>
      <c r="L35" s="83" t="str">
        <f t="shared" si="8"/>
        <v>#DIV/0!</v>
      </c>
      <c r="M35" s="77" t="str">
        <f t="shared" si="9"/>
        <v>#VALUE!</v>
      </c>
      <c r="N35" s="77" t="str">
        <f t="shared" si="10"/>
        <v>#VALUE!</v>
      </c>
      <c r="O35" s="77" t="str">
        <f t="shared" si="18"/>
        <v>#VALUE!</v>
      </c>
      <c r="P35" s="46" t="str">
        <f t="shared" si="16"/>
        <v>#VALUE!</v>
      </c>
      <c r="Q35" s="140"/>
      <c r="R35" s="77" t="str">
        <f t="shared" si="13"/>
        <v>#VALUE!</v>
      </c>
      <c r="AL35" s="49"/>
      <c r="AM35" s="49"/>
      <c r="AN35" s="49">
        <v>-0.5</v>
      </c>
      <c r="AO35" s="49">
        <v>-0.5</v>
      </c>
      <c r="AP35" s="49"/>
      <c r="AR35" s="127"/>
      <c r="BA35" s="127" t="str">
        <f>IFERROR(__xludf.DUMMYFUNCTION("SPLIT(AW35,""*"")"),"#VALUE!")</f>
        <v>#VALUE!</v>
      </c>
    </row>
    <row r="36">
      <c r="A36" s="73"/>
      <c r="B36" s="73"/>
      <c r="C36" s="73"/>
      <c r="D36" s="73"/>
      <c r="E36" s="73"/>
      <c r="F36" s="77"/>
      <c r="G36" s="77"/>
      <c r="H36" s="73"/>
      <c r="I36" s="77" t="str">
        <f t="shared" si="5"/>
        <v>#VALUE!</v>
      </c>
      <c r="J36" s="77" t="str">
        <f t="shared" si="6"/>
        <v>#DIV/0!</v>
      </c>
      <c r="K36" s="83" t="str">
        <f t="shared" si="7"/>
        <v>#VALUE!</v>
      </c>
      <c r="L36" s="83" t="str">
        <f t="shared" si="8"/>
        <v>#DIV/0!</v>
      </c>
      <c r="M36" s="77" t="str">
        <f t="shared" si="9"/>
        <v>#VALUE!</v>
      </c>
      <c r="N36" s="77" t="str">
        <f t="shared" si="10"/>
        <v>#VALUE!</v>
      </c>
      <c r="O36" s="77" t="str">
        <f t="shared" si="18"/>
        <v>#VALUE!</v>
      </c>
      <c r="P36" s="46" t="str">
        <f t="shared" si="16"/>
        <v>#VALUE!</v>
      </c>
      <c r="Q36" s="140"/>
      <c r="R36" s="77" t="str">
        <f t="shared" si="13"/>
        <v>#VALUE!</v>
      </c>
      <c r="AL36" s="49"/>
      <c r="AM36" s="49"/>
      <c r="AN36" s="49">
        <v>-0.5</v>
      </c>
      <c r="AO36" s="49">
        <v>-0.5</v>
      </c>
      <c r="AP36" s="49"/>
      <c r="AR36" s="127"/>
      <c r="BA36" s="127" t="str">
        <f>IFERROR(__xludf.DUMMYFUNCTION("SPLIT(AW36,""*"")"),"#VALUE!")</f>
        <v>#VALUE!</v>
      </c>
    </row>
    <row r="37">
      <c r="A37" s="73"/>
      <c r="B37" s="73"/>
      <c r="C37" s="73"/>
      <c r="D37" s="73"/>
      <c r="E37" s="73"/>
      <c r="F37" s="77"/>
      <c r="G37" s="77"/>
      <c r="H37" s="73"/>
      <c r="I37" s="77" t="str">
        <f t="shared" si="5"/>
        <v>#VALUE!</v>
      </c>
      <c r="J37" s="77" t="str">
        <f t="shared" si="6"/>
        <v>#DIV/0!</v>
      </c>
      <c r="K37" s="83" t="str">
        <f t="shared" si="7"/>
        <v>#VALUE!</v>
      </c>
      <c r="L37" s="83" t="str">
        <f t="shared" si="8"/>
        <v>#DIV/0!</v>
      </c>
      <c r="M37" s="77" t="str">
        <f t="shared" si="9"/>
        <v>#VALUE!</v>
      </c>
      <c r="N37" s="77" t="str">
        <f t="shared" si="10"/>
        <v>#VALUE!</v>
      </c>
      <c r="O37" s="77" t="str">
        <f t="shared" si="18"/>
        <v>#VALUE!</v>
      </c>
      <c r="P37" s="46" t="str">
        <f t="shared" si="16"/>
        <v>#VALUE!</v>
      </c>
      <c r="Q37" s="140"/>
      <c r="R37" s="77" t="str">
        <f t="shared" si="13"/>
        <v>#VALUE!</v>
      </c>
      <c r="AL37" s="49"/>
      <c r="AM37" s="49"/>
      <c r="AN37" s="49">
        <v>-0.5</v>
      </c>
      <c r="AO37" s="49">
        <v>-0.5</v>
      </c>
      <c r="AP37" s="49"/>
      <c r="AR37" s="127"/>
      <c r="BA37" s="127" t="str">
        <f>IFERROR(__xludf.DUMMYFUNCTION("SPLIT(AW37,""*"")"),"#VALUE!")</f>
        <v>#VALUE!</v>
      </c>
    </row>
    <row r="38">
      <c r="A38" s="73"/>
      <c r="B38" s="73"/>
      <c r="C38" s="73"/>
      <c r="D38" s="73"/>
      <c r="E38" s="73"/>
      <c r="F38" s="77"/>
      <c r="G38" s="77"/>
      <c r="H38" s="73"/>
      <c r="I38" s="77" t="str">
        <f t="shared" si="5"/>
        <v>#VALUE!</v>
      </c>
      <c r="J38" s="77" t="str">
        <f t="shared" si="6"/>
        <v>#DIV/0!</v>
      </c>
      <c r="K38" s="83" t="str">
        <f t="shared" si="7"/>
        <v>#VALUE!</v>
      </c>
      <c r="L38" s="83" t="str">
        <f t="shared" si="8"/>
        <v>#DIV/0!</v>
      </c>
      <c r="M38" s="77" t="str">
        <f t="shared" si="9"/>
        <v>#VALUE!</v>
      </c>
      <c r="N38" s="77" t="str">
        <f t="shared" si="10"/>
        <v>#VALUE!</v>
      </c>
      <c r="O38" s="77" t="str">
        <f t="shared" si="18"/>
        <v>#VALUE!</v>
      </c>
      <c r="P38" s="46" t="str">
        <f t="shared" si="16"/>
        <v>#VALUE!</v>
      </c>
      <c r="Q38" s="140"/>
      <c r="R38" s="77" t="str">
        <f t="shared" si="13"/>
        <v>#VALUE!</v>
      </c>
      <c r="AL38" s="49"/>
      <c r="AM38" s="49"/>
      <c r="AN38" s="49">
        <v>-0.5</v>
      </c>
      <c r="AO38" s="49">
        <v>-0.5</v>
      </c>
      <c r="AP38" s="49"/>
      <c r="AR38" s="127"/>
    </row>
    <row r="39">
      <c r="A39" s="73"/>
      <c r="B39" s="73"/>
      <c r="C39" s="73"/>
      <c r="D39" s="73"/>
      <c r="E39" s="73"/>
      <c r="F39" s="77"/>
      <c r="G39" s="77"/>
      <c r="H39" s="73"/>
      <c r="I39" s="77" t="str">
        <f t="shared" si="5"/>
        <v>#VALUE!</v>
      </c>
      <c r="J39" s="77" t="str">
        <f t="shared" si="6"/>
        <v>#DIV/0!</v>
      </c>
      <c r="K39" s="83" t="str">
        <f t="shared" si="7"/>
        <v>#VALUE!</v>
      </c>
      <c r="L39" s="83" t="str">
        <f t="shared" si="8"/>
        <v>#DIV/0!</v>
      </c>
      <c r="M39" s="77" t="str">
        <f t="shared" si="9"/>
        <v>#VALUE!</v>
      </c>
      <c r="N39" s="77" t="str">
        <f t="shared" si="10"/>
        <v>#VALUE!</v>
      </c>
      <c r="O39" s="77" t="str">
        <f t="shared" si="18"/>
        <v>#VALUE!</v>
      </c>
      <c r="P39" s="46" t="str">
        <f t="shared" si="16"/>
        <v>#VALUE!</v>
      </c>
      <c r="Q39" s="140"/>
      <c r="R39" s="77" t="str">
        <f t="shared" si="13"/>
        <v>#VALUE!</v>
      </c>
      <c r="AL39" s="49"/>
      <c r="AM39" s="49"/>
      <c r="AN39" s="49">
        <v>-0.5</v>
      </c>
      <c r="AO39" s="49">
        <v>-0.5</v>
      </c>
      <c r="AP39" s="49"/>
      <c r="AR39" s="127"/>
    </row>
    <row r="40">
      <c r="A40" s="73"/>
      <c r="B40" s="73"/>
      <c r="C40" s="73"/>
      <c r="D40" s="73"/>
      <c r="E40" s="73"/>
      <c r="F40" s="77"/>
      <c r="G40" s="77"/>
      <c r="H40" s="73"/>
      <c r="I40" s="77" t="str">
        <f t="shared" si="5"/>
        <v>#VALUE!</v>
      </c>
      <c r="J40" s="77" t="str">
        <f t="shared" si="6"/>
        <v>#DIV/0!</v>
      </c>
      <c r="K40" s="83" t="str">
        <f t="shared" si="7"/>
        <v>#VALUE!</v>
      </c>
      <c r="L40" s="83" t="str">
        <f t="shared" si="8"/>
        <v>#DIV/0!</v>
      </c>
      <c r="M40" s="77" t="str">
        <f t="shared" si="9"/>
        <v>#VALUE!</v>
      </c>
      <c r="N40" s="77" t="str">
        <f t="shared" si="10"/>
        <v>#VALUE!</v>
      </c>
      <c r="O40" s="77" t="str">
        <f t="shared" si="18"/>
        <v>#VALUE!</v>
      </c>
      <c r="P40" s="46" t="str">
        <f t="shared" si="16"/>
        <v>#VALUE!</v>
      </c>
      <c r="Q40" s="140"/>
      <c r="R40" s="77" t="str">
        <f t="shared" si="13"/>
        <v>#VALUE!</v>
      </c>
      <c r="AL40" s="49"/>
      <c r="AM40" s="49"/>
      <c r="AN40" s="49">
        <v>-0.5</v>
      </c>
      <c r="AO40" s="49">
        <v>-0.5</v>
      </c>
      <c r="AP40" s="49"/>
      <c r="AR40" s="127"/>
    </row>
    <row r="41">
      <c r="A41" s="73"/>
      <c r="B41" s="73"/>
      <c r="C41" s="73"/>
      <c r="D41" s="73"/>
      <c r="E41" s="73"/>
      <c r="F41" s="77"/>
      <c r="G41" s="77"/>
      <c r="H41" s="73"/>
      <c r="I41" s="77" t="str">
        <f t="shared" si="5"/>
        <v>#VALUE!</v>
      </c>
      <c r="J41" s="77" t="str">
        <f t="shared" si="6"/>
        <v>#DIV/0!</v>
      </c>
      <c r="K41" s="83" t="str">
        <f t="shared" si="7"/>
        <v>#VALUE!</v>
      </c>
      <c r="L41" s="83" t="str">
        <f t="shared" si="8"/>
        <v>#DIV/0!</v>
      </c>
      <c r="M41" s="77" t="str">
        <f t="shared" si="9"/>
        <v>#VALUE!</v>
      </c>
      <c r="N41" s="77" t="str">
        <f t="shared" si="10"/>
        <v>#VALUE!</v>
      </c>
      <c r="O41" s="77" t="str">
        <f t="shared" si="18"/>
        <v>#VALUE!</v>
      </c>
      <c r="P41" s="46" t="str">
        <f t="shared" si="16"/>
        <v>#VALUE!</v>
      </c>
      <c r="Q41" s="140"/>
      <c r="R41" s="77" t="str">
        <f t="shared" si="13"/>
        <v>#VALUE!</v>
      </c>
      <c r="AL41" s="49"/>
      <c r="AM41" s="49"/>
      <c r="AN41" s="49">
        <v>-0.5</v>
      </c>
      <c r="AO41" s="49">
        <v>-0.5</v>
      </c>
      <c r="AP41" s="49"/>
      <c r="AR41" s="127"/>
    </row>
    <row r="42">
      <c r="A42" s="73"/>
      <c r="B42" s="73"/>
      <c r="C42" s="73"/>
      <c r="D42" s="73"/>
      <c r="E42" s="73"/>
      <c r="F42" s="77"/>
      <c r="G42" s="77"/>
      <c r="H42" s="73"/>
      <c r="I42" s="77" t="str">
        <f t="shared" si="5"/>
        <v>#VALUE!</v>
      </c>
      <c r="J42" s="77" t="str">
        <f t="shared" si="6"/>
        <v>#DIV/0!</v>
      </c>
      <c r="K42" s="83" t="str">
        <f t="shared" si="7"/>
        <v>#VALUE!</v>
      </c>
      <c r="L42" s="83" t="str">
        <f t="shared" si="8"/>
        <v>#DIV/0!</v>
      </c>
      <c r="M42" s="77" t="str">
        <f t="shared" si="9"/>
        <v>#VALUE!</v>
      </c>
      <c r="N42" s="77" t="str">
        <f t="shared" si="10"/>
        <v>#VALUE!</v>
      </c>
      <c r="O42" s="77" t="str">
        <f t="shared" si="18"/>
        <v>#VALUE!</v>
      </c>
      <c r="P42" s="46" t="str">
        <f t="shared" si="16"/>
        <v>#VALUE!</v>
      </c>
      <c r="Q42" s="140"/>
      <c r="R42" s="77" t="str">
        <f t="shared" si="13"/>
        <v>#VALUE!</v>
      </c>
      <c r="AL42" s="49"/>
      <c r="AM42" s="49"/>
      <c r="AN42" s="49">
        <v>-0.5</v>
      </c>
      <c r="AO42" s="49">
        <v>-0.5</v>
      </c>
      <c r="AP42" s="49"/>
      <c r="AR42" s="127"/>
    </row>
    <row r="43">
      <c r="A43" s="73"/>
      <c r="B43" s="73"/>
      <c r="C43" s="73"/>
      <c r="D43" s="73"/>
      <c r="E43" s="73"/>
      <c r="F43" s="77"/>
      <c r="G43" s="77"/>
      <c r="H43" s="73"/>
      <c r="I43" s="77" t="str">
        <f t="shared" si="5"/>
        <v>#VALUE!</v>
      </c>
      <c r="J43" s="77" t="str">
        <f t="shared" si="6"/>
        <v>#DIV/0!</v>
      </c>
      <c r="K43" s="83" t="str">
        <f t="shared" si="7"/>
        <v>#VALUE!</v>
      </c>
      <c r="L43" s="83" t="str">
        <f t="shared" si="8"/>
        <v>#DIV/0!</v>
      </c>
      <c r="M43" s="77" t="str">
        <f t="shared" si="9"/>
        <v>#VALUE!</v>
      </c>
      <c r="N43" s="77" t="str">
        <f t="shared" si="10"/>
        <v>#VALUE!</v>
      </c>
      <c r="O43" s="77" t="str">
        <f t="shared" si="18"/>
        <v>#VALUE!</v>
      </c>
      <c r="P43" s="46" t="str">
        <f t="shared" si="16"/>
        <v>#VALUE!</v>
      </c>
      <c r="Q43" s="140"/>
      <c r="R43" s="77" t="str">
        <f t="shared" si="13"/>
        <v>#VALUE!</v>
      </c>
      <c r="AL43" s="49"/>
      <c r="AM43" s="49"/>
      <c r="AN43" s="49">
        <v>-0.5</v>
      </c>
      <c r="AO43" s="49">
        <v>-0.5</v>
      </c>
      <c r="AP43" s="49"/>
      <c r="AR43" s="127"/>
    </row>
    <row r="44">
      <c r="A44" s="73"/>
      <c r="B44" s="73"/>
      <c r="C44" s="73"/>
      <c r="D44" s="73"/>
      <c r="E44" s="73"/>
      <c r="F44" s="77"/>
      <c r="G44" s="77"/>
      <c r="H44" s="73"/>
      <c r="I44" s="77" t="str">
        <f t="shared" si="5"/>
        <v>#VALUE!</v>
      </c>
      <c r="J44" s="77" t="str">
        <f t="shared" si="6"/>
        <v>#DIV/0!</v>
      </c>
      <c r="K44" s="83" t="str">
        <f t="shared" si="7"/>
        <v>#VALUE!</v>
      </c>
      <c r="L44" s="83" t="str">
        <f t="shared" si="8"/>
        <v>#DIV/0!</v>
      </c>
      <c r="M44" s="77" t="str">
        <f t="shared" si="9"/>
        <v>#VALUE!</v>
      </c>
      <c r="N44" s="77" t="str">
        <f t="shared" si="10"/>
        <v>#VALUE!</v>
      </c>
      <c r="O44" s="77" t="str">
        <f t="shared" si="18"/>
        <v>#VALUE!</v>
      </c>
      <c r="P44" s="46" t="str">
        <f t="shared" si="16"/>
        <v>#VALUE!</v>
      </c>
      <c r="Q44" s="140"/>
      <c r="R44" s="77" t="str">
        <f t="shared" si="13"/>
        <v>#VALUE!</v>
      </c>
      <c r="AL44" s="49"/>
      <c r="AM44" s="49"/>
      <c r="AN44" s="49">
        <v>-0.5</v>
      </c>
      <c r="AO44" s="49">
        <v>-0.5</v>
      </c>
      <c r="AP44" s="49"/>
      <c r="AR44" s="127"/>
    </row>
    <row r="45">
      <c r="A45" s="73"/>
      <c r="B45" s="73"/>
      <c r="C45" s="73"/>
      <c r="D45" s="73"/>
      <c r="E45" s="73"/>
      <c r="F45" s="77"/>
      <c r="G45" s="77"/>
      <c r="H45" s="73"/>
      <c r="I45" s="77" t="str">
        <f t="shared" si="5"/>
        <v>#VALUE!</v>
      </c>
      <c r="J45" s="77" t="str">
        <f t="shared" si="6"/>
        <v>#DIV/0!</v>
      </c>
      <c r="K45" s="83" t="str">
        <f t="shared" si="7"/>
        <v>#VALUE!</v>
      </c>
      <c r="L45" s="83" t="str">
        <f t="shared" si="8"/>
        <v>#DIV/0!</v>
      </c>
      <c r="M45" s="77" t="str">
        <f t="shared" si="9"/>
        <v>#VALUE!</v>
      </c>
      <c r="N45" s="77" t="str">
        <f t="shared" si="10"/>
        <v>#VALUE!</v>
      </c>
      <c r="O45" s="77" t="str">
        <f t="shared" si="18"/>
        <v>#VALUE!</v>
      </c>
      <c r="P45" s="46" t="str">
        <f t="shared" si="16"/>
        <v>#VALUE!</v>
      </c>
      <c r="Q45" s="140"/>
      <c r="R45" s="77" t="str">
        <f t="shared" si="13"/>
        <v>#VALUE!</v>
      </c>
      <c r="AL45" s="49"/>
      <c r="AM45" s="49"/>
      <c r="AN45" s="49">
        <v>-0.5</v>
      </c>
      <c r="AO45" s="49">
        <v>-0.5</v>
      </c>
      <c r="AP45" s="49"/>
      <c r="AR45" s="127"/>
    </row>
    <row r="46">
      <c r="A46" s="73"/>
      <c r="B46" s="73"/>
      <c r="C46" s="73"/>
      <c r="D46" s="73"/>
      <c r="E46" s="73"/>
      <c r="F46" s="77"/>
      <c r="G46" s="77"/>
      <c r="H46" s="73"/>
      <c r="I46" s="77" t="str">
        <f t="shared" si="5"/>
        <v>#VALUE!</v>
      </c>
      <c r="J46" s="77" t="str">
        <f t="shared" si="6"/>
        <v>#DIV/0!</v>
      </c>
      <c r="K46" s="83" t="str">
        <f t="shared" si="7"/>
        <v>#VALUE!</v>
      </c>
      <c r="L46" s="83" t="str">
        <f t="shared" si="8"/>
        <v>#DIV/0!</v>
      </c>
      <c r="M46" s="77" t="str">
        <f t="shared" si="9"/>
        <v>#VALUE!</v>
      </c>
      <c r="N46" s="77" t="str">
        <f t="shared" si="10"/>
        <v>#VALUE!</v>
      </c>
      <c r="O46" s="77" t="str">
        <f t="shared" si="18"/>
        <v>#VALUE!</v>
      </c>
      <c r="P46" s="46" t="str">
        <f t="shared" si="16"/>
        <v>#VALUE!</v>
      </c>
      <c r="Q46" s="140"/>
      <c r="R46" s="77" t="str">
        <f t="shared" si="13"/>
        <v>#VALUE!</v>
      </c>
      <c r="T46" s="33" t="str">
        <f>IFERROR(__xludf.DUMMYFUNCTION("QUERY(D10:H630,X8)"),"#VALUE!")</f>
        <v>#VALUE!</v>
      </c>
      <c r="AL46" s="49"/>
      <c r="AM46" s="49"/>
      <c r="AN46" s="49">
        <v>-0.5</v>
      </c>
      <c r="AO46" s="49">
        <v>-0.5</v>
      </c>
      <c r="AP46" s="49"/>
      <c r="AR46" s="127"/>
    </row>
    <row r="47">
      <c r="A47" s="73"/>
      <c r="B47" s="73"/>
      <c r="C47" s="73"/>
      <c r="D47" s="73"/>
      <c r="E47" s="73"/>
      <c r="F47" s="77"/>
      <c r="G47" s="77"/>
      <c r="H47" s="73"/>
      <c r="I47" s="77" t="str">
        <f t="shared" si="5"/>
        <v>#VALUE!</v>
      </c>
      <c r="J47" s="77" t="str">
        <f t="shared" si="6"/>
        <v>#DIV/0!</v>
      </c>
      <c r="K47" s="83" t="str">
        <f t="shared" si="7"/>
        <v>#VALUE!</v>
      </c>
      <c r="L47" s="83" t="str">
        <f t="shared" si="8"/>
        <v>#DIV/0!</v>
      </c>
      <c r="M47" s="77" t="str">
        <f t="shared" si="9"/>
        <v>#VALUE!</v>
      </c>
      <c r="N47" s="77" t="str">
        <f t="shared" si="10"/>
        <v>#VALUE!</v>
      </c>
      <c r="O47" s="77" t="str">
        <f t="shared" si="18"/>
        <v>#VALUE!</v>
      </c>
      <c r="P47" s="46" t="str">
        <f t="shared" si="16"/>
        <v>#VALUE!</v>
      </c>
      <c r="Q47" s="140"/>
      <c r="R47" s="77" t="str">
        <f t="shared" si="13"/>
        <v>#VALUE!</v>
      </c>
      <c r="AL47" s="49"/>
      <c r="AM47" s="49"/>
      <c r="AN47" s="49">
        <v>-0.5</v>
      </c>
      <c r="AO47" s="49">
        <v>-0.5</v>
      </c>
      <c r="AP47" s="49"/>
      <c r="AR47" s="127"/>
    </row>
    <row r="48">
      <c r="A48" s="73"/>
      <c r="B48" s="73"/>
      <c r="C48" s="73"/>
      <c r="D48" s="73"/>
      <c r="E48" s="73"/>
      <c r="F48" s="77"/>
      <c r="G48" s="77"/>
      <c r="H48" s="73"/>
      <c r="I48" s="77" t="str">
        <f t="shared" si="5"/>
        <v>#VALUE!</v>
      </c>
      <c r="J48" s="77" t="str">
        <f t="shared" si="6"/>
        <v>#DIV/0!</v>
      </c>
      <c r="K48" s="83" t="str">
        <f t="shared" si="7"/>
        <v>#VALUE!</v>
      </c>
      <c r="L48" s="83" t="str">
        <f t="shared" si="8"/>
        <v>#DIV/0!</v>
      </c>
      <c r="M48" s="77" t="str">
        <f t="shared" si="9"/>
        <v>#VALUE!</v>
      </c>
      <c r="N48" s="77" t="str">
        <f t="shared" si="10"/>
        <v>#VALUE!</v>
      </c>
      <c r="O48" s="77" t="str">
        <f t="shared" si="18"/>
        <v>#VALUE!</v>
      </c>
      <c r="P48" s="46" t="str">
        <f t="shared" si="16"/>
        <v>#VALUE!</v>
      </c>
      <c r="Q48" s="140"/>
      <c r="R48" s="77" t="str">
        <f t="shared" si="13"/>
        <v>#VALUE!</v>
      </c>
      <c r="AL48" s="49"/>
      <c r="AM48" s="49"/>
      <c r="AN48" s="49">
        <v>-0.5</v>
      </c>
      <c r="AO48" s="49">
        <v>-0.5</v>
      </c>
      <c r="AP48" s="49"/>
      <c r="AR48" s="127"/>
    </row>
    <row r="49">
      <c r="A49" s="73"/>
      <c r="B49" s="73"/>
      <c r="C49" s="73"/>
      <c r="D49" s="73"/>
      <c r="E49" s="73"/>
      <c r="F49" s="77"/>
      <c r="G49" s="77"/>
      <c r="H49" s="73"/>
      <c r="I49" s="77" t="str">
        <f t="shared" si="5"/>
        <v>#VALUE!</v>
      </c>
      <c r="J49" s="77" t="str">
        <f t="shared" si="6"/>
        <v>#DIV/0!</v>
      </c>
      <c r="K49" s="83" t="str">
        <f t="shared" si="7"/>
        <v>#VALUE!</v>
      </c>
      <c r="L49" s="83" t="str">
        <f t="shared" si="8"/>
        <v>#DIV/0!</v>
      </c>
      <c r="M49" s="77" t="str">
        <f t="shared" si="9"/>
        <v>#VALUE!</v>
      </c>
      <c r="N49" s="77" t="str">
        <f t="shared" si="10"/>
        <v>#VALUE!</v>
      </c>
      <c r="O49" s="77" t="str">
        <f t="shared" si="18"/>
        <v>#VALUE!</v>
      </c>
      <c r="P49" s="46" t="str">
        <f t="shared" si="16"/>
        <v>#VALUE!</v>
      </c>
      <c r="Q49" s="140"/>
      <c r="R49" s="77" t="str">
        <f t="shared" si="13"/>
        <v>#VALUE!</v>
      </c>
      <c r="AL49" s="49"/>
      <c r="AM49" s="49"/>
      <c r="AN49" s="49">
        <v>-0.5</v>
      </c>
      <c r="AO49" s="49">
        <v>-0.5</v>
      </c>
      <c r="AP49" s="49"/>
      <c r="AR49" s="127"/>
    </row>
    <row r="50">
      <c r="A50" s="73"/>
      <c r="B50" s="73"/>
      <c r="C50" s="73"/>
      <c r="D50" s="73"/>
      <c r="E50" s="73"/>
      <c r="F50" s="77"/>
      <c r="G50" s="77"/>
      <c r="H50" s="73"/>
      <c r="I50" s="77" t="str">
        <f t="shared" si="5"/>
        <v>#VALUE!</v>
      </c>
      <c r="J50" s="77" t="str">
        <f t="shared" si="6"/>
        <v>#DIV/0!</v>
      </c>
      <c r="K50" s="83" t="str">
        <f t="shared" si="7"/>
        <v>#VALUE!</v>
      </c>
      <c r="L50" s="83" t="str">
        <f t="shared" si="8"/>
        <v>#DIV/0!</v>
      </c>
      <c r="M50" s="77" t="str">
        <f t="shared" si="9"/>
        <v>#VALUE!</v>
      </c>
      <c r="N50" s="77" t="str">
        <f t="shared" si="10"/>
        <v>#VALUE!</v>
      </c>
      <c r="O50" s="77" t="str">
        <f t="shared" si="18"/>
        <v>#VALUE!</v>
      </c>
      <c r="P50" s="46" t="str">
        <f t="shared" si="16"/>
        <v>#VALUE!</v>
      </c>
      <c r="Q50" s="140"/>
      <c r="R50" s="77" t="str">
        <f t="shared" si="13"/>
        <v>#VALUE!</v>
      </c>
      <c r="AL50" s="49"/>
      <c r="AM50" s="49"/>
      <c r="AN50" s="49">
        <v>-0.5</v>
      </c>
      <c r="AO50" s="49">
        <v>-0.5</v>
      </c>
      <c r="AP50" s="49"/>
      <c r="AR50" s="127"/>
    </row>
    <row r="51">
      <c r="A51" s="73"/>
      <c r="B51" s="73"/>
      <c r="C51" s="73"/>
      <c r="D51" s="73"/>
      <c r="E51" s="73"/>
      <c r="F51" s="77"/>
      <c r="G51" s="77"/>
      <c r="H51" s="73"/>
      <c r="I51" s="77" t="str">
        <f t="shared" si="5"/>
        <v>#VALUE!</v>
      </c>
      <c r="J51" s="77" t="str">
        <f t="shared" si="6"/>
        <v>#DIV/0!</v>
      </c>
      <c r="K51" s="83" t="str">
        <f t="shared" si="7"/>
        <v>#VALUE!</v>
      </c>
      <c r="L51" s="83" t="str">
        <f t="shared" si="8"/>
        <v>#DIV/0!</v>
      </c>
      <c r="M51" s="77" t="str">
        <f t="shared" si="9"/>
        <v>#VALUE!</v>
      </c>
      <c r="N51" s="77" t="str">
        <f t="shared" si="10"/>
        <v>#VALUE!</v>
      </c>
      <c r="O51" s="77" t="str">
        <f t="shared" si="18"/>
        <v>#VALUE!</v>
      </c>
      <c r="P51" s="46" t="str">
        <f t="shared" si="16"/>
        <v>#VALUE!</v>
      </c>
      <c r="Q51" s="140"/>
      <c r="R51" s="77" t="str">
        <f t="shared" si="13"/>
        <v>#VALUE!</v>
      </c>
      <c r="AL51" s="49"/>
      <c r="AM51" s="49"/>
      <c r="AN51" s="49">
        <v>-0.5</v>
      </c>
      <c r="AO51" s="49">
        <v>-0.5</v>
      </c>
      <c r="AP51" s="49"/>
      <c r="AR51" s="127"/>
    </row>
    <row r="52">
      <c r="A52" s="73"/>
      <c r="B52" s="73"/>
      <c r="C52" s="73"/>
      <c r="D52" s="73"/>
      <c r="E52" s="73"/>
      <c r="F52" s="77"/>
      <c r="G52" s="77"/>
      <c r="H52" s="73"/>
      <c r="I52" s="77" t="str">
        <f t="shared" si="5"/>
        <v>#VALUE!</v>
      </c>
      <c r="J52" s="77" t="str">
        <f t="shared" si="6"/>
        <v>#DIV/0!</v>
      </c>
      <c r="K52" s="83" t="str">
        <f t="shared" si="7"/>
        <v>#VALUE!</v>
      </c>
      <c r="L52" s="83" t="str">
        <f t="shared" si="8"/>
        <v>#DIV/0!</v>
      </c>
      <c r="M52" s="77" t="str">
        <f t="shared" si="9"/>
        <v>#VALUE!</v>
      </c>
      <c r="N52" s="77" t="str">
        <f t="shared" si="10"/>
        <v>#VALUE!</v>
      </c>
      <c r="O52" s="77" t="str">
        <f t="shared" si="18"/>
        <v>#VALUE!</v>
      </c>
      <c r="P52" s="46" t="str">
        <f t="shared" si="16"/>
        <v>#VALUE!</v>
      </c>
      <c r="Q52" s="140"/>
      <c r="R52" s="77" t="str">
        <f t="shared" si="13"/>
        <v>#VALUE!</v>
      </c>
      <c r="AL52" s="49"/>
      <c r="AM52" s="49"/>
      <c r="AN52" s="49">
        <v>-0.5</v>
      </c>
      <c r="AO52" s="49">
        <v>-0.5</v>
      </c>
      <c r="AP52" s="49"/>
      <c r="AR52" s="127"/>
    </row>
    <row r="53">
      <c r="A53" s="73"/>
      <c r="B53" s="73"/>
      <c r="C53" s="73"/>
      <c r="D53" s="73"/>
      <c r="E53" s="73"/>
      <c r="F53" s="77"/>
      <c r="G53" s="77"/>
      <c r="H53" s="73"/>
      <c r="I53" s="77" t="str">
        <f t="shared" si="5"/>
        <v>#VALUE!</v>
      </c>
      <c r="J53" s="77" t="str">
        <f t="shared" si="6"/>
        <v>#DIV/0!</v>
      </c>
      <c r="K53" s="83" t="str">
        <f t="shared" si="7"/>
        <v>#VALUE!</v>
      </c>
      <c r="L53" s="83" t="str">
        <f t="shared" si="8"/>
        <v>#DIV/0!</v>
      </c>
      <c r="M53" s="77" t="str">
        <f t="shared" si="9"/>
        <v>#VALUE!</v>
      </c>
      <c r="N53" s="77" t="str">
        <f t="shared" si="10"/>
        <v>#VALUE!</v>
      </c>
      <c r="O53" s="77" t="str">
        <f t="shared" si="18"/>
        <v>#VALUE!</v>
      </c>
      <c r="P53" s="46" t="str">
        <f t="shared" si="16"/>
        <v>#VALUE!</v>
      </c>
      <c r="Q53" s="140"/>
      <c r="R53" s="77" t="str">
        <f t="shared" si="13"/>
        <v>#VALUE!</v>
      </c>
      <c r="AL53" s="49"/>
      <c r="AM53" s="49"/>
      <c r="AN53" s="49">
        <v>-0.5</v>
      </c>
      <c r="AO53" s="49">
        <v>-0.5</v>
      </c>
      <c r="AP53" s="49"/>
      <c r="AR53" s="127"/>
    </row>
    <row r="54">
      <c r="A54" s="73"/>
      <c r="B54" s="73"/>
      <c r="C54" s="73"/>
      <c r="D54" s="73"/>
      <c r="E54" s="73"/>
      <c r="F54" s="77"/>
      <c r="G54" s="77"/>
      <c r="H54" s="73"/>
      <c r="I54" s="77" t="str">
        <f t="shared" si="5"/>
        <v>#VALUE!</v>
      </c>
      <c r="J54" s="77" t="str">
        <f t="shared" si="6"/>
        <v>#DIV/0!</v>
      </c>
      <c r="K54" s="83" t="str">
        <f t="shared" si="7"/>
        <v>#VALUE!</v>
      </c>
      <c r="L54" s="83" t="str">
        <f t="shared" si="8"/>
        <v>#DIV/0!</v>
      </c>
      <c r="M54" s="77" t="str">
        <f t="shared" si="9"/>
        <v>#VALUE!</v>
      </c>
      <c r="N54" s="77" t="str">
        <f t="shared" si="10"/>
        <v>#VALUE!</v>
      </c>
      <c r="O54" s="77" t="str">
        <f t="shared" si="18"/>
        <v>#VALUE!</v>
      </c>
      <c r="P54" s="46" t="str">
        <f t="shared" si="16"/>
        <v>#VALUE!</v>
      </c>
      <c r="Q54" s="140"/>
      <c r="R54" s="77" t="str">
        <f t="shared" si="13"/>
        <v>#VALUE!</v>
      </c>
      <c r="AL54" s="49"/>
      <c r="AM54" s="49"/>
      <c r="AN54" s="49">
        <v>-0.5</v>
      </c>
      <c r="AO54" s="49">
        <v>-0.5</v>
      </c>
      <c r="AP54" s="49"/>
      <c r="AR54" s="127"/>
    </row>
    <row r="55">
      <c r="A55" s="73"/>
      <c r="B55" s="73"/>
      <c r="C55" s="73"/>
      <c r="D55" s="73"/>
      <c r="E55" s="73"/>
      <c r="F55" s="77"/>
      <c r="G55" s="77"/>
      <c r="H55" s="73"/>
      <c r="I55" s="77" t="str">
        <f t="shared" si="5"/>
        <v>#VALUE!</v>
      </c>
      <c r="J55" s="77" t="str">
        <f t="shared" si="6"/>
        <v>#DIV/0!</v>
      </c>
      <c r="K55" s="83" t="str">
        <f t="shared" si="7"/>
        <v>#VALUE!</v>
      </c>
      <c r="L55" s="83" t="str">
        <f t="shared" si="8"/>
        <v>#DIV/0!</v>
      </c>
      <c r="M55" s="77" t="str">
        <f t="shared" si="9"/>
        <v>#VALUE!</v>
      </c>
      <c r="N55" s="77" t="str">
        <f t="shared" si="10"/>
        <v>#VALUE!</v>
      </c>
      <c r="O55" s="77" t="str">
        <f t="shared" si="18"/>
        <v>#VALUE!</v>
      </c>
      <c r="P55" s="46" t="str">
        <f t="shared" si="16"/>
        <v>#VALUE!</v>
      </c>
      <c r="Q55" s="140"/>
      <c r="R55" s="77" t="str">
        <f t="shared" si="13"/>
        <v>#VALUE!</v>
      </c>
      <c r="AL55" s="49"/>
      <c r="AM55" s="49"/>
      <c r="AN55" s="49">
        <v>-0.5</v>
      </c>
      <c r="AO55" s="49">
        <v>-0.5</v>
      </c>
      <c r="AP55" s="49"/>
      <c r="AR55" s="127"/>
    </row>
    <row r="56">
      <c r="A56" s="73"/>
      <c r="B56" s="73"/>
      <c r="C56" s="73"/>
      <c r="D56" s="73"/>
      <c r="E56" s="73"/>
      <c r="F56" s="77"/>
      <c r="G56" s="77"/>
      <c r="H56" s="73"/>
      <c r="I56" s="77" t="str">
        <f t="shared" si="5"/>
        <v>#VALUE!</v>
      </c>
      <c r="J56" s="77" t="str">
        <f t="shared" si="6"/>
        <v>#DIV/0!</v>
      </c>
      <c r="K56" s="83" t="str">
        <f t="shared" si="7"/>
        <v>#VALUE!</v>
      </c>
      <c r="L56" s="83" t="str">
        <f t="shared" si="8"/>
        <v>#DIV/0!</v>
      </c>
      <c r="M56" s="77" t="str">
        <f t="shared" si="9"/>
        <v>#VALUE!</v>
      </c>
      <c r="N56" s="77" t="str">
        <f t="shared" si="10"/>
        <v>#VALUE!</v>
      </c>
      <c r="O56" s="77" t="str">
        <f t="shared" si="18"/>
        <v>#VALUE!</v>
      </c>
      <c r="P56" s="46" t="str">
        <f t="shared" si="16"/>
        <v>#VALUE!</v>
      </c>
      <c r="Q56" s="140"/>
      <c r="R56" s="77" t="str">
        <f t="shared" si="13"/>
        <v>#VALUE!</v>
      </c>
      <c r="AL56" s="49"/>
      <c r="AM56" s="49"/>
      <c r="AN56" s="49">
        <v>-0.5</v>
      </c>
      <c r="AO56" s="49">
        <v>-0.5</v>
      </c>
      <c r="AP56" s="49"/>
      <c r="AR56" s="127"/>
    </row>
    <row r="57">
      <c r="A57" s="73"/>
      <c r="B57" s="73"/>
      <c r="C57" s="73"/>
      <c r="D57" s="73"/>
      <c r="E57" s="73"/>
      <c r="F57" s="77"/>
      <c r="G57" s="77"/>
      <c r="H57" s="73"/>
      <c r="I57" s="77" t="str">
        <f t="shared" si="5"/>
        <v>#VALUE!</v>
      </c>
      <c r="J57" s="77" t="str">
        <f t="shared" si="6"/>
        <v>#DIV/0!</v>
      </c>
      <c r="K57" s="83" t="str">
        <f t="shared" si="7"/>
        <v>#VALUE!</v>
      </c>
      <c r="L57" s="83" t="str">
        <f t="shared" si="8"/>
        <v>#DIV/0!</v>
      </c>
      <c r="M57" s="77" t="str">
        <f t="shared" si="9"/>
        <v>#VALUE!</v>
      </c>
      <c r="N57" s="77" t="str">
        <f t="shared" si="10"/>
        <v>#VALUE!</v>
      </c>
      <c r="O57" s="77" t="str">
        <f t="shared" si="18"/>
        <v>#VALUE!</v>
      </c>
      <c r="P57" s="46" t="str">
        <f t="shared" si="16"/>
        <v>#VALUE!</v>
      </c>
      <c r="Q57" s="140"/>
      <c r="R57" s="77" t="str">
        <f t="shared" si="13"/>
        <v>#VALUE!</v>
      </c>
      <c r="AL57" s="49"/>
      <c r="AM57" s="49"/>
      <c r="AN57" s="49">
        <v>-0.5</v>
      </c>
      <c r="AO57" s="49">
        <v>-0.5</v>
      </c>
      <c r="AP57" s="49"/>
      <c r="AR57" s="127"/>
    </row>
    <row r="58">
      <c r="A58" s="73"/>
      <c r="B58" s="73"/>
      <c r="C58" s="73"/>
      <c r="D58" s="73"/>
      <c r="E58" s="73"/>
      <c r="F58" s="77"/>
      <c r="G58" s="77"/>
      <c r="H58" s="73"/>
      <c r="I58" s="77" t="str">
        <f t="shared" si="5"/>
        <v>#VALUE!</v>
      </c>
      <c r="J58" s="77" t="str">
        <f t="shared" si="6"/>
        <v>#DIV/0!</v>
      </c>
      <c r="K58" s="83" t="str">
        <f t="shared" si="7"/>
        <v>#VALUE!</v>
      </c>
      <c r="L58" s="83" t="str">
        <f t="shared" si="8"/>
        <v>#DIV/0!</v>
      </c>
      <c r="M58" s="77" t="str">
        <f t="shared" si="9"/>
        <v>#VALUE!</v>
      </c>
      <c r="N58" s="77" t="str">
        <f t="shared" si="10"/>
        <v>#VALUE!</v>
      </c>
      <c r="O58" s="77" t="str">
        <f t="shared" si="18"/>
        <v>#VALUE!</v>
      </c>
      <c r="P58" s="46" t="str">
        <f t="shared" si="16"/>
        <v>#VALUE!</v>
      </c>
      <c r="Q58" s="140"/>
      <c r="R58" s="77" t="str">
        <f t="shared" si="13"/>
        <v>#VALUE!</v>
      </c>
      <c r="AL58" s="49"/>
      <c r="AM58" s="49"/>
      <c r="AN58" s="49">
        <v>-0.5</v>
      </c>
      <c r="AO58" s="49">
        <v>-0.5</v>
      </c>
      <c r="AP58" s="49"/>
      <c r="AR58" s="127"/>
    </row>
    <row r="59">
      <c r="A59" s="73"/>
      <c r="B59" s="73"/>
      <c r="C59" s="73"/>
      <c r="D59" s="73"/>
      <c r="E59" s="73"/>
      <c r="F59" s="77"/>
      <c r="G59" s="77"/>
      <c r="H59" s="73"/>
      <c r="I59" s="77" t="str">
        <f t="shared" si="5"/>
        <v>#VALUE!</v>
      </c>
      <c r="J59" s="77" t="str">
        <f t="shared" si="6"/>
        <v>#DIV/0!</v>
      </c>
      <c r="K59" s="83" t="str">
        <f t="shared" si="7"/>
        <v>#VALUE!</v>
      </c>
      <c r="L59" s="83" t="str">
        <f t="shared" si="8"/>
        <v>#DIV/0!</v>
      </c>
      <c r="M59" s="77" t="str">
        <f t="shared" si="9"/>
        <v>#VALUE!</v>
      </c>
      <c r="N59" s="77" t="str">
        <f t="shared" si="10"/>
        <v>#VALUE!</v>
      </c>
      <c r="O59" s="77" t="str">
        <f t="shared" si="18"/>
        <v>#VALUE!</v>
      </c>
      <c r="P59" s="46" t="str">
        <f t="shared" si="16"/>
        <v>#VALUE!</v>
      </c>
      <c r="Q59" s="140"/>
      <c r="R59" s="77" t="str">
        <f t="shared" si="13"/>
        <v>#VALUE!</v>
      </c>
      <c r="AL59" s="49"/>
      <c r="AM59" s="49"/>
      <c r="AN59" s="49">
        <v>-0.5</v>
      </c>
      <c r="AO59" s="49">
        <v>-0.5</v>
      </c>
      <c r="AP59" s="49"/>
      <c r="AR59" s="127"/>
    </row>
    <row r="60">
      <c r="A60" s="73"/>
      <c r="B60" s="73"/>
      <c r="C60" s="73"/>
      <c r="D60" s="73"/>
      <c r="E60" s="73"/>
      <c r="F60" s="77"/>
      <c r="G60" s="77"/>
      <c r="H60" s="73"/>
      <c r="I60" s="77" t="str">
        <f t="shared" si="5"/>
        <v>#VALUE!</v>
      </c>
      <c r="J60" s="77" t="str">
        <f t="shared" si="6"/>
        <v>#DIV/0!</v>
      </c>
      <c r="K60" s="83" t="str">
        <f t="shared" si="7"/>
        <v>#VALUE!</v>
      </c>
      <c r="L60" s="83" t="str">
        <f t="shared" si="8"/>
        <v>#DIV/0!</v>
      </c>
      <c r="M60" s="77" t="str">
        <f t="shared" si="9"/>
        <v>#VALUE!</v>
      </c>
      <c r="N60" s="77" t="str">
        <f t="shared" si="10"/>
        <v>#VALUE!</v>
      </c>
      <c r="O60" s="77" t="str">
        <f t="shared" si="18"/>
        <v>#VALUE!</v>
      </c>
      <c r="P60" s="46" t="str">
        <f t="shared" si="16"/>
        <v>#VALUE!</v>
      </c>
      <c r="Q60" s="140"/>
      <c r="R60" s="77" t="str">
        <f t="shared" si="13"/>
        <v>#VALUE!</v>
      </c>
      <c r="AL60" s="49"/>
      <c r="AM60" s="49"/>
      <c r="AN60" s="49">
        <v>-0.5</v>
      </c>
      <c r="AO60" s="49">
        <v>-0.5</v>
      </c>
      <c r="AP60" s="49"/>
      <c r="AR60" s="127"/>
    </row>
    <row r="61">
      <c r="A61" s="73"/>
      <c r="B61" s="73"/>
      <c r="C61" s="73"/>
      <c r="D61" s="73"/>
      <c r="E61" s="73"/>
      <c r="F61" s="77"/>
      <c r="G61" s="77"/>
      <c r="H61" s="73"/>
      <c r="I61" s="77" t="str">
        <f t="shared" si="5"/>
        <v>#VALUE!</v>
      </c>
      <c r="J61" s="77" t="str">
        <f t="shared" si="6"/>
        <v>#DIV/0!</v>
      </c>
      <c r="K61" s="83" t="str">
        <f t="shared" si="7"/>
        <v>#VALUE!</v>
      </c>
      <c r="L61" s="83" t="str">
        <f t="shared" si="8"/>
        <v>#DIV/0!</v>
      </c>
      <c r="M61" s="77" t="str">
        <f t="shared" si="9"/>
        <v>#VALUE!</v>
      </c>
      <c r="N61" s="77" t="str">
        <f t="shared" si="10"/>
        <v>#VALUE!</v>
      </c>
      <c r="O61" s="77" t="str">
        <f t="shared" si="18"/>
        <v>#VALUE!</v>
      </c>
      <c r="P61" s="46" t="str">
        <f t="shared" si="16"/>
        <v>#VALUE!</v>
      </c>
      <c r="Q61" s="140"/>
      <c r="R61" s="77" t="str">
        <f t="shared" si="13"/>
        <v>#VALUE!</v>
      </c>
      <c r="AL61" s="49"/>
      <c r="AM61" s="49"/>
      <c r="AN61" s="49">
        <v>-0.5</v>
      </c>
      <c r="AO61" s="49">
        <v>-0.5</v>
      </c>
      <c r="AP61" s="49"/>
      <c r="AR61" s="127"/>
    </row>
    <row r="62">
      <c r="A62" s="73"/>
      <c r="B62" s="73"/>
      <c r="C62" s="73"/>
      <c r="D62" s="73"/>
      <c r="E62" s="73"/>
      <c r="F62" s="77"/>
      <c r="G62" s="77"/>
      <c r="H62" s="73"/>
      <c r="I62" s="77" t="str">
        <f t="shared" si="5"/>
        <v>#VALUE!</v>
      </c>
      <c r="J62" s="77" t="str">
        <f t="shared" si="6"/>
        <v>#DIV/0!</v>
      </c>
      <c r="K62" s="83" t="str">
        <f t="shared" si="7"/>
        <v>#VALUE!</v>
      </c>
      <c r="L62" s="83" t="str">
        <f t="shared" si="8"/>
        <v>#DIV/0!</v>
      </c>
      <c r="M62" s="77" t="str">
        <f t="shared" si="9"/>
        <v>#VALUE!</v>
      </c>
      <c r="N62" s="77" t="str">
        <f t="shared" si="10"/>
        <v>#VALUE!</v>
      </c>
      <c r="O62" s="77" t="str">
        <f t="shared" si="18"/>
        <v>#VALUE!</v>
      </c>
      <c r="P62" s="46" t="str">
        <f t="shared" si="16"/>
        <v>#VALUE!</v>
      </c>
      <c r="Q62" s="140"/>
      <c r="R62" s="77" t="str">
        <f t="shared" si="13"/>
        <v>#VALUE!</v>
      </c>
      <c r="AL62" s="49"/>
      <c r="AM62" s="49"/>
      <c r="AN62" s="49">
        <v>-0.5</v>
      </c>
      <c r="AO62" s="49">
        <v>-0.5</v>
      </c>
      <c r="AP62" s="49"/>
      <c r="AR62" s="127"/>
    </row>
    <row r="63">
      <c r="A63" s="73"/>
      <c r="B63" s="73"/>
      <c r="C63" s="73"/>
      <c r="D63" s="73"/>
      <c r="E63" s="73"/>
      <c r="F63" s="77"/>
      <c r="G63" s="77"/>
      <c r="H63" s="73"/>
      <c r="I63" s="77" t="str">
        <f t="shared" si="5"/>
        <v>#VALUE!</v>
      </c>
      <c r="J63" s="77" t="str">
        <f t="shared" si="6"/>
        <v>#DIV/0!</v>
      </c>
      <c r="K63" s="83" t="str">
        <f t="shared" si="7"/>
        <v>#VALUE!</v>
      </c>
      <c r="L63" s="83" t="str">
        <f t="shared" si="8"/>
        <v>#DIV/0!</v>
      </c>
      <c r="M63" s="77" t="str">
        <f t="shared" si="9"/>
        <v>#VALUE!</v>
      </c>
      <c r="N63" s="77" t="str">
        <f t="shared" si="10"/>
        <v>#VALUE!</v>
      </c>
      <c r="O63" s="77" t="str">
        <f t="shared" si="18"/>
        <v>#VALUE!</v>
      </c>
      <c r="P63" s="46" t="str">
        <f t="shared" si="16"/>
        <v>#VALUE!</v>
      </c>
      <c r="Q63" s="140"/>
      <c r="R63" s="77" t="str">
        <f t="shared" si="13"/>
        <v>#VALUE!</v>
      </c>
      <c r="AL63" s="49"/>
      <c r="AM63" s="49"/>
      <c r="AN63" s="49">
        <v>-0.5</v>
      </c>
      <c r="AO63" s="49">
        <v>-0.5</v>
      </c>
      <c r="AP63" s="49"/>
      <c r="AR63" s="127"/>
    </row>
    <row r="64">
      <c r="A64" s="73"/>
      <c r="B64" s="73"/>
      <c r="C64" s="73"/>
      <c r="D64" s="73"/>
      <c r="E64" s="73"/>
      <c r="F64" s="77"/>
      <c r="G64" s="77"/>
      <c r="H64" s="73"/>
      <c r="I64" s="77" t="str">
        <f t="shared" si="5"/>
        <v>#VALUE!</v>
      </c>
      <c r="J64" s="77" t="str">
        <f t="shared" si="6"/>
        <v>#DIV/0!</v>
      </c>
      <c r="K64" s="83" t="str">
        <f t="shared" si="7"/>
        <v>#VALUE!</v>
      </c>
      <c r="L64" s="83" t="str">
        <f t="shared" si="8"/>
        <v>#DIV/0!</v>
      </c>
      <c r="M64" s="77" t="str">
        <f t="shared" si="9"/>
        <v>#VALUE!</v>
      </c>
      <c r="N64" s="77" t="str">
        <f t="shared" si="10"/>
        <v>#VALUE!</v>
      </c>
      <c r="O64" s="77" t="str">
        <f t="shared" si="18"/>
        <v>#VALUE!</v>
      </c>
      <c r="P64" s="46" t="str">
        <f t="shared" si="16"/>
        <v>#VALUE!</v>
      </c>
      <c r="Q64" s="140"/>
      <c r="R64" s="77" t="str">
        <f t="shared" si="13"/>
        <v>#VALUE!</v>
      </c>
      <c r="AL64" s="49"/>
      <c r="AM64" s="49"/>
      <c r="AN64" s="49">
        <v>-0.5</v>
      </c>
      <c r="AO64" s="49">
        <v>-0.5</v>
      </c>
      <c r="AP64" s="49"/>
      <c r="AR64" s="127"/>
    </row>
    <row r="65">
      <c r="A65" s="73"/>
      <c r="B65" s="73"/>
      <c r="C65" s="73"/>
      <c r="D65" s="73"/>
      <c r="E65" s="73"/>
      <c r="F65" s="77"/>
      <c r="G65" s="77"/>
      <c r="H65" s="73"/>
      <c r="I65" s="77" t="str">
        <f t="shared" si="5"/>
        <v>#VALUE!</v>
      </c>
      <c r="J65" s="77" t="str">
        <f t="shared" si="6"/>
        <v>#DIV/0!</v>
      </c>
      <c r="K65" s="83" t="str">
        <f t="shared" si="7"/>
        <v>#VALUE!</v>
      </c>
      <c r="L65" s="83" t="str">
        <f t="shared" si="8"/>
        <v>#DIV/0!</v>
      </c>
      <c r="M65" s="77" t="str">
        <f t="shared" si="9"/>
        <v>#VALUE!</v>
      </c>
      <c r="N65" s="77" t="str">
        <f t="shared" si="10"/>
        <v>#VALUE!</v>
      </c>
      <c r="O65" s="77" t="str">
        <f t="shared" si="18"/>
        <v>#VALUE!</v>
      </c>
      <c r="P65" s="46" t="str">
        <f t="shared" si="16"/>
        <v>#VALUE!</v>
      </c>
      <c r="Q65" s="140"/>
      <c r="R65" s="77" t="str">
        <f t="shared" si="13"/>
        <v>#VALUE!</v>
      </c>
      <c r="AL65" s="49"/>
      <c r="AM65" s="49"/>
      <c r="AN65" s="49">
        <v>-0.5</v>
      </c>
      <c r="AO65" s="49">
        <v>-0.5</v>
      </c>
      <c r="AP65" s="49"/>
      <c r="AR65" s="127"/>
    </row>
    <row r="66">
      <c r="A66" s="73"/>
      <c r="B66" s="73"/>
      <c r="C66" s="73"/>
      <c r="D66" s="73"/>
      <c r="E66" s="73"/>
      <c r="F66" s="77"/>
      <c r="G66" s="77"/>
      <c r="H66" s="73"/>
      <c r="I66" s="77" t="str">
        <f t="shared" si="5"/>
        <v>#VALUE!</v>
      </c>
      <c r="J66" s="77" t="str">
        <f t="shared" si="6"/>
        <v>#DIV/0!</v>
      </c>
      <c r="K66" s="83" t="str">
        <f t="shared" si="7"/>
        <v>#VALUE!</v>
      </c>
      <c r="L66" s="83" t="str">
        <f t="shared" si="8"/>
        <v>#DIV/0!</v>
      </c>
      <c r="M66" s="77" t="str">
        <f t="shared" si="9"/>
        <v>#VALUE!</v>
      </c>
      <c r="N66" s="77" t="str">
        <f t="shared" si="10"/>
        <v>#VALUE!</v>
      </c>
      <c r="O66" s="77" t="str">
        <f t="shared" si="18"/>
        <v>#VALUE!</v>
      </c>
      <c r="P66" s="46" t="str">
        <f t="shared" si="16"/>
        <v>#VALUE!</v>
      </c>
      <c r="Q66" s="140"/>
      <c r="R66" s="77" t="str">
        <f t="shared" si="13"/>
        <v>#VALUE!</v>
      </c>
      <c r="AL66" s="49"/>
      <c r="AM66" s="49"/>
      <c r="AN66" s="49">
        <v>-0.5</v>
      </c>
      <c r="AO66" s="49">
        <v>-0.5</v>
      </c>
      <c r="AP66" s="49"/>
      <c r="AR66" s="127"/>
    </row>
    <row r="67">
      <c r="A67" s="73"/>
      <c r="B67" s="73"/>
      <c r="C67" s="73"/>
      <c r="D67" s="73"/>
      <c r="E67" s="73"/>
      <c r="F67" s="77"/>
      <c r="G67" s="77"/>
      <c r="H67" s="73"/>
      <c r="I67" s="77" t="str">
        <f t="shared" si="5"/>
        <v>#VALUE!</v>
      </c>
      <c r="J67" s="77" t="str">
        <f t="shared" si="6"/>
        <v>#DIV/0!</v>
      </c>
      <c r="K67" s="83" t="str">
        <f t="shared" si="7"/>
        <v>#VALUE!</v>
      </c>
      <c r="L67" s="83" t="str">
        <f t="shared" si="8"/>
        <v>#DIV/0!</v>
      </c>
      <c r="M67" s="77" t="str">
        <f t="shared" si="9"/>
        <v>#VALUE!</v>
      </c>
      <c r="N67" s="77" t="str">
        <f t="shared" si="10"/>
        <v>#VALUE!</v>
      </c>
      <c r="O67" s="77" t="str">
        <f t="shared" si="18"/>
        <v>#VALUE!</v>
      </c>
      <c r="P67" s="46" t="str">
        <f t="shared" si="16"/>
        <v>#VALUE!</v>
      </c>
      <c r="Q67" s="140"/>
      <c r="R67" s="77" t="str">
        <f t="shared" si="13"/>
        <v>#VALUE!</v>
      </c>
      <c r="AL67" s="49"/>
      <c r="AM67" s="49"/>
      <c r="AN67" s="49">
        <v>-0.5</v>
      </c>
      <c r="AO67" s="49">
        <v>-0.5</v>
      </c>
      <c r="AP67" s="49"/>
      <c r="AR67" s="127"/>
    </row>
    <row r="68">
      <c r="A68" s="73"/>
      <c r="B68" s="73"/>
      <c r="C68" s="73"/>
      <c r="D68" s="73"/>
      <c r="E68" s="73"/>
      <c r="F68" s="77"/>
      <c r="G68" s="77"/>
      <c r="H68" s="73"/>
      <c r="I68" s="77" t="str">
        <f t="shared" si="5"/>
        <v>#VALUE!</v>
      </c>
      <c r="J68" s="77" t="str">
        <f t="shared" si="6"/>
        <v>#DIV/0!</v>
      </c>
      <c r="K68" s="83" t="str">
        <f t="shared" si="7"/>
        <v>#VALUE!</v>
      </c>
      <c r="L68" s="83" t="str">
        <f t="shared" si="8"/>
        <v>#DIV/0!</v>
      </c>
      <c r="M68" s="77" t="str">
        <f t="shared" si="9"/>
        <v>#VALUE!</v>
      </c>
      <c r="N68" s="77" t="str">
        <f t="shared" si="10"/>
        <v>#VALUE!</v>
      </c>
      <c r="O68" s="77" t="str">
        <f t="shared" si="18"/>
        <v>#VALUE!</v>
      </c>
      <c r="P68" s="46" t="str">
        <f t="shared" si="16"/>
        <v>#VALUE!</v>
      </c>
      <c r="Q68" s="140"/>
      <c r="R68" s="77" t="str">
        <f t="shared" si="13"/>
        <v>#VALUE!</v>
      </c>
      <c r="AL68" s="49"/>
      <c r="AM68" s="49"/>
      <c r="AN68" s="49">
        <v>-0.5</v>
      </c>
      <c r="AO68" s="49">
        <v>-0.5</v>
      </c>
      <c r="AP68" s="49"/>
      <c r="AR68" s="127"/>
    </row>
    <row r="69">
      <c r="A69" s="73"/>
      <c r="B69" s="73"/>
      <c r="C69" s="73"/>
      <c r="D69" s="73"/>
      <c r="E69" s="73"/>
      <c r="F69" s="77"/>
      <c r="G69" s="77"/>
      <c r="H69" s="73"/>
      <c r="I69" s="77" t="str">
        <f t="shared" si="5"/>
        <v>#VALUE!</v>
      </c>
      <c r="J69" s="77" t="str">
        <f t="shared" si="6"/>
        <v>#DIV/0!</v>
      </c>
      <c r="K69" s="83" t="str">
        <f t="shared" si="7"/>
        <v>#VALUE!</v>
      </c>
      <c r="L69" s="83" t="str">
        <f t="shared" si="8"/>
        <v>#DIV/0!</v>
      </c>
      <c r="M69" s="77" t="str">
        <f t="shared" si="9"/>
        <v>#VALUE!</v>
      </c>
      <c r="N69" s="77" t="str">
        <f t="shared" si="10"/>
        <v>#VALUE!</v>
      </c>
      <c r="O69" s="77" t="str">
        <f t="shared" si="18"/>
        <v>#VALUE!</v>
      </c>
      <c r="P69" s="46" t="str">
        <f t="shared" si="16"/>
        <v>#VALUE!</v>
      </c>
      <c r="Q69" s="140"/>
      <c r="R69" s="77" t="str">
        <f t="shared" si="13"/>
        <v>#VALUE!</v>
      </c>
      <c r="AL69" s="49"/>
      <c r="AM69" s="49"/>
      <c r="AN69" s="49">
        <v>-0.5</v>
      </c>
      <c r="AO69" s="49">
        <v>-0.5</v>
      </c>
      <c r="AP69" s="49"/>
      <c r="AR69" s="127"/>
    </row>
    <row r="70">
      <c r="F70" s="77"/>
      <c r="G70" s="77"/>
      <c r="R70" s="223"/>
      <c r="AL70" s="49"/>
      <c r="AM70" s="49"/>
      <c r="AN70" s="49">
        <v>-0.5</v>
      </c>
      <c r="AO70" s="49">
        <v>-0.5</v>
      </c>
      <c r="AP70" s="49"/>
      <c r="AR70" s="127"/>
    </row>
    <row r="71">
      <c r="F71" s="77"/>
      <c r="G71" s="77"/>
      <c r="R71" s="223"/>
      <c r="AL71" s="49"/>
      <c r="AM71" s="49"/>
      <c r="AN71" s="49">
        <v>-0.5</v>
      </c>
      <c r="AO71" s="49">
        <v>-0.5</v>
      </c>
      <c r="AP71" s="49"/>
      <c r="AR71" s="127"/>
    </row>
    <row r="72">
      <c r="F72" s="77"/>
      <c r="G72" s="77"/>
      <c r="R72" s="223"/>
      <c r="AL72" s="49"/>
      <c r="AM72" s="49"/>
      <c r="AN72" s="49">
        <v>-0.5</v>
      </c>
      <c r="AO72" s="49">
        <v>-0.5</v>
      </c>
      <c r="AP72" s="49"/>
      <c r="AR72" s="127"/>
    </row>
    <row r="73">
      <c r="F73" s="77"/>
      <c r="G73" s="77"/>
      <c r="R73" s="223"/>
      <c r="AL73" s="49"/>
      <c r="AM73" s="49"/>
      <c r="AN73" s="49">
        <v>-0.5</v>
      </c>
      <c r="AO73" s="49">
        <v>-0.5</v>
      </c>
      <c r="AP73" s="49"/>
      <c r="AR73" s="127"/>
    </row>
    <row r="74">
      <c r="F74" s="77"/>
      <c r="G74" s="77"/>
      <c r="R74" s="223"/>
      <c r="AL74" s="49"/>
      <c r="AM74" s="49"/>
      <c r="AN74" s="49">
        <v>-0.5</v>
      </c>
      <c r="AO74" s="49">
        <v>-0.5</v>
      </c>
      <c r="AP74" s="49"/>
      <c r="AR74" s="127"/>
    </row>
    <row r="75">
      <c r="F75" s="77"/>
      <c r="G75" s="77"/>
      <c r="R75" s="223"/>
      <c r="AL75" s="49"/>
      <c r="AM75" s="49"/>
      <c r="AN75" s="49">
        <v>-0.5</v>
      </c>
      <c r="AO75" s="49">
        <v>-0.5</v>
      </c>
      <c r="AP75" s="49"/>
      <c r="AR75" s="127"/>
    </row>
    <row r="76">
      <c r="F76" s="77"/>
      <c r="G76" s="77"/>
      <c r="R76" s="223"/>
      <c r="AL76" s="49"/>
      <c r="AM76" s="49"/>
      <c r="AN76" s="49">
        <v>-0.5</v>
      </c>
      <c r="AO76" s="49">
        <v>-0.5</v>
      </c>
      <c r="AP76" s="49"/>
      <c r="AR76" s="127"/>
    </row>
    <row r="77">
      <c r="F77" s="77"/>
      <c r="G77" s="77"/>
      <c r="R77" s="223"/>
      <c r="AL77" s="49"/>
      <c r="AM77" s="49"/>
      <c r="AN77" s="49">
        <v>-0.5</v>
      </c>
      <c r="AO77" s="49">
        <v>-0.5</v>
      </c>
      <c r="AP77" s="49"/>
      <c r="AR77" s="127"/>
    </row>
    <row r="78">
      <c r="F78" s="77"/>
      <c r="G78" s="77"/>
      <c r="R78" s="223"/>
      <c r="AL78" s="49"/>
      <c r="AM78" s="49"/>
      <c r="AN78" s="49">
        <v>-0.5</v>
      </c>
      <c r="AO78" s="49">
        <v>-0.5</v>
      </c>
      <c r="AP78" s="49"/>
      <c r="AR78" s="127"/>
    </row>
    <row r="79">
      <c r="F79" s="77"/>
      <c r="G79" s="77"/>
      <c r="R79" s="223"/>
      <c r="AL79" s="49"/>
      <c r="AM79" s="49"/>
      <c r="AN79" s="49">
        <v>-0.5</v>
      </c>
      <c r="AO79" s="49">
        <v>-0.5</v>
      </c>
      <c r="AP79" s="49"/>
      <c r="AR79" s="127"/>
    </row>
    <row r="80">
      <c r="F80" s="77"/>
      <c r="G80" s="77"/>
      <c r="R80" s="223"/>
      <c r="AL80" s="49"/>
      <c r="AM80" s="49"/>
      <c r="AN80" s="49">
        <v>-0.5</v>
      </c>
      <c r="AO80" s="49">
        <v>-0.5</v>
      </c>
      <c r="AP80" s="49"/>
      <c r="AR80" s="127"/>
    </row>
    <row r="81">
      <c r="F81" s="77"/>
      <c r="G81" s="77"/>
      <c r="R81" s="223"/>
      <c r="AL81" s="49"/>
      <c r="AM81" s="49"/>
      <c r="AN81" s="49">
        <v>-0.5</v>
      </c>
      <c r="AO81" s="49">
        <v>-0.5</v>
      </c>
      <c r="AP81" s="49"/>
      <c r="AR81" s="127"/>
    </row>
    <row r="82">
      <c r="F82" s="77"/>
      <c r="G82" s="77"/>
      <c r="R82" s="223"/>
      <c r="AL82" s="49"/>
      <c r="AM82" s="49"/>
      <c r="AN82" s="49">
        <v>-0.5</v>
      </c>
      <c r="AO82" s="49">
        <v>-0.5</v>
      </c>
      <c r="AP82" s="49"/>
      <c r="AR82" s="127"/>
    </row>
    <row r="83">
      <c r="F83" s="77"/>
      <c r="G83" s="77"/>
      <c r="R83" s="223"/>
      <c r="AL83" s="49"/>
      <c r="AM83" s="49"/>
      <c r="AN83" s="49">
        <v>-0.5</v>
      </c>
      <c r="AO83" s="49">
        <v>-0.5</v>
      </c>
      <c r="AP83" s="49"/>
      <c r="AR83" s="127"/>
    </row>
    <row r="84">
      <c r="F84" s="77"/>
      <c r="G84" s="77"/>
      <c r="R84" s="223"/>
      <c r="AL84" s="49"/>
      <c r="AM84" s="49"/>
      <c r="AN84" s="49">
        <v>-0.5</v>
      </c>
      <c r="AO84" s="49">
        <v>-0.5</v>
      </c>
      <c r="AP84" s="49"/>
      <c r="AR84" s="127"/>
    </row>
    <row r="85">
      <c r="F85" s="77"/>
      <c r="G85" s="77"/>
      <c r="R85" s="223"/>
      <c r="AL85" s="49"/>
      <c r="AM85" s="49"/>
      <c r="AN85" s="49">
        <v>-0.5</v>
      </c>
      <c r="AO85" s="49">
        <v>-0.5</v>
      </c>
      <c r="AP85" s="49"/>
      <c r="AR85" s="127"/>
    </row>
    <row r="86">
      <c r="F86" s="77"/>
      <c r="G86" s="77"/>
      <c r="R86" s="223"/>
      <c r="AL86" s="49"/>
      <c r="AM86" s="49"/>
      <c r="AN86" s="49">
        <v>-0.5</v>
      </c>
      <c r="AO86" s="49">
        <v>-0.5</v>
      </c>
      <c r="AP86" s="49"/>
      <c r="AR86" s="127"/>
    </row>
    <row r="87">
      <c r="F87" s="77"/>
      <c r="G87" s="77"/>
      <c r="R87" s="223"/>
      <c r="AL87" s="49"/>
      <c r="AM87" s="49"/>
      <c r="AN87" s="49">
        <v>-0.5</v>
      </c>
      <c r="AO87" s="49">
        <v>-0.5</v>
      </c>
      <c r="AP87" s="49"/>
      <c r="AR87" s="127"/>
    </row>
    <row r="88">
      <c r="F88" s="77"/>
      <c r="G88" s="77"/>
      <c r="R88" s="223"/>
      <c r="AL88" s="49"/>
      <c r="AM88" s="49"/>
      <c r="AN88" s="49">
        <v>-0.5</v>
      </c>
      <c r="AO88" s="49">
        <v>-0.5</v>
      </c>
      <c r="AP88" s="49"/>
      <c r="AR88" s="127"/>
    </row>
    <row r="89">
      <c r="F89" s="77"/>
      <c r="G89" s="77"/>
      <c r="R89" s="223"/>
      <c r="AL89" s="49"/>
      <c r="AM89" s="49"/>
      <c r="AN89" s="49">
        <v>-0.5</v>
      </c>
      <c r="AO89" s="49">
        <v>-0.5</v>
      </c>
      <c r="AP89" s="49"/>
      <c r="AR89" s="127"/>
    </row>
    <row r="90">
      <c r="F90" s="77"/>
      <c r="G90" s="77"/>
      <c r="R90" s="223"/>
      <c r="AL90" s="49"/>
      <c r="AM90" s="49"/>
      <c r="AN90" s="49">
        <v>-0.5</v>
      </c>
      <c r="AO90" s="49">
        <v>-0.5</v>
      </c>
      <c r="AP90" s="49"/>
      <c r="AR90" s="127"/>
    </row>
    <row r="91">
      <c r="F91" s="77"/>
      <c r="G91" s="77"/>
      <c r="R91" s="223"/>
      <c r="AL91" s="49"/>
      <c r="AM91" s="49"/>
      <c r="AN91" s="49">
        <v>-0.5</v>
      </c>
      <c r="AO91" s="49">
        <v>-0.5</v>
      </c>
      <c r="AP91" s="49"/>
      <c r="AR91" s="127">
        <f>IFERROR(__xludf.DUMMYFUNCTION("SPLIT(AN91,""*"")"),-0.5)</f>
        <v>-0.5</v>
      </c>
    </row>
    <row r="92">
      <c r="F92" s="77"/>
      <c r="G92" s="77"/>
      <c r="R92" s="223"/>
      <c r="AL92" s="49"/>
      <c r="AM92" s="49"/>
      <c r="AN92" s="49">
        <v>-0.5</v>
      </c>
      <c r="AO92" s="49">
        <v>-0.5</v>
      </c>
      <c r="AP92" s="49"/>
      <c r="AR92" s="127">
        <f>IFERROR(__xludf.DUMMYFUNCTION("SPLIT(AN92,""*"")"),-0.5)</f>
        <v>-0.5</v>
      </c>
    </row>
    <row r="93">
      <c r="F93" s="77"/>
      <c r="G93" s="77"/>
      <c r="R93" s="223"/>
      <c r="AL93" s="49"/>
      <c r="AM93" s="49"/>
      <c r="AN93" s="49">
        <v>-0.5</v>
      </c>
      <c r="AO93" s="49">
        <v>-0.5</v>
      </c>
      <c r="AP93" s="49"/>
      <c r="AR93" s="127">
        <f>IFERROR(__xludf.DUMMYFUNCTION("SPLIT(AN93,""*"")"),-0.5)</f>
        <v>-0.5</v>
      </c>
    </row>
    <row r="94">
      <c r="F94" s="77"/>
      <c r="G94" s="77"/>
      <c r="R94" s="223"/>
      <c r="AL94" s="49"/>
      <c r="AM94" s="49"/>
      <c r="AN94" s="49">
        <v>-0.5</v>
      </c>
      <c r="AO94" s="49">
        <v>-0.5</v>
      </c>
      <c r="AP94" s="49"/>
      <c r="AR94" s="127">
        <f>IFERROR(__xludf.DUMMYFUNCTION("SPLIT(AN94,""*"")"),-0.5)</f>
        <v>-0.5</v>
      </c>
    </row>
    <row r="95">
      <c r="F95" s="77"/>
      <c r="G95" s="77"/>
      <c r="R95" s="223"/>
      <c r="AL95" s="49"/>
      <c r="AM95" s="49"/>
      <c r="AN95" s="49">
        <v>-0.5</v>
      </c>
      <c r="AO95" s="49">
        <v>-0.5</v>
      </c>
      <c r="AP95" s="49"/>
      <c r="AR95" s="127">
        <f>IFERROR(__xludf.DUMMYFUNCTION("SPLIT(AN95,""*"")"),-0.5)</f>
        <v>-0.5</v>
      </c>
    </row>
    <row r="96">
      <c r="F96" s="77"/>
      <c r="G96" s="77"/>
      <c r="R96" s="223"/>
      <c r="AL96" s="49"/>
      <c r="AM96" s="49"/>
      <c r="AN96" s="49">
        <v>-0.5</v>
      </c>
      <c r="AO96" s="49">
        <v>-0.5</v>
      </c>
      <c r="AP96" s="49"/>
      <c r="AR96" s="127">
        <f>IFERROR(__xludf.DUMMYFUNCTION("SPLIT(AN96,""*"")"),-0.5)</f>
        <v>-0.5</v>
      </c>
    </row>
    <row r="97">
      <c r="F97" s="77"/>
      <c r="G97" s="77"/>
      <c r="R97" s="223"/>
      <c r="AL97" s="49"/>
      <c r="AM97" s="49"/>
      <c r="AN97" s="49">
        <v>-0.5</v>
      </c>
      <c r="AO97" s="49">
        <v>-0.5</v>
      </c>
      <c r="AP97" s="49"/>
      <c r="AR97" s="127">
        <f>IFERROR(__xludf.DUMMYFUNCTION("SPLIT(AN97,""*"")"),-0.5)</f>
        <v>-0.5</v>
      </c>
    </row>
    <row r="98">
      <c r="R98" s="223"/>
      <c r="AL98" s="49"/>
      <c r="AM98" s="49"/>
      <c r="AN98" s="49">
        <v>-0.5</v>
      </c>
      <c r="AO98" s="49">
        <v>-0.5</v>
      </c>
      <c r="AP98" s="49"/>
      <c r="AR98" s="127">
        <f>IFERROR(__xludf.DUMMYFUNCTION("SPLIT(AN98,""*"")"),-0.5)</f>
        <v>-0.5</v>
      </c>
    </row>
    <row r="99">
      <c r="R99" s="223"/>
      <c r="AL99" s="49"/>
      <c r="AM99" s="49"/>
      <c r="AN99" s="49">
        <v>-0.5</v>
      </c>
      <c r="AO99" s="49">
        <v>-0.5</v>
      </c>
      <c r="AP99" s="49"/>
      <c r="AR99" s="127">
        <f>IFERROR(__xludf.DUMMYFUNCTION("SPLIT(AN99,""*"")"),-0.5)</f>
        <v>-0.5</v>
      </c>
    </row>
    <row r="100">
      <c r="R100" s="223"/>
      <c r="AL100" s="49"/>
      <c r="AM100" s="49"/>
      <c r="AN100" s="49">
        <v>-0.5</v>
      </c>
      <c r="AO100" s="49">
        <v>-0.5</v>
      </c>
      <c r="AP100" s="49"/>
      <c r="AR100" s="127">
        <f>IFERROR(__xludf.DUMMYFUNCTION("SPLIT(AN100,""*"")"),-0.5)</f>
        <v>-0.5</v>
      </c>
    </row>
    <row r="101">
      <c r="R101" s="223"/>
      <c r="AL101" s="49"/>
      <c r="AM101" s="49"/>
      <c r="AN101" s="49">
        <v>-0.5</v>
      </c>
      <c r="AO101" s="49">
        <v>-0.5</v>
      </c>
      <c r="AP101" s="49"/>
      <c r="AR101" s="127"/>
    </row>
    <row r="102">
      <c r="R102" s="223"/>
      <c r="AL102" s="49"/>
      <c r="AM102" s="49"/>
      <c r="AN102" s="49">
        <v>-0.5</v>
      </c>
      <c r="AO102" s="49">
        <v>-0.5</v>
      </c>
      <c r="AP102" s="49"/>
      <c r="AR102" s="127"/>
    </row>
    <row r="103">
      <c r="R103" s="223"/>
      <c r="AL103" s="49"/>
      <c r="AM103" s="49"/>
      <c r="AN103" s="49">
        <v>-0.5</v>
      </c>
      <c r="AO103" s="49">
        <v>-0.5</v>
      </c>
      <c r="AP103" s="49"/>
      <c r="AR103" s="127"/>
    </row>
    <row r="104">
      <c r="R104" s="223"/>
      <c r="AL104" s="49"/>
      <c r="AM104" s="49"/>
      <c r="AN104" s="49">
        <v>-0.5</v>
      </c>
      <c r="AO104" s="49">
        <v>-0.5</v>
      </c>
      <c r="AP104" s="49"/>
      <c r="AR104" s="127"/>
    </row>
    <row r="105">
      <c r="R105" s="223"/>
      <c r="AL105" s="49"/>
      <c r="AM105" s="49"/>
      <c r="AN105" s="49">
        <v>-0.5</v>
      </c>
      <c r="AO105" s="49">
        <v>-0.5</v>
      </c>
      <c r="AP105" s="49"/>
      <c r="AR105" s="127"/>
    </row>
    <row r="106">
      <c r="R106" s="223"/>
      <c r="AL106" s="49"/>
      <c r="AM106" s="49"/>
      <c r="AN106" s="49">
        <v>-0.5</v>
      </c>
      <c r="AO106" s="49">
        <v>-0.5</v>
      </c>
      <c r="AP106" s="49"/>
      <c r="AR106" s="127"/>
    </row>
    <row r="107">
      <c r="R107" s="223"/>
      <c r="AL107" s="49"/>
      <c r="AM107" s="49"/>
      <c r="AN107" s="49">
        <v>-0.5</v>
      </c>
      <c r="AO107" s="49">
        <v>-0.5</v>
      </c>
      <c r="AP107" s="49"/>
      <c r="AR107" s="127"/>
    </row>
    <row r="108">
      <c r="R108" s="223"/>
      <c r="AL108" s="49"/>
      <c r="AM108" s="49"/>
      <c r="AN108" s="49">
        <v>-0.5</v>
      </c>
      <c r="AO108" s="49">
        <v>-0.5</v>
      </c>
      <c r="AP108" s="49"/>
      <c r="AR108" s="127"/>
    </row>
    <row r="109">
      <c r="R109" s="223"/>
      <c r="AL109" s="49"/>
      <c r="AM109" s="49"/>
      <c r="AN109" s="49">
        <v>-0.5</v>
      </c>
      <c r="AO109" s="49">
        <v>-0.5</v>
      </c>
      <c r="AP109" s="49"/>
      <c r="AR109" s="127"/>
    </row>
    <row r="110">
      <c r="R110" s="223"/>
      <c r="AL110" s="49"/>
      <c r="AM110" s="49"/>
      <c r="AN110" s="49">
        <v>-0.5</v>
      </c>
      <c r="AO110" s="49">
        <v>-0.5</v>
      </c>
      <c r="AP110" s="49"/>
      <c r="AR110" s="127"/>
    </row>
    <row r="111">
      <c r="R111" s="223"/>
      <c r="AL111" s="49"/>
      <c r="AM111" s="49"/>
      <c r="AN111" s="49">
        <v>-0.5</v>
      </c>
      <c r="AO111" s="49">
        <v>-0.5</v>
      </c>
      <c r="AP111" s="49"/>
      <c r="AR111" s="127"/>
    </row>
    <row r="112">
      <c r="R112" s="223"/>
      <c r="AL112" s="49"/>
      <c r="AM112" s="49"/>
      <c r="AN112" s="49">
        <v>-0.5</v>
      </c>
      <c r="AO112" s="49">
        <v>-0.5</v>
      </c>
      <c r="AP112" s="49"/>
      <c r="AR112" s="127"/>
    </row>
    <row r="113">
      <c r="R113" s="223"/>
      <c r="AL113" s="49"/>
      <c r="AM113" s="49"/>
      <c r="AN113" s="49">
        <v>-0.5</v>
      </c>
      <c r="AO113" s="49">
        <v>-0.5</v>
      </c>
      <c r="AP113" s="49"/>
      <c r="AR113" s="127"/>
    </row>
    <row r="114">
      <c r="R114" s="223"/>
      <c r="AL114" s="49"/>
      <c r="AM114" s="49"/>
      <c r="AN114" s="49">
        <v>-0.5</v>
      </c>
      <c r="AO114" s="49">
        <v>-0.5</v>
      </c>
      <c r="AP114" s="49"/>
      <c r="AR114" s="127"/>
    </row>
    <row r="115">
      <c r="R115" s="223"/>
      <c r="AL115" s="49"/>
      <c r="AM115" s="49"/>
      <c r="AN115" s="49">
        <v>-0.5</v>
      </c>
      <c r="AO115" s="49">
        <v>-0.5</v>
      </c>
      <c r="AP115" s="49"/>
      <c r="AR115" s="127"/>
    </row>
    <row r="116">
      <c r="R116" s="223"/>
      <c r="AL116" s="49"/>
      <c r="AM116" s="49"/>
      <c r="AN116" s="49">
        <v>-0.5</v>
      </c>
      <c r="AO116" s="49">
        <v>-0.5</v>
      </c>
      <c r="AP116" s="49"/>
      <c r="AR116" s="127"/>
    </row>
    <row r="117">
      <c r="R117" s="223"/>
      <c r="AL117" s="49"/>
      <c r="AM117" s="49"/>
      <c r="AN117" s="49">
        <v>-0.5</v>
      </c>
      <c r="AO117" s="49">
        <v>-0.5</v>
      </c>
      <c r="AP117" s="49"/>
      <c r="AR117" s="127"/>
    </row>
    <row r="118">
      <c r="R118" s="223"/>
      <c r="AL118" s="49"/>
      <c r="AM118" s="49"/>
      <c r="AN118" s="49">
        <v>-0.5</v>
      </c>
      <c r="AO118" s="49">
        <v>-0.5</v>
      </c>
      <c r="AP118" s="49"/>
      <c r="AR118" s="127"/>
    </row>
    <row r="119">
      <c r="R119" s="223"/>
      <c r="AL119" s="49"/>
      <c r="AM119" s="49"/>
      <c r="AN119" s="49">
        <v>-0.5</v>
      </c>
      <c r="AO119" s="49">
        <v>-0.5</v>
      </c>
      <c r="AP119" s="49"/>
      <c r="AR119" s="127"/>
    </row>
    <row r="120">
      <c r="R120" s="223"/>
      <c r="AL120" s="49"/>
      <c r="AM120" s="49"/>
      <c r="AN120" s="49">
        <v>-0.5</v>
      </c>
      <c r="AO120" s="49">
        <v>-0.5</v>
      </c>
      <c r="AP120" s="49"/>
      <c r="AR120" s="127"/>
    </row>
    <row r="121">
      <c r="R121" s="223"/>
      <c r="AL121" s="49"/>
      <c r="AM121" s="49"/>
      <c r="AN121" s="49">
        <v>-0.5</v>
      </c>
      <c r="AO121" s="49">
        <v>-0.5</v>
      </c>
      <c r="AP121" s="49"/>
      <c r="AR121" s="127"/>
    </row>
    <row r="122">
      <c r="R122" s="223"/>
      <c r="AL122" s="49"/>
      <c r="AM122" s="49"/>
      <c r="AN122" s="49">
        <v>-0.5</v>
      </c>
      <c r="AO122" s="49">
        <v>-0.5</v>
      </c>
      <c r="AP122" s="49"/>
      <c r="AR122" s="127"/>
    </row>
    <row r="123">
      <c r="R123" s="223"/>
      <c r="AL123" s="49"/>
      <c r="AM123" s="49"/>
      <c r="AN123" s="49">
        <v>-0.5</v>
      </c>
      <c r="AO123" s="49">
        <v>-0.5</v>
      </c>
      <c r="AP123" s="49"/>
      <c r="AR123" s="127"/>
    </row>
    <row r="124">
      <c r="R124" s="223"/>
      <c r="AL124" s="49"/>
      <c r="AM124" s="49"/>
      <c r="AN124" s="49">
        <v>-0.5</v>
      </c>
      <c r="AO124" s="49">
        <v>-0.5</v>
      </c>
      <c r="AP124" s="49"/>
      <c r="AR124" s="127"/>
    </row>
    <row r="125">
      <c r="R125" s="223"/>
      <c r="AL125" s="49"/>
      <c r="AM125" s="49"/>
      <c r="AN125" s="49">
        <v>-0.5</v>
      </c>
      <c r="AO125" s="49">
        <v>-0.5</v>
      </c>
      <c r="AP125" s="49"/>
      <c r="AR125" s="127"/>
    </row>
    <row r="126">
      <c r="R126" s="223"/>
      <c r="AL126" s="49"/>
      <c r="AM126" s="49"/>
      <c r="AN126" s="49">
        <v>-0.5</v>
      </c>
      <c r="AO126" s="49">
        <v>-0.5</v>
      </c>
      <c r="AP126" s="49"/>
      <c r="AR126" s="127"/>
    </row>
    <row r="127">
      <c r="R127" s="223"/>
      <c r="AL127" s="49"/>
      <c r="AM127" s="49"/>
      <c r="AN127" s="49">
        <v>-0.5</v>
      </c>
      <c r="AO127" s="49">
        <v>-0.5</v>
      </c>
      <c r="AP127" s="49"/>
      <c r="AR127" s="127"/>
    </row>
    <row r="128">
      <c r="R128" s="223"/>
      <c r="AL128" s="49"/>
      <c r="AM128" s="49"/>
      <c r="AN128" s="49">
        <v>-0.5</v>
      </c>
      <c r="AO128" s="49">
        <v>-0.5</v>
      </c>
      <c r="AP128" s="49"/>
      <c r="AR128" s="127"/>
    </row>
    <row r="129">
      <c r="R129" s="223"/>
      <c r="AL129" s="49"/>
      <c r="AM129" s="49"/>
      <c r="AN129" s="49">
        <v>-0.5</v>
      </c>
      <c r="AO129" s="49">
        <v>-0.5</v>
      </c>
      <c r="AP129" s="49"/>
      <c r="AR129" s="127"/>
    </row>
    <row r="130">
      <c r="R130" s="223"/>
      <c r="AL130" s="49"/>
      <c r="AM130" s="49"/>
      <c r="AN130" s="49">
        <v>-0.5</v>
      </c>
      <c r="AO130" s="49">
        <v>-0.5</v>
      </c>
      <c r="AP130" s="49"/>
      <c r="AR130" s="127"/>
    </row>
    <row r="131">
      <c r="R131" s="223"/>
      <c r="AL131" s="49"/>
      <c r="AM131" s="49"/>
      <c r="AN131" s="49">
        <v>-0.5</v>
      </c>
      <c r="AO131" s="49">
        <v>-0.5</v>
      </c>
      <c r="AP131" s="49"/>
      <c r="AR131" s="127"/>
    </row>
    <row r="132">
      <c r="R132" s="223"/>
      <c r="AL132" s="49"/>
      <c r="AM132" s="49"/>
      <c r="AN132" s="49">
        <v>-0.5</v>
      </c>
      <c r="AO132" s="49">
        <v>-0.5</v>
      </c>
      <c r="AP132" s="49"/>
      <c r="AR132" s="127"/>
    </row>
    <row r="133">
      <c r="R133" s="223"/>
      <c r="AL133" s="49"/>
      <c r="AM133" s="49"/>
      <c r="AN133" s="49">
        <v>-0.5</v>
      </c>
      <c r="AO133" s="49">
        <v>-0.5</v>
      </c>
      <c r="AP133" s="49"/>
      <c r="AR133" s="127"/>
    </row>
    <row r="134">
      <c r="R134" s="223"/>
      <c r="AL134" s="49"/>
      <c r="AM134" s="49"/>
      <c r="AN134" s="49">
        <v>-0.5</v>
      </c>
      <c r="AO134" s="49">
        <v>-0.5</v>
      </c>
      <c r="AP134" s="49"/>
      <c r="AR134" s="127"/>
    </row>
    <row r="135">
      <c r="R135" s="223"/>
      <c r="AL135" s="49"/>
      <c r="AM135" s="49"/>
      <c r="AN135" s="49">
        <v>-0.5</v>
      </c>
      <c r="AO135" s="49">
        <v>-0.5</v>
      </c>
      <c r="AP135" s="49"/>
      <c r="AR135" s="127"/>
    </row>
    <row r="136">
      <c r="R136" s="223"/>
      <c r="AL136" s="49"/>
      <c r="AM136" s="49"/>
      <c r="AN136" s="49">
        <v>-0.5</v>
      </c>
      <c r="AO136" s="49">
        <v>-0.5</v>
      </c>
      <c r="AP136" s="49"/>
      <c r="AR136" s="127"/>
    </row>
    <row r="137">
      <c r="R137" s="223"/>
      <c r="AL137" s="49"/>
      <c r="AM137" s="49"/>
      <c r="AN137" s="49">
        <v>-0.5</v>
      </c>
      <c r="AO137" s="49">
        <v>-0.5</v>
      </c>
      <c r="AP137" s="49"/>
      <c r="AR137" s="127"/>
    </row>
    <row r="138">
      <c r="R138" s="223"/>
      <c r="AL138" s="49"/>
      <c r="AM138" s="49"/>
      <c r="AN138" s="49">
        <v>-0.5</v>
      </c>
      <c r="AO138" s="49">
        <v>-0.5</v>
      </c>
      <c r="AP138" s="49"/>
      <c r="AR138" s="127"/>
    </row>
    <row r="139">
      <c r="R139" s="223"/>
      <c r="AL139" s="49"/>
      <c r="AM139" s="49"/>
      <c r="AN139" s="49">
        <v>-0.5</v>
      </c>
      <c r="AO139" s="49">
        <v>-0.5</v>
      </c>
      <c r="AP139" s="49"/>
      <c r="AR139" s="127"/>
    </row>
    <row r="140">
      <c r="R140" s="223"/>
      <c r="AL140" s="49"/>
      <c r="AM140" s="49"/>
      <c r="AN140" s="49">
        <v>-0.5</v>
      </c>
      <c r="AO140" s="49">
        <v>-0.5</v>
      </c>
      <c r="AP140" s="49"/>
      <c r="AR140" s="127"/>
    </row>
    <row r="141">
      <c r="R141" s="223"/>
      <c r="AL141" s="49"/>
      <c r="AM141" s="49"/>
      <c r="AN141" s="49">
        <v>-0.5</v>
      </c>
      <c r="AO141" s="49">
        <v>-0.5</v>
      </c>
      <c r="AP141" s="49"/>
      <c r="AR141" s="127"/>
    </row>
    <row r="142">
      <c r="R142" s="223"/>
      <c r="AL142" s="49"/>
      <c r="AM142" s="49"/>
      <c r="AN142" s="49">
        <v>-0.5</v>
      </c>
      <c r="AO142" s="49">
        <v>-0.5</v>
      </c>
      <c r="AP142" s="49"/>
      <c r="AR142" s="127"/>
    </row>
    <row r="143">
      <c r="R143" s="223"/>
      <c r="AL143" s="49"/>
      <c r="AM143" s="49"/>
      <c r="AN143" s="49">
        <v>-0.5</v>
      </c>
      <c r="AO143" s="49">
        <v>-0.5</v>
      </c>
      <c r="AP143" s="49"/>
      <c r="AR143" s="127"/>
    </row>
    <row r="144">
      <c r="R144" s="223"/>
      <c r="AL144" s="49"/>
      <c r="AM144" s="49"/>
      <c r="AN144" s="49">
        <v>-0.5</v>
      </c>
      <c r="AO144" s="49">
        <v>-0.5</v>
      </c>
      <c r="AP144" s="49"/>
      <c r="AR144" s="127"/>
    </row>
    <row r="145">
      <c r="R145" s="223"/>
      <c r="AL145" s="49"/>
      <c r="AM145" s="49"/>
      <c r="AN145" s="49">
        <v>-0.5</v>
      </c>
      <c r="AO145" s="49">
        <v>-0.5</v>
      </c>
      <c r="AP145" s="49"/>
      <c r="AR145" s="127"/>
    </row>
    <row r="146">
      <c r="R146" s="223"/>
      <c r="AL146" s="49"/>
      <c r="AM146" s="49"/>
      <c r="AN146" s="49">
        <v>-0.5</v>
      </c>
      <c r="AO146" s="49">
        <v>-0.5</v>
      </c>
      <c r="AP146" s="49"/>
      <c r="AR146" s="127"/>
    </row>
    <row r="147">
      <c r="R147" s="223"/>
      <c r="AL147" s="49"/>
      <c r="AM147" s="49"/>
      <c r="AN147" s="49">
        <v>-0.5</v>
      </c>
      <c r="AO147" s="49">
        <v>-0.5</v>
      </c>
      <c r="AP147" s="49"/>
      <c r="AR147" s="127"/>
    </row>
    <row r="148">
      <c r="R148" s="223"/>
      <c r="AL148" s="49"/>
      <c r="AM148" s="49"/>
      <c r="AN148" s="49">
        <v>-0.5</v>
      </c>
      <c r="AO148" s="49">
        <v>-0.5</v>
      </c>
      <c r="AP148" s="49"/>
      <c r="AR148" s="127"/>
    </row>
    <row r="149">
      <c r="R149" s="223"/>
      <c r="AL149" s="49"/>
      <c r="AM149" s="49"/>
      <c r="AN149" s="49">
        <v>-0.5</v>
      </c>
      <c r="AO149" s="49">
        <v>-0.5</v>
      </c>
      <c r="AP149" s="49"/>
      <c r="AR149" s="127"/>
    </row>
    <row r="150">
      <c r="R150" s="223"/>
      <c r="AL150" s="49"/>
      <c r="AM150" s="49"/>
      <c r="AN150" s="49">
        <v>-0.5</v>
      </c>
      <c r="AO150" s="49">
        <v>-0.5</v>
      </c>
      <c r="AP150" s="49"/>
      <c r="AR150" s="127"/>
    </row>
    <row r="151">
      <c r="R151" s="223"/>
      <c r="AL151" s="49"/>
      <c r="AM151" s="49"/>
      <c r="AN151" s="49">
        <v>-0.5</v>
      </c>
      <c r="AO151" s="49">
        <v>-0.5</v>
      </c>
      <c r="AP151" s="49"/>
      <c r="AR151" s="127"/>
    </row>
    <row r="152">
      <c r="R152" s="223"/>
      <c r="AL152" s="49"/>
      <c r="AM152" s="49"/>
      <c r="AN152" s="49">
        <v>-0.5</v>
      </c>
      <c r="AO152" s="49">
        <v>-0.5</v>
      </c>
      <c r="AP152" s="49"/>
      <c r="AR152" s="127"/>
    </row>
    <row r="153">
      <c r="R153" s="223"/>
      <c r="AL153" s="49"/>
      <c r="AM153" s="49"/>
      <c r="AN153" s="49">
        <v>-0.5</v>
      </c>
      <c r="AO153" s="49">
        <v>-0.5</v>
      </c>
      <c r="AP153" s="49"/>
      <c r="AR153" s="127"/>
    </row>
    <row r="154">
      <c r="R154" s="223"/>
      <c r="AL154" s="49"/>
      <c r="AM154" s="49"/>
      <c r="AN154" s="49">
        <v>-0.5</v>
      </c>
      <c r="AO154" s="49">
        <v>-0.5</v>
      </c>
      <c r="AP154" s="49"/>
      <c r="AR154" s="127"/>
    </row>
    <row r="155">
      <c r="R155" s="223"/>
      <c r="AL155" s="49"/>
      <c r="AM155" s="49"/>
      <c r="AN155" s="49">
        <v>-0.5</v>
      </c>
      <c r="AO155" s="49">
        <v>-0.5</v>
      </c>
      <c r="AP155" s="49"/>
      <c r="AR155" s="127"/>
    </row>
    <row r="156">
      <c r="R156" s="223"/>
      <c r="AL156" s="49"/>
      <c r="AM156" s="49"/>
      <c r="AN156" s="49">
        <v>-0.5</v>
      </c>
      <c r="AO156" s="49">
        <v>-0.5</v>
      </c>
      <c r="AP156" s="49"/>
      <c r="AR156" s="127"/>
    </row>
    <row r="157">
      <c r="R157" s="223"/>
      <c r="AL157" s="49"/>
      <c r="AM157" s="49"/>
      <c r="AN157" s="49">
        <v>-0.5</v>
      </c>
      <c r="AO157" s="49">
        <v>-0.5</v>
      </c>
      <c r="AP157" s="49"/>
      <c r="AR157" s="127"/>
    </row>
    <row r="158">
      <c r="R158" s="223"/>
      <c r="AL158" s="49"/>
      <c r="AM158" s="49"/>
      <c r="AN158" s="49">
        <v>-0.5</v>
      </c>
      <c r="AO158" s="49">
        <v>-0.5</v>
      </c>
      <c r="AP158" s="49"/>
      <c r="AR158" s="127"/>
    </row>
    <row r="159">
      <c r="R159" s="223"/>
      <c r="AL159" s="49"/>
      <c r="AM159" s="49"/>
      <c r="AN159" s="49">
        <v>-0.5</v>
      </c>
      <c r="AO159" s="49">
        <v>-0.5</v>
      </c>
      <c r="AP159" s="49"/>
      <c r="AR159" s="127"/>
    </row>
    <row r="160">
      <c r="R160" s="223"/>
      <c r="AL160" s="49"/>
      <c r="AM160" s="49"/>
      <c r="AN160" s="49">
        <v>-0.5</v>
      </c>
      <c r="AO160" s="49">
        <v>-0.5</v>
      </c>
      <c r="AP160" s="49"/>
      <c r="AR160" s="127"/>
    </row>
    <row r="161">
      <c r="R161" s="223"/>
      <c r="AL161" s="49"/>
      <c r="AM161" s="49"/>
      <c r="AN161" s="49">
        <v>-0.5</v>
      </c>
      <c r="AO161" s="49">
        <v>-0.5</v>
      </c>
      <c r="AP161" s="49"/>
      <c r="AR161" s="127"/>
    </row>
    <row r="162">
      <c r="R162" s="223"/>
      <c r="AL162" s="49"/>
      <c r="AM162" s="49"/>
      <c r="AN162" s="49">
        <v>-0.5</v>
      </c>
      <c r="AO162" s="49">
        <v>-0.5</v>
      </c>
      <c r="AP162" s="49"/>
      <c r="AR162" s="127"/>
    </row>
    <row r="163">
      <c r="R163" s="223"/>
      <c r="AL163" s="49"/>
      <c r="AM163" s="49"/>
      <c r="AN163" s="49">
        <v>-0.5</v>
      </c>
      <c r="AO163" s="49">
        <v>-0.5</v>
      </c>
      <c r="AP163" s="49"/>
      <c r="AR163" s="127"/>
    </row>
    <row r="164">
      <c r="R164" s="223"/>
      <c r="AL164" s="49"/>
      <c r="AM164" s="49"/>
      <c r="AN164" s="49">
        <v>-0.5</v>
      </c>
      <c r="AO164" s="49">
        <v>-0.5</v>
      </c>
      <c r="AP164" s="49"/>
      <c r="AR164" s="127"/>
    </row>
    <row r="165">
      <c r="R165" s="223"/>
      <c r="AL165" s="49"/>
      <c r="AM165" s="49"/>
      <c r="AN165" s="49">
        <v>-0.5</v>
      </c>
      <c r="AO165" s="49">
        <v>-0.5</v>
      </c>
      <c r="AP165" s="49"/>
      <c r="AR165" s="127"/>
    </row>
    <row r="166">
      <c r="R166" s="223"/>
      <c r="AL166" s="49"/>
      <c r="AM166" s="49"/>
      <c r="AN166" s="49">
        <v>-0.5</v>
      </c>
      <c r="AO166" s="49">
        <v>-0.5</v>
      </c>
      <c r="AP166" s="49"/>
      <c r="AR166" s="127"/>
    </row>
    <row r="167">
      <c r="R167" s="223"/>
      <c r="AL167" s="49"/>
      <c r="AM167" s="49"/>
      <c r="AN167" s="49">
        <v>-0.5</v>
      </c>
      <c r="AO167" s="49">
        <v>-0.5</v>
      </c>
      <c r="AP167" s="49"/>
      <c r="AR167" s="127"/>
    </row>
    <row r="168">
      <c r="R168" s="223"/>
      <c r="AL168" s="49"/>
      <c r="AM168" s="49"/>
      <c r="AN168" s="49">
        <v>-0.5</v>
      </c>
      <c r="AO168" s="49">
        <v>-0.5</v>
      </c>
      <c r="AP168" s="49"/>
      <c r="AR168" s="127"/>
    </row>
    <row r="169">
      <c r="R169" s="223"/>
      <c r="AL169" s="49"/>
      <c r="AM169" s="49"/>
      <c r="AN169" s="49">
        <v>-0.5</v>
      </c>
      <c r="AO169" s="49">
        <v>-0.5</v>
      </c>
      <c r="AP169" s="49"/>
      <c r="AR169" s="127"/>
    </row>
    <row r="170">
      <c r="R170" s="223"/>
      <c r="AL170" s="49"/>
      <c r="AM170" s="49"/>
      <c r="AN170" s="49">
        <v>-0.5</v>
      </c>
      <c r="AO170" s="49">
        <v>-0.5</v>
      </c>
      <c r="AP170" s="49"/>
      <c r="AR170" s="127"/>
    </row>
    <row r="171">
      <c r="R171" s="223"/>
      <c r="AL171" s="49"/>
      <c r="AM171" s="49"/>
      <c r="AN171" s="49">
        <v>-0.5</v>
      </c>
      <c r="AO171" s="49">
        <v>-0.5</v>
      </c>
      <c r="AP171" s="49"/>
      <c r="AR171" s="127"/>
    </row>
    <row r="172">
      <c r="R172" s="223"/>
      <c r="AL172" s="49"/>
      <c r="AM172" s="49"/>
      <c r="AN172" s="49">
        <v>-0.5</v>
      </c>
      <c r="AO172" s="49">
        <v>-0.5</v>
      </c>
      <c r="AP172" s="49"/>
      <c r="AR172" s="127"/>
    </row>
    <row r="173">
      <c r="R173" s="223"/>
      <c r="AL173" s="49"/>
      <c r="AM173" s="49"/>
      <c r="AN173" s="49">
        <v>-0.5</v>
      </c>
      <c r="AO173" s="49">
        <v>-0.5</v>
      </c>
      <c r="AP173" s="49"/>
      <c r="AR173" s="127"/>
    </row>
    <row r="174">
      <c r="R174" s="223"/>
      <c r="AL174" s="49"/>
      <c r="AM174" s="49"/>
      <c r="AN174" s="49">
        <v>-0.5</v>
      </c>
      <c r="AO174" s="49">
        <v>-0.5</v>
      </c>
      <c r="AP174" s="49"/>
      <c r="AR174" s="127"/>
    </row>
    <row r="175">
      <c r="R175" s="223"/>
      <c r="AL175" s="49"/>
      <c r="AM175" s="49"/>
      <c r="AN175" s="49">
        <v>-0.5</v>
      </c>
      <c r="AO175" s="49">
        <v>-0.5</v>
      </c>
      <c r="AP175" s="49"/>
      <c r="AR175" s="127"/>
    </row>
    <row r="176">
      <c r="R176" s="223"/>
      <c r="AL176" s="49"/>
      <c r="AM176" s="49"/>
      <c r="AN176" s="49">
        <v>-0.5</v>
      </c>
      <c r="AO176" s="49">
        <v>-0.5</v>
      </c>
      <c r="AP176" s="49"/>
      <c r="AR176" s="127"/>
    </row>
    <row r="177">
      <c r="R177" s="223"/>
      <c r="AL177" s="49"/>
      <c r="AM177" s="49"/>
      <c r="AN177" s="49">
        <v>-0.5</v>
      </c>
      <c r="AO177" s="49">
        <v>-0.5</v>
      </c>
      <c r="AP177" s="49"/>
      <c r="AR177" s="127"/>
    </row>
    <row r="178">
      <c r="R178" s="223"/>
      <c r="AL178" s="49"/>
      <c r="AM178" s="49"/>
      <c r="AN178" s="49">
        <v>-0.5</v>
      </c>
      <c r="AO178" s="49">
        <v>-0.5</v>
      </c>
      <c r="AP178" s="49"/>
      <c r="AR178" s="127"/>
    </row>
    <row r="179">
      <c r="R179" s="223"/>
      <c r="AL179" s="49"/>
      <c r="AM179" s="49"/>
      <c r="AN179" s="49">
        <v>-0.5</v>
      </c>
      <c r="AO179" s="49">
        <v>-0.5</v>
      </c>
      <c r="AP179" s="49"/>
      <c r="AR179" s="127"/>
    </row>
    <row r="180">
      <c r="R180" s="223"/>
      <c r="AL180" s="49"/>
      <c r="AM180" s="49"/>
      <c r="AN180" s="49">
        <v>-0.5</v>
      </c>
      <c r="AO180" s="49">
        <v>-0.5</v>
      </c>
      <c r="AP180" s="49"/>
      <c r="AR180" s="127"/>
    </row>
    <row r="181">
      <c r="R181" s="223"/>
      <c r="AL181" s="49"/>
      <c r="AM181" s="49"/>
      <c r="AN181" s="49">
        <v>-0.5</v>
      </c>
      <c r="AO181" s="49">
        <v>-0.5</v>
      </c>
      <c r="AP181" s="49"/>
      <c r="AR181" s="127"/>
    </row>
    <row r="182">
      <c r="R182" s="223"/>
      <c r="AL182" s="49"/>
      <c r="AM182" s="49"/>
      <c r="AN182" s="49">
        <v>-0.5</v>
      </c>
      <c r="AO182" s="49">
        <v>-0.5</v>
      </c>
      <c r="AP182" s="49"/>
      <c r="AR182" s="127"/>
    </row>
    <row r="183">
      <c r="R183" s="223"/>
      <c r="AL183" s="49"/>
      <c r="AM183" s="49"/>
      <c r="AN183" s="49">
        <v>-0.5</v>
      </c>
      <c r="AO183" s="49">
        <v>-0.5</v>
      </c>
      <c r="AP183" s="49"/>
      <c r="AR183" s="127"/>
    </row>
    <row r="184">
      <c r="R184" s="223"/>
      <c r="AL184" s="49"/>
      <c r="AM184" s="49"/>
      <c r="AN184" s="49">
        <v>-0.5</v>
      </c>
      <c r="AO184" s="49">
        <v>-0.5</v>
      </c>
      <c r="AP184" s="49"/>
      <c r="AR184" s="127"/>
    </row>
    <row r="185">
      <c r="R185" s="223"/>
      <c r="AL185" s="49"/>
      <c r="AM185" s="49"/>
      <c r="AN185" s="49">
        <v>-0.5</v>
      </c>
      <c r="AO185" s="49">
        <v>-0.5</v>
      </c>
      <c r="AP185" s="49"/>
      <c r="AR185" s="127"/>
    </row>
    <row r="186">
      <c r="R186" s="223"/>
      <c r="AL186" s="49"/>
      <c r="AM186" s="49"/>
      <c r="AN186" s="49">
        <v>-0.5</v>
      </c>
      <c r="AO186" s="49">
        <v>-0.5</v>
      </c>
      <c r="AP186" s="49"/>
      <c r="AR186" s="127"/>
    </row>
    <row r="187">
      <c r="R187" s="223"/>
      <c r="AL187" s="49"/>
      <c r="AM187" s="49"/>
      <c r="AN187" s="49">
        <v>-0.5</v>
      </c>
      <c r="AO187" s="49">
        <v>-0.5</v>
      </c>
      <c r="AP187" s="49"/>
      <c r="AR187" s="127"/>
    </row>
    <row r="188">
      <c r="R188" s="223"/>
      <c r="AL188" s="49"/>
      <c r="AM188" s="49"/>
      <c r="AN188" s="49">
        <v>-0.5</v>
      </c>
      <c r="AO188" s="49">
        <v>-0.5</v>
      </c>
      <c r="AP188" s="49"/>
      <c r="AR188" s="127"/>
    </row>
    <row r="189">
      <c r="R189" s="223"/>
      <c r="AL189" s="49"/>
      <c r="AM189" s="49"/>
      <c r="AN189" s="49">
        <v>-0.5</v>
      </c>
      <c r="AO189" s="49">
        <v>-0.5</v>
      </c>
      <c r="AP189" s="49"/>
      <c r="AR189" s="127"/>
    </row>
    <row r="190">
      <c r="R190" s="223"/>
      <c r="AL190" s="49"/>
      <c r="AM190" s="49"/>
      <c r="AN190" s="49">
        <v>-0.5</v>
      </c>
      <c r="AO190" s="49">
        <v>-0.5</v>
      </c>
      <c r="AP190" s="49"/>
      <c r="AR190" s="127"/>
    </row>
    <row r="191">
      <c r="R191" s="223"/>
      <c r="AL191" s="49"/>
      <c r="AM191" s="49"/>
      <c r="AN191" s="49">
        <v>-0.5</v>
      </c>
      <c r="AO191" s="49">
        <v>-0.5</v>
      </c>
      <c r="AP191" s="49"/>
      <c r="AR191" s="127"/>
    </row>
    <row r="192">
      <c r="R192" s="223"/>
      <c r="AL192" s="49"/>
      <c r="AM192" s="49"/>
      <c r="AN192" s="49">
        <v>-0.5</v>
      </c>
      <c r="AO192" s="49">
        <v>-0.5</v>
      </c>
      <c r="AP192" s="49"/>
      <c r="AR192" s="127"/>
    </row>
    <row r="193">
      <c r="R193" s="223"/>
      <c r="AL193" s="49"/>
      <c r="AM193" s="49"/>
      <c r="AN193" s="49">
        <v>-0.5</v>
      </c>
      <c r="AO193" s="49">
        <v>-0.5</v>
      </c>
      <c r="AP193" s="49"/>
      <c r="AR193" s="127"/>
    </row>
    <row r="194">
      <c r="R194" s="223"/>
      <c r="AL194" s="49"/>
      <c r="AM194" s="49"/>
      <c r="AN194" s="49">
        <v>-0.5</v>
      </c>
      <c r="AO194" s="49">
        <v>-0.5</v>
      </c>
      <c r="AP194" s="49"/>
      <c r="AR194" s="127"/>
    </row>
    <row r="195">
      <c r="R195" s="223"/>
      <c r="AL195" s="49"/>
      <c r="AM195" s="49"/>
      <c r="AN195" s="49">
        <v>-0.5</v>
      </c>
      <c r="AO195" s="49">
        <v>-0.5</v>
      </c>
      <c r="AP195" s="49"/>
      <c r="AR195" s="127"/>
    </row>
    <row r="196">
      <c r="R196" s="223"/>
      <c r="AL196" s="49"/>
      <c r="AM196" s="49"/>
      <c r="AN196" s="49">
        <v>-0.5</v>
      </c>
      <c r="AO196" s="49">
        <v>-0.5</v>
      </c>
      <c r="AP196" s="49"/>
      <c r="AR196" s="127"/>
    </row>
    <row r="197">
      <c r="R197" s="223"/>
      <c r="AL197" s="49"/>
      <c r="AM197" s="49"/>
      <c r="AN197" s="49">
        <v>-0.5</v>
      </c>
      <c r="AO197" s="49">
        <v>-0.5</v>
      </c>
      <c r="AP197" s="49"/>
      <c r="AR197" s="127"/>
    </row>
    <row r="198">
      <c r="R198" s="223"/>
      <c r="AL198" s="49"/>
      <c r="AM198" s="49"/>
      <c r="AN198" s="49">
        <v>-0.5</v>
      </c>
      <c r="AO198" s="49">
        <v>-0.5</v>
      </c>
      <c r="AP198" s="49"/>
      <c r="AR198" s="127"/>
    </row>
    <row r="199">
      <c r="R199" s="223"/>
      <c r="AL199" s="49"/>
      <c r="AM199" s="49"/>
      <c r="AN199" s="49">
        <v>-0.5</v>
      </c>
      <c r="AO199" s="49">
        <v>-0.5</v>
      </c>
      <c r="AP199" s="49"/>
      <c r="AR199" s="127"/>
    </row>
    <row r="200">
      <c r="R200" s="223"/>
      <c r="AL200" s="49"/>
      <c r="AM200" s="49"/>
      <c r="AN200" s="49">
        <v>-0.5</v>
      </c>
      <c r="AO200" s="49">
        <v>-0.5</v>
      </c>
      <c r="AP200" s="49"/>
      <c r="AR200" s="127"/>
    </row>
    <row r="201">
      <c r="R201" s="223"/>
      <c r="AL201" s="49"/>
      <c r="AM201" s="49"/>
      <c r="AN201" s="49">
        <v>-0.5</v>
      </c>
      <c r="AO201" s="49">
        <v>-0.5</v>
      </c>
      <c r="AP201" s="49"/>
      <c r="AR201" s="127"/>
    </row>
    <row r="202">
      <c r="R202" s="223"/>
      <c r="AL202" s="49"/>
      <c r="AM202" s="49"/>
      <c r="AN202" s="49">
        <v>-0.5</v>
      </c>
      <c r="AO202" s="49">
        <v>-0.5</v>
      </c>
      <c r="AP202" s="49"/>
      <c r="AR202" s="127"/>
    </row>
    <row r="203">
      <c r="R203" s="223"/>
      <c r="AL203" s="49"/>
      <c r="AM203" s="49"/>
      <c r="AN203" s="49">
        <v>-0.5</v>
      </c>
      <c r="AO203" s="49">
        <v>-0.5</v>
      </c>
      <c r="AP203" s="49"/>
      <c r="AR203" s="127"/>
    </row>
    <row r="204">
      <c r="R204" s="223"/>
      <c r="AL204" s="49"/>
      <c r="AM204" s="49"/>
      <c r="AN204" s="49">
        <v>-0.5</v>
      </c>
      <c r="AO204" s="49">
        <v>-0.5</v>
      </c>
      <c r="AP204" s="49"/>
      <c r="AR204" s="127"/>
    </row>
    <row r="205">
      <c r="R205" s="223"/>
      <c r="AL205" s="49"/>
      <c r="AM205" s="49"/>
      <c r="AN205" s="49">
        <v>-0.5</v>
      </c>
      <c r="AO205" s="49">
        <v>-0.5</v>
      </c>
      <c r="AP205" s="49"/>
      <c r="AR205" s="127"/>
    </row>
    <row r="206">
      <c r="R206" s="223"/>
      <c r="AL206" s="49"/>
      <c r="AM206" s="49"/>
      <c r="AN206" s="49">
        <v>-0.5</v>
      </c>
      <c r="AO206" s="49">
        <v>-0.5</v>
      </c>
      <c r="AP206" s="49"/>
      <c r="AR206" s="127"/>
    </row>
    <row r="207">
      <c r="R207" s="223"/>
      <c r="AL207" s="49"/>
      <c r="AM207" s="49"/>
      <c r="AN207" s="49">
        <v>-0.5</v>
      </c>
      <c r="AO207" s="49">
        <v>-0.5</v>
      </c>
      <c r="AP207" s="49"/>
      <c r="AR207" s="127"/>
    </row>
    <row r="208">
      <c r="R208" s="223"/>
      <c r="AL208" s="49"/>
      <c r="AM208" s="49"/>
      <c r="AN208" s="49">
        <v>-0.5</v>
      </c>
      <c r="AO208" s="49">
        <v>-0.5</v>
      </c>
      <c r="AP208" s="49"/>
      <c r="AR208" s="127"/>
    </row>
    <row r="209">
      <c r="R209" s="223"/>
      <c r="AL209" s="49"/>
      <c r="AM209" s="49"/>
      <c r="AN209" s="49">
        <v>-0.5</v>
      </c>
      <c r="AO209" s="49">
        <v>-0.5</v>
      </c>
      <c r="AP209" s="49"/>
      <c r="AR209" s="127"/>
    </row>
    <row r="210">
      <c r="R210" s="223"/>
      <c r="AL210" s="49"/>
      <c r="AM210" s="49"/>
      <c r="AN210" s="49">
        <v>-0.5</v>
      </c>
      <c r="AO210" s="49">
        <v>-0.5</v>
      </c>
      <c r="AP210" s="49"/>
      <c r="AR210" s="127"/>
    </row>
    <row r="211">
      <c r="R211" s="223"/>
      <c r="AL211" s="49"/>
      <c r="AM211" s="49"/>
      <c r="AN211" s="49">
        <v>-0.5</v>
      </c>
      <c r="AO211" s="49">
        <v>-0.5</v>
      </c>
      <c r="AP211" s="49"/>
      <c r="AR211" s="127"/>
    </row>
    <row r="212">
      <c r="R212" s="223"/>
      <c r="AL212" s="49"/>
      <c r="AM212" s="49"/>
      <c r="AN212" s="49">
        <v>-0.5</v>
      </c>
      <c r="AO212" s="49">
        <v>-0.5</v>
      </c>
      <c r="AP212" s="49"/>
      <c r="AR212" s="127"/>
    </row>
    <row r="213">
      <c r="R213" s="223"/>
      <c r="AL213" s="49"/>
      <c r="AM213" s="49"/>
      <c r="AN213" s="49">
        <v>-0.5</v>
      </c>
      <c r="AO213" s="49">
        <v>-0.5</v>
      </c>
      <c r="AP213" s="49"/>
      <c r="AR213" s="127"/>
    </row>
    <row r="214">
      <c r="R214" s="223"/>
      <c r="AL214" s="49"/>
      <c r="AM214" s="49"/>
      <c r="AN214" s="49">
        <v>-0.5</v>
      </c>
      <c r="AO214" s="49">
        <v>-0.5</v>
      </c>
      <c r="AP214" s="49"/>
      <c r="AR214" s="127"/>
    </row>
    <row r="215">
      <c r="R215" s="223"/>
      <c r="AL215" s="49"/>
      <c r="AM215" s="49"/>
      <c r="AN215" s="49">
        <v>-0.5</v>
      </c>
      <c r="AO215" s="49">
        <v>-0.5</v>
      </c>
      <c r="AP215" s="49"/>
      <c r="AR215" s="127"/>
    </row>
    <row r="216">
      <c r="R216" s="223"/>
      <c r="AL216" s="49"/>
      <c r="AM216" s="49"/>
      <c r="AN216" s="49">
        <v>-0.5</v>
      </c>
      <c r="AO216" s="49">
        <v>-0.5</v>
      </c>
      <c r="AP216" s="49"/>
      <c r="AR216" s="127"/>
    </row>
    <row r="217">
      <c r="R217" s="223"/>
      <c r="AL217" s="49"/>
      <c r="AM217" s="49"/>
      <c r="AN217" s="49">
        <v>-0.5</v>
      </c>
      <c r="AO217" s="49">
        <v>-0.5</v>
      </c>
      <c r="AP217" s="49"/>
      <c r="AR217" s="127"/>
    </row>
    <row r="218">
      <c r="R218" s="223"/>
      <c r="AL218" s="49"/>
      <c r="AM218" s="49"/>
      <c r="AN218" s="49">
        <v>-0.5</v>
      </c>
      <c r="AO218" s="49">
        <v>-0.5</v>
      </c>
      <c r="AP218" s="49"/>
      <c r="AR218" s="127"/>
    </row>
    <row r="219">
      <c r="R219" s="223"/>
      <c r="AL219" s="49"/>
      <c r="AM219" s="49"/>
      <c r="AN219" s="49">
        <v>-0.5</v>
      </c>
      <c r="AO219" s="49">
        <v>-0.5</v>
      </c>
      <c r="AP219" s="49"/>
      <c r="AR219" s="127"/>
    </row>
    <row r="220">
      <c r="R220" s="223"/>
      <c r="AL220" s="49"/>
      <c r="AM220" s="49"/>
      <c r="AN220" s="49">
        <v>-0.5</v>
      </c>
      <c r="AO220" s="49">
        <v>-0.5</v>
      </c>
      <c r="AP220" s="49"/>
      <c r="AR220" s="127"/>
    </row>
    <row r="221">
      <c r="R221" s="223"/>
      <c r="AL221" s="49"/>
      <c r="AM221" s="49"/>
      <c r="AN221" s="49">
        <v>-0.5</v>
      </c>
      <c r="AO221" s="49">
        <v>-0.5</v>
      </c>
      <c r="AP221" s="49"/>
      <c r="AR221" s="127"/>
    </row>
    <row r="222">
      <c r="R222" s="223"/>
      <c r="AL222" s="49"/>
      <c r="AM222" s="49"/>
      <c r="AN222" s="49">
        <v>-0.5</v>
      </c>
      <c r="AO222" s="49">
        <v>-0.5</v>
      </c>
      <c r="AP222" s="49"/>
      <c r="AR222" s="127"/>
    </row>
    <row r="223">
      <c r="R223" s="223"/>
      <c r="AL223" s="49"/>
      <c r="AM223" s="49"/>
      <c r="AN223" s="49">
        <v>-0.5</v>
      </c>
      <c r="AO223" s="49">
        <v>-0.5</v>
      </c>
      <c r="AP223" s="49"/>
      <c r="AR223" s="127"/>
    </row>
    <row r="224">
      <c r="R224" s="223"/>
      <c r="AL224" s="49"/>
      <c r="AM224" s="49"/>
      <c r="AN224" s="49">
        <v>-0.5</v>
      </c>
      <c r="AO224" s="49">
        <v>-0.5</v>
      </c>
      <c r="AP224" s="49"/>
      <c r="AR224" s="127"/>
    </row>
    <row r="225">
      <c r="R225" s="223"/>
      <c r="AL225" s="49"/>
      <c r="AM225" s="49"/>
      <c r="AN225" s="49">
        <v>-0.5</v>
      </c>
      <c r="AO225" s="49">
        <v>-0.5</v>
      </c>
      <c r="AP225" s="49"/>
      <c r="AR225" s="127"/>
    </row>
    <row r="226">
      <c r="R226" s="223"/>
      <c r="AL226" s="49"/>
      <c r="AM226" s="49"/>
      <c r="AN226" s="49">
        <v>-0.5</v>
      </c>
      <c r="AO226" s="49">
        <v>-0.5</v>
      </c>
      <c r="AP226" s="49"/>
      <c r="AR226" s="127"/>
    </row>
    <row r="227">
      <c r="R227" s="223"/>
      <c r="AL227" s="49"/>
      <c r="AM227" s="49"/>
      <c r="AN227" s="49">
        <v>-0.5</v>
      </c>
      <c r="AO227" s="49">
        <v>-0.5</v>
      </c>
      <c r="AP227" s="49"/>
      <c r="AR227" s="127"/>
    </row>
    <row r="228">
      <c r="R228" s="223"/>
      <c r="AL228" s="49"/>
      <c r="AM228" s="49"/>
      <c r="AN228" s="49">
        <v>-0.5</v>
      </c>
      <c r="AO228" s="49">
        <v>-0.5</v>
      </c>
      <c r="AP228" s="49"/>
      <c r="AR228" s="127"/>
    </row>
    <row r="229">
      <c r="R229" s="223"/>
      <c r="AL229" s="49"/>
      <c r="AM229" s="49"/>
      <c r="AN229" s="49">
        <v>-0.5</v>
      </c>
      <c r="AO229" s="49">
        <v>-0.5</v>
      </c>
      <c r="AP229" s="49"/>
      <c r="AR229" s="127"/>
    </row>
    <row r="230">
      <c r="R230" s="223"/>
      <c r="AL230" s="49"/>
      <c r="AM230" s="49"/>
      <c r="AN230" s="49">
        <v>-0.5</v>
      </c>
      <c r="AO230" s="49">
        <v>-0.5</v>
      </c>
      <c r="AP230" s="49"/>
      <c r="AR230" s="127"/>
    </row>
    <row r="231">
      <c r="R231" s="223"/>
      <c r="AL231" s="49"/>
      <c r="AM231" s="49"/>
      <c r="AN231" s="49">
        <v>-0.5</v>
      </c>
      <c r="AO231" s="49">
        <v>-0.5</v>
      </c>
      <c r="AP231" s="49"/>
      <c r="AR231" s="127"/>
    </row>
    <row r="232">
      <c r="R232" s="223"/>
      <c r="AL232" s="49"/>
      <c r="AM232" s="49"/>
      <c r="AN232" s="49">
        <v>-0.5</v>
      </c>
      <c r="AO232" s="49">
        <v>-0.5</v>
      </c>
      <c r="AP232" s="49"/>
      <c r="AR232" s="127"/>
    </row>
    <row r="233">
      <c r="R233" s="223"/>
      <c r="AL233" s="49"/>
      <c r="AM233" s="49"/>
      <c r="AN233" s="49">
        <v>-0.5</v>
      </c>
      <c r="AO233" s="49">
        <v>-0.5</v>
      </c>
      <c r="AP233" s="49"/>
      <c r="AR233" s="127"/>
    </row>
    <row r="234">
      <c r="R234" s="223"/>
      <c r="AL234" s="49"/>
      <c r="AM234" s="49"/>
      <c r="AN234" s="49">
        <v>-0.5</v>
      </c>
      <c r="AO234" s="49">
        <v>-0.5</v>
      </c>
      <c r="AP234" s="49"/>
      <c r="AR234" s="127"/>
    </row>
    <row r="235">
      <c r="R235" s="223"/>
      <c r="AL235" s="49"/>
      <c r="AM235" s="49"/>
      <c r="AN235" s="49">
        <v>-0.5</v>
      </c>
      <c r="AO235" s="49">
        <v>-0.5</v>
      </c>
      <c r="AP235" s="49"/>
      <c r="AR235" s="127"/>
    </row>
    <row r="236">
      <c r="R236" s="223"/>
      <c r="AL236" s="49"/>
      <c r="AM236" s="49"/>
      <c r="AN236" s="49">
        <v>-0.5</v>
      </c>
      <c r="AO236" s="49">
        <v>-0.5</v>
      </c>
      <c r="AP236" s="49"/>
      <c r="AR236" s="127"/>
    </row>
    <row r="237">
      <c r="R237" s="223"/>
      <c r="AL237" s="49"/>
      <c r="AM237" s="49"/>
      <c r="AN237" s="49">
        <v>-0.5</v>
      </c>
      <c r="AO237" s="49">
        <v>-0.5</v>
      </c>
      <c r="AP237" s="49"/>
      <c r="AR237" s="127"/>
    </row>
    <row r="238">
      <c r="R238" s="223"/>
      <c r="AL238" s="49"/>
      <c r="AM238" s="49"/>
      <c r="AN238" s="49">
        <v>-0.5</v>
      </c>
      <c r="AO238" s="49">
        <v>-0.5</v>
      </c>
      <c r="AP238" s="49"/>
      <c r="AR238" s="127"/>
    </row>
    <row r="239">
      <c r="R239" s="223"/>
      <c r="AL239" s="49"/>
      <c r="AM239" s="49"/>
      <c r="AN239" s="49">
        <v>-0.5</v>
      </c>
      <c r="AO239" s="49">
        <v>-0.5</v>
      </c>
      <c r="AP239" s="49"/>
      <c r="AR239" s="127"/>
    </row>
    <row r="240">
      <c r="R240" s="223"/>
      <c r="AL240" s="49"/>
      <c r="AM240" s="49"/>
      <c r="AN240" s="49">
        <v>-0.5</v>
      </c>
      <c r="AO240" s="49">
        <v>-0.5</v>
      </c>
      <c r="AP240" s="49"/>
      <c r="AR240" s="127"/>
    </row>
    <row r="241">
      <c r="R241" s="223"/>
      <c r="AL241" s="49"/>
      <c r="AM241" s="49"/>
      <c r="AN241" s="49">
        <v>-0.5</v>
      </c>
      <c r="AO241" s="49">
        <v>-0.5</v>
      </c>
      <c r="AP241" s="49"/>
      <c r="AR241" s="127"/>
    </row>
    <row r="242">
      <c r="R242" s="223"/>
      <c r="AL242" s="49"/>
      <c r="AM242" s="49"/>
      <c r="AN242" s="49">
        <v>-0.5</v>
      </c>
      <c r="AO242" s="49">
        <v>-0.5</v>
      </c>
      <c r="AP242" s="49"/>
      <c r="AR242" s="127"/>
    </row>
    <row r="243">
      <c r="R243" s="223"/>
      <c r="AL243" s="49"/>
      <c r="AM243" s="49"/>
      <c r="AN243" s="49">
        <v>-0.5</v>
      </c>
      <c r="AO243" s="49">
        <v>-0.5</v>
      </c>
      <c r="AP243" s="49"/>
      <c r="AR243" s="127"/>
    </row>
    <row r="244">
      <c r="R244" s="223"/>
      <c r="AL244" s="49"/>
      <c r="AM244" s="49"/>
      <c r="AN244" s="49">
        <v>-0.5</v>
      </c>
      <c r="AO244" s="49">
        <v>-0.5</v>
      </c>
      <c r="AP244" s="49"/>
      <c r="AR244" s="127"/>
    </row>
    <row r="245">
      <c r="R245" s="223"/>
      <c r="AL245" s="49"/>
      <c r="AM245" s="49"/>
      <c r="AN245" s="49">
        <v>-0.5</v>
      </c>
      <c r="AO245" s="49">
        <v>-0.5</v>
      </c>
      <c r="AP245" s="49"/>
      <c r="AR245" s="127"/>
    </row>
    <row r="246">
      <c r="R246" s="223"/>
      <c r="AL246" s="49"/>
      <c r="AM246" s="49"/>
      <c r="AN246" s="49">
        <v>-0.5</v>
      </c>
      <c r="AO246" s="49">
        <v>-0.5</v>
      </c>
      <c r="AP246" s="49"/>
      <c r="AR246" s="127"/>
    </row>
    <row r="247">
      <c r="R247" s="223"/>
      <c r="AL247" s="49"/>
      <c r="AM247" s="49"/>
      <c r="AN247" s="49">
        <v>-0.5</v>
      </c>
      <c r="AO247" s="49">
        <v>-0.5</v>
      </c>
      <c r="AP247" s="49"/>
      <c r="AR247" s="127"/>
    </row>
    <row r="248">
      <c r="R248" s="223"/>
      <c r="AL248" s="49"/>
      <c r="AM248" s="49"/>
      <c r="AN248" s="49">
        <v>-0.5</v>
      </c>
      <c r="AO248" s="49">
        <v>-0.5</v>
      </c>
      <c r="AP248" s="49"/>
      <c r="AR248" s="127"/>
    </row>
    <row r="249">
      <c r="R249" s="223"/>
      <c r="AL249" s="49"/>
      <c r="AM249" s="49"/>
      <c r="AN249" s="49">
        <v>-0.5</v>
      </c>
      <c r="AO249" s="49">
        <v>-0.5</v>
      </c>
      <c r="AP249" s="49"/>
      <c r="AR249" s="127"/>
    </row>
    <row r="250">
      <c r="R250" s="223"/>
      <c r="AL250" s="49"/>
      <c r="AM250" s="49"/>
      <c r="AN250" s="49">
        <v>-0.5</v>
      </c>
      <c r="AO250" s="49">
        <v>-0.5</v>
      </c>
      <c r="AP250" s="49"/>
      <c r="AR250" s="127"/>
    </row>
    <row r="251">
      <c r="R251" s="223"/>
      <c r="AL251" s="49"/>
      <c r="AM251" s="49"/>
      <c r="AN251" s="49">
        <v>-0.5</v>
      </c>
      <c r="AO251" s="49">
        <v>-0.5</v>
      </c>
      <c r="AP251" s="49"/>
      <c r="AR251" s="127"/>
    </row>
    <row r="252">
      <c r="R252" s="223"/>
      <c r="AL252" s="49"/>
      <c r="AM252" s="49"/>
      <c r="AN252" s="49">
        <v>-0.5</v>
      </c>
      <c r="AO252" s="49">
        <v>-0.5</v>
      </c>
      <c r="AP252" s="49"/>
      <c r="AR252" s="127"/>
    </row>
    <row r="253">
      <c r="R253" s="223"/>
      <c r="AL253" s="49"/>
      <c r="AM253" s="49"/>
      <c r="AN253" s="49">
        <v>-0.5</v>
      </c>
      <c r="AO253" s="49">
        <v>-0.5</v>
      </c>
      <c r="AP253" s="49"/>
      <c r="AR253" s="127"/>
    </row>
    <row r="254">
      <c r="R254" s="223"/>
      <c r="AL254" s="49"/>
      <c r="AM254" s="49"/>
      <c r="AN254" s="49">
        <v>-0.5</v>
      </c>
      <c r="AO254" s="49">
        <v>-0.5</v>
      </c>
      <c r="AP254" s="49"/>
      <c r="AR254" s="127"/>
    </row>
    <row r="255">
      <c r="R255" s="223"/>
      <c r="AL255" s="49"/>
      <c r="AM255" s="49"/>
      <c r="AN255" s="49">
        <v>-0.5</v>
      </c>
      <c r="AO255" s="49">
        <v>-0.5</v>
      </c>
      <c r="AP255" s="49"/>
      <c r="AR255" s="127"/>
    </row>
    <row r="256">
      <c r="R256" s="223"/>
      <c r="AL256" s="49"/>
      <c r="AM256" s="49"/>
      <c r="AN256" s="49">
        <v>-0.5</v>
      </c>
      <c r="AO256" s="49">
        <v>-0.5</v>
      </c>
      <c r="AP256" s="49"/>
      <c r="AR256" s="127"/>
    </row>
    <row r="257">
      <c r="R257" s="223"/>
      <c r="AL257" s="49"/>
      <c r="AM257" s="49"/>
      <c r="AN257" s="49">
        <v>-0.5</v>
      </c>
      <c r="AO257" s="49">
        <v>-0.5</v>
      </c>
      <c r="AP257" s="49"/>
      <c r="AR257" s="127"/>
    </row>
    <row r="258">
      <c r="R258" s="223"/>
      <c r="AL258" s="49"/>
      <c r="AM258" s="49"/>
      <c r="AN258" s="49">
        <v>-0.5</v>
      </c>
      <c r="AO258" s="49">
        <v>-0.5</v>
      </c>
      <c r="AP258" s="49"/>
      <c r="AR258" s="127"/>
    </row>
    <row r="259">
      <c r="R259" s="223"/>
      <c r="AL259" s="49"/>
      <c r="AM259" s="49"/>
      <c r="AN259" s="49">
        <v>-0.5</v>
      </c>
      <c r="AO259" s="49">
        <v>-0.5</v>
      </c>
      <c r="AP259" s="49"/>
      <c r="AR259" s="127"/>
    </row>
    <row r="260">
      <c r="R260" s="223"/>
      <c r="AL260" s="49"/>
      <c r="AM260" s="49"/>
      <c r="AN260" s="49">
        <v>-0.5</v>
      </c>
      <c r="AO260" s="49">
        <v>-0.5</v>
      </c>
      <c r="AP260" s="49"/>
      <c r="AR260" s="127"/>
    </row>
    <row r="261">
      <c r="R261" s="223"/>
      <c r="AL261" s="49"/>
      <c r="AM261" s="49"/>
      <c r="AN261" s="49">
        <v>-0.5</v>
      </c>
      <c r="AO261" s="49">
        <v>-0.5</v>
      </c>
      <c r="AP261" s="49"/>
      <c r="AR261" s="127"/>
    </row>
    <row r="262">
      <c r="R262" s="223"/>
      <c r="AL262" s="49"/>
      <c r="AM262" s="49"/>
      <c r="AN262" s="49">
        <v>-0.5</v>
      </c>
      <c r="AO262" s="49">
        <v>-0.5</v>
      </c>
      <c r="AP262" s="49"/>
      <c r="AR262" s="127"/>
    </row>
    <row r="263">
      <c r="R263" s="223"/>
      <c r="AL263" s="49"/>
      <c r="AM263" s="49"/>
      <c r="AN263" s="49">
        <v>-0.5</v>
      </c>
      <c r="AO263" s="49">
        <v>-0.5</v>
      </c>
      <c r="AP263" s="49"/>
      <c r="AR263" s="127"/>
    </row>
    <row r="264">
      <c r="R264" s="223"/>
      <c r="AL264" s="49"/>
      <c r="AM264" s="49"/>
      <c r="AN264" s="49">
        <v>-0.5</v>
      </c>
      <c r="AO264" s="49">
        <v>-0.5</v>
      </c>
      <c r="AP264" s="49"/>
      <c r="AR264" s="127"/>
    </row>
    <row r="265">
      <c r="R265" s="223"/>
      <c r="AL265" s="49"/>
      <c r="AM265" s="49"/>
      <c r="AN265" s="49">
        <v>-0.5</v>
      </c>
      <c r="AO265" s="49">
        <v>-0.5</v>
      </c>
      <c r="AP265" s="49"/>
      <c r="AR265" s="127"/>
    </row>
    <row r="266">
      <c r="R266" s="223"/>
      <c r="AL266" s="49"/>
      <c r="AM266" s="49"/>
      <c r="AN266" s="49">
        <v>-0.5</v>
      </c>
      <c r="AO266" s="49">
        <v>-0.5</v>
      </c>
      <c r="AP266" s="49"/>
      <c r="AR266" s="127"/>
    </row>
    <row r="267">
      <c r="R267" s="223"/>
      <c r="AL267" s="49"/>
      <c r="AM267" s="49"/>
      <c r="AN267" s="49">
        <v>-0.5</v>
      </c>
      <c r="AO267" s="49">
        <v>-0.5</v>
      </c>
      <c r="AP267" s="49"/>
      <c r="AR267" s="127"/>
    </row>
    <row r="268">
      <c r="R268" s="223"/>
      <c r="AL268" s="49"/>
      <c r="AM268" s="49"/>
      <c r="AN268" s="49">
        <v>-0.5</v>
      </c>
      <c r="AO268" s="49">
        <v>-0.5</v>
      </c>
      <c r="AP268" s="49"/>
      <c r="AR268" s="127"/>
    </row>
    <row r="269">
      <c r="R269" s="223"/>
      <c r="AL269" s="49"/>
      <c r="AM269" s="49"/>
      <c r="AN269" s="49">
        <v>-0.5</v>
      </c>
      <c r="AO269" s="49">
        <v>-0.5</v>
      </c>
      <c r="AP269" s="49"/>
      <c r="AR269" s="127"/>
    </row>
    <row r="270">
      <c r="R270" s="223"/>
      <c r="AL270" s="49"/>
      <c r="AM270" s="49"/>
      <c r="AN270" s="49">
        <v>-0.5</v>
      </c>
      <c r="AO270" s="49">
        <v>-0.5</v>
      </c>
      <c r="AP270" s="49"/>
      <c r="AR270" s="127"/>
    </row>
    <row r="271">
      <c r="R271" s="223"/>
      <c r="AL271" s="49"/>
      <c r="AM271" s="49"/>
      <c r="AN271" s="49">
        <v>-0.5</v>
      </c>
      <c r="AO271" s="49">
        <v>-0.5</v>
      </c>
      <c r="AP271" s="49"/>
      <c r="AR271" s="127"/>
    </row>
    <row r="272">
      <c r="R272" s="223"/>
      <c r="AL272" s="49"/>
      <c r="AM272" s="49"/>
      <c r="AN272" s="49">
        <v>-0.5</v>
      </c>
      <c r="AO272" s="49">
        <v>-0.5</v>
      </c>
      <c r="AP272" s="49"/>
      <c r="AR272" s="127"/>
    </row>
    <row r="273">
      <c r="R273" s="223"/>
      <c r="AL273" s="49"/>
      <c r="AM273" s="49"/>
      <c r="AN273" s="49">
        <v>-0.5</v>
      </c>
      <c r="AO273" s="49">
        <v>-0.5</v>
      </c>
      <c r="AP273" s="49"/>
      <c r="AR273" s="127"/>
    </row>
    <row r="274">
      <c r="R274" s="223"/>
      <c r="AL274" s="49"/>
      <c r="AM274" s="49"/>
      <c r="AN274" s="49">
        <v>-0.5</v>
      </c>
      <c r="AO274" s="49">
        <v>-0.5</v>
      </c>
      <c r="AP274" s="49"/>
      <c r="AR274" s="127"/>
    </row>
    <row r="275">
      <c r="R275" s="223"/>
      <c r="AL275" s="49"/>
      <c r="AM275" s="49"/>
      <c r="AN275" s="49">
        <v>-0.5</v>
      </c>
      <c r="AO275" s="49">
        <v>-0.5</v>
      </c>
      <c r="AP275" s="49"/>
      <c r="AR275" s="127"/>
    </row>
    <row r="276">
      <c r="R276" s="223"/>
      <c r="AL276" s="49"/>
      <c r="AM276" s="49"/>
      <c r="AN276" s="49">
        <v>-0.5</v>
      </c>
      <c r="AO276" s="49">
        <v>-0.5</v>
      </c>
      <c r="AP276" s="49"/>
      <c r="AR276" s="127"/>
    </row>
    <row r="277">
      <c r="R277" s="223"/>
      <c r="AL277" s="49"/>
      <c r="AM277" s="49"/>
      <c r="AN277" s="49">
        <v>-0.5</v>
      </c>
      <c r="AO277" s="49">
        <v>-0.5</v>
      </c>
      <c r="AP277" s="49"/>
      <c r="AR277" s="127"/>
    </row>
    <row r="278">
      <c r="R278" s="223"/>
      <c r="AL278" s="49"/>
      <c r="AM278" s="49"/>
      <c r="AN278" s="49">
        <v>-0.5</v>
      </c>
      <c r="AO278" s="49">
        <v>-0.5</v>
      </c>
      <c r="AP278" s="49"/>
      <c r="AR278" s="127"/>
    </row>
    <row r="279">
      <c r="R279" s="223"/>
      <c r="AL279" s="49"/>
      <c r="AM279" s="49"/>
      <c r="AN279" s="49">
        <v>-0.5</v>
      </c>
      <c r="AO279" s="49">
        <v>-0.5</v>
      </c>
      <c r="AP279" s="49"/>
      <c r="AR279" s="127"/>
    </row>
    <row r="280">
      <c r="R280" s="223"/>
      <c r="AL280" s="49"/>
      <c r="AM280" s="49"/>
      <c r="AN280" s="49">
        <v>-0.5</v>
      </c>
      <c r="AO280" s="49">
        <v>-0.5</v>
      </c>
      <c r="AP280" s="49"/>
      <c r="AR280" s="127"/>
    </row>
    <row r="281">
      <c r="R281" s="223"/>
      <c r="AL281" s="49"/>
      <c r="AM281" s="49"/>
      <c r="AN281" s="49">
        <v>-0.5</v>
      </c>
      <c r="AO281" s="49">
        <v>-0.5</v>
      </c>
      <c r="AP281" s="49"/>
      <c r="AR281" s="127"/>
    </row>
    <row r="282">
      <c r="R282" s="223"/>
      <c r="AL282" s="49"/>
      <c r="AM282" s="49"/>
      <c r="AN282" s="49">
        <v>-0.5</v>
      </c>
      <c r="AO282" s="49">
        <v>-0.5</v>
      </c>
      <c r="AP282" s="49"/>
      <c r="AR282" s="127"/>
    </row>
    <row r="283">
      <c r="R283" s="223"/>
      <c r="AL283" s="49"/>
      <c r="AM283" s="49"/>
      <c r="AN283" s="49">
        <v>-0.5</v>
      </c>
      <c r="AO283" s="49">
        <v>-0.5</v>
      </c>
      <c r="AP283" s="49"/>
      <c r="AR283" s="127"/>
    </row>
    <row r="284">
      <c r="R284" s="223"/>
      <c r="AL284" s="49"/>
      <c r="AM284" s="49"/>
      <c r="AN284" s="49">
        <v>-0.5</v>
      </c>
      <c r="AO284" s="49">
        <v>-0.5</v>
      </c>
      <c r="AP284" s="49"/>
      <c r="AR284" s="127"/>
    </row>
    <row r="285">
      <c r="R285" s="223"/>
      <c r="AL285" s="49"/>
      <c r="AM285" s="49"/>
      <c r="AN285" s="49">
        <v>-0.5</v>
      </c>
      <c r="AO285" s="49">
        <v>-0.5</v>
      </c>
      <c r="AP285" s="49"/>
      <c r="AR285" s="127"/>
    </row>
    <row r="286">
      <c r="R286" s="223"/>
      <c r="AL286" s="49"/>
      <c r="AM286" s="49"/>
      <c r="AN286" s="49">
        <v>-0.5</v>
      </c>
      <c r="AO286" s="49">
        <v>-0.5</v>
      </c>
      <c r="AP286" s="49"/>
      <c r="AR286" s="127"/>
    </row>
    <row r="287">
      <c r="R287" s="223"/>
      <c r="AL287" s="49"/>
      <c r="AM287" s="49"/>
      <c r="AN287" s="49">
        <v>-0.5</v>
      </c>
      <c r="AO287" s="49">
        <v>-0.5</v>
      </c>
      <c r="AP287" s="49"/>
      <c r="AR287" s="127"/>
    </row>
    <row r="288">
      <c r="R288" s="223"/>
      <c r="AL288" s="49"/>
      <c r="AM288" s="49"/>
      <c r="AN288" s="49">
        <v>-0.5</v>
      </c>
      <c r="AO288" s="49">
        <v>-0.5</v>
      </c>
      <c r="AP288" s="49"/>
      <c r="AR288" s="127"/>
    </row>
    <row r="289">
      <c r="R289" s="223"/>
      <c r="AL289" s="49"/>
      <c r="AM289" s="49"/>
      <c r="AN289" s="49">
        <v>-0.5</v>
      </c>
      <c r="AO289" s="49">
        <v>-0.5</v>
      </c>
      <c r="AP289" s="49"/>
      <c r="AR289" s="127"/>
    </row>
    <row r="290">
      <c r="R290" s="223"/>
      <c r="AL290" s="49"/>
      <c r="AM290" s="49"/>
      <c r="AN290" s="49">
        <v>-0.5</v>
      </c>
      <c r="AO290" s="49">
        <v>-0.5</v>
      </c>
      <c r="AP290" s="49"/>
      <c r="AR290" s="127"/>
    </row>
    <row r="291">
      <c r="R291" s="223"/>
      <c r="AL291" s="49"/>
      <c r="AM291" s="49"/>
      <c r="AN291" s="49">
        <v>-0.5</v>
      </c>
      <c r="AO291" s="49">
        <v>-0.5</v>
      </c>
      <c r="AP291" s="49"/>
      <c r="AR291" s="127"/>
    </row>
    <row r="292">
      <c r="R292" s="223"/>
      <c r="AL292" s="49"/>
      <c r="AM292" s="49"/>
      <c r="AN292" s="49">
        <v>-0.5</v>
      </c>
      <c r="AO292" s="49">
        <v>-0.5</v>
      </c>
      <c r="AP292" s="49"/>
      <c r="AR292" s="127"/>
    </row>
    <row r="293">
      <c r="R293" s="223"/>
      <c r="AL293" s="49"/>
      <c r="AM293" s="49"/>
      <c r="AN293" s="49">
        <v>-0.5</v>
      </c>
      <c r="AO293" s="49">
        <v>-0.5</v>
      </c>
      <c r="AP293" s="49"/>
      <c r="AR293" s="127"/>
    </row>
    <row r="294">
      <c r="R294" s="223"/>
      <c r="AL294" s="49"/>
      <c r="AM294" s="49"/>
      <c r="AN294" s="49">
        <v>-0.5</v>
      </c>
      <c r="AO294" s="49">
        <v>-0.5</v>
      </c>
      <c r="AP294" s="49"/>
      <c r="AR294" s="127"/>
    </row>
    <row r="295">
      <c r="R295" s="223"/>
      <c r="AL295" s="49"/>
      <c r="AM295" s="49"/>
      <c r="AN295" s="49">
        <v>-0.5</v>
      </c>
      <c r="AO295" s="49">
        <v>-0.5</v>
      </c>
      <c r="AP295" s="49"/>
      <c r="AR295" s="127"/>
    </row>
    <row r="296">
      <c r="R296" s="223"/>
      <c r="AL296" s="49"/>
      <c r="AM296" s="49"/>
      <c r="AN296" s="49">
        <v>-0.5</v>
      </c>
      <c r="AO296" s="49">
        <v>-0.5</v>
      </c>
      <c r="AP296" s="49"/>
      <c r="AR296" s="127"/>
    </row>
    <row r="297">
      <c r="R297" s="223"/>
      <c r="AL297" s="49"/>
      <c r="AM297" s="49"/>
      <c r="AN297" s="49">
        <v>-0.5</v>
      </c>
      <c r="AO297" s="49">
        <v>-0.5</v>
      </c>
      <c r="AP297" s="49"/>
      <c r="AR297" s="127"/>
    </row>
    <row r="298">
      <c r="R298" s="223"/>
      <c r="AL298" s="49"/>
      <c r="AM298" s="49"/>
      <c r="AN298" s="49">
        <v>-0.5</v>
      </c>
      <c r="AO298" s="49">
        <v>-0.5</v>
      </c>
      <c r="AP298" s="49"/>
      <c r="AR298" s="127"/>
    </row>
    <row r="299">
      <c r="R299" s="223"/>
      <c r="AL299" s="49"/>
      <c r="AM299" s="49"/>
      <c r="AN299" s="49">
        <v>-0.5</v>
      </c>
      <c r="AO299" s="49">
        <v>-0.5</v>
      </c>
      <c r="AP299" s="49"/>
      <c r="AR299" s="127"/>
    </row>
    <row r="300">
      <c r="R300" s="223"/>
      <c r="AL300" s="49"/>
      <c r="AM300" s="49"/>
      <c r="AN300" s="49">
        <v>-0.5</v>
      </c>
      <c r="AO300" s="49">
        <v>-0.5</v>
      </c>
      <c r="AP300" s="49"/>
      <c r="AR300" s="127"/>
    </row>
    <row r="301">
      <c r="R301" s="223"/>
      <c r="AL301" s="49"/>
      <c r="AM301" s="49"/>
      <c r="AN301" s="49">
        <v>-0.5</v>
      </c>
      <c r="AO301" s="49">
        <v>-0.5</v>
      </c>
      <c r="AP301" s="49"/>
      <c r="AR301" s="127"/>
    </row>
    <row r="302">
      <c r="R302" s="223"/>
      <c r="AL302" s="49"/>
      <c r="AM302" s="49"/>
      <c r="AN302" s="49">
        <v>-0.5</v>
      </c>
      <c r="AO302" s="49">
        <v>-0.5</v>
      </c>
      <c r="AP302" s="49"/>
      <c r="AR302" s="127"/>
    </row>
    <row r="303">
      <c r="R303" s="223"/>
      <c r="AL303" s="49"/>
      <c r="AM303" s="49"/>
      <c r="AN303" s="49">
        <v>-0.5</v>
      </c>
      <c r="AO303" s="49">
        <v>-0.5</v>
      </c>
      <c r="AP303" s="49"/>
      <c r="AR303" s="127"/>
    </row>
    <row r="304">
      <c r="R304" s="223"/>
      <c r="AL304" s="49"/>
      <c r="AM304" s="49"/>
      <c r="AN304" s="49">
        <v>-0.5</v>
      </c>
      <c r="AO304" s="49">
        <v>-0.5</v>
      </c>
      <c r="AP304" s="49"/>
      <c r="AR304" s="127"/>
    </row>
    <row r="305">
      <c r="R305" s="223"/>
      <c r="AL305" s="49"/>
      <c r="AM305" s="49"/>
      <c r="AN305" s="49">
        <v>-0.5</v>
      </c>
      <c r="AO305" s="49">
        <v>-0.5</v>
      </c>
      <c r="AP305" s="49"/>
      <c r="AR305" s="127"/>
    </row>
    <row r="306">
      <c r="R306" s="223"/>
      <c r="AL306" s="49"/>
      <c r="AM306" s="49"/>
      <c r="AN306" s="49">
        <v>-0.5</v>
      </c>
      <c r="AO306" s="49">
        <v>-0.5</v>
      </c>
      <c r="AP306" s="49"/>
      <c r="AR306" s="127"/>
    </row>
    <row r="307">
      <c r="R307" s="223"/>
      <c r="AL307" s="49"/>
      <c r="AM307" s="49"/>
      <c r="AN307" s="49">
        <v>-0.5</v>
      </c>
      <c r="AO307" s="49">
        <v>-0.5</v>
      </c>
      <c r="AP307" s="49"/>
      <c r="AR307" s="127"/>
    </row>
    <row r="308">
      <c r="R308" s="223"/>
      <c r="AL308" s="49"/>
      <c r="AM308" s="49"/>
      <c r="AN308" s="49">
        <v>-0.5</v>
      </c>
      <c r="AO308" s="49">
        <v>-0.5</v>
      </c>
      <c r="AP308" s="49"/>
      <c r="AR308" s="127"/>
    </row>
    <row r="309">
      <c r="R309" s="223"/>
      <c r="AL309" s="49"/>
      <c r="AM309" s="49"/>
      <c r="AN309" s="49">
        <v>-0.5</v>
      </c>
      <c r="AO309" s="49">
        <v>-0.5</v>
      </c>
      <c r="AP309" s="49"/>
      <c r="AR309" s="127"/>
    </row>
    <row r="310">
      <c r="R310" s="223"/>
      <c r="AL310" s="49"/>
      <c r="AM310" s="49"/>
      <c r="AN310" s="49">
        <v>-0.5</v>
      </c>
      <c r="AO310" s="49">
        <v>-0.5</v>
      </c>
      <c r="AP310" s="49"/>
      <c r="AR310" s="127"/>
    </row>
    <row r="311">
      <c r="R311" s="223"/>
      <c r="AL311" s="49"/>
      <c r="AM311" s="49"/>
      <c r="AN311" s="49">
        <v>-0.5</v>
      </c>
      <c r="AO311" s="49">
        <v>-0.5</v>
      </c>
      <c r="AP311" s="49"/>
      <c r="AR311" s="127"/>
    </row>
    <row r="312">
      <c r="R312" s="223"/>
      <c r="AL312" s="49"/>
      <c r="AM312" s="49"/>
      <c r="AN312" s="49">
        <v>-0.5</v>
      </c>
      <c r="AO312" s="49">
        <v>-0.5</v>
      </c>
      <c r="AP312" s="49"/>
      <c r="AR312" s="127"/>
    </row>
    <row r="313">
      <c r="R313" s="223"/>
      <c r="AL313" s="49"/>
      <c r="AM313" s="49"/>
      <c r="AN313" s="49">
        <v>-0.5</v>
      </c>
      <c r="AO313" s="49">
        <v>-0.5</v>
      </c>
      <c r="AP313" s="49"/>
      <c r="AR313" s="127"/>
    </row>
    <row r="314">
      <c r="R314" s="223"/>
      <c r="AL314" s="49"/>
      <c r="AM314" s="49"/>
      <c r="AN314" s="49">
        <v>-0.5</v>
      </c>
      <c r="AO314" s="49">
        <v>-0.5</v>
      </c>
      <c r="AP314" s="49"/>
      <c r="AR314" s="127"/>
    </row>
    <row r="315">
      <c r="R315" s="223"/>
      <c r="AL315" s="49"/>
      <c r="AM315" s="49"/>
      <c r="AN315" s="49">
        <v>-0.5</v>
      </c>
      <c r="AO315" s="49">
        <v>-0.5</v>
      </c>
      <c r="AP315" s="49"/>
      <c r="AR315" s="127"/>
    </row>
    <row r="316">
      <c r="R316" s="223"/>
      <c r="AL316" s="49"/>
      <c r="AM316" s="49"/>
      <c r="AN316" s="49">
        <v>-0.5</v>
      </c>
      <c r="AO316" s="49">
        <v>-0.5</v>
      </c>
      <c r="AP316" s="49"/>
      <c r="AR316" s="127"/>
    </row>
    <row r="317">
      <c r="R317" s="223"/>
      <c r="AL317" s="49"/>
      <c r="AM317" s="49"/>
      <c r="AN317" s="49">
        <v>-0.5</v>
      </c>
      <c r="AO317" s="49">
        <v>-0.5</v>
      </c>
      <c r="AP317" s="49"/>
      <c r="AR317" s="127"/>
    </row>
    <row r="318">
      <c r="R318" s="223"/>
      <c r="AL318" s="49"/>
      <c r="AM318" s="49"/>
      <c r="AN318" s="49">
        <v>-0.5</v>
      </c>
      <c r="AO318" s="49">
        <v>-0.5</v>
      </c>
      <c r="AP318" s="49"/>
      <c r="AR318" s="127"/>
    </row>
    <row r="319">
      <c r="R319" s="223"/>
      <c r="AL319" s="49"/>
      <c r="AM319" s="49"/>
      <c r="AN319" s="49">
        <v>-0.5</v>
      </c>
      <c r="AO319" s="49">
        <v>-0.5</v>
      </c>
      <c r="AP319" s="49"/>
      <c r="AR319" s="127"/>
    </row>
    <row r="320">
      <c r="R320" s="223"/>
      <c r="AL320" s="49"/>
      <c r="AM320" s="49"/>
      <c r="AN320" s="49">
        <v>-0.5</v>
      </c>
      <c r="AO320" s="49">
        <v>-0.5</v>
      </c>
      <c r="AP320" s="49"/>
      <c r="AR320" s="127"/>
    </row>
    <row r="321">
      <c r="R321" s="223"/>
      <c r="AL321" s="49"/>
      <c r="AM321" s="49"/>
      <c r="AN321" s="49">
        <v>-0.5</v>
      </c>
      <c r="AO321" s="49">
        <v>-0.5</v>
      </c>
      <c r="AP321" s="49"/>
      <c r="AR321" s="127"/>
    </row>
    <row r="322">
      <c r="R322" s="223"/>
      <c r="AL322" s="49"/>
      <c r="AM322" s="49"/>
      <c r="AN322" s="49">
        <v>-0.5</v>
      </c>
      <c r="AO322" s="49">
        <v>-0.5</v>
      </c>
      <c r="AP322" s="49"/>
      <c r="AR322" s="127"/>
    </row>
    <row r="323">
      <c r="R323" s="223"/>
      <c r="AL323" s="49"/>
      <c r="AM323" s="49"/>
      <c r="AN323" s="49">
        <v>-0.5</v>
      </c>
      <c r="AO323" s="49">
        <v>-0.5</v>
      </c>
      <c r="AP323" s="49"/>
      <c r="AR323" s="127"/>
    </row>
    <row r="324">
      <c r="R324" s="223"/>
      <c r="AL324" s="49"/>
      <c r="AM324" s="49"/>
      <c r="AN324" s="49">
        <v>-0.5</v>
      </c>
      <c r="AO324" s="49">
        <v>-0.5</v>
      </c>
      <c r="AP324" s="49"/>
      <c r="AR324" s="127"/>
    </row>
    <row r="325">
      <c r="R325" s="223"/>
      <c r="AL325" s="49"/>
      <c r="AM325" s="49"/>
      <c r="AN325" s="49">
        <v>-0.5</v>
      </c>
      <c r="AO325" s="49">
        <v>-0.5</v>
      </c>
      <c r="AP325" s="49"/>
      <c r="AR325" s="127"/>
    </row>
    <row r="326">
      <c r="R326" s="223"/>
      <c r="AL326" s="49"/>
      <c r="AM326" s="49"/>
      <c r="AN326" s="49">
        <v>-0.5</v>
      </c>
      <c r="AO326" s="49">
        <v>-0.5</v>
      </c>
      <c r="AP326" s="49"/>
      <c r="AR326" s="127"/>
    </row>
    <row r="327">
      <c r="R327" s="223"/>
      <c r="AL327" s="49"/>
      <c r="AM327" s="49"/>
      <c r="AN327" s="49">
        <v>-0.5</v>
      </c>
      <c r="AO327" s="49">
        <v>-0.5</v>
      </c>
      <c r="AP327" s="49"/>
      <c r="AR327" s="127"/>
    </row>
    <row r="328">
      <c r="R328" s="223"/>
      <c r="AL328" s="49"/>
      <c r="AM328" s="49"/>
      <c r="AN328" s="49">
        <v>-0.5</v>
      </c>
      <c r="AO328" s="49">
        <v>-0.5</v>
      </c>
      <c r="AP328" s="49"/>
      <c r="AR328" s="127"/>
    </row>
    <row r="329">
      <c r="R329" s="223"/>
      <c r="AL329" s="49"/>
      <c r="AM329" s="49"/>
      <c r="AN329" s="49">
        <v>-0.5</v>
      </c>
      <c r="AO329" s="49">
        <v>-0.5</v>
      </c>
      <c r="AP329" s="49"/>
      <c r="AR329" s="127"/>
    </row>
    <row r="330">
      <c r="R330" s="223"/>
      <c r="AL330" s="49"/>
      <c r="AM330" s="49"/>
      <c r="AN330" s="49">
        <v>-0.5</v>
      </c>
      <c r="AO330" s="49">
        <v>-0.5</v>
      </c>
      <c r="AP330" s="49"/>
      <c r="AR330" s="127"/>
    </row>
    <row r="331">
      <c r="R331" s="223"/>
      <c r="AL331" s="49"/>
      <c r="AM331" s="49"/>
      <c r="AN331" s="49">
        <v>-0.5</v>
      </c>
      <c r="AO331" s="49">
        <v>-0.5</v>
      </c>
      <c r="AP331" s="49"/>
      <c r="AR331" s="127"/>
    </row>
    <row r="332">
      <c r="R332" s="223"/>
      <c r="AL332" s="49"/>
      <c r="AM332" s="49"/>
      <c r="AN332" s="49">
        <v>-0.5</v>
      </c>
      <c r="AO332" s="49">
        <v>-0.5</v>
      </c>
      <c r="AP332" s="49"/>
      <c r="AR332" s="127"/>
    </row>
    <row r="333">
      <c r="R333" s="223"/>
      <c r="AL333" s="49"/>
      <c r="AM333" s="49"/>
      <c r="AN333" s="49">
        <v>-0.5</v>
      </c>
      <c r="AO333" s="49">
        <v>-0.5</v>
      </c>
      <c r="AP333" s="49"/>
      <c r="AR333" s="127"/>
    </row>
    <row r="334">
      <c r="R334" s="223"/>
      <c r="AL334" s="49"/>
      <c r="AM334" s="49"/>
      <c r="AN334" s="49">
        <v>-0.5</v>
      </c>
      <c r="AO334" s="49">
        <v>-0.5</v>
      </c>
      <c r="AP334" s="49"/>
      <c r="AR334" s="127"/>
    </row>
    <row r="335">
      <c r="R335" s="223"/>
      <c r="AL335" s="49"/>
      <c r="AM335" s="49"/>
      <c r="AN335" s="49">
        <v>-0.5</v>
      </c>
      <c r="AO335" s="49">
        <v>-0.5</v>
      </c>
      <c r="AP335" s="49"/>
      <c r="AR335" s="127"/>
    </row>
    <row r="336">
      <c r="R336" s="223"/>
      <c r="AL336" s="49"/>
      <c r="AM336" s="49"/>
      <c r="AN336" s="49">
        <v>-0.5</v>
      </c>
      <c r="AO336" s="49">
        <v>-0.5</v>
      </c>
      <c r="AP336" s="49"/>
      <c r="AR336" s="127"/>
    </row>
    <row r="337">
      <c r="R337" s="223"/>
      <c r="AL337" s="49"/>
      <c r="AM337" s="49"/>
      <c r="AN337" s="49">
        <v>-0.5</v>
      </c>
      <c r="AO337" s="49">
        <v>-0.5</v>
      </c>
      <c r="AP337" s="49"/>
      <c r="AR337" s="127"/>
    </row>
    <row r="338">
      <c r="R338" s="223"/>
      <c r="AL338" s="49"/>
      <c r="AM338" s="49"/>
      <c r="AN338" s="49">
        <v>-0.5</v>
      </c>
      <c r="AO338" s="49">
        <v>-0.5</v>
      </c>
      <c r="AP338" s="49"/>
      <c r="AR338" s="127"/>
    </row>
    <row r="339">
      <c r="R339" s="223"/>
      <c r="AL339" s="49"/>
      <c r="AM339" s="49"/>
      <c r="AN339" s="49">
        <v>-0.5</v>
      </c>
      <c r="AO339" s="49">
        <v>-0.5</v>
      </c>
      <c r="AP339" s="49"/>
      <c r="AR339" s="127"/>
    </row>
    <row r="340">
      <c r="R340" s="223"/>
      <c r="AL340" s="49"/>
      <c r="AM340" s="49"/>
      <c r="AN340" s="49">
        <v>-0.5</v>
      </c>
      <c r="AO340" s="49">
        <v>-0.5</v>
      </c>
      <c r="AP340" s="49"/>
      <c r="AR340" s="127"/>
    </row>
    <row r="341">
      <c r="R341" s="223"/>
      <c r="AL341" s="49"/>
      <c r="AM341" s="49"/>
      <c r="AN341" s="49">
        <v>-0.5</v>
      </c>
      <c r="AO341" s="49">
        <v>-0.5</v>
      </c>
      <c r="AP341" s="49"/>
      <c r="AR341" s="127"/>
    </row>
    <row r="342">
      <c r="R342" s="223"/>
      <c r="AL342" s="49"/>
      <c r="AM342" s="49"/>
      <c r="AN342" s="49">
        <v>-0.5</v>
      </c>
      <c r="AO342" s="49">
        <v>-0.5</v>
      </c>
      <c r="AP342" s="49"/>
      <c r="AR342" s="127"/>
    </row>
    <row r="343">
      <c r="R343" s="223"/>
      <c r="AL343" s="49"/>
      <c r="AM343" s="49"/>
      <c r="AN343" s="49">
        <v>-0.5</v>
      </c>
      <c r="AO343" s="49">
        <v>-0.5</v>
      </c>
      <c r="AP343" s="49"/>
      <c r="AR343" s="127"/>
    </row>
    <row r="344">
      <c r="R344" s="223"/>
      <c r="AL344" s="49"/>
      <c r="AM344" s="49"/>
      <c r="AN344" s="49">
        <v>-0.5</v>
      </c>
      <c r="AO344" s="49">
        <v>-0.5</v>
      </c>
      <c r="AP344" s="49"/>
      <c r="AR344" s="127"/>
    </row>
    <row r="345">
      <c r="R345" s="223"/>
      <c r="AL345" s="49"/>
      <c r="AM345" s="49"/>
      <c r="AN345" s="49">
        <v>-0.5</v>
      </c>
      <c r="AO345" s="49">
        <v>-0.5</v>
      </c>
      <c r="AP345" s="49"/>
      <c r="AR345" s="127"/>
    </row>
    <row r="346">
      <c r="R346" s="223"/>
      <c r="AL346" s="49"/>
      <c r="AM346" s="49"/>
      <c r="AN346" s="49">
        <v>-0.5</v>
      </c>
      <c r="AO346" s="49">
        <v>-0.5</v>
      </c>
      <c r="AP346" s="49"/>
      <c r="AR346" s="127"/>
    </row>
    <row r="347">
      <c r="R347" s="223"/>
      <c r="AL347" s="49"/>
      <c r="AM347" s="49"/>
      <c r="AN347" s="49">
        <v>-0.5</v>
      </c>
      <c r="AO347" s="49">
        <v>-0.5</v>
      </c>
      <c r="AP347" s="49"/>
      <c r="AR347" s="127"/>
    </row>
    <row r="348">
      <c r="R348" s="223"/>
      <c r="AL348" s="49"/>
      <c r="AM348" s="49"/>
      <c r="AN348" s="49">
        <v>-0.5</v>
      </c>
      <c r="AO348" s="49">
        <v>-0.5</v>
      </c>
      <c r="AP348" s="49"/>
      <c r="AR348" s="127"/>
    </row>
    <row r="349">
      <c r="R349" s="223"/>
      <c r="AL349" s="49"/>
      <c r="AM349" s="49"/>
      <c r="AN349" s="49">
        <v>-0.5</v>
      </c>
      <c r="AO349" s="49">
        <v>-0.5</v>
      </c>
      <c r="AP349" s="49"/>
      <c r="AR349" s="127"/>
    </row>
    <row r="350">
      <c r="R350" s="223"/>
      <c r="AL350" s="49"/>
      <c r="AM350" s="49"/>
      <c r="AN350" s="49">
        <v>-0.5</v>
      </c>
      <c r="AO350" s="49">
        <v>-0.5</v>
      </c>
      <c r="AP350" s="49"/>
      <c r="AR350" s="127"/>
    </row>
    <row r="351">
      <c r="R351" s="223"/>
      <c r="AL351" s="49"/>
      <c r="AM351" s="49"/>
      <c r="AN351" s="49">
        <v>-0.5</v>
      </c>
      <c r="AO351" s="49">
        <v>-0.5</v>
      </c>
      <c r="AP351" s="49"/>
      <c r="AR351" s="127"/>
    </row>
    <row r="352">
      <c r="R352" s="223"/>
      <c r="AL352" s="49"/>
      <c r="AM352" s="49"/>
      <c r="AN352" s="49">
        <v>-0.5</v>
      </c>
      <c r="AO352" s="49">
        <v>-0.5</v>
      </c>
      <c r="AP352" s="49"/>
      <c r="AR352" s="127"/>
    </row>
    <row r="353">
      <c r="R353" s="223"/>
      <c r="AL353" s="49"/>
      <c r="AM353" s="49"/>
      <c r="AN353" s="49">
        <v>-0.5</v>
      </c>
      <c r="AO353" s="49">
        <v>-0.5</v>
      </c>
      <c r="AP353" s="49"/>
      <c r="AR353" s="127"/>
    </row>
    <row r="354">
      <c r="R354" s="223"/>
      <c r="AL354" s="49"/>
      <c r="AM354" s="49"/>
      <c r="AN354" s="49">
        <v>-0.5</v>
      </c>
      <c r="AO354" s="49">
        <v>-0.5</v>
      </c>
      <c r="AP354" s="49"/>
      <c r="AR354" s="127"/>
    </row>
    <row r="355">
      <c r="R355" s="223"/>
      <c r="AL355" s="49"/>
      <c r="AM355" s="49"/>
      <c r="AN355" s="49">
        <v>-0.5</v>
      </c>
      <c r="AO355" s="49">
        <v>-0.5</v>
      </c>
      <c r="AP355" s="49"/>
      <c r="AR355" s="127"/>
    </row>
    <row r="356">
      <c r="R356" s="223"/>
      <c r="AL356" s="49"/>
      <c r="AM356" s="49"/>
      <c r="AN356" s="49">
        <v>-0.5</v>
      </c>
      <c r="AO356" s="49">
        <v>-0.5</v>
      </c>
      <c r="AP356" s="49"/>
      <c r="AR356" s="127"/>
    </row>
    <row r="357">
      <c r="R357" s="223"/>
      <c r="AL357" s="49"/>
      <c r="AM357" s="49"/>
      <c r="AN357" s="49">
        <v>-0.5</v>
      </c>
      <c r="AO357" s="49">
        <v>-0.5</v>
      </c>
      <c r="AP357" s="49"/>
      <c r="AR357" s="127"/>
    </row>
    <row r="358">
      <c r="R358" s="223"/>
      <c r="AL358" s="49"/>
      <c r="AM358" s="49"/>
      <c r="AN358" s="49">
        <v>-0.5</v>
      </c>
      <c r="AO358" s="49">
        <v>-0.5</v>
      </c>
      <c r="AP358" s="49"/>
      <c r="AR358" s="127"/>
    </row>
    <row r="359">
      <c r="R359" s="223"/>
      <c r="AL359" s="49"/>
      <c r="AM359" s="49"/>
      <c r="AN359" s="49">
        <v>-0.5</v>
      </c>
      <c r="AO359" s="49">
        <v>-0.5</v>
      </c>
      <c r="AP359" s="49"/>
      <c r="AR359" s="127"/>
    </row>
    <row r="360">
      <c r="R360" s="223"/>
      <c r="AL360" s="49"/>
      <c r="AM360" s="49"/>
      <c r="AN360" s="49">
        <v>-0.5</v>
      </c>
      <c r="AO360" s="49">
        <v>-0.5</v>
      </c>
      <c r="AP360" s="49"/>
      <c r="AR360" s="127"/>
    </row>
    <row r="361">
      <c r="R361" s="223"/>
      <c r="AL361" s="49"/>
      <c r="AM361" s="49"/>
      <c r="AN361" s="49">
        <v>-0.5</v>
      </c>
      <c r="AO361" s="49">
        <v>-0.5</v>
      </c>
      <c r="AP361" s="49"/>
      <c r="AR361" s="127"/>
    </row>
    <row r="362">
      <c r="R362" s="223"/>
      <c r="AL362" s="49"/>
      <c r="AM362" s="49"/>
      <c r="AN362" s="49">
        <v>-0.5</v>
      </c>
      <c r="AO362" s="49">
        <v>-0.5</v>
      </c>
      <c r="AP362" s="49"/>
      <c r="AR362" s="127"/>
    </row>
    <row r="363">
      <c r="R363" s="223"/>
      <c r="AL363" s="49"/>
      <c r="AM363" s="49"/>
      <c r="AN363" s="49">
        <v>-0.5</v>
      </c>
      <c r="AO363" s="49">
        <v>-0.5</v>
      </c>
      <c r="AP363" s="49"/>
      <c r="AR363" s="127"/>
    </row>
    <row r="364">
      <c r="R364" s="223"/>
      <c r="AL364" s="49"/>
      <c r="AM364" s="49"/>
      <c r="AN364" s="49">
        <v>-0.5</v>
      </c>
      <c r="AO364" s="49">
        <v>-0.5</v>
      </c>
      <c r="AP364" s="49"/>
      <c r="AR364" s="127"/>
    </row>
    <row r="365">
      <c r="R365" s="223"/>
      <c r="AL365" s="49"/>
      <c r="AM365" s="49"/>
      <c r="AN365" s="49">
        <v>-0.5</v>
      </c>
      <c r="AO365" s="49">
        <v>-0.5</v>
      </c>
      <c r="AP365" s="49"/>
      <c r="AR365" s="127"/>
    </row>
    <row r="366">
      <c r="R366" s="223"/>
      <c r="AL366" s="49"/>
      <c r="AM366" s="49"/>
      <c r="AN366" s="49">
        <v>-0.5</v>
      </c>
      <c r="AO366" s="49">
        <v>-0.5</v>
      </c>
      <c r="AP366" s="49"/>
      <c r="AR366" s="127"/>
    </row>
    <row r="367">
      <c r="R367" s="223"/>
      <c r="AL367" s="49"/>
      <c r="AM367" s="49"/>
      <c r="AN367" s="49">
        <v>-0.5</v>
      </c>
      <c r="AO367" s="49">
        <v>-0.5</v>
      </c>
      <c r="AP367" s="49"/>
      <c r="AR367" s="127"/>
    </row>
    <row r="368">
      <c r="R368" s="223"/>
      <c r="AL368" s="49"/>
      <c r="AM368" s="49"/>
      <c r="AN368" s="49">
        <v>-0.5</v>
      </c>
      <c r="AO368" s="49">
        <v>-0.5</v>
      </c>
      <c r="AP368" s="49"/>
      <c r="AR368" s="127"/>
    </row>
    <row r="369">
      <c r="R369" s="223"/>
      <c r="AL369" s="49"/>
      <c r="AM369" s="49"/>
      <c r="AN369" s="49">
        <v>-0.5</v>
      </c>
      <c r="AO369" s="49">
        <v>-0.5</v>
      </c>
      <c r="AP369" s="49"/>
      <c r="AR369" s="127"/>
    </row>
    <row r="370">
      <c r="R370" s="223"/>
      <c r="AL370" s="49"/>
      <c r="AM370" s="49"/>
      <c r="AN370" s="49">
        <v>-0.5</v>
      </c>
      <c r="AO370" s="49">
        <v>-0.5</v>
      </c>
      <c r="AP370" s="49"/>
      <c r="AR370" s="127"/>
    </row>
    <row r="371">
      <c r="R371" s="223"/>
      <c r="AL371" s="49"/>
      <c r="AM371" s="49"/>
      <c r="AN371" s="49">
        <v>-0.5</v>
      </c>
      <c r="AO371" s="49">
        <v>-0.5</v>
      </c>
      <c r="AP371" s="49"/>
      <c r="AR371" s="127"/>
    </row>
    <row r="372">
      <c r="R372" s="223"/>
      <c r="AL372" s="49"/>
      <c r="AM372" s="49"/>
      <c r="AN372" s="49">
        <v>-0.5</v>
      </c>
      <c r="AO372" s="49">
        <v>-0.5</v>
      </c>
      <c r="AP372" s="49"/>
      <c r="AR372" s="127"/>
    </row>
    <row r="373">
      <c r="R373" s="223"/>
      <c r="AL373" s="49"/>
      <c r="AM373" s="49"/>
      <c r="AN373" s="49">
        <v>-0.5</v>
      </c>
      <c r="AO373" s="49">
        <v>-0.5</v>
      </c>
      <c r="AP373" s="49"/>
      <c r="AR373" s="127"/>
    </row>
    <row r="374">
      <c r="R374" s="223"/>
      <c r="AL374" s="49"/>
      <c r="AM374" s="49"/>
      <c r="AN374" s="49">
        <v>-0.5</v>
      </c>
      <c r="AO374" s="49">
        <v>-0.5</v>
      </c>
      <c r="AP374" s="49"/>
      <c r="AR374" s="127"/>
    </row>
    <row r="375">
      <c r="R375" s="223"/>
      <c r="AL375" s="49"/>
      <c r="AM375" s="49"/>
      <c r="AN375" s="49">
        <v>-0.5</v>
      </c>
      <c r="AO375" s="49">
        <v>-0.5</v>
      </c>
      <c r="AP375" s="49"/>
      <c r="AR375" s="127"/>
    </row>
    <row r="376">
      <c r="R376" s="223"/>
      <c r="AL376" s="49"/>
      <c r="AM376" s="49"/>
      <c r="AN376" s="49">
        <v>-0.5</v>
      </c>
      <c r="AO376" s="49">
        <v>-0.5</v>
      </c>
      <c r="AP376" s="49"/>
      <c r="AR376" s="127"/>
    </row>
    <row r="377">
      <c r="R377" s="223"/>
      <c r="AL377" s="49"/>
      <c r="AM377" s="49"/>
      <c r="AN377" s="49">
        <v>-0.5</v>
      </c>
      <c r="AO377" s="49">
        <v>-0.5</v>
      </c>
      <c r="AP377" s="49"/>
      <c r="AR377" s="127"/>
    </row>
    <row r="378">
      <c r="R378" s="223"/>
      <c r="AL378" s="49"/>
      <c r="AM378" s="49"/>
      <c r="AN378" s="49">
        <v>-0.5</v>
      </c>
      <c r="AO378" s="49">
        <v>-0.5</v>
      </c>
      <c r="AP378" s="49"/>
      <c r="AR378" s="127"/>
    </row>
    <row r="379">
      <c r="R379" s="223"/>
      <c r="AL379" s="49"/>
      <c r="AM379" s="49"/>
      <c r="AN379" s="49">
        <v>-0.5</v>
      </c>
      <c r="AO379" s="49">
        <v>-0.5</v>
      </c>
      <c r="AP379" s="49"/>
      <c r="AR379" s="127"/>
    </row>
    <row r="380">
      <c r="R380" s="223"/>
      <c r="AL380" s="49"/>
      <c r="AM380" s="49"/>
      <c r="AN380" s="49">
        <v>-0.5</v>
      </c>
      <c r="AO380" s="49">
        <v>-0.5</v>
      </c>
      <c r="AP380" s="49"/>
      <c r="AR380" s="127"/>
    </row>
    <row r="381">
      <c r="R381" s="223"/>
      <c r="AL381" s="49"/>
      <c r="AM381" s="49"/>
      <c r="AN381" s="49">
        <v>-0.5</v>
      </c>
      <c r="AO381" s="49">
        <v>-0.5</v>
      </c>
      <c r="AP381" s="49"/>
      <c r="AR381" s="127"/>
    </row>
    <row r="382">
      <c r="R382" s="223"/>
      <c r="AL382" s="49"/>
      <c r="AM382" s="49"/>
      <c r="AN382" s="49">
        <v>-0.5</v>
      </c>
      <c r="AO382" s="49">
        <v>-0.5</v>
      </c>
      <c r="AP382" s="49"/>
      <c r="AR382" s="127"/>
    </row>
    <row r="383">
      <c r="R383" s="223"/>
      <c r="AL383" s="49"/>
      <c r="AM383" s="49"/>
      <c r="AN383" s="49">
        <v>-0.5</v>
      </c>
      <c r="AO383" s="49">
        <v>-0.5</v>
      </c>
      <c r="AP383" s="49"/>
      <c r="AR383" s="127"/>
    </row>
    <row r="384">
      <c r="R384" s="223"/>
      <c r="AL384" s="49"/>
      <c r="AM384" s="49"/>
      <c r="AN384" s="49">
        <v>-0.5</v>
      </c>
      <c r="AO384" s="49">
        <v>-0.5</v>
      </c>
      <c r="AP384" s="49"/>
      <c r="AR384" s="127"/>
    </row>
    <row r="385">
      <c r="R385" s="223"/>
      <c r="AL385" s="49"/>
      <c r="AM385" s="49"/>
      <c r="AN385" s="49">
        <v>-0.5</v>
      </c>
      <c r="AO385" s="49">
        <v>-0.5</v>
      </c>
      <c r="AP385" s="49"/>
      <c r="AR385" s="127"/>
    </row>
    <row r="386">
      <c r="R386" s="223"/>
      <c r="AL386" s="49"/>
      <c r="AM386" s="49"/>
      <c r="AN386" s="49">
        <v>-0.5</v>
      </c>
      <c r="AO386" s="49">
        <v>-0.5</v>
      </c>
      <c r="AP386" s="49"/>
      <c r="AR386" s="127"/>
    </row>
    <row r="387">
      <c r="R387" s="223"/>
      <c r="AL387" s="49"/>
      <c r="AM387" s="49"/>
      <c r="AN387" s="49">
        <v>-0.5</v>
      </c>
      <c r="AO387" s="49">
        <v>-0.5</v>
      </c>
      <c r="AP387" s="49"/>
      <c r="AR387" s="127"/>
    </row>
    <row r="388">
      <c r="R388" s="223"/>
      <c r="AL388" s="49"/>
      <c r="AM388" s="49"/>
      <c r="AN388" s="49">
        <v>-0.5</v>
      </c>
      <c r="AO388" s="49">
        <v>-0.5</v>
      </c>
      <c r="AP388" s="49"/>
      <c r="AR388" s="127"/>
    </row>
    <row r="389">
      <c r="R389" s="223"/>
      <c r="AL389" s="49"/>
      <c r="AM389" s="49"/>
      <c r="AN389" s="49">
        <v>-0.5</v>
      </c>
      <c r="AO389" s="49">
        <v>-0.5</v>
      </c>
      <c r="AP389" s="49"/>
      <c r="AR389" s="127"/>
    </row>
    <row r="390">
      <c r="R390" s="223"/>
      <c r="AL390" s="49"/>
      <c r="AM390" s="49"/>
      <c r="AN390" s="49">
        <v>-0.5</v>
      </c>
      <c r="AO390" s="49">
        <v>-0.5</v>
      </c>
      <c r="AP390" s="49"/>
      <c r="AR390" s="127"/>
    </row>
    <row r="391">
      <c r="R391" s="223"/>
      <c r="AL391" s="49"/>
      <c r="AM391" s="49"/>
      <c r="AN391" s="49">
        <v>-0.5</v>
      </c>
      <c r="AO391" s="49">
        <v>-0.5</v>
      </c>
      <c r="AP391" s="49"/>
      <c r="AR391" s="127"/>
    </row>
    <row r="392">
      <c r="R392" s="223"/>
      <c r="AL392" s="49"/>
      <c r="AM392" s="49"/>
      <c r="AN392" s="49">
        <v>-0.5</v>
      </c>
      <c r="AO392" s="49">
        <v>-0.5</v>
      </c>
      <c r="AP392" s="49"/>
      <c r="AR392" s="127"/>
    </row>
    <row r="393">
      <c r="R393" s="223"/>
      <c r="AL393" s="49"/>
      <c r="AM393" s="49"/>
      <c r="AN393" s="49">
        <v>-0.5</v>
      </c>
      <c r="AO393" s="49">
        <v>-0.5</v>
      </c>
      <c r="AP393" s="49"/>
      <c r="AR393" s="127"/>
    </row>
    <row r="394">
      <c r="R394" s="223"/>
      <c r="AL394" s="49"/>
      <c r="AM394" s="49"/>
      <c r="AN394" s="49">
        <v>-0.5</v>
      </c>
      <c r="AO394" s="49">
        <v>-0.5</v>
      </c>
      <c r="AP394" s="49"/>
      <c r="AR394" s="127"/>
    </row>
    <row r="395">
      <c r="R395" s="223"/>
      <c r="AL395" s="49"/>
      <c r="AM395" s="49"/>
      <c r="AN395" s="49">
        <v>-0.5</v>
      </c>
      <c r="AO395" s="49">
        <v>-0.5</v>
      </c>
      <c r="AP395" s="49"/>
      <c r="AR395" s="127"/>
    </row>
    <row r="396">
      <c r="R396" s="223"/>
      <c r="AL396" s="49"/>
      <c r="AM396" s="49"/>
      <c r="AN396" s="49">
        <v>-0.5</v>
      </c>
      <c r="AO396" s="49">
        <v>-0.5</v>
      </c>
      <c r="AP396" s="49"/>
      <c r="AR396" s="127"/>
    </row>
    <row r="397">
      <c r="R397" s="223"/>
      <c r="AL397" s="49"/>
      <c r="AM397" s="49"/>
      <c r="AN397" s="49">
        <v>-0.5</v>
      </c>
      <c r="AO397" s="49">
        <v>-0.5</v>
      </c>
      <c r="AP397" s="49"/>
      <c r="AR397" s="127"/>
    </row>
    <row r="398">
      <c r="R398" s="223"/>
      <c r="AL398" s="49"/>
      <c r="AM398" s="49"/>
      <c r="AN398" s="49">
        <v>-0.5</v>
      </c>
      <c r="AO398" s="49">
        <v>-0.5</v>
      </c>
      <c r="AP398" s="49"/>
      <c r="AR398" s="127"/>
    </row>
    <row r="399">
      <c r="R399" s="223"/>
      <c r="AL399" s="49"/>
      <c r="AM399" s="49"/>
      <c r="AN399" s="49">
        <v>-0.5</v>
      </c>
      <c r="AO399" s="49">
        <v>-0.5</v>
      </c>
      <c r="AP399" s="49"/>
      <c r="AR399" s="127"/>
    </row>
    <row r="400">
      <c r="R400" s="223"/>
      <c r="AL400" s="49"/>
      <c r="AM400" s="49"/>
      <c r="AN400" s="49">
        <v>-0.5</v>
      </c>
      <c r="AO400" s="49">
        <v>-0.5</v>
      </c>
      <c r="AP400" s="49"/>
      <c r="AR400" s="127"/>
    </row>
    <row r="401">
      <c r="R401" s="223"/>
      <c r="AL401" s="49"/>
      <c r="AM401" s="49"/>
      <c r="AN401" s="49">
        <v>-0.5</v>
      </c>
      <c r="AO401" s="49">
        <v>-0.5</v>
      </c>
      <c r="AP401" s="49"/>
      <c r="AR401" s="127"/>
    </row>
    <row r="402">
      <c r="R402" s="223"/>
      <c r="AL402" s="49"/>
      <c r="AM402" s="49"/>
      <c r="AN402" s="49">
        <v>-0.5</v>
      </c>
      <c r="AO402" s="49">
        <v>-0.5</v>
      </c>
      <c r="AP402" s="49"/>
      <c r="AR402" s="127"/>
    </row>
    <row r="403">
      <c r="R403" s="223"/>
      <c r="AL403" s="49"/>
      <c r="AM403" s="49"/>
      <c r="AN403" s="49">
        <v>-0.5</v>
      </c>
      <c r="AO403" s="49">
        <v>-0.5</v>
      </c>
      <c r="AP403" s="49"/>
      <c r="AR403" s="127"/>
    </row>
    <row r="404">
      <c r="R404" s="223"/>
      <c r="AL404" s="49"/>
      <c r="AM404" s="49"/>
      <c r="AN404" s="49">
        <v>-0.5</v>
      </c>
      <c r="AO404" s="49">
        <v>-0.5</v>
      </c>
      <c r="AP404" s="49"/>
      <c r="AR404" s="127"/>
    </row>
    <row r="405">
      <c r="R405" s="223"/>
      <c r="AL405" s="49"/>
      <c r="AM405" s="49"/>
      <c r="AN405" s="49">
        <v>-0.5</v>
      </c>
      <c r="AO405" s="49">
        <v>-0.5</v>
      </c>
      <c r="AP405" s="49"/>
      <c r="AR405" s="127"/>
    </row>
    <row r="406">
      <c r="R406" s="223"/>
      <c r="AL406" s="49"/>
      <c r="AM406" s="49"/>
      <c r="AN406" s="49">
        <v>-0.5</v>
      </c>
      <c r="AO406" s="49">
        <v>-0.5</v>
      </c>
      <c r="AP406" s="49"/>
      <c r="AR406" s="127"/>
    </row>
    <row r="407">
      <c r="R407" s="223"/>
      <c r="AL407" s="49"/>
      <c r="AM407" s="49"/>
      <c r="AN407" s="49">
        <v>-0.5</v>
      </c>
      <c r="AO407" s="49">
        <v>-0.5</v>
      </c>
      <c r="AP407" s="49"/>
      <c r="AR407" s="127"/>
    </row>
    <row r="408">
      <c r="R408" s="223"/>
      <c r="AL408" s="49"/>
      <c r="AM408" s="49"/>
      <c r="AN408" s="49">
        <v>-0.5</v>
      </c>
      <c r="AO408" s="49">
        <v>-0.5</v>
      </c>
      <c r="AP408" s="49"/>
      <c r="AR408" s="127"/>
    </row>
    <row r="409">
      <c r="R409" s="223"/>
      <c r="AL409" s="49"/>
      <c r="AM409" s="49"/>
      <c r="AN409" s="49">
        <v>-0.5</v>
      </c>
      <c r="AO409" s="49">
        <v>-0.5</v>
      </c>
      <c r="AP409" s="49"/>
      <c r="AR409" s="127"/>
    </row>
    <row r="410">
      <c r="R410" s="223"/>
      <c r="AL410" s="49"/>
      <c r="AM410" s="49"/>
      <c r="AN410" s="49">
        <v>-0.5</v>
      </c>
      <c r="AO410" s="49">
        <v>-0.5</v>
      </c>
      <c r="AP410" s="49"/>
      <c r="AR410" s="127"/>
    </row>
    <row r="411">
      <c r="R411" s="223"/>
      <c r="AL411" s="49"/>
      <c r="AM411" s="49"/>
      <c r="AN411" s="49">
        <v>-0.5</v>
      </c>
      <c r="AO411" s="49">
        <v>-0.5</v>
      </c>
      <c r="AP411" s="49"/>
      <c r="AR411" s="127"/>
    </row>
    <row r="412">
      <c r="R412" s="223"/>
      <c r="AL412" s="49"/>
      <c r="AM412" s="49"/>
      <c r="AN412" s="49">
        <v>-0.5</v>
      </c>
      <c r="AO412" s="49">
        <v>-0.5</v>
      </c>
      <c r="AP412" s="49"/>
      <c r="AR412" s="127"/>
    </row>
    <row r="413">
      <c r="R413" s="223"/>
      <c r="AL413" s="49"/>
      <c r="AM413" s="49"/>
      <c r="AN413" s="49">
        <v>-0.5</v>
      </c>
      <c r="AO413" s="49">
        <v>-0.5</v>
      </c>
      <c r="AP413" s="49"/>
      <c r="AR413" s="127"/>
    </row>
    <row r="414">
      <c r="R414" s="223"/>
      <c r="AL414" s="49"/>
      <c r="AM414" s="49"/>
      <c r="AN414" s="49">
        <v>-0.5</v>
      </c>
      <c r="AO414" s="49">
        <v>-0.5</v>
      </c>
      <c r="AP414" s="49"/>
      <c r="AR414" s="127"/>
    </row>
    <row r="415">
      <c r="R415" s="223"/>
      <c r="AL415" s="49"/>
      <c r="AM415" s="49"/>
      <c r="AN415" s="49">
        <v>-0.5</v>
      </c>
      <c r="AO415" s="49">
        <v>-0.5</v>
      </c>
      <c r="AP415" s="49"/>
      <c r="AR415" s="127"/>
    </row>
    <row r="416">
      <c r="R416" s="223"/>
      <c r="AL416" s="49"/>
      <c r="AM416" s="49"/>
      <c r="AN416" s="49">
        <v>-0.5</v>
      </c>
      <c r="AO416" s="49">
        <v>-0.5</v>
      </c>
      <c r="AP416" s="49"/>
      <c r="AR416" s="127"/>
    </row>
    <row r="417">
      <c r="R417" s="223"/>
      <c r="AL417" s="49"/>
      <c r="AM417" s="49"/>
      <c r="AN417" s="49">
        <v>-0.5</v>
      </c>
      <c r="AO417" s="49">
        <v>-0.5</v>
      </c>
      <c r="AP417" s="49"/>
      <c r="AR417" s="127"/>
    </row>
    <row r="418">
      <c r="R418" s="223"/>
      <c r="AL418" s="49"/>
      <c r="AM418" s="49"/>
      <c r="AN418" s="49">
        <v>-0.5</v>
      </c>
      <c r="AO418" s="49">
        <v>-0.5</v>
      </c>
      <c r="AP418" s="49"/>
      <c r="AR418" s="127"/>
    </row>
    <row r="419">
      <c r="R419" s="223"/>
      <c r="AL419" s="49"/>
      <c r="AM419" s="49"/>
      <c r="AN419" s="49">
        <v>-0.5</v>
      </c>
      <c r="AO419" s="49">
        <v>-0.5</v>
      </c>
      <c r="AP419" s="49"/>
      <c r="AR419" s="127"/>
    </row>
    <row r="420">
      <c r="R420" s="223"/>
      <c r="AL420" s="49"/>
      <c r="AM420" s="49"/>
      <c r="AN420" s="49">
        <v>-0.5</v>
      </c>
      <c r="AO420" s="49">
        <v>-0.5</v>
      </c>
      <c r="AP420" s="49"/>
      <c r="AR420" s="127"/>
    </row>
    <row r="421">
      <c r="R421" s="223"/>
      <c r="AL421" s="49"/>
      <c r="AM421" s="49"/>
      <c r="AN421" s="49">
        <v>-0.5</v>
      </c>
      <c r="AO421" s="49">
        <v>-0.5</v>
      </c>
      <c r="AP421" s="49"/>
      <c r="AR421" s="127"/>
    </row>
    <row r="422">
      <c r="R422" s="223"/>
      <c r="AL422" s="49"/>
      <c r="AM422" s="49"/>
      <c r="AN422" s="49">
        <v>-0.5</v>
      </c>
      <c r="AO422" s="49">
        <v>-0.5</v>
      </c>
      <c r="AP422" s="49"/>
      <c r="AR422" s="127"/>
    </row>
    <row r="423">
      <c r="R423" s="223"/>
      <c r="AL423" s="49"/>
      <c r="AM423" s="49"/>
      <c r="AN423" s="49">
        <v>-0.5</v>
      </c>
      <c r="AO423" s="49">
        <v>-0.5</v>
      </c>
      <c r="AP423" s="49"/>
      <c r="AR423" s="127"/>
    </row>
    <row r="424">
      <c r="R424" s="223"/>
      <c r="AL424" s="49"/>
      <c r="AM424" s="49"/>
      <c r="AN424" s="49">
        <v>-0.5</v>
      </c>
      <c r="AO424" s="49">
        <v>-0.5</v>
      </c>
      <c r="AP424" s="49"/>
      <c r="AR424" s="127"/>
    </row>
    <row r="425">
      <c r="R425" s="223"/>
      <c r="AL425" s="49"/>
      <c r="AM425" s="49"/>
      <c r="AN425" s="49">
        <v>-0.5</v>
      </c>
      <c r="AO425" s="49">
        <v>-0.5</v>
      </c>
      <c r="AP425" s="49"/>
      <c r="AR425" s="127"/>
    </row>
    <row r="426">
      <c r="R426" s="223"/>
      <c r="AL426" s="49"/>
      <c r="AM426" s="49"/>
      <c r="AN426" s="49">
        <v>-0.5</v>
      </c>
      <c r="AO426" s="49">
        <v>-0.5</v>
      </c>
      <c r="AP426" s="49"/>
      <c r="AR426" s="127"/>
    </row>
    <row r="427">
      <c r="R427" s="223"/>
      <c r="AL427" s="49"/>
      <c r="AM427" s="49"/>
      <c r="AN427" s="49">
        <v>-0.5</v>
      </c>
      <c r="AO427" s="49">
        <v>-0.5</v>
      </c>
      <c r="AP427" s="49"/>
      <c r="AR427" s="127"/>
    </row>
    <row r="428">
      <c r="R428" s="223"/>
      <c r="AL428" s="49"/>
      <c r="AM428" s="49"/>
      <c r="AN428" s="49">
        <v>-0.5</v>
      </c>
      <c r="AO428" s="49">
        <v>-0.5</v>
      </c>
      <c r="AP428" s="49"/>
      <c r="AR428" s="127"/>
    </row>
    <row r="429">
      <c r="R429" s="223"/>
      <c r="AL429" s="49"/>
      <c r="AM429" s="49"/>
      <c r="AN429" s="49">
        <v>-0.5</v>
      </c>
      <c r="AO429" s="49">
        <v>-0.5</v>
      </c>
      <c r="AP429" s="49"/>
      <c r="AR429" s="127"/>
    </row>
    <row r="430">
      <c r="R430" s="223"/>
      <c r="AL430" s="49"/>
      <c r="AM430" s="49"/>
      <c r="AN430" s="49">
        <v>-0.5</v>
      </c>
      <c r="AO430" s="49">
        <v>-0.5</v>
      </c>
      <c r="AP430" s="49"/>
      <c r="AR430" s="127"/>
    </row>
    <row r="431">
      <c r="R431" s="223"/>
      <c r="AL431" s="49"/>
      <c r="AM431" s="49"/>
      <c r="AN431" s="49">
        <v>-0.5</v>
      </c>
      <c r="AO431" s="49">
        <v>-0.5</v>
      </c>
      <c r="AP431" s="49"/>
      <c r="AR431" s="127"/>
    </row>
    <row r="432">
      <c r="R432" s="223"/>
      <c r="AL432" s="49"/>
      <c r="AM432" s="49"/>
      <c r="AN432" s="49">
        <v>-0.5</v>
      </c>
      <c r="AO432" s="49">
        <v>-0.5</v>
      </c>
      <c r="AP432" s="49"/>
      <c r="AR432" s="127"/>
    </row>
    <row r="433">
      <c r="R433" s="223"/>
      <c r="AL433" s="49"/>
      <c r="AM433" s="49"/>
      <c r="AN433" s="49">
        <v>-0.5</v>
      </c>
      <c r="AO433" s="49">
        <v>-0.5</v>
      </c>
      <c r="AP433" s="49"/>
      <c r="AR433" s="127"/>
    </row>
    <row r="434">
      <c r="R434" s="223"/>
      <c r="AL434" s="49"/>
      <c r="AM434" s="49"/>
      <c r="AN434" s="49">
        <v>-0.5</v>
      </c>
      <c r="AO434" s="49">
        <v>-0.5</v>
      </c>
      <c r="AP434" s="49"/>
      <c r="AR434" s="127"/>
    </row>
    <row r="435">
      <c r="R435" s="223"/>
      <c r="AL435" s="49"/>
      <c r="AM435" s="49"/>
      <c r="AN435" s="49">
        <v>-0.5</v>
      </c>
      <c r="AO435" s="49">
        <v>-0.5</v>
      </c>
      <c r="AP435" s="49"/>
      <c r="AR435" s="127"/>
    </row>
    <row r="436">
      <c r="R436" s="223"/>
      <c r="AL436" s="49"/>
      <c r="AM436" s="49"/>
      <c r="AN436" s="49">
        <v>-0.5</v>
      </c>
      <c r="AO436" s="49">
        <v>-0.5</v>
      </c>
      <c r="AP436" s="49"/>
      <c r="AR436" s="127"/>
    </row>
    <row r="437">
      <c r="R437" s="223"/>
      <c r="AL437" s="49"/>
      <c r="AM437" s="49"/>
      <c r="AN437" s="49">
        <v>-0.5</v>
      </c>
      <c r="AO437" s="49">
        <v>-0.5</v>
      </c>
      <c r="AP437" s="49"/>
      <c r="AR437" s="127"/>
    </row>
    <row r="438">
      <c r="R438" s="223"/>
      <c r="AL438" s="49"/>
      <c r="AM438" s="49"/>
      <c r="AN438" s="49">
        <v>-0.5</v>
      </c>
      <c r="AO438" s="49">
        <v>-0.5</v>
      </c>
      <c r="AP438" s="49"/>
      <c r="AR438" s="127"/>
    </row>
    <row r="439">
      <c r="R439" s="223"/>
      <c r="AL439" s="49"/>
      <c r="AM439" s="49"/>
      <c r="AN439" s="49">
        <v>-0.5</v>
      </c>
      <c r="AO439" s="49">
        <v>-0.5</v>
      </c>
      <c r="AP439" s="49"/>
      <c r="AR439" s="127"/>
    </row>
    <row r="440">
      <c r="R440" s="223"/>
      <c r="AL440" s="49"/>
      <c r="AM440" s="49"/>
      <c r="AN440" s="49">
        <v>-0.5</v>
      </c>
      <c r="AO440" s="49">
        <v>-0.5</v>
      </c>
      <c r="AP440" s="49"/>
      <c r="AR440" s="127"/>
    </row>
    <row r="441">
      <c r="R441" s="223"/>
      <c r="AL441" s="49"/>
      <c r="AM441" s="49"/>
      <c r="AN441" s="49">
        <v>-0.5</v>
      </c>
      <c r="AO441" s="49">
        <v>-0.5</v>
      </c>
      <c r="AP441" s="49"/>
      <c r="AR441" s="127"/>
    </row>
    <row r="442">
      <c r="R442" s="223"/>
      <c r="AL442" s="49"/>
      <c r="AM442" s="49"/>
      <c r="AN442" s="49">
        <v>-0.5</v>
      </c>
      <c r="AO442" s="49">
        <v>-0.5</v>
      </c>
      <c r="AP442" s="49"/>
      <c r="AR442" s="127"/>
    </row>
    <row r="443">
      <c r="R443" s="223"/>
      <c r="AL443" s="49"/>
      <c r="AM443" s="49"/>
      <c r="AN443" s="49">
        <v>-0.5</v>
      </c>
      <c r="AO443" s="49">
        <v>-0.5</v>
      </c>
      <c r="AP443" s="49"/>
      <c r="AR443" s="127"/>
    </row>
    <row r="444">
      <c r="R444" s="223"/>
      <c r="AL444" s="49"/>
      <c r="AM444" s="49"/>
      <c r="AN444" s="49">
        <v>-0.5</v>
      </c>
      <c r="AO444" s="49">
        <v>-0.5</v>
      </c>
      <c r="AP444" s="49"/>
      <c r="AR444" s="127"/>
    </row>
    <row r="445">
      <c r="R445" s="223"/>
      <c r="AL445" s="49"/>
      <c r="AM445" s="49"/>
      <c r="AN445" s="49">
        <v>-0.5</v>
      </c>
      <c r="AO445" s="49">
        <v>-0.5</v>
      </c>
      <c r="AP445" s="49"/>
      <c r="AR445" s="127"/>
    </row>
    <row r="446">
      <c r="R446" s="223"/>
      <c r="AL446" s="49"/>
      <c r="AM446" s="49"/>
      <c r="AN446" s="49">
        <v>-0.5</v>
      </c>
      <c r="AO446" s="49">
        <v>-0.5</v>
      </c>
      <c r="AP446" s="49"/>
      <c r="AR446" s="127"/>
    </row>
    <row r="447">
      <c r="R447" s="223"/>
      <c r="AL447" s="49"/>
      <c r="AM447" s="49"/>
      <c r="AN447" s="49">
        <v>-0.5</v>
      </c>
      <c r="AO447" s="49">
        <v>-0.5</v>
      </c>
      <c r="AP447" s="49"/>
      <c r="AR447" s="127"/>
    </row>
    <row r="448">
      <c r="R448" s="223"/>
      <c r="AL448" s="49"/>
      <c r="AM448" s="49"/>
      <c r="AN448" s="49">
        <v>-0.5</v>
      </c>
      <c r="AO448" s="49">
        <v>-0.5</v>
      </c>
      <c r="AP448" s="49"/>
      <c r="AR448" s="127"/>
    </row>
    <row r="449">
      <c r="R449" s="223"/>
      <c r="AL449" s="49"/>
      <c r="AM449" s="49"/>
      <c r="AN449" s="49">
        <v>-0.5</v>
      </c>
      <c r="AO449" s="49">
        <v>-0.5</v>
      </c>
      <c r="AP449" s="49"/>
      <c r="AR449" s="127"/>
    </row>
    <row r="450">
      <c r="R450" s="223"/>
      <c r="AL450" s="49"/>
      <c r="AM450" s="49"/>
      <c r="AN450" s="49">
        <v>-0.5</v>
      </c>
      <c r="AO450" s="49">
        <v>-0.5</v>
      </c>
      <c r="AP450" s="49"/>
      <c r="AR450" s="127"/>
    </row>
    <row r="451">
      <c r="R451" s="223"/>
      <c r="AL451" s="49"/>
      <c r="AM451" s="49"/>
      <c r="AN451" s="49">
        <v>-0.5</v>
      </c>
      <c r="AO451" s="49">
        <v>-0.5</v>
      </c>
      <c r="AP451" s="49"/>
      <c r="AR451" s="127"/>
    </row>
    <row r="452">
      <c r="R452" s="223"/>
      <c r="AL452" s="49"/>
      <c r="AM452" s="49"/>
      <c r="AN452" s="49">
        <v>-0.5</v>
      </c>
      <c r="AO452" s="49">
        <v>-0.5</v>
      </c>
      <c r="AP452" s="49"/>
      <c r="AR452" s="127"/>
    </row>
    <row r="453">
      <c r="R453" s="223"/>
      <c r="AL453" s="49"/>
      <c r="AM453" s="49"/>
      <c r="AN453" s="49">
        <v>-0.5</v>
      </c>
      <c r="AO453" s="49">
        <v>-0.5</v>
      </c>
      <c r="AP453" s="49"/>
      <c r="AR453" s="127"/>
    </row>
    <row r="454">
      <c r="R454" s="223"/>
      <c r="AL454" s="49"/>
      <c r="AM454" s="49"/>
      <c r="AN454" s="49">
        <v>-0.5</v>
      </c>
      <c r="AO454" s="49">
        <v>-0.5</v>
      </c>
      <c r="AP454" s="49"/>
      <c r="AR454" s="127"/>
    </row>
    <row r="455">
      <c r="R455" s="223"/>
      <c r="AL455" s="49"/>
      <c r="AM455" s="49"/>
      <c r="AN455" s="49">
        <v>-0.5</v>
      </c>
      <c r="AO455" s="49">
        <v>-0.5</v>
      </c>
      <c r="AP455" s="49"/>
      <c r="AR455" s="127"/>
    </row>
    <row r="456">
      <c r="R456" s="223"/>
      <c r="AL456" s="49"/>
      <c r="AM456" s="49"/>
      <c r="AN456" s="49">
        <v>-0.5</v>
      </c>
      <c r="AO456" s="49">
        <v>-0.5</v>
      </c>
      <c r="AP456" s="49"/>
      <c r="AR456" s="127"/>
    </row>
    <row r="457">
      <c r="R457" s="223"/>
      <c r="AL457" s="49"/>
      <c r="AM457" s="49"/>
      <c r="AN457" s="49">
        <v>-0.5</v>
      </c>
      <c r="AO457" s="49">
        <v>-0.5</v>
      </c>
      <c r="AP457" s="49"/>
      <c r="AR457" s="127"/>
    </row>
    <row r="458">
      <c r="R458" s="223"/>
      <c r="AL458" s="49"/>
      <c r="AM458" s="49"/>
      <c r="AN458" s="49">
        <v>-0.5</v>
      </c>
      <c r="AO458" s="49">
        <v>-0.5</v>
      </c>
      <c r="AP458" s="49"/>
      <c r="AR458" s="127"/>
    </row>
    <row r="459">
      <c r="R459" s="223"/>
      <c r="AL459" s="49"/>
      <c r="AM459" s="49"/>
      <c r="AN459" s="49">
        <v>-0.5</v>
      </c>
      <c r="AO459" s="49">
        <v>-0.5</v>
      </c>
      <c r="AP459" s="49"/>
      <c r="AR459" s="127"/>
    </row>
    <row r="460">
      <c r="R460" s="223"/>
      <c r="AL460" s="49"/>
      <c r="AM460" s="49"/>
      <c r="AN460" s="49">
        <v>-0.5</v>
      </c>
      <c r="AO460" s="49">
        <v>-0.5</v>
      </c>
      <c r="AP460" s="49"/>
      <c r="AR460" s="127"/>
    </row>
    <row r="461">
      <c r="R461" s="223"/>
      <c r="AL461" s="49"/>
      <c r="AM461" s="49"/>
      <c r="AN461" s="49">
        <v>-0.5</v>
      </c>
      <c r="AO461" s="49">
        <v>-0.5</v>
      </c>
      <c r="AP461" s="49"/>
      <c r="AR461" s="127"/>
    </row>
    <row r="462">
      <c r="R462" s="223"/>
      <c r="AL462" s="49"/>
      <c r="AM462" s="49"/>
      <c r="AN462" s="49">
        <v>-0.5</v>
      </c>
      <c r="AO462" s="49">
        <v>-0.5</v>
      </c>
      <c r="AP462" s="49"/>
      <c r="AR462" s="127"/>
    </row>
    <row r="463">
      <c r="R463" s="223"/>
      <c r="AL463" s="49"/>
      <c r="AM463" s="49"/>
      <c r="AN463" s="49">
        <v>-0.5</v>
      </c>
      <c r="AO463" s="49">
        <v>-0.5</v>
      </c>
      <c r="AP463" s="49"/>
      <c r="AR463" s="127"/>
    </row>
    <row r="464">
      <c r="R464" s="223"/>
      <c r="AL464" s="49"/>
      <c r="AM464" s="49"/>
      <c r="AN464" s="49">
        <v>-0.5</v>
      </c>
      <c r="AO464" s="49">
        <v>-0.5</v>
      </c>
      <c r="AP464" s="49"/>
      <c r="AR464" s="127"/>
    </row>
    <row r="465">
      <c r="R465" s="223"/>
      <c r="AL465" s="49"/>
      <c r="AM465" s="49"/>
      <c r="AN465" s="49">
        <v>-0.5</v>
      </c>
      <c r="AO465" s="49">
        <v>-0.5</v>
      </c>
      <c r="AP465" s="49"/>
      <c r="AR465" s="127"/>
    </row>
    <row r="466">
      <c r="R466" s="223"/>
      <c r="AL466" s="49"/>
      <c r="AM466" s="49"/>
      <c r="AN466" s="49">
        <v>-0.5</v>
      </c>
      <c r="AO466" s="49">
        <v>-0.5</v>
      </c>
      <c r="AP466" s="49"/>
      <c r="AR466" s="127"/>
    </row>
    <row r="467">
      <c r="R467" s="223"/>
      <c r="AL467" s="49"/>
      <c r="AM467" s="49"/>
      <c r="AN467" s="49">
        <v>-0.5</v>
      </c>
      <c r="AO467" s="49">
        <v>-0.5</v>
      </c>
      <c r="AP467" s="49"/>
      <c r="AR467" s="127"/>
    </row>
    <row r="468">
      <c r="R468" s="223"/>
      <c r="AL468" s="49"/>
      <c r="AM468" s="49"/>
      <c r="AN468" s="49">
        <v>-0.5</v>
      </c>
      <c r="AO468" s="49">
        <v>-0.5</v>
      </c>
      <c r="AP468" s="49"/>
      <c r="AR468" s="127"/>
    </row>
    <row r="469">
      <c r="R469" s="223"/>
      <c r="AL469" s="49"/>
      <c r="AM469" s="49"/>
      <c r="AN469" s="49">
        <v>-0.5</v>
      </c>
      <c r="AO469" s="49">
        <v>-0.5</v>
      </c>
      <c r="AP469" s="49"/>
      <c r="AR469" s="127"/>
    </row>
    <row r="470">
      <c r="R470" s="223"/>
      <c r="AL470" s="49"/>
      <c r="AM470" s="49"/>
      <c r="AN470" s="49">
        <v>-0.5</v>
      </c>
      <c r="AO470" s="49">
        <v>-0.5</v>
      </c>
      <c r="AP470" s="49"/>
      <c r="AR470" s="127"/>
    </row>
    <row r="471">
      <c r="R471" s="223"/>
      <c r="AL471" s="49"/>
      <c r="AM471" s="49"/>
      <c r="AN471" s="49">
        <v>-0.5</v>
      </c>
      <c r="AO471" s="49">
        <v>-0.5</v>
      </c>
      <c r="AP471" s="49"/>
      <c r="AR471" s="127"/>
    </row>
    <row r="472">
      <c r="R472" s="223"/>
      <c r="AL472" s="49"/>
      <c r="AM472" s="49"/>
      <c r="AN472" s="49">
        <v>-0.5</v>
      </c>
      <c r="AO472" s="49">
        <v>-0.5</v>
      </c>
      <c r="AP472" s="49"/>
      <c r="AR472" s="127"/>
    </row>
    <row r="473">
      <c r="R473" s="223"/>
      <c r="AL473" s="49"/>
      <c r="AM473" s="49"/>
      <c r="AN473" s="49">
        <v>-0.5</v>
      </c>
      <c r="AO473" s="49">
        <v>-0.5</v>
      </c>
      <c r="AP473" s="49"/>
      <c r="AR473" s="127"/>
    </row>
    <row r="474">
      <c r="R474" s="223"/>
      <c r="AL474" s="49"/>
      <c r="AM474" s="49"/>
      <c r="AN474" s="49">
        <v>-0.5</v>
      </c>
      <c r="AO474" s="49">
        <v>-0.5</v>
      </c>
      <c r="AP474" s="49"/>
      <c r="AR474" s="127"/>
    </row>
    <row r="475">
      <c r="R475" s="223"/>
      <c r="AL475" s="49"/>
      <c r="AM475" s="49"/>
      <c r="AN475" s="49">
        <v>-0.5</v>
      </c>
      <c r="AO475" s="49">
        <v>-0.5</v>
      </c>
      <c r="AP475" s="49"/>
      <c r="AR475" s="127"/>
    </row>
    <row r="476">
      <c r="R476" s="223"/>
      <c r="AL476" s="49"/>
      <c r="AM476" s="49"/>
      <c r="AN476" s="49">
        <v>-0.5</v>
      </c>
      <c r="AO476" s="49">
        <v>-0.5</v>
      </c>
      <c r="AP476" s="49"/>
      <c r="AR476" s="127"/>
    </row>
    <row r="477">
      <c r="R477" s="223"/>
      <c r="AL477" s="49"/>
      <c r="AM477" s="49"/>
      <c r="AN477" s="49">
        <v>-0.5</v>
      </c>
      <c r="AO477" s="49">
        <v>-0.5</v>
      </c>
      <c r="AP477" s="49"/>
      <c r="AR477" s="127"/>
    </row>
    <row r="478">
      <c r="R478" s="223"/>
      <c r="AL478" s="49"/>
      <c r="AM478" s="49"/>
      <c r="AN478" s="49">
        <v>-0.5</v>
      </c>
      <c r="AO478" s="49">
        <v>-0.5</v>
      </c>
      <c r="AP478" s="49"/>
      <c r="AR478" s="127"/>
    </row>
    <row r="479">
      <c r="R479" s="223"/>
      <c r="AL479" s="49"/>
      <c r="AM479" s="49"/>
      <c r="AN479" s="49">
        <v>-0.5</v>
      </c>
      <c r="AO479" s="49">
        <v>-0.5</v>
      </c>
      <c r="AP479" s="49"/>
      <c r="AR479" s="127"/>
    </row>
    <row r="480">
      <c r="R480" s="223"/>
      <c r="AL480" s="49"/>
      <c r="AM480" s="49"/>
      <c r="AN480" s="49">
        <v>-0.5</v>
      </c>
      <c r="AO480" s="49">
        <v>-0.5</v>
      </c>
      <c r="AP480" s="49"/>
      <c r="AR480" s="127"/>
    </row>
    <row r="481">
      <c r="R481" s="223"/>
      <c r="AL481" s="49"/>
      <c r="AM481" s="49"/>
      <c r="AN481" s="49">
        <v>-0.5</v>
      </c>
      <c r="AO481" s="49">
        <v>-0.5</v>
      </c>
      <c r="AP481" s="49"/>
      <c r="AR481" s="127"/>
    </row>
    <row r="482">
      <c r="R482" s="223"/>
      <c r="AL482" s="49"/>
      <c r="AM482" s="49"/>
      <c r="AN482" s="49">
        <v>-0.5</v>
      </c>
      <c r="AO482" s="49">
        <v>-0.5</v>
      </c>
      <c r="AP482" s="49"/>
      <c r="AR482" s="127"/>
    </row>
    <row r="483">
      <c r="R483" s="223"/>
      <c r="AL483" s="49"/>
      <c r="AM483" s="49"/>
      <c r="AN483" s="49">
        <v>-0.5</v>
      </c>
      <c r="AO483" s="49">
        <v>-0.5</v>
      </c>
      <c r="AP483" s="49"/>
      <c r="AR483" s="127"/>
    </row>
    <row r="484">
      <c r="R484" s="223"/>
      <c r="AL484" s="49"/>
      <c r="AM484" s="49"/>
      <c r="AN484" s="49">
        <v>-0.5</v>
      </c>
      <c r="AO484" s="49">
        <v>-0.5</v>
      </c>
      <c r="AP484" s="49"/>
      <c r="AR484" s="127"/>
    </row>
    <row r="485">
      <c r="R485" s="223"/>
      <c r="AL485" s="49"/>
      <c r="AM485" s="49"/>
      <c r="AN485" s="49">
        <v>-0.5</v>
      </c>
      <c r="AO485" s="49">
        <v>-0.5</v>
      </c>
      <c r="AP485" s="49"/>
      <c r="AR485" s="127"/>
    </row>
    <row r="486">
      <c r="R486" s="223"/>
      <c r="AL486" s="49"/>
      <c r="AM486" s="49"/>
      <c r="AN486" s="49">
        <v>-0.5</v>
      </c>
      <c r="AO486" s="49">
        <v>-0.5</v>
      </c>
      <c r="AP486" s="49"/>
      <c r="AR486" s="127"/>
    </row>
    <row r="487">
      <c r="R487" s="223"/>
      <c r="AL487" s="49"/>
      <c r="AM487" s="49"/>
      <c r="AN487" s="49">
        <v>-0.5</v>
      </c>
      <c r="AO487" s="49">
        <v>-0.5</v>
      </c>
      <c r="AP487" s="49"/>
      <c r="AR487" s="127"/>
    </row>
    <row r="488">
      <c r="R488" s="223"/>
      <c r="AL488" s="49"/>
      <c r="AM488" s="49"/>
      <c r="AN488" s="49">
        <v>-0.5</v>
      </c>
      <c r="AO488" s="49">
        <v>-0.5</v>
      </c>
      <c r="AP488" s="49"/>
      <c r="AR488" s="127"/>
    </row>
    <row r="489">
      <c r="R489" s="223"/>
      <c r="AL489" s="49"/>
      <c r="AM489" s="49"/>
      <c r="AN489" s="49">
        <v>-0.5</v>
      </c>
      <c r="AO489" s="49">
        <v>-0.5</v>
      </c>
      <c r="AP489" s="49"/>
      <c r="AR489" s="127"/>
    </row>
    <row r="490">
      <c r="R490" s="223"/>
      <c r="AL490" s="49"/>
      <c r="AM490" s="49"/>
      <c r="AN490" s="49">
        <v>-0.5</v>
      </c>
      <c r="AO490" s="49">
        <v>-0.5</v>
      </c>
      <c r="AP490" s="49"/>
      <c r="AR490" s="127"/>
    </row>
    <row r="491">
      <c r="R491" s="223"/>
      <c r="AL491" s="49"/>
      <c r="AM491" s="49"/>
      <c r="AN491" s="49">
        <v>-0.5</v>
      </c>
      <c r="AO491" s="49">
        <v>-0.5</v>
      </c>
      <c r="AP491" s="49"/>
      <c r="AR491" s="127"/>
    </row>
    <row r="492">
      <c r="R492" s="223"/>
      <c r="AL492" s="49"/>
      <c r="AM492" s="49"/>
      <c r="AN492" s="49">
        <v>-0.5</v>
      </c>
      <c r="AO492" s="49">
        <v>-0.5</v>
      </c>
      <c r="AP492" s="49"/>
      <c r="AR492" s="127"/>
    </row>
    <row r="493">
      <c r="R493" s="223"/>
      <c r="AL493" s="49"/>
      <c r="AM493" s="49"/>
      <c r="AN493" s="49">
        <v>-0.5</v>
      </c>
      <c r="AO493" s="49">
        <v>-0.5</v>
      </c>
      <c r="AP493" s="49"/>
      <c r="AR493" s="127"/>
    </row>
    <row r="494">
      <c r="R494" s="223"/>
      <c r="AL494" s="49"/>
      <c r="AM494" s="49"/>
      <c r="AN494" s="49">
        <v>-0.5</v>
      </c>
      <c r="AO494" s="49">
        <v>-0.5</v>
      </c>
      <c r="AP494" s="49"/>
      <c r="AR494" s="127"/>
    </row>
    <row r="495">
      <c r="R495" s="223"/>
      <c r="AL495" s="49"/>
      <c r="AM495" s="49"/>
      <c r="AN495" s="49">
        <v>-0.5</v>
      </c>
      <c r="AO495" s="49">
        <v>-0.5</v>
      </c>
      <c r="AP495" s="49"/>
      <c r="AR495" s="127"/>
    </row>
    <row r="496">
      <c r="R496" s="223"/>
      <c r="AL496" s="49"/>
      <c r="AM496" s="49"/>
      <c r="AN496" s="49">
        <v>-0.5</v>
      </c>
      <c r="AO496" s="49">
        <v>-0.5</v>
      </c>
      <c r="AP496" s="49"/>
      <c r="AR496" s="127"/>
    </row>
    <row r="497">
      <c r="R497" s="223"/>
      <c r="AL497" s="49"/>
      <c r="AM497" s="49"/>
      <c r="AN497" s="49">
        <v>-0.5</v>
      </c>
      <c r="AO497" s="49">
        <v>-0.5</v>
      </c>
      <c r="AP497" s="49"/>
      <c r="AR497" s="127"/>
    </row>
    <row r="498">
      <c r="R498" s="223"/>
      <c r="AL498" s="49"/>
      <c r="AM498" s="49"/>
      <c r="AN498" s="49">
        <v>-0.5</v>
      </c>
      <c r="AO498" s="49">
        <v>-0.5</v>
      </c>
      <c r="AP498" s="49"/>
      <c r="AR498" s="127"/>
    </row>
    <row r="499">
      <c r="R499" s="223"/>
      <c r="AL499" s="49"/>
      <c r="AM499" s="49"/>
      <c r="AN499" s="49">
        <v>-0.5</v>
      </c>
      <c r="AO499" s="49">
        <v>-0.5</v>
      </c>
      <c r="AP499" s="49"/>
      <c r="AR499" s="127"/>
    </row>
    <row r="500">
      <c r="R500" s="223"/>
      <c r="AL500" s="49"/>
      <c r="AM500" s="49"/>
      <c r="AN500" s="49">
        <v>-0.5</v>
      </c>
      <c r="AO500" s="49">
        <v>-0.5</v>
      </c>
      <c r="AP500" s="49"/>
      <c r="AR500" s="127"/>
    </row>
    <row r="501">
      <c r="R501" s="223"/>
      <c r="AL501" s="49"/>
      <c r="AM501" s="49"/>
      <c r="AN501" s="49">
        <v>-0.5</v>
      </c>
      <c r="AO501" s="49">
        <v>-0.5</v>
      </c>
      <c r="AP501" s="49"/>
      <c r="AR501" s="127"/>
    </row>
    <row r="502">
      <c r="R502" s="223"/>
      <c r="AL502" s="49"/>
      <c r="AM502" s="49"/>
      <c r="AN502" s="49">
        <v>-0.5</v>
      </c>
      <c r="AO502" s="49">
        <v>-0.5</v>
      </c>
      <c r="AP502" s="49"/>
      <c r="AR502" s="127"/>
    </row>
    <row r="503">
      <c r="R503" s="223"/>
      <c r="AL503" s="49"/>
      <c r="AM503" s="49"/>
      <c r="AN503" s="49">
        <v>-0.5</v>
      </c>
      <c r="AO503" s="49">
        <v>-0.5</v>
      </c>
      <c r="AP503" s="49"/>
      <c r="AR503" s="127"/>
    </row>
    <row r="504">
      <c r="R504" s="223"/>
      <c r="AL504" s="49"/>
      <c r="AM504" s="49"/>
      <c r="AN504" s="49">
        <v>-0.5</v>
      </c>
      <c r="AO504" s="49">
        <v>-0.5</v>
      </c>
      <c r="AP504" s="49"/>
      <c r="AR504" s="127"/>
    </row>
    <row r="505">
      <c r="R505" s="223"/>
      <c r="AL505" s="49"/>
      <c r="AM505" s="49"/>
      <c r="AN505" s="49">
        <v>-0.5</v>
      </c>
      <c r="AO505" s="49">
        <v>-0.5</v>
      </c>
      <c r="AP505" s="49"/>
      <c r="AR505" s="127"/>
    </row>
    <row r="506">
      <c r="R506" s="223"/>
      <c r="AL506" s="49"/>
      <c r="AM506" s="49"/>
      <c r="AN506" s="49">
        <v>-0.5</v>
      </c>
      <c r="AO506" s="49">
        <v>-0.5</v>
      </c>
      <c r="AP506" s="49"/>
      <c r="AR506" s="127"/>
    </row>
    <row r="507">
      <c r="R507" s="223"/>
      <c r="AL507" s="49"/>
      <c r="AM507" s="49"/>
      <c r="AN507" s="49">
        <v>-0.5</v>
      </c>
      <c r="AO507" s="49">
        <v>-0.5</v>
      </c>
      <c r="AP507" s="49"/>
      <c r="AR507" s="127"/>
    </row>
    <row r="508">
      <c r="R508" s="223"/>
      <c r="AL508" s="49"/>
      <c r="AM508" s="49"/>
      <c r="AN508" s="49">
        <v>-0.5</v>
      </c>
      <c r="AO508" s="49">
        <v>-0.5</v>
      </c>
      <c r="AP508" s="49"/>
      <c r="AR508" s="127"/>
    </row>
    <row r="509">
      <c r="R509" s="223"/>
      <c r="AL509" s="49"/>
      <c r="AM509" s="49"/>
      <c r="AN509" s="49">
        <v>-0.5</v>
      </c>
      <c r="AO509" s="49">
        <v>-0.5</v>
      </c>
      <c r="AP509" s="49"/>
      <c r="AR509" s="127"/>
    </row>
    <row r="510">
      <c r="R510" s="223"/>
      <c r="AL510" s="49"/>
      <c r="AM510" s="49"/>
      <c r="AN510" s="49">
        <v>-0.5</v>
      </c>
      <c r="AO510" s="49">
        <v>-0.5</v>
      </c>
      <c r="AP510" s="49"/>
      <c r="AR510" s="127"/>
    </row>
    <row r="511">
      <c r="R511" s="223"/>
      <c r="AL511" s="49"/>
      <c r="AM511" s="49"/>
      <c r="AN511" s="49">
        <v>-0.5</v>
      </c>
      <c r="AO511" s="49">
        <v>-0.5</v>
      </c>
      <c r="AP511" s="49"/>
      <c r="AR511" s="127"/>
    </row>
    <row r="512">
      <c r="R512" s="223"/>
      <c r="AL512" s="49"/>
      <c r="AM512" s="49"/>
      <c r="AN512" s="49">
        <v>-0.5</v>
      </c>
      <c r="AO512" s="49">
        <v>-0.5</v>
      </c>
      <c r="AP512" s="49"/>
      <c r="AR512" s="127"/>
    </row>
    <row r="513">
      <c r="R513" s="223"/>
      <c r="AL513" s="49"/>
      <c r="AM513" s="49"/>
      <c r="AN513" s="49">
        <v>-0.5</v>
      </c>
      <c r="AO513" s="49">
        <v>-0.5</v>
      </c>
      <c r="AP513" s="49"/>
      <c r="AR513" s="127"/>
    </row>
    <row r="514">
      <c r="R514" s="223"/>
      <c r="AL514" s="49"/>
      <c r="AM514" s="49"/>
      <c r="AN514" s="49">
        <v>-0.5</v>
      </c>
      <c r="AO514" s="49">
        <v>-0.5</v>
      </c>
      <c r="AP514" s="49"/>
      <c r="AR514" s="127"/>
    </row>
    <row r="515">
      <c r="R515" s="223"/>
      <c r="AL515" s="49"/>
      <c r="AM515" s="49"/>
      <c r="AN515" s="49">
        <v>-0.5</v>
      </c>
      <c r="AO515" s="49">
        <v>-0.5</v>
      </c>
      <c r="AP515" s="49"/>
      <c r="AR515" s="127"/>
    </row>
    <row r="516">
      <c r="R516" s="223"/>
      <c r="AL516" s="49"/>
      <c r="AM516" s="49"/>
      <c r="AN516" s="49">
        <v>-0.5</v>
      </c>
      <c r="AO516" s="49">
        <v>-0.5</v>
      </c>
      <c r="AP516" s="49"/>
      <c r="AR516" s="127"/>
    </row>
    <row r="517">
      <c r="R517" s="223"/>
      <c r="AL517" s="49"/>
      <c r="AM517" s="49"/>
      <c r="AN517" s="49">
        <v>-0.5</v>
      </c>
      <c r="AO517" s="49">
        <v>-0.5</v>
      </c>
      <c r="AP517" s="49"/>
      <c r="AR517" s="127"/>
    </row>
    <row r="518">
      <c r="R518" s="223"/>
      <c r="AL518" s="49"/>
      <c r="AM518" s="49"/>
      <c r="AN518" s="49">
        <v>-0.5</v>
      </c>
      <c r="AO518" s="49">
        <v>-0.5</v>
      </c>
      <c r="AP518" s="49"/>
      <c r="AR518" s="127"/>
    </row>
    <row r="519">
      <c r="R519" s="223"/>
      <c r="AL519" s="49"/>
      <c r="AM519" s="49"/>
      <c r="AN519" s="49">
        <v>-0.5</v>
      </c>
      <c r="AO519" s="49">
        <v>-0.5</v>
      </c>
      <c r="AP519" s="49"/>
      <c r="AR519" s="127"/>
    </row>
    <row r="520">
      <c r="R520" s="223"/>
      <c r="AL520" s="49"/>
      <c r="AM520" s="49"/>
      <c r="AN520" s="49">
        <v>-0.5</v>
      </c>
      <c r="AO520" s="49">
        <v>-0.5</v>
      </c>
      <c r="AP520" s="49"/>
      <c r="AR520" s="127"/>
    </row>
    <row r="521">
      <c r="R521" s="223"/>
      <c r="AL521" s="49"/>
      <c r="AM521" s="49"/>
      <c r="AN521" s="49">
        <v>-0.5</v>
      </c>
      <c r="AO521" s="49">
        <v>-0.5</v>
      </c>
      <c r="AP521" s="49"/>
      <c r="AR521" s="127"/>
    </row>
    <row r="522">
      <c r="R522" s="223"/>
      <c r="AL522" s="49"/>
      <c r="AM522" s="49"/>
      <c r="AN522" s="49">
        <v>-0.5</v>
      </c>
      <c r="AO522" s="49">
        <v>-0.5</v>
      </c>
      <c r="AP522" s="49"/>
      <c r="AR522" s="127"/>
    </row>
    <row r="523">
      <c r="R523" s="223"/>
      <c r="AL523" s="49"/>
      <c r="AM523" s="49"/>
      <c r="AN523" s="49">
        <v>-0.5</v>
      </c>
      <c r="AO523" s="49">
        <v>-0.5</v>
      </c>
      <c r="AP523" s="49"/>
      <c r="AR523" s="127"/>
    </row>
    <row r="524">
      <c r="R524" s="223"/>
      <c r="AL524" s="49"/>
      <c r="AM524" s="49"/>
      <c r="AN524" s="49">
        <v>-0.5</v>
      </c>
      <c r="AO524" s="49">
        <v>-0.5</v>
      </c>
      <c r="AP524" s="49"/>
      <c r="AR524" s="127"/>
    </row>
    <row r="525">
      <c r="R525" s="223"/>
      <c r="AL525" s="49"/>
      <c r="AM525" s="49"/>
      <c r="AN525" s="49">
        <v>-0.5</v>
      </c>
      <c r="AO525" s="49">
        <v>-0.5</v>
      </c>
      <c r="AP525" s="49"/>
      <c r="AR525" s="127"/>
    </row>
    <row r="526">
      <c r="R526" s="223"/>
      <c r="AL526" s="49"/>
      <c r="AM526" s="49"/>
      <c r="AN526" s="49">
        <v>-0.5</v>
      </c>
      <c r="AO526" s="49">
        <v>-0.5</v>
      </c>
      <c r="AP526" s="49"/>
      <c r="AR526" s="127"/>
    </row>
    <row r="527">
      <c r="R527" s="223"/>
      <c r="AL527" s="49"/>
      <c r="AM527" s="49"/>
      <c r="AN527" s="49">
        <v>-0.5</v>
      </c>
      <c r="AO527" s="49">
        <v>-0.5</v>
      </c>
      <c r="AP527" s="49"/>
      <c r="AR527" s="127"/>
    </row>
    <row r="528">
      <c r="R528" s="223"/>
      <c r="AL528" s="49"/>
      <c r="AM528" s="49"/>
      <c r="AN528" s="49">
        <v>-0.5</v>
      </c>
      <c r="AO528" s="49">
        <v>-0.5</v>
      </c>
      <c r="AP528" s="49"/>
      <c r="AR528" s="127"/>
    </row>
    <row r="529">
      <c r="R529" s="223"/>
      <c r="AL529" s="49"/>
      <c r="AM529" s="49"/>
      <c r="AN529" s="49">
        <v>-0.5</v>
      </c>
      <c r="AO529" s="49">
        <v>-0.5</v>
      </c>
      <c r="AP529" s="49"/>
      <c r="AR529" s="127"/>
    </row>
    <row r="530">
      <c r="R530" s="223"/>
      <c r="AL530" s="49"/>
      <c r="AM530" s="49"/>
      <c r="AN530" s="49">
        <v>-0.5</v>
      </c>
      <c r="AO530" s="49">
        <v>-0.5</v>
      </c>
      <c r="AP530" s="49"/>
      <c r="AR530" s="127"/>
    </row>
    <row r="531">
      <c r="R531" s="223"/>
      <c r="AL531" s="49"/>
      <c r="AM531" s="49"/>
      <c r="AN531" s="49">
        <v>-0.5</v>
      </c>
      <c r="AO531" s="49">
        <v>-0.5</v>
      </c>
      <c r="AP531" s="49"/>
      <c r="AR531" s="127"/>
    </row>
    <row r="532">
      <c r="R532" s="223"/>
      <c r="AL532" s="49"/>
      <c r="AM532" s="49"/>
      <c r="AN532" s="49">
        <v>-0.5</v>
      </c>
      <c r="AO532" s="49">
        <v>-0.5</v>
      </c>
      <c r="AP532" s="49"/>
      <c r="AR532" s="127"/>
    </row>
    <row r="533">
      <c r="R533" s="223"/>
      <c r="AL533" s="49"/>
      <c r="AM533" s="49"/>
      <c r="AN533" s="49">
        <v>-0.5</v>
      </c>
      <c r="AO533" s="49">
        <v>-0.5</v>
      </c>
      <c r="AP533" s="49"/>
      <c r="AR533" s="127"/>
    </row>
    <row r="534">
      <c r="R534" s="223"/>
      <c r="AL534" s="49"/>
      <c r="AM534" s="49"/>
      <c r="AN534" s="49">
        <v>-0.5</v>
      </c>
      <c r="AO534" s="49">
        <v>-0.5</v>
      </c>
      <c r="AP534" s="49"/>
      <c r="AR534" s="127"/>
    </row>
    <row r="535">
      <c r="R535" s="223"/>
      <c r="AL535" s="49"/>
      <c r="AM535" s="49"/>
      <c r="AN535" s="49">
        <v>-0.5</v>
      </c>
      <c r="AO535" s="49">
        <v>-0.5</v>
      </c>
      <c r="AP535" s="49"/>
      <c r="AR535" s="127"/>
    </row>
    <row r="536">
      <c r="R536" s="223"/>
      <c r="AL536" s="49"/>
      <c r="AM536" s="49"/>
      <c r="AN536" s="49">
        <v>-0.5</v>
      </c>
      <c r="AO536" s="49">
        <v>-0.5</v>
      </c>
      <c r="AP536" s="49"/>
      <c r="AR536" s="127"/>
    </row>
    <row r="537">
      <c r="R537" s="223"/>
      <c r="AL537" s="49"/>
      <c r="AM537" s="49"/>
      <c r="AN537" s="49">
        <v>-0.5</v>
      </c>
      <c r="AO537" s="49">
        <v>-0.5</v>
      </c>
      <c r="AP537" s="49"/>
      <c r="AR537" s="127"/>
    </row>
    <row r="538">
      <c r="R538" s="223"/>
      <c r="AL538" s="49"/>
      <c r="AM538" s="49"/>
      <c r="AN538" s="49">
        <v>-0.5</v>
      </c>
      <c r="AO538" s="49">
        <v>-0.5</v>
      </c>
      <c r="AP538" s="49"/>
      <c r="AR538" s="127"/>
    </row>
    <row r="539">
      <c r="R539" s="223"/>
      <c r="AL539" s="49"/>
      <c r="AM539" s="49"/>
      <c r="AN539" s="49">
        <v>-0.5</v>
      </c>
      <c r="AO539" s="49">
        <v>-0.5</v>
      </c>
      <c r="AP539" s="49"/>
      <c r="AR539" s="127"/>
    </row>
    <row r="540">
      <c r="R540" s="223"/>
      <c r="AL540" s="49"/>
      <c r="AM540" s="49"/>
      <c r="AN540" s="49">
        <v>-0.5</v>
      </c>
      <c r="AO540" s="49">
        <v>-0.5</v>
      </c>
      <c r="AP540" s="49"/>
      <c r="AR540" s="127"/>
    </row>
    <row r="541">
      <c r="R541" s="223"/>
      <c r="AL541" s="49"/>
      <c r="AM541" s="49"/>
      <c r="AN541" s="49">
        <v>-0.5</v>
      </c>
      <c r="AO541" s="49">
        <v>-0.5</v>
      </c>
      <c r="AP541" s="49"/>
      <c r="AR541" s="127"/>
    </row>
    <row r="542">
      <c r="R542" s="223"/>
      <c r="AL542" s="49"/>
      <c r="AM542" s="49"/>
      <c r="AN542" s="49">
        <v>-0.5</v>
      </c>
      <c r="AO542" s="49">
        <v>-0.5</v>
      </c>
      <c r="AP542" s="49"/>
      <c r="AR542" s="127"/>
    </row>
    <row r="543">
      <c r="R543" s="223"/>
      <c r="AL543" s="49"/>
      <c r="AM543" s="49"/>
      <c r="AN543" s="49">
        <v>-0.5</v>
      </c>
      <c r="AO543" s="49">
        <v>-0.5</v>
      </c>
      <c r="AP543" s="49"/>
      <c r="AR543" s="127"/>
    </row>
    <row r="544">
      <c r="R544" s="223"/>
      <c r="AL544" s="49"/>
      <c r="AM544" s="49"/>
      <c r="AN544" s="49">
        <v>-0.5</v>
      </c>
      <c r="AO544" s="49">
        <v>-0.5</v>
      </c>
      <c r="AP544" s="49"/>
      <c r="AR544" s="127"/>
    </row>
    <row r="545">
      <c r="R545" s="223"/>
      <c r="AL545" s="49"/>
      <c r="AM545" s="49"/>
      <c r="AN545" s="49">
        <v>-0.5</v>
      </c>
      <c r="AO545" s="49">
        <v>-0.5</v>
      </c>
      <c r="AP545" s="49"/>
      <c r="AR545" s="127"/>
    </row>
    <row r="546">
      <c r="R546" s="223"/>
      <c r="AL546" s="49"/>
      <c r="AM546" s="49"/>
      <c r="AN546" s="49">
        <v>-0.5</v>
      </c>
      <c r="AO546" s="49">
        <v>-0.5</v>
      </c>
      <c r="AP546" s="49"/>
      <c r="AR546" s="127"/>
    </row>
    <row r="547">
      <c r="R547" s="223"/>
      <c r="AL547" s="49"/>
      <c r="AM547" s="49"/>
      <c r="AN547" s="49">
        <v>-0.5</v>
      </c>
      <c r="AO547" s="49">
        <v>-0.5</v>
      </c>
      <c r="AP547" s="49"/>
      <c r="AR547" s="127"/>
    </row>
    <row r="548">
      <c r="R548" s="223"/>
      <c r="AL548" s="49"/>
      <c r="AM548" s="49"/>
      <c r="AN548" s="49">
        <v>-0.5</v>
      </c>
      <c r="AO548" s="49">
        <v>-0.5</v>
      </c>
      <c r="AP548" s="49"/>
      <c r="AR548" s="127"/>
    </row>
    <row r="549">
      <c r="R549" s="223"/>
      <c r="AL549" s="49"/>
      <c r="AM549" s="49"/>
      <c r="AN549" s="49">
        <v>-0.5</v>
      </c>
      <c r="AO549" s="49">
        <v>-0.5</v>
      </c>
      <c r="AP549" s="49"/>
      <c r="AR549" s="127"/>
    </row>
    <row r="550">
      <c r="R550" s="223"/>
      <c r="AL550" s="49"/>
      <c r="AM550" s="49"/>
      <c r="AN550" s="49">
        <v>-0.5</v>
      </c>
      <c r="AO550" s="49">
        <v>-0.5</v>
      </c>
      <c r="AP550" s="49"/>
      <c r="AR550" s="127"/>
    </row>
    <row r="551">
      <c r="R551" s="223"/>
      <c r="AL551" s="49"/>
      <c r="AM551" s="49"/>
      <c r="AN551" s="49">
        <v>-0.5</v>
      </c>
      <c r="AO551" s="49">
        <v>-0.5</v>
      </c>
      <c r="AP551" s="49"/>
      <c r="AR551" s="127"/>
    </row>
    <row r="552">
      <c r="R552" s="223"/>
      <c r="AL552" s="49"/>
      <c r="AM552" s="49"/>
      <c r="AN552" s="49">
        <v>-0.5</v>
      </c>
      <c r="AO552" s="49">
        <v>-0.5</v>
      </c>
      <c r="AP552" s="49"/>
      <c r="AR552" s="127"/>
    </row>
    <row r="553">
      <c r="R553" s="223"/>
      <c r="AL553" s="49"/>
      <c r="AM553" s="49"/>
      <c r="AN553" s="49">
        <v>-0.5</v>
      </c>
      <c r="AO553" s="49">
        <v>-0.5</v>
      </c>
      <c r="AP553" s="49"/>
      <c r="AR553" s="127"/>
    </row>
    <row r="554">
      <c r="R554" s="223"/>
      <c r="AL554" s="49"/>
      <c r="AM554" s="49"/>
      <c r="AN554" s="49">
        <v>-0.5</v>
      </c>
      <c r="AO554" s="49">
        <v>-0.5</v>
      </c>
      <c r="AP554" s="49"/>
      <c r="AR554" s="127"/>
    </row>
    <row r="555">
      <c r="R555" s="223"/>
      <c r="AL555" s="49"/>
      <c r="AM555" s="49"/>
      <c r="AN555" s="49">
        <v>-0.5</v>
      </c>
      <c r="AO555" s="49">
        <v>-0.5</v>
      </c>
      <c r="AP555" s="49"/>
      <c r="AR555" s="127"/>
    </row>
    <row r="556">
      <c r="R556" s="223"/>
      <c r="AL556" s="49"/>
      <c r="AM556" s="49"/>
      <c r="AN556" s="49">
        <v>-0.5</v>
      </c>
      <c r="AO556" s="49">
        <v>-0.5</v>
      </c>
      <c r="AP556" s="49"/>
      <c r="AR556" s="127"/>
    </row>
    <row r="557">
      <c r="R557" s="223"/>
      <c r="AL557" s="49"/>
      <c r="AM557" s="49"/>
      <c r="AN557" s="49">
        <v>-0.5</v>
      </c>
      <c r="AO557" s="49">
        <v>-0.5</v>
      </c>
      <c r="AP557" s="49"/>
      <c r="AR557" s="127"/>
    </row>
    <row r="558">
      <c r="R558" s="223"/>
      <c r="AL558" s="49"/>
      <c r="AM558" s="49"/>
      <c r="AN558" s="49">
        <v>-0.5</v>
      </c>
      <c r="AO558" s="49">
        <v>-0.5</v>
      </c>
      <c r="AP558" s="49"/>
      <c r="AR558" s="127"/>
    </row>
    <row r="559">
      <c r="R559" s="223"/>
      <c r="AL559" s="49"/>
      <c r="AM559" s="49"/>
      <c r="AN559" s="49">
        <v>-0.5</v>
      </c>
      <c r="AO559" s="49">
        <v>-0.5</v>
      </c>
      <c r="AP559" s="49"/>
      <c r="AR559" s="127"/>
    </row>
    <row r="560">
      <c r="R560" s="223"/>
      <c r="AL560" s="49"/>
      <c r="AM560" s="49"/>
      <c r="AN560" s="49">
        <v>-0.5</v>
      </c>
      <c r="AO560" s="49">
        <v>-0.5</v>
      </c>
      <c r="AP560" s="49"/>
      <c r="AR560" s="127"/>
    </row>
    <row r="561">
      <c r="R561" s="223"/>
      <c r="AL561" s="49"/>
      <c r="AM561" s="49"/>
      <c r="AN561" s="49">
        <v>-0.5</v>
      </c>
      <c r="AO561" s="49">
        <v>-0.5</v>
      </c>
      <c r="AP561" s="49"/>
      <c r="AR561" s="127"/>
    </row>
    <row r="562">
      <c r="R562" s="223"/>
      <c r="AL562" s="49"/>
      <c r="AM562" s="49"/>
      <c r="AN562" s="49">
        <v>-0.5</v>
      </c>
      <c r="AO562" s="49">
        <v>-0.5</v>
      </c>
      <c r="AP562" s="49"/>
      <c r="AR562" s="127"/>
    </row>
    <row r="563">
      <c r="R563" s="223"/>
      <c r="AL563" s="49"/>
      <c r="AM563" s="49"/>
      <c r="AN563" s="49">
        <v>-0.5</v>
      </c>
      <c r="AO563" s="49">
        <v>-0.5</v>
      </c>
      <c r="AP563" s="49"/>
      <c r="AR563" s="127"/>
    </row>
    <row r="564">
      <c r="R564" s="223"/>
      <c r="AL564" s="49"/>
      <c r="AM564" s="49"/>
      <c r="AN564" s="49">
        <v>-0.5</v>
      </c>
      <c r="AO564" s="49">
        <v>-0.5</v>
      </c>
      <c r="AP564" s="49"/>
      <c r="AR564" s="127"/>
    </row>
    <row r="565">
      <c r="R565" s="223"/>
      <c r="AL565" s="49"/>
      <c r="AM565" s="49"/>
      <c r="AN565" s="49">
        <v>-0.5</v>
      </c>
      <c r="AO565" s="49">
        <v>-0.5</v>
      </c>
      <c r="AP565" s="49"/>
      <c r="AR565" s="127"/>
    </row>
    <row r="566">
      <c r="R566" s="223"/>
      <c r="AL566" s="49"/>
      <c r="AM566" s="49"/>
      <c r="AN566" s="49">
        <v>-0.5</v>
      </c>
      <c r="AO566" s="49">
        <v>-0.5</v>
      </c>
      <c r="AP566" s="49"/>
      <c r="AR566" s="127"/>
    </row>
    <row r="567">
      <c r="R567" s="223"/>
      <c r="AL567" s="49"/>
      <c r="AM567" s="49"/>
      <c r="AN567" s="49">
        <v>-0.5</v>
      </c>
      <c r="AO567" s="49">
        <v>-0.5</v>
      </c>
      <c r="AP567" s="49"/>
      <c r="AR567" s="127"/>
    </row>
    <row r="568">
      <c r="R568" s="223"/>
      <c r="AL568" s="49"/>
      <c r="AM568" s="49"/>
      <c r="AN568" s="49">
        <v>-0.5</v>
      </c>
      <c r="AO568" s="49">
        <v>-0.5</v>
      </c>
      <c r="AP568" s="49"/>
      <c r="AR568" s="127"/>
    </row>
    <row r="569">
      <c r="R569" s="223"/>
      <c r="AL569" s="49"/>
      <c r="AM569" s="49"/>
      <c r="AN569" s="49">
        <v>-0.5</v>
      </c>
      <c r="AO569" s="49">
        <v>-0.5</v>
      </c>
      <c r="AP569" s="49"/>
      <c r="AR569" s="127"/>
    </row>
    <row r="570">
      <c r="R570" s="223"/>
      <c r="AL570" s="49"/>
      <c r="AM570" s="49"/>
      <c r="AN570" s="49">
        <v>-0.5</v>
      </c>
      <c r="AO570" s="49">
        <v>-0.5</v>
      </c>
      <c r="AP570" s="49"/>
      <c r="AR570" s="127"/>
    </row>
    <row r="571">
      <c r="R571" s="223"/>
      <c r="AL571" s="49"/>
      <c r="AM571" s="49"/>
      <c r="AN571" s="49">
        <v>-0.5</v>
      </c>
      <c r="AO571" s="49">
        <v>-0.5</v>
      </c>
      <c r="AP571" s="49"/>
      <c r="AR571" s="127"/>
    </row>
    <row r="572">
      <c r="R572" s="223"/>
      <c r="AL572" s="49"/>
      <c r="AM572" s="49"/>
      <c r="AN572" s="49">
        <v>-0.5</v>
      </c>
      <c r="AO572" s="49">
        <v>-0.5</v>
      </c>
      <c r="AP572" s="49"/>
      <c r="AR572" s="127"/>
    </row>
    <row r="573">
      <c r="R573" s="223"/>
      <c r="AL573" s="49"/>
      <c r="AM573" s="49"/>
      <c r="AN573" s="49">
        <v>-0.5</v>
      </c>
      <c r="AO573" s="49">
        <v>-0.5</v>
      </c>
      <c r="AP573" s="49"/>
      <c r="AR573" s="127"/>
    </row>
    <row r="574">
      <c r="R574" s="223"/>
      <c r="AL574" s="49"/>
      <c r="AM574" s="49"/>
      <c r="AN574" s="49">
        <v>-0.5</v>
      </c>
      <c r="AO574" s="49">
        <v>-0.5</v>
      </c>
      <c r="AP574" s="49"/>
      <c r="AR574" s="127"/>
    </row>
    <row r="575">
      <c r="R575" s="223"/>
      <c r="AL575" s="49"/>
      <c r="AM575" s="49"/>
      <c r="AN575" s="49">
        <v>-0.5</v>
      </c>
      <c r="AO575" s="49">
        <v>-0.5</v>
      </c>
      <c r="AP575" s="49"/>
      <c r="AR575" s="127"/>
    </row>
    <row r="576">
      <c r="R576" s="223"/>
      <c r="AL576" s="49"/>
      <c r="AM576" s="49"/>
      <c r="AN576" s="49">
        <v>-0.5</v>
      </c>
      <c r="AO576" s="49">
        <v>-0.5</v>
      </c>
      <c r="AP576" s="49"/>
      <c r="AR576" s="127"/>
    </row>
    <row r="577">
      <c r="R577" s="223"/>
      <c r="AL577" s="49"/>
      <c r="AM577" s="49"/>
      <c r="AN577" s="49">
        <v>-0.5</v>
      </c>
      <c r="AO577" s="49">
        <v>-0.5</v>
      </c>
      <c r="AP577" s="49"/>
      <c r="AR577" s="127"/>
    </row>
    <row r="578">
      <c r="R578" s="223"/>
      <c r="AL578" s="49"/>
      <c r="AM578" s="49"/>
      <c r="AN578" s="49">
        <v>-0.5</v>
      </c>
      <c r="AO578" s="49">
        <v>-0.5</v>
      </c>
      <c r="AP578" s="49"/>
      <c r="AR578" s="127"/>
    </row>
    <row r="579">
      <c r="R579" s="223"/>
      <c r="AL579" s="49"/>
      <c r="AM579" s="49"/>
      <c r="AN579" s="49">
        <v>-0.5</v>
      </c>
      <c r="AO579" s="49">
        <v>-0.5</v>
      </c>
      <c r="AP579" s="49"/>
      <c r="AR579" s="127"/>
    </row>
    <row r="580">
      <c r="R580" s="223"/>
      <c r="AL580" s="49"/>
      <c r="AM580" s="49"/>
      <c r="AN580" s="49">
        <v>-0.5</v>
      </c>
      <c r="AO580" s="49">
        <v>-0.5</v>
      </c>
      <c r="AP580" s="49"/>
      <c r="AR580" s="127"/>
    </row>
    <row r="581">
      <c r="R581" s="223"/>
      <c r="AL581" s="49"/>
      <c r="AM581" s="49"/>
      <c r="AN581" s="49">
        <v>-0.5</v>
      </c>
      <c r="AO581" s="49">
        <v>-0.5</v>
      </c>
      <c r="AP581" s="49"/>
      <c r="AR581" s="127"/>
    </row>
    <row r="582">
      <c r="R582" s="223"/>
      <c r="AL582" s="49"/>
      <c r="AM582" s="49"/>
      <c r="AN582" s="49">
        <v>-0.5</v>
      </c>
      <c r="AO582" s="49">
        <v>-0.5</v>
      </c>
      <c r="AP582" s="49"/>
      <c r="AR582" s="127"/>
    </row>
    <row r="583">
      <c r="R583" s="223"/>
      <c r="AL583" s="49"/>
      <c r="AM583" s="49"/>
      <c r="AN583" s="49">
        <v>-0.5</v>
      </c>
      <c r="AO583" s="49">
        <v>-0.5</v>
      </c>
      <c r="AP583" s="49"/>
      <c r="AR583" s="127"/>
    </row>
    <row r="584">
      <c r="R584" s="223"/>
      <c r="AL584" s="49"/>
      <c r="AM584" s="49"/>
      <c r="AN584" s="49">
        <v>-0.5</v>
      </c>
      <c r="AO584" s="49">
        <v>-0.5</v>
      </c>
      <c r="AP584" s="49"/>
      <c r="AR584" s="127"/>
    </row>
    <row r="585">
      <c r="R585" s="223"/>
      <c r="AL585" s="49"/>
      <c r="AM585" s="49"/>
      <c r="AN585" s="49">
        <v>-0.5</v>
      </c>
      <c r="AO585" s="49">
        <v>-0.5</v>
      </c>
      <c r="AP585" s="49"/>
      <c r="AR585" s="127"/>
    </row>
    <row r="586">
      <c r="R586" s="223"/>
      <c r="AL586" s="49"/>
      <c r="AM586" s="49"/>
      <c r="AN586" s="49">
        <v>-0.5</v>
      </c>
      <c r="AO586" s="49">
        <v>-0.5</v>
      </c>
      <c r="AP586" s="49"/>
      <c r="AR586" s="127"/>
    </row>
    <row r="587">
      <c r="R587" s="223"/>
      <c r="AL587" s="49"/>
      <c r="AM587" s="49"/>
      <c r="AN587" s="49">
        <v>-0.5</v>
      </c>
      <c r="AO587" s="49">
        <v>-0.5</v>
      </c>
      <c r="AP587" s="49"/>
      <c r="AR587" s="127"/>
    </row>
    <row r="588">
      <c r="R588" s="223"/>
      <c r="AL588" s="49"/>
      <c r="AM588" s="49"/>
      <c r="AN588" s="49">
        <v>-0.5</v>
      </c>
      <c r="AO588" s="49">
        <v>-0.5</v>
      </c>
      <c r="AP588" s="49"/>
      <c r="AR588" s="127"/>
    </row>
    <row r="589">
      <c r="R589" s="223"/>
      <c r="AL589" s="49"/>
      <c r="AM589" s="49"/>
      <c r="AN589" s="49">
        <v>-0.5</v>
      </c>
      <c r="AO589" s="49">
        <v>-0.5</v>
      </c>
      <c r="AP589" s="49"/>
      <c r="AR589" s="127"/>
    </row>
    <row r="590">
      <c r="R590" s="223"/>
      <c r="AL590" s="49"/>
      <c r="AM590" s="49"/>
      <c r="AN590" s="49">
        <v>-0.5</v>
      </c>
      <c r="AO590" s="49">
        <v>-0.5</v>
      </c>
      <c r="AP590" s="49"/>
      <c r="AR590" s="127"/>
    </row>
    <row r="591">
      <c r="R591" s="223"/>
      <c r="AL591" s="49"/>
      <c r="AM591" s="49"/>
      <c r="AN591" s="49">
        <v>-0.5</v>
      </c>
      <c r="AO591" s="49">
        <v>-0.5</v>
      </c>
      <c r="AP591" s="49"/>
      <c r="AR591" s="127"/>
    </row>
    <row r="592">
      <c r="R592" s="223"/>
      <c r="AL592" s="49"/>
      <c r="AM592" s="49"/>
      <c r="AN592" s="49">
        <v>-0.5</v>
      </c>
      <c r="AO592" s="49">
        <v>-0.5</v>
      </c>
      <c r="AP592" s="49"/>
      <c r="AR592" s="127"/>
    </row>
    <row r="593">
      <c r="R593" s="223"/>
      <c r="AL593" s="49"/>
      <c r="AM593" s="49"/>
      <c r="AN593" s="49">
        <v>-0.5</v>
      </c>
      <c r="AO593" s="49">
        <v>-0.5</v>
      </c>
      <c r="AP593" s="49"/>
      <c r="AR593" s="127"/>
    </row>
    <row r="594">
      <c r="R594" s="223"/>
      <c r="AL594" s="49"/>
      <c r="AM594" s="49"/>
      <c r="AN594" s="49">
        <v>-0.5</v>
      </c>
      <c r="AO594" s="49">
        <v>-0.5</v>
      </c>
      <c r="AP594" s="49"/>
      <c r="AR594" s="127"/>
    </row>
    <row r="595">
      <c r="R595" s="223"/>
      <c r="AL595" s="49"/>
      <c r="AM595" s="49"/>
      <c r="AN595" s="49">
        <v>-0.5</v>
      </c>
      <c r="AO595" s="49">
        <v>-0.5</v>
      </c>
      <c r="AP595" s="49"/>
      <c r="AR595" s="127"/>
    </row>
    <row r="596">
      <c r="R596" s="223"/>
      <c r="AL596" s="49"/>
      <c r="AM596" s="49"/>
      <c r="AN596" s="49">
        <v>-0.5</v>
      </c>
      <c r="AO596" s="49">
        <v>-0.5</v>
      </c>
      <c r="AP596" s="49"/>
      <c r="AR596" s="127"/>
    </row>
    <row r="597">
      <c r="R597" s="223"/>
      <c r="AL597" s="49"/>
      <c r="AM597" s="49"/>
      <c r="AN597" s="49">
        <v>-0.5</v>
      </c>
      <c r="AO597" s="49">
        <v>-0.5</v>
      </c>
      <c r="AP597" s="49"/>
      <c r="AR597" s="127"/>
    </row>
    <row r="598">
      <c r="R598" s="223"/>
      <c r="AL598" s="49"/>
      <c r="AM598" s="49"/>
      <c r="AN598" s="49">
        <v>-0.5</v>
      </c>
      <c r="AO598" s="49">
        <v>-0.5</v>
      </c>
      <c r="AP598" s="49"/>
      <c r="AR598" s="127"/>
    </row>
    <row r="599">
      <c r="R599" s="223"/>
      <c r="AL599" s="49"/>
      <c r="AM599" s="49"/>
      <c r="AN599" s="49">
        <v>-0.5</v>
      </c>
      <c r="AO599" s="49">
        <v>-0.5</v>
      </c>
      <c r="AP599" s="49"/>
      <c r="AR599" s="127"/>
    </row>
    <row r="600">
      <c r="R600" s="223"/>
      <c r="AL600" s="49"/>
      <c r="AM600" s="49"/>
      <c r="AN600" s="49">
        <v>-0.5</v>
      </c>
      <c r="AO600" s="49">
        <v>-0.5</v>
      </c>
      <c r="AP600" s="49"/>
      <c r="AR600" s="127"/>
    </row>
    <row r="601">
      <c r="R601" s="223"/>
      <c r="AL601" s="49"/>
      <c r="AM601" s="49"/>
      <c r="AN601" s="49">
        <v>-0.5</v>
      </c>
      <c r="AO601" s="49">
        <v>-0.5</v>
      </c>
      <c r="AP601" s="49"/>
      <c r="AR601" s="127"/>
    </row>
    <row r="602">
      <c r="R602" s="223"/>
      <c r="AL602" s="49"/>
      <c r="AM602" s="49"/>
      <c r="AN602" s="49">
        <v>-0.5</v>
      </c>
      <c r="AO602" s="49">
        <v>-0.5</v>
      </c>
      <c r="AP602" s="49"/>
      <c r="AR602" s="127"/>
    </row>
    <row r="603">
      <c r="R603" s="223"/>
      <c r="AL603" s="49"/>
      <c r="AM603" s="49"/>
      <c r="AN603" s="49">
        <v>-0.5</v>
      </c>
      <c r="AO603" s="49">
        <v>-0.5</v>
      </c>
      <c r="AP603" s="49"/>
      <c r="AR603" s="127"/>
    </row>
    <row r="604">
      <c r="R604" s="223"/>
      <c r="AL604" s="49"/>
      <c r="AM604" s="49"/>
      <c r="AN604" s="49">
        <v>-0.5</v>
      </c>
      <c r="AO604" s="49">
        <v>-0.5</v>
      </c>
      <c r="AP604" s="49"/>
      <c r="AR604" s="127"/>
    </row>
    <row r="605">
      <c r="R605" s="223"/>
      <c r="AL605" s="49"/>
      <c r="AM605" s="49"/>
      <c r="AN605" s="49">
        <v>-0.5</v>
      </c>
      <c r="AO605" s="49">
        <v>-0.5</v>
      </c>
      <c r="AP605" s="49"/>
      <c r="AR605" s="127"/>
    </row>
    <row r="606">
      <c r="R606" s="223"/>
      <c r="AL606" s="49"/>
      <c r="AM606" s="49"/>
      <c r="AN606" s="49">
        <v>-0.5</v>
      </c>
      <c r="AO606" s="49">
        <v>-0.5</v>
      </c>
      <c r="AP606" s="49"/>
      <c r="AR606" s="127"/>
    </row>
    <row r="607">
      <c r="R607" s="223"/>
      <c r="AL607" s="49"/>
      <c r="AM607" s="49"/>
      <c r="AN607" s="49">
        <v>-0.5</v>
      </c>
      <c r="AO607" s="49">
        <v>-0.5</v>
      </c>
      <c r="AP607" s="49"/>
      <c r="AR607" s="127"/>
    </row>
    <row r="608">
      <c r="R608" s="223"/>
      <c r="AL608" s="49"/>
      <c r="AM608" s="49"/>
      <c r="AN608" s="49">
        <v>-0.5</v>
      </c>
      <c r="AO608" s="49">
        <v>-0.5</v>
      </c>
      <c r="AP608" s="49"/>
      <c r="AR608" s="127"/>
    </row>
    <row r="609">
      <c r="R609" s="223"/>
      <c r="AL609" s="49"/>
      <c r="AM609" s="49"/>
      <c r="AN609" s="49">
        <v>-0.5</v>
      </c>
      <c r="AO609" s="49">
        <v>-0.5</v>
      </c>
      <c r="AP609" s="49"/>
      <c r="AR609" s="127"/>
    </row>
    <row r="610">
      <c r="R610" s="223"/>
      <c r="AL610" s="49"/>
      <c r="AM610" s="49"/>
      <c r="AN610" s="49">
        <v>-0.5</v>
      </c>
      <c r="AO610" s="49">
        <v>-0.5</v>
      </c>
      <c r="AP610" s="49"/>
      <c r="AR610" s="127"/>
    </row>
    <row r="611">
      <c r="R611" s="223"/>
      <c r="AL611" s="49"/>
      <c r="AM611" s="49"/>
      <c r="AN611" s="49">
        <v>-0.5</v>
      </c>
      <c r="AO611" s="49">
        <v>-0.5</v>
      </c>
      <c r="AP611" s="49"/>
      <c r="AR611" s="127"/>
    </row>
    <row r="612">
      <c r="R612" s="223"/>
      <c r="AL612" s="49"/>
      <c r="AM612" s="49"/>
      <c r="AN612" s="49">
        <v>-0.5</v>
      </c>
      <c r="AO612" s="49">
        <v>-0.5</v>
      </c>
      <c r="AP612" s="49"/>
      <c r="AR612" s="127"/>
    </row>
    <row r="613">
      <c r="R613" s="223"/>
      <c r="AL613" s="49"/>
      <c r="AM613" s="49"/>
      <c r="AN613" s="49">
        <v>-0.5</v>
      </c>
      <c r="AO613" s="49">
        <v>-0.5</v>
      </c>
      <c r="AP613" s="49"/>
      <c r="AR613" s="127"/>
    </row>
    <row r="614">
      <c r="R614" s="223"/>
      <c r="AL614" s="49"/>
      <c r="AM614" s="49"/>
      <c r="AN614" s="49">
        <v>-0.5</v>
      </c>
      <c r="AO614" s="49">
        <v>-0.5</v>
      </c>
      <c r="AP614" s="49"/>
      <c r="AR614" s="127"/>
    </row>
    <row r="615">
      <c r="R615" s="223"/>
      <c r="AL615" s="49"/>
      <c r="AM615" s="49"/>
      <c r="AN615" s="49">
        <v>-0.5</v>
      </c>
      <c r="AO615" s="49">
        <v>-0.5</v>
      </c>
      <c r="AP615" s="49"/>
      <c r="AR615" s="127"/>
    </row>
    <row r="616">
      <c r="R616" s="223"/>
      <c r="AL616" s="49"/>
      <c r="AM616" s="49"/>
      <c r="AN616" s="49">
        <v>-0.5</v>
      </c>
      <c r="AO616" s="49">
        <v>-0.5</v>
      </c>
      <c r="AP616" s="49"/>
      <c r="AR616" s="127"/>
    </row>
    <row r="617">
      <c r="R617" s="223"/>
      <c r="AL617" s="49"/>
      <c r="AM617" s="49"/>
      <c r="AN617" s="49">
        <v>-0.5</v>
      </c>
      <c r="AO617" s="49">
        <v>-0.5</v>
      </c>
      <c r="AP617" s="49"/>
      <c r="AR617" s="127"/>
    </row>
    <row r="618">
      <c r="R618" s="223"/>
      <c r="AL618" s="49"/>
      <c r="AM618" s="49"/>
      <c r="AN618" s="49">
        <v>-0.5</v>
      </c>
      <c r="AO618" s="49">
        <v>-0.5</v>
      </c>
      <c r="AP618" s="49"/>
      <c r="AR618" s="127"/>
    </row>
    <row r="619">
      <c r="R619" s="223"/>
      <c r="AL619" s="49"/>
      <c r="AM619" s="49"/>
      <c r="AN619" s="49">
        <v>-0.5</v>
      </c>
      <c r="AO619" s="49">
        <v>-0.5</v>
      </c>
      <c r="AP619" s="49"/>
      <c r="AR619" s="127"/>
    </row>
    <row r="620">
      <c r="R620" s="223"/>
      <c r="AL620" s="49"/>
      <c r="AM620" s="49"/>
      <c r="AN620" s="49">
        <v>-0.5</v>
      </c>
      <c r="AO620" s="49">
        <v>-0.5</v>
      </c>
      <c r="AP620" s="49"/>
      <c r="AR620" s="127"/>
    </row>
    <row r="621">
      <c r="R621" s="223"/>
      <c r="AL621" s="49"/>
      <c r="AM621" s="49"/>
      <c r="AN621" s="49">
        <v>-0.5</v>
      </c>
      <c r="AO621" s="49">
        <v>-0.5</v>
      </c>
      <c r="AP621" s="49"/>
      <c r="AR621" s="127"/>
    </row>
    <row r="622">
      <c r="R622" s="223"/>
      <c r="AL622" s="49"/>
      <c r="AM622" s="49"/>
      <c r="AN622" s="49">
        <v>-0.5</v>
      </c>
      <c r="AO622" s="49">
        <v>-0.5</v>
      </c>
      <c r="AP622" s="49"/>
      <c r="AR622" s="127"/>
    </row>
    <row r="623">
      <c r="R623" s="223"/>
      <c r="AL623" s="49"/>
      <c r="AM623" s="49"/>
      <c r="AN623" s="49">
        <v>-0.5</v>
      </c>
      <c r="AO623" s="49">
        <v>-0.5</v>
      </c>
      <c r="AP623" s="49"/>
      <c r="AR623" s="127"/>
    </row>
    <row r="624">
      <c r="R624" s="223"/>
      <c r="AL624" s="49"/>
      <c r="AM624" s="49"/>
      <c r="AN624" s="49">
        <v>-0.5</v>
      </c>
      <c r="AO624" s="49">
        <v>-0.5</v>
      </c>
      <c r="AP624" s="49"/>
      <c r="AR624" s="127"/>
    </row>
    <row r="625">
      <c r="R625" s="223"/>
      <c r="AL625" s="49"/>
      <c r="AM625" s="49"/>
      <c r="AN625" s="49">
        <v>-0.5</v>
      </c>
      <c r="AO625" s="49">
        <v>-0.5</v>
      </c>
      <c r="AP625" s="49"/>
      <c r="AR625" s="127"/>
    </row>
    <row r="626">
      <c r="R626" s="223"/>
      <c r="AL626" s="49"/>
      <c r="AM626" s="49"/>
      <c r="AN626" s="49">
        <v>-0.5</v>
      </c>
      <c r="AO626" s="49">
        <v>-0.5</v>
      </c>
      <c r="AP626" s="49"/>
      <c r="AR626" s="127"/>
    </row>
    <row r="627">
      <c r="R627" s="223"/>
      <c r="AL627" s="49"/>
      <c r="AM627" s="49"/>
      <c r="AN627" s="49">
        <v>-0.5</v>
      </c>
      <c r="AO627" s="49">
        <v>-0.5</v>
      </c>
      <c r="AP627" s="49"/>
      <c r="AR627" s="127"/>
    </row>
    <row r="628">
      <c r="R628" s="223"/>
      <c r="AL628" s="49"/>
      <c r="AM628" s="49"/>
      <c r="AN628" s="49">
        <v>-0.5</v>
      </c>
      <c r="AO628" s="49">
        <v>-0.5</v>
      </c>
      <c r="AP628" s="49"/>
      <c r="AR628" s="127"/>
    </row>
    <row r="629">
      <c r="R629" s="223"/>
      <c r="AL629" s="49"/>
      <c r="AM629" s="49"/>
      <c r="AN629" s="49">
        <v>-0.5</v>
      </c>
      <c r="AO629" s="49">
        <v>-0.5</v>
      </c>
      <c r="AP629" s="49"/>
      <c r="AR629" s="127"/>
    </row>
    <row r="630">
      <c r="R630" s="223"/>
      <c r="AL630" s="49"/>
      <c r="AM630" s="49"/>
      <c r="AN630" s="49">
        <v>-0.5</v>
      </c>
      <c r="AO630" s="49">
        <v>-0.5</v>
      </c>
      <c r="AP630" s="49"/>
      <c r="AR630" s="12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9" t="s">
        <v>275</v>
      </c>
      <c r="B1" s="239" t="s">
        <v>276</v>
      </c>
    </row>
    <row r="2">
      <c r="A2" s="240" t="s">
        <v>277</v>
      </c>
      <c r="B2" s="240" t="s">
        <v>278</v>
      </c>
    </row>
    <row r="3">
      <c r="A3" s="240" t="s">
        <v>279</v>
      </c>
      <c r="B3" s="240" t="s">
        <v>280</v>
      </c>
    </row>
    <row r="4">
      <c r="A4" s="240" t="s">
        <v>281</v>
      </c>
      <c r="B4" s="240" t="s">
        <v>282</v>
      </c>
    </row>
    <row r="5">
      <c r="A5" s="240" t="s">
        <v>283</v>
      </c>
      <c r="B5" s="240" t="s">
        <v>284</v>
      </c>
    </row>
    <row r="6">
      <c r="A6" s="240" t="s">
        <v>285</v>
      </c>
      <c r="B6" s="240" t="s">
        <v>286</v>
      </c>
    </row>
    <row r="7">
      <c r="A7" s="240" t="s">
        <v>287</v>
      </c>
      <c r="B7" s="240" t="s">
        <v>288</v>
      </c>
    </row>
    <row r="8">
      <c r="A8" s="240" t="s">
        <v>289</v>
      </c>
      <c r="B8" s="240" t="s">
        <v>290</v>
      </c>
    </row>
    <row r="9">
      <c r="A9" s="240" t="s">
        <v>291</v>
      </c>
      <c r="B9" s="240" t="s">
        <v>292</v>
      </c>
    </row>
    <row r="10">
      <c r="A10" s="240" t="s">
        <v>293</v>
      </c>
      <c r="B10" s="240" t="s">
        <v>294</v>
      </c>
    </row>
    <row r="11">
      <c r="A11" s="240" t="s">
        <v>295</v>
      </c>
      <c r="B11" s="240" t="s">
        <v>296</v>
      </c>
    </row>
    <row r="12">
      <c r="A12" s="240" t="s">
        <v>297</v>
      </c>
      <c r="B12" s="240" t="s">
        <v>298</v>
      </c>
    </row>
    <row r="13">
      <c r="A13" s="240" t="s">
        <v>299</v>
      </c>
      <c r="B13" s="240" t="s">
        <v>300</v>
      </c>
    </row>
    <row r="14">
      <c r="A14" s="240" t="s">
        <v>301</v>
      </c>
      <c r="B14" s="240" t="s">
        <v>302</v>
      </c>
    </row>
    <row r="15">
      <c r="A15" s="240" t="s">
        <v>303</v>
      </c>
      <c r="B15" s="240" t="s">
        <v>304</v>
      </c>
    </row>
    <row r="16">
      <c r="A16" s="240" t="s">
        <v>305</v>
      </c>
      <c r="B16" s="240" t="s">
        <v>306</v>
      </c>
    </row>
    <row r="17">
      <c r="A17" s="240" t="s">
        <v>307</v>
      </c>
      <c r="B17" s="240" t="s">
        <v>308</v>
      </c>
    </row>
    <row r="18">
      <c r="A18" s="240" t="s">
        <v>309</v>
      </c>
      <c r="B18" s="240" t="s">
        <v>310</v>
      </c>
    </row>
    <row r="19">
      <c r="A19" s="240" t="s">
        <v>311</v>
      </c>
      <c r="B19" s="240" t="s">
        <v>312</v>
      </c>
    </row>
    <row r="20">
      <c r="A20" s="240" t="s">
        <v>313</v>
      </c>
      <c r="B20" s="240" t="s">
        <v>314</v>
      </c>
    </row>
    <row r="21">
      <c r="A21" s="240" t="s">
        <v>315</v>
      </c>
      <c r="B21" s="240" t="s">
        <v>316</v>
      </c>
    </row>
    <row r="22">
      <c r="A22" s="240" t="s">
        <v>317</v>
      </c>
      <c r="B22" s="240" t="s">
        <v>318</v>
      </c>
    </row>
    <row r="23">
      <c r="A23" s="240" t="s">
        <v>319</v>
      </c>
      <c r="B23" s="240" t="s">
        <v>320</v>
      </c>
    </row>
    <row r="24">
      <c r="A24" s="240" t="s">
        <v>321</v>
      </c>
      <c r="B24" s="240" t="s">
        <v>322</v>
      </c>
    </row>
    <row r="25">
      <c r="A25" s="240" t="s">
        <v>323</v>
      </c>
      <c r="B25" s="240" t="s">
        <v>324</v>
      </c>
    </row>
    <row r="26">
      <c r="A26" s="240" t="s">
        <v>325</v>
      </c>
      <c r="B26" s="240" t="s">
        <v>326</v>
      </c>
    </row>
    <row r="27">
      <c r="A27" s="240" t="s">
        <v>327</v>
      </c>
      <c r="B27" s="240" t="s">
        <v>328</v>
      </c>
    </row>
    <row r="28">
      <c r="A28" s="240" t="s">
        <v>329</v>
      </c>
      <c r="B28" s="240" t="s">
        <v>330</v>
      </c>
    </row>
    <row r="29">
      <c r="A29" s="240" t="s">
        <v>331</v>
      </c>
      <c r="B29" s="240" t="s">
        <v>332</v>
      </c>
    </row>
    <row r="30">
      <c r="A30" s="240" t="s">
        <v>333</v>
      </c>
      <c r="B30" s="240" t="s">
        <v>334</v>
      </c>
    </row>
    <row r="31">
      <c r="A31" s="240" t="s">
        <v>335</v>
      </c>
      <c r="B31" s="240" t="s">
        <v>336</v>
      </c>
    </row>
    <row r="32">
      <c r="A32" s="240" t="s">
        <v>337</v>
      </c>
      <c r="B32" s="240" t="s">
        <v>338</v>
      </c>
    </row>
    <row r="33">
      <c r="A33" s="240" t="s">
        <v>339</v>
      </c>
      <c r="B33" s="240" t="s">
        <v>340</v>
      </c>
    </row>
    <row r="34">
      <c r="A34" s="240" t="s">
        <v>341</v>
      </c>
      <c r="B34" s="240" t="s">
        <v>342</v>
      </c>
    </row>
    <row r="35">
      <c r="A35" s="240" t="s">
        <v>343</v>
      </c>
      <c r="B35" s="240" t="s">
        <v>344</v>
      </c>
    </row>
    <row r="36">
      <c r="A36" s="240" t="s">
        <v>345</v>
      </c>
      <c r="B36" s="240" t="s">
        <v>346</v>
      </c>
    </row>
    <row r="37">
      <c r="A37" s="240" t="s">
        <v>347</v>
      </c>
      <c r="B37" s="240" t="s">
        <v>348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2.5"/>
    <col customWidth="1" min="3" max="3" width="9.75"/>
    <col customWidth="1" min="4" max="4" width="10.5"/>
    <col customWidth="1" min="5" max="5" width="10.88"/>
    <col customWidth="1" min="6" max="6" width="10.25"/>
    <col customWidth="1" min="7" max="7" width="13.75"/>
    <col customWidth="1" min="8" max="8" width="13.25"/>
  </cols>
  <sheetData>
    <row r="1" ht="15.75" customHeight="1">
      <c r="A1" s="241" t="s">
        <v>349</v>
      </c>
      <c r="H1" s="242" t="s">
        <v>350</v>
      </c>
    </row>
    <row r="2" ht="15.75" customHeight="1">
      <c r="H2" s="243"/>
    </row>
    <row r="3" ht="15.75" customHeight="1">
      <c r="A3" s="244"/>
      <c r="B3" s="245" t="s">
        <v>351</v>
      </c>
      <c r="H3" s="246"/>
    </row>
    <row r="4" ht="15.75" customHeight="1"/>
    <row r="5" ht="15.75" customHeight="1">
      <c r="B5" s="247" t="s">
        <v>352</v>
      </c>
    </row>
    <row r="6" ht="15.75" customHeight="1">
      <c r="B6" s="248" t="s">
        <v>353</v>
      </c>
    </row>
    <row r="7" ht="15.75" customHeight="1">
      <c r="B7" s="249" t="s">
        <v>354</v>
      </c>
    </row>
    <row r="8" ht="15.75" customHeight="1">
      <c r="B8" s="250" t="s">
        <v>355</v>
      </c>
    </row>
    <row r="9" ht="15.75" customHeight="1">
      <c r="A9" s="251" t="s">
        <v>356</v>
      </c>
      <c r="B9" s="252" t="s">
        <v>357</v>
      </c>
      <c r="C9" s="252" t="s">
        <v>358</v>
      </c>
      <c r="F9" s="253" t="s">
        <v>359</v>
      </c>
      <c r="H9" s="254" t="s">
        <v>360</v>
      </c>
    </row>
    <row r="10" ht="15.75" customHeight="1">
      <c r="A10" s="255" t="str">
        <f>iferror(VLOOKUP($H$12,(Customers!A1:H63),2,False),"")</f>
        <v/>
      </c>
      <c r="C10" s="256"/>
      <c r="F10" s="257"/>
      <c r="G10" s="257"/>
      <c r="H10" s="257"/>
    </row>
    <row r="11" ht="15.75" customHeight="1">
      <c r="A11" s="255" t="str">
        <f>iferror(VLOOKUP($H$12,(Customers!A2:H63),3,False),"")</f>
        <v/>
      </c>
      <c r="C11" s="258" t="s">
        <v>361</v>
      </c>
      <c r="F11" s="257"/>
      <c r="G11" s="259" t="s">
        <v>362</v>
      </c>
      <c r="H11" s="260" t="str">
        <f>iferror(VLOOKUP($H$12,(Customers!A2:J63),10,False),"")</f>
        <v/>
      </c>
    </row>
    <row r="12" ht="15.75" customHeight="1">
      <c r="A12" s="261" t="str">
        <f>iferror(VLOOKUP($H$12,(Customers!A2:H63),4,False),"")</f>
        <v/>
      </c>
      <c r="D12" s="262"/>
      <c r="E12" s="257"/>
      <c r="F12" s="257"/>
      <c r="G12" s="263" t="s">
        <v>363</v>
      </c>
      <c r="H12" s="264" t="s">
        <v>364</v>
      </c>
    </row>
    <row r="13" ht="15.75" customHeight="1">
      <c r="A13" s="265" t="s">
        <v>365</v>
      </c>
      <c r="B13" s="261" t="str">
        <f>iferror(VLOOKUP($H$12,(Customers!A2:H63),6,False),"")</f>
        <v/>
      </c>
      <c r="C13" s="266" t="s">
        <v>366</v>
      </c>
      <c r="F13" s="262"/>
      <c r="G13" s="267" t="s">
        <v>367</v>
      </c>
      <c r="H13" s="267" t="str">
        <f>iferror(VLOOKUP($H$12,(Customers!A2:J63),9,False),"")</f>
        <v/>
      </c>
    </row>
    <row r="14" ht="15.75" customHeight="1">
      <c r="A14" s="268" t="s">
        <v>368</v>
      </c>
      <c r="B14" s="269" t="str">
        <f>iferror(VLOOKUP($H$12,(Customers!A2:H63),8,False),"")</f>
        <v/>
      </c>
      <c r="F14" s="270" t="s">
        <v>369</v>
      </c>
      <c r="H14" s="271" t="str">
        <f>iferror(VLOOKUP($H$12,(Customers!A2:L63),11,False),"")</f>
        <v/>
      </c>
    </row>
    <row r="15" ht="15.75" customHeight="1">
      <c r="A15" s="257"/>
      <c r="B15" s="257"/>
      <c r="F15" s="262"/>
      <c r="G15" s="255" t="s">
        <v>370</v>
      </c>
      <c r="H15" s="263" t="s">
        <v>371</v>
      </c>
    </row>
    <row r="16" ht="15.75" customHeight="1">
      <c r="A16" s="272" t="s">
        <v>372</v>
      </c>
      <c r="C16" s="262"/>
    </row>
    <row r="17" ht="15.75" customHeight="1">
      <c r="A17" s="262"/>
      <c r="B17" s="262"/>
      <c r="C17" s="273"/>
      <c r="D17" s="273"/>
      <c r="E17" s="265"/>
      <c r="F17" s="273"/>
      <c r="G17" s="274"/>
      <c r="H17" s="262"/>
    </row>
    <row r="18" ht="15.75" customHeight="1">
      <c r="A18" s="275" t="s">
        <v>373</v>
      </c>
      <c r="B18" s="275" t="s">
        <v>374</v>
      </c>
      <c r="C18" s="275" t="s">
        <v>375</v>
      </c>
      <c r="D18" s="275"/>
      <c r="E18" s="276" t="s">
        <v>376</v>
      </c>
      <c r="F18" s="275" t="s">
        <v>377</v>
      </c>
      <c r="G18" s="275" t="s">
        <v>378</v>
      </c>
      <c r="H18" s="275" t="s">
        <v>379</v>
      </c>
    </row>
    <row r="19" ht="15.75" customHeight="1">
      <c r="A19" s="277"/>
      <c r="B19" s="277"/>
      <c r="C19" s="277"/>
      <c r="D19" s="277"/>
      <c r="E19" s="278" t="s">
        <v>228</v>
      </c>
      <c r="F19" s="277"/>
      <c r="G19" s="279" t="s">
        <v>380</v>
      </c>
      <c r="H19" s="280" t="s">
        <v>381</v>
      </c>
    </row>
    <row r="20" ht="15.75" customHeight="1">
      <c r="A20" s="281" t="s">
        <v>181</v>
      </c>
      <c r="B20" s="281" t="s">
        <v>382</v>
      </c>
      <c r="D20" s="282" t="s">
        <v>255</v>
      </c>
      <c r="E20" s="281" t="s">
        <v>383</v>
      </c>
      <c r="F20" s="281" t="s">
        <v>384</v>
      </c>
      <c r="G20" s="282"/>
      <c r="H20" s="283" t="s">
        <v>385</v>
      </c>
    </row>
    <row r="21" ht="15.75" customHeight="1">
      <c r="A21" s="284" t="s">
        <v>63</v>
      </c>
      <c r="B21" s="285" t="s">
        <v>64</v>
      </c>
      <c r="C21" s="285"/>
      <c r="D21" s="286" t="str">
        <f>iferror(CONCATENATE(Main!H5,Main!E2),"")</f>
        <v>19204</v>
      </c>
      <c r="E21" s="287"/>
      <c r="F21" s="288" t="str">
        <f>iferror(Product!A13,"")</f>
        <v>https://drive.google.com/open?id=1NLrZ9Hf7XX7ORpYJXuBzVfkGVvuPoBZu&amp;authuser=jay.agg%40gmail.com&amp;usp=drive_fs</v>
      </c>
      <c r="G21" s="289" t="str">
        <f>HYPERLINK(Product!A13, Image("https://iopl.co/Product.jpg"))</f>
        <v/>
      </c>
      <c r="H21" s="290"/>
    </row>
    <row r="22" ht="15.75" customHeight="1">
      <c r="A22" s="291" t="s">
        <v>102</v>
      </c>
      <c r="B22" s="291" t="s">
        <v>386</v>
      </c>
      <c r="D22" s="292"/>
      <c r="E22" s="292">
        <v>10.0</v>
      </c>
      <c r="F22" s="293">
        <f>iferror((Sheet2!F44*Sheet2!$Z$33)+Sheet2!F44,"")</f>
        <v>175.044</v>
      </c>
      <c r="G22" s="291" t="s">
        <v>387</v>
      </c>
      <c r="H22" s="294">
        <f>iferror(ifna(MAX(E22,E21)*F22,""),"")</f>
        <v>1750.44</v>
      </c>
    </row>
    <row r="23" ht="15.75" customHeight="1">
      <c r="A23" s="295" t="s">
        <v>220</v>
      </c>
      <c r="B23" s="296" t="s">
        <v>14</v>
      </c>
      <c r="C23" s="297" t="s">
        <v>184</v>
      </c>
      <c r="D23" s="297" t="s">
        <v>182</v>
      </c>
      <c r="E23" s="297">
        <v>90.0</v>
      </c>
      <c r="F23" s="298">
        <f>iferror((Sheet2!F45*Sheet2!$Z$33)+Sheet2!F45,"")</f>
        <v>20.58355556</v>
      </c>
      <c r="G23" s="296" t="s">
        <v>388</v>
      </c>
      <c r="H23" s="299"/>
    </row>
    <row r="24" ht="15.75" customHeight="1">
      <c r="A24" s="300" t="s">
        <v>68</v>
      </c>
      <c r="B24" s="301" t="s">
        <v>33</v>
      </c>
      <c r="C24" s="300" t="s">
        <v>226</v>
      </c>
      <c r="D24" s="302"/>
      <c r="E24" s="292">
        <v>100.0</v>
      </c>
      <c r="F24" s="293">
        <f>iferror((Sheet2!F46*Sheet2!$Z$33)+Sheet2!F46,"")</f>
        <v>18.6528</v>
      </c>
      <c r="G24" s="291" t="s">
        <v>389</v>
      </c>
      <c r="H24" s="303"/>
    </row>
    <row r="25" ht="15.75" customHeight="1">
      <c r="A25" s="304" t="s">
        <v>18</v>
      </c>
      <c r="B25" s="304" t="s">
        <v>65</v>
      </c>
      <c r="C25" s="296" t="s">
        <v>390</v>
      </c>
      <c r="D25" s="295" t="s">
        <v>67</v>
      </c>
      <c r="E25" s="305" t="s">
        <v>391</v>
      </c>
      <c r="F25" s="306" t="str">
        <f>iferror(CONCATENATE(Main!D5," ",Main!A5),"")</f>
        <v>1 Kgs.</v>
      </c>
      <c r="G25" s="307"/>
      <c r="H25" s="308">
        <f>iferror(IFNA((Main!AU2*B26),""),"")</f>
        <v>0</v>
      </c>
    </row>
    <row r="26" ht="15.75" customHeight="1">
      <c r="A26" s="291" t="s">
        <v>66</v>
      </c>
      <c r="B26" s="301"/>
      <c r="C26" s="309" t="s">
        <v>74</v>
      </c>
      <c r="E26" s="292"/>
      <c r="F26" s="291">
        <v>2029.0</v>
      </c>
      <c r="G26" s="310" t="s">
        <v>392</v>
      </c>
      <c r="H26" s="311">
        <f>iferror(IFNA(Main!AV2*E26,""),"")</f>
        <v>0</v>
      </c>
    </row>
    <row r="27" ht="15.75" customHeight="1">
      <c r="A27" s="304" t="s">
        <v>61</v>
      </c>
      <c r="B27" s="295" t="s">
        <v>74</v>
      </c>
      <c r="C27" s="296" t="s">
        <v>74</v>
      </c>
      <c r="E27" s="296"/>
      <c r="F27" s="312">
        <f>H27/E22</f>
        <v>0</v>
      </c>
      <c r="G27" s="307"/>
      <c r="H27" s="313">
        <f>Max((iferror(IFNA(Main!AT2*E27,""),"")),Main!BU2)</f>
        <v>0</v>
      </c>
    </row>
    <row r="28" ht="15.75" customHeight="1">
      <c r="A28" s="314" t="s">
        <v>393</v>
      </c>
      <c r="B28" s="301" t="s">
        <v>394</v>
      </c>
      <c r="C28" s="309"/>
      <c r="D28" s="309"/>
      <c r="E28" s="292">
        <v>1.0</v>
      </c>
      <c r="F28" s="315">
        <v>1800.0</v>
      </c>
      <c r="G28" s="121"/>
      <c r="H28" s="294">
        <f>iferror(ifna(E28*F28,""),"")</f>
        <v>1800</v>
      </c>
    </row>
    <row r="29" ht="15.75" customHeight="1">
      <c r="A29" s="316" t="s">
        <v>63</v>
      </c>
      <c r="B29" s="317" t="s">
        <v>64</v>
      </c>
      <c r="C29" s="318">
        <v>75.0</v>
      </c>
      <c r="D29" s="319" t="str">
        <f>iferror(CONCATENATE(Main!H9,Main!E6),"")</f>
        <v>18252</v>
      </c>
      <c r="E29" s="320" t="s">
        <v>395</v>
      </c>
      <c r="F29" s="321" t="str">
        <f>iferror(Product2!A13,"")</f>
        <v/>
      </c>
      <c r="G29" s="322" t="str">
        <f>HYPERLINK(Product2!A13, Image("https://iopl.co/Product.jpg"))</f>
        <v/>
      </c>
      <c r="H29" s="323"/>
    </row>
    <row r="30" ht="15.75" customHeight="1">
      <c r="A30" s="291" t="s">
        <v>121</v>
      </c>
      <c r="B30" s="291" t="s">
        <v>396</v>
      </c>
      <c r="D30" s="292"/>
      <c r="E30" s="292">
        <v>500.0</v>
      </c>
      <c r="F30" s="324">
        <f>iferror((Sheet2!F50*Sheet2!$Z$33)+Sheet2!F50,"")</f>
        <v>16.2168</v>
      </c>
      <c r="G30" s="291" t="s">
        <v>387</v>
      </c>
      <c r="H30" s="294">
        <f>iferror(IFNA(MAX(E30,E29)*F30,""),"")</f>
        <v>8108.4</v>
      </c>
    </row>
    <row r="31" ht="15.75" customHeight="1">
      <c r="A31" s="325" t="s">
        <v>397</v>
      </c>
      <c r="B31" s="326" t="s">
        <v>31</v>
      </c>
      <c r="C31" s="327" t="s">
        <v>184</v>
      </c>
      <c r="D31" s="326" t="s">
        <v>9</v>
      </c>
      <c r="E31" s="327">
        <v>35000.0</v>
      </c>
      <c r="F31" s="328">
        <f>iferror((Sheet2!F51*Sheet2!$Z$33)+Sheet2!F51,"")</f>
        <v>8.932576686</v>
      </c>
      <c r="G31" s="326" t="s">
        <v>388</v>
      </c>
      <c r="H31" s="329"/>
    </row>
    <row r="32" ht="15.75" customHeight="1">
      <c r="A32" s="300" t="s">
        <v>68</v>
      </c>
      <c r="B32" s="301" t="s">
        <v>35</v>
      </c>
      <c r="C32" s="300" t="s">
        <v>226</v>
      </c>
      <c r="D32" s="302" t="s">
        <v>398</v>
      </c>
      <c r="E32" s="292"/>
      <c r="F32" s="324" t="str">
        <f>iferror((Sheet2!F52*Sheet2!$Z$33)+Sheet2!F52,"")</f>
        <v/>
      </c>
      <c r="G32" s="291" t="s">
        <v>389</v>
      </c>
      <c r="H32" s="303"/>
    </row>
    <row r="33" ht="15.75" customHeight="1">
      <c r="A33" s="330" t="s">
        <v>18</v>
      </c>
      <c r="B33" s="330" t="s">
        <v>75</v>
      </c>
      <c r="C33" s="326" t="s">
        <v>390</v>
      </c>
      <c r="D33" s="325" t="s">
        <v>67</v>
      </c>
      <c r="E33" s="331" t="s">
        <v>391</v>
      </c>
      <c r="F33" s="332" t="str">
        <f>iferror(CONCATENATE(Main!D9," ",Main!A5),"")</f>
        <v>13 Kgs.</v>
      </c>
      <c r="G33" s="333"/>
      <c r="H33" s="334">
        <f>iferror(Main!AU6*B34,"")</f>
        <v>0</v>
      </c>
    </row>
    <row r="34" ht="15.75" customHeight="1">
      <c r="A34" s="291" t="s">
        <v>66</v>
      </c>
      <c r="B34" s="301"/>
      <c r="C34" s="309" t="s">
        <v>52</v>
      </c>
      <c r="E34" s="292"/>
      <c r="F34" s="291">
        <v>2029.0</v>
      </c>
      <c r="G34" s="310" t="s">
        <v>392</v>
      </c>
      <c r="H34" s="311">
        <f>iferror(IFNA((Main!AV6*E34),""),"")</f>
        <v>0</v>
      </c>
    </row>
    <row r="35" ht="15.75" customHeight="1">
      <c r="A35" s="330" t="s">
        <v>61</v>
      </c>
      <c r="B35" s="325" t="s">
        <v>74</v>
      </c>
      <c r="C35" s="326" t="s">
        <v>74</v>
      </c>
      <c r="E35" s="326"/>
      <c r="F35" s="335">
        <f>H35/E30</f>
        <v>0</v>
      </c>
      <c r="G35" s="336"/>
      <c r="H35" s="334">
        <f>Max((iferror(IFNA(Main!AT6*E35,""),"")),Main!BU6)</f>
        <v>0</v>
      </c>
    </row>
    <row r="36" ht="15.75" customHeight="1">
      <c r="A36" s="314" t="s">
        <v>393</v>
      </c>
      <c r="B36" s="301"/>
      <c r="C36" s="309"/>
      <c r="D36" s="309"/>
      <c r="E36" s="292">
        <v>1.0</v>
      </c>
      <c r="F36" s="315"/>
      <c r="G36" s="121"/>
      <c r="H36" s="294">
        <f>iferror(ifna(E36*F36,""),"")</f>
        <v>0</v>
      </c>
    </row>
    <row r="37" ht="15.75" customHeight="1">
      <c r="A37" s="284" t="s">
        <v>63</v>
      </c>
      <c r="B37" s="285" t="s">
        <v>64</v>
      </c>
      <c r="C37" s="337">
        <v>105.0</v>
      </c>
      <c r="D37" s="286" t="str">
        <f>iferror(CONCATENATE(Main!H13,Main!E10),"")</f>
        <v>20303</v>
      </c>
      <c r="E37" s="287" t="s">
        <v>399</v>
      </c>
      <c r="F37" s="338" t="str">
        <f>iferror(Product3!A13,"")</f>
        <v/>
      </c>
      <c r="G37" s="339" t="str">
        <f>HYPERLINK(Product3!A13, Image("https://iopl.co/Product.jpg"))</f>
        <v/>
      </c>
      <c r="H37" s="340"/>
    </row>
    <row r="38" ht="15.75" customHeight="1">
      <c r="A38" s="310" t="s">
        <v>109</v>
      </c>
      <c r="B38" s="310" t="s">
        <v>196</v>
      </c>
      <c r="D38" s="341"/>
      <c r="E38" s="341">
        <v>30000.0</v>
      </c>
      <c r="F38" s="342">
        <f>iferror((Sheet2!F56*Sheet2!$Z$33)+Sheet2!F56,"")</f>
        <v>2.176709067</v>
      </c>
      <c r="G38" s="310" t="s">
        <v>387</v>
      </c>
      <c r="H38" s="294">
        <f>iferror(ifna(MAX(E38,E37)*F38,""),"")</f>
        <v>65301.272</v>
      </c>
    </row>
    <row r="39" ht="15.75" customHeight="1">
      <c r="A39" s="343" t="s">
        <v>73</v>
      </c>
      <c r="B39" s="344" t="s">
        <v>31</v>
      </c>
      <c r="C39" s="345" t="s">
        <v>184</v>
      </c>
      <c r="D39" s="344" t="s">
        <v>9</v>
      </c>
      <c r="E39" s="345">
        <v>35000.0</v>
      </c>
      <c r="F39" s="346">
        <f>iferror((Sheet2!F57*Sheet2!$Z$33)+Sheet2!F57,"")</f>
        <v>2.17027648</v>
      </c>
      <c r="G39" s="344" t="s">
        <v>388</v>
      </c>
      <c r="H39" s="299"/>
    </row>
    <row r="40" ht="15.75" customHeight="1">
      <c r="A40" s="347" t="s">
        <v>68</v>
      </c>
      <c r="B40" s="348" t="s">
        <v>35</v>
      </c>
      <c r="C40" s="347" t="s">
        <v>226</v>
      </c>
      <c r="D40" s="349" t="s">
        <v>400</v>
      </c>
      <c r="E40" s="341"/>
      <c r="F40" s="342" t="str">
        <f>iferror((Sheet2!F58*Sheet2!$Z$33)+Sheet2!F58,"")</f>
        <v/>
      </c>
      <c r="G40" s="310" t="s">
        <v>389</v>
      </c>
      <c r="H40" s="303"/>
    </row>
    <row r="41" ht="15.75" customHeight="1">
      <c r="A41" s="350" t="s">
        <v>18</v>
      </c>
      <c r="B41" s="350" t="s">
        <v>75</v>
      </c>
      <c r="C41" s="344" t="s">
        <v>390</v>
      </c>
      <c r="D41" s="343" t="s">
        <v>67</v>
      </c>
      <c r="E41" s="351" t="s">
        <v>391</v>
      </c>
      <c r="F41" s="306" t="str">
        <f>iferror(CONCATENATE(Main!D13," ",Main!A5),"")</f>
        <v>349 Kgs.</v>
      </c>
      <c r="G41" s="352"/>
      <c r="H41" s="313">
        <f>iferror((Main!AU10*B42),"")</f>
        <v>0</v>
      </c>
    </row>
    <row r="42" ht="15.75" customHeight="1">
      <c r="A42" s="310" t="s">
        <v>66</v>
      </c>
      <c r="B42" s="348"/>
      <c r="C42" s="353" t="s">
        <v>74</v>
      </c>
      <c r="E42" s="341"/>
      <c r="F42" s="310">
        <v>2029.0</v>
      </c>
      <c r="G42" s="310" t="s">
        <v>392</v>
      </c>
      <c r="H42" s="311">
        <f>iferror(IFNA((Main!AV10*E42),""),"")</f>
        <v>0</v>
      </c>
    </row>
    <row r="43" ht="15.75" customHeight="1">
      <c r="A43" s="350" t="s">
        <v>61</v>
      </c>
      <c r="B43" s="343" t="s">
        <v>74</v>
      </c>
      <c r="C43" s="344" t="s">
        <v>74</v>
      </c>
      <c r="E43" s="344"/>
      <c r="F43" s="354"/>
      <c r="G43" s="352"/>
      <c r="H43" s="313">
        <f>Max((iferror(IFNA(Main!AT10*E43,""),"")),Main!BU10)</f>
        <v>0</v>
      </c>
    </row>
    <row r="44" ht="15.75" customHeight="1">
      <c r="A44" s="355" t="s">
        <v>393</v>
      </c>
      <c r="B44" s="348" t="s">
        <v>394</v>
      </c>
      <c r="C44" s="353"/>
      <c r="D44" s="353"/>
      <c r="E44" s="341">
        <v>1.0</v>
      </c>
      <c r="F44" s="356"/>
      <c r="G44" s="357"/>
      <c r="H44" s="294">
        <f>iferror(ifna(E44*F44,""),"")</f>
        <v>0</v>
      </c>
    </row>
    <row r="45" ht="15.75" customHeight="1">
      <c r="A45" s="316" t="s">
        <v>63</v>
      </c>
      <c r="B45" s="317" t="s">
        <v>72</v>
      </c>
      <c r="C45" s="318"/>
      <c r="D45" s="319" t="str">
        <f>iferror(CONCATENATE(Main!H17,Main!E14),"")</f>
        <v>18258</v>
      </c>
      <c r="E45" s="320"/>
      <c r="F45" s="358" t="str">
        <f>iferror(Product4!A13,"")</f>
        <v>https://drive.google.com/open?id=1AT8COyVu1i54kTQbeZJnxYi8bjYPzfhK&amp;authuser=jay.agg%40gmail.com&amp;usp=drive_fs</v>
      </c>
      <c r="G45" s="359" t="str">
        <f>HYPERLINK(Product4!A13, Image("https://iopl.co/Product.jpg"))</f>
        <v/>
      </c>
      <c r="H45" s="360"/>
    </row>
    <row r="46" ht="15.75" customHeight="1">
      <c r="A46" s="310" t="s">
        <v>85</v>
      </c>
      <c r="B46" s="310" t="s">
        <v>401</v>
      </c>
      <c r="D46" s="341"/>
      <c r="E46" s="341">
        <v>100000.0</v>
      </c>
      <c r="F46" s="342">
        <f>iferror((Sheet2!F62*Sheet2!$Z$33)+Sheet2!F62,"")</f>
        <v>0.6575934696</v>
      </c>
      <c r="G46" s="310" t="s">
        <v>387</v>
      </c>
      <c r="H46" s="294">
        <f>iferror(ifna(MAX(E46,E45)*F46,""),"")</f>
        <v>65759.34696</v>
      </c>
    </row>
    <row r="47" ht="15.75" customHeight="1">
      <c r="A47" s="361" t="s">
        <v>219</v>
      </c>
      <c r="B47" s="362" t="s">
        <v>29</v>
      </c>
      <c r="C47" s="363" t="s">
        <v>68</v>
      </c>
      <c r="D47" s="362" t="s">
        <v>200</v>
      </c>
      <c r="E47" s="363">
        <v>50000.0</v>
      </c>
      <c r="F47" s="364">
        <f>iferror((Sheet2!F63*Sheet2!$Z$33)+Sheet2!F63,"")</f>
        <v>0.6827576379</v>
      </c>
      <c r="G47" s="362" t="s">
        <v>388</v>
      </c>
      <c r="H47" s="329"/>
    </row>
    <row r="48" ht="15.75" customHeight="1">
      <c r="A48" s="347" t="s">
        <v>12</v>
      </c>
      <c r="B48" s="348" t="s">
        <v>74</v>
      </c>
      <c r="C48" s="347" t="s">
        <v>226</v>
      </c>
      <c r="D48" s="349"/>
      <c r="E48" s="341"/>
      <c r="F48" s="342" t="str">
        <f>iferror((Sheet2!F64*Sheet2!$Z$33)+Sheet2!F64,"")</f>
        <v/>
      </c>
      <c r="G48" s="310" t="s">
        <v>389</v>
      </c>
      <c r="H48" s="303"/>
    </row>
    <row r="49" ht="15.75" customHeight="1">
      <c r="A49" s="365" t="s">
        <v>18</v>
      </c>
      <c r="B49" s="365" t="s">
        <v>75</v>
      </c>
      <c r="C49" s="362" t="s">
        <v>390</v>
      </c>
      <c r="D49" s="361" t="s">
        <v>71</v>
      </c>
      <c r="E49" s="366" t="s">
        <v>391</v>
      </c>
      <c r="F49" s="332" t="str">
        <f>iferror(CONCATENATE(Main!D17," ",Main!A5),"")</f>
        <v>327 Kgs.</v>
      </c>
      <c r="G49" s="367"/>
      <c r="H49" s="334">
        <f>iferror((Main!AU14*B50),"")</f>
        <v>0</v>
      </c>
    </row>
    <row r="50" ht="15.75" customHeight="1">
      <c r="A50" s="310" t="s">
        <v>66</v>
      </c>
      <c r="B50" s="348"/>
      <c r="C50" s="353" t="s">
        <v>50</v>
      </c>
      <c r="E50" s="341"/>
      <c r="F50" s="310">
        <v>1926.0</v>
      </c>
      <c r="G50" s="310" t="s">
        <v>392</v>
      </c>
      <c r="H50" s="311">
        <f>iferror(IFNA((E50*Main!AV14),""),"")</f>
        <v>0</v>
      </c>
    </row>
    <row r="51" ht="15.75" customHeight="1">
      <c r="A51" s="365" t="s">
        <v>61</v>
      </c>
      <c r="B51" s="361" t="s">
        <v>74</v>
      </c>
      <c r="C51" s="362" t="s">
        <v>74</v>
      </c>
      <c r="E51" s="362"/>
      <c r="F51" s="368"/>
      <c r="G51" s="367"/>
      <c r="H51" s="334">
        <f>Max((iferror(IFNA(Main!AT14*E51,""),"")),Main!BU14)</f>
        <v>0</v>
      </c>
    </row>
    <row r="52" ht="15.75" customHeight="1">
      <c r="A52" s="355" t="s">
        <v>393</v>
      </c>
      <c r="B52" s="348" t="s">
        <v>394</v>
      </c>
      <c r="C52" s="353"/>
      <c r="D52" s="353"/>
      <c r="E52" s="341">
        <v>1.0</v>
      </c>
      <c r="F52" s="356"/>
      <c r="G52" s="357"/>
      <c r="H52" s="294">
        <f>iferror(ifna(E52*F52,""),"")</f>
        <v>0</v>
      </c>
    </row>
    <row r="53" ht="15.75" customHeight="1">
      <c r="A53" s="369"/>
      <c r="B53" s="369"/>
      <c r="C53" s="369"/>
      <c r="D53" s="369"/>
      <c r="E53" s="369"/>
      <c r="F53" s="369"/>
      <c r="G53" s="370" t="s">
        <v>24</v>
      </c>
      <c r="H53" s="371">
        <f>iferror(B55+B56+B57,"")</f>
        <v>0</v>
      </c>
    </row>
    <row r="54" ht="15.75" customHeight="1">
      <c r="A54" s="369"/>
      <c r="B54" s="372"/>
      <c r="C54" s="369"/>
      <c r="D54" s="369"/>
      <c r="E54" s="369"/>
      <c r="F54" s="369"/>
      <c r="G54" s="373" t="s">
        <v>402</v>
      </c>
      <c r="H54" s="371">
        <f>iferror(SUMPRODUCT(H21:H53),"")</f>
        <v>142719.459</v>
      </c>
    </row>
    <row r="55" ht="15.75" customHeight="1">
      <c r="A55" s="374" t="s">
        <v>16</v>
      </c>
      <c r="B55" s="375"/>
      <c r="C55" s="376"/>
      <c r="E55" s="372"/>
      <c r="F55" s="377"/>
      <c r="G55" s="378">
        <v>0.18</v>
      </c>
      <c r="H55" s="371">
        <f>IFERROR((H22+H23+H24+H25+H26+H27+H30+H33+H34+H35+H38+H41+H42+H43+H46+H49+H50+H51+H28+H36+H44+H52+H53)*0.18,"")</f>
        <v>25689.50261</v>
      </c>
    </row>
    <row r="56" ht="15.75" customHeight="1">
      <c r="A56" s="374" t="s">
        <v>64</v>
      </c>
      <c r="B56" s="375"/>
      <c r="C56" s="379"/>
      <c r="E56" s="369"/>
      <c r="F56" s="377"/>
      <c r="G56" s="378"/>
      <c r="H56" s="380"/>
    </row>
    <row r="57" ht="15.75" customHeight="1">
      <c r="A57" s="381" t="s">
        <v>403</v>
      </c>
      <c r="B57" s="382"/>
      <c r="C57" s="383"/>
      <c r="E57" s="369"/>
      <c r="F57" s="377"/>
      <c r="G57" s="373" t="s">
        <v>404</v>
      </c>
      <c r="H57" s="384">
        <f>iferror(ROUNDUP(SUM(H54:H56),0),"")</f>
        <v>168409</v>
      </c>
    </row>
    <row r="58" ht="15.75" customHeight="1">
      <c r="A58" s="385" t="s">
        <v>405</v>
      </c>
      <c r="E58" s="369"/>
      <c r="F58" s="369"/>
      <c r="G58" s="386"/>
      <c r="H58" s="387" t="s">
        <v>406</v>
      </c>
    </row>
    <row r="59" ht="15.75" customHeight="1">
      <c r="A59" s="388" t="s">
        <v>407</v>
      </c>
    </row>
    <row r="60" ht="15.75" customHeight="1">
      <c r="A60" s="389" t="s">
        <v>408</v>
      </c>
    </row>
    <row r="61" ht="15.75" customHeight="1">
      <c r="A61" s="390" t="s">
        <v>409</v>
      </c>
    </row>
    <row r="62" ht="15.75" customHeight="1"/>
    <row r="63" ht="15.75" customHeight="1">
      <c r="A63" s="388" t="s">
        <v>410</v>
      </c>
      <c r="H63" s="388"/>
    </row>
  </sheetData>
  <mergeCells count="40">
    <mergeCell ref="A1:G2"/>
    <mergeCell ref="A3:A8"/>
    <mergeCell ref="B3:G4"/>
    <mergeCell ref="H3:H8"/>
    <mergeCell ref="B5:G5"/>
    <mergeCell ref="B6:G6"/>
    <mergeCell ref="B7:G7"/>
    <mergeCell ref="B8:G8"/>
    <mergeCell ref="C9:E9"/>
    <mergeCell ref="F9:G9"/>
    <mergeCell ref="A10:B10"/>
    <mergeCell ref="C10:E10"/>
    <mergeCell ref="A11:B11"/>
    <mergeCell ref="A12:C12"/>
    <mergeCell ref="C11:E11"/>
    <mergeCell ref="C13:E15"/>
    <mergeCell ref="F14:G14"/>
    <mergeCell ref="A16:B16"/>
    <mergeCell ref="C16:H16"/>
    <mergeCell ref="B20:C20"/>
    <mergeCell ref="B22:C22"/>
    <mergeCell ref="C26:D26"/>
    <mergeCell ref="C27:D27"/>
    <mergeCell ref="B30:C30"/>
    <mergeCell ref="C34:D34"/>
    <mergeCell ref="C35:D35"/>
    <mergeCell ref="B38:C38"/>
    <mergeCell ref="C42:D42"/>
    <mergeCell ref="A58:D58"/>
    <mergeCell ref="A59:H59"/>
    <mergeCell ref="A60:H60"/>
    <mergeCell ref="A61:H62"/>
    <mergeCell ref="A63:G63"/>
    <mergeCell ref="C43:D43"/>
    <mergeCell ref="B46:C46"/>
    <mergeCell ref="C50:D50"/>
    <mergeCell ref="C51:D51"/>
    <mergeCell ref="C55:D55"/>
    <mergeCell ref="C56:D56"/>
    <mergeCell ref="C57:D57"/>
  </mergeCells>
  <dataValidations>
    <dataValidation type="list" allowBlank="1" showErrorMessage="1" sqref="C35">
      <formula1>Product2!$BP$5:$BP$42</formula1>
    </dataValidation>
    <dataValidation type="list" allowBlank="1" showInputMessage="1" showErrorMessage="1" prompt="Click and enter after stage 2" sqref="B22">
      <formula1>Product!$AM$15:$AM63</formula1>
    </dataValidation>
    <dataValidation type="list" allowBlank="1" showErrorMessage="1" sqref="E19">
      <formula1>Sheet2!$W$33:$W$35</formula1>
    </dataValidation>
    <dataValidation type="list" allowBlank="1" sqref="B45">
      <formula1>Product4!$BF$6:$BF$42</formula1>
    </dataValidation>
    <dataValidation type="list" allowBlank="1" showInputMessage="1" showErrorMessage="1" prompt="Click and enter stage 1" sqref="A38">
      <formula1>Product3!$BD$5:$BD$90</formula1>
    </dataValidation>
    <dataValidation type="list" allowBlank="1" sqref="B40 B43">
      <formula1>Product3!$BK$6:$BK$42</formula1>
    </dataValidation>
    <dataValidation type="list" allowBlank="1" sqref="A41">
      <formula1>Product3!$BZ$67:$BZ$72</formula1>
    </dataValidation>
    <dataValidation type="list" allowBlank="1" sqref="F34">
      <formula1>Product2!$CC$83:$CC$85</formula1>
    </dataValidation>
    <dataValidation type="list" allowBlank="1" sqref="F50">
      <formula1>Product4!$CC$83:$CC$85</formula1>
    </dataValidation>
    <dataValidation type="list" allowBlank="1" showErrorMessage="1" sqref="B41">
      <formula1>Product3!$BL$6:$BL$42</formula1>
    </dataValidation>
    <dataValidation type="list" allowBlank="1" showErrorMessage="1" sqref="C50">
      <formula1>Product4!$BJ$5:$BJ$42</formula1>
    </dataValidation>
    <dataValidation type="list" allowBlank="1" showErrorMessage="1" sqref="B31">
      <formula1>Product2!$BI$6:$BI$42</formula1>
    </dataValidation>
    <dataValidation type="list" allowBlank="1" sqref="B32 B35">
      <formula1>Product2!$BK$6:$BK$42</formula1>
    </dataValidation>
    <dataValidation type="list" allowBlank="1" showErrorMessage="1" sqref="D33 D41 D49">
      <formula1>"Yes,N/A"</formula1>
    </dataValidation>
    <dataValidation type="list" allowBlank="1" showErrorMessage="1" sqref="C47">
      <formula1>Product4!$BX$4:$BX$42</formula1>
    </dataValidation>
    <dataValidation type="list" allowBlank="1" showErrorMessage="1" sqref="A21 A29 A37 A45">
      <formula1>Item!$A$16:$A63</formula1>
    </dataValidation>
    <dataValidation type="list" allowBlank="1" showErrorMessage="1" sqref="A48">
      <formula1>Product4!$BR$6:$BR$42</formula1>
    </dataValidation>
    <dataValidation type="list" allowBlank="1" sqref="A50">
      <formula1>Product4!$BO$5:$BO$42</formula1>
    </dataValidation>
    <dataValidation type="list" allowBlank="1" sqref="C31">
      <formula1>Product2!$BX$4:$BX$42</formula1>
    </dataValidation>
    <dataValidation type="list" allowBlank="1" showErrorMessage="1" sqref="C39">
      <formula1>Product3!$BX$4:$BX$42</formula1>
    </dataValidation>
    <dataValidation type="list" allowBlank="1" showErrorMessage="1" sqref="C13">
      <formula1>"Quotation,Performa Invoice"</formula1>
    </dataValidation>
    <dataValidation type="list" allowBlank="1" showInputMessage="1" showErrorMessage="1" prompt="Click and enter after stage 2" sqref="B38">
      <formula1>Product3!$AM$15:$AM63</formula1>
    </dataValidation>
    <dataValidation type="list" allowBlank="1" showErrorMessage="1" sqref="C42">
      <formula1>Product3!$BJ$5:$BJ$42</formula1>
    </dataValidation>
    <dataValidation type="list" allowBlank="1" showErrorMessage="1" sqref="A40">
      <formula1>Product3!$BR$6:$BR$42</formula1>
    </dataValidation>
    <dataValidation type="list" allowBlank="1" showErrorMessage="1" sqref="B49">
      <formula1>Product4!$BL$6:$BL$42</formula1>
    </dataValidation>
    <dataValidation type="list" allowBlank="1" sqref="A42">
      <formula1>Product3!$BO$5:$BO$42</formula1>
    </dataValidation>
    <dataValidation type="list" allowBlank="1" showErrorMessage="1" sqref="C43">
      <formula1>Product3!$BP$5:$BP$42</formula1>
    </dataValidation>
    <dataValidation type="list" allowBlank="1" showInputMessage="1" showErrorMessage="1" prompt="Click and enter after stage 2" sqref="B30">
      <formula1>Product2!$AM$15:$AM63</formula1>
    </dataValidation>
    <dataValidation type="list" allowBlank="1" showErrorMessage="1" sqref="C34">
      <formula1>Product2!$BJ$5:$BJ$42</formula1>
    </dataValidation>
    <dataValidation type="list" allowBlank="1" sqref="A34">
      <formula1>Product2!$BO$5:$BO$42</formula1>
    </dataValidation>
    <dataValidation type="list" allowBlank="1" showInputMessage="1" showErrorMessage="1" prompt="Click and enter stage 2" sqref="A39">
      <formula1>Product3!$C$15:$C63</formula1>
    </dataValidation>
    <dataValidation type="list" allowBlank="1" showErrorMessage="1" sqref="B23">
      <formula1>Product!$BI$6:$BI$42</formula1>
    </dataValidation>
    <dataValidation type="list" allowBlank="1" sqref="B24 B27">
      <formula1>Product!$BK$6:$BK$42</formula1>
    </dataValidation>
    <dataValidation type="list" allowBlank="1" showErrorMessage="1" sqref="C26">
      <formula1>Product!$BJ$5:$BJ$42</formula1>
    </dataValidation>
    <dataValidation type="list" allowBlank="1" sqref="F26">
      <formula1>Product!$CC$83:$CC$85</formula1>
    </dataValidation>
    <dataValidation type="list" allowBlank="1" showErrorMessage="1" sqref="B33">
      <formula1>Product2!$BL$6:$BL$42</formula1>
    </dataValidation>
    <dataValidation type="list" allowBlank="1" sqref="A25">
      <formula1>Product!$BZ$67:$BZ$72</formula1>
    </dataValidation>
    <dataValidation type="list" allowBlank="1" showErrorMessage="1" sqref="B25">
      <formula1>Product!$BL$6:$BL$42</formula1>
    </dataValidation>
    <dataValidation type="list" allowBlank="1" showErrorMessage="1" sqref="C51">
      <formula1>Product4!$BP$5:$BP$42</formula1>
    </dataValidation>
    <dataValidation type="list" allowBlank="1" sqref="B29">
      <formula1>Product2!$BF$6:$BF$42</formula1>
    </dataValidation>
    <dataValidation type="list" allowBlank="1" sqref="H12">
      <formula1>Customers!$A$2:$A63</formula1>
    </dataValidation>
    <dataValidation type="list" allowBlank="1" showErrorMessage="1" sqref="B39">
      <formula1>Product3!$BI$6:$BI$42</formula1>
    </dataValidation>
    <dataValidation type="list" allowBlank="1" showErrorMessage="1" sqref="D39">
      <formula1>Product3!$BY$4:$BY$44</formula1>
    </dataValidation>
    <dataValidation type="list" allowBlank="1" showErrorMessage="1" sqref="D25">
      <formula1>Product!$BQ$6:$BQ$42</formula1>
    </dataValidation>
    <dataValidation type="list" allowBlank="1" showErrorMessage="1" sqref="B47">
      <formula1>Product4!$BI$6:$BI$42</formula1>
    </dataValidation>
    <dataValidation type="list" allowBlank="1" showInputMessage="1" showErrorMessage="1" prompt="Click and enter stage 1" sqref="A22">
      <formula1>Product!$BD$5:$BD$99</formula1>
    </dataValidation>
    <dataValidation type="list" allowBlank="1" showInputMessage="1" showErrorMessage="1" prompt="Click and enter stage 2" sqref="A31">
      <formula1>Product2!$C$15:$C63</formula1>
    </dataValidation>
    <dataValidation type="list" allowBlank="1" sqref="B37">
      <formula1>Product3!$BF$6:$BF$42</formula1>
    </dataValidation>
    <dataValidation type="list" allowBlank="1" showErrorMessage="1" sqref="D47">
      <formula1>Product4!$BY$4:$BY$44</formula1>
    </dataValidation>
    <dataValidation type="list" allowBlank="1" sqref="A49">
      <formula1>Product4!$BZ$67:$BZ$72</formula1>
    </dataValidation>
    <dataValidation type="list" allowBlank="1" sqref="H15">
      <formula1>"Jay Agarwal,Richa,Shekhar,Manish"</formula1>
    </dataValidation>
    <dataValidation type="list" allowBlank="1" showErrorMessage="1" sqref="C27">
      <formula1>Product!$BP$5:$BP$42</formula1>
    </dataValidation>
    <dataValidation type="list" allowBlank="1" showInputMessage="1" showErrorMessage="1" prompt="Click and enter stage 1" sqref="A30">
      <formula1>Product2!$BD$5:$BD$90</formula1>
    </dataValidation>
    <dataValidation type="list" allowBlank="1" showErrorMessage="1" sqref="D31">
      <formula1>Product2!$BY$4:$BY$44</formula1>
    </dataValidation>
    <dataValidation type="list" allowBlank="1" showErrorMessage="1" sqref="C23">
      <formula1>Product!$BX$4:$BX$42</formula1>
    </dataValidation>
    <dataValidation type="list" allowBlank="1" sqref="F42">
      <formula1>Product3!$CC$83:$CC$85</formula1>
    </dataValidation>
    <dataValidation type="list" allowBlank="1" sqref="B21">
      <formula1>Product!$BF$6:$BF$42</formula1>
    </dataValidation>
    <dataValidation type="list" allowBlank="1" showErrorMessage="1" sqref="A32">
      <formula1>Product2!$BR$6:$BR$42</formula1>
    </dataValidation>
    <dataValidation type="list" allowBlank="1" showInputMessage="1" showErrorMessage="1" prompt="Click and enter after stage 2" sqref="B46">
      <formula1>Product4!$AM$15:$AM63</formula1>
    </dataValidation>
    <dataValidation type="list" allowBlank="1" sqref="B48 B51">
      <formula1>Product4!$BK$6:$BK$42</formula1>
    </dataValidation>
    <dataValidation type="list" allowBlank="1" showErrorMessage="1" sqref="A24">
      <formula1>Product!$BR$6:$BR$42</formula1>
    </dataValidation>
    <dataValidation type="list" allowBlank="1" sqref="A33">
      <formula1>Product2!$BZ$67:$BZ$72</formula1>
    </dataValidation>
    <dataValidation type="list" allowBlank="1" showErrorMessage="1" sqref="C24 C32 C40 C48">
      <formula1>Sheet2!$X$27:$X$28</formula1>
    </dataValidation>
    <dataValidation type="list" allowBlank="1" showErrorMessage="1" sqref="A26">
      <formula1>Product!$BO$5:$BO$42</formula1>
    </dataValidation>
    <dataValidation type="list" allowBlank="1" showInputMessage="1" showErrorMessage="1" prompt="Click and enter stage 1" sqref="A46">
      <formula1>Product4!$BD$5:$BD$90</formula1>
    </dataValidation>
    <dataValidation type="list" allowBlank="1" showInputMessage="1" showErrorMessage="1" prompt="Click and enter stage 2" sqref="A47">
      <formula1>Product4!$C$15:$C63</formula1>
    </dataValidation>
    <dataValidation type="list" allowBlank="1" showInputMessage="1" showErrorMessage="1" prompt="Click and enter stage 2" sqref="A23">
      <formula1>Product!$C$15:$C63</formula1>
    </dataValidation>
    <dataValidation type="list" allowBlank="1" showErrorMessage="1" sqref="D23">
      <formula1>Product!$BY$4:$BY$44</formula1>
    </dataValidation>
  </dataValidations>
  <hyperlinks>
    <hyperlink r:id="rId1" ref="B9"/>
    <hyperlink r:id="rId2" ref="C9"/>
    <hyperlink r:id="rId3" ref="F9"/>
    <hyperlink r:id="rId4" ref="H9"/>
    <hyperlink r:id="rId5" ref="C11"/>
    <hyperlink r:id="rId6" ref="H58"/>
  </hyperlinks>
  <printOptions gridLines="1" horizontalCentered="1"/>
  <pageMargins bottom="0.75" footer="0.0" header="0.0" left="0.25" right="0.25" top="0.75"/>
  <pageSetup paperSize="9" cellComments="atEnd" orientation="portrait" pageOrder="overThenDown"/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5"/>
    <col customWidth="1" min="4" max="4" width="22.25"/>
    <col customWidth="1" min="5" max="6" width="15.25"/>
    <col customWidth="1" hidden="1" min="7" max="7" width="15.25"/>
    <col customWidth="1" min="9" max="9" width="15.5"/>
    <col hidden="1" min="12" max="12" width="12.63"/>
    <col customWidth="1" min="13" max="13" width="4.63"/>
  </cols>
  <sheetData>
    <row r="1">
      <c r="A1" s="99" t="s">
        <v>411</v>
      </c>
      <c r="B1" s="99" t="s">
        <v>412</v>
      </c>
      <c r="C1" s="99" t="s">
        <v>413</v>
      </c>
      <c r="D1" s="99" t="s">
        <v>414</v>
      </c>
      <c r="E1" s="99" t="s">
        <v>415</v>
      </c>
      <c r="F1" s="99" t="s">
        <v>365</v>
      </c>
      <c r="G1" s="88"/>
      <c r="H1" s="391" t="s">
        <v>416</v>
      </c>
      <c r="I1" s="99" t="s">
        <v>367</v>
      </c>
      <c r="J1" s="99" t="s">
        <v>417</v>
      </c>
      <c r="K1" s="99" t="s">
        <v>418</v>
      </c>
      <c r="L1" s="73"/>
      <c r="M1" s="73"/>
    </row>
    <row r="2">
      <c r="A2" s="86"/>
      <c r="B2" s="88"/>
      <c r="C2" s="113"/>
      <c r="D2" s="88"/>
      <c r="E2" s="88"/>
      <c r="F2" s="73"/>
      <c r="G2" s="392"/>
      <c r="H2" s="86"/>
      <c r="I2" s="88"/>
      <c r="J2" s="393">
        <v>44232.0</v>
      </c>
      <c r="K2" s="393">
        <f t="shared" ref="K2:K454" si="1">J2+1</f>
        <v>44233</v>
      </c>
      <c r="L2" s="394" t="str">
        <f>IFERROR(__xludf.DUMMYFUNCTION("JOIN("""", G2:H2)"),"")</f>
        <v/>
      </c>
      <c r="M2" s="80" t="str">
        <f t="shared" ref="M2:M3000" si="2">HYPERLINK(L2, Image("http://iopl.co/whatsapp.jpg"))</f>
        <v/>
      </c>
    </row>
    <row r="3" ht="18.0" customHeight="1">
      <c r="A3" s="86"/>
      <c r="B3" s="88"/>
      <c r="C3" s="88"/>
      <c r="D3" s="88"/>
      <c r="E3" s="88"/>
      <c r="F3" s="88"/>
      <c r="G3" s="394"/>
      <c r="H3" s="86"/>
      <c r="I3" s="88"/>
      <c r="J3" s="393">
        <v>44232.0</v>
      </c>
      <c r="K3" s="393">
        <f t="shared" si="1"/>
        <v>44233</v>
      </c>
      <c r="L3" s="394" t="str">
        <f>IFERROR(__xludf.DUMMYFUNCTION("JOIN("""", G3:H3)"),"")</f>
        <v/>
      </c>
      <c r="M3" s="80" t="str">
        <f t="shared" si="2"/>
        <v/>
      </c>
    </row>
    <row r="4">
      <c r="A4" s="86"/>
      <c r="B4" s="88"/>
      <c r="C4" s="88"/>
      <c r="D4" s="88"/>
      <c r="E4" s="88"/>
      <c r="F4" s="73"/>
      <c r="G4" s="394"/>
      <c r="H4" s="86"/>
      <c r="I4" s="88"/>
      <c r="J4" s="393">
        <v>44232.0</v>
      </c>
      <c r="K4" s="393">
        <f t="shared" si="1"/>
        <v>44233</v>
      </c>
      <c r="L4" s="394" t="str">
        <f>IFERROR(__xludf.DUMMYFUNCTION("JOIN("""", G4:H4)"),"")</f>
        <v/>
      </c>
      <c r="M4" s="80" t="str">
        <f t="shared" si="2"/>
        <v/>
      </c>
    </row>
    <row r="5">
      <c r="A5" s="86"/>
      <c r="B5" s="88"/>
      <c r="C5" s="88"/>
      <c r="D5" s="88"/>
      <c r="E5" s="88"/>
      <c r="F5" s="73"/>
      <c r="G5" s="394"/>
      <c r="H5" s="86"/>
      <c r="I5" s="88"/>
      <c r="J5" s="393">
        <v>44232.0</v>
      </c>
      <c r="K5" s="393">
        <f t="shared" si="1"/>
        <v>44233</v>
      </c>
      <c r="L5" s="394" t="str">
        <f>IFERROR(__xludf.DUMMYFUNCTION("JOIN("""", G5:H5)"),"")</f>
        <v/>
      </c>
      <c r="M5" s="80" t="str">
        <f t="shared" si="2"/>
        <v/>
      </c>
    </row>
    <row r="6">
      <c r="A6" s="86"/>
      <c r="B6" s="88"/>
      <c r="C6" s="73"/>
      <c r="D6" s="73"/>
      <c r="E6" s="73"/>
      <c r="F6" s="73"/>
      <c r="G6" s="394"/>
      <c r="H6" s="86"/>
      <c r="I6" s="88"/>
      <c r="J6" s="393">
        <v>44232.0</v>
      </c>
      <c r="K6" s="393">
        <f t="shared" si="1"/>
        <v>44233</v>
      </c>
      <c r="L6" s="394" t="str">
        <f>IFERROR(__xludf.DUMMYFUNCTION("JOIN("""", G6:H6)"),"")</f>
        <v/>
      </c>
      <c r="M6" s="80" t="str">
        <f t="shared" si="2"/>
        <v/>
      </c>
    </row>
    <row r="7">
      <c r="A7" s="86"/>
      <c r="B7" s="88"/>
      <c r="C7" s="73"/>
      <c r="D7" s="73"/>
      <c r="E7" s="73"/>
      <c r="F7" s="73"/>
      <c r="G7" s="394"/>
      <c r="H7" s="86"/>
      <c r="I7" s="88"/>
      <c r="J7" s="393">
        <v>44232.0</v>
      </c>
      <c r="K7" s="393">
        <f t="shared" si="1"/>
        <v>44233</v>
      </c>
      <c r="L7" s="394" t="str">
        <f>IFERROR(__xludf.DUMMYFUNCTION("JOIN("""", G7:H7)"),"")</f>
        <v/>
      </c>
      <c r="M7" s="80" t="str">
        <f t="shared" si="2"/>
        <v/>
      </c>
    </row>
    <row r="8">
      <c r="A8" s="86"/>
      <c r="B8" s="88"/>
      <c r="C8" s="73"/>
      <c r="D8" s="73"/>
      <c r="E8" s="73"/>
      <c r="F8" s="73"/>
      <c r="G8" s="394"/>
      <c r="H8" s="86"/>
      <c r="I8" s="88"/>
      <c r="J8" s="393">
        <v>44232.0</v>
      </c>
      <c r="K8" s="393">
        <f t="shared" si="1"/>
        <v>44233</v>
      </c>
      <c r="L8" s="394" t="str">
        <f>IFERROR(__xludf.DUMMYFUNCTION("JOIN("""", G8:H8)"),"")</f>
        <v/>
      </c>
      <c r="M8" s="80" t="str">
        <f t="shared" si="2"/>
        <v/>
      </c>
    </row>
    <row r="9">
      <c r="A9" s="86"/>
      <c r="B9" s="88"/>
      <c r="C9" s="73"/>
      <c r="D9" s="73"/>
      <c r="E9" s="73"/>
      <c r="F9" s="73"/>
      <c r="G9" s="394"/>
      <c r="H9" s="86"/>
      <c r="I9" s="88"/>
      <c r="J9" s="393">
        <v>44232.0</v>
      </c>
      <c r="K9" s="393">
        <f t="shared" si="1"/>
        <v>44233</v>
      </c>
      <c r="L9" s="394" t="str">
        <f>IFERROR(__xludf.DUMMYFUNCTION("JOIN("""", G9:H9)"),"")</f>
        <v/>
      </c>
      <c r="M9" s="80" t="str">
        <f t="shared" si="2"/>
        <v/>
      </c>
    </row>
    <row r="10">
      <c r="A10" s="86"/>
      <c r="B10" s="88"/>
      <c r="C10" s="73"/>
      <c r="D10" s="73"/>
      <c r="E10" s="73"/>
      <c r="F10" s="73"/>
      <c r="G10" s="394"/>
      <c r="H10" s="86"/>
      <c r="I10" s="88"/>
      <c r="J10" s="393">
        <v>44232.0</v>
      </c>
      <c r="K10" s="393">
        <f t="shared" si="1"/>
        <v>44233</v>
      </c>
      <c r="L10" s="394" t="str">
        <f>IFERROR(__xludf.DUMMYFUNCTION("JOIN("""", G10:H10)"),"")</f>
        <v/>
      </c>
      <c r="M10" s="80" t="str">
        <f t="shared" si="2"/>
        <v/>
      </c>
    </row>
    <row r="11">
      <c r="A11" s="86"/>
      <c r="B11" s="88"/>
      <c r="C11" s="73"/>
      <c r="D11" s="73"/>
      <c r="E11" s="73"/>
      <c r="F11" s="73"/>
      <c r="G11" s="394"/>
      <c r="H11" s="86"/>
      <c r="I11" s="88"/>
      <c r="J11" s="393">
        <v>44232.0</v>
      </c>
      <c r="K11" s="393">
        <f t="shared" si="1"/>
        <v>44233</v>
      </c>
      <c r="L11" s="394" t="str">
        <f>IFERROR(__xludf.DUMMYFUNCTION("JOIN("""", G11:H11)"),"")</f>
        <v/>
      </c>
      <c r="M11" s="80" t="str">
        <f t="shared" si="2"/>
        <v/>
      </c>
    </row>
    <row r="12">
      <c r="A12" s="86"/>
      <c r="B12" s="88"/>
      <c r="C12" s="73"/>
      <c r="D12" s="73"/>
      <c r="E12" s="73"/>
      <c r="F12" s="73"/>
      <c r="G12" s="394"/>
      <c r="H12" s="86"/>
      <c r="I12" s="88"/>
      <c r="J12" s="393">
        <v>44232.0</v>
      </c>
      <c r="K12" s="393">
        <f t="shared" si="1"/>
        <v>44233</v>
      </c>
      <c r="L12" s="394" t="str">
        <f>IFERROR(__xludf.DUMMYFUNCTION("JOIN("""", G12:H12)"),"")</f>
        <v/>
      </c>
      <c r="M12" s="80" t="str">
        <f t="shared" si="2"/>
        <v/>
      </c>
    </row>
    <row r="13">
      <c r="A13" s="86"/>
      <c r="B13" s="88"/>
      <c r="C13" s="73"/>
      <c r="D13" s="73"/>
      <c r="E13" s="73"/>
      <c r="F13" s="73"/>
      <c r="G13" s="394"/>
      <c r="H13" s="86"/>
      <c r="I13" s="88"/>
      <c r="J13" s="393">
        <v>44232.0</v>
      </c>
      <c r="K13" s="393">
        <f t="shared" si="1"/>
        <v>44233</v>
      </c>
      <c r="L13" s="394" t="str">
        <f>IFERROR(__xludf.DUMMYFUNCTION("JOIN("""", G13:H13)"),"")</f>
        <v/>
      </c>
      <c r="M13" s="80" t="str">
        <f t="shared" si="2"/>
        <v/>
      </c>
    </row>
    <row r="14">
      <c r="A14" s="86"/>
      <c r="B14" s="88"/>
      <c r="C14" s="73"/>
      <c r="D14" s="73"/>
      <c r="E14" s="73"/>
      <c r="F14" s="73"/>
      <c r="G14" s="394"/>
      <c r="H14" s="86"/>
      <c r="I14" s="88"/>
      <c r="J14" s="393">
        <v>44232.0</v>
      </c>
      <c r="K14" s="393">
        <f t="shared" si="1"/>
        <v>44233</v>
      </c>
      <c r="L14" s="394" t="str">
        <f>IFERROR(__xludf.DUMMYFUNCTION("JOIN("""", G14:H14)"),"")</f>
        <v/>
      </c>
      <c r="M14" s="80" t="str">
        <f t="shared" si="2"/>
        <v/>
      </c>
    </row>
    <row r="15">
      <c r="A15" s="86"/>
      <c r="B15" s="88"/>
      <c r="C15" s="73"/>
      <c r="D15" s="73"/>
      <c r="E15" s="73"/>
      <c r="F15" s="73"/>
      <c r="G15" s="394"/>
      <c r="H15" s="86"/>
      <c r="I15" s="88"/>
      <c r="J15" s="393">
        <v>44232.0</v>
      </c>
      <c r="K15" s="393">
        <f t="shared" si="1"/>
        <v>44233</v>
      </c>
      <c r="L15" s="394" t="str">
        <f>IFERROR(__xludf.DUMMYFUNCTION("JOIN("""", G15:H15)"),"")</f>
        <v/>
      </c>
      <c r="M15" s="80" t="str">
        <f t="shared" si="2"/>
        <v/>
      </c>
    </row>
    <row r="16">
      <c r="A16" s="86"/>
      <c r="B16" s="88"/>
      <c r="C16" s="73"/>
      <c r="D16" s="73"/>
      <c r="E16" s="73"/>
      <c r="F16" s="73"/>
      <c r="G16" s="394"/>
      <c r="H16" s="86"/>
      <c r="I16" s="88"/>
      <c r="J16" s="393">
        <v>44232.0</v>
      </c>
      <c r="K16" s="393">
        <f t="shared" si="1"/>
        <v>44233</v>
      </c>
      <c r="L16" s="394" t="str">
        <f>IFERROR(__xludf.DUMMYFUNCTION("JOIN("""", G16:H16)"),"")</f>
        <v/>
      </c>
      <c r="M16" s="80" t="str">
        <f t="shared" si="2"/>
        <v/>
      </c>
    </row>
    <row r="17">
      <c r="A17" s="86"/>
      <c r="B17" s="88"/>
      <c r="C17" s="73"/>
      <c r="D17" s="73"/>
      <c r="E17" s="73"/>
      <c r="F17" s="73"/>
      <c r="G17" s="394"/>
      <c r="H17" s="86"/>
      <c r="I17" s="88"/>
      <c r="J17" s="393">
        <v>44232.0</v>
      </c>
      <c r="K17" s="393">
        <f t="shared" si="1"/>
        <v>44233</v>
      </c>
      <c r="L17" s="394" t="str">
        <f>IFERROR(__xludf.DUMMYFUNCTION("JOIN("""", G17:H17)"),"")</f>
        <v/>
      </c>
      <c r="M17" s="80" t="str">
        <f t="shared" si="2"/>
        <v/>
      </c>
    </row>
    <row r="18">
      <c r="A18" s="86"/>
      <c r="B18" s="88"/>
      <c r="C18" s="73"/>
      <c r="D18" s="73"/>
      <c r="E18" s="73"/>
      <c r="F18" s="73"/>
      <c r="G18" s="394"/>
      <c r="H18" s="86"/>
      <c r="I18" s="88"/>
      <c r="J18" s="393">
        <v>44232.0</v>
      </c>
      <c r="K18" s="393">
        <f t="shared" si="1"/>
        <v>44233</v>
      </c>
      <c r="L18" s="394" t="str">
        <f>IFERROR(__xludf.DUMMYFUNCTION("JOIN("""", G18:H18)"),"")</f>
        <v/>
      </c>
      <c r="M18" s="80" t="str">
        <f t="shared" si="2"/>
        <v/>
      </c>
    </row>
    <row r="19">
      <c r="A19" s="86"/>
      <c r="B19" s="88"/>
      <c r="C19" s="73"/>
      <c r="D19" s="73"/>
      <c r="E19" s="73"/>
      <c r="F19" s="73"/>
      <c r="G19" s="394"/>
      <c r="H19" s="86"/>
      <c r="I19" s="88"/>
      <c r="J19" s="393">
        <v>44232.0</v>
      </c>
      <c r="K19" s="393">
        <f t="shared" si="1"/>
        <v>44233</v>
      </c>
      <c r="L19" s="394" t="str">
        <f>IFERROR(__xludf.DUMMYFUNCTION("JOIN("""", G19:H19)"),"")</f>
        <v/>
      </c>
      <c r="M19" s="80" t="str">
        <f t="shared" si="2"/>
        <v/>
      </c>
    </row>
    <row r="20">
      <c r="A20" s="86"/>
      <c r="B20" s="88"/>
      <c r="C20" s="73"/>
      <c r="D20" s="73"/>
      <c r="E20" s="88"/>
      <c r="F20" s="73"/>
      <c r="G20" s="394"/>
      <c r="H20" s="86"/>
      <c r="I20" s="88"/>
      <c r="J20" s="393">
        <v>44232.0</v>
      </c>
      <c r="K20" s="393">
        <f t="shared" si="1"/>
        <v>44233</v>
      </c>
      <c r="L20" s="394" t="str">
        <f>IFERROR(__xludf.DUMMYFUNCTION("JOIN("""", G20:H20)"),"")</f>
        <v/>
      </c>
      <c r="M20" s="80" t="str">
        <f t="shared" si="2"/>
        <v/>
      </c>
    </row>
    <row r="21">
      <c r="A21" s="86"/>
      <c r="B21" s="88"/>
      <c r="C21" s="73"/>
      <c r="D21" s="73"/>
      <c r="E21" s="73"/>
      <c r="F21" s="73"/>
      <c r="G21" s="394"/>
      <c r="H21" s="86"/>
      <c r="I21" s="88"/>
      <c r="J21" s="393">
        <v>44232.0</v>
      </c>
      <c r="K21" s="393">
        <f t="shared" si="1"/>
        <v>44233</v>
      </c>
      <c r="L21" s="394" t="str">
        <f>IFERROR(__xludf.DUMMYFUNCTION("JOIN("""", G21:H21)"),"")</f>
        <v/>
      </c>
      <c r="M21" s="80" t="str">
        <f t="shared" si="2"/>
        <v/>
      </c>
    </row>
    <row r="22">
      <c r="A22" s="86"/>
      <c r="B22" s="88"/>
      <c r="C22" s="88"/>
      <c r="D22" s="73"/>
      <c r="E22" s="73"/>
      <c r="F22" s="73"/>
      <c r="G22" s="394"/>
      <c r="H22" s="86"/>
      <c r="I22" s="88"/>
      <c r="J22" s="393">
        <v>44232.0</v>
      </c>
      <c r="K22" s="393">
        <f t="shared" si="1"/>
        <v>44233</v>
      </c>
      <c r="L22" s="394" t="str">
        <f>IFERROR(__xludf.DUMMYFUNCTION("JOIN("""", G22:H22)"),"")</f>
        <v/>
      </c>
      <c r="M22" s="80" t="str">
        <f t="shared" si="2"/>
        <v/>
      </c>
    </row>
    <row r="23">
      <c r="A23" s="86"/>
      <c r="B23" s="88"/>
      <c r="C23" s="88"/>
      <c r="D23" s="73"/>
      <c r="E23" s="73"/>
      <c r="F23" s="73"/>
      <c r="G23" s="394"/>
      <c r="H23" s="86"/>
      <c r="I23" s="88"/>
      <c r="J23" s="393">
        <v>44232.0</v>
      </c>
      <c r="K23" s="393">
        <f t="shared" si="1"/>
        <v>44233</v>
      </c>
      <c r="L23" s="394" t="str">
        <f>IFERROR(__xludf.DUMMYFUNCTION("JOIN("""", G23:H23)"),"")</f>
        <v/>
      </c>
      <c r="M23" s="80" t="str">
        <f t="shared" si="2"/>
        <v/>
      </c>
    </row>
    <row r="24">
      <c r="A24" s="86"/>
      <c r="B24" s="88"/>
      <c r="C24" s="88"/>
      <c r="D24" s="73"/>
      <c r="E24" s="73"/>
      <c r="F24" s="73"/>
      <c r="G24" s="394"/>
      <c r="H24" s="86"/>
      <c r="I24" s="88"/>
      <c r="J24" s="393">
        <v>44232.0</v>
      </c>
      <c r="K24" s="393">
        <f t="shared" si="1"/>
        <v>44233</v>
      </c>
      <c r="L24" s="394" t="str">
        <f>IFERROR(__xludf.DUMMYFUNCTION("JOIN("""", G24:H24)"),"")</f>
        <v/>
      </c>
      <c r="M24" s="80" t="str">
        <f t="shared" si="2"/>
        <v/>
      </c>
    </row>
    <row r="25">
      <c r="A25" s="86"/>
      <c r="B25" s="88"/>
      <c r="C25" s="88"/>
      <c r="D25" s="73"/>
      <c r="E25" s="73"/>
      <c r="F25" s="73"/>
      <c r="G25" s="394"/>
      <c r="H25" s="86"/>
      <c r="I25" s="88"/>
      <c r="J25" s="393">
        <v>44232.0</v>
      </c>
      <c r="K25" s="393">
        <f t="shared" si="1"/>
        <v>44233</v>
      </c>
      <c r="L25" s="394" t="str">
        <f>IFERROR(__xludf.DUMMYFUNCTION("JOIN("""", G25:H25)"),"")</f>
        <v/>
      </c>
      <c r="M25" s="80" t="str">
        <f t="shared" si="2"/>
        <v/>
      </c>
    </row>
    <row r="26">
      <c r="A26" s="86"/>
      <c r="B26" s="88"/>
      <c r="C26" s="88"/>
      <c r="D26" s="73"/>
      <c r="E26" s="73"/>
      <c r="F26" s="73"/>
      <c r="G26" s="394"/>
      <c r="H26" s="86"/>
      <c r="I26" s="88"/>
      <c r="J26" s="393">
        <v>44232.0</v>
      </c>
      <c r="K26" s="393">
        <f t="shared" si="1"/>
        <v>44233</v>
      </c>
      <c r="L26" s="394" t="str">
        <f>IFERROR(__xludf.DUMMYFUNCTION("JOIN("""", G26:H26)"),"")</f>
        <v/>
      </c>
      <c r="M26" s="80" t="str">
        <f t="shared" si="2"/>
        <v/>
      </c>
    </row>
    <row r="27">
      <c r="A27" s="86"/>
      <c r="B27" s="88"/>
      <c r="C27" s="88"/>
      <c r="D27" s="73"/>
      <c r="E27" s="73"/>
      <c r="F27" s="73"/>
      <c r="G27" s="394"/>
      <c r="H27" s="86"/>
      <c r="I27" s="88"/>
      <c r="J27" s="393">
        <v>44233.0</v>
      </c>
      <c r="K27" s="393">
        <f t="shared" si="1"/>
        <v>44234</v>
      </c>
      <c r="L27" s="394" t="str">
        <f>IFERROR(__xludf.DUMMYFUNCTION("JOIN("""", G27:H27)"),"")</f>
        <v/>
      </c>
      <c r="M27" s="80" t="str">
        <f t="shared" si="2"/>
        <v/>
      </c>
    </row>
    <row r="28">
      <c r="A28" s="86"/>
      <c r="B28" s="88"/>
      <c r="C28" s="88"/>
      <c r="D28" s="73"/>
      <c r="E28" s="73"/>
      <c r="F28" s="73"/>
      <c r="G28" s="394"/>
      <c r="H28" s="86"/>
      <c r="I28" s="88"/>
      <c r="J28" s="393">
        <v>44233.0</v>
      </c>
      <c r="K28" s="393">
        <f t="shared" si="1"/>
        <v>44234</v>
      </c>
      <c r="L28" s="394" t="str">
        <f>IFERROR(__xludf.DUMMYFUNCTION("JOIN("""", G28:H28)"),"")</f>
        <v/>
      </c>
      <c r="M28" s="80" t="str">
        <f t="shared" si="2"/>
        <v/>
      </c>
    </row>
    <row r="29">
      <c r="A29" s="86"/>
      <c r="B29" s="88"/>
      <c r="C29" s="88"/>
      <c r="D29" s="73"/>
      <c r="E29" s="73"/>
      <c r="F29" s="73"/>
      <c r="G29" s="394"/>
      <c r="H29" s="86"/>
      <c r="I29" s="88"/>
      <c r="J29" s="393">
        <v>44233.0</v>
      </c>
      <c r="K29" s="393">
        <f t="shared" si="1"/>
        <v>44234</v>
      </c>
      <c r="L29" s="394" t="str">
        <f>IFERROR(__xludf.DUMMYFUNCTION("JOIN("""", G29:H29)"),"")</f>
        <v/>
      </c>
      <c r="M29" s="80" t="str">
        <f t="shared" si="2"/>
        <v/>
      </c>
    </row>
    <row r="30">
      <c r="A30" s="86"/>
      <c r="B30" s="88"/>
      <c r="C30" s="88"/>
      <c r="D30" s="73"/>
      <c r="E30" s="73"/>
      <c r="F30" s="73"/>
      <c r="G30" s="394"/>
      <c r="H30" s="86"/>
      <c r="I30" s="88"/>
      <c r="J30" s="393">
        <v>44233.0</v>
      </c>
      <c r="K30" s="393">
        <f t="shared" si="1"/>
        <v>44234</v>
      </c>
      <c r="L30" s="394" t="str">
        <f>IFERROR(__xludf.DUMMYFUNCTION("JOIN("""", G30:H30)"),"")</f>
        <v/>
      </c>
      <c r="M30" s="80" t="str">
        <f t="shared" si="2"/>
        <v/>
      </c>
    </row>
    <row r="31">
      <c r="A31" s="86"/>
      <c r="B31" s="88"/>
      <c r="C31" s="88"/>
      <c r="D31" s="73"/>
      <c r="E31" s="73"/>
      <c r="F31" s="73"/>
      <c r="G31" s="394"/>
      <c r="H31" s="86"/>
      <c r="I31" s="88"/>
      <c r="J31" s="393">
        <v>44233.0</v>
      </c>
      <c r="K31" s="393">
        <f t="shared" si="1"/>
        <v>44234</v>
      </c>
      <c r="L31" s="394" t="str">
        <f>IFERROR(__xludf.DUMMYFUNCTION("JOIN("""", G31:H31)"),"")</f>
        <v/>
      </c>
      <c r="M31" s="80" t="str">
        <f t="shared" si="2"/>
        <v/>
      </c>
    </row>
    <row r="32">
      <c r="A32" s="86"/>
      <c r="B32" s="88"/>
      <c r="C32" s="88"/>
      <c r="D32" s="73"/>
      <c r="E32" s="88"/>
      <c r="F32" s="73"/>
      <c r="G32" s="394"/>
      <c r="H32" s="86"/>
      <c r="I32" s="88"/>
      <c r="J32" s="393">
        <v>44233.0</v>
      </c>
      <c r="K32" s="393">
        <f t="shared" si="1"/>
        <v>44234</v>
      </c>
      <c r="L32" s="394" t="str">
        <f>IFERROR(__xludf.DUMMYFUNCTION("JOIN("""", G32:H32)"),"")</f>
        <v/>
      </c>
      <c r="M32" s="80" t="str">
        <f t="shared" si="2"/>
        <v/>
      </c>
    </row>
    <row r="33">
      <c r="A33" s="86"/>
      <c r="B33" s="88"/>
      <c r="C33" s="88"/>
      <c r="D33" s="73"/>
      <c r="E33" s="73"/>
      <c r="F33" s="73"/>
      <c r="G33" s="394"/>
      <c r="H33" s="86"/>
      <c r="I33" s="88"/>
      <c r="J33" s="393">
        <v>44233.0</v>
      </c>
      <c r="K33" s="393">
        <f t="shared" si="1"/>
        <v>44234</v>
      </c>
      <c r="L33" s="394" t="str">
        <f>IFERROR(__xludf.DUMMYFUNCTION("JOIN("""", G33:H33)"),"")</f>
        <v/>
      </c>
      <c r="M33" s="80" t="str">
        <f t="shared" si="2"/>
        <v/>
      </c>
    </row>
    <row r="34">
      <c r="A34" s="86"/>
      <c r="B34" s="88"/>
      <c r="C34" s="88"/>
      <c r="D34" s="73"/>
      <c r="E34" s="73"/>
      <c r="F34" s="73"/>
      <c r="G34" s="394"/>
      <c r="H34" s="86"/>
      <c r="I34" s="88"/>
      <c r="J34" s="393">
        <v>44233.0</v>
      </c>
      <c r="K34" s="393">
        <f t="shared" si="1"/>
        <v>44234</v>
      </c>
      <c r="L34" s="394" t="str">
        <f>IFERROR(__xludf.DUMMYFUNCTION("JOIN("""", G34:H34)"),"")</f>
        <v/>
      </c>
      <c r="M34" s="80" t="str">
        <f t="shared" si="2"/>
        <v/>
      </c>
    </row>
    <row r="35">
      <c r="A35" s="86"/>
      <c r="B35" s="88"/>
      <c r="C35" s="88"/>
      <c r="D35" s="73"/>
      <c r="E35" s="73"/>
      <c r="F35" s="73"/>
      <c r="G35" s="394"/>
      <c r="H35" s="86"/>
      <c r="I35" s="88"/>
      <c r="J35" s="393">
        <v>44233.0</v>
      </c>
      <c r="K35" s="393">
        <f t="shared" si="1"/>
        <v>44234</v>
      </c>
      <c r="L35" s="394" t="str">
        <f>IFERROR(__xludf.DUMMYFUNCTION("JOIN("""", G35:H35)"),"")</f>
        <v/>
      </c>
      <c r="M35" s="80" t="str">
        <f t="shared" si="2"/>
        <v/>
      </c>
    </row>
    <row r="36">
      <c r="A36" s="86"/>
      <c r="B36" s="88"/>
      <c r="C36" s="88"/>
      <c r="D36" s="73"/>
      <c r="E36" s="73"/>
      <c r="F36" s="73"/>
      <c r="G36" s="394"/>
      <c r="H36" s="86"/>
      <c r="I36" s="88"/>
      <c r="J36" s="393">
        <v>44233.0</v>
      </c>
      <c r="K36" s="393">
        <f t="shared" si="1"/>
        <v>44234</v>
      </c>
      <c r="L36" s="394" t="str">
        <f>IFERROR(__xludf.DUMMYFUNCTION("JOIN("""", G36:H36)"),"")</f>
        <v/>
      </c>
      <c r="M36" s="80" t="str">
        <f t="shared" si="2"/>
        <v/>
      </c>
    </row>
    <row r="37">
      <c r="A37" s="86"/>
      <c r="B37" s="88"/>
      <c r="C37" s="88"/>
      <c r="D37" s="73"/>
      <c r="E37" s="73"/>
      <c r="F37" s="73"/>
      <c r="G37" s="394"/>
      <c r="H37" s="86"/>
      <c r="I37" s="88"/>
      <c r="J37" s="393">
        <v>44233.0</v>
      </c>
      <c r="K37" s="393">
        <f t="shared" si="1"/>
        <v>44234</v>
      </c>
      <c r="L37" s="394" t="str">
        <f>IFERROR(__xludf.DUMMYFUNCTION("JOIN("""", G37:H37)"),"")</f>
        <v/>
      </c>
      <c r="M37" s="80" t="str">
        <f t="shared" si="2"/>
        <v/>
      </c>
    </row>
    <row r="38">
      <c r="A38" s="86"/>
      <c r="B38" s="88"/>
      <c r="C38" s="88"/>
      <c r="D38" s="73"/>
      <c r="E38" s="73"/>
      <c r="F38" s="73"/>
      <c r="G38" s="394"/>
      <c r="H38" s="86"/>
      <c r="I38" s="88"/>
      <c r="J38" s="393">
        <v>44233.0</v>
      </c>
      <c r="K38" s="393">
        <f t="shared" si="1"/>
        <v>44234</v>
      </c>
      <c r="L38" s="394" t="str">
        <f>IFERROR(__xludf.DUMMYFUNCTION("JOIN("""", G38:H38)"),"")</f>
        <v/>
      </c>
      <c r="M38" s="80" t="str">
        <f t="shared" si="2"/>
        <v/>
      </c>
    </row>
    <row r="39">
      <c r="A39" s="86"/>
      <c r="B39" s="88"/>
      <c r="C39" s="88"/>
      <c r="D39" s="73"/>
      <c r="E39" s="73"/>
      <c r="F39" s="73"/>
      <c r="G39" s="394"/>
      <c r="H39" s="86"/>
      <c r="I39" s="88"/>
      <c r="J39" s="393">
        <v>44233.0</v>
      </c>
      <c r="K39" s="393">
        <f t="shared" si="1"/>
        <v>44234</v>
      </c>
      <c r="L39" s="394" t="str">
        <f>IFERROR(__xludf.DUMMYFUNCTION("JOIN("""", G39:H39)"),"")</f>
        <v/>
      </c>
      <c r="M39" s="80" t="str">
        <f t="shared" si="2"/>
        <v/>
      </c>
    </row>
    <row r="40">
      <c r="A40" s="86"/>
      <c r="B40" s="88"/>
      <c r="C40" s="88"/>
      <c r="D40" s="73"/>
      <c r="E40" s="73"/>
      <c r="F40" s="73"/>
      <c r="G40" s="394"/>
      <c r="H40" s="86"/>
      <c r="I40" s="88"/>
      <c r="J40" s="393">
        <v>44233.0</v>
      </c>
      <c r="K40" s="393">
        <f t="shared" si="1"/>
        <v>44234</v>
      </c>
      <c r="L40" s="394" t="str">
        <f>IFERROR(__xludf.DUMMYFUNCTION("JOIN("""", G40:H40)"),"")</f>
        <v/>
      </c>
      <c r="M40" s="80" t="str">
        <f t="shared" si="2"/>
        <v/>
      </c>
    </row>
    <row r="41">
      <c r="A41" s="86"/>
      <c r="B41" s="88"/>
      <c r="C41" s="88"/>
      <c r="D41" s="73"/>
      <c r="E41" s="73"/>
      <c r="F41" s="73"/>
      <c r="G41" s="394"/>
      <c r="H41" s="86"/>
      <c r="I41" s="88"/>
      <c r="J41" s="393">
        <v>44233.0</v>
      </c>
      <c r="K41" s="393">
        <f t="shared" si="1"/>
        <v>44234</v>
      </c>
      <c r="L41" s="394" t="str">
        <f>IFERROR(__xludf.DUMMYFUNCTION("JOIN("""", G41:H41)"),"")</f>
        <v/>
      </c>
      <c r="M41" s="80" t="str">
        <f t="shared" si="2"/>
        <v/>
      </c>
    </row>
    <row r="42">
      <c r="A42" s="86"/>
      <c r="B42" s="88"/>
      <c r="C42" s="88"/>
      <c r="D42" s="73"/>
      <c r="E42" s="73"/>
      <c r="F42" s="73"/>
      <c r="G42" s="394"/>
      <c r="H42" s="86"/>
      <c r="I42" s="88"/>
      <c r="J42" s="393">
        <v>44233.0</v>
      </c>
      <c r="K42" s="393">
        <f t="shared" si="1"/>
        <v>44234</v>
      </c>
      <c r="L42" s="394" t="str">
        <f>IFERROR(__xludf.DUMMYFUNCTION("JOIN("""", G42:H42)"),"")</f>
        <v/>
      </c>
      <c r="M42" s="80" t="str">
        <f t="shared" si="2"/>
        <v/>
      </c>
    </row>
    <row r="43">
      <c r="A43" s="86"/>
      <c r="B43" s="88"/>
      <c r="C43" s="88"/>
      <c r="D43" s="73"/>
      <c r="E43" s="73"/>
      <c r="F43" s="73"/>
      <c r="G43" s="394"/>
      <c r="H43" s="86"/>
      <c r="I43" s="88"/>
      <c r="J43" s="393">
        <v>44233.0</v>
      </c>
      <c r="K43" s="393">
        <f t="shared" si="1"/>
        <v>44234</v>
      </c>
      <c r="L43" s="394" t="str">
        <f>IFERROR(__xludf.DUMMYFUNCTION("JOIN("""", G43:H43)"),"")</f>
        <v/>
      </c>
      <c r="M43" s="80" t="str">
        <f t="shared" si="2"/>
        <v/>
      </c>
    </row>
    <row r="44">
      <c r="A44" s="86"/>
      <c r="B44" s="88"/>
      <c r="C44" s="88"/>
      <c r="D44" s="73"/>
      <c r="E44" s="73"/>
      <c r="F44" s="73"/>
      <c r="G44" s="394"/>
      <c r="H44" s="86"/>
      <c r="I44" s="88"/>
      <c r="J44" s="393">
        <v>44233.0</v>
      </c>
      <c r="K44" s="393">
        <f t="shared" si="1"/>
        <v>44234</v>
      </c>
      <c r="L44" s="394" t="str">
        <f>IFERROR(__xludf.DUMMYFUNCTION("JOIN("""", G44:H44)"),"")</f>
        <v/>
      </c>
      <c r="M44" s="80" t="str">
        <f t="shared" si="2"/>
        <v/>
      </c>
    </row>
    <row r="45">
      <c r="A45" s="86"/>
      <c r="B45" s="88"/>
      <c r="C45" s="88"/>
      <c r="D45" s="73"/>
      <c r="E45" s="73"/>
      <c r="F45" s="73"/>
      <c r="G45" s="394"/>
      <c r="H45" s="86"/>
      <c r="I45" s="88"/>
      <c r="J45" s="393">
        <v>44233.0</v>
      </c>
      <c r="K45" s="393">
        <f t="shared" si="1"/>
        <v>44234</v>
      </c>
      <c r="L45" s="394" t="str">
        <f>IFERROR(__xludf.DUMMYFUNCTION("JOIN("""", G45:H45)"),"")</f>
        <v/>
      </c>
      <c r="M45" s="80" t="str">
        <f t="shared" si="2"/>
        <v/>
      </c>
    </row>
    <row r="46">
      <c r="A46" s="86"/>
      <c r="B46" s="88"/>
      <c r="C46" s="88"/>
      <c r="D46" s="73"/>
      <c r="E46" s="73"/>
      <c r="F46" s="73"/>
      <c r="G46" s="394"/>
      <c r="H46" s="86"/>
      <c r="I46" s="88"/>
      <c r="J46" s="393">
        <v>44244.0</v>
      </c>
      <c r="K46" s="393">
        <f t="shared" si="1"/>
        <v>44245</v>
      </c>
      <c r="L46" s="394" t="str">
        <f>IFERROR(__xludf.DUMMYFUNCTION("JOIN("""", G46:H46)"),"")</f>
        <v/>
      </c>
      <c r="M46" s="80" t="str">
        <f t="shared" si="2"/>
        <v/>
      </c>
    </row>
    <row r="47">
      <c r="A47" s="86"/>
      <c r="B47" s="88"/>
      <c r="C47" s="88"/>
      <c r="D47" s="73"/>
      <c r="E47" s="88"/>
      <c r="F47" s="73"/>
      <c r="G47" s="394"/>
      <c r="H47" s="86"/>
      <c r="I47" s="88"/>
      <c r="J47" s="393">
        <v>44233.0</v>
      </c>
      <c r="K47" s="393">
        <f t="shared" si="1"/>
        <v>44234</v>
      </c>
      <c r="L47" s="394" t="str">
        <f>IFERROR(__xludf.DUMMYFUNCTION("JOIN("""", G47:H47)"),"")</f>
        <v/>
      </c>
      <c r="M47" s="80" t="str">
        <f t="shared" si="2"/>
        <v/>
      </c>
    </row>
    <row r="48">
      <c r="A48" s="86"/>
      <c r="B48" s="88"/>
      <c r="C48" s="88"/>
      <c r="D48" s="73"/>
      <c r="E48" s="88"/>
      <c r="F48" s="73"/>
      <c r="G48" s="394"/>
      <c r="H48" s="86"/>
      <c r="I48" s="88"/>
      <c r="J48" s="393">
        <v>44234.0</v>
      </c>
      <c r="K48" s="393">
        <f t="shared" si="1"/>
        <v>44235</v>
      </c>
      <c r="L48" s="394" t="str">
        <f>IFERROR(__xludf.DUMMYFUNCTION("JOIN("""", G48:H48)"),"")</f>
        <v/>
      </c>
      <c r="M48" s="80" t="str">
        <f t="shared" si="2"/>
        <v/>
      </c>
    </row>
    <row r="49">
      <c r="A49" s="86"/>
      <c r="B49" s="88"/>
      <c r="C49" s="88"/>
      <c r="D49" s="73"/>
      <c r="E49" s="88"/>
      <c r="F49" s="73"/>
      <c r="G49" s="394"/>
      <c r="H49" s="86"/>
      <c r="I49" s="88"/>
      <c r="J49" s="393">
        <v>44234.0</v>
      </c>
      <c r="K49" s="393">
        <f t="shared" si="1"/>
        <v>44235</v>
      </c>
      <c r="L49" s="394" t="str">
        <f>IFERROR(__xludf.DUMMYFUNCTION("JOIN("""", G49:H49)"),"")</f>
        <v/>
      </c>
      <c r="M49" s="80" t="str">
        <f t="shared" si="2"/>
        <v/>
      </c>
    </row>
    <row r="50">
      <c r="A50" s="86"/>
      <c r="B50" s="88"/>
      <c r="C50" s="88"/>
      <c r="D50" s="73"/>
      <c r="E50" s="88"/>
      <c r="F50" s="73"/>
      <c r="G50" s="394"/>
      <c r="H50" s="86"/>
      <c r="I50" s="88"/>
      <c r="J50" s="393">
        <v>44234.0</v>
      </c>
      <c r="K50" s="393">
        <f t="shared" si="1"/>
        <v>44235</v>
      </c>
      <c r="L50" s="394" t="str">
        <f>IFERROR(__xludf.DUMMYFUNCTION("JOIN("""", G50:H50)"),"")</f>
        <v/>
      </c>
      <c r="M50" s="80" t="str">
        <f t="shared" si="2"/>
        <v/>
      </c>
    </row>
    <row r="51">
      <c r="A51" s="86"/>
      <c r="B51" s="88"/>
      <c r="C51" s="88"/>
      <c r="D51" s="73"/>
      <c r="E51" s="88"/>
      <c r="F51" s="73"/>
      <c r="G51" s="394"/>
      <c r="H51" s="86"/>
      <c r="I51" s="88"/>
      <c r="J51" s="393">
        <v>44234.0</v>
      </c>
      <c r="K51" s="393">
        <f t="shared" si="1"/>
        <v>44235</v>
      </c>
      <c r="L51" s="394" t="str">
        <f>IFERROR(__xludf.DUMMYFUNCTION("JOIN("""", G51:H51)"),"")</f>
        <v/>
      </c>
      <c r="M51" s="80" t="str">
        <f t="shared" si="2"/>
        <v/>
      </c>
    </row>
    <row r="52">
      <c r="A52" s="86"/>
      <c r="B52" s="88"/>
      <c r="C52" s="88"/>
      <c r="D52" s="73"/>
      <c r="E52" s="88"/>
      <c r="F52" s="73"/>
      <c r="G52" s="394"/>
      <c r="H52" s="86"/>
      <c r="I52" s="88"/>
      <c r="J52" s="393">
        <v>44234.0</v>
      </c>
      <c r="K52" s="393">
        <f t="shared" si="1"/>
        <v>44235</v>
      </c>
      <c r="L52" s="394" t="str">
        <f>IFERROR(__xludf.DUMMYFUNCTION("JOIN("""", G52:H52)"),"")</f>
        <v/>
      </c>
      <c r="M52" s="80" t="str">
        <f t="shared" si="2"/>
        <v/>
      </c>
    </row>
    <row r="53">
      <c r="A53" s="86"/>
      <c r="B53" s="88"/>
      <c r="C53" s="88"/>
      <c r="D53" s="73"/>
      <c r="E53" s="88"/>
      <c r="F53" s="73"/>
      <c r="G53" s="394"/>
      <c r="H53" s="86"/>
      <c r="I53" s="88"/>
      <c r="J53" s="393">
        <v>44234.0</v>
      </c>
      <c r="K53" s="393">
        <f t="shared" si="1"/>
        <v>44235</v>
      </c>
      <c r="L53" s="394" t="str">
        <f>IFERROR(__xludf.DUMMYFUNCTION("JOIN("""", G53:H53)"),"")</f>
        <v/>
      </c>
      <c r="M53" s="80" t="str">
        <f t="shared" si="2"/>
        <v/>
      </c>
    </row>
    <row r="54">
      <c r="A54" s="86"/>
      <c r="B54" s="88"/>
      <c r="C54" s="88"/>
      <c r="D54" s="73"/>
      <c r="E54" s="88"/>
      <c r="F54" s="73"/>
      <c r="G54" s="394"/>
      <c r="H54" s="86"/>
      <c r="I54" s="88"/>
      <c r="J54" s="393">
        <v>44234.0</v>
      </c>
      <c r="K54" s="393">
        <f t="shared" si="1"/>
        <v>44235</v>
      </c>
      <c r="L54" s="394" t="str">
        <f>IFERROR(__xludf.DUMMYFUNCTION("JOIN("""", G54:H54)"),"")</f>
        <v/>
      </c>
      <c r="M54" s="80" t="str">
        <f t="shared" si="2"/>
        <v/>
      </c>
    </row>
    <row r="55">
      <c r="A55" s="86"/>
      <c r="B55" s="88"/>
      <c r="C55" s="88"/>
      <c r="D55" s="73"/>
      <c r="E55" s="88"/>
      <c r="F55" s="73"/>
      <c r="G55" s="394"/>
      <c r="H55" s="86"/>
      <c r="I55" s="88"/>
      <c r="J55" s="393">
        <v>44234.0</v>
      </c>
      <c r="K55" s="393">
        <f t="shared" si="1"/>
        <v>44235</v>
      </c>
      <c r="L55" s="394" t="str">
        <f>IFERROR(__xludf.DUMMYFUNCTION("JOIN("""", G55:H55)"),"")</f>
        <v/>
      </c>
      <c r="M55" s="80" t="str">
        <f t="shared" si="2"/>
        <v/>
      </c>
    </row>
    <row r="56">
      <c r="A56" s="86"/>
      <c r="B56" s="88"/>
      <c r="C56" s="88"/>
      <c r="D56" s="73"/>
      <c r="E56" s="88"/>
      <c r="F56" s="73"/>
      <c r="G56" s="394"/>
      <c r="H56" s="86"/>
      <c r="I56" s="88"/>
      <c r="J56" s="393">
        <v>44234.0</v>
      </c>
      <c r="K56" s="393">
        <f t="shared" si="1"/>
        <v>44235</v>
      </c>
      <c r="L56" s="394" t="str">
        <f>IFERROR(__xludf.DUMMYFUNCTION("JOIN("""", G56:H56)"),"")</f>
        <v/>
      </c>
      <c r="M56" s="80" t="str">
        <f t="shared" si="2"/>
        <v/>
      </c>
    </row>
    <row r="57">
      <c r="A57" s="86"/>
      <c r="B57" s="88"/>
      <c r="C57" s="88"/>
      <c r="D57" s="73"/>
      <c r="E57" s="88"/>
      <c r="F57" s="73"/>
      <c r="G57" s="394"/>
      <c r="H57" s="86"/>
      <c r="I57" s="88"/>
      <c r="J57" s="393">
        <v>44234.0</v>
      </c>
      <c r="K57" s="393">
        <f t="shared" si="1"/>
        <v>44235</v>
      </c>
      <c r="L57" s="394" t="str">
        <f>IFERROR(__xludf.DUMMYFUNCTION("JOIN("""", G57:H57)"),"")</f>
        <v/>
      </c>
      <c r="M57" s="80" t="str">
        <f t="shared" si="2"/>
        <v/>
      </c>
    </row>
    <row r="58">
      <c r="A58" s="86"/>
      <c r="B58" s="88"/>
      <c r="C58" s="88"/>
      <c r="D58" s="73"/>
      <c r="E58" s="88"/>
      <c r="F58" s="73"/>
      <c r="G58" s="394"/>
      <c r="H58" s="86"/>
      <c r="I58" s="88"/>
      <c r="J58" s="393">
        <v>44234.0</v>
      </c>
      <c r="K58" s="393">
        <f t="shared" si="1"/>
        <v>44235</v>
      </c>
      <c r="L58" s="394" t="str">
        <f>IFERROR(__xludf.DUMMYFUNCTION("JOIN("""", G58:H58)"),"")</f>
        <v/>
      </c>
      <c r="M58" s="80" t="str">
        <f t="shared" si="2"/>
        <v/>
      </c>
    </row>
    <row r="59">
      <c r="A59" s="86"/>
      <c r="B59" s="88"/>
      <c r="C59" s="88"/>
      <c r="D59" s="73"/>
      <c r="E59" s="88"/>
      <c r="F59" s="73"/>
      <c r="G59" s="394"/>
      <c r="H59" s="86"/>
      <c r="I59" s="88"/>
      <c r="J59" s="393">
        <v>44234.0</v>
      </c>
      <c r="K59" s="393">
        <f t="shared" si="1"/>
        <v>44235</v>
      </c>
      <c r="L59" s="394" t="str">
        <f>IFERROR(__xludf.DUMMYFUNCTION("JOIN("""", G59:H59)"),"")</f>
        <v/>
      </c>
      <c r="M59" s="80" t="str">
        <f t="shared" si="2"/>
        <v/>
      </c>
    </row>
    <row r="60">
      <c r="A60" s="86"/>
      <c r="B60" s="73"/>
      <c r="C60" s="73"/>
      <c r="D60" s="88"/>
      <c r="E60" s="88"/>
      <c r="F60" s="73"/>
      <c r="G60" s="394"/>
      <c r="H60" s="77"/>
      <c r="I60" s="88"/>
      <c r="J60" s="393">
        <v>44283.0</v>
      </c>
      <c r="K60" s="393">
        <f t="shared" si="1"/>
        <v>44284</v>
      </c>
      <c r="L60" s="394" t="str">
        <f>IFERROR(__xludf.DUMMYFUNCTION("JOIN("""", G60:H60)"),"")</f>
        <v/>
      </c>
      <c r="M60" s="80" t="str">
        <f t="shared" si="2"/>
        <v/>
      </c>
    </row>
    <row r="61">
      <c r="A61" s="86"/>
      <c r="B61" s="88"/>
      <c r="C61" s="88"/>
      <c r="D61" s="73"/>
      <c r="E61" s="88"/>
      <c r="F61" s="73"/>
      <c r="G61" s="394"/>
      <c r="H61" s="86"/>
      <c r="I61" s="88"/>
      <c r="J61" s="393">
        <v>44235.0</v>
      </c>
      <c r="K61" s="393">
        <f t="shared" si="1"/>
        <v>44236</v>
      </c>
      <c r="L61" s="394" t="str">
        <f>IFERROR(__xludf.DUMMYFUNCTION("JOIN("""", G61:H61)"),"")</f>
        <v/>
      </c>
      <c r="M61" s="80" t="str">
        <f t="shared" si="2"/>
        <v/>
      </c>
    </row>
    <row r="62">
      <c r="A62" s="86"/>
      <c r="B62" s="88"/>
      <c r="C62" s="88"/>
      <c r="D62" s="73"/>
      <c r="E62" s="88"/>
      <c r="F62" s="73"/>
      <c r="G62" s="394"/>
      <c r="H62" s="86"/>
      <c r="I62" s="88"/>
      <c r="J62" s="393">
        <v>44235.0</v>
      </c>
      <c r="K62" s="393">
        <f t="shared" si="1"/>
        <v>44236</v>
      </c>
      <c r="L62" s="394" t="str">
        <f>IFERROR(__xludf.DUMMYFUNCTION("JOIN("""", G62:H62)"),"")</f>
        <v/>
      </c>
      <c r="M62" s="80" t="str">
        <f t="shared" si="2"/>
        <v/>
      </c>
    </row>
    <row r="63">
      <c r="A63" s="86"/>
      <c r="B63" s="88"/>
      <c r="C63" s="88"/>
      <c r="D63" s="73"/>
      <c r="E63" s="88"/>
      <c r="F63" s="73"/>
      <c r="G63" s="394"/>
      <c r="H63" s="86"/>
      <c r="I63" s="88"/>
      <c r="J63" s="393">
        <v>44235.0</v>
      </c>
      <c r="K63" s="393">
        <f t="shared" si="1"/>
        <v>44236</v>
      </c>
      <c r="L63" s="394" t="str">
        <f>IFERROR(__xludf.DUMMYFUNCTION("JOIN("""", G63:H63)"),"")</f>
        <v/>
      </c>
      <c r="M63" s="80" t="str">
        <f t="shared" si="2"/>
        <v/>
      </c>
    </row>
    <row r="64">
      <c r="A64" s="86"/>
      <c r="B64" s="88"/>
      <c r="C64" s="88"/>
      <c r="D64" s="73"/>
      <c r="E64" s="88"/>
      <c r="F64" s="73"/>
      <c r="G64" s="394"/>
      <c r="H64" s="86"/>
      <c r="I64" s="88"/>
      <c r="J64" s="393">
        <v>44235.0</v>
      </c>
      <c r="K64" s="393">
        <f t="shared" si="1"/>
        <v>44236</v>
      </c>
      <c r="L64" s="394" t="str">
        <f>IFERROR(__xludf.DUMMYFUNCTION("JOIN("""", G64:H64)"),"")</f>
        <v/>
      </c>
      <c r="M64" s="80" t="str">
        <f t="shared" si="2"/>
        <v/>
      </c>
    </row>
    <row r="65">
      <c r="A65" s="86"/>
      <c r="B65" s="88"/>
      <c r="C65" s="88"/>
      <c r="D65" s="73"/>
      <c r="E65" s="88"/>
      <c r="F65" s="73"/>
      <c r="G65" s="394"/>
      <c r="H65" s="86"/>
      <c r="I65" s="88"/>
      <c r="J65" s="393">
        <v>44235.0</v>
      </c>
      <c r="K65" s="393">
        <f t="shared" si="1"/>
        <v>44236</v>
      </c>
      <c r="L65" s="394" t="str">
        <f>IFERROR(__xludf.DUMMYFUNCTION("JOIN("""", G65:H65)"),"")</f>
        <v/>
      </c>
      <c r="M65" s="80" t="str">
        <f t="shared" si="2"/>
        <v/>
      </c>
    </row>
    <row r="66">
      <c r="A66" s="86"/>
      <c r="B66" s="88"/>
      <c r="C66" s="88"/>
      <c r="D66" s="73"/>
      <c r="E66" s="88"/>
      <c r="F66" s="73"/>
      <c r="G66" s="394"/>
      <c r="H66" s="86"/>
      <c r="I66" s="88"/>
      <c r="J66" s="393">
        <v>44235.0</v>
      </c>
      <c r="K66" s="393">
        <f t="shared" si="1"/>
        <v>44236</v>
      </c>
      <c r="L66" s="394" t="str">
        <f>IFERROR(__xludf.DUMMYFUNCTION("JOIN("""", G66:H66)"),"")</f>
        <v/>
      </c>
      <c r="M66" s="80" t="str">
        <f t="shared" si="2"/>
        <v/>
      </c>
    </row>
    <row r="67">
      <c r="A67" s="86"/>
      <c r="B67" s="88"/>
      <c r="C67" s="88"/>
      <c r="D67" s="73"/>
      <c r="E67" s="88"/>
      <c r="F67" s="73"/>
      <c r="G67" s="394"/>
      <c r="H67" s="86"/>
      <c r="I67" s="88"/>
      <c r="J67" s="393">
        <v>44269.0</v>
      </c>
      <c r="K67" s="393">
        <f t="shared" si="1"/>
        <v>44270</v>
      </c>
      <c r="L67" s="394" t="str">
        <f>IFERROR(__xludf.DUMMYFUNCTION("JOIN("""", G67:H67)"),"")</f>
        <v/>
      </c>
      <c r="M67" s="80" t="str">
        <f t="shared" si="2"/>
        <v/>
      </c>
    </row>
    <row r="68">
      <c r="A68" s="86"/>
      <c r="B68" s="88"/>
      <c r="C68" s="88"/>
      <c r="D68" s="73"/>
      <c r="E68" s="88"/>
      <c r="F68" s="73"/>
      <c r="G68" s="394"/>
      <c r="H68" s="86"/>
      <c r="I68" s="88"/>
      <c r="J68" s="393">
        <v>44235.0</v>
      </c>
      <c r="K68" s="393">
        <f t="shared" si="1"/>
        <v>44236</v>
      </c>
      <c r="L68" s="394" t="str">
        <f>IFERROR(__xludf.DUMMYFUNCTION("JOIN("""", G68:H68)"),"")</f>
        <v/>
      </c>
      <c r="M68" s="80" t="str">
        <f t="shared" si="2"/>
        <v/>
      </c>
    </row>
    <row r="69">
      <c r="A69" s="86"/>
      <c r="B69" s="73"/>
      <c r="C69" s="88"/>
      <c r="D69" s="73"/>
      <c r="E69" s="88"/>
      <c r="F69" s="73"/>
      <c r="G69" s="394"/>
      <c r="H69" s="86"/>
      <c r="I69" s="88"/>
      <c r="J69" s="393">
        <v>44235.0</v>
      </c>
      <c r="K69" s="393">
        <f t="shared" si="1"/>
        <v>44236</v>
      </c>
      <c r="L69" s="394" t="str">
        <f>IFERROR(__xludf.DUMMYFUNCTION("JOIN("""", G69:H69)"),"")</f>
        <v/>
      </c>
      <c r="M69" s="80" t="str">
        <f t="shared" si="2"/>
        <v/>
      </c>
    </row>
    <row r="70">
      <c r="A70" s="86"/>
      <c r="B70" s="88"/>
      <c r="C70" s="88"/>
      <c r="D70" s="73"/>
      <c r="E70" s="88"/>
      <c r="F70" s="73"/>
      <c r="G70" s="394"/>
      <c r="H70" s="86"/>
      <c r="I70" s="88"/>
      <c r="J70" s="393">
        <v>44235.0</v>
      </c>
      <c r="K70" s="393">
        <f t="shared" si="1"/>
        <v>44236</v>
      </c>
      <c r="L70" s="394" t="str">
        <f>IFERROR(__xludf.DUMMYFUNCTION("JOIN("""", G70:H70)"),"")</f>
        <v/>
      </c>
      <c r="M70" s="80" t="str">
        <f t="shared" si="2"/>
        <v/>
      </c>
    </row>
    <row r="71">
      <c r="A71" s="86"/>
      <c r="B71" s="88"/>
      <c r="C71" s="88"/>
      <c r="D71" s="73"/>
      <c r="E71" s="88"/>
      <c r="F71" s="73"/>
      <c r="G71" s="394"/>
      <c r="H71" s="86"/>
      <c r="I71" s="88"/>
      <c r="J71" s="393">
        <v>44250.0</v>
      </c>
      <c r="K71" s="393">
        <f t="shared" si="1"/>
        <v>44251</v>
      </c>
      <c r="L71" s="394" t="str">
        <f>IFERROR(__xludf.DUMMYFUNCTION("JOIN("""", G71:H71)"),"")</f>
        <v/>
      </c>
      <c r="M71" s="80" t="str">
        <f t="shared" si="2"/>
        <v/>
      </c>
    </row>
    <row r="72">
      <c r="A72" s="86"/>
      <c r="B72" s="88"/>
      <c r="C72" s="88"/>
      <c r="D72" s="73"/>
      <c r="E72" s="88"/>
      <c r="F72" s="73"/>
      <c r="G72" s="394"/>
      <c r="H72" s="86"/>
      <c r="I72" s="88"/>
      <c r="J72" s="393">
        <v>44236.0</v>
      </c>
      <c r="K72" s="393">
        <f t="shared" si="1"/>
        <v>44237</v>
      </c>
      <c r="L72" s="394" t="str">
        <f>IFERROR(__xludf.DUMMYFUNCTION("JOIN("""", G72:H72)"),"")</f>
        <v/>
      </c>
      <c r="M72" s="80" t="str">
        <f t="shared" si="2"/>
        <v/>
      </c>
    </row>
    <row r="73">
      <c r="A73" s="86"/>
      <c r="B73" s="73"/>
      <c r="C73" s="73"/>
      <c r="D73" s="73"/>
      <c r="E73" s="88"/>
      <c r="F73" s="73"/>
      <c r="G73" s="394"/>
      <c r="H73" s="77"/>
      <c r="I73" s="88"/>
      <c r="J73" s="393">
        <v>44236.0</v>
      </c>
      <c r="K73" s="393">
        <f t="shared" si="1"/>
        <v>44237</v>
      </c>
      <c r="L73" s="394" t="str">
        <f>IFERROR(__xludf.DUMMYFUNCTION("JOIN("""", G73:H73)"),"")</f>
        <v/>
      </c>
      <c r="M73" s="80" t="str">
        <f t="shared" si="2"/>
        <v/>
      </c>
    </row>
    <row r="74">
      <c r="A74" s="86"/>
      <c r="B74" s="73"/>
      <c r="C74" s="73"/>
      <c r="D74" s="73"/>
      <c r="E74" s="88"/>
      <c r="F74" s="73"/>
      <c r="G74" s="394"/>
      <c r="H74" s="77"/>
      <c r="I74" s="88"/>
      <c r="J74" s="393">
        <v>44236.0</v>
      </c>
      <c r="K74" s="393">
        <f t="shared" si="1"/>
        <v>44237</v>
      </c>
      <c r="L74" s="394" t="str">
        <f>IFERROR(__xludf.DUMMYFUNCTION("JOIN("""", G74:H74)"),"")</f>
        <v/>
      </c>
      <c r="M74" s="80" t="str">
        <f t="shared" si="2"/>
        <v/>
      </c>
    </row>
    <row r="75">
      <c r="A75" s="86"/>
      <c r="B75" s="73"/>
      <c r="C75" s="73"/>
      <c r="D75" s="73"/>
      <c r="E75" s="88"/>
      <c r="F75" s="73"/>
      <c r="G75" s="394"/>
      <c r="H75" s="77"/>
      <c r="I75" s="88"/>
      <c r="J75" s="393">
        <v>44236.0</v>
      </c>
      <c r="K75" s="393">
        <f t="shared" si="1"/>
        <v>44237</v>
      </c>
      <c r="L75" s="394" t="str">
        <f>IFERROR(__xludf.DUMMYFUNCTION("JOIN("""", G75:H75)"),"")</f>
        <v/>
      </c>
      <c r="M75" s="80" t="str">
        <f t="shared" si="2"/>
        <v/>
      </c>
    </row>
    <row r="76">
      <c r="A76" s="86"/>
      <c r="B76" s="73"/>
      <c r="C76" s="73"/>
      <c r="D76" s="73"/>
      <c r="E76" s="88"/>
      <c r="F76" s="73"/>
      <c r="G76" s="394"/>
      <c r="H76" s="77"/>
      <c r="I76" s="88"/>
      <c r="J76" s="393">
        <v>44236.0</v>
      </c>
      <c r="K76" s="393">
        <f t="shared" si="1"/>
        <v>44237</v>
      </c>
      <c r="L76" s="394" t="str">
        <f>IFERROR(__xludf.DUMMYFUNCTION("JOIN("""", G76:H76)"),"")</f>
        <v/>
      </c>
      <c r="M76" s="80" t="str">
        <f t="shared" si="2"/>
        <v/>
      </c>
    </row>
    <row r="77">
      <c r="A77" s="86"/>
      <c r="B77" s="73"/>
      <c r="C77" s="73"/>
      <c r="D77" s="73"/>
      <c r="E77" s="88"/>
      <c r="F77" s="73"/>
      <c r="G77" s="394"/>
      <c r="H77" s="77"/>
      <c r="I77" s="88"/>
      <c r="J77" s="393">
        <v>44236.0</v>
      </c>
      <c r="K77" s="393">
        <f t="shared" si="1"/>
        <v>44237</v>
      </c>
      <c r="L77" s="394" t="str">
        <f>IFERROR(__xludf.DUMMYFUNCTION("JOIN("""", G77:H77)"),"")</f>
        <v/>
      </c>
      <c r="M77" s="80" t="str">
        <f t="shared" si="2"/>
        <v/>
      </c>
    </row>
    <row r="78">
      <c r="A78" s="86"/>
      <c r="B78" s="73"/>
      <c r="C78" s="73"/>
      <c r="D78" s="73"/>
      <c r="E78" s="88"/>
      <c r="F78" s="73"/>
      <c r="G78" s="394"/>
      <c r="H78" s="77"/>
      <c r="I78" s="88"/>
      <c r="J78" s="393">
        <v>44236.0</v>
      </c>
      <c r="K78" s="393">
        <f t="shared" si="1"/>
        <v>44237</v>
      </c>
      <c r="L78" s="394" t="str">
        <f>IFERROR(__xludf.DUMMYFUNCTION("JOIN("""", G78:H78)"),"")</f>
        <v/>
      </c>
      <c r="M78" s="80" t="str">
        <f t="shared" si="2"/>
        <v/>
      </c>
    </row>
    <row r="79">
      <c r="A79" s="86"/>
      <c r="B79" s="73"/>
      <c r="C79" s="73"/>
      <c r="D79" s="73"/>
      <c r="E79" s="88"/>
      <c r="F79" s="73"/>
      <c r="G79" s="394"/>
      <c r="H79" s="77"/>
      <c r="I79" s="88"/>
      <c r="J79" s="393">
        <v>44236.0</v>
      </c>
      <c r="K79" s="393">
        <f t="shared" si="1"/>
        <v>44237</v>
      </c>
      <c r="L79" s="394" t="str">
        <f>IFERROR(__xludf.DUMMYFUNCTION("JOIN("""", G79:H79)"),"")</f>
        <v/>
      </c>
      <c r="M79" s="80" t="str">
        <f t="shared" si="2"/>
        <v/>
      </c>
    </row>
    <row r="80">
      <c r="A80" s="86"/>
      <c r="B80" s="73"/>
      <c r="C80" s="73"/>
      <c r="D80" s="73"/>
      <c r="E80" s="88"/>
      <c r="F80" s="73"/>
      <c r="G80" s="394"/>
      <c r="H80" s="77"/>
      <c r="I80" s="88"/>
      <c r="J80" s="393">
        <v>44236.0</v>
      </c>
      <c r="K80" s="393">
        <f t="shared" si="1"/>
        <v>44237</v>
      </c>
      <c r="L80" s="394" t="str">
        <f>IFERROR(__xludf.DUMMYFUNCTION("JOIN("""", G80:H80)"),"")</f>
        <v/>
      </c>
      <c r="M80" s="80" t="str">
        <f t="shared" si="2"/>
        <v/>
      </c>
    </row>
    <row r="81">
      <c r="A81" s="86"/>
      <c r="B81" s="73"/>
      <c r="C81" s="73"/>
      <c r="D81" s="73"/>
      <c r="E81" s="88"/>
      <c r="F81" s="73"/>
      <c r="G81" s="394"/>
      <c r="H81" s="77"/>
      <c r="I81" s="88"/>
      <c r="J81" s="393">
        <v>44236.0</v>
      </c>
      <c r="K81" s="393">
        <f t="shared" si="1"/>
        <v>44237</v>
      </c>
      <c r="L81" s="394" t="str">
        <f>IFERROR(__xludf.DUMMYFUNCTION("JOIN("""", G81:H81)"),"")</f>
        <v/>
      </c>
      <c r="M81" s="80" t="str">
        <f t="shared" si="2"/>
        <v/>
      </c>
    </row>
    <row r="82">
      <c r="A82" s="86"/>
      <c r="B82" s="73"/>
      <c r="C82" s="73"/>
      <c r="D82" s="73"/>
      <c r="E82" s="88"/>
      <c r="F82" s="73"/>
      <c r="G82" s="394"/>
      <c r="H82" s="77"/>
      <c r="I82" s="88"/>
      <c r="J82" s="393">
        <v>44253.0</v>
      </c>
      <c r="K82" s="393">
        <f t="shared" si="1"/>
        <v>44254</v>
      </c>
      <c r="L82" s="394" t="str">
        <f>IFERROR(__xludf.DUMMYFUNCTION("JOIN("""", G82:H82)"),"")</f>
        <v/>
      </c>
      <c r="M82" s="80" t="str">
        <f t="shared" si="2"/>
        <v/>
      </c>
    </row>
    <row r="83">
      <c r="A83" s="86"/>
      <c r="B83" s="73"/>
      <c r="C83" s="73"/>
      <c r="D83" s="73"/>
      <c r="E83" s="88"/>
      <c r="F83" s="73"/>
      <c r="G83" s="394"/>
      <c r="H83" s="77"/>
      <c r="I83" s="88"/>
      <c r="J83" s="393">
        <v>44236.0</v>
      </c>
      <c r="K83" s="393">
        <f t="shared" si="1"/>
        <v>44237</v>
      </c>
      <c r="L83" s="394" t="str">
        <f>IFERROR(__xludf.DUMMYFUNCTION("JOIN("""", G83:H83)"),"")</f>
        <v/>
      </c>
      <c r="M83" s="80" t="str">
        <f t="shared" si="2"/>
        <v/>
      </c>
    </row>
    <row r="84">
      <c r="A84" s="86"/>
      <c r="B84" s="73"/>
      <c r="C84" s="73"/>
      <c r="D84" s="73"/>
      <c r="E84" s="88"/>
      <c r="F84" s="73"/>
      <c r="G84" s="394"/>
      <c r="H84" s="77"/>
      <c r="I84" s="88"/>
      <c r="J84" s="393">
        <v>44236.0</v>
      </c>
      <c r="K84" s="393">
        <f t="shared" si="1"/>
        <v>44237</v>
      </c>
      <c r="L84" s="394" t="str">
        <f>IFERROR(__xludf.DUMMYFUNCTION("JOIN("""", G84:H84)"),"")</f>
        <v/>
      </c>
      <c r="M84" s="80" t="str">
        <f t="shared" si="2"/>
        <v/>
      </c>
    </row>
    <row r="85">
      <c r="A85" s="86"/>
      <c r="B85" s="73"/>
      <c r="C85" s="73"/>
      <c r="D85" s="73"/>
      <c r="E85" s="88"/>
      <c r="F85" s="73"/>
      <c r="G85" s="394"/>
      <c r="H85" s="77"/>
      <c r="I85" s="88"/>
      <c r="J85" s="393">
        <v>44237.0</v>
      </c>
      <c r="K85" s="393">
        <f t="shared" si="1"/>
        <v>44238</v>
      </c>
      <c r="L85" s="394" t="str">
        <f>IFERROR(__xludf.DUMMYFUNCTION("JOIN("""", G85:H85)"),"")</f>
        <v/>
      </c>
      <c r="M85" s="80" t="str">
        <f t="shared" si="2"/>
        <v/>
      </c>
    </row>
    <row r="86">
      <c r="A86" s="86"/>
      <c r="B86" s="73"/>
      <c r="C86" s="73"/>
      <c r="D86" s="73"/>
      <c r="E86" s="88"/>
      <c r="F86" s="73"/>
      <c r="G86" s="394"/>
      <c r="H86" s="77"/>
      <c r="I86" s="88"/>
      <c r="J86" s="393">
        <v>44237.0</v>
      </c>
      <c r="K86" s="393">
        <f t="shared" si="1"/>
        <v>44238</v>
      </c>
      <c r="L86" s="394" t="str">
        <f>IFERROR(__xludf.DUMMYFUNCTION("JOIN("""", G86:H86)"),"")</f>
        <v/>
      </c>
      <c r="M86" s="80" t="str">
        <f t="shared" si="2"/>
        <v/>
      </c>
    </row>
    <row r="87">
      <c r="A87" s="86"/>
      <c r="B87" s="73"/>
      <c r="C87" s="73"/>
      <c r="D87" s="73"/>
      <c r="E87" s="88"/>
      <c r="F87" s="73"/>
      <c r="G87" s="394"/>
      <c r="H87" s="77"/>
      <c r="I87" s="88"/>
      <c r="J87" s="393">
        <v>44237.0</v>
      </c>
      <c r="K87" s="393">
        <f t="shared" si="1"/>
        <v>44238</v>
      </c>
      <c r="L87" s="394" t="str">
        <f>IFERROR(__xludf.DUMMYFUNCTION("JOIN("""", G87:H87)"),"")</f>
        <v/>
      </c>
      <c r="M87" s="80" t="str">
        <f t="shared" si="2"/>
        <v/>
      </c>
    </row>
    <row r="88">
      <c r="A88" s="86"/>
      <c r="B88" s="73"/>
      <c r="C88" s="73"/>
      <c r="D88" s="73"/>
      <c r="E88" s="88"/>
      <c r="F88" s="73"/>
      <c r="G88" s="394"/>
      <c r="H88" s="77"/>
      <c r="I88" s="88"/>
      <c r="J88" s="393">
        <v>44237.0</v>
      </c>
      <c r="K88" s="393">
        <f t="shared" si="1"/>
        <v>44238</v>
      </c>
      <c r="L88" s="394" t="str">
        <f>IFERROR(__xludf.DUMMYFUNCTION("JOIN("""", G88:H88)"),"")</f>
        <v/>
      </c>
      <c r="M88" s="80" t="str">
        <f t="shared" si="2"/>
        <v/>
      </c>
    </row>
    <row r="89">
      <c r="A89" s="86"/>
      <c r="B89" s="73"/>
      <c r="C89" s="73"/>
      <c r="D89" s="73"/>
      <c r="E89" s="88"/>
      <c r="F89" s="73"/>
      <c r="G89" s="394"/>
      <c r="H89" s="77"/>
      <c r="I89" s="88"/>
      <c r="J89" s="393">
        <v>44237.0</v>
      </c>
      <c r="K89" s="393">
        <f t="shared" si="1"/>
        <v>44238</v>
      </c>
      <c r="L89" s="394" t="str">
        <f>IFERROR(__xludf.DUMMYFUNCTION("JOIN("""", G89:H89)"),"")</f>
        <v/>
      </c>
      <c r="M89" s="80" t="str">
        <f t="shared" si="2"/>
        <v/>
      </c>
    </row>
    <row r="90">
      <c r="A90" s="86"/>
      <c r="B90" s="73"/>
      <c r="C90" s="73"/>
      <c r="D90" s="73"/>
      <c r="E90" s="88"/>
      <c r="F90" s="73"/>
      <c r="G90" s="394"/>
      <c r="H90" s="77"/>
      <c r="I90" s="88"/>
      <c r="J90" s="393">
        <v>44240.0</v>
      </c>
      <c r="K90" s="393">
        <f t="shared" si="1"/>
        <v>44241</v>
      </c>
      <c r="L90" s="394" t="str">
        <f>IFERROR(__xludf.DUMMYFUNCTION("JOIN("""", G90:H90)"),"")</f>
        <v/>
      </c>
      <c r="M90" s="80" t="str">
        <f t="shared" si="2"/>
        <v/>
      </c>
    </row>
    <row r="91">
      <c r="A91" s="86"/>
      <c r="B91" s="73"/>
      <c r="C91" s="73"/>
      <c r="D91" s="73"/>
      <c r="E91" s="88"/>
      <c r="F91" s="73"/>
      <c r="G91" s="394"/>
      <c r="H91" s="77"/>
      <c r="I91" s="88"/>
      <c r="J91" s="393">
        <v>44237.0</v>
      </c>
      <c r="K91" s="393">
        <f t="shared" si="1"/>
        <v>44238</v>
      </c>
      <c r="L91" s="394" t="str">
        <f>IFERROR(__xludf.DUMMYFUNCTION("JOIN("""", G91:H91)"),"")</f>
        <v/>
      </c>
      <c r="M91" s="80" t="str">
        <f t="shared" si="2"/>
        <v/>
      </c>
    </row>
    <row r="92">
      <c r="A92" s="86"/>
      <c r="B92" s="73"/>
      <c r="C92" s="73"/>
      <c r="D92" s="73"/>
      <c r="E92" s="88"/>
      <c r="F92" s="73"/>
      <c r="G92" s="394"/>
      <c r="H92" s="77"/>
      <c r="I92" s="88"/>
      <c r="J92" s="393">
        <v>44237.0</v>
      </c>
      <c r="K92" s="393">
        <f t="shared" si="1"/>
        <v>44238</v>
      </c>
      <c r="L92" s="394" t="str">
        <f>IFERROR(__xludf.DUMMYFUNCTION("JOIN("""", G92:H92)"),"")</f>
        <v/>
      </c>
      <c r="M92" s="80" t="str">
        <f t="shared" si="2"/>
        <v/>
      </c>
    </row>
    <row r="93">
      <c r="A93" s="86"/>
      <c r="B93" s="73"/>
      <c r="C93" s="73"/>
      <c r="D93" s="73"/>
      <c r="E93" s="88"/>
      <c r="F93" s="73"/>
      <c r="G93" s="394"/>
      <c r="H93" s="77"/>
      <c r="I93" s="88"/>
      <c r="J93" s="393">
        <v>44237.0</v>
      </c>
      <c r="K93" s="393">
        <f t="shared" si="1"/>
        <v>44238</v>
      </c>
      <c r="L93" s="394" t="str">
        <f>IFERROR(__xludf.DUMMYFUNCTION("JOIN("""", G93:H93)"),"")</f>
        <v/>
      </c>
      <c r="M93" s="80" t="str">
        <f t="shared" si="2"/>
        <v/>
      </c>
    </row>
    <row r="94">
      <c r="A94" s="86"/>
      <c r="B94" s="73"/>
      <c r="C94" s="73"/>
      <c r="D94" s="73"/>
      <c r="E94" s="88"/>
      <c r="F94" s="73"/>
      <c r="G94" s="394"/>
      <c r="H94" s="77"/>
      <c r="I94" s="88"/>
      <c r="J94" s="393">
        <v>44237.0</v>
      </c>
      <c r="K94" s="393">
        <f t="shared" si="1"/>
        <v>44238</v>
      </c>
      <c r="L94" s="394" t="str">
        <f>IFERROR(__xludf.DUMMYFUNCTION("JOIN("""", G94:H94)"),"")</f>
        <v/>
      </c>
      <c r="M94" s="80" t="str">
        <f t="shared" si="2"/>
        <v/>
      </c>
    </row>
    <row r="95">
      <c r="A95" s="86"/>
      <c r="B95" s="73"/>
      <c r="C95" s="73"/>
      <c r="D95" s="73"/>
      <c r="E95" s="88"/>
      <c r="F95" s="73"/>
      <c r="G95" s="394"/>
      <c r="H95" s="77"/>
      <c r="I95" s="88"/>
      <c r="J95" s="393">
        <v>44237.0</v>
      </c>
      <c r="K95" s="393">
        <f t="shared" si="1"/>
        <v>44238</v>
      </c>
      <c r="L95" s="394" t="str">
        <f>IFERROR(__xludf.DUMMYFUNCTION("JOIN("""", G95:H95)"),"")</f>
        <v/>
      </c>
      <c r="M95" s="80" t="str">
        <f t="shared" si="2"/>
        <v/>
      </c>
    </row>
    <row r="96">
      <c r="A96" s="86"/>
      <c r="B96" s="73"/>
      <c r="C96" s="73"/>
      <c r="D96" s="73"/>
      <c r="E96" s="88"/>
      <c r="F96" s="73"/>
      <c r="G96" s="394"/>
      <c r="H96" s="77"/>
      <c r="I96" s="88"/>
      <c r="J96" s="393">
        <v>44237.0</v>
      </c>
      <c r="K96" s="393">
        <f t="shared" si="1"/>
        <v>44238</v>
      </c>
      <c r="L96" s="394" t="str">
        <f>IFERROR(__xludf.DUMMYFUNCTION("JOIN("""", G96:H96)"),"")</f>
        <v/>
      </c>
      <c r="M96" s="80" t="str">
        <f t="shared" si="2"/>
        <v/>
      </c>
    </row>
    <row r="97">
      <c r="A97" s="86"/>
      <c r="B97" s="73"/>
      <c r="C97" s="73"/>
      <c r="D97" s="73"/>
      <c r="E97" s="88"/>
      <c r="F97" s="73"/>
      <c r="G97" s="394"/>
      <c r="H97" s="77"/>
      <c r="I97" s="88"/>
      <c r="J97" s="393">
        <v>44237.0</v>
      </c>
      <c r="K97" s="393">
        <f t="shared" si="1"/>
        <v>44238</v>
      </c>
      <c r="L97" s="394" t="str">
        <f>IFERROR(__xludf.DUMMYFUNCTION("JOIN("""", G97:H97)"),"")</f>
        <v/>
      </c>
      <c r="M97" s="80" t="str">
        <f t="shared" si="2"/>
        <v/>
      </c>
    </row>
    <row r="98">
      <c r="A98" s="86"/>
      <c r="B98" s="73"/>
      <c r="C98" s="73"/>
      <c r="D98" s="73"/>
      <c r="E98" s="88"/>
      <c r="F98" s="73"/>
      <c r="G98" s="394"/>
      <c r="H98" s="77"/>
      <c r="I98" s="88"/>
      <c r="J98" s="393">
        <v>44237.0</v>
      </c>
      <c r="K98" s="393">
        <f t="shared" si="1"/>
        <v>44238</v>
      </c>
      <c r="L98" s="394" t="str">
        <f>IFERROR(__xludf.DUMMYFUNCTION("JOIN("""", G98:H98)"),"")</f>
        <v/>
      </c>
      <c r="M98" s="80" t="str">
        <f t="shared" si="2"/>
        <v/>
      </c>
    </row>
    <row r="99">
      <c r="A99" s="86"/>
      <c r="B99" s="73"/>
      <c r="C99" s="73"/>
      <c r="D99" s="73"/>
      <c r="E99" s="88"/>
      <c r="F99" s="73"/>
      <c r="G99" s="394"/>
      <c r="H99" s="77"/>
      <c r="I99" s="88"/>
      <c r="J99" s="393">
        <v>44237.0</v>
      </c>
      <c r="K99" s="393">
        <f t="shared" si="1"/>
        <v>44238</v>
      </c>
      <c r="L99" s="394" t="str">
        <f>IFERROR(__xludf.DUMMYFUNCTION("JOIN("""", G99:H99)"),"")</f>
        <v/>
      </c>
      <c r="M99" s="80" t="str">
        <f t="shared" si="2"/>
        <v/>
      </c>
    </row>
    <row r="100">
      <c r="A100" s="86"/>
      <c r="B100" s="73"/>
      <c r="C100" s="73"/>
      <c r="D100" s="73"/>
      <c r="E100" s="88"/>
      <c r="F100" s="73"/>
      <c r="G100" s="394"/>
      <c r="H100" s="77"/>
      <c r="I100" s="88"/>
      <c r="J100" s="393">
        <v>44237.0</v>
      </c>
      <c r="K100" s="393">
        <f t="shared" si="1"/>
        <v>44238</v>
      </c>
      <c r="L100" s="394" t="str">
        <f>IFERROR(__xludf.DUMMYFUNCTION("JOIN("""", G100:H100)"),"")</f>
        <v/>
      </c>
      <c r="M100" s="80" t="str">
        <f t="shared" si="2"/>
        <v/>
      </c>
    </row>
    <row r="101">
      <c r="A101" s="86"/>
      <c r="B101" s="73"/>
      <c r="C101" s="73"/>
      <c r="D101" s="73"/>
      <c r="E101" s="88"/>
      <c r="F101" s="73"/>
      <c r="G101" s="394"/>
      <c r="H101" s="77"/>
      <c r="I101" s="88"/>
      <c r="J101" s="393">
        <v>44237.0</v>
      </c>
      <c r="K101" s="393">
        <f t="shared" si="1"/>
        <v>44238</v>
      </c>
      <c r="L101" s="394" t="str">
        <f>IFERROR(__xludf.DUMMYFUNCTION("JOIN("""", G101:H101)"),"")</f>
        <v/>
      </c>
      <c r="M101" s="80" t="str">
        <f t="shared" si="2"/>
        <v/>
      </c>
    </row>
    <row r="102">
      <c r="A102" s="86"/>
      <c r="B102" s="73"/>
      <c r="C102" s="73"/>
      <c r="D102" s="73"/>
      <c r="E102" s="88"/>
      <c r="F102" s="73"/>
      <c r="G102" s="394"/>
      <c r="H102" s="77"/>
      <c r="I102" s="88"/>
      <c r="J102" s="393">
        <v>44237.0</v>
      </c>
      <c r="K102" s="393">
        <f t="shared" si="1"/>
        <v>44238</v>
      </c>
      <c r="L102" s="394" t="str">
        <f>IFERROR(__xludf.DUMMYFUNCTION("JOIN("""", G102:H102)"),"")</f>
        <v/>
      </c>
      <c r="M102" s="80" t="str">
        <f t="shared" si="2"/>
        <v/>
      </c>
    </row>
    <row r="103">
      <c r="A103" s="86"/>
      <c r="B103" s="73"/>
      <c r="C103" s="73"/>
      <c r="D103" s="73"/>
      <c r="E103" s="88"/>
      <c r="F103" s="73"/>
      <c r="G103" s="394"/>
      <c r="H103" s="77"/>
      <c r="I103" s="88"/>
      <c r="J103" s="393">
        <v>44237.0</v>
      </c>
      <c r="K103" s="393">
        <f t="shared" si="1"/>
        <v>44238</v>
      </c>
      <c r="L103" s="394" t="str">
        <f>IFERROR(__xludf.DUMMYFUNCTION("JOIN("""", G103:H103)"),"")</f>
        <v/>
      </c>
      <c r="M103" s="80" t="str">
        <f t="shared" si="2"/>
        <v/>
      </c>
    </row>
    <row r="104">
      <c r="A104" s="86"/>
      <c r="B104" s="73"/>
      <c r="C104" s="73"/>
      <c r="D104" s="73"/>
      <c r="E104" s="88"/>
      <c r="F104" s="73"/>
      <c r="G104" s="394"/>
      <c r="H104" s="77"/>
      <c r="I104" s="88"/>
      <c r="J104" s="393">
        <v>44238.0</v>
      </c>
      <c r="K104" s="393">
        <f t="shared" si="1"/>
        <v>44239</v>
      </c>
      <c r="L104" s="394" t="str">
        <f>IFERROR(__xludf.DUMMYFUNCTION("JOIN("""", G104:H104)"),"")</f>
        <v/>
      </c>
      <c r="M104" s="80" t="str">
        <f t="shared" si="2"/>
        <v/>
      </c>
    </row>
    <row r="105">
      <c r="A105" s="86"/>
      <c r="B105" s="73"/>
      <c r="C105" s="73"/>
      <c r="D105" s="73"/>
      <c r="E105" s="88"/>
      <c r="F105" s="73"/>
      <c r="G105" s="394"/>
      <c r="H105" s="77"/>
      <c r="I105" s="88"/>
      <c r="J105" s="393">
        <v>44238.0</v>
      </c>
      <c r="K105" s="393">
        <f t="shared" si="1"/>
        <v>44239</v>
      </c>
      <c r="L105" s="394" t="str">
        <f>IFERROR(__xludf.DUMMYFUNCTION("JOIN("""", G105:H105)"),"")</f>
        <v/>
      </c>
      <c r="M105" s="80" t="str">
        <f t="shared" si="2"/>
        <v/>
      </c>
    </row>
    <row r="106">
      <c r="A106" s="86"/>
      <c r="B106" s="73"/>
      <c r="C106" s="73"/>
      <c r="D106" s="73"/>
      <c r="E106" s="88"/>
      <c r="F106" s="73"/>
      <c r="G106" s="394"/>
      <c r="H106" s="77"/>
      <c r="I106" s="88"/>
      <c r="J106" s="393">
        <v>44238.0</v>
      </c>
      <c r="K106" s="393">
        <f t="shared" si="1"/>
        <v>44239</v>
      </c>
      <c r="L106" s="394" t="str">
        <f>IFERROR(__xludf.DUMMYFUNCTION("JOIN("""", G106:H106)"),"")</f>
        <v/>
      </c>
      <c r="M106" s="80" t="str">
        <f t="shared" si="2"/>
        <v/>
      </c>
    </row>
    <row r="107">
      <c r="A107" s="86"/>
      <c r="B107" s="73"/>
      <c r="C107" s="73"/>
      <c r="D107" s="73"/>
      <c r="E107" s="88"/>
      <c r="F107" s="73"/>
      <c r="G107" s="394"/>
      <c r="H107" s="77"/>
      <c r="I107" s="88"/>
      <c r="J107" s="393">
        <v>44238.0</v>
      </c>
      <c r="K107" s="393">
        <f t="shared" si="1"/>
        <v>44239</v>
      </c>
      <c r="L107" s="394" t="str">
        <f>IFERROR(__xludf.DUMMYFUNCTION("JOIN("""", G107:H107)"),"")</f>
        <v/>
      </c>
      <c r="M107" s="80" t="str">
        <f t="shared" si="2"/>
        <v/>
      </c>
    </row>
    <row r="108">
      <c r="A108" s="86"/>
      <c r="B108" s="73"/>
      <c r="C108" s="73"/>
      <c r="D108" s="73"/>
      <c r="E108" s="88"/>
      <c r="F108" s="73"/>
      <c r="G108" s="394"/>
      <c r="H108" s="77"/>
      <c r="I108" s="88"/>
      <c r="J108" s="393">
        <v>44238.0</v>
      </c>
      <c r="K108" s="393">
        <f t="shared" si="1"/>
        <v>44239</v>
      </c>
      <c r="L108" s="394" t="str">
        <f>IFERROR(__xludf.DUMMYFUNCTION("JOIN("""", G108:H108)"),"")</f>
        <v/>
      </c>
      <c r="M108" s="80" t="str">
        <f t="shared" si="2"/>
        <v/>
      </c>
    </row>
    <row r="109">
      <c r="A109" s="86"/>
      <c r="B109" s="73"/>
      <c r="C109" s="73"/>
      <c r="D109" s="73"/>
      <c r="E109" s="88"/>
      <c r="F109" s="73"/>
      <c r="G109" s="394"/>
      <c r="H109" s="77"/>
      <c r="I109" s="88"/>
      <c r="J109" s="393">
        <v>44238.0</v>
      </c>
      <c r="K109" s="393">
        <f t="shared" si="1"/>
        <v>44239</v>
      </c>
      <c r="L109" s="394" t="str">
        <f>IFERROR(__xludf.DUMMYFUNCTION("JOIN("""", G109:H109)"),"")</f>
        <v/>
      </c>
      <c r="M109" s="80" t="str">
        <f t="shared" si="2"/>
        <v/>
      </c>
    </row>
    <row r="110">
      <c r="A110" s="86"/>
      <c r="B110" s="73"/>
      <c r="C110" s="73"/>
      <c r="D110" s="73"/>
      <c r="E110" s="88"/>
      <c r="F110" s="73"/>
      <c r="G110" s="394"/>
      <c r="H110" s="77"/>
      <c r="I110" s="88"/>
      <c r="J110" s="393">
        <v>44238.0</v>
      </c>
      <c r="K110" s="393">
        <f t="shared" si="1"/>
        <v>44239</v>
      </c>
      <c r="L110" s="394" t="str">
        <f>IFERROR(__xludf.DUMMYFUNCTION("JOIN("""", G110:H110)"),"")</f>
        <v/>
      </c>
      <c r="M110" s="80" t="str">
        <f t="shared" si="2"/>
        <v/>
      </c>
    </row>
    <row r="111">
      <c r="A111" s="86"/>
      <c r="B111" s="73"/>
      <c r="C111" s="73"/>
      <c r="D111" s="73"/>
      <c r="E111" s="88"/>
      <c r="F111" s="73"/>
      <c r="G111" s="394"/>
      <c r="H111" s="77"/>
      <c r="I111" s="88"/>
      <c r="J111" s="393">
        <v>44238.0</v>
      </c>
      <c r="K111" s="393">
        <f t="shared" si="1"/>
        <v>44239</v>
      </c>
      <c r="L111" s="394" t="str">
        <f>IFERROR(__xludf.DUMMYFUNCTION("JOIN("""", G111:H111)"),"")</f>
        <v/>
      </c>
      <c r="M111" s="80" t="str">
        <f t="shared" si="2"/>
        <v/>
      </c>
    </row>
    <row r="112">
      <c r="A112" s="86"/>
      <c r="B112" s="73"/>
      <c r="C112" s="73"/>
      <c r="D112" s="73"/>
      <c r="E112" s="88"/>
      <c r="F112" s="73"/>
      <c r="G112" s="394"/>
      <c r="H112" s="77"/>
      <c r="I112" s="88"/>
      <c r="J112" s="393">
        <v>44238.0</v>
      </c>
      <c r="K112" s="393">
        <f t="shared" si="1"/>
        <v>44239</v>
      </c>
      <c r="L112" s="394" t="str">
        <f>IFERROR(__xludf.DUMMYFUNCTION("JOIN("""", G112:H112)"),"")</f>
        <v/>
      </c>
      <c r="M112" s="80" t="str">
        <f t="shared" si="2"/>
        <v/>
      </c>
    </row>
    <row r="113">
      <c r="A113" s="86"/>
      <c r="B113" s="73"/>
      <c r="C113" s="73"/>
      <c r="D113" s="73"/>
      <c r="E113" s="88"/>
      <c r="F113" s="73"/>
      <c r="G113" s="394"/>
      <c r="H113" s="77"/>
      <c r="I113" s="88"/>
      <c r="J113" s="393">
        <v>44238.0</v>
      </c>
      <c r="K113" s="393">
        <f t="shared" si="1"/>
        <v>44239</v>
      </c>
      <c r="L113" s="394" t="str">
        <f>IFERROR(__xludf.DUMMYFUNCTION("JOIN("""", G113:H113)"),"")</f>
        <v/>
      </c>
      <c r="M113" s="80" t="str">
        <f t="shared" si="2"/>
        <v/>
      </c>
    </row>
    <row r="114">
      <c r="A114" s="86"/>
      <c r="B114" s="73"/>
      <c r="C114" s="73"/>
      <c r="D114" s="73"/>
      <c r="E114" s="88"/>
      <c r="F114" s="73"/>
      <c r="G114" s="394"/>
      <c r="H114" s="77"/>
      <c r="I114" s="88"/>
      <c r="J114" s="393">
        <v>44238.0</v>
      </c>
      <c r="K114" s="393">
        <f t="shared" si="1"/>
        <v>44239</v>
      </c>
      <c r="L114" s="394" t="str">
        <f>IFERROR(__xludf.DUMMYFUNCTION("JOIN("""", G114:H114)"),"")</f>
        <v/>
      </c>
      <c r="M114" s="80" t="str">
        <f t="shared" si="2"/>
        <v/>
      </c>
    </row>
    <row r="115">
      <c r="A115" s="86"/>
      <c r="B115" s="73"/>
      <c r="C115" s="73"/>
      <c r="D115" s="73"/>
      <c r="E115" s="88"/>
      <c r="F115" s="73"/>
      <c r="G115" s="394"/>
      <c r="H115" s="77"/>
      <c r="I115" s="88"/>
      <c r="J115" s="393">
        <v>44238.0</v>
      </c>
      <c r="K115" s="393">
        <f t="shared" si="1"/>
        <v>44239</v>
      </c>
      <c r="L115" s="394" t="str">
        <f>IFERROR(__xludf.DUMMYFUNCTION("JOIN("""", G115:H115)"),"")</f>
        <v/>
      </c>
      <c r="M115" s="80" t="str">
        <f t="shared" si="2"/>
        <v/>
      </c>
    </row>
    <row r="116">
      <c r="A116" s="86"/>
      <c r="B116" s="73"/>
      <c r="C116" s="73"/>
      <c r="D116" s="73"/>
      <c r="E116" s="88"/>
      <c r="F116" s="73"/>
      <c r="G116" s="394"/>
      <c r="H116" s="77"/>
      <c r="I116" s="88"/>
      <c r="J116" s="393">
        <v>44238.0</v>
      </c>
      <c r="K116" s="393">
        <f t="shared" si="1"/>
        <v>44239</v>
      </c>
      <c r="L116" s="394" t="str">
        <f>IFERROR(__xludf.DUMMYFUNCTION("JOIN("""", G116:H116)"),"")</f>
        <v/>
      </c>
      <c r="M116" s="80" t="str">
        <f t="shared" si="2"/>
        <v/>
      </c>
    </row>
    <row r="117">
      <c r="A117" s="86"/>
      <c r="B117" s="73"/>
      <c r="C117" s="73"/>
      <c r="D117" s="73"/>
      <c r="E117" s="88"/>
      <c r="F117" s="73"/>
      <c r="G117" s="394"/>
      <c r="H117" s="77"/>
      <c r="I117" s="88"/>
      <c r="J117" s="393">
        <v>44238.0</v>
      </c>
      <c r="K117" s="393">
        <f t="shared" si="1"/>
        <v>44239</v>
      </c>
      <c r="L117" s="394" t="str">
        <f>IFERROR(__xludf.DUMMYFUNCTION("JOIN("""", G117:H117)"),"")</f>
        <v/>
      </c>
      <c r="M117" s="80" t="str">
        <f t="shared" si="2"/>
        <v/>
      </c>
    </row>
    <row r="118">
      <c r="A118" s="86"/>
      <c r="B118" s="73"/>
      <c r="C118" s="73"/>
      <c r="D118" s="73"/>
      <c r="E118" s="88"/>
      <c r="F118" s="73"/>
      <c r="G118" s="394"/>
      <c r="H118" s="77"/>
      <c r="I118" s="88"/>
      <c r="J118" s="393">
        <v>44238.0</v>
      </c>
      <c r="K118" s="393">
        <f t="shared" si="1"/>
        <v>44239</v>
      </c>
      <c r="L118" s="394" t="str">
        <f>IFERROR(__xludf.DUMMYFUNCTION("JOIN("""", G118:H118)"),"")</f>
        <v/>
      </c>
      <c r="M118" s="80" t="str">
        <f t="shared" si="2"/>
        <v/>
      </c>
    </row>
    <row r="119">
      <c r="A119" s="86"/>
      <c r="B119" s="73"/>
      <c r="C119" s="73"/>
      <c r="D119" s="73"/>
      <c r="E119" s="88"/>
      <c r="F119" s="73"/>
      <c r="G119" s="394"/>
      <c r="H119" s="77"/>
      <c r="I119" s="88"/>
      <c r="J119" s="393">
        <v>44238.0</v>
      </c>
      <c r="K119" s="393">
        <f t="shared" si="1"/>
        <v>44239</v>
      </c>
      <c r="L119" s="394" t="str">
        <f>IFERROR(__xludf.DUMMYFUNCTION("JOIN("""", G119:H119)"),"")</f>
        <v/>
      </c>
      <c r="M119" s="80" t="str">
        <f t="shared" si="2"/>
        <v/>
      </c>
    </row>
    <row r="120">
      <c r="A120" s="86"/>
      <c r="B120" s="73"/>
      <c r="C120" s="73"/>
      <c r="D120" s="73"/>
      <c r="E120" s="88"/>
      <c r="F120" s="73"/>
      <c r="G120" s="394"/>
      <c r="H120" s="77"/>
      <c r="I120" s="88"/>
      <c r="J120" s="393">
        <v>44238.0</v>
      </c>
      <c r="K120" s="393">
        <f t="shared" si="1"/>
        <v>44239</v>
      </c>
      <c r="L120" s="394" t="str">
        <f>IFERROR(__xludf.DUMMYFUNCTION("JOIN("""", G120:H120)"),"")</f>
        <v/>
      </c>
      <c r="M120" s="80" t="str">
        <f t="shared" si="2"/>
        <v/>
      </c>
    </row>
    <row r="121">
      <c r="A121" s="86"/>
      <c r="B121" s="73"/>
      <c r="C121" s="73"/>
      <c r="D121" s="73"/>
      <c r="E121" s="88"/>
      <c r="F121" s="73"/>
      <c r="G121" s="394"/>
      <c r="H121" s="77"/>
      <c r="I121" s="88"/>
      <c r="J121" s="393">
        <v>44239.0</v>
      </c>
      <c r="K121" s="393">
        <f t="shared" si="1"/>
        <v>44240</v>
      </c>
      <c r="L121" s="394" t="str">
        <f>IFERROR(__xludf.DUMMYFUNCTION("JOIN("""", G121:H121)"),"")</f>
        <v/>
      </c>
      <c r="M121" s="80" t="str">
        <f t="shared" si="2"/>
        <v/>
      </c>
    </row>
    <row r="122">
      <c r="A122" s="86"/>
      <c r="B122" s="73"/>
      <c r="C122" s="73"/>
      <c r="D122" s="73"/>
      <c r="E122" s="88"/>
      <c r="F122" s="73"/>
      <c r="G122" s="394"/>
      <c r="H122" s="77"/>
      <c r="I122" s="88"/>
      <c r="J122" s="393">
        <v>44239.0</v>
      </c>
      <c r="K122" s="393">
        <f t="shared" si="1"/>
        <v>44240</v>
      </c>
      <c r="L122" s="394" t="str">
        <f>IFERROR(__xludf.DUMMYFUNCTION("JOIN("""", G122:H122)"),"")</f>
        <v/>
      </c>
      <c r="M122" s="80" t="str">
        <f t="shared" si="2"/>
        <v/>
      </c>
    </row>
    <row r="123">
      <c r="A123" s="86"/>
      <c r="B123" s="73"/>
      <c r="C123" s="73"/>
      <c r="D123" s="73"/>
      <c r="E123" s="88"/>
      <c r="F123" s="73"/>
      <c r="G123" s="394"/>
      <c r="H123" s="77"/>
      <c r="I123" s="88"/>
      <c r="J123" s="393">
        <v>44239.0</v>
      </c>
      <c r="K123" s="393">
        <f t="shared" si="1"/>
        <v>44240</v>
      </c>
      <c r="L123" s="394" t="str">
        <f>IFERROR(__xludf.DUMMYFUNCTION("JOIN("""", G123:H123)"),"")</f>
        <v/>
      </c>
      <c r="M123" s="80" t="str">
        <f t="shared" si="2"/>
        <v/>
      </c>
    </row>
    <row r="124">
      <c r="A124" s="86"/>
      <c r="B124" s="73"/>
      <c r="C124" s="73"/>
      <c r="D124" s="73"/>
      <c r="E124" s="88"/>
      <c r="F124" s="73"/>
      <c r="G124" s="394"/>
      <c r="H124" s="77"/>
      <c r="I124" s="88"/>
      <c r="J124" s="393">
        <v>44239.0</v>
      </c>
      <c r="K124" s="393">
        <f t="shared" si="1"/>
        <v>44240</v>
      </c>
      <c r="L124" s="394" t="str">
        <f>IFERROR(__xludf.DUMMYFUNCTION("JOIN("""", G124:H124)"),"")</f>
        <v/>
      </c>
      <c r="M124" s="80" t="str">
        <f t="shared" si="2"/>
        <v/>
      </c>
    </row>
    <row r="125">
      <c r="A125" s="86"/>
      <c r="B125" s="73"/>
      <c r="C125" s="73"/>
      <c r="D125" s="73"/>
      <c r="E125" s="88"/>
      <c r="F125" s="73"/>
      <c r="G125" s="394"/>
      <c r="H125" s="77"/>
      <c r="I125" s="88"/>
      <c r="J125" s="393">
        <v>44239.0</v>
      </c>
      <c r="K125" s="393">
        <f t="shared" si="1"/>
        <v>44240</v>
      </c>
      <c r="L125" s="394" t="str">
        <f>IFERROR(__xludf.DUMMYFUNCTION("JOIN("""", G125:H125)"),"")</f>
        <v/>
      </c>
      <c r="M125" s="80" t="str">
        <f t="shared" si="2"/>
        <v/>
      </c>
    </row>
    <row r="126">
      <c r="A126" s="86"/>
      <c r="B126" s="73"/>
      <c r="C126" s="73"/>
      <c r="D126" s="73"/>
      <c r="E126" s="88"/>
      <c r="F126" s="73"/>
      <c r="G126" s="394"/>
      <c r="H126" s="77"/>
      <c r="I126" s="88"/>
      <c r="J126" s="393">
        <v>44239.0</v>
      </c>
      <c r="K126" s="393">
        <f t="shared" si="1"/>
        <v>44240</v>
      </c>
      <c r="L126" s="394" t="str">
        <f>IFERROR(__xludf.DUMMYFUNCTION("JOIN("""", G126:H126)"),"")</f>
        <v/>
      </c>
      <c r="M126" s="80" t="str">
        <f t="shared" si="2"/>
        <v/>
      </c>
    </row>
    <row r="127">
      <c r="A127" s="86"/>
      <c r="B127" s="73"/>
      <c r="C127" s="73"/>
      <c r="D127" s="73"/>
      <c r="E127" s="88"/>
      <c r="F127" s="73"/>
      <c r="G127" s="394"/>
      <c r="H127" s="77"/>
      <c r="I127" s="88"/>
      <c r="J127" s="393" t="s">
        <v>419</v>
      </c>
      <c r="K127" s="393">
        <f t="shared" si="1"/>
        <v>-620137</v>
      </c>
      <c r="L127" s="394" t="str">
        <f>IFERROR(__xludf.DUMMYFUNCTION("JOIN("""", G127:H127)"),"")</f>
        <v/>
      </c>
      <c r="M127" s="80" t="str">
        <f t="shared" si="2"/>
        <v/>
      </c>
    </row>
    <row r="128">
      <c r="A128" s="86"/>
      <c r="B128" s="73"/>
      <c r="C128" s="73"/>
      <c r="D128" s="73"/>
      <c r="E128" s="88"/>
      <c r="F128" s="73"/>
      <c r="G128" s="394"/>
      <c r="H128" s="77"/>
      <c r="I128" s="88"/>
      <c r="J128" s="393">
        <v>44240.0</v>
      </c>
      <c r="K128" s="393">
        <f t="shared" si="1"/>
        <v>44241</v>
      </c>
      <c r="L128" s="394" t="str">
        <f>IFERROR(__xludf.DUMMYFUNCTION("JOIN("""", G128:H128)"),"")</f>
        <v/>
      </c>
      <c r="M128" s="80" t="str">
        <f t="shared" si="2"/>
        <v/>
      </c>
    </row>
    <row r="129">
      <c r="A129" s="86"/>
      <c r="B129" s="73"/>
      <c r="C129" s="73"/>
      <c r="D129" s="73"/>
      <c r="E129" s="88"/>
      <c r="F129" s="73"/>
      <c r="G129" s="394"/>
      <c r="H129" s="77"/>
      <c r="I129" s="88"/>
      <c r="J129" s="393">
        <v>44240.0</v>
      </c>
      <c r="K129" s="393">
        <f t="shared" si="1"/>
        <v>44241</v>
      </c>
      <c r="L129" s="394" t="str">
        <f>IFERROR(__xludf.DUMMYFUNCTION("JOIN("""", G129:H129)"),"")</f>
        <v/>
      </c>
      <c r="M129" s="80" t="str">
        <f t="shared" si="2"/>
        <v/>
      </c>
    </row>
    <row r="130">
      <c r="A130" s="86"/>
      <c r="B130" s="73"/>
      <c r="C130" s="73"/>
      <c r="D130" s="73"/>
      <c r="E130" s="88"/>
      <c r="F130" s="73"/>
      <c r="G130" s="394"/>
      <c r="H130" s="77"/>
      <c r="I130" s="88"/>
      <c r="J130" s="393">
        <v>44240.0</v>
      </c>
      <c r="K130" s="393">
        <f t="shared" si="1"/>
        <v>44241</v>
      </c>
      <c r="L130" s="394" t="str">
        <f>IFERROR(__xludf.DUMMYFUNCTION("JOIN("""", G130:H130)"),"")</f>
        <v/>
      </c>
      <c r="M130" s="80" t="str">
        <f t="shared" si="2"/>
        <v/>
      </c>
    </row>
    <row r="131">
      <c r="A131" s="86"/>
      <c r="B131" s="73"/>
      <c r="C131" s="73"/>
      <c r="D131" s="73"/>
      <c r="E131" s="88"/>
      <c r="F131" s="73"/>
      <c r="G131" s="394"/>
      <c r="H131" s="77"/>
      <c r="I131" s="88"/>
      <c r="J131" s="393">
        <v>44240.0</v>
      </c>
      <c r="K131" s="393">
        <f t="shared" si="1"/>
        <v>44241</v>
      </c>
      <c r="L131" s="394" t="str">
        <f>IFERROR(__xludf.DUMMYFUNCTION("JOIN("""", G131:H131)"),"")</f>
        <v/>
      </c>
      <c r="M131" s="80" t="str">
        <f t="shared" si="2"/>
        <v/>
      </c>
    </row>
    <row r="132">
      <c r="A132" s="86"/>
      <c r="B132" s="73"/>
      <c r="C132" s="73"/>
      <c r="D132" s="73"/>
      <c r="E132" s="88"/>
      <c r="F132" s="73"/>
      <c r="G132" s="394"/>
      <c r="H132" s="77"/>
      <c r="I132" s="88"/>
      <c r="J132" s="393">
        <v>44240.0</v>
      </c>
      <c r="K132" s="393">
        <f t="shared" si="1"/>
        <v>44241</v>
      </c>
      <c r="L132" s="394" t="str">
        <f>IFERROR(__xludf.DUMMYFUNCTION("JOIN("""", G132:H132)"),"")</f>
        <v/>
      </c>
      <c r="M132" s="80" t="str">
        <f t="shared" si="2"/>
        <v/>
      </c>
    </row>
    <row r="133">
      <c r="A133" s="86"/>
      <c r="B133" s="73"/>
      <c r="C133" s="73"/>
      <c r="D133" s="73"/>
      <c r="E133" s="88"/>
      <c r="F133" s="73"/>
      <c r="G133" s="394"/>
      <c r="H133" s="77"/>
      <c r="I133" s="88"/>
      <c r="J133" s="393">
        <v>44240.0</v>
      </c>
      <c r="K133" s="393">
        <f t="shared" si="1"/>
        <v>44241</v>
      </c>
      <c r="L133" s="394" t="str">
        <f>IFERROR(__xludf.DUMMYFUNCTION("JOIN("""", G133:H133)"),"")</f>
        <v/>
      </c>
      <c r="M133" s="80" t="str">
        <f t="shared" si="2"/>
        <v/>
      </c>
    </row>
    <row r="134">
      <c r="A134" s="86"/>
      <c r="B134" s="73"/>
      <c r="C134" s="73"/>
      <c r="D134" s="73"/>
      <c r="E134" s="88"/>
      <c r="F134" s="73"/>
      <c r="G134" s="394"/>
      <c r="H134" s="77"/>
      <c r="I134" s="88"/>
      <c r="J134" s="393">
        <v>44268.0</v>
      </c>
      <c r="K134" s="393">
        <f t="shared" si="1"/>
        <v>44269</v>
      </c>
      <c r="L134" s="394" t="str">
        <f>IFERROR(__xludf.DUMMYFUNCTION("JOIN("""", G134:H134)"),"")</f>
        <v/>
      </c>
      <c r="M134" s="80" t="str">
        <f t="shared" si="2"/>
        <v/>
      </c>
    </row>
    <row r="135">
      <c r="A135" s="86"/>
      <c r="B135" s="73"/>
      <c r="C135" s="73"/>
      <c r="D135" s="73"/>
      <c r="E135" s="88"/>
      <c r="F135" s="73"/>
      <c r="G135" s="394"/>
      <c r="H135" s="77"/>
      <c r="I135" s="88"/>
      <c r="J135" s="393">
        <v>44240.0</v>
      </c>
      <c r="K135" s="393">
        <f t="shared" si="1"/>
        <v>44241</v>
      </c>
      <c r="L135" s="394" t="str">
        <f>IFERROR(__xludf.DUMMYFUNCTION("JOIN("""", G135:H135)"),"")</f>
        <v/>
      </c>
      <c r="M135" s="80" t="str">
        <f t="shared" si="2"/>
        <v/>
      </c>
    </row>
    <row r="136">
      <c r="A136" s="86"/>
      <c r="B136" s="73"/>
      <c r="C136" s="73"/>
      <c r="D136" s="73"/>
      <c r="E136" s="88"/>
      <c r="F136" s="73"/>
      <c r="G136" s="394"/>
      <c r="H136" s="77"/>
      <c r="I136" s="88"/>
      <c r="J136" s="393">
        <v>44240.0</v>
      </c>
      <c r="K136" s="393">
        <f t="shared" si="1"/>
        <v>44241</v>
      </c>
      <c r="L136" s="394" t="str">
        <f>IFERROR(__xludf.DUMMYFUNCTION("JOIN("""", G136:H136)"),"")</f>
        <v/>
      </c>
      <c r="M136" s="80" t="str">
        <f t="shared" si="2"/>
        <v/>
      </c>
    </row>
    <row r="137">
      <c r="A137" s="86"/>
      <c r="B137" s="73"/>
      <c r="C137" s="73"/>
      <c r="D137" s="73"/>
      <c r="E137" s="88"/>
      <c r="F137" s="73"/>
      <c r="G137" s="394"/>
      <c r="H137" s="77"/>
      <c r="I137" s="88"/>
      <c r="J137" s="393">
        <v>44240.0</v>
      </c>
      <c r="K137" s="393">
        <f t="shared" si="1"/>
        <v>44241</v>
      </c>
      <c r="L137" s="394" t="str">
        <f>IFERROR(__xludf.DUMMYFUNCTION("JOIN("""", G137:H137)"),"")</f>
        <v/>
      </c>
      <c r="M137" s="80" t="str">
        <f t="shared" si="2"/>
        <v/>
      </c>
    </row>
    <row r="138">
      <c r="A138" s="86"/>
      <c r="B138" s="73"/>
      <c r="C138" s="73"/>
      <c r="D138" s="73"/>
      <c r="E138" s="88"/>
      <c r="F138" s="73"/>
      <c r="G138" s="394"/>
      <c r="H138" s="77"/>
      <c r="I138" s="88"/>
      <c r="J138" s="393">
        <v>44277.0</v>
      </c>
      <c r="K138" s="393">
        <f t="shared" si="1"/>
        <v>44278</v>
      </c>
      <c r="L138" s="394" t="str">
        <f>IFERROR(__xludf.DUMMYFUNCTION("JOIN("""", G138:H138)"),"")</f>
        <v/>
      </c>
      <c r="M138" s="80" t="str">
        <f t="shared" si="2"/>
        <v/>
      </c>
    </row>
    <row r="139">
      <c r="A139" s="86"/>
      <c r="B139" s="73"/>
      <c r="C139" s="73"/>
      <c r="D139" s="73"/>
      <c r="E139" s="88"/>
      <c r="F139" s="73"/>
      <c r="G139" s="394"/>
      <c r="H139" s="77"/>
      <c r="I139" s="88"/>
      <c r="J139" s="393">
        <v>44240.0</v>
      </c>
      <c r="K139" s="393">
        <f t="shared" si="1"/>
        <v>44241</v>
      </c>
      <c r="L139" s="394" t="str">
        <f>IFERROR(__xludf.DUMMYFUNCTION("JOIN("""", G139:H139)"),"")</f>
        <v/>
      </c>
      <c r="M139" s="80" t="str">
        <f t="shared" si="2"/>
        <v/>
      </c>
    </row>
    <row r="140">
      <c r="A140" s="86"/>
      <c r="B140" s="73"/>
      <c r="C140" s="73"/>
      <c r="D140" s="73"/>
      <c r="E140" s="88"/>
      <c r="F140" s="73"/>
      <c r="G140" s="394"/>
      <c r="H140" s="77"/>
      <c r="I140" s="88"/>
      <c r="J140" s="393">
        <v>44240.0</v>
      </c>
      <c r="K140" s="393">
        <f t="shared" si="1"/>
        <v>44241</v>
      </c>
      <c r="L140" s="394" t="str">
        <f>IFERROR(__xludf.DUMMYFUNCTION("JOIN("""", G140:H140)"),"")</f>
        <v/>
      </c>
      <c r="M140" s="80" t="str">
        <f t="shared" si="2"/>
        <v/>
      </c>
    </row>
    <row r="141">
      <c r="A141" s="86"/>
      <c r="B141" s="73"/>
      <c r="C141" s="73"/>
      <c r="D141" s="73"/>
      <c r="E141" s="88"/>
      <c r="F141" s="73"/>
      <c r="G141" s="394"/>
      <c r="H141" s="77"/>
      <c r="I141" s="88"/>
      <c r="J141" s="393">
        <v>44240.0</v>
      </c>
      <c r="K141" s="393">
        <f t="shared" si="1"/>
        <v>44241</v>
      </c>
      <c r="L141" s="394" t="str">
        <f>IFERROR(__xludf.DUMMYFUNCTION("JOIN("""", G141:H141)"),"")</f>
        <v/>
      </c>
      <c r="M141" s="80" t="str">
        <f t="shared" si="2"/>
        <v/>
      </c>
    </row>
    <row r="142">
      <c r="A142" s="86"/>
      <c r="B142" s="73"/>
      <c r="C142" s="73"/>
      <c r="D142" s="73"/>
      <c r="E142" s="88"/>
      <c r="F142" s="73"/>
      <c r="G142" s="394"/>
      <c r="H142" s="77"/>
      <c r="I142" s="88"/>
      <c r="J142" s="393">
        <v>44240.0</v>
      </c>
      <c r="K142" s="393">
        <f t="shared" si="1"/>
        <v>44241</v>
      </c>
      <c r="L142" s="394" t="str">
        <f>IFERROR(__xludf.DUMMYFUNCTION("JOIN("""", G142:H142)"),"")</f>
        <v/>
      </c>
      <c r="M142" s="80" t="str">
        <f t="shared" si="2"/>
        <v/>
      </c>
    </row>
    <row r="143">
      <c r="A143" s="86"/>
      <c r="B143" s="73"/>
      <c r="C143" s="73"/>
      <c r="D143" s="73"/>
      <c r="E143" s="88"/>
      <c r="F143" s="73"/>
      <c r="G143" s="394"/>
      <c r="H143" s="77"/>
      <c r="I143" s="88"/>
      <c r="J143" s="393">
        <v>44241.0</v>
      </c>
      <c r="K143" s="393">
        <f t="shared" si="1"/>
        <v>44242</v>
      </c>
      <c r="L143" s="394" t="str">
        <f>IFERROR(__xludf.DUMMYFUNCTION("JOIN("""", G143:H143)"),"")</f>
        <v/>
      </c>
      <c r="M143" s="80" t="str">
        <f t="shared" si="2"/>
        <v/>
      </c>
    </row>
    <row r="144">
      <c r="A144" s="86"/>
      <c r="B144" s="73"/>
      <c r="C144" s="73"/>
      <c r="D144" s="73"/>
      <c r="E144" s="88"/>
      <c r="F144" s="73"/>
      <c r="G144" s="394"/>
      <c r="H144" s="77"/>
      <c r="I144" s="88"/>
      <c r="J144" s="393">
        <v>44241.0</v>
      </c>
      <c r="K144" s="393">
        <f t="shared" si="1"/>
        <v>44242</v>
      </c>
      <c r="L144" s="394" t="str">
        <f>IFERROR(__xludf.DUMMYFUNCTION("JOIN("""", G144:H144)"),"")</f>
        <v/>
      </c>
      <c r="M144" s="80" t="str">
        <f t="shared" si="2"/>
        <v/>
      </c>
    </row>
    <row r="145">
      <c r="A145" s="86"/>
      <c r="B145" s="73"/>
      <c r="C145" s="73"/>
      <c r="D145" s="73"/>
      <c r="E145" s="88"/>
      <c r="F145" s="73"/>
      <c r="G145" s="394"/>
      <c r="H145" s="77"/>
      <c r="I145" s="88"/>
      <c r="J145" s="393">
        <v>44277.0</v>
      </c>
      <c r="K145" s="393">
        <f t="shared" si="1"/>
        <v>44278</v>
      </c>
      <c r="L145" s="394" t="str">
        <f>IFERROR(__xludf.DUMMYFUNCTION("JOIN("""", G145:H145)"),"")</f>
        <v/>
      </c>
      <c r="M145" s="80" t="str">
        <f t="shared" si="2"/>
        <v/>
      </c>
    </row>
    <row r="146">
      <c r="A146" s="86"/>
      <c r="B146" s="73"/>
      <c r="C146" s="73"/>
      <c r="D146" s="73"/>
      <c r="E146" s="88"/>
      <c r="F146" s="73"/>
      <c r="G146" s="394"/>
      <c r="H146" s="77"/>
      <c r="I146" s="88"/>
      <c r="J146" s="393">
        <v>44241.0</v>
      </c>
      <c r="K146" s="393">
        <f t="shared" si="1"/>
        <v>44242</v>
      </c>
      <c r="L146" s="394" t="str">
        <f>IFERROR(__xludf.DUMMYFUNCTION("JOIN("""", G146:H146)"),"")</f>
        <v/>
      </c>
      <c r="M146" s="80" t="str">
        <f t="shared" si="2"/>
        <v/>
      </c>
    </row>
    <row r="147">
      <c r="A147" s="86"/>
      <c r="B147" s="73"/>
      <c r="C147" s="73"/>
      <c r="D147" s="73"/>
      <c r="E147" s="88"/>
      <c r="F147" s="73"/>
      <c r="G147" s="394"/>
      <c r="H147" s="77"/>
      <c r="I147" s="88"/>
      <c r="J147" s="393">
        <v>44241.0</v>
      </c>
      <c r="K147" s="393">
        <f t="shared" si="1"/>
        <v>44242</v>
      </c>
      <c r="L147" s="394" t="str">
        <f>IFERROR(__xludf.DUMMYFUNCTION("JOIN("""", G147:H147)"),"")</f>
        <v/>
      </c>
      <c r="M147" s="80" t="str">
        <f t="shared" si="2"/>
        <v/>
      </c>
    </row>
    <row r="148">
      <c r="A148" s="86"/>
      <c r="B148" s="73"/>
      <c r="C148" s="73"/>
      <c r="D148" s="73"/>
      <c r="E148" s="88"/>
      <c r="F148" s="73"/>
      <c r="G148" s="394"/>
      <c r="H148" s="77"/>
      <c r="I148" s="88"/>
      <c r="J148" s="393">
        <v>44241.0</v>
      </c>
      <c r="K148" s="393">
        <f t="shared" si="1"/>
        <v>44242</v>
      </c>
      <c r="L148" s="394" t="str">
        <f>IFERROR(__xludf.DUMMYFUNCTION("JOIN("""", G148:H148)"),"")</f>
        <v/>
      </c>
      <c r="M148" s="80" t="str">
        <f t="shared" si="2"/>
        <v/>
      </c>
    </row>
    <row r="149">
      <c r="A149" s="86"/>
      <c r="B149" s="73"/>
      <c r="C149" s="73"/>
      <c r="D149" s="73"/>
      <c r="E149" s="88"/>
      <c r="F149" s="73"/>
      <c r="G149" s="394"/>
      <c r="H149" s="77"/>
      <c r="I149" s="88"/>
      <c r="J149" s="393">
        <v>44241.0</v>
      </c>
      <c r="K149" s="393">
        <f t="shared" si="1"/>
        <v>44242</v>
      </c>
      <c r="L149" s="394" t="str">
        <f>IFERROR(__xludf.DUMMYFUNCTION("JOIN("""", G149:H149)"),"")</f>
        <v/>
      </c>
      <c r="M149" s="80" t="str">
        <f t="shared" si="2"/>
        <v/>
      </c>
    </row>
    <row r="150">
      <c r="A150" s="86"/>
      <c r="B150" s="73"/>
      <c r="C150" s="73"/>
      <c r="D150" s="73"/>
      <c r="E150" s="88"/>
      <c r="F150" s="73"/>
      <c r="G150" s="394"/>
      <c r="H150" s="77"/>
      <c r="I150" s="88"/>
      <c r="J150" s="393">
        <v>44242.0</v>
      </c>
      <c r="K150" s="393">
        <f t="shared" si="1"/>
        <v>44243</v>
      </c>
      <c r="L150" s="394" t="str">
        <f>IFERROR(__xludf.DUMMYFUNCTION("JOIN("""", G150:H150)"),"")</f>
        <v/>
      </c>
      <c r="M150" s="80" t="str">
        <f t="shared" si="2"/>
        <v/>
      </c>
    </row>
    <row r="151">
      <c r="A151" s="86"/>
      <c r="B151" s="73"/>
      <c r="C151" s="73"/>
      <c r="D151" s="73"/>
      <c r="E151" s="88"/>
      <c r="F151" s="73"/>
      <c r="G151" s="394"/>
      <c r="H151" s="77"/>
      <c r="I151" s="88"/>
      <c r="J151" s="393">
        <v>44242.0</v>
      </c>
      <c r="K151" s="393">
        <f t="shared" si="1"/>
        <v>44243</v>
      </c>
      <c r="L151" s="394" t="str">
        <f>IFERROR(__xludf.DUMMYFUNCTION("JOIN("""", G151:H151)"),"")</f>
        <v/>
      </c>
      <c r="M151" s="80" t="str">
        <f t="shared" si="2"/>
        <v/>
      </c>
    </row>
    <row r="152">
      <c r="A152" s="86"/>
      <c r="B152" s="73"/>
      <c r="C152" s="73"/>
      <c r="D152" s="73"/>
      <c r="E152" s="88"/>
      <c r="F152" s="73"/>
      <c r="G152" s="394"/>
      <c r="H152" s="77"/>
      <c r="I152" s="88"/>
      <c r="J152" s="393">
        <v>44242.0</v>
      </c>
      <c r="K152" s="393">
        <f t="shared" si="1"/>
        <v>44243</v>
      </c>
      <c r="L152" s="394" t="str">
        <f>IFERROR(__xludf.DUMMYFUNCTION("JOIN("""", G152:H152)"),"")</f>
        <v/>
      </c>
      <c r="M152" s="80" t="str">
        <f t="shared" si="2"/>
        <v/>
      </c>
    </row>
    <row r="153">
      <c r="A153" s="86"/>
      <c r="B153" s="73"/>
      <c r="C153" s="73"/>
      <c r="D153" s="73"/>
      <c r="E153" s="88"/>
      <c r="F153" s="73"/>
      <c r="G153" s="394"/>
      <c r="H153" s="77"/>
      <c r="I153" s="88"/>
      <c r="J153" s="393">
        <v>44242.0</v>
      </c>
      <c r="K153" s="393">
        <f t="shared" si="1"/>
        <v>44243</v>
      </c>
      <c r="L153" s="394" t="str">
        <f>IFERROR(__xludf.DUMMYFUNCTION("JOIN("""", G153:H153)"),"")</f>
        <v/>
      </c>
      <c r="M153" s="80" t="str">
        <f t="shared" si="2"/>
        <v/>
      </c>
    </row>
    <row r="154">
      <c r="A154" s="86"/>
      <c r="B154" s="73"/>
      <c r="C154" s="73"/>
      <c r="D154" s="73"/>
      <c r="E154" s="88"/>
      <c r="F154" s="73"/>
      <c r="G154" s="394"/>
      <c r="H154" s="77"/>
      <c r="I154" s="88"/>
      <c r="J154" s="393">
        <v>44242.0</v>
      </c>
      <c r="K154" s="393">
        <f t="shared" si="1"/>
        <v>44243</v>
      </c>
      <c r="L154" s="394" t="str">
        <f>IFERROR(__xludf.DUMMYFUNCTION("JOIN("""", G154:H154)"),"")</f>
        <v/>
      </c>
      <c r="M154" s="80" t="str">
        <f t="shared" si="2"/>
        <v/>
      </c>
    </row>
    <row r="155">
      <c r="A155" s="86"/>
      <c r="B155" s="73"/>
      <c r="C155" s="73"/>
      <c r="D155" s="73"/>
      <c r="E155" s="88"/>
      <c r="F155" s="73"/>
      <c r="G155" s="394"/>
      <c r="H155" s="77"/>
      <c r="I155" s="88"/>
      <c r="J155" s="393">
        <v>44242.0</v>
      </c>
      <c r="K155" s="393">
        <f t="shared" si="1"/>
        <v>44243</v>
      </c>
      <c r="L155" s="394" t="str">
        <f>IFERROR(__xludf.DUMMYFUNCTION("JOIN("""", G155:H155)"),"")</f>
        <v/>
      </c>
      <c r="M155" s="80" t="str">
        <f t="shared" si="2"/>
        <v/>
      </c>
    </row>
    <row r="156">
      <c r="A156" s="86"/>
      <c r="B156" s="73"/>
      <c r="C156" s="73"/>
      <c r="D156" s="73"/>
      <c r="E156" s="88"/>
      <c r="F156" s="73"/>
      <c r="G156" s="394"/>
      <c r="H156" s="77"/>
      <c r="I156" s="88"/>
      <c r="J156" s="393">
        <v>44242.0</v>
      </c>
      <c r="K156" s="393">
        <f t="shared" si="1"/>
        <v>44243</v>
      </c>
      <c r="L156" s="394" t="str">
        <f>IFERROR(__xludf.DUMMYFUNCTION("JOIN("""", G156:H156)"),"")</f>
        <v/>
      </c>
      <c r="M156" s="80" t="str">
        <f t="shared" si="2"/>
        <v/>
      </c>
    </row>
    <row r="157">
      <c r="A157" s="86"/>
      <c r="B157" s="73"/>
      <c r="C157" s="73"/>
      <c r="D157" s="73"/>
      <c r="E157" s="88"/>
      <c r="F157" s="73"/>
      <c r="G157" s="394"/>
      <c r="H157" s="77"/>
      <c r="I157" s="88"/>
      <c r="J157" s="393">
        <v>44242.0</v>
      </c>
      <c r="K157" s="393">
        <f t="shared" si="1"/>
        <v>44243</v>
      </c>
      <c r="L157" s="394" t="str">
        <f>IFERROR(__xludf.DUMMYFUNCTION("JOIN("""", G157:H157)"),"")</f>
        <v/>
      </c>
      <c r="M157" s="80" t="str">
        <f t="shared" si="2"/>
        <v/>
      </c>
    </row>
    <row r="158">
      <c r="A158" s="86"/>
      <c r="B158" s="73"/>
      <c r="C158" s="73"/>
      <c r="D158" s="73"/>
      <c r="E158" s="88"/>
      <c r="F158" s="73"/>
      <c r="G158" s="394"/>
      <c r="H158" s="77"/>
      <c r="I158" s="88"/>
      <c r="J158" s="393">
        <v>44242.0</v>
      </c>
      <c r="K158" s="393">
        <f t="shared" si="1"/>
        <v>44243</v>
      </c>
      <c r="L158" s="394" t="str">
        <f>IFERROR(__xludf.DUMMYFUNCTION("JOIN("""", G158:H158)"),"")</f>
        <v/>
      </c>
      <c r="M158" s="80" t="str">
        <f t="shared" si="2"/>
        <v/>
      </c>
    </row>
    <row r="159">
      <c r="A159" s="86"/>
      <c r="B159" s="73"/>
      <c r="C159" s="73"/>
      <c r="D159" s="73"/>
      <c r="E159" s="88"/>
      <c r="F159" s="73"/>
      <c r="G159" s="394"/>
      <c r="H159" s="77"/>
      <c r="I159" s="88"/>
      <c r="J159" s="393">
        <v>44242.0</v>
      </c>
      <c r="K159" s="393">
        <f t="shared" si="1"/>
        <v>44243</v>
      </c>
      <c r="L159" s="394" t="str">
        <f>IFERROR(__xludf.DUMMYFUNCTION("JOIN("""", G159:H159)"),"")</f>
        <v/>
      </c>
      <c r="M159" s="80" t="str">
        <f t="shared" si="2"/>
        <v/>
      </c>
    </row>
    <row r="160">
      <c r="A160" s="86"/>
      <c r="B160" s="73"/>
      <c r="C160" s="73"/>
      <c r="D160" s="73"/>
      <c r="E160" s="88"/>
      <c r="F160" s="73"/>
      <c r="G160" s="394"/>
      <c r="H160" s="77"/>
      <c r="I160" s="88"/>
      <c r="J160" s="393">
        <v>44242.0</v>
      </c>
      <c r="K160" s="393">
        <f t="shared" si="1"/>
        <v>44243</v>
      </c>
      <c r="L160" s="394" t="str">
        <f>IFERROR(__xludf.DUMMYFUNCTION("JOIN("""", G160:H160)"),"")</f>
        <v/>
      </c>
      <c r="M160" s="80" t="str">
        <f t="shared" si="2"/>
        <v/>
      </c>
    </row>
    <row r="161">
      <c r="A161" s="86"/>
      <c r="B161" s="73"/>
      <c r="C161" s="73"/>
      <c r="D161" s="73"/>
      <c r="E161" s="88"/>
      <c r="F161" s="73"/>
      <c r="G161" s="394"/>
      <c r="H161" s="77"/>
      <c r="I161" s="88"/>
      <c r="J161" s="393">
        <v>44242.0</v>
      </c>
      <c r="K161" s="393">
        <f t="shared" si="1"/>
        <v>44243</v>
      </c>
      <c r="L161" s="394" t="str">
        <f>IFERROR(__xludf.DUMMYFUNCTION("JOIN("""", G161:H161)"),"")</f>
        <v/>
      </c>
      <c r="M161" s="80" t="str">
        <f t="shared" si="2"/>
        <v/>
      </c>
    </row>
    <row r="162">
      <c r="A162" s="86"/>
      <c r="B162" s="73"/>
      <c r="C162" s="73"/>
      <c r="D162" s="73"/>
      <c r="E162" s="88"/>
      <c r="F162" s="73"/>
      <c r="G162" s="394"/>
      <c r="H162" s="77"/>
      <c r="I162" s="88"/>
      <c r="J162" s="393">
        <v>44242.0</v>
      </c>
      <c r="K162" s="393">
        <f t="shared" si="1"/>
        <v>44243</v>
      </c>
      <c r="L162" s="394" t="str">
        <f>IFERROR(__xludf.DUMMYFUNCTION("JOIN("""", G162:H162)"),"")</f>
        <v/>
      </c>
      <c r="M162" s="80" t="str">
        <f t="shared" si="2"/>
        <v/>
      </c>
    </row>
    <row r="163">
      <c r="A163" s="86"/>
      <c r="B163" s="73"/>
      <c r="C163" s="73"/>
      <c r="D163" s="73"/>
      <c r="E163" s="88"/>
      <c r="F163" s="73"/>
      <c r="G163" s="394"/>
      <c r="H163" s="77"/>
      <c r="I163" s="88"/>
      <c r="J163" s="393">
        <v>44242.0</v>
      </c>
      <c r="K163" s="393">
        <f t="shared" si="1"/>
        <v>44243</v>
      </c>
      <c r="L163" s="394" t="str">
        <f>IFERROR(__xludf.DUMMYFUNCTION("JOIN("""", G163:H163)"),"")</f>
        <v/>
      </c>
      <c r="M163" s="80" t="str">
        <f t="shared" si="2"/>
        <v/>
      </c>
    </row>
    <row r="164">
      <c r="A164" s="86"/>
      <c r="B164" s="73"/>
      <c r="C164" s="73"/>
      <c r="D164" s="73"/>
      <c r="E164" s="88"/>
      <c r="F164" s="73"/>
      <c r="G164" s="394"/>
      <c r="H164" s="77"/>
      <c r="I164" s="88"/>
      <c r="J164" s="393">
        <v>44242.0</v>
      </c>
      <c r="K164" s="393">
        <f t="shared" si="1"/>
        <v>44243</v>
      </c>
      <c r="L164" s="394" t="str">
        <f>IFERROR(__xludf.DUMMYFUNCTION("JOIN("""", G164:H164)"),"")</f>
        <v/>
      </c>
      <c r="M164" s="80" t="str">
        <f t="shared" si="2"/>
        <v/>
      </c>
    </row>
    <row r="165">
      <c r="A165" s="86"/>
      <c r="B165" s="73"/>
      <c r="C165" s="73"/>
      <c r="D165" s="73"/>
      <c r="E165" s="88"/>
      <c r="F165" s="73"/>
      <c r="G165" s="394"/>
      <c r="H165" s="77"/>
      <c r="I165" s="88"/>
      <c r="J165" s="393">
        <v>44242.0</v>
      </c>
      <c r="K165" s="393">
        <f t="shared" si="1"/>
        <v>44243</v>
      </c>
      <c r="L165" s="394" t="str">
        <f>IFERROR(__xludf.DUMMYFUNCTION("JOIN("""", G165:H165)"),"")</f>
        <v/>
      </c>
      <c r="M165" s="80" t="str">
        <f t="shared" si="2"/>
        <v/>
      </c>
    </row>
    <row r="166">
      <c r="A166" s="86"/>
      <c r="B166" s="73"/>
      <c r="C166" s="73"/>
      <c r="D166" s="73"/>
      <c r="E166" s="88"/>
      <c r="F166" s="73"/>
      <c r="G166" s="394"/>
      <c r="H166" s="77"/>
      <c r="I166" s="88"/>
      <c r="J166" s="393">
        <v>44242.0</v>
      </c>
      <c r="K166" s="393">
        <f t="shared" si="1"/>
        <v>44243</v>
      </c>
      <c r="L166" s="394" t="str">
        <f>IFERROR(__xludf.DUMMYFUNCTION("JOIN("""", G166:H166)"),"")</f>
        <v/>
      </c>
      <c r="M166" s="80" t="str">
        <f t="shared" si="2"/>
        <v/>
      </c>
    </row>
    <row r="167">
      <c r="A167" s="86"/>
      <c r="B167" s="73"/>
      <c r="C167" s="73"/>
      <c r="D167" s="73"/>
      <c r="E167" s="88"/>
      <c r="F167" s="73"/>
      <c r="G167" s="394"/>
      <c r="H167" s="77"/>
      <c r="I167" s="88"/>
      <c r="J167" s="393">
        <v>44242.0</v>
      </c>
      <c r="K167" s="393">
        <f t="shared" si="1"/>
        <v>44243</v>
      </c>
      <c r="L167" s="394" t="str">
        <f>IFERROR(__xludf.DUMMYFUNCTION("JOIN("""", G167:H167)"),"")</f>
        <v/>
      </c>
      <c r="M167" s="80" t="str">
        <f t="shared" si="2"/>
        <v/>
      </c>
    </row>
    <row r="168">
      <c r="A168" s="86"/>
      <c r="B168" s="73"/>
      <c r="C168" s="73"/>
      <c r="D168" s="73"/>
      <c r="E168" s="88"/>
      <c r="F168" s="73"/>
      <c r="G168" s="394"/>
      <c r="H168" s="77"/>
      <c r="I168" s="88"/>
      <c r="J168" s="393">
        <v>44242.0</v>
      </c>
      <c r="K168" s="393">
        <f t="shared" si="1"/>
        <v>44243</v>
      </c>
      <c r="L168" s="394" t="str">
        <f>IFERROR(__xludf.DUMMYFUNCTION("JOIN("""", G168:H168)"),"")</f>
        <v/>
      </c>
      <c r="M168" s="80" t="str">
        <f t="shared" si="2"/>
        <v/>
      </c>
    </row>
    <row r="169">
      <c r="A169" s="86"/>
      <c r="B169" s="73"/>
      <c r="C169" s="73"/>
      <c r="D169" s="73"/>
      <c r="E169" s="88"/>
      <c r="F169" s="73"/>
      <c r="G169" s="394"/>
      <c r="H169" s="77"/>
      <c r="I169" s="88"/>
      <c r="J169" s="393">
        <v>44243.0</v>
      </c>
      <c r="K169" s="393">
        <f t="shared" si="1"/>
        <v>44244</v>
      </c>
      <c r="L169" s="394" t="str">
        <f>IFERROR(__xludf.DUMMYFUNCTION("JOIN("""", G169:H169)"),"")</f>
        <v/>
      </c>
      <c r="M169" s="80" t="str">
        <f t="shared" si="2"/>
        <v/>
      </c>
    </row>
    <row r="170">
      <c r="A170" s="86"/>
      <c r="B170" s="73"/>
      <c r="C170" s="73"/>
      <c r="D170" s="73"/>
      <c r="E170" s="88"/>
      <c r="F170" s="73"/>
      <c r="G170" s="394"/>
      <c r="H170" s="77"/>
      <c r="I170" s="88"/>
      <c r="J170" s="393">
        <v>44243.0</v>
      </c>
      <c r="K170" s="393">
        <f t="shared" si="1"/>
        <v>44244</v>
      </c>
      <c r="L170" s="394" t="str">
        <f>IFERROR(__xludf.DUMMYFUNCTION("JOIN("""", G170:H170)"),"")</f>
        <v/>
      </c>
      <c r="M170" s="80" t="str">
        <f t="shared" si="2"/>
        <v/>
      </c>
    </row>
    <row r="171">
      <c r="A171" s="86"/>
      <c r="B171" s="73"/>
      <c r="C171" s="73"/>
      <c r="D171" s="73"/>
      <c r="E171" s="88"/>
      <c r="F171" s="73"/>
      <c r="G171" s="394"/>
      <c r="H171" s="77"/>
      <c r="I171" s="88"/>
      <c r="J171" s="393">
        <v>44243.0</v>
      </c>
      <c r="K171" s="393">
        <f t="shared" si="1"/>
        <v>44244</v>
      </c>
      <c r="L171" s="394" t="str">
        <f>IFERROR(__xludf.DUMMYFUNCTION("JOIN("""", G171:H171)"),"")</f>
        <v/>
      </c>
      <c r="M171" s="80" t="str">
        <f t="shared" si="2"/>
        <v/>
      </c>
    </row>
    <row r="172">
      <c r="A172" s="86"/>
      <c r="B172" s="73"/>
      <c r="C172" s="73"/>
      <c r="D172" s="73"/>
      <c r="E172" s="88"/>
      <c r="F172" s="73"/>
      <c r="G172" s="394"/>
      <c r="H172" s="77"/>
      <c r="I172" s="88"/>
      <c r="J172" s="393">
        <v>44243.0</v>
      </c>
      <c r="K172" s="393">
        <f t="shared" si="1"/>
        <v>44244</v>
      </c>
      <c r="L172" s="394" t="str">
        <f>IFERROR(__xludf.DUMMYFUNCTION("JOIN("""", G172:H172)"),"")</f>
        <v/>
      </c>
      <c r="M172" s="80" t="str">
        <f t="shared" si="2"/>
        <v/>
      </c>
    </row>
    <row r="173">
      <c r="A173" s="86"/>
      <c r="B173" s="73"/>
      <c r="C173" s="73"/>
      <c r="D173" s="73"/>
      <c r="E173" s="88"/>
      <c r="F173" s="73"/>
      <c r="G173" s="394"/>
      <c r="H173" s="77"/>
      <c r="I173" s="88"/>
      <c r="J173" s="393">
        <v>44243.0</v>
      </c>
      <c r="K173" s="393">
        <f t="shared" si="1"/>
        <v>44244</v>
      </c>
      <c r="L173" s="394" t="str">
        <f>IFERROR(__xludf.DUMMYFUNCTION("JOIN("""", G173:H173)"),"")</f>
        <v/>
      </c>
      <c r="M173" s="80" t="str">
        <f t="shared" si="2"/>
        <v/>
      </c>
    </row>
    <row r="174">
      <c r="A174" s="86"/>
      <c r="B174" s="73"/>
      <c r="C174" s="73"/>
      <c r="D174" s="73"/>
      <c r="E174" s="88"/>
      <c r="F174" s="73"/>
      <c r="G174" s="394"/>
      <c r="H174" s="77"/>
      <c r="I174" s="88"/>
      <c r="J174" s="393">
        <v>44243.0</v>
      </c>
      <c r="K174" s="393">
        <f t="shared" si="1"/>
        <v>44244</v>
      </c>
      <c r="L174" s="394" t="str">
        <f>IFERROR(__xludf.DUMMYFUNCTION("JOIN("""", G174:H174)"),"")</f>
        <v/>
      </c>
      <c r="M174" s="80" t="str">
        <f t="shared" si="2"/>
        <v/>
      </c>
    </row>
    <row r="175">
      <c r="A175" s="86"/>
      <c r="B175" s="73"/>
      <c r="C175" s="73"/>
      <c r="D175" s="73"/>
      <c r="E175" s="88"/>
      <c r="F175" s="73"/>
      <c r="G175" s="394"/>
      <c r="H175" s="77"/>
      <c r="I175" s="88"/>
      <c r="J175" s="393">
        <v>44243.0</v>
      </c>
      <c r="K175" s="393">
        <f t="shared" si="1"/>
        <v>44244</v>
      </c>
      <c r="L175" s="394" t="str">
        <f>IFERROR(__xludf.DUMMYFUNCTION("JOIN("""", G175:H175)"),"")</f>
        <v/>
      </c>
      <c r="M175" s="80" t="str">
        <f t="shared" si="2"/>
        <v/>
      </c>
    </row>
    <row r="176">
      <c r="A176" s="86"/>
      <c r="B176" s="73"/>
      <c r="C176" s="73"/>
      <c r="D176" s="73"/>
      <c r="E176" s="88"/>
      <c r="F176" s="73"/>
      <c r="G176" s="394"/>
      <c r="H176" s="77"/>
      <c r="I176" s="88"/>
      <c r="J176" s="393">
        <v>44243.0</v>
      </c>
      <c r="K176" s="393">
        <f t="shared" si="1"/>
        <v>44244</v>
      </c>
      <c r="L176" s="394" t="str">
        <f>IFERROR(__xludf.DUMMYFUNCTION("JOIN("""", G176:H176)"),"")</f>
        <v/>
      </c>
      <c r="M176" s="80" t="str">
        <f t="shared" si="2"/>
        <v/>
      </c>
    </row>
    <row r="177">
      <c r="A177" s="86"/>
      <c r="B177" s="73"/>
      <c r="C177" s="73"/>
      <c r="D177" s="73"/>
      <c r="E177" s="88"/>
      <c r="F177" s="73"/>
      <c r="G177" s="394"/>
      <c r="H177" s="77"/>
      <c r="I177" s="88"/>
      <c r="J177" s="393">
        <v>44243.0</v>
      </c>
      <c r="K177" s="393">
        <f t="shared" si="1"/>
        <v>44244</v>
      </c>
      <c r="L177" s="394" t="str">
        <f>IFERROR(__xludf.DUMMYFUNCTION("JOIN("""", G177:H177)"),"")</f>
        <v/>
      </c>
      <c r="M177" s="80" t="str">
        <f t="shared" si="2"/>
        <v/>
      </c>
    </row>
    <row r="178">
      <c r="A178" s="86"/>
      <c r="B178" s="73"/>
      <c r="C178" s="73"/>
      <c r="D178" s="73"/>
      <c r="E178" s="88"/>
      <c r="F178" s="73"/>
      <c r="G178" s="394"/>
      <c r="H178" s="77"/>
      <c r="I178" s="88"/>
      <c r="J178" s="393">
        <v>44243.0</v>
      </c>
      <c r="K178" s="393">
        <f t="shared" si="1"/>
        <v>44244</v>
      </c>
      <c r="L178" s="394" t="str">
        <f>IFERROR(__xludf.DUMMYFUNCTION("JOIN("""", G178:H178)"),"")</f>
        <v/>
      </c>
      <c r="M178" s="80" t="str">
        <f t="shared" si="2"/>
        <v/>
      </c>
    </row>
    <row r="179">
      <c r="A179" s="86"/>
      <c r="B179" s="73"/>
      <c r="C179" s="73"/>
      <c r="D179" s="73"/>
      <c r="E179" s="88"/>
      <c r="F179" s="73"/>
      <c r="G179" s="394"/>
      <c r="H179" s="77"/>
      <c r="I179" s="88"/>
      <c r="J179" s="393">
        <v>44243.0</v>
      </c>
      <c r="K179" s="393">
        <f t="shared" si="1"/>
        <v>44244</v>
      </c>
      <c r="L179" s="394" t="str">
        <f>IFERROR(__xludf.DUMMYFUNCTION("JOIN("""", G179:H179)"),"")</f>
        <v/>
      </c>
      <c r="M179" s="80" t="str">
        <f t="shared" si="2"/>
        <v/>
      </c>
    </row>
    <row r="180">
      <c r="A180" s="86"/>
      <c r="B180" s="73"/>
      <c r="C180" s="73"/>
      <c r="D180" s="73"/>
      <c r="E180" s="88"/>
      <c r="F180" s="73"/>
      <c r="G180" s="394"/>
      <c r="H180" s="77"/>
      <c r="I180" s="88"/>
      <c r="J180" s="393">
        <v>44243.0</v>
      </c>
      <c r="K180" s="393">
        <f t="shared" si="1"/>
        <v>44244</v>
      </c>
      <c r="L180" s="394" t="str">
        <f>IFERROR(__xludf.DUMMYFUNCTION("JOIN("""", G180:H180)"),"")</f>
        <v/>
      </c>
      <c r="M180" s="80" t="str">
        <f t="shared" si="2"/>
        <v/>
      </c>
    </row>
    <row r="181">
      <c r="A181" s="86"/>
      <c r="B181" s="73"/>
      <c r="C181" s="73"/>
      <c r="D181" s="73"/>
      <c r="E181" s="88"/>
      <c r="F181" s="73"/>
      <c r="G181" s="394"/>
      <c r="H181" s="77"/>
      <c r="I181" s="88"/>
      <c r="J181" s="393">
        <v>44244.0</v>
      </c>
      <c r="K181" s="393">
        <f t="shared" si="1"/>
        <v>44245</v>
      </c>
      <c r="L181" s="394" t="str">
        <f>IFERROR(__xludf.DUMMYFUNCTION("JOIN("""", G181:H181)"),"")</f>
        <v/>
      </c>
      <c r="M181" s="80" t="str">
        <f t="shared" si="2"/>
        <v/>
      </c>
    </row>
    <row r="182">
      <c r="A182" s="86"/>
      <c r="B182" s="73"/>
      <c r="C182" s="73"/>
      <c r="D182" s="73"/>
      <c r="E182" s="88"/>
      <c r="F182" s="73"/>
      <c r="G182" s="394"/>
      <c r="H182" s="77"/>
      <c r="I182" s="88"/>
      <c r="J182" s="395">
        <v>44272.0</v>
      </c>
      <c r="K182" s="393">
        <f t="shared" si="1"/>
        <v>44273</v>
      </c>
      <c r="L182" s="394" t="str">
        <f>IFERROR(__xludf.DUMMYFUNCTION("JOIN("""", G182:H182)"),"")</f>
        <v/>
      </c>
      <c r="M182" s="80" t="str">
        <f t="shared" si="2"/>
        <v/>
      </c>
    </row>
    <row r="183">
      <c r="A183" s="86"/>
      <c r="B183" s="73"/>
      <c r="C183" s="73"/>
      <c r="D183" s="73"/>
      <c r="E183" s="88"/>
      <c r="F183" s="73"/>
      <c r="G183" s="394"/>
      <c r="H183" s="77"/>
      <c r="I183" s="88"/>
      <c r="J183" s="393">
        <v>44244.0</v>
      </c>
      <c r="K183" s="393">
        <f t="shared" si="1"/>
        <v>44245</v>
      </c>
      <c r="L183" s="394" t="str">
        <f>IFERROR(__xludf.DUMMYFUNCTION("JOIN("""", G183:H183)"),"")</f>
        <v/>
      </c>
      <c r="M183" s="80" t="str">
        <f t="shared" si="2"/>
        <v/>
      </c>
    </row>
    <row r="184">
      <c r="A184" s="86"/>
      <c r="B184" s="73"/>
      <c r="C184" s="73"/>
      <c r="D184" s="73"/>
      <c r="E184" s="88"/>
      <c r="F184" s="73"/>
      <c r="G184" s="394"/>
      <c r="H184" s="77"/>
      <c r="I184" s="88"/>
      <c r="J184" s="393">
        <v>44244.0</v>
      </c>
      <c r="K184" s="393">
        <f t="shared" si="1"/>
        <v>44245</v>
      </c>
      <c r="L184" s="394" t="str">
        <f>IFERROR(__xludf.DUMMYFUNCTION("JOIN("""", G184:H184)"),"")</f>
        <v/>
      </c>
      <c r="M184" s="80" t="str">
        <f t="shared" si="2"/>
        <v/>
      </c>
    </row>
    <row r="185">
      <c r="A185" s="86"/>
      <c r="B185" s="73"/>
      <c r="C185" s="73"/>
      <c r="D185" s="73"/>
      <c r="E185" s="88"/>
      <c r="F185" s="73"/>
      <c r="G185" s="394"/>
      <c r="H185" s="77"/>
      <c r="I185" s="88"/>
      <c r="J185" s="393">
        <v>44244.0</v>
      </c>
      <c r="K185" s="393">
        <f t="shared" si="1"/>
        <v>44245</v>
      </c>
      <c r="L185" s="394" t="str">
        <f>IFERROR(__xludf.DUMMYFUNCTION("JOIN("""", G185:H185)"),"")</f>
        <v/>
      </c>
      <c r="M185" s="80" t="str">
        <f t="shared" si="2"/>
        <v/>
      </c>
    </row>
    <row r="186">
      <c r="A186" s="86"/>
      <c r="B186" s="73"/>
      <c r="C186" s="73"/>
      <c r="D186" s="73"/>
      <c r="E186" s="88"/>
      <c r="F186" s="73"/>
      <c r="G186" s="394"/>
      <c r="H186" s="77"/>
      <c r="I186" s="88"/>
      <c r="J186" s="393">
        <v>44244.0</v>
      </c>
      <c r="K186" s="393">
        <f t="shared" si="1"/>
        <v>44245</v>
      </c>
      <c r="L186" s="394" t="str">
        <f>IFERROR(__xludf.DUMMYFUNCTION("JOIN("""", G186:H186)"),"")</f>
        <v/>
      </c>
      <c r="M186" s="80" t="str">
        <f t="shared" si="2"/>
        <v/>
      </c>
    </row>
    <row r="187">
      <c r="A187" s="86"/>
      <c r="B187" s="73"/>
      <c r="C187" s="73"/>
      <c r="D187" s="73"/>
      <c r="E187" s="88"/>
      <c r="F187" s="73"/>
      <c r="G187" s="394"/>
      <c r="H187" s="77"/>
      <c r="I187" s="88"/>
      <c r="J187" s="393">
        <v>44244.0</v>
      </c>
      <c r="K187" s="393">
        <f t="shared" si="1"/>
        <v>44245</v>
      </c>
      <c r="L187" s="394" t="str">
        <f>IFERROR(__xludf.DUMMYFUNCTION("JOIN("""", G187:H187)"),"")</f>
        <v/>
      </c>
      <c r="M187" s="80" t="str">
        <f t="shared" si="2"/>
        <v/>
      </c>
    </row>
    <row r="188">
      <c r="A188" s="86"/>
      <c r="B188" s="73"/>
      <c r="C188" s="73"/>
      <c r="D188" s="73"/>
      <c r="E188" s="88"/>
      <c r="F188" s="73"/>
      <c r="G188" s="394"/>
      <c r="H188" s="77"/>
      <c r="I188" s="88"/>
      <c r="J188" s="393">
        <v>44244.0</v>
      </c>
      <c r="K188" s="393">
        <f t="shared" si="1"/>
        <v>44245</v>
      </c>
      <c r="L188" s="394" t="str">
        <f>IFERROR(__xludf.DUMMYFUNCTION("JOIN("""", G188:H188)"),"")</f>
        <v/>
      </c>
      <c r="M188" s="80" t="str">
        <f t="shared" si="2"/>
        <v/>
      </c>
    </row>
    <row r="189">
      <c r="A189" s="86"/>
      <c r="B189" s="73"/>
      <c r="C189" s="73"/>
      <c r="D189" s="73"/>
      <c r="E189" s="88"/>
      <c r="F189" s="73"/>
      <c r="G189" s="394"/>
      <c r="H189" s="77"/>
      <c r="I189" s="88"/>
      <c r="J189" s="393">
        <v>44244.0</v>
      </c>
      <c r="K189" s="393">
        <f t="shared" si="1"/>
        <v>44245</v>
      </c>
      <c r="L189" s="394" t="str">
        <f>IFERROR(__xludf.DUMMYFUNCTION("JOIN("""", G189:H189)"),"")</f>
        <v/>
      </c>
      <c r="M189" s="80" t="str">
        <f t="shared" si="2"/>
        <v/>
      </c>
    </row>
    <row r="190">
      <c r="A190" s="86"/>
      <c r="B190" s="73"/>
      <c r="C190" s="73"/>
      <c r="D190" s="73"/>
      <c r="E190" s="88"/>
      <c r="F190" s="73"/>
      <c r="G190" s="394"/>
      <c r="H190" s="77"/>
      <c r="I190" s="88"/>
      <c r="J190" s="393">
        <v>44245.0</v>
      </c>
      <c r="K190" s="393">
        <f t="shared" si="1"/>
        <v>44246</v>
      </c>
      <c r="L190" s="394" t="str">
        <f>IFERROR(__xludf.DUMMYFUNCTION("JOIN("""", G190:H190)"),"")</f>
        <v/>
      </c>
      <c r="M190" s="80" t="str">
        <f t="shared" si="2"/>
        <v/>
      </c>
    </row>
    <row r="191">
      <c r="A191" s="86"/>
      <c r="B191" s="73"/>
      <c r="C191" s="73"/>
      <c r="D191" s="73"/>
      <c r="E191" s="88"/>
      <c r="F191" s="73"/>
      <c r="G191" s="394"/>
      <c r="H191" s="77"/>
      <c r="I191" s="88"/>
      <c r="J191" s="393">
        <v>44245.0</v>
      </c>
      <c r="K191" s="393">
        <f t="shared" si="1"/>
        <v>44246</v>
      </c>
      <c r="L191" s="394" t="str">
        <f>IFERROR(__xludf.DUMMYFUNCTION("JOIN("""", G191:H191)"),"")</f>
        <v/>
      </c>
      <c r="M191" s="80" t="str">
        <f t="shared" si="2"/>
        <v/>
      </c>
    </row>
    <row r="192">
      <c r="A192" s="86"/>
      <c r="B192" s="73"/>
      <c r="C192" s="73"/>
      <c r="D192" s="73"/>
      <c r="E192" s="88"/>
      <c r="F192" s="73"/>
      <c r="G192" s="394"/>
      <c r="H192" s="77"/>
      <c r="I192" s="88"/>
      <c r="J192" s="393">
        <v>44245.0</v>
      </c>
      <c r="K192" s="393">
        <f t="shared" si="1"/>
        <v>44246</v>
      </c>
      <c r="L192" s="394" t="str">
        <f>IFERROR(__xludf.DUMMYFUNCTION("JOIN("""", G192:H192)"),"")</f>
        <v/>
      </c>
      <c r="M192" s="80" t="str">
        <f t="shared" si="2"/>
        <v/>
      </c>
    </row>
    <row r="193">
      <c r="A193" s="86"/>
      <c r="B193" s="73"/>
      <c r="C193" s="73"/>
      <c r="D193" s="73"/>
      <c r="E193" s="88"/>
      <c r="F193" s="73"/>
      <c r="G193" s="394"/>
      <c r="H193" s="77"/>
      <c r="I193" s="88"/>
      <c r="J193" s="393">
        <v>44245.0</v>
      </c>
      <c r="K193" s="393">
        <f t="shared" si="1"/>
        <v>44246</v>
      </c>
      <c r="L193" s="394" t="str">
        <f>IFERROR(__xludf.DUMMYFUNCTION("JOIN("""", G193:H193)"),"")</f>
        <v/>
      </c>
      <c r="M193" s="80" t="str">
        <f t="shared" si="2"/>
        <v/>
      </c>
    </row>
    <row r="194">
      <c r="A194" s="86"/>
      <c r="B194" s="73"/>
      <c r="C194" s="73"/>
      <c r="D194" s="73"/>
      <c r="E194" s="88"/>
      <c r="F194" s="73"/>
      <c r="G194" s="394"/>
      <c r="H194" s="77"/>
      <c r="I194" s="88"/>
      <c r="J194" s="393">
        <v>44245.0</v>
      </c>
      <c r="K194" s="393">
        <f t="shared" si="1"/>
        <v>44246</v>
      </c>
      <c r="L194" s="394" t="str">
        <f>IFERROR(__xludf.DUMMYFUNCTION("JOIN("""", G194:H194)"),"")</f>
        <v/>
      </c>
      <c r="M194" s="80" t="str">
        <f t="shared" si="2"/>
        <v/>
      </c>
    </row>
    <row r="195">
      <c r="A195" s="86"/>
      <c r="B195" s="73"/>
      <c r="C195" s="73"/>
      <c r="D195" s="73"/>
      <c r="E195" s="88"/>
      <c r="F195" s="73"/>
      <c r="G195" s="394"/>
      <c r="H195" s="77"/>
      <c r="I195" s="88"/>
      <c r="J195" s="393">
        <v>44245.0</v>
      </c>
      <c r="K195" s="393">
        <f t="shared" si="1"/>
        <v>44246</v>
      </c>
      <c r="L195" s="394" t="str">
        <f>IFERROR(__xludf.DUMMYFUNCTION("JOIN("""", G195:H195)"),"")</f>
        <v/>
      </c>
      <c r="M195" s="80" t="str">
        <f t="shared" si="2"/>
        <v/>
      </c>
    </row>
    <row r="196">
      <c r="A196" s="86"/>
      <c r="B196" s="73"/>
      <c r="C196" s="73"/>
      <c r="D196" s="73"/>
      <c r="E196" s="88"/>
      <c r="F196" s="73"/>
      <c r="G196" s="394"/>
      <c r="H196" s="77"/>
      <c r="I196" s="88"/>
      <c r="J196" s="393">
        <v>44245.0</v>
      </c>
      <c r="K196" s="393">
        <f t="shared" si="1"/>
        <v>44246</v>
      </c>
      <c r="L196" s="394" t="str">
        <f>IFERROR(__xludf.DUMMYFUNCTION("JOIN("""", G196:H196)"),"")</f>
        <v/>
      </c>
      <c r="M196" s="80" t="str">
        <f t="shared" si="2"/>
        <v/>
      </c>
    </row>
    <row r="197">
      <c r="A197" s="86"/>
      <c r="B197" s="73"/>
      <c r="C197" s="73"/>
      <c r="D197" s="73"/>
      <c r="E197" s="88"/>
      <c r="F197" s="73"/>
      <c r="G197" s="394"/>
      <c r="H197" s="77"/>
      <c r="I197" s="88"/>
      <c r="J197" s="393">
        <v>44245.0</v>
      </c>
      <c r="K197" s="393">
        <f t="shared" si="1"/>
        <v>44246</v>
      </c>
      <c r="L197" s="394" t="str">
        <f>IFERROR(__xludf.DUMMYFUNCTION("JOIN("""", G197:H197)"),"")</f>
        <v/>
      </c>
      <c r="M197" s="80" t="str">
        <f t="shared" si="2"/>
        <v/>
      </c>
    </row>
    <row r="198">
      <c r="A198" s="86"/>
      <c r="B198" s="73"/>
      <c r="C198" s="73"/>
      <c r="D198" s="73"/>
      <c r="E198" s="88"/>
      <c r="F198" s="73"/>
      <c r="G198" s="394"/>
      <c r="H198" s="77"/>
      <c r="I198" s="88"/>
      <c r="J198" s="393">
        <v>44245.0</v>
      </c>
      <c r="K198" s="393">
        <f t="shared" si="1"/>
        <v>44246</v>
      </c>
      <c r="L198" s="394" t="str">
        <f>IFERROR(__xludf.DUMMYFUNCTION("JOIN("""", G198:H198)"),"")</f>
        <v/>
      </c>
      <c r="M198" s="80" t="str">
        <f t="shared" si="2"/>
        <v/>
      </c>
    </row>
    <row r="199">
      <c r="A199" s="86"/>
      <c r="B199" s="73"/>
      <c r="C199" s="73"/>
      <c r="D199" s="73"/>
      <c r="E199" s="88"/>
      <c r="F199" s="73"/>
      <c r="G199" s="394"/>
      <c r="H199" s="77"/>
      <c r="I199" s="88"/>
      <c r="J199" s="393">
        <v>44245.0</v>
      </c>
      <c r="K199" s="393">
        <f t="shared" si="1"/>
        <v>44246</v>
      </c>
      <c r="L199" s="394" t="str">
        <f>IFERROR(__xludf.DUMMYFUNCTION("JOIN("""", G199:H199)"),"")</f>
        <v/>
      </c>
      <c r="M199" s="80" t="str">
        <f t="shared" si="2"/>
        <v/>
      </c>
    </row>
    <row r="200">
      <c r="A200" s="86"/>
      <c r="B200" s="73"/>
      <c r="C200" s="73"/>
      <c r="D200" s="73"/>
      <c r="E200" s="88"/>
      <c r="F200" s="73"/>
      <c r="G200" s="394"/>
      <c r="H200" s="77"/>
      <c r="I200" s="88"/>
      <c r="J200" s="393">
        <v>44245.0</v>
      </c>
      <c r="K200" s="393">
        <f t="shared" si="1"/>
        <v>44246</v>
      </c>
      <c r="L200" s="394" t="str">
        <f>IFERROR(__xludf.DUMMYFUNCTION("JOIN("""", G200:H200)"),"")</f>
        <v/>
      </c>
      <c r="M200" s="80" t="str">
        <f t="shared" si="2"/>
        <v/>
      </c>
    </row>
    <row r="201">
      <c r="A201" s="86"/>
      <c r="B201" s="73"/>
      <c r="C201" s="73"/>
      <c r="D201" s="73"/>
      <c r="E201" s="88"/>
      <c r="F201" s="73"/>
      <c r="G201" s="394"/>
      <c r="H201" s="77"/>
      <c r="I201" s="88"/>
      <c r="J201" s="393">
        <v>44245.0</v>
      </c>
      <c r="K201" s="393">
        <f t="shared" si="1"/>
        <v>44246</v>
      </c>
      <c r="L201" s="394" t="str">
        <f>IFERROR(__xludf.DUMMYFUNCTION("JOIN("""", G201:H201)"),"")</f>
        <v/>
      </c>
      <c r="M201" s="80" t="str">
        <f t="shared" si="2"/>
        <v/>
      </c>
    </row>
    <row r="202">
      <c r="A202" s="86"/>
      <c r="B202" s="73"/>
      <c r="C202" s="73"/>
      <c r="D202" s="73"/>
      <c r="E202" s="88"/>
      <c r="F202" s="73"/>
      <c r="G202" s="394"/>
      <c r="H202" s="77"/>
      <c r="I202" s="88"/>
      <c r="J202" s="393">
        <v>44245.0</v>
      </c>
      <c r="K202" s="393">
        <f t="shared" si="1"/>
        <v>44246</v>
      </c>
      <c r="L202" s="394" t="str">
        <f>IFERROR(__xludf.DUMMYFUNCTION("JOIN("""", G202:H202)"),"")</f>
        <v/>
      </c>
      <c r="M202" s="80" t="str">
        <f t="shared" si="2"/>
        <v/>
      </c>
    </row>
    <row r="203">
      <c r="A203" s="86"/>
      <c r="B203" s="73"/>
      <c r="C203" s="73"/>
      <c r="D203" s="73"/>
      <c r="E203" s="88"/>
      <c r="F203" s="73"/>
      <c r="G203" s="394"/>
      <c r="H203" s="77"/>
      <c r="I203" s="88"/>
      <c r="J203" s="393">
        <v>44245.0</v>
      </c>
      <c r="K203" s="393">
        <f t="shared" si="1"/>
        <v>44246</v>
      </c>
      <c r="L203" s="394" t="str">
        <f>IFERROR(__xludf.DUMMYFUNCTION("JOIN("""", G203:H203)"),"")</f>
        <v/>
      </c>
      <c r="M203" s="80" t="str">
        <f t="shared" si="2"/>
        <v/>
      </c>
    </row>
    <row r="204">
      <c r="A204" s="86"/>
      <c r="B204" s="73"/>
      <c r="C204" s="73"/>
      <c r="D204" s="73"/>
      <c r="E204" s="88"/>
      <c r="F204" s="73"/>
      <c r="G204" s="394"/>
      <c r="H204" s="77"/>
      <c r="I204" s="88"/>
      <c r="J204" s="393">
        <v>44245.0</v>
      </c>
      <c r="K204" s="393">
        <f t="shared" si="1"/>
        <v>44246</v>
      </c>
      <c r="L204" s="394" t="str">
        <f>IFERROR(__xludf.DUMMYFUNCTION("JOIN("""", G204:H204)"),"")</f>
        <v/>
      </c>
      <c r="M204" s="80" t="str">
        <f t="shared" si="2"/>
        <v/>
      </c>
    </row>
    <row r="205">
      <c r="A205" s="86"/>
      <c r="B205" s="73"/>
      <c r="C205" s="73"/>
      <c r="D205" s="73"/>
      <c r="E205" s="88"/>
      <c r="F205" s="73"/>
      <c r="G205" s="394"/>
      <c r="H205" s="77"/>
      <c r="I205" s="88"/>
      <c r="J205" s="393">
        <v>44245.0</v>
      </c>
      <c r="K205" s="393">
        <f t="shared" si="1"/>
        <v>44246</v>
      </c>
      <c r="L205" s="394" t="str">
        <f>IFERROR(__xludf.DUMMYFUNCTION("JOIN("""", G205:H205)"),"")</f>
        <v/>
      </c>
      <c r="M205" s="80" t="str">
        <f t="shared" si="2"/>
        <v/>
      </c>
    </row>
    <row r="206">
      <c r="A206" s="86"/>
      <c r="B206" s="73"/>
      <c r="C206" s="73"/>
      <c r="D206" s="73"/>
      <c r="E206" s="88"/>
      <c r="F206" s="73"/>
      <c r="G206" s="394"/>
      <c r="H206" s="77"/>
      <c r="I206" s="88"/>
      <c r="J206" s="393">
        <v>44245.0</v>
      </c>
      <c r="K206" s="393">
        <f t="shared" si="1"/>
        <v>44246</v>
      </c>
      <c r="L206" s="394" t="str">
        <f>IFERROR(__xludf.DUMMYFUNCTION("JOIN("""", G206:H206)"),"")</f>
        <v/>
      </c>
      <c r="M206" s="80" t="str">
        <f t="shared" si="2"/>
        <v/>
      </c>
    </row>
    <row r="207">
      <c r="A207" s="86"/>
      <c r="B207" s="73"/>
      <c r="C207" s="73"/>
      <c r="D207" s="73"/>
      <c r="E207" s="88"/>
      <c r="F207" s="73"/>
      <c r="G207" s="394"/>
      <c r="H207" s="77"/>
      <c r="I207" s="88"/>
      <c r="J207" s="393">
        <v>44245.0</v>
      </c>
      <c r="K207" s="393">
        <f t="shared" si="1"/>
        <v>44246</v>
      </c>
      <c r="L207" s="394" t="str">
        <f>IFERROR(__xludf.DUMMYFUNCTION("JOIN("""", G207:H207)"),"")</f>
        <v/>
      </c>
      <c r="M207" s="80" t="str">
        <f t="shared" si="2"/>
        <v/>
      </c>
    </row>
    <row r="208">
      <c r="A208" s="86"/>
      <c r="B208" s="73"/>
      <c r="C208" s="73"/>
      <c r="D208" s="73"/>
      <c r="E208" s="88"/>
      <c r="F208" s="73"/>
      <c r="G208" s="394"/>
      <c r="H208" s="77"/>
      <c r="I208" s="88"/>
      <c r="J208" s="393">
        <v>44245.0</v>
      </c>
      <c r="K208" s="393">
        <f t="shared" si="1"/>
        <v>44246</v>
      </c>
      <c r="L208" s="394" t="str">
        <f>IFERROR(__xludf.DUMMYFUNCTION("JOIN("""", G208:H208)"),"")</f>
        <v/>
      </c>
      <c r="M208" s="80" t="str">
        <f t="shared" si="2"/>
        <v/>
      </c>
    </row>
    <row r="209">
      <c r="A209" s="86"/>
      <c r="B209" s="73"/>
      <c r="C209" s="73"/>
      <c r="D209" s="73"/>
      <c r="E209" s="88"/>
      <c r="F209" s="73"/>
      <c r="G209" s="394"/>
      <c r="H209" s="77"/>
      <c r="I209" s="88"/>
      <c r="J209" s="393">
        <v>44245.0</v>
      </c>
      <c r="K209" s="393">
        <f t="shared" si="1"/>
        <v>44246</v>
      </c>
      <c r="L209" s="394" t="str">
        <f>IFERROR(__xludf.DUMMYFUNCTION("JOIN("""", G209:H209)"),"")</f>
        <v/>
      </c>
      <c r="M209" s="80" t="str">
        <f t="shared" si="2"/>
        <v/>
      </c>
    </row>
    <row r="210">
      <c r="A210" s="86"/>
      <c r="B210" s="73"/>
      <c r="C210" s="73"/>
      <c r="D210" s="73"/>
      <c r="E210" s="88"/>
      <c r="F210" s="73"/>
      <c r="G210" s="394"/>
      <c r="H210" s="77"/>
      <c r="I210" s="88"/>
      <c r="J210" s="393">
        <v>44246.0</v>
      </c>
      <c r="K210" s="393">
        <f t="shared" si="1"/>
        <v>44247</v>
      </c>
      <c r="L210" s="394" t="str">
        <f>IFERROR(__xludf.DUMMYFUNCTION("JOIN("""", G210:H210)"),"")</f>
        <v/>
      </c>
      <c r="M210" s="80" t="str">
        <f t="shared" si="2"/>
        <v/>
      </c>
    </row>
    <row r="211">
      <c r="A211" s="86"/>
      <c r="B211" s="73"/>
      <c r="C211" s="73"/>
      <c r="D211" s="73"/>
      <c r="E211" s="88"/>
      <c r="F211" s="73"/>
      <c r="G211" s="394"/>
      <c r="H211" s="77"/>
      <c r="I211" s="88"/>
      <c r="J211" s="393">
        <v>44249.0</v>
      </c>
      <c r="K211" s="393">
        <f t="shared" si="1"/>
        <v>44250</v>
      </c>
      <c r="L211" s="394" t="str">
        <f>IFERROR(__xludf.DUMMYFUNCTION("JOIN("""", G211:H211)"),"")</f>
        <v/>
      </c>
      <c r="M211" s="80" t="str">
        <f t="shared" si="2"/>
        <v/>
      </c>
    </row>
    <row r="212">
      <c r="A212" s="86"/>
      <c r="B212" s="73"/>
      <c r="C212" s="73"/>
      <c r="D212" s="73"/>
      <c r="E212" s="88"/>
      <c r="F212" s="73"/>
      <c r="G212" s="394"/>
      <c r="H212" s="77"/>
      <c r="I212" s="88"/>
      <c r="J212" s="393">
        <v>44246.0</v>
      </c>
      <c r="K212" s="393">
        <f t="shared" si="1"/>
        <v>44247</v>
      </c>
      <c r="L212" s="394" t="str">
        <f>IFERROR(__xludf.DUMMYFUNCTION("JOIN("""", G212:H212)"),"")</f>
        <v/>
      </c>
      <c r="M212" s="80" t="str">
        <f t="shared" si="2"/>
        <v/>
      </c>
    </row>
    <row r="213">
      <c r="A213" s="86"/>
      <c r="B213" s="73"/>
      <c r="C213" s="73"/>
      <c r="D213" s="73"/>
      <c r="E213" s="88"/>
      <c r="F213" s="73"/>
      <c r="G213" s="394"/>
      <c r="H213" s="77"/>
      <c r="I213" s="88"/>
      <c r="J213" s="393">
        <v>44246.0</v>
      </c>
      <c r="K213" s="393">
        <f t="shared" si="1"/>
        <v>44247</v>
      </c>
      <c r="L213" s="394" t="str">
        <f>IFERROR(__xludf.DUMMYFUNCTION("JOIN("""", G213:H213)"),"")</f>
        <v/>
      </c>
      <c r="M213" s="80" t="str">
        <f t="shared" si="2"/>
        <v/>
      </c>
    </row>
    <row r="214">
      <c r="A214" s="86"/>
      <c r="B214" s="73"/>
      <c r="C214" s="73"/>
      <c r="D214" s="73"/>
      <c r="E214" s="88"/>
      <c r="F214" s="73"/>
      <c r="G214" s="394"/>
      <c r="H214" s="77"/>
      <c r="I214" s="88"/>
      <c r="J214" s="393">
        <v>44247.0</v>
      </c>
      <c r="K214" s="393">
        <f t="shared" si="1"/>
        <v>44248</v>
      </c>
      <c r="L214" s="394" t="str">
        <f>IFERROR(__xludf.DUMMYFUNCTION("JOIN("""", G214:H214)"),"")</f>
        <v/>
      </c>
      <c r="M214" s="80" t="str">
        <f t="shared" si="2"/>
        <v/>
      </c>
    </row>
    <row r="215">
      <c r="A215" s="86"/>
      <c r="B215" s="73"/>
      <c r="C215" s="73"/>
      <c r="D215" s="73"/>
      <c r="E215" s="88"/>
      <c r="F215" s="73"/>
      <c r="G215" s="394"/>
      <c r="H215" s="77"/>
      <c r="I215" s="88"/>
      <c r="J215" s="393">
        <v>44246.0</v>
      </c>
      <c r="K215" s="393">
        <f t="shared" si="1"/>
        <v>44247</v>
      </c>
      <c r="L215" s="394" t="str">
        <f>IFERROR(__xludf.DUMMYFUNCTION("JOIN("""", G215:H215)"),"")</f>
        <v/>
      </c>
      <c r="M215" s="80" t="str">
        <f t="shared" si="2"/>
        <v/>
      </c>
    </row>
    <row r="216">
      <c r="A216" s="86"/>
      <c r="B216" s="73"/>
      <c r="C216" s="73"/>
      <c r="D216" s="73"/>
      <c r="E216" s="88"/>
      <c r="F216" s="73"/>
      <c r="G216" s="394"/>
      <c r="H216" s="77"/>
      <c r="I216" s="88"/>
      <c r="J216" s="393">
        <v>44246.0</v>
      </c>
      <c r="K216" s="393">
        <f t="shared" si="1"/>
        <v>44247</v>
      </c>
      <c r="L216" s="394" t="str">
        <f>IFERROR(__xludf.DUMMYFUNCTION("JOIN("""", G216:H216)"),"")</f>
        <v/>
      </c>
      <c r="M216" s="80" t="str">
        <f t="shared" si="2"/>
        <v/>
      </c>
    </row>
    <row r="217">
      <c r="A217" s="86"/>
      <c r="B217" s="73"/>
      <c r="C217" s="73"/>
      <c r="D217" s="73"/>
      <c r="E217" s="88"/>
      <c r="F217" s="73"/>
      <c r="G217" s="394"/>
      <c r="H217" s="77"/>
      <c r="I217" s="88"/>
      <c r="J217" s="393">
        <v>44246.0</v>
      </c>
      <c r="K217" s="393">
        <f t="shared" si="1"/>
        <v>44247</v>
      </c>
      <c r="L217" s="394" t="str">
        <f>IFERROR(__xludf.DUMMYFUNCTION("JOIN("""", G217:H217)"),"")</f>
        <v/>
      </c>
      <c r="M217" s="80" t="str">
        <f t="shared" si="2"/>
        <v/>
      </c>
    </row>
    <row r="218">
      <c r="A218" s="86"/>
      <c r="B218" s="73"/>
      <c r="C218" s="73"/>
      <c r="D218" s="73"/>
      <c r="E218" s="88"/>
      <c r="F218" s="73"/>
      <c r="G218" s="394"/>
      <c r="H218" s="77"/>
      <c r="I218" s="88"/>
      <c r="J218" s="393">
        <v>44246.0</v>
      </c>
      <c r="K218" s="393">
        <f t="shared" si="1"/>
        <v>44247</v>
      </c>
      <c r="L218" s="394" t="str">
        <f>IFERROR(__xludf.DUMMYFUNCTION("JOIN("""", G218:H218)"),"")</f>
        <v/>
      </c>
      <c r="M218" s="80" t="str">
        <f t="shared" si="2"/>
        <v/>
      </c>
    </row>
    <row r="219">
      <c r="A219" s="86"/>
      <c r="B219" s="73"/>
      <c r="C219" s="73"/>
      <c r="D219" s="73"/>
      <c r="E219" s="88"/>
      <c r="F219" s="73"/>
      <c r="G219" s="394"/>
      <c r="H219" s="77"/>
      <c r="I219" s="88"/>
      <c r="J219" s="393">
        <v>44246.0</v>
      </c>
      <c r="K219" s="393">
        <f t="shared" si="1"/>
        <v>44247</v>
      </c>
      <c r="L219" s="394" t="str">
        <f>IFERROR(__xludf.DUMMYFUNCTION("JOIN("""", G219:H219)"),"")</f>
        <v/>
      </c>
      <c r="M219" s="80" t="str">
        <f t="shared" si="2"/>
        <v/>
      </c>
    </row>
    <row r="220">
      <c r="A220" s="86"/>
      <c r="B220" s="73"/>
      <c r="C220" s="73"/>
      <c r="D220" s="73"/>
      <c r="E220" s="88"/>
      <c r="F220" s="73"/>
      <c r="G220" s="394"/>
      <c r="H220" s="77"/>
      <c r="I220" s="88"/>
      <c r="J220" s="393">
        <v>44246.0</v>
      </c>
      <c r="K220" s="393">
        <f t="shared" si="1"/>
        <v>44247</v>
      </c>
      <c r="L220" s="394" t="str">
        <f>IFERROR(__xludf.DUMMYFUNCTION("JOIN("""", G220:H220)"),"")</f>
        <v/>
      </c>
      <c r="M220" s="80" t="str">
        <f t="shared" si="2"/>
        <v/>
      </c>
    </row>
    <row r="221">
      <c r="A221" s="86"/>
      <c r="B221" s="73"/>
      <c r="C221" s="73"/>
      <c r="D221" s="73"/>
      <c r="E221" s="88"/>
      <c r="F221" s="73"/>
      <c r="G221" s="394"/>
      <c r="H221" s="77"/>
      <c r="I221" s="88"/>
      <c r="J221" s="393">
        <v>44246.0</v>
      </c>
      <c r="K221" s="393">
        <f t="shared" si="1"/>
        <v>44247</v>
      </c>
      <c r="L221" s="394" t="str">
        <f>IFERROR(__xludf.DUMMYFUNCTION("JOIN("""", G221:H221)"),"")</f>
        <v/>
      </c>
      <c r="M221" s="80" t="str">
        <f t="shared" si="2"/>
        <v/>
      </c>
    </row>
    <row r="222">
      <c r="A222" s="86"/>
      <c r="B222" s="73"/>
      <c r="C222" s="73"/>
      <c r="D222" s="73"/>
      <c r="E222" s="88"/>
      <c r="F222" s="73"/>
      <c r="G222" s="394"/>
      <c r="H222" s="77"/>
      <c r="I222" s="88"/>
      <c r="J222" s="393">
        <v>44246.0</v>
      </c>
      <c r="K222" s="393">
        <f t="shared" si="1"/>
        <v>44247</v>
      </c>
      <c r="L222" s="394" t="str">
        <f>IFERROR(__xludf.DUMMYFUNCTION("JOIN("""", G222:H222)"),"")</f>
        <v/>
      </c>
      <c r="M222" s="80" t="str">
        <f t="shared" si="2"/>
        <v/>
      </c>
    </row>
    <row r="223">
      <c r="A223" s="86"/>
      <c r="B223" s="73"/>
      <c r="C223" s="73"/>
      <c r="D223" s="73"/>
      <c r="E223" s="88"/>
      <c r="F223" s="73"/>
      <c r="G223" s="394"/>
      <c r="H223" s="77"/>
      <c r="I223" s="88"/>
      <c r="J223" s="393">
        <v>44246.0</v>
      </c>
      <c r="K223" s="393">
        <f t="shared" si="1"/>
        <v>44247</v>
      </c>
      <c r="L223" s="394" t="str">
        <f>IFERROR(__xludf.DUMMYFUNCTION("JOIN("""", G223:H223)"),"")</f>
        <v/>
      </c>
      <c r="M223" s="80" t="str">
        <f t="shared" si="2"/>
        <v/>
      </c>
    </row>
    <row r="224">
      <c r="A224" s="86"/>
      <c r="B224" s="73"/>
      <c r="C224" s="73"/>
      <c r="D224" s="73"/>
      <c r="E224" s="88"/>
      <c r="F224" s="73"/>
      <c r="G224" s="394"/>
      <c r="H224" s="77"/>
      <c r="I224" s="88"/>
      <c r="J224" s="393">
        <v>44246.0</v>
      </c>
      <c r="K224" s="393">
        <f t="shared" si="1"/>
        <v>44247</v>
      </c>
      <c r="L224" s="394" t="str">
        <f>IFERROR(__xludf.DUMMYFUNCTION("JOIN("""", G224:H224)"),"")</f>
        <v/>
      </c>
      <c r="M224" s="80" t="str">
        <f t="shared" si="2"/>
        <v/>
      </c>
    </row>
    <row r="225">
      <c r="A225" s="86"/>
      <c r="B225" s="73"/>
      <c r="C225" s="73"/>
      <c r="D225" s="73"/>
      <c r="E225" s="88"/>
      <c r="F225" s="73"/>
      <c r="G225" s="394"/>
      <c r="H225" s="77"/>
      <c r="I225" s="88"/>
      <c r="J225" s="393">
        <v>44246.0</v>
      </c>
      <c r="K225" s="393">
        <f t="shared" si="1"/>
        <v>44247</v>
      </c>
      <c r="L225" s="394" t="str">
        <f>IFERROR(__xludf.DUMMYFUNCTION("JOIN("""", G225:H225)"),"")</f>
        <v/>
      </c>
      <c r="M225" s="80" t="str">
        <f t="shared" si="2"/>
        <v/>
      </c>
    </row>
    <row r="226">
      <c r="A226" s="86"/>
      <c r="B226" s="73"/>
      <c r="C226" s="73"/>
      <c r="D226" s="73"/>
      <c r="E226" s="88"/>
      <c r="F226" s="73"/>
      <c r="G226" s="394"/>
      <c r="H226" s="77"/>
      <c r="I226" s="88"/>
      <c r="J226" s="393">
        <v>44247.0</v>
      </c>
      <c r="K226" s="393">
        <f t="shared" si="1"/>
        <v>44248</v>
      </c>
      <c r="L226" s="394" t="str">
        <f>IFERROR(__xludf.DUMMYFUNCTION("JOIN("""", G226:H226)"),"")</f>
        <v/>
      </c>
      <c r="M226" s="80" t="str">
        <f t="shared" si="2"/>
        <v/>
      </c>
    </row>
    <row r="227">
      <c r="A227" s="86"/>
      <c r="B227" s="73"/>
      <c r="C227" s="73"/>
      <c r="D227" s="73"/>
      <c r="E227" s="88"/>
      <c r="F227" s="73"/>
      <c r="G227" s="394"/>
      <c r="H227" s="77"/>
      <c r="I227" s="88"/>
      <c r="J227" s="393">
        <v>44247.0</v>
      </c>
      <c r="K227" s="393">
        <f t="shared" si="1"/>
        <v>44248</v>
      </c>
      <c r="L227" s="394" t="str">
        <f>IFERROR(__xludf.DUMMYFUNCTION("JOIN("""", G227:H227)"),"")</f>
        <v/>
      </c>
      <c r="M227" s="80" t="str">
        <f t="shared" si="2"/>
        <v/>
      </c>
    </row>
    <row r="228">
      <c r="A228" s="86"/>
      <c r="B228" s="73"/>
      <c r="C228" s="73"/>
      <c r="D228" s="73"/>
      <c r="E228" s="88"/>
      <c r="F228" s="73"/>
      <c r="G228" s="394"/>
      <c r="H228" s="77"/>
      <c r="I228" s="88"/>
      <c r="J228" s="393">
        <v>44247.0</v>
      </c>
      <c r="K228" s="393">
        <f t="shared" si="1"/>
        <v>44248</v>
      </c>
      <c r="L228" s="394" t="str">
        <f>IFERROR(__xludf.DUMMYFUNCTION("JOIN("""", G228:H228)"),"")</f>
        <v/>
      </c>
      <c r="M228" s="80" t="str">
        <f t="shared" si="2"/>
        <v/>
      </c>
    </row>
    <row r="229">
      <c r="A229" s="86"/>
      <c r="B229" s="73"/>
      <c r="C229" s="73"/>
      <c r="D229" s="73"/>
      <c r="E229" s="88"/>
      <c r="F229" s="73"/>
      <c r="G229" s="394"/>
      <c r="H229" s="77"/>
      <c r="I229" s="88"/>
      <c r="J229" s="393">
        <v>44247.0</v>
      </c>
      <c r="K229" s="393">
        <f t="shared" si="1"/>
        <v>44248</v>
      </c>
      <c r="L229" s="394" t="str">
        <f>IFERROR(__xludf.DUMMYFUNCTION("JOIN("""", G229:H229)"),"")</f>
        <v/>
      </c>
      <c r="M229" s="80" t="str">
        <f t="shared" si="2"/>
        <v/>
      </c>
    </row>
    <row r="230">
      <c r="A230" s="86"/>
      <c r="B230" s="73"/>
      <c r="C230" s="73"/>
      <c r="D230" s="73"/>
      <c r="E230" s="88"/>
      <c r="F230" s="73"/>
      <c r="G230" s="394"/>
      <c r="H230" s="77"/>
      <c r="I230" s="88"/>
      <c r="J230" s="393">
        <v>44247.0</v>
      </c>
      <c r="K230" s="393">
        <f t="shared" si="1"/>
        <v>44248</v>
      </c>
      <c r="L230" s="394" t="str">
        <f>IFERROR(__xludf.DUMMYFUNCTION("JOIN("""", G230:H230)"),"")</f>
        <v/>
      </c>
      <c r="M230" s="80" t="str">
        <f t="shared" si="2"/>
        <v/>
      </c>
    </row>
    <row r="231">
      <c r="A231" s="86"/>
      <c r="B231" s="73"/>
      <c r="C231" s="73"/>
      <c r="D231" s="73"/>
      <c r="E231" s="88"/>
      <c r="F231" s="73"/>
      <c r="G231" s="394"/>
      <c r="H231" s="77"/>
      <c r="I231" s="88"/>
      <c r="J231" s="393">
        <v>44247.0</v>
      </c>
      <c r="K231" s="393">
        <f t="shared" si="1"/>
        <v>44248</v>
      </c>
      <c r="L231" s="394" t="str">
        <f>IFERROR(__xludf.DUMMYFUNCTION("JOIN("""", G231:H231)"),"")</f>
        <v/>
      </c>
      <c r="M231" s="80" t="str">
        <f t="shared" si="2"/>
        <v/>
      </c>
    </row>
    <row r="232">
      <c r="A232" s="86"/>
      <c r="B232" s="73"/>
      <c r="C232" s="73"/>
      <c r="D232" s="73"/>
      <c r="E232" s="88"/>
      <c r="F232" s="73"/>
      <c r="G232" s="394"/>
      <c r="H232" s="77"/>
      <c r="I232" s="88"/>
      <c r="J232" s="393">
        <v>44247.0</v>
      </c>
      <c r="K232" s="393">
        <f t="shared" si="1"/>
        <v>44248</v>
      </c>
      <c r="L232" s="394" t="str">
        <f>IFERROR(__xludf.DUMMYFUNCTION("JOIN("""", G232:H232)"),"")</f>
        <v/>
      </c>
      <c r="M232" s="80" t="str">
        <f t="shared" si="2"/>
        <v/>
      </c>
    </row>
    <row r="233">
      <c r="A233" s="86"/>
      <c r="B233" s="73"/>
      <c r="C233" s="73"/>
      <c r="D233" s="73"/>
      <c r="E233" s="88"/>
      <c r="F233" s="73"/>
      <c r="G233" s="394"/>
      <c r="H233" s="77"/>
      <c r="I233" s="88"/>
      <c r="J233" s="393">
        <v>44247.0</v>
      </c>
      <c r="K233" s="393">
        <f t="shared" si="1"/>
        <v>44248</v>
      </c>
      <c r="L233" s="394" t="str">
        <f>IFERROR(__xludf.DUMMYFUNCTION("JOIN("""", G233:H233)"),"")</f>
        <v/>
      </c>
      <c r="M233" s="80" t="str">
        <f t="shared" si="2"/>
        <v/>
      </c>
    </row>
    <row r="234">
      <c r="A234" s="86"/>
      <c r="B234" s="73"/>
      <c r="C234" s="396"/>
      <c r="D234" s="73"/>
      <c r="E234" s="88"/>
      <c r="F234" s="73"/>
      <c r="G234" s="394"/>
      <c r="H234" s="77"/>
      <c r="I234" s="88"/>
      <c r="J234" s="393">
        <v>44247.0</v>
      </c>
      <c r="K234" s="393">
        <f t="shared" si="1"/>
        <v>44248</v>
      </c>
      <c r="L234" s="394" t="str">
        <f>IFERROR(__xludf.DUMMYFUNCTION("JOIN("""", G234:H234)"),"")</f>
        <v/>
      </c>
      <c r="M234" s="80" t="str">
        <f t="shared" si="2"/>
        <v/>
      </c>
    </row>
    <row r="235">
      <c r="A235" s="86"/>
      <c r="B235" s="396"/>
      <c r="C235" s="396"/>
      <c r="D235" s="73"/>
      <c r="E235" s="88"/>
      <c r="F235" s="73"/>
      <c r="G235" s="394"/>
      <c r="H235" s="77"/>
      <c r="I235" s="88"/>
      <c r="J235" s="393">
        <v>44247.0</v>
      </c>
      <c r="K235" s="393">
        <f t="shared" si="1"/>
        <v>44248</v>
      </c>
      <c r="L235" s="394" t="str">
        <f>IFERROR(__xludf.DUMMYFUNCTION("JOIN("""", G235:H235)"),"")</f>
        <v/>
      </c>
      <c r="M235" s="80" t="str">
        <f t="shared" si="2"/>
        <v/>
      </c>
    </row>
    <row r="236">
      <c r="A236" s="397"/>
      <c r="B236" s="396"/>
      <c r="C236" s="396"/>
      <c r="D236" s="73"/>
      <c r="E236" s="88"/>
      <c r="F236" s="73"/>
      <c r="G236" s="394"/>
      <c r="H236" s="77"/>
      <c r="I236" s="88"/>
      <c r="J236" s="393">
        <v>44248.0</v>
      </c>
      <c r="K236" s="393">
        <f t="shared" si="1"/>
        <v>44249</v>
      </c>
      <c r="L236" s="394" t="str">
        <f>IFERROR(__xludf.DUMMYFUNCTION("JOIN("""", G236:H236)"),"")</f>
        <v/>
      </c>
      <c r="M236" s="80" t="str">
        <f t="shared" si="2"/>
        <v/>
      </c>
    </row>
    <row r="237">
      <c r="A237" s="397"/>
      <c r="B237" s="396"/>
      <c r="C237" s="396"/>
      <c r="D237" s="73"/>
      <c r="E237" s="88"/>
      <c r="F237" s="73"/>
      <c r="G237" s="394"/>
      <c r="H237" s="77"/>
      <c r="I237" s="88"/>
      <c r="J237" s="393">
        <v>44249.0</v>
      </c>
      <c r="K237" s="393">
        <f t="shared" si="1"/>
        <v>44250</v>
      </c>
      <c r="L237" s="394" t="str">
        <f>IFERROR(__xludf.DUMMYFUNCTION("JOIN("""", G237:H237)"),"")</f>
        <v/>
      </c>
      <c r="M237" s="80" t="str">
        <f t="shared" si="2"/>
        <v/>
      </c>
    </row>
    <row r="238">
      <c r="A238" s="397"/>
      <c r="B238" s="396"/>
      <c r="C238" s="396"/>
      <c r="D238" s="73"/>
      <c r="E238" s="88"/>
      <c r="F238" s="73"/>
      <c r="G238" s="394"/>
      <c r="H238" s="77"/>
      <c r="I238" s="88"/>
      <c r="J238" s="393">
        <v>44249.0</v>
      </c>
      <c r="K238" s="393">
        <f t="shared" si="1"/>
        <v>44250</v>
      </c>
      <c r="L238" s="394" t="str">
        <f>IFERROR(__xludf.DUMMYFUNCTION("JOIN("""", G238:H238)"),"")</f>
        <v/>
      </c>
      <c r="M238" s="80" t="str">
        <f t="shared" si="2"/>
        <v/>
      </c>
    </row>
    <row r="239">
      <c r="A239" s="397"/>
      <c r="B239" s="396"/>
      <c r="C239" s="396"/>
      <c r="D239" s="73"/>
      <c r="E239" s="88"/>
      <c r="F239" s="73"/>
      <c r="G239" s="394"/>
      <c r="H239" s="77"/>
      <c r="I239" s="88"/>
      <c r="J239" s="393">
        <v>44249.0</v>
      </c>
      <c r="K239" s="393">
        <f t="shared" si="1"/>
        <v>44250</v>
      </c>
      <c r="L239" s="394" t="str">
        <f>IFERROR(__xludf.DUMMYFUNCTION("JOIN("""", G239:H239)"),"")</f>
        <v/>
      </c>
      <c r="M239" s="80" t="str">
        <f t="shared" si="2"/>
        <v/>
      </c>
    </row>
    <row r="240">
      <c r="A240" s="397"/>
      <c r="B240" s="396"/>
      <c r="C240" s="396"/>
      <c r="D240" s="73"/>
      <c r="E240" s="88"/>
      <c r="F240" s="73"/>
      <c r="G240" s="394"/>
      <c r="H240" s="77"/>
      <c r="I240" s="88"/>
      <c r="J240" s="393">
        <v>44249.0</v>
      </c>
      <c r="K240" s="393">
        <f t="shared" si="1"/>
        <v>44250</v>
      </c>
      <c r="L240" s="394" t="str">
        <f>IFERROR(__xludf.DUMMYFUNCTION("JOIN("""", G240:H240)"),"")</f>
        <v/>
      </c>
      <c r="M240" s="80" t="str">
        <f t="shared" si="2"/>
        <v/>
      </c>
    </row>
    <row r="241">
      <c r="A241" s="397"/>
      <c r="B241" s="396"/>
      <c r="C241" s="396"/>
      <c r="D241" s="73"/>
      <c r="E241" s="88"/>
      <c r="F241" s="73"/>
      <c r="G241" s="394"/>
      <c r="H241" s="77"/>
      <c r="I241" s="88"/>
      <c r="J241" s="393">
        <v>44249.0</v>
      </c>
      <c r="K241" s="393">
        <f t="shared" si="1"/>
        <v>44250</v>
      </c>
      <c r="L241" s="394" t="str">
        <f>IFERROR(__xludf.DUMMYFUNCTION("JOIN("""", G241:H241)"),"")</f>
        <v/>
      </c>
      <c r="M241" s="80" t="str">
        <f t="shared" si="2"/>
        <v/>
      </c>
    </row>
    <row r="242">
      <c r="A242" s="397"/>
      <c r="B242" s="396"/>
      <c r="C242" s="396"/>
      <c r="D242" s="73"/>
      <c r="E242" s="88"/>
      <c r="F242" s="73"/>
      <c r="G242" s="394"/>
      <c r="H242" s="77"/>
      <c r="I242" s="88"/>
      <c r="J242" s="393">
        <v>44249.0</v>
      </c>
      <c r="K242" s="393">
        <f t="shared" si="1"/>
        <v>44250</v>
      </c>
      <c r="L242" s="394" t="str">
        <f>IFERROR(__xludf.DUMMYFUNCTION("JOIN("""", G242:H242)"),"")</f>
        <v/>
      </c>
      <c r="M242" s="80" t="str">
        <f t="shared" si="2"/>
        <v/>
      </c>
    </row>
    <row r="243">
      <c r="A243" s="397"/>
      <c r="B243" s="396"/>
      <c r="C243" s="398"/>
      <c r="D243" s="73"/>
      <c r="E243" s="88"/>
      <c r="F243" s="73"/>
      <c r="G243" s="394"/>
      <c r="H243" s="77"/>
      <c r="I243" s="88"/>
      <c r="J243" s="393">
        <v>44249.0</v>
      </c>
      <c r="K243" s="393">
        <f t="shared" si="1"/>
        <v>44250</v>
      </c>
      <c r="L243" s="394" t="str">
        <f>IFERROR(__xludf.DUMMYFUNCTION("JOIN("""", G243:H243)"),"")</f>
        <v/>
      </c>
      <c r="M243" s="80" t="str">
        <f t="shared" si="2"/>
        <v/>
      </c>
    </row>
    <row r="244">
      <c r="A244" s="86"/>
      <c r="B244" s="73"/>
      <c r="C244" s="73"/>
      <c r="D244" s="73"/>
      <c r="E244" s="88"/>
      <c r="F244" s="73"/>
      <c r="G244" s="394"/>
      <c r="H244" s="77"/>
      <c r="I244" s="88"/>
      <c r="J244" s="393">
        <v>44250.0</v>
      </c>
      <c r="K244" s="393">
        <f t="shared" si="1"/>
        <v>44251</v>
      </c>
      <c r="L244" s="394" t="str">
        <f>IFERROR(__xludf.DUMMYFUNCTION("JOIN("""", G244:H244)"),"")</f>
        <v/>
      </c>
      <c r="M244" s="80" t="str">
        <f t="shared" si="2"/>
        <v/>
      </c>
    </row>
    <row r="245">
      <c r="A245" s="86"/>
      <c r="B245" s="73"/>
      <c r="C245" s="73"/>
      <c r="D245" s="73"/>
      <c r="E245" s="88"/>
      <c r="F245" s="73"/>
      <c r="G245" s="394"/>
      <c r="H245" s="77"/>
      <c r="I245" s="88"/>
      <c r="J245" s="393">
        <v>44250.0</v>
      </c>
      <c r="K245" s="393">
        <f t="shared" si="1"/>
        <v>44251</v>
      </c>
      <c r="L245" s="394" t="str">
        <f>IFERROR(__xludf.DUMMYFUNCTION("JOIN("""", G245:H245)"),"")</f>
        <v/>
      </c>
      <c r="M245" s="80" t="str">
        <f t="shared" si="2"/>
        <v/>
      </c>
    </row>
    <row r="246">
      <c r="A246" s="86"/>
      <c r="B246" s="73"/>
      <c r="C246" s="73"/>
      <c r="D246" s="73"/>
      <c r="E246" s="88"/>
      <c r="F246" s="73"/>
      <c r="G246" s="394"/>
      <c r="H246" s="77"/>
      <c r="I246" s="88"/>
      <c r="J246" s="393">
        <v>44250.0</v>
      </c>
      <c r="K246" s="393">
        <f t="shared" si="1"/>
        <v>44251</v>
      </c>
      <c r="L246" s="394" t="str">
        <f>IFERROR(__xludf.DUMMYFUNCTION("JOIN("""", G246:H246)"),"")</f>
        <v/>
      </c>
      <c r="M246" s="80" t="str">
        <f t="shared" si="2"/>
        <v/>
      </c>
    </row>
    <row r="247">
      <c r="A247" s="86"/>
      <c r="B247" s="73"/>
      <c r="C247" s="73"/>
      <c r="D247" s="73"/>
      <c r="E247" s="88"/>
      <c r="F247" s="73"/>
      <c r="G247" s="394"/>
      <c r="H247" s="77"/>
      <c r="I247" s="88"/>
      <c r="J247" s="393">
        <v>44250.0</v>
      </c>
      <c r="K247" s="393">
        <f t="shared" si="1"/>
        <v>44251</v>
      </c>
      <c r="L247" s="394" t="str">
        <f>IFERROR(__xludf.DUMMYFUNCTION("JOIN("""", G247:H247)"),"")</f>
        <v/>
      </c>
      <c r="M247" s="80" t="str">
        <f t="shared" si="2"/>
        <v/>
      </c>
    </row>
    <row r="248">
      <c r="A248" s="86"/>
      <c r="B248" s="73"/>
      <c r="C248" s="73"/>
      <c r="D248" s="73"/>
      <c r="E248" s="88"/>
      <c r="F248" s="73"/>
      <c r="G248" s="394"/>
      <c r="H248" s="77"/>
      <c r="I248" s="88"/>
      <c r="J248" s="393">
        <v>44250.0</v>
      </c>
      <c r="K248" s="393">
        <f t="shared" si="1"/>
        <v>44251</v>
      </c>
      <c r="L248" s="394" t="str">
        <f>IFERROR(__xludf.DUMMYFUNCTION("JOIN("""", G248:H248)"),"")</f>
        <v/>
      </c>
      <c r="M248" s="80" t="str">
        <f t="shared" si="2"/>
        <v/>
      </c>
    </row>
    <row r="249">
      <c r="A249" s="86"/>
      <c r="B249" s="73"/>
      <c r="C249" s="73"/>
      <c r="D249" s="73"/>
      <c r="E249" s="88"/>
      <c r="F249" s="73"/>
      <c r="G249" s="394"/>
      <c r="H249" s="77"/>
      <c r="I249" s="88"/>
      <c r="J249" s="393">
        <v>44251.0</v>
      </c>
      <c r="K249" s="393">
        <f t="shared" si="1"/>
        <v>44252</v>
      </c>
      <c r="L249" s="394" t="str">
        <f>IFERROR(__xludf.DUMMYFUNCTION("JOIN("""", G249:H249)"),"")</f>
        <v/>
      </c>
      <c r="M249" s="80" t="str">
        <f t="shared" si="2"/>
        <v/>
      </c>
    </row>
    <row r="250">
      <c r="A250" s="86"/>
      <c r="B250" s="73"/>
      <c r="C250" s="73"/>
      <c r="D250" s="73"/>
      <c r="E250" s="88"/>
      <c r="F250" s="73"/>
      <c r="G250" s="394"/>
      <c r="H250" s="77"/>
      <c r="I250" s="88"/>
      <c r="J250" s="393">
        <v>44250.0</v>
      </c>
      <c r="K250" s="393">
        <f t="shared" si="1"/>
        <v>44251</v>
      </c>
      <c r="L250" s="394" t="str">
        <f>IFERROR(__xludf.DUMMYFUNCTION("JOIN("""", G250:H250)"),"")</f>
        <v/>
      </c>
      <c r="M250" s="80" t="str">
        <f t="shared" si="2"/>
        <v/>
      </c>
    </row>
    <row r="251">
      <c r="A251" s="86"/>
      <c r="B251" s="73"/>
      <c r="C251" s="73"/>
      <c r="D251" s="73"/>
      <c r="E251" s="88"/>
      <c r="F251" s="73"/>
      <c r="G251" s="394"/>
      <c r="H251" s="77"/>
      <c r="I251" s="88"/>
      <c r="J251" s="393">
        <v>44251.0</v>
      </c>
      <c r="K251" s="393">
        <f t="shared" si="1"/>
        <v>44252</v>
      </c>
      <c r="L251" s="394" t="str">
        <f>IFERROR(__xludf.DUMMYFUNCTION("JOIN("""", G251:H251)"),"")</f>
        <v/>
      </c>
      <c r="M251" s="80" t="str">
        <f t="shared" si="2"/>
        <v/>
      </c>
    </row>
    <row r="252">
      <c r="A252" s="86"/>
      <c r="B252" s="73"/>
      <c r="C252" s="73"/>
      <c r="D252" s="73"/>
      <c r="E252" s="88"/>
      <c r="F252" s="73"/>
      <c r="G252" s="394"/>
      <c r="H252" s="77"/>
      <c r="I252" s="88"/>
      <c r="J252" s="393">
        <v>44251.0</v>
      </c>
      <c r="K252" s="393">
        <f t="shared" si="1"/>
        <v>44252</v>
      </c>
      <c r="L252" s="394" t="str">
        <f>IFERROR(__xludf.DUMMYFUNCTION("JOIN("""", G252:H252)"),"")</f>
        <v/>
      </c>
      <c r="M252" s="80" t="str">
        <f t="shared" si="2"/>
        <v/>
      </c>
    </row>
    <row r="253">
      <c r="A253" s="86"/>
      <c r="B253" s="73"/>
      <c r="C253" s="73"/>
      <c r="D253" s="73"/>
      <c r="E253" s="88"/>
      <c r="F253" s="73"/>
      <c r="G253" s="394"/>
      <c r="H253" s="77"/>
      <c r="I253" s="88"/>
      <c r="J253" s="393">
        <v>44251.0</v>
      </c>
      <c r="K253" s="393">
        <f t="shared" si="1"/>
        <v>44252</v>
      </c>
      <c r="L253" s="394" t="str">
        <f>IFERROR(__xludf.DUMMYFUNCTION("JOIN("""", G253:H253)"),"")</f>
        <v/>
      </c>
      <c r="M253" s="80" t="str">
        <f t="shared" si="2"/>
        <v/>
      </c>
    </row>
    <row r="254">
      <c r="A254" s="86"/>
      <c r="B254" s="73"/>
      <c r="C254" s="73"/>
      <c r="D254" s="73"/>
      <c r="E254" s="88"/>
      <c r="F254" s="73"/>
      <c r="G254" s="394"/>
      <c r="H254" s="77"/>
      <c r="I254" s="88"/>
      <c r="J254" s="393">
        <v>44274.0</v>
      </c>
      <c r="K254" s="393">
        <f t="shared" si="1"/>
        <v>44275</v>
      </c>
      <c r="L254" s="394" t="str">
        <f>IFERROR(__xludf.DUMMYFUNCTION("JOIN("""", G254:H254)"),"")</f>
        <v/>
      </c>
      <c r="M254" s="80" t="str">
        <f t="shared" si="2"/>
        <v/>
      </c>
    </row>
    <row r="255">
      <c r="A255" s="86"/>
      <c r="B255" s="73"/>
      <c r="C255" s="73"/>
      <c r="D255" s="73"/>
      <c r="E255" s="88"/>
      <c r="F255" s="73"/>
      <c r="G255" s="394"/>
      <c r="H255" s="77"/>
      <c r="I255" s="88"/>
      <c r="J255" s="393">
        <v>44251.0</v>
      </c>
      <c r="K255" s="393">
        <f t="shared" si="1"/>
        <v>44252</v>
      </c>
      <c r="L255" s="394" t="str">
        <f>IFERROR(__xludf.DUMMYFUNCTION("JOIN("""", G255:H255)"),"")</f>
        <v/>
      </c>
      <c r="M255" s="80" t="str">
        <f t="shared" si="2"/>
        <v/>
      </c>
    </row>
    <row r="256">
      <c r="A256" s="86"/>
      <c r="B256" s="73"/>
      <c r="C256" s="73"/>
      <c r="D256" s="73"/>
      <c r="E256" s="88"/>
      <c r="F256" s="73"/>
      <c r="G256" s="394"/>
      <c r="H256" s="77"/>
      <c r="I256" s="88"/>
      <c r="J256" s="393">
        <v>44251.0</v>
      </c>
      <c r="K256" s="393">
        <f t="shared" si="1"/>
        <v>44252</v>
      </c>
      <c r="L256" s="394" t="str">
        <f>IFERROR(__xludf.DUMMYFUNCTION("JOIN("""", G256:H256)"),"")</f>
        <v/>
      </c>
      <c r="M256" s="80" t="str">
        <f t="shared" si="2"/>
        <v/>
      </c>
    </row>
    <row r="257">
      <c r="A257" s="86"/>
      <c r="B257" s="73"/>
      <c r="C257" s="73"/>
      <c r="D257" s="73"/>
      <c r="E257" s="88"/>
      <c r="F257" s="73"/>
      <c r="G257" s="394"/>
      <c r="H257" s="77"/>
      <c r="I257" s="88"/>
      <c r="J257" s="393">
        <v>44251.0</v>
      </c>
      <c r="K257" s="393">
        <f t="shared" si="1"/>
        <v>44252</v>
      </c>
      <c r="L257" s="394" t="str">
        <f>IFERROR(__xludf.DUMMYFUNCTION("JOIN("""", G257:H257)"),"")</f>
        <v/>
      </c>
      <c r="M257" s="80" t="str">
        <f t="shared" si="2"/>
        <v/>
      </c>
    </row>
    <row r="258">
      <c r="A258" s="86"/>
      <c r="B258" s="73"/>
      <c r="C258" s="73"/>
      <c r="D258" s="73"/>
      <c r="E258" s="88"/>
      <c r="F258" s="73"/>
      <c r="G258" s="394"/>
      <c r="H258" s="77"/>
      <c r="I258" s="88"/>
      <c r="J258" s="393">
        <v>44251.0</v>
      </c>
      <c r="K258" s="393">
        <f t="shared" si="1"/>
        <v>44252</v>
      </c>
      <c r="L258" s="394" t="str">
        <f>IFERROR(__xludf.DUMMYFUNCTION("JOIN("""", G258:H258)"),"")</f>
        <v/>
      </c>
      <c r="M258" s="80" t="str">
        <f t="shared" si="2"/>
        <v/>
      </c>
    </row>
    <row r="259">
      <c r="A259" s="86"/>
      <c r="B259" s="73"/>
      <c r="C259" s="73"/>
      <c r="D259" s="73"/>
      <c r="E259" s="88"/>
      <c r="F259" s="73"/>
      <c r="G259" s="394"/>
      <c r="H259" s="77"/>
      <c r="I259" s="88"/>
      <c r="J259" s="393">
        <v>44251.0</v>
      </c>
      <c r="K259" s="393">
        <f t="shared" si="1"/>
        <v>44252</v>
      </c>
      <c r="L259" s="394" t="str">
        <f>IFERROR(__xludf.DUMMYFUNCTION("JOIN("""", G259:H259)"),"")</f>
        <v/>
      </c>
      <c r="M259" s="80" t="str">
        <f t="shared" si="2"/>
        <v/>
      </c>
    </row>
    <row r="260">
      <c r="A260" s="86"/>
      <c r="B260" s="73"/>
      <c r="C260" s="73"/>
      <c r="D260" s="73"/>
      <c r="E260" s="88"/>
      <c r="F260" s="73"/>
      <c r="G260" s="394"/>
      <c r="H260" s="77"/>
      <c r="I260" s="88"/>
      <c r="J260" s="393">
        <v>44251.0</v>
      </c>
      <c r="K260" s="393">
        <f t="shared" si="1"/>
        <v>44252</v>
      </c>
      <c r="L260" s="394" t="str">
        <f>IFERROR(__xludf.DUMMYFUNCTION("JOIN("""", G260:H260)"),"")</f>
        <v/>
      </c>
      <c r="M260" s="80" t="str">
        <f t="shared" si="2"/>
        <v/>
      </c>
    </row>
    <row r="261">
      <c r="A261" s="86"/>
      <c r="B261" s="73"/>
      <c r="C261" s="73"/>
      <c r="D261" s="73"/>
      <c r="E261" s="88"/>
      <c r="F261" s="73"/>
      <c r="G261" s="394"/>
      <c r="H261" s="77"/>
      <c r="I261" s="88"/>
      <c r="J261" s="393">
        <v>44251.0</v>
      </c>
      <c r="K261" s="393">
        <f t="shared" si="1"/>
        <v>44252</v>
      </c>
      <c r="L261" s="394" t="str">
        <f>IFERROR(__xludf.DUMMYFUNCTION("JOIN("""", G261:H261)"),"")</f>
        <v/>
      </c>
      <c r="M261" s="80" t="str">
        <f t="shared" si="2"/>
        <v/>
      </c>
    </row>
    <row r="262">
      <c r="A262" s="86"/>
      <c r="B262" s="73"/>
      <c r="C262" s="73"/>
      <c r="D262" s="73"/>
      <c r="E262" s="88"/>
      <c r="F262" s="73"/>
      <c r="G262" s="394"/>
      <c r="H262" s="77"/>
      <c r="I262" s="88"/>
      <c r="J262" s="393">
        <v>44287.0</v>
      </c>
      <c r="K262" s="393">
        <f t="shared" si="1"/>
        <v>44288</v>
      </c>
      <c r="L262" s="394" t="str">
        <f>IFERROR(__xludf.DUMMYFUNCTION("JOIN("""", G262:H262)"),"")</f>
        <v/>
      </c>
      <c r="M262" s="80" t="str">
        <f t="shared" si="2"/>
        <v/>
      </c>
    </row>
    <row r="263">
      <c r="A263" s="86"/>
      <c r="B263" s="73"/>
      <c r="C263" s="73"/>
      <c r="D263" s="73"/>
      <c r="E263" s="88"/>
      <c r="F263" s="73"/>
      <c r="G263" s="394"/>
      <c r="H263" s="77"/>
      <c r="I263" s="88"/>
      <c r="J263" s="393">
        <v>44253.0</v>
      </c>
      <c r="K263" s="393">
        <f t="shared" si="1"/>
        <v>44254</v>
      </c>
      <c r="L263" s="394" t="str">
        <f>IFERROR(__xludf.DUMMYFUNCTION("JOIN("""", G263:H263)"),"")</f>
        <v/>
      </c>
      <c r="M263" s="80" t="str">
        <f t="shared" si="2"/>
        <v/>
      </c>
    </row>
    <row r="264">
      <c r="A264" s="86"/>
      <c r="B264" s="73"/>
      <c r="C264" s="73"/>
      <c r="D264" s="73"/>
      <c r="E264" s="88"/>
      <c r="F264" s="73"/>
      <c r="G264" s="394"/>
      <c r="H264" s="77"/>
      <c r="I264" s="88"/>
      <c r="J264" s="393">
        <v>44253.0</v>
      </c>
      <c r="K264" s="393">
        <f t="shared" si="1"/>
        <v>44254</v>
      </c>
      <c r="L264" s="394" t="str">
        <f>IFERROR(__xludf.DUMMYFUNCTION("JOIN("""", G264:H264)"),"")</f>
        <v/>
      </c>
      <c r="M264" s="80" t="str">
        <f t="shared" si="2"/>
        <v/>
      </c>
    </row>
    <row r="265">
      <c r="A265" s="86"/>
      <c r="B265" s="73"/>
      <c r="C265" s="73"/>
      <c r="D265" s="73"/>
      <c r="E265" s="88"/>
      <c r="F265" s="73"/>
      <c r="G265" s="394"/>
      <c r="H265" s="77"/>
      <c r="I265" s="88"/>
      <c r="J265" s="393">
        <v>44257.0</v>
      </c>
      <c r="K265" s="393">
        <f t="shared" si="1"/>
        <v>44258</v>
      </c>
      <c r="L265" s="394" t="str">
        <f>IFERROR(__xludf.DUMMYFUNCTION("JOIN("""", G265:H265)"),"")</f>
        <v/>
      </c>
      <c r="M265" s="80" t="str">
        <f t="shared" si="2"/>
        <v/>
      </c>
    </row>
    <row r="266">
      <c r="A266" s="86"/>
      <c r="B266" s="73"/>
      <c r="C266" s="73"/>
      <c r="D266" s="73"/>
      <c r="E266" s="88"/>
      <c r="F266" s="73"/>
      <c r="G266" s="394"/>
      <c r="H266" s="77"/>
      <c r="I266" s="88"/>
      <c r="J266" s="393">
        <v>44257.0</v>
      </c>
      <c r="K266" s="393">
        <f t="shared" si="1"/>
        <v>44258</v>
      </c>
      <c r="L266" s="394" t="str">
        <f>IFERROR(__xludf.DUMMYFUNCTION("JOIN("""", G266:H266)"),"")</f>
        <v/>
      </c>
      <c r="M266" s="80" t="str">
        <f t="shared" si="2"/>
        <v/>
      </c>
    </row>
    <row r="267">
      <c r="A267" s="86"/>
      <c r="B267" s="73"/>
      <c r="C267" s="73"/>
      <c r="D267" s="73"/>
      <c r="E267" s="88"/>
      <c r="F267" s="73"/>
      <c r="G267" s="394"/>
      <c r="H267" s="77"/>
      <c r="I267" s="88"/>
      <c r="J267" s="393">
        <v>44268.0</v>
      </c>
      <c r="K267" s="393">
        <f t="shared" si="1"/>
        <v>44269</v>
      </c>
      <c r="L267" s="394" t="str">
        <f>IFERROR(__xludf.DUMMYFUNCTION("JOIN("""", G267:H267)"),"")</f>
        <v/>
      </c>
      <c r="M267" s="80" t="str">
        <f t="shared" si="2"/>
        <v/>
      </c>
    </row>
    <row r="268">
      <c r="A268" s="86"/>
      <c r="B268" s="73"/>
      <c r="C268" s="73"/>
      <c r="D268" s="73"/>
      <c r="E268" s="88"/>
      <c r="F268" s="73"/>
      <c r="G268" s="394"/>
      <c r="H268" s="77"/>
      <c r="I268" s="88"/>
      <c r="J268" s="393">
        <v>44257.0</v>
      </c>
      <c r="K268" s="393">
        <f t="shared" si="1"/>
        <v>44258</v>
      </c>
      <c r="L268" s="394" t="str">
        <f>IFERROR(__xludf.DUMMYFUNCTION("JOIN("""", G268:H268)"),"")</f>
        <v/>
      </c>
      <c r="M268" s="80" t="str">
        <f t="shared" si="2"/>
        <v/>
      </c>
    </row>
    <row r="269">
      <c r="A269" s="86"/>
      <c r="B269" s="73"/>
      <c r="C269" s="73"/>
      <c r="D269" s="73"/>
      <c r="E269" s="88"/>
      <c r="F269" s="73"/>
      <c r="G269" s="394"/>
      <c r="H269" s="77"/>
      <c r="I269" s="88"/>
      <c r="J269" s="393">
        <v>44257.0</v>
      </c>
      <c r="K269" s="393">
        <f t="shared" si="1"/>
        <v>44258</v>
      </c>
      <c r="L269" s="394" t="str">
        <f>IFERROR(__xludf.DUMMYFUNCTION("JOIN("""", G269:H269)"),"")</f>
        <v/>
      </c>
      <c r="M269" s="80" t="str">
        <f t="shared" si="2"/>
        <v/>
      </c>
    </row>
    <row r="270">
      <c r="A270" s="86"/>
      <c r="B270" s="73"/>
      <c r="C270" s="73"/>
      <c r="D270" s="73"/>
      <c r="E270" s="88"/>
      <c r="F270" s="73"/>
      <c r="G270" s="394"/>
      <c r="H270" s="77"/>
      <c r="I270" s="88"/>
      <c r="J270" s="393">
        <v>44257.0</v>
      </c>
      <c r="K270" s="393">
        <f t="shared" si="1"/>
        <v>44258</v>
      </c>
      <c r="L270" s="394" t="str">
        <f>IFERROR(__xludf.DUMMYFUNCTION("JOIN("""", G270:H270)"),"")</f>
        <v/>
      </c>
      <c r="M270" s="80" t="str">
        <f t="shared" si="2"/>
        <v/>
      </c>
    </row>
    <row r="271">
      <c r="A271" s="86"/>
      <c r="B271" s="73"/>
      <c r="C271" s="73"/>
      <c r="D271" s="73"/>
      <c r="E271" s="88"/>
      <c r="F271" s="73"/>
      <c r="G271" s="394"/>
      <c r="H271" s="77"/>
      <c r="I271" s="88"/>
      <c r="J271" s="393">
        <v>44257.0</v>
      </c>
      <c r="K271" s="393">
        <f t="shared" si="1"/>
        <v>44258</v>
      </c>
      <c r="L271" s="394" t="str">
        <f>IFERROR(__xludf.DUMMYFUNCTION("JOIN("""", G271:H271)"),"")</f>
        <v/>
      </c>
      <c r="M271" s="80" t="str">
        <f t="shared" si="2"/>
        <v/>
      </c>
    </row>
    <row r="272">
      <c r="A272" s="86"/>
      <c r="B272" s="73"/>
      <c r="C272" s="73"/>
      <c r="D272" s="73"/>
      <c r="E272" s="88"/>
      <c r="F272" s="73"/>
      <c r="G272" s="394"/>
      <c r="H272" s="77"/>
      <c r="I272" s="88"/>
      <c r="J272" s="393">
        <v>44257.0</v>
      </c>
      <c r="K272" s="393">
        <f t="shared" si="1"/>
        <v>44258</v>
      </c>
      <c r="L272" s="394" t="str">
        <f>IFERROR(__xludf.DUMMYFUNCTION("JOIN("""", G272:H272)"),"")</f>
        <v/>
      </c>
      <c r="M272" s="80" t="str">
        <f t="shared" si="2"/>
        <v/>
      </c>
    </row>
    <row r="273">
      <c r="A273" s="86"/>
      <c r="B273" s="73"/>
      <c r="C273" s="73"/>
      <c r="D273" s="73"/>
      <c r="E273" s="88"/>
      <c r="F273" s="73"/>
      <c r="G273" s="394"/>
      <c r="H273" s="77"/>
      <c r="I273" s="88"/>
      <c r="J273" s="393">
        <v>44257.0</v>
      </c>
      <c r="K273" s="393">
        <f t="shared" si="1"/>
        <v>44258</v>
      </c>
      <c r="L273" s="394" t="str">
        <f>IFERROR(__xludf.DUMMYFUNCTION("JOIN("""", G273:H273)"),"")</f>
        <v/>
      </c>
      <c r="M273" s="80" t="str">
        <f t="shared" si="2"/>
        <v/>
      </c>
    </row>
    <row r="274">
      <c r="A274" s="86"/>
      <c r="B274" s="73"/>
      <c r="C274" s="73"/>
      <c r="D274" s="73"/>
      <c r="E274" s="88"/>
      <c r="F274" s="73"/>
      <c r="G274" s="394"/>
      <c r="H274" s="77"/>
      <c r="I274" s="88"/>
      <c r="J274" s="393">
        <v>44257.0</v>
      </c>
      <c r="K274" s="393">
        <f t="shared" si="1"/>
        <v>44258</v>
      </c>
      <c r="L274" s="394" t="str">
        <f>IFERROR(__xludf.DUMMYFUNCTION("JOIN("""", G274:H274)"),"")</f>
        <v/>
      </c>
      <c r="M274" s="80" t="str">
        <f t="shared" si="2"/>
        <v/>
      </c>
    </row>
    <row r="275">
      <c r="A275" s="86"/>
      <c r="B275" s="73"/>
      <c r="C275" s="73"/>
      <c r="D275" s="73"/>
      <c r="E275" s="88"/>
      <c r="F275" s="73"/>
      <c r="G275" s="394"/>
      <c r="H275" s="77"/>
      <c r="I275" s="88"/>
      <c r="J275" s="393">
        <v>44268.0</v>
      </c>
      <c r="K275" s="393">
        <f t="shared" si="1"/>
        <v>44269</v>
      </c>
      <c r="L275" s="394" t="str">
        <f>IFERROR(__xludf.DUMMYFUNCTION("JOIN("""", G275:H275)"),"")</f>
        <v/>
      </c>
      <c r="M275" s="80" t="str">
        <f t="shared" si="2"/>
        <v/>
      </c>
    </row>
    <row r="276">
      <c r="A276" s="86"/>
      <c r="B276" s="73"/>
      <c r="C276" s="73"/>
      <c r="D276" s="73"/>
      <c r="E276" s="88"/>
      <c r="F276" s="73"/>
      <c r="G276" s="394"/>
      <c r="H276" s="77"/>
      <c r="I276" s="88"/>
      <c r="J276" s="393">
        <v>44261.0</v>
      </c>
      <c r="K276" s="393">
        <f t="shared" si="1"/>
        <v>44262</v>
      </c>
      <c r="L276" s="394" t="str">
        <f>IFERROR(__xludf.DUMMYFUNCTION("JOIN("""", G276:H276)"),"")</f>
        <v/>
      </c>
      <c r="M276" s="80" t="str">
        <f t="shared" si="2"/>
        <v/>
      </c>
    </row>
    <row r="277">
      <c r="A277" s="86"/>
      <c r="B277" s="73"/>
      <c r="C277" s="73"/>
      <c r="D277" s="73"/>
      <c r="E277" s="88"/>
      <c r="F277" s="73"/>
      <c r="G277" s="394"/>
      <c r="H277" s="77"/>
      <c r="I277" s="88"/>
      <c r="J277" s="393">
        <v>44257.0</v>
      </c>
      <c r="K277" s="393">
        <f t="shared" si="1"/>
        <v>44258</v>
      </c>
      <c r="L277" s="394" t="str">
        <f>IFERROR(__xludf.DUMMYFUNCTION("JOIN("""", G277:H277)"),"")</f>
        <v/>
      </c>
      <c r="M277" s="80" t="str">
        <f t="shared" si="2"/>
        <v/>
      </c>
    </row>
    <row r="278">
      <c r="A278" s="86"/>
      <c r="B278" s="73"/>
      <c r="C278" s="73"/>
      <c r="D278" s="73"/>
      <c r="E278" s="88"/>
      <c r="F278" s="73"/>
      <c r="G278" s="394"/>
      <c r="H278" s="77"/>
      <c r="I278" s="88"/>
      <c r="J278" s="393">
        <v>44257.0</v>
      </c>
      <c r="K278" s="393">
        <f t="shared" si="1"/>
        <v>44258</v>
      </c>
      <c r="L278" s="394" t="str">
        <f>IFERROR(__xludf.DUMMYFUNCTION("JOIN("""", G278:H278)"),"")</f>
        <v/>
      </c>
      <c r="M278" s="80" t="str">
        <f t="shared" si="2"/>
        <v/>
      </c>
    </row>
    <row r="279">
      <c r="A279" s="86"/>
      <c r="B279" s="73"/>
      <c r="C279" s="73"/>
      <c r="D279" s="73"/>
      <c r="E279" s="88"/>
      <c r="F279" s="73"/>
      <c r="G279" s="394"/>
      <c r="H279" s="77"/>
      <c r="I279" s="88"/>
      <c r="J279" s="393">
        <v>44257.0</v>
      </c>
      <c r="K279" s="393">
        <f t="shared" si="1"/>
        <v>44258</v>
      </c>
      <c r="L279" s="394" t="str">
        <f>IFERROR(__xludf.DUMMYFUNCTION("JOIN("""", G279:H279)"),"")</f>
        <v/>
      </c>
      <c r="M279" s="80" t="str">
        <f t="shared" si="2"/>
        <v/>
      </c>
    </row>
    <row r="280">
      <c r="A280" s="86"/>
      <c r="B280" s="73"/>
      <c r="C280" s="73"/>
      <c r="D280" s="73"/>
      <c r="E280" s="88"/>
      <c r="F280" s="73"/>
      <c r="G280" s="394"/>
      <c r="H280" s="77"/>
      <c r="I280" s="88"/>
      <c r="J280" s="393">
        <v>44273.0</v>
      </c>
      <c r="K280" s="393">
        <f t="shared" si="1"/>
        <v>44274</v>
      </c>
      <c r="L280" s="394" t="str">
        <f>IFERROR(__xludf.DUMMYFUNCTION("JOIN("""", G280:H280)"),"")</f>
        <v/>
      </c>
      <c r="M280" s="80" t="str">
        <f t="shared" si="2"/>
        <v/>
      </c>
    </row>
    <row r="281">
      <c r="A281" s="86"/>
      <c r="B281" s="73"/>
      <c r="C281" s="73"/>
      <c r="D281" s="73"/>
      <c r="E281" s="88"/>
      <c r="F281" s="73"/>
      <c r="G281" s="394"/>
      <c r="H281" s="77"/>
      <c r="I281" s="88"/>
      <c r="J281" s="393">
        <v>44257.0</v>
      </c>
      <c r="K281" s="393">
        <f t="shared" si="1"/>
        <v>44258</v>
      </c>
      <c r="L281" s="394" t="str">
        <f>IFERROR(__xludf.DUMMYFUNCTION("JOIN("""", G281:H281)"),"")</f>
        <v/>
      </c>
      <c r="M281" s="80" t="str">
        <f t="shared" si="2"/>
        <v/>
      </c>
    </row>
    <row r="282">
      <c r="A282" s="86"/>
      <c r="B282" s="73"/>
      <c r="C282" s="73"/>
      <c r="D282" s="73"/>
      <c r="E282" s="88"/>
      <c r="F282" s="73"/>
      <c r="G282" s="394"/>
      <c r="H282" s="77"/>
      <c r="I282" s="88"/>
      <c r="J282" s="393">
        <v>44257.0</v>
      </c>
      <c r="K282" s="393">
        <f t="shared" si="1"/>
        <v>44258</v>
      </c>
      <c r="L282" s="394" t="str">
        <f>IFERROR(__xludf.DUMMYFUNCTION("JOIN("""", G282:H282)"),"")</f>
        <v/>
      </c>
      <c r="M282" s="80" t="str">
        <f t="shared" si="2"/>
        <v/>
      </c>
    </row>
    <row r="283">
      <c r="A283" s="86"/>
      <c r="B283" s="73"/>
      <c r="C283" s="73"/>
      <c r="D283" s="73"/>
      <c r="E283" s="88"/>
      <c r="F283" s="73"/>
      <c r="G283" s="394"/>
      <c r="H283" s="77"/>
      <c r="I283" s="88"/>
      <c r="J283" s="393">
        <v>44257.0</v>
      </c>
      <c r="K283" s="393">
        <f t="shared" si="1"/>
        <v>44258</v>
      </c>
      <c r="L283" s="394" t="str">
        <f>IFERROR(__xludf.DUMMYFUNCTION("JOIN("""", G283:H283)"),"")</f>
        <v/>
      </c>
      <c r="M283" s="80" t="str">
        <f t="shared" si="2"/>
        <v/>
      </c>
    </row>
    <row r="284">
      <c r="A284" s="86"/>
      <c r="B284" s="73"/>
      <c r="C284" s="73"/>
      <c r="D284" s="73"/>
      <c r="E284" s="88"/>
      <c r="F284" s="73"/>
      <c r="G284" s="394"/>
      <c r="H284" s="77"/>
      <c r="I284" s="88"/>
      <c r="J284" s="393">
        <v>44257.0</v>
      </c>
      <c r="K284" s="393">
        <f t="shared" si="1"/>
        <v>44258</v>
      </c>
      <c r="L284" s="394" t="str">
        <f>IFERROR(__xludf.DUMMYFUNCTION("JOIN("""", G284:H284)"),"")</f>
        <v/>
      </c>
      <c r="M284" s="80" t="str">
        <f t="shared" si="2"/>
        <v/>
      </c>
    </row>
    <row r="285">
      <c r="A285" s="86"/>
      <c r="B285" s="73"/>
      <c r="C285" s="73"/>
      <c r="D285" s="73"/>
      <c r="E285" s="88"/>
      <c r="F285" s="73"/>
      <c r="G285" s="394"/>
      <c r="H285" s="77"/>
      <c r="I285" s="88"/>
      <c r="J285" s="393">
        <v>44257.0</v>
      </c>
      <c r="K285" s="393">
        <f t="shared" si="1"/>
        <v>44258</v>
      </c>
      <c r="L285" s="394" t="str">
        <f>IFERROR(__xludf.DUMMYFUNCTION("JOIN("""", G285:H285)"),"")</f>
        <v/>
      </c>
      <c r="M285" s="80" t="str">
        <f t="shared" si="2"/>
        <v/>
      </c>
    </row>
    <row r="286">
      <c r="A286" s="86"/>
      <c r="B286" s="73"/>
      <c r="C286" s="73"/>
      <c r="D286" s="73"/>
      <c r="E286" s="88"/>
      <c r="F286" s="73"/>
      <c r="G286" s="394"/>
      <c r="H286" s="77"/>
      <c r="I286" s="88"/>
      <c r="J286" s="393">
        <v>44286.0</v>
      </c>
      <c r="K286" s="393">
        <f t="shared" si="1"/>
        <v>44287</v>
      </c>
      <c r="L286" s="394" t="str">
        <f>IFERROR(__xludf.DUMMYFUNCTION("JOIN("""", G286:H286)"),"")</f>
        <v/>
      </c>
      <c r="M286" s="80" t="str">
        <f t="shared" si="2"/>
        <v/>
      </c>
    </row>
    <row r="287">
      <c r="A287" s="86"/>
      <c r="B287" s="73"/>
      <c r="C287" s="73"/>
      <c r="D287" s="73"/>
      <c r="E287" s="88"/>
      <c r="F287" s="73"/>
      <c r="G287" s="394"/>
      <c r="H287" s="77"/>
      <c r="I287" s="88"/>
      <c r="J287" s="393">
        <v>44257.0</v>
      </c>
      <c r="K287" s="393">
        <f t="shared" si="1"/>
        <v>44258</v>
      </c>
      <c r="L287" s="394" t="str">
        <f>IFERROR(__xludf.DUMMYFUNCTION("JOIN("""", G287:H287)"),"")</f>
        <v/>
      </c>
      <c r="M287" s="80" t="str">
        <f t="shared" si="2"/>
        <v/>
      </c>
    </row>
    <row r="288">
      <c r="A288" s="86"/>
      <c r="B288" s="73"/>
      <c r="C288" s="73"/>
      <c r="D288" s="73"/>
      <c r="E288" s="88"/>
      <c r="F288" s="73"/>
      <c r="G288" s="394"/>
      <c r="H288" s="77"/>
      <c r="I288" s="88"/>
      <c r="J288" s="393">
        <v>44257.0</v>
      </c>
      <c r="K288" s="393">
        <f t="shared" si="1"/>
        <v>44258</v>
      </c>
      <c r="L288" s="394" t="str">
        <f>IFERROR(__xludf.DUMMYFUNCTION("JOIN("""", G288:H288)"),"")</f>
        <v/>
      </c>
      <c r="M288" s="80" t="str">
        <f t="shared" si="2"/>
        <v/>
      </c>
    </row>
    <row r="289">
      <c r="A289" s="86"/>
      <c r="B289" s="73"/>
      <c r="C289" s="73"/>
      <c r="D289" s="73"/>
      <c r="E289" s="88"/>
      <c r="F289" s="73"/>
      <c r="G289" s="394"/>
      <c r="H289" s="77"/>
      <c r="I289" s="88"/>
      <c r="J289" s="393">
        <v>44257.0</v>
      </c>
      <c r="K289" s="393">
        <f t="shared" si="1"/>
        <v>44258</v>
      </c>
      <c r="L289" s="394" t="str">
        <f>IFERROR(__xludf.DUMMYFUNCTION("JOIN("""", G289:H289)"),"")</f>
        <v/>
      </c>
      <c r="M289" s="80" t="str">
        <f t="shared" si="2"/>
        <v/>
      </c>
    </row>
    <row r="290">
      <c r="A290" s="86"/>
      <c r="B290" s="73"/>
      <c r="C290" s="73"/>
      <c r="D290" s="73"/>
      <c r="E290" s="88"/>
      <c r="F290" s="73"/>
      <c r="G290" s="394"/>
      <c r="H290" s="77"/>
      <c r="I290" s="88"/>
      <c r="J290" s="393">
        <v>44257.0</v>
      </c>
      <c r="K290" s="393">
        <f t="shared" si="1"/>
        <v>44258</v>
      </c>
      <c r="L290" s="394" t="str">
        <f>IFERROR(__xludf.DUMMYFUNCTION("JOIN("""", G290:H290)"),"")</f>
        <v/>
      </c>
      <c r="M290" s="80" t="str">
        <f t="shared" si="2"/>
        <v/>
      </c>
    </row>
    <row r="291">
      <c r="A291" s="86"/>
      <c r="B291" s="73"/>
      <c r="C291" s="73"/>
      <c r="D291" s="73"/>
      <c r="E291" s="88"/>
      <c r="F291" s="73"/>
      <c r="G291" s="394"/>
      <c r="H291" s="77"/>
      <c r="I291" s="88"/>
      <c r="J291" s="393">
        <v>44257.0</v>
      </c>
      <c r="K291" s="393">
        <f t="shared" si="1"/>
        <v>44258</v>
      </c>
      <c r="L291" s="394" t="str">
        <f>IFERROR(__xludf.DUMMYFUNCTION("JOIN("""", G291:H291)"),"")</f>
        <v/>
      </c>
      <c r="M291" s="80" t="str">
        <f t="shared" si="2"/>
        <v/>
      </c>
    </row>
    <row r="292">
      <c r="A292" s="86"/>
      <c r="B292" s="73"/>
      <c r="C292" s="73"/>
      <c r="D292" s="73"/>
      <c r="E292" s="88"/>
      <c r="F292" s="73"/>
      <c r="G292" s="394"/>
      <c r="H292" s="77"/>
      <c r="I292" s="88"/>
      <c r="J292" s="393">
        <v>44258.0</v>
      </c>
      <c r="K292" s="393">
        <f t="shared" si="1"/>
        <v>44259</v>
      </c>
      <c r="L292" s="394" t="str">
        <f>IFERROR(__xludf.DUMMYFUNCTION("JOIN("""", G292:H292)"),"")</f>
        <v/>
      </c>
      <c r="M292" s="80" t="str">
        <f t="shared" si="2"/>
        <v/>
      </c>
    </row>
    <row r="293">
      <c r="A293" s="86"/>
      <c r="B293" s="73"/>
      <c r="C293" s="73"/>
      <c r="D293" s="73"/>
      <c r="E293" s="88"/>
      <c r="F293" s="73"/>
      <c r="G293" s="394"/>
      <c r="H293" s="77"/>
      <c r="I293" s="88"/>
      <c r="J293" s="393">
        <v>44258.0</v>
      </c>
      <c r="K293" s="393">
        <f t="shared" si="1"/>
        <v>44259</v>
      </c>
      <c r="L293" s="394" t="str">
        <f>IFERROR(__xludf.DUMMYFUNCTION("JOIN("""", G293:H293)"),"")</f>
        <v/>
      </c>
      <c r="M293" s="80" t="str">
        <f t="shared" si="2"/>
        <v/>
      </c>
    </row>
    <row r="294">
      <c r="A294" s="86"/>
      <c r="B294" s="73"/>
      <c r="C294" s="73"/>
      <c r="D294" s="73"/>
      <c r="E294" s="88"/>
      <c r="F294" s="73"/>
      <c r="G294" s="394"/>
      <c r="H294" s="77"/>
      <c r="I294" s="88"/>
      <c r="J294" s="393">
        <v>44258.0</v>
      </c>
      <c r="K294" s="393">
        <f t="shared" si="1"/>
        <v>44259</v>
      </c>
      <c r="L294" s="394" t="str">
        <f>IFERROR(__xludf.DUMMYFUNCTION("JOIN("""", G294:H294)"),"")</f>
        <v/>
      </c>
      <c r="M294" s="80" t="str">
        <f t="shared" si="2"/>
        <v/>
      </c>
    </row>
    <row r="295">
      <c r="A295" s="86"/>
      <c r="B295" s="73"/>
      <c r="C295" s="73"/>
      <c r="D295" s="73"/>
      <c r="E295" s="88"/>
      <c r="F295" s="73"/>
      <c r="G295" s="394"/>
      <c r="H295" s="77"/>
      <c r="I295" s="88"/>
      <c r="J295" s="393">
        <v>44289.0</v>
      </c>
      <c r="K295" s="393">
        <f t="shared" si="1"/>
        <v>44290</v>
      </c>
      <c r="L295" s="394" t="str">
        <f>IFERROR(__xludf.DUMMYFUNCTION("JOIN("""", G295:H295)"),"")</f>
        <v/>
      </c>
      <c r="M295" s="80" t="str">
        <f t="shared" si="2"/>
        <v/>
      </c>
    </row>
    <row r="296">
      <c r="A296" s="86"/>
      <c r="B296" s="73"/>
      <c r="C296" s="73"/>
      <c r="D296" s="73"/>
      <c r="E296" s="88"/>
      <c r="F296" s="73"/>
      <c r="G296" s="394"/>
      <c r="H296" s="77"/>
      <c r="I296" s="88"/>
      <c r="J296" s="393">
        <v>44259.0</v>
      </c>
      <c r="K296" s="393">
        <f t="shared" si="1"/>
        <v>44260</v>
      </c>
      <c r="L296" s="394" t="str">
        <f>IFERROR(__xludf.DUMMYFUNCTION("JOIN("""", G296:H296)"),"")</f>
        <v/>
      </c>
      <c r="M296" s="80" t="str">
        <f t="shared" si="2"/>
        <v/>
      </c>
    </row>
    <row r="297">
      <c r="A297" s="86"/>
      <c r="B297" s="73"/>
      <c r="C297" s="73"/>
      <c r="D297" s="73"/>
      <c r="E297" s="88"/>
      <c r="F297" s="73"/>
      <c r="G297" s="394"/>
      <c r="H297" s="77"/>
      <c r="I297" s="88"/>
      <c r="J297" s="393">
        <v>44259.0</v>
      </c>
      <c r="K297" s="393">
        <f t="shared" si="1"/>
        <v>44260</v>
      </c>
      <c r="L297" s="394" t="str">
        <f>IFERROR(__xludf.DUMMYFUNCTION("JOIN("""", G297:H297)"),"")</f>
        <v/>
      </c>
      <c r="M297" s="80" t="str">
        <f t="shared" si="2"/>
        <v/>
      </c>
    </row>
    <row r="298">
      <c r="A298" s="86"/>
      <c r="B298" s="73"/>
      <c r="C298" s="73"/>
      <c r="D298" s="73"/>
      <c r="E298" s="88"/>
      <c r="F298" s="73"/>
      <c r="G298" s="394"/>
      <c r="H298" s="77"/>
      <c r="I298" s="88"/>
      <c r="J298" s="393">
        <v>44259.0</v>
      </c>
      <c r="K298" s="393">
        <f t="shared" si="1"/>
        <v>44260</v>
      </c>
      <c r="L298" s="394" t="str">
        <f>IFERROR(__xludf.DUMMYFUNCTION("JOIN("""", G298:H298)"),"")</f>
        <v/>
      </c>
      <c r="M298" s="80" t="str">
        <f t="shared" si="2"/>
        <v/>
      </c>
    </row>
    <row r="299">
      <c r="A299" s="86"/>
      <c r="B299" s="73"/>
      <c r="C299" s="73"/>
      <c r="D299" s="73"/>
      <c r="E299" s="88"/>
      <c r="F299" s="73"/>
      <c r="G299" s="394"/>
      <c r="H299" s="77"/>
      <c r="I299" s="88"/>
      <c r="J299" s="393">
        <v>44259.0</v>
      </c>
      <c r="K299" s="393">
        <f t="shared" si="1"/>
        <v>44260</v>
      </c>
      <c r="L299" s="394" t="str">
        <f>IFERROR(__xludf.DUMMYFUNCTION("JOIN("""", G299:H299)"),"")</f>
        <v/>
      </c>
      <c r="M299" s="80" t="str">
        <f t="shared" si="2"/>
        <v/>
      </c>
    </row>
    <row r="300">
      <c r="A300" s="86"/>
      <c r="B300" s="73"/>
      <c r="C300" s="73"/>
      <c r="D300" s="73"/>
      <c r="E300" s="88"/>
      <c r="F300" s="73"/>
      <c r="G300" s="394"/>
      <c r="H300" s="77"/>
      <c r="I300" s="88"/>
      <c r="J300" s="393">
        <v>44259.0</v>
      </c>
      <c r="K300" s="393">
        <f t="shared" si="1"/>
        <v>44260</v>
      </c>
      <c r="L300" s="394" t="str">
        <f>IFERROR(__xludf.DUMMYFUNCTION("JOIN("""", G300:H300)"),"")</f>
        <v/>
      </c>
      <c r="M300" s="80" t="str">
        <f t="shared" si="2"/>
        <v/>
      </c>
    </row>
    <row r="301">
      <c r="A301" s="86"/>
      <c r="B301" s="73"/>
      <c r="C301" s="73"/>
      <c r="D301" s="73"/>
      <c r="E301" s="88"/>
      <c r="F301" s="73"/>
      <c r="G301" s="394"/>
      <c r="H301" s="77"/>
      <c r="I301" s="88"/>
      <c r="J301" s="393">
        <v>44286.0</v>
      </c>
      <c r="K301" s="393">
        <f t="shared" si="1"/>
        <v>44287</v>
      </c>
      <c r="L301" s="394" t="str">
        <f>IFERROR(__xludf.DUMMYFUNCTION("JOIN("""", G301:H301)"),"")</f>
        <v/>
      </c>
      <c r="M301" s="80" t="str">
        <f t="shared" si="2"/>
        <v/>
      </c>
    </row>
    <row r="302">
      <c r="A302" s="86"/>
      <c r="B302" s="73"/>
      <c r="C302" s="73"/>
      <c r="D302" s="73"/>
      <c r="E302" s="88"/>
      <c r="F302" s="73"/>
      <c r="G302" s="394"/>
      <c r="H302" s="77"/>
      <c r="I302" s="88"/>
      <c r="J302" s="393">
        <v>44259.0</v>
      </c>
      <c r="K302" s="393">
        <f t="shared" si="1"/>
        <v>44260</v>
      </c>
      <c r="L302" s="394" t="str">
        <f>IFERROR(__xludf.DUMMYFUNCTION("JOIN("""", G302:H302)"),"")</f>
        <v/>
      </c>
      <c r="M302" s="80" t="str">
        <f t="shared" si="2"/>
        <v/>
      </c>
    </row>
    <row r="303">
      <c r="A303" s="86"/>
      <c r="B303" s="73"/>
      <c r="C303" s="73"/>
      <c r="D303" s="73"/>
      <c r="E303" s="88"/>
      <c r="F303" s="73"/>
      <c r="G303" s="394"/>
      <c r="H303" s="77"/>
      <c r="I303" s="88"/>
      <c r="J303" s="393">
        <v>44265.0</v>
      </c>
      <c r="K303" s="393">
        <f t="shared" si="1"/>
        <v>44266</v>
      </c>
      <c r="L303" s="394" t="str">
        <f>IFERROR(__xludf.DUMMYFUNCTION("JOIN("""", G303:H303)"),"")</f>
        <v/>
      </c>
      <c r="M303" s="80" t="str">
        <f t="shared" si="2"/>
        <v/>
      </c>
    </row>
    <row r="304">
      <c r="A304" s="86"/>
      <c r="B304" s="73"/>
      <c r="C304" s="73"/>
      <c r="D304" s="73"/>
      <c r="E304" s="88"/>
      <c r="F304" s="73"/>
      <c r="G304" s="394"/>
      <c r="H304" s="77"/>
      <c r="I304" s="88"/>
      <c r="J304" s="393">
        <v>44260.0</v>
      </c>
      <c r="K304" s="393">
        <f t="shared" si="1"/>
        <v>44261</v>
      </c>
      <c r="L304" s="394" t="str">
        <f>IFERROR(__xludf.DUMMYFUNCTION("JOIN("""", G304:H304)"),"")</f>
        <v/>
      </c>
      <c r="M304" s="80" t="str">
        <f t="shared" si="2"/>
        <v/>
      </c>
    </row>
    <row r="305">
      <c r="A305" s="86"/>
      <c r="B305" s="73"/>
      <c r="C305" s="73"/>
      <c r="D305" s="73"/>
      <c r="E305" s="88"/>
      <c r="F305" s="73"/>
      <c r="G305" s="394"/>
      <c r="H305" s="77"/>
      <c r="I305" s="88"/>
      <c r="J305" s="393">
        <v>44271.0</v>
      </c>
      <c r="K305" s="393">
        <f t="shared" si="1"/>
        <v>44272</v>
      </c>
      <c r="L305" s="394" t="str">
        <f>IFERROR(__xludf.DUMMYFUNCTION("JOIN("""", G305:H305)"),"")</f>
        <v/>
      </c>
      <c r="M305" s="80" t="str">
        <f t="shared" si="2"/>
        <v/>
      </c>
    </row>
    <row r="306">
      <c r="A306" s="86"/>
      <c r="B306" s="73"/>
      <c r="C306" s="73"/>
      <c r="D306" s="73"/>
      <c r="E306" s="88"/>
      <c r="F306" s="73"/>
      <c r="G306" s="394"/>
      <c r="H306" s="77"/>
      <c r="I306" s="88"/>
      <c r="J306" s="393">
        <v>44260.0</v>
      </c>
      <c r="K306" s="393">
        <f t="shared" si="1"/>
        <v>44261</v>
      </c>
      <c r="L306" s="394" t="str">
        <f>IFERROR(__xludf.DUMMYFUNCTION("JOIN("""", G306:H306)"),"")</f>
        <v/>
      </c>
      <c r="M306" s="80" t="str">
        <f t="shared" si="2"/>
        <v/>
      </c>
    </row>
    <row r="307">
      <c r="A307" s="86"/>
      <c r="B307" s="73"/>
      <c r="C307" s="73"/>
      <c r="D307" s="73"/>
      <c r="E307" s="88"/>
      <c r="F307" s="73"/>
      <c r="G307" s="394"/>
      <c r="H307" s="77"/>
      <c r="I307" s="88"/>
      <c r="J307" s="393">
        <v>44260.0</v>
      </c>
      <c r="K307" s="393">
        <f t="shared" si="1"/>
        <v>44261</v>
      </c>
      <c r="L307" s="394" t="str">
        <f>IFERROR(__xludf.DUMMYFUNCTION("JOIN("""", G307:H307)"),"")</f>
        <v/>
      </c>
      <c r="M307" s="80" t="str">
        <f t="shared" si="2"/>
        <v/>
      </c>
    </row>
    <row r="308">
      <c r="A308" s="86"/>
      <c r="B308" s="73"/>
      <c r="C308" s="73"/>
      <c r="D308" s="73"/>
      <c r="E308" s="88"/>
      <c r="F308" s="73"/>
      <c r="G308" s="394"/>
      <c r="H308" s="77"/>
      <c r="I308" s="88"/>
      <c r="J308" s="393">
        <v>44260.0</v>
      </c>
      <c r="K308" s="393">
        <f t="shared" si="1"/>
        <v>44261</v>
      </c>
      <c r="L308" s="394" t="str">
        <f>IFERROR(__xludf.DUMMYFUNCTION("JOIN("""", G308:H308)"),"")</f>
        <v/>
      </c>
      <c r="M308" s="80" t="str">
        <f t="shared" si="2"/>
        <v/>
      </c>
    </row>
    <row r="309">
      <c r="A309" s="86"/>
      <c r="B309" s="73"/>
      <c r="C309" s="73"/>
      <c r="D309" s="73"/>
      <c r="E309" s="88"/>
      <c r="F309" s="73"/>
      <c r="G309" s="394"/>
      <c r="H309" s="77"/>
      <c r="I309" s="88"/>
      <c r="J309" s="393">
        <v>44260.0</v>
      </c>
      <c r="K309" s="393">
        <f t="shared" si="1"/>
        <v>44261</v>
      </c>
      <c r="L309" s="394" t="str">
        <f>IFERROR(__xludf.DUMMYFUNCTION("JOIN("""", G309:H309)"),"")</f>
        <v/>
      </c>
      <c r="M309" s="80" t="str">
        <f t="shared" si="2"/>
        <v/>
      </c>
    </row>
    <row r="310">
      <c r="A310" s="86"/>
      <c r="B310" s="73"/>
      <c r="C310" s="73"/>
      <c r="D310" s="73"/>
      <c r="E310" s="88"/>
      <c r="F310" s="73"/>
      <c r="G310" s="394"/>
      <c r="H310" s="77"/>
      <c r="I310" s="88"/>
      <c r="J310" s="393">
        <v>44260.0</v>
      </c>
      <c r="K310" s="393">
        <f t="shared" si="1"/>
        <v>44261</v>
      </c>
      <c r="L310" s="394" t="str">
        <f>IFERROR(__xludf.DUMMYFUNCTION("JOIN("""", G310:H310)"),"")</f>
        <v/>
      </c>
      <c r="M310" s="80" t="str">
        <f t="shared" si="2"/>
        <v/>
      </c>
    </row>
    <row r="311">
      <c r="A311" s="86"/>
      <c r="B311" s="73"/>
      <c r="C311" s="73"/>
      <c r="D311" s="73"/>
      <c r="E311" s="88"/>
      <c r="F311" s="73"/>
      <c r="G311" s="394"/>
      <c r="H311" s="77"/>
      <c r="I311" s="88"/>
      <c r="J311" s="393">
        <v>44260.0</v>
      </c>
      <c r="K311" s="393">
        <f t="shared" si="1"/>
        <v>44261</v>
      </c>
      <c r="L311" s="394" t="str">
        <f>IFERROR(__xludf.DUMMYFUNCTION("JOIN("""", G311:H311)"),"")</f>
        <v/>
      </c>
      <c r="M311" s="80" t="str">
        <f t="shared" si="2"/>
        <v/>
      </c>
    </row>
    <row r="312">
      <c r="A312" s="86"/>
      <c r="B312" s="73"/>
      <c r="C312" s="73"/>
      <c r="D312" s="73"/>
      <c r="E312" s="88"/>
      <c r="F312" s="73"/>
      <c r="G312" s="394"/>
      <c r="H312" s="77"/>
      <c r="I312" s="88"/>
      <c r="J312" s="393">
        <v>44278.0</v>
      </c>
      <c r="K312" s="393">
        <f t="shared" si="1"/>
        <v>44279</v>
      </c>
      <c r="L312" s="394" t="str">
        <f>IFERROR(__xludf.DUMMYFUNCTION("JOIN("""", G312:H312)"),"")</f>
        <v/>
      </c>
      <c r="M312" s="80" t="str">
        <f t="shared" si="2"/>
        <v/>
      </c>
    </row>
    <row r="313">
      <c r="A313" s="86"/>
      <c r="B313" s="73"/>
      <c r="C313" s="73"/>
      <c r="D313" s="73"/>
      <c r="E313" s="88"/>
      <c r="F313" s="73"/>
      <c r="G313" s="394"/>
      <c r="H313" s="77"/>
      <c r="I313" s="88"/>
      <c r="J313" s="393">
        <v>44271.0</v>
      </c>
      <c r="K313" s="393">
        <f t="shared" si="1"/>
        <v>44272</v>
      </c>
      <c r="L313" s="394" t="str">
        <f>IFERROR(__xludf.DUMMYFUNCTION("JOIN("""", G313:H313)"),"")</f>
        <v/>
      </c>
      <c r="M313" s="80" t="str">
        <f t="shared" si="2"/>
        <v/>
      </c>
    </row>
    <row r="314">
      <c r="A314" s="86"/>
      <c r="B314" s="73"/>
      <c r="C314" s="73"/>
      <c r="D314" s="73"/>
      <c r="E314" s="88"/>
      <c r="F314" s="73"/>
      <c r="G314" s="394"/>
      <c r="H314" s="77"/>
      <c r="I314" s="88"/>
      <c r="J314" s="393">
        <v>44262.0</v>
      </c>
      <c r="K314" s="393">
        <f t="shared" si="1"/>
        <v>44263</v>
      </c>
      <c r="L314" s="394" t="str">
        <f>IFERROR(__xludf.DUMMYFUNCTION("JOIN("""", G314:H314)"),"")</f>
        <v/>
      </c>
      <c r="M314" s="80" t="str">
        <f t="shared" si="2"/>
        <v/>
      </c>
    </row>
    <row r="315">
      <c r="A315" s="86"/>
      <c r="B315" s="73"/>
      <c r="C315" s="73"/>
      <c r="D315" s="73"/>
      <c r="E315" s="88"/>
      <c r="F315" s="73"/>
      <c r="G315" s="394"/>
      <c r="H315" s="77"/>
      <c r="I315" s="88"/>
      <c r="J315" s="393">
        <v>44262.0</v>
      </c>
      <c r="K315" s="393">
        <f t="shared" si="1"/>
        <v>44263</v>
      </c>
      <c r="L315" s="394" t="str">
        <f>IFERROR(__xludf.DUMMYFUNCTION("JOIN("""", G315:H315)"),"")</f>
        <v/>
      </c>
      <c r="M315" s="80" t="str">
        <f t="shared" si="2"/>
        <v/>
      </c>
    </row>
    <row r="316">
      <c r="A316" s="86"/>
      <c r="B316" s="73"/>
      <c r="C316" s="73"/>
      <c r="D316" s="73"/>
      <c r="E316" s="88"/>
      <c r="F316" s="73"/>
      <c r="G316" s="394"/>
      <c r="H316" s="77"/>
      <c r="I316" s="88"/>
      <c r="J316" s="393">
        <v>44262.0</v>
      </c>
      <c r="K316" s="393">
        <f t="shared" si="1"/>
        <v>44263</v>
      </c>
      <c r="L316" s="394" t="str">
        <f>IFERROR(__xludf.DUMMYFUNCTION("JOIN("""", G316:H316)"),"")</f>
        <v/>
      </c>
      <c r="M316" s="80" t="str">
        <f t="shared" si="2"/>
        <v/>
      </c>
    </row>
    <row r="317">
      <c r="A317" s="86"/>
      <c r="B317" s="73"/>
      <c r="C317" s="73"/>
      <c r="D317" s="73"/>
      <c r="E317" s="88"/>
      <c r="F317" s="73"/>
      <c r="G317" s="394"/>
      <c r="H317" s="77"/>
      <c r="I317" s="88"/>
      <c r="J317" s="393">
        <v>44262.0</v>
      </c>
      <c r="K317" s="393">
        <f t="shared" si="1"/>
        <v>44263</v>
      </c>
      <c r="L317" s="394" t="str">
        <f>IFERROR(__xludf.DUMMYFUNCTION("JOIN("""", G317:H317)"),"")</f>
        <v/>
      </c>
      <c r="M317" s="80" t="str">
        <f t="shared" si="2"/>
        <v/>
      </c>
    </row>
    <row r="318">
      <c r="A318" s="86"/>
      <c r="B318" s="73"/>
      <c r="C318" s="73"/>
      <c r="D318" s="73"/>
      <c r="E318" s="88"/>
      <c r="F318" s="73"/>
      <c r="G318" s="394"/>
      <c r="H318" s="77"/>
      <c r="I318" s="88"/>
      <c r="J318" s="393">
        <v>44262.0</v>
      </c>
      <c r="K318" s="393">
        <f t="shared" si="1"/>
        <v>44263</v>
      </c>
      <c r="L318" s="394" t="str">
        <f>IFERROR(__xludf.DUMMYFUNCTION("JOIN("""", G318:H318)"),"")</f>
        <v/>
      </c>
      <c r="M318" s="80" t="str">
        <f t="shared" si="2"/>
        <v/>
      </c>
    </row>
    <row r="319">
      <c r="A319" s="86"/>
      <c r="B319" s="73"/>
      <c r="C319" s="73"/>
      <c r="D319" s="73"/>
      <c r="E319" s="88"/>
      <c r="F319" s="73"/>
      <c r="G319" s="394"/>
      <c r="H319" s="77"/>
      <c r="I319" s="88"/>
      <c r="J319" s="393">
        <v>44262.0</v>
      </c>
      <c r="K319" s="393">
        <f t="shared" si="1"/>
        <v>44263</v>
      </c>
      <c r="L319" s="394" t="str">
        <f>IFERROR(__xludf.DUMMYFUNCTION("JOIN("""", G319:H319)"),"")</f>
        <v/>
      </c>
      <c r="M319" s="80" t="str">
        <f t="shared" si="2"/>
        <v/>
      </c>
    </row>
    <row r="320">
      <c r="A320" s="86"/>
      <c r="B320" s="73"/>
      <c r="C320" s="73"/>
      <c r="D320" s="73"/>
      <c r="E320" s="88"/>
      <c r="F320" s="73"/>
      <c r="G320" s="394"/>
      <c r="H320" s="77"/>
      <c r="I320" s="88"/>
      <c r="J320" s="393">
        <v>44262.0</v>
      </c>
      <c r="K320" s="393">
        <f t="shared" si="1"/>
        <v>44263</v>
      </c>
      <c r="L320" s="394" t="str">
        <f>IFERROR(__xludf.DUMMYFUNCTION("JOIN("""", G320:H320)"),"")</f>
        <v/>
      </c>
      <c r="M320" s="80" t="str">
        <f t="shared" si="2"/>
        <v/>
      </c>
    </row>
    <row r="321">
      <c r="A321" s="86"/>
      <c r="B321" s="73"/>
      <c r="C321" s="73"/>
      <c r="D321" s="73"/>
      <c r="E321" s="88"/>
      <c r="F321" s="73"/>
      <c r="G321" s="394"/>
      <c r="H321" s="77"/>
      <c r="I321" s="88"/>
      <c r="J321" s="393">
        <v>44269.0</v>
      </c>
      <c r="K321" s="393">
        <f t="shared" si="1"/>
        <v>44270</v>
      </c>
      <c r="L321" s="394" t="str">
        <f>IFERROR(__xludf.DUMMYFUNCTION("JOIN("""", G321:H321)"),"")</f>
        <v/>
      </c>
      <c r="M321" s="80" t="str">
        <f t="shared" si="2"/>
        <v/>
      </c>
    </row>
    <row r="322">
      <c r="A322" s="86"/>
      <c r="B322" s="73"/>
      <c r="C322" s="73"/>
      <c r="D322" s="73"/>
      <c r="E322" s="88"/>
      <c r="F322" s="73"/>
      <c r="G322" s="394"/>
      <c r="H322" s="77"/>
      <c r="I322" s="88"/>
      <c r="J322" s="393">
        <v>44273.0</v>
      </c>
      <c r="K322" s="393">
        <f t="shared" si="1"/>
        <v>44274</v>
      </c>
      <c r="L322" s="394" t="str">
        <f>IFERROR(__xludf.DUMMYFUNCTION("JOIN("""", G322:H322)"),"")</f>
        <v/>
      </c>
      <c r="M322" s="80" t="str">
        <f t="shared" si="2"/>
        <v/>
      </c>
    </row>
    <row r="323">
      <c r="A323" s="86"/>
      <c r="B323" s="73"/>
      <c r="C323" s="73"/>
      <c r="D323" s="73"/>
      <c r="E323" s="88"/>
      <c r="F323" s="73"/>
      <c r="G323" s="394"/>
      <c r="H323" s="77"/>
      <c r="I323" s="88"/>
      <c r="J323" s="393">
        <v>44262.0</v>
      </c>
      <c r="K323" s="393">
        <f t="shared" si="1"/>
        <v>44263</v>
      </c>
      <c r="L323" s="394" t="str">
        <f>IFERROR(__xludf.DUMMYFUNCTION("JOIN("""", G323:H323)"),"")</f>
        <v/>
      </c>
      <c r="M323" s="80" t="str">
        <f t="shared" si="2"/>
        <v/>
      </c>
    </row>
    <row r="324">
      <c r="A324" s="86"/>
      <c r="B324" s="73"/>
      <c r="C324" s="73"/>
      <c r="D324" s="73"/>
      <c r="E324" s="88"/>
      <c r="F324" s="73"/>
      <c r="G324" s="394"/>
      <c r="H324" s="77"/>
      <c r="I324" s="88"/>
      <c r="J324" s="393">
        <v>44262.0</v>
      </c>
      <c r="K324" s="393">
        <f t="shared" si="1"/>
        <v>44263</v>
      </c>
      <c r="L324" s="394" t="str">
        <f>IFERROR(__xludf.DUMMYFUNCTION("JOIN("""", G324:H324)"),"")</f>
        <v/>
      </c>
      <c r="M324" s="80" t="str">
        <f t="shared" si="2"/>
        <v/>
      </c>
    </row>
    <row r="325">
      <c r="A325" s="86"/>
      <c r="B325" s="73"/>
      <c r="C325" s="73"/>
      <c r="D325" s="73"/>
      <c r="E325" s="88"/>
      <c r="F325" s="73"/>
      <c r="G325" s="394"/>
      <c r="H325" s="77"/>
      <c r="I325" s="88"/>
      <c r="J325" s="393">
        <v>44262.0</v>
      </c>
      <c r="K325" s="393">
        <f t="shared" si="1"/>
        <v>44263</v>
      </c>
      <c r="L325" s="394" t="str">
        <f>IFERROR(__xludf.DUMMYFUNCTION("JOIN("""", G325:H325)"),"")</f>
        <v/>
      </c>
      <c r="M325" s="80" t="str">
        <f t="shared" si="2"/>
        <v/>
      </c>
    </row>
    <row r="326">
      <c r="A326" s="86"/>
      <c r="B326" s="73"/>
      <c r="C326" s="73"/>
      <c r="D326" s="73"/>
      <c r="E326" s="88"/>
      <c r="F326" s="73"/>
      <c r="G326" s="394"/>
      <c r="H326" s="77"/>
      <c r="I326" s="88"/>
      <c r="J326" s="393">
        <v>44286.0</v>
      </c>
      <c r="K326" s="393">
        <f t="shared" si="1"/>
        <v>44287</v>
      </c>
      <c r="L326" s="394" t="str">
        <f>IFERROR(__xludf.DUMMYFUNCTION("JOIN("""", G326:H326)"),"")</f>
        <v/>
      </c>
      <c r="M326" s="80" t="str">
        <f t="shared" si="2"/>
        <v/>
      </c>
    </row>
    <row r="327">
      <c r="A327" s="86"/>
      <c r="B327" s="73"/>
      <c r="C327" s="73"/>
      <c r="D327" s="73"/>
      <c r="E327" s="88"/>
      <c r="F327" s="73"/>
      <c r="G327" s="394"/>
      <c r="H327" s="77"/>
      <c r="I327" s="88"/>
      <c r="J327" s="393">
        <v>44262.0</v>
      </c>
      <c r="K327" s="393">
        <f t="shared" si="1"/>
        <v>44263</v>
      </c>
      <c r="L327" s="394" t="str">
        <f>IFERROR(__xludf.DUMMYFUNCTION("JOIN("""", G327:H327)"),"")</f>
        <v/>
      </c>
      <c r="M327" s="80" t="str">
        <f t="shared" si="2"/>
        <v/>
      </c>
    </row>
    <row r="328">
      <c r="A328" s="86"/>
      <c r="B328" s="73"/>
      <c r="C328" s="73"/>
      <c r="D328" s="73"/>
      <c r="E328" s="88"/>
      <c r="F328" s="73"/>
      <c r="G328" s="394"/>
      <c r="H328" s="77"/>
      <c r="I328" s="88"/>
      <c r="J328" s="393">
        <v>44262.0</v>
      </c>
      <c r="K328" s="393">
        <f t="shared" si="1"/>
        <v>44263</v>
      </c>
      <c r="L328" s="394" t="str">
        <f>IFERROR(__xludf.DUMMYFUNCTION("JOIN("""", G328:H328)"),"")</f>
        <v/>
      </c>
      <c r="M328" s="80" t="str">
        <f t="shared" si="2"/>
        <v/>
      </c>
    </row>
    <row r="329">
      <c r="A329" s="86"/>
      <c r="B329" s="73"/>
      <c r="C329" s="73"/>
      <c r="D329" s="73"/>
      <c r="E329" s="88"/>
      <c r="F329" s="73"/>
      <c r="G329" s="394"/>
      <c r="H329" s="77"/>
      <c r="I329" s="88"/>
      <c r="J329" s="393">
        <v>44263.0</v>
      </c>
      <c r="K329" s="393">
        <f t="shared" si="1"/>
        <v>44264</v>
      </c>
      <c r="L329" s="394" t="str">
        <f>IFERROR(__xludf.DUMMYFUNCTION("JOIN("""", G329:H329)"),"")</f>
        <v/>
      </c>
      <c r="M329" s="80" t="str">
        <f t="shared" si="2"/>
        <v/>
      </c>
    </row>
    <row r="330">
      <c r="A330" s="86"/>
      <c r="B330" s="73"/>
      <c r="C330" s="73"/>
      <c r="D330" s="73"/>
      <c r="E330" s="88"/>
      <c r="F330" s="73"/>
      <c r="G330" s="394"/>
      <c r="H330" s="77"/>
      <c r="I330" s="88"/>
      <c r="J330" s="393">
        <v>44263.0</v>
      </c>
      <c r="K330" s="393">
        <f t="shared" si="1"/>
        <v>44264</v>
      </c>
      <c r="L330" s="394" t="str">
        <f>IFERROR(__xludf.DUMMYFUNCTION("JOIN("""", G330:H330)"),"")</f>
        <v/>
      </c>
      <c r="M330" s="80" t="str">
        <f t="shared" si="2"/>
        <v/>
      </c>
    </row>
    <row r="331">
      <c r="A331" s="86"/>
      <c r="B331" s="73"/>
      <c r="C331" s="73"/>
      <c r="D331" s="73"/>
      <c r="E331" s="88"/>
      <c r="F331" s="73"/>
      <c r="G331" s="394"/>
      <c r="H331" s="77"/>
      <c r="I331" s="88"/>
      <c r="J331" s="393">
        <v>44263.0</v>
      </c>
      <c r="K331" s="393">
        <f t="shared" si="1"/>
        <v>44264</v>
      </c>
      <c r="L331" s="394" t="str">
        <f>IFERROR(__xludf.DUMMYFUNCTION("JOIN("""", G331:H331)"),"")</f>
        <v/>
      </c>
      <c r="M331" s="80" t="str">
        <f t="shared" si="2"/>
        <v/>
      </c>
    </row>
    <row r="332">
      <c r="A332" s="86"/>
      <c r="B332" s="73"/>
      <c r="C332" s="73"/>
      <c r="D332" s="73"/>
      <c r="E332" s="88"/>
      <c r="F332" s="73"/>
      <c r="G332" s="394"/>
      <c r="H332" s="77"/>
      <c r="I332" s="88"/>
      <c r="J332" s="393">
        <v>44273.0</v>
      </c>
      <c r="K332" s="393">
        <f t="shared" si="1"/>
        <v>44274</v>
      </c>
      <c r="L332" s="394" t="str">
        <f>IFERROR(__xludf.DUMMYFUNCTION("JOIN("""", G332:H332)"),"")</f>
        <v/>
      </c>
      <c r="M332" s="80" t="str">
        <f t="shared" si="2"/>
        <v/>
      </c>
    </row>
    <row r="333">
      <c r="A333" s="86"/>
      <c r="B333" s="73"/>
      <c r="C333" s="73"/>
      <c r="D333" s="73"/>
      <c r="E333" s="88"/>
      <c r="F333" s="73"/>
      <c r="G333" s="394"/>
      <c r="H333" s="77"/>
      <c r="I333" s="88"/>
      <c r="J333" s="393">
        <v>44263.0</v>
      </c>
      <c r="K333" s="393">
        <f t="shared" si="1"/>
        <v>44264</v>
      </c>
      <c r="L333" s="394" t="str">
        <f>IFERROR(__xludf.DUMMYFUNCTION("JOIN("""", G333:H333)"),"")</f>
        <v/>
      </c>
      <c r="M333" s="80" t="str">
        <f t="shared" si="2"/>
        <v/>
      </c>
    </row>
    <row r="334">
      <c r="A334" s="86"/>
      <c r="B334" s="73"/>
      <c r="C334" s="73"/>
      <c r="D334" s="73"/>
      <c r="E334" s="88"/>
      <c r="F334" s="73"/>
      <c r="G334" s="394"/>
      <c r="H334" s="77"/>
      <c r="I334" s="88"/>
      <c r="J334" s="393">
        <v>44266.0</v>
      </c>
      <c r="K334" s="393">
        <f t="shared" si="1"/>
        <v>44267</v>
      </c>
      <c r="L334" s="394" t="str">
        <f>IFERROR(__xludf.DUMMYFUNCTION("JOIN("""", G334:H334)"),"")</f>
        <v/>
      </c>
      <c r="M334" s="80" t="str">
        <f t="shared" si="2"/>
        <v/>
      </c>
    </row>
    <row r="335">
      <c r="A335" s="86"/>
      <c r="B335" s="73"/>
      <c r="C335" s="73"/>
      <c r="D335" s="73"/>
      <c r="E335" s="88"/>
      <c r="F335" s="73"/>
      <c r="G335" s="394"/>
      <c r="H335" s="77"/>
      <c r="I335" s="88"/>
      <c r="J335" s="393">
        <v>44263.0</v>
      </c>
      <c r="K335" s="393">
        <f t="shared" si="1"/>
        <v>44264</v>
      </c>
      <c r="L335" s="394" t="str">
        <f>IFERROR(__xludf.DUMMYFUNCTION("JOIN("""", G335:H335)"),"")</f>
        <v/>
      </c>
      <c r="M335" s="80" t="str">
        <f t="shared" si="2"/>
        <v/>
      </c>
    </row>
    <row r="336">
      <c r="A336" s="86"/>
      <c r="B336" s="73"/>
      <c r="C336" s="73"/>
      <c r="D336" s="73"/>
      <c r="E336" s="88"/>
      <c r="F336" s="73"/>
      <c r="G336" s="394"/>
      <c r="H336" s="77"/>
      <c r="I336" s="88"/>
      <c r="J336" s="393">
        <v>44263.0</v>
      </c>
      <c r="K336" s="393">
        <f t="shared" si="1"/>
        <v>44264</v>
      </c>
      <c r="L336" s="394" t="str">
        <f>IFERROR(__xludf.DUMMYFUNCTION("JOIN("""", G336:H336)"),"")</f>
        <v/>
      </c>
      <c r="M336" s="80" t="str">
        <f t="shared" si="2"/>
        <v/>
      </c>
    </row>
    <row r="337">
      <c r="A337" s="86"/>
      <c r="B337" s="73"/>
      <c r="C337" s="73"/>
      <c r="D337" s="73"/>
      <c r="E337" s="88"/>
      <c r="F337" s="73"/>
      <c r="G337" s="394"/>
      <c r="H337" s="77"/>
      <c r="I337" s="88"/>
      <c r="J337" s="393">
        <v>44263.0</v>
      </c>
      <c r="K337" s="393">
        <f t="shared" si="1"/>
        <v>44264</v>
      </c>
      <c r="L337" s="394" t="str">
        <f>IFERROR(__xludf.DUMMYFUNCTION("JOIN("""", G337:H337)"),"")</f>
        <v/>
      </c>
      <c r="M337" s="80" t="str">
        <f t="shared" si="2"/>
        <v/>
      </c>
    </row>
    <row r="338">
      <c r="A338" s="86"/>
      <c r="B338" s="73"/>
      <c r="C338" s="73"/>
      <c r="D338" s="73"/>
      <c r="E338" s="88"/>
      <c r="F338" s="73"/>
      <c r="G338" s="394"/>
      <c r="H338" s="77"/>
      <c r="I338" s="88"/>
      <c r="J338" s="393">
        <v>44263.0</v>
      </c>
      <c r="K338" s="393">
        <f t="shared" si="1"/>
        <v>44264</v>
      </c>
      <c r="L338" s="394" t="str">
        <f>IFERROR(__xludf.DUMMYFUNCTION("JOIN("""", G338:H338)"),"")</f>
        <v/>
      </c>
      <c r="M338" s="80" t="str">
        <f t="shared" si="2"/>
        <v/>
      </c>
    </row>
    <row r="339">
      <c r="A339" s="86"/>
      <c r="B339" s="73"/>
      <c r="C339" s="73"/>
      <c r="D339" s="73"/>
      <c r="E339" s="88"/>
      <c r="F339" s="73"/>
      <c r="G339" s="394"/>
      <c r="H339" s="77"/>
      <c r="I339" s="88"/>
      <c r="J339" s="393">
        <v>44264.0</v>
      </c>
      <c r="K339" s="393">
        <f t="shared" si="1"/>
        <v>44265</v>
      </c>
      <c r="L339" s="394" t="str">
        <f>IFERROR(__xludf.DUMMYFUNCTION("JOIN("""", G339:H339)"),"")</f>
        <v/>
      </c>
      <c r="M339" s="80" t="str">
        <f t="shared" si="2"/>
        <v/>
      </c>
    </row>
    <row r="340">
      <c r="A340" s="86"/>
      <c r="B340" s="73"/>
      <c r="C340" s="73"/>
      <c r="D340" s="73"/>
      <c r="E340" s="88"/>
      <c r="F340" s="73"/>
      <c r="G340" s="394"/>
      <c r="H340" s="77"/>
      <c r="I340" s="88"/>
      <c r="J340" s="393">
        <v>44263.0</v>
      </c>
      <c r="K340" s="393">
        <f t="shared" si="1"/>
        <v>44264</v>
      </c>
      <c r="L340" s="394" t="str">
        <f>IFERROR(__xludf.DUMMYFUNCTION("JOIN("""", G340:H340)"),"")</f>
        <v/>
      </c>
      <c r="M340" s="80" t="str">
        <f t="shared" si="2"/>
        <v/>
      </c>
    </row>
    <row r="341">
      <c r="A341" s="86"/>
      <c r="B341" s="73"/>
      <c r="C341" s="73"/>
      <c r="D341" s="73"/>
      <c r="E341" s="88"/>
      <c r="F341" s="73"/>
      <c r="G341" s="394"/>
      <c r="H341" s="77"/>
      <c r="I341" s="88"/>
      <c r="J341" s="393">
        <v>44263.0</v>
      </c>
      <c r="K341" s="393">
        <f t="shared" si="1"/>
        <v>44264</v>
      </c>
      <c r="L341" s="394" t="str">
        <f>IFERROR(__xludf.DUMMYFUNCTION("JOIN("""", G341:H341)"),"")</f>
        <v/>
      </c>
      <c r="M341" s="80" t="str">
        <f t="shared" si="2"/>
        <v/>
      </c>
    </row>
    <row r="342">
      <c r="A342" s="86"/>
      <c r="B342" s="73"/>
      <c r="C342" s="73"/>
      <c r="D342" s="73"/>
      <c r="E342" s="88"/>
      <c r="F342" s="73"/>
      <c r="G342" s="394"/>
      <c r="H342" s="77"/>
      <c r="I342" s="88"/>
      <c r="J342" s="393">
        <v>44264.0</v>
      </c>
      <c r="K342" s="393">
        <f t="shared" si="1"/>
        <v>44265</v>
      </c>
      <c r="L342" s="394" t="str">
        <f>IFERROR(__xludf.DUMMYFUNCTION("JOIN("""", G342:H342)"),"")</f>
        <v/>
      </c>
      <c r="M342" s="80" t="str">
        <f t="shared" si="2"/>
        <v/>
      </c>
    </row>
    <row r="343">
      <c r="A343" s="86"/>
      <c r="B343" s="73"/>
      <c r="C343" s="73"/>
      <c r="D343" s="73"/>
      <c r="E343" s="88"/>
      <c r="F343" s="73"/>
      <c r="G343" s="394"/>
      <c r="H343" s="77"/>
      <c r="I343" s="88"/>
      <c r="J343" s="393">
        <v>44264.0</v>
      </c>
      <c r="K343" s="393">
        <f t="shared" si="1"/>
        <v>44265</v>
      </c>
      <c r="L343" s="394" t="str">
        <f>IFERROR(__xludf.DUMMYFUNCTION("JOIN("""", G343:H343)"),"")</f>
        <v/>
      </c>
      <c r="M343" s="80" t="str">
        <f t="shared" si="2"/>
        <v/>
      </c>
    </row>
    <row r="344">
      <c r="A344" s="86"/>
      <c r="B344" s="73"/>
      <c r="C344" s="73"/>
      <c r="D344" s="73"/>
      <c r="E344" s="88"/>
      <c r="F344" s="73"/>
      <c r="G344" s="394"/>
      <c r="H344" s="77"/>
      <c r="I344" s="88"/>
      <c r="J344" s="393">
        <v>44264.0</v>
      </c>
      <c r="K344" s="393">
        <f t="shared" si="1"/>
        <v>44265</v>
      </c>
      <c r="L344" s="394" t="str">
        <f>IFERROR(__xludf.DUMMYFUNCTION("JOIN("""", G344:H344)"),"")</f>
        <v/>
      </c>
      <c r="M344" s="80" t="str">
        <f t="shared" si="2"/>
        <v/>
      </c>
    </row>
    <row r="345">
      <c r="A345" s="86"/>
      <c r="B345" s="73"/>
      <c r="C345" s="73"/>
      <c r="D345" s="73"/>
      <c r="E345" s="88"/>
      <c r="F345" s="73"/>
      <c r="G345" s="394"/>
      <c r="H345" s="77"/>
      <c r="I345" s="88"/>
      <c r="J345" s="393">
        <v>44264.0</v>
      </c>
      <c r="K345" s="393">
        <f t="shared" si="1"/>
        <v>44265</v>
      </c>
      <c r="L345" s="394" t="str">
        <f>IFERROR(__xludf.DUMMYFUNCTION("JOIN("""", G345:H345)"),"")</f>
        <v/>
      </c>
      <c r="M345" s="80" t="str">
        <f t="shared" si="2"/>
        <v/>
      </c>
    </row>
    <row r="346">
      <c r="A346" s="86"/>
      <c r="B346" s="73"/>
      <c r="C346" s="73"/>
      <c r="D346" s="73"/>
      <c r="E346" s="88"/>
      <c r="F346" s="73"/>
      <c r="G346" s="394"/>
      <c r="H346" s="77"/>
      <c r="I346" s="88"/>
      <c r="J346" s="393">
        <v>44264.0</v>
      </c>
      <c r="K346" s="393">
        <f t="shared" si="1"/>
        <v>44265</v>
      </c>
      <c r="L346" s="394" t="str">
        <f>IFERROR(__xludf.DUMMYFUNCTION("JOIN("""", G346:H346)"),"")</f>
        <v/>
      </c>
      <c r="M346" s="80" t="str">
        <f t="shared" si="2"/>
        <v/>
      </c>
    </row>
    <row r="347">
      <c r="A347" s="86"/>
      <c r="B347" s="73"/>
      <c r="C347" s="73"/>
      <c r="D347" s="73"/>
      <c r="E347" s="88"/>
      <c r="F347" s="73"/>
      <c r="G347" s="394"/>
      <c r="H347" s="77"/>
      <c r="I347" s="88"/>
      <c r="J347" s="393">
        <v>44264.0</v>
      </c>
      <c r="K347" s="393">
        <f t="shared" si="1"/>
        <v>44265</v>
      </c>
      <c r="L347" s="394" t="str">
        <f>IFERROR(__xludf.DUMMYFUNCTION("JOIN("""", G347:H347)"),"")</f>
        <v/>
      </c>
      <c r="M347" s="80" t="str">
        <f t="shared" si="2"/>
        <v/>
      </c>
    </row>
    <row r="348">
      <c r="A348" s="86"/>
      <c r="B348" s="73"/>
      <c r="C348" s="73"/>
      <c r="D348" s="73"/>
      <c r="E348" s="88"/>
      <c r="F348" s="73"/>
      <c r="G348" s="394"/>
      <c r="H348" s="77"/>
      <c r="I348" s="88"/>
      <c r="J348" s="393">
        <v>44265.0</v>
      </c>
      <c r="K348" s="393">
        <f t="shared" si="1"/>
        <v>44266</v>
      </c>
      <c r="L348" s="394" t="str">
        <f>IFERROR(__xludf.DUMMYFUNCTION("JOIN("""", G348:H348)"),"")</f>
        <v/>
      </c>
      <c r="M348" s="80" t="str">
        <f t="shared" si="2"/>
        <v/>
      </c>
    </row>
    <row r="349">
      <c r="A349" s="86"/>
      <c r="B349" s="73"/>
      <c r="C349" s="73"/>
      <c r="D349" s="73"/>
      <c r="E349" s="88"/>
      <c r="F349" s="73"/>
      <c r="G349" s="394"/>
      <c r="H349" s="77"/>
      <c r="I349" s="88"/>
      <c r="J349" s="393">
        <v>44265.0</v>
      </c>
      <c r="K349" s="393">
        <f t="shared" si="1"/>
        <v>44266</v>
      </c>
      <c r="L349" s="394" t="str">
        <f>IFERROR(__xludf.DUMMYFUNCTION("JOIN("""", G349:H349)"),"")</f>
        <v/>
      </c>
      <c r="M349" s="80" t="str">
        <f t="shared" si="2"/>
        <v/>
      </c>
    </row>
    <row r="350">
      <c r="A350" s="86"/>
      <c r="B350" s="73"/>
      <c r="C350" s="73"/>
      <c r="D350" s="73"/>
      <c r="E350" s="88"/>
      <c r="F350" s="73"/>
      <c r="G350" s="394"/>
      <c r="H350" s="77"/>
      <c r="I350" s="88"/>
      <c r="J350" s="393">
        <v>44265.0</v>
      </c>
      <c r="K350" s="393">
        <f t="shared" si="1"/>
        <v>44266</v>
      </c>
      <c r="L350" s="394" t="str">
        <f>IFERROR(__xludf.DUMMYFUNCTION("JOIN("""", G350:H350)"),"")</f>
        <v/>
      </c>
      <c r="M350" s="80" t="str">
        <f t="shared" si="2"/>
        <v/>
      </c>
    </row>
    <row r="351">
      <c r="A351" s="86"/>
      <c r="B351" s="73"/>
      <c r="C351" s="73"/>
      <c r="D351" s="73"/>
      <c r="E351" s="88"/>
      <c r="F351" s="73"/>
      <c r="G351" s="394"/>
      <c r="H351" s="77"/>
      <c r="I351" s="88"/>
      <c r="J351" s="393">
        <v>44271.0</v>
      </c>
      <c r="K351" s="393">
        <f t="shared" si="1"/>
        <v>44272</v>
      </c>
      <c r="L351" s="394" t="str">
        <f>IFERROR(__xludf.DUMMYFUNCTION("JOIN("""", G351:H351)"),"")</f>
        <v/>
      </c>
      <c r="M351" s="80" t="str">
        <f t="shared" si="2"/>
        <v/>
      </c>
    </row>
    <row r="352">
      <c r="A352" s="86"/>
      <c r="B352" s="73"/>
      <c r="C352" s="73"/>
      <c r="D352" s="73"/>
      <c r="E352" s="88"/>
      <c r="F352" s="73"/>
      <c r="G352" s="394"/>
      <c r="H352" s="77"/>
      <c r="I352" s="88"/>
      <c r="J352" s="393">
        <v>44265.0</v>
      </c>
      <c r="K352" s="393">
        <f t="shared" si="1"/>
        <v>44266</v>
      </c>
      <c r="L352" s="394" t="str">
        <f>IFERROR(__xludf.DUMMYFUNCTION("JOIN("""", G352:H352)"),"")</f>
        <v/>
      </c>
      <c r="M352" s="80" t="str">
        <f t="shared" si="2"/>
        <v/>
      </c>
    </row>
    <row r="353">
      <c r="A353" s="86"/>
      <c r="B353" s="73"/>
      <c r="C353" s="73"/>
      <c r="D353" s="73"/>
      <c r="E353" s="88"/>
      <c r="F353" s="73"/>
      <c r="G353" s="394"/>
      <c r="H353" s="77"/>
      <c r="I353" s="88"/>
      <c r="J353" s="393">
        <v>44265.0</v>
      </c>
      <c r="K353" s="393">
        <f t="shared" si="1"/>
        <v>44266</v>
      </c>
      <c r="L353" s="394" t="str">
        <f>IFERROR(__xludf.DUMMYFUNCTION("JOIN("""", G353:H353)"),"")</f>
        <v/>
      </c>
      <c r="M353" s="80" t="str">
        <f t="shared" si="2"/>
        <v/>
      </c>
    </row>
    <row r="354">
      <c r="A354" s="86"/>
      <c r="B354" s="73"/>
      <c r="C354" s="73"/>
      <c r="D354" s="73"/>
      <c r="E354" s="88"/>
      <c r="F354" s="73"/>
      <c r="G354" s="394"/>
      <c r="H354" s="77"/>
      <c r="I354" s="88"/>
      <c r="J354" s="393">
        <v>44265.0</v>
      </c>
      <c r="K354" s="393">
        <f t="shared" si="1"/>
        <v>44266</v>
      </c>
      <c r="L354" s="394" t="str">
        <f>IFERROR(__xludf.DUMMYFUNCTION("JOIN("""", G354:H354)"),"")</f>
        <v/>
      </c>
      <c r="M354" s="80" t="str">
        <f t="shared" si="2"/>
        <v/>
      </c>
    </row>
    <row r="355">
      <c r="A355" s="86"/>
      <c r="B355" s="73"/>
      <c r="C355" s="73"/>
      <c r="D355" s="73"/>
      <c r="E355" s="88"/>
      <c r="F355" s="73"/>
      <c r="G355" s="394"/>
      <c r="H355" s="77"/>
      <c r="I355" s="88"/>
      <c r="J355" s="393">
        <v>44265.0</v>
      </c>
      <c r="K355" s="393">
        <f t="shared" si="1"/>
        <v>44266</v>
      </c>
      <c r="L355" s="394" t="str">
        <f>IFERROR(__xludf.DUMMYFUNCTION("JOIN("""", G355:H355)"),"")</f>
        <v/>
      </c>
      <c r="M355" s="80" t="str">
        <f t="shared" si="2"/>
        <v/>
      </c>
    </row>
    <row r="356">
      <c r="A356" s="86"/>
      <c r="B356" s="73"/>
      <c r="C356" s="73"/>
      <c r="D356" s="73"/>
      <c r="E356" s="88"/>
      <c r="F356" s="73"/>
      <c r="G356" s="394"/>
      <c r="H356" s="77"/>
      <c r="I356" s="88"/>
      <c r="J356" s="393">
        <v>44265.0</v>
      </c>
      <c r="K356" s="393">
        <f t="shared" si="1"/>
        <v>44266</v>
      </c>
      <c r="L356" s="394" t="str">
        <f>IFERROR(__xludf.DUMMYFUNCTION("JOIN("""", G356:H356)"),"")</f>
        <v/>
      </c>
      <c r="M356" s="80" t="str">
        <f t="shared" si="2"/>
        <v/>
      </c>
    </row>
    <row r="357">
      <c r="A357" s="86"/>
      <c r="B357" s="73"/>
      <c r="C357" s="73"/>
      <c r="D357" s="73"/>
      <c r="E357" s="88"/>
      <c r="F357" s="73"/>
      <c r="G357" s="394"/>
      <c r="H357" s="77"/>
      <c r="I357" s="88"/>
      <c r="J357" s="393">
        <v>44265.0</v>
      </c>
      <c r="K357" s="393">
        <f t="shared" si="1"/>
        <v>44266</v>
      </c>
      <c r="L357" s="394" t="str">
        <f>IFERROR(__xludf.DUMMYFUNCTION("JOIN("""", G357:H357)"),"")</f>
        <v/>
      </c>
      <c r="M357" s="80" t="str">
        <f t="shared" si="2"/>
        <v/>
      </c>
    </row>
    <row r="358">
      <c r="A358" s="86"/>
      <c r="B358" s="73"/>
      <c r="C358" s="73"/>
      <c r="D358" s="73"/>
      <c r="E358" s="88"/>
      <c r="F358" s="73"/>
      <c r="G358" s="394"/>
      <c r="H358" s="77"/>
      <c r="I358" s="88"/>
      <c r="J358" s="393">
        <v>44265.0</v>
      </c>
      <c r="K358" s="393">
        <f t="shared" si="1"/>
        <v>44266</v>
      </c>
      <c r="L358" s="394" t="str">
        <f>IFERROR(__xludf.DUMMYFUNCTION("JOIN("""", G358:H358)"),"")</f>
        <v/>
      </c>
      <c r="M358" s="80" t="str">
        <f t="shared" si="2"/>
        <v/>
      </c>
    </row>
    <row r="359">
      <c r="A359" s="86"/>
      <c r="B359" s="73"/>
      <c r="C359" s="73"/>
      <c r="D359" s="73"/>
      <c r="E359" s="88"/>
      <c r="F359" s="73"/>
      <c r="G359" s="394"/>
      <c r="H359" s="77"/>
      <c r="I359" s="88"/>
      <c r="J359" s="393">
        <v>44286.0</v>
      </c>
      <c r="K359" s="393">
        <f t="shared" si="1"/>
        <v>44287</v>
      </c>
      <c r="L359" s="394" t="str">
        <f>IFERROR(__xludf.DUMMYFUNCTION("JOIN("""", G359:H359)"),"")</f>
        <v/>
      </c>
      <c r="M359" s="80" t="str">
        <f t="shared" si="2"/>
        <v/>
      </c>
    </row>
    <row r="360">
      <c r="A360" s="86"/>
      <c r="B360" s="73"/>
      <c r="C360" s="73"/>
      <c r="D360" s="73"/>
      <c r="E360" s="88"/>
      <c r="F360" s="73"/>
      <c r="G360" s="394"/>
      <c r="H360" s="77"/>
      <c r="I360" s="88"/>
      <c r="J360" s="393">
        <v>44266.0</v>
      </c>
      <c r="K360" s="393">
        <f t="shared" si="1"/>
        <v>44267</v>
      </c>
      <c r="L360" s="394" t="str">
        <f>IFERROR(__xludf.DUMMYFUNCTION("JOIN("""", G360:H360)"),"")</f>
        <v/>
      </c>
      <c r="M360" s="80" t="str">
        <f t="shared" si="2"/>
        <v/>
      </c>
    </row>
    <row r="361">
      <c r="A361" s="86"/>
      <c r="B361" s="73"/>
      <c r="C361" s="73"/>
      <c r="D361" s="73"/>
      <c r="E361" s="88"/>
      <c r="F361" s="73"/>
      <c r="G361" s="394"/>
      <c r="H361" s="77"/>
      <c r="I361" s="88"/>
      <c r="J361" s="393">
        <v>44266.0</v>
      </c>
      <c r="K361" s="393">
        <f t="shared" si="1"/>
        <v>44267</v>
      </c>
      <c r="L361" s="394" t="str">
        <f>IFERROR(__xludf.DUMMYFUNCTION("JOIN("""", G361:H361)"),"")</f>
        <v/>
      </c>
      <c r="M361" s="80" t="str">
        <f t="shared" si="2"/>
        <v/>
      </c>
    </row>
    <row r="362">
      <c r="A362" s="86"/>
      <c r="B362" s="73"/>
      <c r="C362" s="73"/>
      <c r="D362" s="73"/>
      <c r="E362" s="88"/>
      <c r="F362" s="73"/>
      <c r="G362" s="394"/>
      <c r="H362" s="77"/>
      <c r="I362" s="88"/>
      <c r="J362" s="393">
        <v>44266.0</v>
      </c>
      <c r="K362" s="393">
        <f t="shared" si="1"/>
        <v>44267</v>
      </c>
      <c r="L362" s="394" t="str">
        <f>IFERROR(__xludf.DUMMYFUNCTION("JOIN("""", G362:H362)"),"")</f>
        <v/>
      </c>
      <c r="M362" s="80" t="str">
        <f t="shared" si="2"/>
        <v/>
      </c>
    </row>
    <row r="363">
      <c r="A363" s="86"/>
      <c r="B363" s="73"/>
      <c r="C363" s="73"/>
      <c r="D363" s="73"/>
      <c r="E363" s="88"/>
      <c r="F363" s="73"/>
      <c r="G363" s="394"/>
      <c r="H363" s="77"/>
      <c r="I363" s="88"/>
      <c r="J363" s="393">
        <v>44266.0</v>
      </c>
      <c r="K363" s="393">
        <f t="shared" si="1"/>
        <v>44267</v>
      </c>
      <c r="L363" s="394" t="str">
        <f>IFERROR(__xludf.DUMMYFUNCTION("JOIN("""", G363:H363)"),"")</f>
        <v/>
      </c>
      <c r="M363" s="80" t="str">
        <f t="shared" si="2"/>
        <v/>
      </c>
    </row>
    <row r="364">
      <c r="A364" s="86"/>
      <c r="B364" s="73"/>
      <c r="C364" s="73"/>
      <c r="D364" s="73"/>
      <c r="E364" s="88"/>
      <c r="F364" s="73"/>
      <c r="G364" s="394"/>
      <c r="H364" s="77"/>
      <c r="I364" s="88"/>
      <c r="J364" s="393">
        <v>44266.0</v>
      </c>
      <c r="K364" s="393">
        <f t="shared" si="1"/>
        <v>44267</v>
      </c>
      <c r="L364" s="394" t="str">
        <f>IFERROR(__xludf.DUMMYFUNCTION("JOIN("""", G364:H364)"),"")</f>
        <v/>
      </c>
      <c r="M364" s="80" t="str">
        <f t="shared" si="2"/>
        <v/>
      </c>
    </row>
    <row r="365">
      <c r="A365" s="86"/>
      <c r="B365" s="73"/>
      <c r="C365" s="73"/>
      <c r="D365" s="73"/>
      <c r="E365" s="88"/>
      <c r="F365" s="73"/>
      <c r="G365" s="394"/>
      <c r="H365" s="77"/>
      <c r="I365" s="88"/>
      <c r="J365" s="393">
        <v>44266.0</v>
      </c>
      <c r="K365" s="393">
        <f t="shared" si="1"/>
        <v>44267</v>
      </c>
      <c r="L365" s="394" t="str">
        <f>IFERROR(__xludf.DUMMYFUNCTION("JOIN("""", G365:H365)"),"")</f>
        <v/>
      </c>
      <c r="M365" s="80" t="str">
        <f t="shared" si="2"/>
        <v/>
      </c>
    </row>
    <row r="366">
      <c r="A366" s="86"/>
      <c r="B366" s="73"/>
      <c r="C366" s="73"/>
      <c r="D366" s="73"/>
      <c r="E366" s="88"/>
      <c r="F366" s="73"/>
      <c r="G366" s="394"/>
      <c r="H366" s="77"/>
      <c r="I366" s="88"/>
      <c r="J366" s="393">
        <v>44266.0</v>
      </c>
      <c r="K366" s="393">
        <f t="shared" si="1"/>
        <v>44267</v>
      </c>
      <c r="L366" s="394" t="str">
        <f>IFERROR(__xludf.DUMMYFUNCTION("JOIN("""", G366:H366)"),"")</f>
        <v/>
      </c>
      <c r="M366" s="80" t="str">
        <f t="shared" si="2"/>
        <v/>
      </c>
    </row>
    <row r="367">
      <c r="A367" s="86"/>
      <c r="B367" s="73"/>
      <c r="C367" s="73"/>
      <c r="D367" s="73"/>
      <c r="E367" s="88"/>
      <c r="F367" s="73"/>
      <c r="G367" s="394"/>
      <c r="H367" s="77"/>
      <c r="I367" s="88"/>
      <c r="J367" s="393">
        <v>44266.0</v>
      </c>
      <c r="K367" s="393">
        <f t="shared" si="1"/>
        <v>44267</v>
      </c>
      <c r="L367" s="394" t="str">
        <f>IFERROR(__xludf.DUMMYFUNCTION("JOIN("""", G367:H367)"),"")</f>
        <v/>
      </c>
      <c r="M367" s="80" t="str">
        <f t="shared" si="2"/>
        <v/>
      </c>
    </row>
    <row r="368">
      <c r="A368" s="86"/>
      <c r="B368" s="73"/>
      <c r="C368" s="73"/>
      <c r="D368" s="73"/>
      <c r="E368" s="88"/>
      <c r="F368" s="73"/>
      <c r="G368" s="394"/>
      <c r="H368" s="77"/>
      <c r="I368" s="88"/>
      <c r="J368" s="393">
        <v>44291.0</v>
      </c>
      <c r="K368" s="393">
        <f t="shared" si="1"/>
        <v>44292</v>
      </c>
      <c r="L368" s="394" t="str">
        <f>IFERROR(__xludf.DUMMYFUNCTION("JOIN("""", G368:H368)"),"")</f>
        <v/>
      </c>
      <c r="M368" s="80" t="str">
        <f t="shared" si="2"/>
        <v/>
      </c>
    </row>
    <row r="369">
      <c r="A369" s="86"/>
      <c r="B369" s="73"/>
      <c r="C369" s="73"/>
      <c r="D369" s="73"/>
      <c r="E369" s="88"/>
      <c r="F369" s="73"/>
      <c r="G369" s="394"/>
      <c r="H369" s="77"/>
      <c r="I369" s="88"/>
      <c r="J369" s="393">
        <v>44266.0</v>
      </c>
      <c r="K369" s="393">
        <f t="shared" si="1"/>
        <v>44267</v>
      </c>
      <c r="L369" s="394" t="str">
        <f>IFERROR(__xludf.DUMMYFUNCTION("JOIN("""", G369:H369)"),"")</f>
        <v/>
      </c>
      <c r="M369" s="80" t="str">
        <f t="shared" si="2"/>
        <v/>
      </c>
    </row>
    <row r="370">
      <c r="A370" s="86"/>
      <c r="B370" s="73"/>
      <c r="C370" s="73"/>
      <c r="D370" s="73"/>
      <c r="E370" s="88"/>
      <c r="F370" s="73"/>
      <c r="G370" s="394"/>
      <c r="H370" s="77"/>
      <c r="I370" s="88"/>
      <c r="J370" s="393">
        <v>44267.0</v>
      </c>
      <c r="K370" s="393">
        <f t="shared" si="1"/>
        <v>44268</v>
      </c>
      <c r="L370" s="394" t="str">
        <f>IFERROR(__xludf.DUMMYFUNCTION("JOIN("""", G370:H370)"),"")</f>
        <v/>
      </c>
      <c r="M370" s="80" t="str">
        <f t="shared" si="2"/>
        <v/>
      </c>
    </row>
    <row r="371">
      <c r="A371" s="86"/>
      <c r="B371" s="73"/>
      <c r="C371" s="73"/>
      <c r="D371" s="73"/>
      <c r="E371" s="88"/>
      <c r="F371" s="73"/>
      <c r="G371" s="394"/>
      <c r="H371" s="77"/>
      <c r="I371" s="88"/>
      <c r="J371" s="393">
        <v>44270.0</v>
      </c>
      <c r="K371" s="393">
        <f t="shared" si="1"/>
        <v>44271</v>
      </c>
      <c r="L371" s="394" t="str">
        <f>IFERROR(__xludf.DUMMYFUNCTION("JOIN("""", G371:H371)"),"")</f>
        <v/>
      </c>
      <c r="M371" s="80" t="str">
        <f t="shared" si="2"/>
        <v/>
      </c>
    </row>
    <row r="372">
      <c r="A372" s="86"/>
      <c r="B372" s="73"/>
      <c r="C372" s="73"/>
      <c r="D372" s="73"/>
      <c r="E372" s="88"/>
      <c r="F372" s="73"/>
      <c r="G372" s="394"/>
      <c r="H372" s="77"/>
      <c r="I372" s="88"/>
      <c r="J372" s="393">
        <v>44270.0</v>
      </c>
      <c r="K372" s="393">
        <f t="shared" si="1"/>
        <v>44271</v>
      </c>
      <c r="L372" s="394" t="str">
        <f>IFERROR(__xludf.DUMMYFUNCTION("JOIN("""", G372:H372)"),"")</f>
        <v/>
      </c>
      <c r="M372" s="80" t="str">
        <f t="shared" si="2"/>
        <v/>
      </c>
    </row>
    <row r="373">
      <c r="A373" s="86"/>
      <c r="B373" s="73"/>
      <c r="C373" s="73"/>
      <c r="D373" s="73"/>
      <c r="E373" s="88"/>
      <c r="F373" s="73"/>
      <c r="G373" s="394"/>
      <c r="H373" s="77"/>
      <c r="I373" s="88"/>
      <c r="J373" s="393">
        <v>44270.0</v>
      </c>
      <c r="K373" s="393">
        <f t="shared" si="1"/>
        <v>44271</v>
      </c>
      <c r="L373" s="394" t="str">
        <f>IFERROR(__xludf.DUMMYFUNCTION("JOIN("""", G373:H373)"),"")</f>
        <v/>
      </c>
      <c r="M373" s="80" t="str">
        <f t="shared" si="2"/>
        <v/>
      </c>
    </row>
    <row r="374">
      <c r="A374" s="86"/>
      <c r="B374" s="73"/>
      <c r="C374" s="73"/>
      <c r="D374" s="73"/>
      <c r="E374" s="88"/>
      <c r="F374" s="73"/>
      <c r="G374" s="394"/>
      <c r="H374" s="77"/>
      <c r="I374" s="88"/>
      <c r="J374" s="393">
        <v>44270.0</v>
      </c>
      <c r="K374" s="393">
        <f t="shared" si="1"/>
        <v>44271</v>
      </c>
      <c r="L374" s="394" t="str">
        <f>IFERROR(__xludf.DUMMYFUNCTION("JOIN("""", G374:H374)"),"")</f>
        <v/>
      </c>
      <c r="M374" s="80" t="str">
        <f t="shared" si="2"/>
        <v/>
      </c>
    </row>
    <row r="375">
      <c r="A375" s="86"/>
      <c r="B375" s="73"/>
      <c r="C375" s="73"/>
      <c r="D375" s="73"/>
      <c r="E375" s="88"/>
      <c r="F375" s="73"/>
      <c r="G375" s="394"/>
      <c r="H375" s="77"/>
      <c r="I375" s="88"/>
      <c r="J375" s="393">
        <v>44270.0</v>
      </c>
      <c r="K375" s="393">
        <f t="shared" si="1"/>
        <v>44271</v>
      </c>
      <c r="L375" s="394" t="str">
        <f>IFERROR(__xludf.DUMMYFUNCTION("JOIN("""", G375:H375)"),"")</f>
        <v/>
      </c>
      <c r="M375" s="80" t="str">
        <f t="shared" si="2"/>
        <v/>
      </c>
    </row>
    <row r="376">
      <c r="A376" s="86"/>
      <c r="B376" s="73"/>
      <c r="C376" s="73"/>
      <c r="D376" s="73"/>
      <c r="E376" s="88"/>
      <c r="F376" s="73"/>
      <c r="G376" s="394"/>
      <c r="H376" s="77"/>
      <c r="I376" s="88"/>
      <c r="J376" s="393">
        <v>44270.0</v>
      </c>
      <c r="K376" s="393">
        <f t="shared" si="1"/>
        <v>44271</v>
      </c>
      <c r="L376" s="394" t="str">
        <f>IFERROR(__xludf.DUMMYFUNCTION("JOIN("""", G376:H376)"),"")</f>
        <v/>
      </c>
      <c r="M376" s="80" t="str">
        <f t="shared" si="2"/>
        <v/>
      </c>
    </row>
    <row r="377">
      <c r="A377" s="86"/>
      <c r="B377" s="73"/>
      <c r="C377" s="73"/>
      <c r="D377" s="73"/>
      <c r="E377" s="88"/>
      <c r="F377" s="73"/>
      <c r="G377" s="394"/>
      <c r="H377" s="77"/>
      <c r="I377" s="88"/>
      <c r="J377" s="393">
        <v>44270.0</v>
      </c>
      <c r="K377" s="393">
        <f t="shared" si="1"/>
        <v>44271</v>
      </c>
      <c r="L377" s="394" t="str">
        <f>IFERROR(__xludf.DUMMYFUNCTION("JOIN("""", G377:H377)"),"")</f>
        <v/>
      </c>
      <c r="M377" s="80" t="str">
        <f t="shared" si="2"/>
        <v/>
      </c>
    </row>
    <row r="378">
      <c r="A378" s="86"/>
      <c r="B378" s="73"/>
      <c r="C378" s="73"/>
      <c r="D378" s="73"/>
      <c r="E378" s="88"/>
      <c r="F378" s="73"/>
      <c r="G378" s="394"/>
      <c r="H378" s="77"/>
      <c r="I378" s="88"/>
      <c r="J378" s="393">
        <v>44270.0</v>
      </c>
      <c r="K378" s="393">
        <f t="shared" si="1"/>
        <v>44271</v>
      </c>
      <c r="L378" s="394" t="str">
        <f>IFERROR(__xludf.DUMMYFUNCTION("JOIN("""", G378:H378)"),"")</f>
        <v/>
      </c>
      <c r="M378" s="80" t="str">
        <f t="shared" si="2"/>
        <v/>
      </c>
    </row>
    <row r="379">
      <c r="A379" s="86"/>
      <c r="B379" s="73"/>
      <c r="C379" s="73"/>
      <c r="D379" s="73"/>
      <c r="E379" s="88"/>
      <c r="F379" s="73"/>
      <c r="G379" s="394"/>
      <c r="H379" s="77"/>
      <c r="I379" s="88"/>
      <c r="J379" s="393">
        <v>44270.0</v>
      </c>
      <c r="K379" s="393">
        <f t="shared" si="1"/>
        <v>44271</v>
      </c>
      <c r="L379" s="394" t="str">
        <f>IFERROR(__xludf.DUMMYFUNCTION("JOIN("""", G379:H379)"),"")</f>
        <v/>
      </c>
      <c r="M379" s="80" t="str">
        <f t="shared" si="2"/>
        <v/>
      </c>
    </row>
    <row r="380">
      <c r="A380" s="86"/>
      <c r="B380" s="73"/>
      <c r="C380" s="73"/>
      <c r="D380" s="73"/>
      <c r="E380" s="88"/>
      <c r="F380" s="73"/>
      <c r="G380" s="394"/>
      <c r="H380" s="77"/>
      <c r="I380" s="88"/>
      <c r="J380" s="393">
        <v>44270.0</v>
      </c>
      <c r="K380" s="393">
        <f t="shared" si="1"/>
        <v>44271</v>
      </c>
      <c r="L380" s="394" t="str">
        <f>IFERROR(__xludf.DUMMYFUNCTION("JOIN("""", G380:H380)"),"")</f>
        <v/>
      </c>
      <c r="M380" s="80" t="str">
        <f t="shared" si="2"/>
        <v/>
      </c>
    </row>
    <row r="381">
      <c r="A381" s="86"/>
      <c r="B381" s="73"/>
      <c r="C381" s="73"/>
      <c r="D381" s="73"/>
      <c r="E381" s="88"/>
      <c r="F381" s="73"/>
      <c r="G381" s="394"/>
      <c r="H381" s="77"/>
      <c r="I381" s="88"/>
      <c r="J381" s="393">
        <v>44270.0</v>
      </c>
      <c r="K381" s="393">
        <f t="shared" si="1"/>
        <v>44271</v>
      </c>
      <c r="L381" s="394" t="str">
        <f>IFERROR(__xludf.DUMMYFUNCTION("JOIN("""", G381:H381)"),"")</f>
        <v/>
      </c>
      <c r="M381" s="80" t="str">
        <f t="shared" si="2"/>
        <v/>
      </c>
    </row>
    <row r="382">
      <c r="A382" s="86"/>
      <c r="B382" s="73"/>
      <c r="C382" s="73"/>
      <c r="D382" s="73"/>
      <c r="E382" s="88"/>
      <c r="F382" s="73"/>
      <c r="G382" s="394"/>
      <c r="H382" s="77"/>
      <c r="I382" s="88"/>
      <c r="J382" s="393">
        <v>44270.0</v>
      </c>
      <c r="K382" s="393">
        <f t="shared" si="1"/>
        <v>44271</v>
      </c>
      <c r="L382" s="394" t="str">
        <f>IFERROR(__xludf.DUMMYFUNCTION("JOIN("""", G382:H382)"),"")</f>
        <v/>
      </c>
      <c r="M382" s="80" t="str">
        <f t="shared" si="2"/>
        <v/>
      </c>
    </row>
    <row r="383">
      <c r="A383" s="86"/>
      <c r="B383" s="73"/>
      <c r="C383" s="73"/>
      <c r="D383" s="73"/>
      <c r="E383" s="88"/>
      <c r="F383" s="73"/>
      <c r="G383" s="394"/>
      <c r="H383" s="77"/>
      <c r="I383" s="88"/>
      <c r="J383" s="393">
        <v>44270.0</v>
      </c>
      <c r="K383" s="393">
        <f t="shared" si="1"/>
        <v>44271</v>
      </c>
      <c r="L383" s="394" t="str">
        <f>IFERROR(__xludf.DUMMYFUNCTION("JOIN("""", G383:H383)"),"")</f>
        <v/>
      </c>
      <c r="M383" s="80" t="str">
        <f t="shared" si="2"/>
        <v/>
      </c>
    </row>
    <row r="384">
      <c r="A384" s="86"/>
      <c r="B384" s="73"/>
      <c r="C384" s="73"/>
      <c r="D384" s="73"/>
      <c r="E384" s="88"/>
      <c r="F384" s="73"/>
      <c r="G384" s="394"/>
      <c r="H384" s="77"/>
      <c r="I384" s="88"/>
      <c r="J384" s="393">
        <v>44270.0</v>
      </c>
      <c r="K384" s="393">
        <f t="shared" si="1"/>
        <v>44271</v>
      </c>
      <c r="L384" s="394" t="str">
        <f>IFERROR(__xludf.DUMMYFUNCTION("JOIN("""", G384:H384)"),"")</f>
        <v/>
      </c>
      <c r="M384" s="80" t="str">
        <f t="shared" si="2"/>
        <v/>
      </c>
    </row>
    <row r="385">
      <c r="A385" s="86"/>
      <c r="B385" s="73"/>
      <c r="C385" s="73"/>
      <c r="D385" s="73"/>
      <c r="E385" s="88"/>
      <c r="F385" s="73"/>
      <c r="G385" s="394"/>
      <c r="H385" s="77"/>
      <c r="I385" s="88"/>
      <c r="J385" s="393">
        <v>44270.0</v>
      </c>
      <c r="K385" s="393">
        <f t="shared" si="1"/>
        <v>44271</v>
      </c>
      <c r="L385" s="394" t="str">
        <f>IFERROR(__xludf.DUMMYFUNCTION("JOIN("""", G385:H385)"),"")</f>
        <v/>
      </c>
      <c r="M385" s="80" t="str">
        <f t="shared" si="2"/>
        <v/>
      </c>
    </row>
    <row r="386">
      <c r="A386" s="86"/>
      <c r="B386" s="73"/>
      <c r="C386" s="73"/>
      <c r="D386" s="73"/>
      <c r="E386" s="88"/>
      <c r="F386" s="73"/>
      <c r="G386" s="394"/>
      <c r="H386" s="77"/>
      <c r="I386" s="88"/>
      <c r="J386" s="393">
        <v>44271.0</v>
      </c>
      <c r="K386" s="393">
        <f t="shared" si="1"/>
        <v>44272</v>
      </c>
      <c r="L386" s="394" t="str">
        <f>IFERROR(__xludf.DUMMYFUNCTION("JOIN("""", G386:H386)"),"")</f>
        <v/>
      </c>
      <c r="M386" s="80" t="str">
        <f t="shared" si="2"/>
        <v/>
      </c>
    </row>
    <row r="387">
      <c r="A387" s="86"/>
      <c r="B387" s="73"/>
      <c r="C387" s="73"/>
      <c r="D387" s="73"/>
      <c r="E387" s="88"/>
      <c r="F387" s="73"/>
      <c r="G387" s="394"/>
      <c r="H387" s="77"/>
      <c r="I387" s="88"/>
      <c r="J387" s="393">
        <v>44274.0</v>
      </c>
      <c r="K387" s="393">
        <f t="shared" si="1"/>
        <v>44275</v>
      </c>
      <c r="L387" s="394" t="str">
        <f>IFERROR(__xludf.DUMMYFUNCTION("JOIN("""", G387:H387)"),"")</f>
        <v/>
      </c>
      <c r="M387" s="80" t="str">
        <f t="shared" si="2"/>
        <v/>
      </c>
    </row>
    <row r="388">
      <c r="A388" s="86"/>
      <c r="B388" s="73"/>
      <c r="C388" s="73"/>
      <c r="D388" s="73"/>
      <c r="E388" s="88"/>
      <c r="F388" s="73"/>
      <c r="G388" s="394"/>
      <c r="H388" s="77"/>
      <c r="I388" s="88"/>
      <c r="J388" s="399">
        <v>44271.0</v>
      </c>
      <c r="K388" s="393">
        <f t="shared" si="1"/>
        <v>44272</v>
      </c>
      <c r="L388" s="394" t="str">
        <f>IFERROR(__xludf.DUMMYFUNCTION("JOIN("""", G388:H388)"),"")</f>
        <v/>
      </c>
      <c r="M388" s="80" t="str">
        <f t="shared" si="2"/>
        <v/>
      </c>
    </row>
    <row r="389">
      <c r="A389" s="86"/>
      <c r="B389" s="73"/>
      <c r="C389" s="73"/>
      <c r="D389" s="73"/>
      <c r="E389" s="88"/>
      <c r="F389" s="73"/>
      <c r="G389" s="394"/>
      <c r="H389" s="77"/>
      <c r="I389" s="88"/>
      <c r="J389" s="393">
        <v>44271.0</v>
      </c>
      <c r="K389" s="393">
        <f t="shared" si="1"/>
        <v>44272</v>
      </c>
      <c r="L389" s="394" t="str">
        <f>IFERROR(__xludf.DUMMYFUNCTION("JOIN("""", G389:H389)"),"")</f>
        <v/>
      </c>
      <c r="M389" s="80" t="str">
        <f t="shared" si="2"/>
        <v/>
      </c>
    </row>
    <row r="390">
      <c r="A390" s="86"/>
      <c r="B390" s="73"/>
      <c r="C390" s="73"/>
      <c r="D390" s="73"/>
      <c r="E390" s="88"/>
      <c r="F390" s="73"/>
      <c r="G390" s="394"/>
      <c r="H390" s="77"/>
      <c r="I390" s="88"/>
      <c r="J390" s="393">
        <v>44274.0</v>
      </c>
      <c r="K390" s="393">
        <f t="shared" si="1"/>
        <v>44275</v>
      </c>
      <c r="L390" s="394" t="str">
        <f>IFERROR(__xludf.DUMMYFUNCTION("JOIN("""", G390:H390)"),"")</f>
        <v/>
      </c>
      <c r="M390" s="80" t="str">
        <f t="shared" si="2"/>
        <v/>
      </c>
    </row>
    <row r="391">
      <c r="A391" s="86"/>
      <c r="B391" s="73"/>
      <c r="C391" s="73"/>
      <c r="D391" s="73"/>
      <c r="E391" s="88"/>
      <c r="F391" s="73"/>
      <c r="G391" s="394"/>
      <c r="H391" s="77"/>
      <c r="I391" s="88"/>
      <c r="J391" s="393">
        <v>44271.0</v>
      </c>
      <c r="K391" s="393">
        <f t="shared" si="1"/>
        <v>44272</v>
      </c>
      <c r="L391" s="394" t="str">
        <f>IFERROR(__xludf.DUMMYFUNCTION("JOIN("""", G391:H391)"),"")</f>
        <v/>
      </c>
      <c r="M391" s="80" t="str">
        <f t="shared" si="2"/>
        <v/>
      </c>
    </row>
    <row r="392">
      <c r="A392" s="86"/>
      <c r="B392" s="73"/>
      <c r="C392" s="73"/>
      <c r="D392" s="73"/>
      <c r="E392" s="88"/>
      <c r="F392" s="73"/>
      <c r="G392" s="394"/>
      <c r="H392" s="77"/>
      <c r="I392" s="88"/>
      <c r="J392" s="393">
        <v>44273.0</v>
      </c>
      <c r="K392" s="393">
        <f t="shared" si="1"/>
        <v>44274</v>
      </c>
      <c r="L392" s="394" t="str">
        <f>IFERROR(__xludf.DUMMYFUNCTION("JOIN("""", G392:H392)"),"")</f>
        <v/>
      </c>
      <c r="M392" s="80" t="str">
        <f t="shared" si="2"/>
        <v/>
      </c>
    </row>
    <row r="393">
      <c r="A393" s="86"/>
      <c r="B393" s="73"/>
      <c r="C393" s="73"/>
      <c r="D393" s="73"/>
      <c r="E393" s="88"/>
      <c r="F393" s="73"/>
      <c r="G393" s="394"/>
      <c r="H393" s="77"/>
      <c r="I393" s="88"/>
      <c r="J393" s="393">
        <v>44273.0</v>
      </c>
      <c r="K393" s="393">
        <f t="shared" si="1"/>
        <v>44274</v>
      </c>
      <c r="L393" s="394" t="str">
        <f>IFERROR(__xludf.DUMMYFUNCTION("JOIN("""", G393:H393)"),"")</f>
        <v/>
      </c>
      <c r="M393" s="80" t="str">
        <f t="shared" si="2"/>
        <v/>
      </c>
    </row>
    <row r="394">
      <c r="A394" s="86"/>
      <c r="B394" s="73"/>
      <c r="C394" s="73"/>
      <c r="D394" s="73"/>
      <c r="E394" s="88"/>
      <c r="F394" s="73"/>
      <c r="G394" s="394"/>
      <c r="H394" s="77"/>
      <c r="I394" s="88"/>
      <c r="J394" s="393">
        <v>44273.0</v>
      </c>
      <c r="K394" s="393">
        <f t="shared" si="1"/>
        <v>44274</v>
      </c>
      <c r="L394" s="394" t="str">
        <f>IFERROR(__xludf.DUMMYFUNCTION("JOIN("""", G394:H394)"),"")</f>
        <v/>
      </c>
      <c r="M394" s="80" t="str">
        <f t="shared" si="2"/>
        <v/>
      </c>
    </row>
    <row r="395">
      <c r="A395" s="86"/>
      <c r="B395" s="73"/>
      <c r="C395" s="73"/>
      <c r="D395" s="73"/>
      <c r="E395" s="88"/>
      <c r="F395" s="73"/>
      <c r="G395" s="394"/>
      <c r="H395" s="77"/>
      <c r="I395" s="88"/>
      <c r="J395" s="393">
        <v>44273.0</v>
      </c>
      <c r="K395" s="393">
        <f t="shared" si="1"/>
        <v>44274</v>
      </c>
      <c r="L395" s="394" t="str">
        <f>IFERROR(__xludf.DUMMYFUNCTION("JOIN("""", G395:H395)"),"")</f>
        <v/>
      </c>
      <c r="M395" s="80" t="str">
        <f t="shared" si="2"/>
        <v/>
      </c>
    </row>
    <row r="396">
      <c r="A396" s="86"/>
      <c r="B396" s="73"/>
      <c r="C396" s="73"/>
      <c r="D396" s="73"/>
      <c r="E396" s="88"/>
      <c r="F396" s="73"/>
      <c r="G396" s="394"/>
      <c r="H396" s="77"/>
      <c r="I396" s="88"/>
      <c r="J396" s="393">
        <v>44273.0</v>
      </c>
      <c r="K396" s="393">
        <f t="shared" si="1"/>
        <v>44274</v>
      </c>
      <c r="L396" s="394" t="str">
        <f>IFERROR(__xludf.DUMMYFUNCTION("JOIN("""", G396:H396)"),"")</f>
        <v/>
      </c>
      <c r="M396" s="80" t="str">
        <f t="shared" si="2"/>
        <v/>
      </c>
    </row>
    <row r="397">
      <c r="A397" s="86"/>
      <c r="B397" s="73"/>
      <c r="C397" s="73"/>
      <c r="D397" s="73"/>
      <c r="E397" s="88"/>
      <c r="F397" s="73"/>
      <c r="G397" s="394"/>
      <c r="H397" s="77"/>
      <c r="I397" s="88"/>
      <c r="J397" s="393">
        <v>44273.0</v>
      </c>
      <c r="K397" s="393">
        <f t="shared" si="1"/>
        <v>44274</v>
      </c>
      <c r="L397" s="394" t="str">
        <f>IFERROR(__xludf.DUMMYFUNCTION("JOIN("""", G397:H397)"),"")</f>
        <v/>
      </c>
      <c r="M397" s="80" t="str">
        <f t="shared" si="2"/>
        <v/>
      </c>
    </row>
    <row r="398">
      <c r="A398" s="86"/>
      <c r="B398" s="73"/>
      <c r="C398" s="73"/>
      <c r="D398" s="73"/>
      <c r="E398" s="88"/>
      <c r="F398" s="73"/>
      <c r="G398" s="394"/>
      <c r="H398" s="77"/>
      <c r="I398" s="88"/>
      <c r="J398" s="393">
        <v>44273.0</v>
      </c>
      <c r="K398" s="393">
        <f t="shared" si="1"/>
        <v>44274</v>
      </c>
      <c r="L398" s="394" t="str">
        <f>IFERROR(__xludf.DUMMYFUNCTION("JOIN("""", G398:H398)"),"")</f>
        <v/>
      </c>
      <c r="M398" s="80" t="str">
        <f t="shared" si="2"/>
        <v/>
      </c>
    </row>
    <row r="399">
      <c r="A399" s="86"/>
      <c r="B399" s="73"/>
      <c r="C399" s="73"/>
      <c r="D399" s="73"/>
      <c r="E399" s="88"/>
      <c r="F399" s="73"/>
      <c r="G399" s="394"/>
      <c r="H399" s="77"/>
      <c r="I399" s="88"/>
      <c r="J399" s="393">
        <v>44273.0</v>
      </c>
      <c r="K399" s="393">
        <f t="shared" si="1"/>
        <v>44274</v>
      </c>
      <c r="L399" s="394" t="str">
        <f>IFERROR(__xludf.DUMMYFUNCTION("JOIN("""", G399:H399)"),"")</f>
        <v/>
      </c>
      <c r="M399" s="80" t="str">
        <f t="shared" si="2"/>
        <v/>
      </c>
    </row>
    <row r="400">
      <c r="A400" s="86"/>
      <c r="B400" s="73"/>
      <c r="C400" s="73"/>
      <c r="D400" s="73"/>
      <c r="E400" s="88"/>
      <c r="F400" s="73"/>
      <c r="G400" s="394"/>
      <c r="H400" s="77"/>
      <c r="I400" s="88"/>
      <c r="J400" s="393">
        <v>44273.0</v>
      </c>
      <c r="K400" s="393">
        <f t="shared" si="1"/>
        <v>44274</v>
      </c>
      <c r="L400" s="394" t="str">
        <f>IFERROR(__xludf.DUMMYFUNCTION("JOIN("""", G400:H400)"),"")</f>
        <v/>
      </c>
      <c r="M400" s="80" t="str">
        <f t="shared" si="2"/>
        <v/>
      </c>
    </row>
    <row r="401">
      <c r="A401" s="86"/>
      <c r="B401" s="73"/>
      <c r="C401" s="73"/>
      <c r="D401" s="73"/>
      <c r="E401" s="88"/>
      <c r="F401" s="73"/>
      <c r="G401" s="394"/>
      <c r="H401" s="77"/>
      <c r="I401" s="88"/>
      <c r="J401" s="393">
        <v>44274.0</v>
      </c>
      <c r="K401" s="393">
        <f t="shared" si="1"/>
        <v>44275</v>
      </c>
      <c r="L401" s="394" t="str">
        <f>IFERROR(__xludf.DUMMYFUNCTION("JOIN("""", G401:H401)"),"")</f>
        <v/>
      </c>
      <c r="M401" s="80" t="str">
        <f t="shared" si="2"/>
        <v/>
      </c>
    </row>
    <row r="402">
      <c r="A402" s="86"/>
      <c r="B402" s="73"/>
      <c r="C402" s="73"/>
      <c r="D402" s="73"/>
      <c r="E402" s="88"/>
      <c r="F402" s="73"/>
      <c r="G402" s="394"/>
      <c r="H402" s="77"/>
      <c r="I402" s="88"/>
      <c r="J402" s="393">
        <v>44273.0</v>
      </c>
      <c r="K402" s="393">
        <f t="shared" si="1"/>
        <v>44274</v>
      </c>
      <c r="L402" s="394" t="str">
        <f>IFERROR(__xludf.DUMMYFUNCTION("JOIN("""", G402:H402)"),"")</f>
        <v/>
      </c>
      <c r="M402" s="80" t="str">
        <f t="shared" si="2"/>
        <v/>
      </c>
    </row>
    <row r="403">
      <c r="A403" s="86"/>
      <c r="B403" s="73"/>
      <c r="C403" s="73"/>
      <c r="D403" s="73"/>
      <c r="E403" s="88"/>
      <c r="F403" s="73"/>
      <c r="G403" s="394"/>
      <c r="H403" s="77"/>
      <c r="I403" s="88"/>
      <c r="J403" s="393">
        <v>44273.0</v>
      </c>
      <c r="K403" s="393">
        <f t="shared" si="1"/>
        <v>44274</v>
      </c>
      <c r="L403" s="394" t="str">
        <f>IFERROR(__xludf.DUMMYFUNCTION("JOIN("""", G403:H403)"),"")</f>
        <v/>
      </c>
      <c r="M403" s="80" t="str">
        <f t="shared" si="2"/>
        <v/>
      </c>
    </row>
    <row r="404">
      <c r="A404" s="86"/>
      <c r="B404" s="73"/>
      <c r="C404" s="73"/>
      <c r="D404" s="73"/>
      <c r="E404" s="88"/>
      <c r="F404" s="73"/>
      <c r="G404" s="394"/>
      <c r="H404" s="77"/>
      <c r="I404" s="88"/>
      <c r="J404" s="393">
        <v>44273.0</v>
      </c>
      <c r="K404" s="393">
        <f t="shared" si="1"/>
        <v>44274</v>
      </c>
      <c r="L404" s="394" t="str">
        <f>IFERROR(__xludf.DUMMYFUNCTION("JOIN("""", G404:H404)"),"")</f>
        <v/>
      </c>
      <c r="M404" s="80" t="str">
        <f t="shared" si="2"/>
        <v/>
      </c>
    </row>
    <row r="405">
      <c r="A405" s="86"/>
      <c r="B405" s="73"/>
      <c r="C405" s="73"/>
      <c r="D405" s="73"/>
      <c r="E405" s="88"/>
      <c r="F405" s="73"/>
      <c r="G405" s="394"/>
      <c r="H405" s="77"/>
      <c r="I405" s="88"/>
      <c r="J405" s="393">
        <v>44273.0</v>
      </c>
      <c r="K405" s="393">
        <f t="shared" si="1"/>
        <v>44274</v>
      </c>
      <c r="L405" s="394" t="str">
        <f>IFERROR(__xludf.DUMMYFUNCTION("JOIN("""", G405:H405)"),"")</f>
        <v/>
      </c>
      <c r="M405" s="80" t="str">
        <f t="shared" si="2"/>
        <v/>
      </c>
    </row>
    <row r="406">
      <c r="A406" s="86"/>
      <c r="B406" s="73"/>
      <c r="C406" s="73"/>
      <c r="D406" s="73"/>
      <c r="E406" s="88"/>
      <c r="F406" s="73"/>
      <c r="G406" s="394"/>
      <c r="H406" s="77"/>
      <c r="I406" s="88"/>
      <c r="J406" s="393">
        <v>44295.0</v>
      </c>
      <c r="K406" s="393">
        <f t="shared" si="1"/>
        <v>44296</v>
      </c>
      <c r="L406" s="394" t="str">
        <f>IFERROR(__xludf.DUMMYFUNCTION("JOIN("""", G406:H406)"),"")</f>
        <v/>
      </c>
      <c r="M406" s="80" t="str">
        <f t="shared" si="2"/>
        <v/>
      </c>
    </row>
    <row r="407">
      <c r="A407" s="86"/>
      <c r="B407" s="73"/>
      <c r="C407" s="73"/>
      <c r="D407" s="73"/>
      <c r="E407" s="88"/>
      <c r="F407" s="73"/>
      <c r="G407" s="394"/>
      <c r="H407" s="77"/>
      <c r="I407" s="88"/>
      <c r="J407" s="393">
        <v>44274.0</v>
      </c>
      <c r="K407" s="393">
        <f t="shared" si="1"/>
        <v>44275</v>
      </c>
      <c r="L407" s="394" t="str">
        <f>IFERROR(__xludf.DUMMYFUNCTION("JOIN("""", G407:H407)"),"")</f>
        <v/>
      </c>
      <c r="M407" s="80" t="str">
        <f t="shared" si="2"/>
        <v/>
      </c>
    </row>
    <row r="408">
      <c r="A408" s="86"/>
      <c r="B408" s="73"/>
      <c r="C408" s="73"/>
      <c r="D408" s="73"/>
      <c r="E408" s="88"/>
      <c r="F408" s="73"/>
      <c r="G408" s="394"/>
      <c r="H408" s="77"/>
      <c r="I408" s="88"/>
      <c r="J408" s="393">
        <v>44298.0</v>
      </c>
      <c r="K408" s="393">
        <f t="shared" si="1"/>
        <v>44299</v>
      </c>
      <c r="L408" s="394" t="str">
        <f>IFERROR(__xludf.DUMMYFUNCTION("JOIN("""", G408:H408)"),"")</f>
        <v/>
      </c>
      <c r="M408" s="80" t="str">
        <f t="shared" si="2"/>
        <v/>
      </c>
    </row>
    <row r="409">
      <c r="A409" s="86"/>
      <c r="B409" s="73"/>
      <c r="C409" s="73"/>
      <c r="D409" s="73"/>
      <c r="E409" s="88"/>
      <c r="F409" s="73"/>
      <c r="G409" s="394"/>
      <c r="H409" s="77"/>
      <c r="I409" s="88"/>
      <c r="J409" s="393">
        <v>44289.0</v>
      </c>
      <c r="K409" s="393">
        <f t="shared" si="1"/>
        <v>44290</v>
      </c>
      <c r="L409" s="394" t="str">
        <f>IFERROR(__xludf.DUMMYFUNCTION("JOIN("""", G409:H409)"),"")</f>
        <v/>
      </c>
      <c r="M409" s="80" t="str">
        <f t="shared" si="2"/>
        <v/>
      </c>
    </row>
    <row r="410">
      <c r="A410" s="86"/>
      <c r="B410" s="73"/>
      <c r="C410" s="73"/>
      <c r="D410" s="73"/>
      <c r="E410" s="88"/>
      <c r="F410" s="73"/>
      <c r="G410" s="394"/>
      <c r="H410" s="77"/>
      <c r="I410" s="88"/>
      <c r="J410" s="393">
        <v>44274.0</v>
      </c>
      <c r="K410" s="393">
        <f t="shared" si="1"/>
        <v>44275</v>
      </c>
      <c r="L410" s="394" t="str">
        <f>IFERROR(__xludf.DUMMYFUNCTION("JOIN("""", G410:H410)"),"")</f>
        <v/>
      </c>
      <c r="M410" s="80" t="str">
        <f t="shared" si="2"/>
        <v/>
      </c>
    </row>
    <row r="411">
      <c r="A411" s="86"/>
      <c r="B411" s="73"/>
      <c r="C411" s="73"/>
      <c r="D411" s="73"/>
      <c r="E411" s="88"/>
      <c r="F411" s="73"/>
      <c r="G411" s="394"/>
      <c r="H411" s="77"/>
      <c r="I411" s="88"/>
      <c r="J411" s="393">
        <v>44274.0</v>
      </c>
      <c r="K411" s="393">
        <f t="shared" si="1"/>
        <v>44275</v>
      </c>
      <c r="L411" s="394" t="str">
        <f>IFERROR(__xludf.DUMMYFUNCTION("JOIN("""", G411:H411)"),"")</f>
        <v/>
      </c>
      <c r="M411" s="80" t="str">
        <f t="shared" si="2"/>
        <v/>
      </c>
    </row>
    <row r="412">
      <c r="A412" s="86"/>
      <c r="B412" s="73"/>
      <c r="C412" s="73"/>
      <c r="D412" s="73"/>
      <c r="E412" s="88"/>
      <c r="F412" s="73"/>
      <c r="G412" s="394"/>
      <c r="H412" s="77"/>
      <c r="I412" s="88"/>
      <c r="J412" s="393">
        <v>44274.0</v>
      </c>
      <c r="K412" s="393">
        <f t="shared" si="1"/>
        <v>44275</v>
      </c>
      <c r="L412" s="394" t="str">
        <f>IFERROR(__xludf.DUMMYFUNCTION("JOIN("""", G412:H412)"),"")</f>
        <v/>
      </c>
      <c r="M412" s="80" t="str">
        <f t="shared" si="2"/>
        <v/>
      </c>
    </row>
    <row r="413">
      <c r="A413" s="86"/>
      <c r="B413" s="73"/>
      <c r="C413" s="73"/>
      <c r="D413" s="73"/>
      <c r="E413" s="88"/>
      <c r="F413" s="73"/>
      <c r="G413" s="394"/>
      <c r="H413" s="77"/>
      <c r="I413" s="88"/>
      <c r="J413" s="393">
        <v>44274.0</v>
      </c>
      <c r="K413" s="393">
        <f t="shared" si="1"/>
        <v>44275</v>
      </c>
      <c r="L413" s="394" t="str">
        <f>IFERROR(__xludf.DUMMYFUNCTION("JOIN("""", G413:H413)"),"")</f>
        <v/>
      </c>
      <c r="M413" s="80" t="str">
        <f t="shared" si="2"/>
        <v/>
      </c>
    </row>
    <row r="414">
      <c r="A414" s="86"/>
      <c r="B414" s="73"/>
      <c r="C414" s="73"/>
      <c r="D414" s="73"/>
      <c r="E414" s="88"/>
      <c r="F414" s="73"/>
      <c r="G414" s="394"/>
      <c r="H414" s="77"/>
      <c r="I414" s="88"/>
      <c r="J414" s="393">
        <v>44292.0</v>
      </c>
      <c r="K414" s="393">
        <f t="shared" si="1"/>
        <v>44293</v>
      </c>
      <c r="L414" s="394" t="str">
        <f>IFERROR(__xludf.DUMMYFUNCTION("JOIN("""", G414:H414)"),"")</f>
        <v/>
      </c>
      <c r="M414" s="80" t="str">
        <f t="shared" si="2"/>
        <v/>
      </c>
    </row>
    <row r="415">
      <c r="A415" s="86"/>
      <c r="B415" s="73"/>
      <c r="C415" s="73"/>
      <c r="D415" s="73"/>
      <c r="E415" s="88"/>
      <c r="F415" s="73"/>
      <c r="G415" s="394"/>
      <c r="H415" s="77"/>
      <c r="I415" s="88"/>
      <c r="J415" s="393">
        <v>44274.0</v>
      </c>
      <c r="K415" s="393">
        <f t="shared" si="1"/>
        <v>44275</v>
      </c>
      <c r="L415" s="394" t="str">
        <f>IFERROR(__xludf.DUMMYFUNCTION("JOIN("""", G415:H415)"),"")</f>
        <v/>
      </c>
      <c r="M415" s="80" t="str">
        <f t="shared" si="2"/>
        <v/>
      </c>
    </row>
    <row r="416">
      <c r="A416" s="86"/>
      <c r="B416" s="73"/>
      <c r="C416" s="73"/>
      <c r="D416" s="73"/>
      <c r="E416" s="88"/>
      <c r="F416" s="73"/>
      <c r="G416" s="394"/>
      <c r="H416" s="77"/>
      <c r="I416" s="88"/>
      <c r="J416" s="393">
        <v>44274.0</v>
      </c>
      <c r="K416" s="393">
        <f t="shared" si="1"/>
        <v>44275</v>
      </c>
      <c r="L416" s="394" t="str">
        <f>IFERROR(__xludf.DUMMYFUNCTION("JOIN("""", G416:H416)"),"")</f>
        <v/>
      </c>
      <c r="M416" s="80" t="str">
        <f t="shared" si="2"/>
        <v/>
      </c>
    </row>
    <row r="417">
      <c r="A417" s="86"/>
      <c r="B417" s="73"/>
      <c r="C417" s="73"/>
      <c r="D417" s="73"/>
      <c r="E417" s="88"/>
      <c r="F417" s="73"/>
      <c r="G417" s="394"/>
      <c r="H417" s="77"/>
      <c r="I417" s="88"/>
      <c r="J417" s="393">
        <v>44274.0</v>
      </c>
      <c r="K417" s="393">
        <f t="shared" si="1"/>
        <v>44275</v>
      </c>
      <c r="L417" s="394" t="str">
        <f>IFERROR(__xludf.DUMMYFUNCTION("JOIN("""", G417:H417)"),"")</f>
        <v/>
      </c>
      <c r="M417" s="80" t="str">
        <f t="shared" si="2"/>
        <v/>
      </c>
    </row>
    <row r="418">
      <c r="A418" s="86"/>
      <c r="B418" s="73"/>
      <c r="C418" s="73"/>
      <c r="D418" s="73"/>
      <c r="E418" s="88"/>
      <c r="F418" s="73"/>
      <c r="G418" s="394"/>
      <c r="H418" s="77"/>
      <c r="I418" s="88"/>
      <c r="J418" s="393">
        <v>44274.0</v>
      </c>
      <c r="K418" s="393">
        <f t="shared" si="1"/>
        <v>44275</v>
      </c>
      <c r="L418" s="394" t="str">
        <f>IFERROR(__xludf.DUMMYFUNCTION("JOIN("""", G418:H418)"),"")</f>
        <v/>
      </c>
      <c r="M418" s="80" t="str">
        <f t="shared" si="2"/>
        <v/>
      </c>
    </row>
    <row r="419">
      <c r="A419" s="86"/>
      <c r="B419" s="73"/>
      <c r="C419" s="73"/>
      <c r="D419" s="73"/>
      <c r="E419" s="88"/>
      <c r="F419" s="73"/>
      <c r="G419" s="394"/>
      <c r="H419" s="77"/>
      <c r="I419" s="88"/>
      <c r="J419" s="393">
        <v>44274.0</v>
      </c>
      <c r="K419" s="393">
        <f t="shared" si="1"/>
        <v>44275</v>
      </c>
      <c r="L419" s="394" t="str">
        <f>IFERROR(__xludf.DUMMYFUNCTION("JOIN("""", G419:H419)"),"")</f>
        <v/>
      </c>
      <c r="M419" s="80" t="str">
        <f t="shared" si="2"/>
        <v/>
      </c>
    </row>
    <row r="420">
      <c r="A420" s="86"/>
      <c r="B420" s="73"/>
      <c r="C420" s="73"/>
      <c r="D420" s="73"/>
      <c r="E420" s="88"/>
      <c r="F420" s="73"/>
      <c r="G420" s="394"/>
      <c r="H420" s="77"/>
      <c r="I420" s="88"/>
      <c r="J420" s="393">
        <v>44274.0</v>
      </c>
      <c r="K420" s="393">
        <f t="shared" si="1"/>
        <v>44275</v>
      </c>
      <c r="L420" s="394" t="str">
        <f>IFERROR(__xludf.DUMMYFUNCTION("JOIN("""", G420:H420)"),"")</f>
        <v/>
      </c>
      <c r="M420" s="80" t="str">
        <f t="shared" si="2"/>
        <v/>
      </c>
    </row>
    <row r="421">
      <c r="A421" s="86"/>
      <c r="B421" s="73"/>
      <c r="C421" s="73"/>
      <c r="D421" s="73"/>
      <c r="E421" s="88"/>
      <c r="F421" s="73"/>
      <c r="G421" s="394"/>
      <c r="H421" s="77"/>
      <c r="I421" s="88"/>
      <c r="J421" s="393">
        <v>44274.0</v>
      </c>
      <c r="K421" s="393">
        <f t="shared" si="1"/>
        <v>44275</v>
      </c>
      <c r="L421" s="394" t="str">
        <f>IFERROR(__xludf.DUMMYFUNCTION("JOIN("""", G421:H421)"),"")</f>
        <v/>
      </c>
      <c r="M421" s="80" t="str">
        <f t="shared" si="2"/>
        <v/>
      </c>
    </row>
    <row r="422">
      <c r="A422" s="86"/>
      <c r="B422" s="73"/>
      <c r="C422" s="73"/>
      <c r="D422" s="73"/>
      <c r="E422" s="88"/>
      <c r="F422" s="73"/>
      <c r="G422" s="394"/>
      <c r="H422" s="77"/>
      <c r="I422" s="88"/>
      <c r="J422" s="393">
        <v>44290.0</v>
      </c>
      <c r="K422" s="393">
        <f t="shared" si="1"/>
        <v>44291</v>
      </c>
      <c r="L422" s="394" t="str">
        <f>IFERROR(__xludf.DUMMYFUNCTION("JOIN("""", G422:H422)"),"")</f>
        <v/>
      </c>
      <c r="M422" s="80" t="str">
        <f t="shared" si="2"/>
        <v/>
      </c>
    </row>
    <row r="423">
      <c r="A423" s="86"/>
      <c r="B423" s="73"/>
      <c r="C423" s="73"/>
      <c r="D423" s="73"/>
      <c r="E423" s="88"/>
      <c r="F423" s="73"/>
      <c r="G423" s="394"/>
      <c r="H423" s="77"/>
      <c r="I423" s="88"/>
      <c r="J423" s="393">
        <v>44274.0</v>
      </c>
      <c r="K423" s="393">
        <f t="shared" si="1"/>
        <v>44275</v>
      </c>
      <c r="L423" s="394" t="str">
        <f>IFERROR(__xludf.DUMMYFUNCTION("JOIN("""", G423:H423)"),"")</f>
        <v/>
      </c>
      <c r="M423" s="80" t="str">
        <f t="shared" si="2"/>
        <v/>
      </c>
    </row>
    <row r="424">
      <c r="A424" s="86"/>
      <c r="B424" s="73"/>
      <c r="C424" s="73"/>
      <c r="D424" s="73"/>
      <c r="E424" s="88"/>
      <c r="F424" s="73"/>
      <c r="G424" s="394"/>
      <c r="H424" s="77"/>
      <c r="I424" s="88"/>
      <c r="J424" s="393">
        <v>44274.0</v>
      </c>
      <c r="K424" s="393">
        <f t="shared" si="1"/>
        <v>44275</v>
      </c>
      <c r="L424" s="394" t="str">
        <f>IFERROR(__xludf.DUMMYFUNCTION("JOIN("""", G424:H424)"),"")</f>
        <v/>
      </c>
      <c r="M424" s="80" t="str">
        <f t="shared" si="2"/>
        <v/>
      </c>
    </row>
    <row r="425">
      <c r="A425" s="86"/>
      <c r="B425" s="73"/>
      <c r="C425" s="73"/>
      <c r="D425" s="73"/>
      <c r="E425" s="88"/>
      <c r="F425" s="73"/>
      <c r="G425" s="394"/>
      <c r="H425" s="77"/>
      <c r="I425" s="88"/>
      <c r="J425" s="393">
        <v>44274.0</v>
      </c>
      <c r="K425" s="393">
        <f t="shared" si="1"/>
        <v>44275</v>
      </c>
      <c r="L425" s="394" t="str">
        <f>IFERROR(__xludf.DUMMYFUNCTION("JOIN("""", G425:H425)"),"")</f>
        <v/>
      </c>
      <c r="M425" s="80" t="str">
        <f t="shared" si="2"/>
        <v/>
      </c>
    </row>
    <row r="426">
      <c r="A426" s="86"/>
      <c r="B426" s="73"/>
      <c r="C426" s="73"/>
      <c r="D426" s="73"/>
      <c r="E426" s="88"/>
      <c r="F426" s="73"/>
      <c r="G426" s="394"/>
      <c r="H426" s="77"/>
      <c r="I426" s="88"/>
      <c r="J426" s="393">
        <v>44290.0</v>
      </c>
      <c r="K426" s="393">
        <f t="shared" si="1"/>
        <v>44291</v>
      </c>
      <c r="L426" s="394" t="str">
        <f>IFERROR(__xludf.DUMMYFUNCTION("JOIN("""", G426:H426)"),"")</f>
        <v/>
      </c>
      <c r="M426" s="80" t="str">
        <f t="shared" si="2"/>
        <v/>
      </c>
    </row>
    <row r="427">
      <c r="A427" s="86"/>
      <c r="B427" s="73"/>
      <c r="C427" s="73"/>
      <c r="D427" s="73"/>
      <c r="E427" s="88"/>
      <c r="F427" s="73"/>
      <c r="G427" s="394"/>
      <c r="H427" s="77"/>
      <c r="I427" s="88"/>
      <c r="J427" s="393">
        <v>44291.0</v>
      </c>
      <c r="K427" s="393">
        <f t="shared" si="1"/>
        <v>44292</v>
      </c>
      <c r="L427" s="394" t="str">
        <f>IFERROR(__xludf.DUMMYFUNCTION("JOIN("""", G427:H427)"),"")</f>
        <v/>
      </c>
      <c r="M427" s="80" t="str">
        <f t="shared" si="2"/>
        <v/>
      </c>
    </row>
    <row r="428">
      <c r="A428" s="86"/>
      <c r="B428" s="73"/>
      <c r="C428" s="73"/>
      <c r="D428" s="73"/>
      <c r="E428" s="88"/>
      <c r="F428" s="73"/>
      <c r="G428" s="394"/>
      <c r="H428" s="77"/>
      <c r="I428" s="88"/>
      <c r="J428" s="393">
        <v>44275.0</v>
      </c>
      <c r="K428" s="393">
        <f t="shared" si="1"/>
        <v>44276</v>
      </c>
      <c r="L428" s="394" t="str">
        <f>IFERROR(__xludf.DUMMYFUNCTION("JOIN("""", G428:H428)"),"")</f>
        <v/>
      </c>
      <c r="M428" s="80" t="str">
        <f t="shared" si="2"/>
        <v/>
      </c>
    </row>
    <row r="429">
      <c r="A429" s="86"/>
      <c r="B429" s="73"/>
      <c r="C429" s="73"/>
      <c r="D429" s="73"/>
      <c r="E429" s="88"/>
      <c r="F429" s="73"/>
      <c r="G429" s="394"/>
      <c r="H429" s="77"/>
      <c r="I429" s="88"/>
      <c r="J429" s="393">
        <v>44275.0</v>
      </c>
      <c r="K429" s="393">
        <f t="shared" si="1"/>
        <v>44276</v>
      </c>
      <c r="L429" s="394" t="str">
        <f>IFERROR(__xludf.DUMMYFUNCTION("JOIN("""", G429:H429)"),"")</f>
        <v/>
      </c>
      <c r="M429" s="80" t="str">
        <f t="shared" si="2"/>
        <v/>
      </c>
    </row>
    <row r="430">
      <c r="A430" s="86"/>
      <c r="B430" s="73"/>
      <c r="C430" s="73"/>
      <c r="D430" s="73"/>
      <c r="E430" s="88"/>
      <c r="F430" s="73"/>
      <c r="G430" s="394"/>
      <c r="H430" s="77"/>
      <c r="I430" s="88"/>
      <c r="J430" s="393">
        <v>44275.0</v>
      </c>
      <c r="K430" s="393">
        <f t="shared" si="1"/>
        <v>44276</v>
      </c>
      <c r="L430" s="394" t="str">
        <f>IFERROR(__xludf.DUMMYFUNCTION("JOIN("""", G430:H430)"),"")</f>
        <v/>
      </c>
      <c r="M430" s="80" t="str">
        <f t="shared" si="2"/>
        <v/>
      </c>
    </row>
    <row r="431">
      <c r="A431" s="86"/>
      <c r="B431" s="73"/>
      <c r="C431" s="73"/>
      <c r="D431" s="73"/>
      <c r="E431" s="88"/>
      <c r="F431" s="73"/>
      <c r="G431" s="394"/>
      <c r="H431" s="77"/>
      <c r="I431" s="88"/>
      <c r="J431" s="393">
        <v>44275.0</v>
      </c>
      <c r="K431" s="393">
        <f t="shared" si="1"/>
        <v>44276</v>
      </c>
      <c r="L431" s="394" t="str">
        <f>IFERROR(__xludf.DUMMYFUNCTION("JOIN("""", G431:H431)"),"")</f>
        <v/>
      </c>
      <c r="M431" s="80" t="str">
        <f t="shared" si="2"/>
        <v/>
      </c>
    </row>
    <row r="432">
      <c r="A432" s="86"/>
      <c r="B432" s="73"/>
      <c r="C432" s="73"/>
      <c r="D432" s="73"/>
      <c r="E432" s="88"/>
      <c r="F432" s="73"/>
      <c r="G432" s="394"/>
      <c r="H432" s="77"/>
      <c r="I432" s="88"/>
      <c r="J432" s="393">
        <v>44277.0</v>
      </c>
      <c r="K432" s="393">
        <f t="shared" si="1"/>
        <v>44278</v>
      </c>
      <c r="L432" s="394" t="str">
        <f>IFERROR(__xludf.DUMMYFUNCTION("JOIN("""", G432:H432)"),"")</f>
        <v/>
      </c>
      <c r="M432" s="80" t="str">
        <f t="shared" si="2"/>
        <v/>
      </c>
    </row>
    <row r="433">
      <c r="A433" s="86"/>
      <c r="B433" s="73"/>
      <c r="C433" s="73"/>
      <c r="D433" s="73"/>
      <c r="E433" s="88"/>
      <c r="F433" s="73"/>
      <c r="G433" s="394"/>
      <c r="H433" s="77"/>
      <c r="I433" s="88"/>
      <c r="J433" s="393">
        <v>44275.0</v>
      </c>
      <c r="K433" s="393">
        <f t="shared" si="1"/>
        <v>44276</v>
      </c>
      <c r="L433" s="394" t="str">
        <f>IFERROR(__xludf.DUMMYFUNCTION("JOIN("""", G433:H433)"),"")</f>
        <v/>
      </c>
      <c r="M433" s="80" t="str">
        <f t="shared" si="2"/>
        <v/>
      </c>
    </row>
    <row r="434">
      <c r="A434" s="86"/>
      <c r="B434" s="73"/>
      <c r="C434" s="73"/>
      <c r="D434" s="73"/>
      <c r="E434" s="88"/>
      <c r="F434" s="73"/>
      <c r="G434" s="394"/>
      <c r="H434" s="77"/>
      <c r="I434" s="88"/>
      <c r="J434" s="393">
        <v>44275.0</v>
      </c>
      <c r="K434" s="393">
        <f t="shared" si="1"/>
        <v>44276</v>
      </c>
      <c r="L434" s="394" t="str">
        <f>IFERROR(__xludf.DUMMYFUNCTION("JOIN("""", G434:H434)"),"")</f>
        <v/>
      </c>
      <c r="M434" s="80" t="str">
        <f t="shared" si="2"/>
        <v/>
      </c>
    </row>
    <row r="435">
      <c r="A435" s="86"/>
      <c r="B435" s="73"/>
      <c r="C435" s="73"/>
      <c r="D435" s="73"/>
      <c r="E435" s="88"/>
      <c r="F435" s="73"/>
      <c r="G435" s="394"/>
      <c r="H435" s="77"/>
      <c r="I435" s="88"/>
      <c r="J435" s="393">
        <v>44275.0</v>
      </c>
      <c r="K435" s="393">
        <f t="shared" si="1"/>
        <v>44276</v>
      </c>
      <c r="L435" s="394" t="str">
        <f>IFERROR(__xludf.DUMMYFUNCTION("JOIN("""", G435:H435)"),"")</f>
        <v/>
      </c>
      <c r="M435" s="80" t="str">
        <f t="shared" si="2"/>
        <v/>
      </c>
    </row>
    <row r="436">
      <c r="A436" s="86"/>
      <c r="B436" s="73"/>
      <c r="C436" s="73"/>
      <c r="D436" s="73"/>
      <c r="E436" s="88"/>
      <c r="F436" s="73"/>
      <c r="G436" s="394"/>
      <c r="H436" s="77"/>
      <c r="I436" s="88"/>
      <c r="J436" s="393">
        <v>44275.0</v>
      </c>
      <c r="K436" s="393">
        <f t="shared" si="1"/>
        <v>44276</v>
      </c>
      <c r="L436" s="394" t="str">
        <f>IFERROR(__xludf.DUMMYFUNCTION("JOIN("""", G436:H436)"),"")</f>
        <v/>
      </c>
      <c r="M436" s="80" t="str">
        <f t="shared" si="2"/>
        <v/>
      </c>
    </row>
    <row r="437">
      <c r="A437" s="86"/>
      <c r="B437" s="73"/>
      <c r="C437" s="73"/>
      <c r="D437" s="73"/>
      <c r="E437" s="88"/>
      <c r="F437" s="73"/>
      <c r="G437" s="394"/>
      <c r="H437" s="77"/>
      <c r="I437" s="88"/>
      <c r="J437" s="393">
        <v>44275.0</v>
      </c>
      <c r="K437" s="393">
        <f t="shared" si="1"/>
        <v>44276</v>
      </c>
      <c r="L437" s="394" t="str">
        <f>IFERROR(__xludf.DUMMYFUNCTION("JOIN("""", G437:H437)"),"")</f>
        <v/>
      </c>
      <c r="M437" s="80" t="str">
        <f t="shared" si="2"/>
        <v/>
      </c>
    </row>
    <row r="438">
      <c r="A438" s="86"/>
      <c r="B438" s="73"/>
      <c r="C438" s="73"/>
      <c r="D438" s="73"/>
      <c r="E438" s="88"/>
      <c r="F438" s="73"/>
      <c r="G438" s="394"/>
      <c r="H438" s="77"/>
      <c r="I438" s="88"/>
      <c r="J438" s="393">
        <v>44275.0</v>
      </c>
      <c r="K438" s="393">
        <f t="shared" si="1"/>
        <v>44276</v>
      </c>
      <c r="L438" s="394" t="str">
        <f>IFERROR(__xludf.DUMMYFUNCTION("JOIN("""", G438:H438)"),"")</f>
        <v/>
      </c>
      <c r="M438" s="80" t="str">
        <f t="shared" si="2"/>
        <v/>
      </c>
    </row>
    <row r="439">
      <c r="A439" s="86"/>
      <c r="B439" s="73"/>
      <c r="C439" s="73"/>
      <c r="D439" s="73"/>
      <c r="E439" s="88"/>
      <c r="F439" s="73"/>
      <c r="G439" s="394"/>
      <c r="H439" s="77"/>
      <c r="I439" s="88"/>
      <c r="J439" s="393">
        <v>44275.0</v>
      </c>
      <c r="K439" s="393">
        <f t="shared" si="1"/>
        <v>44276</v>
      </c>
      <c r="L439" s="394" t="str">
        <f>IFERROR(__xludf.DUMMYFUNCTION("JOIN("""", G439:H439)"),"")</f>
        <v/>
      </c>
      <c r="M439" s="80" t="str">
        <f t="shared" si="2"/>
        <v/>
      </c>
    </row>
    <row r="440">
      <c r="A440" s="86"/>
      <c r="B440" s="73"/>
      <c r="C440" s="73"/>
      <c r="D440" s="73"/>
      <c r="E440" s="88"/>
      <c r="F440" s="73"/>
      <c r="G440" s="394"/>
      <c r="H440" s="77"/>
      <c r="I440" s="88"/>
      <c r="J440" s="393">
        <v>44275.0</v>
      </c>
      <c r="K440" s="393">
        <f t="shared" si="1"/>
        <v>44276</v>
      </c>
      <c r="L440" s="394" t="str">
        <f>IFERROR(__xludf.DUMMYFUNCTION("JOIN("""", G440:H440)"),"")</f>
        <v/>
      </c>
      <c r="M440" s="80" t="str">
        <f t="shared" si="2"/>
        <v/>
      </c>
    </row>
    <row r="441">
      <c r="A441" s="86"/>
      <c r="B441" s="73"/>
      <c r="C441" s="73"/>
      <c r="D441" s="73"/>
      <c r="E441" s="88"/>
      <c r="F441" s="73"/>
      <c r="G441" s="394"/>
      <c r="H441" s="77"/>
      <c r="I441" s="88"/>
      <c r="J441" s="393">
        <v>44275.0</v>
      </c>
      <c r="K441" s="393">
        <f t="shared" si="1"/>
        <v>44276</v>
      </c>
      <c r="L441" s="394" t="str">
        <f>IFERROR(__xludf.DUMMYFUNCTION("JOIN("""", G441:H441)"),"")</f>
        <v/>
      </c>
      <c r="M441" s="80" t="str">
        <f t="shared" si="2"/>
        <v/>
      </c>
    </row>
    <row r="442">
      <c r="A442" s="86"/>
      <c r="B442" s="73"/>
      <c r="C442" s="73"/>
      <c r="D442" s="73"/>
      <c r="E442" s="88"/>
      <c r="F442" s="73"/>
      <c r="G442" s="394"/>
      <c r="H442" s="400"/>
      <c r="I442" s="88"/>
      <c r="J442" s="393">
        <v>44275.0</v>
      </c>
      <c r="K442" s="393">
        <f t="shared" si="1"/>
        <v>44276</v>
      </c>
      <c r="L442" s="394" t="str">
        <f>IFERROR(__xludf.DUMMYFUNCTION("JOIN("""", G442:H442)"),"")</f>
        <v/>
      </c>
      <c r="M442" s="80" t="str">
        <f t="shared" si="2"/>
        <v/>
      </c>
    </row>
    <row r="443">
      <c r="A443" s="86"/>
      <c r="B443" s="73"/>
      <c r="C443" s="73"/>
      <c r="D443" s="73"/>
      <c r="E443" s="88"/>
      <c r="F443" s="73"/>
      <c r="G443" s="394"/>
      <c r="H443" s="77"/>
      <c r="I443" s="88"/>
      <c r="J443" s="393">
        <v>44275.0</v>
      </c>
      <c r="K443" s="393">
        <f t="shared" si="1"/>
        <v>44276</v>
      </c>
      <c r="L443" s="394" t="str">
        <f>IFERROR(__xludf.DUMMYFUNCTION("JOIN("""", G443:H443)"),"")</f>
        <v/>
      </c>
      <c r="M443" s="80" t="str">
        <f t="shared" si="2"/>
        <v/>
      </c>
    </row>
    <row r="444">
      <c r="A444" s="86"/>
      <c r="B444" s="73"/>
      <c r="C444" s="73"/>
      <c r="D444" s="73"/>
      <c r="E444" s="88"/>
      <c r="F444" s="73"/>
      <c r="G444" s="394"/>
      <c r="H444" s="77"/>
      <c r="I444" s="88"/>
      <c r="J444" s="393">
        <v>44276.0</v>
      </c>
      <c r="K444" s="393">
        <f t="shared" si="1"/>
        <v>44277</v>
      </c>
      <c r="L444" s="394" t="str">
        <f>IFERROR(__xludf.DUMMYFUNCTION("JOIN("""", G444:H444)"),"")</f>
        <v/>
      </c>
      <c r="M444" s="80" t="str">
        <f t="shared" si="2"/>
        <v/>
      </c>
    </row>
    <row r="445">
      <c r="A445" s="86"/>
      <c r="B445" s="73"/>
      <c r="C445" s="73"/>
      <c r="D445" s="73"/>
      <c r="E445" s="88"/>
      <c r="F445" s="73"/>
      <c r="G445" s="394"/>
      <c r="H445" s="77"/>
      <c r="I445" s="88"/>
      <c r="J445" s="393">
        <v>44276.0</v>
      </c>
      <c r="K445" s="393">
        <f t="shared" si="1"/>
        <v>44277</v>
      </c>
      <c r="L445" s="394" t="str">
        <f>IFERROR(__xludf.DUMMYFUNCTION("JOIN("""", G445:H445)"),"")</f>
        <v/>
      </c>
      <c r="M445" s="80" t="str">
        <f t="shared" si="2"/>
        <v/>
      </c>
    </row>
    <row r="446">
      <c r="A446" s="86"/>
      <c r="B446" s="73"/>
      <c r="C446" s="73"/>
      <c r="D446" s="73"/>
      <c r="E446" s="88"/>
      <c r="F446" s="73"/>
      <c r="G446" s="394"/>
      <c r="H446" s="77"/>
      <c r="I446" s="88"/>
      <c r="J446" s="393">
        <v>44276.0</v>
      </c>
      <c r="K446" s="393">
        <f t="shared" si="1"/>
        <v>44277</v>
      </c>
      <c r="L446" s="394" t="str">
        <f>IFERROR(__xludf.DUMMYFUNCTION("JOIN("""", G446:H446)"),"")</f>
        <v/>
      </c>
      <c r="M446" s="80" t="str">
        <f t="shared" si="2"/>
        <v/>
      </c>
    </row>
    <row r="447">
      <c r="A447" s="86"/>
      <c r="B447" s="73"/>
      <c r="C447" s="73"/>
      <c r="D447" s="73"/>
      <c r="E447" s="88"/>
      <c r="F447" s="73"/>
      <c r="G447" s="394"/>
      <c r="H447" s="77"/>
      <c r="I447" s="88"/>
      <c r="J447" s="393">
        <v>44269.0</v>
      </c>
      <c r="K447" s="393">
        <f t="shared" si="1"/>
        <v>44270</v>
      </c>
      <c r="L447" s="394" t="str">
        <f>IFERROR(__xludf.DUMMYFUNCTION("JOIN("""", G447:H447)"),"")</f>
        <v/>
      </c>
      <c r="M447" s="80" t="str">
        <f t="shared" si="2"/>
        <v/>
      </c>
    </row>
    <row r="448">
      <c r="A448" s="86"/>
      <c r="B448" s="73"/>
      <c r="C448" s="73"/>
      <c r="D448" s="73"/>
      <c r="E448" s="88"/>
      <c r="F448" s="73"/>
      <c r="G448" s="394"/>
      <c r="H448" s="77"/>
      <c r="I448" s="88"/>
      <c r="J448" s="393">
        <v>44277.0</v>
      </c>
      <c r="K448" s="393">
        <f t="shared" si="1"/>
        <v>44278</v>
      </c>
      <c r="L448" s="394" t="str">
        <f>IFERROR(__xludf.DUMMYFUNCTION("JOIN("""", G448:H448)"),"")</f>
        <v/>
      </c>
      <c r="M448" s="80" t="str">
        <f t="shared" si="2"/>
        <v/>
      </c>
    </row>
    <row r="449">
      <c r="A449" s="86"/>
      <c r="B449" s="73"/>
      <c r="C449" s="73"/>
      <c r="D449" s="73"/>
      <c r="E449" s="88"/>
      <c r="F449" s="73"/>
      <c r="G449" s="394"/>
      <c r="H449" s="77"/>
      <c r="I449" s="88"/>
      <c r="J449" s="393">
        <v>44277.0</v>
      </c>
      <c r="K449" s="393">
        <f t="shared" si="1"/>
        <v>44278</v>
      </c>
      <c r="L449" s="394" t="str">
        <f>IFERROR(__xludf.DUMMYFUNCTION("JOIN("""", G449:H449)"),"")</f>
        <v/>
      </c>
      <c r="M449" s="80" t="str">
        <f t="shared" si="2"/>
        <v/>
      </c>
    </row>
    <row r="450">
      <c r="A450" s="86"/>
      <c r="B450" s="73"/>
      <c r="C450" s="73"/>
      <c r="D450" s="73"/>
      <c r="E450" s="88"/>
      <c r="F450" s="73"/>
      <c r="G450" s="394"/>
      <c r="H450" s="77"/>
      <c r="I450" s="88"/>
      <c r="J450" s="393">
        <v>44277.0</v>
      </c>
      <c r="K450" s="393">
        <f t="shared" si="1"/>
        <v>44278</v>
      </c>
      <c r="L450" s="394" t="str">
        <f>IFERROR(__xludf.DUMMYFUNCTION("JOIN("""", G450:H450)"),"")</f>
        <v/>
      </c>
      <c r="M450" s="80" t="str">
        <f t="shared" si="2"/>
        <v/>
      </c>
    </row>
    <row r="451">
      <c r="A451" s="86"/>
      <c r="B451" s="73"/>
      <c r="C451" s="73"/>
      <c r="D451" s="73"/>
      <c r="E451" s="88"/>
      <c r="F451" s="73"/>
      <c r="G451" s="394"/>
      <c r="H451" s="77"/>
      <c r="I451" s="88"/>
      <c r="J451" s="393">
        <v>44282.0</v>
      </c>
      <c r="K451" s="393">
        <f t="shared" si="1"/>
        <v>44283</v>
      </c>
      <c r="L451" s="394" t="str">
        <f>IFERROR(__xludf.DUMMYFUNCTION("JOIN("""", G451:H451)"),"")</f>
        <v/>
      </c>
      <c r="M451" s="80" t="str">
        <f t="shared" si="2"/>
        <v/>
      </c>
    </row>
    <row r="452">
      <c r="A452" s="86"/>
      <c r="B452" s="73"/>
      <c r="C452" s="73"/>
      <c r="D452" s="73"/>
      <c r="E452" s="88"/>
      <c r="F452" s="73"/>
      <c r="G452" s="394"/>
      <c r="H452" s="77"/>
      <c r="I452" s="88"/>
      <c r="J452" s="393">
        <v>44277.0</v>
      </c>
      <c r="K452" s="393">
        <f t="shared" si="1"/>
        <v>44278</v>
      </c>
      <c r="L452" s="394" t="str">
        <f>IFERROR(__xludf.DUMMYFUNCTION("JOIN("""", G452:H452)"),"")</f>
        <v/>
      </c>
      <c r="M452" s="80" t="str">
        <f t="shared" si="2"/>
        <v/>
      </c>
    </row>
    <row r="453">
      <c r="A453" s="86"/>
      <c r="B453" s="73"/>
      <c r="C453" s="73"/>
      <c r="D453" s="73"/>
      <c r="E453" s="88"/>
      <c r="F453" s="73"/>
      <c r="G453" s="394"/>
      <c r="H453" s="77"/>
      <c r="I453" s="88"/>
      <c r="J453" s="393">
        <v>44277.0</v>
      </c>
      <c r="K453" s="393">
        <f t="shared" si="1"/>
        <v>44278</v>
      </c>
      <c r="L453" s="394" t="str">
        <f>IFERROR(__xludf.DUMMYFUNCTION("JOIN("""", G453:H453)"),"")</f>
        <v/>
      </c>
      <c r="M453" s="80" t="str">
        <f t="shared" si="2"/>
        <v/>
      </c>
    </row>
    <row r="454">
      <c r="A454" s="86"/>
      <c r="B454" s="73"/>
      <c r="C454" s="73"/>
      <c r="D454" s="73"/>
      <c r="E454" s="88"/>
      <c r="F454" s="73"/>
      <c r="G454" s="394"/>
      <c r="H454" s="77"/>
      <c r="I454" s="88"/>
      <c r="J454" s="393">
        <v>44277.0</v>
      </c>
      <c r="K454" s="393">
        <f t="shared" si="1"/>
        <v>44278</v>
      </c>
      <c r="L454" s="394" t="str">
        <f>IFERROR(__xludf.DUMMYFUNCTION("JOIN("""", G454:H454)"),"")</f>
        <v/>
      </c>
      <c r="M454" s="80" t="str">
        <f t="shared" si="2"/>
        <v/>
      </c>
    </row>
    <row r="455">
      <c r="A455" s="86"/>
      <c r="B455" s="73"/>
      <c r="C455" s="73"/>
      <c r="D455" s="73"/>
      <c r="E455" s="88"/>
      <c r="F455" s="73"/>
      <c r="G455" s="394"/>
      <c r="H455" s="77"/>
      <c r="I455" s="88"/>
      <c r="J455" s="393">
        <v>44280.0</v>
      </c>
      <c r="K455" s="393">
        <v>44281.0</v>
      </c>
      <c r="L455" s="394" t="str">
        <f>IFERROR(__xludf.DUMMYFUNCTION("JOIN("""", G455:H455)"),"")</f>
        <v/>
      </c>
      <c r="M455" s="80" t="str">
        <f t="shared" si="2"/>
        <v/>
      </c>
    </row>
    <row r="456">
      <c r="A456" s="86"/>
      <c r="B456" s="73"/>
      <c r="C456" s="73"/>
      <c r="D456" s="73"/>
      <c r="E456" s="88"/>
      <c r="F456" s="73"/>
      <c r="G456" s="394"/>
      <c r="H456" s="77"/>
      <c r="I456" s="88"/>
      <c r="J456" s="393">
        <v>44278.0</v>
      </c>
      <c r="K456" s="393">
        <f t="shared" ref="K456:K481" si="3">J456+1</f>
        <v>44279</v>
      </c>
      <c r="L456" s="394" t="str">
        <f>IFERROR(__xludf.DUMMYFUNCTION("JOIN("""", G456:H456)"),"")</f>
        <v/>
      </c>
      <c r="M456" s="80" t="str">
        <f t="shared" si="2"/>
        <v/>
      </c>
    </row>
    <row r="457">
      <c r="A457" s="86"/>
      <c r="B457" s="73"/>
      <c r="C457" s="73"/>
      <c r="D457" s="73"/>
      <c r="E457" s="88"/>
      <c r="F457" s="73"/>
      <c r="G457" s="394"/>
      <c r="H457" s="77"/>
      <c r="I457" s="88"/>
      <c r="J457" s="393">
        <v>44278.0</v>
      </c>
      <c r="K457" s="393">
        <f t="shared" si="3"/>
        <v>44279</v>
      </c>
      <c r="L457" s="394" t="str">
        <f>IFERROR(__xludf.DUMMYFUNCTION("JOIN("""", G457:H457)"),"")</f>
        <v/>
      </c>
      <c r="M457" s="80" t="str">
        <f t="shared" si="2"/>
        <v/>
      </c>
    </row>
    <row r="458">
      <c r="A458" s="86"/>
      <c r="B458" s="73"/>
      <c r="C458" s="73"/>
      <c r="D458" s="73"/>
      <c r="E458" s="88"/>
      <c r="F458" s="73"/>
      <c r="G458" s="394"/>
      <c r="H458" s="77"/>
      <c r="I458" s="88"/>
      <c r="J458" s="393">
        <v>44278.0</v>
      </c>
      <c r="K458" s="393">
        <f t="shared" si="3"/>
        <v>44279</v>
      </c>
      <c r="L458" s="394" t="str">
        <f>IFERROR(__xludf.DUMMYFUNCTION("JOIN("""", G458:H458)"),"")</f>
        <v/>
      </c>
      <c r="M458" s="80" t="str">
        <f t="shared" si="2"/>
        <v/>
      </c>
    </row>
    <row r="459">
      <c r="A459" s="86"/>
      <c r="B459" s="73"/>
      <c r="C459" s="73"/>
      <c r="D459" s="73"/>
      <c r="E459" s="88"/>
      <c r="F459" s="73"/>
      <c r="G459" s="394"/>
      <c r="H459" s="77"/>
      <c r="I459" s="88"/>
      <c r="J459" s="393">
        <v>44279.0</v>
      </c>
      <c r="K459" s="393">
        <f t="shared" si="3"/>
        <v>44280</v>
      </c>
      <c r="L459" s="394" t="str">
        <f>IFERROR(__xludf.DUMMYFUNCTION("JOIN("""", G459:H459)"),"")</f>
        <v/>
      </c>
      <c r="M459" s="80" t="str">
        <f t="shared" si="2"/>
        <v/>
      </c>
    </row>
    <row r="460">
      <c r="A460" s="86"/>
      <c r="B460" s="73"/>
      <c r="C460" s="73"/>
      <c r="D460" s="73"/>
      <c r="E460" s="88"/>
      <c r="F460" s="73"/>
      <c r="G460" s="394"/>
      <c r="H460" s="77"/>
      <c r="I460" s="88"/>
      <c r="J460" s="393">
        <v>44279.0</v>
      </c>
      <c r="K460" s="393">
        <f t="shared" si="3"/>
        <v>44280</v>
      </c>
      <c r="L460" s="394" t="str">
        <f>IFERROR(__xludf.DUMMYFUNCTION("JOIN("""", G460:H460)"),"")</f>
        <v/>
      </c>
      <c r="M460" s="80" t="str">
        <f t="shared" si="2"/>
        <v/>
      </c>
    </row>
    <row r="461">
      <c r="A461" s="86"/>
      <c r="B461" s="73"/>
      <c r="C461" s="73"/>
      <c r="D461" s="73"/>
      <c r="E461" s="88"/>
      <c r="F461" s="73"/>
      <c r="G461" s="394"/>
      <c r="H461" s="77"/>
      <c r="I461" s="88"/>
      <c r="J461" s="393">
        <v>44287.0</v>
      </c>
      <c r="K461" s="393">
        <f t="shared" si="3"/>
        <v>44288</v>
      </c>
      <c r="L461" s="394" t="str">
        <f>IFERROR(__xludf.DUMMYFUNCTION("JOIN("""", G461:H461)"),"")</f>
        <v/>
      </c>
      <c r="M461" s="80" t="str">
        <f t="shared" si="2"/>
        <v/>
      </c>
    </row>
    <row r="462">
      <c r="A462" s="86"/>
      <c r="B462" s="73"/>
      <c r="C462" s="73"/>
      <c r="D462" s="73"/>
      <c r="E462" s="88"/>
      <c r="F462" s="73"/>
      <c r="G462" s="394"/>
      <c r="H462" s="77"/>
      <c r="I462" s="88"/>
      <c r="J462" s="393">
        <v>44279.0</v>
      </c>
      <c r="K462" s="393">
        <f t="shared" si="3"/>
        <v>44280</v>
      </c>
      <c r="L462" s="394" t="str">
        <f>IFERROR(__xludf.DUMMYFUNCTION("JOIN("""", G462:H462)"),"")</f>
        <v/>
      </c>
      <c r="M462" s="80" t="str">
        <f t="shared" si="2"/>
        <v/>
      </c>
    </row>
    <row r="463">
      <c r="A463" s="86"/>
      <c r="B463" s="88"/>
      <c r="C463" s="73"/>
      <c r="D463" s="73"/>
      <c r="E463" s="88"/>
      <c r="F463" s="73"/>
      <c r="G463" s="394"/>
      <c r="H463" s="86"/>
      <c r="I463" s="88"/>
      <c r="J463" s="393">
        <v>44279.0</v>
      </c>
      <c r="K463" s="393">
        <f t="shared" si="3"/>
        <v>44280</v>
      </c>
      <c r="L463" s="394" t="str">
        <f>IFERROR(__xludf.DUMMYFUNCTION("JOIN("""", G463:H463)"),"")</f>
        <v/>
      </c>
      <c r="M463" s="80" t="str">
        <f t="shared" si="2"/>
        <v/>
      </c>
    </row>
    <row r="464">
      <c r="A464" s="86"/>
      <c r="B464" s="88"/>
      <c r="C464" s="73"/>
      <c r="D464" s="73"/>
      <c r="E464" s="88"/>
      <c r="F464" s="73"/>
      <c r="G464" s="394"/>
      <c r="H464" s="86"/>
      <c r="I464" s="88"/>
      <c r="J464" s="393">
        <v>44279.0</v>
      </c>
      <c r="K464" s="393">
        <f t="shared" si="3"/>
        <v>44280</v>
      </c>
      <c r="L464" s="394" t="str">
        <f>IFERROR(__xludf.DUMMYFUNCTION("JOIN("""", G464:H464)"),"")</f>
        <v/>
      </c>
      <c r="M464" s="80" t="str">
        <f t="shared" si="2"/>
        <v/>
      </c>
    </row>
    <row r="465">
      <c r="A465" s="86"/>
      <c r="B465" s="88"/>
      <c r="C465" s="73"/>
      <c r="D465" s="73"/>
      <c r="E465" s="88"/>
      <c r="F465" s="73"/>
      <c r="G465" s="394"/>
      <c r="H465" s="86"/>
      <c r="I465" s="88"/>
      <c r="J465" s="393">
        <v>44279.0</v>
      </c>
      <c r="K465" s="393">
        <f t="shared" si="3"/>
        <v>44280</v>
      </c>
      <c r="L465" s="394" t="str">
        <f>IFERROR(__xludf.DUMMYFUNCTION("JOIN("""", G465:H465)"),"")</f>
        <v/>
      </c>
      <c r="M465" s="80" t="str">
        <f t="shared" si="2"/>
        <v/>
      </c>
    </row>
    <row r="466">
      <c r="A466" s="86"/>
      <c r="B466" s="88"/>
      <c r="C466" s="73"/>
      <c r="D466" s="73"/>
      <c r="E466" s="88"/>
      <c r="F466" s="73"/>
      <c r="G466" s="394"/>
      <c r="H466" s="86"/>
      <c r="I466" s="88"/>
      <c r="J466" s="393">
        <v>44279.0</v>
      </c>
      <c r="K466" s="393">
        <f t="shared" si="3"/>
        <v>44280</v>
      </c>
      <c r="L466" s="394" t="str">
        <f>IFERROR(__xludf.DUMMYFUNCTION("JOIN("""", G466:H466)"),"")</f>
        <v/>
      </c>
      <c r="M466" s="80" t="str">
        <f t="shared" si="2"/>
        <v/>
      </c>
    </row>
    <row r="467">
      <c r="A467" s="86"/>
      <c r="B467" s="88"/>
      <c r="C467" s="73"/>
      <c r="D467" s="73"/>
      <c r="E467" s="88"/>
      <c r="F467" s="73"/>
      <c r="G467" s="394"/>
      <c r="H467" s="86"/>
      <c r="I467" s="88"/>
      <c r="J467" s="393">
        <v>44279.0</v>
      </c>
      <c r="K467" s="393">
        <f t="shared" si="3"/>
        <v>44280</v>
      </c>
      <c r="L467" s="394" t="str">
        <f>IFERROR(__xludf.DUMMYFUNCTION("JOIN("""", G467:H467)"),"")</f>
        <v/>
      </c>
      <c r="M467" s="80" t="str">
        <f t="shared" si="2"/>
        <v/>
      </c>
    </row>
    <row r="468">
      <c r="A468" s="86"/>
      <c r="B468" s="88"/>
      <c r="C468" s="73"/>
      <c r="D468" s="73"/>
      <c r="E468" s="88"/>
      <c r="F468" s="73"/>
      <c r="G468" s="394"/>
      <c r="H468" s="86"/>
      <c r="I468" s="88"/>
      <c r="J468" s="393">
        <v>44279.0</v>
      </c>
      <c r="K468" s="393">
        <f t="shared" si="3"/>
        <v>44280</v>
      </c>
      <c r="L468" s="394" t="str">
        <f>IFERROR(__xludf.DUMMYFUNCTION("JOIN("""", G468:H468)"),"")</f>
        <v/>
      </c>
      <c r="M468" s="80" t="str">
        <f t="shared" si="2"/>
        <v/>
      </c>
    </row>
    <row r="469">
      <c r="A469" s="86"/>
      <c r="B469" s="88"/>
      <c r="C469" s="73"/>
      <c r="D469" s="73"/>
      <c r="E469" s="88"/>
      <c r="F469" s="73"/>
      <c r="G469" s="394"/>
      <c r="H469" s="86"/>
      <c r="I469" s="88"/>
      <c r="J469" s="393">
        <v>44290.0</v>
      </c>
      <c r="K469" s="393">
        <f t="shared" si="3"/>
        <v>44291</v>
      </c>
      <c r="L469" s="394" t="str">
        <f>IFERROR(__xludf.DUMMYFUNCTION("JOIN("""", G469:H469)"),"")</f>
        <v/>
      </c>
      <c r="M469" s="80" t="str">
        <f t="shared" si="2"/>
        <v/>
      </c>
    </row>
    <row r="470">
      <c r="A470" s="86"/>
      <c r="B470" s="88"/>
      <c r="C470" s="88"/>
      <c r="D470" s="73"/>
      <c r="E470" s="88"/>
      <c r="F470" s="73"/>
      <c r="G470" s="394"/>
      <c r="H470" s="86"/>
      <c r="I470" s="88"/>
      <c r="J470" s="393">
        <v>44300.0</v>
      </c>
      <c r="K470" s="393">
        <f t="shared" si="3"/>
        <v>44301</v>
      </c>
      <c r="L470" s="394" t="str">
        <f>IFERROR(__xludf.DUMMYFUNCTION("JOIN("""", G470:H470)"),"")</f>
        <v/>
      </c>
      <c r="M470" s="80" t="str">
        <f t="shared" si="2"/>
        <v/>
      </c>
    </row>
    <row r="471">
      <c r="A471" s="86"/>
      <c r="B471" s="88"/>
      <c r="C471" s="73"/>
      <c r="D471" s="73"/>
      <c r="E471" s="88"/>
      <c r="F471" s="73"/>
      <c r="G471" s="394"/>
      <c r="H471" s="86"/>
      <c r="I471" s="88"/>
      <c r="J471" s="393">
        <v>44279.0</v>
      </c>
      <c r="K471" s="393">
        <f t="shared" si="3"/>
        <v>44280</v>
      </c>
      <c r="L471" s="394" t="str">
        <f>IFERROR(__xludf.DUMMYFUNCTION("JOIN("""", G471:H471)"),"")</f>
        <v/>
      </c>
      <c r="M471" s="80" t="str">
        <f t="shared" si="2"/>
        <v/>
      </c>
    </row>
    <row r="472">
      <c r="A472" s="86"/>
      <c r="B472" s="88"/>
      <c r="C472" s="73"/>
      <c r="D472" s="73"/>
      <c r="E472" s="88"/>
      <c r="F472" s="73"/>
      <c r="G472" s="394"/>
      <c r="H472" s="86"/>
      <c r="I472" s="88"/>
      <c r="J472" s="393">
        <v>44279.0</v>
      </c>
      <c r="K472" s="393">
        <f t="shared" si="3"/>
        <v>44280</v>
      </c>
      <c r="L472" s="394" t="str">
        <f>IFERROR(__xludf.DUMMYFUNCTION("JOIN("""", G472:H472)"),"")</f>
        <v/>
      </c>
      <c r="M472" s="80" t="str">
        <f t="shared" si="2"/>
        <v/>
      </c>
    </row>
    <row r="473">
      <c r="A473" s="86"/>
      <c r="B473" s="88"/>
      <c r="C473" s="73"/>
      <c r="D473" s="73"/>
      <c r="E473" s="88"/>
      <c r="F473" s="73"/>
      <c r="G473" s="394"/>
      <c r="H473" s="86"/>
      <c r="I473" s="88"/>
      <c r="J473" s="393">
        <v>44279.0</v>
      </c>
      <c r="K473" s="393">
        <f t="shared" si="3"/>
        <v>44280</v>
      </c>
      <c r="L473" s="394" t="str">
        <f>IFERROR(__xludf.DUMMYFUNCTION("JOIN("""", G473:H473)"),"")</f>
        <v/>
      </c>
      <c r="M473" s="80" t="str">
        <f t="shared" si="2"/>
        <v/>
      </c>
    </row>
    <row r="474">
      <c r="A474" s="86"/>
      <c r="B474" s="88"/>
      <c r="C474" s="73"/>
      <c r="D474" s="73"/>
      <c r="E474" s="88"/>
      <c r="F474" s="73"/>
      <c r="G474" s="394"/>
      <c r="H474" s="86"/>
      <c r="I474" s="88"/>
      <c r="J474" s="393">
        <v>44280.0</v>
      </c>
      <c r="K474" s="393">
        <f t="shared" si="3"/>
        <v>44281</v>
      </c>
      <c r="L474" s="394" t="str">
        <f>IFERROR(__xludf.DUMMYFUNCTION("JOIN("""", G474:H474)"),"")</f>
        <v/>
      </c>
      <c r="M474" s="80" t="str">
        <f t="shared" si="2"/>
        <v/>
      </c>
    </row>
    <row r="475">
      <c r="A475" s="86"/>
      <c r="B475" s="88"/>
      <c r="C475" s="73"/>
      <c r="D475" s="73"/>
      <c r="E475" s="88"/>
      <c r="F475" s="73"/>
      <c r="G475" s="394"/>
      <c r="H475" s="86"/>
      <c r="I475" s="88"/>
      <c r="J475" s="393">
        <v>44280.0</v>
      </c>
      <c r="K475" s="393">
        <f t="shared" si="3"/>
        <v>44281</v>
      </c>
      <c r="L475" s="394" t="str">
        <f>IFERROR(__xludf.DUMMYFUNCTION("JOIN("""", G475:H475)"),"")</f>
        <v/>
      </c>
      <c r="M475" s="80" t="str">
        <f t="shared" si="2"/>
        <v/>
      </c>
    </row>
    <row r="476">
      <c r="A476" s="86"/>
      <c r="B476" s="88"/>
      <c r="C476" s="73"/>
      <c r="D476" s="73"/>
      <c r="E476" s="88"/>
      <c r="F476" s="73"/>
      <c r="G476" s="394"/>
      <c r="H476" s="86"/>
      <c r="I476" s="88"/>
      <c r="J476" s="393">
        <v>44280.0</v>
      </c>
      <c r="K476" s="393">
        <f t="shared" si="3"/>
        <v>44281</v>
      </c>
      <c r="L476" s="394" t="str">
        <f>IFERROR(__xludf.DUMMYFUNCTION("JOIN("""", G476:H476)"),"")</f>
        <v/>
      </c>
      <c r="M476" s="80" t="str">
        <f t="shared" si="2"/>
        <v/>
      </c>
    </row>
    <row r="477">
      <c r="A477" s="86"/>
      <c r="B477" s="88"/>
      <c r="C477" s="73"/>
      <c r="D477" s="73"/>
      <c r="E477" s="88"/>
      <c r="F477" s="73"/>
      <c r="G477" s="394"/>
      <c r="H477" s="86"/>
      <c r="I477" s="88"/>
      <c r="J477" s="393">
        <v>44280.0</v>
      </c>
      <c r="K477" s="393">
        <f t="shared" si="3"/>
        <v>44281</v>
      </c>
      <c r="L477" s="394" t="str">
        <f>IFERROR(__xludf.DUMMYFUNCTION("JOIN("""", G477:H477)"),"")</f>
        <v/>
      </c>
      <c r="M477" s="80" t="str">
        <f t="shared" si="2"/>
        <v/>
      </c>
    </row>
    <row r="478">
      <c r="A478" s="86"/>
      <c r="B478" s="88"/>
      <c r="C478" s="88"/>
      <c r="D478" s="73"/>
      <c r="E478" s="88"/>
      <c r="F478" s="73"/>
      <c r="G478" s="394"/>
      <c r="H478" s="86"/>
      <c r="I478" s="88"/>
      <c r="J478" s="393">
        <v>44280.0</v>
      </c>
      <c r="K478" s="393">
        <f t="shared" si="3"/>
        <v>44281</v>
      </c>
      <c r="L478" s="394" t="str">
        <f>IFERROR(__xludf.DUMMYFUNCTION("JOIN("""", G478:H478)"),"")</f>
        <v/>
      </c>
      <c r="M478" s="80" t="str">
        <f t="shared" si="2"/>
        <v/>
      </c>
    </row>
    <row r="479">
      <c r="A479" s="86"/>
      <c r="B479" s="88"/>
      <c r="C479" s="73"/>
      <c r="D479" s="73"/>
      <c r="E479" s="88"/>
      <c r="F479" s="73"/>
      <c r="G479" s="394"/>
      <c r="H479" s="86"/>
      <c r="I479" s="88"/>
      <c r="J479" s="393">
        <v>44280.0</v>
      </c>
      <c r="K479" s="393">
        <f t="shared" si="3"/>
        <v>44281</v>
      </c>
      <c r="L479" s="394" t="str">
        <f>IFERROR(__xludf.DUMMYFUNCTION("JOIN("""", G479:H479)"),"")</f>
        <v/>
      </c>
      <c r="M479" s="80" t="str">
        <f t="shared" si="2"/>
        <v/>
      </c>
    </row>
    <row r="480">
      <c r="A480" s="86"/>
      <c r="B480" s="88"/>
      <c r="C480" s="73"/>
      <c r="D480" s="73"/>
      <c r="E480" s="88"/>
      <c r="F480" s="73"/>
      <c r="G480" s="394"/>
      <c r="H480" s="86"/>
      <c r="I480" s="88"/>
      <c r="J480" s="393">
        <v>44280.0</v>
      </c>
      <c r="K480" s="393">
        <f t="shared" si="3"/>
        <v>44281</v>
      </c>
      <c r="L480" s="394" t="str">
        <f>IFERROR(__xludf.DUMMYFUNCTION("JOIN("""", G480:H480)"),"")</f>
        <v/>
      </c>
      <c r="M480" s="80" t="str">
        <f t="shared" si="2"/>
        <v/>
      </c>
    </row>
    <row r="481">
      <c r="A481" s="86"/>
      <c r="B481" s="88"/>
      <c r="C481" s="73"/>
      <c r="D481" s="73"/>
      <c r="E481" s="88"/>
      <c r="F481" s="73"/>
      <c r="G481" s="394"/>
      <c r="H481" s="86"/>
      <c r="I481" s="88"/>
      <c r="J481" s="393">
        <v>44280.0</v>
      </c>
      <c r="K481" s="393">
        <f t="shared" si="3"/>
        <v>44281</v>
      </c>
      <c r="L481" s="394" t="str">
        <f>IFERROR(__xludf.DUMMYFUNCTION("JOIN("""", G481:H481)"),"")</f>
        <v/>
      </c>
      <c r="M481" s="80" t="str">
        <f t="shared" si="2"/>
        <v/>
      </c>
    </row>
    <row r="482">
      <c r="A482" s="86"/>
      <c r="B482" s="88"/>
      <c r="C482" s="73"/>
      <c r="D482" s="73"/>
      <c r="E482" s="88"/>
      <c r="F482" s="73"/>
      <c r="G482" s="394"/>
      <c r="H482" s="86"/>
      <c r="I482" s="88"/>
      <c r="J482" s="393">
        <v>44292.0</v>
      </c>
      <c r="K482" s="393">
        <v>44291.0</v>
      </c>
      <c r="L482" s="394" t="str">
        <f>IFERROR(__xludf.DUMMYFUNCTION("JOIN("""", G482:H482)"),"")</f>
        <v/>
      </c>
      <c r="M482" s="80" t="str">
        <f t="shared" si="2"/>
        <v/>
      </c>
    </row>
    <row r="483">
      <c r="A483" s="86"/>
      <c r="B483" s="88"/>
      <c r="C483" s="73"/>
      <c r="D483" s="73"/>
      <c r="E483" s="88"/>
      <c r="F483" s="73"/>
      <c r="G483" s="394"/>
      <c r="H483" s="86"/>
      <c r="I483" s="88"/>
      <c r="J483" s="393">
        <v>44281.0</v>
      </c>
      <c r="K483" s="393">
        <f t="shared" ref="K483:K1008" si="4">J483+1</f>
        <v>44282</v>
      </c>
      <c r="L483" s="394" t="str">
        <f>IFERROR(__xludf.DUMMYFUNCTION("JOIN("""", G483:H483)"),"")</f>
        <v/>
      </c>
      <c r="M483" s="80" t="str">
        <f t="shared" si="2"/>
        <v/>
      </c>
    </row>
    <row r="484">
      <c r="A484" s="86"/>
      <c r="B484" s="88"/>
      <c r="C484" s="73"/>
      <c r="D484" s="73"/>
      <c r="E484" s="88"/>
      <c r="F484" s="73"/>
      <c r="G484" s="394"/>
      <c r="H484" s="86"/>
      <c r="I484" s="88"/>
      <c r="J484" s="393">
        <v>44288.0</v>
      </c>
      <c r="K484" s="393">
        <f t="shared" si="4"/>
        <v>44289</v>
      </c>
      <c r="L484" s="394" t="str">
        <f>IFERROR(__xludf.DUMMYFUNCTION("JOIN("""", G484:H484)"),"")</f>
        <v/>
      </c>
      <c r="M484" s="80" t="str">
        <f t="shared" si="2"/>
        <v/>
      </c>
    </row>
    <row r="485">
      <c r="A485" s="86"/>
      <c r="B485" s="88"/>
      <c r="C485" s="73"/>
      <c r="D485" s="73"/>
      <c r="E485" s="88"/>
      <c r="F485" s="73"/>
      <c r="G485" s="394"/>
      <c r="H485" s="86"/>
      <c r="I485" s="88"/>
      <c r="J485" s="393">
        <v>44281.0</v>
      </c>
      <c r="K485" s="393">
        <f t="shared" si="4"/>
        <v>44282</v>
      </c>
      <c r="L485" s="394" t="str">
        <f>IFERROR(__xludf.DUMMYFUNCTION("JOIN("""", G485:H485)"),"")</f>
        <v/>
      </c>
      <c r="M485" s="80" t="str">
        <f t="shared" si="2"/>
        <v/>
      </c>
    </row>
    <row r="486">
      <c r="A486" s="86"/>
      <c r="B486" s="392"/>
      <c r="C486" s="73"/>
      <c r="D486" s="73"/>
      <c r="E486" s="88"/>
      <c r="F486" s="73"/>
      <c r="G486" s="394"/>
      <c r="H486" s="86"/>
      <c r="I486" s="88"/>
      <c r="J486" s="393">
        <v>44281.0</v>
      </c>
      <c r="K486" s="393">
        <f t="shared" si="4"/>
        <v>44282</v>
      </c>
      <c r="L486" s="394" t="str">
        <f>IFERROR(__xludf.DUMMYFUNCTION("JOIN("""", G486:H486)"),"")</f>
        <v/>
      </c>
      <c r="M486" s="80" t="str">
        <f t="shared" si="2"/>
        <v/>
      </c>
    </row>
    <row r="487">
      <c r="A487" s="86"/>
      <c r="B487" s="88"/>
      <c r="C487" s="73"/>
      <c r="D487" s="73"/>
      <c r="E487" s="88"/>
      <c r="F487" s="73"/>
      <c r="G487" s="394"/>
      <c r="H487" s="86"/>
      <c r="I487" s="88"/>
      <c r="J487" s="393">
        <v>44281.0</v>
      </c>
      <c r="K487" s="393">
        <f t="shared" si="4"/>
        <v>44282</v>
      </c>
      <c r="L487" s="394" t="str">
        <f>IFERROR(__xludf.DUMMYFUNCTION("JOIN("""", G487:H487)"),"")</f>
        <v/>
      </c>
      <c r="M487" s="80" t="str">
        <f t="shared" si="2"/>
        <v/>
      </c>
    </row>
    <row r="488">
      <c r="A488" s="86"/>
      <c r="B488" s="88"/>
      <c r="C488" s="73"/>
      <c r="D488" s="73"/>
      <c r="E488" s="88"/>
      <c r="F488" s="73"/>
      <c r="G488" s="394"/>
      <c r="H488" s="86"/>
      <c r="I488" s="88"/>
      <c r="J488" s="393">
        <v>44281.0</v>
      </c>
      <c r="K488" s="393">
        <f t="shared" si="4"/>
        <v>44282</v>
      </c>
      <c r="L488" s="394" t="str">
        <f>IFERROR(__xludf.DUMMYFUNCTION("JOIN("""", G488:H488)"),"")</f>
        <v/>
      </c>
      <c r="M488" s="80" t="str">
        <f t="shared" si="2"/>
        <v/>
      </c>
    </row>
    <row r="489">
      <c r="A489" s="86"/>
      <c r="B489" s="88"/>
      <c r="C489" s="73"/>
      <c r="D489" s="73"/>
      <c r="E489" s="88"/>
      <c r="F489" s="73"/>
      <c r="G489" s="394"/>
      <c r="H489" s="86"/>
      <c r="I489" s="88"/>
      <c r="J489" s="393">
        <v>44281.0</v>
      </c>
      <c r="K489" s="393">
        <f t="shared" si="4"/>
        <v>44282</v>
      </c>
      <c r="L489" s="394" t="str">
        <f>IFERROR(__xludf.DUMMYFUNCTION("JOIN("""", G489:H489)"),"")</f>
        <v/>
      </c>
      <c r="M489" s="80" t="str">
        <f t="shared" si="2"/>
        <v/>
      </c>
    </row>
    <row r="490">
      <c r="A490" s="86"/>
      <c r="B490" s="88"/>
      <c r="C490" s="73"/>
      <c r="D490" s="73"/>
      <c r="E490" s="88"/>
      <c r="F490" s="73"/>
      <c r="G490" s="394"/>
      <c r="H490" s="86"/>
      <c r="I490" s="88"/>
      <c r="J490" s="393">
        <v>44282.0</v>
      </c>
      <c r="K490" s="393">
        <f t="shared" si="4"/>
        <v>44283</v>
      </c>
      <c r="L490" s="394" t="str">
        <f>IFERROR(__xludf.DUMMYFUNCTION("JOIN("""", G490:H490)"),"")</f>
        <v/>
      </c>
      <c r="M490" s="80" t="str">
        <f t="shared" si="2"/>
        <v/>
      </c>
    </row>
    <row r="491">
      <c r="A491" s="86"/>
      <c r="B491" s="88"/>
      <c r="C491" s="73"/>
      <c r="D491" s="73"/>
      <c r="E491" s="88"/>
      <c r="F491" s="73"/>
      <c r="G491" s="394"/>
      <c r="H491" s="86"/>
      <c r="I491" s="88"/>
      <c r="J491" s="393">
        <v>44282.0</v>
      </c>
      <c r="K491" s="393">
        <f t="shared" si="4"/>
        <v>44283</v>
      </c>
      <c r="L491" s="394" t="str">
        <f>IFERROR(__xludf.DUMMYFUNCTION("JOIN("""", G491:H491)"),"")</f>
        <v/>
      </c>
      <c r="M491" s="80" t="str">
        <f t="shared" si="2"/>
        <v/>
      </c>
    </row>
    <row r="492">
      <c r="A492" s="86"/>
      <c r="B492" s="88"/>
      <c r="C492" s="73"/>
      <c r="D492" s="73"/>
      <c r="E492" s="88"/>
      <c r="F492" s="73"/>
      <c r="G492" s="394"/>
      <c r="H492" s="86"/>
      <c r="I492" s="88"/>
      <c r="J492" s="401">
        <v>44282.0</v>
      </c>
      <c r="K492" s="393">
        <f t="shared" si="4"/>
        <v>44283</v>
      </c>
      <c r="L492" s="394" t="str">
        <f>IFERROR(__xludf.DUMMYFUNCTION("JOIN("""", G492:H492)"),"")</f>
        <v/>
      </c>
      <c r="M492" s="80" t="str">
        <f t="shared" si="2"/>
        <v/>
      </c>
    </row>
    <row r="493">
      <c r="A493" s="86"/>
      <c r="B493" s="88"/>
      <c r="C493" s="73"/>
      <c r="D493" s="73"/>
      <c r="E493" s="88"/>
      <c r="F493" s="73"/>
      <c r="G493" s="394"/>
      <c r="H493" s="86"/>
      <c r="I493" s="88"/>
      <c r="J493" s="393">
        <v>44282.0</v>
      </c>
      <c r="K493" s="393">
        <f t="shared" si="4"/>
        <v>44283</v>
      </c>
      <c r="L493" s="394" t="str">
        <f>IFERROR(__xludf.DUMMYFUNCTION("JOIN("""", G493:H493)"),"")</f>
        <v/>
      </c>
      <c r="M493" s="80" t="str">
        <f t="shared" si="2"/>
        <v/>
      </c>
    </row>
    <row r="494">
      <c r="A494" s="86"/>
      <c r="B494" s="88"/>
      <c r="C494" s="73"/>
      <c r="D494" s="73"/>
      <c r="E494" s="88"/>
      <c r="F494" s="73"/>
      <c r="G494" s="394"/>
      <c r="H494" s="86"/>
      <c r="I494" s="88"/>
      <c r="J494" s="393">
        <v>44282.0</v>
      </c>
      <c r="K494" s="393">
        <f t="shared" si="4"/>
        <v>44283</v>
      </c>
      <c r="L494" s="394" t="str">
        <f>IFERROR(__xludf.DUMMYFUNCTION("JOIN("""", G494:H494)"),"")</f>
        <v/>
      </c>
      <c r="M494" s="80" t="str">
        <f t="shared" si="2"/>
        <v/>
      </c>
    </row>
    <row r="495">
      <c r="A495" s="86"/>
      <c r="B495" s="88"/>
      <c r="C495" s="73"/>
      <c r="D495" s="73"/>
      <c r="E495" s="88"/>
      <c r="F495" s="73"/>
      <c r="G495" s="394"/>
      <c r="H495" s="86"/>
      <c r="I495" s="88"/>
      <c r="J495" s="393">
        <v>44282.0</v>
      </c>
      <c r="K495" s="393">
        <f t="shared" si="4"/>
        <v>44283</v>
      </c>
      <c r="L495" s="394" t="str">
        <f>IFERROR(__xludf.DUMMYFUNCTION("JOIN("""", G495:H495)"),"")</f>
        <v/>
      </c>
      <c r="M495" s="80" t="str">
        <f t="shared" si="2"/>
        <v/>
      </c>
    </row>
    <row r="496">
      <c r="A496" s="86"/>
      <c r="B496" s="88"/>
      <c r="C496" s="73"/>
      <c r="D496" s="73"/>
      <c r="E496" s="88"/>
      <c r="F496" s="73"/>
      <c r="G496" s="394"/>
      <c r="H496" s="86"/>
      <c r="I496" s="88"/>
      <c r="J496" s="393">
        <v>44282.0</v>
      </c>
      <c r="K496" s="393">
        <f t="shared" si="4"/>
        <v>44283</v>
      </c>
      <c r="L496" s="394" t="str">
        <f>IFERROR(__xludf.DUMMYFUNCTION("JOIN("""", G496:H496)"),"")</f>
        <v/>
      </c>
      <c r="M496" s="80" t="str">
        <f t="shared" si="2"/>
        <v/>
      </c>
    </row>
    <row r="497">
      <c r="A497" s="86"/>
      <c r="B497" s="73"/>
      <c r="C497" s="73"/>
      <c r="D497" s="73"/>
      <c r="E497" s="88"/>
      <c r="F497" s="73"/>
      <c r="G497" s="394"/>
      <c r="H497" s="86"/>
      <c r="I497" s="88"/>
      <c r="J497" s="393">
        <v>44282.0</v>
      </c>
      <c r="K497" s="393">
        <f t="shared" si="4"/>
        <v>44283</v>
      </c>
      <c r="L497" s="394" t="str">
        <f>IFERROR(__xludf.DUMMYFUNCTION("JOIN("""", G497:H497)"),"")</f>
        <v/>
      </c>
      <c r="M497" s="80" t="str">
        <f t="shared" si="2"/>
        <v/>
      </c>
    </row>
    <row r="498">
      <c r="A498" s="86"/>
      <c r="B498" s="88"/>
      <c r="C498" s="73"/>
      <c r="D498" s="73"/>
      <c r="E498" s="88"/>
      <c r="F498" s="73"/>
      <c r="G498" s="394"/>
      <c r="H498" s="86"/>
      <c r="I498" s="88"/>
      <c r="J498" s="393">
        <v>44282.0</v>
      </c>
      <c r="K498" s="393">
        <f t="shared" si="4"/>
        <v>44283</v>
      </c>
      <c r="L498" s="394" t="str">
        <f>IFERROR(__xludf.DUMMYFUNCTION("JOIN("""", G498:H498)"),"")</f>
        <v/>
      </c>
      <c r="M498" s="80" t="str">
        <f t="shared" si="2"/>
        <v/>
      </c>
    </row>
    <row r="499">
      <c r="A499" s="86"/>
      <c r="B499" s="88"/>
      <c r="C499" s="73"/>
      <c r="D499" s="73"/>
      <c r="E499" s="88"/>
      <c r="F499" s="73"/>
      <c r="G499" s="394"/>
      <c r="H499" s="86"/>
      <c r="I499" s="88"/>
      <c r="J499" s="393">
        <v>44349.0</v>
      </c>
      <c r="K499" s="393">
        <f t="shared" si="4"/>
        <v>44350</v>
      </c>
      <c r="L499" s="394" t="str">
        <f>IFERROR(__xludf.DUMMYFUNCTION("JOIN("""", G499:H499)"),"")</f>
        <v/>
      </c>
      <c r="M499" s="80" t="str">
        <f t="shared" si="2"/>
        <v/>
      </c>
    </row>
    <row r="500">
      <c r="A500" s="86"/>
      <c r="B500" s="88"/>
      <c r="C500" s="73"/>
      <c r="D500" s="73"/>
      <c r="E500" s="88"/>
      <c r="F500" s="73"/>
      <c r="G500" s="394"/>
      <c r="H500" s="86"/>
      <c r="I500" s="88"/>
      <c r="J500" s="393">
        <v>44283.0</v>
      </c>
      <c r="K500" s="393">
        <f t="shared" si="4"/>
        <v>44284</v>
      </c>
      <c r="L500" s="394" t="str">
        <f>IFERROR(__xludf.DUMMYFUNCTION("JOIN("""", G500:H500)"),"")</f>
        <v/>
      </c>
      <c r="M500" s="80" t="str">
        <f t="shared" si="2"/>
        <v/>
      </c>
    </row>
    <row r="501">
      <c r="A501" s="86"/>
      <c r="B501" s="88"/>
      <c r="C501" s="73"/>
      <c r="D501" s="73"/>
      <c r="E501" s="88"/>
      <c r="F501" s="73"/>
      <c r="G501" s="394"/>
      <c r="H501" s="86"/>
      <c r="I501" s="88"/>
      <c r="J501" s="393">
        <v>44283.0</v>
      </c>
      <c r="K501" s="393">
        <f t="shared" si="4"/>
        <v>44284</v>
      </c>
      <c r="L501" s="394" t="str">
        <f>IFERROR(__xludf.DUMMYFUNCTION("JOIN("""", G501:H501)"),"")</f>
        <v/>
      </c>
      <c r="M501" s="80" t="str">
        <f t="shared" si="2"/>
        <v/>
      </c>
    </row>
    <row r="502">
      <c r="A502" s="86"/>
      <c r="B502" s="88"/>
      <c r="C502" s="73"/>
      <c r="D502" s="73"/>
      <c r="E502" s="88"/>
      <c r="F502" s="73"/>
      <c r="G502" s="394"/>
      <c r="H502" s="86"/>
      <c r="I502" s="88"/>
      <c r="J502" s="393">
        <v>44286.0</v>
      </c>
      <c r="K502" s="393">
        <f t="shared" si="4"/>
        <v>44287</v>
      </c>
      <c r="L502" s="394" t="str">
        <f>IFERROR(__xludf.DUMMYFUNCTION("JOIN("""", G502:H502)"),"")</f>
        <v/>
      </c>
      <c r="M502" s="80" t="str">
        <f t="shared" si="2"/>
        <v/>
      </c>
    </row>
    <row r="503">
      <c r="A503" s="86"/>
      <c r="B503" s="88"/>
      <c r="C503" s="73"/>
      <c r="D503" s="73"/>
      <c r="E503" s="88"/>
      <c r="F503" s="73"/>
      <c r="G503" s="394"/>
      <c r="H503" s="86"/>
      <c r="I503" s="88"/>
      <c r="J503" s="393">
        <v>44285.0</v>
      </c>
      <c r="K503" s="393">
        <f t="shared" si="4"/>
        <v>44286</v>
      </c>
      <c r="L503" s="394" t="str">
        <f>IFERROR(__xludf.DUMMYFUNCTION("JOIN("""", G503:H503)"),"")</f>
        <v/>
      </c>
      <c r="M503" s="80" t="str">
        <f t="shared" si="2"/>
        <v/>
      </c>
    </row>
    <row r="504">
      <c r="A504" s="86"/>
      <c r="B504" s="88"/>
      <c r="C504" s="73"/>
      <c r="D504" s="73"/>
      <c r="E504" s="88"/>
      <c r="F504" s="73"/>
      <c r="G504" s="394"/>
      <c r="H504" s="86"/>
      <c r="I504" s="88"/>
      <c r="J504" s="393">
        <v>44285.0</v>
      </c>
      <c r="K504" s="393">
        <f t="shared" si="4"/>
        <v>44286</v>
      </c>
      <c r="L504" s="394" t="str">
        <f>IFERROR(__xludf.DUMMYFUNCTION("JOIN("""", G504:H504)"),"")</f>
        <v/>
      </c>
      <c r="M504" s="80" t="str">
        <f t="shared" si="2"/>
        <v/>
      </c>
    </row>
    <row r="505">
      <c r="A505" s="86"/>
      <c r="B505" s="88"/>
      <c r="C505" s="73"/>
      <c r="D505" s="73"/>
      <c r="E505" s="88"/>
      <c r="F505" s="73"/>
      <c r="G505" s="394"/>
      <c r="H505" s="86"/>
      <c r="I505" s="88"/>
      <c r="J505" s="393">
        <v>44296.0</v>
      </c>
      <c r="K505" s="393">
        <f t="shared" si="4"/>
        <v>44297</v>
      </c>
      <c r="L505" s="394" t="str">
        <f>IFERROR(__xludf.DUMMYFUNCTION("JOIN("""", G505:H505)"),"")</f>
        <v/>
      </c>
      <c r="M505" s="80" t="str">
        <f t="shared" si="2"/>
        <v/>
      </c>
    </row>
    <row r="506">
      <c r="A506" s="86"/>
      <c r="B506" s="88"/>
      <c r="C506" s="73"/>
      <c r="D506" s="73"/>
      <c r="E506" s="88"/>
      <c r="F506" s="73"/>
      <c r="G506" s="394"/>
      <c r="H506" s="86"/>
      <c r="I506" s="88"/>
      <c r="J506" s="393">
        <v>44285.0</v>
      </c>
      <c r="K506" s="393">
        <f t="shared" si="4"/>
        <v>44286</v>
      </c>
      <c r="L506" s="394" t="str">
        <f>IFERROR(__xludf.DUMMYFUNCTION("JOIN("""", G506:H506)"),"")</f>
        <v/>
      </c>
      <c r="M506" s="80" t="str">
        <f t="shared" si="2"/>
        <v/>
      </c>
    </row>
    <row r="507">
      <c r="A507" s="86"/>
      <c r="B507" s="88"/>
      <c r="C507" s="73"/>
      <c r="D507" s="73"/>
      <c r="E507" s="88"/>
      <c r="F507" s="73"/>
      <c r="G507" s="394"/>
      <c r="H507" s="86"/>
      <c r="I507" s="88"/>
      <c r="J507" s="393">
        <v>44285.0</v>
      </c>
      <c r="K507" s="393">
        <f t="shared" si="4"/>
        <v>44286</v>
      </c>
      <c r="L507" s="394" t="str">
        <f>IFERROR(__xludf.DUMMYFUNCTION("JOIN("""", G507:H507)"),"")</f>
        <v/>
      </c>
      <c r="M507" s="80" t="str">
        <f t="shared" si="2"/>
        <v/>
      </c>
    </row>
    <row r="508">
      <c r="A508" s="86"/>
      <c r="B508" s="88"/>
      <c r="C508" s="73"/>
      <c r="D508" s="73"/>
      <c r="E508" s="88"/>
      <c r="F508" s="73"/>
      <c r="G508" s="394"/>
      <c r="H508" s="86"/>
      <c r="I508" s="88"/>
      <c r="J508" s="393">
        <v>44285.0</v>
      </c>
      <c r="K508" s="393">
        <f t="shared" si="4"/>
        <v>44286</v>
      </c>
      <c r="L508" s="394" t="str">
        <f>IFERROR(__xludf.DUMMYFUNCTION("JOIN("""", G508:H508)"),"")</f>
        <v/>
      </c>
      <c r="M508" s="80" t="str">
        <f t="shared" si="2"/>
        <v/>
      </c>
    </row>
    <row r="509">
      <c r="A509" s="86"/>
      <c r="B509" s="88"/>
      <c r="C509" s="73"/>
      <c r="D509" s="73"/>
      <c r="E509" s="88"/>
      <c r="F509" s="73"/>
      <c r="G509" s="394"/>
      <c r="H509" s="86"/>
      <c r="I509" s="88"/>
      <c r="J509" s="393">
        <v>44285.0</v>
      </c>
      <c r="K509" s="393">
        <f t="shared" si="4"/>
        <v>44286</v>
      </c>
      <c r="L509" s="394" t="str">
        <f>IFERROR(__xludf.DUMMYFUNCTION("JOIN("""", G509:H509)"),"")</f>
        <v/>
      </c>
      <c r="M509" s="80" t="str">
        <f t="shared" si="2"/>
        <v/>
      </c>
    </row>
    <row r="510">
      <c r="A510" s="86"/>
      <c r="B510" s="88"/>
      <c r="C510" s="73"/>
      <c r="D510" s="73"/>
      <c r="E510" s="88"/>
      <c r="F510" s="73"/>
      <c r="G510" s="394"/>
      <c r="H510" s="86"/>
      <c r="I510" s="88"/>
      <c r="J510" s="393">
        <v>44291.0</v>
      </c>
      <c r="K510" s="393">
        <f t="shared" si="4"/>
        <v>44292</v>
      </c>
      <c r="L510" s="394" t="str">
        <f>IFERROR(__xludf.DUMMYFUNCTION("JOIN("""", G510:H510)"),"")</f>
        <v/>
      </c>
      <c r="M510" s="80" t="str">
        <f t="shared" si="2"/>
        <v/>
      </c>
    </row>
    <row r="511">
      <c r="A511" s="86"/>
      <c r="B511" s="73"/>
      <c r="C511" s="73"/>
      <c r="D511" s="73"/>
      <c r="E511" s="88"/>
      <c r="F511" s="73"/>
      <c r="G511" s="394"/>
      <c r="H511" s="86"/>
      <c r="I511" s="88"/>
      <c r="J511" s="393">
        <v>44286.0</v>
      </c>
      <c r="K511" s="393">
        <f t="shared" si="4"/>
        <v>44287</v>
      </c>
      <c r="L511" s="394" t="str">
        <f>IFERROR(__xludf.DUMMYFUNCTION("JOIN("""", G511:H511)"),"")</f>
        <v/>
      </c>
      <c r="M511" s="80" t="str">
        <f t="shared" si="2"/>
        <v/>
      </c>
    </row>
    <row r="512">
      <c r="A512" s="86"/>
      <c r="B512" s="88"/>
      <c r="C512" s="73"/>
      <c r="D512" s="73"/>
      <c r="E512" s="88"/>
      <c r="F512" s="73"/>
      <c r="G512" s="394"/>
      <c r="H512" s="86"/>
      <c r="I512" s="88"/>
      <c r="J512" s="393">
        <v>44286.0</v>
      </c>
      <c r="K512" s="393">
        <f t="shared" si="4"/>
        <v>44287</v>
      </c>
      <c r="L512" s="394" t="str">
        <f>IFERROR(__xludf.DUMMYFUNCTION("JOIN("""", G512:H512)"),"")</f>
        <v/>
      </c>
      <c r="M512" s="80" t="str">
        <f t="shared" si="2"/>
        <v/>
      </c>
    </row>
    <row r="513">
      <c r="A513" s="86"/>
      <c r="B513" s="88"/>
      <c r="C513" s="73"/>
      <c r="D513" s="73"/>
      <c r="E513" s="88"/>
      <c r="F513" s="73"/>
      <c r="G513" s="394"/>
      <c r="H513" s="86"/>
      <c r="I513" s="88"/>
      <c r="J513" s="393">
        <v>44286.0</v>
      </c>
      <c r="K513" s="393">
        <f t="shared" si="4"/>
        <v>44287</v>
      </c>
      <c r="L513" s="394" t="str">
        <f>IFERROR(__xludf.DUMMYFUNCTION("JOIN("""", G513:H513)"),"")</f>
        <v/>
      </c>
      <c r="M513" s="80" t="str">
        <f t="shared" si="2"/>
        <v/>
      </c>
    </row>
    <row r="514">
      <c r="A514" s="86"/>
      <c r="B514" s="88"/>
      <c r="C514" s="73"/>
      <c r="D514" s="73"/>
      <c r="E514" s="88"/>
      <c r="F514" s="73"/>
      <c r="G514" s="394"/>
      <c r="H514" s="86"/>
      <c r="I514" s="88"/>
      <c r="J514" s="393">
        <v>44286.0</v>
      </c>
      <c r="K514" s="393">
        <f t="shared" si="4"/>
        <v>44287</v>
      </c>
      <c r="L514" s="394" t="str">
        <f>IFERROR(__xludf.DUMMYFUNCTION("JOIN("""", G514:H514)"),"")</f>
        <v/>
      </c>
      <c r="M514" s="80" t="str">
        <f t="shared" si="2"/>
        <v/>
      </c>
    </row>
    <row r="515">
      <c r="A515" s="86"/>
      <c r="B515" s="88"/>
      <c r="C515" s="73"/>
      <c r="D515" s="73"/>
      <c r="E515" s="88"/>
      <c r="F515" s="73"/>
      <c r="G515" s="394"/>
      <c r="H515" s="86"/>
      <c r="I515" s="88"/>
      <c r="J515" s="393">
        <v>44286.0</v>
      </c>
      <c r="K515" s="393">
        <f t="shared" si="4"/>
        <v>44287</v>
      </c>
      <c r="L515" s="394" t="str">
        <f>IFERROR(__xludf.DUMMYFUNCTION("JOIN("""", G515:H515)"),"")</f>
        <v/>
      </c>
      <c r="M515" s="80" t="str">
        <f t="shared" si="2"/>
        <v/>
      </c>
    </row>
    <row r="516">
      <c r="A516" s="86"/>
      <c r="B516" s="88"/>
      <c r="C516" s="73"/>
      <c r="D516" s="73"/>
      <c r="E516" s="88"/>
      <c r="F516" s="73"/>
      <c r="G516" s="394"/>
      <c r="H516" s="86"/>
      <c r="I516" s="88"/>
      <c r="J516" s="393">
        <v>44286.0</v>
      </c>
      <c r="K516" s="393">
        <f t="shared" si="4"/>
        <v>44287</v>
      </c>
      <c r="L516" s="394" t="str">
        <f>IFERROR(__xludf.DUMMYFUNCTION("JOIN("""", G516:H516)"),"")</f>
        <v/>
      </c>
      <c r="M516" s="80" t="str">
        <f t="shared" si="2"/>
        <v/>
      </c>
    </row>
    <row r="517">
      <c r="A517" s="86"/>
      <c r="B517" s="88"/>
      <c r="C517" s="73"/>
      <c r="D517" s="73"/>
      <c r="E517" s="88"/>
      <c r="F517" s="73"/>
      <c r="G517" s="394"/>
      <c r="H517" s="86"/>
      <c r="I517" s="88"/>
      <c r="J517" s="393">
        <v>44296.0</v>
      </c>
      <c r="K517" s="393">
        <f t="shared" si="4"/>
        <v>44297</v>
      </c>
      <c r="L517" s="394" t="str">
        <f>IFERROR(__xludf.DUMMYFUNCTION("JOIN("""", G517:H517)"),"")</f>
        <v/>
      </c>
      <c r="M517" s="80" t="str">
        <f t="shared" si="2"/>
        <v/>
      </c>
    </row>
    <row r="518">
      <c r="A518" s="86"/>
      <c r="B518" s="88"/>
      <c r="C518" s="73"/>
      <c r="D518" s="73"/>
      <c r="E518" s="88"/>
      <c r="F518" s="73"/>
      <c r="G518" s="394"/>
      <c r="H518" s="86"/>
      <c r="I518" s="88"/>
      <c r="J518" s="393">
        <v>44286.0</v>
      </c>
      <c r="K518" s="393">
        <f t="shared" si="4"/>
        <v>44287</v>
      </c>
      <c r="L518" s="394" t="str">
        <f>IFERROR(__xludf.DUMMYFUNCTION("JOIN("""", G518:H518)"),"")</f>
        <v/>
      </c>
      <c r="M518" s="80" t="str">
        <f t="shared" si="2"/>
        <v/>
      </c>
    </row>
    <row r="519">
      <c r="A519" s="86"/>
      <c r="B519" s="88"/>
      <c r="C519" s="73"/>
      <c r="D519" s="73"/>
      <c r="E519" s="88"/>
      <c r="F519" s="73"/>
      <c r="G519" s="394"/>
      <c r="H519" s="86"/>
      <c r="I519" s="88"/>
      <c r="J519" s="393">
        <v>44287.0</v>
      </c>
      <c r="K519" s="393">
        <f t="shared" si="4"/>
        <v>44288</v>
      </c>
      <c r="L519" s="394" t="str">
        <f>IFERROR(__xludf.DUMMYFUNCTION("JOIN("""", G519:H519)"),"")</f>
        <v/>
      </c>
      <c r="M519" s="80" t="str">
        <f t="shared" si="2"/>
        <v/>
      </c>
    </row>
    <row r="520">
      <c r="A520" s="86"/>
      <c r="B520" s="88"/>
      <c r="C520" s="73"/>
      <c r="D520" s="73"/>
      <c r="E520" s="88"/>
      <c r="F520" s="73"/>
      <c r="G520" s="394"/>
      <c r="H520" s="86"/>
      <c r="I520" s="88"/>
      <c r="J520" s="393">
        <v>44287.0</v>
      </c>
      <c r="K520" s="393">
        <f t="shared" si="4"/>
        <v>44288</v>
      </c>
      <c r="L520" s="394" t="str">
        <f>IFERROR(__xludf.DUMMYFUNCTION("JOIN("""", G520:H520)"),"")</f>
        <v/>
      </c>
      <c r="M520" s="80" t="str">
        <f t="shared" si="2"/>
        <v/>
      </c>
    </row>
    <row r="521">
      <c r="A521" s="86"/>
      <c r="B521" s="88"/>
      <c r="C521" s="73"/>
      <c r="D521" s="73"/>
      <c r="E521" s="88"/>
      <c r="F521" s="73"/>
      <c r="G521" s="394"/>
      <c r="H521" s="86"/>
      <c r="I521" s="88"/>
      <c r="J521" s="393">
        <v>44292.0</v>
      </c>
      <c r="K521" s="393">
        <f t="shared" si="4"/>
        <v>44293</v>
      </c>
      <c r="L521" s="394" t="str">
        <f>IFERROR(__xludf.DUMMYFUNCTION("JOIN("""", G521:H521)"),"")</f>
        <v/>
      </c>
      <c r="M521" s="80" t="str">
        <f t="shared" si="2"/>
        <v/>
      </c>
    </row>
    <row r="522">
      <c r="A522" s="86"/>
      <c r="B522" s="88"/>
      <c r="C522" s="73"/>
      <c r="D522" s="73"/>
      <c r="E522" s="88"/>
      <c r="F522" s="73"/>
      <c r="G522" s="394"/>
      <c r="H522" s="86"/>
      <c r="I522" s="88"/>
      <c r="J522" s="393">
        <v>44287.0</v>
      </c>
      <c r="K522" s="393">
        <f t="shared" si="4"/>
        <v>44288</v>
      </c>
      <c r="L522" s="394" t="str">
        <f>IFERROR(__xludf.DUMMYFUNCTION("JOIN("""", G522:H522)"),"")</f>
        <v/>
      </c>
      <c r="M522" s="80" t="str">
        <f t="shared" si="2"/>
        <v/>
      </c>
    </row>
    <row r="523">
      <c r="A523" s="86"/>
      <c r="B523" s="88"/>
      <c r="C523" s="73"/>
      <c r="D523" s="73"/>
      <c r="E523" s="88"/>
      <c r="F523" s="73"/>
      <c r="G523" s="394"/>
      <c r="H523" s="86"/>
      <c r="I523" s="88"/>
      <c r="J523" s="393">
        <v>44287.0</v>
      </c>
      <c r="K523" s="393">
        <f t="shared" si="4"/>
        <v>44288</v>
      </c>
      <c r="L523" s="394" t="str">
        <f>IFERROR(__xludf.DUMMYFUNCTION("JOIN("""", G523:H523)"),"")</f>
        <v/>
      </c>
      <c r="M523" s="80" t="str">
        <f t="shared" si="2"/>
        <v/>
      </c>
    </row>
    <row r="524">
      <c r="A524" s="86"/>
      <c r="B524" s="88"/>
      <c r="C524" s="73"/>
      <c r="D524" s="73"/>
      <c r="E524" s="88"/>
      <c r="F524" s="73"/>
      <c r="G524" s="394"/>
      <c r="H524" s="86"/>
      <c r="I524" s="88"/>
      <c r="J524" s="402">
        <v>44287.0</v>
      </c>
      <c r="K524" s="393">
        <f t="shared" si="4"/>
        <v>44288</v>
      </c>
      <c r="L524" s="394" t="str">
        <f>IFERROR(__xludf.DUMMYFUNCTION("JOIN("""", G524:H524)"),"")</f>
        <v/>
      </c>
      <c r="M524" s="80" t="str">
        <f t="shared" si="2"/>
        <v/>
      </c>
    </row>
    <row r="525">
      <c r="A525" s="86"/>
      <c r="B525" s="88"/>
      <c r="C525" s="73"/>
      <c r="D525" s="73"/>
      <c r="E525" s="88"/>
      <c r="F525" s="73"/>
      <c r="G525" s="394"/>
      <c r="H525" s="86"/>
      <c r="I525" s="88"/>
      <c r="J525" s="393">
        <v>44287.0</v>
      </c>
      <c r="K525" s="393">
        <f t="shared" si="4"/>
        <v>44288</v>
      </c>
      <c r="L525" s="394" t="str">
        <f>IFERROR(__xludf.DUMMYFUNCTION("JOIN("""", G525:H525)"),"")</f>
        <v/>
      </c>
      <c r="M525" s="80" t="str">
        <f t="shared" si="2"/>
        <v/>
      </c>
    </row>
    <row r="526">
      <c r="A526" s="86"/>
      <c r="B526" s="88"/>
      <c r="C526" s="73"/>
      <c r="D526" s="73"/>
      <c r="E526" s="88"/>
      <c r="F526" s="73"/>
      <c r="G526" s="394"/>
      <c r="H526" s="86"/>
      <c r="I526" s="88"/>
      <c r="J526" s="393">
        <v>44288.0</v>
      </c>
      <c r="K526" s="393">
        <f t="shared" si="4"/>
        <v>44289</v>
      </c>
      <c r="L526" s="394" t="str">
        <f>IFERROR(__xludf.DUMMYFUNCTION("JOIN("""", G526:H526)"),"")</f>
        <v/>
      </c>
      <c r="M526" s="80" t="str">
        <f t="shared" si="2"/>
        <v/>
      </c>
    </row>
    <row r="527">
      <c r="A527" s="86"/>
      <c r="B527" s="88"/>
      <c r="C527" s="73"/>
      <c r="D527" s="73"/>
      <c r="E527" s="88"/>
      <c r="F527" s="73"/>
      <c r="G527" s="394"/>
      <c r="H527" s="86"/>
      <c r="I527" s="88"/>
      <c r="J527" s="393">
        <v>44288.0</v>
      </c>
      <c r="K527" s="393">
        <f t="shared" si="4"/>
        <v>44289</v>
      </c>
      <c r="L527" s="394" t="str">
        <f>IFERROR(__xludf.DUMMYFUNCTION("JOIN("""", G527:H527)"),"")</f>
        <v/>
      </c>
      <c r="M527" s="80" t="str">
        <f t="shared" si="2"/>
        <v/>
      </c>
    </row>
    <row r="528">
      <c r="A528" s="86"/>
      <c r="B528" s="88"/>
      <c r="C528" s="73"/>
      <c r="D528" s="73"/>
      <c r="E528" s="88"/>
      <c r="F528" s="73"/>
      <c r="G528" s="394"/>
      <c r="H528" s="86"/>
      <c r="I528" s="88"/>
      <c r="J528" s="393">
        <v>44288.0</v>
      </c>
      <c r="K528" s="393">
        <f t="shared" si="4"/>
        <v>44289</v>
      </c>
      <c r="L528" s="394" t="str">
        <f>IFERROR(__xludf.DUMMYFUNCTION("JOIN("""", G528:H528)"),"")</f>
        <v/>
      </c>
      <c r="M528" s="80" t="str">
        <f t="shared" si="2"/>
        <v/>
      </c>
    </row>
    <row r="529">
      <c r="A529" s="86"/>
      <c r="B529" s="88"/>
      <c r="C529" s="73"/>
      <c r="D529" s="73"/>
      <c r="E529" s="88"/>
      <c r="F529" s="73"/>
      <c r="G529" s="394"/>
      <c r="H529" s="86"/>
      <c r="I529" s="88"/>
      <c r="J529" s="393">
        <v>44288.0</v>
      </c>
      <c r="K529" s="393">
        <f t="shared" si="4"/>
        <v>44289</v>
      </c>
      <c r="L529" s="394" t="str">
        <f>IFERROR(__xludf.DUMMYFUNCTION("JOIN("""", G529:H529)"),"")</f>
        <v/>
      </c>
      <c r="M529" s="80" t="str">
        <f t="shared" si="2"/>
        <v/>
      </c>
    </row>
    <row r="530">
      <c r="A530" s="86"/>
      <c r="B530" s="88"/>
      <c r="C530" s="73"/>
      <c r="D530" s="73"/>
      <c r="E530" s="88"/>
      <c r="F530" s="73"/>
      <c r="G530" s="394"/>
      <c r="H530" s="86"/>
      <c r="I530" s="88"/>
      <c r="J530" s="393">
        <v>44288.0</v>
      </c>
      <c r="K530" s="393">
        <f t="shared" si="4"/>
        <v>44289</v>
      </c>
      <c r="L530" s="394" t="str">
        <f>IFERROR(__xludf.DUMMYFUNCTION("JOIN("""", G530:H530)"),"")</f>
        <v/>
      </c>
      <c r="M530" s="80" t="str">
        <f t="shared" si="2"/>
        <v/>
      </c>
    </row>
    <row r="531">
      <c r="A531" s="86"/>
      <c r="B531" s="88"/>
      <c r="C531" s="73"/>
      <c r="D531" s="73"/>
      <c r="E531" s="88"/>
      <c r="F531" s="73"/>
      <c r="G531" s="394"/>
      <c r="H531" s="86"/>
      <c r="I531" s="88"/>
      <c r="J531" s="393">
        <v>44288.0</v>
      </c>
      <c r="K531" s="393">
        <f t="shared" si="4"/>
        <v>44289</v>
      </c>
      <c r="L531" s="394" t="str">
        <f>IFERROR(__xludf.DUMMYFUNCTION("JOIN("""", G531:H531)"),"")</f>
        <v/>
      </c>
      <c r="M531" s="80" t="str">
        <f t="shared" si="2"/>
        <v/>
      </c>
    </row>
    <row r="532">
      <c r="A532" s="86"/>
      <c r="B532" s="88"/>
      <c r="C532" s="73"/>
      <c r="D532" s="73"/>
      <c r="E532" s="88"/>
      <c r="F532" s="73"/>
      <c r="G532" s="394"/>
      <c r="H532" s="86"/>
      <c r="I532" s="88"/>
      <c r="J532" s="393">
        <v>44288.0</v>
      </c>
      <c r="K532" s="393">
        <f t="shared" si="4"/>
        <v>44289</v>
      </c>
      <c r="L532" s="394" t="str">
        <f>IFERROR(__xludf.DUMMYFUNCTION("JOIN("""", G532:H532)"),"")</f>
        <v/>
      </c>
      <c r="M532" s="80" t="str">
        <f t="shared" si="2"/>
        <v/>
      </c>
    </row>
    <row r="533">
      <c r="A533" s="86"/>
      <c r="B533" s="88"/>
      <c r="C533" s="73"/>
      <c r="D533" s="73"/>
      <c r="E533" s="88"/>
      <c r="F533" s="73"/>
      <c r="G533" s="394"/>
      <c r="H533" s="86"/>
      <c r="I533" s="88"/>
      <c r="J533" s="393">
        <v>44288.0</v>
      </c>
      <c r="K533" s="393">
        <f t="shared" si="4"/>
        <v>44289</v>
      </c>
      <c r="L533" s="394" t="str">
        <f>IFERROR(__xludf.DUMMYFUNCTION("JOIN("""", G533:H533)"),"")</f>
        <v/>
      </c>
      <c r="M533" s="80" t="str">
        <f t="shared" si="2"/>
        <v/>
      </c>
    </row>
    <row r="534">
      <c r="A534" s="86"/>
      <c r="B534" s="73"/>
      <c r="C534" s="73"/>
      <c r="D534" s="73"/>
      <c r="E534" s="88"/>
      <c r="F534" s="73"/>
      <c r="G534" s="394"/>
      <c r="H534" s="77"/>
      <c r="I534" s="88"/>
      <c r="J534" s="393">
        <v>44288.0</v>
      </c>
      <c r="K534" s="393">
        <f t="shared" si="4"/>
        <v>44289</v>
      </c>
      <c r="L534" s="394" t="str">
        <f>IFERROR(__xludf.DUMMYFUNCTION("JOIN("""", G534:H534)"),"")</f>
        <v/>
      </c>
      <c r="M534" s="80" t="str">
        <f t="shared" si="2"/>
        <v/>
      </c>
    </row>
    <row r="535">
      <c r="A535" s="86"/>
      <c r="B535" s="73"/>
      <c r="C535" s="73"/>
      <c r="D535" s="73"/>
      <c r="E535" s="88"/>
      <c r="F535" s="73"/>
      <c r="G535" s="394"/>
      <c r="H535" s="77"/>
      <c r="I535" s="88"/>
      <c r="J535" s="393">
        <v>44288.0</v>
      </c>
      <c r="K535" s="393">
        <f t="shared" si="4"/>
        <v>44289</v>
      </c>
      <c r="L535" s="394" t="str">
        <f>IFERROR(__xludf.DUMMYFUNCTION("JOIN("""", G535:H535)"),"")</f>
        <v/>
      </c>
      <c r="M535" s="80" t="str">
        <f t="shared" si="2"/>
        <v/>
      </c>
    </row>
    <row r="536">
      <c r="A536" s="86"/>
      <c r="B536" s="73"/>
      <c r="C536" s="73"/>
      <c r="D536" s="73"/>
      <c r="E536" s="88"/>
      <c r="F536" s="73"/>
      <c r="G536" s="394"/>
      <c r="H536" s="77"/>
      <c r="I536" s="88"/>
      <c r="J536" s="402">
        <v>44301.0</v>
      </c>
      <c r="K536" s="393">
        <f t="shared" si="4"/>
        <v>44302</v>
      </c>
      <c r="L536" s="394" t="str">
        <f>IFERROR(__xludf.DUMMYFUNCTION("JOIN("""", G536:H536)"),"")</f>
        <v/>
      </c>
      <c r="M536" s="80" t="str">
        <f t="shared" si="2"/>
        <v/>
      </c>
    </row>
    <row r="537">
      <c r="A537" s="86"/>
      <c r="B537" s="73"/>
      <c r="C537" s="73"/>
      <c r="D537" s="73"/>
      <c r="E537" s="88"/>
      <c r="F537" s="73"/>
      <c r="G537" s="394"/>
      <c r="H537" s="77"/>
      <c r="I537" s="88"/>
      <c r="J537" s="393">
        <v>44288.0</v>
      </c>
      <c r="K537" s="393">
        <f t="shared" si="4"/>
        <v>44289</v>
      </c>
      <c r="L537" s="394" t="str">
        <f>IFERROR(__xludf.DUMMYFUNCTION("JOIN("""", G537:H537)"),"")</f>
        <v/>
      </c>
      <c r="M537" s="80" t="str">
        <f t="shared" si="2"/>
        <v/>
      </c>
    </row>
    <row r="538">
      <c r="A538" s="86"/>
      <c r="B538" s="73"/>
      <c r="C538" s="73"/>
      <c r="D538" s="73"/>
      <c r="E538" s="88"/>
      <c r="F538" s="73"/>
      <c r="G538" s="394"/>
      <c r="H538" s="77"/>
      <c r="I538" s="88"/>
      <c r="J538" s="393">
        <v>44288.0</v>
      </c>
      <c r="K538" s="393">
        <f t="shared" si="4"/>
        <v>44289</v>
      </c>
      <c r="L538" s="394" t="str">
        <f>IFERROR(__xludf.DUMMYFUNCTION("JOIN("""", G538:H538)"),"")</f>
        <v/>
      </c>
      <c r="M538" s="80" t="str">
        <f t="shared" si="2"/>
        <v/>
      </c>
    </row>
    <row r="539">
      <c r="A539" s="86"/>
      <c r="B539" s="73"/>
      <c r="C539" s="73"/>
      <c r="D539" s="73"/>
      <c r="E539" s="88"/>
      <c r="F539" s="73"/>
      <c r="G539" s="394"/>
      <c r="H539" s="77"/>
      <c r="I539" s="88"/>
      <c r="J539" s="393">
        <v>44288.0</v>
      </c>
      <c r="K539" s="393">
        <f t="shared" si="4"/>
        <v>44289</v>
      </c>
      <c r="L539" s="394" t="str">
        <f>IFERROR(__xludf.DUMMYFUNCTION("JOIN("""", G539:H539)"),"")</f>
        <v/>
      </c>
      <c r="M539" s="80" t="str">
        <f t="shared" si="2"/>
        <v/>
      </c>
    </row>
    <row r="540">
      <c r="A540" s="86"/>
      <c r="B540" s="73"/>
      <c r="C540" s="73"/>
      <c r="D540" s="73"/>
      <c r="E540" s="88"/>
      <c r="F540" s="73"/>
      <c r="G540" s="394"/>
      <c r="H540" s="77"/>
      <c r="I540" s="88"/>
      <c r="J540" s="393">
        <v>44289.0</v>
      </c>
      <c r="K540" s="393">
        <f t="shared" si="4"/>
        <v>44290</v>
      </c>
      <c r="L540" s="394" t="str">
        <f>IFERROR(__xludf.DUMMYFUNCTION("JOIN("""", G540:H540)"),"")</f>
        <v/>
      </c>
      <c r="M540" s="80" t="str">
        <f t="shared" si="2"/>
        <v/>
      </c>
    </row>
    <row r="541">
      <c r="A541" s="86"/>
      <c r="B541" s="73"/>
      <c r="C541" s="73"/>
      <c r="D541" s="73"/>
      <c r="E541" s="88"/>
      <c r="F541" s="73"/>
      <c r="G541" s="394"/>
      <c r="H541" s="77"/>
      <c r="I541" s="88"/>
      <c r="J541" s="393">
        <v>44289.0</v>
      </c>
      <c r="K541" s="393">
        <f t="shared" si="4"/>
        <v>44290</v>
      </c>
      <c r="L541" s="394" t="str">
        <f>IFERROR(__xludf.DUMMYFUNCTION("JOIN("""", G541:H541)"),"")</f>
        <v/>
      </c>
      <c r="M541" s="80" t="str">
        <f t="shared" si="2"/>
        <v/>
      </c>
    </row>
    <row r="542">
      <c r="A542" s="86"/>
      <c r="B542" s="73"/>
      <c r="C542" s="73"/>
      <c r="D542" s="73"/>
      <c r="E542" s="88"/>
      <c r="F542" s="73"/>
      <c r="G542" s="394"/>
      <c r="H542" s="77"/>
      <c r="I542" s="88"/>
      <c r="J542" s="393">
        <v>44289.0</v>
      </c>
      <c r="K542" s="393">
        <f t="shared" si="4"/>
        <v>44290</v>
      </c>
      <c r="L542" s="394" t="str">
        <f>IFERROR(__xludf.DUMMYFUNCTION("JOIN("""", G542:H542)"),"")</f>
        <v/>
      </c>
      <c r="M542" s="80" t="str">
        <f t="shared" si="2"/>
        <v/>
      </c>
    </row>
    <row r="543">
      <c r="A543" s="86"/>
      <c r="B543" s="73"/>
      <c r="C543" s="73"/>
      <c r="D543" s="73"/>
      <c r="E543" s="88"/>
      <c r="F543" s="73"/>
      <c r="G543" s="394"/>
      <c r="H543" s="77"/>
      <c r="I543" s="88"/>
      <c r="J543" s="399">
        <v>44289.0</v>
      </c>
      <c r="K543" s="393">
        <f t="shared" si="4"/>
        <v>44290</v>
      </c>
      <c r="L543" s="394" t="str">
        <f>IFERROR(__xludf.DUMMYFUNCTION("JOIN("""", G543:H543)"),"")</f>
        <v/>
      </c>
      <c r="M543" s="80" t="str">
        <f t="shared" si="2"/>
        <v/>
      </c>
    </row>
    <row r="544">
      <c r="A544" s="86"/>
      <c r="B544" s="73"/>
      <c r="C544" s="73"/>
      <c r="D544" s="73"/>
      <c r="E544" s="88"/>
      <c r="F544" s="73"/>
      <c r="G544" s="394"/>
      <c r="H544" s="77"/>
      <c r="I544" s="88"/>
      <c r="J544" s="393">
        <v>44291.0</v>
      </c>
      <c r="K544" s="393">
        <f t="shared" si="4"/>
        <v>44292</v>
      </c>
      <c r="L544" s="394" t="str">
        <f>IFERROR(__xludf.DUMMYFUNCTION("JOIN("""", G544:H544)"),"")</f>
        <v/>
      </c>
      <c r="M544" s="80" t="str">
        <f t="shared" si="2"/>
        <v/>
      </c>
    </row>
    <row r="545">
      <c r="A545" s="86"/>
      <c r="B545" s="73"/>
      <c r="C545" s="73"/>
      <c r="D545" s="73"/>
      <c r="E545" s="88"/>
      <c r="F545" s="73"/>
      <c r="G545" s="394"/>
      <c r="H545" s="77"/>
      <c r="I545" s="88"/>
      <c r="J545" s="393">
        <v>44289.0</v>
      </c>
      <c r="K545" s="393">
        <f t="shared" si="4"/>
        <v>44290</v>
      </c>
      <c r="L545" s="394" t="str">
        <f>IFERROR(__xludf.DUMMYFUNCTION("JOIN("""", G545:H545)"),"")</f>
        <v/>
      </c>
      <c r="M545" s="80" t="str">
        <f t="shared" si="2"/>
        <v/>
      </c>
    </row>
    <row r="546">
      <c r="A546" s="86"/>
      <c r="B546" s="73"/>
      <c r="C546" s="73"/>
      <c r="D546" s="73"/>
      <c r="E546" s="88"/>
      <c r="F546" s="73"/>
      <c r="G546" s="394"/>
      <c r="H546" s="77"/>
      <c r="I546" s="88"/>
      <c r="J546" s="393">
        <v>44289.0</v>
      </c>
      <c r="K546" s="393">
        <f t="shared" si="4"/>
        <v>44290</v>
      </c>
      <c r="L546" s="394" t="str">
        <f>IFERROR(__xludf.DUMMYFUNCTION("JOIN("""", G546:H546)"),"")</f>
        <v/>
      </c>
      <c r="M546" s="80" t="str">
        <f t="shared" si="2"/>
        <v/>
      </c>
    </row>
    <row r="547">
      <c r="A547" s="86"/>
      <c r="B547" s="73"/>
      <c r="C547" s="73"/>
      <c r="D547" s="73"/>
      <c r="E547" s="88"/>
      <c r="F547" s="73"/>
      <c r="G547" s="394"/>
      <c r="H547" s="77"/>
      <c r="I547" s="88"/>
      <c r="J547" s="393">
        <v>44289.0</v>
      </c>
      <c r="K547" s="393">
        <f t="shared" si="4"/>
        <v>44290</v>
      </c>
      <c r="L547" s="394" t="str">
        <f>IFERROR(__xludf.DUMMYFUNCTION("JOIN("""", G547:H547)"),"")</f>
        <v/>
      </c>
      <c r="M547" s="80" t="str">
        <f t="shared" si="2"/>
        <v/>
      </c>
    </row>
    <row r="548">
      <c r="A548" s="86"/>
      <c r="B548" s="73"/>
      <c r="C548" s="73"/>
      <c r="D548" s="73"/>
      <c r="E548" s="88"/>
      <c r="F548" s="73"/>
      <c r="G548" s="394"/>
      <c r="H548" s="77"/>
      <c r="I548" s="88"/>
      <c r="J548" s="393">
        <v>44295.0</v>
      </c>
      <c r="K548" s="393">
        <f t="shared" si="4"/>
        <v>44296</v>
      </c>
      <c r="L548" s="394" t="str">
        <f>IFERROR(__xludf.DUMMYFUNCTION("JOIN("""", G548:H548)"),"")</f>
        <v/>
      </c>
      <c r="M548" s="80" t="str">
        <f t="shared" si="2"/>
        <v/>
      </c>
    </row>
    <row r="549">
      <c r="A549" s="86"/>
      <c r="B549" s="73"/>
      <c r="C549" s="73"/>
      <c r="D549" s="73"/>
      <c r="E549" s="88"/>
      <c r="F549" s="73"/>
      <c r="G549" s="394"/>
      <c r="H549" s="77"/>
      <c r="I549" s="88"/>
      <c r="J549" s="393">
        <v>44289.0</v>
      </c>
      <c r="K549" s="393">
        <f t="shared" si="4"/>
        <v>44290</v>
      </c>
      <c r="L549" s="394" t="str">
        <f>IFERROR(__xludf.DUMMYFUNCTION("JOIN("""", G549:H549)"),"")</f>
        <v/>
      </c>
      <c r="M549" s="80" t="str">
        <f t="shared" si="2"/>
        <v/>
      </c>
    </row>
    <row r="550">
      <c r="A550" s="86"/>
      <c r="B550" s="73"/>
      <c r="C550" s="73"/>
      <c r="D550" s="73"/>
      <c r="E550" s="88"/>
      <c r="F550" s="73"/>
      <c r="G550" s="394"/>
      <c r="H550" s="77"/>
      <c r="I550" s="88"/>
      <c r="J550" s="393">
        <v>44290.0</v>
      </c>
      <c r="K550" s="393">
        <f t="shared" si="4"/>
        <v>44291</v>
      </c>
      <c r="L550" s="394" t="str">
        <f>IFERROR(__xludf.DUMMYFUNCTION("JOIN("""", G550:H550)"),"")</f>
        <v/>
      </c>
      <c r="M550" s="80" t="str">
        <f t="shared" si="2"/>
        <v/>
      </c>
    </row>
    <row r="551">
      <c r="A551" s="86"/>
      <c r="B551" s="73"/>
      <c r="C551" s="73"/>
      <c r="D551" s="73"/>
      <c r="E551" s="88"/>
      <c r="F551" s="73"/>
      <c r="G551" s="394"/>
      <c r="H551" s="77"/>
      <c r="I551" s="88"/>
      <c r="J551" s="393">
        <v>44290.0</v>
      </c>
      <c r="K551" s="393">
        <f t="shared" si="4"/>
        <v>44291</v>
      </c>
      <c r="L551" s="394" t="str">
        <f>IFERROR(__xludf.DUMMYFUNCTION("JOIN("""", G551:H551)"),"")</f>
        <v/>
      </c>
      <c r="M551" s="80" t="str">
        <f t="shared" si="2"/>
        <v/>
      </c>
    </row>
    <row r="552">
      <c r="A552" s="86"/>
      <c r="B552" s="73"/>
      <c r="C552" s="73"/>
      <c r="D552" s="73"/>
      <c r="E552" s="88"/>
      <c r="F552" s="73"/>
      <c r="G552" s="394"/>
      <c r="H552" s="77"/>
      <c r="I552" s="88"/>
      <c r="J552" s="393">
        <v>44290.0</v>
      </c>
      <c r="K552" s="393">
        <f t="shared" si="4"/>
        <v>44291</v>
      </c>
      <c r="L552" s="394" t="str">
        <f>IFERROR(__xludf.DUMMYFUNCTION("JOIN("""", G552:H552)"),"")</f>
        <v/>
      </c>
      <c r="M552" s="80" t="str">
        <f t="shared" si="2"/>
        <v/>
      </c>
    </row>
    <row r="553">
      <c r="A553" s="86"/>
      <c r="B553" s="73"/>
      <c r="C553" s="73"/>
      <c r="D553" s="73"/>
      <c r="E553" s="88"/>
      <c r="F553" s="73"/>
      <c r="G553" s="394"/>
      <c r="H553" s="77"/>
      <c r="I553" s="88"/>
      <c r="J553" s="393">
        <v>44290.0</v>
      </c>
      <c r="K553" s="393">
        <f t="shared" si="4"/>
        <v>44291</v>
      </c>
      <c r="L553" s="394" t="str">
        <f>IFERROR(__xludf.DUMMYFUNCTION("JOIN("""", G553:H553)"),"")</f>
        <v/>
      </c>
      <c r="M553" s="80" t="str">
        <f t="shared" si="2"/>
        <v/>
      </c>
    </row>
    <row r="554">
      <c r="A554" s="86"/>
      <c r="B554" s="73"/>
      <c r="C554" s="73"/>
      <c r="D554" s="73"/>
      <c r="E554" s="88"/>
      <c r="F554" s="73"/>
      <c r="G554" s="394"/>
      <c r="H554" s="77"/>
      <c r="I554" s="88"/>
      <c r="J554" s="393">
        <v>44290.0</v>
      </c>
      <c r="K554" s="393">
        <f t="shared" si="4"/>
        <v>44291</v>
      </c>
      <c r="L554" s="394" t="str">
        <f>IFERROR(__xludf.DUMMYFUNCTION("JOIN("""", G554:H554)"),"")</f>
        <v/>
      </c>
      <c r="M554" s="80" t="str">
        <f t="shared" si="2"/>
        <v/>
      </c>
    </row>
    <row r="555">
      <c r="A555" s="86"/>
      <c r="B555" s="73"/>
      <c r="C555" s="73"/>
      <c r="D555" s="73"/>
      <c r="E555" s="88"/>
      <c r="F555" s="73"/>
      <c r="G555" s="394"/>
      <c r="H555" s="77"/>
      <c r="I555" s="88"/>
      <c r="J555" s="393">
        <v>44290.0</v>
      </c>
      <c r="K555" s="393">
        <f t="shared" si="4"/>
        <v>44291</v>
      </c>
      <c r="L555" s="394" t="str">
        <f>IFERROR(__xludf.DUMMYFUNCTION("JOIN("""", G555:H555)"),"")</f>
        <v/>
      </c>
      <c r="M555" s="80" t="str">
        <f t="shared" si="2"/>
        <v/>
      </c>
    </row>
    <row r="556">
      <c r="A556" s="86"/>
      <c r="B556" s="73"/>
      <c r="C556" s="73"/>
      <c r="D556" s="73"/>
      <c r="E556" s="88"/>
      <c r="F556" s="73"/>
      <c r="G556" s="394"/>
      <c r="H556" s="77"/>
      <c r="I556" s="88"/>
      <c r="J556" s="393">
        <v>44291.0</v>
      </c>
      <c r="K556" s="393">
        <f t="shared" si="4"/>
        <v>44292</v>
      </c>
      <c r="L556" s="394" t="str">
        <f>IFERROR(__xludf.DUMMYFUNCTION("JOIN("""", G556:H556)"),"")</f>
        <v/>
      </c>
      <c r="M556" s="80" t="str">
        <f t="shared" si="2"/>
        <v/>
      </c>
    </row>
    <row r="557">
      <c r="A557" s="86"/>
      <c r="B557" s="73"/>
      <c r="C557" s="73"/>
      <c r="D557" s="73"/>
      <c r="E557" s="88"/>
      <c r="F557" s="73"/>
      <c r="G557" s="394"/>
      <c r="H557" s="77"/>
      <c r="I557" s="88"/>
      <c r="J557" s="393">
        <v>44290.0</v>
      </c>
      <c r="K557" s="393">
        <f t="shared" si="4"/>
        <v>44291</v>
      </c>
      <c r="L557" s="394" t="str">
        <f>IFERROR(__xludf.DUMMYFUNCTION("JOIN("""", G557:H557)"),"")</f>
        <v/>
      </c>
      <c r="M557" s="80" t="str">
        <f t="shared" si="2"/>
        <v/>
      </c>
    </row>
    <row r="558">
      <c r="A558" s="86"/>
      <c r="B558" s="73"/>
      <c r="C558" s="73"/>
      <c r="D558" s="73"/>
      <c r="E558" s="88"/>
      <c r="F558" s="73"/>
      <c r="G558" s="394"/>
      <c r="H558" s="77"/>
      <c r="I558" s="88"/>
      <c r="J558" s="393">
        <v>44290.0</v>
      </c>
      <c r="K558" s="393">
        <f t="shared" si="4"/>
        <v>44291</v>
      </c>
      <c r="L558" s="394" t="str">
        <f>IFERROR(__xludf.DUMMYFUNCTION("JOIN("""", G558:H558)"),"")</f>
        <v/>
      </c>
      <c r="M558" s="80" t="str">
        <f t="shared" si="2"/>
        <v/>
      </c>
    </row>
    <row r="559">
      <c r="A559" s="86"/>
      <c r="B559" s="73"/>
      <c r="C559" s="73"/>
      <c r="D559" s="73"/>
      <c r="E559" s="88"/>
      <c r="F559" s="73"/>
      <c r="G559" s="394"/>
      <c r="H559" s="77"/>
      <c r="I559" s="88"/>
      <c r="J559" s="393">
        <v>44290.0</v>
      </c>
      <c r="K559" s="393">
        <f t="shared" si="4"/>
        <v>44291</v>
      </c>
      <c r="L559" s="394" t="str">
        <f>IFERROR(__xludf.DUMMYFUNCTION("JOIN("""", G559:H559)"),"")</f>
        <v/>
      </c>
      <c r="M559" s="80" t="str">
        <f t="shared" si="2"/>
        <v/>
      </c>
    </row>
    <row r="560">
      <c r="A560" s="86"/>
      <c r="B560" s="73"/>
      <c r="C560" s="73"/>
      <c r="D560" s="73"/>
      <c r="E560" s="88"/>
      <c r="F560" s="73"/>
      <c r="G560" s="394"/>
      <c r="H560" s="77"/>
      <c r="I560" s="88"/>
      <c r="J560" s="393">
        <v>44299.0</v>
      </c>
      <c r="K560" s="393">
        <f t="shared" si="4"/>
        <v>44300</v>
      </c>
      <c r="L560" s="394" t="str">
        <f>IFERROR(__xludf.DUMMYFUNCTION("JOIN("""", G560:H560)"),"")</f>
        <v/>
      </c>
      <c r="M560" s="80" t="str">
        <f t="shared" si="2"/>
        <v/>
      </c>
    </row>
    <row r="561">
      <c r="A561" s="86"/>
      <c r="B561" s="73"/>
      <c r="C561" s="73"/>
      <c r="D561" s="73"/>
      <c r="E561" s="88"/>
      <c r="F561" s="73"/>
      <c r="G561" s="394"/>
      <c r="H561" s="77"/>
      <c r="I561" s="88"/>
      <c r="J561" s="393">
        <v>44290.0</v>
      </c>
      <c r="K561" s="393">
        <f t="shared" si="4"/>
        <v>44291</v>
      </c>
      <c r="L561" s="394" t="str">
        <f>IFERROR(__xludf.DUMMYFUNCTION("JOIN("""", G561:H561)"),"")</f>
        <v/>
      </c>
      <c r="M561" s="80" t="str">
        <f t="shared" si="2"/>
        <v/>
      </c>
    </row>
    <row r="562">
      <c r="A562" s="86"/>
      <c r="B562" s="73"/>
      <c r="C562" s="73"/>
      <c r="D562" s="73"/>
      <c r="E562" s="88"/>
      <c r="F562" s="73"/>
      <c r="G562" s="394"/>
      <c r="H562" s="77"/>
      <c r="I562" s="88"/>
      <c r="J562" s="393">
        <v>44290.0</v>
      </c>
      <c r="K562" s="393">
        <f t="shared" si="4"/>
        <v>44291</v>
      </c>
      <c r="L562" s="394" t="str">
        <f>IFERROR(__xludf.DUMMYFUNCTION("JOIN("""", G562:H562)"),"")</f>
        <v/>
      </c>
      <c r="M562" s="80" t="str">
        <f t="shared" si="2"/>
        <v/>
      </c>
    </row>
    <row r="563">
      <c r="A563" s="86"/>
      <c r="B563" s="73"/>
      <c r="C563" s="73"/>
      <c r="D563" s="73"/>
      <c r="E563" s="88"/>
      <c r="F563" s="73"/>
      <c r="G563" s="394"/>
      <c r="H563" s="77"/>
      <c r="I563" s="88"/>
      <c r="J563" s="393">
        <v>44290.0</v>
      </c>
      <c r="K563" s="393">
        <f t="shared" si="4"/>
        <v>44291</v>
      </c>
      <c r="L563" s="394" t="str">
        <f>IFERROR(__xludf.DUMMYFUNCTION("JOIN("""", G563:H563)"),"")</f>
        <v/>
      </c>
      <c r="M563" s="80" t="str">
        <f t="shared" si="2"/>
        <v/>
      </c>
    </row>
    <row r="564">
      <c r="A564" s="86"/>
      <c r="B564" s="73"/>
      <c r="C564" s="73"/>
      <c r="D564" s="73"/>
      <c r="E564" s="88"/>
      <c r="F564" s="73"/>
      <c r="G564" s="394"/>
      <c r="H564" s="77"/>
      <c r="I564" s="88"/>
      <c r="J564" s="393">
        <v>44290.0</v>
      </c>
      <c r="K564" s="393">
        <f t="shared" si="4"/>
        <v>44291</v>
      </c>
      <c r="L564" s="394" t="str">
        <f>IFERROR(__xludf.DUMMYFUNCTION("JOIN("""", G564:H564)"),"")</f>
        <v/>
      </c>
      <c r="M564" s="80" t="str">
        <f t="shared" si="2"/>
        <v/>
      </c>
    </row>
    <row r="565">
      <c r="A565" s="86"/>
      <c r="B565" s="73"/>
      <c r="C565" s="73"/>
      <c r="D565" s="73"/>
      <c r="E565" s="88"/>
      <c r="F565" s="73"/>
      <c r="G565" s="394"/>
      <c r="H565" s="77"/>
      <c r="I565" s="88"/>
      <c r="J565" s="393">
        <v>44290.0</v>
      </c>
      <c r="K565" s="393">
        <f t="shared" si="4"/>
        <v>44291</v>
      </c>
      <c r="L565" s="394" t="str">
        <f>IFERROR(__xludf.DUMMYFUNCTION("JOIN("""", G565:H565)"),"")</f>
        <v/>
      </c>
      <c r="M565" s="80" t="str">
        <f t="shared" si="2"/>
        <v/>
      </c>
    </row>
    <row r="566">
      <c r="A566" s="86"/>
      <c r="B566" s="73"/>
      <c r="C566" s="73"/>
      <c r="D566" s="73"/>
      <c r="E566" s="88"/>
      <c r="F566" s="73"/>
      <c r="G566" s="394"/>
      <c r="H566" s="77"/>
      <c r="I566" s="88"/>
      <c r="J566" s="402">
        <v>44290.0</v>
      </c>
      <c r="K566" s="393">
        <f t="shared" si="4"/>
        <v>44291</v>
      </c>
      <c r="L566" s="394" t="str">
        <f>IFERROR(__xludf.DUMMYFUNCTION("JOIN("""", G566:H566)"),"")</f>
        <v/>
      </c>
      <c r="M566" s="80" t="str">
        <f t="shared" si="2"/>
        <v/>
      </c>
    </row>
    <row r="567">
      <c r="A567" s="86"/>
      <c r="B567" s="73"/>
      <c r="C567" s="73"/>
      <c r="D567" s="73"/>
      <c r="E567" s="88"/>
      <c r="F567" s="73"/>
      <c r="G567" s="394"/>
      <c r="H567" s="77"/>
      <c r="I567" s="88"/>
      <c r="J567" s="393">
        <v>44290.0</v>
      </c>
      <c r="K567" s="393">
        <f t="shared" si="4"/>
        <v>44291</v>
      </c>
      <c r="L567" s="394" t="str">
        <f>IFERROR(__xludf.DUMMYFUNCTION("JOIN("""", G567:H567)"),"")</f>
        <v/>
      </c>
      <c r="M567" s="80" t="str">
        <f t="shared" si="2"/>
        <v/>
      </c>
    </row>
    <row r="568">
      <c r="A568" s="86"/>
      <c r="B568" s="73"/>
      <c r="C568" s="73"/>
      <c r="D568" s="73"/>
      <c r="E568" s="88"/>
      <c r="F568" s="73"/>
      <c r="G568" s="394"/>
      <c r="H568" s="77"/>
      <c r="I568" s="88"/>
      <c r="J568" s="393">
        <v>44292.0</v>
      </c>
      <c r="K568" s="393">
        <f t="shared" si="4"/>
        <v>44293</v>
      </c>
      <c r="L568" s="394" t="str">
        <f>IFERROR(__xludf.DUMMYFUNCTION("JOIN("""", G568:H568)"),"")</f>
        <v/>
      </c>
      <c r="M568" s="80" t="str">
        <f t="shared" si="2"/>
        <v/>
      </c>
    </row>
    <row r="569">
      <c r="A569" s="86"/>
      <c r="B569" s="73"/>
      <c r="C569" s="73"/>
      <c r="D569" s="73"/>
      <c r="E569" s="88"/>
      <c r="F569" s="73"/>
      <c r="G569" s="394"/>
      <c r="H569" s="77"/>
      <c r="I569" s="88"/>
      <c r="J569" s="393">
        <v>44294.0</v>
      </c>
      <c r="K569" s="393">
        <f t="shared" si="4"/>
        <v>44295</v>
      </c>
      <c r="L569" s="394" t="str">
        <f>IFERROR(__xludf.DUMMYFUNCTION("JOIN("""", G569:H569)"),"")</f>
        <v/>
      </c>
      <c r="M569" s="80" t="str">
        <f t="shared" si="2"/>
        <v/>
      </c>
    </row>
    <row r="570">
      <c r="A570" s="86"/>
      <c r="B570" s="73"/>
      <c r="C570" s="73"/>
      <c r="D570" s="73"/>
      <c r="E570" s="88"/>
      <c r="F570" s="73"/>
      <c r="G570" s="394"/>
      <c r="H570" s="77"/>
      <c r="I570" s="88"/>
      <c r="J570" s="393">
        <v>44291.0</v>
      </c>
      <c r="K570" s="393">
        <f t="shared" si="4"/>
        <v>44292</v>
      </c>
      <c r="L570" s="394" t="str">
        <f>IFERROR(__xludf.DUMMYFUNCTION("JOIN("""", G570:H570)"),"")</f>
        <v/>
      </c>
      <c r="M570" s="80" t="str">
        <f t="shared" si="2"/>
        <v/>
      </c>
    </row>
    <row r="571">
      <c r="A571" s="86"/>
      <c r="B571" s="73"/>
      <c r="C571" s="73"/>
      <c r="D571" s="73"/>
      <c r="E571" s="88"/>
      <c r="F571" s="73"/>
      <c r="G571" s="394"/>
      <c r="H571" s="77"/>
      <c r="I571" s="88"/>
      <c r="J571" s="399">
        <v>44291.0</v>
      </c>
      <c r="K571" s="393">
        <f t="shared" si="4"/>
        <v>44292</v>
      </c>
      <c r="L571" s="394" t="str">
        <f>IFERROR(__xludf.DUMMYFUNCTION("JOIN("""", G571:H571)"),"")</f>
        <v/>
      </c>
      <c r="M571" s="80" t="str">
        <f t="shared" si="2"/>
        <v/>
      </c>
    </row>
    <row r="572">
      <c r="A572" s="86"/>
      <c r="B572" s="73"/>
      <c r="C572" s="73"/>
      <c r="D572" s="73"/>
      <c r="E572" s="88"/>
      <c r="F572" s="73"/>
      <c r="G572" s="394"/>
      <c r="H572" s="77"/>
      <c r="I572" s="88"/>
      <c r="J572" s="393">
        <v>44291.0</v>
      </c>
      <c r="K572" s="393">
        <f t="shared" si="4"/>
        <v>44292</v>
      </c>
      <c r="L572" s="394" t="str">
        <f>IFERROR(__xludf.DUMMYFUNCTION("JOIN("""", G572:H572)"),"")</f>
        <v/>
      </c>
      <c r="M572" s="80" t="str">
        <f t="shared" si="2"/>
        <v/>
      </c>
    </row>
    <row r="573">
      <c r="A573" s="86"/>
      <c r="B573" s="73"/>
      <c r="C573" s="73"/>
      <c r="D573" s="73"/>
      <c r="E573" s="88"/>
      <c r="F573" s="73"/>
      <c r="G573" s="394"/>
      <c r="H573" s="77"/>
      <c r="I573" s="88"/>
      <c r="J573" s="393">
        <v>44291.0</v>
      </c>
      <c r="K573" s="393">
        <f t="shared" si="4"/>
        <v>44292</v>
      </c>
      <c r="L573" s="394" t="str">
        <f>IFERROR(__xludf.DUMMYFUNCTION("JOIN("""", G573:H573)"),"")</f>
        <v/>
      </c>
      <c r="M573" s="80" t="str">
        <f t="shared" si="2"/>
        <v/>
      </c>
    </row>
    <row r="574">
      <c r="A574" s="86"/>
      <c r="B574" s="73"/>
      <c r="C574" s="73"/>
      <c r="D574" s="73"/>
      <c r="E574" s="88"/>
      <c r="F574" s="73"/>
      <c r="G574" s="394"/>
      <c r="H574" s="77"/>
      <c r="I574" s="88"/>
      <c r="J574" s="393">
        <v>44292.0</v>
      </c>
      <c r="K574" s="393">
        <f t="shared" si="4"/>
        <v>44293</v>
      </c>
      <c r="L574" s="394" t="str">
        <f>IFERROR(__xludf.DUMMYFUNCTION("JOIN("""", G574:H574)"),"")</f>
        <v/>
      </c>
      <c r="M574" s="80" t="str">
        <f t="shared" si="2"/>
        <v/>
      </c>
    </row>
    <row r="575">
      <c r="A575" s="86"/>
      <c r="B575" s="73"/>
      <c r="C575" s="73"/>
      <c r="D575" s="73"/>
      <c r="E575" s="88"/>
      <c r="F575" s="73"/>
      <c r="G575" s="394"/>
      <c r="H575" s="77"/>
      <c r="I575" s="88"/>
      <c r="J575" s="393">
        <v>44291.0</v>
      </c>
      <c r="K575" s="393">
        <f t="shared" si="4"/>
        <v>44292</v>
      </c>
      <c r="L575" s="394" t="str">
        <f>IFERROR(__xludf.DUMMYFUNCTION("JOIN("""", G575:H575)"),"")</f>
        <v/>
      </c>
      <c r="M575" s="80" t="str">
        <f t="shared" si="2"/>
        <v/>
      </c>
    </row>
    <row r="576">
      <c r="A576" s="86"/>
      <c r="B576" s="73"/>
      <c r="C576" s="73"/>
      <c r="D576" s="73"/>
      <c r="E576" s="88"/>
      <c r="F576" s="73"/>
      <c r="G576" s="394"/>
      <c r="H576" s="77"/>
      <c r="I576" s="88"/>
      <c r="J576" s="393">
        <v>44291.0</v>
      </c>
      <c r="K576" s="393">
        <f t="shared" si="4"/>
        <v>44292</v>
      </c>
      <c r="L576" s="394" t="str">
        <f>IFERROR(__xludf.DUMMYFUNCTION("JOIN("""", G576:H576)"),"")</f>
        <v/>
      </c>
      <c r="M576" s="80" t="str">
        <f t="shared" si="2"/>
        <v/>
      </c>
    </row>
    <row r="577">
      <c r="A577" s="86"/>
      <c r="B577" s="73"/>
      <c r="C577" s="73"/>
      <c r="D577" s="73"/>
      <c r="E577" s="88"/>
      <c r="F577" s="73"/>
      <c r="G577" s="394"/>
      <c r="H577" s="77"/>
      <c r="I577" s="88"/>
      <c r="J577" s="393">
        <v>44291.0</v>
      </c>
      <c r="K577" s="393">
        <f t="shared" si="4"/>
        <v>44292</v>
      </c>
      <c r="L577" s="394" t="str">
        <f>IFERROR(__xludf.DUMMYFUNCTION("JOIN("""", G577:H577)"),"")</f>
        <v/>
      </c>
      <c r="M577" s="80" t="str">
        <f t="shared" si="2"/>
        <v/>
      </c>
    </row>
    <row r="578">
      <c r="A578" s="86"/>
      <c r="B578" s="73"/>
      <c r="C578" s="73"/>
      <c r="D578" s="73"/>
      <c r="E578" s="88"/>
      <c r="F578" s="73"/>
      <c r="G578" s="394"/>
      <c r="H578" s="77"/>
      <c r="I578" s="88"/>
      <c r="J578" s="393">
        <v>44291.0</v>
      </c>
      <c r="K578" s="393">
        <f t="shared" si="4"/>
        <v>44292</v>
      </c>
      <c r="L578" s="394" t="str">
        <f>IFERROR(__xludf.DUMMYFUNCTION("JOIN("""", G578:H578)"),"")</f>
        <v/>
      </c>
      <c r="M578" s="80" t="str">
        <f t="shared" si="2"/>
        <v/>
      </c>
    </row>
    <row r="579">
      <c r="A579" s="86"/>
      <c r="B579" s="73"/>
      <c r="C579" s="73"/>
      <c r="D579" s="73"/>
      <c r="E579" s="88"/>
      <c r="F579" s="73"/>
      <c r="G579" s="394"/>
      <c r="H579" s="77"/>
      <c r="I579" s="88"/>
      <c r="J579" s="393">
        <v>44291.0</v>
      </c>
      <c r="K579" s="393">
        <f t="shared" si="4"/>
        <v>44292</v>
      </c>
      <c r="L579" s="394" t="str">
        <f>IFERROR(__xludf.DUMMYFUNCTION("JOIN("""", G579:H579)"),"")</f>
        <v/>
      </c>
      <c r="M579" s="80" t="str">
        <f t="shared" si="2"/>
        <v/>
      </c>
    </row>
    <row r="580">
      <c r="A580" s="86"/>
      <c r="B580" s="73"/>
      <c r="C580" s="73"/>
      <c r="D580" s="73"/>
      <c r="E580" s="88"/>
      <c r="F580" s="73"/>
      <c r="G580" s="394"/>
      <c r="H580" s="77"/>
      <c r="I580" s="88"/>
      <c r="J580" s="393">
        <v>44291.0</v>
      </c>
      <c r="K580" s="393">
        <f t="shared" si="4"/>
        <v>44292</v>
      </c>
      <c r="L580" s="394" t="str">
        <f>IFERROR(__xludf.DUMMYFUNCTION("JOIN("""", G580:H580)"),"")</f>
        <v/>
      </c>
      <c r="M580" s="80" t="str">
        <f t="shared" si="2"/>
        <v/>
      </c>
    </row>
    <row r="581">
      <c r="A581" s="86"/>
      <c r="B581" s="73"/>
      <c r="C581" s="73"/>
      <c r="D581" s="73"/>
      <c r="E581" s="88"/>
      <c r="F581" s="73"/>
      <c r="G581" s="394"/>
      <c r="H581" s="77"/>
      <c r="I581" s="88"/>
      <c r="J581" s="393">
        <v>44292.0</v>
      </c>
      <c r="K581" s="393">
        <f t="shared" si="4"/>
        <v>44293</v>
      </c>
      <c r="L581" s="394" t="str">
        <f>IFERROR(__xludf.DUMMYFUNCTION("JOIN("""", G581:H581)"),"")</f>
        <v/>
      </c>
      <c r="M581" s="80" t="str">
        <f t="shared" si="2"/>
        <v/>
      </c>
    </row>
    <row r="582">
      <c r="A582" s="86"/>
      <c r="B582" s="73"/>
      <c r="C582" s="73"/>
      <c r="D582" s="73"/>
      <c r="E582" s="88"/>
      <c r="F582" s="73"/>
      <c r="G582" s="394"/>
      <c r="H582" s="77"/>
      <c r="I582" s="88"/>
      <c r="J582" s="393">
        <v>44292.0</v>
      </c>
      <c r="K582" s="393">
        <f t="shared" si="4"/>
        <v>44293</v>
      </c>
      <c r="L582" s="394" t="str">
        <f>IFERROR(__xludf.DUMMYFUNCTION("JOIN("""", G582:H582)"),"")</f>
        <v/>
      </c>
      <c r="M582" s="80" t="str">
        <f t="shared" si="2"/>
        <v/>
      </c>
    </row>
    <row r="583">
      <c r="A583" s="86"/>
      <c r="B583" s="73"/>
      <c r="C583" s="73"/>
      <c r="D583" s="73"/>
      <c r="E583" s="88"/>
      <c r="F583" s="73"/>
      <c r="G583" s="394"/>
      <c r="H583" s="77"/>
      <c r="I583" s="88"/>
      <c r="J583" s="393">
        <v>44292.0</v>
      </c>
      <c r="K583" s="393">
        <f t="shared" si="4"/>
        <v>44293</v>
      </c>
      <c r="L583" s="394" t="str">
        <f>IFERROR(__xludf.DUMMYFUNCTION("JOIN("""", G583:H583)"),"")</f>
        <v/>
      </c>
      <c r="M583" s="80" t="str">
        <f t="shared" si="2"/>
        <v/>
      </c>
    </row>
    <row r="584">
      <c r="A584" s="86"/>
      <c r="B584" s="73"/>
      <c r="C584" s="73"/>
      <c r="D584" s="73"/>
      <c r="E584" s="88"/>
      <c r="F584" s="73"/>
      <c r="G584" s="394"/>
      <c r="H584" s="77"/>
      <c r="I584" s="88"/>
      <c r="J584" s="393">
        <v>44293.0</v>
      </c>
      <c r="K584" s="393">
        <f t="shared" si="4"/>
        <v>44294</v>
      </c>
      <c r="L584" s="394" t="str">
        <f>IFERROR(__xludf.DUMMYFUNCTION("JOIN("""", G584:H584)"),"")</f>
        <v/>
      </c>
      <c r="M584" s="80" t="str">
        <f t="shared" si="2"/>
        <v/>
      </c>
    </row>
    <row r="585">
      <c r="A585" s="86"/>
      <c r="B585" s="73"/>
      <c r="C585" s="73"/>
      <c r="D585" s="73"/>
      <c r="E585" s="88"/>
      <c r="F585" s="73"/>
      <c r="G585" s="394"/>
      <c r="H585" s="77"/>
      <c r="I585" s="88"/>
      <c r="J585" s="393">
        <v>44293.0</v>
      </c>
      <c r="K585" s="393">
        <f t="shared" si="4"/>
        <v>44294</v>
      </c>
      <c r="L585" s="394" t="str">
        <f>IFERROR(__xludf.DUMMYFUNCTION("JOIN("""", G585:H585)"),"")</f>
        <v/>
      </c>
      <c r="M585" s="80" t="str">
        <f t="shared" si="2"/>
        <v/>
      </c>
    </row>
    <row r="586">
      <c r="A586" s="86"/>
      <c r="B586" s="73"/>
      <c r="C586" s="73"/>
      <c r="D586" s="73"/>
      <c r="E586" s="88"/>
      <c r="F586" s="73"/>
      <c r="G586" s="394"/>
      <c r="H586" s="77"/>
      <c r="I586" s="88"/>
      <c r="J586" s="393">
        <v>44293.0</v>
      </c>
      <c r="K586" s="393">
        <f t="shared" si="4"/>
        <v>44294</v>
      </c>
      <c r="L586" s="394" t="str">
        <f>IFERROR(__xludf.DUMMYFUNCTION("JOIN("""", G586:H586)"),"")</f>
        <v/>
      </c>
      <c r="M586" s="80" t="str">
        <f t="shared" si="2"/>
        <v/>
      </c>
    </row>
    <row r="587">
      <c r="A587" s="86"/>
      <c r="B587" s="73"/>
      <c r="C587" s="73"/>
      <c r="D587" s="73"/>
      <c r="E587" s="88"/>
      <c r="F587" s="73"/>
      <c r="G587" s="394"/>
      <c r="H587" s="77"/>
      <c r="I587" s="88"/>
      <c r="J587" s="393">
        <v>44294.0</v>
      </c>
      <c r="K587" s="393">
        <f t="shared" si="4"/>
        <v>44295</v>
      </c>
      <c r="L587" s="394" t="str">
        <f>IFERROR(__xludf.DUMMYFUNCTION("JOIN("""", G587:H587)"),"")</f>
        <v/>
      </c>
      <c r="M587" s="80" t="str">
        <f t="shared" si="2"/>
        <v/>
      </c>
    </row>
    <row r="588">
      <c r="A588" s="86"/>
      <c r="B588" s="73"/>
      <c r="C588" s="73"/>
      <c r="D588" s="73"/>
      <c r="E588" s="88"/>
      <c r="F588" s="73"/>
      <c r="G588" s="394"/>
      <c r="H588" s="77"/>
      <c r="I588" s="88"/>
      <c r="J588" s="393">
        <v>44293.0</v>
      </c>
      <c r="K588" s="393">
        <f t="shared" si="4"/>
        <v>44294</v>
      </c>
      <c r="L588" s="394" t="str">
        <f>IFERROR(__xludf.DUMMYFUNCTION("JOIN("""", G588:H588)"),"")</f>
        <v/>
      </c>
      <c r="M588" s="80" t="str">
        <f t="shared" si="2"/>
        <v/>
      </c>
    </row>
    <row r="589">
      <c r="A589" s="86"/>
      <c r="B589" s="73"/>
      <c r="C589" s="73"/>
      <c r="D589" s="73"/>
      <c r="E589" s="88"/>
      <c r="F589" s="73"/>
      <c r="G589" s="394"/>
      <c r="H589" s="77"/>
      <c r="I589" s="88"/>
      <c r="J589" s="393">
        <v>44293.0</v>
      </c>
      <c r="K589" s="393">
        <f t="shared" si="4"/>
        <v>44294</v>
      </c>
      <c r="L589" s="394" t="str">
        <f>IFERROR(__xludf.DUMMYFUNCTION("JOIN("""", G589:H589)"),"")</f>
        <v/>
      </c>
      <c r="M589" s="80" t="str">
        <f t="shared" si="2"/>
        <v/>
      </c>
    </row>
    <row r="590">
      <c r="A590" s="86"/>
      <c r="B590" s="73"/>
      <c r="C590" s="73"/>
      <c r="D590" s="73"/>
      <c r="E590" s="88"/>
      <c r="F590" s="73"/>
      <c r="G590" s="394"/>
      <c r="H590" s="77"/>
      <c r="I590" s="88"/>
      <c r="J590" s="393">
        <v>44293.0</v>
      </c>
      <c r="K590" s="393">
        <f t="shared" si="4"/>
        <v>44294</v>
      </c>
      <c r="L590" s="394" t="str">
        <f>IFERROR(__xludf.DUMMYFUNCTION("JOIN("""", G590:H590)"),"")</f>
        <v/>
      </c>
      <c r="M590" s="80" t="str">
        <f t="shared" si="2"/>
        <v/>
      </c>
    </row>
    <row r="591">
      <c r="A591" s="86"/>
      <c r="B591" s="73"/>
      <c r="C591" s="73"/>
      <c r="D591" s="73"/>
      <c r="E591" s="88"/>
      <c r="F591" s="73"/>
      <c r="G591" s="394"/>
      <c r="H591" s="77"/>
      <c r="I591" s="88"/>
      <c r="J591" s="393">
        <v>44293.0</v>
      </c>
      <c r="K591" s="393">
        <f t="shared" si="4"/>
        <v>44294</v>
      </c>
      <c r="L591" s="394" t="str">
        <f>IFERROR(__xludf.DUMMYFUNCTION("JOIN("""", G591:H591)"),"")</f>
        <v/>
      </c>
      <c r="M591" s="80" t="str">
        <f t="shared" si="2"/>
        <v/>
      </c>
    </row>
    <row r="592">
      <c r="A592" s="86"/>
      <c r="B592" s="73"/>
      <c r="C592" s="73"/>
      <c r="D592" s="73"/>
      <c r="E592" s="88"/>
      <c r="F592" s="73"/>
      <c r="G592" s="394"/>
      <c r="H592" s="77"/>
      <c r="I592" s="88"/>
      <c r="J592" s="393">
        <v>44293.0</v>
      </c>
      <c r="K592" s="393">
        <f t="shared" si="4"/>
        <v>44294</v>
      </c>
      <c r="L592" s="394" t="str">
        <f>IFERROR(__xludf.DUMMYFUNCTION("JOIN("""", G592:H592)"),"")</f>
        <v/>
      </c>
      <c r="M592" s="80" t="str">
        <f t="shared" si="2"/>
        <v/>
      </c>
    </row>
    <row r="593">
      <c r="A593" s="86"/>
      <c r="B593" s="73"/>
      <c r="C593" s="73"/>
      <c r="D593" s="73"/>
      <c r="E593" s="88"/>
      <c r="F593" s="73"/>
      <c r="G593" s="394"/>
      <c r="H593" s="77"/>
      <c r="I593" s="88"/>
      <c r="J593" s="393">
        <v>44293.0</v>
      </c>
      <c r="K593" s="393">
        <f t="shared" si="4"/>
        <v>44294</v>
      </c>
      <c r="L593" s="394" t="str">
        <f>IFERROR(__xludf.DUMMYFUNCTION("JOIN("""", G593:H593)"),"")</f>
        <v/>
      </c>
      <c r="M593" s="80" t="str">
        <f t="shared" si="2"/>
        <v/>
      </c>
    </row>
    <row r="594">
      <c r="A594" s="86"/>
      <c r="B594" s="73"/>
      <c r="C594" s="73"/>
      <c r="D594" s="73"/>
      <c r="E594" s="88"/>
      <c r="F594" s="73"/>
      <c r="G594" s="394"/>
      <c r="H594" s="77"/>
      <c r="I594" s="88"/>
      <c r="J594" s="393">
        <v>44293.0</v>
      </c>
      <c r="K594" s="393">
        <f t="shared" si="4"/>
        <v>44294</v>
      </c>
      <c r="L594" s="394" t="str">
        <f>IFERROR(__xludf.DUMMYFUNCTION("JOIN("""", G594:H594)"),"")</f>
        <v/>
      </c>
      <c r="M594" s="80" t="str">
        <f t="shared" si="2"/>
        <v/>
      </c>
    </row>
    <row r="595">
      <c r="A595" s="86"/>
      <c r="B595" s="73"/>
      <c r="C595" s="73"/>
      <c r="D595" s="73"/>
      <c r="E595" s="88"/>
      <c r="F595" s="73"/>
      <c r="G595" s="394"/>
      <c r="H595" s="77"/>
      <c r="I595" s="88"/>
      <c r="J595" s="393">
        <v>44293.0</v>
      </c>
      <c r="K595" s="393">
        <f t="shared" si="4"/>
        <v>44294</v>
      </c>
      <c r="L595" s="394" t="str">
        <f>IFERROR(__xludf.DUMMYFUNCTION("JOIN("""", G595:H595)"),"")</f>
        <v/>
      </c>
      <c r="M595" s="80" t="str">
        <f t="shared" si="2"/>
        <v/>
      </c>
    </row>
    <row r="596">
      <c r="A596" s="86"/>
      <c r="B596" s="73"/>
      <c r="C596" s="73"/>
      <c r="D596" s="73"/>
      <c r="E596" s="88"/>
      <c r="F596" s="73"/>
      <c r="G596" s="394"/>
      <c r="H596" s="77"/>
      <c r="I596" s="88"/>
      <c r="J596" s="393">
        <v>44294.0</v>
      </c>
      <c r="K596" s="393">
        <f t="shared" si="4"/>
        <v>44295</v>
      </c>
      <c r="L596" s="394" t="str">
        <f>IFERROR(__xludf.DUMMYFUNCTION("JOIN("""", G596:H596)"),"")</f>
        <v/>
      </c>
      <c r="M596" s="80" t="str">
        <f t="shared" si="2"/>
        <v/>
      </c>
    </row>
    <row r="597">
      <c r="A597" s="86"/>
      <c r="B597" s="73"/>
      <c r="C597" s="73"/>
      <c r="D597" s="73"/>
      <c r="E597" s="88"/>
      <c r="F597" s="73"/>
      <c r="G597" s="394"/>
      <c r="H597" s="77"/>
      <c r="I597" s="88"/>
      <c r="J597" s="402">
        <v>44293.0</v>
      </c>
      <c r="K597" s="393">
        <f t="shared" si="4"/>
        <v>44294</v>
      </c>
      <c r="L597" s="394" t="str">
        <f>IFERROR(__xludf.DUMMYFUNCTION("JOIN("""", G597:H597)"),"")</f>
        <v/>
      </c>
      <c r="M597" s="80" t="str">
        <f t="shared" si="2"/>
        <v/>
      </c>
    </row>
    <row r="598">
      <c r="A598" s="86"/>
      <c r="B598" s="73"/>
      <c r="C598" s="73"/>
      <c r="D598" s="73"/>
      <c r="E598" s="88"/>
      <c r="F598" s="73"/>
      <c r="G598" s="394"/>
      <c r="H598" s="77"/>
      <c r="I598" s="88"/>
      <c r="J598" s="393">
        <v>44293.0</v>
      </c>
      <c r="K598" s="393">
        <f t="shared" si="4"/>
        <v>44294</v>
      </c>
      <c r="L598" s="394" t="str">
        <f>IFERROR(__xludf.DUMMYFUNCTION("JOIN("""", G598:H598)"),"")</f>
        <v/>
      </c>
      <c r="M598" s="80" t="str">
        <f t="shared" si="2"/>
        <v/>
      </c>
    </row>
    <row r="599">
      <c r="A599" s="86"/>
      <c r="B599" s="73"/>
      <c r="C599" s="73"/>
      <c r="D599" s="73"/>
      <c r="E599" s="88"/>
      <c r="F599" s="73"/>
      <c r="G599" s="394"/>
      <c r="H599" s="77"/>
      <c r="I599" s="88"/>
      <c r="J599" s="393">
        <v>44293.0</v>
      </c>
      <c r="K599" s="393">
        <f t="shared" si="4"/>
        <v>44294</v>
      </c>
      <c r="L599" s="394" t="str">
        <f>IFERROR(__xludf.DUMMYFUNCTION("JOIN("""", G599:H599)"),"")</f>
        <v/>
      </c>
      <c r="M599" s="80" t="str">
        <f t="shared" si="2"/>
        <v/>
      </c>
    </row>
    <row r="600">
      <c r="A600" s="86"/>
      <c r="B600" s="73"/>
      <c r="C600" s="73"/>
      <c r="D600" s="73"/>
      <c r="E600" s="88"/>
      <c r="F600" s="73"/>
      <c r="G600" s="394"/>
      <c r="H600" s="77"/>
      <c r="I600" s="88"/>
      <c r="J600" s="393">
        <v>44293.0</v>
      </c>
      <c r="K600" s="393">
        <f t="shared" si="4"/>
        <v>44294</v>
      </c>
      <c r="L600" s="394" t="str">
        <f>IFERROR(__xludf.DUMMYFUNCTION("JOIN("""", G600:H600)"),"")</f>
        <v/>
      </c>
      <c r="M600" s="80" t="str">
        <f t="shared" si="2"/>
        <v/>
      </c>
    </row>
    <row r="601">
      <c r="A601" s="86"/>
      <c r="B601" s="73"/>
      <c r="C601" s="73"/>
      <c r="D601" s="73"/>
      <c r="E601" s="88"/>
      <c r="F601" s="73"/>
      <c r="G601" s="394"/>
      <c r="H601" s="77"/>
      <c r="I601" s="88"/>
      <c r="J601" s="393">
        <v>44294.0</v>
      </c>
      <c r="K601" s="393">
        <f t="shared" si="4"/>
        <v>44295</v>
      </c>
      <c r="L601" s="394" t="str">
        <f>IFERROR(__xludf.DUMMYFUNCTION("JOIN("""", G601:H601)"),"")</f>
        <v/>
      </c>
      <c r="M601" s="80" t="str">
        <f t="shared" si="2"/>
        <v/>
      </c>
    </row>
    <row r="602">
      <c r="A602" s="86"/>
      <c r="B602" s="73"/>
      <c r="C602" s="73"/>
      <c r="D602" s="73"/>
      <c r="E602" s="88"/>
      <c r="F602" s="73"/>
      <c r="G602" s="394"/>
      <c r="H602" s="77"/>
      <c r="I602" s="88"/>
      <c r="J602" s="393">
        <v>44295.0</v>
      </c>
      <c r="K602" s="393">
        <f t="shared" si="4"/>
        <v>44296</v>
      </c>
      <c r="L602" s="394" t="str">
        <f>IFERROR(__xludf.DUMMYFUNCTION("JOIN("""", G602:H602)"),"")</f>
        <v/>
      </c>
      <c r="M602" s="80" t="str">
        <f t="shared" si="2"/>
        <v/>
      </c>
    </row>
    <row r="603">
      <c r="A603" s="86"/>
      <c r="B603" s="73"/>
      <c r="C603" s="73"/>
      <c r="D603" s="73"/>
      <c r="E603" s="88"/>
      <c r="F603" s="73"/>
      <c r="G603" s="394"/>
      <c r="H603" s="77"/>
      <c r="I603" s="88"/>
      <c r="J603" s="393">
        <v>44301.0</v>
      </c>
      <c r="K603" s="393">
        <f t="shared" si="4"/>
        <v>44302</v>
      </c>
      <c r="L603" s="394" t="str">
        <f>IFERROR(__xludf.DUMMYFUNCTION("JOIN("""", G603:H603)"),"")</f>
        <v/>
      </c>
      <c r="M603" s="80" t="str">
        <f t="shared" si="2"/>
        <v/>
      </c>
    </row>
    <row r="604">
      <c r="A604" s="86"/>
      <c r="B604" s="73"/>
      <c r="C604" s="73"/>
      <c r="D604" s="73"/>
      <c r="E604" s="88"/>
      <c r="F604" s="73"/>
      <c r="G604" s="394"/>
      <c r="H604" s="77"/>
      <c r="I604" s="88"/>
      <c r="J604" s="393">
        <v>44294.0</v>
      </c>
      <c r="K604" s="393">
        <f t="shared" si="4"/>
        <v>44295</v>
      </c>
      <c r="L604" s="394" t="str">
        <f>IFERROR(__xludf.DUMMYFUNCTION("JOIN("""", G604:H604)"),"")</f>
        <v/>
      </c>
      <c r="M604" s="80" t="str">
        <f t="shared" si="2"/>
        <v/>
      </c>
    </row>
    <row r="605">
      <c r="A605" s="86"/>
      <c r="B605" s="73"/>
      <c r="C605" s="73"/>
      <c r="D605" s="73"/>
      <c r="E605" s="88"/>
      <c r="F605" s="73"/>
      <c r="G605" s="394"/>
      <c r="H605" s="77"/>
      <c r="I605" s="88"/>
      <c r="J605" s="393">
        <v>44301.0</v>
      </c>
      <c r="K605" s="393">
        <f t="shared" si="4"/>
        <v>44302</v>
      </c>
      <c r="L605" s="394" t="str">
        <f>IFERROR(__xludf.DUMMYFUNCTION("JOIN("""", G605:H605)"),"")</f>
        <v/>
      </c>
      <c r="M605" s="80" t="str">
        <f t="shared" si="2"/>
        <v/>
      </c>
    </row>
    <row r="606">
      <c r="A606" s="86"/>
      <c r="B606" s="73"/>
      <c r="C606" s="73"/>
      <c r="D606" s="73"/>
      <c r="E606" s="88"/>
      <c r="F606" s="73"/>
      <c r="G606" s="394"/>
      <c r="H606" s="77"/>
      <c r="I606" s="88"/>
      <c r="J606" s="393">
        <v>44294.0</v>
      </c>
      <c r="K606" s="393">
        <f t="shared" si="4"/>
        <v>44295</v>
      </c>
      <c r="L606" s="394" t="str">
        <f>IFERROR(__xludf.DUMMYFUNCTION("JOIN("""", G606:H606)"),"")</f>
        <v/>
      </c>
      <c r="M606" s="80" t="str">
        <f t="shared" si="2"/>
        <v/>
      </c>
    </row>
    <row r="607">
      <c r="A607" s="86"/>
      <c r="B607" s="73"/>
      <c r="C607" s="73"/>
      <c r="D607" s="73"/>
      <c r="E607" s="88"/>
      <c r="F607" s="73"/>
      <c r="G607" s="394"/>
      <c r="H607" s="77"/>
      <c r="I607" s="88"/>
      <c r="J607" s="393">
        <v>44294.0</v>
      </c>
      <c r="K607" s="393">
        <f t="shared" si="4"/>
        <v>44295</v>
      </c>
      <c r="L607" s="394" t="str">
        <f>IFERROR(__xludf.DUMMYFUNCTION("JOIN("""", G607:H607)"),"")</f>
        <v/>
      </c>
      <c r="M607" s="80" t="str">
        <f t="shared" si="2"/>
        <v/>
      </c>
    </row>
    <row r="608">
      <c r="A608" s="86"/>
      <c r="B608" s="73"/>
      <c r="C608" s="73"/>
      <c r="D608" s="73"/>
      <c r="E608" s="88"/>
      <c r="F608" s="73"/>
      <c r="G608" s="394"/>
      <c r="H608" s="77"/>
      <c r="I608" s="88"/>
      <c r="J608" s="393">
        <v>44294.0</v>
      </c>
      <c r="K608" s="393">
        <f t="shared" si="4"/>
        <v>44295</v>
      </c>
      <c r="L608" s="394" t="str">
        <f>IFERROR(__xludf.DUMMYFUNCTION("JOIN("""", G608:H608)"),"")</f>
        <v/>
      </c>
      <c r="M608" s="80" t="str">
        <f t="shared" si="2"/>
        <v/>
      </c>
    </row>
    <row r="609">
      <c r="A609" s="86"/>
      <c r="B609" s="73"/>
      <c r="C609" s="73"/>
      <c r="D609" s="73"/>
      <c r="E609" s="88"/>
      <c r="F609" s="73"/>
      <c r="G609" s="394"/>
      <c r="H609" s="77"/>
      <c r="I609" s="88"/>
      <c r="J609" s="393">
        <v>44294.0</v>
      </c>
      <c r="K609" s="393">
        <f t="shared" si="4"/>
        <v>44295</v>
      </c>
      <c r="L609" s="394" t="str">
        <f>IFERROR(__xludf.DUMMYFUNCTION("JOIN("""", G609:H609)"),"")</f>
        <v/>
      </c>
      <c r="M609" s="80" t="str">
        <f t="shared" si="2"/>
        <v/>
      </c>
    </row>
    <row r="610">
      <c r="A610" s="86"/>
      <c r="B610" s="73"/>
      <c r="C610" s="73"/>
      <c r="D610" s="73"/>
      <c r="E610" s="88"/>
      <c r="F610" s="73"/>
      <c r="G610" s="394"/>
      <c r="H610" s="77"/>
      <c r="I610" s="88"/>
      <c r="J610" s="393">
        <v>44294.0</v>
      </c>
      <c r="K610" s="393">
        <f t="shared" si="4"/>
        <v>44295</v>
      </c>
      <c r="L610" s="394" t="str">
        <f>IFERROR(__xludf.DUMMYFUNCTION("JOIN("""", G610:H610)"),"")</f>
        <v/>
      </c>
      <c r="M610" s="80" t="str">
        <f t="shared" si="2"/>
        <v/>
      </c>
    </row>
    <row r="611">
      <c r="A611" s="86"/>
      <c r="B611" s="73"/>
      <c r="C611" s="73"/>
      <c r="D611" s="73"/>
      <c r="E611" s="88"/>
      <c r="F611" s="73"/>
      <c r="G611" s="394"/>
      <c r="H611" s="77"/>
      <c r="I611" s="88"/>
      <c r="J611" s="393">
        <v>44294.0</v>
      </c>
      <c r="K611" s="393">
        <f t="shared" si="4"/>
        <v>44295</v>
      </c>
      <c r="L611" s="394" t="str">
        <f>IFERROR(__xludf.DUMMYFUNCTION("JOIN("""", G611:H611)"),"")</f>
        <v/>
      </c>
      <c r="M611" s="80" t="str">
        <f t="shared" si="2"/>
        <v/>
      </c>
    </row>
    <row r="612">
      <c r="A612" s="86"/>
      <c r="B612" s="73"/>
      <c r="C612" s="73"/>
      <c r="D612" s="73"/>
      <c r="E612" s="88"/>
      <c r="F612" s="73"/>
      <c r="G612" s="394"/>
      <c r="H612" s="77"/>
      <c r="I612" s="88"/>
      <c r="J612" s="393">
        <v>44294.0</v>
      </c>
      <c r="K612" s="393">
        <f t="shared" si="4"/>
        <v>44295</v>
      </c>
      <c r="L612" s="394" t="str">
        <f>IFERROR(__xludf.DUMMYFUNCTION("JOIN("""", G612:H612)"),"")</f>
        <v/>
      </c>
      <c r="M612" s="80" t="str">
        <f t="shared" si="2"/>
        <v/>
      </c>
    </row>
    <row r="613">
      <c r="A613" s="86"/>
      <c r="B613" s="73"/>
      <c r="C613" s="73"/>
      <c r="D613" s="73"/>
      <c r="E613" s="88"/>
      <c r="F613" s="73"/>
      <c r="G613" s="394"/>
      <c r="H613" s="77"/>
      <c r="I613" s="88"/>
      <c r="J613" s="393">
        <v>44294.0</v>
      </c>
      <c r="K613" s="393">
        <f t="shared" si="4"/>
        <v>44295</v>
      </c>
      <c r="L613" s="394" t="str">
        <f>IFERROR(__xludf.DUMMYFUNCTION("JOIN("""", G613:H613)"),"")</f>
        <v/>
      </c>
      <c r="M613" s="80" t="str">
        <f t="shared" si="2"/>
        <v/>
      </c>
    </row>
    <row r="614">
      <c r="A614" s="86"/>
      <c r="B614" s="73"/>
      <c r="C614" s="73"/>
      <c r="D614" s="73"/>
      <c r="E614" s="88"/>
      <c r="F614" s="73"/>
      <c r="G614" s="394"/>
      <c r="H614" s="77"/>
      <c r="I614" s="88"/>
      <c r="J614" s="393">
        <v>44294.0</v>
      </c>
      <c r="K614" s="393">
        <f t="shared" si="4"/>
        <v>44295</v>
      </c>
      <c r="L614" s="394" t="str">
        <f>IFERROR(__xludf.DUMMYFUNCTION("JOIN("""", G614:H614)"),"")</f>
        <v/>
      </c>
      <c r="M614" s="80" t="str">
        <f t="shared" si="2"/>
        <v/>
      </c>
    </row>
    <row r="615">
      <c r="A615" s="86"/>
      <c r="B615" s="73"/>
      <c r="C615" s="73"/>
      <c r="D615" s="73"/>
      <c r="E615" s="88"/>
      <c r="F615" s="73"/>
      <c r="G615" s="394"/>
      <c r="H615" s="77"/>
      <c r="I615" s="88"/>
      <c r="J615" s="401">
        <v>44301.0</v>
      </c>
      <c r="K615" s="393">
        <f t="shared" si="4"/>
        <v>44302</v>
      </c>
      <c r="L615" s="394" t="str">
        <f>IFERROR(__xludf.DUMMYFUNCTION("JOIN("""", G615:H615)"),"")</f>
        <v/>
      </c>
      <c r="M615" s="80" t="str">
        <f t="shared" si="2"/>
        <v/>
      </c>
    </row>
    <row r="616">
      <c r="A616" s="86"/>
      <c r="B616" s="73"/>
      <c r="C616" s="73"/>
      <c r="D616" s="73"/>
      <c r="E616" s="88"/>
      <c r="F616" s="73"/>
      <c r="G616" s="394"/>
      <c r="H616" s="77"/>
      <c r="I616" s="88"/>
      <c r="J616" s="393">
        <v>44295.0</v>
      </c>
      <c r="K616" s="393">
        <f t="shared" si="4"/>
        <v>44296</v>
      </c>
      <c r="L616" s="394" t="str">
        <f>IFERROR(__xludf.DUMMYFUNCTION("JOIN("""", G616:H616)"),"")</f>
        <v/>
      </c>
      <c r="M616" s="80" t="str">
        <f t="shared" si="2"/>
        <v/>
      </c>
    </row>
    <row r="617">
      <c r="A617" s="86"/>
      <c r="B617" s="73"/>
      <c r="C617" s="73"/>
      <c r="D617" s="73"/>
      <c r="E617" s="88"/>
      <c r="F617" s="73"/>
      <c r="G617" s="394"/>
      <c r="H617" s="77"/>
      <c r="I617" s="88"/>
      <c r="J617" s="393">
        <v>44295.0</v>
      </c>
      <c r="K617" s="393">
        <f t="shared" si="4"/>
        <v>44296</v>
      </c>
      <c r="L617" s="394" t="str">
        <f>IFERROR(__xludf.DUMMYFUNCTION("JOIN("""", G617:H617)"),"")</f>
        <v/>
      </c>
      <c r="M617" s="80" t="str">
        <f t="shared" si="2"/>
        <v/>
      </c>
    </row>
    <row r="618">
      <c r="A618" s="86"/>
      <c r="B618" s="73"/>
      <c r="C618" s="73"/>
      <c r="D618" s="73"/>
      <c r="E618" s="88"/>
      <c r="F618" s="73"/>
      <c r="G618" s="394"/>
      <c r="H618" s="77"/>
      <c r="I618" s="88"/>
      <c r="J618" s="393">
        <v>44296.0</v>
      </c>
      <c r="K618" s="393">
        <f t="shared" si="4"/>
        <v>44297</v>
      </c>
      <c r="L618" s="394" t="str">
        <f>IFERROR(__xludf.DUMMYFUNCTION("JOIN("""", G618:H618)"),"")</f>
        <v/>
      </c>
      <c r="M618" s="80" t="str">
        <f t="shared" si="2"/>
        <v/>
      </c>
    </row>
    <row r="619">
      <c r="A619" s="86"/>
      <c r="B619" s="73"/>
      <c r="C619" s="73"/>
      <c r="D619" s="73"/>
      <c r="E619" s="88"/>
      <c r="F619" s="73"/>
      <c r="G619" s="394"/>
      <c r="H619" s="77"/>
      <c r="I619" s="88"/>
      <c r="J619" s="393">
        <v>44296.0</v>
      </c>
      <c r="K619" s="393">
        <f t="shared" si="4"/>
        <v>44297</v>
      </c>
      <c r="L619" s="394" t="str">
        <f>IFERROR(__xludf.DUMMYFUNCTION("JOIN("""", G619:H619)"),"")</f>
        <v/>
      </c>
      <c r="M619" s="80" t="str">
        <f t="shared" si="2"/>
        <v/>
      </c>
    </row>
    <row r="620">
      <c r="A620" s="86"/>
      <c r="B620" s="73"/>
      <c r="C620" s="73"/>
      <c r="D620" s="73"/>
      <c r="E620" s="88"/>
      <c r="F620" s="73"/>
      <c r="G620" s="394"/>
      <c r="H620" s="77"/>
      <c r="I620" s="88"/>
      <c r="J620" s="393">
        <v>44296.0</v>
      </c>
      <c r="K620" s="393">
        <f t="shared" si="4"/>
        <v>44297</v>
      </c>
      <c r="L620" s="394" t="str">
        <f>IFERROR(__xludf.DUMMYFUNCTION("JOIN("""", G620:H620)"),"")</f>
        <v/>
      </c>
      <c r="M620" s="80" t="str">
        <f t="shared" si="2"/>
        <v/>
      </c>
    </row>
    <row r="621">
      <c r="A621" s="86"/>
      <c r="B621" s="73"/>
      <c r="C621" s="73"/>
      <c r="D621" s="73"/>
      <c r="E621" s="88"/>
      <c r="F621" s="73"/>
      <c r="G621" s="394"/>
      <c r="H621" s="77"/>
      <c r="I621" s="88"/>
      <c r="J621" s="393">
        <v>44296.0</v>
      </c>
      <c r="K621" s="393">
        <f t="shared" si="4"/>
        <v>44297</v>
      </c>
      <c r="L621" s="394" t="str">
        <f>IFERROR(__xludf.DUMMYFUNCTION("JOIN("""", G621:H621)"),"")</f>
        <v/>
      </c>
      <c r="M621" s="80" t="str">
        <f t="shared" si="2"/>
        <v/>
      </c>
    </row>
    <row r="622">
      <c r="A622" s="86"/>
      <c r="B622" s="73"/>
      <c r="C622" s="73"/>
      <c r="D622" s="73"/>
      <c r="E622" s="88"/>
      <c r="F622" s="73"/>
      <c r="G622" s="394"/>
      <c r="H622" s="77"/>
      <c r="I622" s="88"/>
      <c r="J622" s="393">
        <v>44296.0</v>
      </c>
      <c r="K622" s="393">
        <f t="shared" si="4"/>
        <v>44297</v>
      </c>
      <c r="L622" s="394" t="str">
        <f>IFERROR(__xludf.DUMMYFUNCTION("JOIN("""", G622:H622)"),"")</f>
        <v/>
      </c>
      <c r="M622" s="80" t="str">
        <f t="shared" si="2"/>
        <v/>
      </c>
    </row>
    <row r="623">
      <c r="A623" s="86"/>
      <c r="B623" s="73"/>
      <c r="C623" s="73"/>
      <c r="D623" s="73"/>
      <c r="E623" s="88"/>
      <c r="F623" s="73"/>
      <c r="G623" s="394"/>
      <c r="H623" s="77"/>
      <c r="I623" s="88"/>
      <c r="J623" s="393">
        <v>44296.0</v>
      </c>
      <c r="K623" s="393">
        <f t="shared" si="4"/>
        <v>44297</v>
      </c>
      <c r="L623" s="394" t="str">
        <f>IFERROR(__xludf.DUMMYFUNCTION("JOIN("""", G623:H623)"),"")</f>
        <v/>
      </c>
      <c r="M623" s="80" t="str">
        <f t="shared" si="2"/>
        <v/>
      </c>
    </row>
    <row r="624">
      <c r="A624" s="86"/>
      <c r="B624" s="73"/>
      <c r="C624" s="73"/>
      <c r="D624" s="73"/>
      <c r="E624" s="88"/>
      <c r="F624" s="73"/>
      <c r="G624" s="394"/>
      <c r="H624" s="77"/>
      <c r="I624" s="88"/>
      <c r="J624" s="393">
        <v>44297.0</v>
      </c>
      <c r="K624" s="393">
        <f t="shared" si="4"/>
        <v>44298</v>
      </c>
      <c r="L624" s="394" t="str">
        <f>IFERROR(__xludf.DUMMYFUNCTION("JOIN("""", G624:H624)"),"")</f>
        <v/>
      </c>
      <c r="M624" s="80" t="str">
        <f t="shared" si="2"/>
        <v/>
      </c>
    </row>
    <row r="625">
      <c r="A625" s="86"/>
      <c r="B625" s="73"/>
      <c r="C625" s="73"/>
      <c r="D625" s="73"/>
      <c r="E625" s="88"/>
      <c r="F625" s="73"/>
      <c r="G625" s="394"/>
      <c r="H625" s="77"/>
      <c r="I625" s="88"/>
      <c r="J625" s="393">
        <v>44297.0</v>
      </c>
      <c r="K625" s="393">
        <f t="shared" si="4"/>
        <v>44298</v>
      </c>
      <c r="L625" s="394" t="str">
        <f>IFERROR(__xludf.DUMMYFUNCTION("JOIN("""", G625:H625)"),"")</f>
        <v/>
      </c>
      <c r="M625" s="80" t="str">
        <f t="shared" si="2"/>
        <v/>
      </c>
    </row>
    <row r="626">
      <c r="A626" s="86"/>
      <c r="B626" s="73"/>
      <c r="C626" s="73"/>
      <c r="D626" s="73"/>
      <c r="E626" s="88"/>
      <c r="F626" s="73"/>
      <c r="G626" s="394"/>
      <c r="H626" s="77"/>
      <c r="I626" s="88"/>
      <c r="J626" s="393">
        <v>44297.0</v>
      </c>
      <c r="K626" s="393">
        <f t="shared" si="4"/>
        <v>44298</v>
      </c>
      <c r="L626" s="394" t="str">
        <f>IFERROR(__xludf.DUMMYFUNCTION("JOIN("""", G626:H626)"),"")</f>
        <v/>
      </c>
      <c r="M626" s="80" t="str">
        <f t="shared" si="2"/>
        <v/>
      </c>
    </row>
    <row r="627">
      <c r="A627" s="86"/>
      <c r="B627" s="73"/>
      <c r="C627" s="73"/>
      <c r="D627" s="73"/>
      <c r="E627" s="88"/>
      <c r="F627" s="73"/>
      <c r="G627" s="394"/>
      <c r="H627" s="77"/>
      <c r="I627" s="88"/>
      <c r="J627" s="393">
        <v>44297.0</v>
      </c>
      <c r="K627" s="393">
        <f t="shared" si="4"/>
        <v>44298</v>
      </c>
      <c r="L627" s="394" t="str">
        <f>IFERROR(__xludf.DUMMYFUNCTION("JOIN("""", G627:H627)"),"")</f>
        <v/>
      </c>
      <c r="M627" s="80" t="str">
        <f t="shared" si="2"/>
        <v/>
      </c>
    </row>
    <row r="628">
      <c r="A628" s="86"/>
      <c r="B628" s="73"/>
      <c r="C628" s="73"/>
      <c r="D628" s="73"/>
      <c r="E628" s="88"/>
      <c r="F628" s="73"/>
      <c r="G628" s="394"/>
      <c r="H628" s="77"/>
      <c r="I628" s="88"/>
      <c r="J628" s="393">
        <v>44297.0</v>
      </c>
      <c r="K628" s="393">
        <f t="shared" si="4"/>
        <v>44298</v>
      </c>
      <c r="L628" s="394" t="str">
        <f>IFERROR(__xludf.DUMMYFUNCTION("JOIN("""", G628:H628)"),"")</f>
        <v/>
      </c>
      <c r="M628" s="80" t="str">
        <f t="shared" si="2"/>
        <v/>
      </c>
    </row>
    <row r="629">
      <c r="A629" s="86"/>
      <c r="B629" s="73"/>
      <c r="C629" s="73"/>
      <c r="D629" s="73"/>
      <c r="E629" s="88"/>
      <c r="F629" s="73"/>
      <c r="G629" s="394"/>
      <c r="H629" s="77"/>
      <c r="I629" s="88"/>
      <c r="J629" s="393">
        <v>44297.0</v>
      </c>
      <c r="K629" s="393">
        <f t="shared" si="4"/>
        <v>44298</v>
      </c>
      <c r="L629" s="394" t="str">
        <f>IFERROR(__xludf.DUMMYFUNCTION("JOIN("""", G629:H629)"),"")</f>
        <v/>
      </c>
      <c r="M629" s="80" t="str">
        <f t="shared" si="2"/>
        <v/>
      </c>
    </row>
    <row r="630">
      <c r="A630" s="86"/>
      <c r="B630" s="73"/>
      <c r="C630" s="73"/>
      <c r="D630" s="73"/>
      <c r="E630" s="88"/>
      <c r="F630" s="73"/>
      <c r="G630" s="394"/>
      <c r="H630" s="77"/>
      <c r="I630" s="88"/>
      <c r="J630" s="393">
        <v>44297.0</v>
      </c>
      <c r="K630" s="393">
        <f t="shared" si="4"/>
        <v>44298</v>
      </c>
      <c r="L630" s="394" t="str">
        <f>IFERROR(__xludf.DUMMYFUNCTION("JOIN("""", G630:H630)"),"")</f>
        <v/>
      </c>
      <c r="M630" s="80" t="str">
        <f t="shared" si="2"/>
        <v/>
      </c>
    </row>
    <row r="631">
      <c r="A631" s="86"/>
      <c r="B631" s="73"/>
      <c r="C631" s="73"/>
      <c r="D631" s="73"/>
      <c r="E631" s="88"/>
      <c r="F631" s="73"/>
      <c r="G631" s="394"/>
      <c r="H631" s="77"/>
      <c r="I631" s="88"/>
      <c r="J631" s="393">
        <v>44297.0</v>
      </c>
      <c r="K631" s="393">
        <f t="shared" si="4"/>
        <v>44298</v>
      </c>
      <c r="L631" s="394" t="str">
        <f>IFERROR(__xludf.DUMMYFUNCTION("JOIN("""", G631:H631)"),"")</f>
        <v/>
      </c>
      <c r="M631" s="80" t="str">
        <f t="shared" si="2"/>
        <v/>
      </c>
    </row>
    <row r="632">
      <c r="A632" s="86"/>
      <c r="B632" s="73"/>
      <c r="C632" s="73"/>
      <c r="D632" s="73"/>
      <c r="E632" s="88"/>
      <c r="F632" s="73"/>
      <c r="G632" s="394"/>
      <c r="H632" s="77"/>
      <c r="I632" s="88"/>
      <c r="J632" s="393">
        <v>44298.0</v>
      </c>
      <c r="K632" s="393">
        <f t="shared" si="4"/>
        <v>44299</v>
      </c>
      <c r="L632" s="394" t="str">
        <f>IFERROR(__xludf.DUMMYFUNCTION("JOIN("""", G632:H632)"),"")</f>
        <v/>
      </c>
      <c r="M632" s="80" t="str">
        <f t="shared" si="2"/>
        <v/>
      </c>
    </row>
    <row r="633">
      <c r="A633" s="86"/>
      <c r="B633" s="73"/>
      <c r="C633" s="73"/>
      <c r="D633" s="73"/>
      <c r="E633" s="88"/>
      <c r="F633" s="73"/>
      <c r="G633" s="394"/>
      <c r="H633" s="77"/>
      <c r="I633" s="88"/>
      <c r="J633" s="393">
        <v>44297.0</v>
      </c>
      <c r="K633" s="393">
        <f t="shared" si="4"/>
        <v>44298</v>
      </c>
      <c r="L633" s="394" t="str">
        <f>IFERROR(__xludf.DUMMYFUNCTION("JOIN("""", G633:H633)"),"")</f>
        <v/>
      </c>
      <c r="M633" s="80" t="str">
        <f t="shared" si="2"/>
        <v/>
      </c>
    </row>
    <row r="634">
      <c r="A634" s="86"/>
      <c r="B634" s="73"/>
      <c r="C634" s="73"/>
      <c r="D634" s="73"/>
      <c r="E634" s="88"/>
      <c r="F634" s="73"/>
      <c r="G634" s="394"/>
      <c r="H634" s="77"/>
      <c r="I634" s="88"/>
      <c r="J634" s="393">
        <v>44303.0</v>
      </c>
      <c r="K634" s="393">
        <f t="shared" si="4"/>
        <v>44304</v>
      </c>
      <c r="L634" s="394" t="str">
        <f>IFERROR(__xludf.DUMMYFUNCTION("JOIN("""", G634:H634)"),"")</f>
        <v/>
      </c>
      <c r="M634" s="80" t="str">
        <f t="shared" si="2"/>
        <v/>
      </c>
    </row>
    <row r="635">
      <c r="A635" s="86"/>
      <c r="B635" s="73"/>
      <c r="C635" s="73"/>
      <c r="D635" s="73"/>
      <c r="E635" s="88"/>
      <c r="F635" s="73"/>
      <c r="G635" s="394"/>
      <c r="H635" s="77"/>
      <c r="I635" s="88"/>
      <c r="J635" s="393">
        <v>44298.0</v>
      </c>
      <c r="K635" s="393">
        <f t="shared" si="4"/>
        <v>44299</v>
      </c>
      <c r="L635" s="394" t="str">
        <f>IFERROR(__xludf.DUMMYFUNCTION("JOIN("""", G635:H635)"),"")</f>
        <v/>
      </c>
      <c r="M635" s="80" t="str">
        <f t="shared" si="2"/>
        <v/>
      </c>
    </row>
    <row r="636">
      <c r="A636" s="86"/>
      <c r="B636" s="73"/>
      <c r="C636" s="73"/>
      <c r="D636" s="73"/>
      <c r="E636" s="88"/>
      <c r="F636" s="73"/>
      <c r="G636" s="394"/>
      <c r="H636" s="77"/>
      <c r="I636" s="88"/>
      <c r="J636" s="393">
        <v>44298.0</v>
      </c>
      <c r="K636" s="393">
        <f t="shared" si="4"/>
        <v>44299</v>
      </c>
      <c r="L636" s="394" t="str">
        <f>IFERROR(__xludf.DUMMYFUNCTION("JOIN("""", G636:H636)"),"")</f>
        <v/>
      </c>
      <c r="M636" s="80" t="str">
        <f t="shared" si="2"/>
        <v/>
      </c>
    </row>
    <row r="637">
      <c r="A637" s="86"/>
      <c r="B637" s="73"/>
      <c r="C637" s="73"/>
      <c r="D637" s="73"/>
      <c r="E637" s="88"/>
      <c r="F637" s="73"/>
      <c r="G637" s="394"/>
      <c r="H637" s="77"/>
      <c r="I637" s="88"/>
      <c r="J637" s="393">
        <v>44298.0</v>
      </c>
      <c r="K637" s="393">
        <f t="shared" si="4"/>
        <v>44299</v>
      </c>
      <c r="L637" s="394" t="str">
        <f>IFERROR(__xludf.DUMMYFUNCTION("JOIN("""", G637:H637)"),"")</f>
        <v/>
      </c>
      <c r="M637" s="80" t="str">
        <f t="shared" si="2"/>
        <v/>
      </c>
    </row>
    <row r="638">
      <c r="A638" s="86"/>
      <c r="B638" s="73"/>
      <c r="C638" s="73"/>
      <c r="D638" s="73"/>
      <c r="E638" s="88"/>
      <c r="F638" s="73"/>
      <c r="G638" s="394"/>
      <c r="H638" s="77"/>
      <c r="I638" s="88"/>
      <c r="J638" s="393">
        <v>44299.0</v>
      </c>
      <c r="K638" s="393">
        <f t="shared" si="4"/>
        <v>44300</v>
      </c>
      <c r="L638" s="394" t="str">
        <f>IFERROR(__xludf.DUMMYFUNCTION("JOIN("""", G638:H638)"),"")</f>
        <v/>
      </c>
      <c r="M638" s="80" t="str">
        <f t="shared" si="2"/>
        <v/>
      </c>
    </row>
    <row r="639">
      <c r="A639" s="86"/>
      <c r="B639" s="73"/>
      <c r="C639" s="73"/>
      <c r="D639" s="73"/>
      <c r="E639" s="88"/>
      <c r="F639" s="73"/>
      <c r="G639" s="394"/>
      <c r="H639" s="77"/>
      <c r="I639" s="88"/>
      <c r="J639" s="393">
        <v>44299.0</v>
      </c>
      <c r="K639" s="393">
        <f t="shared" si="4"/>
        <v>44300</v>
      </c>
      <c r="L639" s="394" t="str">
        <f>IFERROR(__xludf.DUMMYFUNCTION("JOIN("""", G639:H639)"),"")</f>
        <v/>
      </c>
      <c r="M639" s="80" t="str">
        <f t="shared" si="2"/>
        <v/>
      </c>
    </row>
    <row r="640">
      <c r="A640" s="86"/>
      <c r="B640" s="73"/>
      <c r="C640" s="73"/>
      <c r="D640" s="73"/>
      <c r="E640" s="88"/>
      <c r="F640" s="73"/>
      <c r="G640" s="394"/>
      <c r="H640" s="77"/>
      <c r="I640" s="88"/>
      <c r="J640" s="393">
        <v>44299.0</v>
      </c>
      <c r="K640" s="393">
        <f t="shared" si="4"/>
        <v>44300</v>
      </c>
      <c r="L640" s="394" t="str">
        <f>IFERROR(__xludf.DUMMYFUNCTION("JOIN("""", G640:H640)"),"")</f>
        <v/>
      </c>
      <c r="M640" s="80" t="str">
        <f t="shared" si="2"/>
        <v/>
      </c>
    </row>
    <row r="641">
      <c r="A641" s="86"/>
      <c r="B641" s="73"/>
      <c r="C641" s="73"/>
      <c r="D641" s="73"/>
      <c r="E641" s="88"/>
      <c r="F641" s="73"/>
      <c r="G641" s="394"/>
      <c r="H641" s="77"/>
      <c r="I641" s="88"/>
      <c r="J641" s="393">
        <v>44299.0</v>
      </c>
      <c r="K641" s="393">
        <f t="shared" si="4"/>
        <v>44300</v>
      </c>
      <c r="L641" s="394" t="str">
        <f>IFERROR(__xludf.DUMMYFUNCTION("JOIN("""", G641:H641)"),"")</f>
        <v/>
      </c>
      <c r="M641" s="80" t="str">
        <f t="shared" si="2"/>
        <v/>
      </c>
    </row>
    <row r="642">
      <c r="A642" s="86"/>
      <c r="B642" s="73"/>
      <c r="C642" s="73"/>
      <c r="D642" s="73"/>
      <c r="E642" s="88"/>
      <c r="F642" s="73"/>
      <c r="G642" s="394"/>
      <c r="H642" s="77"/>
      <c r="I642" s="88"/>
      <c r="J642" s="393">
        <v>44300.0</v>
      </c>
      <c r="K642" s="393">
        <f t="shared" si="4"/>
        <v>44301</v>
      </c>
      <c r="L642" s="394" t="str">
        <f>IFERROR(__xludf.DUMMYFUNCTION("JOIN("""", G642:H642)"),"")</f>
        <v/>
      </c>
      <c r="M642" s="80" t="str">
        <f t="shared" si="2"/>
        <v/>
      </c>
    </row>
    <row r="643">
      <c r="A643" s="86"/>
      <c r="B643" s="73"/>
      <c r="C643" s="73"/>
      <c r="D643" s="73"/>
      <c r="E643" s="88"/>
      <c r="F643" s="73"/>
      <c r="G643" s="394"/>
      <c r="H643" s="77"/>
      <c r="I643" s="88"/>
      <c r="J643" s="393">
        <v>44300.0</v>
      </c>
      <c r="K643" s="393">
        <f t="shared" si="4"/>
        <v>44301</v>
      </c>
      <c r="L643" s="394" t="str">
        <f>IFERROR(__xludf.DUMMYFUNCTION("JOIN("""", G643:H643)"),"")</f>
        <v/>
      </c>
      <c r="M643" s="80" t="str">
        <f t="shared" si="2"/>
        <v/>
      </c>
    </row>
    <row r="644">
      <c r="A644" s="86"/>
      <c r="B644" s="73"/>
      <c r="C644" s="73"/>
      <c r="D644" s="73"/>
      <c r="E644" s="88"/>
      <c r="F644" s="73"/>
      <c r="G644" s="394"/>
      <c r="H644" s="77"/>
      <c r="I644" s="88"/>
      <c r="J644" s="393">
        <v>44300.0</v>
      </c>
      <c r="K644" s="393">
        <f t="shared" si="4"/>
        <v>44301</v>
      </c>
      <c r="L644" s="394" t="str">
        <f>IFERROR(__xludf.DUMMYFUNCTION("JOIN("""", G644:H644)"),"")</f>
        <v/>
      </c>
      <c r="M644" s="80" t="str">
        <f t="shared" si="2"/>
        <v/>
      </c>
    </row>
    <row r="645">
      <c r="A645" s="86"/>
      <c r="B645" s="73"/>
      <c r="C645" s="73"/>
      <c r="D645" s="73"/>
      <c r="E645" s="88"/>
      <c r="F645" s="73"/>
      <c r="G645" s="394"/>
      <c r="H645" s="77"/>
      <c r="I645" s="88"/>
      <c r="J645" s="393">
        <v>44300.0</v>
      </c>
      <c r="K645" s="393">
        <f t="shared" si="4"/>
        <v>44301</v>
      </c>
      <c r="L645" s="394" t="str">
        <f>IFERROR(__xludf.DUMMYFUNCTION("JOIN("""", G645:H645)"),"")</f>
        <v/>
      </c>
      <c r="M645" s="80" t="str">
        <f t="shared" si="2"/>
        <v/>
      </c>
    </row>
    <row r="646">
      <c r="A646" s="86"/>
      <c r="B646" s="73"/>
      <c r="C646" s="73"/>
      <c r="D646" s="73"/>
      <c r="E646" s="88"/>
      <c r="F646" s="73"/>
      <c r="G646" s="394"/>
      <c r="H646" s="77"/>
      <c r="I646" s="88"/>
      <c r="J646" s="393">
        <v>44300.0</v>
      </c>
      <c r="K646" s="393">
        <f t="shared" si="4"/>
        <v>44301</v>
      </c>
      <c r="L646" s="394" t="str">
        <f>IFERROR(__xludf.DUMMYFUNCTION("JOIN("""", G646:H646)"),"")</f>
        <v/>
      </c>
      <c r="M646" s="80" t="str">
        <f t="shared" si="2"/>
        <v/>
      </c>
    </row>
    <row r="647">
      <c r="A647" s="86"/>
      <c r="B647" s="73"/>
      <c r="C647" s="73"/>
      <c r="D647" s="73"/>
      <c r="E647" s="88"/>
      <c r="F647" s="73"/>
      <c r="G647" s="394"/>
      <c r="H647" s="77"/>
      <c r="I647" s="88"/>
      <c r="J647" s="393">
        <v>44300.0</v>
      </c>
      <c r="K647" s="393">
        <f t="shared" si="4"/>
        <v>44301</v>
      </c>
      <c r="L647" s="394" t="str">
        <f>IFERROR(__xludf.DUMMYFUNCTION("JOIN("""", G647:H647)"),"")</f>
        <v/>
      </c>
      <c r="M647" s="80" t="str">
        <f t="shared" si="2"/>
        <v/>
      </c>
    </row>
    <row r="648">
      <c r="A648" s="86"/>
      <c r="B648" s="73"/>
      <c r="C648" s="73"/>
      <c r="D648" s="73"/>
      <c r="E648" s="88"/>
      <c r="F648" s="73"/>
      <c r="G648" s="394"/>
      <c r="H648" s="77"/>
      <c r="I648" s="88"/>
      <c r="J648" s="393">
        <v>44300.0</v>
      </c>
      <c r="K648" s="393">
        <f t="shared" si="4"/>
        <v>44301</v>
      </c>
      <c r="L648" s="394" t="str">
        <f>IFERROR(__xludf.DUMMYFUNCTION("JOIN("""", G648:H648)"),"")</f>
        <v/>
      </c>
      <c r="M648" s="80" t="str">
        <f t="shared" si="2"/>
        <v/>
      </c>
    </row>
    <row r="649">
      <c r="A649" s="86"/>
      <c r="B649" s="73"/>
      <c r="C649" s="73"/>
      <c r="D649" s="73"/>
      <c r="E649" s="88"/>
      <c r="F649" s="73"/>
      <c r="G649" s="394"/>
      <c r="H649" s="77"/>
      <c r="I649" s="88"/>
      <c r="J649" s="393">
        <v>44300.0</v>
      </c>
      <c r="K649" s="393">
        <f t="shared" si="4"/>
        <v>44301</v>
      </c>
      <c r="L649" s="394" t="str">
        <f>IFERROR(__xludf.DUMMYFUNCTION("JOIN("""", G649:H649)"),"")</f>
        <v/>
      </c>
      <c r="M649" s="80" t="str">
        <f t="shared" si="2"/>
        <v/>
      </c>
    </row>
    <row r="650">
      <c r="A650" s="86"/>
      <c r="B650" s="73"/>
      <c r="C650" s="73"/>
      <c r="D650" s="73"/>
      <c r="E650" s="88"/>
      <c r="F650" s="73"/>
      <c r="G650" s="394"/>
      <c r="H650" s="77"/>
      <c r="I650" s="88"/>
      <c r="J650" s="393">
        <v>44300.0</v>
      </c>
      <c r="K650" s="393">
        <f t="shared" si="4"/>
        <v>44301</v>
      </c>
      <c r="L650" s="394" t="str">
        <f>IFERROR(__xludf.DUMMYFUNCTION("JOIN("""", G650:H650)"),"")</f>
        <v/>
      </c>
      <c r="M650" s="80" t="str">
        <f t="shared" si="2"/>
        <v/>
      </c>
    </row>
    <row r="651">
      <c r="A651" s="86"/>
      <c r="B651" s="73"/>
      <c r="C651" s="73"/>
      <c r="D651" s="73"/>
      <c r="E651" s="88"/>
      <c r="F651" s="73"/>
      <c r="G651" s="394"/>
      <c r="H651" s="77"/>
      <c r="I651" s="88"/>
      <c r="J651" s="393">
        <v>44300.0</v>
      </c>
      <c r="K651" s="393">
        <f t="shared" si="4"/>
        <v>44301</v>
      </c>
      <c r="L651" s="394" t="str">
        <f>IFERROR(__xludf.DUMMYFUNCTION("JOIN("""", G651:H651)"),"")</f>
        <v/>
      </c>
      <c r="M651" s="80" t="str">
        <f t="shared" si="2"/>
        <v/>
      </c>
    </row>
    <row r="652">
      <c r="A652" s="86"/>
      <c r="B652" s="73"/>
      <c r="C652" s="73"/>
      <c r="D652" s="73"/>
      <c r="E652" s="88"/>
      <c r="F652" s="73"/>
      <c r="G652" s="394"/>
      <c r="H652" s="77"/>
      <c r="I652" s="88"/>
      <c r="J652" s="393">
        <v>44300.0</v>
      </c>
      <c r="K652" s="393">
        <f t="shared" si="4"/>
        <v>44301</v>
      </c>
      <c r="L652" s="394" t="str">
        <f>IFERROR(__xludf.DUMMYFUNCTION("JOIN("""", G652:H652)"),"")</f>
        <v/>
      </c>
      <c r="M652" s="80" t="str">
        <f t="shared" si="2"/>
        <v/>
      </c>
    </row>
    <row r="653">
      <c r="A653" s="86"/>
      <c r="B653" s="73"/>
      <c r="C653" s="73"/>
      <c r="D653" s="73"/>
      <c r="E653" s="88"/>
      <c r="F653" s="73"/>
      <c r="G653" s="394"/>
      <c r="H653" s="77"/>
      <c r="I653" s="88"/>
      <c r="J653" s="393">
        <v>44300.0</v>
      </c>
      <c r="K653" s="393">
        <f t="shared" si="4"/>
        <v>44301</v>
      </c>
      <c r="L653" s="394" t="str">
        <f>IFERROR(__xludf.DUMMYFUNCTION("JOIN("""", G653:H653)"),"")</f>
        <v/>
      </c>
      <c r="M653" s="80" t="str">
        <f t="shared" si="2"/>
        <v/>
      </c>
    </row>
    <row r="654">
      <c r="A654" s="86"/>
      <c r="B654" s="73"/>
      <c r="C654" s="73"/>
      <c r="D654" s="73"/>
      <c r="E654" s="88"/>
      <c r="F654" s="73"/>
      <c r="G654" s="394"/>
      <c r="H654" s="77"/>
      <c r="I654" s="88"/>
      <c r="J654" s="393">
        <v>44300.0</v>
      </c>
      <c r="K654" s="393">
        <f t="shared" si="4"/>
        <v>44301</v>
      </c>
      <c r="L654" s="394" t="str">
        <f>IFERROR(__xludf.DUMMYFUNCTION("JOIN("""", G654:H654)"),"")</f>
        <v/>
      </c>
      <c r="M654" s="80" t="str">
        <f t="shared" si="2"/>
        <v/>
      </c>
    </row>
    <row r="655">
      <c r="A655" s="86"/>
      <c r="B655" s="73"/>
      <c r="C655" s="73"/>
      <c r="D655" s="73"/>
      <c r="E655" s="88"/>
      <c r="F655" s="73"/>
      <c r="G655" s="394"/>
      <c r="H655" s="77"/>
      <c r="I655" s="88"/>
      <c r="J655" s="393">
        <v>44300.0</v>
      </c>
      <c r="K655" s="393">
        <f t="shared" si="4"/>
        <v>44301</v>
      </c>
      <c r="L655" s="394" t="str">
        <f>IFERROR(__xludf.DUMMYFUNCTION("JOIN("""", G655:H655)"),"")</f>
        <v/>
      </c>
      <c r="M655" s="80" t="str">
        <f t="shared" si="2"/>
        <v/>
      </c>
    </row>
    <row r="656">
      <c r="A656" s="86"/>
      <c r="B656" s="73"/>
      <c r="C656" s="73"/>
      <c r="D656" s="73"/>
      <c r="E656" s="88"/>
      <c r="F656" s="73"/>
      <c r="G656" s="394"/>
      <c r="H656" s="77"/>
      <c r="I656" s="88"/>
      <c r="J656" s="393">
        <v>44300.0</v>
      </c>
      <c r="K656" s="393">
        <f t="shared" si="4"/>
        <v>44301</v>
      </c>
      <c r="L656" s="394" t="str">
        <f>IFERROR(__xludf.DUMMYFUNCTION("JOIN("""", G656:H656)"),"")</f>
        <v/>
      </c>
      <c r="M656" s="80" t="str">
        <f t="shared" si="2"/>
        <v/>
      </c>
    </row>
    <row r="657">
      <c r="A657" s="86"/>
      <c r="B657" s="73"/>
      <c r="C657" s="73"/>
      <c r="D657" s="73"/>
      <c r="E657" s="88"/>
      <c r="F657" s="73"/>
      <c r="G657" s="394"/>
      <c r="H657" s="77"/>
      <c r="I657" s="88"/>
      <c r="J657" s="393">
        <v>44300.0</v>
      </c>
      <c r="K657" s="393">
        <f t="shared" si="4"/>
        <v>44301</v>
      </c>
      <c r="L657" s="394" t="str">
        <f>IFERROR(__xludf.DUMMYFUNCTION("JOIN("""", G657:H657)"),"")</f>
        <v/>
      </c>
      <c r="M657" s="80" t="str">
        <f t="shared" si="2"/>
        <v/>
      </c>
    </row>
    <row r="658">
      <c r="A658" s="86"/>
      <c r="B658" s="73"/>
      <c r="C658" s="73"/>
      <c r="D658" s="73"/>
      <c r="E658" s="88"/>
      <c r="F658" s="73"/>
      <c r="G658" s="394"/>
      <c r="H658" s="77"/>
      <c r="I658" s="88"/>
      <c r="J658" s="393">
        <v>44301.0</v>
      </c>
      <c r="K658" s="393">
        <f t="shared" si="4"/>
        <v>44302</v>
      </c>
      <c r="L658" s="394" t="str">
        <f>IFERROR(__xludf.DUMMYFUNCTION("JOIN("""", G658:H658)"),"")</f>
        <v/>
      </c>
      <c r="M658" s="80" t="str">
        <f t="shared" si="2"/>
        <v/>
      </c>
    </row>
    <row r="659">
      <c r="A659" s="86"/>
      <c r="B659" s="73"/>
      <c r="C659" s="73"/>
      <c r="D659" s="73"/>
      <c r="E659" s="88"/>
      <c r="F659" s="73"/>
      <c r="G659" s="394"/>
      <c r="H659" s="77"/>
      <c r="I659" s="88"/>
      <c r="J659" s="393">
        <v>44301.0</v>
      </c>
      <c r="K659" s="393">
        <f t="shared" si="4"/>
        <v>44302</v>
      </c>
      <c r="L659" s="394" t="str">
        <f>IFERROR(__xludf.DUMMYFUNCTION("JOIN("""", G659:H659)"),"")</f>
        <v/>
      </c>
      <c r="M659" s="80" t="str">
        <f t="shared" si="2"/>
        <v/>
      </c>
    </row>
    <row r="660">
      <c r="A660" s="86"/>
      <c r="B660" s="73"/>
      <c r="C660" s="73"/>
      <c r="D660" s="73"/>
      <c r="E660" s="88"/>
      <c r="F660" s="73"/>
      <c r="G660" s="394"/>
      <c r="H660" s="77"/>
      <c r="I660" s="88"/>
      <c r="J660" s="393">
        <v>44301.0</v>
      </c>
      <c r="K660" s="393">
        <f t="shared" si="4"/>
        <v>44302</v>
      </c>
      <c r="L660" s="394" t="str">
        <f>IFERROR(__xludf.DUMMYFUNCTION("JOIN("""", G660:H660)"),"")</f>
        <v/>
      </c>
      <c r="M660" s="80" t="str">
        <f t="shared" si="2"/>
        <v/>
      </c>
    </row>
    <row r="661">
      <c r="A661" s="86"/>
      <c r="B661" s="73"/>
      <c r="C661" s="73"/>
      <c r="D661" s="73"/>
      <c r="E661" s="88"/>
      <c r="F661" s="73"/>
      <c r="G661" s="394"/>
      <c r="H661" s="77"/>
      <c r="I661" s="88"/>
      <c r="J661" s="393">
        <v>44301.0</v>
      </c>
      <c r="K661" s="393">
        <f t="shared" si="4"/>
        <v>44302</v>
      </c>
      <c r="L661" s="394" t="str">
        <f>IFERROR(__xludf.DUMMYFUNCTION("JOIN("""", G661:H661)"),"")</f>
        <v/>
      </c>
      <c r="M661" s="80" t="str">
        <f t="shared" si="2"/>
        <v/>
      </c>
    </row>
    <row r="662">
      <c r="A662" s="86"/>
      <c r="B662" s="73"/>
      <c r="C662" s="73"/>
      <c r="D662" s="73"/>
      <c r="E662" s="88"/>
      <c r="F662" s="73"/>
      <c r="G662" s="394"/>
      <c r="H662" s="77"/>
      <c r="I662" s="88"/>
      <c r="J662" s="393">
        <v>44301.0</v>
      </c>
      <c r="K662" s="393">
        <f t="shared" si="4"/>
        <v>44302</v>
      </c>
      <c r="L662" s="394" t="str">
        <f>IFERROR(__xludf.DUMMYFUNCTION("JOIN("""", G662:H662)"),"")</f>
        <v/>
      </c>
      <c r="M662" s="80" t="str">
        <f t="shared" si="2"/>
        <v/>
      </c>
    </row>
    <row r="663">
      <c r="A663" s="86"/>
      <c r="B663" s="73"/>
      <c r="C663" s="73"/>
      <c r="D663" s="73"/>
      <c r="E663" s="88"/>
      <c r="F663" s="73"/>
      <c r="G663" s="394"/>
      <c r="H663" s="77"/>
      <c r="I663" s="88"/>
      <c r="J663" s="393">
        <v>44301.0</v>
      </c>
      <c r="K663" s="393">
        <f t="shared" si="4"/>
        <v>44302</v>
      </c>
      <c r="L663" s="394" t="str">
        <f>IFERROR(__xludf.DUMMYFUNCTION("JOIN("""", G663:H663)"),"")</f>
        <v/>
      </c>
      <c r="M663" s="80" t="str">
        <f t="shared" si="2"/>
        <v/>
      </c>
    </row>
    <row r="664">
      <c r="A664" s="86"/>
      <c r="B664" s="73"/>
      <c r="C664" s="73"/>
      <c r="D664" s="73"/>
      <c r="E664" s="88"/>
      <c r="F664" s="73"/>
      <c r="G664" s="394"/>
      <c r="H664" s="77"/>
      <c r="I664" s="88"/>
      <c r="J664" s="399">
        <v>44302.0</v>
      </c>
      <c r="K664" s="393">
        <f t="shared" si="4"/>
        <v>44303</v>
      </c>
      <c r="L664" s="394" t="str">
        <f>IFERROR(__xludf.DUMMYFUNCTION("JOIN("""", G664:H664)"),"")</f>
        <v/>
      </c>
      <c r="M664" s="80" t="str">
        <f t="shared" si="2"/>
        <v/>
      </c>
    </row>
    <row r="665">
      <c r="A665" s="86"/>
      <c r="B665" s="73"/>
      <c r="C665" s="73"/>
      <c r="D665" s="73"/>
      <c r="E665" s="88"/>
      <c r="F665" s="73"/>
      <c r="G665" s="394"/>
      <c r="H665" s="77"/>
      <c r="I665" s="88"/>
      <c r="J665" s="393">
        <v>44302.0</v>
      </c>
      <c r="K665" s="393">
        <f t="shared" si="4"/>
        <v>44303</v>
      </c>
      <c r="L665" s="394" t="str">
        <f>IFERROR(__xludf.DUMMYFUNCTION("JOIN("""", G665:H665)"),"")</f>
        <v/>
      </c>
      <c r="M665" s="80" t="str">
        <f t="shared" si="2"/>
        <v/>
      </c>
    </row>
    <row r="666">
      <c r="A666" s="86"/>
      <c r="B666" s="73"/>
      <c r="C666" s="73"/>
      <c r="D666" s="73"/>
      <c r="E666" s="88"/>
      <c r="F666" s="73"/>
      <c r="G666" s="394"/>
      <c r="H666" s="77"/>
      <c r="I666" s="88"/>
      <c r="J666" s="393">
        <v>44302.0</v>
      </c>
      <c r="K666" s="393">
        <f t="shared" si="4"/>
        <v>44303</v>
      </c>
      <c r="L666" s="394" t="str">
        <f>IFERROR(__xludf.DUMMYFUNCTION("JOIN("""", G666:H666)"),"")</f>
        <v/>
      </c>
      <c r="M666" s="80" t="str">
        <f t="shared" si="2"/>
        <v/>
      </c>
    </row>
    <row r="667">
      <c r="A667" s="86"/>
      <c r="B667" s="73"/>
      <c r="C667" s="73"/>
      <c r="D667" s="73"/>
      <c r="E667" s="88"/>
      <c r="F667" s="73"/>
      <c r="G667" s="394"/>
      <c r="H667" s="77"/>
      <c r="I667" s="88"/>
      <c r="J667" s="393">
        <v>44302.0</v>
      </c>
      <c r="K667" s="393">
        <f t="shared" si="4"/>
        <v>44303</v>
      </c>
      <c r="L667" s="394" t="str">
        <f>IFERROR(__xludf.DUMMYFUNCTION("JOIN("""", G667:H667)"),"")</f>
        <v/>
      </c>
      <c r="M667" s="80" t="str">
        <f t="shared" si="2"/>
        <v/>
      </c>
    </row>
    <row r="668">
      <c r="A668" s="86"/>
      <c r="B668" s="73"/>
      <c r="C668" s="73"/>
      <c r="D668" s="73"/>
      <c r="E668" s="88"/>
      <c r="F668" s="73"/>
      <c r="G668" s="394"/>
      <c r="H668" s="77"/>
      <c r="I668" s="88"/>
      <c r="J668" s="393">
        <v>44302.0</v>
      </c>
      <c r="K668" s="393">
        <f t="shared" si="4"/>
        <v>44303</v>
      </c>
      <c r="L668" s="394" t="str">
        <f>IFERROR(__xludf.DUMMYFUNCTION("JOIN("""", G668:H668)"),"")</f>
        <v/>
      </c>
      <c r="M668" s="80" t="str">
        <f t="shared" si="2"/>
        <v/>
      </c>
    </row>
    <row r="669">
      <c r="A669" s="86"/>
      <c r="B669" s="73"/>
      <c r="C669" s="73"/>
      <c r="D669" s="73"/>
      <c r="E669" s="88"/>
      <c r="F669" s="73"/>
      <c r="G669" s="394"/>
      <c r="H669" s="77"/>
      <c r="I669" s="88"/>
      <c r="J669" s="393">
        <v>44303.0</v>
      </c>
      <c r="K669" s="393">
        <f t="shared" si="4"/>
        <v>44304</v>
      </c>
      <c r="L669" s="394" t="str">
        <f>IFERROR(__xludf.DUMMYFUNCTION("JOIN("""", G669:H669)"),"")</f>
        <v/>
      </c>
      <c r="M669" s="80" t="str">
        <f t="shared" si="2"/>
        <v/>
      </c>
    </row>
    <row r="670">
      <c r="A670" s="86"/>
      <c r="B670" s="73"/>
      <c r="C670" s="73"/>
      <c r="D670" s="73"/>
      <c r="E670" s="88"/>
      <c r="F670" s="73"/>
      <c r="G670" s="394"/>
      <c r="H670" s="77"/>
      <c r="I670" s="88"/>
      <c r="J670" s="393">
        <v>44303.0</v>
      </c>
      <c r="K670" s="393">
        <f t="shared" si="4"/>
        <v>44304</v>
      </c>
      <c r="L670" s="394" t="str">
        <f>IFERROR(__xludf.DUMMYFUNCTION("JOIN("""", G670:H670)"),"")</f>
        <v/>
      </c>
      <c r="M670" s="80" t="str">
        <f t="shared" si="2"/>
        <v/>
      </c>
    </row>
    <row r="671">
      <c r="A671" s="86"/>
      <c r="B671" s="73"/>
      <c r="C671" s="73"/>
      <c r="D671" s="73"/>
      <c r="E671" s="88"/>
      <c r="F671" s="73"/>
      <c r="G671" s="394"/>
      <c r="H671" s="77"/>
      <c r="I671" s="88"/>
      <c r="J671" s="393">
        <v>44303.0</v>
      </c>
      <c r="K671" s="393">
        <f t="shared" si="4"/>
        <v>44304</v>
      </c>
      <c r="L671" s="394" t="str">
        <f>IFERROR(__xludf.DUMMYFUNCTION("JOIN("""", G671:H671)"),"")</f>
        <v/>
      </c>
      <c r="M671" s="80" t="str">
        <f t="shared" si="2"/>
        <v/>
      </c>
    </row>
    <row r="672">
      <c r="A672" s="86"/>
      <c r="B672" s="73"/>
      <c r="C672" s="73"/>
      <c r="D672" s="73"/>
      <c r="E672" s="88"/>
      <c r="F672" s="73"/>
      <c r="G672" s="394"/>
      <c r="H672" s="77"/>
      <c r="I672" s="88"/>
      <c r="J672" s="393">
        <v>44303.0</v>
      </c>
      <c r="K672" s="393">
        <f t="shared" si="4"/>
        <v>44304</v>
      </c>
      <c r="L672" s="394" t="str">
        <f>IFERROR(__xludf.DUMMYFUNCTION("JOIN("""", G672:H672)"),"")</f>
        <v/>
      </c>
      <c r="M672" s="80" t="str">
        <f t="shared" si="2"/>
        <v/>
      </c>
    </row>
    <row r="673">
      <c r="A673" s="86"/>
      <c r="B673" s="73"/>
      <c r="C673" s="73"/>
      <c r="D673" s="73"/>
      <c r="E673" s="88"/>
      <c r="F673" s="73"/>
      <c r="G673" s="394"/>
      <c r="H673" s="77"/>
      <c r="I673" s="88"/>
      <c r="J673" s="393">
        <v>44303.0</v>
      </c>
      <c r="K673" s="393">
        <f t="shared" si="4"/>
        <v>44304</v>
      </c>
      <c r="L673" s="394" t="str">
        <f>IFERROR(__xludf.DUMMYFUNCTION("JOIN("""", G673:H673)"),"")</f>
        <v/>
      </c>
      <c r="M673" s="80" t="str">
        <f t="shared" si="2"/>
        <v/>
      </c>
    </row>
    <row r="674">
      <c r="A674" s="86"/>
      <c r="B674" s="73"/>
      <c r="C674" s="73"/>
      <c r="D674" s="73"/>
      <c r="E674" s="88"/>
      <c r="F674" s="73"/>
      <c r="G674" s="394"/>
      <c r="H674" s="77"/>
      <c r="I674" s="88"/>
      <c r="J674" s="393">
        <v>44304.0</v>
      </c>
      <c r="K674" s="393">
        <f t="shared" si="4"/>
        <v>44305</v>
      </c>
      <c r="L674" s="394" t="str">
        <f>IFERROR(__xludf.DUMMYFUNCTION("JOIN("""", G674:H674)"),"")</f>
        <v/>
      </c>
      <c r="M674" s="80" t="str">
        <f t="shared" si="2"/>
        <v/>
      </c>
    </row>
    <row r="675">
      <c r="A675" s="86"/>
      <c r="B675" s="73"/>
      <c r="C675" s="73"/>
      <c r="D675" s="73"/>
      <c r="E675" s="88"/>
      <c r="F675" s="73"/>
      <c r="G675" s="394"/>
      <c r="H675" s="77"/>
      <c r="I675" s="88"/>
      <c r="J675" s="393">
        <v>44304.0</v>
      </c>
      <c r="K675" s="393">
        <f t="shared" si="4"/>
        <v>44305</v>
      </c>
      <c r="L675" s="394" t="str">
        <f>IFERROR(__xludf.DUMMYFUNCTION("JOIN("""", G675:H675)"),"")</f>
        <v/>
      </c>
      <c r="M675" s="80" t="str">
        <f t="shared" si="2"/>
        <v/>
      </c>
    </row>
    <row r="676">
      <c r="A676" s="86"/>
      <c r="B676" s="73"/>
      <c r="C676" s="73"/>
      <c r="D676" s="73"/>
      <c r="E676" s="88"/>
      <c r="F676" s="73"/>
      <c r="G676" s="394"/>
      <c r="H676" s="77"/>
      <c r="I676" s="88"/>
      <c r="J676" s="399">
        <v>44305.0</v>
      </c>
      <c r="K676" s="393">
        <f t="shared" si="4"/>
        <v>44306</v>
      </c>
      <c r="L676" s="394" t="str">
        <f>IFERROR(__xludf.DUMMYFUNCTION("JOIN("""", G676:H676)"),"")</f>
        <v/>
      </c>
      <c r="M676" s="80" t="str">
        <f t="shared" si="2"/>
        <v/>
      </c>
    </row>
    <row r="677">
      <c r="A677" s="86"/>
      <c r="B677" s="73"/>
      <c r="C677" s="73"/>
      <c r="D677" s="73"/>
      <c r="E677" s="88"/>
      <c r="F677" s="73"/>
      <c r="G677" s="394"/>
      <c r="H677" s="77"/>
      <c r="I677" s="88"/>
      <c r="J677" s="393">
        <v>44305.0</v>
      </c>
      <c r="K677" s="393">
        <f t="shared" si="4"/>
        <v>44306</v>
      </c>
      <c r="L677" s="394" t="str">
        <f>IFERROR(__xludf.DUMMYFUNCTION("JOIN("""", G677:H677)"),"")</f>
        <v/>
      </c>
      <c r="M677" s="80" t="str">
        <f t="shared" si="2"/>
        <v/>
      </c>
    </row>
    <row r="678">
      <c r="A678" s="86"/>
      <c r="B678" s="73"/>
      <c r="C678" s="73"/>
      <c r="D678" s="73"/>
      <c r="E678" s="88"/>
      <c r="F678" s="73"/>
      <c r="G678" s="394"/>
      <c r="H678" s="77"/>
      <c r="I678" s="88"/>
      <c r="J678" s="393">
        <v>44305.0</v>
      </c>
      <c r="K678" s="393">
        <f t="shared" si="4"/>
        <v>44306</v>
      </c>
      <c r="L678" s="394" t="str">
        <f>IFERROR(__xludf.DUMMYFUNCTION("JOIN("""", G678:H678)"),"")</f>
        <v/>
      </c>
      <c r="M678" s="80" t="str">
        <f t="shared" si="2"/>
        <v/>
      </c>
    </row>
    <row r="679">
      <c r="A679" s="86"/>
      <c r="B679" s="73"/>
      <c r="C679" s="73"/>
      <c r="D679" s="73"/>
      <c r="E679" s="88"/>
      <c r="F679" s="73"/>
      <c r="G679" s="394"/>
      <c r="H679" s="77"/>
      <c r="I679" s="88"/>
      <c r="J679" s="393">
        <v>44305.0</v>
      </c>
      <c r="K679" s="393">
        <f t="shared" si="4"/>
        <v>44306</v>
      </c>
      <c r="L679" s="394" t="str">
        <f>IFERROR(__xludf.DUMMYFUNCTION("JOIN("""", G679:H679)"),"")</f>
        <v/>
      </c>
      <c r="M679" s="80" t="str">
        <f t="shared" si="2"/>
        <v/>
      </c>
    </row>
    <row r="680">
      <c r="A680" s="86"/>
      <c r="B680" s="73"/>
      <c r="C680" s="73"/>
      <c r="D680" s="73"/>
      <c r="E680" s="88"/>
      <c r="F680" s="73"/>
      <c r="G680" s="394"/>
      <c r="H680" s="77"/>
      <c r="I680" s="88"/>
      <c r="J680" s="393">
        <v>44305.0</v>
      </c>
      <c r="K680" s="393">
        <f t="shared" si="4"/>
        <v>44306</v>
      </c>
      <c r="L680" s="394" t="str">
        <f>IFERROR(__xludf.DUMMYFUNCTION("JOIN("""", G680:H680)"),"")</f>
        <v/>
      </c>
      <c r="M680" s="80" t="str">
        <f t="shared" si="2"/>
        <v/>
      </c>
    </row>
    <row r="681">
      <c r="A681" s="86"/>
      <c r="B681" s="73"/>
      <c r="C681" s="73"/>
      <c r="D681" s="73"/>
      <c r="E681" s="88"/>
      <c r="F681" s="73"/>
      <c r="G681" s="394"/>
      <c r="H681" s="77"/>
      <c r="I681" s="88"/>
      <c r="J681" s="393">
        <v>44305.0</v>
      </c>
      <c r="K681" s="393">
        <f t="shared" si="4"/>
        <v>44306</v>
      </c>
      <c r="L681" s="394" t="str">
        <f>IFERROR(__xludf.DUMMYFUNCTION("JOIN("""", G681:H681)"),"")</f>
        <v/>
      </c>
      <c r="M681" s="80" t="str">
        <f t="shared" si="2"/>
        <v/>
      </c>
    </row>
    <row r="682">
      <c r="A682" s="86"/>
      <c r="B682" s="73"/>
      <c r="C682" s="73"/>
      <c r="D682" s="73"/>
      <c r="E682" s="88"/>
      <c r="F682" s="73"/>
      <c r="G682" s="394"/>
      <c r="H682" s="77"/>
      <c r="I682" s="88"/>
      <c r="J682" s="393">
        <v>44305.0</v>
      </c>
      <c r="K682" s="393">
        <f t="shared" si="4"/>
        <v>44306</v>
      </c>
      <c r="L682" s="394" t="str">
        <f>IFERROR(__xludf.DUMMYFUNCTION("JOIN("""", G682:H682)"),"")</f>
        <v/>
      </c>
      <c r="M682" s="80" t="str">
        <f t="shared" si="2"/>
        <v/>
      </c>
    </row>
    <row r="683">
      <c r="A683" s="86"/>
      <c r="B683" s="73"/>
      <c r="C683" s="73"/>
      <c r="D683" s="73"/>
      <c r="E683" s="88"/>
      <c r="F683" s="73"/>
      <c r="G683" s="394"/>
      <c r="H683" s="77"/>
      <c r="I683" s="88"/>
      <c r="J683" s="393">
        <v>44305.0</v>
      </c>
      <c r="K683" s="393">
        <f t="shared" si="4"/>
        <v>44306</v>
      </c>
      <c r="L683" s="394" t="str">
        <f>IFERROR(__xludf.DUMMYFUNCTION("JOIN("""", G683:H683)"),"")</f>
        <v/>
      </c>
      <c r="M683" s="80" t="str">
        <f t="shared" si="2"/>
        <v/>
      </c>
    </row>
    <row r="684">
      <c r="A684" s="86"/>
      <c r="B684" s="73"/>
      <c r="C684" s="73"/>
      <c r="D684" s="73"/>
      <c r="E684" s="88"/>
      <c r="F684" s="73"/>
      <c r="G684" s="394"/>
      <c r="H684" s="77"/>
      <c r="I684" s="88"/>
      <c r="J684" s="393">
        <v>44305.0</v>
      </c>
      <c r="K684" s="393">
        <f t="shared" si="4"/>
        <v>44306</v>
      </c>
      <c r="L684" s="394" t="str">
        <f>IFERROR(__xludf.DUMMYFUNCTION("JOIN("""", G684:H684)"),"")</f>
        <v/>
      </c>
      <c r="M684" s="80" t="str">
        <f t="shared" si="2"/>
        <v/>
      </c>
    </row>
    <row r="685">
      <c r="A685" s="86"/>
      <c r="B685" s="73"/>
      <c r="C685" s="73"/>
      <c r="D685" s="73"/>
      <c r="E685" s="88"/>
      <c r="F685" s="73"/>
      <c r="G685" s="394"/>
      <c r="H685" s="77"/>
      <c r="I685" s="88"/>
      <c r="J685" s="393">
        <v>44305.0</v>
      </c>
      <c r="K685" s="393">
        <f t="shared" si="4"/>
        <v>44306</v>
      </c>
      <c r="L685" s="394" t="str">
        <f>IFERROR(__xludf.DUMMYFUNCTION("JOIN("""", G685:H685)"),"")</f>
        <v/>
      </c>
      <c r="M685" s="80" t="str">
        <f t="shared" si="2"/>
        <v/>
      </c>
    </row>
    <row r="686">
      <c r="A686" s="86"/>
      <c r="B686" s="73"/>
      <c r="C686" s="73"/>
      <c r="D686" s="73"/>
      <c r="E686" s="88"/>
      <c r="F686" s="73"/>
      <c r="G686" s="394"/>
      <c r="H686" s="77"/>
      <c r="I686" s="88"/>
      <c r="J686" s="393">
        <v>44305.0</v>
      </c>
      <c r="K686" s="393">
        <f t="shared" si="4"/>
        <v>44306</v>
      </c>
      <c r="L686" s="394" t="str">
        <f>IFERROR(__xludf.DUMMYFUNCTION("JOIN("""", G686:H686)"),"")</f>
        <v/>
      </c>
      <c r="M686" s="80" t="str">
        <f t="shared" si="2"/>
        <v/>
      </c>
    </row>
    <row r="687">
      <c r="A687" s="86"/>
      <c r="B687" s="73"/>
      <c r="C687" s="73"/>
      <c r="D687" s="73"/>
      <c r="E687" s="88"/>
      <c r="F687" s="73"/>
      <c r="G687" s="394"/>
      <c r="H687" s="77"/>
      <c r="I687" s="88"/>
      <c r="J687" s="393">
        <v>44305.0</v>
      </c>
      <c r="K687" s="393">
        <f t="shared" si="4"/>
        <v>44306</v>
      </c>
      <c r="L687" s="394" t="str">
        <f>IFERROR(__xludf.DUMMYFUNCTION("JOIN("""", G687:H687)"),"")</f>
        <v/>
      </c>
      <c r="M687" s="80" t="str">
        <f t="shared" si="2"/>
        <v/>
      </c>
    </row>
    <row r="688">
      <c r="A688" s="86"/>
      <c r="B688" s="73"/>
      <c r="C688" s="73"/>
      <c r="D688" s="73"/>
      <c r="E688" s="88"/>
      <c r="F688" s="73"/>
      <c r="G688" s="394"/>
      <c r="H688" s="77"/>
      <c r="I688" s="88"/>
      <c r="J688" s="393">
        <v>44305.0</v>
      </c>
      <c r="K688" s="393">
        <f t="shared" si="4"/>
        <v>44306</v>
      </c>
      <c r="L688" s="394" t="str">
        <f>IFERROR(__xludf.DUMMYFUNCTION("JOIN("""", G688:H688)"),"")</f>
        <v/>
      </c>
      <c r="M688" s="80" t="str">
        <f t="shared" si="2"/>
        <v/>
      </c>
    </row>
    <row r="689">
      <c r="A689" s="86"/>
      <c r="B689" s="73"/>
      <c r="C689" s="73"/>
      <c r="D689" s="73"/>
      <c r="E689" s="88"/>
      <c r="F689" s="73"/>
      <c r="G689" s="394"/>
      <c r="H689" s="77"/>
      <c r="I689" s="88"/>
      <c r="J689" s="393">
        <v>44306.0</v>
      </c>
      <c r="K689" s="393">
        <f t="shared" si="4"/>
        <v>44307</v>
      </c>
      <c r="L689" s="394" t="str">
        <f>IFERROR(__xludf.DUMMYFUNCTION("JOIN("""", G689:H689)"),"")</f>
        <v/>
      </c>
      <c r="M689" s="80" t="str">
        <f t="shared" si="2"/>
        <v/>
      </c>
    </row>
    <row r="690">
      <c r="A690" s="86"/>
      <c r="B690" s="73"/>
      <c r="C690" s="73"/>
      <c r="D690" s="73"/>
      <c r="E690" s="88"/>
      <c r="F690" s="73"/>
      <c r="G690" s="394"/>
      <c r="H690" s="77"/>
      <c r="I690" s="88"/>
      <c r="J690" s="393">
        <v>44306.0</v>
      </c>
      <c r="K690" s="393">
        <f t="shared" si="4"/>
        <v>44307</v>
      </c>
      <c r="L690" s="394" t="str">
        <f>IFERROR(__xludf.DUMMYFUNCTION("JOIN("""", G690:H690)"),"")</f>
        <v/>
      </c>
      <c r="M690" s="80" t="str">
        <f t="shared" si="2"/>
        <v/>
      </c>
    </row>
    <row r="691">
      <c r="A691" s="86"/>
      <c r="B691" s="73"/>
      <c r="C691" s="73"/>
      <c r="D691" s="73"/>
      <c r="E691" s="88"/>
      <c r="F691" s="73"/>
      <c r="G691" s="394"/>
      <c r="H691" s="77"/>
      <c r="I691" s="88"/>
      <c r="J691" s="393">
        <v>44306.0</v>
      </c>
      <c r="K691" s="393">
        <f t="shared" si="4"/>
        <v>44307</v>
      </c>
      <c r="L691" s="394" t="str">
        <f>IFERROR(__xludf.DUMMYFUNCTION("JOIN("""", G691:H691)"),"")</f>
        <v/>
      </c>
      <c r="M691" s="80" t="str">
        <f t="shared" si="2"/>
        <v/>
      </c>
    </row>
    <row r="692">
      <c r="A692" s="86"/>
      <c r="B692" s="73"/>
      <c r="C692" s="73"/>
      <c r="D692" s="73"/>
      <c r="E692" s="88"/>
      <c r="F692" s="73"/>
      <c r="G692" s="394"/>
      <c r="H692" s="77"/>
      <c r="I692" s="88"/>
      <c r="J692" s="393">
        <v>44306.0</v>
      </c>
      <c r="K692" s="393">
        <f t="shared" si="4"/>
        <v>44307</v>
      </c>
      <c r="L692" s="394" t="str">
        <f>IFERROR(__xludf.DUMMYFUNCTION("JOIN("""", G692:H692)"),"")</f>
        <v/>
      </c>
      <c r="M692" s="80" t="str">
        <f t="shared" si="2"/>
        <v/>
      </c>
    </row>
    <row r="693">
      <c r="A693" s="86"/>
      <c r="B693" s="73"/>
      <c r="C693" s="73"/>
      <c r="D693" s="73"/>
      <c r="E693" s="88"/>
      <c r="F693" s="73"/>
      <c r="G693" s="394"/>
      <c r="H693" s="77"/>
      <c r="I693" s="88"/>
      <c r="J693" s="393">
        <v>44306.0</v>
      </c>
      <c r="K693" s="393">
        <f t="shared" si="4"/>
        <v>44307</v>
      </c>
      <c r="L693" s="394" t="str">
        <f>IFERROR(__xludf.DUMMYFUNCTION("JOIN("""", G693:H693)"),"")</f>
        <v/>
      </c>
      <c r="M693" s="80" t="str">
        <f t="shared" si="2"/>
        <v/>
      </c>
    </row>
    <row r="694">
      <c r="A694" s="86"/>
      <c r="B694" s="73"/>
      <c r="C694" s="73"/>
      <c r="D694" s="73"/>
      <c r="E694" s="88"/>
      <c r="F694" s="73"/>
      <c r="G694" s="394"/>
      <c r="H694" s="77"/>
      <c r="I694" s="88"/>
      <c r="J694" s="393">
        <v>44306.0</v>
      </c>
      <c r="K694" s="393">
        <f t="shared" si="4"/>
        <v>44307</v>
      </c>
      <c r="L694" s="394" t="str">
        <f>IFERROR(__xludf.DUMMYFUNCTION("JOIN("""", G694:H694)"),"")</f>
        <v/>
      </c>
      <c r="M694" s="80" t="str">
        <f t="shared" si="2"/>
        <v/>
      </c>
    </row>
    <row r="695">
      <c r="A695" s="86"/>
      <c r="B695" s="73"/>
      <c r="C695" s="73"/>
      <c r="D695" s="73"/>
      <c r="E695" s="88"/>
      <c r="F695" s="73"/>
      <c r="G695" s="394"/>
      <c r="H695" s="77"/>
      <c r="I695" s="88"/>
      <c r="J695" s="393">
        <v>44306.0</v>
      </c>
      <c r="K695" s="393">
        <f t="shared" si="4"/>
        <v>44307</v>
      </c>
      <c r="L695" s="394" t="str">
        <f>IFERROR(__xludf.DUMMYFUNCTION("JOIN("""", G695:H695)"),"")</f>
        <v/>
      </c>
      <c r="M695" s="80" t="str">
        <f t="shared" si="2"/>
        <v/>
      </c>
    </row>
    <row r="696">
      <c r="A696" s="86"/>
      <c r="B696" s="73"/>
      <c r="C696" s="73"/>
      <c r="D696" s="73"/>
      <c r="E696" s="88"/>
      <c r="F696" s="73"/>
      <c r="G696" s="394"/>
      <c r="H696" s="77"/>
      <c r="I696" s="88"/>
      <c r="J696" s="393">
        <v>44306.0</v>
      </c>
      <c r="K696" s="393">
        <f t="shared" si="4"/>
        <v>44307</v>
      </c>
      <c r="L696" s="394" t="str">
        <f>IFERROR(__xludf.DUMMYFUNCTION("JOIN("""", G696:H696)"),"")</f>
        <v/>
      </c>
      <c r="M696" s="80" t="str">
        <f t="shared" si="2"/>
        <v/>
      </c>
    </row>
    <row r="697">
      <c r="A697" s="86"/>
      <c r="B697" s="73"/>
      <c r="C697" s="73"/>
      <c r="D697" s="73"/>
      <c r="E697" s="88"/>
      <c r="F697" s="73"/>
      <c r="G697" s="394"/>
      <c r="H697" s="77"/>
      <c r="I697" s="88"/>
      <c r="J697" s="393">
        <v>44306.0</v>
      </c>
      <c r="K697" s="393">
        <f t="shared" si="4"/>
        <v>44307</v>
      </c>
      <c r="L697" s="394" t="str">
        <f>IFERROR(__xludf.DUMMYFUNCTION("JOIN("""", G697:H697)"),"")</f>
        <v/>
      </c>
      <c r="M697" s="80" t="str">
        <f t="shared" si="2"/>
        <v/>
      </c>
    </row>
    <row r="698">
      <c r="A698" s="86"/>
      <c r="B698" s="73"/>
      <c r="C698" s="73"/>
      <c r="D698" s="73"/>
      <c r="E698" s="88"/>
      <c r="F698" s="73"/>
      <c r="G698" s="394"/>
      <c r="H698" s="77"/>
      <c r="I698" s="88"/>
      <c r="J698" s="393">
        <v>44306.0</v>
      </c>
      <c r="K698" s="393">
        <f t="shared" si="4"/>
        <v>44307</v>
      </c>
      <c r="L698" s="394" t="str">
        <f>IFERROR(__xludf.DUMMYFUNCTION("JOIN("""", G698:H698)"),"")</f>
        <v/>
      </c>
      <c r="M698" s="80" t="str">
        <f t="shared" si="2"/>
        <v/>
      </c>
    </row>
    <row r="699">
      <c r="A699" s="86"/>
      <c r="B699" s="73"/>
      <c r="C699" s="73"/>
      <c r="D699" s="73"/>
      <c r="E699" s="88"/>
      <c r="F699" s="73"/>
      <c r="G699" s="394"/>
      <c r="H699" s="77"/>
      <c r="I699" s="88"/>
      <c r="J699" s="393">
        <v>44307.0</v>
      </c>
      <c r="K699" s="393">
        <f t="shared" si="4"/>
        <v>44308</v>
      </c>
      <c r="L699" s="394" t="str">
        <f>IFERROR(__xludf.DUMMYFUNCTION("JOIN("""", G699:H699)"),"")</f>
        <v/>
      </c>
      <c r="M699" s="80" t="str">
        <f t="shared" si="2"/>
        <v/>
      </c>
    </row>
    <row r="700">
      <c r="A700" s="86"/>
      <c r="B700" s="73"/>
      <c r="C700" s="73"/>
      <c r="D700" s="73"/>
      <c r="E700" s="88"/>
      <c r="F700" s="73"/>
      <c r="G700" s="394"/>
      <c r="H700" s="77"/>
      <c r="I700" s="88"/>
      <c r="J700" s="393">
        <v>44309.0</v>
      </c>
      <c r="K700" s="393">
        <f t="shared" si="4"/>
        <v>44310</v>
      </c>
      <c r="L700" s="394" t="str">
        <f>IFERROR(__xludf.DUMMYFUNCTION("JOIN("""", G700:H700)"),"")</f>
        <v/>
      </c>
      <c r="M700" s="80" t="str">
        <f t="shared" si="2"/>
        <v/>
      </c>
    </row>
    <row r="701">
      <c r="A701" s="86"/>
      <c r="B701" s="73"/>
      <c r="C701" s="73"/>
      <c r="D701" s="73"/>
      <c r="E701" s="88"/>
      <c r="F701" s="73"/>
      <c r="G701" s="394"/>
      <c r="H701" s="77"/>
      <c r="I701" s="88"/>
      <c r="J701" s="393">
        <v>44309.0</v>
      </c>
      <c r="K701" s="393">
        <f t="shared" si="4"/>
        <v>44310</v>
      </c>
      <c r="L701" s="394" t="str">
        <f>IFERROR(__xludf.DUMMYFUNCTION("JOIN("""", G701:H701)"),"")</f>
        <v/>
      </c>
      <c r="M701" s="80" t="str">
        <f t="shared" si="2"/>
        <v/>
      </c>
    </row>
    <row r="702">
      <c r="A702" s="86"/>
      <c r="B702" s="73"/>
      <c r="C702" s="73"/>
      <c r="D702" s="73"/>
      <c r="E702" s="88"/>
      <c r="F702" s="73"/>
      <c r="G702" s="394"/>
      <c r="H702" s="77"/>
      <c r="I702" s="88"/>
      <c r="J702" s="393">
        <v>44309.0</v>
      </c>
      <c r="K702" s="393">
        <f t="shared" si="4"/>
        <v>44310</v>
      </c>
      <c r="L702" s="394" t="str">
        <f>IFERROR(__xludf.DUMMYFUNCTION("JOIN("""", G702:H702)"),"")</f>
        <v/>
      </c>
      <c r="M702" s="80" t="str">
        <f t="shared" si="2"/>
        <v/>
      </c>
    </row>
    <row r="703">
      <c r="A703" s="86"/>
      <c r="B703" s="73"/>
      <c r="C703" s="73"/>
      <c r="D703" s="73"/>
      <c r="E703" s="88"/>
      <c r="F703" s="73"/>
      <c r="G703" s="394"/>
      <c r="H703" s="77"/>
      <c r="I703" s="88"/>
      <c r="J703" s="393">
        <v>44309.0</v>
      </c>
      <c r="K703" s="393">
        <f t="shared" si="4"/>
        <v>44310</v>
      </c>
      <c r="L703" s="394" t="str">
        <f>IFERROR(__xludf.DUMMYFUNCTION("JOIN("""", G703:H703)"),"")</f>
        <v/>
      </c>
      <c r="M703" s="80" t="str">
        <f t="shared" si="2"/>
        <v/>
      </c>
    </row>
    <row r="704">
      <c r="A704" s="86"/>
      <c r="B704" s="73"/>
      <c r="C704" s="73"/>
      <c r="D704" s="73"/>
      <c r="E704" s="88"/>
      <c r="F704" s="73"/>
      <c r="G704" s="394"/>
      <c r="H704" s="77"/>
      <c r="I704" s="88"/>
      <c r="J704" s="393">
        <v>44310.0</v>
      </c>
      <c r="K704" s="393">
        <f t="shared" si="4"/>
        <v>44311</v>
      </c>
      <c r="L704" s="394" t="str">
        <f>IFERROR(__xludf.DUMMYFUNCTION("JOIN("""", G704:H704)"),"")</f>
        <v/>
      </c>
      <c r="M704" s="80" t="str">
        <f t="shared" si="2"/>
        <v/>
      </c>
    </row>
    <row r="705">
      <c r="A705" s="86"/>
      <c r="B705" s="73"/>
      <c r="C705" s="73"/>
      <c r="D705" s="73"/>
      <c r="E705" s="88"/>
      <c r="F705" s="73"/>
      <c r="G705" s="394"/>
      <c r="H705" s="73"/>
      <c r="I705" s="88"/>
      <c r="J705" s="393">
        <v>44310.0</v>
      </c>
      <c r="K705" s="393">
        <f t="shared" si="4"/>
        <v>44311</v>
      </c>
      <c r="L705" s="394" t="str">
        <f>IFERROR(__xludf.DUMMYFUNCTION("JOIN("""", G705:H705)"),"")</f>
        <v/>
      </c>
      <c r="M705" s="80" t="str">
        <f t="shared" si="2"/>
        <v/>
      </c>
    </row>
    <row r="706">
      <c r="A706" s="86"/>
      <c r="B706" s="73"/>
      <c r="C706" s="73"/>
      <c r="D706" s="73"/>
      <c r="E706" s="88"/>
      <c r="F706" s="73"/>
      <c r="G706" s="394"/>
      <c r="H706" s="77"/>
      <c r="I706" s="88"/>
      <c r="J706" s="393">
        <v>44310.0</v>
      </c>
      <c r="K706" s="393">
        <f t="shared" si="4"/>
        <v>44311</v>
      </c>
      <c r="L706" s="394" t="str">
        <f>IFERROR(__xludf.DUMMYFUNCTION("JOIN("""", G706:H706)"),"")</f>
        <v/>
      </c>
      <c r="M706" s="80" t="str">
        <f t="shared" si="2"/>
        <v/>
      </c>
    </row>
    <row r="707">
      <c r="A707" s="86"/>
      <c r="B707" s="73"/>
      <c r="C707" s="73"/>
      <c r="D707" s="73"/>
      <c r="E707" s="88"/>
      <c r="F707" s="73"/>
      <c r="G707" s="394"/>
      <c r="H707" s="77"/>
      <c r="I707" s="88"/>
      <c r="J707" s="402">
        <v>44312.0</v>
      </c>
      <c r="K707" s="393">
        <f t="shared" si="4"/>
        <v>44313</v>
      </c>
      <c r="L707" s="394" t="str">
        <f>IFERROR(__xludf.DUMMYFUNCTION("JOIN("""", G707:H707)"),"")</f>
        <v/>
      </c>
      <c r="M707" s="80" t="str">
        <f t="shared" si="2"/>
        <v/>
      </c>
    </row>
    <row r="708">
      <c r="A708" s="86"/>
      <c r="B708" s="73"/>
      <c r="C708" s="73"/>
      <c r="D708" s="73"/>
      <c r="E708" s="88"/>
      <c r="F708" s="73"/>
      <c r="G708" s="394"/>
      <c r="H708" s="77"/>
      <c r="I708" s="88"/>
      <c r="J708" s="393">
        <v>44312.0</v>
      </c>
      <c r="K708" s="393">
        <f t="shared" si="4"/>
        <v>44313</v>
      </c>
      <c r="L708" s="394" t="str">
        <f>IFERROR(__xludf.DUMMYFUNCTION("JOIN("""", G708:H708)"),"")</f>
        <v/>
      </c>
      <c r="M708" s="80" t="str">
        <f t="shared" si="2"/>
        <v/>
      </c>
    </row>
    <row r="709">
      <c r="A709" s="86"/>
      <c r="B709" s="73"/>
      <c r="C709" s="73"/>
      <c r="D709" s="73"/>
      <c r="E709" s="88"/>
      <c r="F709" s="73"/>
      <c r="G709" s="394"/>
      <c r="H709" s="77"/>
      <c r="I709" s="88"/>
      <c r="J709" s="393">
        <v>44312.0</v>
      </c>
      <c r="K709" s="393">
        <f t="shared" si="4"/>
        <v>44313</v>
      </c>
      <c r="L709" s="394" t="str">
        <f>IFERROR(__xludf.DUMMYFUNCTION("JOIN("""", G709:H709)"),"")</f>
        <v/>
      </c>
      <c r="M709" s="80" t="str">
        <f t="shared" si="2"/>
        <v/>
      </c>
    </row>
    <row r="710">
      <c r="A710" s="86"/>
      <c r="B710" s="73"/>
      <c r="C710" s="73"/>
      <c r="D710" s="73"/>
      <c r="E710" s="88"/>
      <c r="F710" s="73"/>
      <c r="G710" s="394"/>
      <c r="H710" s="77"/>
      <c r="I710" s="88"/>
      <c r="J710" s="393">
        <v>44312.0</v>
      </c>
      <c r="K710" s="393">
        <f t="shared" si="4"/>
        <v>44313</v>
      </c>
      <c r="L710" s="394" t="str">
        <f>IFERROR(__xludf.DUMMYFUNCTION("JOIN("""", G710:H710)"),"")</f>
        <v/>
      </c>
      <c r="M710" s="80" t="str">
        <f t="shared" si="2"/>
        <v/>
      </c>
    </row>
    <row r="711">
      <c r="A711" s="86"/>
      <c r="B711" s="73"/>
      <c r="C711" s="73"/>
      <c r="D711" s="73"/>
      <c r="E711" s="88"/>
      <c r="F711" s="73"/>
      <c r="G711" s="394"/>
      <c r="H711" s="77"/>
      <c r="I711" s="88"/>
      <c r="J711" s="393">
        <v>44312.0</v>
      </c>
      <c r="K711" s="393">
        <f t="shared" si="4"/>
        <v>44313</v>
      </c>
      <c r="L711" s="394" t="str">
        <f>IFERROR(__xludf.DUMMYFUNCTION("JOIN("""", G711:H711)"),"")</f>
        <v/>
      </c>
      <c r="M711" s="80" t="str">
        <f t="shared" si="2"/>
        <v/>
      </c>
    </row>
    <row r="712">
      <c r="A712" s="86"/>
      <c r="B712" s="73"/>
      <c r="C712" s="73"/>
      <c r="D712" s="73"/>
      <c r="E712" s="88"/>
      <c r="F712" s="73"/>
      <c r="G712" s="394"/>
      <c r="H712" s="77"/>
      <c r="I712" s="88"/>
      <c r="J712" s="393">
        <v>44312.0</v>
      </c>
      <c r="K712" s="393">
        <f t="shared" si="4"/>
        <v>44313</v>
      </c>
      <c r="L712" s="394" t="str">
        <f>IFERROR(__xludf.DUMMYFUNCTION("JOIN("""", G712:H712)"),"")</f>
        <v/>
      </c>
      <c r="M712" s="80" t="str">
        <f t="shared" si="2"/>
        <v/>
      </c>
    </row>
    <row r="713">
      <c r="A713" s="86"/>
      <c r="B713" s="73"/>
      <c r="C713" s="73"/>
      <c r="D713" s="73"/>
      <c r="E713" s="88"/>
      <c r="F713" s="73"/>
      <c r="G713" s="394"/>
      <c r="H713" s="77"/>
      <c r="I713" s="88"/>
      <c r="J713" s="393">
        <v>44312.0</v>
      </c>
      <c r="K713" s="393">
        <f t="shared" si="4"/>
        <v>44313</v>
      </c>
      <c r="L713" s="394" t="str">
        <f>IFERROR(__xludf.DUMMYFUNCTION("JOIN("""", G713:H713)"),"")</f>
        <v/>
      </c>
      <c r="M713" s="80" t="str">
        <f t="shared" si="2"/>
        <v/>
      </c>
    </row>
    <row r="714">
      <c r="A714" s="86"/>
      <c r="B714" s="73"/>
      <c r="C714" s="73"/>
      <c r="D714" s="73"/>
      <c r="E714" s="88"/>
      <c r="F714" s="73"/>
      <c r="G714" s="394"/>
      <c r="H714" s="77"/>
      <c r="I714" s="88"/>
      <c r="J714" s="393">
        <v>44313.0</v>
      </c>
      <c r="K714" s="393">
        <f t="shared" si="4"/>
        <v>44314</v>
      </c>
      <c r="L714" s="394" t="str">
        <f>IFERROR(__xludf.DUMMYFUNCTION("JOIN("""", G714:H714)"),"")</f>
        <v/>
      </c>
      <c r="M714" s="80" t="str">
        <f t="shared" si="2"/>
        <v/>
      </c>
    </row>
    <row r="715">
      <c r="A715" s="86"/>
      <c r="B715" s="73"/>
      <c r="C715" s="73"/>
      <c r="D715" s="73"/>
      <c r="E715" s="88"/>
      <c r="F715" s="73"/>
      <c r="G715" s="394"/>
      <c r="H715" s="77"/>
      <c r="I715" s="88"/>
      <c r="J715" s="393">
        <v>44313.0</v>
      </c>
      <c r="K715" s="393">
        <f t="shared" si="4"/>
        <v>44314</v>
      </c>
      <c r="L715" s="394" t="str">
        <f>IFERROR(__xludf.DUMMYFUNCTION("JOIN("""", G715:H715)"),"")</f>
        <v/>
      </c>
      <c r="M715" s="80" t="str">
        <f t="shared" si="2"/>
        <v/>
      </c>
    </row>
    <row r="716">
      <c r="A716" s="86"/>
      <c r="B716" s="73"/>
      <c r="C716" s="73"/>
      <c r="D716" s="73"/>
      <c r="E716" s="88"/>
      <c r="F716" s="73"/>
      <c r="G716" s="394"/>
      <c r="H716" s="77"/>
      <c r="I716" s="88"/>
      <c r="J716" s="393">
        <v>44314.0</v>
      </c>
      <c r="K716" s="393">
        <f t="shared" si="4"/>
        <v>44315</v>
      </c>
      <c r="L716" s="394" t="str">
        <f>IFERROR(__xludf.DUMMYFUNCTION("JOIN("""", G716:H716)"),"")</f>
        <v/>
      </c>
      <c r="M716" s="80" t="str">
        <f t="shared" si="2"/>
        <v/>
      </c>
    </row>
    <row r="717">
      <c r="A717" s="86"/>
      <c r="B717" s="73"/>
      <c r="C717" s="73"/>
      <c r="D717" s="73"/>
      <c r="E717" s="88"/>
      <c r="F717" s="73"/>
      <c r="G717" s="394"/>
      <c r="H717" s="77"/>
      <c r="I717" s="88"/>
      <c r="J717" s="393">
        <v>44317.0</v>
      </c>
      <c r="K717" s="393">
        <f t="shared" si="4"/>
        <v>44318</v>
      </c>
      <c r="L717" s="394" t="str">
        <f>IFERROR(__xludf.DUMMYFUNCTION("JOIN("""", G717:H717)"),"")</f>
        <v/>
      </c>
      <c r="M717" s="80" t="str">
        <f t="shared" si="2"/>
        <v/>
      </c>
    </row>
    <row r="718">
      <c r="A718" s="86"/>
      <c r="B718" s="73"/>
      <c r="C718" s="73"/>
      <c r="D718" s="73"/>
      <c r="E718" s="88"/>
      <c r="F718" s="73"/>
      <c r="G718" s="394"/>
      <c r="H718" s="77"/>
      <c r="I718" s="88"/>
      <c r="J718" s="393">
        <v>44317.0</v>
      </c>
      <c r="K718" s="393">
        <f t="shared" si="4"/>
        <v>44318</v>
      </c>
      <c r="L718" s="394" t="str">
        <f>IFERROR(__xludf.DUMMYFUNCTION("JOIN("""", G718:H718)"),"")</f>
        <v/>
      </c>
      <c r="M718" s="80" t="str">
        <f t="shared" si="2"/>
        <v/>
      </c>
    </row>
    <row r="719">
      <c r="A719" s="86"/>
      <c r="B719" s="73"/>
      <c r="C719" s="73"/>
      <c r="D719" s="73"/>
      <c r="E719" s="88"/>
      <c r="F719" s="73"/>
      <c r="G719" s="394"/>
      <c r="H719" s="77"/>
      <c r="I719" s="88"/>
      <c r="J719" s="393">
        <v>44317.0</v>
      </c>
      <c r="K719" s="393">
        <f t="shared" si="4"/>
        <v>44318</v>
      </c>
      <c r="L719" s="394" t="str">
        <f>IFERROR(__xludf.DUMMYFUNCTION("JOIN("""", G719:H719)"),"")</f>
        <v/>
      </c>
      <c r="M719" s="80" t="str">
        <f t="shared" si="2"/>
        <v/>
      </c>
    </row>
    <row r="720">
      <c r="A720" s="86"/>
      <c r="B720" s="73"/>
      <c r="C720" s="73"/>
      <c r="D720" s="73"/>
      <c r="E720" s="88"/>
      <c r="F720" s="73"/>
      <c r="G720" s="394"/>
      <c r="H720" s="77"/>
      <c r="I720" s="88"/>
      <c r="J720" s="393">
        <v>44317.0</v>
      </c>
      <c r="K720" s="393">
        <f t="shared" si="4"/>
        <v>44318</v>
      </c>
      <c r="L720" s="394" t="str">
        <f>IFERROR(__xludf.DUMMYFUNCTION("JOIN("""", G720:H720)"),"")</f>
        <v/>
      </c>
      <c r="M720" s="80" t="str">
        <f t="shared" si="2"/>
        <v/>
      </c>
    </row>
    <row r="721">
      <c r="A721" s="86"/>
      <c r="B721" s="73"/>
      <c r="C721" s="73"/>
      <c r="D721" s="73"/>
      <c r="E721" s="88"/>
      <c r="F721" s="73"/>
      <c r="G721" s="394"/>
      <c r="H721" s="77"/>
      <c r="I721" s="88"/>
      <c r="J721" s="393">
        <v>44317.0</v>
      </c>
      <c r="K721" s="393">
        <f t="shared" si="4"/>
        <v>44318</v>
      </c>
      <c r="L721" s="394" t="str">
        <f>IFERROR(__xludf.DUMMYFUNCTION("JOIN("""", G721:H721)"),"")</f>
        <v/>
      </c>
      <c r="M721" s="80" t="str">
        <f t="shared" si="2"/>
        <v/>
      </c>
    </row>
    <row r="722">
      <c r="A722" s="86"/>
      <c r="B722" s="73"/>
      <c r="C722" s="73"/>
      <c r="D722" s="73"/>
      <c r="E722" s="88"/>
      <c r="F722" s="73"/>
      <c r="G722" s="394"/>
      <c r="H722" s="77"/>
      <c r="I722" s="88"/>
      <c r="J722" s="393">
        <v>44317.0</v>
      </c>
      <c r="K722" s="393">
        <f t="shared" si="4"/>
        <v>44318</v>
      </c>
      <c r="L722" s="394" t="str">
        <f>IFERROR(__xludf.DUMMYFUNCTION("JOIN("""", G722:H722)"),"")</f>
        <v/>
      </c>
      <c r="M722" s="80" t="str">
        <f t="shared" si="2"/>
        <v/>
      </c>
    </row>
    <row r="723">
      <c r="A723" s="86"/>
      <c r="B723" s="73"/>
      <c r="C723" s="73"/>
      <c r="D723" s="73"/>
      <c r="E723" s="88"/>
      <c r="F723" s="73"/>
      <c r="G723" s="394"/>
      <c r="H723" s="77"/>
      <c r="I723" s="88"/>
      <c r="J723" s="393">
        <v>44317.0</v>
      </c>
      <c r="K723" s="393">
        <f t="shared" si="4"/>
        <v>44318</v>
      </c>
      <c r="L723" s="394" t="str">
        <f>IFERROR(__xludf.DUMMYFUNCTION("JOIN("""", G723:H723)"),"")</f>
        <v/>
      </c>
      <c r="M723" s="80" t="str">
        <f t="shared" si="2"/>
        <v/>
      </c>
    </row>
    <row r="724">
      <c r="A724" s="86"/>
      <c r="B724" s="73"/>
      <c r="C724" s="73"/>
      <c r="D724" s="73"/>
      <c r="E724" s="88"/>
      <c r="F724" s="73"/>
      <c r="G724" s="394"/>
      <c r="H724" s="77"/>
      <c r="I724" s="88"/>
      <c r="J724" s="393">
        <v>44317.0</v>
      </c>
      <c r="K724" s="393">
        <f t="shared" si="4"/>
        <v>44318</v>
      </c>
      <c r="L724" s="394" t="str">
        <f>IFERROR(__xludf.DUMMYFUNCTION("JOIN("""", G724:H724)"),"")</f>
        <v/>
      </c>
      <c r="M724" s="80" t="str">
        <f t="shared" si="2"/>
        <v/>
      </c>
    </row>
    <row r="725">
      <c r="A725" s="86"/>
      <c r="B725" s="73"/>
      <c r="C725" s="73"/>
      <c r="D725" s="73"/>
      <c r="E725" s="88"/>
      <c r="F725" s="73"/>
      <c r="G725" s="394"/>
      <c r="H725" s="77"/>
      <c r="I725" s="88"/>
      <c r="J725" s="393">
        <v>44318.0</v>
      </c>
      <c r="K725" s="393">
        <f t="shared" si="4"/>
        <v>44319</v>
      </c>
      <c r="L725" s="394" t="str">
        <f>IFERROR(__xludf.DUMMYFUNCTION("JOIN("""", G725:H725)"),"")</f>
        <v/>
      </c>
      <c r="M725" s="80" t="str">
        <f t="shared" si="2"/>
        <v/>
      </c>
    </row>
    <row r="726">
      <c r="A726" s="86"/>
      <c r="B726" s="73"/>
      <c r="C726" s="73"/>
      <c r="D726" s="73"/>
      <c r="E726" s="88"/>
      <c r="F726" s="73"/>
      <c r="G726" s="394"/>
      <c r="H726" s="77"/>
      <c r="I726" s="88"/>
      <c r="J726" s="393">
        <v>44318.0</v>
      </c>
      <c r="K726" s="393">
        <f t="shared" si="4"/>
        <v>44319</v>
      </c>
      <c r="L726" s="394" t="str">
        <f>IFERROR(__xludf.DUMMYFUNCTION("JOIN("""", G726:H726)"),"")</f>
        <v/>
      </c>
      <c r="M726" s="80" t="str">
        <f t="shared" si="2"/>
        <v/>
      </c>
    </row>
    <row r="727">
      <c r="A727" s="86"/>
      <c r="B727" s="73"/>
      <c r="C727" s="73"/>
      <c r="D727" s="73"/>
      <c r="E727" s="88"/>
      <c r="F727" s="73"/>
      <c r="G727" s="394"/>
      <c r="H727" s="77"/>
      <c r="I727" s="88"/>
      <c r="J727" s="393">
        <v>44318.0</v>
      </c>
      <c r="K727" s="393">
        <f t="shared" si="4"/>
        <v>44319</v>
      </c>
      <c r="L727" s="394" t="str">
        <f>IFERROR(__xludf.DUMMYFUNCTION("JOIN("""", G727:H727)"),"")</f>
        <v/>
      </c>
      <c r="M727" s="80" t="str">
        <f t="shared" si="2"/>
        <v/>
      </c>
    </row>
    <row r="728">
      <c r="A728" s="86"/>
      <c r="B728" s="73"/>
      <c r="C728" s="73"/>
      <c r="D728" s="73"/>
      <c r="E728" s="88"/>
      <c r="F728" s="73"/>
      <c r="G728" s="394"/>
      <c r="H728" s="77"/>
      <c r="I728" s="88"/>
      <c r="J728" s="393">
        <v>44324.0</v>
      </c>
      <c r="K728" s="393">
        <f t="shared" si="4"/>
        <v>44325</v>
      </c>
      <c r="L728" s="394" t="str">
        <f>IFERROR(__xludf.DUMMYFUNCTION("JOIN("""", G728:H728)"),"")</f>
        <v/>
      </c>
      <c r="M728" s="80" t="str">
        <f t="shared" si="2"/>
        <v/>
      </c>
    </row>
    <row r="729">
      <c r="A729" s="86"/>
      <c r="B729" s="73"/>
      <c r="C729" s="73"/>
      <c r="D729" s="73"/>
      <c r="E729" s="88"/>
      <c r="F729" s="73"/>
      <c r="G729" s="394"/>
      <c r="H729" s="77"/>
      <c r="I729" s="88"/>
      <c r="J729" s="393">
        <v>44324.0</v>
      </c>
      <c r="K729" s="393">
        <f t="shared" si="4"/>
        <v>44325</v>
      </c>
      <c r="L729" s="394" t="str">
        <f>IFERROR(__xludf.DUMMYFUNCTION("JOIN("""", G729:H729)"),"")</f>
        <v/>
      </c>
      <c r="M729" s="80" t="str">
        <f t="shared" si="2"/>
        <v/>
      </c>
    </row>
    <row r="730">
      <c r="A730" s="86"/>
      <c r="B730" s="73"/>
      <c r="C730" s="73"/>
      <c r="D730" s="73"/>
      <c r="E730" s="88"/>
      <c r="F730" s="73"/>
      <c r="G730" s="394"/>
      <c r="H730" s="77"/>
      <c r="I730" s="88"/>
      <c r="J730" s="393">
        <v>44324.0</v>
      </c>
      <c r="K730" s="393">
        <f t="shared" si="4"/>
        <v>44325</v>
      </c>
      <c r="L730" s="394" t="str">
        <f>IFERROR(__xludf.DUMMYFUNCTION("JOIN("""", G730:H730)"),"")</f>
        <v/>
      </c>
      <c r="M730" s="80" t="str">
        <f t="shared" si="2"/>
        <v/>
      </c>
    </row>
    <row r="731">
      <c r="A731" s="86"/>
      <c r="B731" s="73"/>
      <c r="C731" s="73"/>
      <c r="D731" s="73"/>
      <c r="E731" s="88"/>
      <c r="F731" s="73"/>
      <c r="G731" s="394"/>
      <c r="H731" s="77"/>
      <c r="I731" s="88"/>
      <c r="J731" s="393">
        <v>44324.0</v>
      </c>
      <c r="K731" s="393">
        <f t="shared" si="4"/>
        <v>44325</v>
      </c>
      <c r="L731" s="394" t="str">
        <f>IFERROR(__xludf.DUMMYFUNCTION("JOIN("""", G731:H731)"),"")</f>
        <v/>
      </c>
      <c r="M731" s="80" t="str">
        <f t="shared" si="2"/>
        <v/>
      </c>
    </row>
    <row r="732">
      <c r="A732" s="86"/>
      <c r="B732" s="73"/>
      <c r="C732" s="73"/>
      <c r="D732" s="73"/>
      <c r="E732" s="88"/>
      <c r="F732" s="73"/>
      <c r="G732" s="394"/>
      <c r="H732" s="77"/>
      <c r="I732" s="88"/>
      <c r="J732" s="393">
        <v>44324.0</v>
      </c>
      <c r="K732" s="393">
        <f t="shared" si="4"/>
        <v>44325</v>
      </c>
      <c r="L732" s="394" t="str">
        <f>IFERROR(__xludf.DUMMYFUNCTION("JOIN("""", G732:H732)"),"")</f>
        <v/>
      </c>
      <c r="M732" s="80" t="str">
        <f t="shared" si="2"/>
        <v/>
      </c>
    </row>
    <row r="733">
      <c r="A733" s="86"/>
      <c r="B733" s="73"/>
      <c r="C733" s="73"/>
      <c r="D733" s="73"/>
      <c r="E733" s="88"/>
      <c r="F733" s="73"/>
      <c r="G733" s="394"/>
      <c r="H733" s="77"/>
      <c r="I733" s="88"/>
      <c r="J733" s="393">
        <v>44324.0</v>
      </c>
      <c r="K733" s="393">
        <f t="shared" si="4"/>
        <v>44325</v>
      </c>
      <c r="L733" s="394" t="str">
        <f>IFERROR(__xludf.DUMMYFUNCTION("JOIN("""", G733:H733)"),"")</f>
        <v/>
      </c>
      <c r="M733" s="80" t="str">
        <f t="shared" si="2"/>
        <v/>
      </c>
    </row>
    <row r="734">
      <c r="A734" s="86"/>
      <c r="B734" s="73"/>
      <c r="C734" s="73"/>
      <c r="D734" s="73"/>
      <c r="E734" s="88"/>
      <c r="F734" s="73"/>
      <c r="G734" s="394"/>
      <c r="H734" s="77"/>
      <c r="I734" s="88"/>
      <c r="J734" s="393">
        <v>44324.0</v>
      </c>
      <c r="K734" s="393">
        <f t="shared" si="4"/>
        <v>44325</v>
      </c>
      <c r="L734" s="394" t="str">
        <f>IFERROR(__xludf.DUMMYFUNCTION("JOIN("""", G734:H734)"),"")</f>
        <v/>
      </c>
      <c r="M734" s="80" t="str">
        <f t="shared" si="2"/>
        <v/>
      </c>
    </row>
    <row r="735">
      <c r="A735" s="86"/>
      <c r="B735" s="73"/>
      <c r="C735" s="73"/>
      <c r="D735" s="73"/>
      <c r="E735" s="88"/>
      <c r="F735" s="73"/>
      <c r="G735" s="394"/>
      <c r="H735" s="77"/>
      <c r="I735" s="88"/>
      <c r="J735" s="393">
        <v>44324.0</v>
      </c>
      <c r="K735" s="393">
        <f t="shared" si="4"/>
        <v>44325</v>
      </c>
      <c r="L735" s="394" t="str">
        <f>IFERROR(__xludf.DUMMYFUNCTION("JOIN("""", G735:H735)"),"")</f>
        <v/>
      </c>
      <c r="M735" s="80" t="str">
        <f t="shared" si="2"/>
        <v/>
      </c>
    </row>
    <row r="736">
      <c r="A736" s="86"/>
      <c r="B736" s="73"/>
      <c r="C736" s="73"/>
      <c r="D736" s="73"/>
      <c r="E736" s="88"/>
      <c r="F736" s="73"/>
      <c r="G736" s="394"/>
      <c r="H736" s="77"/>
      <c r="I736" s="88"/>
      <c r="J736" s="393">
        <v>44324.0</v>
      </c>
      <c r="K736" s="393">
        <f t="shared" si="4"/>
        <v>44325</v>
      </c>
      <c r="L736" s="394" t="str">
        <f>IFERROR(__xludf.DUMMYFUNCTION("JOIN("""", G736:H736)"),"")</f>
        <v/>
      </c>
      <c r="M736" s="80" t="str">
        <f t="shared" si="2"/>
        <v/>
      </c>
    </row>
    <row r="737">
      <c r="A737" s="86"/>
      <c r="B737" s="73"/>
      <c r="C737" s="73"/>
      <c r="D737" s="73"/>
      <c r="E737" s="88"/>
      <c r="F737" s="73"/>
      <c r="G737" s="394"/>
      <c r="H737" s="77"/>
      <c r="I737" s="88"/>
      <c r="J737" s="393">
        <v>44325.0</v>
      </c>
      <c r="K737" s="393">
        <f t="shared" si="4"/>
        <v>44326</v>
      </c>
      <c r="L737" s="394" t="str">
        <f>IFERROR(__xludf.DUMMYFUNCTION("JOIN("""", G737:H737)"),"")</f>
        <v/>
      </c>
      <c r="M737" s="80" t="str">
        <f t="shared" si="2"/>
        <v/>
      </c>
    </row>
    <row r="738">
      <c r="A738" s="86"/>
      <c r="B738" s="73"/>
      <c r="C738" s="73"/>
      <c r="D738" s="73"/>
      <c r="E738" s="88"/>
      <c r="F738" s="73"/>
      <c r="G738" s="394"/>
      <c r="H738" s="77"/>
      <c r="I738" s="88"/>
      <c r="J738" s="393">
        <v>44340.0</v>
      </c>
      <c r="K738" s="393">
        <f t="shared" si="4"/>
        <v>44341</v>
      </c>
      <c r="L738" s="394" t="str">
        <f>IFERROR(__xludf.DUMMYFUNCTION("JOIN("""", G738:H738)"),"")</f>
        <v/>
      </c>
      <c r="M738" s="80" t="str">
        <f t="shared" si="2"/>
        <v/>
      </c>
    </row>
    <row r="739">
      <c r="A739" s="86"/>
      <c r="B739" s="73"/>
      <c r="C739" s="73"/>
      <c r="D739" s="73"/>
      <c r="E739" s="88"/>
      <c r="F739" s="73"/>
      <c r="G739" s="394"/>
      <c r="H739" s="77"/>
      <c r="I739" s="88"/>
      <c r="J739" s="393">
        <v>44340.0</v>
      </c>
      <c r="K739" s="393">
        <f t="shared" si="4"/>
        <v>44341</v>
      </c>
      <c r="L739" s="394" t="str">
        <f>IFERROR(__xludf.DUMMYFUNCTION("JOIN("""", G739:H739)"),"")</f>
        <v/>
      </c>
      <c r="M739" s="80" t="str">
        <f t="shared" si="2"/>
        <v/>
      </c>
    </row>
    <row r="740">
      <c r="A740" s="86"/>
      <c r="B740" s="73"/>
      <c r="C740" s="73"/>
      <c r="D740" s="73"/>
      <c r="E740" s="88"/>
      <c r="F740" s="73"/>
      <c r="G740" s="394"/>
      <c r="H740" s="77"/>
      <c r="I740" s="88"/>
      <c r="J740" s="393">
        <v>44340.0</v>
      </c>
      <c r="K740" s="393">
        <f t="shared" si="4"/>
        <v>44341</v>
      </c>
      <c r="L740" s="394" t="str">
        <f>IFERROR(__xludf.DUMMYFUNCTION("JOIN("""", G740:H740)"),"")</f>
        <v/>
      </c>
      <c r="M740" s="80" t="str">
        <f t="shared" si="2"/>
        <v/>
      </c>
    </row>
    <row r="741">
      <c r="A741" s="86"/>
      <c r="B741" s="73"/>
      <c r="C741" s="73"/>
      <c r="D741" s="73"/>
      <c r="E741" s="88"/>
      <c r="F741" s="73"/>
      <c r="G741" s="394"/>
      <c r="H741" s="77"/>
      <c r="I741" s="88"/>
      <c r="J741" s="393">
        <v>44340.0</v>
      </c>
      <c r="K741" s="393">
        <f t="shared" si="4"/>
        <v>44341</v>
      </c>
      <c r="L741" s="394" t="str">
        <f>IFERROR(__xludf.DUMMYFUNCTION("JOIN("""", G741:H741)"),"")</f>
        <v/>
      </c>
      <c r="M741" s="80" t="str">
        <f t="shared" si="2"/>
        <v/>
      </c>
    </row>
    <row r="742">
      <c r="A742" s="86"/>
      <c r="B742" s="73"/>
      <c r="C742" s="73"/>
      <c r="D742" s="73"/>
      <c r="E742" s="88"/>
      <c r="F742" s="73"/>
      <c r="G742" s="394"/>
      <c r="H742" s="77"/>
      <c r="I742" s="88"/>
      <c r="J742" s="393">
        <v>44340.0</v>
      </c>
      <c r="K742" s="393">
        <f t="shared" si="4"/>
        <v>44341</v>
      </c>
      <c r="L742" s="394" t="str">
        <f>IFERROR(__xludf.DUMMYFUNCTION("JOIN("""", G742:H742)"),"")</f>
        <v/>
      </c>
      <c r="M742" s="80" t="str">
        <f t="shared" si="2"/>
        <v/>
      </c>
    </row>
    <row r="743">
      <c r="A743" s="86"/>
      <c r="B743" s="73"/>
      <c r="C743" s="73"/>
      <c r="D743" s="73"/>
      <c r="E743" s="88"/>
      <c r="F743" s="73"/>
      <c r="G743" s="394"/>
      <c r="H743" s="77"/>
      <c r="I743" s="88"/>
      <c r="J743" s="393">
        <v>44340.0</v>
      </c>
      <c r="K743" s="393">
        <f t="shared" si="4"/>
        <v>44341</v>
      </c>
      <c r="L743" s="394" t="str">
        <f>IFERROR(__xludf.DUMMYFUNCTION("JOIN("""", G743:H743)"),"")</f>
        <v/>
      </c>
      <c r="M743" s="80" t="str">
        <f t="shared" si="2"/>
        <v/>
      </c>
    </row>
    <row r="744">
      <c r="A744" s="86"/>
      <c r="B744" s="73"/>
      <c r="C744" s="73"/>
      <c r="D744" s="73"/>
      <c r="E744" s="88"/>
      <c r="F744" s="73"/>
      <c r="G744" s="394"/>
      <c r="H744" s="77"/>
      <c r="I744" s="88"/>
      <c r="J744" s="393">
        <v>44340.0</v>
      </c>
      <c r="K744" s="393">
        <f t="shared" si="4"/>
        <v>44341</v>
      </c>
      <c r="L744" s="394" t="str">
        <f>IFERROR(__xludf.DUMMYFUNCTION("JOIN("""", G744:H744)"),"")</f>
        <v/>
      </c>
      <c r="M744" s="80" t="str">
        <f t="shared" si="2"/>
        <v/>
      </c>
    </row>
    <row r="745">
      <c r="A745" s="86"/>
      <c r="B745" s="73"/>
      <c r="C745" s="73"/>
      <c r="D745" s="73"/>
      <c r="E745" s="88"/>
      <c r="F745" s="73"/>
      <c r="G745" s="394"/>
      <c r="H745" s="77"/>
      <c r="I745" s="88"/>
      <c r="J745" s="402">
        <v>44340.0</v>
      </c>
      <c r="K745" s="393">
        <f t="shared" si="4"/>
        <v>44341</v>
      </c>
      <c r="L745" s="394" t="str">
        <f>IFERROR(__xludf.DUMMYFUNCTION("JOIN("""", G745:H745)"),"")</f>
        <v/>
      </c>
      <c r="M745" s="80" t="str">
        <f t="shared" si="2"/>
        <v/>
      </c>
    </row>
    <row r="746">
      <c r="A746" s="86"/>
      <c r="B746" s="73"/>
      <c r="C746" s="73"/>
      <c r="D746" s="73"/>
      <c r="E746" s="88"/>
      <c r="F746" s="73"/>
      <c r="G746" s="394"/>
      <c r="H746" s="77"/>
      <c r="I746" s="88"/>
      <c r="J746" s="393">
        <v>44340.0</v>
      </c>
      <c r="K746" s="393">
        <f t="shared" si="4"/>
        <v>44341</v>
      </c>
      <c r="L746" s="394" t="str">
        <f>IFERROR(__xludf.DUMMYFUNCTION("JOIN("""", G746:H746)"),"")</f>
        <v/>
      </c>
      <c r="M746" s="80" t="str">
        <f t="shared" si="2"/>
        <v/>
      </c>
    </row>
    <row r="747">
      <c r="A747" s="86"/>
      <c r="B747" s="73"/>
      <c r="C747" s="73"/>
      <c r="D747" s="73"/>
      <c r="E747" s="88"/>
      <c r="F747" s="73"/>
      <c r="G747" s="394"/>
      <c r="H747" s="77"/>
      <c r="I747" s="88"/>
      <c r="J747" s="393">
        <v>44340.0</v>
      </c>
      <c r="K747" s="393">
        <f t="shared" si="4"/>
        <v>44341</v>
      </c>
      <c r="L747" s="394" t="str">
        <f>IFERROR(__xludf.DUMMYFUNCTION("JOIN("""", G747:H747)"),"")</f>
        <v/>
      </c>
      <c r="M747" s="80" t="str">
        <f t="shared" si="2"/>
        <v/>
      </c>
    </row>
    <row r="748">
      <c r="A748" s="86"/>
      <c r="B748" s="73"/>
      <c r="C748" s="73"/>
      <c r="D748" s="73"/>
      <c r="E748" s="88"/>
      <c r="F748" s="73"/>
      <c r="G748" s="394"/>
      <c r="H748" s="77"/>
      <c r="I748" s="88"/>
      <c r="J748" s="393">
        <v>44359.0</v>
      </c>
      <c r="K748" s="393">
        <f t="shared" si="4"/>
        <v>44360</v>
      </c>
      <c r="L748" s="394" t="str">
        <f>IFERROR(__xludf.DUMMYFUNCTION("JOIN("""", G748:H748)"),"")</f>
        <v/>
      </c>
      <c r="M748" s="80" t="str">
        <f t="shared" si="2"/>
        <v/>
      </c>
    </row>
    <row r="749">
      <c r="A749" s="86"/>
      <c r="B749" s="73"/>
      <c r="C749" s="73"/>
      <c r="D749" s="73"/>
      <c r="E749" s="88"/>
      <c r="F749" s="73"/>
      <c r="G749" s="394"/>
      <c r="H749" s="77"/>
      <c r="I749" s="88"/>
      <c r="J749" s="393">
        <v>44342.0</v>
      </c>
      <c r="K749" s="393">
        <f t="shared" si="4"/>
        <v>44343</v>
      </c>
      <c r="L749" s="394" t="str">
        <f>IFERROR(__xludf.DUMMYFUNCTION("JOIN("""", G749:H749)"),"")</f>
        <v/>
      </c>
      <c r="M749" s="80" t="str">
        <f t="shared" si="2"/>
        <v/>
      </c>
    </row>
    <row r="750">
      <c r="A750" s="86"/>
      <c r="B750" s="73"/>
      <c r="C750" s="73"/>
      <c r="D750" s="73"/>
      <c r="E750" s="88"/>
      <c r="F750" s="73"/>
      <c r="G750" s="394"/>
      <c r="H750" s="77"/>
      <c r="I750" s="88"/>
      <c r="J750" s="393">
        <v>44343.0</v>
      </c>
      <c r="K750" s="393">
        <f t="shared" si="4"/>
        <v>44344</v>
      </c>
      <c r="L750" s="394" t="str">
        <f>IFERROR(__xludf.DUMMYFUNCTION("JOIN("""", G750:H750)"),"")</f>
        <v/>
      </c>
      <c r="M750" s="80" t="str">
        <f t="shared" si="2"/>
        <v/>
      </c>
    </row>
    <row r="751">
      <c r="A751" s="86"/>
      <c r="B751" s="73"/>
      <c r="C751" s="73"/>
      <c r="D751" s="73"/>
      <c r="E751" s="88"/>
      <c r="F751" s="73"/>
      <c r="G751" s="394"/>
      <c r="H751" s="77"/>
      <c r="I751" s="88"/>
      <c r="J751" s="393">
        <v>44343.0</v>
      </c>
      <c r="K751" s="393">
        <f t="shared" si="4"/>
        <v>44344</v>
      </c>
      <c r="L751" s="394" t="str">
        <f>IFERROR(__xludf.DUMMYFUNCTION("JOIN("""", G751:H751)"),"")</f>
        <v/>
      </c>
      <c r="M751" s="80" t="str">
        <f t="shared" si="2"/>
        <v/>
      </c>
    </row>
    <row r="752">
      <c r="A752" s="86"/>
      <c r="B752" s="73"/>
      <c r="C752" s="73"/>
      <c r="D752" s="73"/>
      <c r="E752" s="88"/>
      <c r="F752" s="73"/>
      <c r="G752" s="394"/>
      <c r="H752" s="77"/>
      <c r="I752" s="88"/>
      <c r="J752" s="393">
        <v>44343.0</v>
      </c>
      <c r="K752" s="393">
        <f t="shared" si="4"/>
        <v>44344</v>
      </c>
      <c r="L752" s="394" t="str">
        <f>IFERROR(__xludf.DUMMYFUNCTION("JOIN("""", G752:H752)"),"")</f>
        <v/>
      </c>
      <c r="M752" s="80" t="str">
        <f t="shared" si="2"/>
        <v/>
      </c>
    </row>
    <row r="753">
      <c r="A753" s="86"/>
      <c r="B753" s="73"/>
      <c r="C753" s="73"/>
      <c r="D753" s="73"/>
      <c r="E753" s="88"/>
      <c r="F753" s="73"/>
      <c r="G753" s="394"/>
      <c r="H753" s="77"/>
      <c r="I753" s="88"/>
      <c r="J753" s="393">
        <v>44344.0</v>
      </c>
      <c r="K753" s="393">
        <f t="shared" si="4"/>
        <v>44345</v>
      </c>
      <c r="L753" s="394" t="str">
        <f>IFERROR(__xludf.DUMMYFUNCTION("JOIN("""", G753:H753)"),"")</f>
        <v/>
      </c>
      <c r="M753" s="80" t="str">
        <f t="shared" si="2"/>
        <v/>
      </c>
    </row>
    <row r="754">
      <c r="A754" s="86"/>
      <c r="B754" s="73"/>
      <c r="C754" s="73"/>
      <c r="D754" s="73"/>
      <c r="E754" s="88"/>
      <c r="F754" s="73"/>
      <c r="G754" s="394"/>
      <c r="H754" s="77"/>
      <c r="I754" s="88"/>
      <c r="J754" s="393">
        <v>44345.0</v>
      </c>
      <c r="K754" s="393">
        <f t="shared" si="4"/>
        <v>44346</v>
      </c>
      <c r="L754" s="394" t="str">
        <f>IFERROR(__xludf.DUMMYFUNCTION("JOIN("""", G754:H754)"),"")</f>
        <v/>
      </c>
      <c r="M754" s="80" t="str">
        <f t="shared" si="2"/>
        <v/>
      </c>
    </row>
    <row r="755">
      <c r="A755" s="86"/>
      <c r="B755" s="73"/>
      <c r="C755" s="73"/>
      <c r="D755" s="73"/>
      <c r="E755" s="88"/>
      <c r="F755" s="73"/>
      <c r="G755" s="394"/>
      <c r="H755" s="77"/>
      <c r="I755" s="88"/>
      <c r="J755" s="393">
        <v>44345.0</v>
      </c>
      <c r="K755" s="393">
        <f t="shared" si="4"/>
        <v>44346</v>
      </c>
      <c r="L755" s="394" t="str">
        <f>IFERROR(__xludf.DUMMYFUNCTION("JOIN("""", G755:H755)"),"")</f>
        <v/>
      </c>
      <c r="M755" s="80" t="str">
        <f t="shared" si="2"/>
        <v/>
      </c>
    </row>
    <row r="756">
      <c r="A756" s="86"/>
      <c r="B756" s="73"/>
      <c r="C756" s="73"/>
      <c r="D756" s="73"/>
      <c r="E756" s="88"/>
      <c r="F756" s="73"/>
      <c r="G756" s="394"/>
      <c r="H756" s="77"/>
      <c r="I756" s="88"/>
      <c r="J756" s="393">
        <v>44345.0</v>
      </c>
      <c r="K756" s="393">
        <f t="shared" si="4"/>
        <v>44346</v>
      </c>
      <c r="L756" s="394" t="str">
        <f>IFERROR(__xludf.DUMMYFUNCTION("JOIN("""", G756:H756)"),"")</f>
        <v/>
      </c>
      <c r="M756" s="80" t="str">
        <f t="shared" si="2"/>
        <v/>
      </c>
    </row>
    <row r="757">
      <c r="A757" s="86"/>
      <c r="B757" s="73"/>
      <c r="C757" s="73"/>
      <c r="D757" s="73"/>
      <c r="E757" s="88"/>
      <c r="F757" s="73"/>
      <c r="G757" s="394"/>
      <c r="H757" s="77"/>
      <c r="I757" s="88"/>
      <c r="J757" s="393">
        <v>44345.0</v>
      </c>
      <c r="K757" s="393">
        <f t="shared" si="4"/>
        <v>44346</v>
      </c>
      <c r="L757" s="394" t="str">
        <f>IFERROR(__xludf.DUMMYFUNCTION("JOIN("""", G757:H757)"),"")</f>
        <v/>
      </c>
      <c r="M757" s="80" t="str">
        <f t="shared" si="2"/>
        <v/>
      </c>
    </row>
    <row r="758">
      <c r="A758" s="86"/>
      <c r="B758" s="73"/>
      <c r="C758" s="73"/>
      <c r="D758" s="73"/>
      <c r="E758" s="88"/>
      <c r="F758" s="73"/>
      <c r="G758" s="394"/>
      <c r="H758" s="77"/>
      <c r="I758" s="88"/>
      <c r="J758" s="393">
        <v>44345.0</v>
      </c>
      <c r="K758" s="393">
        <f t="shared" si="4"/>
        <v>44346</v>
      </c>
      <c r="L758" s="394" t="str">
        <f>IFERROR(__xludf.DUMMYFUNCTION("JOIN("""", G758:H758)"),"")</f>
        <v/>
      </c>
      <c r="M758" s="80" t="str">
        <f t="shared" si="2"/>
        <v/>
      </c>
    </row>
    <row r="759">
      <c r="A759" s="86"/>
      <c r="B759" s="73"/>
      <c r="C759" s="73"/>
      <c r="D759" s="73"/>
      <c r="E759" s="88"/>
      <c r="F759" s="73"/>
      <c r="G759" s="394"/>
      <c r="H759" s="77"/>
      <c r="I759" s="88"/>
      <c r="J759" s="393">
        <v>44349.0</v>
      </c>
      <c r="K759" s="393">
        <f t="shared" si="4"/>
        <v>44350</v>
      </c>
      <c r="L759" s="394" t="str">
        <f>IFERROR(__xludf.DUMMYFUNCTION("JOIN("""", G759:H759)"),"")</f>
        <v/>
      </c>
      <c r="M759" s="80" t="str">
        <f t="shared" si="2"/>
        <v/>
      </c>
    </row>
    <row r="760">
      <c r="A760" s="86"/>
      <c r="B760" s="73"/>
      <c r="C760" s="73"/>
      <c r="D760" s="73"/>
      <c r="E760" s="88"/>
      <c r="F760" s="73"/>
      <c r="G760" s="394"/>
      <c r="H760" s="77"/>
      <c r="I760" s="88"/>
      <c r="J760" s="393">
        <v>44349.0</v>
      </c>
      <c r="K760" s="393">
        <f t="shared" si="4"/>
        <v>44350</v>
      </c>
      <c r="L760" s="394" t="str">
        <f>IFERROR(__xludf.DUMMYFUNCTION("JOIN("""", G760:H760)"),"")</f>
        <v/>
      </c>
      <c r="M760" s="80" t="str">
        <f t="shared" si="2"/>
        <v/>
      </c>
    </row>
    <row r="761">
      <c r="A761" s="86"/>
      <c r="B761" s="73"/>
      <c r="C761" s="73"/>
      <c r="D761" s="73"/>
      <c r="E761" s="88"/>
      <c r="F761" s="73"/>
      <c r="G761" s="394"/>
      <c r="H761" s="77"/>
      <c r="I761" s="88"/>
      <c r="J761" s="393">
        <v>44349.0</v>
      </c>
      <c r="K761" s="393">
        <f t="shared" si="4"/>
        <v>44350</v>
      </c>
      <c r="L761" s="394" t="str">
        <f>IFERROR(__xludf.DUMMYFUNCTION("JOIN("""", G761:H761)"),"")</f>
        <v/>
      </c>
      <c r="M761" s="80" t="str">
        <f t="shared" si="2"/>
        <v/>
      </c>
    </row>
    <row r="762">
      <c r="A762" s="86"/>
      <c r="B762" s="73"/>
      <c r="C762" s="73"/>
      <c r="D762" s="73"/>
      <c r="E762" s="88"/>
      <c r="F762" s="73"/>
      <c r="G762" s="394"/>
      <c r="H762" s="77"/>
      <c r="I762" s="88"/>
      <c r="J762" s="393">
        <v>44349.0</v>
      </c>
      <c r="K762" s="393">
        <f t="shared" si="4"/>
        <v>44350</v>
      </c>
      <c r="L762" s="394" t="str">
        <f>IFERROR(__xludf.DUMMYFUNCTION("JOIN("""", G762:H762)"),"")</f>
        <v/>
      </c>
      <c r="M762" s="80" t="str">
        <f t="shared" si="2"/>
        <v/>
      </c>
    </row>
    <row r="763">
      <c r="A763" s="86"/>
      <c r="B763" s="73"/>
      <c r="C763" s="73"/>
      <c r="D763" s="73"/>
      <c r="E763" s="88"/>
      <c r="F763" s="73"/>
      <c r="G763" s="394"/>
      <c r="H763" s="77"/>
      <c r="I763" s="88"/>
      <c r="J763" s="393">
        <v>44349.0</v>
      </c>
      <c r="K763" s="393">
        <f t="shared" si="4"/>
        <v>44350</v>
      </c>
      <c r="L763" s="394" t="str">
        <f>IFERROR(__xludf.DUMMYFUNCTION("JOIN("""", G763:H763)"),"")</f>
        <v/>
      </c>
      <c r="M763" s="80" t="str">
        <f t="shared" si="2"/>
        <v/>
      </c>
    </row>
    <row r="764">
      <c r="A764" s="86"/>
      <c r="B764" s="73"/>
      <c r="C764" s="73"/>
      <c r="D764" s="73"/>
      <c r="E764" s="88"/>
      <c r="F764" s="73"/>
      <c r="G764" s="394"/>
      <c r="H764" s="77"/>
      <c r="I764" s="88"/>
      <c r="J764" s="393">
        <v>44349.0</v>
      </c>
      <c r="K764" s="393">
        <f t="shared" si="4"/>
        <v>44350</v>
      </c>
      <c r="L764" s="394" t="str">
        <f>IFERROR(__xludf.DUMMYFUNCTION("JOIN("""", G764:H764)"),"")</f>
        <v/>
      </c>
      <c r="M764" s="80" t="str">
        <f t="shared" si="2"/>
        <v/>
      </c>
    </row>
    <row r="765">
      <c r="A765" s="86"/>
      <c r="B765" s="73"/>
      <c r="C765" s="73"/>
      <c r="D765" s="73"/>
      <c r="E765" s="88"/>
      <c r="F765" s="73"/>
      <c r="G765" s="394"/>
      <c r="H765" s="77"/>
      <c r="I765" s="88"/>
      <c r="J765" s="393">
        <v>44349.0</v>
      </c>
      <c r="K765" s="393">
        <f t="shared" si="4"/>
        <v>44350</v>
      </c>
      <c r="L765" s="394" t="str">
        <f>IFERROR(__xludf.DUMMYFUNCTION("JOIN("""", G765:H765)"),"")</f>
        <v/>
      </c>
      <c r="M765" s="80" t="str">
        <f t="shared" si="2"/>
        <v/>
      </c>
    </row>
    <row r="766">
      <c r="A766" s="86"/>
      <c r="B766" s="73"/>
      <c r="C766" s="73"/>
      <c r="D766" s="73"/>
      <c r="E766" s="88"/>
      <c r="F766" s="73"/>
      <c r="G766" s="394"/>
      <c r="H766" s="77"/>
      <c r="I766" s="88"/>
      <c r="J766" s="393">
        <v>44349.0</v>
      </c>
      <c r="K766" s="393">
        <f t="shared" si="4"/>
        <v>44350</v>
      </c>
      <c r="L766" s="394" t="str">
        <f>IFERROR(__xludf.DUMMYFUNCTION("JOIN("""", G766:H766)"),"")</f>
        <v/>
      </c>
      <c r="M766" s="80" t="str">
        <f t="shared" si="2"/>
        <v/>
      </c>
    </row>
    <row r="767">
      <c r="A767" s="86"/>
      <c r="B767" s="73"/>
      <c r="C767" s="73"/>
      <c r="D767" s="73"/>
      <c r="E767" s="88"/>
      <c r="F767" s="73"/>
      <c r="G767" s="394"/>
      <c r="H767" s="77"/>
      <c r="I767" s="88"/>
      <c r="J767" s="393">
        <v>44354.0</v>
      </c>
      <c r="K767" s="393">
        <f t="shared" si="4"/>
        <v>44355</v>
      </c>
      <c r="L767" s="394" t="str">
        <f>IFERROR(__xludf.DUMMYFUNCTION("JOIN("""", G767:H767)"),"")</f>
        <v/>
      </c>
      <c r="M767" s="80" t="str">
        <f t="shared" si="2"/>
        <v/>
      </c>
    </row>
    <row r="768">
      <c r="A768" s="86"/>
      <c r="B768" s="73"/>
      <c r="C768" s="73"/>
      <c r="D768" s="73"/>
      <c r="E768" s="88"/>
      <c r="F768" s="73"/>
      <c r="G768" s="394"/>
      <c r="H768" s="77"/>
      <c r="I768" s="88"/>
      <c r="J768" s="393">
        <v>44349.0</v>
      </c>
      <c r="K768" s="393">
        <f t="shared" si="4"/>
        <v>44350</v>
      </c>
      <c r="L768" s="394" t="str">
        <f>IFERROR(__xludf.DUMMYFUNCTION("JOIN("""", G768:H768)"),"")</f>
        <v/>
      </c>
      <c r="M768" s="80" t="str">
        <f t="shared" si="2"/>
        <v/>
      </c>
    </row>
    <row r="769">
      <c r="A769" s="86"/>
      <c r="B769" s="73"/>
      <c r="C769" s="73"/>
      <c r="D769" s="73"/>
      <c r="E769" s="88"/>
      <c r="F769" s="73"/>
      <c r="G769" s="394"/>
      <c r="H769" s="77"/>
      <c r="I769" s="88"/>
      <c r="J769" s="393">
        <v>44349.0</v>
      </c>
      <c r="K769" s="393">
        <f t="shared" si="4"/>
        <v>44350</v>
      </c>
      <c r="L769" s="394" t="str">
        <f>IFERROR(__xludf.DUMMYFUNCTION("JOIN("""", G769:H769)"),"")</f>
        <v/>
      </c>
      <c r="M769" s="80" t="str">
        <f t="shared" si="2"/>
        <v/>
      </c>
    </row>
    <row r="770">
      <c r="A770" s="86"/>
      <c r="B770" s="73"/>
      <c r="C770" s="73"/>
      <c r="D770" s="73"/>
      <c r="E770" s="88"/>
      <c r="F770" s="73"/>
      <c r="G770" s="394"/>
      <c r="H770" s="77"/>
      <c r="I770" s="88"/>
      <c r="J770" s="393">
        <v>44349.0</v>
      </c>
      <c r="K770" s="393">
        <f t="shared" si="4"/>
        <v>44350</v>
      </c>
      <c r="L770" s="394" t="str">
        <f>IFERROR(__xludf.DUMMYFUNCTION("JOIN("""", G770:H770)"),"")</f>
        <v/>
      </c>
      <c r="M770" s="80" t="str">
        <f t="shared" si="2"/>
        <v/>
      </c>
    </row>
    <row r="771">
      <c r="A771" s="86"/>
      <c r="B771" s="73"/>
      <c r="C771" s="73"/>
      <c r="D771" s="73"/>
      <c r="E771" s="88"/>
      <c r="F771" s="73"/>
      <c r="G771" s="394"/>
      <c r="H771" s="77"/>
      <c r="I771" s="88"/>
      <c r="J771" s="393">
        <v>44349.0</v>
      </c>
      <c r="K771" s="393">
        <f t="shared" si="4"/>
        <v>44350</v>
      </c>
      <c r="L771" s="394" t="str">
        <f>IFERROR(__xludf.DUMMYFUNCTION("JOIN("""", G771:H771)"),"")</f>
        <v/>
      </c>
      <c r="M771" s="80" t="str">
        <f t="shared" si="2"/>
        <v/>
      </c>
    </row>
    <row r="772">
      <c r="A772" s="86"/>
      <c r="B772" s="73"/>
      <c r="C772" s="73"/>
      <c r="D772" s="73"/>
      <c r="E772" s="88"/>
      <c r="F772" s="73"/>
      <c r="G772" s="394"/>
      <c r="H772" s="77"/>
      <c r="I772" s="88"/>
      <c r="J772" s="393">
        <v>44349.0</v>
      </c>
      <c r="K772" s="393">
        <f t="shared" si="4"/>
        <v>44350</v>
      </c>
      <c r="L772" s="394" t="str">
        <f>IFERROR(__xludf.DUMMYFUNCTION("JOIN("""", G772:H772)"),"")</f>
        <v/>
      </c>
      <c r="M772" s="80" t="str">
        <f t="shared" si="2"/>
        <v/>
      </c>
    </row>
    <row r="773">
      <c r="A773" s="86"/>
      <c r="B773" s="73"/>
      <c r="C773" s="73"/>
      <c r="D773" s="73"/>
      <c r="E773" s="88"/>
      <c r="F773" s="73"/>
      <c r="G773" s="394"/>
      <c r="H773" s="77"/>
      <c r="I773" s="88"/>
      <c r="J773" s="393">
        <v>44349.0</v>
      </c>
      <c r="K773" s="393">
        <f t="shared" si="4"/>
        <v>44350</v>
      </c>
      <c r="L773" s="394" t="str">
        <f>IFERROR(__xludf.DUMMYFUNCTION("JOIN("""", G773:H773)"),"")</f>
        <v/>
      </c>
      <c r="M773" s="80" t="str">
        <f t="shared" si="2"/>
        <v/>
      </c>
    </row>
    <row r="774">
      <c r="A774" s="86"/>
      <c r="B774" s="73"/>
      <c r="C774" s="73"/>
      <c r="D774" s="73"/>
      <c r="E774" s="88"/>
      <c r="F774" s="73"/>
      <c r="G774" s="394"/>
      <c r="H774" s="77"/>
      <c r="I774" s="88"/>
      <c r="J774" s="393">
        <v>44349.0</v>
      </c>
      <c r="K774" s="393">
        <f t="shared" si="4"/>
        <v>44350</v>
      </c>
      <c r="L774" s="394" t="str">
        <f>IFERROR(__xludf.DUMMYFUNCTION("JOIN("""", G774:H774)"),"")</f>
        <v/>
      </c>
      <c r="M774" s="80" t="str">
        <f t="shared" si="2"/>
        <v/>
      </c>
    </row>
    <row r="775">
      <c r="A775" s="86"/>
      <c r="B775" s="73"/>
      <c r="C775" s="73"/>
      <c r="D775" s="73"/>
      <c r="E775" s="88"/>
      <c r="F775" s="73"/>
      <c r="G775" s="394"/>
      <c r="H775" s="77"/>
      <c r="I775" s="88"/>
      <c r="J775" s="393">
        <v>44349.0</v>
      </c>
      <c r="K775" s="393">
        <f t="shared" si="4"/>
        <v>44350</v>
      </c>
      <c r="L775" s="394" t="str">
        <f>IFERROR(__xludf.DUMMYFUNCTION("JOIN("""", G775:H775)"),"")</f>
        <v/>
      </c>
      <c r="M775" s="80" t="str">
        <f t="shared" si="2"/>
        <v/>
      </c>
    </row>
    <row r="776">
      <c r="A776" s="86"/>
      <c r="B776" s="73"/>
      <c r="C776" s="73"/>
      <c r="D776" s="73"/>
      <c r="E776" s="88"/>
      <c r="F776" s="73"/>
      <c r="G776" s="394"/>
      <c r="H776" s="77"/>
      <c r="I776" s="88"/>
      <c r="J776" s="393">
        <v>44349.0</v>
      </c>
      <c r="K776" s="393">
        <f t="shared" si="4"/>
        <v>44350</v>
      </c>
      <c r="L776" s="394" t="str">
        <f>IFERROR(__xludf.DUMMYFUNCTION("JOIN("""", G776:H776)"),"")</f>
        <v/>
      </c>
      <c r="M776" s="80" t="str">
        <f t="shared" si="2"/>
        <v/>
      </c>
    </row>
    <row r="777">
      <c r="A777" s="86"/>
      <c r="B777" s="73"/>
      <c r="C777" s="73"/>
      <c r="D777" s="73"/>
      <c r="E777" s="88"/>
      <c r="F777" s="73"/>
      <c r="G777" s="394"/>
      <c r="H777" s="77"/>
      <c r="I777" s="88"/>
      <c r="J777" s="393">
        <v>44349.0</v>
      </c>
      <c r="K777" s="393">
        <f t="shared" si="4"/>
        <v>44350</v>
      </c>
      <c r="L777" s="394" t="str">
        <f>IFERROR(__xludf.DUMMYFUNCTION("JOIN("""", G777:H777)"),"")</f>
        <v/>
      </c>
      <c r="M777" s="80" t="str">
        <f t="shared" si="2"/>
        <v/>
      </c>
    </row>
    <row r="778">
      <c r="A778" s="86"/>
      <c r="B778" s="73"/>
      <c r="C778" s="73"/>
      <c r="D778" s="73"/>
      <c r="E778" s="88"/>
      <c r="F778" s="73"/>
      <c r="G778" s="394"/>
      <c r="H778" s="77"/>
      <c r="I778" s="88"/>
      <c r="J778" s="393">
        <v>44351.0</v>
      </c>
      <c r="K778" s="393">
        <f t="shared" si="4"/>
        <v>44352</v>
      </c>
      <c r="L778" s="394" t="str">
        <f>IFERROR(__xludf.DUMMYFUNCTION("JOIN("""", G778:H778)"),"")</f>
        <v/>
      </c>
      <c r="M778" s="80" t="str">
        <f t="shared" si="2"/>
        <v/>
      </c>
    </row>
    <row r="779">
      <c r="A779" s="86"/>
      <c r="B779" s="73"/>
      <c r="C779" s="73"/>
      <c r="D779" s="73"/>
      <c r="E779" s="88"/>
      <c r="F779" s="73"/>
      <c r="G779" s="394"/>
      <c r="H779" s="77"/>
      <c r="I779" s="88"/>
      <c r="J779" s="393">
        <v>44349.0</v>
      </c>
      <c r="K779" s="393">
        <f t="shared" si="4"/>
        <v>44350</v>
      </c>
      <c r="L779" s="394" t="str">
        <f>IFERROR(__xludf.DUMMYFUNCTION("JOIN("""", G779:H779)"),"")</f>
        <v/>
      </c>
      <c r="M779" s="80" t="str">
        <f t="shared" si="2"/>
        <v/>
      </c>
    </row>
    <row r="780">
      <c r="A780" s="86"/>
      <c r="B780" s="73"/>
      <c r="C780" s="73"/>
      <c r="D780" s="73"/>
      <c r="E780" s="88"/>
      <c r="F780" s="73"/>
      <c r="G780" s="394"/>
      <c r="H780" s="77"/>
      <c r="I780" s="88"/>
      <c r="J780" s="393">
        <v>44350.0</v>
      </c>
      <c r="K780" s="393">
        <f t="shared" si="4"/>
        <v>44351</v>
      </c>
      <c r="L780" s="394" t="str">
        <f>IFERROR(__xludf.DUMMYFUNCTION("JOIN("""", G780:H780)"),"")</f>
        <v/>
      </c>
      <c r="M780" s="80" t="str">
        <f t="shared" si="2"/>
        <v/>
      </c>
    </row>
    <row r="781">
      <c r="A781" s="86"/>
      <c r="B781" s="73"/>
      <c r="C781" s="73"/>
      <c r="D781" s="73"/>
      <c r="E781" s="88"/>
      <c r="F781" s="73"/>
      <c r="G781" s="394"/>
      <c r="H781" s="77"/>
      <c r="I781" s="88"/>
      <c r="J781" s="393">
        <v>44350.0</v>
      </c>
      <c r="K781" s="393">
        <f t="shared" si="4"/>
        <v>44351</v>
      </c>
      <c r="L781" s="394" t="str">
        <f>IFERROR(__xludf.DUMMYFUNCTION("JOIN("""", G781:H781)"),"")</f>
        <v/>
      </c>
      <c r="M781" s="80" t="str">
        <f t="shared" si="2"/>
        <v/>
      </c>
    </row>
    <row r="782">
      <c r="A782" s="86"/>
      <c r="B782" s="73"/>
      <c r="C782" s="73"/>
      <c r="D782" s="73"/>
      <c r="E782" s="88"/>
      <c r="F782" s="73"/>
      <c r="G782" s="394"/>
      <c r="H782" s="77"/>
      <c r="I782" s="88"/>
      <c r="J782" s="393">
        <v>44350.0</v>
      </c>
      <c r="K782" s="393">
        <f t="shared" si="4"/>
        <v>44351</v>
      </c>
      <c r="L782" s="394" t="str">
        <f>IFERROR(__xludf.DUMMYFUNCTION("JOIN("""", G782:H782)"),"")</f>
        <v/>
      </c>
      <c r="M782" s="80" t="str">
        <f t="shared" si="2"/>
        <v/>
      </c>
    </row>
    <row r="783">
      <c r="A783" s="86"/>
      <c r="B783" s="73"/>
      <c r="C783" s="73"/>
      <c r="D783" s="73"/>
      <c r="E783" s="88"/>
      <c r="F783" s="73"/>
      <c r="G783" s="394"/>
      <c r="H783" s="77"/>
      <c r="I783" s="88"/>
      <c r="J783" s="393">
        <v>44350.0</v>
      </c>
      <c r="K783" s="393">
        <f t="shared" si="4"/>
        <v>44351</v>
      </c>
      <c r="L783" s="394" t="str">
        <f>IFERROR(__xludf.DUMMYFUNCTION("JOIN("""", G783:H783)"),"")</f>
        <v/>
      </c>
      <c r="M783" s="80" t="str">
        <f t="shared" si="2"/>
        <v/>
      </c>
    </row>
    <row r="784">
      <c r="A784" s="86"/>
      <c r="B784" s="73"/>
      <c r="C784" s="73"/>
      <c r="D784" s="73"/>
      <c r="E784" s="88"/>
      <c r="F784" s="73"/>
      <c r="G784" s="394"/>
      <c r="H784" s="77"/>
      <c r="I784" s="88"/>
      <c r="J784" s="393">
        <v>44350.0</v>
      </c>
      <c r="K784" s="393">
        <f t="shared" si="4"/>
        <v>44351</v>
      </c>
      <c r="L784" s="394" t="str">
        <f>IFERROR(__xludf.DUMMYFUNCTION("JOIN("""", G784:H784)"),"")</f>
        <v/>
      </c>
      <c r="M784" s="80" t="str">
        <f t="shared" si="2"/>
        <v/>
      </c>
    </row>
    <row r="785">
      <c r="A785" s="86"/>
      <c r="B785" s="73"/>
      <c r="C785" s="73"/>
      <c r="D785" s="73"/>
      <c r="E785" s="88"/>
      <c r="F785" s="73"/>
      <c r="G785" s="394"/>
      <c r="H785" s="77"/>
      <c r="I785" s="88"/>
      <c r="J785" s="393">
        <v>44350.0</v>
      </c>
      <c r="K785" s="393">
        <f t="shared" si="4"/>
        <v>44351</v>
      </c>
      <c r="L785" s="394" t="str">
        <f>IFERROR(__xludf.DUMMYFUNCTION("JOIN("""", G785:H785)"),"")</f>
        <v/>
      </c>
      <c r="M785" s="80" t="str">
        <f t="shared" si="2"/>
        <v/>
      </c>
    </row>
    <row r="786">
      <c r="A786" s="86"/>
      <c r="B786" s="73"/>
      <c r="C786" s="73"/>
      <c r="D786" s="73"/>
      <c r="E786" s="88"/>
      <c r="F786" s="73"/>
      <c r="G786" s="394"/>
      <c r="H786" s="77"/>
      <c r="I786" s="88"/>
      <c r="J786" s="393">
        <v>44350.0</v>
      </c>
      <c r="K786" s="393">
        <f t="shared" si="4"/>
        <v>44351</v>
      </c>
      <c r="L786" s="394" t="str">
        <f>IFERROR(__xludf.DUMMYFUNCTION("JOIN("""", G786:H786)"),"")</f>
        <v/>
      </c>
      <c r="M786" s="80" t="str">
        <f t="shared" si="2"/>
        <v/>
      </c>
    </row>
    <row r="787">
      <c r="A787" s="86"/>
      <c r="B787" s="73"/>
      <c r="C787" s="73"/>
      <c r="D787" s="73"/>
      <c r="E787" s="88"/>
      <c r="F787" s="73"/>
      <c r="G787" s="394"/>
      <c r="H787" s="77"/>
      <c r="I787" s="88"/>
      <c r="J787" s="393">
        <v>44350.0</v>
      </c>
      <c r="K787" s="393">
        <f t="shared" si="4"/>
        <v>44351</v>
      </c>
      <c r="L787" s="394" t="str">
        <f>IFERROR(__xludf.DUMMYFUNCTION("JOIN("""", G787:H787)"),"")</f>
        <v/>
      </c>
      <c r="M787" s="80" t="str">
        <f t="shared" si="2"/>
        <v/>
      </c>
    </row>
    <row r="788">
      <c r="A788" s="86"/>
      <c r="B788" s="73"/>
      <c r="C788" s="73"/>
      <c r="D788" s="73"/>
      <c r="E788" s="88"/>
      <c r="F788" s="73"/>
      <c r="G788" s="394"/>
      <c r="H788" s="77"/>
      <c r="I788" s="88"/>
      <c r="J788" s="393">
        <v>44350.0</v>
      </c>
      <c r="K788" s="393">
        <f t="shared" si="4"/>
        <v>44351</v>
      </c>
      <c r="L788" s="394" t="str">
        <f>IFERROR(__xludf.DUMMYFUNCTION("JOIN("""", G788:H788)"),"")</f>
        <v/>
      </c>
      <c r="M788" s="80" t="str">
        <f t="shared" si="2"/>
        <v/>
      </c>
    </row>
    <row r="789">
      <c r="A789" s="86"/>
      <c r="B789" s="73"/>
      <c r="C789" s="73"/>
      <c r="D789" s="73"/>
      <c r="E789" s="88"/>
      <c r="F789" s="73"/>
      <c r="G789" s="394"/>
      <c r="H789" s="77"/>
      <c r="I789" s="88"/>
      <c r="J789" s="393">
        <v>44350.0</v>
      </c>
      <c r="K789" s="393">
        <f t="shared" si="4"/>
        <v>44351</v>
      </c>
      <c r="L789" s="394" t="str">
        <f>IFERROR(__xludf.DUMMYFUNCTION("JOIN("""", G789:H789)"),"")</f>
        <v/>
      </c>
      <c r="M789" s="80" t="str">
        <f t="shared" si="2"/>
        <v/>
      </c>
    </row>
    <row r="790">
      <c r="A790" s="86"/>
      <c r="B790" s="73"/>
      <c r="C790" s="73"/>
      <c r="D790" s="73"/>
      <c r="E790" s="88"/>
      <c r="F790" s="73"/>
      <c r="G790" s="394"/>
      <c r="H790" s="77"/>
      <c r="I790" s="88"/>
      <c r="J790" s="393">
        <v>44350.0</v>
      </c>
      <c r="K790" s="393">
        <f t="shared" si="4"/>
        <v>44351</v>
      </c>
      <c r="L790" s="394" t="str">
        <f>IFERROR(__xludf.DUMMYFUNCTION("JOIN("""", G790:H790)"),"")</f>
        <v/>
      </c>
      <c r="M790" s="80" t="str">
        <f t="shared" si="2"/>
        <v/>
      </c>
    </row>
    <row r="791">
      <c r="A791" s="86"/>
      <c r="B791" s="73"/>
      <c r="C791" s="73"/>
      <c r="D791" s="73"/>
      <c r="E791" s="88"/>
      <c r="F791" s="73"/>
      <c r="G791" s="394"/>
      <c r="H791" s="77"/>
      <c r="I791" s="88"/>
      <c r="J791" s="393">
        <v>44350.0</v>
      </c>
      <c r="K791" s="393">
        <f t="shared" si="4"/>
        <v>44351</v>
      </c>
      <c r="L791" s="394" t="str">
        <f>IFERROR(__xludf.DUMMYFUNCTION("JOIN("""", G791:H791)"),"")</f>
        <v/>
      </c>
      <c r="M791" s="80" t="str">
        <f t="shared" si="2"/>
        <v/>
      </c>
    </row>
    <row r="792">
      <c r="A792" s="86"/>
      <c r="B792" s="73"/>
      <c r="C792" s="73"/>
      <c r="D792" s="73"/>
      <c r="E792" s="88"/>
      <c r="F792" s="73"/>
      <c r="G792" s="394"/>
      <c r="H792" s="77"/>
      <c r="I792" s="88"/>
      <c r="J792" s="393">
        <v>44350.0</v>
      </c>
      <c r="K792" s="393">
        <f t="shared" si="4"/>
        <v>44351</v>
      </c>
      <c r="L792" s="394" t="str">
        <f>IFERROR(__xludf.DUMMYFUNCTION("JOIN("""", G792:H792)"),"")</f>
        <v/>
      </c>
      <c r="M792" s="80" t="str">
        <f t="shared" si="2"/>
        <v/>
      </c>
    </row>
    <row r="793">
      <c r="A793" s="86"/>
      <c r="B793" s="73"/>
      <c r="C793" s="73"/>
      <c r="D793" s="73"/>
      <c r="E793" s="88"/>
      <c r="F793" s="73"/>
      <c r="G793" s="394"/>
      <c r="H793" s="77"/>
      <c r="I793" s="88"/>
      <c r="J793" s="399">
        <v>44351.0</v>
      </c>
      <c r="K793" s="393">
        <f t="shared" si="4"/>
        <v>44352</v>
      </c>
      <c r="L793" s="394" t="str">
        <f>IFERROR(__xludf.DUMMYFUNCTION("JOIN("""", G793:H793)"),"")</f>
        <v/>
      </c>
      <c r="M793" s="80" t="str">
        <f t="shared" si="2"/>
        <v/>
      </c>
    </row>
    <row r="794">
      <c r="A794" s="86"/>
      <c r="B794" s="73"/>
      <c r="C794" s="73"/>
      <c r="D794" s="73"/>
      <c r="E794" s="88"/>
      <c r="F794" s="73"/>
      <c r="G794" s="394"/>
      <c r="H794" s="77"/>
      <c r="I794" s="88"/>
      <c r="J794" s="393">
        <v>44351.0</v>
      </c>
      <c r="K794" s="393">
        <f t="shared" si="4"/>
        <v>44352</v>
      </c>
      <c r="L794" s="394" t="str">
        <f>IFERROR(__xludf.DUMMYFUNCTION("JOIN("""", G794:H794)"),"")</f>
        <v/>
      </c>
      <c r="M794" s="80" t="str">
        <f t="shared" si="2"/>
        <v/>
      </c>
    </row>
    <row r="795">
      <c r="A795" s="86"/>
      <c r="B795" s="73"/>
      <c r="C795" s="73"/>
      <c r="D795" s="73"/>
      <c r="E795" s="88"/>
      <c r="F795" s="73"/>
      <c r="G795" s="394"/>
      <c r="H795" s="77"/>
      <c r="I795" s="88"/>
      <c r="J795" s="393">
        <v>44351.0</v>
      </c>
      <c r="K795" s="393">
        <f t="shared" si="4"/>
        <v>44352</v>
      </c>
      <c r="L795" s="394" t="str">
        <f>IFERROR(__xludf.DUMMYFUNCTION("JOIN("""", G795:H795)"),"")</f>
        <v/>
      </c>
      <c r="M795" s="80" t="str">
        <f t="shared" si="2"/>
        <v/>
      </c>
    </row>
    <row r="796">
      <c r="A796" s="86"/>
      <c r="B796" s="73"/>
      <c r="C796" s="73"/>
      <c r="D796" s="73"/>
      <c r="E796" s="88"/>
      <c r="F796" s="73"/>
      <c r="G796" s="394"/>
      <c r="H796" s="77"/>
      <c r="I796" s="88"/>
      <c r="J796" s="393">
        <v>44351.0</v>
      </c>
      <c r="K796" s="393">
        <f t="shared" si="4"/>
        <v>44352</v>
      </c>
      <c r="L796" s="394" t="str">
        <f>IFERROR(__xludf.DUMMYFUNCTION("JOIN("""", G796:H796)"),"")</f>
        <v/>
      </c>
      <c r="M796" s="80" t="str">
        <f t="shared" si="2"/>
        <v/>
      </c>
    </row>
    <row r="797">
      <c r="A797" s="86"/>
      <c r="B797" s="73"/>
      <c r="C797" s="73"/>
      <c r="D797" s="73"/>
      <c r="E797" s="88"/>
      <c r="F797" s="73"/>
      <c r="G797" s="394"/>
      <c r="H797" s="77"/>
      <c r="I797" s="88"/>
      <c r="J797" s="393">
        <v>44351.0</v>
      </c>
      <c r="K797" s="393">
        <f t="shared" si="4"/>
        <v>44352</v>
      </c>
      <c r="L797" s="394" t="str">
        <f>IFERROR(__xludf.DUMMYFUNCTION("JOIN("""", G797:H797)"),"")</f>
        <v/>
      </c>
      <c r="M797" s="80" t="str">
        <f t="shared" si="2"/>
        <v/>
      </c>
    </row>
    <row r="798">
      <c r="A798" s="86"/>
      <c r="B798" s="73"/>
      <c r="C798" s="73"/>
      <c r="D798" s="73"/>
      <c r="E798" s="88"/>
      <c r="F798" s="73"/>
      <c r="G798" s="394"/>
      <c r="H798" s="77"/>
      <c r="I798" s="88"/>
      <c r="J798" s="393">
        <v>44351.0</v>
      </c>
      <c r="K798" s="393">
        <f t="shared" si="4"/>
        <v>44352</v>
      </c>
      <c r="L798" s="394" t="str">
        <f>IFERROR(__xludf.DUMMYFUNCTION("JOIN("""", G798:H798)"),"")</f>
        <v/>
      </c>
      <c r="M798" s="80" t="str">
        <f t="shared" si="2"/>
        <v/>
      </c>
    </row>
    <row r="799">
      <c r="A799" s="86"/>
      <c r="B799" s="73"/>
      <c r="C799" s="73"/>
      <c r="D799" s="73"/>
      <c r="E799" s="88"/>
      <c r="F799" s="73"/>
      <c r="G799" s="394"/>
      <c r="H799" s="77"/>
      <c r="I799" s="88"/>
      <c r="J799" s="393">
        <v>44351.0</v>
      </c>
      <c r="K799" s="393">
        <f t="shared" si="4"/>
        <v>44352</v>
      </c>
      <c r="L799" s="394" t="str">
        <f>IFERROR(__xludf.DUMMYFUNCTION("JOIN("""", G799:H799)"),"")</f>
        <v/>
      </c>
      <c r="M799" s="80" t="str">
        <f t="shared" si="2"/>
        <v/>
      </c>
    </row>
    <row r="800">
      <c r="A800" s="86"/>
      <c r="B800" s="73"/>
      <c r="C800" s="73"/>
      <c r="D800" s="73"/>
      <c r="E800" s="88"/>
      <c r="F800" s="73"/>
      <c r="G800" s="394"/>
      <c r="H800" s="77"/>
      <c r="I800" s="88"/>
      <c r="J800" s="393">
        <v>44351.0</v>
      </c>
      <c r="K800" s="393">
        <f t="shared" si="4"/>
        <v>44352</v>
      </c>
      <c r="L800" s="394" t="str">
        <f>IFERROR(__xludf.DUMMYFUNCTION("JOIN("""", G800:H800)"),"")</f>
        <v/>
      </c>
      <c r="M800" s="80" t="str">
        <f t="shared" si="2"/>
        <v/>
      </c>
    </row>
    <row r="801">
      <c r="A801" s="86"/>
      <c r="B801" s="73"/>
      <c r="C801" s="73"/>
      <c r="D801" s="73"/>
      <c r="E801" s="88"/>
      <c r="F801" s="73"/>
      <c r="G801" s="394"/>
      <c r="H801" s="77"/>
      <c r="I801" s="88"/>
      <c r="J801" s="393">
        <v>44351.0</v>
      </c>
      <c r="K801" s="393">
        <f t="shared" si="4"/>
        <v>44352</v>
      </c>
      <c r="L801" s="394" t="str">
        <f>IFERROR(__xludf.DUMMYFUNCTION("JOIN("""", G801:H801)"),"")</f>
        <v/>
      </c>
      <c r="M801" s="80" t="str">
        <f t="shared" si="2"/>
        <v/>
      </c>
    </row>
    <row r="802">
      <c r="A802" s="86"/>
      <c r="B802" s="73"/>
      <c r="C802" s="73"/>
      <c r="D802" s="73"/>
      <c r="E802" s="88"/>
      <c r="F802" s="73"/>
      <c r="G802" s="394"/>
      <c r="H802" s="77"/>
      <c r="I802" s="88"/>
      <c r="J802" s="393">
        <v>44351.0</v>
      </c>
      <c r="K802" s="393">
        <f t="shared" si="4"/>
        <v>44352</v>
      </c>
      <c r="L802" s="394" t="str">
        <f>IFERROR(__xludf.DUMMYFUNCTION("JOIN("""", G802:H802)"),"")</f>
        <v/>
      </c>
      <c r="M802" s="80" t="str">
        <f t="shared" si="2"/>
        <v/>
      </c>
    </row>
    <row r="803">
      <c r="A803" s="86"/>
      <c r="B803" s="73"/>
      <c r="C803" s="73"/>
      <c r="D803" s="73"/>
      <c r="E803" s="88"/>
      <c r="F803" s="73"/>
      <c r="G803" s="394"/>
      <c r="H803" s="77"/>
      <c r="I803" s="88"/>
      <c r="J803" s="393">
        <v>44353.0</v>
      </c>
      <c r="K803" s="393">
        <f t="shared" si="4"/>
        <v>44354</v>
      </c>
      <c r="L803" s="394" t="str">
        <f>IFERROR(__xludf.DUMMYFUNCTION("JOIN("""", G803:H803)"),"")</f>
        <v/>
      </c>
      <c r="M803" s="80" t="str">
        <f t="shared" si="2"/>
        <v/>
      </c>
    </row>
    <row r="804">
      <c r="A804" s="86"/>
      <c r="B804" s="73"/>
      <c r="C804" s="73"/>
      <c r="D804" s="73"/>
      <c r="E804" s="88"/>
      <c r="F804" s="73"/>
      <c r="G804" s="394"/>
      <c r="H804" s="77"/>
      <c r="I804" s="88"/>
      <c r="J804" s="393">
        <v>44354.0</v>
      </c>
      <c r="K804" s="393">
        <f t="shared" si="4"/>
        <v>44355</v>
      </c>
      <c r="L804" s="394" t="str">
        <f>IFERROR(__xludf.DUMMYFUNCTION("JOIN("""", G804:H804)"),"")</f>
        <v/>
      </c>
      <c r="M804" s="80" t="str">
        <f t="shared" si="2"/>
        <v/>
      </c>
    </row>
    <row r="805">
      <c r="A805" s="86"/>
      <c r="B805" s="73"/>
      <c r="C805" s="73"/>
      <c r="D805" s="73"/>
      <c r="E805" s="88"/>
      <c r="F805" s="73"/>
      <c r="G805" s="394"/>
      <c r="H805" s="77"/>
      <c r="I805" s="88"/>
      <c r="J805" s="393">
        <v>44354.0</v>
      </c>
      <c r="K805" s="393">
        <f t="shared" si="4"/>
        <v>44355</v>
      </c>
      <c r="L805" s="394" t="str">
        <f>IFERROR(__xludf.DUMMYFUNCTION("JOIN("""", G805:H805)"),"")</f>
        <v/>
      </c>
      <c r="M805" s="80" t="str">
        <f t="shared" si="2"/>
        <v/>
      </c>
    </row>
    <row r="806">
      <c r="A806" s="86"/>
      <c r="B806" s="73"/>
      <c r="C806" s="73"/>
      <c r="D806" s="73"/>
      <c r="E806" s="88"/>
      <c r="F806" s="73"/>
      <c r="G806" s="394"/>
      <c r="H806" s="77"/>
      <c r="I806" s="88"/>
      <c r="J806" s="393">
        <v>44354.0</v>
      </c>
      <c r="K806" s="393">
        <f t="shared" si="4"/>
        <v>44355</v>
      </c>
      <c r="L806" s="394" t="str">
        <f>IFERROR(__xludf.DUMMYFUNCTION("JOIN("""", G806:H806)"),"")</f>
        <v/>
      </c>
      <c r="M806" s="80" t="str">
        <f t="shared" si="2"/>
        <v/>
      </c>
    </row>
    <row r="807">
      <c r="A807" s="86"/>
      <c r="B807" s="73"/>
      <c r="C807" s="73"/>
      <c r="D807" s="73"/>
      <c r="E807" s="88"/>
      <c r="F807" s="73"/>
      <c r="G807" s="394"/>
      <c r="H807" s="77"/>
      <c r="I807" s="88"/>
      <c r="J807" s="393">
        <v>44354.0</v>
      </c>
      <c r="K807" s="393">
        <f t="shared" si="4"/>
        <v>44355</v>
      </c>
      <c r="L807" s="394" t="str">
        <f>IFERROR(__xludf.DUMMYFUNCTION("JOIN("""", G807:H807)"),"")</f>
        <v/>
      </c>
      <c r="M807" s="80" t="str">
        <f t="shared" si="2"/>
        <v/>
      </c>
    </row>
    <row r="808">
      <c r="A808" s="86"/>
      <c r="B808" s="73"/>
      <c r="C808" s="73"/>
      <c r="D808" s="73"/>
      <c r="E808" s="88"/>
      <c r="F808" s="73"/>
      <c r="G808" s="394"/>
      <c r="H808" s="77"/>
      <c r="I808" s="88"/>
      <c r="J808" s="393">
        <v>44354.0</v>
      </c>
      <c r="K808" s="393">
        <f t="shared" si="4"/>
        <v>44355</v>
      </c>
      <c r="L808" s="394" t="str">
        <f>IFERROR(__xludf.DUMMYFUNCTION("JOIN("""", G808:H808)"),"")</f>
        <v/>
      </c>
      <c r="M808" s="80" t="str">
        <f t="shared" si="2"/>
        <v/>
      </c>
    </row>
    <row r="809">
      <c r="A809" s="86"/>
      <c r="B809" s="73"/>
      <c r="C809" s="73"/>
      <c r="D809" s="73"/>
      <c r="E809" s="88"/>
      <c r="F809" s="73"/>
      <c r="G809" s="394"/>
      <c r="H809" s="77"/>
      <c r="I809" s="88"/>
      <c r="J809" s="393">
        <v>44354.0</v>
      </c>
      <c r="K809" s="393">
        <f t="shared" si="4"/>
        <v>44355</v>
      </c>
      <c r="L809" s="394" t="str">
        <f>IFERROR(__xludf.DUMMYFUNCTION("JOIN("""", G809:H809)"),"")</f>
        <v/>
      </c>
      <c r="M809" s="80" t="str">
        <f t="shared" si="2"/>
        <v/>
      </c>
    </row>
    <row r="810">
      <c r="A810" s="86"/>
      <c r="B810" s="73"/>
      <c r="C810" s="73"/>
      <c r="D810" s="73"/>
      <c r="E810" s="88"/>
      <c r="F810" s="73"/>
      <c r="G810" s="394"/>
      <c r="H810" s="77"/>
      <c r="I810" s="88"/>
      <c r="J810" s="393">
        <v>44354.0</v>
      </c>
      <c r="K810" s="393">
        <f t="shared" si="4"/>
        <v>44355</v>
      </c>
      <c r="L810" s="394" t="str">
        <f>IFERROR(__xludf.DUMMYFUNCTION("JOIN("""", G810:H810)"),"")</f>
        <v/>
      </c>
      <c r="M810" s="80" t="str">
        <f t="shared" si="2"/>
        <v/>
      </c>
    </row>
    <row r="811">
      <c r="A811" s="86"/>
      <c r="B811" s="73"/>
      <c r="C811" s="73"/>
      <c r="D811" s="73"/>
      <c r="E811" s="88"/>
      <c r="F811" s="73"/>
      <c r="G811" s="394"/>
      <c r="H811" s="77"/>
      <c r="I811" s="88"/>
      <c r="J811" s="393">
        <v>44354.0</v>
      </c>
      <c r="K811" s="393">
        <f t="shared" si="4"/>
        <v>44355</v>
      </c>
      <c r="L811" s="394" t="str">
        <f>IFERROR(__xludf.DUMMYFUNCTION("JOIN("""", G811:H811)"),"")</f>
        <v/>
      </c>
      <c r="M811" s="80" t="str">
        <f t="shared" si="2"/>
        <v/>
      </c>
    </row>
    <row r="812">
      <c r="A812" s="86"/>
      <c r="B812" s="73"/>
      <c r="C812" s="73"/>
      <c r="D812" s="73"/>
      <c r="E812" s="88"/>
      <c r="F812" s="73"/>
      <c r="G812" s="394"/>
      <c r="H812" s="77"/>
      <c r="I812" s="88"/>
      <c r="J812" s="393">
        <v>44354.0</v>
      </c>
      <c r="K812" s="393">
        <f t="shared" si="4"/>
        <v>44355</v>
      </c>
      <c r="L812" s="394" t="str">
        <f>IFERROR(__xludf.DUMMYFUNCTION("JOIN("""", G812:H812)"),"")</f>
        <v/>
      </c>
      <c r="M812" s="80" t="str">
        <f t="shared" si="2"/>
        <v/>
      </c>
    </row>
    <row r="813">
      <c r="A813" s="86"/>
      <c r="B813" s="73"/>
      <c r="C813" s="73"/>
      <c r="D813" s="73"/>
      <c r="E813" s="88"/>
      <c r="F813" s="73"/>
      <c r="G813" s="394"/>
      <c r="H813" s="77"/>
      <c r="I813" s="88"/>
      <c r="J813" s="393">
        <v>44354.0</v>
      </c>
      <c r="K813" s="393">
        <f t="shared" si="4"/>
        <v>44355</v>
      </c>
      <c r="L813" s="394" t="str">
        <f>IFERROR(__xludf.DUMMYFUNCTION("JOIN("""", G813:H813)"),"")</f>
        <v/>
      </c>
      <c r="M813" s="80" t="str">
        <f t="shared" si="2"/>
        <v/>
      </c>
    </row>
    <row r="814">
      <c r="A814" s="86"/>
      <c r="B814" s="73"/>
      <c r="C814" s="73"/>
      <c r="D814" s="73"/>
      <c r="E814" s="88"/>
      <c r="F814" s="73"/>
      <c r="G814" s="394"/>
      <c r="H814" s="77"/>
      <c r="I814" s="88"/>
      <c r="J814" s="393">
        <v>44354.0</v>
      </c>
      <c r="K814" s="393">
        <f t="shared" si="4"/>
        <v>44355</v>
      </c>
      <c r="L814" s="394" t="str">
        <f>IFERROR(__xludf.DUMMYFUNCTION("JOIN("""", G814:H814)"),"")</f>
        <v/>
      </c>
      <c r="M814" s="80" t="str">
        <f t="shared" si="2"/>
        <v/>
      </c>
    </row>
    <row r="815">
      <c r="A815" s="86"/>
      <c r="B815" s="73"/>
      <c r="C815" s="73"/>
      <c r="D815" s="73"/>
      <c r="E815" s="88"/>
      <c r="F815" s="73"/>
      <c r="G815" s="394"/>
      <c r="H815" s="77"/>
      <c r="I815" s="88"/>
      <c r="J815" s="393">
        <v>44354.0</v>
      </c>
      <c r="K815" s="393">
        <f t="shared" si="4"/>
        <v>44355</v>
      </c>
      <c r="L815" s="394" t="str">
        <f>IFERROR(__xludf.DUMMYFUNCTION("JOIN("""", G815:H815)"),"")</f>
        <v/>
      </c>
      <c r="M815" s="80" t="str">
        <f t="shared" si="2"/>
        <v/>
      </c>
    </row>
    <row r="816">
      <c r="A816" s="86"/>
      <c r="B816" s="73"/>
      <c r="C816" s="73"/>
      <c r="D816" s="73"/>
      <c r="E816" s="88"/>
      <c r="F816" s="73"/>
      <c r="G816" s="394"/>
      <c r="H816" s="77"/>
      <c r="I816" s="88"/>
      <c r="J816" s="393">
        <v>44354.0</v>
      </c>
      <c r="K816" s="393">
        <f t="shared" si="4"/>
        <v>44355</v>
      </c>
      <c r="L816" s="394" t="str">
        <f>IFERROR(__xludf.DUMMYFUNCTION("JOIN("""", G816:H816)"),"")</f>
        <v/>
      </c>
      <c r="M816" s="80" t="str">
        <f t="shared" si="2"/>
        <v/>
      </c>
    </row>
    <row r="817">
      <c r="A817" s="86"/>
      <c r="B817" s="73"/>
      <c r="C817" s="73"/>
      <c r="D817" s="73"/>
      <c r="E817" s="88"/>
      <c r="F817" s="73"/>
      <c r="G817" s="394"/>
      <c r="H817" s="77"/>
      <c r="I817" s="88"/>
      <c r="J817" s="393">
        <v>44354.0</v>
      </c>
      <c r="K817" s="393">
        <f t="shared" si="4"/>
        <v>44355</v>
      </c>
      <c r="L817" s="394" t="str">
        <f>IFERROR(__xludf.DUMMYFUNCTION("JOIN("""", G817:H817)"),"")</f>
        <v/>
      </c>
      <c r="M817" s="80" t="str">
        <f t="shared" si="2"/>
        <v/>
      </c>
    </row>
    <row r="818">
      <c r="A818" s="86"/>
      <c r="B818" s="73"/>
      <c r="C818" s="73"/>
      <c r="D818" s="73"/>
      <c r="E818" s="88"/>
      <c r="F818" s="73"/>
      <c r="G818" s="394"/>
      <c r="H818" s="77"/>
      <c r="I818" s="88"/>
      <c r="J818" s="393">
        <v>44354.0</v>
      </c>
      <c r="K818" s="393">
        <f t="shared" si="4"/>
        <v>44355</v>
      </c>
      <c r="L818" s="394" t="str">
        <f>IFERROR(__xludf.DUMMYFUNCTION("JOIN("""", G818:H818)"),"")</f>
        <v/>
      </c>
      <c r="M818" s="80" t="str">
        <f t="shared" si="2"/>
        <v/>
      </c>
    </row>
    <row r="819">
      <c r="A819" s="86"/>
      <c r="B819" s="73"/>
      <c r="C819" s="73"/>
      <c r="D819" s="73"/>
      <c r="E819" s="88"/>
      <c r="F819" s="73"/>
      <c r="G819" s="394"/>
      <c r="H819" s="77"/>
      <c r="I819" s="88"/>
      <c r="J819" s="393">
        <v>44355.0</v>
      </c>
      <c r="K819" s="393">
        <f t="shared" si="4"/>
        <v>44356</v>
      </c>
      <c r="L819" s="394" t="str">
        <f>IFERROR(__xludf.DUMMYFUNCTION("JOIN("""", G819:H819)"),"")</f>
        <v/>
      </c>
      <c r="M819" s="80" t="str">
        <f t="shared" si="2"/>
        <v/>
      </c>
    </row>
    <row r="820">
      <c r="A820" s="86"/>
      <c r="B820" s="73"/>
      <c r="C820" s="73"/>
      <c r="D820" s="73"/>
      <c r="E820" s="88"/>
      <c r="F820" s="73"/>
      <c r="G820" s="394"/>
      <c r="H820" s="77"/>
      <c r="I820" s="88"/>
      <c r="J820" s="393">
        <v>44355.0</v>
      </c>
      <c r="K820" s="393">
        <f t="shared" si="4"/>
        <v>44356</v>
      </c>
      <c r="L820" s="394" t="str">
        <f>IFERROR(__xludf.DUMMYFUNCTION("JOIN("""", G820:H820)"),"")</f>
        <v/>
      </c>
      <c r="M820" s="80" t="str">
        <f t="shared" si="2"/>
        <v/>
      </c>
    </row>
    <row r="821">
      <c r="A821" s="86"/>
      <c r="B821" s="73"/>
      <c r="C821" s="73"/>
      <c r="D821" s="73"/>
      <c r="E821" s="88"/>
      <c r="F821" s="73"/>
      <c r="G821" s="394"/>
      <c r="H821" s="77"/>
      <c r="I821" s="88"/>
      <c r="J821" s="393">
        <v>44355.0</v>
      </c>
      <c r="K821" s="393">
        <f t="shared" si="4"/>
        <v>44356</v>
      </c>
      <c r="L821" s="394" t="str">
        <f>IFERROR(__xludf.DUMMYFUNCTION("JOIN("""", G821:H821)"),"")</f>
        <v/>
      </c>
      <c r="M821" s="80" t="str">
        <f t="shared" si="2"/>
        <v/>
      </c>
    </row>
    <row r="822">
      <c r="A822" s="86"/>
      <c r="B822" s="73"/>
      <c r="C822" s="73"/>
      <c r="D822" s="73"/>
      <c r="E822" s="88"/>
      <c r="F822" s="73"/>
      <c r="G822" s="394"/>
      <c r="H822" s="77"/>
      <c r="I822" s="88"/>
      <c r="J822" s="393">
        <v>44355.0</v>
      </c>
      <c r="K822" s="393">
        <f t="shared" si="4"/>
        <v>44356</v>
      </c>
      <c r="L822" s="394" t="str">
        <f>IFERROR(__xludf.DUMMYFUNCTION("JOIN("""", G822:H822)"),"")</f>
        <v/>
      </c>
      <c r="M822" s="80" t="str">
        <f t="shared" si="2"/>
        <v/>
      </c>
    </row>
    <row r="823">
      <c r="A823" s="86"/>
      <c r="B823" s="73"/>
      <c r="C823" s="73"/>
      <c r="D823" s="73"/>
      <c r="E823" s="88"/>
      <c r="F823" s="73"/>
      <c r="G823" s="394"/>
      <c r="H823" s="77"/>
      <c r="I823" s="88"/>
      <c r="J823" s="393">
        <v>44355.0</v>
      </c>
      <c r="K823" s="393">
        <f t="shared" si="4"/>
        <v>44356</v>
      </c>
      <c r="L823" s="394" t="str">
        <f>IFERROR(__xludf.DUMMYFUNCTION("JOIN("""", G823:H823)"),"")</f>
        <v/>
      </c>
      <c r="M823" s="80" t="str">
        <f t="shared" si="2"/>
        <v/>
      </c>
    </row>
    <row r="824">
      <c r="A824" s="86"/>
      <c r="B824" s="73"/>
      <c r="C824" s="73"/>
      <c r="D824" s="73"/>
      <c r="E824" s="88"/>
      <c r="F824" s="73"/>
      <c r="G824" s="394"/>
      <c r="H824" s="77"/>
      <c r="I824" s="88"/>
      <c r="J824" s="393">
        <v>44355.0</v>
      </c>
      <c r="K824" s="393">
        <f t="shared" si="4"/>
        <v>44356</v>
      </c>
      <c r="L824" s="394" t="str">
        <f>IFERROR(__xludf.DUMMYFUNCTION("JOIN("""", G824:H824)"),"")</f>
        <v/>
      </c>
      <c r="M824" s="80" t="str">
        <f t="shared" si="2"/>
        <v/>
      </c>
    </row>
    <row r="825">
      <c r="A825" s="86"/>
      <c r="B825" s="73"/>
      <c r="C825" s="73"/>
      <c r="D825" s="73"/>
      <c r="E825" s="88"/>
      <c r="F825" s="73"/>
      <c r="G825" s="394"/>
      <c r="H825" s="77"/>
      <c r="I825" s="88"/>
      <c r="J825" s="402">
        <v>44356.0</v>
      </c>
      <c r="K825" s="393">
        <f t="shared" si="4"/>
        <v>44357</v>
      </c>
      <c r="L825" s="394" t="str">
        <f>IFERROR(__xludf.DUMMYFUNCTION("JOIN("""", G825:H825)"),"")</f>
        <v/>
      </c>
      <c r="M825" s="80" t="str">
        <f t="shared" si="2"/>
        <v/>
      </c>
    </row>
    <row r="826">
      <c r="A826" s="86"/>
      <c r="B826" s="73"/>
      <c r="C826" s="73"/>
      <c r="D826" s="73"/>
      <c r="E826" s="88"/>
      <c r="F826" s="73"/>
      <c r="G826" s="394"/>
      <c r="H826" s="77"/>
      <c r="I826" s="88"/>
      <c r="J826" s="393">
        <v>44356.0</v>
      </c>
      <c r="K826" s="393">
        <f t="shared" si="4"/>
        <v>44357</v>
      </c>
      <c r="L826" s="394" t="str">
        <f>IFERROR(__xludf.DUMMYFUNCTION("JOIN("""", G826:H826)"),"")</f>
        <v/>
      </c>
      <c r="M826" s="80" t="str">
        <f t="shared" si="2"/>
        <v/>
      </c>
    </row>
    <row r="827">
      <c r="A827" s="86"/>
      <c r="B827" s="73"/>
      <c r="C827" s="73"/>
      <c r="D827" s="73"/>
      <c r="E827" s="88"/>
      <c r="F827" s="73"/>
      <c r="G827" s="394"/>
      <c r="H827" s="77"/>
      <c r="I827" s="88"/>
      <c r="J827" s="393">
        <v>44356.0</v>
      </c>
      <c r="K827" s="393">
        <f t="shared" si="4"/>
        <v>44357</v>
      </c>
      <c r="L827" s="394" t="str">
        <f>IFERROR(__xludf.DUMMYFUNCTION("JOIN("""", G827:H827)"),"")</f>
        <v/>
      </c>
      <c r="M827" s="80" t="str">
        <f t="shared" si="2"/>
        <v/>
      </c>
    </row>
    <row r="828">
      <c r="A828" s="86"/>
      <c r="B828" s="73"/>
      <c r="C828" s="73"/>
      <c r="D828" s="73"/>
      <c r="E828" s="88"/>
      <c r="F828" s="73"/>
      <c r="G828" s="394"/>
      <c r="H828" s="77"/>
      <c r="I828" s="88"/>
      <c r="J828" s="393">
        <v>44356.0</v>
      </c>
      <c r="K828" s="393">
        <f t="shared" si="4"/>
        <v>44357</v>
      </c>
      <c r="L828" s="394" t="str">
        <f>IFERROR(__xludf.DUMMYFUNCTION("JOIN("""", G828:H828)"),"")</f>
        <v/>
      </c>
      <c r="M828" s="80" t="str">
        <f t="shared" si="2"/>
        <v/>
      </c>
    </row>
    <row r="829">
      <c r="A829" s="86"/>
      <c r="B829" s="73"/>
      <c r="C829" s="73"/>
      <c r="D829" s="73"/>
      <c r="E829" s="88"/>
      <c r="F829" s="73"/>
      <c r="G829" s="394"/>
      <c r="H829" s="77"/>
      <c r="I829" s="88"/>
      <c r="J829" s="393">
        <v>44356.0</v>
      </c>
      <c r="K829" s="393">
        <f t="shared" si="4"/>
        <v>44357</v>
      </c>
      <c r="L829" s="394" t="str">
        <f>IFERROR(__xludf.DUMMYFUNCTION("JOIN("""", G829:H829)"),"")</f>
        <v/>
      </c>
      <c r="M829" s="80" t="str">
        <f t="shared" si="2"/>
        <v/>
      </c>
    </row>
    <row r="830">
      <c r="A830" s="86"/>
      <c r="B830" s="73"/>
      <c r="C830" s="73"/>
      <c r="D830" s="73"/>
      <c r="E830" s="88"/>
      <c r="F830" s="73"/>
      <c r="G830" s="394"/>
      <c r="H830" s="77"/>
      <c r="I830" s="88"/>
      <c r="J830" s="393">
        <v>44357.0</v>
      </c>
      <c r="K830" s="393">
        <f t="shared" si="4"/>
        <v>44358</v>
      </c>
      <c r="L830" s="394" t="str">
        <f>IFERROR(__xludf.DUMMYFUNCTION("JOIN("""", G830:H830)"),"")</f>
        <v/>
      </c>
      <c r="M830" s="80" t="str">
        <f t="shared" si="2"/>
        <v/>
      </c>
    </row>
    <row r="831">
      <c r="A831" s="86"/>
      <c r="B831" s="73"/>
      <c r="C831" s="73"/>
      <c r="D831" s="73"/>
      <c r="E831" s="88"/>
      <c r="F831" s="73"/>
      <c r="G831" s="394"/>
      <c r="H831" s="77"/>
      <c r="I831" s="88"/>
      <c r="J831" s="393">
        <v>44357.0</v>
      </c>
      <c r="K831" s="393">
        <f t="shared" si="4"/>
        <v>44358</v>
      </c>
      <c r="L831" s="394" t="str">
        <f>IFERROR(__xludf.DUMMYFUNCTION("JOIN("""", G831:H831)"),"")</f>
        <v/>
      </c>
      <c r="M831" s="80" t="str">
        <f t="shared" si="2"/>
        <v/>
      </c>
    </row>
    <row r="832">
      <c r="A832" s="86"/>
      <c r="B832" s="73"/>
      <c r="C832" s="73"/>
      <c r="D832" s="73"/>
      <c r="E832" s="88"/>
      <c r="F832" s="73"/>
      <c r="G832" s="394"/>
      <c r="H832" s="77"/>
      <c r="I832" s="88"/>
      <c r="J832" s="393">
        <v>44357.0</v>
      </c>
      <c r="K832" s="393">
        <f t="shared" si="4"/>
        <v>44358</v>
      </c>
      <c r="L832" s="394" t="str">
        <f>IFERROR(__xludf.DUMMYFUNCTION("JOIN("""", G832:H832)"),"")</f>
        <v/>
      </c>
      <c r="M832" s="80" t="str">
        <f t="shared" si="2"/>
        <v/>
      </c>
    </row>
    <row r="833">
      <c r="A833" s="86"/>
      <c r="B833" s="73"/>
      <c r="C833" s="73"/>
      <c r="D833" s="73"/>
      <c r="E833" s="88"/>
      <c r="F833" s="73"/>
      <c r="G833" s="394"/>
      <c r="H833" s="77"/>
      <c r="I833" s="88"/>
      <c r="J833" s="393">
        <v>44357.0</v>
      </c>
      <c r="K833" s="393">
        <f t="shared" si="4"/>
        <v>44358</v>
      </c>
      <c r="L833" s="394" t="str">
        <f>IFERROR(__xludf.DUMMYFUNCTION("JOIN("""", G833:H833)"),"")</f>
        <v/>
      </c>
      <c r="M833" s="80" t="str">
        <f t="shared" si="2"/>
        <v/>
      </c>
    </row>
    <row r="834">
      <c r="A834" s="86"/>
      <c r="B834" s="73"/>
      <c r="C834" s="73"/>
      <c r="D834" s="73"/>
      <c r="E834" s="88"/>
      <c r="F834" s="73"/>
      <c r="G834" s="394"/>
      <c r="H834" s="77"/>
      <c r="I834" s="88"/>
      <c r="J834" s="393">
        <v>44357.0</v>
      </c>
      <c r="K834" s="393">
        <f t="shared" si="4"/>
        <v>44358</v>
      </c>
      <c r="L834" s="394" t="str">
        <f>IFERROR(__xludf.DUMMYFUNCTION("JOIN("""", G834:H834)"),"")</f>
        <v/>
      </c>
      <c r="M834" s="80" t="str">
        <f t="shared" si="2"/>
        <v/>
      </c>
    </row>
    <row r="835">
      <c r="A835" s="86"/>
      <c r="B835" s="73"/>
      <c r="C835" s="73"/>
      <c r="D835" s="73"/>
      <c r="E835" s="88"/>
      <c r="F835" s="73"/>
      <c r="G835" s="394"/>
      <c r="H835" s="77"/>
      <c r="I835" s="88"/>
      <c r="J835" s="393">
        <v>44357.0</v>
      </c>
      <c r="K835" s="393">
        <f t="shared" si="4"/>
        <v>44358</v>
      </c>
      <c r="L835" s="394" t="str">
        <f>IFERROR(__xludf.DUMMYFUNCTION("JOIN("""", G835:H835)"),"")</f>
        <v/>
      </c>
      <c r="M835" s="80" t="str">
        <f t="shared" si="2"/>
        <v/>
      </c>
    </row>
    <row r="836">
      <c r="A836" s="86"/>
      <c r="B836" s="73"/>
      <c r="C836" s="73"/>
      <c r="D836" s="73"/>
      <c r="E836" s="88"/>
      <c r="F836" s="73"/>
      <c r="G836" s="394"/>
      <c r="H836" s="77"/>
      <c r="I836" s="88"/>
      <c r="J836" s="393">
        <v>44357.0</v>
      </c>
      <c r="K836" s="393">
        <f t="shared" si="4"/>
        <v>44358</v>
      </c>
      <c r="L836" s="394" t="str">
        <f>IFERROR(__xludf.DUMMYFUNCTION("JOIN("""", G836:H836)"),"")</f>
        <v/>
      </c>
      <c r="M836" s="80" t="str">
        <f t="shared" si="2"/>
        <v/>
      </c>
    </row>
    <row r="837">
      <c r="A837" s="86"/>
      <c r="B837" s="73"/>
      <c r="C837" s="73"/>
      <c r="D837" s="73"/>
      <c r="E837" s="88"/>
      <c r="F837" s="73"/>
      <c r="G837" s="394"/>
      <c r="H837" s="77"/>
      <c r="I837" s="88"/>
      <c r="J837" s="393">
        <v>44358.0</v>
      </c>
      <c r="K837" s="393">
        <f t="shared" si="4"/>
        <v>44359</v>
      </c>
      <c r="L837" s="394" t="str">
        <f>IFERROR(__xludf.DUMMYFUNCTION("JOIN("""", G837:H837)"),"")</f>
        <v/>
      </c>
      <c r="M837" s="80" t="str">
        <f t="shared" si="2"/>
        <v/>
      </c>
    </row>
    <row r="838">
      <c r="A838" s="86"/>
      <c r="B838" s="73"/>
      <c r="C838" s="73"/>
      <c r="D838" s="73"/>
      <c r="E838" s="88"/>
      <c r="F838" s="73"/>
      <c r="G838" s="394"/>
      <c r="H838" s="77"/>
      <c r="I838" s="88"/>
      <c r="J838" s="393">
        <v>44358.0</v>
      </c>
      <c r="K838" s="393">
        <f t="shared" si="4"/>
        <v>44359</v>
      </c>
      <c r="L838" s="394" t="str">
        <f>IFERROR(__xludf.DUMMYFUNCTION("JOIN("""", G838:H838)"),"")</f>
        <v/>
      </c>
      <c r="M838" s="80" t="str">
        <f t="shared" si="2"/>
        <v/>
      </c>
    </row>
    <row r="839">
      <c r="A839" s="86"/>
      <c r="B839" s="73"/>
      <c r="C839" s="73"/>
      <c r="D839" s="73"/>
      <c r="E839" s="88"/>
      <c r="F839" s="73"/>
      <c r="G839" s="394"/>
      <c r="H839" s="77"/>
      <c r="I839" s="88"/>
      <c r="J839" s="393">
        <v>44358.0</v>
      </c>
      <c r="K839" s="393">
        <f t="shared" si="4"/>
        <v>44359</v>
      </c>
      <c r="L839" s="394" t="str">
        <f>IFERROR(__xludf.DUMMYFUNCTION("JOIN("""", G839:H839)"),"")</f>
        <v/>
      </c>
      <c r="M839" s="80" t="str">
        <f t="shared" si="2"/>
        <v/>
      </c>
    </row>
    <row r="840">
      <c r="A840" s="86"/>
      <c r="B840" s="73"/>
      <c r="C840" s="73"/>
      <c r="D840" s="73"/>
      <c r="E840" s="88"/>
      <c r="F840" s="73"/>
      <c r="G840" s="394"/>
      <c r="H840" s="77"/>
      <c r="I840" s="88"/>
      <c r="J840" s="393">
        <v>44358.0</v>
      </c>
      <c r="K840" s="393">
        <f t="shared" si="4"/>
        <v>44359</v>
      </c>
      <c r="L840" s="394" t="str">
        <f>IFERROR(__xludf.DUMMYFUNCTION("JOIN("""", G840:H840)"),"")</f>
        <v/>
      </c>
      <c r="M840" s="80" t="str">
        <f t="shared" si="2"/>
        <v/>
      </c>
    </row>
    <row r="841">
      <c r="A841" s="86"/>
      <c r="B841" s="73"/>
      <c r="C841" s="73"/>
      <c r="D841" s="73"/>
      <c r="E841" s="88"/>
      <c r="F841" s="73"/>
      <c r="G841" s="394"/>
      <c r="H841" s="77"/>
      <c r="I841" s="88"/>
      <c r="J841" s="393">
        <v>44358.0</v>
      </c>
      <c r="K841" s="393">
        <f t="shared" si="4"/>
        <v>44359</v>
      </c>
      <c r="L841" s="394" t="str">
        <f>IFERROR(__xludf.DUMMYFUNCTION("JOIN("""", G841:H841)"),"")</f>
        <v/>
      </c>
      <c r="M841" s="80" t="str">
        <f t="shared" si="2"/>
        <v/>
      </c>
    </row>
    <row r="842">
      <c r="A842" s="86"/>
      <c r="B842" s="73"/>
      <c r="C842" s="73"/>
      <c r="D842" s="73"/>
      <c r="E842" s="88"/>
      <c r="F842" s="73"/>
      <c r="G842" s="394"/>
      <c r="H842" s="77"/>
      <c r="I842" s="88"/>
      <c r="J842" s="393">
        <v>44358.0</v>
      </c>
      <c r="K842" s="393">
        <f t="shared" si="4"/>
        <v>44359</v>
      </c>
      <c r="L842" s="394" t="str">
        <f>IFERROR(__xludf.DUMMYFUNCTION("JOIN("""", G842:H842)"),"")</f>
        <v/>
      </c>
      <c r="M842" s="80" t="str">
        <f t="shared" si="2"/>
        <v/>
      </c>
    </row>
    <row r="843">
      <c r="A843" s="86"/>
      <c r="B843" s="73"/>
      <c r="C843" s="73"/>
      <c r="D843" s="73"/>
      <c r="E843" s="88"/>
      <c r="F843" s="73"/>
      <c r="G843" s="394"/>
      <c r="H843" s="77"/>
      <c r="I843" s="88"/>
      <c r="J843" s="393">
        <v>44358.0</v>
      </c>
      <c r="K843" s="393">
        <f t="shared" si="4"/>
        <v>44359</v>
      </c>
      <c r="L843" s="394" t="str">
        <f>IFERROR(__xludf.DUMMYFUNCTION("JOIN("""", G843:H843)"),"")</f>
        <v/>
      </c>
      <c r="M843" s="80" t="str">
        <f t="shared" si="2"/>
        <v/>
      </c>
    </row>
    <row r="844">
      <c r="A844" s="86"/>
      <c r="B844" s="73"/>
      <c r="C844" s="73"/>
      <c r="D844" s="73"/>
      <c r="E844" s="88"/>
      <c r="F844" s="73"/>
      <c r="G844" s="394"/>
      <c r="H844" s="77"/>
      <c r="I844" s="88"/>
      <c r="J844" s="403">
        <v>44358.0</v>
      </c>
      <c r="K844" s="393">
        <f t="shared" si="4"/>
        <v>44359</v>
      </c>
      <c r="L844" s="394" t="str">
        <f>IFERROR(__xludf.DUMMYFUNCTION("JOIN("""", G844:H844)"),"")</f>
        <v/>
      </c>
      <c r="M844" s="80" t="str">
        <f t="shared" si="2"/>
        <v/>
      </c>
    </row>
    <row r="845">
      <c r="A845" s="86"/>
      <c r="B845" s="73"/>
      <c r="C845" s="73"/>
      <c r="D845" s="73"/>
      <c r="E845" s="88"/>
      <c r="F845" s="73"/>
      <c r="G845" s="394"/>
      <c r="H845" s="77"/>
      <c r="I845" s="88"/>
      <c r="J845" s="393">
        <v>44358.0</v>
      </c>
      <c r="K845" s="393">
        <f t="shared" si="4"/>
        <v>44359</v>
      </c>
      <c r="L845" s="394" t="str">
        <f>IFERROR(__xludf.DUMMYFUNCTION("JOIN("""", G845:H845)"),"")</f>
        <v/>
      </c>
      <c r="M845" s="80" t="str">
        <f t="shared" si="2"/>
        <v/>
      </c>
    </row>
    <row r="846">
      <c r="A846" s="86"/>
      <c r="B846" s="73"/>
      <c r="C846" s="73"/>
      <c r="D846" s="73"/>
      <c r="E846" s="88"/>
      <c r="F846" s="73"/>
      <c r="G846" s="394"/>
      <c r="H846" s="77"/>
      <c r="I846" s="88"/>
      <c r="J846" s="393">
        <v>44358.0</v>
      </c>
      <c r="K846" s="393">
        <f t="shared" si="4"/>
        <v>44359</v>
      </c>
      <c r="L846" s="394" t="str">
        <f>IFERROR(__xludf.DUMMYFUNCTION("JOIN("""", G846:H846)"),"")</f>
        <v/>
      </c>
      <c r="M846" s="80" t="str">
        <f t="shared" si="2"/>
        <v/>
      </c>
    </row>
    <row r="847">
      <c r="A847" s="86"/>
      <c r="B847" s="73"/>
      <c r="C847" s="73"/>
      <c r="D847" s="73"/>
      <c r="E847" s="88"/>
      <c r="F847" s="73"/>
      <c r="G847" s="394"/>
      <c r="H847" s="77"/>
      <c r="I847" s="88"/>
      <c r="J847" s="393">
        <v>44358.0</v>
      </c>
      <c r="K847" s="393">
        <f t="shared" si="4"/>
        <v>44359</v>
      </c>
      <c r="L847" s="394" t="str">
        <f>IFERROR(__xludf.DUMMYFUNCTION("JOIN("""", G847:H847)"),"")</f>
        <v/>
      </c>
      <c r="M847" s="80" t="str">
        <f t="shared" si="2"/>
        <v/>
      </c>
    </row>
    <row r="848">
      <c r="A848" s="86"/>
      <c r="B848" s="73"/>
      <c r="C848" s="73"/>
      <c r="D848" s="73"/>
      <c r="E848" s="88"/>
      <c r="F848" s="73"/>
      <c r="G848" s="394"/>
      <c r="H848" s="77"/>
      <c r="I848" s="88"/>
      <c r="J848" s="393">
        <v>44359.0</v>
      </c>
      <c r="K848" s="393">
        <f t="shared" si="4"/>
        <v>44360</v>
      </c>
      <c r="L848" s="394" t="str">
        <f>IFERROR(__xludf.DUMMYFUNCTION("JOIN("""", G848:H848)"),"")</f>
        <v/>
      </c>
      <c r="M848" s="80" t="str">
        <f t="shared" si="2"/>
        <v/>
      </c>
    </row>
    <row r="849">
      <c r="A849" s="86"/>
      <c r="B849" s="73"/>
      <c r="C849" s="73"/>
      <c r="D849" s="73"/>
      <c r="E849" s="88"/>
      <c r="F849" s="73"/>
      <c r="G849" s="394"/>
      <c r="H849" s="77"/>
      <c r="I849" s="88"/>
      <c r="J849" s="393">
        <v>44359.0</v>
      </c>
      <c r="K849" s="393">
        <f t="shared" si="4"/>
        <v>44360</v>
      </c>
      <c r="L849" s="394" t="str">
        <f>IFERROR(__xludf.DUMMYFUNCTION("JOIN("""", G849:H849)"),"")</f>
        <v/>
      </c>
      <c r="M849" s="80" t="str">
        <f t="shared" si="2"/>
        <v/>
      </c>
    </row>
    <row r="850">
      <c r="A850" s="86"/>
      <c r="B850" s="73"/>
      <c r="C850" s="73"/>
      <c r="D850" s="73"/>
      <c r="E850" s="88"/>
      <c r="F850" s="73"/>
      <c r="G850" s="394"/>
      <c r="H850" s="77"/>
      <c r="I850" s="88"/>
      <c r="J850" s="393">
        <v>44359.0</v>
      </c>
      <c r="K850" s="393">
        <f t="shared" si="4"/>
        <v>44360</v>
      </c>
      <c r="L850" s="394" t="str">
        <f>IFERROR(__xludf.DUMMYFUNCTION("JOIN("""", G850:H850)"),"")</f>
        <v/>
      </c>
      <c r="M850" s="80" t="str">
        <f t="shared" si="2"/>
        <v/>
      </c>
    </row>
    <row r="851">
      <c r="A851" s="86"/>
      <c r="B851" s="73"/>
      <c r="C851" s="73"/>
      <c r="D851" s="73"/>
      <c r="E851" s="88"/>
      <c r="F851" s="73"/>
      <c r="G851" s="394"/>
      <c r="H851" s="77"/>
      <c r="I851" s="88"/>
      <c r="J851" s="393">
        <v>44359.0</v>
      </c>
      <c r="K851" s="393">
        <f t="shared" si="4"/>
        <v>44360</v>
      </c>
      <c r="L851" s="394" t="str">
        <f>IFERROR(__xludf.DUMMYFUNCTION("JOIN("""", G851:H851)"),"")</f>
        <v/>
      </c>
      <c r="M851" s="80" t="str">
        <f t="shared" si="2"/>
        <v/>
      </c>
    </row>
    <row r="852">
      <c r="A852" s="86"/>
      <c r="B852" s="73"/>
      <c r="C852" s="73"/>
      <c r="D852" s="73"/>
      <c r="E852" s="88"/>
      <c r="F852" s="73"/>
      <c r="G852" s="394"/>
      <c r="H852" s="77"/>
      <c r="I852" s="88"/>
      <c r="J852" s="393">
        <v>44359.0</v>
      </c>
      <c r="K852" s="393">
        <f t="shared" si="4"/>
        <v>44360</v>
      </c>
      <c r="L852" s="394" t="str">
        <f>IFERROR(__xludf.DUMMYFUNCTION("JOIN("""", G852:H852)"),"")</f>
        <v/>
      </c>
      <c r="M852" s="80" t="str">
        <f t="shared" si="2"/>
        <v/>
      </c>
    </row>
    <row r="853">
      <c r="A853" s="86"/>
      <c r="B853" s="73"/>
      <c r="C853" s="73"/>
      <c r="D853" s="73"/>
      <c r="E853" s="88"/>
      <c r="F853" s="73"/>
      <c r="G853" s="394"/>
      <c r="H853" s="77"/>
      <c r="I853" s="88"/>
      <c r="J853" s="393">
        <v>44359.0</v>
      </c>
      <c r="K853" s="393">
        <f t="shared" si="4"/>
        <v>44360</v>
      </c>
      <c r="L853" s="394" t="str">
        <f>IFERROR(__xludf.DUMMYFUNCTION("JOIN("""", G853:H853)"),"")</f>
        <v/>
      </c>
      <c r="M853" s="80" t="str">
        <f t="shared" si="2"/>
        <v/>
      </c>
    </row>
    <row r="854">
      <c r="A854" s="86"/>
      <c r="B854" s="73"/>
      <c r="C854" s="73"/>
      <c r="D854" s="73"/>
      <c r="E854" s="88"/>
      <c r="F854" s="73"/>
      <c r="G854" s="394"/>
      <c r="H854" s="77"/>
      <c r="I854" s="88"/>
      <c r="J854" s="393">
        <v>44359.0</v>
      </c>
      <c r="K854" s="393">
        <f t="shared" si="4"/>
        <v>44360</v>
      </c>
      <c r="L854" s="394" t="str">
        <f>IFERROR(__xludf.DUMMYFUNCTION("JOIN("""", G854:H854)"),"")</f>
        <v/>
      </c>
      <c r="M854" s="80" t="str">
        <f t="shared" si="2"/>
        <v/>
      </c>
    </row>
    <row r="855">
      <c r="A855" s="86"/>
      <c r="B855" s="73"/>
      <c r="C855" s="73"/>
      <c r="D855" s="73"/>
      <c r="E855" s="88"/>
      <c r="F855" s="73"/>
      <c r="G855" s="394"/>
      <c r="H855" s="77"/>
      <c r="I855" s="88"/>
      <c r="J855" s="393">
        <v>44359.0</v>
      </c>
      <c r="K855" s="393">
        <f t="shared" si="4"/>
        <v>44360</v>
      </c>
      <c r="L855" s="394" t="str">
        <f>IFERROR(__xludf.DUMMYFUNCTION("JOIN("""", G855:H855)"),"")</f>
        <v/>
      </c>
      <c r="M855" s="80" t="str">
        <f t="shared" si="2"/>
        <v/>
      </c>
    </row>
    <row r="856">
      <c r="A856" s="86"/>
      <c r="B856" s="73"/>
      <c r="C856" s="73"/>
      <c r="D856" s="73"/>
      <c r="E856" s="88"/>
      <c r="F856" s="73"/>
      <c r="G856" s="394"/>
      <c r="H856" s="77"/>
      <c r="I856" s="88"/>
      <c r="J856" s="393">
        <v>44359.0</v>
      </c>
      <c r="K856" s="393">
        <f t="shared" si="4"/>
        <v>44360</v>
      </c>
      <c r="L856" s="394" t="str">
        <f>IFERROR(__xludf.DUMMYFUNCTION("JOIN("""", G856:H856)"),"")</f>
        <v/>
      </c>
      <c r="M856" s="80" t="str">
        <f t="shared" si="2"/>
        <v/>
      </c>
    </row>
    <row r="857">
      <c r="A857" s="86"/>
      <c r="B857" s="73"/>
      <c r="C857" s="73"/>
      <c r="D857" s="73"/>
      <c r="E857" s="88"/>
      <c r="F857" s="73"/>
      <c r="G857" s="394"/>
      <c r="H857" s="77"/>
      <c r="I857" s="88"/>
      <c r="J857" s="393">
        <v>44359.0</v>
      </c>
      <c r="K857" s="393">
        <f t="shared" si="4"/>
        <v>44360</v>
      </c>
      <c r="L857" s="394" t="str">
        <f>IFERROR(__xludf.DUMMYFUNCTION("JOIN("""", G857:H857)"),"")</f>
        <v/>
      </c>
      <c r="M857" s="80" t="str">
        <f t="shared" si="2"/>
        <v/>
      </c>
    </row>
    <row r="858">
      <c r="A858" s="86"/>
      <c r="B858" s="73"/>
      <c r="C858" s="73"/>
      <c r="D858" s="73"/>
      <c r="E858" s="88"/>
      <c r="F858" s="73"/>
      <c r="G858" s="394"/>
      <c r="H858" s="77"/>
      <c r="I858" s="88"/>
      <c r="J858" s="393">
        <v>44359.0</v>
      </c>
      <c r="K858" s="393">
        <f t="shared" si="4"/>
        <v>44360</v>
      </c>
      <c r="L858" s="394" t="str">
        <f>IFERROR(__xludf.DUMMYFUNCTION("JOIN("""", G858:H858)"),"")</f>
        <v/>
      </c>
      <c r="M858" s="80" t="str">
        <f t="shared" si="2"/>
        <v/>
      </c>
    </row>
    <row r="859">
      <c r="A859" s="86"/>
      <c r="B859" s="73"/>
      <c r="C859" s="73"/>
      <c r="D859" s="73"/>
      <c r="E859" s="88"/>
      <c r="F859" s="73"/>
      <c r="G859" s="394"/>
      <c r="H859" s="77"/>
      <c r="I859" s="88"/>
      <c r="J859" s="393">
        <v>44359.0</v>
      </c>
      <c r="K859" s="393">
        <f t="shared" si="4"/>
        <v>44360</v>
      </c>
      <c r="L859" s="394" t="str">
        <f>IFERROR(__xludf.DUMMYFUNCTION("JOIN("""", G859:H859)"),"")</f>
        <v/>
      </c>
      <c r="M859" s="80" t="str">
        <f t="shared" si="2"/>
        <v/>
      </c>
    </row>
    <row r="860">
      <c r="A860" s="86"/>
      <c r="B860" s="73"/>
      <c r="C860" s="73"/>
      <c r="D860" s="73"/>
      <c r="E860" s="88"/>
      <c r="F860" s="73"/>
      <c r="G860" s="394"/>
      <c r="H860" s="77"/>
      <c r="I860" s="88"/>
      <c r="J860" s="393">
        <v>44359.0</v>
      </c>
      <c r="K860" s="393">
        <f t="shared" si="4"/>
        <v>44360</v>
      </c>
      <c r="L860" s="394" t="str">
        <f>IFERROR(__xludf.DUMMYFUNCTION("JOIN("""", G860:H860)"),"")</f>
        <v/>
      </c>
      <c r="M860" s="80" t="str">
        <f t="shared" si="2"/>
        <v/>
      </c>
    </row>
    <row r="861">
      <c r="A861" s="86"/>
      <c r="B861" s="73"/>
      <c r="C861" s="73"/>
      <c r="D861" s="73"/>
      <c r="E861" s="88"/>
      <c r="F861" s="73"/>
      <c r="G861" s="394"/>
      <c r="H861" s="77"/>
      <c r="I861" s="88"/>
      <c r="J861" s="393">
        <v>44359.0</v>
      </c>
      <c r="K861" s="393">
        <f t="shared" si="4"/>
        <v>44360</v>
      </c>
      <c r="L861" s="394" t="str">
        <f>IFERROR(__xludf.DUMMYFUNCTION("JOIN("""", G861:H861)"),"")</f>
        <v/>
      </c>
      <c r="M861" s="80" t="str">
        <f t="shared" si="2"/>
        <v/>
      </c>
    </row>
    <row r="862">
      <c r="A862" s="86"/>
      <c r="B862" s="73"/>
      <c r="C862" s="73"/>
      <c r="D862" s="73"/>
      <c r="E862" s="88"/>
      <c r="F862" s="73"/>
      <c r="G862" s="394"/>
      <c r="H862" s="77"/>
      <c r="I862" s="88"/>
      <c r="J862" s="393">
        <v>44359.0</v>
      </c>
      <c r="K862" s="393">
        <f t="shared" si="4"/>
        <v>44360</v>
      </c>
      <c r="L862" s="394" t="str">
        <f>IFERROR(__xludf.DUMMYFUNCTION("JOIN("""", G862:H862)"),"")</f>
        <v/>
      </c>
      <c r="M862" s="80" t="str">
        <f t="shared" si="2"/>
        <v/>
      </c>
    </row>
    <row r="863">
      <c r="A863" s="86"/>
      <c r="B863" s="73"/>
      <c r="C863" s="73"/>
      <c r="D863" s="73"/>
      <c r="E863" s="88"/>
      <c r="F863" s="73"/>
      <c r="G863" s="394"/>
      <c r="H863" s="77"/>
      <c r="I863" s="88"/>
      <c r="J863" s="393">
        <v>44361.0</v>
      </c>
      <c r="K863" s="393">
        <f t="shared" si="4"/>
        <v>44362</v>
      </c>
      <c r="L863" s="394" t="str">
        <f>IFERROR(__xludf.DUMMYFUNCTION("JOIN("""", G863:H863)"),"")</f>
        <v/>
      </c>
      <c r="M863" s="80" t="str">
        <f t="shared" si="2"/>
        <v/>
      </c>
    </row>
    <row r="864">
      <c r="A864" s="86"/>
      <c r="B864" s="73"/>
      <c r="C864" s="73"/>
      <c r="D864" s="73"/>
      <c r="E864" s="88"/>
      <c r="F864" s="73"/>
      <c r="G864" s="394"/>
      <c r="H864" s="77"/>
      <c r="I864" s="88"/>
      <c r="J864" s="393">
        <v>44361.0</v>
      </c>
      <c r="K864" s="393">
        <f t="shared" si="4"/>
        <v>44362</v>
      </c>
      <c r="L864" s="394" t="str">
        <f>IFERROR(__xludf.DUMMYFUNCTION("JOIN("""", G864:H864)"),"")</f>
        <v/>
      </c>
      <c r="M864" s="80" t="str">
        <f t="shared" si="2"/>
        <v/>
      </c>
    </row>
    <row r="865">
      <c r="A865" s="86"/>
      <c r="B865" s="73"/>
      <c r="C865" s="73"/>
      <c r="D865" s="73"/>
      <c r="E865" s="88"/>
      <c r="F865" s="73"/>
      <c r="G865" s="394"/>
      <c r="H865" s="77"/>
      <c r="I865" s="88"/>
      <c r="J865" s="393">
        <v>44361.0</v>
      </c>
      <c r="K865" s="393">
        <f t="shared" si="4"/>
        <v>44362</v>
      </c>
      <c r="L865" s="394" t="str">
        <f>IFERROR(__xludf.DUMMYFUNCTION("JOIN("""", G865:H865)"),"")</f>
        <v/>
      </c>
      <c r="M865" s="80" t="str">
        <f t="shared" si="2"/>
        <v/>
      </c>
    </row>
    <row r="866">
      <c r="A866" s="86"/>
      <c r="B866" s="73"/>
      <c r="C866" s="73"/>
      <c r="D866" s="73"/>
      <c r="E866" s="88"/>
      <c r="F866" s="73"/>
      <c r="G866" s="394"/>
      <c r="H866" s="77"/>
      <c r="I866" s="88"/>
      <c r="J866" s="393">
        <v>44361.0</v>
      </c>
      <c r="K866" s="393">
        <f t="shared" si="4"/>
        <v>44362</v>
      </c>
      <c r="L866" s="394" t="str">
        <f>IFERROR(__xludf.DUMMYFUNCTION("JOIN("""", G866:H866)"),"")</f>
        <v/>
      </c>
      <c r="M866" s="80" t="str">
        <f t="shared" si="2"/>
        <v/>
      </c>
    </row>
    <row r="867">
      <c r="A867" s="86"/>
      <c r="B867" s="73"/>
      <c r="C867" s="73"/>
      <c r="D867" s="73"/>
      <c r="E867" s="88"/>
      <c r="F867" s="73"/>
      <c r="G867" s="394"/>
      <c r="H867" s="77"/>
      <c r="I867" s="88"/>
      <c r="J867" s="393">
        <v>44361.0</v>
      </c>
      <c r="K867" s="393">
        <f t="shared" si="4"/>
        <v>44362</v>
      </c>
      <c r="L867" s="394" t="str">
        <f>IFERROR(__xludf.DUMMYFUNCTION("JOIN("""", G867:H867)"),"")</f>
        <v/>
      </c>
      <c r="M867" s="80" t="str">
        <f t="shared" si="2"/>
        <v/>
      </c>
    </row>
    <row r="868">
      <c r="A868" s="86"/>
      <c r="B868" s="73"/>
      <c r="C868" s="73"/>
      <c r="D868" s="73"/>
      <c r="E868" s="88"/>
      <c r="F868" s="73"/>
      <c r="G868" s="394"/>
      <c r="H868" s="77"/>
      <c r="I868" s="88"/>
      <c r="J868" s="393">
        <v>44361.0</v>
      </c>
      <c r="K868" s="393">
        <f t="shared" si="4"/>
        <v>44362</v>
      </c>
      <c r="L868" s="394" t="str">
        <f>IFERROR(__xludf.DUMMYFUNCTION("JOIN("""", G868:H868)"),"")</f>
        <v/>
      </c>
      <c r="M868" s="80" t="str">
        <f t="shared" si="2"/>
        <v/>
      </c>
    </row>
    <row r="869">
      <c r="A869" s="86"/>
      <c r="B869" s="73"/>
      <c r="C869" s="73"/>
      <c r="D869" s="73"/>
      <c r="E869" s="88"/>
      <c r="F869" s="73"/>
      <c r="G869" s="394"/>
      <c r="H869" s="77"/>
      <c r="I869" s="88"/>
      <c r="J869" s="393">
        <v>44361.0</v>
      </c>
      <c r="K869" s="393">
        <f t="shared" si="4"/>
        <v>44362</v>
      </c>
      <c r="L869" s="394" t="str">
        <f>IFERROR(__xludf.DUMMYFUNCTION("JOIN("""", G869:H869)"),"")</f>
        <v/>
      </c>
      <c r="M869" s="80" t="str">
        <f t="shared" si="2"/>
        <v/>
      </c>
    </row>
    <row r="870">
      <c r="A870" s="86"/>
      <c r="B870" s="73"/>
      <c r="C870" s="73"/>
      <c r="D870" s="73"/>
      <c r="E870" s="88"/>
      <c r="F870" s="73"/>
      <c r="G870" s="394"/>
      <c r="H870" s="77"/>
      <c r="I870" s="88"/>
      <c r="J870" s="393">
        <v>44361.0</v>
      </c>
      <c r="K870" s="393">
        <f t="shared" si="4"/>
        <v>44362</v>
      </c>
      <c r="L870" s="394" t="str">
        <f>IFERROR(__xludf.DUMMYFUNCTION("JOIN("""", G870:H870)"),"")</f>
        <v/>
      </c>
      <c r="M870" s="80" t="str">
        <f t="shared" si="2"/>
        <v/>
      </c>
    </row>
    <row r="871">
      <c r="A871" s="86"/>
      <c r="B871" s="73"/>
      <c r="C871" s="73"/>
      <c r="D871" s="73"/>
      <c r="E871" s="88"/>
      <c r="F871" s="73"/>
      <c r="G871" s="394"/>
      <c r="H871" s="77"/>
      <c r="I871" s="88"/>
      <c r="J871" s="393">
        <v>44361.0</v>
      </c>
      <c r="K871" s="393">
        <f t="shared" si="4"/>
        <v>44362</v>
      </c>
      <c r="L871" s="394" t="str">
        <f>IFERROR(__xludf.DUMMYFUNCTION("JOIN("""", G871:H871)"),"")</f>
        <v/>
      </c>
      <c r="M871" s="80" t="str">
        <f t="shared" si="2"/>
        <v/>
      </c>
    </row>
    <row r="872">
      <c r="A872" s="86"/>
      <c r="B872" s="73"/>
      <c r="C872" s="73"/>
      <c r="D872" s="73"/>
      <c r="E872" s="88"/>
      <c r="F872" s="73"/>
      <c r="G872" s="394"/>
      <c r="H872" s="77"/>
      <c r="I872" s="88"/>
      <c r="J872" s="393">
        <v>44361.0</v>
      </c>
      <c r="K872" s="393">
        <f t="shared" si="4"/>
        <v>44362</v>
      </c>
      <c r="L872" s="394" t="str">
        <f>IFERROR(__xludf.DUMMYFUNCTION("JOIN("""", G872:H872)"),"")</f>
        <v/>
      </c>
      <c r="M872" s="80" t="str">
        <f t="shared" si="2"/>
        <v/>
      </c>
    </row>
    <row r="873">
      <c r="A873" s="86"/>
      <c r="B873" s="73"/>
      <c r="C873" s="73"/>
      <c r="D873" s="73"/>
      <c r="E873" s="88"/>
      <c r="F873" s="73"/>
      <c r="G873" s="394"/>
      <c r="H873" s="77"/>
      <c r="I873" s="88"/>
      <c r="J873" s="393">
        <v>44361.0</v>
      </c>
      <c r="K873" s="393">
        <f t="shared" si="4"/>
        <v>44362</v>
      </c>
      <c r="L873" s="394" t="str">
        <f>IFERROR(__xludf.DUMMYFUNCTION("JOIN("""", G873:H873)"),"")</f>
        <v/>
      </c>
      <c r="M873" s="80" t="str">
        <f t="shared" si="2"/>
        <v/>
      </c>
    </row>
    <row r="874">
      <c r="A874" s="86"/>
      <c r="B874" s="73"/>
      <c r="C874" s="73"/>
      <c r="D874" s="73"/>
      <c r="E874" s="88"/>
      <c r="F874" s="73"/>
      <c r="G874" s="394"/>
      <c r="H874" s="77"/>
      <c r="I874" s="88"/>
      <c r="J874" s="393">
        <v>44361.0</v>
      </c>
      <c r="K874" s="393">
        <f t="shared" si="4"/>
        <v>44362</v>
      </c>
      <c r="L874" s="394" t="str">
        <f>IFERROR(__xludf.DUMMYFUNCTION("JOIN("""", G874:H874)"),"")</f>
        <v/>
      </c>
      <c r="M874" s="80" t="str">
        <f t="shared" si="2"/>
        <v/>
      </c>
    </row>
    <row r="875">
      <c r="A875" s="86"/>
      <c r="B875" s="73"/>
      <c r="C875" s="73"/>
      <c r="D875" s="73"/>
      <c r="E875" s="88"/>
      <c r="F875" s="73"/>
      <c r="G875" s="394"/>
      <c r="H875" s="77"/>
      <c r="I875" s="88"/>
      <c r="J875" s="393">
        <v>44361.0</v>
      </c>
      <c r="K875" s="393">
        <f t="shared" si="4"/>
        <v>44362</v>
      </c>
      <c r="L875" s="394" t="str">
        <f>IFERROR(__xludf.DUMMYFUNCTION("JOIN("""", G875:H875)"),"")</f>
        <v/>
      </c>
      <c r="M875" s="80" t="str">
        <f t="shared" si="2"/>
        <v/>
      </c>
    </row>
    <row r="876">
      <c r="A876" s="86"/>
      <c r="B876" s="73"/>
      <c r="C876" s="73"/>
      <c r="D876" s="73"/>
      <c r="E876" s="88"/>
      <c r="F876" s="73"/>
      <c r="G876" s="394"/>
      <c r="H876" s="77"/>
      <c r="I876" s="88"/>
      <c r="J876" s="403">
        <v>44361.0</v>
      </c>
      <c r="K876" s="393">
        <f t="shared" si="4"/>
        <v>44362</v>
      </c>
      <c r="L876" s="394" t="str">
        <f>IFERROR(__xludf.DUMMYFUNCTION("JOIN("""", G876:H876)"),"")</f>
        <v/>
      </c>
      <c r="M876" s="80" t="str">
        <f t="shared" si="2"/>
        <v/>
      </c>
    </row>
    <row r="877">
      <c r="A877" s="86"/>
      <c r="B877" s="73"/>
      <c r="C877" s="73"/>
      <c r="D877" s="73"/>
      <c r="E877" s="88"/>
      <c r="F877" s="73"/>
      <c r="G877" s="394"/>
      <c r="H877" s="77"/>
      <c r="I877" s="88"/>
      <c r="J877" s="393">
        <v>44361.0</v>
      </c>
      <c r="K877" s="393">
        <f t="shared" si="4"/>
        <v>44362</v>
      </c>
      <c r="L877" s="394" t="str">
        <f>IFERROR(__xludf.DUMMYFUNCTION("JOIN("""", G877:H877)"),"")</f>
        <v/>
      </c>
      <c r="M877" s="80" t="str">
        <f t="shared" si="2"/>
        <v/>
      </c>
    </row>
    <row r="878">
      <c r="A878" s="86"/>
      <c r="B878" s="73"/>
      <c r="C878" s="73"/>
      <c r="D878" s="73"/>
      <c r="E878" s="88"/>
      <c r="F878" s="73"/>
      <c r="G878" s="394"/>
      <c r="H878" s="77"/>
      <c r="I878" s="88"/>
      <c r="J878" s="393">
        <v>44361.0</v>
      </c>
      <c r="K878" s="393">
        <f t="shared" si="4"/>
        <v>44362</v>
      </c>
      <c r="L878" s="394" t="str">
        <f>IFERROR(__xludf.DUMMYFUNCTION("JOIN("""", G878:H878)"),"")</f>
        <v/>
      </c>
      <c r="M878" s="80" t="str">
        <f t="shared" si="2"/>
        <v/>
      </c>
    </row>
    <row r="879">
      <c r="A879" s="86"/>
      <c r="B879" s="73"/>
      <c r="C879" s="73"/>
      <c r="D879" s="73"/>
      <c r="E879" s="88"/>
      <c r="F879" s="73"/>
      <c r="G879" s="394"/>
      <c r="H879" s="77"/>
      <c r="I879" s="88"/>
      <c r="J879" s="393">
        <v>44361.0</v>
      </c>
      <c r="K879" s="393">
        <f t="shared" si="4"/>
        <v>44362</v>
      </c>
      <c r="L879" s="394" t="str">
        <f>IFERROR(__xludf.DUMMYFUNCTION("JOIN("""", G879:H879)"),"")</f>
        <v/>
      </c>
      <c r="M879" s="80" t="str">
        <f t="shared" si="2"/>
        <v/>
      </c>
    </row>
    <row r="880">
      <c r="A880" s="86"/>
      <c r="B880" s="73"/>
      <c r="C880" s="73"/>
      <c r="D880" s="73"/>
      <c r="E880" s="88"/>
      <c r="F880" s="73"/>
      <c r="G880" s="394"/>
      <c r="H880" s="77"/>
      <c r="I880" s="88"/>
      <c r="J880" s="393">
        <v>44361.0</v>
      </c>
      <c r="K880" s="393">
        <f t="shared" si="4"/>
        <v>44362</v>
      </c>
      <c r="L880" s="394" t="str">
        <f>IFERROR(__xludf.DUMMYFUNCTION("JOIN("""", G880:H880)"),"")</f>
        <v/>
      </c>
      <c r="M880" s="80" t="str">
        <f t="shared" si="2"/>
        <v/>
      </c>
    </row>
    <row r="881">
      <c r="A881" s="86"/>
      <c r="B881" s="73"/>
      <c r="C881" s="73"/>
      <c r="D881" s="73"/>
      <c r="E881" s="88"/>
      <c r="F881" s="73"/>
      <c r="G881" s="394"/>
      <c r="H881" s="77"/>
      <c r="I881" s="88"/>
      <c r="J881" s="393">
        <v>44361.0</v>
      </c>
      <c r="K881" s="393">
        <f t="shared" si="4"/>
        <v>44362</v>
      </c>
      <c r="L881" s="394" t="str">
        <f>IFERROR(__xludf.DUMMYFUNCTION("JOIN("""", G881:H881)"),"")</f>
        <v/>
      </c>
      <c r="M881" s="80" t="str">
        <f t="shared" si="2"/>
        <v/>
      </c>
    </row>
    <row r="882">
      <c r="A882" s="86"/>
      <c r="B882" s="73"/>
      <c r="C882" s="73"/>
      <c r="D882" s="73"/>
      <c r="E882" s="88"/>
      <c r="F882" s="73"/>
      <c r="G882" s="394"/>
      <c r="H882" s="77"/>
      <c r="I882" s="88"/>
      <c r="J882" s="393">
        <v>44361.0</v>
      </c>
      <c r="K882" s="393">
        <f t="shared" si="4"/>
        <v>44362</v>
      </c>
      <c r="L882" s="394" t="str">
        <f>IFERROR(__xludf.DUMMYFUNCTION("JOIN("""", G882:H882)"),"")</f>
        <v/>
      </c>
      <c r="M882" s="80" t="str">
        <f t="shared" si="2"/>
        <v/>
      </c>
    </row>
    <row r="883">
      <c r="A883" s="86"/>
      <c r="B883" s="73"/>
      <c r="C883" s="73"/>
      <c r="D883" s="73"/>
      <c r="E883" s="88"/>
      <c r="F883" s="73"/>
      <c r="G883" s="394"/>
      <c r="H883" s="77"/>
      <c r="I883" s="88"/>
      <c r="J883" s="393">
        <v>44361.0</v>
      </c>
      <c r="K883" s="393">
        <f t="shared" si="4"/>
        <v>44362</v>
      </c>
      <c r="L883" s="394" t="str">
        <f>IFERROR(__xludf.DUMMYFUNCTION("JOIN("""", G883:H883)"),"")</f>
        <v/>
      </c>
      <c r="M883" s="80" t="str">
        <f t="shared" si="2"/>
        <v/>
      </c>
    </row>
    <row r="884">
      <c r="A884" s="86"/>
      <c r="B884" s="73"/>
      <c r="C884" s="73"/>
      <c r="D884" s="73"/>
      <c r="E884" s="88"/>
      <c r="F884" s="73"/>
      <c r="G884" s="394"/>
      <c r="H884" s="77"/>
      <c r="I884" s="88"/>
      <c r="J884" s="393">
        <v>44361.0</v>
      </c>
      <c r="K884" s="393">
        <f t="shared" si="4"/>
        <v>44362</v>
      </c>
      <c r="L884" s="394" t="str">
        <f>IFERROR(__xludf.DUMMYFUNCTION("JOIN("""", G884:H884)"),"")</f>
        <v/>
      </c>
      <c r="M884" s="80" t="str">
        <f t="shared" si="2"/>
        <v/>
      </c>
    </row>
    <row r="885">
      <c r="A885" s="86"/>
      <c r="B885" s="73"/>
      <c r="C885" s="73"/>
      <c r="D885" s="73"/>
      <c r="E885" s="88"/>
      <c r="F885" s="73"/>
      <c r="G885" s="394"/>
      <c r="H885" s="77"/>
      <c r="I885" s="88"/>
      <c r="J885" s="393">
        <v>44361.0</v>
      </c>
      <c r="K885" s="393">
        <f t="shared" si="4"/>
        <v>44362</v>
      </c>
      <c r="L885" s="394" t="str">
        <f>IFERROR(__xludf.DUMMYFUNCTION("JOIN("""", G885:H885)"),"")</f>
        <v/>
      </c>
      <c r="M885" s="80" t="str">
        <f t="shared" si="2"/>
        <v/>
      </c>
    </row>
    <row r="886">
      <c r="A886" s="86"/>
      <c r="B886" s="73"/>
      <c r="C886" s="73"/>
      <c r="D886" s="73"/>
      <c r="E886" s="88"/>
      <c r="F886" s="73"/>
      <c r="G886" s="394"/>
      <c r="H886" s="77"/>
      <c r="I886" s="88"/>
      <c r="J886" s="393">
        <v>44361.0</v>
      </c>
      <c r="K886" s="393">
        <f t="shared" si="4"/>
        <v>44362</v>
      </c>
      <c r="L886" s="394" t="str">
        <f>IFERROR(__xludf.DUMMYFUNCTION("JOIN("""", G886:H886)"),"")</f>
        <v/>
      </c>
      <c r="M886" s="80" t="str">
        <f t="shared" si="2"/>
        <v/>
      </c>
    </row>
    <row r="887">
      <c r="A887" s="86"/>
      <c r="B887" s="73"/>
      <c r="C887" s="73"/>
      <c r="D887" s="73"/>
      <c r="E887" s="88"/>
      <c r="F887" s="73"/>
      <c r="G887" s="394"/>
      <c r="H887" s="77"/>
      <c r="I887" s="88"/>
      <c r="J887" s="393">
        <v>44361.0</v>
      </c>
      <c r="K887" s="393">
        <f t="shared" si="4"/>
        <v>44362</v>
      </c>
      <c r="L887" s="394" t="str">
        <f>IFERROR(__xludf.DUMMYFUNCTION("JOIN("""", G887:H887)"),"")</f>
        <v/>
      </c>
      <c r="M887" s="80" t="str">
        <f t="shared" si="2"/>
        <v/>
      </c>
    </row>
    <row r="888">
      <c r="A888" s="86"/>
      <c r="B888" s="73"/>
      <c r="C888" s="73"/>
      <c r="D888" s="73"/>
      <c r="E888" s="88"/>
      <c r="F888" s="73"/>
      <c r="G888" s="394"/>
      <c r="H888" s="77"/>
      <c r="I888" s="88"/>
      <c r="J888" s="393">
        <v>44361.0</v>
      </c>
      <c r="K888" s="393">
        <f t="shared" si="4"/>
        <v>44362</v>
      </c>
      <c r="L888" s="394" t="str">
        <f>IFERROR(__xludf.DUMMYFUNCTION("JOIN("""", G888:H888)"),"")</f>
        <v/>
      </c>
      <c r="M888" s="80" t="str">
        <f t="shared" si="2"/>
        <v/>
      </c>
    </row>
    <row r="889">
      <c r="A889" s="86"/>
      <c r="B889" s="73"/>
      <c r="C889" s="73"/>
      <c r="D889" s="73"/>
      <c r="E889" s="88"/>
      <c r="F889" s="73"/>
      <c r="G889" s="394"/>
      <c r="H889" s="77"/>
      <c r="I889" s="88"/>
      <c r="J889" s="393">
        <v>44361.0</v>
      </c>
      <c r="K889" s="393">
        <f t="shared" si="4"/>
        <v>44362</v>
      </c>
      <c r="L889" s="394" t="str">
        <f>IFERROR(__xludf.DUMMYFUNCTION("JOIN("""", G889:H889)"),"")</f>
        <v/>
      </c>
      <c r="M889" s="80" t="str">
        <f t="shared" si="2"/>
        <v/>
      </c>
    </row>
    <row r="890">
      <c r="A890" s="86"/>
      <c r="B890" s="73"/>
      <c r="C890" s="73"/>
      <c r="D890" s="73"/>
      <c r="E890" s="88"/>
      <c r="F890" s="73"/>
      <c r="G890" s="394"/>
      <c r="H890" s="77"/>
      <c r="I890" s="88"/>
      <c r="J890" s="393">
        <v>44361.0</v>
      </c>
      <c r="K890" s="393">
        <f t="shared" si="4"/>
        <v>44362</v>
      </c>
      <c r="L890" s="394" t="str">
        <f>IFERROR(__xludf.DUMMYFUNCTION("JOIN("""", G890:H890)"),"")</f>
        <v/>
      </c>
      <c r="M890" s="80" t="str">
        <f t="shared" si="2"/>
        <v/>
      </c>
    </row>
    <row r="891">
      <c r="A891" s="86"/>
      <c r="B891" s="73"/>
      <c r="C891" s="73"/>
      <c r="D891" s="73"/>
      <c r="E891" s="88"/>
      <c r="F891" s="73"/>
      <c r="G891" s="394"/>
      <c r="H891" s="77"/>
      <c r="I891" s="88"/>
      <c r="J891" s="393">
        <v>44361.0</v>
      </c>
      <c r="K891" s="393">
        <f t="shared" si="4"/>
        <v>44362</v>
      </c>
      <c r="L891" s="394" t="str">
        <f>IFERROR(__xludf.DUMMYFUNCTION("JOIN("""", G891:H891)"),"")</f>
        <v/>
      </c>
      <c r="M891" s="80" t="str">
        <f t="shared" si="2"/>
        <v/>
      </c>
    </row>
    <row r="892">
      <c r="A892" s="86"/>
      <c r="B892" s="73"/>
      <c r="C892" s="73"/>
      <c r="D892" s="73"/>
      <c r="E892" s="88"/>
      <c r="F892" s="73"/>
      <c r="G892" s="394"/>
      <c r="H892" s="77"/>
      <c r="I892" s="88"/>
      <c r="J892" s="393">
        <v>44362.0</v>
      </c>
      <c r="K892" s="393">
        <f t="shared" si="4"/>
        <v>44363</v>
      </c>
      <c r="L892" s="394" t="str">
        <f>IFERROR(__xludf.DUMMYFUNCTION("JOIN("""", G892:H892)"),"")</f>
        <v/>
      </c>
      <c r="M892" s="80" t="str">
        <f t="shared" si="2"/>
        <v/>
      </c>
    </row>
    <row r="893">
      <c r="A893" s="86"/>
      <c r="B893" s="73"/>
      <c r="C893" s="73"/>
      <c r="D893" s="73"/>
      <c r="E893" s="88"/>
      <c r="F893" s="73"/>
      <c r="G893" s="394"/>
      <c r="H893" s="77"/>
      <c r="I893" s="88"/>
      <c r="J893" s="393">
        <v>44362.0</v>
      </c>
      <c r="K893" s="393">
        <f t="shared" si="4"/>
        <v>44363</v>
      </c>
      <c r="L893" s="394" t="str">
        <f>IFERROR(__xludf.DUMMYFUNCTION("JOIN("""", G893:H893)"),"")</f>
        <v/>
      </c>
      <c r="M893" s="80" t="str">
        <f t="shared" si="2"/>
        <v/>
      </c>
    </row>
    <row r="894">
      <c r="A894" s="86"/>
      <c r="B894" s="73"/>
      <c r="C894" s="73"/>
      <c r="D894" s="73"/>
      <c r="E894" s="88"/>
      <c r="F894" s="73"/>
      <c r="G894" s="394"/>
      <c r="H894" s="77"/>
      <c r="I894" s="88"/>
      <c r="J894" s="393">
        <v>44362.0</v>
      </c>
      <c r="K894" s="393">
        <f t="shared" si="4"/>
        <v>44363</v>
      </c>
      <c r="L894" s="394" t="str">
        <f>IFERROR(__xludf.DUMMYFUNCTION("JOIN("""", G894:H894)"),"")</f>
        <v/>
      </c>
      <c r="M894" s="80" t="str">
        <f t="shared" si="2"/>
        <v/>
      </c>
    </row>
    <row r="895">
      <c r="A895" s="86"/>
      <c r="B895" s="73"/>
      <c r="C895" s="73"/>
      <c r="D895" s="73"/>
      <c r="E895" s="88"/>
      <c r="F895" s="73"/>
      <c r="G895" s="394"/>
      <c r="H895" s="77"/>
      <c r="I895" s="88"/>
      <c r="J895" s="393">
        <v>44362.0</v>
      </c>
      <c r="K895" s="393">
        <f t="shared" si="4"/>
        <v>44363</v>
      </c>
      <c r="L895" s="394" t="str">
        <f>IFERROR(__xludf.DUMMYFUNCTION("JOIN("""", G895:H895)"),"")</f>
        <v/>
      </c>
      <c r="M895" s="80" t="str">
        <f t="shared" si="2"/>
        <v/>
      </c>
    </row>
    <row r="896">
      <c r="A896" s="86"/>
      <c r="B896" s="73"/>
      <c r="C896" s="73"/>
      <c r="D896" s="73"/>
      <c r="E896" s="88"/>
      <c r="F896" s="73"/>
      <c r="G896" s="394"/>
      <c r="H896" s="77"/>
      <c r="I896" s="88"/>
      <c r="J896" s="393">
        <v>44362.0</v>
      </c>
      <c r="K896" s="393">
        <f t="shared" si="4"/>
        <v>44363</v>
      </c>
      <c r="L896" s="394" t="str">
        <f>IFERROR(__xludf.DUMMYFUNCTION("JOIN("""", G896:H896)"),"")</f>
        <v/>
      </c>
      <c r="M896" s="80" t="str">
        <f t="shared" si="2"/>
        <v/>
      </c>
    </row>
    <row r="897">
      <c r="A897" s="86"/>
      <c r="B897" s="73"/>
      <c r="C897" s="73"/>
      <c r="D897" s="73"/>
      <c r="E897" s="88"/>
      <c r="F897" s="73"/>
      <c r="G897" s="394"/>
      <c r="H897" s="77"/>
      <c r="I897" s="88"/>
      <c r="J897" s="393">
        <v>44362.0</v>
      </c>
      <c r="K897" s="393">
        <f t="shared" si="4"/>
        <v>44363</v>
      </c>
      <c r="L897" s="394" t="str">
        <f>IFERROR(__xludf.DUMMYFUNCTION("JOIN("""", G897:H897)"),"")</f>
        <v/>
      </c>
      <c r="M897" s="80" t="str">
        <f t="shared" si="2"/>
        <v/>
      </c>
    </row>
    <row r="898">
      <c r="A898" s="86"/>
      <c r="B898" s="73"/>
      <c r="C898" s="73"/>
      <c r="D898" s="73"/>
      <c r="E898" s="88"/>
      <c r="F898" s="73"/>
      <c r="G898" s="394"/>
      <c r="H898" s="77"/>
      <c r="I898" s="88"/>
      <c r="J898" s="393">
        <v>44362.0</v>
      </c>
      <c r="K898" s="393">
        <f t="shared" si="4"/>
        <v>44363</v>
      </c>
      <c r="L898" s="394" t="str">
        <f>IFERROR(__xludf.DUMMYFUNCTION("JOIN("""", G898:H898)"),"")</f>
        <v/>
      </c>
      <c r="M898" s="80" t="str">
        <f t="shared" si="2"/>
        <v/>
      </c>
    </row>
    <row r="899">
      <c r="A899" s="86"/>
      <c r="B899" s="73"/>
      <c r="C899" s="73"/>
      <c r="D899" s="73"/>
      <c r="E899" s="88"/>
      <c r="F899" s="73"/>
      <c r="G899" s="394"/>
      <c r="H899" s="77"/>
      <c r="I899" s="88"/>
      <c r="J899" s="393">
        <v>44362.0</v>
      </c>
      <c r="K899" s="393">
        <f t="shared" si="4"/>
        <v>44363</v>
      </c>
      <c r="L899" s="394" t="str">
        <f>IFERROR(__xludf.DUMMYFUNCTION("JOIN("""", G899:H899)"),"")</f>
        <v/>
      </c>
      <c r="M899" s="80" t="str">
        <f t="shared" si="2"/>
        <v/>
      </c>
    </row>
    <row r="900">
      <c r="A900" s="86"/>
      <c r="B900" s="73"/>
      <c r="C900" s="73"/>
      <c r="D900" s="73"/>
      <c r="E900" s="88"/>
      <c r="F900" s="73"/>
      <c r="G900" s="394"/>
      <c r="H900" s="77"/>
      <c r="I900" s="88"/>
      <c r="J900" s="393">
        <v>44362.0</v>
      </c>
      <c r="K900" s="393">
        <f t="shared" si="4"/>
        <v>44363</v>
      </c>
      <c r="L900" s="394" t="str">
        <f>IFERROR(__xludf.DUMMYFUNCTION("JOIN("""", G900:H900)"),"")</f>
        <v/>
      </c>
      <c r="M900" s="80" t="str">
        <f t="shared" si="2"/>
        <v/>
      </c>
    </row>
    <row r="901">
      <c r="A901" s="86"/>
      <c r="B901" s="73"/>
      <c r="C901" s="73"/>
      <c r="D901" s="73"/>
      <c r="E901" s="88"/>
      <c r="F901" s="73"/>
      <c r="G901" s="394"/>
      <c r="H901" s="77"/>
      <c r="I901" s="88"/>
      <c r="J901" s="393">
        <v>44362.0</v>
      </c>
      <c r="K901" s="393">
        <f t="shared" si="4"/>
        <v>44363</v>
      </c>
      <c r="L901" s="394" t="str">
        <f>IFERROR(__xludf.DUMMYFUNCTION("JOIN("""", G901:H901)"),"")</f>
        <v/>
      </c>
      <c r="M901" s="80" t="str">
        <f t="shared" si="2"/>
        <v/>
      </c>
    </row>
    <row r="902">
      <c r="A902" s="86"/>
      <c r="B902" s="73"/>
      <c r="C902" s="73"/>
      <c r="D902" s="73"/>
      <c r="E902" s="88"/>
      <c r="F902" s="73"/>
      <c r="G902" s="394"/>
      <c r="H902" s="77"/>
      <c r="I902" s="88"/>
      <c r="J902" s="393">
        <v>44362.0</v>
      </c>
      <c r="K902" s="393">
        <f t="shared" si="4"/>
        <v>44363</v>
      </c>
      <c r="L902" s="394" t="str">
        <f>IFERROR(__xludf.DUMMYFUNCTION("JOIN("""", G902:H902)"),"")</f>
        <v/>
      </c>
      <c r="M902" s="80" t="str">
        <f t="shared" si="2"/>
        <v/>
      </c>
    </row>
    <row r="903">
      <c r="A903" s="86"/>
      <c r="B903" s="73"/>
      <c r="C903" s="73"/>
      <c r="D903" s="73"/>
      <c r="E903" s="88"/>
      <c r="F903" s="73"/>
      <c r="G903" s="394"/>
      <c r="H903" s="77"/>
      <c r="I903" s="88"/>
      <c r="J903" s="393">
        <v>44362.0</v>
      </c>
      <c r="K903" s="393">
        <f t="shared" si="4"/>
        <v>44363</v>
      </c>
      <c r="L903" s="394" t="str">
        <f>IFERROR(__xludf.DUMMYFUNCTION("JOIN("""", G903:H903)"),"")</f>
        <v/>
      </c>
      <c r="M903" s="80" t="str">
        <f t="shared" si="2"/>
        <v/>
      </c>
    </row>
    <row r="904">
      <c r="A904" s="86"/>
      <c r="B904" s="73"/>
      <c r="C904" s="73"/>
      <c r="D904" s="73"/>
      <c r="E904" s="88"/>
      <c r="F904" s="73"/>
      <c r="G904" s="394"/>
      <c r="H904" s="77"/>
      <c r="I904" s="88"/>
      <c r="J904" s="393">
        <v>44362.0</v>
      </c>
      <c r="K904" s="393">
        <f t="shared" si="4"/>
        <v>44363</v>
      </c>
      <c r="L904" s="394" t="str">
        <f>IFERROR(__xludf.DUMMYFUNCTION("JOIN("""", G904:H904)"),"")</f>
        <v/>
      </c>
      <c r="M904" s="80" t="str">
        <f t="shared" si="2"/>
        <v/>
      </c>
    </row>
    <row r="905">
      <c r="A905" s="86"/>
      <c r="B905" s="73"/>
      <c r="C905" s="73"/>
      <c r="D905" s="73"/>
      <c r="E905" s="88"/>
      <c r="F905" s="73"/>
      <c r="G905" s="394"/>
      <c r="H905" s="77"/>
      <c r="I905" s="88"/>
      <c r="J905" s="393">
        <v>44362.0</v>
      </c>
      <c r="K905" s="393">
        <f t="shared" si="4"/>
        <v>44363</v>
      </c>
      <c r="L905" s="394" t="str">
        <f>IFERROR(__xludf.DUMMYFUNCTION("JOIN("""", G905:H905)"),"")</f>
        <v/>
      </c>
      <c r="M905" s="80" t="str">
        <f t="shared" si="2"/>
        <v/>
      </c>
    </row>
    <row r="906">
      <c r="A906" s="86"/>
      <c r="B906" s="73"/>
      <c r="C906" s="73"/>
      <c r="D906" s="73"/>
      <c r="E906" s="88"/>
      <c r="F906" s="73"/>
      <c r="G906" s="394"/>
      <c r="H906" s="77"/>
      <c r="I906" s="88"/>
      <c r="J906" s="393">
        <v>44362.0</v>
      </c>
      <c r="K906" s="393">
        <f t="shared" si="4"/>
        <v>44363</v>
      </c>
      <c r="L906" s="394" t="str">
        <f>IFERROR(__xludf.DUMMYFUNCTION("JOIN("""", G906:H906)"),"")</f>
        <v/>
      </c>
      <c r="M906" s="80" t="str">
        <f t="shared" si="2"/>
        <v/>
      </c>
    </row>
    <row r="907">
      <c r="A907" s="86"/>
      <c r="B907" s="73"/>
      <c r="C907" s="73"/>
      <c r="D907" s="73"/>
      <c r="E907" s="88"/>
      <c r="F907" s="73"/>
      <c r="G907" s="394"/>
      <c r="H907" s="77"/>
      <c r="I907" s="88"/>
      <c r="J907" s="393">
        <v>44362.0</v>
      </c>
      <c r="K907" s="393">
        <f t="shared" si="4"/>
        <v>44363</v>
      </c>
      <c r="L907" s="394" t="str">
        <f>IFERROR(__xludf.DUMMYFUNCTION("JOIN("""", G907:H907)"),"")</f>
        <v/>
      </c>
      <c r="M907" s="80" t="str">
        <f t="shared" si="2"/>
        <v/>
      </c>
    </row>
    <row r="908">
      <c r="A908" s="86"/>
      <c r="B908" s="73"/>
      <c r="C908" s="73"/>
      <c r="D908" s="73"/>
      <c r="E908" s="88"/>
      <c r="F908" s="73"/>
      <c r="G908" s="394"/>
      <c r="H908" s="77"/>
      <c r="I908" s="88"/>
      <c r="J908" s="393">
        <v>44362.0</v>
      </c>
      <c r="K908" s="393">
        <f t="shared" si="4"/>
        <v>44363</v>
      </c>
      <c r="L908" s="394" t="str">
        <f>IFERROR(__xludf.DUMMYFUNCTION("JOIN("""", G908:H908)"),"")</f>
        <v/>
      </c>
      <c r="M908" s="80" t="str">
        <f t="shared" si="2"/>
        <v/>
      </c>
    </row>
    <row r="909">
      <c r="A909" s="86"/>
      <c r="B909" s="73"/>
      <c r="C909" s="73"/>
      <c r="D909" s="73"/>
      <c r="E909" s="88"/>
      <c r="F909" s="73"/>
      <c r="G909" s="394"/>
      <c r="H909" s="77"/>
      <c r="I909" s="88"/>
      <c r="J909" s="393">
        <v>44362.0</v>
      </c>
      <c r="K909" s="393">
        <f t="shared" si="4"/>
        <v>44363</v>
      </c>
      <c r="L909" s="394" t="str">
        <f>IFERROR(__xludf.DUMMYFUNCTION("JOIN("""", G909:H909)"),"")</f>
        <v/>
      </c>
      <c r="M909" s="80" t="str">
        <f t="shared" si="2"/>
        <v/>
      </c>
    </row>
    <row r="910">
      <c r="A910" s="86"/>
      <c r="B910" s="73"/>
      <c r="C910" s="73"/>
      <c r="D910" s="73"/>
      <c r="E910" s="88"/>
      <c r="F910" s="73"/>
      <c r="G910" s="394"/>
      <c r="H910" s="77"/>
      <c r="I910" s="88"/>
      <c r="J910" s="393">
        <v>44362.0</v>
      </c>
      <c r="K910" s="393">
        <f t="shared" si="4"/>
        <v>44363</v>
      </c>
      <c r="L910" s="394" t="str">
        <f>IFERROR(__xludf.DUMMYFUNCTION("JOIN("""", G910:H910)"),"")</f>
        <v/>
      </c>
      <c r="M910" s="80" t="str">
        <f t="shared" si="2"/>
        <v/>
      </c>
    </row>
    <row r="911">
      <c r="A911" s="86"/>
      <c r="B911" s="73"/>
      <c r="C911" s="73"/>
      <c r="D911" s="73"/>
      <c r="E911" s="88"/>
      <c r="F911" s="73"/>
      <c r="G911" s="394"/>
      <c r="H911" s="77"/>
      <c r="I911" s="88"/>
      <c r="J911" s="393">
        <v>44362.0</v>
      </c>
      <c r="K911" s="393">
        <f t="shared" si="4"/>
        <v>44363</v>
      </c>
      <c r="L911" s="394" t="str">
        <f>IFERROR(__xludf.DUMMYFUNCTION("JOIN("""", G911:H911)"),"")</f>
        <v/>
      </c>
      <c r="M911" s="80" t="str">
        <f t="shared" si="2"/>
        <v/>
      </c>
    </row>
    <row r="912">
      <c r="A912" s="86"/>
      <c r="B912" s="73"/>
      <c r="C912" s="73"/>
      <c r="D912" s="73"/>
      <c r="E912" s="88"/>
      <c r="F912" s="73"/>
      <c r="G912" s="394"/>
      <c r="H912" s="77"/>
      <c r="I912" s="88"/>
      <c r="J912" s="393">
        <v>44362.0</v>
      </c>
      <c r="K912" s="393">
        <f t="shared" si="4"/>
        <v>44363</v>
      </c>
      <c r="L912" s="394" t="str">
        <f>IFERROR(__xludf.DUMMYFUNCTION("JOIN("""", G912:H912)"),"")</f>
        <v/>
      </c>
      <c r="M912" s="80" t="str">
        <f t="shared" si="2"/>
        <v/>
      </c>
    </row>
    <row r="913">
      <c r="A913" s="86"/>
      <c r="B913" s="73"/>
      <c r="C913" s="73"/>
      <c r="D913" s="73"/>
      <c r="E913" s="88"/>
      <c r="F913" s="73"/>
      <c r="G913" s="394"/>
      <c r="H913" s="77"/>
      <c r="I913" s="88"/>
      <c r="J913" s="393">
        <v>44362.0</v>
      </c>
      <c r="K913" s="393">
        <f t="shared" si="4"/>
        <v>44363</v>
      </c>
      <c r="L913" s="394" t="str">
        <f>IFERROR(__xludf.DUMMYFUNCTION("JOIN("""", G913:H913)"),"")</f>
        <v/>
      </c>
      <c r="M913" s="80" t="str">
        <f t="shared" si="2"/>
        <v/>
      </c>
    </row>
    <row r="914">
      <c r="A914" s="86"/>
      <c r="B914" s="73"/>
      <c r="C914" s="73"/>
      <c r="D914" s="73"/>
      <c r="E914" s="88"/>
      <c r="F914" s="73"/>
      <c r="G914" s="394"/>
      <c r="H914" s="77"/>
      <c r="I914" s="88"/>
      <c r="J914" s="393">
        <v>44362.0</v>
      </c>
      <c r="K914" s="393">
        <f t="shared" si="4"/>
        <v>44363</v>
      </c>
      <c r="L914" s="394" t="str">
        <f>IFERROR(__xludf.DUMMYFUNCTION("JOIN("""", G914:H914)"),"")</f>
        <v/>
      </c>
      <c r="M914" s="80" t="str">
        <f t="shared" si="2"/>
        <v/>
      </c>
    </row>
    <row r="915">
      <c r="A915" s="86"/>
      <c r="B915" s="73"/>
      <c r="C915" s="73"/>
      <c r="D915" s="73"/>
      <c r="E915" s="88"/>
      <c r="F915" s="73"/>
      <c r="G915" s="394"/>
      <c r="H915" s="77"/>
      <c r="I915" s="88"/>
      <c r="J915" s="393">
        <v>44362.0</v>
      </c>
      <c r="K915" s="393">
        <f t="shared" si="4"/>
        <v>44363</v>
      </c>
      <c r="L915" s="394" t="str">
        <f>IFERROR(__xludf.DUMMYFUNCTION("JOIN("""", G915:H915)"),"")</f>
        <v/>
      </c>
      <c r="M915" s="80" t="str">
        <f t="shared" si="2"/>
        <v/>
      </c>
    </row>
    <row r="916">
      <c r="A916" s="86"/>
      <c r="B916" s="73"/>
      <c r="C916" s="73"/>
      <c r="D916" s="73"/>
      <c r="E916" s="88"/>
      <c r="F916" s="73"/>
      <c r="G916" s="394"/>
      <c r="H916" s="77"/>
      <c r="I916" s="88"/>
      <c r="J916" s="393">
        <v>44362.0</v>
      </c>
      <c r="K916" s="393">
        <f t="shared" si="4"/>
        <v>44363</v>
      </c>
      <c r="L916" s="394" t="str">
        <f>IFERROR(__xludf.DUMMYFUNCTION("JOIN("""", G916:H916)"),"")</f>
        <v/>
      </c>
      <c r="M916" s="80" t="str">
        <f t="shared" si="2"/>
        <v/>
      </c>
    </row>
    <row r="917">
      <c r="A917" s="86"/>
      <c r="B917" s="73"/>
      <c r="C917" s="73"/>
      <c r="D917" s="73"/>
      <c r="E917" s="88"/>
      <c r="F917" s="73"/>
      <c r="G917" s="394"/>
      <c r="H917" s="77"/>
      <c r="I917" s="88"/>
      <c r="J917" s="393">
        <v>44363.0</v>
      </c>
      <c r="K917" s="393">
        <f t="shared" si="4"/>
        <v>44364</v>
      </c>
      <c r="L917" s="394" t="str">
        <f>IFERROR(__xludf.DUMMYFUNCTION("JOIN("""", G917:H917)"),"")</f>
        <v/>
      </c>
      <c r="M917" s="80" t="str">
        <f t="shared" si="2"/>
        <v/>
      </c>
    </row>
    <row r="918">
      <c r="A918" s="86"/>
      <c r="B918" s="73"/>
      <c r="C918" s="73"/>
      <c r="D918" s="73"/>
      <c r="E918" s="88"/>
      <c r="F918" s="73"/>
      <c r="G918" s="394"/>
      <c r="H918" s="77"/>
      <c r="I918" s="88"/>
      <c r="J918" s="393">
        <v>44362.0</v>
      </c>
      <c r="K918" s="393">
        <f t="shared" si="4"/>
        <v>44363</v>
      </c>
      <c r="L918" s="394" t="str">
        <f>IFERROR(__xludf.DUMMYFUNCTION("JOIN("""", G918:H918)"),"")</f>
        <v/>
      </c>
      <c r="M918" s="80" t="str">
        <f t="shared" si="2"/>
        <v/>
      </c>
    </row>
    <row r="919">
      <c r="A919" s="86"/>
      <c r="B919" s="73"/>
      <c r="C919" s="73"/>
      <c r="D919" s="73"/>
      <c r="E919" s="88"/>
      <c r="F919" s="73"/>
      <c r="G919" s="394"/>
      <c r="H919" s="77"/>
      <c r="I919" s="88"/>
      <c r="J919" s="393">
        <v>44362.0</v>
      </c>
      <c r="K919" s="393">
        <f t="shared" si="4"/>
        <v>44363</v>
      </c>
      <c r="L919" s="394" t="str">
        <f>IFERROR(__xludf.DUMMYFUNCTION("JOIN("""", G919:H919)"),"")</f>
        <v/>
      </c>
      <c r="M919" s="80" t="str">
        <f t="shared" si="2"/>
        <v/>
      </c>
    </row>
    <row r="920">
      <c r="A920" s="86"/>
      <c r="B920" s="73"/>
      <c r="C920" s="73"/>
      <c r="D920" s="73"/>
      <c r="E920" s="88"/>
      <c r="F920" s="73"/>
      <c r="G920" s="394"/>
      <c r="H920" s="77"/>
      <c r="I920" s="88"/>
      <c r="J920" s="393">
        <v>44363.0</v>
      </c>
      <c r="K920" s="393">
        <f t="shared" si="4"/>
        <v>44364</v>
      </c>
      <c r="L920" s="394" t="str">
        <f>IFERROR(__xludf.DUMMYFUNCTION("JOIN("""", G920:H920)"),"")</f>
        <v/>
      </c>
      <c r="M920" s="80" t="str">
        <f t="shared" si="2"/>
        <v/>
      </c>
    </row>
    <row r="921">
      <c r="A921" s="86"/>
      <c r="B921" s="73"/>
      <c r="C921" s="73"/>
      <c r="D921" s="73"/>
      <c r="E921" s="88"/>
      <c r="F921" s="73"/>
      <c r="G921" s="394"/>
      <c r="H921" s="77"/>
      <c r="I921" s="88"/>
      <c r="J921" s="393">
        <v>44363.0</v>
      </c>
      <c r="K921" s="393">
        <f t="shared" si="4"/>
        <v>44364</v>
      </c>
      <c r="L921" s="394" t="str">
        <f>IFERROR(__xludf.DUMMYFUNCTION("JOIN("""", G921:H921)"),"")</f>
        <v/>
      </c>
      <c r="M921" s="80" t="str">
        <f t="shared" si="2"/>
        <v/>
      </c>
    </row>
    <row r="922">
      <c r="A922" s="86"/>
      <c r="B922" s="73"/>
      <c r="C922" s="73"/>
      <c r="D922" s="73"/>
      <c r="E922" s="88"/>
      <c r="F922" s="73"/>
      <c r="G922" s="394"/>
      <c r="H922" s="77"/>
      <c r="I922" s="88"/>
      <c r="J922" s="393">
        <v>44363.0</v>
      </c>
      <c r="K922" s="393">
        <f t="shared" si="4"/>
        <v>44364</v>
      </c>
      <c r="L922" s="394" t="str">
        <f>IFERROR(__xludf.DUMMYFUNCTION("JOIN("""", G922:H922)"),"")</f>
        <v/>
      </c>
      <c r="M922" s="80" t="str">
        <f t="shared" si="2"/>
        <v/>
      </c>
    </row>
    <row r="923">
      <c r="A923" s="86"/>
      <c r="B923" s="73"/>
      <c r="C923" s="73"/>
      <c r="D923" s="73"/>
      <c r="E923" s="88"/>
      <c r="F923" s="73"/>
      <c r="G923" s="394"/>
      <c r="H923" s="77"/>
      <c r="I923" s="88"/>
      <c r="J923" s="393">
        <v>44363.0</v>
      </c>
      <c r="K923" s="393">
        <f t="shared" si="4"/>
        <v>44364</v>
      </c>
      <c r="L923" s="394" t="str">
        <f>IFERROR(__xludf.DUMMYFUNCTION("JOIN("""", G923:H923)"),"")</f>
        <v/>
      </c>
      <c r="M923" s="80" t="str">
        <f t="shared" si="2"/>
        <v/>
      </c>
    </row>
    <row r="924">
      <c r="A924" s="86"/>
      <c r="B924" s="73"/>
      <c r="C924" s="73"/>
      <c r="D924" s="73"/>
      <c r="E924" s="88"/>
      <c r="F924" s="73"/>
      <c r="G924" s="394"/>
      <c r="H924" s="77"/>
      <c r="I924" s="88"/>
      <c r="J924" s="393">
        <v>44363.0</v>
      </c>
      <c r="K924" s="393">
        <f t="shared" si="4"/>
        <v>44364</v>
      </c>
      <c r="L924" s="394" t="str">
        <f>IFERROR(__xludf.DUMMYFUNCTION("JOIN("""", G924:H924)"),"")</f>
        <v/>
      </c>
      <c r="M924" s="80" t="str">
        <f t="shared" si="2"/>
        <v/>
      </c>
    </row>
    <row r="925">
      <c r="A925" s="86"/>
      <c r="B925" s="73"/>
      <c r="C925" s="73"/>
      <c r="D925" s="73"/>
      <c r="E925" s="88"/>
      <c r="F925" s="73"/>
      <c r="G925" s="394"/>
      <c r="H925" s="77"/>
      <c r="I925" s="88"/>
      <c r="J925" s="393">
        <v>44363.0</v>
      </c>
      <c r="K925" s="393">
        <f t="shared" si="4"/>
        <v>44364</v>
      </c>
      <c r="L925" s="394" t="str">
        <f>IFERROR(__xludf.DUMMYFUNCTION("JOIN("""", G925:H925)"),"")</f>
        <v/>
      </c>
      <c r="M925" s="80" t="str">
        <f t="shared" si="2"/>
        <v/>
      </c>
    </row>
    <row r="926">
      <c r="A926" s="86"/>
      <c r="B926" s="73"/>
      <c r="C926" s="73"/>
      <c r="D926" s="73"/>
      <c r="E926" s="88"/>
      <c r="F926" s="73"/>
      <c r="G926" s="394"/>
      <c r="H926" s="77"/>
      <c r="I926" s="88"/>
      <c r="J926" s="393">
        <v>44363.0</v>
      </c>
      <c r="K926" s="393">
        <f t="shared" si="4"/>
        <v>44364</v>
      </c>
      <c r="L926" s="394" t="str">
        <f>IFERROR(__xludf.DUMMYFUNCTION("JOIN("""", G926:H926)"),"")</f>
        <v/>
      </c>
      <c r="M926" s="80" t="str">
        <f t="shared" si="2"/>
        <v/>
      </c>
    </row>
    <row r="927">
      <c r="A927" s="86"/>
      <c r="B927" s="73"/>
      <c r="C927" s="73"/>
      <c r="D927" s="73"/>
      <c r="E927" s="88"/>
      <c r="F927" s="73"/>
      <c r="G927" s="394"/>
      <c r="H927" s="77"/>
      <c r="I927" s="88"/>
      <c r="J927" s="393">
        <v>44363.0</v>
      </c>
      <c r="K927" s="393">
        <f t="shared" si="4"/>
        <v>44364</v>
      </c>
      <c r="L927" s="394" t="str">
        <f>IFERROR(__xludf.DUMMYFUNCTION("JOIN("""", G927:H927)"),"")</f>
        <v/>
      </c>
      <c r="M927" s="80" t="str">
        <f t="shared" si="2"/>
        <v/>
      </c>
    </row>
    <row r="928">
      <c r="A928" s="86"/>
      <c r="B928" s="73"/>
      <c r="C928" s="73"/>
      <c r="D928" s="73"/>
      <c r="E928" s="88"/>
      <c r="F928" s="73"/>
      <c r="G928" s="394"/>
      <c r="H928" s="77"/>
      <c r="I928" s="88"/>
      <c r="J928" s="403">
        <v>44363.0</v>
      </c>
      <c r="K928" s="393">
        <f t="shared" si="4"/>
        <v>44364</v>
      </c>
      <c r="L928" s="394" t="str">
        <f>IFERROR(__xludf.DUMMYFUNCTION("JOIN("""", G928:H928)"),"")</f>
        <v/>
      </c>
      <c r="M928" s="80" t="str">
        <f t="shared" si="2"/>
        <v/>
      </c>
    </row>
    <row r="929">
      <c r="A929" s="86"/>
      <c r="B929" s="73"/>
      <c r="C929" s="73"/>
      <c r="D929" s="73"/>
      <c r="E929" s="88"/>
      <c r="F929" s="73"/>
      <c r="G929" s="394"/>
      <c r="H929" s="77"/>
      <c r="I929" s="88"/>
      <c r="J929" s="393">
        <v>44363.0</v>
      </c>
      <c r="K929" s="393">
        <f t="shared" si="4"/>
        <v>44364</v>
      </c>
      <c r="L929" s="394" t="str">
        <f>IFERROR(__xludf.DUMMYFUNCTION("JOIN("""", G929:H929)"),"")</f>
        <v/>
      </c>
      <c r="M929" s="80" t="str">
        <f t="shared" si="2"/>
        <v/>
      </c>
    </row>
    <row r="930">
      <c r="A930" s="86"/>
      <c r="B930" s="73"/>
      <c r="C930" s="73"/>
      <c r="D930" s="73"/>
      <c r="E930" s="88"/>
      <c r="F930" s="73"/>
      <c r="G930" s="394"/>
      <c r="H930" s="77"/>
      <c r="I930" s="88"/>
      <c r="J930" s="393">
        <v>44363.0</v>
      </c>
      <c r="K930" s="393">
        <f t="shared" si="4"/>
        <v>44364</v>
      </c>
      <c r="L930" s="394" t="str">
        <f>IFERROR(__xludf.DUMMYFUNCTION("JOIN("""", G930:H930)"),"")</f>
        <v/>
      </c>
      <c r="M930" s="80" t="str">
        <f t="shared" si="2"/>
        <v/>
      </c>
    </row>
    <row r="931">
      <c r="A931" s="86"/>
      <c r="B931" s="73"/>
      <c r="C931" s="73"/>
      <c r="D931" s="73"/>
      <c r="E931" s="88"/>
      <c r="F931" s="73"/>
      <c r="G931" s="394"/>
      <c r="H931" s="77"/>
      <c r="I931" s="88"/>
      <c r="J931" s="393">
        <v>44363.0</v>
      </c>
      <c r="K931" s="393">
        <f t="shared" si="4"/>
        <v>44364</v>
      </c>
      <c r="L931" s="394" t="str">
        <f>IFERROR(__xludf.DUMMYFUNCTION("JOIN("""", G931:H931)"),"")</f>
        <v/>
      </c>
      <c r="M931" s="80" t="str">
        <f t="shared" si="2"/>
        <v/>
      </c>
    </row>
    <row r="932">
      <c r="A932" s="86"/>
      <c r="B932" s="73"/>
      <c r="C932" s="73"/>
      <c r="D932" s="73"/>
      <c r="E932" s="88"/>
      <c r="F932" s="73"/>
      <c r="G932" s="394"/>
      <c r="H932" s="77"/>
      <c r="I932" s="88"/>
      <c r="J932" s="393">
        <v>44363.0</v>
      </c>
      <c r="K932" s="393">
        <f t="shared" si="4"/>
        <v>44364</v>
      </c>
      <c r="L932" s="394" t="str">
        <f>IFERROR(__xludf.DUMMYFUNCTION("JOIN("""", G932:H932)"),"")</f>
        <v/>
      </c>
      <c r="M932" s="80" t="str">
        <f t="shared" si="2"/>
        <v/>
      </c>
    </row>
    <row r="933">
      <c r="A933" s="86"/>
      <c r="B933" s="73"/>
      <c r="C933" s="73"/>
      <c r="D933" s="73"/>
      <c r="E933" s="88"/>
      <c r="F933" s="73"/>
      <c r="G933" s="394"/>
      <c r="H933" s="77"/>
      <c r="I933" s="88"/>
      <c r="J933" s="393">
        <v>44363.0</v>
      </c>
      <c r="K933" s="393">
        <f t="shared" si="4"/>
        <v>44364</v>
      </c>
      <c r="L933" s="394" t="str">
        <f>IFERROR(__xludf.DUMMYFUNCTION("JOIN("""", G933:H933)"),"")</f>
        <v/>
      </c>
      <c r="M933" s="80" t="str">
        <f t="shared" si="2"/>
        <v/>
      </c>
    </row>
    <row r="934">
      <c r="A934" s="86"/>
      <c r="B934" s="73"/>
      <c r="C934" s="73"/>
      <c r="D934" s="73"/>
      <c r="E934" s="88"/>
      <c r="F934" s="73"/>
      <c r="G934" s="394"/>
      <c r="H934" s="77"/>
      <c r="I934" s="88"/>
      <c r="J934" s="393">
        <v>44363.0</v>
      </c>
      <c r="K934" s="393">
        <f t="shared" si="4"/>
        <v>44364</v>
      </c>
      <c r="L934" s="394" t="str">
        <f>IFERROR(__xludf.DUMMYFUNCTION("JOIN("""", G934:H934)"),"")</f>
        <v/>
      </c>
      <c r="M934" s="80" t="str">
        <f t="shared" si="2"/>
        <v/>
      </c>
    </row>
    <row r="935">
      <c r="A935" s="86"/>
      <c r="B935" s="73"/>
      <c r="C935" s="73"/>
      <c r="D935" s="73"/>
      <c r="E935" s="88"/>
      <c r="F935" s="73"/>
      <c r="G935" s="394"/>
      <c r="H935" s="77"/>
      <c r="I935" s="88"/>
      <c r="J935" s="393">
        <v>44363.0</v>
      </c>
      <c r="K935" s="393">
        <f t="shared" si="4"/>
        <v>44364</v>
      </c>
      <c r="L935" s="394" t="str">
        <f>IFERROR(__xludf.DUMMYFUNCTION("JOIN("""", G935:H935)"),"")</f>
        <v/>
      </c>
      <c r="M935" s="80" t="str">
        <f t="shared" si="2"/>
        <v/>
      </c>
    </row>
    <row r="936">
      <c r="A936" s="86"/>
      <c r="B936" s="73"/>
      <c r="C936" s="73"/>
      <c r="D936" s="73"/>
      <c r="E936" s="88"/>
      <c r="F936" s="73"/>
      <c r="G936" s="394"/>
      <c r="H936" s="77"/>
      <c r="I936" s="88"/>
      <c r="J936" s="393">
        <v>44364.0</v>
      </c>
      <c r="K936" s="393">
        <f t="shared" si="4"/>
        <v>44365</v>
      </c>
      <c r="L936" s="394" t="str">
        <f>IFERROR(__xludf.DUMMYFUNCTION("JOIN("""", G936:H936)"),"")</f>
        <v/>
      </c>
      <c r="M936" s="80" t="str">
        <f t="shared" si="2"/>
        <v/>
      </c>
    </row>
    <row r="937">
      <c r="A937" s="86"/>
      <c r="B937" s="73"/>
      <c r="C937" s="73"/>
      <c r="D937" s="73"/>
      <c r="E937" s="88"/>
      <c r="F937" s="73"/>
      <c r="G937" s="394"/>
      <c r="H937" s="77"/>
      <c r="I937" s="88"/>
      <c r="J937" s="393">
        <v>44363.0</v>
      </c>
      <c r="K937" s="393">
        <f t="shared" si="4"/>
        <v>44364</v>
      </c>
      <c r="L937" s="394" t="str">
        <f>IFERROR(__xludf.DUMMYFUNCTION("JOIN("""", G937:H937)"),"")</f>
        <v/>
      </c>
      <c r="M937" s="80" t="str">
        <f t="shared" si="2"/>
        <v/>
      </c>
    </row>
    <row r="938">
      <c r="A938" s="86"/>
      <c r="B938" s="73"/>
      <c r="C938" s="73"/>
      <c r="D938" s="73"/>
      <c r="E938" s="88"/>
      <c r="F938" s="73"/>
      <c r="G938" s="394"/>
      <c r="H938" s="77"/>
      <c r="I938" s="88"/>
      <c r="J938" s="393">
        <v>44363.0</v>
      </c>
      <c r="K938" s="393">
        <f t="shared" si="4"/>
        <v>44364</v>
      </c>
      <c r="L938" s="394" t="str">
        <f>IFERROR(__xludf.DUMMYFUNCTION("JOIN("""", G938:H938)"),"")</f>
        <v/>
      </c>
      <c r="M938" s="80" t="str">
        <f t="shared" si="2"/>
        <v/>
      </c>
    </row>
    <row r="939">
      <c r="A939" s="86"/>
      <c r="B939" s="73"/>
      <c r="C939" s="73"/>
      <c r="D939" s="73"/>
      <c r="E939" s="88"/>
      <c r="F939" s="73"/>
      <c r="G939" s="394"/>
      <c r="H939" s="77"/>
      <c r="I939" s="88"/>
      <c r="J939" s="393">
        <v>44363.0</v>
      </c>
      <c r="K939" s="393">
        <f t="shared" si="4"/>
        <v>44364</v>
      </c>
      <c r="L939" s="394" t="str">
        <f>IFERROR(__xludf.DUMMYFUNCTION("JOIN("""", G939:H939)"),"")</f>
        <v/>
      </c>
      <c r="M939" s="80" t="str">
        <f t="shared" si="2"/>
        <v/>
      </c>
    </row>
    <row r="940">
      <c r="A940" s="86"/>
      <c r="B940" s="73"/>
      <c r="C940" s="73"/>
      <c r="D940" s="73"/>
      <c r="E940" s="88"/>
      <c r="F940" s="73"/>
      <c r="G940" s="394"/>
      <c r="H940" s="77"/>
      <c r="I940" s="88"/>
      <c r="J940" s="393">
        <v>44363.0</v>
      </c>
      <c r="K940" s="393">
        <f t="shared" si="4"/>
        <v>44364</v>
      </c>
      <c r="L940" s="394" t="str">
        <f>IFERROR(__xludf.DUMMYFUNCTION("JOIN("""", G940:H940)"),"")</f>
        <v/>
      </c>
      <c r="M940" s="80" t="str">
        <f t="shared" si="2"/>
        <v/>
      </c>
    </row>
    <row r="941">
      <c r="A941" s="86"/>
      <c r="B941" s="73"/>
      <c r="C941" s="73"/>
      <c r="D941" s="73"/>
      <c r="E941" s="88"/>
      <c r="F941" s="73"/>
      <c r="G941" s="394"/>
      <c r="H941" s="77"/>
      <c r="I941" s="88"/>
      <c r="J941" s="393">
        <v>44365.0</v>
      </c>
      <c r="K941" s="393">
        <f t="shared" si="4"/>
        <v>44366</v>
      </c>
      <c r="L941" s="394" t="str">
        <f>IFERROR(__xludf.DUMMYFUNCTION("JOIN("""", G941:H941)"),"")</f>
        <v/>
      </c>
      <c r="M941" s="80" t="str">
        <f t="shared" si="2"/>
        <v/>
      </c>
    </row>
    <row r="942">
      <c r="A942" s="86"/>
      <c r="B942" s="73"/>
      <c r="C942" s="73"/>
      <c r="D942" s="73"/>
      <c r="E942" s="88"/>
      <c r="F942" s="73"/>
      <c r="G942" s="394"/>
      <c r="H942" s="77"/>
      <c r="I942" s="88"/>
      <c r="J942" s="393">
        <v>44363.0</v>
      </c>
      <c r="K942" s="393">
        <f t="shared" si="4"/>
        <v>44364</v>
      </c>
      <c r="L942" s="394" t="str">
        <f>IFERROR(__xludf.DUMMYFUNCTION("JOIN("""", G942:H942)"),"")</f>
        <v/>
      </c>
      <c r="M942" s="80" t="str">
        <f t="shared" si="2"/>
        <v/>
      </c>
    </row>
    <row r="943">
      <c r="A943" s="86"/>
      <c r="B943" s="73"/>
      <c r="C943" s="73"/>
      <c r="D943" s="73"/>
      <c r="E943" s="88"/>
      <c r="F943" s="73"/>
      <c r="G943" s="394"/>
      <c r="H943" s="77"/>
      <c r="I943" s="88"/>
      <c r="J943" s="393">
        <v>44363.0</v>
      </c>
      <c r="K943" s="393">
        <f t="shared" si="4"/>
        <v>44364</v>
      </c>
      <c r="L943" s="394" t="str">
        <f>IFERROR(__xludf.DUMMYFUNCTION("JOIN("""", G943:H943)"),"")</f>
        <v/>
      </c>
      <c r="M943" s="80" t="str">
        <f t="shared" si="2"/>
        <v/>
      </c>
    </row>
    <row r="944">
      <c r="A944" s="86"/>
      <c r="B944" s="73"/>
      <c r="C944" s="73"/>
      <c r="D944" s="73"/>
      <c r="E944" s="88"/>
      <c r="F944" s="73"/>
      <c r="G944" s="394"/>
      <c r="H944" s="77"/>
      <c r="I944" s="88"/>
      <c r="J944" s="393">
        <v>44364.0</v>
      </c>
      <c r="K944" s="393">
        <f t="shared" si="4"/>
        <v>44365</v>
      </c>
      <c r="L944" s="394" t="str">
        <f>IFERROR(__xludf.DUMMYFUNCTION("JOIN("""", G944:H944)"),"")</f>
        <v/>
      </c>
      <c r="M944" s="80" t="str">
        <f t="shared" si="2"/>
        <v/>
      </c>
    </row>
    <row r="945">
      <c r="A945" s="86"/>
      <c r="B945" s="73"/>
      <c r="C945" s="73"/>
      <c r="D945" s="73"/>
      <c r="E945" s="88"/>
      <c r="F945" s="73"/>
      <c r="G945" s="394"/>
      <c r="H945" s="77"/>
      <c r="I945" s="88"/>
      <c r="J945" s="393">
        <v>44365.0</v>
      </c>
      <c r="K945" s="393">
        <f t="shared" si="4"/>
        <v>44366</v>
      </c>
      <c r="L945" s="394" t="str">
        <f>IFERROR(__xludf.DUMMYFUNCTION("JOIN("""", G945:H945)"),"")</f>
        <v/>
      </c>
      <c r="M945" s="80" t="str">
        <f t="shared" si="2"/>
        <v/>
      </c>
    </row>
    <row r="946">
      <c r="A946" s="86"/>
      <c r="B946" s="73"/>
      <c r="C946" s="73"/>
      <c r="D946" s="73"/>
      <c r="E946" s="88"/>
      <c r="F946" s="73"/>
      <c r="G946" s="394"/>
      <c r="H946" s="77"/>
      <c r="I946" s="88"/>
      <c r="J946" s="393">
        <v>44364.0</v>
      </c>
      <c r="K946" s="393">
        <f t="shared" si="4"/>
        <v>44365</v>
      </c>
      <c r="L946" s="394" t="str">
        <f>IFERROR(__xludf.DUMMYFUNCTION("JOIN("""", G946:H946)"),"")</f>
        <v/>
      </c>
      <c r="M946" s="80" t="str">
        <f t="shared" si="2"/>
        <v/>
      </c>
    </row>
    <row r="947">
      <c r="A947" s="86"/>
      <c r="B947" s="73"/>
      <c r="C947" s="73"/>
      <c r="D947" s="73"/>
      <c r="E947" s="88"/>
      <c r="F947" s="73"/>
      <c r="G947" s="394"/>
      <c r="H947" s="77"/>
      <c r="I947" s="88"/>
      <c r="J947" s="393">
        <v>44364.0</v>
      </c>
      <c r="K947" s="393">
        <f t="shared" si="4"/>
        <v>44365</v>
      </c>
      <c r="L947" s="394" t="str">
        <f>IFERROR(__xludf.DUMMYFUNCTION("JOIN("""", G947:H947)"),"")</f>
        <v/>
      </c>
      <c r="M947" s="80" t="str">
        <f t="shared" si="2"/>
        <v/>
      </c>
    </row>
    <row r="948">
      <c r="A948" s="86"/>
      <c r="B948" s="73"/>
      <c r="C948" s="73"/>
      <c r="D948" s="73"/>
      <c r="E948" s="88"/>
      <c r="F948" s="73"/>
      <c r="G948" s="394"/>
      <c r="H948" s="77"/>
      <c r="I948" s="88"/>
      <c r="J948" s="393">
        <v>44364.0</v>
      </c>
      <c r="K948" s="393">
        <f t="shared" si="4"/>
        <v>44365</v>
      </c>
      <c r="L948" s="394" t="str">
        <f>IFERROR(__xludf.DUMMYFUNCTION("JOIN("""", G948:H948)"),"")</f>
        <v/>
      </c>
      <c r="M948" s="80" t="str">
        <f t="shared" si="2"/>
        <v/>
      </c>
    </row>
    <row r="949">
      <c r="A949" s="86"/>
      <c r="B949" s="73"/>
      <c r="C949" s="73"/>
      <c r="D949" s="73"/>
      <c r="E949" s="88"/>
      <c r="F949" s="73"/>
      <c r="G949" s="394"/>
      <c r="H949" s="77"/>
      <c r="I949" s="88"/>
      <c r="J949" s="393">
        <v>44364.0</v>
      </c>
      <c r="K949" s="393">
        <f t="shared" si="4"/>
        <v>44365</v>
      </c>
      <c r="L949" s="394" t="str">
        <f>IFERROR(__xludf.DUMMYFUNCTION("JOIN("""", G949:H949)"),"")</f>
        <v/>
      </c>
      <c r="M949" s="80" t="str">
        <f t="shared" si="2"/>
        <v/>
      </c>
    </row>
    <row r="950">
      <c r="A950" s="86"/>
      <c r="B950" s="73"/>
      <c r="C950" s="73"/>
      <c r="D950" s="73"/>
      <c r="E950" s="88"/>
      <c r="F950" s="73"/>
      <c r="G950" s="394"/>
      <c r="H950" s="77"/>
      <c r="I950" s="88"/>
      <c r="J950" s="393">
        <v>44364.0</v>
      </c>
      <c r="K950" s="393">
        <f t="shared" si="4"/>
        <v>44365</v>
      </c>
      <c r="L950" s="394" t="str">
        <f>IFERROR(__xludf.DUMMYFUNCTION("JOIN("""", G950:H950)"),"")</f>
        <v/>
      </c>
      <c r="M950" s="80" t="str">
        <f t="shared" si="2"/>
        <v/>
      </c>
    </row>
    <row r="951">
      <c r="A951" s="86"/>
      <c r="B951" s="73"/>
      <c r="C951" s="73"/>
      <c r="D951" s="73"/>
      <c r="E951" s="88"/>
      <c r="F951" s="73"/>
      <c r="G951" s="394"/>
      <c r="H951" s="77"/>
      <c r="I951" s="88"/>
      <c r="J951" s="393">
        <v>44364.0</v>
      </c>
      <c r="K951" s="393">
        <f t="shared" si="4"/>
        <v>44365</v>
      </c>
      <c r="L951" s="394" t="str">
        <f>IFERROR(__xludf.DUMMYFUNCTION("JOIN("""", G951:H951)"),"")</f>
        <v/>
      </c>
      <c r="M951" s="80" t="str">
        <f t="shared" si="2"/>
        <v/>
      </c>
    </row>
    <row r="952">
      <c r="A952" s="86"/>
      <c r="B952" s="73"/>
      <c r="C952" s="73"/>
      <c r="D952" s="73"/>
      <c r="E952" s="88"/>
      <c r="F952" s="73"/>
      <c r="G952" s="394"/>
      <c r="H952" s="77"/>
      <c r="I952" s="88"/>
      <c r="J952" s="393">
        <v>44364.0</v>
      </c>
      <c r="K952" s="393">
        <f t="shared" si="4"/>
        <v>44365</v>
      </c>
      <c r="L952" s="394" t="str">
        <f>IFERROR(__xludf.DUMMYFUNCTION("JOIN("""", G952:H952)"),"")</f>
        <v/>
      </c>
      <c r="M952" s="80" t="str">
        <f t="shared" si="2"/>
        <v/>
      </c>
    </row>
    <row r="953">
      <c r="A953" s="86"/>
      <c r="B953" s="73"/>
      <c r="C953" s="73"/>
      <c r="D953" s="73"/>
      <c r="E953" s="88"/>
      <c r="F953" s="73"/>
      <c r="G953" s="394"/>
      <c r="H953" s="77"/>
      <c r="I953" s="88"/>
      <c r="J953" s="393">
        <v>44364.0</v>
      </c>
      <c r="K953" s="393">
        <f t="shared" si="4"/>
        <v>44365</v>
      </c>
      <c r="L953" s="394" t="str">
        <f>IFERROR(__xludf.DUMMYFUNCTION("JOIN("""", G953:H953)"),"")</f>
        <v/>
      </c>
      <c r="M953" s="80" t="str">
        <f t="shared" si="2"/>
        <v/>
      </c>
    </row>
    <row r="954">
      <c r="A954" s="86"/>
      <c r="B954" s="73"/>
      <c r="C954" s="73"/>
      <c r="D954" s="73"/>
      <c r="E954" s="88"/>
      <c r="F954" s="73"/>
      <c r="G954" s="394"/>
      <c r="H954" s="77"/>
      <c r="I954" s="88"/>
      <c r="J954" s="393">
        <v>44364.0</v>
      </c>
      <c r="K954" s="393">
        <f t="shared" si="4"/>
        <v>44365</v>
      </c>
      <c r="L954" s="394" t="str">
        <f>IFERROR(__xludf.DUMMYFUNCTION("JOIN("""", G954:H954)"),"")</f>
        <v/>
      </c>
      <c r="M954" s="80" t="str">
        <f t="shared" si="2"/>
        <v/>
      </c>
    </row>
    <row r="955">
      <c r="A955" s="86"/>
      <c r="B955" s="73"/>
      <c r="C955" s="73"/>
      <c r="D955" s="73"/>
      <c r="E955" s="88"/>
      <c r="F955" s="73"/>
      <c r="G955" s="394"/>
      <c r="H955" s="77"/>
      <c r="I955" s="88"/>
      <c r="J955" s="393">
        <v>44364.0</v>
      </c>
      <c r="K955" s="393">
        <f t="shared" si="4"/>
        <v>44365</v>
      </c>
      <c r="L955" s="394" t="str">
        <f>IFERROR(__xludf.DUMMYFUNCTION("JOIN("""", G955:H955)"),"")</f>
        <v/>
      </c>
      <c r="M955" s="80" t="str">
        <f t="shared" si="2"/>
        <v/>
      </c>
    </row>
    <row r="956">
      <c r="A956" s="86"/>
      <c r="B956" s="73"/>
      <c r="C956" s="73"/>
      <c r="D956" s="73"/>
      <c r="E956" s="88"/>
      <c r="F956" s="73"/>
      <c r="G956" s="394"/>
      <c r="H956" s="77"/>
      <c r="I956" s="88"/>
      <c r="J956" s="393">
        <v>44364.0</v>
      </c>
      <c r="K956" s="393">
        <f t="shared" si="4"/>
        <v>44365</v>
      </c>
      <c r="L956" s="394" t="str">
        <f>IFERROR(__xludf.DUMMYFUNCTION("JOIN("""", G956:H956)"),"")</f>
        <v/>
      </c>
      <c r="M956" s="80" t="str">
        <f t="shared" si="2"/>
        <v/>
      </c>
    </row>
    <row r="957">
      <c r="A957" s="86"/>
      <c r="B957" s="73"/>
      <c r="C957" s="73"/>
      <c r="D957" s="73"/>
      <c r="E957" s="88"/>
      <c r="F957" s="73"/>
      <c r="G957" s="394"/>
      <c r="H957" s="77"/>
      <c r="I957" s="88"/>
      <c r="J957" s="393">
        <v>44364.0</v>
      </c>
      <c r="K957" s="393">
        <f t="shared" si="4"/>
        <v>44365</v>
      </c>
      <c r="L957" s="394" t="str">
        <f>IFERROR(__xludf.DUMMYFUNCTION("JOIN("""", G957:H957)"),"")</f>
        <v/>
      </c>
      <c r="M957" s="80" t="str">
        <f t="shared" si="2"/>
        <v/>
      </c>
    </row>
    <row r="958">
      <c r="A958" s="86"/>
      <c r="B958" s="73"/>
      <c r="C958" s="73"/>
      <c r="D958" s="73"/>
      <c r="E958" s="88"/>
      <c r="F958" s="73"/>
      <c r="G958" s="394"/>
      <c r="H958" s="77"/>
      <c r="I958" s="88"/>
      <c r="J958" s="393">
        <v>44364.0</v>
      </c>
      <c r="K958" s="393">
        <f t="shared" si="4"/>
        <v>44365</v>
      </c>
      <c r="L958" s="394" t="str">
        <f>IFERROR(__xludf.DUMMYFUNCTION("JOIN("""", G958:H958)"),"")</f>
        <v/>
      </c>
      <c r="M958" s="80" t="str">
        <f t="shared" si="2"/>
        <v/>
      </c>
    </row>
    <row r="959">
      <c r="A959" s="86"/>
      <c r="B959" s="73"/>
      <c r="C959" s="73"/>
      <c r="D959" s="73"/>
      <c r="E959" s="88"/>
      <c r="F959" s="73"/>
      <c r="G959" s="394"/>
      <c r="H959" s="77"/>
      <c r="I959" s="88"/>
      <c r="J959" s="393">
        <v>44364.0</v>
      </c>
      <c r="K959" s="393">
        <f t="shared" si="4"/>
        <v>44365</v>
      </c>
      <c r="L959" s="394" t="str">
        <f>IFERROR(__xludf.DUMMYFUNCTION("JOIN("""", G959:H959)"),"")</f>
        <v/>
      </c>
      <c r="M959" s="80" t="str">
        <f t="shared" si="2"/>
        <v/>
      </c>
    </row>
    <row r="960">
      <c r="A960" s="86"/>
      <c r="B960" s="73"/>
      <c r="C960" s="73"/>
      <c r="D960" s="73"/>
      <c r="E960" s="88"/>
      <c r="F960" s="73"/>
      <c r="G960" s="394"/>
      <c r="H960" s="77"/>
      <c r="I960" s="88"/>
      <c r="J960" s="393">
        <v>44364.0</v>
      </c>
      <c r="K960" s="393">
        <f t="shared" si="4"/>
        <v>44365</v>
      </c>
      <c r="L960" s="394" t="str">
        <f>IFERROR(__xludf.DUMMYFUNCTION("JOIN("""", G960:H960)"),"")</f>
        <v/>
      </c>
      <c r="M960" s="80" t="str">
        <f t="shared" si="2"/>
        <v/>
      </c>
    </row>
    <row r="961">
      <c r="A961" s="86"/>
      <c r="B961" s="73"/>
      <c r="C961" s="73"/>
      <c r="D961" s="73"/>
      <c r="E961" s="88"/>
      <c r="F961" s="73"/>
      <c r="G961" s="394"/>
      <c r="H961" s="77"/>
      <c r="I961" s="88"/>
      <c r="J961" s="403">
        <v>44365.0</v>
      </c>
      <c r="K961" s="393">
        <f t="shared" si="4"/>
        <v>44366</v>
      </c>
      <c r="L961" s="394" t="str">
        <f>IFERROR(__xludf.DUMMYFUNCTION("JOIN("""", G961:H961)"),"")</f>
        <v/>
      </c>
      <c r="M961" s="80" t="str">
        <f t="shared" si="2"/>
        <v/>
      </c>
    </row>
    <row r="962">
      <c r="A962" s="86"/>
      <c r="B962" s="73"/>
      <c r="C962" s="73"/>
      <c r="D962" s="73"/>
      <c r="E962" s="88"/>
      <c r="F962" s="73"/>
      <c r="G962" s="394"/>
      <c r="H962" s="77"/>
      <c r="I962" s="88"/>
      <c r="J962" s="393">
        <v>44365.0</v>
      </c>
      <c r="K962" s="393">
        <f t="shared" si="4"/>
        <v>44366</v>
      </c>
      <c r="L962" s="394" t="str">
        <f>IFERROR(__xludf.DUMMYFUNCTION("JOIN("""", G962:H962)"),"")</f>
        <v/>
      </c>
      <c r="M962" s="80" t="str">
        <f t="shared" si="2"/>
        <v/>
      </c>
    </row>
    <row r="963">
      <c r="A963" s="86"/>
      <c r="B963" s="73"/>
      <c r="C963" s="73"/>
      <c r="D963" s="73"/>
      <c r="E963" s="88"/>
      <c r="F963" s="73"/>
      <c r="G963" s="394"/>
      <c r="H963" s="77"/>
      <c r="I963" s="88"/>
      <c r="J963" s="393">
        <v>44365.0</v>
      </c>
      <c r="K963" s="393">
        <f t="shared" si="4"/>
        <v>44366</v>
      </c>
      <c r="L963" s="394" t="str">
        <f>IFERROR(__xludf.DUMMYFUNCTION("JOIN("""", G963:H963)"),"")</f>
        <v/>
      </c>
      <c r="M963" s="80" t="str">
        <f t="shared" si="2"/>
        <v/>
      </c>
    </row>
    <row r="964">
      <c r="A964" s="86"/>
      <c r="B964" s="73"/>
      <c r="C964" s="73"/>
      <c r="D964" s="73"/>
      <c r="E964" s="88"/>
      <c r="F964" s="73"/>
      <c r="G964" s="394"/>
      <c r="H964" s="77"/>
      <c r="I964" s="88"/>
      <c r="J964" s="401">
        <v>44365.0</v>
      </c>
      <c r="K964" s="393">
        <f t="shared" si="4"/>
        <v>44366</v>
      </c>
      <c r="L964" s="394" t="str">
        <f>IFERROR(__xludf.DUMMYFUNCTION("JOIN("""", G964:H964)"),"")</f>
        <v/>
      </c>
      <c r="M964" s="80" t="str">
        <f t="shared" si="2"/>
        <v/>
      </c>
    </row>
    <row r="965">
      <c r="A965" s="86"/>
      <c r="B965" s="73"/>
      <c r="C965" s="73"/>
      <c r="D965" s="73"/>
      <c r="E965" s="88"/>
      <c r="F965" s="73"/>
      <c r="G965" s="394"/>
      <c r="H965" s="77"/>
      <c r="I965" s="88"/>
      <c r="J965" s="393">
        <v>44365.0</v>
      </c>
      <c r="K965" s="393">
        <f t="shared" si="4"/>
        <v>44366</v>
      </c>
      <c r="L965" s="394" t="str">
        <f>IFERROR(__xludf.DUMMYFUNCTION("JOIN("""", G965:H965)"),"")</f>
        <v/>
      </c>
      <c r="M965" s="80" t="str">
        <f t="shared" si="2"/>
        <v/>
      </c>
    </row>
    <row r="966">
      <c r="A966" s="86"/>
      <c r="B966" s="73"/>
      <c r="C966" s="73"/>
      <c r="D966" s="73"/>
      <c r="E966" s="88"/>
      <c r="F966" s="73"/>
      <c r="G966" s="394"/>
      <c r="H966" s="77"/>
      <c r="I966" s="88"/>
      <c r="J966" s="393">
        <v>44365.0</v>
      </c>
      <c r="K966" s="393">
        <f t="shared" si="4"/>
        <v>44366</v>
      </c>
      <c r="L966" s="394" t="str">
        <f>IFERROR(__xludf.DUMMYFUNCTION("JOIN("""", G966:H966)"),"")</f>
        <v/>
      </c>
      <c r="M966" s="80" t="str">
        <f t="shared" si="2"/>
        <v/>
      </c>
    </row>
    <row r="967">
      <c r="A967" s="86"/>
      <c r="B967" s="73"/>
      <c r="C967" s="73"/>
      <c r="D967" s="73"/>
      <c r="E967" s="88"/>
      <c r="F967" s="73"/>
      <c r="G967" s="394"/>
      <c r="H967" s="77"/>
      <c r="I967" s="88"/>
      <c r="J967" s="393">
        <v>44365.0</v>
      </c>
      <c r="K967" s="393">
        <f t="shared" si="4"/>
        <v>44366</v>
      </c>
      <c r="L967" s="394" t="str">
        <f>IFERROR(__xludf.DUMMYFUNCTION("JOIN("""", G967:H967)"),"")</f>
        <v/>
      </c>
      <c r="M967" s="80" t="str">
        <f t="shared" si="2"/>
        <v/>
      </c>
    </row>
    <row r="968">
      <c r="A968" s="86"/>
      <c r="B968" s="73"/>
      <c r="C968" s="73"/>
      <c r="D968" s="73"/>
      <c r="E968" s="88"/>
      <c r="F968" s="73"/>
      <c r="G968" s="394"/>
      <c r="H968" s="77"/>
      <c r="I968" s="88"/>
      <c r="J968" s="393">
        <v>44365.0</v>
      </c>
      <c r="K968" s="393">
        <f t="shared" si="4"/>
        <v>44366</v>
      </c>
      <c r="L968" s="394" t="str">
        <f>IFERROR(__xludf.DUMMYFUNCTION("JOIN("""", G968:H968)"),"")</f>
        <v/>
      </c>
      <c r="M968" s="80" t="str">
        <f t="shared" si="2"/>
        <v/>
      </c>
    </row>
    <row r="969">
      <c r="A969" s="86"/>
      <c r="B969" s="73"/>
      <c r="C969" s="73"/>
      <c r="D969" s="73"/>
      <c r="E969" s="88"/>
      <c r="F969" s="73"/>
      <c r="G969" s="394"/>
      <c r="H969" s="77"/>
      <c r="I969" s="88"/>
      <c r="J969" s="393">
        <v>44365.0</v>
      </c>
      <c r="K969" s="393">
        <f t="shared" si="4"/>
        <v>44366</v>
      </c>
      <c r="L969" s="394" t="str">
        <f>IFERROR(__xludf.DUMMYFUNCTION("JOIN("""", G969:H969)"),"")</f>
        <v/>
      </c>
      <c r="M969" s="80" t="str">
        <f t="shared" si="2"/>
        <v/>
      </c>
    </row>
    <row r="970">
      <c r="A970" s="86"/>
      <c r="B970" s="73"/>
      <c r="C970" s="73"/>
      <c r="D970" s="73"/>
      <c r="E970" s="88"/>
      <c r="F970" s="73"/>
      <c r="G970" s="394"/>
      <c r="H970" s="77"/>
      <c r="I970" s="88"/>
      <c r="J970" s="393">
        <v>44365.0</v>
      </c>
      <c r="K970" s="393">
        <f t="shared" si="4"/>
        <v>44366</v>
      </c>
      <c r="L970" s="394" t="str">
        <f>IFERROR(__xludf.DUMMYFUNCTION("JOIN("""", G970:H970)"),"")</f>
        <v/>
      </c>
      <c r="M970" s="80" t="str">
        <f t="shared" si="2"/>
        <v/>
      </c>
    </row>
    <row r="971">
      <c r="A971" s="86"/>
      <c r="B971" s="73"/>
      <c r="C971" s="73"/>
      <c r="D971" s="73"/>
      <c r="E971" s="88"/>
      <c r="F971" s="73"/>
      <c r="G971" s="394"/>
      <c r="H971" s="77"/>
      <c r="I971" s="88"/>
      <c r="J971" s="393">
        <v>44366.0</v>
      </c>
      <c r="K971" s="393">
        <f t="shared" si="4"/>
        <v>44367</v>
      </c>
      <c r="L971" s="394" t="str">
        <f>IFERROR(__xludf.DUMMYFUNCTION("JOIN("""", G971:H971)"),"")</f>
        <v/>
      </c>
      <c r="M971" s="80" t="str">
        <f t="shared" si="2"/>
        <v/>
      </c>
    </row>
    <row r="972">
      <c r="A972" s="86"/>
      <c r="B972" s="73"/>
      <c r="C972" s="73"/>
      <c r="D972" s="73"/>
      <c r="E972" s="88"/>
      <c r="F972" s="73"/>
      <c r="G972" s="394"/>
      <c r="H972" s="77"/>
      <c r="I972" s="88"/>
      <c r="J972" s="403">
        <v>44365.0</v>
      </c>
      <c r="K972" s="393">
        <f t="shared" si="4"/>
        <v>44366</v>
      </c>
      <c r="L972" s="394" t="str">
        <f>IFERROR(__xludf.DUMMYFUNCTION("JOIN("""", G972:H972)"),"")</f>
        <v/>
      </c>
      <c r="M972" s="80" t="str">
        <f t="shared" si="2"/>
        <v/>
      </c>
    </row>
    <row r="973">
      <c r="A973" s="86"/>
      <c r="B973" s="73"/>
      <c r="C973" s="73"/>
      <c r="D973" s="73"/>
      <c r="E973" s="88"/>
      <c r="F973" s="73"/>
      <c r="G973" s="394"/>
      <c r="H973" s="77"/>
      <c r="I973" s="88"/>
      <c r="J973" s="393">
        <v>44365.0</v>
      </c>
      <c r="K973" s="393">
        <f t="shared" si="4"/>
        <v>44366</v>
      </c>
      <c r="L973" s="394" t="str">
        <f>IFERROR(__xludf.DUMMYFUNCTION("JOIN("""", G973:H973)"),"")</f>
        <v/>
      </c>
      <c r="M973" s="80" t="str">
        <f t="shared" si="2"/>
        <v/>
      </c>
    </row>
    <row r="974">
      <c r="A974" s="86"/>
      <c r="B974" s="73"/>
      <c r="C974" s="73"/>
      <c r="D974" s="73"/>
      <c r="E974" s="88"/>
      <c r="F974" s="73"/>
      <c r="G974" s="394"/>
      <c r="H974" s="77"/>
      <c r="I974" s="88"/>
      <c r="J974" s="403">
        <v>44365.0</v>
      </c>
      <c r="K974" s="393">
        <f t="shared" si="4"/>
        <v>44366</v>
      </c>
      <c r="L974" s="394" t="str">
        <f>IFERROR(__xludf.DUMMYFUNCTION("JOIN("""", G974:H974)"),"")</f>
        <v/>
      </c>
      <c r="M974" s="80" t="str">
        <f t="shared" si="2"/>
        <v/>
      </c>
    </row>
    <row r="975">
      <c r="A975" s="86"/>
      <c r="B975" s="73"/>
      <c r="C975" s="73"/>
      <c r="D975" s="73"/>
      <c r="E975" s="88"/>
      <c r="F975" s="73"/>
      <c r="G975" s="394"/>
      <c r="H975" s="77"/>
      <c r="I975" s="88"/>
      <c r="J975" s="393">
        <v>44365.0</v>
      </c>
      <c r="K975" s="393">
        <f t="shared" si="4"/>
        <v>44366</v>
      </c>
      <c r="L975" s="394" t="str">
        <f>IFERROR(__xludf.DUMMYFUNCTION("JOIN("""", G975:H975)"),"")</f>
        <v/>
      </c>
      <c r="M975" s="80" t="str">
        <f t="shared" si="2"/>
        <v/>
      </c>
    </row>
    <row r="976">
      <c r="A976" s="86"/>
      <c r="B976" s="73"/>
      <c r="C976" s="73"/>
      <c r="D976" s="73"/>
      <c r="E976" s="88"/>
      <c r="F976" s="73"/>
      <c r="G976" s="394"/>
      <c r="H976" s="77"/>
      <c r="I976" s="88"/>
      <c r="J976" s="393">
        <v>44365.0</v>
      </c>
      <c r="K976" s="393">
        <f t="shared" si="4"/>
        <v>44366</v>
      </c>
      <c r="L976" s="394" t="str">
        <f>IFERROR(__xludf.DUMMYFUNCTION("JOIN("""", G976:H976)"),"")</f>
        <v/>
      </c>
      <c r="M976" s="80" t="str">
        <f t="shared" si="2"/>
        <v/>
      </c>
    </row>
    <row r="977">
      <c r="A977" s="86"/>
      <c r="B977" s="73"/>
      <c r="C977" s="73"/>
      <c r="D977" s="73"/>
      <c r="E977" s="88"/>
      <c r="F977" s="73"/>
      <c r="G977" s="394"/>
      <c r="H977" s="77"/>
      <c r="I977" s="88"/>
      <c r="J977" s="393">
        <v>44365.0</v>
      </c>
      <c r="K977" s="393">
        <f t="shared" si="4"/>
        <v>44366</v>
      </c>
      <c r="L977" s="394" t="str">
        <f>IFERROR(__xludf.DUMMYFUNCTION("JOIN("""", G977:H977)"),"")</f>
        <v/>
      </c>
      <c r="M977" s="80" t="str">
        <f t="shared" si="2"/>
        <v/>
      </c>
    </row>
    <row r="978">
      <c r="A978" s="86"/>
      <c r="B978" s="73"/>
      <c r="C978" s="73"/>
      <c r="D978" s="73"/>
      <c r="E978" s="88"/>
      <c r="F978" s="73"/>
      <c r="G978" s="394"/>
      <c r="H978" s="77"/>
      <c r="I978" s="88"/>
      <c r="J978" s="393">
        <v>44365.0</v>
      </c>
      <c r="K978" s="393">
        <f t="shared" si="4"/>
        <v>44366</v>
      </c>
      <c r="L978" s="394" t="str">
        <f>IFERROR(__xludf.DUMMYFUNCTION("JOIN("""", G978:H978)"),"")</f>
        <v/>
      </c>
      <c r="M978" s="80" t="str">
        <f t="shared" si="2"/>
        <v/>
      </c>
    </row>
    <row r="979">
      <c r="A979" s="86"/>
      <c r="B979" s="73"/>
      <c r="C979" s="73"/>
      <c r="D979" s="73"/>
      <c r="E979" s="88"/>
      <c r="F979" s="73"/>
      <c r="G979" s="394"/>
      <c r="H979" s="77"/>
      <c r="I979" s="88"/>
      <c r="J979" s="393">
        <v>44366.0</v>
      </c>
      <c r="K979" s="393">
        <f t="shared" si="4"/>
        <v>44367</v>
      </c>
      <c r="L979" s="394" t="str">
        <f>IFERROR(__xludf.DUMMYFUNCTION("JOIN("""", G979:H979)"),"")</f>
        <v/>
      </c>
      <c r="M979" s="80" t="str">
        <f t="shared" si="2"/>
        <v/>
      </c>
    </row>
    <row r="980">
      <c r="A980" s="86"/>
      <c r="B980" s="73"/>
      <c r="C980" s="73"/>
      <c r="D980" s="73"/>
      <c r="E980" s="88"/>
      <c r="F980" s="73"/>
      <c r="G980" s="394"/>
      <c r="H980" s="77"/>
      <c r="I980" s="88"/>
      <c r="J980" s="393">
        <v>44366.0</v>
      </c>
      <c r="K980" s="393">
        <f t="shared" si="4"/>
        <v>44367</v>
      </c>
      <c r="L980" s="394" t="str">
        <f>IFERROR(__xludf.DUMMYFUNCTION("JOIN("""", G980:H980)"),"")</f>
        <v/>
      </c>
      <c r="M980" s="80" t="str">
        <f t="shared" si="2"/>
        <v/>
      </c>
    </row>
    <row r="981">
      <c r="A981" s="86"/>
      <c r="B981" s="73"/>
      <c r="C981" s="73"/>
      <c r="D981" s="73"/>
      <c r="E981" s="88"/>
      <c r="F981" s="73"/>
      <c r="G981" s="394"/>
      <c r="H981" s="77"/>
      <c r="I981" s="88"/>
      <c r="J981" s="393">
        <v>44366.0</v>
      </c>
      <c r="K981" s="393">
        <f t="shared" si="4"/>
        <v>44367</v>
      </c>
      <c r="L981" s="394" t="str">
        <f>IFERROR(__xludf.DUMMYFUNCTION("JOIN("""", G981:H981)"),"")</f>
        <v/>
      </c>
      <c r="M981" s="80" t="str">
        <f t="shared" si="2"/>
        <v/>
      </c>
    </row>
    <row r="982">
      <c r="A982" s="86"/>
      <c r="B982" s="73"/>
      <c r="C982" s="73"/>
      <c r="D982" s="73"/>
      <c r="E982" s="88"/>
      <c r="F982" s="73"/>
      <c r="G982" s="394"/>
      <c r="H982" s="77"/>
      <c r="I982" s="88"/>
      <c r="J982" s="393">
        <v>44366.0</v>
      </c>
      <c r="K982" s="393">
        <f t="shared" si="4"/>
        <v>44367</v>
      </c>
      <c r="L982" s="394" t="str">
        <f>IFERROR(__xludf.DUMMYFUNCTION("JOIN("""", G982:H982)"),"")</f>
        <v/>
      </c>
      <c r="M982" s="80" t="str">
        <f t="shared" si="2"/>
        <v/>
      </c>
    </row>
    <row r="983">
      <c r="A983" s="86"/>
      <c r="B983" s="73"/>
      <c r="C983" s="73"/>
      <c r="D983" s="73"/>
      <c r="E983" s="88"/>
      <c r="F983" s="73"/>
      <c r="G983" s="394"/>
      <c r="H983" s="77"/>
      <c r="I983" s="88"/>
      <c r="J983" s="393">
        <v>44366.0</v>
      </c>
      <c r="K983" s="393">
        <f t="shared" si="4"/>
        <v>44367</v>
      </c>
      <c r="L983" s="394" t="str">
        <f>IFERROR(__xludf.DUMMYFUNCTION("JOIN("""", G983:H983)"),"")</f>
        <v/>
      </c>
      <c r="M983" s="80" t="str">
        <f t="shared" si="2"/>
        <v/>
      </c>
    </row>
    <row r="984">
      <c r="A984" s="86"/>
      <c r="B984" s="73"/>
      <c r="C984" s="73"/>
      <c r="D984" s="73"/>
      <c r="E984" s="88"/>
      <c r="F984" s="73"/>
      <c r="G984" s="394"/>
      <c r="H984" s="77"/>
      <c r="I984" s="88"/>
      <c r="J984" s="393">
        <v>44366.0</v>
      </c>
      <c r="K984" s="393">
        <f t="shared" si="4"/>
        <v>44367</v>
      </c>
      <c r="L984" s="394" t="str">
        <f>IFERROR(__xludf.DUMMYFUNCTION("JOIN("""", G984:H984)"),"")</f>
        <v/>
      </c>
      <c r="M984" s="80" t="str">
        <f t="shared" si="2"/>
        <v/>
      </c>
    </row>
    <row r="985">
      <c r="A985" s="86"/>
      <c r="B985" s="73"/>
      <c r="C985" s="73"/>
      <c r="D985" s="73"/>
      <c r="E985" s="88"/>
      <c r="F985" s="73"/>
      <c r="G985" s="394"/>
      <c r="H985" s="77"/>
      <c r="I985" s="88"/>
      <c r="J985" s="393">
        <v>44366.0</v>
      </c>
      <c r="K985" s="393">
        <f t="shared" si="4"/>
        <v>44367</v>
      </c>
      <c r="L985" s="394" t="str">
        <f>IFERROR(__xludf.DUMMYFUNCTION("JOIN("""", G985:H985)"),"")</f>
        <v/>
      </c>
      <c r="M985" s="80" t="str">
        <f t="shared" si="2"/>
        <v/>
      </c>
    </row>
    <row r="986">
      <c r="A986" s="86"/>
      <c r="B986" s="73"/>
      <c r="C986" s="73"/>
      <c r="D986" s="73"/>
      <c r="E986" s="88"/>
      <c r="F986" s="73"/>
      <c r="G986" s="394"/>
      <c r="H986" s="77"/>
      <c r="I986" s="88"/>
      <c r="J986" s="393">
        <v>44366.0</v>
      </c>
      <c r="K986" s="393">
        <f t="shared" si="4"/>
        <v>44367</v>
      </c>
      <c r="L986" s="394" t="str">
        <f>IFERROR(__xludf.DUMMYFUNCTION("JOIN("""", G986:H986)"),"")</f>
        <v/>
      </c>
      <c r="M986" s="80" t="str">
        <f t="shared" si="2"/>
        <v/>
      </c>
    </row>
    <row r="987">
      <c r="A987" s="86"/>
      <c r="B987" s="73"/>
      <c r="C987" s="73"/>
      <c r="D987" s="73"/>
      <c r="E987" s="88"/>
      <c r="F987" s="73"/>
      <c r="G987" s="394"/>
      <c r="H987" s="77"/>
      <c r="I987" s="88"/>
      <c r="J987" s="393">
        <v>44366.0</v>
      </c>
      <c r="K987" s="393">
        <f t="shared" si="4"/>
        <v>44367</v>
      </c>
      <c r="L987" s="394" t="str">
        <f>IFERROR(__xludf.DUMMYFUNCTION("JOIN("""", G987:H987)"),"")</f>
        <v/>
      </c>
      <c r="M987" s="80" t="str">
        <f t="shared" si="2"/>
        <v/>
      </c>
    </row>
    <row r="988">
      <c r="A988" s="86"/>
      <c r="B988" s="73"/>
      <c r="C988" s="73"/>
      <c r="D988" s="73"/>
      <c r="E988" s="88"/>
      <c r="F988" s="73"/>
      <c r="G988" s="394"/>
      <c r="H988" s="77"/>
      <c r="I988" s="88"/>
      <c r="J988" s="393">
        <v>44367.0</v>
      </c>
      <c r="K988" s="393">
        <f t="shared" si="4"/>
        <v>44368</v>
      </c>
      <c r="L988" s="394" t="str">
        <f>IFERROR(__xludf.DUMMYFUNCTION("JOIN("""", G988:H988)"),"")</f>
        <v/>
      </c>
      <c r="M988" s="80" t="str">
        <f t="shared" si="2"/>
        <v/>
      </c>
    </row>
    <row r="989">
      <c r="A989" s="86"/>
      <c r="B989" s="73"/>
      <c r="C989" s="73"/>
      <c r="D989" s="73"/>
      <c r="E989" s="88"/>
      <c r="F989" s="73"/>
      <c r="G989" s="394"/>
      <c r="H989" s="77"/>
      <c r="I989" s="88"/>
      <c r="J989" s="393">
        <v>44367.0</v>
      </c>
      <c r="K989" s="393">
        <f t="shared" si="4"/>
        <v>44368</v>
      </c>
      <c r="L989" s="394" t="str">
        <f>IFERROR(__xludf.DUMMYFUNCTION("JOIN("""", G989:H989)"),"")</f>
        <v/>
      </c>
      <c r="M989" s="80" t="str">
        <f t="shared" si="2"/>
        <v/>
      </c>
    </row>
    <row r="990">
      <c r="A990" s="86"/>
      <c r="B990" s="73"/>
      <c r="C990" s="73"/>
      <c r="D990" s="73"/>
      <c r="E990" s="88"/>
      <c r="F990" s="73"/>
      <c r="G990" s="394"/>
      <c r="H990" s="77"/>
      <c r="I990" s="88"/>
      <c r="J990" s="393">
        <v>44367.0</v>
      </c>
      <c r="K990" s="393">
        <f t="shared" si="4"/>
        <v>44368</v>
      </c>
      <c r="L990" s="394" t="str">
        <f>IFERROR(__xludf.DUMMYFUNCTION("JOIN("""", G990:H990)"),"")</f>
        <v/>
      </c>
      <c r="M990" s="80" t="str">
        <f t="shared" si="2"/>
        <v/>
      </c>
    </row>
    <row r="991">
      <c r="A991" s="86"/>
      <c r="B991" s="73"/>
      <c r="C991" s="73"/>
      <c r="D991" s="73"/>
      <c r="E991" s="88"/>
      <c r="F991" s="73"/>
      <c r="G991" s="394"/>
      <c r="H991" s="77"/>
      <c r="I991" s="88"/>
      <c r="J991" s="393">
        <v>44367.0</v>
      </c>
      <c r="K991" s="393">
        <f t="shared" si="4"/>
        <v>44368</v>
      </c>
      <c r="L991" s="394" t="str">
        <f>IFERROR(__xludf.DUMMYFUNCTION("JOIN("""", G991:H991)"),"")</f>
        <v/>
      </c>
      <c r="M991" s="80" t="str">
        <f t="shared" si="2"/>
        <v/>
      </c>
    </row>
    <row r="992">
      <c r="A992" s="86"/>
      <c r="B992" s="73"/>
      <c r="C992" s="73"/>
      <c r="D992" s="73"/>
      <c r="E992" s="88"/>
      <c r="F992" s="73"/>
      <c r="G992" s="394"/>
      <c r="H992" s="77"/>
      <c r="I992" s="88"/>
      <c r="J992" s="393">
        <v>44367.0</v>
      </c>
      <c r="K992" s="393">
        <f t="shared" si="4"/>
        <v>44368</v>
      </c>
      <c r="L992" s="394" t="str">
        <f>IFERROR(__xludf.DUMMYFUNCTION("JOIN("""", G992:H992)"),"")</f>
        <v/>
      </c>
      <c r="M992" s="80" t="str">
        <f t="shared" si="2"/>
        <v/>
      </c>
    </row>
    <row r="993">
      <c r="A993" s="86"/>
      <c r="B993" s="73"/>
      <c r="C993" s="73"/>
      <c r="D993" s="73"/>
      <c r="E993" s="88"/>
      <c r="F993" s="73"/>
      <c r="G993" s="394"/>
      <c r="H993" s="77"/>
      <c r="I993" s="88"/>
      <c r="J993" s="393">
        <v>44367.0</v>
      </c>
      <c r="K993" s="393">
        <f t="shared" si="4"/>
        <v>44368</v>
      </c>
      <c r="L993" s="394" t="str">
        <f>IFERROR(__xludf.DUMMYFUNCTION("JOIN("""", G993:H993)"),"")</f>
        <v/>
      </c>
      <c r="M993" s="80" t="str">
        <f t="shared" si="2"/>
        <v/>
      </c>
    </row>
    <row r="994">
      <c r="A994" s="86"/>
      <c r="B994" s="73"/>
      <c r="C994" s="73"/>
      <c r="D994" s="73"/>
      <c r="E994" s="88"/>
      <c r="F994" s="73"/>
      <c r="G994" s="394"/>
      <c r="H994" s="77"/>
      <c r="I994" s="88"/>
      <c r="J994" s="393">
        <v>44388.0</v>
      </c>
      <c r="K994" s="393">
        <f t="shared" si="4"/>
        <v>44389</v>
      </c>
      <c r="L994" s="394" t="str">
        <f>IFERROR(__xludf.DUMMYFUNCTION("JOIN("""", G994:H994)"),"")</f>
        <v/>
      </c>
      <c r="M994" s="80" t="str">
        <f t="shared" si="2"/>
        <v/>
      </c>
    </row>
    <row r="995">
      <c r="A995" s="86"/>
      <c r="B995" s="73"/>
      <c r="C995" s="73"/>
      <c r="D995" s="73"/>
      <c r="E995" s="88"/>
      <c r="F995" s="73"/>
      <c r="G995" s="394"/>
      <c r="H995" s="77"/>
      <c r="I995" s="88"/>
      <c r="J995" s="393">
        <v>44368.0</v>
      </c>
      <c r="K995" s="393">
        <f t="shared" si="4"/>
        <v>44369</v>
      </c>
      <c r="L995" s="394" t="str">
        <f>IFERROR(__xludf.DUMMYFUNCTION("JOIN("""", G995:H995)"),"")</f>
        <v/>
      </c>
      <c r="M995" s="80" t="str">
        <f t="shared" si="2"/>
        <v/>
      </c>
    </row>
    <row r="996">
      <c r="A996" s="86"/>
      <c r="B996" s="73"/>
      <c r="C996" s="73"/>
      <c r="D996" s="73"/>
      <c r="E996" s="88"/>
      <c r="F996" s="73"/>
      <c r="G996" s="394"/>
      <c r="H996" s="77"/>
      <c r="I996" s="88"/>
      <c r="J996" s="393">
        <v>44368.0</v>
      </c>
      <c r="K996" s="393">
        <f t="shared" si="4"/>
        <v>44369</v>
      </c>
      <c r="L996" s="394" t="str">
        <f>IFERROR(__xludf.DUMMYFUNCTION("JOIN("""", G996:H996)"),"")</f>
        <v/>
      </c>
      <c r="M996" s="80" t="str">
        <f t="shared" si="2"/>
        <v/>
      </c>
    </row>
    <row r="997">
      <c r="A997" s="86"/>
      <c r="B997" s="73"/>
      <c r="C997" s="73"/>
      <c r="D997" s="73"/>
      <c r="E997" s="88"/>
      <c r="F997" s="73"/>
      <c r="G997" s="394"/>
      <c r="H997" s="77"/>
      <c r="I997" s="88"/>
      <c r="J997" s="393">
        <v>44368.0</v>
      </c>
      <c r="K997" s="393">
        <f t="shared" si="4"/>
        <v>44369</v>
      </c>
      <c r="L997" s="394" t="str">
        <f>IFERROR(__xludf.DUMMYFUNCTION("JOIN("""", G997:H997)"),"")</f>
        <v/>
      </c>
      <c r="M997" s="80" t="str">
        <f t="shared" si="2"/>
        <v/>
      </c>
    </row>
    <row r="998">
      <c r="A998" s="86"/>
      <c r="B998" s="73"/>
      <c r="C998" s="73"/>
      <c r="D998" s="73"/>
      <c r="E998" s="88"/>
      <c r="F998" s="73"/>
      <c r="G998" s="394"/>
      <c r="H998" s="77"/>
      <c r="I998" s="88"/>
      <c r="J998" s="393">
        <v>44368.0</v>
      </c>
      <c r="K998" s="393">
        <f t="shared" si="4"/>
        <v>44369</v>
      </c>
      <c r="L998" s="394" t="str">
        <f>IFERROR(__xludf.DUMMYFUNCTION("JOIN("""", G998:H998)"),"")</f>
        <v/>
      </c>
      <c r="M998" s="80" t="str">
        <f t="shared" si="2"/>
        <v/>
      </c>
    </row>
    <row r="999">
      <c r="A999" s="86"/>
      <c r="B999" s="73"/>
      <c r="C999" s="73"/>
      <c r="D999" s="73"/>
      <c r="E999" s="88"/>
      <c r="F999" s="73"/>
      <c r="G999" s="394"/>
      <c r="H999" s="77"/>
      <c r="I999" s="88"/>
      <c r="J999" s="393">
        <v>44368.0</v>
      </c>
      <c r="K999" s="393">
        <f t="shared" si="4"/>
        <v>44369</v>
      </c>
      <c r="L999" s="394" t="str">
        <f>IFERROR(__xludf.DUMMYFUNCTION("JOIN("""", G999:H999)"),"")</f>
        <v/>
      </c>
      <c r="M999" s="80" t="str">
        <f t="shared" si="2"/>
        <v/>
      </c>
    </row>
    <row r="1000">
      <c r="A1000" s="86"/>
      <c r="B1000" s="73"/>
      <c r="C1000" s="73"/>
      <c r="D1000" s="73"/>
      <c r="E1000" s="88"/>
      <c r="F1000" s="73"/>
      <c r="G1000" s="394"/>
      <c r="H1000" s="77"/>
      <c r="I1000" s="88"/>
      <c r="J1000" s="393">
        <v>44368.0</v>
      </c>
      <c r="K1000" s="393">
        <f t="shared" si="4"/>
        <v>44369</v>
      </c>
      <c r="L1000" s="394" t="str">
        <f>IFERROR(__xludf.DUMMYFUNCTION("JOIN("""", G1000:H1000)"),"")</f>
        <v/>
      </c>
      <c r="M1000" s="80" t="str">
        <f t="shared" si="2"/>
        <v/>
      </c>
    </row>
    <row r="1001">
      <c r="A1001" s="86"/>
      <c r="B1001" s="73"/>
      <c r="C1001" s="73"/>
      <c r="D1001" s="73"/>
      <c r="E1001" s="88"/>
      <c r="F1001" s="73"/>
      <c r="G1001" s="394"/>
      <c r="H1001" s="77"/>
      <c r="I1001" s="88"/>
      <c r="J1001" s="393">
        <v>44369.0</v>
      </c>
      <c r="K1001" s="393">
        <f t="shared" si="4"/>
        <v>44370</v>
      </c>
      <c r="L1001" s="394" t="str">
        <f>IFERROR(__xludf.DUMMYFUNCTION("JOIN("""", G1001:H1001)"),"")</f>
        <v/>
      </c>
      <c r="M1001" s="80" t="str">
        <f t="shared" si="2"/>
        <v/>
      </c>
    </row>
    <row r="1002">
      <c r="A1002" s="86"/>
      <c r="B1002" s="73"/>
      <c r="C1002" s="73"/>
      <c r="D1002" s="73"/>
      <c r="E1002" s="88"/>
      <c r="F1002" s="73"/>
      <c r="G1002" s="394"/>
      <c r="H1002" s="77"/>
      <c r="I1002" s="88"/>
      <c r="J1002" s="393">
        <v>44372.0</v>
      </c>
      <c r="K1002" s="393">
        <f t="shared" si="4"/>
        <v>44373</v>
      </c>
      <c r="L1002" s="394" t="str">
        <f>IFERROR(__xludf.DUMMYFUNCTION("JOIN("""", G1002:H1002)"),"")</f>
        <v/>
      </c>
      <c r="M1002" s="80" t="str">
        <f t="shared" si="2"/>
        <v/>
      </c>
    </row>
    <row r="1003">
      <c r="A1003" s="86"/>
      <c r="B1003" s="73"/>
      <c r="C1003" s="73"/>
      <c r="D1003" s="73"/>
      <c r="E1003" s="88"/>
      <c r="F1003" s="73"/>
      <c r="G1003" s="394"/>
      <c r="H1003" s="77"/>
      <c r="I1003" s="88"/>
      <c r="J1003" s="393">
        <v>44369.0</v>
      </c>
      <c r="K1003" s="393">
        <f t="shared" si="4"/>
        <v>44370</v>
      </c>
      <c r="L1003" s="394" t="str">
        <f>IFERROR(__xludf.DUMMYFUNCTION("JOIN("""", G1003:H1003)"),"")</f>
        <v/>
      </c>
      <c r="M1003" s="80" t="str">
        <f t="shared" si="2"/>
        <v/>
      </c>
    </row>
    <row r="1004">
      <c r="A1004" s="86"/>
      <c r="B1004" s="73"/>
      <c r="C1004" s="73"/>
      <c r="D1004" s="73"/>
      <c r="E1004" s="88"/>
      <c r="F1004" s="73"/>
      <c r="G1004" s="394"/>
      <c r="H1004" s="77"/>
      <c r="I1004" s="88"/>
      <c r="J1004" s="393">
        <v>44369.0</v>
      </c>
      <c r="K1004" s="393">
        <f t="shared" si="4"/>
        <v>44370</v>
      </c>
      <c r="L1004" s="394" t="str">
        <f>IFERROR(__xludf.DUMMYFUNCTION("JOIN("""", G1004:H1004)"),"")</f>
        <v/>
      </c>
      <c r="M1004" s="80" t="str">
        <f t="shared" si="2"/>
        <v/>
      </c>
    </row>
    <row r="1005">
      <c r="A1005" s="86"/>
      <c r="B1005" s="73"/>
      <c r="C1005" s="73"/>
      <c r="D1005" s="73"/>
      <c r="E1005" s="88"/>
      <c r="F1005" s="73"/>
      <c r="G1005" s="394"/>
      <c r="H1005" s="77"/>
      <c r="I1005" s="88"/>
      <c r="J1005" s="393">
        <v>44369.0</v>
      </c>
      <c r="K1005" s="393">
        <f t="shared" si="4"/>
        <v>44370</v>
      </c>
      <c r="L1005" s="394" t="str">
        <f>IFERROR(__xludf.DUMMYFUNCTION("JOIN("""", G1005:H1005)"),"")</f>
        <v/>
      </c>
      <c r="M1005" s="80" t="str">
        <f t="shared" si="2"/>
        <v/>
      </c>
    </row>
    <row r="1006">
      <c r="A1006" s="86"/>
      <c r="B1006" s="73"/>
      <c r="C1006" s="73"/>
      <c r="D1006" s="73"/>
      <c r="E1006" s="88"/>
      <c r="F1006" s="73"/>
      <c r="G1006" s="394"/>
      <c r="H1006" s="77"/>
      <c r="I1006" s="88"/>
      <c r="J1006" s="393">
        <v>44369.0</v>
      </c>
      <c r="K1006" s="393">
        <f t="shared" si="4"/>
        <v>44370</v>
      </c>
      <c r="L1006" s="394" t="str">
        <f>IFERROR(__xludf.DUMMYFUNCTION("JOIN("""", G1006:H1006)"),"")</f>
        <v/>
      </c>
      <c r="M1006" s="80" t="str">
        <f t="shared" si="2"/>
        <v/>
      </c>
    </row>
    <row r="1007">
      <c r="A1007" s="86"/>
      <c r="B1007" s="73"/>
      <c r="C1007" s="73"/>
      <c r="D1007" s="73"/>
      <c r="E1007" s="88"/>
      <c r="F1007" s="73"/>
      <c r="G1007" s="394"/>
      <c r="H1007" s="77"/>
      <c r="I1007" s="88"/>
      <c r="J1007" s="393">
        <v>44369.0</v>
      </c>
      <c r="K1007" s="393">
        <f t="shared" si="4"/>
        <v>44370</v>
      </c>
      <c r="L1007" s="394" t="str">
        <f>IFERROR(__xludf.DUMMYFUNCTION("JOIN("""", G1007:H1007)"),"")</f>
        <v/>
      </c>
      <c r="M1007" s="80" t="str">
        <f t="shared" si="2"/>
        <v/>
      </c>
    </row>
    <row r="1008">
      <c r="A1008" s="86"/>
      <c r="B1008" s="73"/>
      <c r="C1008" s="73"/>
      <c r="D1008" s="73"/>
      <c r="E1008" s="88"/>
      <c r="F1008" s="73"/>
      <c r="G1008" s="394"/>
      <c r="H1008" s="77"/>
      <c r="I1008" s="88"/>
      <c r="J1008" s="393">
        <v>44369.0</v>
      </c>
      <c r="K1008" s="393">
        <f t="shared" si="4"/>
        <v>44370</v>
      </c>
      <c r="L1008" s="394" t="str">
        <f>IFERROR(__xludf.DUMMYFUNCTION("JOIN("""", G1008:H1008)"),"")</f>
        <v/>
      </c>
      <c r="M1008" s="80" t="str">
        <f t="shared" si="2"/>
        <v/>
      </c>
    </row>
    <row r="1009">
      <c r="A1009" s="86"/>
      <c r="B1009" s="73"/>
      <c r="C1009" s="73"/>
      <c r="D1009" s="73"/>
      <c r="E1009" s="88"/>
      <c r="F1009" s="73"/>
      <c r="G1009" s="394"/>
      <c r="H1009" s="77"/>
      <c r="I1009" s="88"/>
      <c r="J1009" s="393">
        <v>44369.0</v>
      </c>
      <c r="K1009" s="393">
        <v>44370.0</v>
      </c>
      <c r="L1009" s="394" t="str">
        <f>IFERROR(__xludf.DUMMYFUNCTION("JOIN("""", G1009:H1009)"),"")</f>
        <v/>
      </c>
      <c r="M1009" s="80" t="str">
        <f t="shared" si="2"/>
        <v/>
      </c>
    </row>
    <row r="1010">
      <c r="A1010" s="86"/>
      <c r="B1010" s="73"/>
      <c r="C1010" s="73"/>
      <c r="D1010" s="73"/>
      <c r="E1010" s="88"/>
      <c r="F1010" s="73"/>
      <c r="G1010" s="394"/>
      <c r="H1010" s="77"/>
      <c r="I1010" s="88"/>
      <c r="J1010" s="393">
        <v>44369.0</v>
      </c>
      <c r="K1010" s="393">
        <v>44370.0</v>
      </c>
      <c r="L1010" s="394" t="str">
        <f>IFERROR(__xludf.DUMMYFUNCTION("JOIN("""", G1010:H1010)"),"")</f>
        <v/>
      </c>
      <c r="M1010" s="80" t="str">
        <f t="shared" si="2"/>
        <v/>
      </c>
    </row>
    <row r="1011">
      <c r="A1011" s="86"/>
      <c r="B1011" s="73"/>
      <c r="C1011" s="73"/>
      <c r="D1011" s="73"/>
      <c r="E1011" s="88"/>
      <c r="F1011" s="73"/>
      <c r="G1011" s="394"/>
      <c r="H1011" s="77"/>
      <c r="I1011" s="88"/>
      <c r="J1011" s="393">
        <v>44369.0</v>
      </c>
      <c r="K1011" s="393">
        <f t="shared" ref="K1011:K1089" si="5">J1011+1</f>
        <v>44370</v>
      </c>
      <c r="L1011" s="394" t="str">
        <f>IFERROR(__xludf.DUMMYFUNCTION("JOIN("""", G1011:H1011)"),"")</f>
        <v/>
      </c>
      <c r="M1011" s="80" t="str">
        <f t="shared" si="2"/>
        <v/>
      </c>
    </row>
    <row r="1012">
      <c r="A1012" s="86"/>
      <c r="B1012" s="73"/>
      <c r="C1012" s="73"/>
      <c r="D1012" s="73"/>
      <c r="E1012" s="88"/>
      <c r="F1012" s="73"/>
      <c r="G1012" s="394"/>
      <c r="H1012" s="77"/>
      <c r="I1012" s="88"/>
      <c r="J1012" s="393">
        <v>44369.0</v>
      </c>
      <c r="K1012" s="393">
        <f t="shared" si="5"/>
        <v>44370</v>
      </c>
      <c r="L1012" s="394" t="str">
        <f>IFERROR(__xludf.DUMMYFUNCTION("JOIN("""", G1012:H1012)"),"")</f>
        <v/>
      </c>
      <c r="M1012" s="80" t="str">
        <f t="shared" si="2"/>
        <v/>
      </c>
    </row>
    <row r="1013">
      <c r="A1013" s="86"/>
      <c r="B1013" s="73"/>
      <c r="C1013" s="73"/>
      <c r="D1013" s="73"/>
      <c r="E1013" s="88"/>
      <c r="F1013" s="73"/>
      <c r="G1013" s="394"/>
      <c r="H1013" s="77"/>
      <c r="I1013" s="88"/>
      <c r="J1013" s="393">
        <v>44369.0</v>
      </c>
      <c r="K1013" s="393">
        <f t="shared" si="5"/>
        <v>44370</v>
      </c>
      <c r="L1013" s="394" t="str">
        <f>IFERROR(__xludf.DUMMYFUNCTION("JOIN("""", G1013:H1013)"),"")</f>
        <v/>
      </c>
      <c r="M1013" s="80" t="str">
        <f t="shared" si="2"/>
        <v/>
      </c>
    </row>
    <row r="1014">
      <c r="A1014" s="86"/>
      <c r="B1014" s="73"/>
      <c r="C1014" s="73"/>
      <c r="D1014" s="73"/>
      <c r="E1014" s="88"/>
      <c r="F1014" s="73"/>
      <c r="G1014" s="394"/>
      <c r="H1014" s="77"/>
      <c r="I1014" s="88"/>
      <c r="J1014" s="393">
        <v>44369.0</v>
      </c>
      <c r="K1014" s="393">
        <f t="shared" si="5"/>
        <v>44370</v>
      </c>
      <c r="L1014" s="394" t="str">
        <f>IFERROR(__xludf.DUMMYFUNCTION("JOIN("""", G1014:H1014)"),"")</f>
        <v/>
      </c>
      <c r="M1014" s="80" t="str">
        <f t="shared" si="2"/>
        <v/>
      </c>
    </row>
    <row r="1015">
      <c r="A1015" s="86"/>
      <c r="B1015" s="73"/>
      <c r="C1015" s="73"/>
      <c r="D1015" s="73"/>
      <c r="E1015" s="88"/>
      <c r="F1015" s="73"/>
      <c r="G1015" s="394"/>
      <c r="H1015" s="77"/>
      <c r="I1015" s="88"/>
      <c r="J1015" s="401">
        <v>44369.0</v>
      </c>
      <c r="K1015" s="393">
        <f t="shared" si="5"/>
        <v>44370</v>
      </c>
      <c r="L1015" s="394" t="str">
        <f>IFERROR(__xludf.DUMMYFUNCTION("JOIN("""", G1015:H1015)"),"")</f>
        <v/>
      </c>
      <c r="M1015" s="80" t="str">
        <f t="shared" si="2"/>
        <v/>
      </c>
    </row>
    <row r="1016">
      <c r="A1016" s="86"/>
      <c r="B1016" s="73"/>
      <c r="C1016" s="73"/>
      <c r="D1016" s="73"/>
      <c r="E1016" s="88"/>
      <c r="F1016" s="73"/>
      <c r="G1016" s="394"/>
      <c r="H1016" s="77"/>
      <c r="I1016" s="88"/>
      <c r="J1016" s="403">
        <v>44369.0</v>
      </c>
      <c r="K1016" s="393">
        <f t="shared" si="5"/>
        <v>44370</v>
      </c>
      <c r="L1016" s="394" t="str">
        <f>IFERROR(__xludf.DUMMYFUNCTION("JOIN("""", G1016:H1016)"),"")</f>
        <v/>
      </c>
      <c r="M1016" s="80" t="str">
        <f t="shared" si="2"/>
        <v/>
      </c>
    </row>
    <row r="1017">
      <c r="A1017" s="86"/>
      <c r="B1017" s="73"/>
      <c r="C1017" s="73"/>
      <c r="D1017" s="73"/>
      <c r="E1017" s="88"/>
      <c r="F1017" s="73"/>
      <c r="G1017" s="394"/>
      <c r="H1017" s="77"/>
      <c r="I1017" s="88"/>
      <c r="J1017" s="393">
        <v>44369.0</v>
      </c>
      <c r="K1017" s="393">
        <f t="shared" si="5"/>
        <v>44370</v>
      </c>
      <c r="L1017" s="394" t="str">
        <f>IFERROR(__xludf.DUMMYFUNCTION("JOIN("""", G1017:H1017)"),"")</f>
        <v/>
      </c>
      <c r="M1017" s="80" t="str">
        <f t="shared" si="2"/>
        <v/>
      </c>
    </row>
    <row r="1018">
      <c r="A1018" s="86"/>
      <c r="B1018" s="73"/>
      <c r="C1018" s="73"/>
      <c r="D1018" s="73"/>
      <c r="E1018" s="88"/>
      <c r="F1018" s="73"/>
      <c r="G1018" s="394"/>
      <c r="H1018" s="77"/>
      <c r="I1018" s="88"/>
      <c r="J1018" s="393">
        <v>44369.0</v>
      </c>
      <c r="K1018" s="393">
        <f t="shared" si="5"/>
        <v>44370</v>
      </c>
      <c r="L1018" s="394" t="str">
        <f>IFERROR(__xludf.DUMMYFUNCTION("JOIN("""", G1018:H1018)"),"")</f>
        <v/>
      </c>
      <c r="M1018" s="80" t="str">
        <f t="shared" si="2"/>
        <v/>
      </c>
    </row>
    <row r="1019">
      <c r="A1019" s="86"/>
      <c r="B1019" s="73"/>
      <c r="C1019" s="73"/>
      <c r="D1019" s="73"/>
      <c r="E1019" s="88"/>
      <c r="F1019" s="73"/>
      <c r="G1019" s="394"/>
      <c r="H1019" s="77"/>
      <c r="I1019" s="88"/>
      <c r="J1019" s="393">
        <v>44369.0</v>
      </c>
      <c r="K1019" s="393">
        <f t="shared" si="5"/>
        <v>44370</v>
      </c>
      <c r="L1019" s="394" t="str">
        <f>IFERROR(__xludf.DUMMYFUNCTION("JOIN("""", G1019:H1019)"),"")</f>
        <v/>
      </c>
      <c r="M1019" s="80" t="str">
        <f t="shared" si="2"/>
        <v/>
      </c>
    </row>
    <row r="1020">
      <c r="A1020" s="86"/>
      <c r="B1020" s="73"/>
      <c r="C1020" s="73"/>
      <c r="D1020" s="73"/>
      <c r="E1020" s="88"/>
      <c r="F1020" s="73"/>
      <c r="G1020" s="394"/>
      <c r="H1020" s="77"/>
      <c r="I1020" s="88"/>
      <c r="J1020" s="393">
        <v>44369.0</v>
      </c>
      <c r="K1020" s="393">
        <f t="shared" si="5"/>
        <v>44370</v>
      </c>
      <c r="L1020" s="394" t="str">
        <f>IFERROR(__xludf.DUMMYFUNCTION("JOIN("""", G1020:H1020)"),"")</f>
        <v/>
      </c>
      <c r="M1020" s="80" t="str">
        <f t="shared" si="2"/>
        <v/>
      </c>
    </row>
    <row r="1021">
      <c r="A1021" s="86"/>
      <c r="B1021" s="73"/>
      <c r="C1021" s="73"/>
      <c r="D1021" s="73"/>
      <c r="E1021" s="88"/>
      <c r="F1021" s="73"/>
      <c r="G1021" s="394"/>
      <c r="H1021" s="77"/>
      <c r="I1021" s="88"/>
      <c r="J1021" s="393">
        <v>44369.0</v>
      </c>
      <c r="K1021" s="393">
        <f t="shared" si="5"/>
        <v>44370</v>
      </c>
      <c r="L1021" s="394" t="str">
        <f>IFERROR(__xludf.DUMMYFUNCTION("JOIN("""", G1021:H1021)"),"")</f>
        <v/>
      </c>
      <c r="M1021" s="80" t="str">
        <f t="shared" si="2"/>
        <v/>
      </c>
    </row>
    <row r="1022">
      <c r="A1022" s="86"/>
      <c r="B1022" s="73"/>
      <c r="C1022" s="73"/>
      <c r="D1022" s="73"/>
      <c r="E1022" s="88"/>
      <c r="F1022" s="73"/>
      <c r="G1022" s="394"/>
      <c r="H1022" s="73"/>
      <c r="I1022" s="88"/>
      <c r="J1022" s="393">
        <v>44370.0</v>
      </c>
      <c r="K1022" s="393">
        <f t="shared" si="5"/>
        <v>44371</v>
      </c>
      <c r="L1022" s="394" t="str">
        <f>IFERROR(__xludf.DUMMYFUNCTION("JOIN("""", G1022:H1022)"),"")</f>
        <v/>
      </c>
      <c r="M1022" s="80" t="str">
        <f t="shared" si="2"/>
        <v/>
      </c>
    </row>
    <row r="1023">
      <c r="A1023" s="86"/>
      <c r="B1023" s="73"/>
      <c r="C1023" s="73"/>
      <c r="D1023" s="73"/>
      <c r="E1023" s="88"/>
      <c r="F1023" s="73"/>
      <c r="G1023" s="394"/>
      <c r="H1023" s="77"/>
      <c r="I1023" s="88"/>
      <c r="J1023" s="393">
        <v>44370.0</v>
      </c>
      <c r="K1023" s="393">
        <f t="shared" si="5"/>
        <v>44371</v>
      </c>
      <c r="L1023" s="394" t="str">
        <f>IFERROR(__xludf.DUMMYFUNCTION("JOIN("""", G1023:H1023)"),"")</f>
        <v/>
      </c>
      <c r="M1023" s="80" t="str">
        <f t="shared" si="2"/>
        <v/>
      </c>
    </row>
    <row r="1024">
      <c r="A1024" s="86"/>
      <c r="B1024" s="73"/>
      <c r="C1024" s="73"/>
      <c r="D1024" s="73"/>
      <c r="E1024" s="88"/>
      <c r="F1024" s="73"/>
      <c r="G1024" s="394"/>
      <c r="H1024" s="77"/>
      <c r="I1024" s="88"/>
      <c r="J1024" s="393">
        <v>44370.0</v>
      </c>
      <c r="K1024" s="393">
        <f t="shared" si="5"/>
        <v>44371</v>
      </c>
      <c r="L1024" s="394" t="str">
        <f>IFERROR(__xludf.DUMMYFUNCTION("JOIN("""", G1024:H1024)"),"")</f>
        <v/>
      </c>
      <c r="M1024" s="80" t="str">
        <f t="shared" si="2"/>
        <v/>
      </c>
    </row>
    <row r="1025">
      <c r="A1025" s="86"/>
      <c r="B1025" s="73"/>
      <c r="C1025" s="73"/>
      <c r="D1025" s="73"/>
      <c r="E1025" s="88"/>
      <c r="F1025" s="73"/>
      <c r="G1025" s="394"/>
      <c r="H1025" s="77"/>
      <c r="I1025" s="88"/>
      <c r="J1025" s="393">
        <v>44370.0</v>
      </c>
      <c r="K1025" s="393">
        <f t="shared" si="5"/>
        <v>44371</v>
      </c>
      <c r="L1025" s="394" t="str">
        <f>IFERROR(__xludf.DUMMYFUNCTION("JOIN("""", G1025:H1025)"),"")</f>
        <v/>
      </c>
      <c r="M1025" s="80" t="str">
        <f t="shared" si="2"/>
        <v/>
      </c>
    </row>
    <row r="1026">
      <c r="A1026" s="86"/>
      <c r="B1026" s="73"/>
      <c r="C1026" s="73"/>
      <c r="D1026" s="73"/>
      <c r="E1026" s="88"/>
      <c r="F1026" s="73"/>
      <c r="G1026" s="394"/>
      <c r="H1026" s="77"/>
      <c r="I1026" s="88"/>
      <c r="J1026" s="393">
        <v>44370.0</v>
      </c>
      <c r="K1026" s="393">
        <f t="shared" si="5"/>
        <v>44371</v>
      </c>
      <c r="L1026" s="394" t="str">
        <f>IFERROR(__xludf.DUMMYFUNCTION("JOIN("""", G1026:H1026)"),"")</f>
        <v/>
      </c>
      <c r="M1026" s="80" t="str">
        <f t="shared" si="2"/>
        <v/>
      </c>
    </row>
    <row r="1027">
      <c r="A1027" s="86"/>
      <c r="B1027" s="73"/>
      <c r="C1027" s="73"/>
      <c r="D1027" s="73"/>
      <c r="E1027" s="88"/>
      <c r="F1027" s="73"/>
      <c r="G1027" s="394"/>
      <c r="H1027" s="77"/>
      <c r="I1027" s="88"/>
      <c r="J1027" s="393">
        <v>44370.0</v>
      </c>
      <c r="K1027" s="393">
        <f t="shared" si="5"/>
        <v>44371</v>
      </c>
      <c r="L1027" s="394" t="str">
        <f>IFERROR(__xludf.DUMMYFUNCTION("JOIN("""", G1027:H1027)"),"")</f>
        <v/>
      </c>
      <c r="M1027" s="80" t="str">
        <f t="shared" si="2"/>
        <v/>
      </c>
    </row>
    <row r="1028">
      <c r="A1028" s="86"/>
      <c r="B1028" s="73"/>
      <c r="C1028" s="73"/>
      <c r="D1028" s="73"/>
      <c r="E1028" s="88"/>
      <c r="F1028" s="73"/>
      <c r="G1028" s="394"/>
      <c r="H1028" s="77"/>
      <c r="I1028" s="88"/>
      <c r="J1028" s="393">
        <v>44382.0</v>
      </c>
      <c r="K1028" s="393">
        <f t="shared" si="5"/>
        <v>44383</v>
      </c>
      <c r="L1028" s="394" t="str">
        <f>IFERROR(__xludf.DUMMYFUNCTION("JOIN("""", G1028:H1028)"),"")</f>
        <v/>
      </c>
      <c r="M1028" s="80" t="str">
        <f t="shared" si="2"/>
        <v/>
      </c>
    </row>
    <row r="1029">
      <c r="A1029" s="86"/>
      <c r="B1029" s="73"/>
      <c r="C1029" s="73"/>
      <c r="D1029" s="73"/>
      <c r="E1029" s="88"/>
      <c r="F1029" s="73"/>
      <c r="G1029" s="394"/>
      <c r="H1029" s="77"/>
      <c r="I1029" s="88"/>
      <c r="J1029" s="393">
        <v>44370.0</v>
      </c>
      <c r="K1029" s="393">
        <f t="shared" si="5"/>
        <v>44371</v>
      </c>
      <c r="L1029" s="394" t="str">
        <f>IFERROR(__xludf.DUMMYFUNCTION("JOIN("""", G1029:H1029)"),"")</f>
        <v/>
      </c>
      <c r="M1029" s="80" t="str">
        <f t="shared" si="2"/>
        <v/>
      </c>
    </row>
    <row r="1030">
      <c r="A1030" s="86"/>
      <c r="B1030" s="73"/>
      <c r="C1030" s="73"/>
      <c r="D1030" s="73"/>
      <c r="E1030" s="88"/>
      <c r="F1030" s="73"/>
      <c r="G1030" s="394"/>
      <c r="H1030" s="77"/>
      <c r="I1030" s="88"/>
      <c r="J1030" s="393">
        <v>44370.0</v>
      </c>
      <c r="K1030" s="393">
        <f t="shared" si="5"/>
        <v>44371</v>
      </c>
      <c r="L1030" s="394" t="str">
        <f>IFERROR(__xludf.DUMMYFUNCTION("JOIN("""", G1030:H1030)"),"")</f>
        <v/>
      </c>
      <c r="M1030" s="80" t="str">
        <f t="shared" si="2"/>
        <v/>
      </c>
    </row>
    <row r="1031">
      <c r="A1031" s="86"/>
      <c r="B1031" s="73"/>
      <c r="C1031" s="73"/>
      <c r="D1031" s="73"/>
      <c r="E1031" s="88"/>
      <c r="F1031" s="73"/>
      <c r="G1031" s="394"/>
      <c r="H1031" s="77"/>
      <c r="I1031" s="88"/>
      <c r="J1031" s="393">
        <v>44372.0</v>
      </c>
      <c r="K1031" s="393">
        <f t="shared" si="5"/>
        <v>44373</v>
      </c>
      <c r="L1031" s="394" t="str">
        <f>IFERROR(__xludf.DUMMYFUNCTION("JOIN("""", G1031:H1031)"),"")</f>
        <v/>
      </c>
      <c r="M1031" s="80" t="str">
        <f t="shared" si="2"/>
        <v/>
      </c>
    </row>
    <row r="1032">
      <c r="A1032" s="86"/>
      <c r="B1032" s="73"/>
      <c r="C1032" s="73"/>
      <c r="D1032" s="73"/>
      <c r="E1032" s="88"/>
      <c r="F1032" s="73"/>
      <c r="G1032" s="394"/>
      <c r="H1032" s="77"/>
      <c r="I1032" s="88"/>
      <c r="J1032" s="393">
        <v>44370.0</v>
      </c>
      <c r="K1032" s="393">
        <f t="shared" si="5"/>
        <v>44371</v>
      </c>
      <c r="L1032" s="394" t="str">
        <f>IFERROR(__xludf.DUMMYFUNCTION("JOIN("""", G1032:H1032)"),"")</f>
        <v/>
      </c>
      <c r="M1032" s="80" t="str">
        <f t="shared" si="2"/>
        <v/>
      </c>
    </row>
    <row r="1033">
      <c r="A1033" s="86"/>
      <c r="B1033" s="73"/>
      <c r="C1033" s="73"/>
      <c r="D1033" s="73"/>
      <c r="E1033" s="88"/>
      <c r="F1033" s="73"/>
      <c r="G1033" s="394"/>
      <c r="H1033" s="77"/>
      <c r="I1033" s="88"/>
      <c r="J1033" s="393">
        <v>44370.0</v>
      </c>
      <c r="K1033" s="393">
        <f t="shared" si="5"/>
        <v>44371</v>
      </c>
      <c r="L1033" s="394" t="str">
        <f>IFERROR(__xludf.DUMMYFUNCTION("JOIN("""", G1033:H1033)"),"")</f>
        <v/>
      </c>
      <c r="M1033" s="80" t="str">
        <f t="shared" si="2"/>
        <v/>
      </c>
    </row>
    <row r="1034">
      <c r="A1034" s="86"/>
      <c r="B1034" s="73"/>
      <c r="C1034" s="73"/>
      <c r="D1034" s="73"/>
      <c r="E1034" s="88"/>
      <c r="F1034" s="73"/>
      <c r="G1034" s="394"/>
      <c r="H1034" s="77"/>
      <c r="I1034" s="88"/>
      <c r="J1034" s="393">
        <v>44370.0</v>
      </c>
      <c r="K1034" s="393">
        <f t="shared" si="5"/>
        <v>44371</v>
      </c>
      <c r="L1034" s="394" t="str">
        <f>IFERROR(__xludf.DUMMYFUNCTION("JOIN("""", G1034:H1034)"),"")</f>
        <v/>
      </c>
      <c r="M1034" s="80" t="str">
        <f t="shared" si="2"/>
        <v/>
      </c>
    </row>
    <row r="1035">
      <c r="A1035" s="86"/>
      <c r="B1035" s="73"/>
      <c r="C1035" s="73"/>
      <c r="D1035" s="73"/>
      <c r="E1035" s="88"/>
      <c r="F1035" s="73"/>
      <c r="G1035" s="394"/>
      <c r="H1035" s="77"/>
      <c r="I1035" s="88"/>
      <c r="J1035" s="393">
        <v>44370.0</v>
      </c>
      <c r="K1035" s="393">
        <f t="shared" si="5"/>
        <v>44371</v>
      </c>
      <c r="L1035" s="394" t="str">
        <f>IFERROR(__xludf.DUMMYFUNCTION("JOIN("""", G1035:H1035)"),"")</f>
        <v/>
      </c>
      <c r="M1035" s="80" t="str">
        <f t="shared" si="2"/>
        <v/>
      </c>
    </row>
    <row r="1036">
      <c r="A1036" s="86"/>
      <c r="B1036" s="73"/>
      <c r="C1036" s="73"/>
      <c r="D1036" s="73"/>
      <c r="E1036" s="88"/>
      <c r="F1036" s="73"/>
      <c r="G1036" s="394"/>
      <c r="H1036" s="77"/>
      <c r="I1036" s="88"/>
      <c r="J1036" s="393">
        <v>44370.0</v>
      </c>
      <c r="K1036" s="393">
        <f t="shared" si="5"/>
        <v>44371</v>
      </c>
      <c r="L1036" s="394" t="str">
        <f>IFERROR(__xludf.DUMMYFUNCTION("JOIN("""", G1036:H1036)"),"")</f>
        <v/>
      </c>
      <c r="M1036" s="80" t="str">
        <f t="shared" si="2"/>
        <v/>
      </c>
    </row>
    <row r="1037">
      <c r="A1037" s="86"/>
      <c r="B1037" s="73"/>
      <c r="C1037" s="73"/>
      <c r="D1037" s="73"/>
      <c r="E1037" s="88"/>
      <c r="F1037" s="73"/>
      <c r="G1037" s="394"/>
      <c r="H1037" s="77"/>
      <c r="I1037" s="88"/>
      <c r="J1037" s="393">
        <v>44370.0</v>
      </c>
      <c r="K1037" s="393">
        <f t="shared" si="5"/>
        <v>44371</v>
      </c>
      <c r="L1037" s="394" t="str">
        <f>IFERROR(__xludf.DUMMYFUNCTION("JOIN("""", G1037:H1037)"),"")</f>
        <v/>
      </c>
      <c r="M1037" s="80" t="str">
        <f t="shared" si="2"/>
        <v/>
      </c>
    </row>
    <row r="1038">
      <c r="A1038" s="86"/>
      <c r="B1038" s="73"/>
      <c r="C1038" s="73"/>
      <c r="D1038" s="73"/>
      <c r="E1038" s="88"/>
      <c r="F1038" s="73"/>
      <c r="G1038" s="394"/>
      <c r="H1038" s="77"/>
      <c r="I1038" s="88"/>
      <c r="J1038" s="393">
        <v>44370.0</v>
      </c>
      <c r="K1038" s="393">
        <f t="shared" si="5"/>
        <v>44371</v>
      </c>
      <c r="L1038" s="394" t="str">
        <f>IFERROR(__xludf.DUMMYFUNCTION("JOIN("""", G1038:H1038)"),"")</f>
        <v/>
      </c>
      <c r="M1038" s="80" t="str">
        <f t="shared" si="2"/>
        <v/>
      </c>
    </row>
    <row r="1039">
      <c r="A1039" s="86"/>
      <c r="B1039" s="73"/>
      <c r="C1039" s="73"/>
      <c r="D1039" s="73"/>
      <c r="E1039" s="88"/>
      <c r="F1039" s="73"/>
      <c r="G1039" s="394"/>
      <c r="H1039" s="77"/>
      <c r="I1039" s="88"/>
      <c r="J1039" s="393">
        <v>44372.0</v>
      </c>
      <c r="K1039" s="393">
        <f t="shared" si="5"/>
        <v>44373</v>
      </c>
      <c r="L1039" s="394" t="str">
        <f>IFERROR(__xludf.DUMMYFUNCTION("JOIN("""", G1039:H1039)"),"")</f>
        <v/>
      </c>
      <c r="M1039" s="80" t="str">
        <f t="shared" si="2"/>
        <v/>
      </c>
    </row>
    <row r="1040">
      <c r="A1040" s="86"/>
      <c r="B1040" s="73"/>
      <c r="C1040" s="73"/>
      <c r="D1040" s="73"/>
      <c r="E1040" s="88"/>
      <c r="F1040" s="73"/>
      <c r="G1040" s="394"/>
      <c r="H1040" s="77"/>
      <c r="I1040" s="88"/>
      <c r="J1040" s="393">
        <v>44399.0</v>
      </c>
      <c r="K1040" s="393">
        <f t="shared" si="5"/>
        <v>44400</v>
      </c>
      <c r="L1040" s="394" t="str">
        <f>IFERROR(__xludf.DUMMYFUNCTION("JOIN("""", G1040:H1040)"),"")</f>
        <v/>
      </c>
      <c r="M1040" s="80" t="str">
        <f t="shared" si="2"/>
        <v/>
      </c>
    </row>
    <row r="1041">
      <c r="A1041" s="86"/>
      <c r="B1041" s="73"/>
      <c r="C1041" s="73"/>
      <c r="D1041" s="73"/>
      <c r="E1041" s="88"/>
      <c r="F1041" s="73"/>
      <c r="G1041" s="394"/>
      <c r="H1041" s="77"/>
      <c r="I1041" s="88"/>
      <c r="J1041" s="393">
        <v>44370.0</v>
      </c>
      <c r="K1041" s="393">
        <f t="shared" si="5"/>
        <v>44371</v>
      </c>
      <c r="L1041" s="394" t="str">
        <f>IFERROR(__xludf.DUMMYFUNCTION("JOIN("""", G1041:H1041)"),"")</f>
        <v/>
      </c>
      <c r="M1041" s="80" t="str">
        <f t="shared" si="2"/>
        <v/>
      </c>
    </row>
    <row r="1042">
      <c r="A1042" s="86"/>
      <c r="B1042" s="73"/>
      <c r="C1042" s="73"/>
      <c r="D1042" s="73"/>
      <c r="E1042" s="88"/>
      <c r="F1042" s="73"/>
      <c r="G1042" s="394"/>
      <c r="H1042" s="77"/>
      <c r="I1042" s="88"/>
      <c r="J1042" s="393">
        <v>44371.0</v>
      </c>
      <c r="K1042" s="393">
        <f t="shared" si="5"/>
        <v>44372</v>
      </c>
      <c r="L1042" s="394" t="str">
        <f>IFERROR(__xludf.DUMMYFUNCTION("JOIN("""", G1042:H1042)"),"")</f>
        <v/>
      </c>
      <c r="M1042" s="80" t="str">
        <f t="shared" si="2"/>
        <v/>
      </c>
    </row>
    <row r="1043">
      <c r="A1043" s="86"/>
      <c r="B1043" s="73"/>
      <c r="C1043" s="73"/>
      <c r="D1043" s="73"/>
      <c r="E1043" s="88"/>
      <c r="F1043" s="73"/>
      <c r="G1043" s="394"/>
      <c r="H1043" s="77"/>
      <c r="I1043" s="88"/>
      <c r="J1043" s="393">
        <v>44371.0</v>
      </c>
      <c r="K1043" s="393">
        <f t="shared" si="5"/>
        <v>44372</v>
      </c>
      <c r="L1043" s="394" t="str">
        <f>IFERROR(__xludf.DUMMYFUNCTION("JOIN("""", G1043:H1043)"),"")</f>
        <v/>
      </c>
      <c r="M1043" s="80" t="str">
        <f t="shared" si="2"/>
        <v/>
      </c>
    </row>
    <row r="1044">
      <c r="A1044" s="86"/>
      <c r="B1044" s="73"/>
      <c r="C1044" s="73"/>
      <c r="D1044" s="73"/>
      <c r="E1044" s="88"/>
      <c r="F1044" s="73"/>
      <c r="G1044" s="394"/>
      <c r="H1044" s="77"/>
      <c r="I1044" s="88"/>
      <c r="J1044" s="393">
        <v>44372.0</v>
      </c>
      <c r="K1044" s="393">
        <f t="shared" si="5"/>
        <v>44373</v>
      </c>
      <c r="L1044" s="394" t="str">
        <f>IFERROR(__xludf.DUMMYFUNCTION("JOIN("""", G1044:H1044)"),"")</f>
        <v/>
      </c>
      <c r="M1044" s="80" t="str">
        <f t="shared" si="2"/>
        <v/>
      </c>
    </row>
    <row r="1045">
      <c r="A1045" s="86"/>
      <c r="B1045" s="73"/>
      <c r="C1045" s="73"/>
      <c r="D1045" s="73"/>
      <c r="E1045" s="88"/>
      <c r="F1045" s="73"/>
      <c r="G1045" s="394"/>
      <c r="H1045" s="77"/>
      <c r="I1045" s="88"/>
      <c r="J1045" s="393">
        <v>44371.0</v>
      </c>
      <c r="K1045" s="393">
        <f t="shared" si="5"/>
        <v>44372</v>
      </c>
      <c r="L1045" s="394" t="str">
        <f>IFERROR(__xludf.DUMMYFUNCTION("JOIN("""", G1045:H1045)"),"")</f>
        <v/>
      </c>
      <c r="M1045" s="80" t="str">
        <f t="shared" si="2"/>
        <v/>
      </c>
    </row>
    <row r="1046">
      <c r="A1046" s="86"/>
      <c r="B1046" s="73"/>
      <c r="C1046" s="73"/>
      <c r="D1046" s="73"/>
      <c r="E1046" s="88"/>
      <c r="F1046" s="73"/>
      <c r="G1046" s="394"/>
      <c r="H1046" s="77"/>
      <c r="I1046" s="88"/>
      <c r="J1046" s="393">
        <v>44371.0</v>
      </c>
      <c r="K1046" s="393">
        <f t="shared" si="5"/>
        <v>44372</v>
      </c>
      <c r="L1046" s="394" t="str">
        <f>IFERROR(__xludf.DUMMYFUNCTION("JOIN("""", G1046:H1046)"),"")</f>
        <v/>
      </c>
      <c r="M1046" s="80" t="str">
        <f t="shared" si="2"/>
        <v/>
      </c>
    </row>
    <row r="1047">
      <c r="A1047" s="86"/>
      <c r="B1047" s="73"/>
      <c r="C1047" s="73"/>
      <c r="D1047" s="73"/>
      <c r="E1047" s="88"/>
      <c r="F1047" s="73"/>
      <c r="G1047" s="394"/>
      <c r="H1047" s="77"/>
      <c r="I1047" s="88"/>
      <c r="J1047" s="393">
        <v>44371.0</v>
      </c>
      <c r="K1047" s="393">
        <f t="shared" si="5"/>
        <v>44372</v>
      </c>
      <c r="L1047" s="394" t="str">
        <f>IFERROR(__xludf.DUMMYFUNCTION("JOIN("""", G1047:H1047)"),"")</f>
        <v/>
      </c>
      <c r="M1047" s="80" t="str">
        <f t="shared" si="2"/>
        <v/>
      </c>
    </row>
    <row r="1048">
      <c r="A1048" s="86"/>
      <c r="B1048" s="73"/>
      <c r="C1048" s="73"/>
      <c r="D1048" s="73"/>
      <c r="E1048" s="88"/>
      <c r="F1048" s="73"/>
      <c r="G1048" s="394"/>
      <c r="H1048" s="77"/>
      <c r="I1048" s="88"/>
      <c r="J1048" s="393">
        <v>110114.0</v>
      </c>
      <c r="K1048" s="393">
        <f t="shared" si="5"/>
        <v>110115</v>
      </c>
      <c r="L1048" s="394" t="str">
        <f>IFERROR(__xludf.DUMMYFUNCTION("JOIN("""", G1048:H1048)"),"")</f>
        <v/>
      </c>
      <c r="M1048" s="80" t="str">
        <f t="shared" si="2"/>
        <v/>
      </c>
    </row>
    <row r="1049">
      <c r="A1049" s="86"/>
      <c r="B1049" s="73"/>
      <c r="C1049" s="73"/>
      <c r="D1049" s="73"/>
      <c r="E1049" s="88"/>
      <c r="F1049" s="73"/>
      <c r="G1049" s="394"/>
      <c r="H1049" s="77"/>
      <c r="I1049" s="88"/>
      <c r="J1049" s="393">
        <v>44371.0</v>
      </c>
      <c r="K1049" s="393">
        <f t="shared" si="5"/>
        <v>44372</v>
      </c>
      <c r="L1049" s="394" t="str">
        <f>IFERROR(__xludf.DUMMYFUNCTION("JOIN("""", G1049:H1049)"),"")</f>
        <v/>
      </c>
      <c r="M1049" s="80" t="str">
        <f t="shared" si="2"/>
        <v/>
      </c>
    </row>
    <row r="1050">
      <c r="A1050" s="86"/>
      <c r="B1050" s="73"/>
      <c r="C1050" s="73"/>
      <c r="D1050" s="73"/>
      <c r="E1050" s="88"/>
      <c r="F1050" s="73"/>
      <c r="G1050" s="394"/>
      <c r="H1050" s="77"/>
      <c r="I1050" s="88"/>
      <c r="J1050" s="393">
        <v>44371.0</v>
      </c>
      <c r="K1050" s="393">
        <f t="shared" si="5"/>
        <v>44372</v>
      </c>
      <c r="L1050" s="394" t="str">
        <f>IFERROR(__xludf.DUMMYFUNCTION("JOIN("""", G1050:H1050)"),"")</f>
        <v/>
      </c>
      <c r="M1050" s="80" t="str">
        <f t="shared" si="2"/>
        <v/>
      </c>
    </row>
    <row r="1051">
      <c r="A1051" s="86"/>
      <c r="B1051" s="73"/>
      <c r="C1051" s="73"/>
      <c r="D1051" s="73"/>
      <c r="E1051" s="88"/>
      <c r="F1051" s="73"/>
      <c r="G1051" s="394"/>
      <c r="H1051" s="77"/>
      <c r="I1051" s="88"/>
      <c r="J1051" s="393">
        <v>44371.0</v>
      </c>
      <c r="K1051" s="393">
        <f t="shared" si="5"/>
        <v>44372</v>
      </c>
      <c r="L1051" s="394" t="str">
        <f>IFERROR(__xludf.DUMMYFUNCTION("JOIN("""", G1051:H1051)"),"")</f>
        <v/>
      </c>
      <c r="M1051" s="80" t="str">
        <f t="shared" si="2"/>
        <v/>
      </c>
    </row>
    <row r="1052">
      <c r="A1052" s="86"/>
      <c r="B1052" s="73"/>
      <c r="C1052" s="73"/>
      <c r="D1052" s="73"/>
      <c r="E1052" s="88"/>
      <c r="F1052" s="73"/>
      <c r="G1052" s="394"/>
      <c r="H1052" s="77"/>
      <c r="I1052" s="88"/>
      <c r="J1052" s="393">
        <v>44371.0</v>
      </c>
      <c r="K1052" s="393">
        <f t="shared" si="5"/>
        <v>44372</v>
      </c>
      <c r="L1052" s="394" t="str">
        <f>IFERROR(__xludf.DUMMYFUNCTION("JOIN("""", G1052:H1052)"),"")</f>
        <v/>
      </c>
      <c r="M1052" s="80" t="str">
        <f t="shared" si="2"/>
        <v/>
      </c>
    </row>
    <row r="1053">
      <c r="A1053" s="86"/>
      <c r="B1053" s="73"/>
      <c r="C1053" s="73"/>
      <c r="D1053" s="73"/>
      <c r="E1053" s="88"/>
      <c r="F1053" s="73"/>
      <c r="G1053" s="394"/>
      <c r="H1053" s="77"/>
      <c r="I1053" s="88"/>
      <c r="J1053" s="393">
        <v>44371.0</v>
      </c>
      <c r="K1053" s="393">
        <f t="shared" si="5"/>
        <v>44372</v>
      </c>
      <c r="L1053" s="394" t="str">
        <f>IFERROR(__xludf.DUMMYFUNCTION("JOIN("""", G1053:H1053)"),"")</f>
        <v/>
      </c>
      <c r="M1053" s="80" t="str">
        <f t="shared" si="2"/>
        <v/>
      </c>
    </row>
    <row r="1054">
      <c r="A1054" s="86"/>
      <c r="B1054" s="73"/>
      <c r="C1054" s="73"/>
      <c r="D1054" s="73"/>
      <c r="E1054" s="88"/>
      <c r="F1054" s="73"/>
      <c r="G1054" s="394"/>
      <c r="H1054" s="77"/>
      <c r="I1054" s="88"/>
      <c r="J1054" s="393">
        <v>44371.0</v>
      </c>
      <c r="K1054" s="393">
        <f t="shared" si="5"/>
        <v>44372</v>
      </c>
      <c r="L1054" s="394" t="str">
        <f>IFERROR(__xludf.DUMMYFUNCTION("JOIN("""", G1054:H1054)"),"")</f>
        <v/>
      </c>
      <c r="M1054" s="80" t="str">
        <f t="shared" si="2"/>
        <v/>
      </c>
    </row>
    <row r="1055">
      <c r="A1055" s="86"/>
      <c r="B1055" s="73"/>
      <c r="C1055" s="73"/>
      <c r="D1055" s="73"/>
      <c r="E1055" s="88"/>
      <c r="F1055" s="73"/>
      <c r="G1055" s="394"/>
      <c r="H1055" s="77"/>
      <c r="I1055" s="88"/>
      <c r="J1055" s="393">
        <v>44371.0</v>
      </c>
      <c r="K1055" s="393">
        <f t="shared" si="5"/>
        <v>44372</v>
      </c>
      <c r="L1055" s="394" t="str">
        <f>IFERROR(__xludf.DUMMYFUNCTION("JOIN("""", G1055:H1055)"),"")</f>
        <v/>
      </c>
      <c r="M1055" s="80" t="str">
        <f t="shared" si="2"/>
        <v/>
      </c>
    </row>
    <row r="1056">
      <c r="A1056" s="86"/>
      <c r="B1056" s="73"/>
      <c r="C1056" s="73"/>
      <c r="D1056" s="73"/>
      <c r="E1056" s="88"/>
      <c r="F1056" s="73"/>
      <c r="G1056" s="394"/>
      <c r="H1056" s="77"/>
      <c r="I1056" s="88"/>
      <c r="J1056" s="393">
        <v>44372.0</v>
      </c>
      <c r="K1056" s="393">
        <f t="shared" si="5"/>
        <v>44373</v>
      </c>
      <c r="L1056" s="394" t="str">
        <f>IFERROR(__xludf.DUMMYFUNCTION("JOIN("""", G1056:H1056)"),"")</f>
        <v/>
      </c>
      <c r="M1056" s="80" t="str">
        <f t="shared" si="2"/>
        <v/>
      </c>
    </row>
    <row r="1057">
      <c r="A1057" s="86"/>
      <c r="B1057" s="73"/>
      <c r="C1057" s="73"/>
      <c r="D1057" s="73"/>
      <c r="E1057" s="88"/>
      <c r="F1057" s="73"/>
      <c r="G1057" s="394"/>
      <c r="H1057" s="77"/>
      <c r="I1057" s="88"/>
      <c r="J1057" s="393">
        <v>44372.0</v>
      </c>
      <c r="K1057" s="393">
        <f t="shared" si="5"/>
        <v>44373</v>
      </c>
      <c r="L1057" s="394" t="str">
        <f>IFERROR(__xludf.DUMMYFUNCTION("JOIN("""", G1057:H1057)"),"")</f>
        <v/>
      </c>
      <c r="M1057" s="80" t="str">
        <f t="shared" si="2"/>
        <v/>
      </c>
    </row>
    <row r="1058">
      <c r="A1058" s="86"/>
      <c r="B1058" s="73"/>
      <c r="C1058" s="73"/>
      <c r="D1058" s="73"/>
      <c r="E1058" s="88"/>
      <c r="F1058" s="73"/>
      <c r="G1058" s="394"/>
      <c r="H1058" s="77"/>
      <c r="I1058" s="88"/>
      <c r="J1058" s="393">
        <v>44372.0</v>
      </c>
      <c r="K1058" s="393">
        <f t="shared" si="5"/>
        <v>44373</v>
      </c>
      <c r="L1058" s="394" t="str">
        <f>IFERROR(__xludf.DUMMYFUNCTION("JOIN("""", G1058:H1058)"),"")</f>
        <v/>
      </c>
      <c r="M1058" s="80" t="str">
        <f t="shared" si="2"/>
        <v/>
      </c>
    </row>
    <row r="1059">
      <c r="A1059" s="86"/>
      <c r="B1059" s="73"/>
      <c r="C1059" s="73"/>
      <c r="D1059" s="73"/>
      <c r="E1059" s="88"/>
      <c r="F1059" s="73"/>
      <c r="G1059" s="394"/>
      <c r="H1059" s="77"/>
      <c r="I1059" s="88"/>
      <c r="J1059" s="393">
        <v>44372.0</v>
      </c>
      <c r="K1059" s="393">
        <f t="shared" si="5"/>
        <v>44373</v>
      </c>
      <c r="L1059" s="394" t="str">
        <f>IFERROR(__xludf.DUMMYFUNCTION("JOIN("""", G1059:H1059)"),"")</f>
        <v/>
      </c>
      <c r="M1059" s="80" t="str">
        <f t="shared" si="2"/>
        <v/>
      </c>
    </row>
    <row r="1060">
      <c r="A1060" s="86"/>
      <c r="B1060" s="73"/>
      <c r="C1060" s="73"/>
      <c r="D1060" s="73"/>
      <c r="E1060" s="88"/>
      <c r="F1060" s="73"/>
      <c r="G1060" s="394"/>
      <c r="H1060" s="77"/>
      <c r="I1060" s="88"/>
      <c r="J1060" s="393">
        <v>44372.0</v>
      </c>
      <c r="K1060" s="393">
        <f t="shared" si="5"/>
        <v>44373</v>
      </c>
      <c r="L1060" s="394" t="str">
        <f>IFERROR(__xludf.DUMMYFUNCTION("JOIN("""", G1060:H1060)"),"")</f>
        <v/>
      </c>
      <c r="M1060" s="80" t="str">
        <f t="shared" si="2"/>
        <v/>
      </c>
    </row>
    <row r="1061">
      <c r="A1061" s="86"/>
      <c r="B1061" s="73"/>
      <c r="C1061" s="73"/>
      <c r="D1061" s="73"/>
      <c r="E1061" s="88"/>
      <c r="F1061" s="73"/>
      <c r="G1061" s="394"/>
      <c r="H1061" s="77"/>
      <c r="I1061" s="88"/>
      <c r="J1061" s="393">
        <v>44372.0</v>
      </c>
      <c r="K1061" s="393">
        <f t="shared" si="5"/>
        <v>44373</v>
      </c>
      <c r="L1061" s="394" t="str">
        <f>IFERROR(__xludf.DUMMYFUNCTION("JOIN("""", G1061:H1061)"),"")</f>
        <v/>
      </c>
      <c r="M1061" s="80" t="str">
        <f t="shared" si="2"/>
        <v/>
      </c>
    </row>
    <row r="1062">
      <c r="A1062" s="86"/>
      <c r="B1062" s="73"/>
      <c r="C1062" s="73"/>
      <c r="D1062" s="73"/>
      <c r="E1062" s="88"/>
      <c r="F1062" s="73"/>
      <c r="G1062" s="394"/>
      <c r="H1062" s="77"/>
      <c r="I1062" s="88"/>
      <c r="J1062" s="393">
        <v>44372.0</v>
      </c>
      <c r="K1062" s="393">
        <f t="shared" si="5"/>
        <v>44373</v>
      </c>
      <c r="L1062" s="394" t="str">
        <f>IFERROR(__xludf.DUMMYFUNCTION("JOIN("""", G1062:H1062)"),"")</f>
        <v/>
      </c>
      <c r="M1062" s="80" t="str">
        <f t="shared" si="2"/>
        <v/>
      </c>
    </row>
    <row r="1063">
      <c r="A1063" s="86"/>
      <c r="B1063" s="73"/>
      <c r="C1063" s="73"/>
      <c r="D1063" s="73"/>
      <c r="E1063" s="88"/>
      <c r="F1063" s="73"/>
      <c r="G1063" s="394"/>
      <c r="H1063" s="77"/>
      <c r="I1063" s="88"/>
      <c r="J1063" s="393">
        <v>44372.0</v>
      </c>
      <c r="K1063" s="393">
        <f t="shared" si="5"/>
        <v>44373</v>
      </c>
      <c r="L1063" s="394" t="str">
        <f>IFERROR(__xludf.DUMMYFUNCTION("JOIN("""", G1063:H1063)"),"")</f>
        <v/>
      </c>
      <c r="M1063" s="80" t="str">
        <f t="shared" si="2"/>
        <v/>
      </c>
    </row>
    <row r="1064">
      <c r="A1064" s="86"/>
      <c r="B1064" s="73"/>
      <c r="C1064" s="73"/>
      <c r="D1064" s="73"/>
      <c r="E1064" s="88"/>
      <c r="F1064" s="73"/>
      <c r="G1064" s="394"/>
      <c r="H1064" s="77"/>
      <c r="I1064" s="88"/>
      <c r="J1064" s="393">
        <v>44372.0</v>
      </c>
      <c r="K1064" s="393">
        <f t="shared" si="5"/>
        <v>44373</v>
      </c>
      <c r="L1064" s="394" t="str">
        <f>IFERROR(__xludf.DUMMYFUNCTION("JOIN("""", G1064:H1064)"),"")</f>
        <v/>
      </c>
      <c r="M1064" s="80" t="str">
        <f t="shared" si="2"/>
        <v/>
      </c>
    </row>
    <row r="1065">
      <c r="A1065" s="86"/>
      <c r="B1065" s="73"/>
      <c r="C1065" s="73"/>
      <c r="D1065" s="73"/>
      <c r="E1065" s="88"/>
      <c r="F1065" s="73"/>
      <c r="G1065" s="394"/>
      <c r="H1065" s="77"/>
      <c r="I1065" s="88"/>
      <c r="J1065" s="393">
        <v>44373.0</v>
      </c>
      <c r="K1065" s="393">
        <f t="shared" si="5"/>
        <v>44374</v>
      </c>
      <c r="L1065" s="394" t="str">
        <f>IFERROR(__xludf.DUMMYFUNCTION("JOIN("""", G1065:H1065)"),"")</f>
        <v/>
      </c>
      <c r="M1065" s="80" t="str">
        <f t="shared" si="2"/>
        <v/>
      </c>
    </row>
    <row r="1066">
      <c r="A1066" s="86"/>
      <c r="B1066" s="73"/>
      <c r="C1066" s="73"/>
      <c r="D1066" s="73"/>
      <c r="E1066" s="88"/>
      <c r="F1066" s="73"/>
      <c r="G1066" s="394"/>
      <c r="H1066" s="77"/>
      <c r="I1066" s="88"/>
      <c r="J1066" s="393">
        <v>44373.0</v>
      </c>
      <c r="K1066" s="393">
        <f t="shared" si="5"/>
        <v>44374</v>
      </c>
      <c r="L1066" s="394" t="str">
        <f>IFERROR(__xludf.DUMMYFUNCTION("JOIN("""", G1066:H1066)"),"")</f>
        <v/>
      </c>
      <c r="M1066" s="80" t="str">
        <f t="shared" si="2"/>
        <v/>
      </c>
    </row>
    <row r="1067">
      <c r="A1067" s="86"/>
      <c r="B1067" s="73"/>
      <c r="C1067" s="73"/>
      <c r="D1067" s="73"/>
      <c r="E1067" s="88"/>
      <c r="F1067" s="73"/>
      <c r="G1067" s="394"/>
      <c r="H1067" s="77"/>
      <c r="I1067" s="88"/>
      <c r="J1067" s="393">
        <v>44372.0</v>
      </c>
      <c r="K1067" s="393">
        <f t="shared" si="5"/>
        <v>44373</v>
      </c>
      <c r="L1067" s="394" t="str">
        <f>IFERROR(__xludf.DUMMYFUNCTION("JOIN("""", G1067:H1067)"),"")</f>
        <v/>
      </c>
      <c r="M1067" s="80" t="str">
        <f t="shared" si="2"/>
        <v/>
      </c>
    </row>
    <row r="1068">
      <c r="A1068" s="86"/>
      <c r="B1068" s="73"/>
      <c r="C1068" s="73"/>
      <c r="D1068" s="73"/>
      <c r="E1068" s="88"/>
      <c r="F1068" s="73"/>
      <c r="G1068" s="394"/>
      <c r="H1068" s="77"/>
      <c r="I1068" s="88"/>
      <c r="J1068" s="393">
        <v>44373.0</v>
      </c>
      <c r="K1068" s="393">
        <f t="shared" si="5"/>
        <v>44374</v>
      </c>
      <c r="L1068" s="394" t="str">
        <f>IFERROR(__xludf.DUMMYFUNCTION("JOIN("""", G1068:H1068)"),"")</f>
        <v/>
      </c>
      <c r="M1068" s="80" t="str">
        <f t="shared" si="2"/>
        <v/>
      </c>
    </row>
    <row r="1069">
      <c r="A1069" s="86"/>
      <c r="B1069" s="73"/>
      <c r="C1069" s="73"/>
      <c r="D1069" s="73"/>
      <c r="E1069" s="88"/>
      <c r="F1069" s="73"/>
      <c r="G1069" s="394"/>
      <c r="H1069" s="77"/>
      <c r="I1069" s="88"/>
      <c r="J1069" s="393">
        <v>44373.0</v>
      </c>
      <c r="K1069" s="393">
        <f t="shared" si="5"/>
        <v>44374</v>
      </c>
      <c r="L1069" s="394" t="str">
        <f>IFERROR(__xludf.DUMMYFUNCTION("JOIN("""", G1069:H1069)"),"")</f>
        <v/>
      </c>
      <c r="M1069" s="80" t="str">
        <f t="shared" si="2"/>
        <v/>
      </c>
    </row>
    <row r="1070">
      <c r="A1070" s="86"/>
      <c r="B1070" s="73"/>
      <c r="C1070" s="73"/>
      <c r="D1070" s="73"/>
      <c r="E1070" s="88"/>
      <c r="F1070" s="73"/>
      <c r="G1070" s="394"/>
      <c r="H1070" s="77"/>
      <c r="I1070" s="88"/>
      <c r="J1070" s="393">
        <v>44373.0</v>
      </c>
      <c r="K1070" s="393">
        <f t="shared" si="5"/>
        <v>44374</v>
      </c>
      <c r="L1070" s="394" t="str">
        <f>IFERROR(__xludf.DUMMYFUNCTION("JOIN("""", G1070:H1070)"),"")</f>
        <v/>
      </c>
      <c r="M1070" s="80" t="str">
        <f t="shared" si="2"/>
        <v/>
      </c>
    </row>
    <row r="1071">
      <c r="A1071" s="86"/>
      <c r="B1071" s="73"/>
      <c r="C1071" s="73"/>
      <c r="D1071" s="73"/>
      <c r="E1071" s="88"/>
      <c r="F1071" s="73"/>
      <c r="G1071" s="394"/>
      <c r="H1071" s="77"/>
      <c r="I1071" s="88"/>
      <c r="J1071" s="393">
        <v>44373.0</v>
      </c>
      <c r="K1071" s="393">
        <f t="shared" si="5"/>
        <v>44374</v>
      </c>
      <c r="L1071" s="394" t="str">
        <f>IFERROR(__xludf.DUMMYFUNCTION("JOIN("""", G1071:H1071)"),"")</f>
        <v/>
      </c>
      <c r="M1071" s="80" t="str">
        <f t="shared" si="2"/>
        <v/>
      </c>
    </row>
    <row r="1072">
      <c r="A1072" s="86"/>
      <c r="B1072" s="73"/>
      <c r="C1072" s="73"/>
      <c r="D1072" s="73"/>
      <c r="E1072" s="88"/>
      <c r="F1072" s="73"/>
      <c r="G1072" s="394"/>
      <c r="H1072" s="77"/>
      <c r="I1072" s="88"/>
      <c r="J1072" s="393">
        <v>44373.0</v>
      </c>
      <c r="K1072" s="393">
        <f t="shared" si="5"/>
        <v>44374</v>
      </c>
      <c r="L1072" s="394" t="str">
        <f>IFERROR(__xludf.DUMMYFUNCTION("JOIN("""", G1072:H1072)"),"")</f>
        <v/>
      </c>
      <c r="M1072" s="80" t="str">
        <f t="shared" si="2"/>
        <v/>
      </c>
    </row>
    <row r="1073">
      <c r="A1073" s="86"/>
      <c r="B1073" s="73"/>
      <c r="C1073" s="73"/>
      <c r="D1073" s="73"/>
      <c r="E1073" s="88"/>
      <c r="F1073" s="73"/>
      <c r="G1073" s="394"/>
      <c r="H1073" s="77"/>
      <c r="I1073" s="88"/>
      <c r="J1073" s="393">
        <v>44373.0</v>
      </c>
      <c r="K1073" s="393">
        <f t="shared" si="5"/>
        <v>44374</v>
      </c>
      <c r="L1073" s="394" t="str">
        <f>IFERROR(__xludf.DUMMYFUNCTION("JOIN("""", G1073:H1073)"),"")</f>
        <v/>
      </c>
      <c r="M1073" s="80" t="str">
        <f t="shared" si="2"/>
        <v/>
      </c>
    </row>
    <row r="1074">
      <c r="A1074" s="86"/>
      <c r="B1074" s="73"/>
      <c r="C1074" s="73"/>
      <c r="D1074" s="73"/>
      <c r="E1074" s="88"/>
      <c r="F1074" s="73"/>
      <c r="G1074" s="394"/>
      <c r="H1074" s="77"/>
      <c r="I1074" s="88"/>
      <c r="J1074" s="393">
        <v>44373.0</v>
      </c>
      <c r="K1074" s="393">
        <f t="shared" si="5"/>
        <v>44374</v>
      </c>
      <c r="L1074" s="394" t="str">
        <f>IFERROR(__xludf.DUMMYFUNCTION("JOIN("""", G1074:H1074)"),"")</f>
        <v/>
      </c>
      <c r="M1074" s="80" t="str">
        <f t="shared" si="2"/>
        <v/>
      </c>
    </row>
    <row r="1075">
      <c r="A1075" s="86"/>
      <c r="B1075" s="73"/>
      <c r="C1075" s="73"/>
      <c r="D1075" s="73"/>
      <c r="E1075" s="88"/>
      <c r="F1075" s="73"/>
      <c r="G1075" s="394"/>
      <c r="H1075" s="77"/>
      <c r="I1075" s="88"/>
      <c r="J1075" s="393">
        <v>44373.0</v>
      </c>
      <c r="K1075" s="393">
        <f t="shared" si="5"/>
        <v>44374</v>
      </c>
      <c r="L1075" s="394" t="str">
        <f>IFERROR(__xludf.DUMMYFUNCTION("JOIN("""", G1075:H1075)"),"")</f>
        <v/>
      </c>
      <c r="M1075" s="80" t="str">
        <f t="shared" si="2"/>
        <v/>
      </c>
    </row>
    <row r="1076">
      <c r="A1076" s="86"/>
      <c r="B1076" s="73"/>
      <c r="C1076" s="73"/>
      <c r="D1076" s="73"/>
      <c r="E1076" s="88"/>
      <c r="F1076" s="73"/>
      <c r="G1076" s="394"/>
      <c r="H1076" s="77"/>
      <c r="I1076" s="88"/>
      <c r="J1076" s="393">
        <v>44373.0</v>
      </c>
      <c r="K1076" s="393">
        <f t="shared" si="5"/>
        <v>44374</v>
      </c>
      <c r="L1076" s="394" t="str">
        <f>IFERROR(__xludf.DUMMYFUNCTION("JOIN("""", G1076:H1076)"),"")</f>
        <v/>
      </c>
      <c r="M1076" s="80" t="str">
        <f t="shared" si="2"/>
        <v/>
      </c>
    </row>
    <row r="1077">
      <c r="A1077" s="86"/>
      <c r="B1077" s="73"/>
      <c r="C1077" s="73"/>
      <c r="D1077" s="73"/>
      <c r="E1077" s="88"/>
      <c r="F1077" s="73"/>
      <c r="G1077" s="394"/>
      <c r="H1077" s="77"/>
      <c r="I1077" s="88"/>
      <c r="J1077" s="393">
        <v>44373.0</v>
      </c>
      <c r="K1077" s="393">
        <f t="shared" si="5"/>
        <v>44374</v>
      </c>
      <c r="L1077" s="394" t="str">
        <f>IFERROR(__xludf.DUMMYFUNCTION("JOIN("""", G1077:H1077)"),"")</f>
        <v/>
      </c>
      <c r="M1077" s="80" t="str">
        <f t="shared" si="2"/>
        <v/>
      </c>
    </row>
    <row r="1078">
      <c r="A1078" s="86"/>
      <c r="B1078" s="73"/>
      <c r="C1078" s="73"/>
      <c r="D1078" s="73"/>
      <c r="E1078" s="88"/>
      <c r="F1078" s="73"/>
      <c r="G1078" s="394"/>
      <c r="H1078" s="77"/>
      <c r="I1078" s="88"/>
      <c r="J1078" s="393">
        <v>44373.0</v>
      </c>
      <c r="K1078" s="393">
        <f t="shared" si="5"/>
        <v>44374</v>
      </c>
      <c r="L1078" s="394" t="str">
        <f>IFERROR(__xludf.DUMMYFUNCTION("JOIN("""", G1078:H1078)"),"")</f>
        <v/>
      </c>
      <c r="M1078" s="80" t="str">
        <f t="shared" si="2"/>
        <v/>
      </c>
    </row>
    <row r="1079">
      <c r="A1079" s="86"/>
      <c r="B1079" s="73"/>
      <c r="C1079" s="73"/>
      <c r="D1079" s="73"/>
      <c r="E1079" s="88"/>
      <c r="F1079" s="73"/>
      <c r="G1079" s="394"/>
      <c r="H1079" s="77"/>
      <c r="I1079" s="88"/>
      <c r="J1079" s="393">
        <v>44373.0</v>
      </c>
      <c r="K1079" s="393">
        <f t="shared" si="5"/>
        <v>44374</v>
      </c>
      <c r="L1079" s="394" t="str">
        <f>IFERROR(__xludf.DUMMYFUNCTION("JOIN("""", G1079:H1079)"),"")</f>
        <v/>
      </c>
      <c r="M1079" s="80" t="str">
        <f t="shared" si="2"/>
        <v/>
      </c>
    </row>
    <row r="1080">
      <c r="A1080" s="86"/>
      <c r="B1080" s="73"/>
      <c r="C1080" s="73"/>
      <c r="D1080" s="73"/>
      <c r="E1080" s="88"/>
      <c r="F1080" s="73"/>
      <c r="G1080" s="394"/>
      <c r="H1080" s="77"/>
      <c r="I1080" s="88"/>
      <c r="J1080" s="393">
        <v>44375.0</v>
      </c>
      <c r="K1080" s="393">
        <f t="shared" si="5"/>
        <v>44376</v>
      </c>
      <c r="L1080" s="394" t="str">
        <f>IFERROR(__xludf.DUMMYFUNCTION("JOIN("""", G1080:H1080)"),"")</f>
        <v/>
      </c>
      <c r="M1080" s="80" t="str">
        <f t="shared" si="2"/>
        <v/>
      </c>
    </row>
    <row r="1081">
      <c r="A1081" s="86"/>
      <c r="B1081" s="73"/>
      <c r="C1081" s="73"/>
      <c r="D1081" s="73"/>
      <c r="E1081" s="88"/>
      <c r="F1081" s="73"/>
      <c r="G1081" s="394"/>
      <c r="H1081" s="77"/>
      <c r="I1081" s="88"/>
      <c r="J1081" s="393">
        <v>44373.0</v>
      </c>
      <c r="K1081" s="393">
        <f t="shared" si="5"/>
        <v>44374</v>
      </c>
      <c r="L1081" s="394" t="str">
        <f>IFERROR(__xludf.DUMMYFUNCTION("JOIN("""", G1081:H1081)"),"")</f>
        <v/>
      </c>
      <c r="M1081" s="80" t="str">
        <f t="shared" si="2"/>
        <v/>
      </c>
    </row>
    <row r="1082">
      <c r="A1082" s="86"/>
      <c r="B1082" s="73"/>
      <c r="C1082" s="73"/>
      <c r="D1082" s="73"/>
      <c r="E1082" s="88"/>
      <c r="F1082" s="73"/>
      <c r="G1082" s="394"/>
      <c r="H1082" s="77"/>
      <c r="I1082" s="88"/>
      <c r="J1082" s="393">
        <v>44373.0</v>
      </c>
      <c r="K1082" s="393">
        <f t="shared" si="5"/>
        <v>44374</v>
      </c>
      <c r="L1082" s="394" t="str">
        <f>IFERROR(__xludf.DUMMYFUNCTION("JOIN("""", G1082:H1082)"),"")</f>
        <v/>
      </c>
      <c r="M1082" s="80" t="str">
        <f t="shared" si="2"/>
        <v/>
      </c>
    </row>
    <row r="1083">
      <c r="A1083" s="86"/>
      <c r="B1083" s="73"/>
      <c r="C1083" s="73"/>
      <c r="D1083" s="73"/>
      <c r="E1083" s="88"/>
      <c r="F1083" s="73"/>
      <c r="G1083" s="394"/>
      <c r="H1083" s="77"/>
      <c r="I1083" s="88"/>
      <c r="J1083" s="393">
        <v>44382.0</v>
      </c>
      <c r="K1083" s="393">
        <f t="shared" si="5"/>
        <v>44383</v>
      </c>
      <c r="L1083" s="394" t="str">
        <f>IFERROR(__xludf.DUMMYFUNCTION("JOIN("""", G1083:H1083)"),"")</f>
        <v/>
      </c>
      <c r="M1083" s="80" t="str">
        <f t="shared" si="2"/>
        <v/>
      </c>
    </row>
    <row r="1084">
      <c r="A1084" s="86"/>
      <c r="B1084" s="73"/>
      <c r="C1084" s="73"/>
      <c r="D1084" s="73"/>
      <c r="E1084" s="88"/>
      <c r="F1084" s="73"/>
      <c r="G1084" s="394"/>
      <c r="H1084" s="77"/>
      <c r="I1084" s="88"/>
      <c r="J1084" s="393">
        <v>44375.0</v>
      </c>
      <c r="K1084" s="393">
        <f t="shared" si="5"/>
        <v>44376</v>
      </c>
      <c r="L1084" s="394" t="str">
        <f>IFERROR(__xludf.DUMMYFUNCTION("JOIN("""", G1084:H1084)"),"")</f>
        <v/>
      </c>
      <c r="M1084" s="80" t="str">
        <f t="shared" si="2"/>
        <v/>
      </c>
    </row>
    <row r="1085">
      <c r="A1085" s="86"/>
      <c r="B1085" s="73"/>
      <c r="C1085" s="73"/>
      <c r="D1085" s="73"/>
      <c r="E1085" s="88"/>
      <c r="F1085" s="73"/>
      <c r="G1085" s="394"/>
      <c r="H1085" s="77"/>
      <c r="I1085" s="88"/>
      <c r="J1085" s="393">
        <v>44375.0</v>
      </c>
      <c r="K1085" s="393">
        <f t="shared" si="5"/>
        <v>44376</v>
      </c>
      <c r="L1085" s="394" t="str">
        <f>IFERROR(__xludf.DUMMYFUNCTION("JOIN("""", G1085:H1085)"),"")</f>
        <v/>
      </c>
      <c r="M1085" s="80" t="str">
        <f t="shared" si="2"/>
        <v/>
      </c>
    </row>
    <row r="1086">
      <c r="A1086" s="86"/>
      <c r="B1086" s="73"/>
      <c r="C1086" s="73"/>
      <c r="D1086" s="73"/>
      <c r="E1086" s="88"/>
      <c r="F1086" s="73"/>
      <c r="G1086" s="394"/>
      <c r="H1086" s="77"/>
      <c r="I1086" s="88"/>
      <c r="J1086" s="393">
        <v>44375.0</v>
      </c>
      <c r="K1086" s="393">
        <f t="shared" si="5"/>
        <v>44376</v>
      </c>
      <c r="L1086" s="394" t="str">
        <f>IFERROR(__xludf.DUMMYFUNCTION("JOIN("""", G1086:H1086)"),"")</f>
        <v/>
      </c>
      <c r="M1086" s="80" t="str">
        <f t="shared" si="2"/>
        <v/>
      </c>
    </row>
    <row r="1087">
      <c r="A1087" s="86"/>
      <c r="B1087" s="73"/>
      <c r="C1087" s="73"/>
      <c r="D1087" s="73"/>
      <c r="E1087" s="88"/>
      <c r="F1087" s="73"/>
      <c r="G1087" s="394"/>
      <c r="H1087" s="77"/>
      <c r="I1087" s="88"/>
      <c r="J1087" s="393">
        <v>44375.0</v>
      </c>
      <c r="K1087" s="393">
        <f t="shared" si="5"/>
        <v>44376</v>
      </c>
      <c r="L1087" s="394" t="str">
        <f>IFERROR(__xludf.DUMMYFUNCTION("JOIN("""", G1087:H1087)"),"")</f>
        <v/>
      </c>
      <c r="M1087" s="80" t="str">
        <f t="shared" si="2"/>
        <v/>
      </c>
    </row>
    <row r="1088">
      <c r="A1088" s="86"/>
      <c r="B1088" s="73"/>
      <c r="C1088" s="73"/>
      <c r="D1088" s="73"/>
      <c r="E1088" s="88"/>
      <c r="F1088" s="73"/>
      <c r="G1088" s="394"/>
      <c r="H1088" s="77"/>
      <c r="I1088" s="88"/>
      <c r="J1088" s="393">
        <v>44375.0</v>
      </c>
      <c r="K1088" s="393">
        <f t="shared" si="5"/>
        <v>44376</v>
      </c>
      <c r="L1088" s="394" t="str">
        <f>IFERROR(__xludf.DUMMYFUNCTION("JOIN("""", G1088:H1088)"),"")</f>
        <v/>
      </c>
      <c r="M1088" s="80" t="str">
        <f t="shared" si="2"/>
        <v/>
      </c>
    </row>
    <row r="1089">
      <c r="A1089" s="86"/>
      <c r="B1089" s="73"/>
      <c r="C1089" s="73"/>
      <c r="D1089" s="73"/>
      <c r="E1089" s="88"/>
      <c r="F1089" s="73"/>
      <c r="G1089" s="394"/>
      <c r="H1089" s="77"/>
      <c r="I1089" s="88"/>
      <c r="J1089" s="393">
        <v>44375.0</v>
      </c>
      <c r="K1089" s="393">
        <f t="shared" si="5"/>
        <v>44376</v>
      </c>
      <c r="L1089" s="394" t="str">
        <f>IFERROR(__xludf.DUMMYFUNCTION("JOIN("""", G1089:H1089)"),"")</f>
        <v/>
      </c>
      <c r="M1089" s="80" t="str">
        <f t="shared" si="2"/>
        <v/>
      </c>
    </row>
    <row r="1090">
      <c r="A1090" s="86"/>
      <c r="B1090" s="73"/>
      <c r="C1090" s="73"/>
      <c r="D1090" s="73"/>
      <c r="E1090" s="88"/>
      <c r="F1090" s="73"/>
      <c r="G1090" s="394"/>
      <c r="H1090" s="77"/>
      <c r="I1090" s="88"/>
      <c r="J1090" s="393">
        <v>44375.0</v>
      </c>
      <c r="K1090" s="393">
        <v>44375.0</v>
      </c>
      <c r="L1090" s="394" t="str">
        <f>IFERROR(__xludf.DUMMYFUNCTION("JOIN("""", G1090:H1090)"),"")</f>
        <v/>
      </c>
      <c r="M1090" s="80" t="str">
        <f t="shared" si="2"/>
        <v/>
      </c>
    </row>
    <row r="1091">
      <c r="A1091" s="86"/>
      <c r="B1091" s="73"/>
      <c r="C1091" s="73"/>
      <c r="D1091" s="73"/>
      <c r="E1091" s="88"/>
      <c r="F1091" s="73"/>
      <c r="G1091" s="394"/>
      <c r="H1091" s="77"/>
      <c r="I1091" s="88"/>
      <c r="J1091" s="393">
        <v>44375.0</v>
      </c>
      <c r="K1091" s="393">
        <f t="shared" ref="K1091:K1092" si="6">J1091+1</f>
        <v>44376</v>
      </c>
      <c r="L1091" s="394" t="str">
        <f>IFERROR(__xludf.DUMMYFUNCTION("JOIN("""", G1091:H1091)"),"")</f>
        <v/>
      </c>
      <c r="M1091" s="80" t="str">
        <f t="shared" si="2"/>
        <v/>
      </c>
    </row>
    <row r="1092">
      <c r="A1092" s="86"/>
      <c r="B1092" s="73"/>
      <c r="C1092" s="73"/>
      <c r="D1092" s="73"/>
      <c r="E1092" s="88"/>
      <c r="F1092" s="73"/>
      <c r="G1092" s="394"/>
      <c r="H1092" s="77"/>
      <c r="I1092" s="88"/>
      <c r="J1092" s="393">
        <v>44375.0</v>
      </c>
      <c r="K1092" s="393">
        <f t="shared" si="6"/>
        <v>44376</v>
      </c>
      <c r="L1092" s="394" t="str">
        <f>IFERROR(__xludf.DUMMYFUNCTION("JOIN("""", G1092:H1092)"),"")</f>
        <v/>
      </c>
      <c r="M1092" s="80" t="str">
        <f t="shared" si="2"/>
        <v/>
      </c>
    </row>
    <row r="1093">
      <c r="A1093" s="86"/>
      <c r="B1093" s="73"/>
      <c r="C1093" s="73"/>
      <c r="D1093" s="73"/>
      <c r="E1093" s="88"/>
      <c r="F1093" s="73"/>
      <c r="G1093" s="394"/>
      <c r="H1093" s="77"/>
      <c r="I1093" s="88"/>
      <c r="J1093" s="393">
        <v>44375.0</v>
      </c>
      <c r="K1093" s="393">
        <v>44375.0</v>
      </c>
      <c r="L1093" s="394" t="str">
        <f>IFERROR(__xludf.DUMMYFUNCTION("JOIN("""", G1093:H1093)"),"")</f>
        <v/>
      </c>
      <c r="M1093" s="80" t="str">
        <f t="shared" si="2"/>
        <v/>
      </c>
    </row>
    <row r="1094">
      <c r="A1094" s="86"/>
      <c r="B1094" s="73"/>
      <c r="C1094" s="73"/>
      <c r="D1094" s="73"/>
      <c r="E1094" s="88"/>
      <c r="F1094" s="73"/>
      <c r="G1094" s="394"/>
      <c r="H1094" s="77"/>
      <c r="I1094" s="88"/>
      <c r="J1094" s="401">
        <v>44375.0</v>
      </c>
      <c r="K1094" s="393">
        <f t="shared" ref="K1094:K1332" si="7">J1094+1</f>
        <v>44376</v>
      </c>
      <c r="L1094" s="394" t="str">
        <f>IFERROR(__xludf.DUMMYFUNCTION("JOIN("""", G1094:H1094)"),"")</f>
        <v/>
      </c>
      <c r="M1094" s="80" t="str">
        <f t="shared" si="2"/>
        <v/>
      </c>
    </row>
    <row r="1095">
      <c r="A1095" s="86"/>
      <c r="B1095" s="73"/>
      <c r="C1095" s="73"/>
      <c r="D1095" s="73"/>
      <c r="E1095" s="88"/>
      <c r="F1095" s="73"/>
      <c r="G1095" s="394"/>
      <c r="H1095" s="77"/>
      <c r="I1095" s="88"/>
      <c r="J1095" s="393">
        <v>44375.0</v>
      </c>
      <c r="K1095" s="393">
        <f t="shared" si="7"/>
        <v>44376</v>
      </c>
      <c r="L1095" s="394" t="str">
        <f>IFERROR(__xludf.DUMMYFUNCTION("JOIN("""", G1095:H1095)"),"")</f>
        <v/>
      </c>
      <c r="M1095" s="80" t="str">
        <f t="shared" si="2"/>
        <v/>
      </c>
    </row>
    <row r="1096">
      <c r="A1096" s="86"/>
      <c r="B1096" s="73"/>
      <c r="C1096" s="73"/>
      <c r="D1096" s="73"/>
      <c r="E1096" s="88"/>
      <c r="F1096" s="73"/>
      <c r="G1096" s="394"/>
      <c r="H1096" s="77"/>
      <c r="I1096" s="88"/>
      <c r="J1096" s="393">
        <v>44375.0</v>
      </c>
      <c r="K1096" s="393">
        <f t="shared" si="7"/>
        <v>44376</v>
      </c>
      <c r="L1096" s="394" t="str">
        <f>IFERROR(__xludf.DUMMYFUNCTION("JOIN("""", G1096:H1096)"),"")</f>
        <v/>
      </c>
      <c r="M1096" s="80" t="str">
        <f t="shared" si="2"/>
        <v/>
      </c>
    </row>
    <row r="1097">
      <c r="A1097" s="86"/>
      <c r="B1097" s="73"/>
      <c r="C1097" s="73"/>
      <c r="D1097" s="73"/>
      <c r="E1097" s="88"/>
      <c r="F1097" s="73"/>
      <c r="G1097" s="394"/>
      <c r="H1097" s="77"/>
      <c r="I1097" s="88"/>
      <c r="J1097" s="393">
        <v>44375.0</v>
      </c>
      <c r="K1097" s="393">
        <f t="shared" si="7"/>
        <v>44376</v>
      </c>
      <c r="L1097" s="394" t="str">
        <f>IFERROR(__xludf.DUMMYFUNCTION("JOIN("""", G1097:H1097)"),"")</f>
        <v/>
      </c>
      <c r="M1097" s="80" t="str">
        <f t="shared" si="2"/>
        <v/>
      </c>
    </row>
    <row r="1098">
      <c r="A1098" s="86"/>
      <c r="B1098" s="73"/>
      <c r="C1098" s="73"/>
      <c r="D1098" s="73"/>
      <c r="E1098" s="88"/>
      <c r="F1098" s="73"/>
      <c r="G1098" s="394"/>
      <c r="H1098" s="77"/>
      <c r="I1098" s="88"/>
      <c r="J1098" s="393">
        <v>44375.0</v>
      </c>
      <c r="K1098" s="393">
        <f t="shared" si="7"/>
        <v>44376</v>
      </c>
      <c r="L1098" s="394" t="str">
        <f>IFERROR(__xludf.DUMMYFUNCTION("JOIN("""", G1098:H1098)"),"")</f>
        <v/>
      </c>
      <c r="M1098" s="80" t="str">
        <f t="shared" si="2"/>
        <v/>
      </c>
    </row>
    <row r="1099">
      <c r="A1099" s="86"/>
      <c r="B1099" s="73"/>
      <c r="C1099" s="73"/>
      <c r="D1099" s="73"/>
      <c r="E1099" s="88"/>
      <c r="F1099" s="73"/>
      <c r="G1099" s="394"/>
      <c r="H1099" s="77"/>
      <c r="I1099" s="88"/>
      <c r="J1099" s="393">
        <v>44375.0</v>
      </c>
      <c r="K1099" s="393">
        <f t="shared" si="7"/>
        <v>44376</v>
      </c>
      <c r="L1099" s="394" t="str">
        <f>IFERROR(__xludf.DUMMYFUNCTION("JOIN("""", G1099:H1099)"),"")</f>
        <v/>
      </c>
      <c r="M1099" s="80" t="str">
        <f t="shared" si="2"/>
        <v/>
      </c>
    </row>
    <row r="1100">
      <c r="A1100" s="86"/>
      <c r="B1100" s="73"/>
      <c r="C1100" s="73"/>
      <c r="D1100" s="73"/>
      <c r="E1100" s="88"/>
      <c r="F1100" s="73"/>
      <c r="G1100" s="394"/>
      <c r="H1100" s="77"/>
      <c r="I1100" s="88"/>
      <c r="J1100" s="393">
        <v>44377.0</v>
      </c>
      <c r="K1100" s="393">
        <f t="shared" si="7"/>
        <v>44378</v>
      </c>
      <c r="L1100" s="394" t="str">
        <f>IFERROR(__xludf.DUMMYFUNCTION("JOIN("""", G1100:H1100)"),"")</f>
        <v/>
      </c>
      <c r="M1100" s="80" t="str">
        <f t="shared" si="2"/>
        <v/>
      </c>
    </row>
    <row r="1101">
      <c r="A1101" s="86"/>
      <c r="B1101" s="73"/>
      <c r="C1101" s="73"/>
      <c r="D1101" s="73"/>
      <c r="E1101" s="88"/>
      <c r="F1101" s="73"/>
      <c r="G1101" s="394"/>
      <c r="H1101" s="77"/>
      <c r="I1101" s="88"/>
      <c r="J1101" s="393">
        <v>44375.0</v>
      </c>
      <c r="K1101" s="393">
        <f t="shared" si="7"/>
        <v>44376</v>
      </c>
      <c r="L1101" s="394" t="str">
        <f>IFERROR(__xludf.DUMMYFUNCTION("JOIN("""", G1101:H1101)"),"")</f>
        <v/>
      </c>
      <c r="M1101" s="80" t="str">
        <f t="shared" si="2"/>
        <v/>
      </c>
    </row>
    <row r="1102">
      <c r="A1102" s="86"/>
      <c r="B1102" s="73"/>
      <c r="C1102" s="73"/>
      <c r="D1102" s="73"/>
      <c r="E1102" s="88"/>
      <c r="F1102" s="73"/>
      <c r="G1102" s="394"/>
      <c r="H1102" s="77"/>
      <c r="I1102" s="88"/>
      <c r="J1102" s="393">
        <v>44385.0</v>
      </c>
      <c r="K1102" s="393">
        <f t="shared" si="7"/>
        <v>44386</v>
      </c>
      <c r="L1102" s="394" t="str">
        <f>IFERROR(__xludf.DUMMYFUNCTION("JOIN("""", G1102:H1102)"),"")</f>
        <v/>
      </c>
      <c r="M1102" s="80" t="str">
        <f t="shared" si="2"/>
        <v/>
      </c>
    </row>
    <row r="1103">
      <c r="A1103" s="86"/>
      <c r="B1103" s="73"/>
      <c r="C1103" s="73"/>
      <c r="D1103" s="73"/>
      <c r="E1103" s="88"/>
      <c r="F1103" s="73"/>
      <c r="G1103" s="394"/>
      <c r="H1103" s="77"/>
      <c r="I1103" s="88"/>
      <c r="J1103" s="393">
        <v>44376.0</v>
      </c>
      <c r="K1103" s="393">
        <f t="shared" si="7"/>
        <v>44377</v>
      </c>
      <c r="L1103" s="394" t="str">
        <f>IFERROR(__xludf.DUMMYFUNCTION("JOIN("""", G1103:H1103)"),"")</f>
        <v/>
      </c>
      <c r="M1103" s="80" t="str">
        <f t="shared" si="2"/>
        <v/>
      </c>
    </row>
    <row r="1104">
      <c r="A1104" s="86"/>
      <c r="B1104" s="73"/>
      <c r="C1104" s="73"/>
      <c r="D1104" s="73"/>
      <c r="E1104" s="88"/>
      <c r="F1104" s="73"/>
      <c r="G1104" s="394"/>
      <c r="H1104" s="77"/>
      <c r="I1104" s="88"/>
      <c r="J1104" s="393">
        <v>44376.0</v>
      </c>
      <c r="K1104" s="393">
        <f t="shared" si="7"/>
        <v>44377</v>
      </c>
      <c r="L1104" s="394" t="str">
        <f>IFERROR(__xludf.DUMMYFUNCTION("JOIN("""", G1104:H1104)"),"")</f>
        <v/>
      </c>
      <c r="M1104" s="80" t="str">
        <f t="shared" si="2"/>
        <v/>
      </c>
    </row>
    <row r="1105">
      <c r="A1105" s="86"/>
      <c r="B1105" s="73"/>
      <c r="C1105" s="73"/>
      <c r="D1105" s="73"/>
      <c r="E1105" s="88"/>
      <c r="F1105" s="73"/>
      <c r="G1105" s="394"/>
      <c r="H1105" s="77"/>
      <c r="I1105" s="88"/>
      <c r="J1105" s="393">
        <v>44376.0</v>
      </c>
      <c r="K1105" s="393">
        <f t="shared" si="7"/>
        <v>44377</v>
      </c>
      <c r="L1105" s="394" t="str">
        <f>IFERROR(__xludf.DUMMYFUNCTION("JOIN("""", G1105:H1105)"),"")</f>
        <v/>
      </c>
      <c r="M1105" s="80" t="str">
        <f t="shared" si="2"/>
        <v/>
      </c>
    </row>
    <row r="1106">
      <c r="A1106" s="86"/>
      <c r="B1106" s="73"/>
      <c r="C1106" s="73"/>
      <c r="D1106" s="73"/>
      <c r="E1106" s="88"/>
      <c r="F1106" s="73"/>
      <c r="G1106" s="394"/>
      <c r="H1106" s="77"/>
      <c r="I1106" s="88"/>
      <c r="J1106" s="393">
        <v>44380.0</v>
      </c>
      <c r="K1106" s="393">
        <f t="shared" si="7"/>
        <v>44381</v>
      </c>
      <c r="L1106" s="394" t="str">
        <f>IFERROR(__xludf.DUMMYFUNCTION("JOIN("""", G1106:H1106)"),"")</f>
        <v/>
      </c>
      <c r="M1106" s="80" t="str">
        <f t="shared" si="2"/>
        <v/>
      </c>
    </row>
    <row r="1107">
      <c r="A1107" s="86"/>
      <c r="B1107" s="73"/>
      <c r="C1107" s="73"/>
      <c r="D1107" s="73"/>
      <c r="E1107" s="88"/>
      <c r="F1107" s="73"/>
      <c r="G1107" s="394"/>
      <c r="H1107" s="73"/>
      <c r="I1107" s="88"/>
      <c r="J1107" s="393">
        <v>44376.0</v>
      </c>
      <c r="K1107" s="393">
        <f t="shared" si="7"/>
        <v>44377</v>
      </c>
      <c r="L1107" s="394" t="str">
        <f>IFERROR(__xludf.DUMMYFUNCTION("JOIN("""", G1107:H1107)"),"")</f>
        <v/>
      </c>
      <c r="M1107" s="80" t="str">
        <f t="shared" si="2"/>
        <v/>
      </c>
    </row>
    <row r="1108">
      <c r="A1108" s="86"/>
      <c r="B1108" s="73"/>
      <c r="C1108" s="73"/>
      <c r="D1108" s="73"/>
      <c r="E1108" s="88"/>
      <c r="F1108" s="73"/>
      <c r="G1108" s="394"/>
      <c r="H1108" s="77"/>
      <c r="I1108" s="88"/>
      <c r="J1108" s="393">
        <v>44376.0</v>
      </c>
      <c r="K1108" s="393">
        <f t="shared" si="7"/>
        <v>44377</v>
      </c>
      <c r="L1108" s="394" t="str">
        <f>IFERROR(__xludf.DUMMYFUNCTION("JOIN("""", G1108:H1108)"),"")</f>
        <v/>
      </c>
      <c r="M1108" s="80" t="str">
        <f t="shared" si="2"/>
        <v/>
      </c>
    </row>
    <row r="1109">
      <c r="A1109" s="86"/>
      <c r="B1109" s="73"/>
      <c r="C1109" s="73"/>
      <c r="D1109" s="73"/>
      <c r="E1109" s="88"/>
      <c r="F1109" s="73"/>
      <c r="G1109" s="394"/>
      <c r="H1109" s="77"/>
      <c r="I1109" s="88"/>
      <c r="J1109" s="393">
        <v>44376.0</v>
      </c>
      <c r="K1109" s="393">
        <f t="shared" si="7"/>
        <v>44377</v>
      </c>
      <c r="L1109" s="394" t="str">
        <f>IFERROR(__xludf.DUMMYFUNCTION("JOIN("""", G1109:H1109)"),"")</f>
        <v/>
      </c>
      <c r="M1109" s="80" t="str">
        <f t="shared" si="2"/>
        <v/>
      </c>
    </row>
    <row r="1110">
      <c r="A1110" s="86"/>
      <c r="B1110" s="73"/>
      <c r="C1110" s="73"/>
      <c r="D1110" s="73"/>
      <c r="E1110" s="88"/>
      <c r="F1110" s="73"/>
      <c r="G1110" s="394"/>
      <c r="H1110" s="77"/>
      <c r="I1110" s="88"/>
      <c r="J1110" s="393">
        <v>44376.0</v>
      </c>
      <c r="K1110" s="393">
        <f t="shared" si="7"/>
        <v>44377</v>
      </c>
      <c r="L1110" s="394" t="str">
        <f>IFERROR(__xludf.DUMMYFUNCTION("JOIN("""", G1110:H1110)"),"")</f>
        <v/>
      </c>
      <c r="M1110" s="80" t="str">
        <f t="shared" si="2"/>
        <v/>
      </c>
    </row>
    <row r="1111">
      <c r="A1111" s="86"/>
      <c r="B1111" s="73"/>
      <c r="C1111" s="73"/>
      <c r="D1111" s="73"/>
      <c r="E1111" s="88"/>
      <c r="F1111" s="73"/>
      <c r="G1111" s="394"/>
      <c r="H1111" s="77"/>
      <c r="I1111" s="88"/>
      <c r="J1111" s="393">
        <v>44376.0</v>
      </c>
      <c r="K1111" s="393">
        <f t="shared" si="7"/>
        <v>44377</v>
      </c>
      <c r="L1111" s="394" t="str">
        <f>IFERROR(__xludf.DUMMYFUNCTION("JOIN("""", G1111:H1111)"),"")</f>
        <v/>
      </c>
      <c r="M1111" s="80" t="str">
        <f t="shared" si="2"/>
        <v/>
      </c>
    </row>
    <row r="1112">
      <c r="A1112" s="86"/>
      <c r="B1112" s="73"/>
      <c r="C1112" s="73"/>
      <c r="D1112" s="73"/>
      <c r="E1112" s="88"/>
      <c r="F1112" s="73"/>
      <c r="G1112" s="394"/>
      <c r="H1112" s="77"/>
      <c r="I1112" s="88"/>
      <c r="J1112" s="393">
        <v>44376.0</v>
      </c>
      <c r="K1112" s="393">
        <f t="shared" si="7"/>
        <v>44377</v>
      </c>
      <c r="L1112" s="394" t="str">
        <f>IFERROR(__xludf.DUMMYFUNCTION("JOIN("""", G1112:H1112)"),"")</f>
        <v/>
      </c>
      <c r="M1112" s="80" t="str">
        <f t="shared" si="2"/>
        <v/>
      </c>
    </row>
    <row r="1113">
      <c r="A1113" s="86"/>
      <c r="B1113" s="73"/>
      <c r="C1113" s="73"/>
      <c r="D1113" s="73"/>
      <c r="E1113" s="88"/>
      <c r="F1113" s="73"/>
      <c r="G1113" s="394"/>
      <c r="H1113" s="77"/>
      <c r="I1113" s="88"/>
      <c r="J1113" s="393">
        <v>44376.0</v>
      </c>
      <c r="K1113" s="393">
        <f t="shared" si="7"/>
        <v>44377</v>
      </c>
      <c r="L1113" s="394" t="str">
        <f>IFERROR(__xludf.DUMMYFUNCTION("JOIN("""", G1113:H1113)"),"")</f>
        <v/>
      </c>
      <c r="M1113" s="80" t="str">
        <f t="shared" si="2"/>
        <v/>
      </c>
    </row>
    <row r="1114">
      <c r="A1114" s="86"/>
      <c r="B1114" s="73"/>
      <c r="C1114" s="73"/>
      <c r="D1114" s="73"/>
      <c r="E1114" s="88"/>
      <c r="F1114" s="73"/>
      <c r="G1114" s="394"/>
      <c r="H1114" s="77"/>
      <c r="I1114" s="88"/>
      <c r="J1114" s="393">
        <v>44376.0</v>
      </c>
      <c r="K1114" s="393">
        <f t="shared" si="7"/>
        <v>44377</v>
      </c>
      <c r="L1114" s="394" t="str">
        <f>IFERROR(__xludf.DUMMYFUNCTION("JOIN("""", G1114:H1114)"),"")</f>
        <v/>
      </c>
      <c r="M1114" s="80" t="str">
        <f t="shared" si="2"/>
        <v/>
      </c>
    </row>
    <row r="1115">
      <c r="A1115" s="86"/>
      <c r="B1115" s="73"/>
      <c r="C1115" s="73"/>
      <c r="D1115" s="73"/>
      <c r="E1115" s="88"/>
      <c r="F1115" s="73"/>
      <c r="G1115" s="394"/>
      <c r="H1115" s="77"/>
      <c r="I1115" s="88"/>
      <c r="J1115" s="393">
        <v>44376.0</v>
      </c>
      <c r="K1115" s="393">
        <f t="shared" si="7"/>
        <v>44377</v>
      </c>
      <c r="L1115" s="394" t="str">
        <f>IFERROR(__xludf.DUMMYFUNCTION("JOIN("""", G1115:H1115)"),"")</f>
        <v/>
      </c>
      <c r="M1115" s="80" t="str">
        <f t="shared" si="2"/>
        <v/>
      </c>
    </row>
    <row r="1116">
      <c r="A1116" s="86"/>
      <c r="B1116" s="73"/>
      <c r="C1116" s="73"/>
      <c r="D1116" s="73"/>
      <c r="E1116" s="88"/>
      <c r="F1116" s="73"/>
      <c r="G1116" s="394"/>
      <c r="H1116" s="77"/>
      <c r="I1116" s="88"/>
      <c r="J1116" s="393">
        <v>44376.0</v>
      </c>
      <c r="K1116" s="393">
        <f t="shared" si="7"/>
        <v>44377</v>
      </c>
      <c r="L1116" s="394" t="str">
        <f>IFERROR(__xludf.DUMMYFUNCTION("JOIN("""", G1116:H1116)"),"")</f>
        <v/>
      </c>
      <c r="M1116" s="80" t="str">
        <f t="shared" si="2"/>
        <v/>
      </c>
    </row>
    <row r="1117">
      <c r="A1117" s="86"/>
      <c r="B1117" s="73"/>
      <c r="C1117" s="73"/>
      <c r="D1117" s="73"/>
      <c r="E1117" s="88"/>
      <c r="F1117" s="73"/>
      <c r="G1117" s="394"/>
      <c r="H1117" s="77"/>
      <c r="I1117" s="88"/>
      <c r="J1117" s="393">
        <v>44383.0</v>
      </c>
      <c r="K1117" s="393">
        <f t="shared" si="7"/>
        <v>44384</v>
      </c>
      <c r="L1117" s="394" t="str">
        <f>IFERROR(__xludf.DUMMYFUNCTION("JOIN("""", G1117:H1117)"),"")</f>
        <v/>
      </c>
      <c r="M1117" s="80" t="str">
        <f t="shared" si="2"/>
        <v/>
      </c>
    </row>
    <row r="1118">
      <c r="A1118" s="86"/>
      <c r="B1118" s="73"/>
      <c r="C1118" s="73"/>
      <c r="D1118" s="73"/>
      <c r="E1118" s="88"/>
      <c r="F1118" s="73"/>
      <c r="G1118" s="394"/>
      <c r="H1118" s="77"/>
      <c r="I1118" s="88"/>
      <c r="J1118" s="393">
        <v>44377.0</v>
      </c>
      <c r="K1118" s="393">
        <f t="shared" si="7"/>
        <v>44378</v>
      </c>
      <c r="L1118" s="394" t="str">
        <f>IFERROR(__xludf.DUMMYFUNCTION("JOIN("""", G1118:H1118)"),"")</f>
        <v/>
      </c>
      <c r="M1118" s="80" t="str">
        <f t="shared" si="2"/>
        <v/>
      </c>
    </row>
    <row r="1119">
      <c r="A1119" s="86"/>
      <c r="B1119" s="73"/>
      <c r="C1119" s="73"/>
      <c r="D1119" s="73"/>
      <c r="E1119" s="88"/>
      <c r="F1119" s="73"/>
      <c r="G1119" s="394"/>
      <c r="H1119" s="77"/>
      <c r="I1119" s="88"/>
      <c r="J1119" s="393">
        <v>44379.0</v>
      </c>
      <c r="K1119" s="393">
        <f t="shared" si="7"/>
        <v>44380</v>
      </c>
      <c r="L1119" s="394" t="str">
        <f>IFERROR(__xludf.DUMMYFUNCTION("JOIN("""", G1119:H1119)"),"")</f>
        <v/>
      </c>
      <c r="M1119" s="80" t="str">
        <f t="shared" si="2"/>
        <v/>
      </c>
    </row>
    <row r="1120">
      <c r="A1120" s="86"/>
      <c r="B1120" s="73"/>
      <c r="C1120" s="73"/>
      <c r="D1120" s="73"/>
      <c r="E1120" s="88"/>
      <c r="F1120" s="73"/>
      <c r="G1120" s="394"/>
      <c r="H1120" s="77"/>
      <c r="I1120" s="88"/>
      <c r="J1120" s="393">
        <v>44377.0</v>
      </c>
      <c r="K1120" s="393">
        <f t="shared" si="7"/>
        <v>44378</v>
      </c>
      <c r="L1120" s="394" t="str">
        <f>IFERROR(__xludf.DUMMYFUNCTION("JOIN("""", G1120:H1120)"),"")</f>
        <v/>
      </c>
      <c r="M1120" s="80" t="str">
        <f t="shared" si="2"/>
        <v/>
      </c>
    </row>
    <row r="1121">
      <c r="A1121" s="86"/>
      <c r="B1121" s="73"/>
      <c r="C1121" s="73"/>
      <c r="D1121" s="73"/>
      <c r="E1121" s="88"/>
      <c r="F1121" s="73"/>
      <c r="G1121" s="394"/>
      <c r="H1121" s="77"/>
      <c r="I1121" s="88"/>
      <c r="J1121" s="393">
        <v>44378.0</v>
      </c>
      <c r="K1121" s="393">
        <f t="shared" si="7"/>
        <v>44379</v>
      </c>
      <c r="L1121" s="394" t="str">
        <f>IFERROR(__xludf.DUMMYFUNCTION("JOIN("""", G1121:H1121)"),"")</f>
        <v/>
      </c>
      <c r="M1121" s="80" t="str">
        <f t="shared" si="2"/>
        <v/>
      </c>
    </row>
    <row r="1122">
      <c r="A1122" s="86"/>
      <c r="B1122" s="73"/>
      <c r="C1122" s="73"/>
      <c r="D1122" s="73"/>
      <c r="E1122" s="88"/>
      <c r="F1122" s="73"/>
      <c r="G1122" s="394"/>
      <c r="H1122" s="77"/>
      <c r="I1122" s="88"/>
      <c r="J1122" s="393">
        <v>44378.0</v>
      </c>
      <c r="K1122" s="393">
        <f t="shared" si="7"/>
        <v>44379</v>
      </c>
      <c r="L1122" s="394" t="str">
        <f>IFERROR(__xludf.DUMMYFUNCTION("JOIN("""", G1122:H1122)"),"")</f>
        <v/>
      </c>
      <c r="M1122" s="80" t="str">
        <f t="shared" si="2"/>
        <v/>
      </c>
    </row>
    <row r="1123">
      <c r="A1123" s="86"/>
      <c r="B1123" s="73"/>
      <c r="C1123" s="73"/>
      <c r="D1123" s="73"/>
      <c r="E1123" s="88"/>
      <c r="F1123" s="73"/>
      <c r="G1123" s="394"/>
      <c r="H1123" s="77"/>
      <c r="I1123" s="88"/>
      <c r="J1123" s="393">
        <v>44378.0</v>
      </c>
      <c r="K1123" s="393">
        <f t="shared" si="7"/>
        <v>44379</v>
      </c>
      <c r="L1123" s="394" t="str">
        <f>IFERROR(__xludf.DUMMYFUNCTION("JOIN("""", G1123:H1123)"),"")</f>
        <v/>
      </c>
      <c r="M1123" s="80" t="str">
        <f t="shared" si="2"/>
        <v/>
      </c>
    </row>
    <row r="1124">
      <c r="A1124" s="86"/>
      <c r="B1124" s="73"/>
      <c r="C1124" s="73"/>
      <c r="D1124" s="73"/>
      <c r="E1124" s="88"/>
      <c r="F1124" s="73"/>
      <c r="G1124" s="394"/>
      <c r="H1124" s="77"/>
      <c r="I1124" s="88"/>
      <c r="J1124" s="401">
        <v>44378.0</v>
      </c>
      <c r="K1124" s="393">
        <f t="shared" si="7"/>
        <v>44379</v>
      </c>
      <c r="L1124" s="394" t="str">
        <f>IFERROR(__xludf.DUMMYFUNCTION("JOIN("""", G1124:H1124)"),"")</f>
        <v/>
      </c>
      <c r="M1124" s="80" t="str">
        <f t="shared" si="2"/>
        <v/>
      </c>
    </row>
    <row r="1125">
      <c r="A1125" s="86"/>
      <c r="B1125" s="73"/>
      <c r="C1125" s="73"/>
      <c r="D1125" s="73"/>
      <c r="E1125" s="88"/>
      <c r="F1125" s="73"/>
      <c r="G1125" s="394"/>
      <c r="H1125" s="77"/>
      <c r="I1125" s="88"/>
      <c r="J1125" s="393">
        <v>44378.0</v>
      </c>
      <c r="K1125" s="393">
        <f t="shared" si="7"/>
        <v>44379</v>
      </c>
      <c r="L1125" s="394" t="str">
        <f>IFERROR(__xludf.DUMMYFUNCTION("JOIN("""", G1125:H1125)"),"")</f>
        <v/>
      </c>
      <c r="M1125" s="80" t="str">
        <f t="shared" si="2"/>
        <v/>
      </c>
    </row>
    <row r="1126">
      <c r="A1126" s="86"/>
      <c r="B1126" s="73"/>
      <c r="C1126" s="73"/>
      <c r="D1126" s="73"/>
      <c r="E1126" s="88"/>
      <c r="F1126" s="73"/>
      <c r="G1126" s="394"/>
      <c r="H1126" s="77"/>
      <c r="I1126" s="88"/>
      <c r="J1126" s="393">
        <v>44378.0</v>
      </c>
      <c r="K1126" s="393">
        <f t="shared" si="7"/>
        <v>44379</v>
      </c>
      <c r="L1126" s="394" t="str">
        <f>IFERROR(__xludf.DUMMYFUNCTION("JOIN("""", G1126:H1126)"),"")</f>
        <v/>
      </c>
      <c r="M1126" s="80" t="str">
        <f t="shared" si="2"/>
        <v/>
      </c>
    </row>
    <row r="1127">
      <c r="A1127" s="86"/>
      <c r="B1127" s="73"/>
      <c r="C1127" s="73"/>
      <c r="D1127" s="73"/>
      <c r="E1127" s="88"/>
      <c r="F1127" s="73"/>
      <c r="G1127" s="394"/>
      <c r="H1127" s="73"/>
      <c r="I1127" s="88"/>
      <c r="J1127" s="393">
        <v>44378.0</v>
      </c>
      <c r="K1127" s="393">
        <f t="shared" si="7"/>
        <v>44379</v>
      </c>
      <c r="L1127" s="394" t="str">
        <f>IFERROR(__xludf.DUMMYFUNCTION("JOIN("""", G1127:H1127)"),"")</f>
        <v/>
      </c>
      <c r="M1127" s="80" t="str">
        <f t="shared" si="2"/>
        <v/>
      </c>
    </row>
    <row r="1128">
      <c r="A1128" s="86"/>
      <c r="B1128" s="73"/>
      <c r="C1128" s="73"/>
      <c r="D1128" s="73"/>
      <c r="E1128" s="88"/>
      <c r="F1128" s="73"/>
      <c r="G1128" s="394"/>
      <c r="H1128" s="77"/>
      <c r="I1128" s="88"/>
      <c r="J1128" s="403">
        <v>44378.0</v>
      </c>
      <c r="K1128" s="393">
        <f t="shared" si="7"/>
        <v>44379</v>
      </c>
      <c r="L1128" s="394" t="str">
        <f>IFERROR(__xludf.DUMMYFUNCTION("JOIN("""", G1128:H1128)"),"")</f>
        <v/>
      </c>
      <c r="M1128" s="80" t="str">
        <f t="shared" si="2"/>
        <v/>
      </c>
    </row>
    <row r="1129">
      <c r="A1129" s="86"/>
      <c r="B1129" s="73"/>
      <c r="C1129" s="73"/>
      <c r="D1129" s="73"/>
      <c r="E1129" s="88"/>
      <c r="F1129" s="73"/>
      <c r="G1129" s="394"/>
      <c r="H1129" s="77"/>
      <c r="I1129" s="88"/>
      <c r="J1129" s="393">
        <v>110121.0</v>
      </c>
      <c r="K1129" s="393">
        <f t="shared" si="7"/>
        <v>110122</v>
      </c>
      <c r="L1129" s="394" t="str">
        <f>IFERROR(__xludf.DUMMYFUNCTION("JOIN("""", G1129:H1129)"),"")</f>
        <v/>
      </c>
      <c r="M1129" s="80" t="str">
        <f t="shared" si="2"/>
        <v/>
      </c>
    </row>
    <row r="1130">
      <c r="A1130" s="86"/>
      <c r="B1130" s="73"/>
      <c r="C1130" s="73"/>
      <c r="D1130" s="73"/>
      <c r="E1130" s="88"/>
      <c r="F1130" s="73"/>
      <c r="G1130" s="394"/>
      <c r="H1130" s="73"/>
      <c r="I1130" s="88"/>
      <c r="J1130" s="393">
        <v>44378.0</v>
      </c>
      <c r="K1130" s="393">
        <f t="shared" si="7"/>
        <v>44379</v>
      </c>
      <c r="L1130" s="394" t="str">
        <f>IFERROR(__xludf.DUMMYFUNCTION("JOIN("""", G1130:H1130)"),"")</f>
        <v/>
      </c>
      <c r="M1130" s="80" t="str">
        <f t="shared" si="2"/>
        <v/>
      </c>
    </row>
    <row r="1131">
      <c r="A1131" s="86"/>
      <c r="B1131" s="73"/>
      <c r="C1131" s="73"/>
      <c r="D1131" s="73"/>
      <c r="E1131" s="88"/>
      <c r="F1131" s="73"/>
      <c r="G1131" s="394"/>
      <c r="H1131" s="77"/>
      <c r="I1131" s="88"/>
      <c r="J1131" s="393">
        <v>44378.0</v>
      </c>
      <c r="K1131" s="393">
        <f t="shared" si="7"/>
        <v>44379</v>
      </c>
      <c r="L1131" s="394" t="str">
        <f>IFERROR(__xludf.DUMMYFUNCTION("JOIN("""", G1131:H1131)"),"")</f>
        <v/>
      </c>
      <c r="M1131" s="80" t="str">
        <f t="shared" si="2"/>
        <v/>
      </c>
    </row>
    <row r="1132">
      <c r="A1132" s="86"/>
      <c r="B1132" s="73"/>
      <c r="C1132" s="73"/>
      <c r="D1132" s="73"/>
      <c r="E1132" s="88"/>
      <c r="F1132" s="73"/>
      <c r="G1132" s="394"/>
      <c r="H1132" s="77"/>
      <c r="I1132" s="88"/>
      <c r="J1132" s="393">
        <v>44378.0</v>
      </c>
      <c r="K1132" s="393">
        <f t="shared" si="7"/>
        <v>44379</v>
      </c>
      <c r="L1132" s="394" t="str">
        <f>IFERROR(__xludf.DUMMYFUNCTION("JOIN("""", G1132:H1132)"),"")</f>
        <v/>
      </c>
      <c r="M1132" s="80" t="str">
        <f t="shared" si="2"/>
        <v/>
      </c>
    </row>
    <row r="1133">
      <c r="A1133" s="86"/>
      <c r="B1133" s="73"/>
      <c r="C1133" s="73"/>
      <c r="D1133" s="73"/>
      <c r="E1133" s="88"/>
      <c r="F1133" s="73"/>
      <c r="G1133" s="394"/>
      <c r="H1133" s="77"/>
      <c r="I1133" s="88"/>
      <c r="J1133" s="393">
        <v>44378.0</v>
      </c>
      <c r="K1133" s="393">
        <f t="shared" si="7"/>
        <v>44379</v>
      </c>
      <c r="L1133" s="394" t="str">
        <f>IFERROR(__xludf.DUMMYFUNCTION("JOIN("""", G1133:H1133)"),"")</f>
        <v/>
      </c>
      <c r="M1133" s="80" t="str">
        <f t="shared" si="2"/>
        <v/>
      </c>
    </row>
    <row r="1134">
      <c r="A1134" s="86"/>
      <c r="B1134" s="73"/>
      <c r="C1134" s="73"/>
      <c r="D1134" s="73"/>
      <c r="E1134" s="88"/>
      <c r="F1134" s="73"/>
      <c r="G1134" s="394"/>
      <c r="H1134" s="77"/>
      <c r="I1134" s="88"/>
      <c r="J1134" s="393">
        <v>44378.0</v>
      </c>
      <c r="K1134" s="393">
        <f t="shared" si="7"/>
        <v>44379</v>
      </c>
      <c r="L1134" s="394" t="str">
        <f>IFERROR(__xludf.DUMMYFUNCTION("JOIN("""", G1134:H1134)"),"")</f>
        <v/>
      </c>
      <c r="M1134" s="80" t="str">
        <f t="shared" si="2"/>
        <v/>
      </c>
    </row>
    <row r="1135">
      <c r="A1135" s="86"/>
      <c r="B1135" s="73"/>
      <c r="C1135" s="73"/>
      <c r="D1135" s="73"/>
      <c r="E1135" s="88"/>
      <c r="F1135" s="73"/>
      <c r="G1135" s="394"/>
      <c r="H1135" s="77"/>
      <c r="I1135" s="88"/>
      <c r="J1135" s="393">
        <v>44378.0</v>
      </c>
      <c r="K1135" s="393">
        <f t="shared" si="7"/>
        <v>44379</v>
      </c>
      <c r="L1135" s="394" t="str">
        <f>IFERROR(__xludf.DUMMYFUNCTION("JOIN("""", G1135:H1135)"),"")</f>
        <v/>
      </c>
      <c r="M1135" s="80" t="str">
        <f t="shared" si="2"/>
        <v/>
      </c>
    </row>
    <row r="1136">
      <c r="A1136" s="86"/>
      <c r="B1136" s="73"/>
      <c r="C1136" s="73"/>
      <c r="D1136" s="73"/>
      <c r="E1136" s="88"/>
      <c r="F1136" s="73"/>
      <c r="G1136" s="394"/>
      <c r="H1136" s="77"/>
      <c r="I1136" s="88"/>
      <c r="J1136" s="402">
        <v>44378.0</v>
      </c>
      <c r="K1136" s="393">
        <f t="shared" si="7"/>
        <v>44379</v>
      </c>
      <c r="L1136" s="394" t="str">
        <f>IFERROR(__xludf.DUMMYFUNCTION("JOIN("""", G1136:H1136)"),"")</f>
        <v/>
      </c>
      <c r="M1136" s="80" t="str">
        <f t="shared" si="2"/>
        <v/>
      </c>
    </row>
    <row r="1137">
      <c r="A1137" s="86"/>
      <c r="B1137" s="73"/>
      <c r="C1137" s="73"/>
      <c r="D1137" s="73"/>
      <c r="E1137" s="88"/>
      <c r="F1137" s="73"/>
      <c r="G1137" s="394"/>
      <c r="H1137" s="73"/>
      <c r="I1137" s="88"/>
      <c r="J1137" s="393">
        <v>44379.0</v>
      </c>
      <c r="K1137" s="393">
        <f t="shared" si="7"/>
        <v>44380</v>
      </c>
      <c r="L1137" s="394" t="str">
        <f>IFERROR(__xludf.DUMMYFUNCTION("JOIN("""", G1137:H1137)"),"")</f>
        <v/>
      </c>
      <c r="M1137" s="80" t="str">
        <f t="shared" si="2"/>
        <v/>
      </c>
    </row>
    <row r="1138">
      <c r="A1138" s="86"/>
      <c r="B1138" s="73"/>
      <c r="C1138" s="73"/>
      <c r="D1138" s="73"/>
      <c r="E1138" s="88"/>
      <c r="F1138" s="73"/>
      <c r="G1138" s="394"/>
      <c r="H1138" s="77"/>
      <c r="I1138" s="88"/>
      <c r="J1138" s="393">
        <v>44379.0</v>
      </c>
      <c r="K1138" s="393">
        <f t="shared" si="7"/>
        <v>44380</v>
      </c>
      <c r="L1138" s="394" t="str">
        <f>IFERROR(__xludf.DUMMYFUNCTION("JOIN("""", G1138:H1138)"),"")</f>
        <v/>
      </c>
      <c r="M1138" s="80" t="str">
        <f t="shared" si="2"/>
        <v/>
      </c>
    </row>
    <row r="1139">
      <c r="A1139" s="86"/>
      <c r="B1139" s="73"/>
      <c r="C1139" s="73"/>
      <c r="D1139" s="73"/>
      <c r="E1139" s="88"/>
      <c r="F1139" s="73"/>
      <c r="G1139" s="394"/>
      <c r="H1139" s="77"/>
      <c r="I1139" s="88"/>
      <c r="J1139" s="393">
        <v>44379.0</v>
      </c>
      <c r="K1139" s="393">
        <f t="shared" si="7"/>
        <v>44380</v>
      </c>
      <c r="L1139" s="394" t="str">
        <f>IFERROR(__xludf.DUMMYFUNCTION("JOIN("""", G1139:H1139)"),"")</f>
        <v/>
      </c>
      <c r="M1139" s="80" t="str">
        <f t="shared" si="2"/>
        <v/>
      </c>
    </row>
    <row r="1140">
      <c r="A1140" s="86"/>
      <c r="B1140" s="73"/>
      <c r="C1140" s="73"/>
      <c r="D1140" s="73"/>
      <c r="E1140" s="88"/>
      <c r="F1140" s="73"/>
      <c r="G1140" s="394"/>
      <c r="H1140" s="77"/>
      <c r="I1140" s="88"/>
      <c r="J1140" s="393">
        <v>44379.0</v>
      </c>
      <c r="K1140" s="393">
        <f t="shared" si="7"/>
        <v>44380</v>
      </c>
      <c r="L1140" s="394" t="str">
        <f>IFERROR(__xludf.DUMMYFUNCTION("JOIN("""", G1140:H1140)"),"")</f>
        <v/>
      </c>
      <c r="M1140" s="80" t="str">
        <f t="shared" si="2"/>
        <v/>
      </c>
    </row>
    <row r="1141">
      <c r="A1141" s="86"/>
      <c r="B1141" s="73"/>
      <c r="C1141" s="73"/>
      <c r="D1141" s="73"/>
      <c r="E1141" s="88"/>
      <c r="F1141" s="73"/>
      <c r="G1141" s="394"/>
      <c r="H1141" s="73"/>
      <c r="I1141" s="88"/>
      <c r="J1141" s="393">
        <v>44379.0</v>
      </c>
      <c r="K1141" s="393">
        <f t="shared" si="7"/>
        <v>44380</v>
      </c>
      <c r="L1141" s="394" t="str">
        <f>IFERROR(__xludf.DUMMYFUNCTION("JOIN("""", G1141:H1141)"),"")</f>
        <v/>
      </c>
      <c r="M1141" s="80" t="str">
        <f t="shared" si="2"/>
        <v/>
      </c>
    </row>
    <row r="1142">
      <c r="A1142" s="86"/>
      <c r="B1142" s="73"/>
      <c r="C1142" s="73"/>
      <c r="D1142" s="73"/>
      <c r="E1142" s="88"/>
      <c r="F1142" s="73"/>
      <c r="G1142" s="394"/>
      <c r="H1142" s="77"/>
      <c r="I1142" s="88"/>
      <c r="J1142" s="393">
        <v>44379.0</v>
      </c>
      <c r="K1142" s="393">
        <f t="shared" si="7"/>
        <v>44380</v>
      </c>
      <c r="L1142" s="394" t="str">
        <f>IFERROR(__xludf.DUMMYFUNCTION("JOIN("""", G1142:H1142)"),"")</f>
        <v/>
      </c>
      <c r="M1142" s="80" t="str">
        <f t="shared" si="2"/>
        <v/>
      </c>
    </row>
    <row r="1143">
      <c r="A1143" s="86"/>
      <c r="B1143" s="73"/>
      <c r="C1143" s="73"/>
      <c r="D1143" s="73"/>
      <c r="E1143" s="88"/>
      <c r="F1143" s="73"/>
      <c r="G1143" s="394"/>
      <c r="H1143" s="77"/>
      <c r="I1143" s="88"/>
      <c r="J1143" s="393">
        <v>44382.0</v>
      </c>
      <c r="K1143" s="393">
        <f t="shared" si="7"/>
        <v>44383</v>
      </c>
      <c r="L1143" s="394" t="str">
        <f>IFERROR(__xludf.DUMMYFUNCTION("JOIN("""", G1143:H1143)"),"")</f>
        <v/>
      </c>
      <c r="M1143" s="80" t="str">
        <f t="shared" si="2"/>
        <v/>
      </c>
    </row>
    <row r="1144">
      <c r="A1144" s="86"/>
      <c r="B1144" s="73"/>
      <c r="C1144" s="73"/>
      <c r="D1144" s="73"/>
      <c r="E1144" s="88"/>
      <c r="F1144" s="73"/>
      <c r="G1144" s="394"/>
      <c r="H1144" s="77"/>
      <c r="I1144" s="88"/>
      <c r="J1144" s="393">
        <v>44379.0</v>
      </c>
      <c r="K1144" s="393">
        <f t="shared" si="7"/>
        <v>44380</v>
      </c>
      <c r="L1144" s="394" t="str">
        <f>IFERROR(__xludf.DUMMYFUNCTION("JOIN("""", G1144:H1144)"),"")</f>
        <v/>
      </c>
      <c r="M1144" s="80" t="str">
        <f t="shared" si="2"/>
        <v/>
      </c>
    </row>
    <row r="1145">
      <c r="A1145" s="86"/>
      <c r="B1145" s="73"/>
      <c r="C1145" s="73"/>
      <c r="D1145" s="73"/>
      <c r="E1145" s="88"/>
      <c r="F1145" s="73"/>
      <c r="G1145" s="394"/>
      <c r="H1145" s="77"/>
      <c r="I1145" s="88"/>
      <c r="J1145" s="393">
        <v>44379.0</v>
      </c>
      <c r="K1145" s="393">
        <f t="shared" si="7"/>
        <v>44380</v>
      </c>
      <c r="L1145" s="394" t="str">
        <f>IFERROR(__xludf.DUMMYFUNCTION("JOIN("""", G1145:H1145)"),"")</f>
        <v/>
      </c>
      <c r="M1145" s="80" t="str">
        <f t="shared" si="2"/>
        <v/>
      </c>
    </row>
    <row r="1146">
      <c r="A1146" s="86"/>
      <c r="B1146" s="73"/>
      <c r="C1146" s="73"/>
      <c r="D1146" s="73"/>
      <c r="E1146" s="88"/>
      <c r="F1146" s="73"/>
      <c r="G1146" s="394"/>
      <c r="H1146" s="77"/>
      <c r="I1146" s="88"/>
      <c r="J1146" s="393">
        <v>44379.0</v>
      </c>
      <c r="K1146" s="393">
        <f t="shared" si="7"/>
        <v>44380</v>
      </c>
      <c r="L1146" s="394" t="str">
        <f>IFERROR(__xludf.DUMMYFUNCTION("JOIN("""", G1146:H1146)"),"")</f>
        <v/>
      </c>
      <c r="M1146" s="80" t="str">
        <f t="shared" si="2"/>
        <v/>
      </c>
    </row>
    <row r="1147">
      <c r="A1147" s="86"/>
      <c r="B1147" s="73"/>
      <c r="C1147" s="73"/>
      <c r="D1147" s="73"/>
      <c r="E1147" s="88"/>
      <c r="F1147" s="73"/>
      <c r="G1147" s="394"/>
      <c r="H1147" s="77"/>
      <c r="I1147" s="88"/>
      <c r="J1147" s="393">
        <v>44379.0</v>
      </c>
      <c r="K1147" s="393">
        <f t="shared" si="7"/>
        <v>44380</v>
      </c>
      <c r="L1147" s="394" t="str">
        <f>IFERROR(__xludf.DUMMYFUNCTION("JOIN("""", G1147:H1147)"),"")</f>
        <v/>
      </c>
      <c r="M1147" s="80" t="str">
        <f t="shared" si="2"/>
        <v/>
      </c>
    </row>
    <row r="1148">
      <c r="A1148" s="86"/>
      <c r="B1148" s="73"/>
      <c r="C1148" s="73"/>
      <c r="D1148" s="73"/>
      <c r="E1148" s="88"/>
      <c r="F1148" s="73"/>
      <c r="G1148" s="394"/>
      <c r="H1148" s="77"/>
      <c r="I1148" s="88"/>
      <c r="J1148" s="393">
        <v>44379.0</v>
      </c>
      <c r="K1148" s="393">
        <f t="shared" si="7"/>
        <v>44380</v>
      </c>
      <c r="L1148" s="394" t="str">
        <f>IFERROR(__xludf.DUMMYFUNCTION("JOIN("""", G1148:H1148)"),"")</f>
        <v/>
      </c>
      <c r="M1148" s="80" t="str">
        <f t="shared" si="2"/>
        <v/>
      </c>
    </row>
    <row r="1149">
      <c r="A1149" s="86"/>
      <c r="B1149" s="73"/>
      <c r="C1149" s="73"/>
      <c r="D1149" s="73"/>
      <c r="E1149" s="88"/>
      <c r="F1149" s="73"/>
      <c r="G1149" s="394"/>
      <c r="H1149" s="77"/>
      <c r="I1149" s="88"/>
      <c r="J1149" s="393">
        <v>44379.0</v>
      </c>
      <c r="K1149" s="393">
        <f t="shared" si="7"/>
        <v>44380</v>
      </c>
      <c r="L1149" s="394" t="str">
        <f>IFERROR(__xludf.DUMMYFUNCTION("JOIN("""", G1149:H1149)"),"")</f>
        <v/>
      </c>
      <c r="M1149" s="80" t="str">
        <f t="shared" si="2"/>
        <v/>
      </c>
    </row>
    <row r="1150">
      <c r="A1150" s="86"/>
      <c r="B1150" s="73"/>
      <c r="C1150" s="73"/>
      <c r="D1150" s="73"/>
      <c r="E1150" s="88"/>
      <c r="F1150" s="73"/>
      <c r="G1150" s="394"/>
      <c r="H1150" s="77"/>
      <c r="I1150" s="88"/>
      <c r="J1150" s="393">
        <v>44379.0</v>
      </c>
      <c r="K1150" s="393">
        <f t="shared" si="7"/>
        <v>44380</v>
      </c>
      <c r="L1150" s="394" t="str">
        <f>IFERROR(__xludf.DUMMYFUNCTION("JOIN("""", G1150:H1150)"),"")</f>
        <v/>
      </c>
      <c r="M1150" s="80" t="str">
        <f t="shared" si="2"/>
        <v/>
      </c>
    </row>
    <row r="1151">
      <c r="A1151" s="86"/>
      <c r="B1151" s="73"/>
      <c r="C1151" s="73"/>
      <c r="D1151" s="73"/>
      <c r="E1151" s="88"/>
      <c r="F1151" s="73"/>
      <c r="G1151" s="394"/>
      <c r="H1151" s="77"/>
      <c r="I1151" s="88"/>
      <c r="J1151" s="393">
        <v>44381.0</v>
      </c>
      <c r="K1151" s="393">
        <f t="shared" si="7"/>
        <v>44382</v>
      </c>
      <c r="L1151" s="394" t="str">
        <f>IFERROR(__xludf.DUMMYFUNCTION("JOIN("""", G1151:H1151)"),"")</f>
        <v/>
      </c>
      <c r="M1151" s="80" t="str">
        <f t="shared" si="2"/>
        <v/>
      </c>
    </row>
    <row r="1152">
      <c r="A1152" s="86"/>
      <c r="B1152" s="73"/>
      <c r="C1152" s="73"/>
      <c r="D1152" s="73"/>
      <c r="E1152" s="88"/>
      <c r="F1152" s="73"/>
      <c r="G1152" s="394"/>
      <c r="H1152" s="77"/>
      <c r="I1152" s="88"/>
      <c r="J1152" s="393">
        <v>44380.0</v>
      </c>
      <c r="K1152" s="393">
        <f t="shared" si="7"/>
        <v>44381</v>
      </c>
      <c r="L1152" s="394" t="str">
        <f>IFERROR(__xludf.DUMMYFUNCTION("JOIN("""", G1152:H1152)"),"")</f>
        <v/>
      </c>
      <c r="M1152" s="80" t="str">
        <f t="shared" si="2"/>
        <v/>
      </c>
    </row>
    <row r="1153">
      <c r="A1153" s="86"/>
      <c r="B1153" s="73"/>
      <c r="C1153" s="73"/>
      <c r="D1153" s="73"/>
      <c r="E1153" s="88"/>
      <c r="F1153" s="73"/>
      <c r="G1153" s="394"/>
      <c r="H1153" s="77"/>
      <c r="I1153" s="88"/>
      <c r="J1153" s="393">
        <v>44380.0</v>
      </c>
      <c r="K1153" s="393">
        <f t="shared" si="7"/>
        <v>44381</v>
      </c>
      <c r="L1153" s="394" t="str">
        <f>IFERROR(__xludf.DUMMYFUNCTION("JOIN("""", G1153:H1153)"),"")</f>
        <v/>
      </c>
      <c r="M1153" s="80" t="str">
        <f t="shared" si="2"/>
        <v/>
      </c>
    </row>
    <row r="1154">
      <c r="A1154" s="86"/>
      <c r="B1154" s="73"/>
      <c r="C1154" s="73"/>
      <c r="D1154" s="73"/>
      <c r="E1154" s="88"/>
      <c r="F1154" s="73"/>
      <c r="G1154" s="394"/>
      <c r="H1154" s="77"/>
      <c r="I1154" s="88"/>
      <c r="J1154" s="393">
        <v>44380.0</v>
      </c>
      <c r="K1154" s="393">
        <f t="shared" si="7"/>
        <v>44381</v>
      </c>
      <c r="L1154" s="394" t="str">
        <f>IFERROR(__xludf.DUMMYFUNCTION("JOIN("""", G1154:H1154)"),"")</f>
        <v/>
      </c>
      <c r="M1154" s="80" t="str">
        <f t="shared" si="2"/>
        <v/>
      </c>
    </row>
    <row r="1155">
      <c r="A1155" s="86"/>
      <c r="B1155" s="73"/>
      <c r="C1155" s="73"/>
      <c r="D1155" s="73"/>
      <c r="E1155" s="88"/>
      <c r="F1155" s="73"/>
      <c r="G1155" s="394"/>
      <c r="H1155" s="77"/>
      <c r="I1155" s="88"/>
      <c r="J1155" s="393">
        <v>44380.0</v>
      </c>
      <c r="K1155" s="393">
        <f t="shared" si="7"/>
        <v>44381</v>
      </c>
      <c r="L1155" s="394" t="str">
        <f>IFERROR(__xludf.DUMMYFUNCTION("JOIN("""", G1155:H1155)"),"")</f>
        <v/>
      </c>
      <c r="M1155" s="80" t="str">
        <f t="shared" si="2"/>
        <v/>
      </c>
    </row>
    <row r="1156">
      <c r="A1156" s="86"/>
      <c r="B1156" s="73"/>
      <c r="C1156" s="73"/>
      <c r="D1156" s="73"/>
      <c r="E1156" s="88"/>
      <c r="F1156" s="73"/>
      <c r="G1156" s="394"/>
      <c r="H1156" s="73"/>
      <c r="I1156" s="88"/>
      <c r="J1156" s="393">
        <v>44385.0</v>
      </c>
      <c r="K1156" s="393">
        <f t="shared" si="7"/>
        <v>44386</v>
      </c>
      <c r="L1156" s="394" t="str">
        <f>IFERROR(__xludf.DUMMYFUNCTION("JOIN("""", G1156:H1156)"),"")</f>
        <v/>
      </c>
      <c r="M1156" s="80" t="str">
        <f t="shared" si="2"/>
        <v/>
      </c>
    </row>
    <row r="1157">
      <c r="A1157" s="86"/>
      <c r="B1157" s="73"/>
      <c r="C1157" s="73"/>
      <c r="D1157" s="73"/>
      <c r="E1157" s="88"/>
      <c r="F1157" s="73"/>
      <c r="G1157" s="394"/>
      <c r="H1157" s="77"/>
      <c r="I1157" s="88"/>
      <c r="J1157" s="393">
        <v>44381.0</v>
      </c>
      <c r="K1157" s="393">
        <f t="shared" si="7"/>
        <v>44382</v>
      </c>
      <c r="L1157" s="394" t="str">
        <f>IFERROR(__xludf.DUMMYFUNCTION("JOIN("""", G1157:H1157)"),"")</f>
        <v/>
      </c>
      <c r="M1157" s="80" t="str">
        <f t="shared" si="2"/>
        <v/>
      </c>
    </row>
    <row r="1158">
      <c r="A1158" s="86"/>
      <c r="B1158" s="73"/>
      <c r="C1158" s="73"/>
      <c r="D1158" s="73"/>
      <c r="E1158" s="88"/>
      <c r="F1158" s="73"/>
      <c r="G1158" s="394"/>
      <c r="H1158" s="77"/>
      <c r="I1158" s="88"/>
      <c r="J1158" s="393">
        <v>44381.0</v>
      </c>
      <c r="K1158" s="393">
        <f t="shared" si="7"/>
        <v>44382</v>
      </c>
      <c r="L1158" s="394" t="str">
        <f>IFERROR(__xludf.DUMMYFUNCTION("JOIN("""", G1158:H1158)"),"")</f>
        <v/>
      </c>
      <c r="M1158" s="80" t="str">
        <f t="shared" si="2"/>
        <v/>
      </c>
    </row>
    <row r="1159">
      <c r="A1159" s="86"/>
      <c r="B1159" s="73"/>
      <c r="C1159" s="73"/>
      <c r="D1159" s="73"/>
      <c r="E1159" s="88"/>
      <c r="F1159" s="73"/>
      <c r="G1159" s="394"/>
      <c r="H1159" s="77"/>
      <c r="I1159" s="88"/>
      <c r="J1159" s="393">
        <v>44399.0</v>
      </c>
      <c r="K1159" s="393">
        <f t="shared" si="7"/>
        <v>44400</v>
      </c>
      <c r="L1159" s="394" t="str">
        <f>IFERROR(__xludf.DUMMYFUNCTION("JOIN("""", G1159:H1159)"),"")</f>
        <v/>
      </c>
      <c r="M1159" s="80" t="str">
        <f t="shared" si="2"/>
        <v/>
      </c>
    </row>
    <row r="1160">
      <c r="A1160" s="86"/>
      <c r="B1160" s="73"/>
      <c r="C1160" s="73"/>
      <c r="D1160" s="73"/>
      <c r="E1160" s="88"/>
      <c r="F1160" s="73"/>
      <c r="G1160" s="394"/>
      <c r="H1160" s="77"/>
      <c r="I1160" s="88"/>
      <c r="J1160" s="393">
        <v>44381.0</v>
      </c>
      <c r="K1160" s="393">
        <f t="shared" si="7"/>
        <v>44382</v>
      </c>
      <c r="L1160" s="394" t="str">
        <f>IFERROR(__xludf.DUMMYFUNCTION("JOIN("""", G1160:H1160)"),"")</f>
        <v/>
      </c>
      <c r="M1160" s="80" t="str">
        <f t="shared" si="2"/>
        <v/>
      </c>
    </row>
    <row r="1161">
      <c r="A1161" s="86"/>
      <c r="B1161" s="73"/>
      <c r="C1161" s="73"/>
      <c r="D1161" s="73"/>
      <c r="E1161" s="88"/>
      <c r="F1161" s="73"/>
      <c r="G1161" s="394"/>
      <c r="H1161" s="77"/>
      <c r="I1161" s="88"/>
      <c r="J1161" s="393">
        <v>44381.0</v>
      </c>
      <c r="K1161" s="393">
        <f t="shared" si="7"/>
        <v>44382</v>
      </c>
      <c r="L1161" s="394" t="str">
        <f>IFERROR(__xludf.DUMMYFUNCTION("JOIN("""", G1161:H1161)"),"")</f>
        <v/>
      </c>
      <c r="M1161" s="80" t="str">
        <f t="shared" si="2"/>
        <v/>
      </c>
    </row>
    <row r="1162">
      <c r="A1162" s="86"/>
      <c r="B1162" s="73"/>
      <c r="C1162" s="73"/>
      <c r="D1162" s="73"/>
      <c r="E1162" s="88"/>
      <c r="F1162" s="73"/>
      <c r="G1162" s="394"/>
      <c r="H1162" s="77"/>
      <c r="I1162" s="88"/>
      <c r="J1162" s="393">
        <v>44382.0</v>
      </c>
      <c r="K1162" s="393">
        <f t="shared" si="7"/>
        <v>44383</v>
      </c>
      <c r="L1162" s="394" t="str">
        <f>IFERROR(__xludf.DUMMYFUNCTION("JOIN("""", G1162:H1162)"),"")</f>
        <v/>
      </c>
      <c r="M1162" s="80" t="str">
        <f t="shared" si="2"/>
        <v/>
      </c>
    </row>
    <row r="1163">
      <c r="A1163" s="86"/>
      <c r="B1163" s="73"/>
      <c r="C1163" s="73"/>
      <c r="D1163" s="73"/>
      <c r="E1163" s="88"/>
      <c r="F1163" s="73"/>
      <c r="G1163" s="394"/>
      <c r="H1163" s="77"/>
      <c r="I1163" s="88"/>
      <c r="J1163" s="393">
        <v>44382.0</v>
      </c>
      <c r="K1163" s="393">
        <f t="shared" si="7"/>
        <v>44383</v>
      </c>
      <c r="L1163" s="394" t="str">
        <f>IFERROR(__xludf.DUMMYFUNCTION("JOIN("""", G1163:H1163)"),"")</f>
        <v/>
      </c>
      <c r="M1163" s="80" t="str">
        <f t="shared" si="2"/>
        <v/>
      </c>
    </row>
    <row r="1164">
      <c r="A1164" s="86"/>
      <c r="B1164" s="73"/>
      <c r="C1164" s="73"/>
      <c r="D1164" s="73"/>
      <c r="E1164" s="88"/>
      <c r="F1164" s="73"/>
      <c r="G1164" s="394"/>
      <c r="H1164" s="77"/>
      <c r="I1164" s="88"/>
      <c r="J1164" s="393">
        <v>44382.0</v>
      </c>
      <c r="K1164" s="393">
        <f t="shared" si="7"/>
        <v>44383</v>
      </c>
      <c r="L1164" s="394" t="str">
        <f>IFERROR(__xludf.DUMMYFUNCTION("JOIN("""", G1164:H1164)"),"")</f>
        <v/>
      </c>
      <c r="M1164" s="80" t="str">
        <f t="shared" si="2"/>
        <v/>
      </c>
    </row>
    <row r="1165">
      <c r="A1165" s="86"/>
      <c r="B1165" s="73"/>
      <c r="C1165" s="73"/>
      <c r="D1165" s="73"/>
      <c r="E1165" s="88"/>
      <c r="F1165" s="73"/>
      <c r="G1165" s="394"/>
      <c r="H1165" s="73"/>
      <c r="I1165" s="88"/>
      <c r="J1165" s="393">
        <v>44383.0</v>
      </c>
      <c r="K1165" s="393">
        <f t="shared" si="7"/>
        <v>44384</v>
      </c>
      <c r="L1165" s="394" t="str">
        <f>IFERROR(__xludf.DUMMYFUNCTION("JOIN("""", G1165:H1165)"),"")</f>
        <v/>
      </c>
      <c r="M1165" s="80" t="str">
        <f t="shared" si="2"/>
        <v/>
      </c>
    </row>
    <row r="1166">
      <c r="A1166" s="86"/>
      <c r="B1166" s="73"/>
      <c r="C1166" s="73"/>
      <c r="D1166" s="73"/>
      <c r="E1166" s="88"/>
      <c r="F1166" s="73"/>
      <c r="G1166" s="394"/>
      <c r="H1166" s="73"/>
      <c r="I1166" s="88"/>
      <c r="J1166" s="393">
        <v>44382.0</v>
      </c>
      <c r="K1166" s="393">
        <f t="shared" si="7"/>
        <v>44383</v>
      </c>
      <c r="L1166" s="394" t="str">
        <f>IFERROR(__xludf.DUMMYFUNCTION("JOIN("""", G1166:H1166)"),"")</f>
        <v/>
      </c>
      <c r="M1166" s="80" t="str">
        <f t="shared" si="2"/>
        <v/>
      </c>
    </row>
    <row r="1167">
      <c r="A1167" s="86"/>
      <c r="B1167" s="73"/>
      <c r="C1167" s="73"/>
      <c r="D1167" s="73"/>
      <c r="E1167" s="88"/>
      <c r="F1167" s="73"/>
      <c r="G1167" s="394"/>
      <c r="H1167" s="77"/>
      <c r="I1167" s="88"/>
      <c r="J1167" s="393">
        <v>44385.0</v>
      </c>
      <c r="K1167" s="393">
        <f t="shared" si="7"/>
        <v>44386</v>
      </c>
      <c r="L1167" s="394" t="str">
        <f>IFERROR(__xludf.DUMMYFUNCTION("JOIN("""", G1167:H1167)"),"")</f>
        <v/>
      </c>
      <c r="M1167" s="80" t="str">
        <f t="shared" si="2"/>
        <v/>
      </c>
    </row>
    <row r="1168">
      <c r="A1168" s="86"/>
      <c r="B1168" s="73"/>
      <c r="C1168" s="73"/>
      <c r="D1168" s="73"/>
      <c r="E1168" s="88"/>
      <c r="F1168" s="73"/>
      <c r="G1168" s="394"/>
      <c r="H1168" s="77"/>
      <c r="I1168" s="88"/>
      <c r="J1168" s="393">
        <v>44383.0</v>
      </c>
      <c r="K1168" s="393">
        <f t="shared" si="7"/>
        <v>44384</v>
      </c>
      <c r="L1168" s="394" t="str">
        <f>IFERROR(__xludf.DUMMYFUNCTION("JOIN("""", G1168:H1168)"),"")</f>
        <v/>
      </c>
      <c r="M1168" s="80" t="str">
        <f t="shared" si="2"/>
        <v/>
      </c>
    </row>
    <row r="1169">
      <c r="A1169" s="86"/>
      <c r="B1169" s="73"/>
      <c r="C1169" s="73"/>
      <c r="D1169" s="73"/>
      <c r="E1169" s="88"/>
      <c r="F1169" s="73"/>
      <c r="G1169" s="394"/>
      <c r="H1169" s="77"/>
      <c r="I1169" s="88"/>
      <c r="J1169" s="393">
        <v>44389.0</v>
      </c>
      <c r="K1169" s="393">
        <f t="shared" si="7"/>
        <v>44390</v>
      </c>
      <c r="L1169" s="394" t="str">
        <f>IFERROR(__xludf.DUMMYFUNCTION("JOIN("""", G1169:H1169)"),"")</f>
        <v/>
      </c>
      <c r="M1169" s="80" t="str">
        <f t="shared" si="2"/>
        <v/>
      </c>
    </row>
    <row r="1170">
      <c r="A1170" s="86"/>
      <c r="B1170" s="73"/>
      <c r="C1170" s="73"/>
      <c r="D1170" s="73"/>
      <c r="E1170" s="88"/>
      <c r="F1170" s="73"/>
      <c r="G1170" s="394"/>
      <c r="H1170" s="77"/>
      <c r="I1170" s="88"/>
      <c r="J1170" s="393">
        <v>44384.0</v>
      </c>
      <c r="K1170" s="393">
        <f t="shared" si="7"/>
        <v>44385</v>
      </c>
      <c r="L1170" s="394" t="str">
        <f>IFERROR(__xludf.DUMMYFUNCTION("JOIN("""", G1170:H1170)"),"")</f>
        <v/>
      </c>
      <c r="M1170" s="80" t="str">
        <f t="shared" si="2"/>
        <v/>
      </c>
    </row>
    <row r="1171">
      <c r="A1171" s="86"/>
      <c r="B1171" s="73"/>
      <c r="C1171" s="73"/>
      <c r="D1171" s="73"/>
      <c r="E1171" s="88"/>
      <c r="F1171" s="73"/>
      <c r="G1171" s="394"/>
      <c r="H1171" s="77"/>
      <c r="I1171" s="88"/>
      <c r="J1171" s="393">
        <v>44384.0</v>
      </c>
      <c r="K1171" s="393">
        <f t="shared" si="7"/>
        <v>44385</v>
      </c>
      <c r="L1171" s="394" t="str">
        <f>IFERROR(__xludf.DUMMYFUNCTION("JOIN("""", G1171:H1171)"),"")</f>
        <v/>
      </c>
      <c r="M1171" s="80" t="str">
        <f t="shared" si="2"/>
        <v/>
      </c>
    </row>
    <row r="1172">
      <c r="A1172" s="86"/>
      <c r="B1172" s="73"/>
      <c r="C1172" s="73"/>
      <c r="D1172" s="73"/>
      <c r="E1172" s="88"/>
      <c r="F1172" s="73"/>
      <c r="G1172" s="394"/>
      <c r="H1172" s="77"/>
      <c r="I1172" s="88"/>
      <c r="J1172" s="393">
        <v>44384.0</v>
      </c>
      <c r="K1172" s="393">
        <f t="shared" si="7"/>
        <v>44385</v>
      </c>
      <c r="L1172" s="394" t="str">
        <f>IFERROR(__xludf.DUMMYFUNCTION("JOIN("""", G1172:H1172)"),"")</f>
        <v/>
      </c>
      <c r="M1172" s="80" t="str">
        <f t="shared" si="2"/>
        <v/>
      </c>
    </row>
    <row r="1173">
      <c r="A1173" s="86"/>
      <c r="B1173" s="73"/>
      <c r="C1173" s="73"/>
      <c r="D1173" s="73"/>
      <c r="E1173" s="88"/>
      <c r="F1173" s="73"/>
      <c r="G1173" s="394"/>
      <c r="H1173" s="77"/>
      <c r="I1173" s="88"/>
      <c r="J1173" s="393">
        <v>44384.0</v>
      </c>
      <c r="K1173" s="393">
        <f t="shared" si="7"/>
        <v>44385</v>
      </c>
      <c r="L1173" s="394" t="str">
        <f>IFERROR(__xludf.DUMMYFUNCTION("JOIN("""", G1173:H1173)"),"")</f>
        <v/>
      </c>
      <c r="M1173" s="80" t="str">
        <f t="shared" si="2"/>
        <v/>
      </c>
    </row>
    <row r="1174">
      <c r="A1174" s="86"/>
      <c r="B1174" s="73"/>
      <c r="C1174" s="73"/>
      <c r="D1174" s="73"/>
      <c r="E1174" s="88"/>
      <c r="F1174" s="73"/>
      <c r="G1174" s="394"/>
      <c r="H1174" s="77"/>
      <c r="I1174" s="88"/>
      <c r="J1174" s="393">
        <v>44384.0</v>
      </c>
      <c r="K1174" s="393">
        <f t="shared" si="7"/>
        <v>44385</v>
      </c>
      <c r="L1174" s="394" t="str">
        <f>IFERROR(__xludf.DUMMYFUNCTION("JOIN("""", G1174:H1174)"),"")</f>
        <v/>
      </c>
      <c r="M1174" s="80" t="str">
        <f t="shared" si="2"/>
        <v/>
      </c>
    </row>
    <row r="1175">
      <c r="A1175" s="86"/>
      <c r="B1175" s="73"/>
      <c r="C1175" s="73"/>
      <c r="D1175" s="73"/>
      <c r="E1175" s="88"/>
      <c r="F1175" s="73"/>
      <c r="G1175" s="394"/>
      <c r="H1175" s="77"/>
      <c r="I1175" s="88"/>
      <c r="J1175" s="393">
        <v>44384.0</v>
      </c>
      <c r="K1175" s="393">
        <f t="shared" si="7"/>
        <v>44385</v>
      </c>
      <c r="L1175" s="394" t="str">
        <f>IFERROR(__xludf.DUMMYFUNCTION("JOIN("""", G1175:H1175)"),"")</f>
        <v/>
      </c>
      <c r="M1175" s="80" t="str">
        <f t="shared" si="2"/>
        <v/>
      </c>
    </row>
    <row r="1176">
      <c r="A1176" s="86"/>
      <c r="B1176" s="73"/>
      <c r="C1176" s="73"/>
      <c r="D1176" s="73"/>
      <c r="E1176" s="88"/>
      <c r="F1176" s="73"/>
      <c r="G1176" s="394"/>
      <c r="H1176" s="77"/>
      <c r="I1176" s="88"/>
      <c r="J1176" s="393">
        <v>44389.0</v>
      </c>
      <c r="K1176" s="393">
        <f t="shared" si="7"/>
        <v>44390</v>
      </c>
      <c r="L1176" s="394" t="str">
        <f>IFERROR(__xludf.DUMMYFUNCTION("JOIN("""", G1176:H1176)"),"")</f>
        <v/>
      </c>
      <c r="M1176" s="80" t="str">
        <f t="shared" si="2"/>
        <v/>
      </c>
    </row>
    <row r="1177">
      <c r="A1177" s="86"/>
      <c r="B1177" s="73"/>
      <c r="C1177" s="73"/>
      <c r="D1177" s="73"/>
      <c r="E1177" s="88"/>
      <c r="F1177" s="73"/>
      <c r="G1177" s="394"/>
      <c r="H1177" s="77"/>
      <c r="I1177" s="88"/>
      <c r="J1177" s="404">
        <v>44385.0</v>
      </c>
      <c r="K1177" s="393">
        <f t="shared" si="7"/>
        <v>44386</v>
      </c>
      <c r="L1177" s="394" t="str">
        <f>IFERROR(__xludf.DUMMYFUNCTION("JOIN("""", G1177:H1177)"),"")</f>
        <v/>
      </c>
      <c r="M1177" s="80" t="str">
        <f t="shared" si="2"/>
        <v/>
      </c>
    </row>
    <row r="1178">
      <c r="A1178" s="86"/>
      <c r="B1178" s="73"/>
      <c r="C1178" s="73"/>
      <c r="D1178" s="73"/>
      <c r="E1178" s="88"/>
      <c r="F1178" s="73"/>
      <c r="G1178" s="394"/>
      <c r="H1178" s="77"/>
      <c r="I1178" s="88"/>
      <c r="J1178" s="393">
        <v>44385.0</v>
      </c>
      <c r="K1178" s="393">
        <f t="shared" si="7"/>
        <v>44386</v>
      </c>
      <c r="L1178" s="394" t="str">
        <f>IFERROR(__xludf.DUMMYFUNCTION("JOIN("""", G1178:H1178)"),"")</f>
        <v/>
      </c>
      <c r="M1178" s="80" t="str">
        <f t="shared" si="2"/>
        <v/>
      </c>
    </row>
    <row r="1179">
      <c r="A1179" s="86"/>
      <c r="B1179" s="73"/>
      <c r="C1179" s="73"/>
      <c r="D1179" s="73"/>
      <c r="E1179" s="88"/>
      <c r="F1179" s="73"/>
      <c r="G1179" s="394"/>
      <c r="H1179" s="77"/>
      <c r="I1179" s="88"/>
      <c r="J1179" s="393">
        <v>44385.0</v>
      </c>
      <c r="K1179" s="393">
        <f t="shared" si="7"/>
        <v>44386</v>
      </c>
      <c r="L1179" s="394" t="str">
        <f>IFERROR(__xludf.DUMMYFUNCTION("JOIN("""", G1179:H1179)"),"")</f>
        <v/>
      </c>
      <c r="M1179" s="80" t="str">
        <f t="shared" si="2"/>
        <v/>
      </c>
    </row>
    <row r="1180">
      <c r="A1180" s="86"/>
      <c r="B1180" s="73"/>
      <c r="C1180" s="73"/>
      <c r="D1180" s="73"/>
      <c r="E1180" s="88"/>
      <c r="F1180" s="73"/>
      <c r="G1180" s="394"/>
      <c r="H1180" s="77"/>
      <c r="I1180" s="88"/>
      <c r="J1180" s="393">
        <v>44385.0</v>
      </c>
      <c r="K1180" s="393">
        <f t="shared" si="7"/>
        <v>44386</v>
      </c>
      <c r="L1180" s="394" t="str">
        <f>IFERROR(__xludf.DUMMYFUNCTION("JOIN("""", G1180:H1180)"),"")</f>
        <v/>
      </c>
      <c r="M1180" s="80" t="str">
        <f t="shared" si="2"/>
        <v/>
      </c>
    </row>
    <row r="1181">
      <c r="A1181" s="86"/>
      <c r="B1181" s="73"/>
      <c r="C1181" s="73"/>
      <c r="D1181" s="73"/>
      <c r="E1181" s="88"/>
      <c r="F1181" s="73"/>
      <c r="G1181" s="394"/>
      <c r="H1181" s="77"/>
      <c r="I1181" s="88"/>
      <c r="J1181" s="393">
        <v>44385.0</v>
      </c>
      <c r="K1181" s="393">
        <f t="shared" si="7"/>
        <v>44386</v>
      </c>
      <c r="L1181" s="394" t="str">
        <f>IFERROR(__xludf.DUMMYFUNCTION("JOIN("""", G1181:H1181)"),"")</f>
        <v/>
      </c>
      <c r="M1181" s="80" t="str">
        <f t="shared" si="2"/>
        <v/>
      </c>
    </row>
    <row r="1182">
      <c r="A1182" s="86"/>
      <c r="B1182" s="73"/>
      <c r="C1182" s="73"/>
      <c r="D1182" s="73"/>
      <c r="E1182" s="88"/>
      <c r="F1182" s="73"/>
      <c r="G1182" s="394"/>
      <c r="H1182" s="77"/>
      <c r="I1182" s="88"/>
      <c r="J1182" s="393">
        <v>44385.0</v>
      </c>
      <c r="K1182" s="393">
        <f t="shared" si="7"/>
        <v>44386</v>
      </c>
      <c r="L1182" s="394" t="str">
        <f>IFERROR(__xludf.DUMMYFUNCTION("JOIN("""", G1182:H1182)"),"")</f>
        <v/>
      </c>
      <c r="M1182" s="80" t="str">
        <f t="shared" si="2"/>
        <v/>
      </c>
    </row>
    <row r="1183">
      <c r="A1183" s="86"/>
      <c r="B1183" s="73"/>
      <c r="C1183" s="73"/>
      <c r="D1183" s="73"/>
      <c r="E1183" s="88"/>
      <c r="F1183" s="73"/>
      <c r="G1183" s="394"/>
      <c r="H1183" s="77"/>
      <c r="I1183" s="88"/>
      <c r="J1183" s="393">
        <v>44385.0</v>
      </c>
      <c r="K1183" s="393">
        <f t="shared" si="7"/>
        <v>44386</v>
      </c>
      <c r="L1183" s="394" t="str">
        <f>IFERROR(__xludf.DUMMYFUNCTION("JOIN("""", G1183:H1183)"),"")</f>
        <v/>
      </c>
      <c r="M1183" s="80" t="str">
        <f t="shared" si="2"/>
        <v/>
      </c>
    </row>
    <row r="1184">
      <c r="A1184" s="86"/>
      <c r="B1184" s="73"/>
      <c r="C1184" s="73"/>
      <c r="D1184" s="73"/>
      <c r="E1184" s="88"/>
      <c r="F1184" s="73"/>
      <c r="G1184" s="394"/>
      <c r="H1184" s="77"/>
      <c r="I1184" s="88"/>
      <c r="J1184" s="393">
        <v>44385.0</v>
      </c>
      <c r="K1184" s="393">
        <f t="shared" si="7"/>
        <v>44386</v>
      </c>
      <c r="L1184" s="394" t="str">
        <f>IFERROR(__xludf.DUMMYFUNCTION("JOIN("""", G1184:H1184)"),"")</f>
        <v/>
      </c>
      <c r="M1184" s="80" t="str">
        <f t="shared" si="2"/>
        <v/>
      </c>
    </row>
    <row r="1185">
      <c r="A1185" s="86"/>
      <c r="B1185" s="73"/>
      <c r="C1185" s="73"/>
      <c r="D1185" s="73"/>
      <c r="E1185" s="88"/>
      <c r="F1185" s="73"/>
      <c r="G1185" s="394"/>
      <c r="H1185" s="77"/>
      <c r="I1185" s="88"/>
      <c r="J1185" s="393">
        <v>44385.0</v>
      </c>
      <c r="K1185" s="393">
        <f t="shared" si="7"/>
        <v>44386</v>
      </c>
      <c r="L1185" s="394" t="str">
        <f>IFERROR(__xludf.DUMMYFUNCTION("JOIN("""", G1185:H1185)"),"")</f>
        <v/>
      </c>
      <c r="M1185" s="80" t="str">
        <f t="shared" si="2"/>
        <v/>
      </c>
    </row>
    <row r="1186">
      <c r="A1186" s="86"/>
      <c r="B1186" s="73"/>
      <c r="C1186" s="73"/>
      <c r="D1186" s="73"/>
      <c r="E1186" s="88"/>
      <c r="F1186" s="73"/>
      <c r="G1186" s="394"/>
      <c r="H1186" s="77"/>
      <c r="I1186" s="88"/>
      <c r="J1186" s="393">
        <v>44385.0</v>
      </c>
      <c r="K1186" s="393">
        <f t="shared" si="7"/>
        <v>44386</v>
      </c>
      <c r="L1186" s="394" t="str">
        <f>IFERROR(__xludf.DUMMYFUNCTION("JOIN("""", G1186:H1186)"),"")</f>
        <v/>
      </c>
      <c r="M1186" s="80" t="str">
        <f t="shared" si="2"/>
        <v/>
      </c>
    </row>
    <row r="1187">
      <c r="A1187" s="86"/>
      <c r="B1187" s="73"/>
      <c r="C1187" s="73"/>
      <c r="D1187" s="73"/>
      <c r="E1187" s="88"/>
      <c r="F1187" s="73"/>
      <c r="G1187" s="394"/>
      <c r="H1187" s="77"/>
      <c r="I1187" s="88"/>
      <c r="J1187" s="393">
        <v>44385.0</v>
      </c>
      <c r="K1187" s="393">
        <f t="shared" si="7"/>
        <v>44386</v>
      </c>
      <c r="L1187" s="394" t="str">
        <f>IFERROR(__xludf.DUMMYFUNCTION("JOIN("""", G1187:H1187)"),"")</f>
        <v/>
      </c>
      <c r="M1187" s="80" t="str">
        <f t="shared" si="2"/>
        <v/>
      </c>
    </row>
    <row r="1188">
      <c r="A1188" s="86"/>
      <c r="B1188" s="73"/>
      <c r="C1188" s="73"/>
      <c r="D1188" s="73"/>
      <c r="E1188" s="88"/>
      <c r="F1188" s="73"/>
      <c r="G1188" s="394"/>
      <c r="H1188" s="77"/>
      <c r="I1188" s="88"/>
      <c r="J1188" s="393">
        <v>44385.0</v>
      </c>
      <c r="K1188" s="393">
        <f t="shared" si="7"/>
        <v>44386</v>
      </c>
      <c r="L1188" s="394" t="str">
        <f>IFERROR(__xludf.DUMMYFUNCTION("JOIN("""", G1188:H1188)"),"")</f>
        <v/>
      </c>
      <c r="M1188" s="80" t="str">
        <f t="shared" si="2"/>
        <v/>
      </c>
    </row>
    <row r="1189">
      <c r="A1189" s="86"/>
      <c r="B1189" s="73"/>
      <c r="C1189" s="73"/>
      <c r="D1189" s="73"/>
      <c r="E1189" s="88"/>
      <c r="F1189" s="73"/>
      <c r="G1189" s="394"/>
      <c r="H1189" s="77"/>
      <c r="I1189" s="88"/>
      <c r="J1189" s="393">
        <v>44385.0</v>
      </c>
      <c r="K1189" s="393">
        <f t="shared" si="7"/>
        <v>44386</v>
      </c>
      <c r="L1189" s="394" t="str">
        <f>IFERROR(__xludf.DUMMYFUNCTION("JOIN("""", G1189:H1189)"),"")</f>
        <v/>
      </c>
      <c r="M1189" s="80" t="str">
        <f t="shared" si="2"/>
        <v/>
      </c>
    </row>
    <row r="1190">
      <c r="A1190" s="86"/>
      <c r="B1190" s="73"/>
      <c r="C1190" s="73"/>
      <c r="D1190" s="73"/>
      <c r="E1190" s="88"/>
      <c r="F1190" s="73"/>
      <c r="G1190" s="394"/>
      <c r="H1190" s="77"/>
      <c r="I1190" s="88"/>
      <c r="J1190" s="393">
        <v>44385.0</v>
      </c>
      <c r="K1190" s="393">
        <f t="shared" si="7"/>
        <v>44386</v>
      </c>
      <c r="L1190" s="394" t="str">
        <f>IFERROR(__xludf.DUMMYFUNCTION("JOIN("""", G1190:H1190)"),"")</f>
        <v/>
      </c>
      <c r="M1190" s="80" t="str">
        <f t="shared" si="2"/>
        <v/>
      </c>
    </row>
    <row r="1191">
      <c r="A1191" s="86"/>
      <c r="B1191" s="73"/>
      <c r="C1191" s="73"/>
      <c r="D1191" s="73"/>
      <c r="E1191" s="88"/>
      <c r="F1191" s="73"/>
      <c r="G1191" s="394"/>
      <c r="H1191" s="77"/>
      <c r="I1191" s="88"/>
      <c r="J1191" s="393">
        <v>44385.0</v>
      </c>
      <c r="K1191" s="393">
        <f t="shared" si="7"/>
        <v>44386</v>
      </c>
      <c r="L1191" s="394" t="str">
        <f>IFERROR(__xludf.DUMMYFUNCTION("JOIN("""", G1191:H1191)"),"")</f>
        <v/>
      </c>
      <c r="M1191" s="80" t="str">
        <f t="shared" si="2"/>
        <v/>
      </c>
    </row>
    <row r="1192">
      <c r="A1192" s="86"/>
      <c r="B1192" s="73"/>
      <c r="C1192" s="73"/>
      <c r="D1192" s="73"/>
      <c r="E1192" s="88"/>
      <c r="F1192" s="73"/>
      <c r="G1192" s="394"/>
      <c r="H1192" s="77"/>
      <c r="I1192" s="88"/>
      <c r="J1192" s="393">
        <v>44385.0</v>
      </c>
      <c r="K1192" s="393">
        <f t="shared" si="7"/>
        <v>44386</v>
      </c>
      <c r="L1192" s="394" t="str">
        <f>IFERROR(__xludf.DUMMYFUNCTION("JOIN("""", G1192:H1192)"),"")</f>
        <v/>
      </c>
      <c r="M1192" s="80" t="str">
        <f t="shared" si="2"/>
        <v/>
      </c>
    </row>
    <row r="1193">
      <c r="A1193" s="86"/>
      <c r="B1193" s="73"/>
      <c r="C1193" s="73"/>
      <c r="D1193" s="73"/>
      <c r="E1193" s="88"/>
      <c r="F1193" s="73"/>
      <c r="G1193" s="394"/>
      <c r="H1193" s="77"/>
      <c r="I1193" s="88"/>
      <c r="J1193" s="393">
        <v>44385.0</v>
      </c>
      <c r="K1193" s="393">
        <f t="shared" si="7"/>
        <v>44386</v>
      </c>
      <c r="L1193" s="394" t="str">
        <f>IFERROR(__xludf.DUMMYFUNCTION("JOIN("""", G1193:H1193)"),"")</f>
        <v/>
      </c>
      <c r="M1193" s="80" t="str">
        <f t="shared" si="2"/>
        <v/>
      </c>
    </row>
    <row r="1194">
      <c r="A1194" s="86"/>
      <c r="B1194" s="73"/>
      <c r="C1194" s="73"/>
      <c r="D1194" s="73"/>
      <c r="E1194" s="88"/>
      <c r="F1194" s="73"/>
      <c r="G1194" s="394"/>
      <c r="H1194" s="77"/>
      <c r="I1194" s="88"/>
      <c r="J1194" s="393">
        <v>0.0</v>
      </c>
      <c r="K1194" s="393">
        <f t="shared" si="7"/>
        <v>1</v>
      </c>
      <c r="L1194" s="394" t="str">
        <f>IFERROR(__xludf.DUMMYFUNCTION("JOIN("""", G1194:H1194)"),"")</f>
        <v/>
      </c>
      <c r="M1194" s="80" t="str">
        <f t="shared" si="2"/>
        <v/>
      </c>
    </row>
    <row r="1195">
      <c r="A1195" s="86"/>
      <c r="B1195" s="73"/>
      <c r="C1195" s="73"/>
      <c r="D1195" s="73"/>
      <c r="E1195" s="88"/>
      <c r="F1195" s="73"/>
      <c r="G1195" s="394"/>
      <c r="H1195" s="77"/>
      <c r="I1195" s="88"/>
      <c r="J1195" s="393">
        <v>44386.0</v>
      </c>
      <c r="K1195" s="393">
        <f t="shared" si="7"/>
        <v>44387</v>
      </c>
      <c r="L1195" s="394" t="str">
        <f>IFERROR(__xludf.DUMMYFUNCTION("JOIN("""", G1195:H1195)"),"")</f>
        <v/>
      </c>
      <c r="M1195" s="80" t="str">
        <f t="shared" si="2"/>
        <v/>
      </c>
    </row>
    <row r="1196">
      <c r="A1196" s="86"/>
      <c r="B1196" s="73"/>
      <c r="C1196" s="73"/>
      <c r="D1196" s="73"/>
      <c r="E1196" s="88"/>
      <c r="F1196" s="73"/>
      <c r="G1196" s="394"/>
      <c r="H1196" s="77"/>
      <c r="I1196" s="88"/>
      <c r="J1196" s="393">
        <v>44386.0</v>
      </c>
      <c r="K1196" s="393">
        <f t="shared" si="7"/>
        <v>44387</v>
      </c>
      <c r="L1196" s="394" t="str">
        <f>IFERROR(__xludf.DUMMYFUNCTION("JOIN("""", G1196:H1196)"),"")</f>
        <v/>
      </c>
      <c r="M1196" s="80" t="str">
        <f t="shared" si="2"/>
        <v/>
      </c>
    </row>
    <row r="1197">
      <c r="A1197" s="86"/>
      <c r="B1197" s="73"/>
      <c r="C1197" s="73"/>
      <c r="D1197" s="73"/>
      <c r="E1197" s="88"/>
      <c r="F1197" s="73"/>
      <c r="G1197" s="394"/>
      <c r="H1197" s="77"/>
      <c r="I1197" s="88"/>
      <c r="J1197" s="393">
        <v>44386.0</v>
      </c>
      <c r="K1197" s="393">
        <f t="shared" si="7"/>
        <v>44387</v>
      </c>
      <c r="L1197" s="394" t="str">
        <f>IFERROR(__xludf.DUMMYFUNCTION("JOIN("""", G1197:H1197)"),"")</f>
        <v/>
      </c>
      <c r="M1197" s="80" t="str">
        <f t="shared" si="2"/>
        <v/>
      </c>
    </row>
    <row r="1198">
      <c r="A1198" s="86"/>
      <c r="B1198" s="73"/>
      <c r="C1198" s="73"/>
      <c r="D1198" s="73"/>
      <c r="E1198" s="88"/>
      <c r="F1198" s="73"/>
      <c r="G1198" s="394"/>
      <c r="H1198" s="77"/>
      <c r="I1198" s="88"/>
      <c r="J1198" s="393">
        <v>44386.0</v>
      </c>
      <c r="K1198" s="393">
        <f t="shared" si="7"/>
        <v>44387</v>
      </c>
      <c r="L1198" s="394" t="str">
        <f>IFERROR(__xludf.DUMMYFUNCTION("JOIN("""", G1198:H1198)"),"")</f>
        <v/>
      </c>
      <c r="M1198" s="80" t="str">
        <f t="shared" si="2"/>
        <v/>
      </c>
    </row>
    <row r="1199">
      <c r="A1199" s="86"/>
      <c r="B1199" s="73"/>
      <c r="C1199" s="73"/>
      <c r="D1199" s="73"/>
      <c r="E1199" s="88"/>
      <c r="F1199" s="73"/>
      <c r="G1199" s="394"/>
      <c r="H1199" s="77"/>
      <c r="I1199" s="88"/>
      <c r="J1199" s="393">
        <v>44386.0</v>
      </c>
      <c r="K1199" s="393">
        <f t="shared" si="7"/>
        <v>44387</v>
      </c>
      <c r="L1199" s="394" t="str">
        <f>IFERROR(__xludf.DUMMYFUNCTION("JOIN("""", G1199:H1199)"),"")</f>
        <v/>
      </c>
      <c r="M1199" s="80" t="str">
        <f t="shared" si="2"/>
        <v/>
      </c>
    </row>
    <row r="1200">
      <c r="A1200" s="86"/>
      <c r="B1200" s="73"/>
      <c r="C1200" s="73"/>
      <c r="D1200" s="73"/>
      <c r="E1200" s="88"/>
      <c r="F1200" s="73"/>
      <c r="G1200" s="394"/>
      <c r="H1200" s="77"/>
      <c r="I1200" s="88"/>
      <c r="J1200" s="393">
        <v>44386.0</v>
      </c>
      <c r="K1200" s="393">
        <f t="shared" si="7"/>
        <v>44387</v>
      </c>
      <c r="L1200" s="394" t="str">
        <f>IFERROR(__xludf.DUMMYFUNCTION("JOIN("""", G1200:H1200)"),"")</f>
        <v/>
      </c>
      <c r="M1200" s="80" t="str">
        <f t="shared" si="2"/>
        <v/>
      </c>
    </row>
    <row r="1201">
      <c r="A1201" s="86"/>
      <c r="B1201" s="73"/>
      <c r="C1201" s="73"/>
      <c r="D1201" s="73"/>
      <c r="E1201" s="88"/>
      <c r="F1201" s="73"/>
      <c r="G1201" s="394"/>
      <c r="H1201" s="77"/>
      <c r="I1201" s="88"/>
      <c r="J1201" s="393">
        <v>44386.0</v>
      </c>
      <c r="K1201" s="393">
        <f t="shared" si="7"/>
        <v>44387</v>
      </c>
      <c r="L1201" s="394" t="str">
        <f>IFERROR(__xludf.DUMMYFUNCTION("JOIN("""", G1201:H1201)"),"")</f>
        <v/>
      </c>
      <c r="M1201" s="80" t="str">
        <f t="shared" si="2"/>
        <v/>
      </c>
    </row>
    <row r="1202">
      <c r="A1202" s="86"/>
      <c r="B1202" s="73"/>
      <c r="C1202" s="73"/>
      <c r="D1202" s="73"/>
      <c r="E1202" s="88"/>
      <c r="F1202" s="73"/>
      <c r="G1202" s="394"/>
      <c r="H1202" s="77"/>
      <c r="I1202" s="88"/>
      <c r="J1202" s="393">
        <v>44386.0</v>
      </c>
      <c r="K1202" s="393">
        <f t="shared" si="7"/>
        <v>44387</v>
      </c>
      <c r="L1202" s="394" t="str">
        <f>IFERROR(__xludf.DUMMYFUNCTION("JOIN("""", G1202:H1202)"),"")</f>
        <v/>
      </c>
      <c r="M1202" s="80" t="str">
        <f t="shared" si="2"/>
        <v/>
      </c>
    </row>
    <row r="1203">
      <c r="A1203" s="86"/>
      <c r="B1203" s="73"/>
      <c r="C1203" s="73"/>
      <c r="D1203" s="73"/>
      <c r="E1203" s="88"/>
      <c r="F1203" s="73"/>
      <c r="G1203" s="394"/>
      <c r="H1203" s="77"/>
      <c r="I1203" s="88"/>
      <c r="J1203" s="393">
        <v>44386.0</v>
      </c>
      <c r="K1203" s="393">
        <f t="shared" si="7"/>
        <v>44387</v>
      </c>
      <c r="L1203" s="394" t="str">
        <f>IFERROR(__xludf.DUMMYFUNCTION("JOIN("""", G1203:H1203)"),"")</f>
        <v/>
      </c>
      <c r="M1203" s="80" t="str">
        <f t="shared" si="2"/>
        <v/>
      </c>
    </row>
    <row r="1204">
      <c r="A1204" s="86"/>
      <c r="B1204" s="73"/>
      <c r="C1204" s="73"/>
      <c r="D1204" s="73"/>
      <c r="E1204" s="88"/>
      <c r="F1204" s="73"/>
      <c r="G1204" s="394"/>
      <c r="H1204" s="77"/>
      <c r="I1204" s="88"/>
      <c r="J1204" s="393">
        <v>44387.0</v>
      </c>
      <c r="K1204" s="393">
        <f t="shared" si="7"/>
        <v>44388</v>
      </c>
      <c r="L1204" s="394" t="str">
        <f>IFERROR(__xludf.DUMMYFUNCTION("JOIN("""", G1204:H1204)"),"")</f>
        <v/>
      </c>
      <c r="M1204" s="80" t="str">
        <f t="shared" si="2"/>
        <v/>
      </c>
    </row>
    <row r="1205">
      <c r="A1205" s="86"/>
      <c r="B1205" s="73"/>
      <c r="C1205" s="73"/>
      <c r="D1205" s="73"/>
      <c r="E1205" s="88"/>
      <c r="F1205" s="73"/>
      <c r="G1205" s="394"/>
      <c r="H1205" s="77"/>
      <c r="I1205" s="88"/>
      <c r="J1205" s="393">
        <v>44387.0</v>
      </c>
      <c r="K1205" s="393">
        <f t="shared" si="7"/>
        <v>44388</v>
      </c>
      <c r="L1205" s="394" t="str">
        <f>IFERROR(__xludf.DUMMYFUNCTION("JOIN("""", G1205:H1205)"),"")</f>
        <v/>
      </c>
      <c r="M1205" s="80" t="str">
        <f t="shared" si="2"/>
        <v/>
      </c>
    </row>
    <row r="1206">
      <c r="A1206" s="86"/>
      <c r="B1206" s="73"/>
      <c r="C1206" s="73"/>
      <c r="D1206" s="73"/>
      <c r="E1206" s="88"/>
      <c r="F1206" s="73"/>
      <c r="G1206" s="394"/>
      <c r="H1206" s="77"/>
      <c r="I1206" s="88"/>
      <c r="J1206" s="393">
        <v>44387.0</v>
      </c>
      <c r="K1206" s="393">
        <f t="shared" si="7"/>
        <v>44388</v>
      </c>
      <c r="L1206" s="394" t="str">
        <f>IFERROR(__xludf.DUMMYFUNCTION("JOIN("""", G1206:H1206)"),"")</f>
        <v/>
      </c>
      <c r="M1206" s="80" t="str">
        <f t="shared" si="2"/>
        <v/>
      </c>
    </row>
    <row r="1207">
      <c r="A1207" s="86"/>
      <c r="B1207" s="73"/>
      <c r="C1207" s="73"/>
      <c r="D1207" s="73"/>
      <c r="E1207" s="88"/>
      <c r="F1207" s="73"/>
      <c r="G1207" s="394"/>
      <c r="H1207" s="77"/>
      <c r="I1207" s="88"/>
      <c r="J1207" s="393">
        <v>44403.0</v>
      </c>
      <c r="K1207" s="393">
        <f t="shared" si="7"/>
        <v>44404</v>
      </c>
      <c r="L1207" s="394" t="str">
        <f>IFERROR(__xludf.DUMMYFUNCTION("JOIN("""", G1207:H1207)"),"")</f>
        <v/>
      </c>
      <c r="M1207" s="80" t="str">
        <f t="shared" si="2"/>
        <v/>
      </c>
    </row>
    <row r="1208">
      <c r="A1208" s="86"/>
      <c r="B1208" s="73"/>
      <c r="C1208" s="73"/>
      <c r="D1208" s="73"/>
      <c r="E1208" s="88"/>
      <c r="F1208" s="73"/>
      <c r="G1208" s="394"/>
      <c r="H1208" s="77"/>
      <c r="I1208" s="88"/>
      <c r="J1208" s="393">
        <v>44387.0</v>
      </c>
      <c r="K1208" s="393">
        <f t="shared" si="7"/>
        <v>44388</v>
      </c>
      <c r="L1208" s="394" t="str">
        <f>IFERROR(__xludf.DUMMYFUNCTION("JOIN("""", G1208:H1208)"),"")</f>
        <v/>
      </c>
      <c r="M1208" s="80" t="str">
        <f t="shared" si="2"/>
        <v/>
      </c>
    </row>
    <row r="1209">
      <c r="A1209" s="86"/>
      <c r="B1209" s="73"/>
      <c r="C1209" s="73"/>
      <c r="D1209" s="73"/>
      <c r="E1209" s="88"/>
      <c r="F1209" s="73"/>
      <c r="G1209" s="394"/>
      <c r="H1209" s="77"/>
      <c r="I1209" s="88"/>
      <c r="J1209" s="393">
        <v>44387.0</v>
      </c>
      <c r="K1209" s="393">
        <f t="shared" si="7"/>
        <v>44388</v>
      </c>
      <c r="L1209" s="394" t="str">
        <f>IFERROR(__xludf.DUMMYFUNCTION("JOIN("""", G1209:H1209)"),"")</f>
        <v/>
      </c>
      <c r="M1209" s="80" t="str">
        <f t="shared" si="2"/>
        <v/>
      </c>
    </row>
    <row r="1210">
      <c r="A1210" s="86"/>
      <c r="B1210" s="73"/>
      <c r="C1210" s="73"/>
      <c r="D1210" s="73"/>
      <c r="E1210" s="88"/>
      <c r="F1210" s="73"/>
      <c r="G1210" s="394"/>
      <c r="H1210" s="77"/>
      <c r="I1210" s="88"/>
      <c r="J1210" s="393">
        <v>44389.0</v>
      </c>
      <c r="K1210" s="393">
        <f t="shared" si="7"/>
        <v>44390</v>
      </c>
      <c r="L1210" s="394" t="str">
        <f>IFERROR(__xludf.DUMMYFUNCTION("JOIN("""", G1210:H1210)"),"")</f>
        <v/>
      </c>
      <c r="M1210" s="80" t="str">
        <f t="shared" si="2"/>
        <v/>
      </c>
    </row>
    <row r="1211">
      <c r="A1211" s="86"/>
      <c r="B1211" s="73"/>
      <c r="C1211" s="73"/>
      <c r="D1211" s="73"/>
      <c r="E1211" s="88"/>
      <c r="F1211" s="73"/>
      <c r="G1211" s="394"/>
      <c r="H1211" s="77"/>
      <c r="I1211" s="88"/>
      <c r="J1211" s="393">
        <v>44389.0</v>
      </c>
      <c r="K1211" s="393">
        <f t="shared" si="7"/>
        <v>44390</v>
      </c>
      <c r="L1211" s="394" t="str">
        <f>IFERROR(__xludf.DUMMYFUNCTION("JOIN("""", G1211:H1211)"),"")</f>
        <v/>
      </c>
      <c r="M1211" s="80" t="str">
        <f t="shared" si="2"/>
        <v/>
      </c>
    </row>
    <row r="1212">
      <c r="A1212" s="86"/>
      <c r="B1212" s="73"/>
      <c r="C1212" s="73"/>
      <c r="D1212" s="73"/>
      <c r="E1212" s="88"/>
      <c r="F1212" s="73"/>
      <c r="G1212" s="394"/>
      <c r="H1212" s="77"/>
      <c r="I1212" s="88"/>
      <c r="J1212" s="393">
        <v>44389.0</v>
      </c>
      <c r="K1212" s="393">
        <f t="shared" si="7"/>
        <v>44390</v>
      </c>
      <c r="L1212" s="394" t="str">
        <f>IFERROR(__xludf.DUMMYFUNCTION("JOIN("""", G1212:H1212)"),"")</f>
        <v/>
      </c>
      <c r="M1212" s="80" t="str">
        <f t="shared" si="2"/>
        <v/>
      </c>
    </row>
    <row r="1213">
      <c r="A1213" s="86"/>
      <c r="B1213" s="73"/>
      <c r="C1213" s="73"/>
      <c r="D1213" s="73"/>
      <c r="E1213" s="88"/>
      <c r="F1213" s="73"/>
      <c r="G1213" s="394"/>
      <c r="H1213" s="77"/>
      <c r="I1213" s="88"/>
      <c r="J1213" s="393">
        <v>44452.0</v>
      </c>
      <c r="K1213" s="393">
        <f t="shared" si="7"/>
        <v>44453</v>
      </c>
      <c r="L1213" s="394" t="str">
        <f>IFERROR(__xludf.DUMMYFUNCTION("JOIN("""", G1213:H1213)"),"")</f>
        <v/>
      </c>
      <c r="M1213" s="80" t="str">
        <f t="shared" si="2"/>
        <v/>
      </c>
    </row>
    <row r="1214">
      <c r="A1214" s="86"/>
      <c r="B1214" s="73"/>
      <c r="C1214" s="73"/>
      <c r="D1214" s="73"/>
      <c r="E1214" s="88"/>
      <c r="F1214" s="73"/>
      <c r="G1214" s="394"/>
      <c r="H1214" s="77"/>
      <c r="I1214" s="88"/>
      <c r="J1214" s="393">
        <v>44389.0</v>
      </c>
      <c r="K1214" s="393">
        <f t="shared" si="7"/>
        <v>44390</v>
      </c>
      <c r="L1214" s="394" t="str">
        <f>IFERROR(__xludf.DUMMYFUNCTION("JOIN("""", G1214:H1214)"),"")</f>
        <v/>
      </c>
      <c r="M1214" s="80" t="str">
        <f t="shared" si="2"/>
        <v/>
      </c>
    </row>
    <row r="1215">
      <c r="A1215" s="86"/>
      <c r="B1215" s="73"/>
      <c r="C1215" s="73"/>
      <c r="D1215" s="73"/>
      <c r="E1215" s="88"/>
      <c r="F1215" s="73"/>
      <c r="G1215" s="394"/>
      <c r="H1215" s="77"/>
      <c r="I1215" s="88"/>
      <c r="J1215" s="393">
        <v>44389.0</v>
      </c>
      <c r="K1215" s="393">
        <f t="shared" si="7"/>
        <v>44390</v>
      </c>
      <c r="L1215" s="394" t="str">
        <f>IFERROR(__xludf.DUMMYFUNCTION("JOIN("""", G1215:H1215)"),"")</f>
        <v/>
      </c>
      <c r="M1215" s="80" t="str">
        <f t="shared" si="2"/>
        <v/>
      </c>
    </row>
    <row r="1216">
      <c r="A1216" s="86"/>
      <c r="B1216" s="73"/>
      <c r="C1216" s="73"/>
      <c r="D1216" s="73"/>
      <c r="E1216" s="88"/>
      <c r="F1216" s="73"/>
      <c r="G1216" s="394"/>
      <c r="H1216" s="77"/>
      <c r="I1216" s="88"/>
      <c r="J1216" s="393">
        <v>44389.0</v>
      </c>
      <c r="K1216" s="393">
        <f t="shared" si="7"/>
        <v>44390</v>
      </c>
      <c r="L1216" s="394" t="str">
        <f>IFERROR(__xludf.DUMMYFUNCTION("JOIN("""", G1216:H1216)"),"")</f>
        <v/>
      </c>
      <c r="M1216" s="80" t="str">
        <f t="shared" si="2"/>
        <v/>
      </c>
    </row>
    <row r="1217">
      <c r="A1217" s="86"/>
      <c r="B1217" s="73"/>
      <c r="C1217" s="73"/>
      <c r="D1217" s="73"/>
      <c r="E1217" s="88"/>
      <c r="F1217" s="73"/>
      <c r="G1217" s="394"/>
      <c r="H1217" s="77"/>
      <c r="I1217" s="88"/>
      <c r="J1217" s="393">
        <v>44391.0</v>
      </c>
      <c r="K1217" s="393">
        <f t="shared" si="7"/>
        <v>44392</v>
      </c>
      <c r="L1217" s="394" t="str">
        <f>IFERROR(__xludf.DUMMYFUNCTION("JOIN("""", G1217:H1217)"),"")</f>
        <v/>
      </c>
      <c r="M1217" s="80" t="str">
        <f t="shared" si="2"/>
        <v/>
      </c>
    </row>
    <row r="1218">
      <c r="A1218" s="86"/>
      <c r="B1218" s="73"/>
      <c r="C1218" s="73"/>
      <c r="D1218" s="73"/>
      <c r="E1218" s="88"/>
      <c r="F1218" s="73"/>
      <c r="G1218" s="394"/>
      <c r="H1218" s="77"/>
      <c r="I1218" s="88"/>
      <c r="J1218" s="401">
        <v>44389.0</v>
      </c>
      <c r="K1218" s="393">
        <f t="shared" si="7"/>
        <v>44390</v>
      </c>
      <c r="L1218" s="394" t="str">
        <f>IFERROR(__xludf.DUMMYFUNCTION("JOIN("""", G1218:H1218)"),"")</f>
        <v/>
      </c>
      <c r="M1218" s="80" t="str">
        <f t="shared" si="2"/>
        <v/>
      </c>
    </row>
    <row r="1219">
      <c r="A1219" s="86"/>
      <c r="B1219" s="73"/>
      <c r="C1219" s="73"/>
      <c r="D1219" s="73"/>
      <c r="E1219" s="88"/>
      <c r="F1219" s="73"/>
      <c r="G1219" s="394"/>
      <c r="H1219" s="77"/>
      <c r="I1219" s="88"/>
      <c r="J1219" s="393">
        <v>44390.0</v>
      </c>
      <c r="K1219" s="393">
        <f t="shared" si="7"/>
        <v>44391</v>
      </c>
      <c r="L1219" s="394" t="str">
        <f>IFERROR(__xludf.DUMMYFUNCTION("JOIN("""", G1219:H1219)"),"")</f>
        <v/>
      </c>
      <c r="M1219" s="80" t="str">
        <f t="shared" si="2"/>
        <v/>
      </c>
    </row>
    <row r="1220">
      <c r="A1220" s="86"/>
      <c r="B1220" s="73"/>
      <c r="C1220" s="73"/>
      <c r="D1220" s="73"/>
      <c r="E1220" s="88"/>
      <c r="F1220" s="73"/>
      <c r="G1220" s="394"/>
      <c r="H1220" s="77"/>
      <c r="I1220" s="88"/>
      <c r="J1220" s="393">
        <v>44390.0</v>
      </c>
      <c r="K1220" s="393">
        <f t="shared" si="7"/>
        <v>44391</v>
      </c>
      <c r="L1220" s="394" t="str">
        <f>IFERROR(__xludf.DUMMYFUNCTION("JOIN("""", G1220:H1220)"),"")</f>
        <v/>
      </c>
      <c r="M1220" s="80" t="str">
        <f t="shared" si="2"/>
        <v/>
      </c>
    </row>
    <row r="1221">
      <c r="A1221" s="86"/>
      <c r="B1221" s="73"/>
      <c r="C1221" s="73"/>
      <c r="D1221" s="73"/>
      <c r="E1221" s="88"/>
      <c r="F1221" s="73"/>
      <c r="G1221" s="394"/>
      <c r="H1221" s="77"/>
      <c r="I1221" s="88"/>
      <c r="J1221" s="393">
        <v>44390.0</v>
      </c>
      <c r="K1221" s="393">
        <f t="shared" si="7"/>
        <v>44391</v>
      </c>
      <c r="L1221" s="394" t="str">
        <f>IFERROR(__xludf.DUMMYFUNCTION("JOIN("""", G1221:H1221)"),"")</f>
        <v/>
      </c>
      <c r="M1221" s="80" t="str">
        <f t="shared" si="2"/>
        <v/>
      </c>
    </row>
    <row r="1222">
      <c r="A1222" s="86"/>
      <c r="B1222" s="73"/>
      <c r="C1222" s="73"/>
      <c r="D1222" s="73"/>
      <c r="E1222" s="88"/>
      <c r="F1222" s="73"/>
      <c r="G1222" s="394"/>
      <c r="H1222" s="77"/>
      <c r="I1222" s="88"/>
      <c r="J1222" s="393">
        <v>44402.0</v>
      </c>
      <c r="K1222" s="393">
        <f t="shared" si="7"/>
        <v>44403</v>
      </c>
      <c r="L1222" s="394" t="str">
        <f>IFERROR(__xludf.DUMMYFUNCTION("JOIN("""", G1222:H1222)"),"")</f>
        <v/>
      </c>
      <c r="M1222" s="80" t="str">
        <f t="shared" si="2"/>
        <v/>
      </c>
    </row>
    <row r="1223">
      <c r="A1223" s="86"/>
      <c r="B1223" s="73"/>
      <c r="C1223" s="73"/>
      <c r="D1223" s="73"/>
      <c r="E1223" s="88"/>
      <c r="F1223" s="73"/>
      <c r="G1223" s="394"/>
      <c r="H1223" s="77"/>
      <c r="I1223" s="88"/>
      <c r="J1223" s="393">
        <v>44390.0</v>
      </c>
      <c r="K1223" s="393">
        <f t="shared" si="7"/>
        <v>44391</v>
      </c>
      <c r="L1223" s="394" t="str">
        <f>IFERROR(__xludf.DUMMYFUNCTION("JOIN("""", G1223:H1223)"),"")</f>
        <v/>
      </c>
      <c r="M1223" s="80" t="str">
        <f t="shared" si="2"/>
        <v/>
      </c>
    </row>
    <row r="1224">
      <c r="A1224" s="86"/>
      <c r="B1224" s="73"/>
      <c r="C1224" s="73"/>
      <c r="D1224" s="73"/>
      <c r="E1224" s="88"/>
      <c r="F1224" s="73"/>
      <c r="G1224" s="394"/>
      <c r="H1224" s="77"/>
      <c r="I1224" s="88"/>
      <c r="J1224" s="393">
        <v>44390.0</v>
      </c>
      <c r="K1224" s="393">
        <f t="shared" si="7"/>
        <v>44391</v>
      </c>
      <c r="L1224" s="394" t="str">
        <f>IFERROR(__xludf.DUMMYFUNCTION("JOIN("""", G1224:H1224)"),"")</f>
        <v/>
      </c>
      <c r="M1224" s="80" t="str">
        <f t="shared" si="2"/>
        <v/>
      </c>
    </row>
    <row r="1225">
      <c r="A1225" s="86"/>
      <c r="B1225" s="73"/>
      <c r="C1225" s="73"/>
      <c r="D1225" s="73"/>
      <c r="E1225" s="88"/>
      <c r="F1225" s="73"/>
      <c r="G1225" s="394"/>
      <c r="H1225" s="77"/>
      <c r="I1225" s="88"/>
      <c r="J1225" s="393">
        <v>44390.0</v>
      </c>
      <c r="K1225" s="393">
        <f t="shared" si="7"/>
        <v>44391</v>
      </c>
      <c r="L1225" s="394" t="str">
        <f>IFERROR(__xludf.DUMMYFUNCTION("JOIN("""", G1225:H1225)"),"")</f>
        <v/>
      </c>
      <c r="M1225" s="80" t="str">
        <f t="shared" si="2"/>
        <v/>
      </c>
    </row>
    <row r="1226">
      <c r="A1226" s="86"/>
      <c r="B1226" s="73"/>
      <c r="C1226" s="73"/>
      <c r="D1226" s="73"/>
      <c r="E1226" s="88"/>
      <c r="F1226" s="73"/>
      <c r="G1226" s="394"/>
      <c r="H1226" s="77"/>
      <c r="I1226" s="88"/>
      <c r="J1226" s="393">
        <v>44390.0</v>
      </c>
      <c r="K1226" s="393">
        <f t="shared" si="7"/>
        <v>44391</v>
      </c>
      <c r="L1226" s="394" t="str">
        <f>IFERROR(__xludf.DUMMYFUNCTION("JOIN("""", G1226:H1226)"),"")</f>
        <v/>
      </c>
      <c r="M1226" s="80" t="str">
        <f t="shared" si="2"/>
        <v/>
      </c>
    </row>
    <row r="1227">
      <c r="A1227" s="86"/>
      <c r="B1227" s="73"/>
      <c r="C1227" s="73"/>
      <c r="D1227" s="73"/>
      <c r="E1227" s="88"/>
      <c r="F1227" s="73"/>
      <c r="G1227" s="394"/>
      <c r="H1227" s="77"/>
      <c r="I1227" s="88"/>
      <c r="J1227" s="393">
        <v>44391.0</v>
      </c>
      <c r="K1227" s="393">
        <f t="shared" si="7"/>
        <v>44392</v>
      </c>
      <c r="L1227" s="394" t="str">
        <f>IFERROR(__xludf.DUMMYFUNCTION("JOIN("""", G1227:H1227)"),"")</f>
        <v/>
      </c>
      <c r="M1227" s="80" t="str">
        <f t="shared" si="2"/>
        <v/>
      </c>
    </row>
    <row r="1228">
      <c r="A1228" s="86"/>
      <c r="B1228" s="73"/>
      <c r="C1228" s="73"/>
      <c r="D1228" s="73"/>
      <c r="E1228" s="88"/>
      <c r="F1228" s="73"/>
      <c r="G1228" s="394"/>
      <c r="H1228" s="77"/>
      <c r="I1228" s="88"/>
      <c r="J1228" s="393">
        <v>44391.0</v>
      </c>
      <c r="K1228" s="393">
        <f t="shared" si="7"/>
        <v>44392</v>
      </c>
      <c r="L1228" s="394" t="str">
        <f>IFERROR(__xludf.DUMMYFUNCTION("JOIN("""", G1228:H1228)"),"")</f>
        <v/>
      </c>
      <c r="M1228" s="80" t="str">
        <f t="shared" si="2"/>
        <v/>
      </c>
    </row>
    <row r="1229">
      <c r="A1229" s="86"/>
      <c r="B1229" s="73"/>
      <c r="C1229" s="73"/>
      <c r="D1229" s="73"/>
      <c r="E1229" s="88"/>
      <c r="F1229" s="73"/>
      <c r="G1229" s="394"/>
      <c r="H1229" s="77"/>
      <c r="I1229" s="88"/>
      <c r="J1229" s="393">
        <v>44391.0</v>
      </c>
      <c r="K1229" s="393">
        <f t="shared" si="7"/>
        <v>44392</v>
      </c>
      <c r="L1229" s="394" t="str">
        <f>IFERROR(__xludf.DUMMYFUNCTION("JOIN("""", G1229:H1229)"),"")</f>
        <v/>
      </c>
      <c r="M1229" s="80" t="str">
        <f t="shared" si="2"/>
        <v/>
      </c>
    </row>
    <row r="1230">
      <c r="A1230" s="86"/>
      <c r="B1230" s="73"/>
      <c r="C1230" s="73"/>
      <c r="D1230" s="73"/>
      <c r="E1230" s="88"/>
      <c r="F1230" s="73"/>
      <c r="G1230" s="394"/>
      <c r="H1230" s="77"/>
      <c r="I1230" s="88"/>
      <c r="J1230" s="393">
        <v>44391.0</v>
      </c>
      <c r="K1230" s="393">
        <f t="shared" si="7"/>
        <v>44392</v>
      </c>
      <c r="L1230" s="394" t="str">
        <f>IFERROR(__xludf.DUMMYFUNCTION("JOIN("""", G1230:H1230)"),"")</f>
        <v/>
      </c>
      <c r="M1230" s="80" t="str">
        <f t="shared" si="2"/>
        <v/>
      </c>
    </row>
    <row r="1231">
      <c r="A1231" s="86"/>
      <c r="B1231" s="73"/>
      <c r="C1231" s="73"/>
      <c r="D1231" s="73"/>
      <c r="E1231" s="88"/>
      <c r="F1231" s="73"/>
      <c r="G1231" s="394"/>
      <c r="H1231" s="77"/>
      <c r="I1231" s="88"/>
      <c r="J1231" s="393">
        <v>44391.0</v>
      </c>
      <c r="K1231" s="393">
        <f t="shared" si="7"/>
        <v>44392</v>
      </c>
      <c r="L1231" s="394" t="str">
        <f>IFERROR(__xludf.DUMMYFUNCTION("JOIN("""", G1231:H1231)"),"")</f>
        <v/>
      </c>
      <c r="M1231" s="80" t="str">
        <f t="shared" si="2"/>
        <v/>
      </c>
    </row>
    <row r="1232">
      <c r="A1232" s="86"/>
      <c r="B1232" s="73"/>
      <c r="C1232" s="73"/>
      <c r="D1232" s="73"/>
      <c r="E1232" s="88"/>
      <c r="F1232" s="73"/>
      <c r="G1232" s="394"/>
      <c r="H1232" s="77"/>
      <c r="I1232" s="88"/>
      <c r="J1232" s="393">
        <v>44391.0</v>
      </c>
      <c r="K1232" s="393">
        <f t="shared" si="7"/>
        <v>44392</v>
      </c>
      <c r="L1232" s="394" t="str">
        <f>IFERROR(__xludf.DUMMYFUNCTION("JOIN("""", G1232:H1232)"),"")</f>
        <v/>
      </c>
      <c r="M1232" s="80" t="str">
        <f t="shared" si="2"/>
        <v/>
      </c>
    </row>
    <row r="1233">
      <c r="A1233" s="86"/>
      <c r="B1233" s="73"/>
      <c r="C1233" s="73"/>
      <c r="D1233" s="73"/>
      <c r="E1233" s="88"/>
      <c r="F1233" s="73"/>
      <c r="G1233" s="394"/>
      <c r="H1233" s="77"/>
      <c r="I1233" s="88"/>
      <c r="J1233" s="393">
        <v>44392.0</v>
      </c>
      <c r="K1233" s="393">
        <f t="shared" si="7"/>
        <v>44393</v>
      </c>
      <c r="L1233" s="394" t="str">
        <f>IFERROR(__xludf.DUMMYFUNCTION("JOIN("""", G1233:H1233)"),"")</f>
        <v/>
      </c>
      <c r="M1233" s="80" t="str">
        <f t="shared" si="2"/>
        <v/>
      </c>
    </row>
    <row r="1234">
      <c r="A1234" s="86"/>
      <c r="B1234" s="73"/>
      <c r="C1234" s="73"/>
      <c r="D1234" s="73"/>
      <c r="E1234" s="88"/>
      <c r="F1234" s="73"/>
      <c r="G1234" s="394"/>
      <c r="H1234" s="77"/>
      <c r="I1234" s="88"/>
      <c r="J1234" s="393">
        <v>44392.0</v>
      </c>
      <c r="K1234" s="393">
        <f t="shared" si="7"/>
        <v>44393</v>
      </c>
      <c r="L1234" s="394" t="str">
        <f>IFERROR(__xludf.DUMMYFUNCTION("JOIN("""", G1234:H1234)"),"")</f>
        <v/>
      </c>
      <c r="M1234" s="80" t="str">
        <f t="shared" si="2"/>
        <v/>
      </c>
    </row>
    <row r="1235">
      <c r="A1235" s="86"/>
      <c r="B1235" s="73"/>
      <c r="C1235" s="73"/>
      <c r="D1235" s="73"/>
      <c r="E1235" s="88"/>
      <c r="F1235" s="73"/>
      <c r="G1235" s="394"/>
      <c r="H1235" s="77"/>
      <c r="I1235" s="88"/>
      <c r="J1235" s="393">
        <v>44392.0</v>
      </c>
      <c r="K1235" s="393">
        <f t="shared" si="7"/>
        <v>44393</v>
      </c>
      <c r="L1235" s="394" t="str">
        <f>IFERROR(__xludf.DUMMYFUNCTION("JOIN("""", G1235:H1235)"),"")</f>
        <v/>
      </c>
      <c r="M1235" s="80" t="str">
        <f t="shared" si="2"/>
        <v/>
      </c>
    </row>
    <row r="1236">
      <c r="A1236" s="86"/>
      <c r="B1236" s="73"/>
      <c r="C1236" s="73"/>
      <c r="D1236" s="73"/>
      <c r="E1236" s="88"/>
      <c r="F1236" s="73"/>
      <c r="G1236" s="394"/>
      <c r="H1236" s="77"/>
      <c r="I1236" s="88"/>
      <c r="J1236" s="393">
        <v>44392.0</v>
      </c>
      <c r="K1236" s="393">
        <f t="shared" si="7"/>
        <v>44393</v>
      </c>
      <c r="L1236" s="394" t="str">
        <f>IFERROR(__xludf.DUMMYFUNCTION("JOIN("""", G1236:H1236)"),"")</f>
        <v/>
      </c>
      <c r="M1236" s="80" t="str">
        <f t="shared" si="2"/>
        <v/>
      </c>
    </row>
    <row r="1237">
      <c r="A1237" s="86"/>
      <c r="B1237" s="73"/>
      <c r="C1237" s="73"/>
      <c r="D1237" s="73"/>
      <c r="E1237" s="88"/>
      <c r="F1237" s="73"/>
      <c r="G1237" s="394"/>
      <c r="H1237" s="77"/>
      <c r="I1237" s="88"/>
      <c r="J1237" s="393">
        <v>44392.0</v>
      </c>
      <c r="K1237" s="393">
        <f t="shared" si="7"/>
        <v>44393</v>
      </c>
      <c r="L1237" s="394" t="str">
        <f>IFERROR(__xludf.DUMMYFUNCTION("JOIN("""", G1237:H1237)"),"")</f>
        <v/>
      </c>
      <c r="M1237" s="80" t="str">
        <f t="shared" si="2"/>
        <v/>
      </c>
    </row>
    <row r="1238">
      <c r="A1238" s="86"/>
      <c r="B1238" s="73"/>
      <c r="C1238" s="73"/>
      <c r="D1238" s="73"/>
      <c r="E1238" s="88"/>
      <c r="F1238" s="73"/>
      <c r="G1238" s="394"/>
      <c r="H1238" s="77"/>
      <c r="I1238" s="88"/>
      <c r="J1238" s="393">
        <v>44392.0</v>
      </c>
      <c r="K1238" s="393">
        <f t="shared" si="7"/>
        <v>44393</v>
      </c>
      <c r="L1238" s="394" t="str">
        <f>IFERROR(__xludf.DUMMYFUNCTION("JOIN("""", G1238:H1238)"),"")</f>
        <v/>
      </c>
      <c r="M1238" s="80" t="str">
        <f t="shared" si="2"/>
        <v/>
      </c>
    </row>
    <row r="1239">
      <c r="A1239" s="86"/>
      <c r="B1239" s="73"/>
      <c r="C1239" s="73"/>
      <c r="D1239" s="73"/>
      <c r="E1239" s="88"/>
      <c r="F1239" s="73"/>
      <c r="G1239" s="394"/>
      <c r="H1239" s="77"/>
      <c r="I1239" s="88"/>
      <c r="J1239" s="393">
        <v>44392.0</v>
      </c>
      <c r="K1239" s="393">
        <f t="shared" si="7"/>
        <v>44393</v>
      </c>
      <c r="L1239" s="394" t="str">
        <f>IFERROR(__xludf.DUMMYFUNCTION("JOIN("""", G1239:H1239)"),"")</f>
        <v/>
      </c>
      <c r="M1239" s="80" t="str">
        <f t="shared" si="2"/>
        <v/>
      </c>
    </row>
    <row r="1240">
      <c r="A1240" s="86"/>
      <c r="B1240" s="73"/>
      <c r="C1240" s="73"/>
      <c r="D1240" s="73"/>
      <c r="E1240" s="88"/>
      <c r="F1240" s="73"/>
      <c r="G1240" s="394"/>
      <c r="H1240" s="77"/>
      <c r="I1240" s="88"/>
      <c r="J1240" s="393">
        <v>44392.0</v>
      </c>
      <c r="K1240" s="393">
        <f t="shared" si="7"/>
        <v>44393</v>
      </c>
      <c r="L1240" s="394" t="str">
        <f>IFERROR(__xludf.DUMMYFUNCTION("JOIN("""", G1240:H1240)"),"")</f>
        <v/>
      </c>
      <c r="M1240" s="80" t="str">
        <f t="shared" si="2"/>
        <v/>
      </c>
    </row>
    <row r="1241">
      <c r="A1241" s="86"/>
      <c r="B1241" s="73"/>
      <c r="C1241" s="73"/>
      <c r="D1241" s="73"/>
      <c r="E1241" s="88"/>
      <c r="F1241" s="73"/>
      <c r="G1241" s="394"/>
      <c r="H1241" s="77"/>
      <c r="I1241" s="88"/>
      <c r="J1241" s="401">
        <v>44392.0</v>
      </c>
      <c r="K1241" s="393">
        <f t="shared" si="7"/>
        <v>44393</v>
      </c>
      <c r="L1241" s="394" t="str">
        <f>IFERROR(__xludf.DUMMYFUNCTION("JOIN("""", G1241:H1241)"),"")</f>
        <v/>
      </c>
      <c r="M1241" s="80" t="str">
        <f t="shared" si="2"/>
        <v/>
      </c>
    </row>
    <row r="1242">
      <c r="A1242" s="86"/>
      <c r="B1242" s="73"/>
      <c r="C1242" s="73"/>
      <c r="D1242" s="73"/>
      <c r="E1242" s="88"/>
      <c r="F1242" s="73"/>
      <c r="G1242" s="394"/>
      <c r="H1242" s="77"/>
      <c r="I1242" s="88"/>
      <c r="J1242" s="393">
        <v>44392.0</v>
      </c>
      <c r="K1242" s="393">
        <f t="shared" si="7"/>
        <v>44393</v>
      </c>
      <c r="L1242" s="394" t="str">
        <f>IFERROR(__xludf.DUMMYFUNCTION("JOIN("""", G1242:H1242)"),"")</f>
        <v/>
      </c>
      <c r="M1242" s="80" t="str">
        <f t="shared" si="2"/>
        <v/>
      </c>
    </row>
    <row r="1243">
      <c r="A1243" s="86"/>
      <c r="B1243" s="73"/>
      <c r="C1243" s="73"/>
      <c r="D1243" s="73"/>
      <c r="E1243" s="88"/>
      <c r="F1243" s="73"/>
      <c r="G1243" s="394"/>
      <c r="H1243" s="77"/>
      <c r="I1243" s="88"/>
      <c r="J1243" s="393">
        <v>44392.0</v>
      </c>
      <c r="K1243" s="393">
        <f t="shared" si="7"/>
        <v>44393</v>
      </c>
      <c r="L1243" s="394" t="str">
        <f>IFERROR(__xludf.DUMMYFUNCTION("JOIN("""", G1243:H1243)"),"")</f>
        <v/>
      </c>
      <c r="M1243" s="80" t="str">
        <f t="shared" si="2"/>
        <v/>
      </c>
    </row>
    <row r="1244">
      <c r="A1244" s="86"/>
      <c r="B1244" s="73"/>
      <c r="C1244" s="73"/>
      <c r="D1244" s="73"/>
      <c r="E1244" s="88"/>
      <c r="F1244" s="73"/>
      <c r="G1244" s="394"/>
      <c r="H1244" s="77"/>
      <c r="I1244" s="88"/>
      <c r="J1244" s="393">
        <v>44392.0</v>
      </c>
      <c r="K1244" s="393">
        <f t="shared" si="7"/>
        <v>44393</v>
      </c>
      <c r="L1244" s="394" t="str">
        <f>IFERROR(__xludf.DUMMYFUNCTION("JOIN("""", G1244:H1244)"),"")</f>
        <v/>
      </c>
      <c r="M1244" s="80" t="str">
        <f t="shared" si="2"/>
        <v/>
      </c>
    </row>
    <row r="1245">
      <c r="A1245" s="86"/>
      <c r="B1245" s="73"/>
      <c r="C1245" s="73"/>
      <c r="D1245" s="73"/>
      <c r="E1245" s="88"/>
      <c r="F1245" s="73"/>
      <c r="G1245" s="394"/>
      <c r="H1245" s="77"/>
      <c r="I1245" s="88"/>
      <c r="J1245" s="393">
        <v>44392.0</v>
      </c>
      <c r="K1245" s="393">
        <f t="shared" si="7"/>
        <v>44393</v>
      </c>
      <c r="L1245" s="394" t="str">
        <f>IFERROR(__xludf.DUMMYFUNCTION("JOIN("""", G1245:H1245)"),"")</f>
        <v/>
      </c>
      <c r="M1245" s="80" t="str">
        <f t="shared" si="2"/>
        <v/>
      </c>
    </row>
    <row r="1246">
      <c r="A1246" s="86"/>
      <c r="B1246" s="73"/>
      <c r="C1246" s="73"/>
      <c r="D1246" s="73"/>
      <c r="E1246" s="88"/>
      <c r="F1246" s="73"/>
      <c r="G1246" s="394"/>
      <c r="H1246" s="77"/>
      <c r="I1246" s="88"/>
      <c r="J1246" s="404">
        <v>44392.0</v>
      </c>
      <c r="K1246" s="393">
        <f t="shared" si="7"/>
        <v>44393</v>
      </c>
      <c r="L1246" s="394" t="str">
        <f>IFERROR(__xludf.DUMMYFUNCTION("JOIN("""", G1246:H1246)"),"")</f>
        <v/>
      </c>
      <c r="M1246" s="80" t="str">
        <f t="shared" si="2"/>
        <v/>
      </c>
    </row>
    <row r="1247">
      <c r="A1247" s="86"/>
      <c r="B1247" s="73"/>
      <c r="C1247" s="73"/>
      <c r="D1247" s="73"/>
      <c r="E1247" s="88"/>
      <c r="F1247" s="73"/>
      <c r="G1247" s="394"/>
      <c r="H1247" s="77"/>
      <c r="I1247" s="88"/>
      <c r="J1247" s="393">
        <v>44392.0</v>
      </c>
      <c r="K1247" s="393">
        <f t="shared" si="7"/>
        <v>44393</v>
      </c>
      <c r="L1247" s="394" t="str">
        <f>IFERROR(__xludf.DUMMYFUNCTION("JOIN("""", G1247:H1247)"),"")</f>
        <v/>
      </c>
      <c r="M1247" s="80" t="str">
        <f t="shared" si="2"/>
        <v/>
      </c>
    </row>
    <row r="1248">
      <c r="A1248" s="86"/>
      <c r="B1248" s="73"/>
      <c r="C1248" s="73"/>
      <c r="D1248" s="73"/>
      <c r="E1248" s="88"/>
      <c r="F1248" s="73"/>
      <c r="G1248" s="394"/>
      <c r="H1248" s="77"/>
      <c r="I1248" s="88"/>
      <c r="J1248" s="393">
        <v>44393.0</v>
      </c>
      <c r="K1248" s="393">
        <f t="shared" si="7"/>
        <v>44394</v>
      </c>
      <c r="L1248" s="394" t="str">
        <f>IFERROR(__xludf.DUMMYFUNCTION("JOIN("""", G1248:H1248)"),"")</f>
        <v/>
      </c>
      <c r="M1248" s="80" t="str">
        <f t="shared" si="2"/>
        <v/>
      </c>
    </row>
    <row r="1249">
      <c r="A1249" s="86"/>
      <c r="B1249" s="73"/>
      <c r="C1249" s="73"/>
      <c r="D1249" s="73"/>
      <c r="E1249" s="88"/>
      <c r="F1249" s="73"/>
      <c r="G1249" s="394"/>
      <c r="H1249" s="77"/>
      <c r="I1249" s="88"/>
      <c r="J1249" s="393">
        <v>44393.0</v>
      </c>
      <c r="K1249" s="393">
        <f t="shared" si="7"/>
        <v>44394</v>
      </c>
      <c r="L1249" s="394" t="str">
        <f>IFERROR(__xludf.DUMMYFUNCTION("JOIN("""", G1249:H1249)"),"")</f>
        <v/>
      </c>
      <c r="M1249" s="80" t="str">
        <f t="shared" si="2"/>
        <v/>
      </c>
    </row>
    <row r="1250">
      <c r="A1250" s="86"/>
      <c r="B1250" s="73"/>
      <c r="C1250" s="73"/>
      <c r="D1250" s="73"/>
      <c r="E1250" s="88"/>
      <c r="F1250" s="73"/>
      <c r="G1250" s="394"/>
      <c r="H1250" s="77"/>
      <c r="I1250" s="88"/>
      <c r="J1250" s="393">
        <v>44394.0</v>
      </c>
      <c r="K1250" s="393">
        <f t="shared" si="7"/>
        <v>44395</v>
      </c>
      <c r="L1250" s="394" t="str">
        <f>IFERROR(__xludf.DUMMYFUNCTION("JOIN("""", G1250:H1250)"),"")</f>
        <v/>
      </c>
      <c r="M1250" s="80" t="str">
        <f t="shared" si="2"/>
        <v/>
      </c>
    </row>
    <row r="1251">
      <c r="A1251" s="86"/>
      <c r="B1251" s="73"/>
      <c r="C1251" s="73"/>
      <c r="D1251" s="73"/>
      <c r="E1251" s="88"/>
      <c r="F1251" s="73"/>
      <c r="G1251" s="394"/>
      <c r="H1251" s="77"/>
      <c r="I1251" s="88"/>
      <c r="J1251" s="393">
        <v>44394.0</v>
      </c>
      <c r="K1251" s="393">
        <f t="shared" si="7"/>
        <v>44395</v>
      </c>
      <c r="L1251" s="394" t="str">
        <f>IFERROR(__xludf.DUMMYFUNCTION("JOIN("""", G1251:H1251)"),"")</f>
        <v/>
      </c>
      <c r="M1251" s="80" t="str">
        <f t="shared" si="2"/>
        <v/>
      </c>
    </row>
    <row r="1252">
      <c r="A1252" s="86"/>
      <c r="B1252" s="73"/>
      <c r="C1252" s="73"/>
      <c r="D1252" s="73"/>
      <c r="E1252" s="88"/>
      <c r="F1252" s="73"/>
      <c r="G1252" s="394"/>
      <c r="H1252" s="77"/>
      <c r="I1252" s="88"/>
      <c r="J1252" s="393">
        <v>44394.0</v>
      </c>
      <c r="K1252" s="393">
        <f t="shared" si="7"/>
        <v>44395</v>
      </c>
      <c r="L1252" s="394" t="str">
        <f>IFERROR(__xludf.DUMMYFUNCTION("JOIN("""", G1252:H1252)"),"")</f>
        <v/>
      </c>
      <c r="M1252" s="80" t="str">
        <f t="shared" si="2"/>
        <v/>
      </c>
    </row>
    <row r="1253">
      <c r="A1253" s="86"/>
      <c r="B1253" s="73"/>
      <c r="C1253" s="73"/>
      <c r="D1253" s="73"/>
      <c r="E1253" s="88"/>
      <c r="F1253" s="73"/>
      <c r="G1253" s="394"/>
      <c r="H1253" s="77"/>
      <c r="I1253" s="88"/>
      <c r="J1253" s="393">
        <v>44394.0</v>
      </c>
      <c r="K1253" s="393">
        <f t="shared" si="7"/>
        <v>44395</v>
      </c>
      <c r="L1253" s="394" t="str">
        <f>IFERROR(__xludf.DUMMYFUNCTION("JOIN("""", G1253:H1253)"),"")</f>
        <v/>
      </c>
      <c r="M1253" s="80" t="str">
        <f t="shared" si="2"/>
        <v/>
      </c>
    </row>
    <row r="1254">
      <c r="A1254" s="86"/>
      <c r="B1254" s="73"/>
      <c r="C1254" s="73"/>
      <c r="D1254" s="73"/>
      <c r="E1254" s="88"/>
      <c r="F1254" s="73"/>
      <c r="G1254" s="394"/>
      <c r="H1254" s="77"/>
      <c r="I1254" s="88"/>
      <c r="J1254" s="393">
        <v>44394.0</v>
      </c>
      <c r="K1254" s="393">
        <f t="shared" si="7"/>
        <v>44395</v>
      </c>
      <c r="L1254" s="394" t="str">
        <f>IFERROR(__xludf.DUMMYFUNCTION("JOIN("""", G1254:H1254)"),"")</f>
        <v/>
      </c>
      <c r="M1254" s="80" t="str">
        <f t="shared" si="2"/>
        <v/>
      </c>
    </row>
    <row r="1255">
      <c r="A1255" s="86"/>
      <c r="B1255" s="73"/>
      <c r="C1255" s="73"/>
      <c r="D1255" s="73"/>
      <c r="E1255" s="88"/>
      <c r="F1255" s="73"/>
      <c r="G1255" s="394"/>
      <c r="H1255" s="77"/>
      <c r="I1255" s="88"/>
      <c r="J1255" s="393">
        <v>44395.0</v>
      </c>
      <c r="K1255" s="393">
        <f t="shared" si="7"/>
        <v>44396</v>
      </c>
      <c r="L1255" s="394" t="str">
        <f>IFERROR(__xludf.DUMMYFUNCTION("JOIN("""", G1255:H1255)"),"")</f>
        <v/>
      </c>
      <c r="M1255" s="80" t="str">
        <f t="shared" si="2"/>
        <v/>
      </c>
    </row>
    <row r="1256">
      <c r="A1256" s="86"/>
      <c r="B1256" s="73"/>
      <c r="C1256" s="73"/>
      <c r="D1256" s="73"/>
      <c r="E1256" s="88"/>
      <c r="F1256" s="73"/>
      <c r="G1256" s="394"/>
      <c r="H1256" s="77"/>
      <c r="I1256" s="88"/>
      <c r="J1256" s="393">
        <v>44395.0</v>
      </c>
      <c r="K1256" s="393">
        <f t="shared" si="7"/>
        <v>44396</v>
      </c>
      <c r="L1256" s="394" t="str">
        <f>IFERROR(__xludf.DUMMYFUNCTION("JOIN("""", G1256:H1256)"),"")</f>
        <v/>
      </c>
      <c r="M1256" s="80" t="str">
        <f t="shared" si="2"/>
        <v/>
      </c>
    </row>
    <row r="1257">
      <c r="A1257" s="86"/>
      <c r="B1257" s="73"/>
      <c r="C1257" s="73"/>
      <c r="D1257" s="73"/>
      <c r="E1257" s="88"/>
      <c r="F1257" s="73"/>
      <c r="G1257" s="394"/>
      <c r="H1257" s="77"/>
      <c r="I1257" s="88"/>
      <c r="J1257" s="393">
        <v>44395.0</v>
      </c>
      <c r="K1257" s="393">
        <f t="shared" si="7"/>
        <v>44396</v>
      </c>
      <c r="L1257" s="394" t="str">
        <f>IFERROR(__xludf.DUMMYFUNCTION("JOIN("""", G1257:H1257)"),"")</f>
        <v/>
      </c>
      <c r="M1257" s="80" t="str">
        <f t="shared" si="2"/>
        <v/>
      </c>
    </row>
    <row r="1258">
      <c r="A1258" s="86"/>
      <c r="B1258" s="73"/>
      <c r="C1258" s="73"/>
      <c r="D1258" s="73"/>
      <c r="E1258" s="88"/>
      <c r="F1258" s="73"/>
      <c r="G1258" s="394"/>
      <c r="H1258" s="77"/>
      <c r="I1258" s="88"/>
      <c r="J1258" s="393">
        <v>44395.0</v>
      </c>
      <c r="K1258" s="393">
        <f t="shared" si="7"/>
        <v>44396</v>
      </c>
      <c r="L1258" s="394" t="str">
        <f>IFERROR(__xludf.DUMMYFUNCTION("JOIN("""", G1258:H1258)"),"")</f>
        <v/>
      </c>
      <c r="M1258" s="80" t="str">
        <f t="shared" si="2"/>
        <v/>
      </c>
    </row>
    <row r="1259">
      <c r="A1259" s="86"/>
      <c r="B1259" s="73"/>
      <c r="C1259" s="73"/>
      <c r="D1259" s="73"/>
      <c r="E1259" s="88"/>
      <c r="F1259" s="73"/>
      <c r="G1259" s="394"/>
      <c r="H1259" s="77"/>
      <c r="I1259" s="88"/>
      <c r="J1259" s="393">
        <v>44395.0</v>
      </c>
      <c r="K1259" s="393">
        <f t="shared" si="7"/>
        <v>44396</v>
      </c>
      <c r="L1259" s="394" t="str">
        <f>IFERROR(__xludf.DUMMYFUNCTION("JOIN("""", G1259:H1259)"),"")</f>
        <v/>
      </c>
      <c r="M1259" s="80" t="str">
        <f t="shared" si="2"/>
        <v/>
      </c>
    </row>
    <row r="1260">
      <c r="A1260" s="86"/>
      <c r="B1260" s="73"/>
      <c r="C1260" s="73"/>
      <c r="D1260" s="73"/>
      <c r="E1260" s="88"/>
      <c r="F1260" s="73"/>
      <c r="G1260" s="394"/>
      <c r="H1260" s="77"/>
      <c r="I1260" s="88"/>
      <c r="J1260" s="393">
        <v>44396.0</v>
      </c>
      <c r="K1260" s="393">
        <f t="shared" si="7"/>
        <v>44397</v>
      </c>
      <c r="L1260" s="394" t="str">
        <f>IFERROR(__xludf.DUMMYFUNCTION("JOIN("""", G1260:H1260)"),"")</f>
        <v/>
      </c>
      <c r="M1260" s="80" t="str">
        <f t="shared" si="2"/>
        <v/>
      </c>
    </row>
    <row r="1261">
      <c r="A1261" s="86"/>
      <c r="B1261" s="73"/>
      <c r="C1261" s="73"/>
      <c r="D1261" s="73"/>
      <c r="E1261" s="88"/>
      <c r="F1261" s="73"/>
      <c r="G1261" s="394"/>
      <c r="H1261" s="77"/>
      <c r="I1261" s="88"/>
      <c r="J1261" s="393">
        <v>44395.0</v>
      </c>
      <c r="K1261" s="393">
        <f t="shared" si="7"/>
        <v>44396</v>
      </c>
      <c r="L1261" s="394" t="str">
        <f>IFERROR(__xludf.DUMMYFUNCTION("JOIN("""", G1261:H1261)"),"")</f>
        <v/>
      </c>
      <c r="M1261" s="80" t="str">
        <f t="shared" si="2"/>
        <v/>
      </c>
    </row>
    <row r="1262">
      <c r="A1262" s="86"/>
      <c r="B1262" s="73"/>
      <c r="C1262" s="73"/>
      <c r="D1262" s="73"/>
      <c r="E1262" s="88"/>
      <c r="F1262" s="73"/>
      <c r="G1262" s="394"/>
      <c r="H1262" s="77"/>
      <c r="I1262" s="88"/>
      <c r="J1262" s="393">
        <v>44395.0</v>
      </c>
      <c r="K1262" s="393">
        <f t="shared" si="7"/>
        <v>44396</v>
      </c>
      <c r="L1262" s="394" t="str">
        <f>IFERROR(__xludf.DUMMYFUNCTION("JOIN("""", G1262:H1262)"),"")</f>
        <v/>
      </c>
      <c r="M1262" s="80" t="str">
        <f t="shared" si="2"/>
        <v/>
      </c>
    </row>
    <row r="1263">
      <c r="A1263" s="86"/>
      <c r="B1263" s="73"/>
      <c r="C1263" s="73"/>
      <c r="D1263" s="73"/>
      <c r="E1263" s="88"/>
      <c r="F1263" s="73"/>
      <c r="G1263" s="394"/>
      <c r="H1263" s="77"/>
      <c r="I1263" s="88"/>
      <c r="J1263" s="393">
        <v>44395.0</v>
      </c>
      <c r="K1263" s="393">
        <f t="shared" si="7"/>
        <v>44396</v>
      </c>
      <c r="L1263" s="394" t="str">
        <f>IFERROR(__xludf.DUMMYFUNCTION("JOIN("""", G1263:H1263)"),"")</f>
        <v/>
      </c>
      <c r="M1263" s="80" t="str">
        <f t="shared" si="2"/>
        <v/>
      </c>
    </row>
    <row r="1264">
      <c r="A1264" s="86"/>
      <c r="B1264" s="73"/>
      <c r="C1264" s="73"/>
      <c r="D1264" s="73"/>
      <c r="E1264" s="88"/>
      <c r="F1264" s="73"/>
      <c r="G1264" s="394"/>
      <c r="H1264" s="77"/>
      <c r="I1264" s="88"/>
      <c r="J1264" s="393">
        <v>44396.0</v>
      </c>
      <c r="K1264" s="393">
        <f t="shared" si="7"/>
        <v>44397</v>
      </c>
      <c r="L1264" s="394" t="str">
        <f>IFERROR(__xludf.DUMMYFUNCTION("JOIN("""", G1264:H1264)"),"")</f>
        <v/>
      </c>
      <c r="M1264" s="80" t="str">
        <f t="shared" si="2"/>
        <v/>
      </c>
    </row>
    <row r="1265">
      <c r="A1265" s="86"/>
      <c r="B1265" s="73"/>
      <c r="C1265" s="73"/>
      <c r="D1265" s="73"/>
      <c r="E1265" s="88"/>
      <c r="F1265" s="73"/>
      <c r="G1265" s="394"/>
      <c r="H1265" s="77"/>
      <c r="I1265" s="88"/>
      <c r="J1265" s="393">
        <v>44399.0</v>
      </c>
      <c r="K1265" s="393">
        <f t="shared" si="7"/>
        <v>44400</v>
      </c>
      <c r="L1265" s="394" t="str">
        <f>IFERROR(__xludf.DUMMYFUNCTION("JOIN("""", G1265:H1265)"),"")</f>
        <v/>
      </c>
      <c r="M1265" s="80" t="str">
        <f t="shared" si="2"/>
        <v/>
      </c>
    </row>
    <row r="1266">
      <c r="A1266" s="86"/>
      <c r="B1266" s="73"/>
      <c r="C1266" s="73"/>
      <c r="D1266" s="73"/>
      <c r="E1266" s="88"/>
      <c r="F1266" s="73"/>
      <c r="G1266" s="394"/>
      <c r="H1266" s="77"/>
      <c r="I1266" s="88"/>
      <c r="J1266" s="393">
        <v>44396.0</v>
      </c>
      <c r="K1266" s="393">
        <f t="shared" si="7"/>
        <v>44397</v>
      </c>
      <c r="L1266" s="394" t="str">
        <f>IFERROR(__xludf.DUMMYFUNCTION("JOIN("""", G1266:H1266)"),"")</f>
        <v/>
      </c>
      <c r="M1266" s="80" t="str">
        <f t="shared" si="2"/>
        <v/>
      </c>
    </row>
    <row r="1267">
      <c r="A1267" s="86"/>
      <c r="B1267" s="73"/>
      <c r="C1267" s="73"/>
      <c r="D1267" s="73"/>
      <c r="E1267" s="88"/>
      <c r="F1267" s="73"/>
      <c r="G1267" s="394"/>
      <c r="H1267" s="77"/>
      <c r="I1267" s="88"/>
      <c r="J1267" s="393">
        <v>44396.0</v>
      </c>
      <c r="K1267" s="393">
        <f t="shared" si="7"/>
        <v>44397</v>
      </c>
      <c r="L1267" s="394" t="str">
        <f>IFERROR(__xludf.DUMMYFUNCTION("JOIN("""", G1267:H1267)"),"")</f>
        <v/>
      </c>
      <c r="M1267" s="80" t="str">
        <f t="shared" si="2"/>
        <v/>
      </c>
    </row>
    <row r="1268">
      <c r="A1268" s="86"/>
      <c r="B1268" s="73"/>
      <c r="C1268" s="73"/>
      <c r="D1268" s="73"/>
      <c r="E1268" s="88"/>
      <c r="F1268" s="73"/>
      <c r="G1268" s="394"/>
      <c r="H1268" s="77"/>
      <c r="I1268" s="88"/>
      <c r="J1268" s="393">
        <v>44396.0</v>
      </c>
      <c r="K1268" s="393">
        <f t="shared" si="7"/>
        <v>44397</v>
      </c>
      <c r="L1268" s="394" t="str">
        <f>IFERROR(__xludf.DUMMYFUNCTION("JOIN("""", G1268:H1268)"),"")</f>
        <v/>
      </c>
      <c r="M1268" s="80" t="str">
        <f t="shared" si="2"/>
        <v/>
      </c>
    </row>
    <row r="1269">
      <c r="A1269" s="86"/>
      <c r="B1269" s="73"/>
      <c r="C1269" s="73"/>
      <c r="D1269" s="73"/>
      <c r="E1269" s="88"/>
      <c r="F1269" s="73"/>
      <c r="G1269" s="394"/>
      <c r="H1269" s="77"/>
      <c r="I1269" s="88"/>
      <c r="J1269" s="393">
        <v>44396.0</v>
      </c>
      <c r="K1269" s="393">
        <f t="shared" si="7"/>
        <v>44397</v>
      </c>
      <c r="L1269" s="394" t="str">
        <f>IFERROR(__xludf.DUMMYFUNCTION("JOIN("""", G1269:H1269)"),"")</f>
        <v/>
      </c>
      <c r="M1269" s="80" t="str">
        <f t="shared" si="2"/>
        <v/>
      </c>
    </row>
    <row r="1270">
      <c r="A1270" s="86"/>
      <c r="B1270" s="73"/>
      <c r="C1270" s="73"/>
      <c r="D1270" s="73"/>
      <c r="E1270" s="88"/>
      <c r="F1270" s="73"/>
      <c r="G1270" s="394"/>
      <c r="H1270" s="77"/>
      <c r="I1270" s="88"/>
      <c r="J1270" s="393">
        <v>44401.0</v>
      </c>
      <c r="K1270" s="393">
        <f t="shared" si="7"/>
        <v>44402</v>
      </c>
      <c r="L1270" s="394" t="str">
        <f>IFERROR(__xludf.DUMMYFUNCTION("JOIN("""", G1270:H1270)"),"")</f>
        <v/>
      </c>
      <c r="M1270" s="80" t="str">
        <f t="shared" si="2"/>
        <v/>
      </c>
    </row>
    <row r="1271">
      <c r="A1271" s="86"/>
      <c r="B1271" s="73"/>
      <c r="C1271" s="73"/>
      <c r="D1271" s="73"/>
      <c r="E1271" s="88"/>
      <c r="F1271" s="73"/>
      <c r="G1271" s="394"/>
      <c r="H1271" s="77"/>
      <c r="I1271" s="88"/>
      <c r="J1271" s="393">
        <v>44396.0</v>
      </c>
      <c r="K1271" s="393">
        <f t="shared" si="7"/>
        <v>44397</v>
      </c>
      <c r="L1271" s="394" t="str">
        <f>IFERROR(__xludf.DUMMYFUNCTION("JOIN("""", G1271:H1271)"),"")</f>
        <v/>
      </c>
      <c r="M1271" s="80" t="str">
        <f t="shared" si="2"/>
        <v/>
      </c>
    </row>
    <row r="1272">
      <c r="A1272" s="86"/>
      <c r="B1272" s="73"/>
      <c r="C1272" s="73"/>
      <c r="D1272" s="73"/>
      <c r="E1272" s="88"/>
      <c r="F1272" s="73"/>
      <c r="G1272" s="394"/>
      <c r="H1272" s="77"/>
      <c r="I1272" s="88"/>
      <c r="J1272" s="393">
        <v>44397.0</v>
      </c>
      <c r="K1272" s="393">
        <f t="shared" si="7"/>
        <v>44398</v>
      </c>
      <c r="L1272" s="394" t="str">
        <f>IFERROR(__xludf.DUMMYFUNCTION("JOIN("""", G1272:H1272)"),"")</f>
        <v/>
      </c>
      <c r="M1272" s="80" t="str">
        <f t="shared" si="2"/>
        <v/>
      </c>
    </row>
    <row r="1273">
      <c r="A1273" s="86"/>
      <c r="B1273" s="73"/>
      <c r="C1273" s="73"/>
      <c r="D1273" s="73"/>
      <c r="E1273" s="88"/>
      <c r="F1273" s="73"/>
      <c r="G1273" s="394"/>
      <c r="H1273" s="77"/>
      <c r="I1273" s="88"/>
      <c r="J1273" s="393">
        <v>44397.0</v>
      </c>
      <c r="K1273" s="393">
        <f t="shared" si="7"/>
        <v>44398</v>
      </c>
      <c r="L1273" s="394" t="str">
        <f>IFERROR(__xludf.DUMMYFUNCTION("JOIN("""", G1273:H1273)"),"")</f>
        <v/>
      </c>
      <c r="M1273" s="80" t="str">
        <f t="shared" si="2"/>
        <v/>
      </c>
    </row>
    <row r="1274">
      <c r="A1274" s="86"/>
      <c r="B1274" s="73"/>
      <c r="C1274" s="73"/>
      <c r="D1274" s="73"/>
      <c r="E1274" s="88"/>
      <c r="F1274" s="73"/>
      <c r="G1274" s="394"/>
      <c r="H1274" s="77"/>
      <c r="I1274" s="88"/>
      <c r="J1274" s="393">
        <v>44424.0</v>
      </c>
      <c r="K1274" s="393">
        <f t="shared" si="7"/>
        <v>44425</v>
      </c>
      <c r="L1274" s="394" t="str">
        <f>IFERROR(__xludf.DUMMYFUNCTION("JOIN("""", G1274:H1274)"),"")</f>
        <v/>
      </c>
      <c r="M1274" s="80" t="str">
        <f t="shared" si="2"/>
        <v/>
      </c>
    </row>
    <row r="1275">
      <c r="A1275" s="86"/>
      <c r="B1275" s="73"/>
      <c r="C1275" s="73"/>
      <c r="D1275" s="73"/>
      <c r="E1275" s="88"/>
      <c r="F1275" s="73"/>
      <c r="G1275" s="394"/>
      <c r="H1275" s="77"/>
      <c r="I1275" s="88"/>
      <c r="J1275" s="393">
        <v>44397.0</v>
      </c>
      <c r="K1275" s="393">
        <f t="shared" si="7"/>
        <v>44398</v>
      </c>
      <c r="L1275" s="394" t="str">
        <f>IFERROR(__xludf.DUMMYFUNCTION("JOIN("""", G1275:H1275)"),"")</f>
        <v/>
      </c>
      <c r="M1275" s="80" t="str">
        <f t="shared" si="2"/>
        <v/>
      </c>
    </row>
    <row r="1276">
      <c r="A1276" s="86"/>
      <c r="B1276" s="73"/>
      <c r="C1276" s="73"/>
      <c r="D1276" s="73"/>
      <c r="E1276" s="88"/>
      <c r="F1276" s="73"/>
      <c r="G1276" s="394"/>
      <c r="H1276" s="77"/>
      <c r="I1276" s="88"/>
      <c r="J1276" s="393">
        <v>44397.0</v>
      </c>
      <c r="K1276" s="393">
        <f t="shared" si="7"/>
        <v>44398</v>
      </c>
      <c r="L1276" s="394" t="str">
        <f>IFERROR(__xludf.DUMMYFUNCTION("JOIN("""", G1276:H1276)"),"")</f>
        <v/>
      </c>
      <c r="M1276" s="80" t="str">
        <f t="shared" si="2"/>
        <v/>
      </c>
    </row>
    <row r="1277">
      <c r="A1277" s="86"/>
      <c r="B1277" s="73"/>
      <c r="C1277" s="73"/>
      <c r="D1277" s="73"/>
      <c r="E1277" s="88"/>
      <c r="F1277" s="73"/>
      <c r="G1277" s="394"/>
      <c r="H1277" s="77"/>
      <c r="I1277" s="88"/>
      <c r="J1277" s="393">
        <v>44397.0</v>
      </c>
      <c r="K1277" s="393">
        <f t="shared" si="7"/>
        <v>44398</v>
      </c>
      <c r="L1277" s="394" t="str">
        <f>IFERROR(__xludf.DUMMYFUNCTION("JOIN("""", G1277:H1277)"),"")</f>
        <v/>
      </c>
      <c r="M1277" s="80" t="str">
        <f t="shared" si="2"/>
        <v/>
      </c>
    </row>
    <row r="1278">
      <c r="A1278" s="86"/>
      <c r="B1278" s="73"/>
      <c r="C1278" s="73"/>
      <c r="D1278" s="73"/>
      <c r="E1278" s="88"/>
      <c r="F1278" s="73"/>
      <c r="G1278" s="394"/>
      <c r="H1278" s="77"/>
      <c r="I1278" s="88"/>
      <c r="J1278" s="393">
        <v>44404.0</v>
      </c>
      <c r="K1278" s="393">
        <f t="shared" si="7"/>
        <v>44405</v>
      </c>
      <c r="L1278" s="394" t="str">
        <f>IFERROR(__xludf.DUMMYFUNCTION("JOIN("""", G1278:H1278)"),"")</f>
        <v/>
      </c>
      <c r="M1278" s="80" t="str">
        <f t="shared" si="2"/>
        <v/>
      </c>
    </row>
    <row r="1279">
      <c r="A1279" s="86"/>
      <c r="B1279" s="73"/>
      <c r="C1279" s="73"/>
      <c r="D1279" s="73"/>
      <c r="E1279" s="88"/>
      <c r="F1279" s="73"/>
      <c r="G1279" s="394"/>
      <c r="H1279" s="77"/>
      <c r="I1279" s="88"/>
      <c r="J1279" s="393">
        <v>44398.0</v>
      </c>
      <c r="K1279" s="393">
        <f t="shared" si="7"/>
        <v>44399</v>
      </c>
      <c r="L1279" s="394" t="str">
        <f>IFERROR(__xludf.DUMMYFUNCTION("JOIN("""", G1279:H1279)"),"")</f>
        <v/>
      </c>
      <c r="M1279" s="80" t="str">
        <f t="shared" si="2"/>
        <v/>
      </c>
    </row>
    <row r="1280">
      <c r="A1280" s="86"/>
      <c r="B1280" s="73"/>
      <c r="C1280" s="73"/>
      <c r="D1280" s="73"/>
      <c r="E1280" s="88"/>
      <c r="F1280" s="73"/>
      <c r="G1280" s="394"/>
      <c r="H1280" s="77"/>
      <c r="I1280" s="88"/>
      <c r="J1280" s="393">
        <v>44398.0</v>
      </c>
      <c r="K1280" s="393">
        <f t="shared" si="7"/>
        <v>44399</v>
      </c>
      <c r="L1280" s="394" t="str">
        <f>IFERROR(__xludf.DUMMYFUNCTION("JOIN("""", G1280:H1280)"),"")</f>
        <v/>
      </c>
      <c r="M1280" s="80" t="str">
        <f t="shared" si="2"/>
        <v/>
      </c>
    </row>
    <row r="1281">
      <c r="A1281" s="86"/>
      <c r="B1281" s="73"/>
      <c r="C1281" s="73"/>
      <c r="D1281" s="73"/>
      <c r="E1281" s="88"/>
      <c r="F1281" s="73"/>
      <c r="G1281" s="394"/>
      <c r="H1281" s="77"/>
      <c r="I1281" s="88"/>
      <c r="J1281" s="393">
        <v>44398.0</v>
      </c>
      <c r="K1281" s="393">
        <f t="shared" si="7"/>
        <v>44399</v>
      </c>
      <c r="L1281" s="394" t="str">
        <f>IFERROR(__xludf.DUMMYFUNCTION("JOIN("""", G1281:H1281)"),"")</f>
        <v/>
      </c>
      <c r="M1281" s="80" t="str">
        <f t="shared" si="2"/>
        <v/>
      </c>
    </row>
    <row r="1282">
      <c r="A1282" s="86"/>
      <c r="B1282" s="73"/>
      <c r="C1282" s="73"/>
      <c r="D1282" s="73"/>
      <c r="E1282" s="88"/>
      <c r="F1282" s="73"/>
      <c r="G1282" s="394"/>
      <c r="H1282" s="77"/>
      <c r="I1282" s="88"/>
      <c r="J1282" s="393">
        <v>44398.0</v>
      </c>
      <c r="K1282" s="393">
        <f t="shared" si="7"/>
        <v>44399</v>
      </c>
      <c r="L1282" s="394" t="str">
        <f>IFERROR(__xludf.DUMMYFUNCTION("JOIN("""", G1282:H1282)"),"")</f>
        <v/>
      </c>
      <c r="M1282" s="80" t="str">
        <f t="shared" si="2"/>
        <v/>
      </c>
    </row>
    <row r="1283">
      <c r="A1283" s="86"/>
      <c r="B1283" s="73"/>
      <c r="C1283" s="73"/>
      <c r="D1283" s="73"/>
      <c r="E1283" s="88"/>
      <c r="F1283" s="73"/>
      <c r="G1283" s="394"/>
      <c r="H1283" s="77"/>
      <c r="I1283" s="88"/>
      <c r="J1283" s="393">
        <v>44398.0</v>
      </c>
      <c r="K1283" s="393">
        <f t="shared" si="7"/>
        <v>44399</v>
      </c>
      <c r="L1283" s="394" t="str">
        <f>IFERROR(__xludf.DUMMYFUNCTION("JOIN("""", G1283:H1283)"),"")</f>
        <v/>
      </c>
      <c r="M1283" s="80" t="str">
        <f t="shared" si="2"/>
        <v/>
      </c>
    </row>
    <row r="1284">
      <c r="A1284" s="86"/>
      <c r="B1284" s="73"/>
      <c r="C1284" s="73"/>
      <c r="D1284" s="73"/>
      <c r="E1284" s="88"/>
      <c r="F1284" s="73"/>
      <c r="G1284" s="394"/>
      <c r="H1284" s="77"/>
      <c r="I1284" s="88"/>
      <c r="J1284" s="393">
        <v>44398.0</v>
      </c>
      <c r="K1284" s="393">
        <f t="shared" si="7"/>
        <v>44399</v>
      </c>
      <c r="L1284" s="394" t="str">
        <f>IFERROR(__xludf.DUMMYFUNCTION("JOIN("""", G1284:H1284)"),"")</f>
        <v/>
      </c>
      <c r="M1284" s="80" t="str">
        <f t="shared" si="2"/>
        <v/>
      </c>
    </row>
    <row r="1285">
      <c r="A1285" s="86"/>
      <c r="B1285" s="73"/>
      <c r="C1285" s="73"/>
      <c r="D1285" s="73"/>
      <c r="E1285" s="88"/>
      <c r="F1285" s="73"/>
      <c r="G1285" s="394"/>
      <c r="H1285" s="77"/>
      <c r="I1285" s="88"/>
      <c r="J1285" s="393">
        <v>44398.0</v>
      </c>
      <c r="K1285" s="393">
        <f t="shared" si="7"/>
        <v>44399</v>
      </c>
      <c r="L1285" s="394" t="str">
        <f>IFERROR(__xludf.DUMMYFUNCTION("JOIN("""", G1285:H1285)"),"")</f>
        <v/>
      </c>
      <c r="M1285" s="80" t="str">
        <f t="shared" si="2"/>
        <v/>
      </c>
    </row>
    <row r="1286">
      <c r="A1286" s="86"/>
      <c r="B1286" s="73"/>
      <c r="C1286" s="73"/>
      <c r="D1286" s="73"/>
      <c r="E1286" s="88"/>
      <c r="F1286" s="73"/>
      <c r="G1286" s="394"/>
      <c r="H1286" s="77"/>
      <c r="I1286" s="88"/>
      <c r="J1286" s="393">
        <v>44398.0</v>
      </c>
      <c r="K1286" s="393">
        <f t="shared" si="7"/>
        <v>44399</v>
      </c>
      <c r="L1286" s="394" t="str">
        <f>IFERROR(__xludf.DUMMYFUNCTION("JOIN("""", G1286:H1286)"),"")</f>
        <v/>
      </c>
      <c r="M1286" s="80" t="str">
        <f t="shared" si="2"/>
        <v/>
      </c>
    </row>
    <row r="1287">
      <c r="A1287" s="86"/>
      <c r="B1287" s="73"/>
      <c r="C1287" s="73"/>
      <c r="D1287" s="73"/>
      <c r="E1287" s="88"/>
      <c r="F1287" s="73"/>
      <c r="G1287" s="394"/>
      <c r="H1287" s="77"/>
      <c r="I1287" s="88"/>
      <c r="J1287" s="393">
        <v>44398.0</v>
      </c>
      <c r="K1287" s="393">
        <f t="shared" si="7"/>
        <v>44399</v>
      </c>
      <c r="L1287" s="394" t="str">
        <f>IFERROR(__xludf.DUMMYFUNCTION("JOIN("""", G1287:H1287)"),"")</f>
        <v/>
      </c>
      <c r="M1287" s="80" t="str">
        <f t="shared" si="2"/>
        <v/>
      </c>
    </row>
    <row r="1288">
      <c r="A1288" s="86"/>
      <c r="B1288" s="73"/>
      <c r="C1288" s="73"/>
      <c r="D1288" s="73"/>
      <c r="E1288" s="88"/>
      <c r="F1288" s="73"/>
      <c r="G1288" s="394"/>
      <c r="H1288" s="77"/>
      <c r="I1288" s="88"/>
      <c r="J1288" s="393">
        <v>44398.0</v>
      </c>
      <c r="K1288" s="393">
        <f t="shared" si="7"/>
        <v>44399</v>
      </c>
      <c r="L1288" s="394" t="str">
        <f>IFERROR(__xludf.DUMMYFUNCTION("JOIN("""", G1288:H1288)"),"")</f>
        <v/>
      </c>
      <c r="M1288" s="80" t="str">
        <f t="shared" si="2"/>
        <v/>
      </c>
    </row>
    <row r="1289">
      <c r="A1289" s="86"/>
      <c r="B1289" s="73"/>
      <c r="C1289" s="73"/>
      <c r="D1289" s="73"/>
      <c r="E1289" s="88"/>
      <c r="F1289" s="73"/>
      <c r="G1289" s="394"/>
      <c r="H1289" s="77"/>
      <c r="I1289" s="88"/>
      <c r="J1289" s="393">
        <v>44398.0</v>
      </c>
      <c r="K1289" s="393">
        <f t="shared" si="7"/>
        <v>44399</v>
      </c>
      <c r="L1289" s="394" t="str">
        <f>IFERROR(__xludf.DUMMYFUNCTION("JOIN("""", G1289:H1289)"),"")</f>
        <v/>
      </c>
      <c r="M1289" s="80" t="str">
        <f t="shared" si="2"/>
        <v/>
      </c>
    </row>
    <row r="1290">
      <c r="A1290" s="86"/>
      <c r="B1290" s="73"/>
      <c r="C1290" s="73"/>
      <c r="D1290" s="73"/>
      <c r="E1290" s="88"/>
      <c r="F1290" s="73"/>
      <c r="G1290" s="394"/>
      <c r="H1290" s="77"/>
      <c r="I1290" s="88"/>
      <c r="J1290" s="393">
        <v>44398.0</v>
      </c>
      <c r="K1290" s="393">
        <f t="shared" si="7"/>
        <v>44399</v>
      </c>
      <c r="L1290" s="394" t="str">
        <f>IFERROR(__xludf.DUMMYFUNCTION("JOIN("""", G1290:H1290)"),"")</f>
        <v/>
      </c>
      <c r="M1290" s="80" t="str">
        <f t="shared" si="2"/>
        <v/>
      </c>
    </row>
    <row r="1291">
      <c r="A1291" s="86"/>
      <c r="B1291" s="73"/>
      <c r="C1291" s="73"/>
      <c r="D1291" s="73"/>
      <c r="E1291" s="88"/>
      <c r="F1291" s="73"/>
      <c r="G1291" s="394"/>
      <c r="H1291" s="77"/>
      <c r="I1291" s="88"/>
      <c r="J1291" s="393">
        <v>44398.0</v>
      </c>
      <c r="K1291" s="393">
        <f t="shared" si="7"/>
        <v>44399</v>
      </c>
      <c r="L1291" s="394" t="str">
        <f>IFERROR(__xludf.DUMMYFUNCTION("JOIN("""", G1291:H1291)"),"")</f>
        <v/>
      </c>
      <c r="M1291" s="80" t="str">
        <f t="shared" si="2"/>
        <v/>
      </c>
    </row>
    <row r="1292">
      <c r="A1292" s="86"/>
      <c r="B1292" s="73"/>
      <c r="C1292" s="73"/>
      <c r="D1292" s="73"/>
      <c r="E1292" s="88"/>
      <c r="F1292" s="73"/>
      <c r="G1292" s="394"/>
      <c r="H1292" s="77"/>
      <c r="I1292" s="88"/>
      <c r="J1292" s="401">
        <v>44398.0</v>
      </c>
      <c r="K1292" s="393">
        <f t="shared" si="7"/>
        <v>44399</v>
      </c>
      <c r="L1292" s="394" t="str">
        <f>IFERROR(__xludf.DUMMYFUNCTION("JOIN("""", G1292:H1292)"),"")</f>
        <v/>
      </c>
      <c r="M1292" s="80" t="str">
        <f t="shared" si="2"/>
        <v/>
      </c>
    </row>
    <row r="1293">
      <c r="A1293" s="86"/>
      <c r="B1293" s="73"/>
      <c r="C1293" s="73"/>
      <c r="D1293" s="73"/>
      <c r="E1293" s="88"/>
      <c r="F1293" s="73"/>
      <c r="G1293" s="394"/>
      <c r="H1293" s="77"/>
      <c r="I1293" s="88"/>
      <c r="J1293" s="393">
        <v>44398.0</v>
      </c>
      <c r="K1293" s="393">
        <f t="shared" si="7"/>
        <v>44399</v>
      </c>
      <c r="L1293" s="394" t="str">
        <f>IFERROR(__xludf.DUMMYFUNCTION("JOIN("""", G1293:H1293)"),"")</f>
        <v/>
      </c>
      <c r="M1293" s="80" t="str">
        <f t="shared" si="2"/>
        <v/>
      </c>
    </row>
    <row r="1294">
      <c r="A1294" s="86"/>
      <c r="B1294" s="73"/>
      <c r="C1294" s="73"/>
      <c r="D1294" s="73"/>
      <c r="E1294" s="88"/>
      <c r="F1294" s="73"/>
      <c r="G1294" s="394"/>
      <c r="H1294" s="77"/>
      <c r="I1294" s="88"/>
      <c r="J1294" s="393">
        <v>44399.0</v>
      </c>
      <c r="K1294" s="393">
        <f t="shared" si="7"/>
        <v>44400</v>
      </c>
      <c r="L1294" s="394" t="str">
        <f>IFERROR(__xludf.DUMMYFUNCTION("JOIN("""", G1294:H1294)"),"")</f>
        <v/>
      </c>
      <c r="M1294" s="80" t="str">
        <f t="shared" si="2"/>
        <v/>
      </c>
    </row>
    <row r="1295">
      <c r="A1295" s="86"/>
      <c r="B1295" s="73"/>
      <c r="C1295" s="73"/>
      <c r="D1295" s="73"/>
      <c r="E1295" s="88"/>
      <c r="F1295" s="73"/>
      <c r="G1295" s="394"/>
      <c r="H1295" s="77"/>
      <c r="I1295" s="88"/>
      <c r="J1295" s="393">
        <v>44399.0</v>
      </c>
      <c r="K1295" s="393">
        <f t="shared" si="7"/>
        <v>44400</v>
      </c>
      <c r="L1295" s="394" t="str">
        <f>IFERROR(__xludf.DUMMYFUNCTION("JOIN("""", G1295:H1295)"),"")</f>
        <v/>
      </c>
      <c r="M1295" s="80" t="str">
        <f t="shared" si="2"/>
        <v/>
      </c>
    </row>
    <row r="1296">
      <c r="A1296" s="86"/>
      <c r="B1296" s="73"/>
      <c r="C1296" s="73"/>
      <c r="D1296" s="73"/>
      <c r="E1296" s="88"/>
      <c r="F1296" s="73"/>
      <c r="G1296" s="394"/>
      <c r="H1296" s="77"/>
      <c r="I1296" s="88"/>
      <c r="J1296" s="393">
        <v>44399.0</v>
      </c>
      <c r="K1296" s="393">
        <f t="shared" si="7"/>
        <v>44400</v>
      </c>
      <c r="L1296" s="394" t="str">
        <f>IFERROR(__xludf.DUMMYFUNCTION("JOIN("""", G1296:H1296)"),"")</f>
        <v/>
      </c>
      <c r="M1296" s="80" t="str">
        <f t="shared" si="2"/>
        <v/>
      </c>
    </row>
    <row r="1297">
      <c r="A1297" s="86"/>
      <c r="B1297" s="73"/>
      <c r="C1297" s="73"/>
      <c r="D1297" s="73"/>
      <c r="E1297" s="88"/>
      <c r="F1297" s="73"/>
      <c r="G1297" s="394"/>
      <c r="H1297" s="77"/>
      <c r="I1297" s="88"/>
      <c r="J1297" s="393">
        <v>44399.0</v>
      </c>
      <c r="K1297" s="393">
        <f t="shared" si="7"/>
        <v>44400</v>
      </c>
      <c r="L1297" s="394" t="str">
        <f>IFERROR(__xludf.DUMMYFUNCTION("JOIN("""", G1297:H1297)"),"")</f>
        <v/>
      </c>
      <c r="M1297" s="80" t="str">
        <f t="shared" si="2"/>
        <v/>
      </c>
    </row>
    <row r="1298">
      <c r="A1298" s="86"/>
      <c r="B1298" s="73"/>
      <c r="C1298" s="73"/>
      <c r="D1298" s="73"/>
      <c r="E1298" s="88"/>
      <c r="F1298" s="73"/>
      <c r="G1298" s="394"/>
      <c r="H1298" s="77"/>
      <c r="I1298" s="88"/>
      <c r="J1298" s="393">
        <v>44399.0</v>
      </c>
      <c r="K1298" s="393">
        <f t="shared" si="7"/>
        <v>44400</v>
      </c>
      <c r="L1298" s="394" t="str">
        <f>IFERROR(__xludf.DUMMYFUNCTION("JOIN("""", G1298:H1298)"),"")</f>
        <v/>
      </c>
      <c r="M1298" s="80" t="str">
        <f t="shared" si="2"/>
        <v/>
      </c>
    </row>
    <row r="1299">
      <c r="A1299" s="86"/>
      <c r="B1299" s="73"/>
      <c r="C1299" s="73"/>
      <c r="D1299" s="73"/>
      <c r="E1299" s="88"/>
      <c r="F1299" s="73"/>
      <c r="G1299" s="394"/>
      <c r="H1299" s="77"/>
      <c r="I1299" s="88"/>
      <c r="J1299" s="393">
        <v>44399.0</v>
      </c>
      <c r="K1299" s="393">
        <f t="shared" si="7"/>
        <v>44400</v>
      </c>
      <c r="L1299" s="394" t="str">
        <f>IFERROR(__xludf.DUMMYFUNCTION("JOIN("""", G1299:H1299)"),"")</f>
        <v/>
      </c>
      <c r="M1299" s="80" t="str">
        <f t="shared" si="2"/>
        <v/>
      </c>
    </row>
    <row r="1300">
      <c r="A1300" s="86"/>
      <c r="B1300" s="73"/>
      <c r="C1300" s="73"/>
      <c r="D1300" s="73"/>
      <c r="E1300" s="88"/>
      <c r="F1300" s="73"/>
      <c r="G1300" s="394"/>
      <c r="H1300" s="77"/>
      <c r="I1300" s="88"/>
      <c r="J1300" s="393">
        <v>44399.0</v>
      </c>
      <c r="K1300" s="393">
        <f t="shared" si="7"/>
        <v>44400</v>
      </c>
      <c r="L1300" s="394" t="str">
        <f>IFERROR(__xludf.DUMMYFUNCTION("JOIN("""", G1300:H1300)"),"")</f>
        <v/>
      </c>
      <c r="M1300" s="80" t="str">
        <f t="shared" si="2"/>
        <v/>
      </c>
    </row>
    <row r="1301">
      <c r="A1301" s="86"/>
      <c r="B1301" s="73"/>
      <c r="C1301" s="73"/>
      <c r="D1301" s="73"/>
      <c r="E1301" s="88"/>
      <c r="F1301" s="73"/>
      <c r="G1301" s="394"/>
      <c r="H1301" s="77"/>
      <c r="I1301" s="88"/>
      <c r="J1301" s="393">
        <v>44399.0</v>
      </c>
      <c r="K1301" s="393">
        <f t="shared" si="7"/>
        <v>44400</v>
      </c>
      <c r="L1301" s="394" t="str">
        <f>IFERROR(__xludf.DUMMYFUNCTION("JOIN("""", G1301:H1301)"),"")</f>
        <v/>
      </c>
      <c r="M1301" s="80" t="str">
        <f t="shared" si="2"/>
        <v/>
      </c>
    </row>
    <row r="1302">
      <c r="A1302" s="86"/>
      <c r="B1302" s="73"/>
      <c r="C1302" s="73"/>
      <c r="D1302" s="73"/>
      <c r="E1302" s="88"/>
      <c r="F1302" s="73"/>
      <c r="G1302" s="394"/>
      <c r="H1302" s="77"/>
      <c r="I1302" s="88"/>
      <c r="J1302" s="393">
        <v>44399.0</v>
      </c>
      <c r="K1302" s="393">
        <f t="shared" si="7"/>
        <v>44400</v>
      </c>
      <c r="L1302" s="394" t="str">
        <f>IFERROR(__xludf.DUMMYFUNCTION("JOIN("""", G1302:H1302)"),"")</f>
        <v/>
      </c>
      <c r="M1302" s="80" t="str">
        <f t="shared" si="2"/>
        <v/>
      </c>
    </row>
    <row r="1303">
      <c r="A1303" s="86"/>
      <c r="B1303" s="73"/>
      <c r="C1303" s="73"/>
      <c r="D1303" s="73"/>
      <c r="E1303" s="88"/>
      <c r="F1303" s="73"/>
      <c r="G1303" s="394"/>
      <c r="H1303" s="77"/>
      <c r="I1303" s="88"/>
      <c r="J1303" s="393">
        <v>44399.0</v>
      </c>
      <c r="K1303" s="393">
        <f t="shared" si="7"/>
        <v>44400</v>
      </c>
      <c r="L1303" s="394" t="str">
        <f>IFERROR(__xludf.DUMMYFUNCTION("JOIN("""", G1303:H1303)"),"")</f>
        <v/>
      </c>
      <c r="M1303" s="80" t="str">
        <f t="shared" si="2"/>
        <v/>
      </c>
    </row>
    <row r="1304">
      <c r="A1304" s="86"/>
      <c r="B1304" s="73"/>
      <c r="C1304" s="73"/>
      <c r="D1304" s="73"/>
      <c r="E1304" s="88"/>
      <c r="F1304" s="73"/>
      <c r="G1304" s="394"/>
      <c r="H1304" s="77"/>
      <c r="I1304" s="88"/>
      <c r="J1304" s="393">
        <v>44399.0</v>
      </c>
      <c r="K1304" s="393">
        <f t="shared" si="7"/>
        <v>44400</v>
      </c>
      <c r="L1304" s="394" t="str">
        <f>IFERROR(__xludf.DUMMYFUNCTION("JOIN("""", G1304:H1304)"),"")</f>
        <v/>
      </c>
      <c r="M1304" s="80" t="str">
        <f t="shared" si="2"/>
        <v/>
      </c>
    </row>
    <row r="1305">
      <c r="A1305" s="86"/>
      <c r="B1305" s="73"/>
      <c r="C1305" s="73"/>
      <c r="D1305" s="73"/>
      <c r="E1305" s="88"/>
      <c r="F1305" s="73"/>
      <c r="G1305" s="394"/>
      <c r="H1305" s="77"/>
      <c r="I1305" s="88"/>
      <c r="J1305" s="393">
        <v>44400.0</v>
      </c>
      <c r="K1305" s="393">
        <f t="shared" si="7"/>
        <v>44401</v>
      </c>
      <c r="L1305" s="394" t="str">
        <f>IFERROR(__xludf.DUMMYFUNCTION("JOIN("""", G1305:H1305)"),"")</f>
        <v/>
      </c>
      <c r="M1305" s="80" t="str">
        <f t="shared" si="2"/>
        <v/>
      </c>
    </row>
    <row r="1306">
      <c r="A1306" s="86"/>
      <c r="B1306" s="73"/>
      <c r="C1306" s="73"/>
      <c r="D1306" s="73"/>
      <c r="E1306" s="88"/>
      <c r="F1306" s="73"/>
      <c r="G1306" s="394"/>
      <c r="H1306" s="77"/>
      <c r="I1306" s="88"/>
      <c r="J1306" s="393">
        <v>44400.0</v>
      </c>
      <c r="K1306" s="393">
        <f t="shared" si="7"/>
        <v>44401</v>
      </c>
      <c r="L1306" s="394" t="str">
        <f>IFERROR(__xludf.DUMMYFUNCTION("JOIN("""", G1306:H1306)"),"")</f>
        <v/>
      </c>
      <c r="M1306" s="80" t="str">
        <f t="shared" si="2"/>
        <v/>
      </c>
    </row>
    <row r="1307">
      <c r="A1307" s="86"/>
      <c r="B1307" s="73"/>
      <c r="C1307" s="73"/>
      <c r="D1307" s="73"/>
      <c r="E1307" s="88"/>
      <c r="F1307" s="73"/>
      <c r="G1307" s="394"/>
      <c r="H1307" s="77"/>
      <c r="I1307" s="88"/>
      <c r="J1307" s="393">
        <v>44400.0</v>
      </c>
      <c r="K1307" s="393">
        <f t="shared" si="7"/>
        <v>44401</v>
      </c>
      <c r="L1307" s="394" t="str">
        <f>IFERROR(__xludf.DUMMYFUNCTION("JOIN("""", G1307:H1307)"),"")</f>
        <v/>
      </c>
      <c r="M1307" s="80" t="str">
        <f t="shared" si="2"/>
        <v/>
      </c>
    </row>
    <row r="1308">
      <c r="A1308" s="86"/>
      <c r="B1308" s="73"/>
      <c r="C1308" s="73"/>
      <c r="D1308" s="73"/>
      <c r="E1308" s="88"/>
      <c r="F1308" s="73"/>
      <c r="G1308" s="394"/>
      <c r="H1308" s="77"/>
      <c r="I1308" s="88"/>
      <c r="J1308" s="393">
        <v>44400.0</v>
      </c>
      <c r="K1308" s="393">
        <f t="shared" si="7"/>
        <v>44401</v>
      </c>
      <c r="L1308" s="394" t="str">
        <f>IFERROR(__xludf.DUMMYFUNCTION("JOIN("""", G1308:H1308)"),"")</f>
        <v/>
      </c>
      <c r="M1308" s="80" t="str">
        <f t="shared" si="2"/>
        <v/>
      </c>
    </row>
    <row r="1309">
      <c r="A1309" s="86"/>
      <c r="B1309" s="73"/>
      <c r="C1309" s="73"/>
      <c r="D1309" s="73"/>
      <c r="E1309" s="88"/>
      <c r="F1309" s="73"/>
      <c r="G1309" s="394"/>
      <c r="H1309" s="77"/>
      <c r="I1309" s="88"/>
      <c r="J1309" s="393">
        <v>44402.0</v>
      </c>
      <c r="K1309" s="393">
        <f t="shared" si="7"/>
        <v>44403</v>
      </c>
      <c r="L1309" s="394" t="str">
        <f>IFERROR(__xludf.DUMMYFUNCTION("JOIN("""", G1309:H1309)"),"")</f>
        <v/>
      </c>
      <c r="M1309" s="80" t="str">
        <f t="shared" si="2"/>
        <v/>
      </c>
    </row>
    <row r="1310">
      <c r="A1310" s="86"/>
      <c r="B1310" s="73"/>
      <c r="C1310" s="73"/>
      <c r="D1310" s="73"/>
      <c r="E1310" s="88"/>
      <c r="F1310" s="73"/>
      <c r="G1310" s="394"/>
      <c r="H1310" s="77"/>
      <c r="I1310" s="88"/>
      <c r="J1310" s="393">
        <v>44400.0</v>
      </c>
      <c r="K1310" s="393">
        <f t="shared" si="7"/>
        <v>44401</v>
      </c>
      <c r="L1310" s="394" t="str">
        <f>IFERROR(__xludf.DUMMYFUNCTION("JOIN("""", G1310:H1310)"),"")</f>
        <v/>
      </c>
      <c r="M1310" s="80" t="str">
        <f t="shared" si="2"/>
        <v/>
      </c>
    </row>
    <row r="1311">
      <c r="A1311" s="86"/>
      <c r="B1311" s="73"/>
      <c r="C1311" s="73"/>
      <c r="D1311" s="73"/>
      <c r="E1311" s="88"/>
      <c r="F1311" s="73"/>
      <c r="G1311" s="394"/>
      <c r="H1311" s="77"/>
      <c r="I1311" s="88"/>
      <c r="J1311" s="393">
        <v>44401.0</v>
      </c>
      <c r="K1311" s="393">
        <f t="shared" si="7"/>
        <v>44402</v>
      </c>
      <c r="L1311" s="394" t="str">
        <f>IFERROR(__xludf.DUMMYFUNCTION("JOIN("""", G1311:H1311)"),"")</f>
        <v/>
      </c>
      <c r="M1311" s="80" t="str">
        <f t="shared" si="2"/>
        <v/>
      </c>
    </row>
    <row r="1312">
      <c r="A1312" s="86"/>
      <c r="B1312" s="73"/>
      <c r="C1312" s="73"/>
      <c r="D1312" s="73"/>
      <c r="E1312" s="88"/>
      <c r="F1312" s="73"/>
      <c r="G1312" s="394"/>
      <c r="H1312" s="77"/>
      <c r="I1312" s="88"/>
      <c r="J1312" s="393">
        <v>44401.0</v>
      </c>
      <c r="K1312" s="393">
        <f t="shared" si="7"/>
        <v>44402</v>
      </c>
      <c r="L1312" s="394" t="str">
        <f>IFERROR(__xludf.DUMMYFUNCTION("JOIN("""", G1312:H1312)"),"")</f>
        <v/>
      </c>
      <c r="M1312" s="80" t="str">
        <f t="shared" si="2"/>
        <v/>
      </c>
    </row>
    <row r="1313">
      <c r="A1313" s="86"/>
      <c r="B1313" s="73"/>
      <c r="C1313" s="73"/>
      <c r="D1313" s="73"/>
      <c r="E1313" s="88"/>
      <c r="F1313" s="73"/>
      <c r="G1313" s="394"/>
      <c r="H1313" s="77"/>
      <c r="I1313" s="88"/>
      <c r="J1313" s="393">
        <v>44401.0</v>
      </c>
      <c r="K1313" s="393">
        <f t="shared" si="7"/>
        <v>44402</v>
      </c>
      <c r="L1313" s="394" t="str">
        <f>IFERROR(__xludf.DUMMYFUNCTION("JOIN("""", G1313:H1313)"),"")</f>
        <v/>
      </c>
      <c r="M1313" s="80" t="str">
        <f t="shared" si="2"/>
        <v/>
      </c>
    </row>
    <row r="1314">
      <c r="A1314" s="86"/>
      <c r="B1314" s="73"/>
      <c r="C1314" s="73"/>
      <c r="D1314" s="73"/>
      <c r="E1314" s="88"/>
      <c r="F1314" s="73"/>
      <c r="G1314" s="394"/>
      <c r="H1314" s="77"/>
      <c r="I1314" s="88"/>
      <c r="J1314" s="393">
        <v>44455.0</v>
      </c>
      <c r="K1314" s="393">
        <f t="shared" si="7"/>
        <v>44456</v>
      </c>
      <c r="L1314" s="394" t="str">
        <f>IFERROR(__xludf.DUMMYFUNCTION("JOIN("""", G1314:H1314)"),"")</f>
        <v/>
      </c>
      <c r="M1314" s="80" t="str">
        <f t="shared" si="2"/>
        <v/>
      </c>
    </row>
    <row r="1315">
      <c r="A1315" s="86"/>
      <c r="B1315" s="73"/>
      <c r="C1315" s="73"/>
      <c r="D1315" s="73"/>
      <c r="E1315" s="88"/>
      <c r="F1315" s="73"/>
      <c r="G1315" s="394"/>
      <c r="H1315" s="77"/>
      <c r="I1315" s="88"/>
      <c r="J1315" s="393">
        <v>44401.0</v>
      </c>
      <c r="K1315" s="393">
        <f t="shared" si="7"/>
        <v>44402</v>
      </c>
      <c r="L1315" s="394" t="str">
        <f>IFERROR(__xludf.DUMMYFUNCTION("JOIN("""", G1315:H1315)"),"")</f>
        <v/>
      </c>
      <c r="M1315" s="80" t="str">
        <f t="shared" si="2"/>
        <v/>
      </c>
    </row>
    <row r="1316">
      <c r="A1316" s="86"/>
      <c r="B1316" s="73"/>
      <c r="C1316" s="73"/>
      <c r="D1316" s="73"/>
      <c r="E1316" s="88"/>
      <c r="F1316" s="73"/>
      <c r="G1316" s="394"/>
      <c r="H1316" s="77"/>
      <c r="I1316" s="88"/>
      <c r="J1316" s="393">
        <v>44401.0</v>
      </c>
      <c r="K1316" s="393">
        <f t="shared" si="7"/>
        <v>44402</v>
      </c>
      <c r="L1316" s="394" t="str">
        <f>IFERROR(__xludf.DUMMYFUNCTION("JOIN("""", G1316:H1316)"),"")</f>
        <v/>
      </c>
      <c r="M1316" s="80" t="str">
        <f t="shared" si="2"/>
        <v/>
      </c>
    </row>
    <row r="1317">
      <c r="A1317" s="86"/>
      <c r="B1317" s="73"/>
      <c r="C1317" s="73"/>
      <c r="D1317" s="73"/>
      <c r="E1317" s="88"/>
      <c r="F1317" s="73"/>
      <c r="G1317" s="394"/>
      <c r="H1317" s="77"/>
      <c r="I1317" s="88"/>
      <c r="J1317" s="393">
        <v>44401.0</v>
      </c>
      <c r="K1317" s="393">
        <f t="shared" si="7"/>
        <v>44402</v>
      </c>
      <c r="L1317" s="394" t="str">
        <f>IFERROR(__xludf.DUMMYFUNCTION("JOIN("""", G1317:H1317)"),"")</f>
        <v/>
      </c>
      <c r="M1317" s="80" t="str">
        <f t="shared" si="2"/>
        <v/>
      </c>
    </row>
    <row r="1318">
      <c r="A1318" s="86"/>
      <c r="B1318" s="73"/>
      <c r="C1318" s="73"/>
      <c r="D1318" s="73"/>
      <c r="E1318" s="88"/>
      <c r="F1318" s="73"/>
      <c r="G1318" s="394"/>
      <c r="H1318" s="77"/>
      <c r="I1318" s="88"/>
      <c r="J1318" s="393">
        <v>44405.0</v>
      </c>
      <c r="K1318" s="393">
        <f t="shared" si="7"/>
        <v>44406</v>
      </c>
      <c r="L1318" s="394" t="str">
        <f>IFERROR(__xludf.DUMMYFUNCTION("JOIN("""", G1318:H1318)"),"")</f>
        <v/>
      </c>
      <c r="M1318" s="80" t="str">
        <f t="shared" si="2"/>
        <v/>
      </c>
    </row>
    <row r="1319">
      <c r="A1319" s="86"/>
      <c r="B1319" s="73"/>
      <c r="C1319" s="73"/>
      <c r="D1319" s="73"/>
      <c r="E1319" s="88"/>
      <c r="F1319" s="73"/>
      <c r="G1319" s="394"/>
      <c r="H1319" s="77"/>
      <c r="I1319" s="88"/>
      <c r="J1319" s="393">
        <v>44402.0</v>
      </c>
      <c r="K1319" s="393">
        <f t="shared" si="7"/>
        <v>44403</v>
      </c>
      <c r="L1319" s="394" t="str">
        <f>IFERROR(__xludf.DUMMYFUNCTION("JOIN("""", G1319:H1319)"),"")</f>
        <v/>
      </c>
      <c r="M1319" s="80" t="str">
        <f t="shared" si="2"/>
        <v/>
      </c>
    </row>
    <row r="1320">
      <c r="A1320" s="86"/>
      <c r="B1320" s="73"/>
      <c r="C1320" s="73"/>
      <c r="D1320" s="73"/>
      <c r="E1320" s="88"/>
      <c r="F1320" s="73"/>
      <c r="G1320" s="394"/>
      <c r="H1320" s="77"/>
      <c r="I1320" s="88"/>
      <c r="J1320" s="393">
        <v>44406.0</v>
      </c>
      <c r="K1320" s="393">
        <f t="shared" si="7"/>
        <v>44407</v>
      </c>
      <c r="L1320" s="394" t="str">
        <f>IFERROR(__xludf.DUMMYFUNCTION("JOIN("""", G1320:H1320)"),"")</f>
        <v/>
      </c>
      <c r="M1320" s="80" t="str">
        <f t="shared" si="2"/>
        <v/>
      </c>
    </row>
    <row r="1321">
      <c r="A1321" s="86"/>
      <c r="B1321" s="73"/>
      <c r="C1321" s="73"/>
      <c r="D1321" s="73"/>
      <c r="E1321" s="88"/>
      <c r="F1321" s="73"/>
      <c r="G1321" s="394"/>
      <c r="H1321" s="77"/>
      <c r="I1321" s="88"/>
      <c r="J1321" s="393">
        <v>44402.0</v>
      </c>
      <c r="K1321" s="393">
        <f t="shared" si="7"/>
        <v>44403</v>
      </c>
      <c r="L1321" s="394" t="str">
        <f>IFERROR(__xludf.DUMMYFUNCTION("JOIN("""", G1321:H1321)"),"")</f>
        <v/>
      </c>
      <c r="M1321" s="80" t="str">
        <f t="shared" si="2"/>
        <v/>
      </c>
    </row>
    <row r="1322">
      <c r="A1322" s="86"/>
      <c r="B1322" s="73"/>
      <c r="C1322" s="73"/>
      <c r="D1322" s="73"/>
      <c r="E1322" s="88"/>
      <c r="F1322" s="73"/>
      <c r="G1322" s="394"/>
      <c r="H1322" s="77"/>
      <c r="I1322" s="88"/>
      <c r="J1322" s="393">
        <v>44402.0</v>
      </c>
      <c r="K1322" s="393">
        <f t="shared" si="7"/>
        <v>44403</v>
      </c>
      <c r="L1322" s="394" t="str">
        <f>IFERROR(__xludf.DUMMYFUNCTION("JOIN("""", G1322:H1322)"),"")</f>
        <v/>
      </c>
      <c r="M1322" s="80" t="str">
        <f t="shared" si="2"/>
        <v/>
      </c>
    </row>
    <row r="1323">
      <c r="A1323" s="86"/>
      <c r="B1323" s="73"/>
      <c r="C1323" s="73"/>
      <c r="D1323" s="73"/>
      <c r="E1323" s="88"/>
      <c r="F1323" s="73"/>
      <c r="G1323" s="394"/>
      <c r="H1323" s="77"/>
      <c r="I1323" s="88"/>
      <c r="J1323" s="393">
        <v>44402.0</v>
      </c>
      <c r="K1323" s="393">
        <f t="shared" si="7"/>
        <v>44403</v>
      </c>
      <c r="L1323" s="394" t="str">
        <f>IFERROR(__xludf.DUMMYFUNCTION("JOIN("""", G1323:H1323)"),"")</f>
        <v/>
      </c>
      <c r="M1323" s="80" t="str">
        <f t="shared" si="2"/>
        <v/>
      </c>
    </row>
    <row r="1324">
      <c r="A1324" s="86"/>
      <c r="B1324" s="73"/>
      <c r="C1324" s="73"/>
      <c r="D1324" s="73"/>
      <c r="E1324" s="88"/>
      <c r="F1324" s="73"/>
      <c r="G1324" s="394"/>
      <c r="H1324" s="77"/>
      <c r="I1324" s="88"/>
      <c r="J1324" s="393">
        <v>44402.0</v>
      </c>
      <c r="K1324" s="393">
        <f t="shared" si="7"/>
        <v>44403</v>
      </c>
      <c r="L1324" s="394" t="str">
        <f>IFERROR(__xludf.DUMMYFUNCTION("JOIN("""", G1324:H1324)"),"")</f>
        <v/>
      </c>
      <c r="M1324" s="80" t="str">
        <f t="shared" si="2"/>
        <v/>
      </c>
    </row>
    <row r="1325">
      <c r="A1325" s="86"/>
      <c r="B1325" s="73"/>
      <c r="C1325" s="73"/>
      <c r="D1325" s="73"/>
      <c r="E1325" s="88"/>
      <c r="F1325" s="73"/>
      <c r="G1325" s="394"/>
      <c r="H1325" s="77"/>
      <c r="I1325" s="88"/>
      <c r="J1325" s="393">
        <v>44416.0</v>
      </c>
      <c r="K1325" s="393">
        <f t="shared" si="7"/>
        <v>44417</v>
      </c>
      <c r="L1325" s="394" t="str">
        <f>IFERROR(__xludf.DUMMYFUNCTION("JOIN("""", G1325:H1325)"),"")</f>
        <v/>
      </c>
      <c r="M1325" s="80" t="str">
        <f t="shared" si="2"/>
        <v/>
      </c>
    </row>
    <row r="1326">
      <c r="A1326" s="86"/>
      <c r="B1326" s="73"/>
      <c r="C1326" s="73"/>
      <c r="D1326" s="73"/>
      <c r="E1326" s="88"/>
      <c r="F1326" s="73"/>
      <c r="G1326" s="394"/>
      <c r="H1326" s="77"/>
      <c r="I1326" s="88"/>
      <c r="J1326" s="393">
        <v>44402.0</v>
      </c>
      <c r="K1326" s="393">
        <f t="shared" si="7"/>
        <v>44403</v>
      </c>
      <c r="L1326" s="394" t="str">
        <f>IFERROR(__xludf.DUMMYFUNCTION("JOIN("""", G1326:H1326)"),"")</f>
        <v/>
      </c>
      <c r="M1326" s="80" t="str">
        <f t="shared" si="2"/>
        <v/>
      </c>
    </row>
    <row r="1327">
      <c r="A1327" s="86"/>
      <c r="B1327" s="73"/>
      <c r="C1327" s="396"/>
      <c r="D1327" s="73"/>
      <c r="E1327" s="88"/>
      <c r="F1327" s="73"/>
      <c r="G1327" s="394"/>
      <c r="H1327" s="77"/>
      <c r="I1327" s="88"/>
      <c r="J1327" s="393">
        <v>44402.0</v>
      </c>
      <c r="K1327" s="393">
        <f t="shared" si="7"/>
        <v>44403</v>
      </c>
      <c r="L1327" s="394" t="str">
        <f>IFERROR(__xludf.DUMMYFUNCTION("JOIN("""", G1327:H1327)"),"")</f>
        <v/>
      </c>
      <c r="M1327" s="80" t="str">
        <f t="shared" si="2"/>
        <v/>
      </c>
    </row>
    <row r="1328">
      <c r="A1328" s="86"/>
      <c r="B1328" s="396"/>
      <c r="C1328" s="396"/>
      <c r="D1328" s="73"/>
      <c r="E1328" s="88"/>
      <c r="F1328" s="73"/>
      <c r="G1328" s="394"/>
      <c r="H1328" s="77"/>
      <c r="I1328" s="88"/>
      <c r="J1328" s="404">
        <v>44402.0</v>
      </c>
      <c r="K1328" s="393">
        <f t="shared" si="7"/>
        <v>44403</v>
      </c>
      <c r="L1328" s="394" t="str">
        <f>IFERROR(__xludf.DUMMYFUNCTION("JOIN("""", G1328:H1328)"),"")</f>
        <v/>
      </c>
      <c r="M1328" s="80" t="str">
        <f t="shared" si="2"/>
        <v/>
      </c>
    </row>
    <row r="1329">
      <c r="A1329" s="397"/>
      <c r="B1329" s="396"/>
      <c r="C1329" s="396"/>
      <c r="D1329" s="73"/>
      <c r="E1329" s="88"/>
      <c r="F1329" s="73"/>
      <c r="G1329" s="394"/>
      <c r="H1329" s="77"/>
      <c r="I1329" s="88"/>
      <c r="J1329" s="393">
        <v>44402.0</v>
      </c>
      <c r="K1329" s="393">
        <f t="shared" si="7"/>
        <v>44403</v>
      </c>
      <c r="L1329" s="394" t="str">
        <f>IFERROR(__xludf.DUMMYFUNCTION("JOIN("""", G1329:H1329)"),"")</f>
        <v/>
      </c>
      <c r="M1329" s="80" t="str">
        <f t="shared" si="2"/>
        <v/>
      </c>
    </row>
    <row r="1330">
      <c r="A1330" s="397"/>
      <c r="B1330" s="396"/>
      <c r="C1330" s="398"/>
      <c r="D1330" s="73"/>
      <c r="E1330" s="88"/>
      <c r="F1330" s="73"/>
      <c r="G1330" s="394"/>
      <c r="H1330" s="77"/>
      <c r="I1330" s="88"/>
      <c r="J1330" s="393">
        <v>44402.0</v>
      </c>
      <c r="K1330" s="393">
        <f t="shared" si="7"/>
        <v>44403</v>
      </c>
      <c r="L1330" s="394" t="str">
        <f>IFERROR(__xludf.DUMMYFUNCTION("JOIN("""", G1330:H1330)"),"")</f>
        <v/>
      </c>
      <c r="M1330" s="80" t="str">
        <f t="shared" si="2"/>
        <v/>
      </c>
    </row>
    <row r="1331">
      <c r="A1331" s="86"/>
      <c r="B1331" s="73"/>
      <c r="C1331" s="73"/>
      <c r="D1331" s="73"/>
      <c r="E1331" s="88"/>
      <c r="F1331" s="73"/>
      <c r="G1331" s="394"/>
      <c r="H1331" s="77"/>
      <c r="I1331" s="88"/>
      <c r="J1331" s="393">
        <v>44403.0</v>
      </c>
      <c r="K1331" s="393">
        <f t="shared" si="7"/>
        <v>44404</v>
      </c>
      <c r="L1331" s="394" t="str">
        <f>IFERROR(__xludf.DUMMYFUNCTION("JOIN("""", G1331:H1331)"),"")</f>
        <v/>
      </c>
      <c r="M1331" s="80" t="str">
        <f t="shared" si="2"/>
        <v/>
      </c>
    </row>
    <row r="1332">
      <c r="A1332" s="86"/>
      <c r="B1332" s="73"/>
      <c r="C1332" s="73"/>
      <c r="D1332" s="73"/>
      <c r="E1332" s="88"/>
      <c r="F1332" s="73"/>
      <c r="G1332" s="394"/>
      <c r="H1332" s="77"/>
      <c r="I1332" s="88"/>
      <c r="J1332" s="393">
        <v>44403.0</v>
      </c>
      <c r="K1332" s="393">
        <f t="shared" si="7"/>
        <v>44404</v>
      </c>
      <c r="L1332" s="394" t="str">
        <f>IFERROR(__xludf.DUMMYFUNCTION("JOIN("""", G1332:H1332)"),"")</f>
        <v/>
      </c>
      <c r="M1332" s="80" t="str">
        <f t="shared" si="2"/>
        <v/>
      </c>
    </row>
    <row r="1333">
      <c r="A1333" s="86"/>
      <c r="B1333" s="73"/>
      <c r="C1333" s="73"/>
      <c r="D1333" s="73"/>
      <c r="E1333" s="88"/>
      <c r="F1333" s="73"/>
      <c r="G1333" s="394"/>
      <c r="H1333" s="77"/>
      <c r="I1333" s="88"/>
      <c r="J1333" s="393">
        <v>44405.0</v>
      </c>
      <c r="K1333" s="393">
        <v>44403.0</v>
      </c>
      <c r="L1333" s="394" t="str">
        <f>IFERROR(__xludf.DUMMYFUNCTION("JOIN("""", G1333:H1333)"),"")</f>
        <v/>
      </c>
      <c r="M1333" s="80" t="str">
        <f t="shared" si="2"/>
        <v/>
      </c>
    </row>
    <row r="1334">
      <c r="A1334" s="86"/>
      <c r="B1334" s="73"/>
      <c r="C1334" s="73"/>
      <c r="D1334" s="73"/>
      <c r="E1334" s="88"/>
      <c r="F1334" s="73"/>
      <c r="G1334" s="394"/>
      <c r="H1334" s="77"/>
      <c r="I1334" s="88"/>
      <c r="J1334" s="393">
        <v>44410.0</v>
      </c>
      <c r="K1334" s="393">
        <f t="shared" ref="K1334:K3000" si="8">J1334+1</f>
        <v>44411</v>
      </c>
      <c r="L1334" s="394" t="str">
        <f>IFERROR(__xludf.DUMMYFUNCTION("JOIN("""", G1334:H1334)"),"")</f>
        <v/>
      </c>
      <c r="M1334" s="80" t="str">
        <f t="shared" si="2"/>
        <v/>
      </c>
    </row>
    <row r="1335">
      <c r="A1335" s="86"/>
      <c r="B1335" s="73"/>
      <c r="C1335" s="73"/>
      <c r="D1335" s="73"/>
      <c r="E1335" s="88"/>
      <c r="F1335" s="73"/>
      <c r="G1335" s="394"/>
      <c r="H1335" s="77"/>
      <c r="I1335" s="88"/>
      <c r="J1335" s="393">
        <v>44404.0</v>
      </c>
      <c r="K1335" s="393">
        <f t="shared" si="8"/>
        <v>44405</v>
      </c>
      <c r="L1335" s="394" t="str">
        <f>IFERROR(__xludf.DUMMYFUNCTION("JOIN("""", G1335:H1335)"),"")</f>
        <v/>
      </c>
      <c r="M1335" s="80" t="str">
        <f t="shared" si="2"/>
        <v/>
      </c>
    </row>
    <row r="1336">
      <c r="A1336" s="86"/>
      <c r="B1336" s="73"/>
      <c r="C1336" s="73"/>
      <c r="D1336" s="73"/>
      <c r="E1336" s="88"/>
      <c r="F1336" s="73"/>
      <c r="G1336" s="394"/>
      <c r="H1336" s="77"/>
      <c r="I1336" s="88"/>
      <c r="J1336" s="393">
        <v>44405.0</v>
      </c>
      <c r="K1336" s="393">
        <f t="shared" si="8"/>
        <v>44406</v>
      </c>
      <c r="L1336" s="394" t="str">
        <f>IFERROR(__xludf.DUMMYFUNCTION("JOIN("""", G1336:H1336)"),"")</f>
        <v/>
      </c>
      <c r="M1336" s="80" t="str">
        <f t="shared" si="2"/>
        <v/>
      </c>
    </row>
    <row r="1337">
      <c r="A1337" s="86"/>
      <c r="B1337" s="73"/>
      <c r="C1337" s="73"/>
      <c r="D1337" s="73"/>
      <c r="E1337" s="88"/>
      <c r="F1337" s="73"/>
      <c r="G1337" s="394"/>
      <c r="H1337" s="77"/>
      <c r="I1337" s="88"/>
      <c r="J1337" s="393">
        <v>44404.0</v>
      </c>
      <c r="K1337" s="393">
        <f t="shared" si="8"/>
        <v>44405</v>
      </c>
      <c r="L1337" s="394" t="str">
        <f>IFERROR(__xludf.DUMMYFUNCTION("JOIN("""", G1337:H1337)"),"")</f>
        <v/>
      </c>
      <c r="M1337" s="80" t="str">
        <f t="shared" si="2"/>
        <v/>
      </c>
    </row>
    <row r="1338">
      <c r="A1338" s="86"/>
      <c r="B1338" s="73"/>
      <c r="C1338" s="73"/>
      <c r="D1338" s="73"/>
      <c r="E1338" s="88"/>
      <c r="F1338" s="73"/>
      <c r="G1338" s="394"/>
      <c r="H1338" s="77"/>
      <c r="I1338" s="88"/>
      <c r="J1338" s="393">
        <v>44404.0</v>
      </c>
      <c r="K1338" s="393">
        <f t="shared" si="8"/>
        <v>44405</v>
      </c>
      <c r="L1338" s="394" t="str">
        <f>IFERROR(__xludf.DUMMYFUNCTION("JOIN("""", G1338:H1338)"),"")</f>
        <v/>
      </c>
      <c r="M1338" s="80" t="str">
        <f t="shared" si="2"/>
        <v/>
      </c>
    </row>
    <row r="1339">
      <c r="A1339" s="86"/>
      <c r="B1339" s="73"/>
      <c r="C1339" s="73"/>
      <c r="D1339" s="73"/>
      <c r="E1339" s="88"/>
      <c r="F1339" s="73"/>
      <c r="G1339" s="394"/>
      <c r="H1339" s="77"/>
      <c r="I1339" s="88"/>
      <c r="J1339" s="393">
        <v>44404.0</v>
      </c>
      <c r="K1339" s="393">
        <f t="shared" si="8"/>
        <v>44405</v>
      </c>
      <c r="L1339" s="394" t="str">
        <f>IFERROR(__xludf.DUMMYFUNCTION("JOIN("""", G1339:H1339)"),"")</f>
        <v/>
      </c>
      <c r="M1339" s="80" t="str">
        <f t="shared" si="2"/>
        <v/>
      </c>
    </row>
    <row r="1340">
      <c r="A1340" s="86"/>
      <c r="B1340" s="73"/>
      <c r="C1340" s="73"/>
      <c r="D1340" s="73"/>
      <c r="E1340" s="88"/>
      <c r="F1340" s="73"/>
      <c r="G1340" s="394"/>
      <c r="H1340" s="77"/>
      <c r="I1340" s="88"/>
      <c r="J1340" s="393">
        <v>44404.0</v>
      </c>
      <c r="K1340" s="393">
        <f t="shared" si="8"/>
        <v>44405</v>
      </c>
      <c r="L1340" s="394" t="str">
        <f>IFERROR(__xludf.DUMMYFUNCTION("JOIN("""", G1340:H1340)"),"")</f>
        <v/>
      </c>
      <c r="M1340" s="80" t="str">
        <f t="shared" si="2"/>
        <v/>
      </c>
    </row>
    <row r="1341">
      <c r="A1341" s="86"/>
      <c r="B1341" s="73"/>
      <c r="C1341" s="73"/>
      <c r="D1341" s="73"/>
      <c r="E1341" s="88"/>
      <c r="F1341" s="73"/>
      <c r="G1341" s="394"/>
      <c r="H1341" s="77"/>
      <c r="I1341" s="88"/>
      <c r="J1341" s="393">
        <v>44404.0</v>
      </c>
      <c r="K1341" s="393">
        <f t="shared" si="8"/>
        <v>44405</v>
      </c>
      <c r="L1341" s="394" t="str">
        <f>IFERROR(__xludf.DUMMYFUNCTION("JOIN("""", G1341:H1341)"),"")</f>
        <v/>
      </c>
      <c r="M1341" s="80" t="str">
        <f t="shared" si="2"/>
        <v/>
      </c>
    </row>
    <row r="1342">
      <c r="A1342" s="86"/>
      <c r="B1342" s="73"/>
      <c r="C1342" s="73"/>
      <c r="D1342" s="73"/>
      <c r="E1342" s="88"/>
      <c r="F1342" s="73"/>
      <c r="G1342" s="394"/>
      <c r="H1342" s="77"/>
      <c r="I1342" s="88"/>
      <c r="J1342" s="393">
        <v>44404.0</v>
      </c>
      <c r="K1342" s="393">
        <f t="shared" si="8"/>
        <v>44405</v>
      </c>
      <c r="L1342" s="394" t="str">
        <f>IFERROR(__xludf.DUMMYFUNCTION("JOIN("""", G1342:H1342)"),"")</f>
        <v/>
      </c>
      <c r="M1342" s="80" t="str">
        <f t="shared" si="2"/>
        <v/>
      </c>
    </row>
    <row r="1343">
      <c r="A1343" s="86"/>
      <c r="B1343" s="73"/>
      <c r="C1343" s="73"/>
      <c r="D1343" s="73"/>
      <c r="E1343" s="88"/>
      <c r="F1343" s="73"/>
      <c r="G1343" s="394"/>
      <c r="H1343" s="77"/>
      <c r="I1343" s="88"/>
      <c r="J1343" s="393">
        <v>44405.0</v>
      </c>
      <c r="K1343" s="393">
        <f t="shared" si="8"/>
        <v>44406</v>
      </c>
      <c r="L1343" s="394" t="str">
        <f>IFERROR(__xludf.DUMMYFUNCTION("JOIN("""", G1343:H1343)"),"")</f>
        <v/>
      </c>
      <c r="M1343" s="80" t="str">
        <f t="shared" si="2"/>
        <v/>
      </c>
    </row>
    <row r="1344">
      <c r="A1344" s="86"/>
      <c r="B1344" s="73"/>
      <c r="C1344" s="73"/>
      <c r="D1344" s="73"/>
      <c r="E1344" s="88"/>
      <c r="F1344" s="73"/>
      <c r="G1344" s="394"/>
      <c r="H1344" s="77"/>
      <c r="I1344" s="88"/>
      <c r="J1344" s="393">
        <v>44405.0</v>
      </c>
      <c r="K1344" s="393">
        <f t="shared" si="8"/>
        <v>44406</v>
      </c>
      <c r="L1344" s="394" t="str">
        <f>IFERROR(__xludf.DUMMYFUNCTION("JOIN("""", G1344:H1344)"),"")</f>
        <v/>
      </c>
      <c r="M1344" s="80" t="str">
        <f t="shared" si="2"/>
        <v/>
      </c>
    </row>
    <row r="1345">
      <c r="A1345" s="86"/>
      <c r="B1345" s="73"/>
      <c r="C1345" s="73"/>
      <c r="D1345" s="73"/>
      <c r="E1345" s="88"/>
      <c r="F1345" s="73"/>
      <c r="G1345" s="394"/>
      <c r="H1345" s="77"/>
      <c r="I1345" s="88"/>
      <c r="J1345" s="393">
        <v>44411.0</v>
      </c>
      <c r="K1345" s="393">
        <f t="shared" si="8"/>
        <v>44412</v>
      </c>
      <c r="L1345" s="394" t="str">
        <f>IFERROR(__xludf.DUMMYFUNCTION("JOIN("""", G1345:H1345)"),"")</f>
        <v/>
      </c>
      <c r="M1345" s="80" t="str">
        <f t="shared" si="2"/>
        <v/>
      </c>
    </row>
    <row r="1346">
      <c r="A1346" s="86"/>
      <c r="B1346" s="73"/>
      <c r="C1346" s="396"/>
      <c r="D1346" s="73"/>
      <c r="E1346" s="88"/>
      <c r="F1346" s="73"/>
      <c r="G1346" s="394"/>
      <c r="H1346" s="77"/>
      <c r="I1346" s="88"/>
      <c r="J1346" s="404">
        <v>44405.0</v>
      </c>
      <c r="K1346" s="393">
        <f t="shared" si="8"/>
        <v>44406</v>
      </c>
      <c r="L1346" s="394" t="str">
        <f>IFERROR(__xludf.DUMMYFUNCTION("JOIN("""", G1346:H1346)"),"")</f>
        <v/>
      </c>
      <c r="M1346" s="80" t="str">
        <f t="shared" si="2"/>
        <v/>
      </c>
    </row>
    <row r="1347">
      <c r="A1347" s="86"/>
      <c r="B1347" s="396"/>
      <c r="C1347" s="396"/>
      <c r="D1347" s="73"/>
      <c r="E1347" s="88"/>
      <c r="F1347" s="73"/>
      <c r="G1347" s="394"/>
      <c r="H1347" s="77"/>
      <c r="I1347" s="88"/>
      <c r="J1347" s="393">
        <v>44405.0</v>
      </c>
      <c r="K1347" s="393">
        <f t="shared" si="8"/>
        <v>44406</v>
      </c>
      <c r="L1347" s="394" t="str">
        <f>IFERROR(__xludf.DUMMYFUNCTION("JOIN("""", G1347:H1347)"),"")</f>
        <v/>
      </c>
      <c r="M1347" s="80" t="str">
        <f t="shared" si="2"/>
        <v/>
      </c>
    </row>
    <row r="1348">
      <c r="A1348" s="397"/>
      <c r="B1348" s="396"/>
      <c r="C1348" s="396"/>
      <c r="D1348" s="73"/>
      <c r="E1348" s="88"/>
      <c r="F1348" s="73"/>
      <c r="G1348" s="394"/>
      <c r="H1348" s="77"/>
      <c r="I1348" s="88"/>
      <c r="J1348" s="393">
        <v>44405.0</v>
      </c>
      <c r="K1348" s="393">
        <f t="shared" si="8"/>
        <v>44406</v>
      </c>
      <c r="L1348" s="394" t="str">
        <f>IFERROR(__xludf.DUMMYFUNCTION("JOIN("""", G1348:H1348)"),"")</f>
        <v/>
      </c>
      <c r="M1348" s="80" t="str">
        <f t="shared" si="2"/>
        <v/>
      </c>
    </row>
    <row r="1349">
      <c r="A1349" s="397"/>
      <c r="B1349" s="396"/>
      <c r="C1349" s="398"/>
      <c r="D1349" s="73"/>
      <c r="E1349" s="88"/>
      <c r="F1349" s="73"/>
      <c r="G1349" s="394"/>
      <c r="H1349" s="77"/>
      <c r="I1349" s="88"/>
      <c r="J1349" s="393">
        <v>44406.0</v>
      </c>
      <c r="K1349" s="393">
        <f t="shared" si="8"/>
        <v>44407</v>
      </c>
      <c r="L1349" s="394" t="str">
        <f>IFERROR(__xludf.DUMMYFUNCTION("JOIN("""", G1349:H1349)"),"")</f>
        <v/>
      </c>
      <c r="M1349" s="80" t="str">
        <f t="shared" si="2"/>
        <v/>
      </c>
    </row>
    <row r="1350">
      <c r="A1350" s="86"/>
      <c r="B1350" s="73"/>
      <c r="C1350" s="73"/>
      <c r="D1350" s="73"/>
      <c r="E1350" s="88"/>
      <c r="F1350" s="73"/>
      <c r="G1350" s="394"/>
      <c r="H1350" s="77"/>
      <c r="I1350" s="88"/>
      <c r="J1350" s="393">
        <v>44406.0</v>
      </c>
      <c r="K1350" s="393">
        <f t="shared" si="8"/>
        <v>44407</v>
      </c>
      <c r="L1350" s="394" t="str">
        <f>IFERROR(__xludf.DUMMYFUNCTION("JOIN("""", G1350:H1350)"),"")</f>
        <v/>
      </c>
      <c r="M1350" s="80" t="str">
        <f t="shared" si="2"/>
        <v/>
      </c>
    </row>
    <row r="1351">
      <c r="A1351" s="86"/>
      <c r="B1351" s="73"/>
      <c r="C1351" s="73"/>
      <c r="D1351" s="73"/>
      <c r="E1351" s="88"/>
      <c r="F1351" s="73"/>
      <c r="G1351" s="394"/>
      <c r="H1351" s="77"/>
      <c r="I1351" s="88"/>
      <c r="J1351" s="393">
        <v>44406.0</v>
      </c>
      <c r="K1351" s="393">
        <f t="shared" si="8"/>
        <v>44407</v>
      </c>
      <c r="L1351" s="394" t="str">
        <f>IFERROR(__xludf.DUMMYFUNCTION("JOIN("""", G1351:H1351)"),"")</f>
        <v/>
      </c>
      <c r="M1351" s="80" t="str">
        <f t="shared" si="2"/>
        <v/>
      </c>
    </row>
    <row r="1352">
      <c r="A1352" s="86"/>
      <c r="B1352" s="73"/>
      <c r="C1352" s="73"/>
      <c r="D1352" s="73"/>
      <c r="E1352" s="88"/>
      <c r="F1352" s="73"/>
      <c r="G1352" s="394"/>
      <c r="H1352" s="77"/>
      <c r="I1352" s="88"/>
      <c r="J1352" s="393">
        <v>44406.0</v>
      </c>
      <c r="K1352" s="393">
        <f t="shared" si="8"/>
        <v>44407</v>
      </c>
      <c r="L1352" s="394" t="str">
        <f>IFERROR(__xludf.DUMMYFUNCTION("JOIN("""", G1352:H1352)"),"")</f>
        <v/>
      </c>
      <c r="M1352" s="80" t="str">
        <f t="shared" si="2"/>
        <v/>
      </c>
    </row>
    <row r="1353">
      <c r="A1353" s="86"/>
      <c r="B1353" s="73"/>
      <c r="C1353" s="73"/>
      <c r="D1353" s="73"/>
      <c r="E1353" s="88"/>
      <c r="F1353" s="73"/>
      <c r="G1353" s="394"/>
      <c r="H1353" s="77"/>
      <c r="I1353" s="88"/>
      <c r="J1353" s="393">
        <v>44414.0</v>
      </c>
      <c r="K1353" s="393">
        <f t="shared" si="8"/>
        <v>44415</v>
      </c>
      <c r="L1353" s="394" t="str">
        <f>IFERROR(__xludf.DUMMYFUNCTION("JOIN("""", G1353:H1353)"),"")</f>
        <v/>
      </c>
      <c r="M1353" s="80" t="str">
        <f t="shared" si="2"/>
        <v/>
      </c>
    </row>
    <row r="1354">
      <c r="A1354" s="86"/>
      <c r="B1354" s="73"/>
      <c r="C1354" s="73"/>
      <c r="D1354" s="73"/>
      <c r="E1354" s="88"/>
      <c r="F1354" s="73"/>
      <c r="G1354" s="394"/>
      <c r="H1354" s="77"/>
      <c r="I1354" s="88"/>
      <c r="J1354" s="393">
        <v>44408.0</v>
      </c>
      <c r="K1354" s="393">
        <f t="shared" si="8"/>
        <v>44409</v>
      </c>
      <c r="L1354" s="394" t="str">
        <f>IFERROR(__xludf.DUMMYFUNCTION("JOIN("""", G1354:H1354)"),"")</f>
        <v/>
      </c>
      <c r="M1354" s="80" t="str">
        <f t="shared" si="2"/>
        <v/>
      </c>
    </row>
    <row r="1355">
      <c r="A1355" s="86"/>
      <c r="B1355" s="73"/>
      <c r="C1355" s="73"/>
      <c r="D1355" s="73"/>
      <c r="E1355" s="88"/>
      <c r="F1355" s="73"/>
      <c r="G1355" s="394"/>
      <c r="H1355" s="77"/>
      <c r="I1355" s="88"/>
      <c r="J1355" s="393">
        <v>44406.0</v>
      </c>
      <c r="K1355" s="393">
        <f t="shared" si="8"/>
        <v>44407</v>
      </c>
      <c r="L1355" s="394" t="str">
        <f>IFERROR(__xludf.DUMMYFUNCTION("JOIN("""", G1355:H1355)"),"")</f>
        <v/>
      </c>
      <c r="M1355" s="80" t="str">
        <f t="shared" si="2"/>
        <v/>
      </c>
    </row>
    <row r="1356">
      <c r="A1356" s="86"/>
      <c r="B1356" s="73"/>
      <c r="C1356" s="73"/>
      <c r="D1356" s="73"/>
      <c r="E1356" s="88"/>
      <c r="F1356" s="73"/>
      <c r="G1356" s="394"/>
      <c r="H1356" s="77"/>
      <c r="I1356" s="88"/>
      <c r="J1356" s="393">
        <v>44408.0</v>
      </c>
      <c r="K1356" s="393">
        <f t="shared" si="8"/>
        <v>44409</v>
      </c>
      <c r="L1356" s="394" t="str">
        <f>IFERROR(__xludf.DUMMYFUNCTION("JOIN("""", G1356:H1356)"),"")</f>
        <v/>
      </c>
      <c r="M1356" s="80" t="str">
        <f t="shared" si="2"/>
        <v/>
      </c>
    </row>
    <row r="1357">
      <c r="A1357" s="86"/>
      <c r="B1357" s="73"/>
      <c r="C1357" s="73"/>
      <c r="D1357" s="73"/>
      <c r="E1357" s="88"/>
      <c r="F1357" s="73"/>
      <c r="G1357" s="394"/>
      <c r="H1357" s="77"/>
      <c r="I1357" s="88"/>
      <c r="J1357" s="393">
        <v>44406.0</v>
      </c>
      <c r="K1357" s="393">
        <f t="shared" si="8"/>
        <v>44407</v>
      </c>
      <c r="L1357" s="394" t="str">
        <f>IFERROR(__xludf.DUMMYFUNCTION("JOIN("""", G1357:H1357)"),"")</f>
        <v/>
      </c>
      <c r="M1357" s="80" t="str">
        <f t="shared" si="2"/>
        <v/>
      </c>
    </row>
    <row r="1358">
      <c r="A1358" s="86"/>
      <c r="B1358" s="73"/>
      <c r="C1358" s="73"/>
      <c r="D1358" s="73"/>
      <c r="E1358" s="88"/>
      <c r="F1358" s="73"/>
      <c r="G1358" s="394"/>
      <c r="H1358" s="77"/>
      <c r="I1358" s="88"/>
      <c r="J1358" s="393">
        <v>44406.0</v>
      </c>
      <c r="K1358" s="393">
        <f t="shared" si="8"/>
        <v>44407</v>
      </c>
      <c r="L1358" s="394" t="str">
        <f>IFERROR(__xludf.DUMMYFUNCTION("JOIN("""", G1358:H1358)"),"")</f>
        <v/>
      </c>
      <c r="M1358" s="80" t="str">
        <f t="shared" si="2"/>
        <v/>
      </c>
    </row>
    <row r="1359">
      <c r="A1359" s="86"/>
      <c r="B1359" s="73"/>
      <c r="C1359" s="73"/>
      <c r="D1359" s="73"/>
      <c r="E1359" s="88"/>
      <c r="F1359" s="73"/>
      <c r="G1359" s="394"/>
      <c r="H1359" s="77"/>
      <c r="I1359" s="88"/>
      <c r="J1359" s="393">
        <v>44407.0</v>
      </c>
      <c r="K1359" s="393">
        <f t="shared" si="8"/>
        <v>44408</v>
      </c>
      <c r="L1359" s="394" t="str">
        <f>IFERROR(__xludf.DUMMYFUNCTION("JOIN("""", G1359:H1359)"),"")</f>
        <v/>
      </c>
      <c r="M1359" s="80" t="str">
        <f t="shared" si="2"/>
        <v/>
      </c>
    </row>
    <row r="1360">
      <c r="A1360" s="86"/>
      <c r="B1360" s="73"/>
      <c r="C1360" s="73"/>
      <c r="D1360" s="73"/>
      <c r="E1360" s="88"/>
      <c r="F1360" s="73"/>
      <c r="G1360" s="394"/>
      <c r="H1360" s="77"/>
      <c r="I1360" s="88"/>
      <c r="J1360" s="393">
        <v>44407.0</v>
      </c>
      <c r="K1360" s="393">
        <f t="shared" si="8"/>
        <v>44408</v>
      </c>
      <c r="L1360" s="394" t="str">
        <f>IFERROR(__xludf.DUMMYFUNCTION("JOIN("""", G1360:H1360)"),"")</f>
        <v/>
      </c>
      <c r="M1360" s="80" t="str">
        <f t="shared" si="2"/>
        <v/>
      </c>
    </row>
    <row r="1361">
      <c r="A1361" s="86"/>
      <c r="B1361" s="73"/>
      <c r="C1361" s="73"/>
      <c r="D1361" s="73"/>
      <c r="E1361" s="88"/>
      <c r="F1361" s="73"/>
      <c r="G1361" s="394"/>
      <c r="H1361" s="77"/>
      <c r="I1361" s="88"/>
      <c r="J1361" s="393">
        <v>44407.0</v>
      </c>
      <c r="K1361" s="393">
        <f t="shared" si="8"/>
        <v>44408</v>
      </c>
      <c r="L1361" s="394" t="str">
        <f>IFERROR(__xludf.DUMMYFUNCTION("JOIN("""", G1361:H1361)"),"")</f>
        <v/>
      </c>
      <c r="M1361" s="80" t="str">
        <f t="shared" si="2"/>
        <v/>
      </c>
    </row>
    <row r="1362">
      <c r="A1362" s="86"/>
      <c r="B1362" s="73"/>
      <c r="C1362" s="73"/>
      <c r="D1362" s="73"/>
      <c r="E1362" s="88"/>
      <c r="F1362" s="73"/>
      <c r="G1362" s="394"/>
      <c r="H1362" s="77"/>
      <c r="I1362" s="88"/>
      <c r="J1362" s="393">
        <v>44407.0</v>
      </c>
      <c r="K1362" s="393">
        <f t="shared" si="8"/>
        <v>44408</v>
      </c>
      <c r="L1362" s="394" t="str">
        <f>IFERROR(__xludf.DUMMYFUNCTION("JOIN("""", G1362:H1362)"),"")</f>
        <v/>
      </c>
      <c r="M1362" s="80" t="str">
        <f t="shared" si="2"/>
        <v/>
      </c>
    </row>
    <row r="1363">
      <c r="A1363" s="86"/>
      <c r="B1363" s="73"/>
      <c r="C1363" s="73"/>
      <c r="D1363" s="73"/>
      <c r="E1363" s="88"/>
      <c r="F1363" s="73"/>
      <c r="G1363" s="394"/>
      <c r="H1363" s="77"/>
      <c r="I1363" s="88"/>
      <c r="J1363" s="393">
        <v>44407.0</v>
      </c>
      <c r="K1363" s="393">
        <f t="shared" si="8"/>
        <v>44408</v>
      </c>
      <c r="L1363" s="394" t="str">
        <f>IFERROR(__xludf.DUMMYFUNCTION("JOIN("""", G1363:H1363)"),"")</f>
        <v/>
      </c>
      <c r="M1363" s="80" t="str">
        <f t="shared" si="2"/>
        <v/>
      </c>
    </row>
    <row r="1364">
      <c r="A1364" s="86"/>
      <c r="B1364" s="73"/>
      <c r="C1364" s="73"/>
      <c r="D1364" s="73"/>
      <c r="E1364" s="88"/>
      <c r="F1364" s="73"/>
      <c r="G1364" s="394"/>
      <c r="H1364" s="77"/>
      <c r="I1364" s="88"/>
      <c r="J1364" s="393">
        <v>44407.0</v>
      </c>
      <c r="K1364" s="393">
        <f t="shared" si="8"/>
        <v>44408</v>
      </c>
      <c r="L1364" s="394" t="str">
        <f>IFERROR(__xludf.DUMMYFUNCTION("JOIN("""", G1364:H1364)"),"")</f>
        <v/>
      </c>
      <c r="M1364" s="80" t="str">
        <f t="shared" si="2"/>
        <v/>
      </c>
    </row>
    <row r="1365">
      <c r="A1365" s="86"/>
      <c r="B1365" s="73"/>
      <c r="C1365" s="73"/>
      <c r="D1365" s="73"/>
      <c r="E1365" s="88"/>
      <c r="F1365" s="73"/>
      <c r="G1365" s="394"/>
      <c r="H1365" s="77"/>
      <c r="I1365" s="88"/>
      <c r="J1365" s="393">
        <v>44407.0</v>
      </c>
      <c r="K1365" s="393">
        <f t="shared" si="8"/>
        <v>44408</v>
      </c>
      <c r="L1365" s="394" t="str">
        <f>IFERROR(__xludf.DUMMYFUNCTION("JOIN("""", G1365:H1365)"),"")</f>
        <v/>
      </c>
      <c r="M1365" s="80" t="str">
        <f t="shared" si="2"/>
        <v/>
      </c>
    </row>
    <row r="1366">
      <c r="A1366" s="86"/>
      <c r="B1366" s="73"/>
      <c r="C1366" s="73"/>
      <c r="D1366" s="73"/>
      <c r="E1366" s="88"/>
      <c r="F1366" s="73"/>
      <c r="G1366" s="394"/>
      <c r="H1366" s="77"/>
      <c r="I1366" s="88"/>
      <c r="J1366" s="393">
        <v>44407.0</v>
      </c>
      <c r="K1366" s="393">
        <f t="shared" si="8"/>
        <v>44408</v>
      </c>
      <c r="L1366" s="394" t="str">
        <f>IFERROR(__xludf.DUMMYFUNCTION("JOIN("""", G1366:H1366)"),"")</f>
        <v/>
      </c>
      <c r="M1366" s="80" t="str">
        <f t="shared" si="2"/>
        <v/>
      </c>
    </row>
    <row r="1367">
      <c r="A1367" s="86"/>
      <c r="B1367" s="73"/>
      <c r="C1367" s="73"/>
      <c r="D1367" s="73"/>
      <c r="E1367" s="88"/>
      <c r="F1367" s="73"/>
      <c r="G1367" s="394"/>
      <c r="H1367" s="77"/>
      <c r="I1367" s="88"/>
      <c r="J1367" s="404">
        <v>44424.0</v>
      </c>
      <c r="K1367" s="393">
        <f t="shared" si="8"/>
        <v>44425</v>
      </c>
      <c r="L1367" s="394" t="str">
        <f>IFERROR(__xludf.DUMMYFUNCTION("JOIN("""", G1367:H1367)"),"")</f>
        <v/>
      </c>
      <c r="M1367" s="80" t="str">
        <f t="shared" si="2"/>
        <v/>
      </c>
    </row>
    <row r="1368">
      <c r="A1368" s="86"/>
      <c r="B1368" s="73"/>
      <c r="C1368" s="73"/>
      <c r="D1368" s="73"/>
      <c r="E1368" s="88"/>
      <c r="F1368" s="73"/>
      <c r="G1368" s="394"/>
      <c r="H1368" s="77"/>
      <c r="I1368" s="88"/>
      <c r="J1368" s="393">
        <v>44412.0</v>
      </c>
      <c r="K1368" s="393">
        <f t="shared" si="8"/>
        <v>44413</v>
      </c>
      <c r="L1368" s="394" t="str">
        <f>IFERROR(__xludf.DUMMYFUNCTION("JOIN("""", G1368:H1368)"),"")</f>
        <v/>
      </c>
      <c r="M1368" s="80" t="str">
        <f t="shared" si="2"/>
        <v/>
      </c>
    </row>
    <row r="1369">
      <c r="A1369" s="86"/>
      <c r="B1369" s="73"/>
      <c r="C1369" s="73"/>
      <c r="D1369" s="73"/>
      <c r="E1369" s="88"/>
      <c r="F1369" s="73"/>
      <c r="G1369" s="394"/>
      <c r="H1369" s="77"/>
      <c r="I1369" s="88"/>
      <c r="J1369" s="393">
        <v>44408.0</v>
      </c>
      <c r="K1369" s="393">
        <f t="shared" si="8"/>
        <v>44409</v>
      </c>
      <c r="L1369" s="394" t="str">
        <f>IFERROR(__xludf.DUMMYFUNCTION("JOIN("""", G1369:H1369)"),"")</f>
        <v/>
      </c>
      <c r="M1369" s="80" t="str">
        <f t="shared" si="2"/>
        <v/>
      </c>
    </row>
    <row r="1370">
      <c r="A1370" s="86"/>
      <c r="B1370" s="73"/>
      <c r="C1370" s="73"/>
      <c r="D1370" s="73"/>
      <c r="E1370" s="88"/>
      <c r="F1370" s="73"/>
      <c r="G1370" s="394"/>
      <c r="H1370" s="77"/>
      <c r="I1370" s="88"/>
      <c r="J1370" s="393">
        <v>44408.0</v>
      </c>
      <c r="K1370" s="393">
        <f t="shared" si="8"/>
        <v>44409</v>
      </c>
      <c r="L1370" s="394" t="str">
        <f>IFERROR(__xludf.DUMMYFUNCTION("JOIN("""", G1370:H1370)"),"")</f>
        <v/>
      </c>
      <c r="M1370" s="80" t="str">
        <f t="shared" si="2"/>
        <v/>
      </c>
    </row>
    <row r="1371">
      <c r="A1371" s="86"/>
      <c r="B1371" s="73"/>
      <c r="C1371" s="73"/>
      <c r="D1371" s="73"/>
      <c r="E1371" s="88"/>
      <c r="F1371" s="73"/>
      <c r="G1371" s="394"/>
      <c r="H1371" s="77"/>
      <c r="I1371" s="88"/>
      <c r="J1371" s="393">
        <v>44408.0</v>
      </c>
      <c r="K1371" s="393">
        <f t="shared" si="8"/>
        <v>44409</v>
      </c>
      <c r="L1371" s="394" t="str">
        <f>IFERROR(__xludf.DUMMYFUNCTION("JOIN("""", G1371:H1371)"),"")</f>
        <v/>
      </c>
      <c r="M1371" s="80" t="str">
        <f t="shared" si="2"/>
        <v/>
      </c>
    </row>
    <row r="1372">
      <c r="A1372" s="86"/>
      <c r="B1372" s="73"/>
      <c r="C1372" s="73"/>
      <c r="D1372" s="73"/>
      <c r="E1372" s="88"/>
      <c r="F1372" s="73"/>
      <c r="G1372" s="394"/>
      <c r="H1372" s="77"/>
      <c r="I1372" s="88"/>
      <c r="J1372" s="393">
        <v>44411.0</v>
      </c>
      <c r="K1372" s="393">
        <f t="shared" si="8"/>
        <v>44412</v>
      </c>
      <c r="L1372" s="394" t="str">
        <f>IFERROR(__xludf.DUMMYFUNCTION("JOIN("""", G1372:H1372)"),"")</f>
        <v/>
      </c>
      <c r="M1372" s="80" t="str">
        <f t="shared" si="2"/>
        <v/>
      </c>
    </row>
    <row r="1373">
      <c r="A1373" s="86"/>
      <c r="B1373" s="73"/>
      <c r="C1373" s="73"/>
      <c r="D1373" s="73"/>
      <c r="E1373" s="88"/>
      <c r="F1373" s="73"/>
      <c r="G1373" s="394"/>
      <c r="H1373" s="77"/>
      <c r="I1373" s="88"/>
      <c r="J1373" s="393">
        <v>44432.0</v>
      </c>
      <c r="K1373" s="393">
        <f t="shared" si="8"/>
        <v>44433</v>
      </c>
      <c r="L1373" s="394" t="str">
        <f>IFERROR(__xludf.DUMMYFUNCTION("JOIN("""", G1373:H1373)"),"")</f>
        <v/>
      </c>
      <c r="M1373" s="80" t="str">
        <f t="shared" si="2"/>
        <v/>
      </c>
    </row>
    <row r="1374">
      <c r="A1374" s="86"/>
      <c r="B1374" s="73"/>
      <c r="C1374" s="73"/>
      <c r="D1374" s="73"/>
      <c r="E1374" s="88"/>
      <c r="F1374" s="73"/>
      <c r="G1374" s="394"/>
      <c r="H1374" s="77"/>
      <c r="I1374" s="88"/>
      <c r="J1374" s="393">
        <v>44408.0</v>
      </c>
      <c r="K1374" s="393">
        <f t="shared" si="8"/>
        <v>44409</v>
      </c>
      <c r="L1374" s="394" t="str">
        <f>IFERROR(__xludf.DUMMYFUNCTION("JOIN("""", G1374:H1374)"),"")</f>
        <v/>
      </c>
      <c r="M1374" s="80" t="str">
        <f t="shared" si="2"/>
        <v/>
      </c>
    </row>
    <row r="1375">
      <c r="A1375" s="86"/>
      <c r="B1375" s="73"/>
      <c r="C1375" s="73"/>
      <c r="D1375" s="73"/>
      <c r="E1375" s="88"/>
      <c r="F1375" s="73"/>
      <c r="G1375" s="394"/>
      <c r="H1375" s="77"/>
      <c r="I1375" s="88"/>
      <c r="J1375" s="393">
        <v>44408.0</v>
      </c>
      <c r="K1375" s="393">
        <f t="shared" si="8"/>
        <v>44409</v>
      </c>
      <c r="L1375" s="394" t="str">
        <f>IFERROR(__xludf.DUMMYFUNCTION("JOIN("""", G1375:H1375)"),"")</f>
        <v/>
      </c>
      <c r="M1375" s="80" t="str">
        <f t="shared" si="2"/>
        <v/>
      </c>
    </row>
    <row r="1376">
      <c r="A1376" s="86"/>
      <c r="B1376" s="73"/>
      <c r="C1376" s="73"/>
      <c r="D1376" s="73"/>
      <c r="E1376" s="88"/>
      <c r="F1376" s="73"/>
      <c r="G1376" s="394"/>
      <c r="H1376" s="77"/>
      <c r="I1376" s="88"/>
      <c r="J1376" s="393">
        <v>44426.0</v>
      </c>
      <c r="K1376" s="393">
        <f t="shared" si="8"/>
        <v>44427</v>
      </c>
      <c r="L1376" s="394" t="str">
        <f>IFERROR(__xludf.DUMMYFUNCTION("JOIN("""", G1376:H1376)"),"")</f>
        <v/>
      </c>
      <c r="M1376" s="80" t="str">
        <f t="shared" si="2"/>
        <v/>
      </c>
    </row>
    <row r="1377">
      <c r="A1377" s="86"/>
      <c r="B1377" s="73"/>
      <c r="C1377" s="73"/>
      <c r="D1377" s="73"/>
      <c r="E1377" s="88"/>
      <c r="F1377" s="73"/>
      <c r="G1377" s="394"/>
      <c r="H1377" s="77"/>
      <c r="I1377" s="88"/>
      <c r="J1377" s="393">
        <v>44409.0</v>
      </c>
      <c r="K1377" s="393">
        <f t="shared" si="8"/>
        <v>44410</v>
      </c>
      <c r="L1377" s="394" t="str">
        <f>IFERROR(__xludf.DUMMYFUNCTION("JOIN("""", G1377:H1377)"),"")</f>
        <v/>
      </c>
      <c r="M1377" s="80" t="str">
        <f t="shared" si="2"/>
        <v/>
      </c>
    </row>
    <row r="1378">
      <c r="A1378" s="86"/>
      <c r="B1378" s="73"/>
      <c r="C1378" s="73"/>
      <c r="D1378" s="73"/>
      <c r="E1378" s="88"/>
      <c r="F1378" s="73"/>
      <c r="G1378" s="394"/>
      <c r="H1378" s="77"/>
      <c r="I1378" s="88"/>
      <c r="J1378" s="393">
        <v>44409.0</v>
      </c>
      <c r="K1378" s="393">
        <f t="shared" si="8"/>
        <v>44410</v>
      </c>
      <c r="L1378" s="394" t="str">
        <f>IFERROR(__xludf.DUMMYFUNCTION("JOIN("""", G1378:H1378)"),"")</f>
        <v/>
      </c>
      <c r="M1378" s="80" t="str">
        <f t="shared" si="2"/>
        <v/>
      </c>
    </row>
    <row r="1379">
      <c r="A1379" s="86"/>
      <c r="B1379" s="73"/>
      <c r="C1379" s="73"/>
      <c r="D1379" s="73"/>
      <c r="E1379" s="88"/>
      <c r="F1379" s="73"/>
      <c r="G1379" s="394"/>
      <c r="H1379" s="77"/>
      <c r="I1379" s="88"/>
      <c r="J1379" s="393">
        <v>44409.0</v>
      </c>
      <c r="K1379" s="393">
        <f t="shared" si="8"/>
        <v>44410</v>
      </c>
      <c r="L1379" s="394" t="str">
        <f>IFERROR(__xludf.DUMMYFUNCTION("JOIN("""", G1379:H1379)"),"")</f>
        <v/>
      </c>
      <c r="M1379" s="80" t="str">
        <f t="shared" si="2"/>
        <v/>
      </c>
    </row>
    <row r="1380">
      <c r="A1380" s="86"/>
      <c r="B1380" s="73"/>
      <c r="C1380" s="73"/>
      <c r="D1380" s="73"/>
      <c r="E1380" s="88"/>
      <c r="F1380" s="73"/>
      <c r="G1380" s="394"/>
      <c r="H1380" s="77"/>
      <c r="I1380" s="88"/>
      <c r="J1380" s="393">
        <v>44410.0</v>
      </c>
      <c r="K1380" s="393">
        <f t="shared" si="8"/>
        <v>44411</v>
      </c>
      <c r="L1380" s="394" t="str">
        <f>IFERROR(__xludf.DUMMYFUNCTION("JOIN("""", G1380:H1380)"),"")</f>
        <v/>
      </c>
      <c r="M1380" s="80" t="str">
        <f t="shared" si="2"/>
        <v/>
      </c>
    </row>
    <row r="1381">
      <c r="A1381" s="86"/>
      <c r="B1381" s="73"/>
      <c r="C1381" s="73"/>
      <c r="D1381" s="73"/>
      <c r="E1381" s="88"/>
      <c r="F1381" s="73"/>
      <c r="G1381" s="394"/>
      <c r="H1381" s="77"/>
      <c r="I1381" s="88"/>
      <c r="J1381" s="393">
        <v>44410.0</v>
      </c>
      <c r="K1381" s="393">
        <f t="shared" si="8"/>
        <v>44411</v>
      </c>
      <c r="L1381" s="394" t="str">
        <f>IFERROR(__xludf.DUMMYFUNCTION("JOIN("""", G1381:H1381)"),"")</f>
        <v/>
      </c>
      <c r="M1381" s="80" t="str">
        <f t="shared" si="2"/>
        <v/>
      </c>
    </row>
    <row r="1382">
      <c r="A1382" s="86"/>
      <c r="B1382" s="73"/>
      <c r="C1382" s="73"/>
      <c r="D1382" s="73"/>
      <c r="E1382" s="88"/>
      <c r="F1382" s="73"/>
      <c r="G1382" s="394"/>
      <c r="H1382" s="77"/>
      <c r="I1382" s="88"/>
      <c r="J1382" s="393">
        <v>44411.0</v>
      </c>
      <c r="K1382" s="393">
        <f t="shared" si="8"/>
        <v>44412</v>
      </c>
      <c r="L1382" s="394" t="str">
        <f>IFERROR(__xludf.DUMMYFUNCTION("JOIN("""", G1382:H1382)"),"")</f>
        <v/>
      </c>
      <c r="M1382" s="80" t="str">
        <f t="shared" si="2"/>
        <v/>
      </c>
    </row>
    <row r="1383">
      <c r="A1383" s="86"/>
      <c r="B1383" s="73"/>
      <c r="C1383" s="73"/>
      <c r="D1383" s="73"/>
      <c r="E1383" s="88"/>
      <c r="F1383" s="73"/>
      <c r="G1383" s="394"/>
      <c r="H1383" s="77"/>
      <c r="I1383" s="88"/>
      <c r="J1383" s="393">
        <v>44411.0</v>
      </c>
      <c r="K1383" s="393">
        <f t="shared" si="8"/>
        <v>44412</v>
      </c>
      <c r="L1383" s="394" t="str">
        <f>IFERROR(__xludf.DUMMYFUNCTION("JOIN("""", G1383:H1383)"),"")</f>
        <v/>
      </c>
      <c r="M1383" s="80" t="str">
        <f t="shared" si="2"/>
        <v/>
      </c>
    </row>
    <row r="1384">
      <c r="A1384" s="86"/>
      <c r="B1384" s="73"/>
      <c r="C1384" s="73"/>
      <c r="D1384" s="73"/>
      <c r="E1384" s="88"/>
      <c r="F1384" s="73"/>
      <c r="G1384" s="394"/>
      <c r="H1384" s="77"/>
      <c r="I1384" s="88"/>
      <c r="J1384" s="393">
        <v>44411.0</v>
      </c>
      <c r="K1384" s="393">
        <f t="shared" si="8"/>
        <v>44412</v>
      </c>
      <c r="L1384" s="394" t="str">
        <f>IFERROR(__xludf.DUMMYFUNCTION("JOIN("""", G1384:H1384)"),"")</f>
        <v/>
      </c>
      <c r="M1384" s="80" t="str">
        <f t="shared" si="2"/>
        <v/>
      </c>
    </row>
    <row r="1385">
      <c r="A1385" s="86"/>
      <c r="B1385" s="73"/>
      <c r="C1385" s="73"/>
      <c r="D1385" s="73"/>
      <c r="E1385" s="88"/>
      <c r="F1385" s="73"/>
      <c r="G1385" s="394"/>
      <c r="H1385" s="77"/>
      <c r="I1385" s="88"/>
      <c r="J1385" s="393">
        <v>44411.0</v>
      </c>
      <c r="K1385" s="393">
        <f t="shared" si="8"/>
        <v>44412</v>
      </c>
      <c r="L1385" s="394" t="str">
        <f>IFERROR(__xludf.DUMMYFUNCTION("JOIN("""", G1385:H1385)"),"")</f>
        <v/>
      </c>
      <c r="M1385" s="80" t="str">
        <f t="shared" si="2"/>
        <v/>
      </c>
    </row>
    <row r="1386">
      <c r="A1386" s="86"/>
      <c r="B1386" s="73"/>
      <c r="C1386" s="73"/>
      <c r="D1386" s="73"/>
      <c r="E1386" s="88"/>
      <c r="F1386" s="73"/>
      <c r="G1386" s="394"/>
      <c r="H1386" s="77"/>
      <c r="I1386" s="88"/>
      <c r="J1386" s="393">
        <v>44411.0</v>
      </c>
      <c r="K1386" s="393">
        <f t="shared" si="8"/>
        <v>44412</v>
      </c>
      <c r="L1386" s="394" t="str">
        <f>IFERROR(__xludf.DUMMYFUNCTION("JOIN("""", G1386:H1386)"),"")</f>
        <v/>
      </c>
      <c r="M1386" s="80" t="str">
        <f t="shared" si="2"/>
        <v/>
      </c>
    </row>
    <row r="1387">
      <c r="A1387" s="86"/>
      <c r="B1387" s="73"/>
      <c r="C1387" s="73"/>
      <c r="D1387" s="73"/>
      <c r="E1387" s="88"/>
      <c r="F1387" s="73"/>
      <c r="G1387" s="394"/>
      <c r="H1387" s="77"/>
      <c r="I1387" s="88"/>
      <c r="J1387" s="393">
        <v>44411.0</v>
      </c>
      <c r="K1387" s="393">
        <f t="shared" si="8"/>
        <v>44412</v>
      </c>
      <c r="L1387" s="394" t="str">
        <f>IFERROR(__xludf.DUMMYFUNCTION("JOIN("""", G1387:H1387)"),"")</f>
        <v/>
      </c>
      <c r="M1387" s="80" t="str">
        <f t="shared" si="2"/>
        <v/>
      </c>
    </row>
    <row r="1388">
      <c r="A1388" s="86"/>
      <c r="B1388" s="73"/>
      <c r="C1388" s="73"/>
      <c r="D1388" s="73"/>
      <c r="E1388" s="88"/>
      <c r="F1388" s="73"/>
      <c r="G1388" s="394"/>
      <c r="H1388" s="77"/>
      <c r="I1388" s="88"/>
      <c r="J1388" s="393">
        <v>44411.0</v>
      </c>
      <c r="K1388" s="393">
        <f t="shared" si="8"/>
        <v>44412</v>
      </c>
      <c r="L1388" s="394" t="str">
        <f>IFERROR(__xludf.DUMMYFUNCTION("JOIN("""", G1388:H1388)"),"")</f>
        <v/>
      </c>
      <c r="M1388" s="80" t="str">
        <f t="shared" si="2"/>
        <v/>
      </c>
    </row>
    <row r="1389">
      <c r="A1389" s="86"/>
      <c r="B1389" s="73"/>
      <c r="C1389" s="73"/>
      <c r="D1389" s="73"/>
      <c r="E1389" s="88"/>
      <c r="F1389" s="73"/>
      <c r="G1389" s="394"/>
      <c r="H1389" s="77"/>
      <c r="I1389" s="88"/>
      <c r="J1389" s="393">
        <v>44411.0</v>
      </c>
      <c r="K1389" s="393">
        <f t="shared" si="8"/>
        <v>44412</v>
      </c>
      <c r="L1389" s="394" t="str">
        <f>IFERROR(__xludf.DUMMYFUNCTION("JOIN("""", G1389:H1389)"),"")</f>
        <v/>
      </c>
      <c r="M1389" s="80" t="str">
        <f t="shared" si="2"/>
        <v/>
      </c>
    </row>
    <row r="1390">
      <c r="A1390" s="86"/>
      <c r="B1390" s="73"/>
      <c r="C1390" s="73"/>
      <c r="D1390" s="73"/>
      <c r="E1390" s="88"/>
      <c r="F1390" s="73"/>
      <c r="G1390" s="394"/>
      <c r="H1390" s="77"/>
      <c r="I1390" s="88"/>
      <c r="J1390" s="393">
        <v>44411.0</v>
      </c>
      <c r="K1390" s="393">
        <f t="shared" si="8"/>
        <v>44412</v>
      </c>
      <c r="L1390" s="394" t="str">
        <f>IFERROR(__xludf.DUMMYFUNCTION("JOIN("""", G1390:H1390)"),"")</f>
        <v/>
      </c>
      <c r="M1390" s="80" t="str">
        <f t="shared" si="2"/>
        <v/>
      </c>
    </row>
    <row r="1391">
      <c r="A1391" s="86"/>
      <c r="B1391" s="73"/>
      <c r="C1391" s="73"/>
      <c r="D1391" s="73"/>
      <c r="E1391" s="88"/>
      <c r="F1391" s="73"/>
      <c r="G1391" s="394"/>
      <c r="H1391" s="77"/>
      <c r="I1391" s="88"/>
      <c r="J1391" s="393">
        <v>44412.0</v>
      </c>
      <c r="K1391" s="393">
        <f t="shared" si="8"/>
        <v>44413</v>
      </c>
      <c r="L1391" s="394" t="str">
        <f>IFERROR(__xludf.DUMMYFUNCTION("JOIN("""", G1391:H1391)"),"")</f>
        <v/>
      </c>
      <c r="M1391" s="80" t="str">
        <f t="shared" si="2"/>
        <v/>
      </c>
    </row>
    <row r="1392">
      <c r="A1392" s="86"/>
      <c r="B1392" s="73"/>
      <c r="C1392" s="73"/>
      <c r="D1392" s="73"/>
      <c r="E1392" s="88"/>
      <c r="F1392" s="73"/>
      <c r="G1392" s="394"/>
      <c r="H1392" s="77"/>
      <c r="I1392" s="88"/>
      <c r="J1392" s="393">
        <v>44412.0</v>
      </c>
      <c r="K1392" s="393">
        <f t="shared" si="8"/>
        <v>44413</v>
      </c>
      <c r="L1392" s="394" t="str">
        <f>IFERROR(__xludf.DUMMYFUNCTION("JOIN("""", G1392:H1392)"),"")</f>
        <v/>
      </c>
      <c r="M1392" s="80" t="str">
        <f t="shared" si="2"/>
        <v/>
      </c>
    </row>
    <row r="1393">
      <c r="A1393" s="86"/>
      <c r="B1393" s="73"/>
      <c r="C1393" s="73"/>
      <c r="D1393" s="73"/>
      <c r="E1393" s="88"/>
      <c r="F1393" s="73"/>
      <c r="G1393" s="394"/>
      <c r="H1393" s="77"/>
      <c r="I1393" s="88"/>
      <c r="J1393" s="393">
        <v>44412.0</v>
      </c>
      <c r="K1393" s="393">
        <f t="shared" si="8"/>
        <v>44413</v>
      </c>
      <c r="L1393" s="394" t="str">
        <f>IFERROR(__xludf.DUMMYFUNCTION("JOIN("""", G1393:H1393)"),"")</f>
        <v/>
      </c>
      <c r="M1393" s="80" t="str">
        <f t="shared" si="2"/>
        <v/>
      </c>
    </row>
    <row r="1394">
      <c r="A1394" s="86"/>
      <c r="B1394" s="73"/>
      <c r="C1394" s="73"/>
      <c r="D1394" s="73"/>
      <c r="E1394" s="88"/>
      <c r="F1394" s="73"/>
      <c r="G1394" s="394"/>
      <c r="H1394" s="77"/>
      <c r="I1394" s="88"/>
      <c r="J1394" s="393">
        <v>44412.0</v>
      </c>
      <c r="K1394" s="393">
        <f t="shared" si="8"/>
        <v>44413</v>
      </c>
      <c r="L1394" s="394" t="str">
        <f>IFERROR(__xludf.DUMMYFUNCTION("JOIN("""", G1394:H1394)"),"")</f>
        <v/>
      </c>
      <c r="M1394" s="80" t="str">
        <f t="shared" si="2"/>
        <v/>
      </c>
    </row>
    <row r="1395">
      <c r="A1395" s="86"/>
      <c r="B1395" s="73"/>
      <c r="C1395" s="73"/>
      <c r="D1395" s="73"/>
      <c r="E1395" s="88"/>
      <c r="F1395" s="73"/>
      <c r="G1395" s="394"/>
      <c r="H1395" s="77"/>
      <c r="I1395" s="88"/>
      <c r="J1395" s="393">
        <v>44412.0</v>
      </c>
      <c r="K1395" s="393">
        <f t="shared" si="8"/>
        <v>44413</v>
      </c>
      <c r="L1395" s="394" t="str">
        <f>IFERROR(__xludf.DUMMYFUNCTION("JOIN("""", G1395:H1395)"),"")</f>
        <v/>
      </c>
      <c r="M1395" s="80" t="str">
        <f t="shared" si="2"/>
        <v/>
      </c>
    </row>
    <row r="1396">
      <c r="A1396" s="86"/>
      <c r="B1396" s="73"/>
      <c r="C1396" s="73"/>
      <c r="D1396" s="73"/>
      <c r="E1396" s="88"/>
      <c r="F1396" s="73"/>
      <c r="G1396" s="394"/>
      <c r="H1396" s="77"/>
      <c r="I1396" s="88"/>
      <c r="J1396" s="393">
        <v>44412.0</v>
      </c>
      <c r="K1396" s="393">
        <f t="shared" si="8"/>
        <v>44413</v>
      </c>
      <c r="L1396" s="394" t="str">
        <f>IFERROR(__xludf.DUMMYFUNCTION("JOIN("""", G1396:H1396)"),"")</f>
        <v/>
      </c>
      <c r="M1396" s="80" t="str">
        <f t="shared" si="2"/>
        <v/>
      </c>
    </row>
    <row r="1397">
      <c r="A1397" s="86"/>
      <c r="B1397" s="73"/>
      <c r="C1397" s="73"/>
      <c r="D1397" s="73"/>
      <c r="E1397" s="88"/>
      <c r="F1397" s="73"/>
      <c r="G1397" s="394"/>
      <c r="H1397" s="77"/>
      <c r="I1397" s="88"/>
      <c r="J1397" s="393">
        <v>44412.0</v>
      </c>
      <c r="K1397" s="393">
        <f t="shared" si="8"/>
        <v>44413</v>
      </c>
      <c r="L1397" s="394" t="str">
        <f>IFERROR(__xludf.DUMMYFUNCTION("JOIN("""", G1397:H1397)"),"")</f>
        <v/>
      </c>
      <c r="M1397" s="80" t="str">
        <f t="shared" si="2"/>
        <v/>
      </c>
    </row>
    <row r="1398">
      <c r="A1398" s="86"/>
      <c r="B1398" s="73"/>
      <c r="C1398" s="73"/>
      <c r="D1398" s="73"/>
      <c r="E1398" s="88"/>
      <c r="F1398" s="73"/>
      <c r="G1398" s="394"/>
      <c r="H1398" s="77"/>
      <c r="I1398" s="88"/>
      <c r="J1398" s="393">
        <v>44412.0</v>
      </c>
      <c r="K1398" s="393">
        <f t="shared" si="8"/>
        <v>44413</v>
      </c>
      <c r="L1398" s="394" t="str">
        <f>IFERROR(__xludf.DUMMYFUNCTION("JOIN("""", G1398:H1398)"),"")</f>
        <v/>
      </c>
      <c r="M1398" s="80" t="str">
        <f t="shared" si="2"/>
        <v/>
      </c>
    </row>
    <row r="1399">
      <c r="A1399" s="86"/>
      <c r="B1399" s="73"/>
      <c r="C1399" s="73"/>
      <c r="D1399" s="73"/>
      <c r="E1399" s="88"/>
      <c r="F1399" s="73"/>
      <c r="G1399" s="394"/>
      <c r="H1399" s="77"/>
      <c r="I1399" s="88"/>
      <c r="J1399" s="393">
        <v>44417.0</v>
      </c>
      <c r="K1399" s="393">
        <f t="shared" si="8"/>
        <v>44418</v>
      </c>
      <c r="L1399" s="394" t="str">
        <f>IFERROR(__xludf.DUMMYFUNCTION("JOIN("""", G1399:H1399)"),"")</f>
        <v/>
      </c>
      <c r="M1399" s="80" t="str">
        <f t="shared" si="2"/>
        <v/>
      </c>
    </row>
    <row r="1400">
      <c r="A1400" s="86"/>
      <c r="B1400" s="73"/>
      <c r="C1400" s="73"/>
      <c r="D1400" s="73"/>
      <c r="E1400" s="88"/>
      <c r="F1400" s="73"/>
      <c r="G1400" s="394"/>
      <c r="H1400" s="77"/>
      <c r="I1400" s="88"/>
      <c r="J1400" s="393">
        <v>44413.0</v>
      </c>
      <c r="K1400" s="393">
        <f t="shared" si="8"/>
        <v>44414</v>
      </c>
      <c r="L1400" s="394" t="str">
        <f>IFERROR(__xludf.DUMMYFUNCTION("JOIN("""", G1400:H1400)"),"")</f>
        <v/>
      </c>
      <c r="M1400" s="80" t="str">
        <f t="shared" si="2"/>
        <v/>
      </c>
    </row>
    <row r="1401">
      <c r="A1401" s="86"/>
      <c r="B1401" s="73"/>
      <c r="C1401" s="73"/>
      <c r="D1401" s="73"/>
      <c r="E1401" s="88"/>
      <c r="F1401" s="73"/>
      <c r="G1401" s="394"/>
      <c r="H1401" s="77"/>
      <c r="I1401" s="88"/>
      <c r="J1401" s="393">
        <v>44413.0</v>
      </c>
      <c r="K1401" s="393">
        <f t="shared" si="8"/>
        <v>44414</v>
      </c>
      <c r="L1401" s="394" t="str">
        <f>IFERROR(__xludf.DUMMYFUNCTION("JOIN("""", G1401:H1401)"),"")</f>
        <v/>
      </c>
      <c r="M1401" s="80" t="str">
        <f t="shared" si="2"/>
        <v/>
      </c>
    </row>
    <row r="1402">
      <c r="A1402" s="86"/>
      <c r="B1402" s="73"/>
      <c r="C1402" s="73"/>
      <c r="D1402" s="73"/>
      <c r="E1402" s="88"/>
      <c r="F1402" s="73"/>
      <c r="G1402" s="394"/>
      <c r="H1402" s="77"/>
      <c r="I1402" s="88"/>
      <c r="J1402" s="393">
        <v>44418.0</v>
      </c>
      <c r="K1402" s="393">
        <f t="shared" si="8"/>
        <v>44419</v>
      </c>
      <c r="L1402" s="394" t="str">
        <f>IFERROR(__xludf.DUMMYFUNCTION("JOIN("""", G1402:H1402)"),"")</f>
        <v/>
      </c>
      <c r="M1402" s="80" t="str">
        <f t="shared" si="2"/>
        <v/>
      </c>
    </row>
    <row r="1403">
      <c r="A1403" s="86"/>
      <c r="B1403" s="73"/>
      <c r="C1403" s="73"/>
      <c r="D1403" s="73"/>
      <c r="E1403" s="88"/>
      <c r="F1403" s="73"/>
      <c r="G1403" s="394"/>
      <c r="H1403" s="77"/>
      <c r="I1403" s="88"/>
      <c r="J1403" s="393">
        <v>44413.0</v>
      </c>
      <c r="K1403" s="393">
        <f t="shared" si="8"/>
        <v>44414</v>
      </c>
      <c r="L1403" s="394" t="str">
        <f>IFERROR(__xludf.DUMMYFUNCTION("JOIN("""", G1403:H1403)"),"")</f>
        <v/>
      </c>
      <c r="M1403" s="80" t="str">
        <f t="shared" si="2"/>
        <v/>
      </c>
    </row>
    <row r="1404">
      <c r="A1404" s="86"/>
      <c r="B1404" s="73"/>
      <c r="C1404" s="73"/>
      <c r="D1404" s="73"/>
      <c r="E1404" s="88"/>
      <c r="F1404" s="73"/>
      <c r="G1404" s="394"/>
      <c r="H1404" s="73"/>
      <c r="I1404" s="88"/>
      <c r="J1404" s="393">
        <v>44413.0</v>
      </c>
      <c r="K1404" s="393">
        <f t="shared" si="8"/>
        <v>44414</v>
      </c>
      <c r="L1404" s="394" t="str">
        <f>IFERROR(__xludf.DUMMYFUNCTION("JOIN("""", G1404:H1404)"),"")</f>
        <v/>
      </c>
      <c r="M1404" s="80" t="str">
        <f t="shared" si="2"/>
        <v/>
      </c>
    </row>
    <row r="1405">
      <c r="A1405" s="86"/>
      <c r="B1405" s="73"/>
      <c r="C1405" s="73"/>
      <c r="D1405" s="73"/>
      <c r="E1405" s="88"/>
      <c r="F1405" s="73"/>
      <c r="G1405" s="394"/>
      <c r="H1405" s="77"/>
      <c r="I1405" s="88"/>
      <c r="J1405" s="393">
        <v>44413.0</v>
      </c>
      <c r="K1405" s="393">
        <f t="shared" si="8"/>
        <v>44414</v>
      </c>
      <c r="L1405" s="394" t="str">
        <f>IFERROR(__xludf.DUMMYFUNCTION("JOIN("""", G1405:H1405)"),"")</f>
        <v/>
      </c>
      <c r="M1405" s="80" t="str">
        <f t="shared" si="2"/>
        <v/>
      </c>
    </row>
    <row r="1406">
      <c r="A1406" s="86"/>
      <c r="B1406" s="73"/>
      <c r="C1406" s="73"/>
      <c r="D1406" s="73"/>
      <c r="E1406" s="88"/>
      <c r="F1406" s="73"/>
      <c r="G1406" s="394"/>
      <c r="H1406" s="77"/>
      <c r="I1406" s="88"/>
      <c r="J1406" s="393">
        <v>44413.0</v>
      </c>
      <c r="K1406" s="393">
        <f t="shared" si="8"/>
        <v>44414</v>
      </c>
      <c r="L1406" s="394" t="str">
        <f>IFERROR(__xludf.DUMMYFUNCTION("JOIN("""", G1406:H1406)"),"")</f>
        <v/>
      </c>
      <c r="M1406" s="80" t="str">
        <f t="shared" si="2"/>
        <v/>
      </c>
    </row>
    <row r="1407">
      <c r="A1407" s="86"/>
      <c r="B1407" s="73"/>
      <c r="C1407" s="73"/>
      <c r="D1407" s="73"/>
      <c r="E1407" s="88"/>
      <c r="F1407" s="73"/>
      <c r="G1407" s="394"/>
      <c r="H1407" s="77"/>
      <c r="I1407" s="88"/>
      <c r="J1407" s="393">
        <v>44413.0</v>
      </c>
      <c r="K1407" s="393">
        <f t="shared" si="8"/>
        <v>44414</v>
      </c>
      <c r="L1407" s="394" t="str">
        <f>IFERROR(__xludf.DUMMYFUNCTION("JOIN("""", G1407:H1407)"),"")</f>
        <v/>
      </c>
      <c r="M1407" s="80" t="str">
        <f t="shared" si="2"/>
        <v/>
      </c>
    </row>
    <row r="1408">
      <c r="A1408" s="86"/>
      <c r="B1408" s="73"/>
      <c r="C1408" s="73"/>
      <c r="D1408" s="73"/>
      <c r="E1408" s="88"/>
      <c r="F1408" s="73"/>
      <c r="G1408" s="394"/>
      <c r="H1408" s="77"/>
      <c r="I1408" s="88"/>
      <c r="J1408" s="393">
        <v>44414.0</v>
      </c>
      <c r="K1408" s="393">
        <f t="shared" si="8"/>
        <v>44415</v>
      </c>
      <c r="L1408" s="394" t="str">
        <f>IFERROR(__xludf.DUMMYFUNCTION("JOIN("""", G1408:H1408)"),"")</f>
        <v/>
      </c>
      <c r="M1408" s="80" t="str">
        <f t="shared" si="2"/>
        <v/>
      </c>
    </row>
    <row r="1409">
      <c r="A1409" s="86"/>
      <c r="B1409" s="73"/>
      <c r="C1409" s="73"/>
      <c r="D1409" s="73"/>
      <c r="E1409" s="88"/>
      <c r="F1409" s="73"/>
      <c r="G1409" s="394"/>
      <c r="H1409" s="77"/>
      <c r="I1409" s="88"/>
      <c r="J1409" s="393">
        <v>44413.0</v>
      </c>
      <c r="K1409" s="393">
        <f t="shared" si="8"/>
        <v>44414</v>
      </c>
      <c r="L1409" s="394" t="str">
        <f>IFERROR(__xludf.DUMMYFUNCTION("JOIN("""", G1409:H1409)"),"")</f>
        <v/>
      </c>
      <c r="M1409" s="80" t="str">
        <f t="shared" si="2"/>
        <v/>
      </c>
    </row>
    <row r="1410">
      <c r="A1410" s="86"/>
      <c r="B1410" s="73"/>
      <c r="C1410" s="73"/>
      <c r="D1410" s="73"/>
      <c r="E1410" s="88"/>
      <c r="F1410" s="73"/>
      <c r="G1410" s="394"/>
      <c r="H1410" s="77"/>
      <c r="I1410" s="88"/>
      <c r="J1410" s="393">
        <v>44413.0</v>
      </c>
      <c r="K1410" s="393">
        <f t="shared" si="8"/>
        <v>44414</v>
      </c>
      <c r="L1410" s="394" t="str">
        <f>IFERROR(__xludf.DUMMYFUNCTION("JOIN("""", G1410:H1410)"),"")</f>
        <v/>
      </c>
      <c r="M1410" s="80" t="str">
        <f t="shared" si="2"/>
        <v/>
      </c>
    </row>
    <row r="1411">
      <c r="A1411" s="86"/>
      <c r="B1411" s="73"/>
      <c r="C1411" s="73"/>
      <c r="D1411" s="73"/>
      <c r="E1411" s="88"/>
      <c r="F1411" s="73"/>
      <c r="G1411" s="394"/>
      <c r="H1411" s="77"/>
      <c r="I1411" s="88"/>
      <c r="J1411" s="393">
        <v>44413.0</v>
      </c>
      <c r="K1411" s="393">
        <f t="shared" si="8"/>
        <v>44414</v>
      </c>
      <c r="L1411" s="394" t="str">
        <f>IFERROR(__xludf.DUMMYFUNCTION("JOIN("""", G1411:H1411)"),"")</f>
        <v/>
      </c>
      <c r="M1411" s="80" t="str">
        <f t="shared" si="2"/>
        <v/>
      </c>
    </row>
    <row r="1412">
      <c r="A1412" s="86"/>
      <c r="B1412" s="73"/>
      <c r="C1412" s="73"/>
      <c r="D1412" s="73"/>
      <c r="E1412" s="88"/>
      <c r="F1412" s="73"/>
      <c r="G1412" s="394"/>
      <c r="H1412" s="77"/>
      <c r="I1412" s="88"/>
      <c r="J1412" s="393">
        <v>44414.0</v>
      </c>
      <c r="K1412" s="393">
        <f t="shared" si="8"/>
        <v>44415</v>
      </c>
      <c r="L1412" s="394" t="str">
        <f>IFERROR(__xludf.DUMMYFUNCTION("JOIN("""", G1412:H1412)"),"")</f>
        <v/>
      </c>
      <c r="M1412" s="80" t="str">
        <f t="shared" si="2"/>
        <v/>
      </c>
    </row>
    <row r="1413">
      <c r="A1413" s="86"/>
      <c r="B1413" s="73"/>
      <c r="C1413" s="73"/>
      <c r="D1413" s="73"/>
      <c r="E1413" s="88"/>
      <c r="F1413" s="73"/>
      <c r="G1413" s="394"/>
      <c r="H1413" s="77"/>
      <c r="I1413" s="88"/>
      <c r="J1413" s="393">
        <v>44413.0</v>
      </c>
      <c r="K1413" s="393">
        <f t="shared" si="8"/>
        <v>44414</v>
      </c>
      <c r="L1413" s="394" t="str">
        <f>IFERROR(__xludf.DUMMYFUNCTION("JOIN("""", G1413:H1413)"),"")</f>
        <v/>
      </c>
      <c r="M1413" s="80" t="str">
        <f t="shared" si="2"/>
        <v/>
      </c>
    </row>
    <row r="1414">
      <c r="A1414" s="86"/>
      <c r="B1414" s="73"/>
      <c r="C1414" s="73"/>
      <c r="D1414" s="73"/>
      <c r="E1414" s="88"/>
      <c r="F1414" s="73"/>
      <c r="G1414" s="394"/>
      <c r="H1414" s="77"/>
      <c r="I1414" s="88"/>
      <c r="J1414" s="405">
        <v>44413.0</v>
      </c>
      <c r="K1414" s="393">
        <f t="shared" si="8"/>
        <v>44414</v>
      </c>
      <c r="L1414" s="394" t="str">
        <f>IFERROR(__xludf.DUMMYFUNCTION("JOIN("""", G1414:H1414)"),"")</f>
        <v/>
      </c>
      <c r="M1414" s="80" t="str">
        <f t="shared" si="2"/>
        <v/>
      </c>
    </row>
    <row r="1415">
      <c r="A1415" s="86"/>
      <c r="B1415" s="73"/>
      <c r="C1415" s="73"/>
      <c r="D1415" s="73"/>
      <c r="E1415" s="88"/>
      <c r="F1415" s="73"/>
      <c r="G1415" s="394"/>
      <c r="H1415" s="77"/>
      <c r="I1415" s="88"/>
      <c r="J1415" s="393">
        <v>44414.0</v>
      </c>
      <c r="K1415" s="393">
        <f t="shared" si="8"/>
        <v>44415</v>
      </c>
      <c r="L1415" s="394" t="str">
        <f>IFERROR(__xludf.DUMMYFUNCTION("JOIN("""", G1415:H1415)"),"")</f>
        <v/>
      </c>
      <c r="M1415" s="80" t="str">
        <f t="shared" si="2"/>
        <v/>
      </c>
    </row>
    <row r="1416">
      <c r="A1416" s="86"/>
      <c r="B1416" s="73"/>
      <c r="C1416" s="73"/>
      <c r="D1416" s="73"/>
      <c r="E1416" s="88"/>
      <c r="F1416" s="73"/>
      <c r="G1416" s="394"/>
      <c r="H1416" s="77"/>
      <c r="I1416" s="88"/>
      <c r="J1416" s="393">
        <v>44414.0</v>
      </c>
      <c r="K1416" s="393">
        <f t="shared" si="8"/>
        <v>44415</v>
      </c>
      <c r="L1416" s="394" t="str">
        <f>IFERROR(__xludf.DUMMYFUNCTION("JOIN("""", G1416:H1416)"),"")</f>
        <v/>
      </c>
      <c r="M1416" s="80" t="str">
        <f t="shared" si="2"/>
        <v/>
      </c>
    </row>
    <row r="1417">
      <c r="A1417" s="86"/>
      <c r="B1417" s="73"/>
      <c r="C1417" s="73"/>
      <c r="D1417" s="73"/>
      <c r="E1417" s="88"/>
      <c r="F1417" s="73"/>
      <c r="G1417" s="394"/>
      <c r="H1417" s="77"/>
      <c r="I1417" s="88"/>
      <c r="J1417" s="393">
        <v>44417.0</v>
      </c>
      <c r="K1417" s="393">
        <f t="shared" si="8"/>
        <v>44418</v>
      </c>
      <c r="L1417" s="394" t="str">
        <f>IFERROR(__xludf.DUMMYFUNCTION("JOIN("""", G1417:H1417)"),"")</f>
        <v/>
      </c>
      <c r="M1417" s="80" t="str">
        <f t="shared" si="2"/>
        <v/>
      </c>
    </row>
    <row r="1418">
      <c r="A1418" s="86"/>
      <c r="B1418" s="73"/>
      <c r="C1418" s="73"/>
      <c r="D1418" s="73"/>
      <c r="E1418" s="88"/>
      <c r="F1418" s="73"/>
      <c r="G1418" s="394"/>
      <c r="H1418" s="77"/>
      <c r="I1418" s="88"/>
      <c r="J1418" s="393">
        <v>44420.0</v>
      </c>
      <c r="K1418" s="393">
        <f t="shared" si="8"/>
        <v>44421</v>
      </c>
      <c r="L1418" s="394" t="str">
        <f>IFERROR(__xludf.DUMMYFUNCTION("JOIN("""", G1418:H1418)"),"")</f>
        <v/>
      </c>
      <c r="M1418" s="80" t="str">
        <f t="shared" si="2"/>
        <v/>
      </c>
    </row>
    <row r="1419">
      <c r="A1419" s="86"/>
      <c r="B1419" s="73"/>
      <c r="C1419" s="73"/>
      <c r="D1419" s="73"/>
      <c r="E1419" s="88"/>
      <c r="F1419" s="73"/>
      <c r="G1419" s="394"/>
      <c r="H1419" s="77"/>
      <c r="I1419" s="88"/>
      <c r="J1419" s="393">
        <v>44414.0</v>
      </c>
      <c r="K1419" s="393">
        <f t="shared" si="8"/>
        <v>44415</v>
      </c>
      <c r="L1419" s="394" t="str">
        <f>IFERROR(__xludf.DUMMYFUNCTION("JOIN("""", G1419:H1419)"),"")</f>
        <v/>
      </c>
      <c r="M1419" s="80" t="str">
        <f t="shared" si="2"/>
        <v/>
      </c>
    </row>
    <row r="1420">
      <c r="A1420" s="86"/>
      <c r="B1420" s="73"/>
      <c r="C1420" s="73"/>
      <c r="D1420" s="73"/>
      <c r="E1420" s="88"/>
      <c r="F1420" s="73"/>
      <c r="G1420" s="394"/>
      <c r="H1420" s="77"/>
      <c r="I1420" s="88"/>
      <c r="J1420" s="393">
        <v>44415.0</v>
      </c>
      <c r="K1420" s="393">
        <f t="shared" si="8"/>
        <v>44416</v>
      </c>
      <c r="L1420" s="394" t="str">
        <f>IFERROR(__xludf.DUMMYFUNCTION("JOIN("""", G1420:H1420)"),"")</f>
        <v/>
      </c>
      <c r="M1420" s="80" t="str">
        <f t="shared" si="2"/>
        <v/>
      </c>
    </row>
    <row r="1421">
      <c r="A1421" s="86"/>
      <c r="B1421" s="73"/>
      <c r="C1421" s="73"/>
      <c r="D1421" s="73"/>
      <c r="E1421" s="88"/>
      <c r="F1421" s="73"/>
      <c r="G1421" s="394"/>
      <c r="H1421" s="77"/>
      <c r="I1421" s="88"/>
      <c r="J1421" s="393">
        <v>44415.0</v>
      </c>
      <c r="K1421" s="393">
        <f t="shared" si="8"/>
        <v>44416</v>
      </c>
      <c r="L1421" s="394" t="str">
        <f>IFERROR(__xludf.DUMMYFUNCTION("JOIN("""", G1421:H1421)"),"")</f>
        <v/>
      </c>
      <c r="M1421" s="80" t="str">
        <f t="shared" si="2"/>
        <v/>
      </c>
    </row>
    <row r="1422">
      <c r="A1422" s="86"/>
      <c r="B1422" s="73"/>
      <c r="C1422" s="73"/>
      <c r="D1422" s="73"/>
      <c r="E1422" s="88"/>
      <c r="F1422" s="73"/>
      <c r="G1422" s="394"/>
      <c r="H1422" s="77"/>
      <c r="I1422" s="88"/>
      <c r="J1422" s="393">
        <v>44415.0</v>
      </c>
      <c r="K1422" s="393">
        <f t="shared" si="8"/>
        <v>44416</v>
      </c>
      <c r="L1422" s="394" t="str">
        <f>IFERROR(__xludf.DUMMYFUNCTION("JOIN("""", G1422:H1422)"),"")</f>
        <v/>
      </c>
      <c r="M1422" s="80" t="str">
        <f t="shared" si="2"/>
        <v/>
      </c>
    </row>
    <row r="1423">
      <c r="A1423" s="86"/>
      <c r="B1423" s="73"/>
      <c r="C1423" s="73"/>
      <c r="D1423" s="73"/>
      <c r="E1423" s="88"/>
      <c r="F1423" s="73"/>
      <c r="G1423" s="394"/>
      <c r="H1423" s="77"/>
      <c r="I1423" s="88"/>
      <c r="J1423" s="393">
        <v>44415.0</v>
      </c>
      <c r="K1423" s="393">
        <f t="shared" si="8"/>
        <v>44416</v>
      </c>
      <c r="L1423" s="394" t="str">
        <f>IFERROR(__xludf.DUMMYFUNCTION("JOIN("""", G1423:H1423)"),"")</f>
        <v/>
      </c>
      <c r="M1423" s="80" t="str">
        <f t="shared" si="2"/>
        <v/>
      </c>
    </row>
    <row r="1424">
      <c r="A1424" s="86"/>
      <c r="B1424" s="73"/>
      <c r="C1424" s="73"/>
      <c r="D1424" s="73"/>
      <c r="E1424" s="88"/>
      <c r="F1424" s="73"/>
      <c r="G1424" s="394"/>
      <c r="H1424" s="77"/>
      <c r="I1424" s="88"/>
      <c r="J1424" s="393">
        <v>44415.0</v>
      </c>
      <c r="K1424" s="393">
        <f t="shared" si="8"/>
        <v>44416</v>
      </c>
      <c r="L1424" s="394" t="str">
        <f>IFERROR(__xludf.DUMMYFUNCTION("JOIN("""", G1424:H1424)"),"")</f>
        <v/>
      </c>
      <c r="M1424" s="80" t="str">
        <f t="shared" si="2"/>
        <v/>
      </c>
    </row>
    <row r="1425">
      <c r="A1425" s="86"/>
      <c r="B1425" s="73"/>
      <c r="C1425" s="73"/>
      <c r="D1425" s="73"/>
      <c r="E1425" s="88"/>
      <c r="F1425" s="73"/>
      <c r="G1425" s="394"/>
      <c r="H1425" s="77"/>
      <c r="I1425" s="88"/>
      <c r="J1425" s="393">
        <v>44417.0</v>
      </c>
      <c r="K1425" s="393">
        <f t="shared" si="8"/>
        <v>44418</v>
      </c>
      <c r="L1425" s="394" t="str">
        <f>IFERROR(__xludf.DUMMYFUNCTION("JOIN("""", G1425:H1425)"),"")</f>
        <v/>
      </c>
      <c r="M1425" s="80" t="str">
        <f t="shared" si="2"/>
        <v/>
      </c>
    </row>
    <row r="1426">
      <c r="A1426" s="86"/>
      <c r="B1426" s="73"/>
      <c r="C1426" s="73"/>
      <c r="D1426" s="73"/>
      <c r="E1426" s="88"/>
      <c r="F1426" s="73"/>
      <c r="G1426" s="394"/>
      <c r="H1426" s="77"/>
      <c r="I1426" s="88"/>
      <c r="J1426" s="393">
        <v>44417.0</v>
      </c>
      <c r="K1426" s="393">
        <f t="shared" si="8"/>
        <v>44418</v>
      </c>
      <c r="L1426" s="394" t="str">
        <f>IFERROR(__xludf.DUMMYFUNCTION("JOIN("""", G1426:H1426)"),"")</f>
        <v/>
      </c>
      <c r="M1426" s="80" t="str">
        <f t="shared" si="2"/>
        <v/>
      </c>
    </row>
    <row r="1427">
      <c r="A1427" s="86"/>
      <c r="B1427" s="73"/>
      <c r="C1427" s="73"/>
      <c r="D1427" s="73"/>
      <c r="E1427" s="88"/>
      <c r="F1427" s="73"/>
      <c r="G1427" s="394"/>
      <c r="H1427" s="77"/>
      <c r="I1427" s="88"/>
      <c r="J1427" s="393">
        <v>44417.0</v>
      </c>
      <c r="K1427" s="393">
        <f t="shared" si="8"/>
        <v>44418</v>
      </c>
      <c r="L1427" s="394" t="str">
        <f>IFERROR(__xludf.DUMMYFUNCTION("JOIN("""", G1427:H1427)"),"")</f>
        <v/>
      </c>
      <c r="M1427" s="80" t="str">
        <f t="shared" si="2"/>
        <v/>
      </c>
    </row>
    <row r="1428">
      <c r="A1428" s="86"/>
      <c r="B1428" s="73"/>
      <c r="C1428" s="73"/>
      <c r="D1428" s="73"/>
      <c r="E1428" s="88"/>
      <c r="F1428" s="73"/>
      <c r="G1428" s="394"/>
      <c r="H1428" s="77"/>
      <c r="I1428" s="88"/>
      <c r="J1428" s="393">
        <v>44417.0</v>
      </c>
      <c r="K1428" s="393">
        <f t="shared" si="8"/>
        <v>44418</v>
      </c>
      <c r="L1428" s="394" t="str">
        <f>IFERROR(__xludf.DUMMYFUNCTION("JOIN("""", G1428:H1428)"),"")</f>
        <v/>
      </c>
      <c r="M1428" s="80" t="str">
        <f t="shared" si="2"/>
        <v/>
      </c>
    </row>
    <row r="1429">
      <c r="A1429" s="86"/>
      <c r="B1429" s="73"/>
      <c r="C1429" s="73"/>
      <c r="D1429" s="73"/>
      <c r="E1429" s="88"/>
      <c r="F1429" s="73"/>
      <c r="G1429" s="394"/>
      <c r="H1429" s="77"/>
      <c r="I1429" s="88"/>
      <c r="J1429" s="393">
        <v>44417.0</v>
      </c>
      <c r="K1429" s="393">
        <f t="shared" si="8"/>
        <v>44418</v>
      </c>
      <c r="L1429" s="394" t="str">
        <f>IFERROR(__xludf.DUMMYFUNCTION("JOIN("""", G1429:H1429)"),"")</f>
        <v/>
      </c>
      <c r="M1429" s="80" t="str">
        <f t="shared" si="2"/>
        <v/>
      </c>
    </row>
    <row r="1430">
      <c r="A1430" s="86"/>
      <c r="B1430" s="73"/>
      <c r="C1430" s="73"/>
      <c r="D1430" s="73"/>
      <c r="E1430" s="88"/>
      <c r="F1430" s="73"/>
      <c r="G1430" s="394"/>
      <c r="H1430" s="77"/>
      <c r="I1430" s="88"/>
      <c r="J1430" s="393">
        <v>44417.0</v>
      </c>
      <c r="K1430" s="393">
        <f t="shared" si="8"/>
        <v>44418</v>
      </c>
      <c r="L1430" s="394" t="str">
        <f>IFERROR(__xludf.DUMMYFUNCTION("JOIN("""", G1430:H1430)"),"")</f>
        <v/>
      </c>
      <c r="M1430" s="80" t="str">
        <f t="shared" si="2"/>
        <v/>
      </c>
    </row>
    <row r="1431">
      <c r="A1431" s="86"/>
      <c r="B1431" s="73"/>
      <c r="C1431" s="73"/>
      <c r="D1431" s="73"/>
      <c r="E1431" s="88"/>
      <c r="F1431" s="73"/>
      <c r="G1431" s="394"/>
      <c r="H1431" s="77"/>
      <c r="I1431" s="88"/>
      <c r="J1431" s="393">
        <v>44418.0</v>
      </c>
      <c r="K1431" s="393">
        <f t="shared" si="8"/>
        <v>44419</v>
      </c>
      <c r="L1431" s="394" t="str">
        <f>IFERROR(__xludf.DUMMYFUNCTION("JOIN("""", G1431:H1431)"),"")</f>
        <v/>
      </c>
      <c r="M1431" s="80" t="str">
        <f t="shared" si="2"/>
        <v/>
      </c>
    </row>
    <row r="1432">
      <c r="A1432" s="86"/>
      <c r="B1432" s="73"/>
      <c r="C1432" s="73"/>
      <c r="D1432" s="73"/>
      <c r="E1432" s="88"/>
      <c r="F1432" s="73"/>
      <c r="G1432" s="394"/>
      <c r="H1432" s="77"/>
      <c r="I1432" s="88"/>
      <c r="J1432" s="393">
        <v>44418.0</v>
      </c>
      <c r="K1432" s="393">
        <f t="shared" si="8"/>
        <v>44419</v>
      </c>
      <c r="L1432" s="394" t="str">
        <f>IFERROR(__xludf.DUMMYFUNCTION("JOIN("""", G1432:H1432)"),"")</f>
        <v/>
      </c>
      <c r="M1432" s="80" t="str">
        <f t="shared" si="2"/>
        <v/>
      </c>
    </row>
    <row r="1433">
      <c r="A1433" s="86"/>
      <c r="B1433" s="73"/>
      <c r="C1433" s="73"/>
      <c r="D1433" s="73"/>
      <c r="E1433" s="88"/>
      <c r="F1433" s="73"/>
      <c r="G1433" s="394"/>
      <c r="H1433" s="77"/>
      <c r="I1433" s="88"/>
      <c r="J1433" s="393">
        <v>44418.0</v>
      </c>
      <c r="K1433" s="393">
        <f t="shared" si="8"/>
        <v>44419</v>
      </c>
      <c r="L1433" s="394" t="str">
        <f>IFERROR(__xludf.DUMMYFUNCTION("JOIN("""", G1433:H1433)"),"")</f>
        <v/>
      </c>
      <c r="M1433" s="80" t="str">
        <f t="shared" si="2"/>
        <v/>
      </c>
    </row>
    <row r="1434">
      <c r="A1434" s="86"/>
      <c r="B1434" s="73"/>
      <c r="C1434" s="73"/>
      <c r="D1434" s="73"/>
      <c r="E1434" s="88"/>
      <c r="F1434" s="73"/>
      <c r="G1434" s="394"/>
      <c r="H1434" s="77"/>
      <c r="I1434" s="88"/>
      <c r="J1434" s="393">
        <v>44418.0</v>
      </c>
      <c r="K1434" s="393">
        <f t="shared" si="8"/>
        <v>44419</v>
      </c>
      <c r="L1434" s="394" t="str">
        <f>IFERROR(__xludf.DUMMYFUNCTION("JOIN("""", G1434:H1434)"),"")</f>
        <v/>
      </c>
      <c r="M1434" s="80" t="str">
        <f t="shared" si="2"/>
        <v/>
      </c>
    </row>
    <row r="1435">
      <c r="A1435" s="86"/>
      <c r="B1435" s="73"/>
      <c r="C1435" s="73"/>
      <c r="D1435" s="73"/>
      <c r="E1435" s="88"/>
      <c r="F1435" s="73"/>
      <c r="G1435" s="394"/>
      <c r="H1435" s="77"/>
      <c r="I1435" s="88"/>
      <c r="J1435" s="393">
        <v>44418.0</v>
      </c>
      <c r="K1435" s="393">
        <f t="shared" si="8"/>
        <v>44419</v>
      </c>
      <c r="L1435" s="394" t="str">
        <f>IFERROR(__xludf.DUMMYFUNCTION("JOIN("""", G1435:H1435)"),"")</f>
        <v/>
      </c>
      <c r="M1435" s="80" t="str">
        <f t="shared" si="2"/>
        <v/>
      </c>
    </row>
    <row r="1436">
      <c r="A1436" s="86"/>
      <c r="B1436" s="73"/>
      <c r="C1436" s="73"/>
      <c r="D1436" s="73"/>
      <c r="E1436" s="88"/>
      <c r="F1436" s="73"/>
      <c r="G1436" s="394"/>
      <c r="H1436" s="77"/>
      <c r="I1436" s="88"/>
      <c r="J1436" s="393">
        <v>44419.0</v>
      </c>
      <c r="K1436" s="393">
        <f t="shared" si="8"/>
        <v>44420</v>
      </c>
      <c r="L1436" s="394" t="str">
        <f>IFERROR(__xludf.DUMMYFUNCTION("JOIN("""", G1436:H1436)"),"")</f>
        <v/>
      </c>
      <c r="M1436" s="80" t="str">
        <f t="shared" si="2"/>
        <v/>
      </c>
    </row>
    <row r="1437">
      <c r="A1437" s="86"/>
      <c r="B1437" s="73"/>
      <c r="C1437" s="73"/>
      <c r="D1437" s="73"/>
      <c r="E1437" s="88"/>
      <c r="F1437" s="73"/>
      <c r="G1437" s="394"/>
      <c r="H1437" s="77"/>
      <c r="I1437" s="88"/>
      <c r="J1437" s="405">
        <v>44419.0</v>
      </c>
      <c r="K1437" s="393">
        <f t="shared" si="8"/>
        <v>44420</v>
      </c>
      <c r="L1437" s="394" t="str">
        <f>IFERROR(__xludf.DUMMYFUNCTION("JOIN("""", G1437:H1437)"),"")</f>
        <v/>
      </c>
      <c r="M1437" s="80" t="str">
        <f t="shared" si="2"/>
        <v/>
      </c>
    </row>
    <row r="1438">
      <c r="A1438" s="86"/>
      <c r="B1438" s="73"/>
      <c r="C1438" s="73"/>
      <c r="D1438" s="73"/>
      <c r="E1438" s="88"/>
      <c r="F1438" s="73"/>
      <c r="G1438" s="394"/>
      <c r="H1438" s="77"/>
      <c r="I1438" s="88"/>
      <c r="J1438" s="393">
        <v>44419.0</v>
      </c>
      <c r="K1438" s="393">
        <f t="shared" si="8"/>
        <v>44420</v>
      </c>
      <c r="L1438" s="394" t="str">
        <f>IFERROR(__xludf.DUMMYFUNCTION("JOIN("""", G1438:H1438)"),"")</f>
        <v/>
      </c>
      <c r="M1438" s="80" t="str">
        <f t="shared" si="2"/>
        <v/>
      </c>
    </row>
    <row r="1439">
      <c r="A1439" s="86"/>
      <c r="B1439" s="73"/>
      <c r="C1439" s="73"/>
      <c r="D1439" s="73"/>
      <c r="E1439" s="88"/>
      <c r="F1439" s="73"/>
      <c r="G1439" s="394"/>
      <c r="H1439" s="77"/>
      <c r="I1439" s="88"/>
      <c r="J1439" s="393">
        <v>44419.0</v>
      </c>
      <c r="K1439" s="393">
        <f t="shared" si="8"/>
        <v>44420</v>
      </c>
      <c r="L1439" s="394" t="str">
        <f>IFERROR(__xludf.DUMMYFUNCTION("JOIN("""", G1439:H1439)"),"")</f>
        <v/>
      </c>
      <c r="M1439" s="80" t="str">
        <f t="shared" si="2"/>
        <v/>
      </c>
    </row>
    <row r="1440">
      <c r="A1440" s="86"/>
      <c r="B1440" s="73"/>
      <c r="C1440" s="73"/>
      <c r="D1440" s="73"/>
      <c r="E1440" s="88"/>
      <c r="F1440" s="73"/>
      <c r="G1440" s="394"/>
      <c r="H1440" s="77"/>
      <c r="I1440" s="88"/>
      <c r="J1440" s="393">
        <v>44419.0</v>
      </c>
      <c r="K1440" s="393">
        <f t="shared" si="8"/>
        <v>44420</v>
      </c>
      <c r="L1440" s="394" t="str">
        <f>IFERROR(__xludf.DUMMYFUNCTION("JOIN("""", G1440:H1440)"),"")</f>
        <v/>
      </c>
      <c r="M1440" s="80" t="str">
        <f t="shared" si="2"/>
        <v/>
      </c>
    </row>
    <row r="1441">
      <c r="A1441" s="86"/>
      <c r="B1441" s="73"/>
      <c r="C1441" s="73"/>
      <c r="D1441" s="73"/>
      <c r="E1441" s="88"/>
      <c r="F1441" s="73"/>
      <c r="G1441" s="394"/>
      <c r="H1441" s="77"/>
      <c r="I1441" s="88"/>
      <c r="J1441" s="401">
        <v>44419.0</v>
      </c>
      <c r="K1441" s="393">
        <f t="shared" si="8"/>
        <v>44420</v>
      </c>
      <c r="L1441" s="394" t="str">
        <f>IFERROR(__xludf.DUMMYFUNCTION("JOIN("""", G1441:H1441)"),"")</f>
        <v/>
      </c>
      <c r="M1441" s="80" t="str">
        <f t="shared" si="2"/>
        <v/>
      </c>
    </row>
    <row r="1442">
      <c r="A1442" s="86"/>
      <c r="B1442" s="73"/>
      <c r="C1442" s="73"/>
      <c r="D1442" s="73"/>
      <c r="E1442" s="88"/>
      <c r="F1442" s="73"/>
      <c r="G1442" s="394"/>
      <c r="H1442" s="77"/>
      <c r="I1442" s="88"/>
      <c r="J1442" s="393">
        <v>44419.0</v>
      </c>
      <c r="K1442" s="393">
        <f t="shared" si="8"/>
        <v>44420</v>
      </c>
      <c r="L1442" s="394" t="str">
        <f>IFERROR(__xludf.DUMMYFUNCTION("JOIN("""", G1442:H1442)"),"")</f>
        <v/>
      </c>
      <c r="M1442" s="80" t="str">
        <f t="shared" si="2"/>
        <v/>
      </c>
    </row>
    <row r="1443">
      <c r="A1443" s="86"/>
      <c r="B1443" s="73"/>
      <c r="C1443" s="73"/>
      <c r="D1443" s="73"/>
      <c r="E1443" s="88"/>
      <c r="F1443" s="73"/>
      <c r="G1443" s="394"/>
      <c r="H1443" s="77"/>
      <c r="I1443" s="88"/>
      <c r="J1443" s="393">
        <v>44419.0</v>
      </c>
      <c r="K1443" s="393">
        <f t="shared" si="8"/>
        <v>44420</v>
      </c>
      <c r="L1443" s="394" t="str">
        <f>IFERROR(__xludf.DUMMYFUNCTION("JOIN("""", G1443:H1443)"),"")</f>
        <v/>
      </c>
      <c r="M1443" s="80" t="str">
        <f t="shared" si="2"/>
        <v/>
      </c>
    </row>
    <row r="1444">
      <c r="A1444" s="86"/>
      <c r="B1444" s="73"/>
      <c r="C1444" s="73"/>
      <c r="D1444" s="73"/>
      <c r="E1444" s="88"/>
      <c r="F1444" s="73"/>
      <c r="G1444" s="394"/>
      <c r="H1444" s="77"/>
      <c r="I1444" s="88"/>
      <c r="J1444" s="393">
        <v>44419.0</v>
      </c>
      <c r="K1444" s="393">
        <f t="shared" si="8"/>
        <v>44420</v>
      </c>
      <c r="L1444" s="394" t="str">
        <f>IFERROR(__xludf.DUMMYFUNCTION("JOIN("""", G1444:H1444)"),"")</f>
        <v/>
      </c>
      <c r="M1444" s="80" t="str">
        <f t="shared" si="2"/>
        <v/>
      </c>
    </row>
    <row r="1445">
      <c r="A1445" s="86"/>
      <c r="B1445" s="73"/>
      <c r="C1445" s="396"/>
      <c r="D1445" s="73"/>
      <c r="E1445" s="88"/>
      <c r="F1445" s="73"/>
      <c r="G1445" s="394"/>
      <c r="H1445" s="77"/>
      <c r="I1445" s="88"/>
      <c r="J1445" s="393">
        <v>44420.0</v>
      </c>
      <c r="K1445" s="393">
        <f t="shared" si="8"/>
        <v>44421</v>
      </c>
      <c r="L1445" s="394" t="str">
        <f>IFERROR(__xludf.DUMMYFUNCTION("JOIN("""", G1445:H1445)"),"")</f>
        <v/>
      </c>
      <c r="M1445" s="80" t="str">
        <f t="shared" si="2"/>
        <v/>
      </c>
    </row>
    <row r="1446">
      <c r="A1446" s="86"/>
      <c r="B1446" s="396"/>
      <c r="C1446" s="396"/>
      <c r="D1446" s="73"/>
      <c r="E1446" s="88"/>
      <c r="F1446" s="73"/>
      <c r="G1446" s="394"/>
      <c r="H1446" s="77"/>
      <c r="I1446" s="88"/>
      <c r="J1446" s="393">
        <v>44442.0</v>
      </c>
      <c r="K1446" s="393">
        <f t="shared" si="8"/>
        <v>44443</v>
      </c>
      <c r="L1446" s="394" t="str">
        <f>IFERROR(__xludf.DUMMYFUNCTION("JOIN("""", G1446:H1446)"),"")</f>
        <v/>
      </c>
      <c r="M1446" s="80" t="str">
        <f t="shared" si="2"/>
        <v/>
      </c>
    </row>
    <row r="1447">
      <c r="A1447" s="397"/>
      <c r="B1447" s="396"/>
      <c r="C1447" s="396"/>
      <c r="D1447" s="73"/>
      <c r="E1447" s="88"/>
      <c r="F1447" s="73"/>
      <c r="G1447" s="394"/>
      <c r="H1447" s="77"/>
      <c r="I1447" s="88"/>
      <c r="J1447" s="393">
        <v>44420.0</v>
      </c>
      <c r="K1447" s="393">
        <f t="shared" si="8"/>
        <v>44421</v>
      </c>
      <c r="L1447" s="394" t="str">
        <f>IFERROR(__xludf.DUMMYFUNCTION("JOIN("""", G1447:H1447)"),"")</f>
        <v/>
      </c>
      <c r="M1447" s="80" t="str">
        <f t="shared" si="2"/>
        <v/>
      </c>
    </row>
    <row r="1448">
      <c r="A1448" s="397"/>
      <c r="B1448" s="396"/>
      <c r="C1448" s="398"/>
      <c r="D1448" s="73"/>
      <c r="E1448" s="88"/>
      <c r="F1448" s="73"/>
      <c r="G1448" s="394"/>
      <c r="H1448" s="77"/>
      <c r="I1448" s="88"/>
      <c r="J1448" s="393">
        <v>44420.0</v>
      </c>
      <c r="K1448" s="393">
        <f t="shared" si="8"/>
        <v>44421</v>
      </c>
      <c r="L1448" s="394" t="str">
        <f>IFERROR(__xludf.DUMMYFUNCTION("JOIN("""", G1448:H1448)"),"")</f>
        <v/>
      </c>
      <c r="M1448" s="80" t="str">
        <f t="shared" si="2"/>
        <v/>
      </c>
    </row>
    <row r="1449">
      <c r="A1449" s="86"/>
      <c r="B1449" s="73"/>
      <c r="C1449" s="73"/>
      <c r="D1449" s="73"/>
      <c r="E1449" s="88"/>
      <c r="F1449" s="73"/>
      <c r="G1449" s="394"/>
      <c r="H1449" s="77"/>
      <c r="I1449" s="88"/>
      <c r="J1449" s="393">
        <v>44424.0</v>
      </c>
      <c r="K1449" s="393">
        <f t="shared" si="8"/>
        <v>44425</v>
      </c>
      <c r="L1449" s="394" t="str">
        <f>IFERROR(__xludf.DUMMYFUNCTION("JOIN("""", G1449:H1449)"),"")</f>
        <v/>
      </c>
      <c r="M1449" s="80" t="str">
        <f t="shared" si="2"/>
        <v/>
      </c>
    </row>
    <row r="1450">
      <c r="A1450" s="86"/>
      <c r="B1450" s="73"/>
      <c r="C1450" s="73"/>
      <c r="D1450" s="73"/>
      <c r="E1450" s="88"/>
      <c r="F1450" s="73"/>
      <c r="G1450" s="394"/>
      <c r="H1450" s="77"/>
      <c r="I1450" s="88"/>
      <c r="J1450" s="393">
        <v>44432.0</v>
      </c>
      <c r="K1450" s="393">
        <f t="shared" si="8"/>
        <v>44433</v>
      </c>
      <c r="L1450" s="394" t="str">
        <f>IFERROR(__xludf.DUMMYFUNCTION("JOIN("""", G1450:H1450)"),"")</f>
        <v/>
      </c>
      <c r="M1450" s="80" t="str">
        <f t="shared" si="2"/>
        <v/>
      </c>
    </row>
    <row r="1451">
      <c r="A1451" s="86"/>
      <c r="B1451" s="73"/>
      <c r="C1451" s="73"/>
      <c r="D1451" s="73"/>
      <c r="E1451" s="88"/>
      <c r="F1451" s="73"/>
      <c r="G1451" s="394"/>
      <c r="H1451" s="77"/>
      <c r="I1451" s="88"/>
      <c r="J1451" s="393">
        <v>44432.0</v>
      </c>
      <c r="K1451" s="393">
        <f t="shared" si="8"/>
        <v>44433</v>
      </c>
      <c r="L1451" s="394" t="str">
        <f>IFERROR(__xludf.DUMMYFUNCTION("JOIN("""", G1451:H1451)"),"")</f>
        <v/>
      </c>
      <c r="M1451" s="80" t="str">
        <f t="shared" si="2"/>
        <v/>
      </c>
    </row>
    <row r="1452">
      <c r="A1452" s="86"/>
      <c r="B1452" s="73"/>
      <c r="C1452" s="73"/>
      <c r="D1452" s="73"/>
      <c r="E1452" s="88"/>
      <c r="F1452" s="73"/>
      <c r="G1452" s="394"/>
      <c r="H1452" s="77"/>
      <c r="I1452" s="88"/>
      <c r="J1452" s="393">
        <v>44421.0</v>
      </c>
      <c r="K1452" s="393">
        <f t="shared" si="8"/>
        <v>44422</v>
      </c>
      <c r="L1452" s="394" t="str">
        <f>IFERROR(__xludf.DUMMYFUNCTION("JOIN("""", G1452:H1452)"),"")</f>
        <v/>
      </c>
      <c r="M1452" s="80" t="str">
        <f t="shared" si="2"/>
        <v/>
      </c>
    </row>
    <row r="1453">
      <c r="A1453" s="86"/>
      <c r="B1453" s="73"/>
      <c r="C1453" s="73"/>
      <c r="D1453" s="73"/>
      <c r="E1453" s="88"/>
      <c r="F1453" s="73"/>
      <c r="G1453" s="394"/>
      <c r="H1453" s="77"/>
      <c r="I1453" s="88"/>
      <c r="J1453" s="393">
        <v>44424.0</v>
      </c>
      <c r="K1453" s="393">
        <f t="shared" si="8"/>
        <v>44425</v>
      </c>
      <c r="L1453" s="394" t="str">
        <f>IFERROR(__xludf.DUMMYFUNCTION("JOIN("""", G1453:H1453)"),"")</f>
        <v/>
      </c>
      <c r="M1453" s="80" t="str">
        <f t="shared" si="2"/>
        <v/>
      </c>
    </row>
    <row r="1454">
      <c r="A1454" s="86"/>
      <c r="B1454" s="73"/>
      <c r="C1454" s="73"/>
      <c r="D1454" s="73"/>
      <c r="E1454" s="88"/>
      <c r="F1454" s="73"/>
      <c r="G1454" s="394"/>
      <c r="H1454" s="77"/>
      <c r="I1454" s="88"/>
      <c r="J1454" s="393">
        <v>44424.0</v>
      </c>
      <c r="K1454" s="393">
        <f t="shared" si="8"/>
        <v>44425</v>
      </c>
      <c r="L1454" s="394" t="str">
        <f>IFERROR(__xludf.DUMMYFUNCTION("JOIN("""", G1454:H1454)"),"")</f>
        <v/>
      </c>
      <c r="M1454" s="80" t="str">
        <f t="shared" si="2"/>
        <v/>
      </c>
    </row>
    <row r="1455">
      <c r="A1455" s="86"/>
      <c r="B1455" s="73"/>
      <c r="C1455" s="73"/>
      <c r="D1455" s="73"/>
      <c r="E1455" s="88"/>
      <c r="F1455" s="73"/>
      <c r="G1455" s="394"/>
      <c r="H1455" s="77"/>
      <c r="I1455" s="88"/>
      <c r="J1455" s="393">
        <v>44427.0</v>
      </c>
      <c r="K1455" s="393">
        <f t="shared" si="8"/>
        <v>44428</v>
      </c>
      <c r="L1455" s="394" t="str">
        <f>IFERROR(__xludf.DUMMYFUNCTION("JOIN("""", G1455:H1455)"),"")</f>
        <v/>
      </c>
      <c r="M1455" s="80" t="str">
        <f t="shared" si="2"/>
        <v/>
      </c>
    </row>
    <row r="1456">
      <c r="A1456" s="86"/>
      <c r="B1456" s="73"/>
      <c r="C1456" s="73"/>
      <c r="D1456" s="73"/>
      <c r="E1456" s="88"/>
      <c r="F1456" s="73"/>
      <c r="G1456" s="394"/>
      <c r="H1456" s="77"/>
      <c r="I1456" s="88"/>
      <c r="J1456" s="393">
        <v>44424.0</v>
      </c>
      <c r="K1456" s="393">
        <f t="shared" si="8"/>
        <v>44425</v>
      </c>
      <c r="L1456" s="394" t="str">
        <f>IFERROR(__xludf.DUMMYFUNCTION("JOIN("""", G1456:H1456)"),"")</f>
        <v/>
      </c>
      <c r="M1456" s="80" t="str">
        <f t="shared" si="2"/>
        <v/>
      </c>
    </row>
    <row r="1457">
      <c r="A1457" s="86"/>
      <c r="B1457" s="73"/>
      <c r="C1457" s="73"/>
      <c r="D1457" s="73"/>
      <c r="E1457" s="88"/>
      <c r="F1457" s="73"/>
      <c r="G1457" s="394"/>
      <c r="H1457" s="77"/>
      <c r="I1457" s="88"/>
      <c r="J1457" s="393">
        <v>44424.0</v>
      </c>
      <c r="K1457" s="393">
        <f t="shared" si="8"/>
        <v>44425</v>
      </c>
      <c r="L1457" s="394" t="str">
        <f>IFERROR(__xludf.DUMMYFUNCTION("JOIN("""", G1457:H1457)"),"")</f>
        <v/>
      </c>
      <c r="M1457" s="80" t="str">
        <f t="shared" si="2"/>
        <v/>
      </c>
    </row>
    <row r="1458">
      <c r="A1458" s="86"/>
      <c r="B1458" s="73"/>
      <c r="C1458" s="73"/>
      <c r="D1458" s="73"/>
      <c r="E1458" s="88"/>
      <c r="F1458" s="73"/>
      <c r="G1458" s="394"/>
      <c r="H1458" s="73"/>
      <c r="I1458" s="88"/>
      <c r="J1458" s="393">
        <v>44425.0</v>
      </c>
      <c r="K1458" s="393">
        <f t="shared" si="8"/>
        <v>44426</v>
      </c>
      <c r="L1458" s="394" t="str">
        <f>IFERROR(__xludf.DUMMYFUNCTION("JOIN("""", G1458:H1458)"),"")</f>
        <v/>
      </c>
      <c r="M1458" s="80" t="str">
        <f t="shared" si="2"/>
        <v/>
      </c>
    </row>
    <row r="1459">
      <c r="A1459" s="86"/>
      <c r="B1459" s="73"/>
      <c r="C1459" s="73"/>
      <c r="D1459" s="73"/>
      <c r="E1459" s="88"/>
      <c r="F1459" s="73"/>
      <c r="G1459" s="394"/>
      <c r="H1459" s="77"/>
      <c r="I1459" s="88"/>
      <c r="J1459" s="393">
        <v>44425.0</v>
      </c>
      <c r="K1459" s="393">
        <f t="shared" si="8"/>
        <v>44426</v>
      </c>
      <c r="L1459" s="394" t="str">
        <f>IFERROR(__xludf.DUMMYFUNCTION("JOIN("""", G1459:H1459)"),"")</f>
        <v/>
      </c>
      <c r="M1459" s="80" t="str">
        <f t="shared" si="2"/>
        <v/>
      </c>
    </row>
    <row r="1460">
      <c r="A1460" s="86"/>
      <c r="B1460" s="73"/>
      <c r="C1460" s="73"/>
      <c r="D1460" s="73"/>
      <c r="E1460" s="88"/>
      <c r="F1460" s="73"/>
      <c r="G1460" s="394"/>
      <c r="H1460" s="77"/>
      <c r="I1460" s="88"/>
      <c r="J1460" s="393">
        <v>44426.0</v>
      </c>
      <c r="K1460" s="393">
        <f t="shared" si="8"/>
        <v>44427</v>
      </c>
      <c r="L1460" s="394" t="str">
        <f>IFERROR(__xludf.DUMMYFUNCTION("JOIN("""", G1460:H1460)"),"")</f>
        <v/>
      </c>
      <c r="M1460" s="80" t="str">
        <f t="shared" si="2"/>
        <v/>
      </c>
    </row>
    <row r="1461">
      <c r="A1461" s="86"/>
      <c r="B1461" s="73"/>
      <c r="C1461" s="73"/>
      <c r="D1461" s="73"/>
      <c r="E1461" s="88"/>
      <c r="F1461" s="73"/>
      <c r="G1461" s="394"/>
      <c r="H1461" s="77"/>
      <c r="I1461" s="88"/>
      <c r="J1461" s="393">
        <v>44426.0</v>
      </c>
      <c r="K1461" s="393">
        <f t="shared" si="8"/>
        <v>44427</v>
      </c>
      <c r="L1461" s="394" t="str">
        <f>IFERROR(__xludf.DUMMYFUNCTION("JOIN("""", G1461:H1461)"),"")</f>
        <v/>
      </c>
      <c r="M1461" s="80" t="str">
        <f t="shared" si="2"/>
        <v/>
      </c>
    </row>
    <row r="1462">
      <c r="A1462" s="86"/>
      <c r="B1462" s="73"/>
      <c r="C1462" s="73"/>
      <c r="D1462" s="73"/>
      <c r="E1462" s="88"/>
      <c r="F1462" s="73"/>
      <c r="G1462" s="394"/>
      <c r="H1462" s="77"/>
      <c r="I1462" s="88"/>
      <c r="J1462" s="393">
        <v>44426.0</v>
      </c>
      <c r="K1462" s="393">
        <f t="shared" si="8"/>
        <v>44427</v>
      </c>
      <c r="L1462" s="394" t="str">
        <f>IFERROR(__xludf.DUMMYFUNCTION("JOIN("""", G1462:H1462)"),"")</f>
        <v/>
      </c>
      <c r="M1462" s="80" t="str">
        <f t="shared" si="2"/>
        <v/>
      </c>
    </row>
    <row r="1463">
      <c r="A1463" s="86"/>
      <c r="B1463" s="73"/>
      <c r="C1463" s="73"/>
      <c r="D1463" s="73"/>
      <c r="E1463" s="88"/>
      <c r="F1463" s="73"/>
      <c r="G1463" s="394"/>
      <c r="H1463" s="77"/>
      <c r="I1463" s="88"/>
      <c r="J1463" s="393">
        <v>44436.0</v>
      </c>
      <c r="K1463" s="393">
        <f t="shared" si="8"/>
        <v>44437</v>
      </c>
      <c r="L1463" s="394" t="str">
        <f>IFERROR(__xludf.DUMMYFUNCTION("JOIN("""", G1463:H1463)"),"")</f>
        <v/>
      </c>
      <c r="M1463" s="80" t="str">
        <f t="shared" si="2"/>
        <v/>
      </c>
    </row>
    <row r="1464">
      <c r="A1464" s="86"/>
      <c r="B1464" s="73"/>
      <c r="C1464" s="73"/>
      <c r="D1464" s="73"/>
      <c r="E1464" s="88"/>
      <c r="F1464" s="73"/>
      <c r="G1464" s="394"/>
      <c r="H1464" s="77"/>
      <c r="I1464" s="88"/>
      <c r="J1464" s="393">
        <v>44427.0</v>
      </c>
      <c r="K1464" s="393">
        <f t="shared" si="8"/>
        <v>44428</v>
      </c>
      <c r="L1464" s="394" t="str">
        <f>IFERROR(__xludf.DUMMYFUNCTION("JOIN("""", G1464:H1464)"),"")</f>
        <v/>
      </c>
      <c r="M1464" s="80" t="str">
        <f t="shared" si="2"/>
        <v/>
      </c>
    </row>
    <row r="1465">
      <c r="A1465" s="86"/>
      <c r="B1465" s="73"/>
      <c r="C1465" s="73"/>
      <c r="D1465" s="73"/>
      <c r="E1465" s="88"/>
      <c r="F1465" s="73"/>
      <c r="G1465" s="394"/>
      <c r="H1465" s="77"/>
      <c r="I1465" s="88"/>
      <c r="J1465" s="393">
        <v>44427.0</v>
      </c>
      <c r="K1465" s="393">
        <f t="shared" si="8"/>
        <v>44428</v>
      </c>
      <c r="L1465" s="394" t="str">
        <f>IFERROR(__xludf.DUMMYFUNCTION("JOIN("""", G1465:H1465)"),"")</f>
        <v/>
      </c>
      <c r="M1465" s="80" t="str">
        <f t="shared" si="2"/>
        <v/>
      </c>
    </row>
    <row r="1466">
      <c r="A1466" s="86"/>
      <c r="B1466" s="73"/>
      <c r="C1466" s="73"/>
      <c r="D1466" s="73"/>
      <c r="E1466" s="88"/>
      <c r="F1466" s="73"/>
      <c r="G1466" s="394"/>
      <c r="H1466" s="77"/>
      <c r="I1466" s="88"/>
      <c r="J1466" s="393">
        <v>44427.0</v>
      </c>
      <c r="K1466" s="393">
        <f t="shared" si="8"/>
        <v>44428</v>
      </c>
      <c r="L1466" s="394" t="str">
        <f>IFERROR(__xludf.DUMMYFUNCTION("JOIN("""", G1466:H1466)"),"")</f>
        <v/>
      </c>
      <c r="M1466" s="80" t="str">
        <f t="shared" si="2"/>
        <v/>
      </c>
    </row>
    <row r="1467">
      <c r="A1467" s="86"/>
      <c r="B1467" s="73"/>
      <c r="C1467" s="73"/>
      <c r="D1467" s="73"/>
      <c r="E1467" s="88"/>
      <c r="F1467" s="73"/>
      <c r="G1467" s="394"/>
      <c r="H1467" s="77"/>
      <c r="I1467" s="88"/>
      <c r="J1467" s="393">
        <v>44427.0</v>
      </c>
      <c r="K1467" s="393">
        <f t="shared" si="8"/>
        <v>44428</v>
      </c>
      <c r="L1467" s="394" t="str">
        <f>IFERROR(__xludf.DUMMYFUNCTION("JOIN("""", G1467:H1467)"),"")</f>
        <v/>
      </c>
      <c r="M1467" s="80" t="str">
        <f t="shared" si="2"/>
        <v/>
      </c>
    </row>
    <row r="1468">
      <c r="A1468" s="86"/>
      <c r="B1468" s="73"/>
      <c r="C1468" s="73"/>
      <c r="D1468" s="73"/>
      <c r="E1468" s="88"/>
      <c r="F1468" s="73"/>
      <c r="G1468" s="394"/>
      <c r="H1468" s="77"/>
      <c r="I1468" s="88"/>
      <c r="J1468" s="393">
        <v>44427.0</v>
      </c>
      <c r="K1468" s="393">
        <f t="shared" si="8"/>
        <v>44428</v>
      </c>
      <c r="L1468" s="394" t="str">
        <f>IFERROR(__xludf.DUMMYFUNCTION("JOIN("""", G1468:H1468)"),"")</f>
        <v/>
      </c>
      <c r="M1468" s="80" t="str">
        <f t="shared" si="2"/>
        <v/>
      </c>
    </row>
    <row r="1469">
      <c r="A1469" s="86"/>
      <c r="B1469" s="73"/>
      <c r="C1469" s="73"/>
      <c r="D1469" s="73"/>
      <c r="E1469" s="88"/>
      <c r="F1469" s="73"/>
      <c r="G1469" s="394"/>
      <c r="H1469" s="77"/>
      <c r="I1469" s="88"/>
      <c r="J1469" s="393">
        <v>44427.0</v>
      </c>
      <c r="K1469" s="393">
        <f t="shared" si="8"/>
        <v>44428</v>
      </c>
      <c r="L1469" s="394" t="str">
        <f>IFERROR(__xludf.DUMMYFUNCTION("JOIN("""", G1469:H1469)"),"")</f>
        <v/>
      </c>
      <c r="M1469" s="80" t="str">
        <f t="shared" si="2"/>
        <v/>
      </c>
    </row>
    <row r="1470">
      <c r="A1470" s="86"/>
      <c r="B1470" s="73"/>
      <c r="C1470" s="73"/>
      <c r="D1470" s="73"/>
      <c r="E1470" s="88"/>
      <c r="F1470" s="73"/>
      <c r="G1470" s="394"/>
      <c r="H1470" s="77"/>
      <c r="I1470" s="88"/>
      <c r="J1470" s="393">
        <v>44428.0</v>
      </c>
      <c r="K1470" s="393">
        <f t="shared" si="8"/>
        <v>44429</v>
      </c>
      <c r="L1470" s="394" t="str">
        <f>IFERROR(__xludf.DUMMYFUNCTION("JOIN("""", G1470:H1470)"),"")</f>
        <v/>
      </c>
      <c r="M1470" s="80" t="str">
        <f t="shared" si="2"/>
        <v/>
      </c>
    </row>
    <row r="1471">
      <c r="A1471" s="86"/>
      <c r="B1471" s="73"/>
      <c r="C1471" s="73"/>
      <c r="D1471" s="73"/>
      <c r="E1471" s="88"/>
      <c r="F1471" s="73"/>
      <c r="G1471" s="394"/>
      <c r="H1471" s="77"/>
      <c r="I1471" s="88"/>
      <c r="J1471" s="393">
        <v>44448.0</v>
      </c>
      <c r="K1471" s="393">
        <f t="shared" si="8"/>
        <v>44449</v>
      </c>
      <c r="L1471" s="394" t="str">
        <f>IFERROR(__xludf.DUMMYFUNCTION("JOIN("""", G1471:H1471)"),"")</f>
        <v/>
      </c>
      <c r="M1471" s="80" t="str">
        <f t="shared" si="2"/>
        <v/>
      </c>
    </row>
    <row r="1472">
      <c r="A1472" s="86"/>
      <c r="B1472" s="73"/>
      <c r="C1472" s="73"/>
      <c r="D1472" s="73"/>
      <c r="E1472" s="88"/>
      <c r="F1472" s="73"/>
      <c r="G1472" s="394"/>
      <c r="H1472" s="77"/>
      <c r="I1472" s="88"/>
      <c r="J1472" s="393">
        <v>44428.0</v>
      </c>
      <c r="K1472" s="393">
        <f t="shared" si="8"/>
        <v>44429</v>
      </c>
      <c r="L1472" s="394" t="str">
        <f>IFERROR(__xludf.DUMMYFUNCTION("JOIN("""", G1472:H1472)"),"")</f>
        <v/>
      </c>
      <c r="M1472" s="80" t="str">
        <f t="shared" si="2"/>
        <v/>
      </c>
    </row>
    <row r="1473">
      <c r="A1473" s="86"/>
      <c r="B1473" s="73"/>
      <c r="C1473" s="73"/>
      <c r="D1473" s="73"/>
      <c r="E1473" s="88"/>
      <c r="F1473" s="73"/>
      <c r="G1473" s="394"/>
      <c r="H1473" s="77"/>
      <c r="I1473" s="88"/>
      <c r="J1473" s="393">
        <v>44428.0</v>
      </c>
      <c r="K1473" s="393">
        <f t="shared" si="8"/>
        <v>44429</v>
      </c>
      <c r="L1473" s="394" t="str">
        <f>IFERROR(__xludf.DUMMYFUNCTION("JOIN("""", G1473:H1473)"),"")</f>
        <v/>
      </c>
      <c r="M1473" s="80" t="str">
        <f t="shared" si="2"/>
        <v/>
      </c>
    </row>
    <row r="1474">
      <c r="A1474" s="86"/>
      <c r="B1474" s="73"/>
      <c r="C1474" s="73"/>
      <c r="D1474" s="73"/>
      <c r="E1474" s="88"/>
      <c r="F1474" s="73"/>
      <c r="G1474" s="394"/>
      <c r="H1474" s="77"/>
      <c r="I1474" s="88"/>
      <c r="J1474" s="393">
        <v>44428.0</v>
      </c>
      <c r="K1474" s="393">
        <f t="shared" si="8"/>
        <v>44429</v>
      </c>
      <c r="L1474" s="394" t="str">
        <f>IFERROR(__xludf.DUMMYFUNCTION("JOIN("""", G1474:H1474)"),"")</f>
        <v/>
      </c>
      <c r="M1474" s="80" t="str">
        <f t="shared" si="2"/>
        <v/>
      </c>
    </row>
    <row r="1475">
      <c r="A1475" s="86"/>
      <c r="B1475" s="73"/>
      <c r="C1475" s="73"/>
      <c r="D1475" s="73"/>
      <c r="E1475" s="88"/>
      <c r="F1475" s="73"/>
      <c r="G1475" s="394"/>
      <c r="H1475" s="77"/>
      <c r="I1475" s="88"/>
      <c r="J1475" s="393">
        <v>44431.0</v>
      </c>
      <c r="K1475" s="393">
        <f t="shared" si="8"/>
        <v>44432</v>
      </c>
      <c r="L1475" s="394" t="str">
        <f>IFERROR(__xludf.DUMMYFUNCTION("JOIN("""", G1475:H1475)"),"")</f>
        <v/>
      </c>
      <c r="M1475" s="80" t="str">
        <f t="shared" si="2"/>
        <v/>
      </c>
    </row>
    <row r="1476">
      <c r="A1476" s="86"/>
      <c r="B1476" s="73"/>
      <c r="C1476" s="73"/>
      <c r="D1476" s="73"/>
      <c r="E1476" s="88"/>
      <c r="F1476" s="73"/>
      <c r="G1476" s="394"/>
      <c r="H1476" s="77"/>
      <c r="I1476" s="88"/>
      <c r="J1476" s="393">
        <v>44428.0</v>
      </c>
      <c r="K1476" s="393">
        <f t="shared" si="8"/>
        <v>44429</v>
      </c>
      <c r="L1476" s="394" t="str">
        <f>IFERROR(__xludf.DUMMYFUNCTION("JOIN("""", G1476:H1476)"),"")</f>
        <v/>
      </c>
      <c r="M1476" s="80" t="str">
        <f t="shared" si="2"/>
        <v/>
      </c>
    </row>
    <row r="1477">
      <c r="A1477" s="86"/>
      <c r="B1477" s="73"/>
      <c r="C1477" s="73"/>
      <c r="D1477" s="73"/>
      <c r="E1477" s="88"/>
      <c r="F1477" s="73"/>
      <c r="G1477" s="394"/>
      <c r="H1477" s="77"/>
      <c r="I1477" s="88"/>
      <c r="J1477" s="393">
        <v>44439.0</v>
      </c>
      <c r="K1477" s="393">
        <f t="shared" si="8"/>
        <v>44440</v>
      </c>
      <c r="L1477" s="394" t="str">
        <f>IFERROR(__xludf.DUMMYFUNCTION("JOIN("""", G1477:H1477)"),"")</f>
        <v/>
      </c>
      <c r="M1477" s="80" t="str">
        <f t="shared" si="2"/>
        <v/>
      </c>
    </row>
    <row r="1478">
      <c r="A1478" s="86"/>
      <c r="B1478" s="73"/>
      <c r="C1478" s="73"/>
      <c r="D1478" s="73"/>
      <c r="E1478" s="88"/>
      <c r="F1478" s="73"/>
      <c r="G1478" s="394"/>
      <c r="H1478" s="77"/>
      <c r="I1478" s="88"/>
      <c r="J1478" s="393">
        <v>44431.0</v>
      </c>
      <c r="K1478" s="393">
        <f t="shared" si="8"/>
        <v>44432</v>
      </c>
      <c r="L1478" s="394" t="str">
        <f>IFERROR(__xludf.DUMMYFUNCTION("JOIN("""", G1478:H1478)"),"")</f>
        <v/>
      </c>
      <c r="M1478" s="80" t="str">
        <f t="shared" si="2"/>
        <v/>
      </c>
    </row>
    <row r="1479">
      <c r="A1479" s="86"/>
      <c r="B1479" s="73"/>
      <c r="C1479" s="73"/>
      <c r="D1479" s="73"/>
      <c r="E1479" s="88"/>
      <c r="F1479" s="73"/>
      <c r="G1479" s="394"/>
      <c r="H1479" s="77"/>
      <c r="I1479" s="88"/>
      <c r="J1479" s="393">
        <v>44431.0</v>
      </c>
      <c r="K1479" s="393">
        <f t="shared" si="8"/>
        <v>44432</v>
      </c>
      <c r="L1479" s="394" t="str">
        <f>IFERROR(__xludf.DUMMYFUNCTION("JOIN("""", G1479:H1479)"),"")</f>
        <v/>
      </c>
      <c r="M1479" s="80" t="str">
        <f t="shared" si="2"/>
        <v/>
      </c>
    </row>
    <row r="1480">
      <c r="A1480" s="86"/>
      <c r="B1480" s="73"/>
      <c r="C1480" s="73"/>
      <c r="D1480" s="73"/>
      <c r="E1480" s="88"/>
      <c r="F1480" s="73"/>
      <c r="G1480" s="394"/>
      <c r="H1480" s="77"/>
      <c r="I1480" s="88"/>
      <c r="J1480" s="393">
        <v>44431.0</v>
      </c>
      <c r="K1480" s="393">
        <f t="shared" si="8"/>
        <v>44432</v>
      </c>
      <c r="L1480" s="394" t="str">
        <f>IFERROR(__xludf.DUMMYFUNCTION("JOIN("""", G1480:H1480)"),"")</f>
        <v/>
      </c>
      <c r="M1480" s="80" t="str">
        <f t="shared" si="2"/>
        <v/>
      </c>
    </row>
    <row r="1481">
      <c r="A1481" s="86"/>
      <c r="B1481" s="73"/>
      <c r="C1481" s="73"/>
      <c r="D1481" s="73"/>
      <c r="E1481" s="88"/>
      <c r="F1481" s="73"/>
      <c r="G1481" s="394"/>
      <c r="H1481" s="77"/>
      <c r="I1481" s="88"/>
      <c r="J1481" s="393">
        <v>44431.0</v>
      </c>
      <c r="K1481" s="393">
        <f t="shared" si="8"/>
        <v>44432</v>
      </c>
      <c r="L1481" s="394" t="str">
        <f>IFERROR(__xludf.DUMMYFUNCTION("JOIN("""", G1481:H1481)"),"")</f>
        <v/>
      </c>
      <c r="M1481" s="80" t="str">
        <f t="shared" si="2"/>
        <v/>
      </c>
    </row>
    <row r="1482">
      <c r="A1482" s="86"/>
      <c r="B1482" s="73"/>
      <c r="C1482" s="73"/>
      <c r="D1482" s="73"/>
      <c r="E1482" s="88"/>
      <c r="F1482" s="73"/>
      <c r="G1482" s="394"/>
      <c r="H1482" s="77"/>
      <c r="I1482" s="88"/>
      <c r="J1482" s="393">
        <v>44431.0</v>
      </c>
      <c r="K1482" s="393">
        <f t="shared" si="8"/>
        <v>44432</v>
      </c>
      <c r="L1482" s="394" t="str">
        <f>IFERROR(__xludf.DUMMYFUNCTION("JOIN("""", G1482:H1482)"),"")</f>
        <v/>
      </c>
      <c r="M1482" s="80" t="str">
        <f t="shared" si="2"/>
        <v/>
      </c>
    </row>
    <row r="1483">
      <c r="A1483" s="86"/>
      <c r="B1483" s="73"/>
      <c r="C1483" s="73"/>
      <c r="D1483" s="73"/>
      <c r="E1483" s="88"/>
      <c r="F1483" s="73"/>
      <c r="G1483" s="394"/>
      <c r="H1483" s="77"/>
      <c r="I1483" s="88"/>
      <c r="J1483" s="393">
        <v>44431.0</v>
      </c>
      <c r="K1483" s="393">
        <f t="shared" si="8"/>
        <v>44432</v>
      </c>
      <c r="L1483" s="394" t="str">
        <f>IFERROR(__xludf.DUMMYFUNCTION("JOIN("""", G1483:H1483)"),"")</f>
        <v/>
      </c>
      <c r="M1483" s="80" t="str">
        <f t="shared" si="2"/>
        <v/>
      </c>
    </row>
    <row r="1484">
      <c r="A1484" s="86"/>
      <c r="B1484" s="73"/>
      <c r="C1484" s="73"/>
      <c r="D1484" s="73"/>
      <c r="E1484" s="88"/>
      <c r="F1484" s="73"/>
      <c r="G1484" s="394"/>
      <c r="H1484" s="77"/>
      <c r="I1484" s="88"/>
      <c r="J1484" s="393">
        <v>44431.0</v>
      </c>
      <c r="K1484" s="393">
        <f t="shared" si="8"/>
        <v>44432</v>
      </c>
      <c r="L1484" s="394" t="str">
        <f>IFERROR(__xludf.DUMMYFUNCTION("JOIN("""", G1484:H1484)"),"")</f>
        <v/>
      </c>
      <c r="M1484" s="80" t="str">
        <f t="shared" si="2"/>
        <v/>
      </c>
    </row>
    <row r="1485">
      <c r="A1485" s="86"/>
      <c r="B1485" s="73"/>
      <c r="C1485" s="73"/>
      <c r="D1485" s="73"/>
      <c r="E1485" s="88"/>
      <c r="F1485" s="73"/>
      <c r="G1485" s="394"/>
      <c r="H1485" s="77"/>
      <c r="I1485" s="88"/>
      <c r="J1485" s="393">
        <v>44431.0</v>
      </c>
      <c r="K1485" s="393">
        <f t="shared" si="8"/>
        <v>44432</v>
      </c>
      <c r="L1485" s="394" t="str">
        <f>IFERROR(__xludf.DUMMYFUNCTION("JOIN("""", G1485:H1485)"),"")</f>
        <v/>
      </c>
      <c r="M1485" s="80" t="str">
        <f t="shared" si="2"/>
        <v/>
      </c>
    </row>
    <row r="1486">
      <c r="A1486" s="86"/>
      <c r="B1486" s="73"/>
      <c r="C1486" s="73"/>
      <c r="D1486" s="73"/>
      <c r="E1486" s="88"/>
      <c r="F1486" s="73"/>
      <c r="G1486" s="394"/>
      <c r="H1486" s="77"/>
      <c r="I1486" s="88"/>
      <c r="J1486" s="393">
        <v>44431.0</v>
      </c>
      <c r="K1486" s="393">
        <f t="shared" si="8"/>
        <v>44432</v>
      </c>
      <c r="L1486" s="394" t="str">
        <f>IFERROR(__xludf.DUMMYFUNCTION("JOIN("""", G1486:H1486)"),"")</f>
        <v/>
      </c>
      <c r="M1486" s="80" t="str">
        <f t="shared" si="2"/>
        <v/>
      </c>
    </row>
    <row r="1487">
      <c r="A1487" s="86"/>
      <c r="B1487" s="73"/>
      <c r="C1487" s="73"/>
      <c r="D1487" s="73"/>
      <c r="E1487" s="88"/>
      <c r="F1487" s="73"/>
      <c r="G1487" s="394"/>
      <c r="H1487" s="77"/>
      <c r="I1487" s="88"/>
      <c r="J1487" s="393">
        <v>44431.0</v>
      </c>
      <c r="K1487" s="393">
        <f t="shared" si="8"/>
        <v>44432</v>
      </c>
      <c r="L1487" s="394" t="str">
        <f>IFERROR(__xludf.DUMMYFUNCTION("JOIN("""", G1487:H1487)"),"")</f>
        <v/>
      </c>
      <c r="M1487" s="80" t="str">
        <f t="shared" si="2"/>
        <v/>
      </c>
    </row>
    <row r="1488">
      <c r="A1488" s="86"/>
      <c r="B1488" s="73"/>
      <c r="C1488" s="73"/>
      <c r="D1488" s="73"/>
      <c r="E1488" s="88"/>
      <c r="F1488" s="73"/>
      <c r="G1488" s="394"/>
      <c r="H1488" s="77"/>
      <c r="I1488" s="88"/>
      <c r="J1488" s="393">
        <v>44431.0</v>
      </c>
      <c r="K1488" s="393">
        <f t="shared" si="8"/>
        <v>44432</v>
      </c>
      <c r="L1488" s="394" t="str">
        <f>IFERROR(__xludf.DUMMYFUNCTION("JOIN("""", G1488:H1488)"),"")</f>
        <v/>
      </c>
      <c r="M1488" s="80" t="str">
        <f t="shared" si="2"/>
        <v/>
      </c>
    </row>
    <row r="1489">
      <c r="A1489" s="86"/>
      <c r="B1489" s="73"/>
      <c r="C1489" s="73"/>
      <c r="D1489" s="73"/>
      <c r="E1489" s="88"/>
      <c r="F1489" s="73"/>
      <c r="G1489" s="394"/>
      <c r="H1489" s="77"/>
      <c r="I1489" s="88"/>
      <c r="J1489" s="393">
        <v>44431.0</v>
      </c>
      <c r="K1489" s="393">
        <f t="shared" si="8"/>
        <v>44432</v>
      </c>
      <c r="L1489" s="394" t="str">
        <f>IFERROR(__xludf.DUMMYFUNCTION("JOIN("""", G1489:H1489)"),"")</f>
        <v/>
      </c>
      <c r="M1489" s="80" t="str">
        <f t="shared" si="2"/>
        <v/>
      </c>
    </row>
    <row r="1490">
      <c r="A1490" s="86"/>
      <c r="B1490" s="73"/>
      <c r="C1490" s="73"/>
      <c r="D1490" s="73"/>
      <c r="E1490" s="88"/>
      <c r="F1490" s="73"/>
      <c r="G1490" s="394"/>
      <c r="H1490" s="77"/>
      <c r="I1490" s="88"/>
      <c r="J1490" s="393">
        <v>44431.0</v>
      </c>
      <c r="K1490" s="393">
        <f t="shared" si="8"/>
        <v>44432</v>
      </c>
      <c r="L1490" s="394" t="str">
        <f>IFERROR(__xludf.DUMMYFUNCTION("JOIN("""", G1490:H1490)"),"")</f>
        <v/>
      </c>
      <c r="M1490" s="80" t="str">
        <f t="shared" si="2"/>
        <v/>
      </c>
    </row>
    <row r="1491">
      <c r="A1491" s="86"/>
      <c r="B1491" s="73"/>
      <c r="C1491" s="73"/>
      <c r="D1491" s="73"/>
      <c r="E1491" s="88"/>
      <c r="F1491" s="73"/>
      <c r="G1491" s="394"/>
      <c r="H1491" s="77"/>
      <c r="I1491" s="88"/>
      <c r="J1491" s="393">
        <v>44431.0</v>
      </c>
      <c r="K1491" s="393">
        <f t="shared" si="8"/>
        <v>44432</v>
      </c>
      <c r="L1491" s="394" t="str">
        <f>IFERROR(__xludf.DUMMYFUNCTION("JOIN("""", G1491:H1491)"),"")</f>
        <v/>
      </c>
      <c r="M1491" s="80" t="str">
        <f t="shared" si="2"/>
        <v/>
      </c>
    </row>
    <row r="1492">
      <c r="A1492" s="86"/>
      <c r="B1492" s="73"/>
      <c r="C1492" s="73"/>
      <c r="D1492" s="73"/>
      <c r="E1492" s="88"/>
      <c r="F1492" s="73"/>
      <c r="G1492" s="394"/>
      <c r="H1492" s="77"/>
      <c r="I1492" s="88"/>
      <c r="J1492" s="393">
        <v>44431.0</v>
      </c>
      <c r="K1492" s="393">
        <f t="shared" si="8"/>
        <v>44432</v>
      </c>
      <c r="L1492" s="394" t="str">
        <f>IFERROR(__xludf.DUMMYFUNCTION("JOIN("""", G1492:H1492)"),"")</f>
        <v/>
      </c>
      <c r="M1492" s="80" t="str">
        <f t="shared" si="2"/>
        <v/>
      </c>
    </row>
    <row r="1493">
      <c r="A1493" s="86"/>
      <c r="B1493" s="73"/>
      <c r="C1493" s="73"/>
      <c r="D1493" s="73"/>
      <c r="E1493" s="88"/>
      <c r="F1493" s="73"/>
      <c r="G1493" s="394"/>
      <c r="H1493" s="77"/>
      <c r="I1493" s="88"/>
      <c r="J1493" s="393">
        <v>44431.0</v>
      </c>
      <c r="K1493" s="393">
        <f t="shared" si="8"/>
        <v>44432</v>
      </c>
      <c r="L1493" s="394" t="str">
        <f>IFERROR(__xludf.DUMMYFUNCTION("JOIN("""", G1493:H1493)"),"")</f>
        <v/>
      </c>
      <c r="M1493" s="80" t="str">
        <f t="shared" si="2"/>
        <v/>
      </c>
    </row>
    <row r="1494">
      <c r="A1494" s="86"/>
      <c r="B1494" s="73"/>
      <c r="C1494" s="73"/>
      <c r="D1494" s="73"/>
      <c r="E1494" s="88"/>
      <c r="F1494" s="73"/>
      <c r="G1494" s="394"/>
      <c r="H1494" s="77"/>
      <c r="I1494" s="88"/>
      <c r="J1494" s="393">
        <v>44431.0</v>
      </c>
      <c r="K1494" s="393">
        <f t="shared" si="8"/>
        <v>44432</v>
      </c>
      <c r="L1494" s="394" t="str">
        <f>IFERROR(__xludf.DUMMYFUNCTION("JOIN("""", G1494:H1494)"),"")</f>
        <v/>
      </c>
      <c r="M1494" s="80" t="str">
        <f t="shared" si="2"/>
        <v/>
      </c>
    </row>
    <row r="1495">
      <c r="A1495" s="86"/>
      <c r="B1495" s="73"/>
      <c r="C1495" s="73"/>
      <c r="D1495" s="73"/>
      <c r="E1495" s="88"/>
      <c r="F1495" s="73"/>
      <c r="G1495" s="394"/>
      <c r="H1495" s="77"/>
      <c r="I1495" s="88"/>
      <c r="J1495" s="393">
        <v>44431.0</v>
      </c>
      <c r="K1495" s="393">
        <f t="shared" si="8"/>
        <v>44432</v>
      </c>
      <c r="L1495" s="394" t="str">
        <f>IFERROR(__xludf.DUMMYFUNCTION("JOIN("""", G1495:H1495)"),"")</f>
        <v/>
      </c>
      <c r="M1495" s="80" t="str">
        <f t="shared" si="2"/>
        <v/>
      </c>
    </row>
    <row r="1496">
      <c r="A1496" s="86"/>
      <c r="B1496" s="73"/>
      <c r="C1496" s="73"/>
      <c r="D1496" s="73"/>
      <c r="E1496" s="88"/>
      <c r="F1496" s="73"/>
      <c r="G1496" s="394"/>
      <c r="H1496" s="77"/>
      <c r="I1496" s="88"/>
      <c r="J1496" s="393">
        <v>44431.0</v>
      </c>
      <c r="K1496" s="393">
        <f t="shared" si="8"/>
        <v>44432</v>
      </c>
      <c r="L1496" s="394" t="str">
        <f>IFERROR(__xludf.DUMMYFUNCTION("JOIN("""", G1496:H1496)"),"")</f>
        <v/>
      </c>
      <c r="M1496" s="80" t="str">
        <f t="shared" si="2"/>
        <v/>
      </c>
    </row>
    <row r="1497">
      <c r="A1497" s="86"/>
      <c r="B1497" s="73"/>
      <c r="C1497" s="73"/>
      <c r="D1497" s="73"/>
      <c r="E1497" s="88"/>
      <c r="F1497" s="73"/>
      <c r="G1497" s="394"/>
      <c r="H1497" s="77"/>
      <c r="I1497" s="88"/>
      <c r="J1497" s="393">
        <v>44432.0</v>
      </c>
      <c r="K1497" s="393">
        <f t="shared" si="8"/>
        <v>44433</v>
      </c>
      <c r="L1497" s="394" t="str">
        <f>IFERROR(__xludf.DUMMYFUNCTION("JOIN("""", G1497:H1497)"),"")</f>
        <v/>
      </c>
      <c r="M1497" s="80" t="str">
        <f t="shared" si="2"/>
        <v/>
      </c>
    </row>
    <row r="1498">
      <c r="A1498" s="86"/>
      <c r="B1498" s="73"/>
      <c r="C1498" s="73"/>
      <c r="D1498" s="73"/>
      <c r="E1498" s="88"/>
      <c r="F1498" s="73"/>
      <c r="G1498" s="394"/>
      <c r="H1498" s="77"/>
      <c r="I1498" s="88"/>
      <c r="J1498" s="393">
        <v>44432.0</v>
      </c>
      <c r="K1498" s="393">
        <f t="shared" si="8"/>
        <v>44433</v>
      </c>
      <c r="L1498" s="394" t="str">
        <f>IFERROR(__xludf.DUMMYFUNCTION("JOIN("""", G1498:H1498)"),"")</f>
        <v/>
      </c>
      <c r="M1498" s="80" t="str">
        <f t="shared" si="2"/>
        <v/>
      </c>
    </row>
    <row r="1499">
      <c r="A1499" s="86"/>
      <c r="B1499" s="73"/>
      <c r="C1499" s="73"/>
      <c r="D1499" s="73"/>
      <c r="E1499" s="88"/>
      <c r="F1499" s="73"/>
      <c r="G1499" s="394"/>
      <c r="H1499" s="77"/>
      <c r="I1499" s="88"/>
      <c r="J1499" s="393">
        <v>44432.0</v>
      </c>
      <c r="K1499" s="393">
        <f t="shared" si="8"/>
        <v>44433</v>
      </c>
      <c r="L1499" s="394" t="str">
        <f>IFERROR(__xludf.DUMMYFUNCTION("JOIN("""", G1499:H1499)"),"")</f>
        <v/>
      </c>
      <c r="M1499" s="80" t="str">
        <f t="shared" si="2"/>
        <v/>
      </c>
    </row>
    <row r="1500">
      <c r="A1500" s="86"/>
      <c r="B1500" s="73"/>
      <c r="C1500" s="73"/>
      <c r="D1500" s="73"/>
      <c r="E1500" s="88"/>
      <c r="F1500" s="73"/>
      <c r="G1500" s="394"/>
      <c r="H1500" s="77"/>
      <c r="I1500" s="88"/>
      <c r="J1500" s="393">
        <v>44432.0</v>
      </c>
      <c r="K1500" s="393">
        <f t="shared" si="8"/>
        <v>44433</v>
      </c>
      <c r="L1500" s="394" t="str">
        <f>IFERROR(__xludf.DUMMYFUNCTION("JOIN("""", G1500:H1500)"),"")</f>
        <v/>
      </c>
      <c r="M1500" s="80" t="str">
        <f t="shared" si="2"/>
        <v/>
      </c>
    </row>
    <row r="1501">
      <c r="A1501" s="86"/>
      <c r="B1501" s="73"/>
      <c r="C1501" s="73"/>
      <c r="D1501" s="73"/>
      <c r="E1501" s="88"/>
      <c r="F1501" s="73"/>
      <c r="G1501" s="394"/>
      <c r="H1501" s="77"/>
      <c r="I1501" s="88"/>
      <c r="J1501" s="393">
        <v>44432.0</v>
      </c>
      <c r="K1501" s="393">
        <f t="shared" si="8"/>
        <v>44433</v>
      </c>
      <c r="L1501" s="394" t="str">
        <f>IFERROR(__xludf.DUMMYFUNCTION("JOIN("""", G1501:H1501)"),"")</f>
        <v/>
      </c>
      <c r="M1501" s="80" t="str">
        <f t="shared" si="2"/>
        <v/>
      </c>
    </row>
    <row r="1502">
      <c r="A1502" s="86"/>
      <c r="B1502" s="73"/>
      <c r="C1502" s="73"/>
      <c r="D1502" s="73"/>
      <c r="E1502" s="88"/>
      <c r="F1502" s="73"/>
      <c r="G1502" s="394"/>
      <c r="H1502" s="77"/>
      <c r="I1502" s="88"/>
      <c r="J1502" s="393">
        <v>44432.0</v>
      </c>
      <c r="K1502" s="393">
        <f t="shared" si="8"/>
        <v>44433</v>
      </c>
      <c r="L1502" s="394" t="str">
        <f>IFERROR(__xludf.DUMMYFUNCTION("JOIN("""", G1502:H1502)"),"")</f>
        <v/>
      </c>
      <c r="M1502" s="80" t="str">
        <f t="shared" si="2"/>
        <v/>
      </c>
    </row>
    <row r="1503">
      <c r="A1503" s="86"/>
      <c r="B1503" s="73"/>
      <c r="C1503" s="73"/>
      <c r="D1503" s="73"/>
      <c r="E1503" s="88"/>
      <c r="F1503" s="73"/>
      <c r="G1503" s="394"/>
      <c r="H1503" s="77"/>
      <c r="I1503" s="88"/>
      <c r="J1503" s="393">
        <v>44432.0</v>
      </c>
      <c r="K1503" s="393">
        <f t="shared" si="8"/>
        <v>44433</v>
      </c>
      <c r="L1503" s="394" t="str">
        <f>IFERROR(__xludf.DUMMYFUNCTION("JOIN("""", G1503:H1503)"),"")</f>
        <v/>
      </c>
      <c r="M1503" s="80" t="str">
        <f t="shared" si="2"/>
        <v/>
      </c>
    </row>
    <row r="1504">
      <c r="A1504" s="86"/>
      <c r="B1504" s="73"/>
      <c r="C1504" s="73"/>
      <c r="D1504" s="73"/>
      <c r="E1504" s="88"/>
      <c r="F1504" s="73"/>
      <c r="G1504" s="394"/>
      <c r="H1504" s="77"/>
      <c r="I1504" s="88"/>
      <c r="J1504" s="393">
        <v>44432.0</v>
      </c>
      <c r="K1504" s="393">
        <f t="shared" si="8"/>
        <v>44433</v>
      </c>
      <c r="L1504" s="394" t="str">
        <f>IFERROR(__xludf.DUMMYFUNCTION("JOIN("""", G1504:H1504)"),"")</f>
        <v/>
      </c>
      <c r="M1504" s="80" t="str">
        <f t="shared" si="2"/>
        <v/>
      </c>
    </row>
    <row r="1505">
      <c r="A1505" s="86"/>
      <c r="B1505" s="73"/>
      <c r="C1505" s="73"/>
      <c r="D1505" s="73"/>
      <c r="E1505" s="88"/>
      <c r="F1505" s="73"/>
      <c r="G1505" s="394"/>
      <c r="H1505" s="77"/>
      <c r="I1505" s="88"/>
      <c r="J1505" s="393">
        <v>44432.0</v>
      </c>
      <c r="K1505" s="393">
        <f t="shared" si="8"/>
        <v>44433</v>
      </c>
      <c r="L1505" s="394" t="str">
        <f>IFERROR(__xludf.DUMMYFUNCTION("JOIN("""", G1505:H1505)"),"")</f>
        <v/>
      </c>
      <c r="M1505" s="80" t="str">
        <f t="shared" si="2"/>
        <v/>
      </c>
    </row>
    <row r="1506">
      <c r="A1506" s="86"/>
      <c r="B1506" s="73"/>
      <c r="C1506" s="73"/>
      <c r="D1506" s="73"/>
      <c r="E1506" s="88"/>
      <c r="F1506" s="73"/>
      <c r="G1506" s="394"/>
      <c r="H1506" s="77"/>
      <c r="I1506" s="88"/>
      <c r="J1506" s="393">
        <v>44432.0</v>
      </c>
      <c r="K1506" s="393">
        <f t="shared" si="8"/>
        <v>44433</v>
      </c>
      <c r="L1506" s="394" t="str">
        <f>IFERROR(__xludf.DUMMYFUNCTION("JOIN("""", G1506:H1506)"),"")</f>
        <v/>
      </c>
      <c r="M1506" s="80" t="str">
        <f t="shared" si="2"/>
        <v/>
      </c>
    </row>
    <row r="1507">
      <c r="A1507" s="86"/>
      <c r="B1507" s="73"/>
      <c r="C1507" s="73"/>
      <c r="D1507" s="73"/>
      <c r="E1507" s="88"/>
      <c r="F1507" s="73"/>
      <c r="G1507" s="394"/>
      <c r="H1507" s="77"/>
      <c r="I1507" s="88"/>
      <c r="J1507" s="393">
        <v>44432.0</v>
      </c>
      <c r="K1507" s="393">
        <f t="shared" si="8"/>
        <v>44433</v>
      </c>
      <c r="L1507" s="394" t="str">
        <f>IFERROR(__xludf.DUMMYFUNCTION("JOIN("""", G1507:H1507)"),"")</f>
        <v/>
      </c>
      <c r="M1507" s="80" t="str">
        <f t="shared" si="2"/>
        <v/>
      </c>
    </row>
    <row r="1508">
      <c r="A1508" s="86"/>
      <c r="B1508" s="73"/>
      <c r="C1508" s="73"/>
      <c r="D1508" s="73"/>
      <c r="E1508" s="88"/>
      <c r="F1508" s="73"/>
      <c r="G1508" s="394"/>
      <c r="H1508" s="77"/>
      <c r="I1508" s="88"/>
      <c r="J1508" s="393">
        <v>44434.0</v>
      </c>
      <c r="K1508" s="393">
        <f t="shared" si="8"/>
        <v>44435</v>
      </c>
      <c r="L1508" s="394" t="str">
        <f>IFERROR(__xludf.DUMMYFUNCTION("JOIN("""", G1508:H1508)"),"")</f>
        <v/>
      </c>
      <c r="M1508" s="80" t="str">
        <f t="shared" si="2"/>
        <v/>
      </c>
    </row>
    <row r="1509">
      <c r="A1509" s="86"/>
      <c r="B1509" s="73"/>
      <c r="C1509" s="73"/>
      <c r="D1509" s="73"/>
      <c r="E1509" s="88"/>
      <c r="F1509" s="73"/>
      <c r="G1509" s="394"/>
      <c r="H1509" s="77"/>
      <c r="I1509" s="88"/>
      <c r="J1509" s="393">
        <v>44434.0</v>
      </c>
      <c r="K1509" s="393">
        <f t="shared" si="8"/>
        <v>44435</v>
      </c>
      <c r="L1509" s="394" t="str">
        <f>IFERROR(__xludf.DUMMYFUNCTION("JOIN("""", G1509:H1509)"),"")</f>
        <v/>
      </c>
      <c r="M1509" s="80" t="str">
        <f t="shared" si="2"/>
        <v/>
      </c>
    </row>
    <row r="1510">
      <c r="A1510" s="86"/>
      <c r="B1510" s="73"/>
      <c r="C1510" s="73"/>
      <c r="D1510" s="73"/>
      <c r="E1510" s="88"/>
      <c r="F1510" s="73"/>
      <c r="G1510" s="394"/>
      <c r="H1510" s="77"/>
      <c r="I1510" s="88"/>
      <c r="J1510" s="393">
        <v>44434.0</v>
      </c>
      <c r="K1510" s="393">
        <f t="shared" si="8"/>
        <v>44435</v>
      </c>
      <c r="L1510" s="394" t="str">
        <f>IFERROR(__xludf.DUMMYFUNCTION("JOIN("""", G1510:H1510)"),"")</f>
        <v/>
      </c>
      <c r="M1510" s="80" t="str">
        <f t="shared" si="2"/>
        <v/>
      </c>
    </row>
    <row r="1511">
      <c r="A1511" s="86"/>
      <c r="B1511" s="73"/>
      <c r="C1511" s="73"/>
      <c r="D1511" s="73"/>
      <c r="E1511" s="88"/>
      <c r="F1511" s="73"/>
      <c r="G1511" s="394"/>
      <c r="H1511" s="77"/>
      <c r="I1511" s="88"/>
      <c r="J1511" s="393">
        <v>44434.0</v>
      </c>
      <c r="K1511" s="393">
        <f t="shared" si="8"/>
        <v>44435</v>
      </c>
      <c r="L1511" s="394" t="str">
        <f>IFERROR(__xludf.DUMMYFUNCTION("JOIN("""", G1511:H1511)"),"")</f>
        <v/>
      </c>
      <c r="M1511" s="80" t="str">
        <f t="shared" si="2"/>
        <v/>
      </c>
    </row>
    <row r="1512">
      <c r="A1512" s="86"/>
      <c r="B1512" s="73"/>
      <c r="C1512" s="73"/>
      <c r="D1512" s="73"/>
      <c r="E1512" s="88"/>
      <c r="F1512" s="73"/>
      <c r="G1512" s="394"/>
      <c r="H1512" s="77"/>
      <c r="I1512" s="88"/>
      <c r="J1512" s="393">
        <v>44434.0</v>
      </c>
      <c r="K1512" s="393">
        <f t="shared" si="8"/>
        <v>44435</v>
      </c>
      <c r="L1512" s="394" t="str">
        <f>IFERROR(__xludf.DUMMYFUNCTION("JOIN("""", G1512:H1512)"),"")</f>
        <v/>
      </c>
      <c r="M1512" s="80" t="str">
        <f t="shared" si="2"/>
        <v/>
      </c>
    </row>
    <row r="1513">
      <c r="A1513" s="86"/>
      <c r="B1513" s="73"/>
      <c r="C1513" s="73"/>
      <c r="D1513" s="73"/>
      <c r="E1513" s="88"/>
      <c r="F1513" s="73"/>
      <c r="G1513" s="394"/>
      <c r="H1513" s="77"/>
      <c r="I1513" s="88"/>
      <c r="J1513" s="393">
        <v>44434.0</v>
      </c>
      <c r="K1513" s="393">
        <f t="shared" si="8"/>
        <v>44435</v>
      </c>
      <c r="L1513" s="394" t="str">
        <f>IFERROR(__xludf.DUMMYFUNCTION("JOIN("""", G1513:H1513)"),"")</f>
        <v/>
      </c>
      <c r="M1513" s="80" t="str">
        <f t="shared" si="2"/>
        <v/>
      </c>
    </row>
    <row r="1514">
      <c r="A1514" s="86"/>
      <c r="B1514" s="73"/>
      <c r="C1514" s="73"/>
      <c r="D1514" s="73"/>
      <c r="E1514" s="88"/>
      <c r="F1514" s="73"/>
      <c r="G1514" s="394"/>
      <c r="H1514" s="77"/>
      <c r="I1514" s="88"/>
      <c r="J1514" s="393">
        <v>44434.0</v>
      </c>
      <c r="K1514" s="393">
        <f t="shared" si="8"/>
        <v>44435</v>
      </c>
      <c r="L1514" s="394" t="str">
        <f>IFERROR(__xludf.DUMMYFUNCTION("JOIN("""", G1514:H1514)"),"")</f>
        <v/>
      </c>
      <c r="M1514" s="80" t="str">
        <f t="shared" si="2"/>
        <v/>
      </c>
    </row>
    <row r="1515">
      <c r="A1515" s="86"/>
      <c r="B1515" s="73"/>
      <c r="C1515" s="73"/>
      <c r="D1515" s="73"/>
      <c r="E1515" s="88"/>
      <c r="F1515" s="73"/>
      <c r="G1515" s="394"/>
      <c r="H1515" s="77"/>
      <c r="I1515" s="88"/>
      <c r="J1515" s="393">
        <v>44434.0</v>
      </c>
      <c r="K1515" s="393">
        <f t="shared" si="8"/>
        <v>44435</v>
      </c>
      <c r="L1515" s="394" t="str">
        <f>IFERROR(__xludf.DUMMYFUNCTION("JOIN("""", G1515:H1515)"),"")</f>
        <v/>
      </c>
      <c r="M1515" s="80" t="str">
        <f t="shared" si="2"/>
        <v/>
      </c>
    </row>
    <row r="1516">
      <c r="A1516" s="86"/>
      <c r="B1516" s="73"/>
      <c r="C1516" s="73"/>
      <c r="D1516" s="73"/>
      <c r="E1516" s="88"/>
      <c r="F1516" s="73"/>
      <c r="G1516" s="394"/>
      <c r="H1516" s="77"/>
      <c r="I1516" s="88"/>
      <c r="J1516" s="393">
        <v>44434.0</v>
      </c>
      <c r="K1516" s="393">
        <f t="shared" si="8"/>
        <v>44435</v>
      </c>
      <c r="L1516" s="394" t="str">
        <f>IFERROR(__xludf.DUMMYFUNCTION("JOIN("""", G1516:H1516)"),"")</f>
        <v/>
      </c>
      <c r="M1516" s="80" t="str">
        <f t="shared" si="2"/>
        <v/>
      </c>
    </row>
    <row r="1517">
      <c r="A1517" s="86"/>
      <c r="B1517" s="73"/>
      <c r="C1517" s="73"/>
      <c r="D1517" s="73"/>
      <c r="E1517" s="88"/>
      <c r="F1517" s="73"/>
      <c r="G1517" s="394"/>
      <c r="H1517" s="77"/>
      <c r="I1517" s="88"/>
      <c r="J1517" s="393">
        <v>44434.0</v>
      </c>
      <c r="K1517" s="393">
        <f t="shared" si="8"/>
        <v>44435</v>
      </c>
      <c r="L1517" s="394" t="str">
        <f>IFERROR(__xludf.DUMMYFUNCTION("JOIN("""", G1517:H1517)"),"")</f>
        <v/>
      </c>
      <c r="M1517" s="80" t="str">
        <f t="shared" si="2"/>
        <v/>
      </c>
    </row>
    <row r="1518">
      <c r="A1518" s="86"/>
      <c r="B1518" s="73"/>
      <c r="C1518" s="73"/>
      <c r="D1518" s="73"/>
      <c r="E1518" s="88"/>
      <c r="F1518" s="73"/>
      <c r="G1518" s="394"/>
      <c r="H1518" s="77"/>
      <c r="I1518" s="88"/>
      <c r="J1518" s="393">
        <v>44434.0</v>
      </c>
      <c r="K1518" s="393">
        <f t="shared" si="8"/>
        <v>44435</v>
      </c>
      <c r="L1518" s="394" t="str">
        <f>IFERROR(__xludf.DUMMYFUNCTION("JOIN("""", G1518:H1518)"),"")</f>
        <v/>
      </c>
      <c r="M1518" s="80" t="str">
        <f t="shared" si="2"/>
        <v/>
      </c>
    </row>
    <row r="1519">
      <c r="A1519" s="86"/>
      <c r="B1519" s="73"/>
      <c r="C1519" s="73"/>
      <c r="D1519" s="73"/>
      <c r="E1519" s="88"/>
      <c r="F1519" s="73"/>
      <c r="G1519" s="394"/>
      <c r="H1519" s="77"/>
      <c r="I1519" s="88"/>
      <c r="J1519" s="393">
        <v>44434.0</v>
      </c>
      <c r="K1519" s="393">
        <f t="shared" si="8"/>
        <v>44435</v>
      </c>
      <c r="L1519" s="394" t="str">
        <f>IFERROR(__xludf.DUMMYFUNCTION("JOIN("""", G1519:H1519)"),"")</f>
        <v/>
      </c>
      <c r="M1519" s="80" t="str">
        <f t="shared" si="2"/>
        <v/>
      </c>
    </row>
    <row r="1520">
      <c r="A1520" s="86"/>
      <c r="B1520" s="73"/>
      <c r="C1520" s="73"/>
      <c r="D1520" s="73"/>
      <c r="E1520" s="88"/>
      <c r="F1520" s="73"/>
      <c r="G1520" s="394"/>
      <c r="H1520" s="77"/>
      <c r="I1520" s="88"/>
      <c r="J1520" s="393">
        <v>44434.0</v>
      </c>
      <c r="K1520" s="393">
        <f t="shared" si="8"/>
        <v>44435</v>
      </c>
      <c r="L1520" s="394" t="str">
        <f>IFERROR(__xludf.DUMMYFUNCTION("JOIN("""", G1520:H1520)"),"")</f>
        <v/>
      </c>
      <c r="M1520" s="80" t="str">
        <f t="shared" si="2"/>
        <v/>
      </c>
    </row>
    <row r="1521">
      <c r="A1521" s="86"/>
      <c r="B1521" s="73"/>
      <c r="C1521" s="73"/>
      <c r="D1521" s="73"/>
      <c r="E1521" s="88"/>
      <c r="F1521" s="73"/>
      <c r="G1521" s="394"/>
      <c r="H1521" s="77"/>
      <c r="I1521" s="88"/>
      <c r="J1521" s="393">
        <v>44436.0</v>
      </c>
      <c r="K1521" s="393">
        <f t="shared" si="8"/>
        <v>44437</v>
      </c>
      <c r="L1521" s="394" t="str">
        <f>IFERROR(__xludf.DUMMYFUNCTION("JOIN("""", G1521:H1521)"),"")</f>
        <v/>
      </c>
      <c r="M1521" s="80" t="str">
        <f t="shared" si="2"/>
        <v/>
      </c>
    </row>
    <row r="1522">
      <c r="A1522" s="86"/>
      <c r="B1522" s="73"/>
      <c r="C1522" s="73"/>
      <c r="D1522" s="73"/>
      <c r="E1522" s="88"/>
      <c r="F1522" s="73"/>
      <c r="G1522" s="394"/>
      <c r="H1522" s="77"/>
      <c r="I1522" s="88"/>
      <c r="J1522" s="393">
        <v>44434.0</v>
      </c>
      <c r="K1522" s="393">
        <f t="shared" si="8"/>
        <v>44435</v>
      </c>
      <c r="L1522" s="394" t="str">
        <f>IFERROR(__xludf.DUMMYFUNCTION("JOIN("""", G1522:H1522)"),"")</f>
        <v/>
      </c>
      <c r="M1522" s="80" t="str">
        <f t="shared" si="2"/>
        <v/>
      </c>
    </row>
    <row r="1523">
      <c r="A1523" s="86"/>
      <c r="B1523" s="73"/>
      <c r="C1523" s="73"/>
      <c r="D1523" s="73"/>
      <c r="E1523" s="88"/>
      <c r="F1523" s="73"/>
      <c r="G1523" s="394"/>
      <c r="H1523" s="77"/>
      <c r="I1523" s="88"/>
      <c r="J1523" s="393">
        <v>44434.0</v>
      </c>
      <c r="K1523" s="393">
        <f t="shared" si="8"/>
        <v>44435</v>
      </c>
      <c r="L1523" s="394" t="str">
        <f>IFERROR(__xludf.DUMMYFUNCTION("JOIN("""", G1523:H1523)"),"")</f>
        <v/>
      </c>
      <c r="M1523" s="80" t="str">
        <f t="shared" si="2"/>
        <v/>
      </c>
    </row>
    <row r="1524">
      <c r="A1524" s="86"/>
      <c r="B1524" s="73"/>
      <c r="C1524" s="73"/>
      <c r="D1524" s="73"/>
      <c r="E1524" s="88"/>
      <c r="F1524" s="73"/>
      <c r="G1524" s="394"/>
      <c r="H1524" s="77"/>
      <c r="I1524" s="88"/>
      <c r="J1524" s="393">
        <v>44435.0</v>
      </c>
      <c r="K1524" s="393">
        <f t="shared" si="8"/>
        <v>44436</v>
      </c>
      <c r="L1524" s="394" t="str">
        <f>IFERROR(__xludf.DUMMYFUNCTION("JOIN("""", G1524:H1524)"),"")</f>
        <v/>
      </c>
      <c r="M1524" s="80" t="str">
        <f t="shared" si="2"/>
        <v/>
      </c>
    </row>
    <row r="1525">
      <c r="A1525" s="86"/>
      <c r="B1525" s="73"/>
      <c r="C1525" s="73"/>
      <c r="D1525" s="73"/>
      <c r="E1525" s="88"/>
      <c r="F1525" s="73"/>
      <c r="G1525" s="394"/>
      <c r="H1525" s="77"/>
      <c r="I1525" s="88"/>
      <c r="J1525" s="393">
        <v>44435.0</v>
      </c>
      <c r="K1525" s="393">
        <f t="shared" si="8"/>
        <v>44436</v>
      </c>
      <c r="L1525" s="394" t="str">
        <f>IFERROR(__xludf.DUMMYFUNCTION("JOIN("""", G1525:H1525)"),"")</f>
        <v/>
      </c>
      <c r="M1525" s="80" t="str">
        <f t="shared" si="2"/>
        <v/>
      </c>
    </row>
    <row r="1526">
      <c r="A1526" s="86"/>
      <c r="B1526" s="73"/>
      <c r="C1526" s="73"/>
      <c r="D1526" s="73"/>
      <c r="E1526" s="88"/>
      <c r="F1526" s="73"/>
      <c r="G1526" s="394"/>
      <c r="H1526" s="77"/>
      <c r="I1526" s="88"/>
      <c r="J1526" s="393">
        <v>44435.0</v>
      </c>
      <c r="K1526" s="393">
        <f t="shared" si="8"/>
        <v>44436</v>
      </c>
      <c r="L1526" s="394" t="str">
        <f>IFERROR(__xludf.DUMMYFUNCTION("JOIN("""", G1526:H1526)"),"")</f>
        <v/>
      </c>
      <c r="M1526" s="80" t="str">
        <f t="shared" si="2"/>
        <v/>
      </c>
    </row>
    <row r="1527">
      <c r="A1527" s="86"/>
      <c r="B1527" s="73"/>
      <c r="C1527" s="73"/>
      <c r="D1527" s="73"/>
      <c r="E1527" s="88"/>
      <c r="F1527" s="73"/>
      <c r="G1527" s="394"/>
      <c r="H1527" s="77"/>
      <c r="I1527" s="88"/>
      <c r="J1527" s="393">
        <v>44435.0</v>
      </c>
      <c r="K1527" s="393">
        <f t="shared" si="8"/>
        <v>44436</v>
      </c>
      <c r="L1527" s="394" t="str">
        <f>IFERROR(__xludf.DUMMYFUNCTION("JOIN("""", G1527:H1527)"),"")</f>
        <v/>
      </c>
      <c r="M1527" s="80" t="str">
        <f t="shared" si="2"/>
        <v/>
      </c>
    </row>
    <row r="1528">
      <c r="A1528" s="86"/>
      <c r="B1528" s="73"/>
      <c r="C1528" s="73"/>
      <c r="D1528" s="73"/>
      <c r="E1528" s="88"/>
      <c r="F1528" s="73"/>
      <c r="G1528" s="394"/>
      <c r="H1528" s="77"/>
      <c r="I1528" s="88"/>
      <c r="J1528" s="393">
        <v>44435.0</v>
      </c>
      <c r="K1528" s="393">
        <f t="shared" si="8"/>
        <v>44436</v>
      </c>
      <c r="L1528" s="394" t="str">
        <f>IFERROR(__xludf.DUMMYFUNCTION("JOIN("""", G1528:H1528)"),"")</f>
        <v/>
      </c>
      <c r="M1528" s="80" t="str">
        <f t="shared" si="2"/>
        <v/>
      </c>
    </row>
    <row r="1529">
      <c r="A1529" s="86"/>
      <c r="B1529" s="73"/>
      <c r="C1529" s="73"/>
      <c r="D1529" s="73"/>
      <c r="E1529" s="88"/>
      <c r="F1529" s="73"/>
      <c r="G1529" s="394"/>
      <c r="H1529" s="77"/>
      <c r="I1529" s="88"/>
      <c r="J1529" s="393">
        <v>44435.0</v>
      </c>
      <c r="K1529" s="393">
        <f t="shared" si="8"/>
        <v>44436</v>
      </c>
      <c r="L1529" s="394" t="str">
        <f>IFERROR(__xludf.DUMMYFUNCTION("JOIN("""", G1529:H1529)"),"")</f>
        <v/>
      </c>
      <c r="M1529" s="80" t="str">
        <f t="shared" si="2"/>
        <v/>
      </c>
    </row>
    <row r="1530">
      <c r="A1530" s="86"/>
      <c r="B1530" s="73"/>
      <c r="C1530" s="73"/>
      <c r="D1530" s="73"/>
      <c r="E1530" s="88"/>
      <c r="F1530" s="73"/>
      <c r="G1530" s="394"/>
      <c r="H1530" s="77"/>
      <c r="I1530" s="88"/>
      <c r="J1530" s="393">
        <v>44442.0</v>
      </c>
      <c r="K1530" s="393">
        <f t="shared" si="8"/>
        <v>44443</v>
      </c>
      <c r="L1530" s="394" t="str">
        <f>IFERROR(__xludf.DUMMYFUNCTION("JOIN("""", G1530:H1530)"),"")</f>
        <v/>
      </c>
      <c r="M1530" s="80" t="str">
        <f t="shared" si="2"/>
        <v/>
      </c>
    </row>
    <row r="1531">
      <c r="A1531" s="86"/>
      <c r="B1531" s="73"/>
      <c r="C1531" s="73"/>
      <c r="D1531" s="73"/>
      <c r="E1531" s="88"/>
      <c r="F1531" s="73"/>
      <c r="G1531" s="394"/>
      <c r="H1531" s="77"/>
      <c r="I1531" s="88"/>
      <c r="J1531" s="393">
        <v>44436.0</v>
      </c>
      <c r="K1531" s="393">
        <f t="shared" si="8"/>
        <v>44437</v>
      </c>
      <c r="L1531" s="394" t="str">
        <f>IFERROR(__xludf.DUMMYFUNCTION("JOIN("""", G1531:H1531)"),"")</f>
        <v/>
      </c>
      <c r="M1531" s="80" t="str">
        <f t="shared" si="2"/>
        <v/>
      </c>
    </row>
    <row r="1532">
      <c r="A1532" s="86"/>
      <c r="B1532" s="73"/>
      <c r="C1532" s="73"/>
      <c r="D1532" s="73"/>
      <c r="E1532" s="88"/>
      <c r="F1532" s="73"/>
      <c r="G1532" s="394"/>
      <c r="H1532" s="77"/>
      <c r="I1532" s="88"/>
      <c r="J1532" s="393">
        <v>44436.0</v>
      </c>
      <c r="K1532" s="393">
        <f t="shared" si="8"/>
        <v>44437</v>
      </c>
      <c r="L1532" s="394" t="str">
        <f>IFERROR(__xludf.DUMMYFUNCTION("JOIN("""", G1532:H1532)"),"")</f>
        <v/>
      </c>
      <c r="M1532" s="80" t="str">
        <f t="shared" si="2"/>
        <v/>
      </c>
    </row>
    <row r="1533">
      <c r="A1533" s="86"/>
      <c r="B1533" s="73"/>
      <c r="C1533" s="73"/>
      <c r="D1533" s="73"/>
      <c r="E1533" s="88"/>
      <c r="F1533" s="73"/>
      <c r="G1533" s="394"/>
      <c r="H1533" s="77"/>
      <c r="I1533" s="88"/>
      <c r="J1533" s="393">
        <v>44436.0</v>
      </c>
      <c r="K1533" s="393">
        <f t="shared" si="8"/>
        <v>44437</v>
      </c>
      <c r="L1533" s="394" t="str">
        <f>IFERROR(__xludf.DUMMYFUNCTION("JOIN("""", G1533:H1533)"),"")</f>
        <v/>
      </c>
      <c r="M1533" s="80" t="str">
        <f t="shared" si="2"/>
        <v/>
      </c>
    </row>
    <row r="1534">
      <c r="A1534" s="86"/>
      <c r="B1534" s="73"/>
      <c r="C1534" s="73"/>
      <c r="D1534" s="73"/>
      <c r="E1534" s="88"/>
      <c r="F1534" s="73"/>
      <c r="G1534" s="394"/>
      <c r="H1534" s="77"/>
      <c r="I1534" s="88"/>
      <c r="J1534" s="393">
        <v>44436.0</v>
      </c>
      <c r="K1534" s="393">
        <f t="shared" si="8"/>
        <v>44437</v>
      </c>
      <c r="L1534" s="394" t="str">
        <f>IFERROR(__xludf.DUMMYFUNCTION("JOIN("""", G1534:H1534)"),"")</f>
        <v/>
      </c>
      <c r="M1534" s="80" t="str">
        <f t="shared" si="2"/>
        <v/>
      </c>
    </row>
    <row r="1535">
      <c r="A1535" s="86"/>
      <c r="B1535" s="73"/>
      <c r="C1535" s="73"/>
      <c r="D1535" s="73"/>
      <c r="E1535" s="88"/>
      <c r="F1535" s="73"/>
      <c r="G1535" s="394"/>
      <c r="H1535" s="77"/>
      <c r="I1535" s="88"/>
      <c r="J1535" s="393">
        <v>44436.0</v>
      </c>
      <c r="K1535" s="393">
        <f t="shared" si="8"/>
        <v>44437</v>
      </c>
      <c r="L1535" s="394" t="str">
        <f>IFERROR(__xludf.DUMMYFUNCTION("JOIN("""", G1535:H1535)"),"")</f>
        <v/>
      </c>
      <c r="M1535" s="80" t="str">
        <f t="shared" si="2"/>
        <v/>
      </c>
    </row>
    <row r="1536">
      <c r="A1536" s="86"/>
      <c r="B1536" s="73"/>
      <c r="C1536" s="73"/>
      <c r="D1536" s="73"/>
      <c r="E1536" s="88"/>
      <c r="F1536" s="73"/>
      <c r="G1536" s="394"/>
      <c r="H1536" s="77"/>
      <c r="I1536" s="88"/>
      <c r="J1536" s="393">
        <v>44436.0</v>
      </c>
      <c r="K1536" s="393">
        <f t="shared" si="8"/>
        <v>44437</v>
      </c>
      <c r="L1536" s="394" t="str">
        <f>IFERROR(__xludf.DUMMYFUNCTION("JOIN("""", G1536:H1536)"),"")</f>
        <v/>
      </c>
      <c r="M1536" s="80" t="str">
        <f t="shared" si="2"/>
        <v/>
      </c>
    </row>
    <row r="1537">
      <c r="A1537" s="86"/>
      <c r="B1537" s="73"/>
      <c r="C1537" s="73"/>
      <c r="D1537" s="73"/>
      <c r="E1537" s="88"/>
      <c r="F1537" s="73"/>
      <c r="G1537" s="394"/>
      <c r="H1537" s="77"/>
      <c r="I1537" s="88"/>
      <c r="J1537" s="393">
        <v>44436.0</v>
      </c>
      <c r="K1537" s="393">
        <f t="shared" si="8"/>
        <v>44437</v>
      </c>
      <c r="L1537" s="394" t="str">
        <f>IFERROR(__xludf.DUMMYFUNCTION("JOIN("""", G1537:H1537)"),"")</f>
        <v/>
      </c>
      <c r="M1537" s="80" t="str">
        <f t="shared" si="2"/>
        <v/>
      </c>
    </row>
    <row r="1538">
      <c r="A1538" s="86"/>
      <c r="B1538" s="73"/>
      <c r="C1538" s="73"/>
      <c r="D1538" s="73"/>
      <c r="E1538" s="88"/>
      <c r="F1538" s="73"/>
      <c r="G1538" s="394"/>
      <c r="H1538" s="77"/>
      <c r="I1538" s="88"/>
      <c r="J1538" s="393">
        <v>44436.0</v>
      </c>
      <c r="K1538" s="393">
        <f t="shared" si="8"/>
        <v>44437</v>
      </c>
      <c r="L1538" s="394" t="str">
        <f>IFERROR(__xludf.DUMMYFUNCTION("JOIN("""", G1538:H1538)"),"")</f>
        <v/>
      </c>
      <c r="M1538" s="80" t="str">
        <f t="shared" si="2"/>
        <v/>
      </c>
    </row>
    <row r="1539">
      <c r="A1539" s="86"/>
      <c r="B1539" s="73"/>
      <c r="C1539" s="73"/>
      <c r="D1539" s="73"/>
      <c r="E1539" s="88"/>
      <c r="F1539" s="73"/>
      <c r="G1539" s="394"/>
      <c r="H1539" s="77"/>
      <c r="I1539" s="88"/>
      <c r="J1539" s="393">
        <v>44437.0</v>
      </c>
      <c r="K1539" s="393">
        <f t="shared" si="8"/>
        <v>44438</v>
      </c>
      <c r="L1539" s="394" t="str">
        <f>IFERROR(__xludf.DUMMYFUNCTION("JOIN("""", G1539:H1539)"),"")</f>
        <v/>
      </c>
      <c r="M1539" s="80" t="str">
        <f t="shared" si="2"/>
        <v/>
      </c>
    </row>
    <row r="1540">
      <c r="A1540" s="86"/>
      <c r="B1540" s="73"/>
      <c r="C1540" s="73"/>
      <c r="D1540" s="73"/>
      <c r="E1540" s="88"/>
      <c r="F1540" s="73"/>
      <c r="G1540" s="394"/>
      <c r="H1540" s="77"/>
      <c r="I1540" s="88"/>
      <c r="J1540" s="393">
        <v>44437.0</v>
      </c>
      <c r="K1540" s="393">
        <f t="shared" si="8"/>
        <v>44438</v>
      </c>
      <c r="L1540" s="394" t="str">
        <f>IFERROR(__xludf.DUMMYFUNCTION("JOIN("""", G1540:H1540)"),"")</f>
        <v/>
      </c>
      <c r="M1540" s="80" t="str">
        <f t="shared" si="2"/>
        <v/>
      </c>
    </row>
    <row r="1541">
      <c r="A1541" s="86"/>
      <c r="B1541" s="73"/>
      <c r="C1541" s="73"/>
      <c r="D1541" s="73"/>
      <c r="E1541" s="88"/>
      <c r="F1541" s="73"/>
      <c r="G1541" s="394"/>
      <c r="H1541" s="77"/>
      <c r="I1541" s="88"/>
      <c r="J1541" s="393">
        <v>44437.0</v>
      </c>
      <c r="K1541" s="393">
        <f t="shared" si="8"/>
        <v>44438</v>
      </c>
      <c r="L1541" s="394" t="str">
        <f>IFERROR(__xludf.DUMMYFUNCTION("JOIN("""", G1541:H1541)"),"")</f>
        <v/>
      </c>
      <c r="M1541" s="80" t="str">
        <f t="shared" si="2"/>
        <v/>
      </c>
    </row>
    <row r="1542">
      <c r="A1542" s="86"/>
      <c r="B1542" s="73"/>
      <c r="C1542" s="73"/>
      <c r="D1542" s="73"/>
      <c r="E1542" s="88"/>
      <c r="F1542" s="73"/>
      <c r="G1542" s="394"/>
      <c r="H1542" s="77"/>
      <c r="I1542" s="88"/>
      <c r="J1542" s="393">
        <v>44437.0</v>
      </c>
      <c r="K1542" s="393">
        <f t="shared" si="8"/>
        <v>44438</v>
      </c>
      <c r="L1542" s="394" t="str">
        <f>IFERROR(__xludf.DUMMYFUNCTION("JOIN("""", G1542:H1542)"),"")</f>
        <v/>
      </c>
      <c r="M1542" s="80" t="str">
        <f t="shared" si="2"/>
        <v/>
      </c>
    </row>
    <row r="1543">
      <c r="A1543" s="86"/>
      <c r="B1543" s="73"/>
      <c r="C1543" s="73"/>
      <c r="D1543" s="73"/>
      <c r="E1543" s="88"/>
      <c r="F1543" s="73"/>
      <c r="G1543" s="394"/>
      <c r="H1543" s="77"/>
      <c r="I1543" s="88"/>
      <c r="J1543" s="393">
        <v>44438.0</v>
      </c>
      <c r="K1543" s="393">
        <f t="shared" si="8"/>
        <v>44439</v>
      </c>
      <c r="L1543" s="394" t="str">
        <f>IFERROR(__xludf.DUMMYFUNCTION("JOIN("""", G1543:H1543)"),"")</f>
        <v/>
      </c>
      <c r="M1543" s="80" t="str">
        <f t="shared" si="2"/>
        <v/>
      </c>
    </row>
    <row r="1544">
      <c r="A1544" s="86"/>
      <c r="B1544" s="73"/>
      <c r="C1544" s="73"/>
      <c r="D1544" s="73"/>
      <c r="E1544" s="88"/>
      <c r="F1544" s="73"/>
      <c r="G1544" s="394"/>
      <c r="H1544" s="77"/>
      <c r="I1544" s="88"/>
      <c r="J1544" s="393">
        <v>44438.0</v>
      </c>
      <c r="K1544" s="393">
        <f t="shared" si="8"/>
        <v>44439</v>
      </c>
      <c r="L1544" s="394" t="str">
        <f>IFERROR(__xludf.DUMMYFUNCTION("JOIN("""", G1544:H1544)"),"")</f>
        <v/>
      </c>
      <c r="M1544" s="80" t="str">
        <f t="shared" si="2"/>
        <v/>
      </c>
    </row>
    <row r="1545">
      <c r="A1545" s="86"/>
      <c r="B1545" s="73"/>
      <c r="C1545" s="73"/>
      <c r="D1545" s="73"/>
      <c r="E1545" s="88"/>
      <c r="F1545" s="73"/>
      <c r="G1545" s="394"/>
      <c r="H1545" s="77"/>
      <c r="I1545" s="88"/>
      <c r="J1545" s="393">
        <v>44438.0</v>
      </c>
      <c r="K1545" s="393">
        <f t="shared" si="8"/>
        <v>44439</v>
      </c>
      <c r="L1545" s="394" t="str">
        <f>IFERROR(__xludf.DUMMYFUNCTION("JOIN("""", G1545:H1545)"),"")</f>
        <v/>
      </c>
      <c r="M1545" s="80" t="str">
        <f t="shared" si="2"/>
        <v/>
      </c>
    </row>
    <row r="1546">
      <c r="A1546" s="86"/>
      <c r="B1546" s="73"/>
      <c r="C1546" s="73"/>
      <c r="D1546" s="73"/>
      <c r="E1546" s="88"/>
      <c r="F1546" s="73"/>
      <c r="G1546" s="394"/>
      <c r="H1546" s="77"/>
      <c r="I1546" s="88"/>
      <c r="J1546" s="393">
        <v>44438.0</v>
      </c>
      <c r="K1546" s="393">
        <f t="shared" si="8"/>
        <v>44439</v>
      </c>
      <c r="L1546" s="394" t="str">
        <f>IFERROR(__xludf.DUMMYFUNCTION("JOIN("""", G1546:H1546)"),"")</f>
        <v/>
      </c>
      <c r="M1546" s="80" t="str">
        <f t="shared" si="2"/>
        <v/>
      </c>
    </row>
    <row r="1547">
      <c r="A1547" s="86"/>
      <c r="B1547" s="73"/>
      <c r="C1547" s="73"/>
      <c r="D1547" s="73"/>
      <c r="E1547" s="88"/>
      <c r="F1547" s="73"/>
      <c r="G1547" s="394"/>
      <c r="H1547" s="77"/>
      <c r="I1547" s="88"/>
      <c r="J1547" s="393">
        <v>44438.0</v>
      </c>
      <c r="K1547" s="393">
        <f t="shared" si="8"/>
        <v>44439</v>
      </c>
      <c r="L1547" s="394" t="str">
        <f>IFERROR(__xludf.DUMMYFUNCTION("JOIN("""", G1547:H1547)"),"")</f>
        <v/>
      </c>
      <c r="M1547" s="80" t="str">
        <f t="shared" si="2"/>
        <v/>
      </c>
    </row>
    <row r="1548">
      <c r="A1548" s="86"/>
      <c r="B1548" s="73"/>
      <c r="C1548" s="73"/>
      <c r="D1548" s="73"/>
      <c r="E1548" s="88"/>
      <c r="F1548" s="73"/>
      <c r="G1548" s="394"/>
      <c r="H1548" s="77"/>
      <c r="I1548" s="88"/>
      <c r="J1548" s="393">
        <v>44439.0</v>
      </c>
      <c r="K1548" s="393">
        <f t="shared" si="8"/>
        <v>44440</v>
      </c>
      <c r="L1548" s="394" t="str">
        <f>IFERROR(__xludf.DUMMYFUNCTION("JOIN("""", G1548:H1548)"),"")</f>
        <v/>
      </c>
      <c r="M1548" s="80" t="str">
        <f t="shared" si="2"/>
        <v/>
      </c>
    </row>
    <row r="1549">
      <c r="A1549" s="86"/>
      <c r="B1549" s="73"/>
      <c r="C1549" s="73"/>
      <c r="D1549" s="73"/>
      <c r="E1549" s="88"/>
      <c r="F1549" s="73"/>
      <c r="G1549" s="394"/>
      <c r="H1549" s="77"/>
      <c r="I1549" s="88"/>
      <c r="J1549" s="393">
        <v>44439.0</v>
      </c>
      <c r="K1549" s="393">
        <f t="shared" si="8"/>
        <v>44440</v>
      </c>
      <c r="L1549" s="394" t="str">
        <f>IFERROR(__xludf.DUMMYFUNCTION("JOIN("""", G1549:H1549)"),"")</f>
        <v/>
      </c>
      <c r="M1549" s="80" t="str">
        <f t="shared" si="2"/>
        <v/>
      </c>
    </row>
    <row r="1550">
      <c r="A1550" s="86"/>
      <c r="B1550" s="73"/>
      <c r="C1550" s="73"/>
      <c r="D1550" s="73"/>
      <c r="E1550" s="88"/>
      <c r="F1550" s="73"/>
      <c r="G1550" s="394"/>
      <c r="H1550" s="77"/>
      <c r="I1550" s="88"/>
      <c r="J1550" s="393">
        <v>44439.0</v>
      </c>
      <c r="K1550" s="393">
        <f t="shared" si="8"/>
        <v>44440</v>
      </c>
      <c r="L1550" s="394" t="str">
        <f>IFERROR(__xludf.DUMMYFUNCTION("JOIN("""", G1550:H1550)"),"")</f>
        <v/>
      </c>
      <c r="M1550" s="80" t="str">
        <f t="shared" si="2"/>
        <v/>
      </c>
    </row>
    <row r="1551">
      <c r="A1551" s="86"/>
      <c r="B1551" s="73"/>
      <c r="C1551" s="73"/>
      <c r="D1551" s="73"/>
      <c r="E1551" s="88"/>
      <c r="F1551" s="73"/>
      <c r="G1551" s="394"/>
      <c r="H1551" s="77"/>
      <c r="I1551" s="88"/>
      <c r="J1551" s="393">
        <v>44439.0</v>
      </c>
      <c r="K1551" s="393">
        <f t="shared" si="8"/>
        <v>44440</v>
      </c>
      <c r="L1551" s="394" t="str">
        <f>IFERROR(__xludf.DUMMYFUNCTION("JOIN("""", G1551:H1551)"),"")</f>
        <v/>
      </c>
      <c r="M1551" s="80" t="str">
        <f t="shared" si="2"/>
        <v/>
      </c>
    </row>
    <row r="1552">
      <c r="A1552" s="86"/>
      <c r="B1552" s="73"/>
      <c r="C1552" s="73"/>
      <c r="D1552" s="73"/>
      <c r="E1552" s="88"/>
      <c r="F1552" s="73"/>
      <c r="G1552" s="394"/>
      <c r="H1552" s="77"/>
      <c r="I1552" s="88"/>
      <c r="J1552" s="393">
        <v>44439.0</v>
      </c>
      <c r="K1552" s="393">
        <f t="shared" si="8"/>
        <v>44440</v>
      </c>
      <c r="L1552" s="394" t="str">
        <f>IFERROR(__xludf.DUMMYFUNCTION("JOIN("""", G1552:H1552)"),"")</f>
        <v/>
      </c>
      <c r="M1552" s="80" t="str">
        <f t="shared" si="2"/>
        <v/>
      </c>
    </row>
    <row r="1553">
      <c r="A1553" s="86"/>
      <c r="B1553" s="73"/>
      <c r="C1553" s="73"/>
      <c r="D1553" s="73"/>
      <c r="E1553" s="88"/>
      <c r="F1553" s="73"/>
      <c r="G1553" s="394"/>
      <c r="H1553" s="77"/>
      <c r="I1553" s="88"/>
      <c r="J1553" s="393">
        <v>44439.0</v>
      </c>
      <c r="K1553" s="393">
        <f t="shared" si="8"/>
        <v>44440</v>
      </c>
      <c r="L1553" s="394" t="str">
        <f>IFERROR(__xludf.DUMMYFUNCTION("JOIN("""", G1553:H1553)"),"")</f>
        <v/>
      </c>
      <c r="M1553" s="80" t="str">
        <f t="shared" si="2"/>
        <v/>
      </c>
    </row>
    <row r="1554">
      <c r="A1554" s="86"/>
      <c r="B1554" s="73"/>
      <c r="C1554" s="73"/>
      <c r="D1554" s="73"/>
      <c r="E1554" s="88"/>
      <c r="F1554" s="73"/>
      <c r="G1554" s="394"/>
      <c r="H1554" s="77"/>
      <c r="I1554" s="88"/>
      <c r="J1554" s="393">
        <v>44440.0</v>
      </c>
      <c r="K1554" s="393">
        <f t="shared" si="8"/>
        <v>44441</v>
      </c>
      <c r="L1554" s="394" t="str">
        <f>IFERROR(__xludf.DUMMYFUNCTION("JOIN("""", G1554:H1554)"),"")</f>
        <v/>
      </c>
      <c r="M1554" s="80" t="str">
        <f t="shared" si="2"/>
        <v/>
      </c>
    </row>
    <row r="1555">
      <c r="A1555" s="86"/>
      <c r="B1555" s="73"/>
      <c r="C1555" s="73"/>
      <c r="D1555" s="73"/>
      <c r="E1555" s="88"/>
      <c r="F1555" s="73"/>
      <c r="G1555" s="394"/>
      <c r="H1555" s="77"/>
      <c r="I1555" s="88"/>
      <c r="J1555" s="393">
        <v>44439.0</v>
      </c>
      <c r="K1555" s="393">
        <f t="shared" si="8"/>
        <v>44440</v>
      </c>
      <c r="L1555" s="394" t="str">
        <f>IFERROR(__xludf.DUMMYFUNCTION("JOIN("""", G1555:H1555)"),"")</f>
        <v/>
      </c>
      <c r="M1555" s="80" t="str">
        <f t="shared" si="2"/>
        <v/>
      </c>
    </row>
    <row r="1556">
      <c r="A1556" s="86"/>
      <c r="B1556" s="73"/>
      <c r="C1556" s="73"/>
      <c r="D1556" s="73"/>
      <c r="E1556" s="88"/>
      <c r="F1556" s="73"/>
      <c r="G1556" s="394"/>
      <c r="H1556" s="77"/>
      <c r="I1556" s="88"/>
      <c r="J1556" s="393">
        <v>44439.0</v>
      </c>
      <c r="K1556" s="393">
        <f t="shared" si="8"/>
        <v>44440</v>
      </c>
      <c r="L1556" s="394" t="str">
        <f>IFERROR(__xludf.DUMMYFUNCTION("JOIN("""", G1556:H1556)"),"")</f>
        <v/>
      </c>
      <c r="M1556" s="80" t="str">
        <f t="shared" si="2"/>
        <v/>
      </c>
    </row>
    <row r="1557">
      <c r="A1557" s="86"/>
      <c r="B1557" s="73"/>
      <c r="C1557" s="73"/>
      <c r="D1557" s="73"/>
      <c r="E1557" s="88"/>
      <c r="F1557" s="73"/>
      <c r="G1557" s="394"/>
      <c r="H1557" s="77"/>
      <c r="I1557" s="88"/>
      <c r="J1557" s="393">
        <v>44439.0</v>
      </c>
      <c r="K1557" s="393">
        <f t="shared" si="8"/>
        <v>44440</v>
      </c>
      <c r="L1557" s="394" t="str">
        <f>IFERROR(__xludf.DUMMYFUNCTION("JOIN("""", G1557:H1557)"),"")</f>
        <v/>
      </c>
      <c r="M1557" s="80" t="str">
        <f t="shared" si="2"/>
        <v/>
      </c>
    </row>
    <row r="1558">
      <c r="A1558" s="86"/>
      <c r="B1558" s="73"/>
      <c r="C1558" s="73"/>
      <c r="D1558" s="73"/>
      <c r="E1558" s="88"/>
      <c r="F1558" s="73"/>
      <c r="G1558" s="394"/>
      <c r="H1558" s="77"/>
      <c r="I1558" s="88"/>
      <c r="J1558" s="406">
        <v>44440.0</v>
      </c>
      <c r="K1558" s="393">
        <f t="shared" si="8"/>
        <v>44441</v>
      </c>
      <c r="L1558" s="394" t="str">
        <f>IFERROR(__xludf.DUMMYFUNCTION("JOIN("""", G1558:H1558)"),"")</f>
        <v/>
      </c>
      <c r="M1558" s="80" t="str">
        <f t="shared" si="2"/>
        <v/>
      </c>
    </row>
    <row r="1559">
      <c r="A1559" s="86"/>
      <c r="B1559" s="73"/>
      <c r="C1559" s="73"/>
      <c r="D1559" s="73"/>
      <c r="E1559" s="88"/>
      <c r="F1559" s="73"/>
      <c r="G1559" s="394"/>
      <c r="H1559" s="77"/>
      <c r="I1559" s="88"/>
      <c r="J1559" s="393">
        <v>44450.0</v>
      </c>
      <c r="K1559" s="393">
        <f t="shared" si="8"/>
        <v>44451</v>
      </c>
      <c r="L1559" s="394" t="str">
        <f>IFERROR(__xludf.DUMMYFUNCTION("JOIN("""", G1559:H1559)"),"")</f>
        <v/>
      </c>
      <c r="M1559" s="80" t="str">
        <f t="shared" si="2"/>
        <v/>
      </c>
    </row>
    <row r="1560">
      <c r="A1560" s="86"/>
      <c r="B1560" s="73"/>
      <c r="C1560" s="73"/>
      <c r="D1560" s="73"/>
      <c r="E1560" s="88"/>
      <c r="F1560" s="73"/>
      <c r="G1560" s="394"/>
      <c r="H1560" s="77"/>
      <c r="I1560" s="88"/>
      <c r="J1560" s="393">
        <v>44441.0</v>
      </c>
      <c r="K1560" s="393">
        <f t="shared" si="8"/>
        <v>44442</v>
      </c>
      <c r="L1560" s="394" t="str">
        <f>IFERROR(__xludf.DUMMYFUNCTION("JOIN("""", G1560:H1560)"),"")</f>
        <v/>
      </c>
      <c r="M1560" s="80" t="str">
        <f t="shared" si="2"/>
        <v/>
      </c>
    </row>
    <row r="1561">
      <c r="A1561" s="86"/>
      <c r="B1561" s="73"/>
      <c r="C1561" s="73"/>
      <c r="D1561" s="73"/>
      <c r="E1561" s="88"/>
      <c r="F1561" s="73"/>
      <c r="G1561" s="394"/>
      <c r="H1561" s="77"/>
      <c r="I1561" s="88"/>
      <c r="J1561" s="393">
        <v>44441.0</v>
      </c>
      <c r="K1561" s="393">
        <f t="shared" si="8"/>
        <v>44442</v>
      </c>
      <c r="L1561" s="394" t="str">
        <f>IFERROR(__xludf.DUMMYFUNCTION("JOIN("""", G1561:H1561)"),"")</f>
        <v/>
      </c>
      <c r="M1561" s="80" t="str">
        <f t="shared" si="2"/>
        <v/>
      </c>
    </row>
    <row r="1562">
      <c r="A1562" s="86"/>
      <c r="B1562" s="73"/>
      <c r="C1562" s="73"/>
      <c r="D1562" s="73"/>
      <c r="E1562" s="88"/>
      <c r="F1562" s="73"/>
      <c r="G1562" s="394"/>
      <c r="H1562" s="77"/>
      <c r="I1562" s="88"/>
      <c r="J1562" s="393">
        <v>44441.0</v>
      </c>
      <c r="K1562" s="393">
        <f t="shared" si="8"/>
        <v>44442</v>
      </c>
      <c r="L1562" s="394" t="str">
        <f>IFERROR(__xludf.DUMMYFUNCTION("JOIN("""", G1562:H1562)"),"")</f>
        <v/>
      </c>
      <c r="M1562" s="80" t="str">
        <f t="shared" si="2"/>
        <v/>
      </c>
    </row>
    <row r="1563">
      <c r="A1563" s="86"/>
      <c r="B1563" s="73"/>
      <c r="C1563" s="73"/>
      <c r="D1563" s="73"/>
      <c r="E1563" s="88"/>
      <c r="F1563" s="73"/>
      <c r="G1563" s="394"/>
      <c r="H1563" s="77"/>
      <c r="I1563" s="88"/>
      <c r="J1563" s="393">
        <v>44441.0</v>
      </c>
      <c r="K1563" s="393">
        <f t="shared" si="8"/>
        <v>44442</v>
      </c>
      <c r="L1563" s="394" t="str">
        <f>IFERROR(__xludf.DUMMYFUNCTION("JOIN("""", G1563:H1563)"),"")</f>
        <v/>
      </c>
      <c r="M1563" s="80" t="str">
        <f t="shared" si="2"/>
        <v/>
      </c>
    </row>
    <row r="1564">
      <c r="A1564" s="86"/>
      <c r="B1564" s="73"/>
      <c r="C1564" s="73"/>
      <c r="D1564" s="73"/>
      <c r="E1564" s="88"/>
      <c r="F1564" s="73"/>
      <c r="G1564" s="394"/>
      <c r="H1564" s="77"/>
      <c r="I1564" s="88"/>
      <c r="J1564" s="393">
        <v>44447.0</v>
      </c>
      <c r="K1564" s="393">
        <f t="shared" si="8"/>
        <v>44448</v>
      </c>
      <c r="L1564" s="394" t="str">
        <f>IFERROR(__xludf.DUMMYFUNCTION("JOIN("""", G1564:H1564)"),"")</f>
        <v/>
      </c>
      <c r="M1564" s="80" t="str">
        <f t="shared" si="2"/>
        <v/>
      </c>
    </row>
    <row r="1565">
      <c r="A1565" s="86"/>
      <c r="B1565" s="73"/>
      <c r="C1565" s="73"/>
      <c r="D1565" s="73"/>
      <c r="E1565" s="88"/>
      <c r="F1565" s="73"/>
      <c r="G1565" s="394"/>
      <c r="H1565" s="77"/>
      <c r="I1565" s="88"/>
      <c r="J1565" s="393">
        <v>44441.0</v>
      </c>
      <c r="K1565" s="393">
        <f t="shared" si="8"/>
        <v>44442</v>
      </c>
      <c r="L1565" s="394" t="str">
        <f>IFERROR(__xludf.DUMMYFUNCTION("JOIN("""", G1565:H1565)"),"")</f>
        <v/>
      </c>
      <c r="M1565" s="80" t="str">
        <f t="shared" si="2"/>
        <v/>
      </c>
    </row>
    <row r="1566">
      <c r="A1566" s="86"/>
      <c r="B1566" s="73"/>
      <c r="C1566" s="73"/>
      <c r="D1566" s="73"/>
      <c r="E1566" s="88"/>
      <c r="F1566" s="73"/>
      <c r="G1566" s="394"/>
      <c r="H1566" s="77"/>
      <c r="I1566" s="88"/>
      <c r="J1566" s="393">
        <v>44441.0</v>
      </c>
      <c r="K1566" s="393">
        <f t="shared" si="8"/>
        <v>44442</v>
      </c>
      <c r="L1566" s="394" t="str">
        <f>IFERROR(__xludf.DUMMYFUNCTION("JOIN("""", G1566:H1566)"),"")</f>
        <v/>
      </c>
      <c r="M1566" s="80" t="str">
        <f t="shared" si="2"/>
        <v/>
      </c>
    </row>
    <row r="1567">
      <c r="A1567" s="86"/>
      <c r="B1567" s="73"/>
      <c r="C1567" s="73"/>
      <c r="D1567" s="73"/>
      <c r="E1567" s="88"/>
      <c r="F1567" s="73"/>
      <c r="G1567" s="394"/>
      <c r="H1567" s="77"/>
      <c r="I1567" s="88"/>
      <c r="J1567" s="393">
        <v>44441.0</v>
      </c>
      <c r="K1567" s="393">
        <f t="shared" si="8"/>
        <v>44442</v>
      </c>
      <c r="L1567" s="394" t="str">
        <f>IFERROR(__xludf.DUMMYFUNCTION("JOIN("""", G1567:H1567)"),"")</f>
        <v/>
      </c>
      <c r="M1567" s="80" t="str">
        <f t="shared" si="2"/>
        <v/>
      </c>
    </row>
    <row r="1568">
      <c r="A1568" s="86"/>
      <c r="B1568" s="73"/>
      <c r="C1568" s="396"/>
      <c r="D1568" s="73"/>
      <c r="E1568" s="88"/>
      <c r="F1568" s="73"/>
      <c r="G1568" s="394"/>
      <c r="H1568" s="77"/>
      <c r="I1568" s="88"/>
      <c r="J1568" s="393">
        <v>44441.0</v>
      </c>
      <c r="K1568" s="393">
        <f t="shared" si="8"/>
        <v>44442</v>
      </c>
      <c r="L1568" s="394" t="str">
        <f>IFERROR(__xludf.DUMMYFUNCTION("JOIN("""", G1568:H1568)"),"")</f>
        <v/>
      </c>
      <c r="M1568" s="80" t="str">
        <f t="shared" si="2"/>
        <v/>
      </c>
    </row>
    <row r="1569">
      <c r="A1569" s="86"/>
      <c r="B1569" s="396"/>
      <c r="C1569" s="396"/>
      <c r="D1569" s="73"/>
      <c r="E1569" s="88"/>
      <c r="F1569" s="73"/>
      <c r="G1569" s="394"/>
      <c r="H1569" s="77"/>
      <c r="I1569" s="88"/>
      <c r="J1569" s="393">
        <v>44441.0</v>
      </c>
      <c r="K1569" s="393">
        <f t="shared" si="8"/>
        <v>44442</v>
      </c>
      <c r="L1569" s="394" t="str">
        <f>IFERROR(__xludf.DUMMYFUNCTION("JOIN("""", G1569:H1569)"),"")</f>
        <v/>
      </c>
      <c r="M1569" s="80" t="str">
        <f t="shared" si="2"/>
        <v/>
      </c>
    </row>
    <row r="1570">
      <c r="A1570" s="397"/>
      <c r="B1570" s="396"/>
      <c r="C1570" s="396"/>
      <c r="D1570" s="73"/>
      <c r="E1570" s="88"/>
      <c r="F1570" s="73"/>
      <c r="G1570" s="394"/>
      <c r="H1570" s="77"/>
      <c r="I1570" s="88"/>
      <c r="J1570" s="393">
        <v>44441.0</v>
      </c>
      <c r="K1570" s="393">
        <f t="shared" si="8"/>
        <v>44442</v>
      </c>
      <c r="L1570" s="394" t="str">
        <f>IFERROR(__xludf.DUMMYFUNCTION("JOIN("""", G1570:H1570)"),"")</f>
        <v/>
      </c>
      <c r="M1570" s="80" t="str">
        <f t="shared" si="2"/>
        <v/>
      </c>
    </row>
    <row r="1571">
      <c r="A1571" s="397"/>
      <c r="B1571" s="396"/>
      <c r="C1571" s="398"/>
      <c r="D1571" s="73"/>
      <c r="E1571" s="88"/>
      <c r="F1571" s="73"/>
      <c r="G1571" s="394"/>
      <c r="H1571" s="77"/>
      <c r="I1571" s="88"/>
      <c r="J1571" s="393">
        <v>44455.0</v>
      </c>
      <c r="K1571" s="393">
        <f t="shared" si="8"/>
        <v>44456</v>
      </c>
      <c r="L1571" s="394" t="str">
        <f>IFERROR(__xludf.DUMMYFUNCTION("JOIN("""", G1571:H1571)"),"")</f>
        <v/>
      </c>
      <c r="M1571" s="80" t="str">
        <f t="shared" si="2"/>
        <v/>
      </c>
    </row>
    <row r="1572">
      <c r="A1572" s="86"/>
      <c r="B1572" s="73"/>
      <c r="C1572" s="73"/>
      <c r="D1572" s="73"/>
      <c r="E1572" s="88"/>
      <c r="F1572" s="73"/>
      <c r="G1572" s="394"/>
      <c r="H1572" s="77"/>
      <c r="I1572" s="88"/>
      <c r="J1572" s="393">
        <v>44442.0</v>
      </c>
      <c r="K1572" s="393">
        <f t="shared" si="8"/>
        <v>44443</v>
      </c>
      <c r="L1572" s="394" t="str">
        <f>IFERROR(__xludf.DUMMYFUNCTION("JOIN("""", G1572:H1572)"),"")</f>
        <v/>
      </c>
      <c r="M1572" s="80" t="str">
        <f t="shared" si="2"/>
        <v/>
      </c>
    </row>
    <row r="1573">
      <c r="A1573" s="86"/>
      <c r="B1573" s="73"/>
      <c r="C1573" s="73"/>
      <c r="D1573" s="73"/>
      <c r="E1573" s="88"/>
      <c r="F1573" s="73"/>
      <c r="G1573" s="394"/>
      <c r="H1573" s="77"/>
      <c r="I1573" s="88"/>
      <c r="J1573" s="393">
        <v>44442.0</v>
      </c>
      <c r="K1573" s="393">
        <f t="shared" si="8"/>
        <v>44443</v>
      </c>
      <c r="L1573" s="394" t="str">
        <f>IFERROR(__xludf.DUMMYFUNCTION("JOIN("""", G1573:H1573)"),"")</f>
        <v/>
      </c>
      <c r="M1573" s="80" t="str">
        <f t="shared" si="2"/>
        <v/>
      </c>
    </row>
    <row r="1574">
      <c r="A1574" s="86"/>
      <c r="B1574" s="73"/>
      <c r="C1574" s="73"/>
      <c r="D1574" s="73"/>
      <c r="E1574" s="88"/>
      <c r="F1574" s="73"/>
      <c r="G1574" s="394"/>
      <c r="H1574" s="77"/>
      <c r="I1574" s="88"/>
      <c r="J1574" s="393">
        <v>44445.0</v>
      </c>
      <c r="K1574" s="393">
        <f t="shared" si="8"/>
        <v>44446</v>
      </c>
      <c r="L1574" s="394" t="str">
        <f>IFERROR(__xludf.DUMMYFUNCTION("JOIN("""", G1574:H1574)"),"")</f>
        <v/>
      </c>
      <c r="M1574" s="80" t="str">
        <f t="shared" si="2"/>
        <v/>
      </c>
    </row>
    <row r="1575">
      <c r="A1575" s="86"/>
      <c r="B1575" s="73"/>
      <c r="C1575" s="73"/>
      <c r="D1575" s="73"/>
      <c r="E1575" s="88"/>
      <c r="F1575" s="73"/>
      <c r="G1575" s="394"/>
      <c r="H1575" s="77"/>
      <c r="I1575" s="88"/>
      <c r="J1575" s="393">
        <v>44443.0</v>
      </c>
      <c r="K1575" s="393">
        <f t="shared" si="8"/>
        <v>44444</v>
      </c>
      <c r="L1575" s="394" t="str">
        <f>IFERROR(__xludf.DUMMYFUNCTION("JOIN("""", G1575:H1575)"),"")</f>
        <v/>
      </c>
      <c r="M1575" s="80" t="str">
        <f t="shared" si="2"/>
        <v/>
      </c>
    </row>
    <row r="1576">
      <c r="A1576" s="86"/>
      <c r="B1576" s="73"/>
      <c r="C1576" s="73"/>
      <c r="D1576" s="73"/>
      <c r="E1576" s="88"/>
      <c r="F1576" s="73"/>
      <c r="G1576" s="394"/>
      <c r="H1576" s="77"/>
      <c r="I1576" s="88"/>
      <c r="J1576" s="393">
        <v>44443.0</v>
      </c>
      <c r="K1576" s="393">
        <f t="shared" si="8"/>
        <v>44444</v>
      </c>
      <c r="L1576" s="394" t="str">
        <f>IFERROR(__xludf.DUMMYFUNCTION("JOIN("""", G1576:H1576)"),"")</f>
        <v/>
      </c>
      <c r="M1576" s="80" t="str">
        <f t="shared" si="2"/>
        <v/>
      </c>
    </row>
    <row r="1577">
      <c r="A1577" s="86"/>
      <c r="B1577" s="73"/>
      <c r="C1577" s="73"/>
      <c r="D1577" s="73"/>
      <c r="E1577" s="88"/>
      <c r="F1577" s="73"/>
      <c r="G1577" s="394"/>
      <c r="H1577" s="77"/>
      <c r="I1577" s="88"/>
      <c r="J1577" s="393">
        <v>44468.0</v>
      </c>
      <c r="K1577" s="393">
        <f t="shared" si="8"/>
        <v>44469</v>
      </c>
      <c r="L1577" s="394" t="str">
        <f>IFERROR(__xludf.DUMMYFUNCTION("JOIN("""", G1577:H1577)"),"")</f>
        <v/>
      </c>
      <c r="M1577" s="80" t="str">
        <f t="shared" si="2"/>
        <v/>
      </c>
    </row>
    <row r="1578">
      <c r="A1578" s="86"/>
      <c r="B1578" s="73"/>
      <c r="C1578" s="73"/>
      <c r="D1578" s="73"/>
      <c r="E1578" s="88"/>
      <c r="F1578" s="73"/>
      <c r="G1578" s="394"/>
      <c r="H1578" s="77"/>
      <c r="I1578" s="88"/>
      <c r="J1578" s="393">
        <v>44452.0</v>
      </c>
      <c r="K1578" s="393">
        <f t="shared" si="8"/>
        <v>44453</v>
      </c>
      <c r="L1578" s="394" t="str">
        <f>IFERROR(__xludf.DUMMYFUNCTION("JOIN("""", G1578:H1578)"),"")</f>
        <v/>
      </c>
      <c r="M1578" s="80" t="str">
        <f t="shared" si="2"/>
        <v/>
      </c>
    </row>
    <row r="1579">
      <c r="A1579" s="86"/>
      <c r="B1579" s="73"/>
      <c r="C1579" s="73"/>
      <c r="D1579" s="73"/>
      <c r="E1579" s="88"/>
      <c r="F1579" s="73"/>
      <c r="G1579" s="394"/>
      <c r="H1579" s="77"/>
      <c r="I1579" s="88"/>
      <c r="J1579" s="393">
        <v>44443.0</v>
      </c>
      <c r="K1579" s="393">
        <f t="shared" si="8"/>
        <v>44444</v>
      </c>
      <c r="L1579" s="394" t="str">
        <f>IFERROR(__xludf.DUMMYFUNCTION("JOIN("""", G1579:H1579)"),"")</f>
        <v/>
      </c>
      <c r="M1579" s="80" t="str">
        <f t="shared" si="2"/>
        <v/>
      </c>
    </row>
    <row r="1580">
      <c r="A1580" s="86"/>
      <c r="B1580" s="73"/>
      <c r="C1580" s="73"/>
      <c r="D1580" s="73"/>
      <c r="E1580" s="88"/>
      <c r="F1580" s="73"/>
      <c r="G1580" s="394"/>
      <c r="H1580" s="77"/>
      <c r="I1580" s="88"/>
      <c r="J1580" s="393">
        <v>44443.0</v>
      </c>
      <c r="K1580" s="393">
        <f t="shared" si="8"/>
        <v>44444</v>
      </c>
      <c r="L1580" s="394" t="str">
        <f>IFERROR(__xludf.DUMMYFUNCTION("JOIN("""", G1580:H1580)"),"")</f>
        <v/>
      </c>
      <c r="M1580" s="80" t="str">
        <f t="shared" si="2"/>
        <v/>
      </c>
    </row>
    <row r="1581">
      <c r="A1581" s="86"/>
      <c r="B1581" s="73"/>
      <c r="C1581" s="73"/>
      <c r="D1581" s="73"/>
      <c r="E1581" s="88"/>
      <c r="F1581" s="73"/>
      <c r="G1581" s="394"/>
      <c r="H1581" s="77"/>
      <c r="I1581" s="88"/>
      <c r="J1581" s="393">
        <v>44457.0</v>
      </c>
      <c r="K1581" s="393">
        <f t="shared" si="8"/>
        <v>44458</v>
      </c>
      <c r="L1581" s="394" t="str">
        <f>IFERROR(__xludf.DUMMYFUNCTION("JOIN("""", G1581:H1581)"),"")</f>
        <v/>
      </c>
      <c r="M1581" s="80" t="str">
        <f t="shared" si="2"/>
        <v/>
      </c>
    </row>
    <row r="1582">
      <c r="A1582" s="86"/>
      <c r="B1582" s="73"/>
      <c r="C1582" s="73"/>
      <c r="D1582" s="73"/>
      <c r="E1582" s="88"/>
      <c r="F1582" s="73"/>
      <c r="G1582" s="394"/>
      <c r="H1582" s="77"/>
      <c r="I1582" s="88"/>
      <c r="J1582" s="393">
        <v>44445.0</v>
      </c>
      <c r="K1582" s="393">
        <f t="shared" si="8"/>
        <v>44446</v>
      </c>
      <c r="L1582" s="394" t="str">
        <f>IFERROR(__xludf.DUMMYFUNCTION("JOIN("""", G1582:H1582)"),"")</f>
        <v/>
      </c>
      <c r="M1582" s="80" t="str">
        <f t="shared" si="2"/>
        <v/>
      </c>
    </row>
    <row r="1583">
      <c r="A1583" s="86"/>
      <c r="B1583" s="73"/>
      <c r="C1583" s="73"/>
      <c r="D1583" s="73"/>
      <c r="E1583" s="88"/>
      <c r="F1583" s="73"/>
      <c r="G1583" s="394"/>
      <c r="H1583" s="77"/>
      <c r="I1583" s="88"/>
      <c r="J1583" s="393">
        <v>44445.0</v>
      </c>
      <c r="K1583" s="393">
        <f t="shared" si="8"/>
        <v>44446</v>
      </c>
      <c r="L1583" s="394" t="str">
        <f>IFERROR(__xludf.DUMMYFUNCTION("JOIN("""", G1583:H1583)"),"")</f>
        <v/>
      </c>
      <c r="M1583" s="80" t="str">
        <f t="shared" si="2"/>
        <v/>
      </c>
    </row>
    <row r="1584">
      <c r="A1584" s="86"/>
      <c r="B1584" s="73"/>
      <c r="C1584" s="73"/>
      <c r="D1584" s="73"/>
      <c r="E1584" s="88"/>
      <c r="F1584" s="73"/>
      <c r="G1584" s="394"/>
      <c r="H1584" s="77"/>
      <c r="I1584" s="88"/>
      <c r="J1584" s="393">
        <v>44445.0</v>
      </c>
      <c r="K1584" s="393">
        <f t="shared" si="8"/>
        <v>44446</v>
      </c>
      <c r="L1584" s="394" t="str">
        <f>IFERROR(__xludf.DUMMYFUNCTION("JOIN("""", G1584:H1584)"),"")</f>
        <v/>
      </c>
      <c r="M1584" s="80" t="str">
        <f t="shared" si="2"/>
        <v/>
      </c>
    </row>
    <row r="1585">
      <c r="A1585" s="86"/>
      <c r="B1585" s="73"/>
      <c r="C1585" s="73"/>
      <c r="D1585" s="73"/>
      <c r="E1585" s="88"/>
      <c r="F1585" s="73"/>
      <c r="G1585" s="394"/>
      <c r="H1585" s="77"/>
      <c r="I1585" s="88"/>
      <c r="J1585" s="393">
        <v>44445.0</v>
      </c>
      <c r="K1585" s="393">
        <f t="shared" si="8"/>
        <v>44446</v>
      </c>
      <c r="L1585" s="394" t="str">
        <f>IFERROR(__xludf.DUMMYFUNCTION("JOIN("""", G1585:H1585)"),"")</f>
        <v/>
      </c>
      <c r="M1585" s="80" t="str">
        <f t="shared" si="2"/>
        <v/>
      </c>
    </row>
    <row r="1586">
      <c r="A1586" s="86"/>
      <c r="B1586" s="73"/>
      <c r="C1586" s="73"/>
      <c r="D1586" s="73"/>
      <c r="E1586" s="88"/>
      <c r="F1586" s="73"/>
      <c r="G1586" s="394"/>
      <c r="H1586" s="77"/>
      <c r="I1586" s="88"/>
      <c r="J1586" s="393">
        <v>44445.0</v>
      </c>
      <c r="K1586" s="393">
        <f t="shared" si="8"/>
        <v>44446</v>
      </c>
      <c r="L1586" s="394" t="str">
        <f>IFERROR(__xludf.DUMMYFUNCTION("JOIN("""", G1586:H1586)"),"")</f>
        <v/>
      </c>
      <c r="M1586" s="80" t="str">
        <f t="shared" si="2"/>
        <v/>
      </c>
    </row>
    <row r="1587">
      <c r="A1587" s="86"/>
      <c r="B1587" s="73"/>
      <c r="C1587" s="73"/>
      <c r="D1587" s="73"/>
      <c r="E1587" s="88"/>
      <c r="F1587" s="73"/>
      <c r="G1587" s="394"/>
      <c r="H1587" s="77"/>
      <c r="I1587" s="88"/>
      <c r="J1587" s="393">
        <v>44445.0</v>
      </c>
      <c r="K1587" s="393">
        <f t="shared" si="8"/>
        <v>44446</v>
      </c>
      <c r="L1587" s="394" t="str">
        <f>IFERROR(__xludf.DUMMYFUNCTION("JOIN("""", G1587:H1587)"),"")</f>
        <v/>
      </c>
      <c r="M1587" s="80" t="str">
        <f t="shared" si="2"/>
        <v/>
      </c>
    </row>
    <row r="1588">
      <c r="A1588" s="86"/>
      <c r="B1588" s="73"/>
      <c r="C1588" s="73"/>
      <c r="D1588" s="73"/>
      <c r="E1588" s="88"/>
      <c r="F1588" s="73"/>
      <c r="G1588" s="394"/>
      <c r="H1588" s="77"/>
      <c r="I1588" s="88"/>
      <c r="J1588" s="393">
        <v>44445.0</v>
      </c>
      <c r="K1588" s="393">
        <f t="shared" si="8"/>
        <v>44446</v>
      </c>
      <c r="L1588" s="394" t="str">
        <f>IFERROR(__xludf.DUMMYFUNCTION("JOIN("""", G1588:H1588)"),"")</f>
        <v/>
      </c>
      <c r="M1588" s="80" t="str">
        <f t="shared" si="2"/>
        <v/>
      </c>
    </row>
    <row r="1589">
      <c r="A1589" s="86"/>
      <c r="B1589" s="73"/>
      <c r="C1589" s="73"/>
      <c r="D1589" s="73"/>
      <c r="E1589" s="88"/>
      <c r="F1589" s="73"/>
      <c r="G1589" s="394"/>
      <c r="H1589" s="77"/>
      <c r="I1589" s="88"/>
      <c r="J1589" s="393">
        <v>44445.0</v>
      </c>
      <c r="K1589" s="393">
        <f t="shared" si="8"/>
        <v>44446</v>
      </c>
      <c r="L1589" s="394" t="str">
        <f>IFERROR(__xludf.DUMMYFUNCTION("JOIN("""", G1589:H1589)"),"")</f>
        <v/>
      </c>
      <c r="M1589" s="80" t="str">
        <f t="shared" si="2"/>
        <v/>
      </c>
    </row>
    <row r="1590">
      <c r="A1590" s="86"/>
      <c r="B1590" s="73"/>
      <c r="C1590" s="73"/>
      <c r="D1590" s="73"/>
      <c r="E1590" s="88"/>
      <c r="F1590" s="73"/>
      <c r="G1590" s="394"/>
      <c r="H1590" s="77"/>
      <c r="I1590" s="88"/>
      <c r="J1590" s="393">
        <v>44448.0</v>
      </c>
      <c r="K1590" s="393">
        <f t="shared" si="8"/>
        <v>44449</v>
      </c>
      <c r="L1590" s="394" t="str">
        <f>IFERROR(__xludf.DUMMYFUNCTION("JOIN("""", G1590:H1590)"),"")</f>
        <v/>
      </c>
      <c r="M1590" s="80" t="str">
        <f t="shared" si="2"/>
        <v/>
      </c>
    </row>
    <row r="1591">
      <c r="A1591" s="86"/>
      <c r="B1591" s="73"/>
      <c r="C1591" s="73"/>
      <c r="D1591" s="73"/>
      <c r="E1591" s="88"/>
      <c r="F1591" s="73"/>
      <c r="G1591" s="394"/>
      <c r="H1591" s="77"/>
      <c r="I1591" s="88"/>
      <c r="J1591" s="393">
        <v>44446.0</v>
      </c>
      <c r="K1591" s="393">
        <f t="shared" si="8"/>
        <v>44447</v>
      </c>
      <c r="L1591" s="394" t="str">
        <f>IFERROR(__xludf.DUMMYFUNCTION("JOIN("""", G1591:H1591)"),"")</f>
        <v/>
      </c>
      <c r="M1591" s="80" t="str">
        <f t="shared" si="2"/>
        <v/>
      </c>
    </row>
    <row r="1592">
      <c r="A1592" s="86"/>
      <c r="B1592" s="73"/>
      <c r="C1592" s="73"/>
      <c r="D1592" s="73"/>
      <c r="E1592" s="88"/>
      <c r="F1592" s="73"/>
      <c r="G1592" s="394"/>
      <c r="H1592" s="77"/>
      <c r="I1592" s="88"/>
      <c r="J1592" s="393">
        <v>44446.0</v>
      </c>
      <c r="K1592" s="393">
        <f t="shared" si="8"/>
        <v>44447</v>
      </c>
      <c r="L1592" s="394" t="str">
        <f>IFERROR(__xludf.DUMMYFUNCTION("JOIN("""", G1592:H1592)"),"")</f>
        <v/>
      </c>
      <c r="M1592" s="80" t="str">
        <f t="shared" si="2"/>
        <v/>
      </c>
    </row>
    <row r="1593">
      <c r="A1593" s="86"/>
      <c r="B1593" s="73"/>
      <c r="C1593" s="73"/>
      <c r="D1593" s="73"/>
      <c r="E1593" s="88"/>
      <c r="F1593" s="73"/>
      <c r="G1593" s="394"/>
      <c r="H1593" s="77"/>
      <c r="I1593" s="88"/>
      <c r="J1593" s="393">
        <v>44446.0</v>
      </c>
      <c r="K1593" s="393">
        <f t="shared" si="8"/>
        <v>44447</v>
      </c>
      <c r="L1593" s="394" t="str">
        <f>IFERROR(__xludf.DUMMYFUNCTION("JOIN("""", G1593:H1593)"),"")</f>
        <v/>
      </c>
      <c r="M1593" s="80" t="str">
        <f t="shared" si="2"/>
        <v/>
      </c>
    </row>
    <row r="1594">
      <c r="A1594" s="86"/>
      <c r="B1594" s="73"/>
      <c r="C1594" s="73"/>
      <c r="D1594" s="73"/>
      <c r="E1594" s="88"/>
      <c r="F1594" s="73"/>
      <c r="G1594" s="394"/>
      <c r="H1594" s="77"/>
      <c r="I1594" s="88"/>
      <c r="J1594" s="393">
        <v>44448.0</v>
      </c>
      <c r="K1594" s="393">
        <f t="shared" si="8"/>
        <v>44449</v>
      </c>
      <c r="L1594" s="394" t="str">
        <f>IFERROR(__xludf.DUMMYFUNCTION("JOIN("""", G1594:H1594)"),"")</f>
        <v/>
      </c>
      <c r="M1594" s="80" t="str">
        <f t="shared" si="2"/>
        <v/>
      </c>
    </row>
    <row r="1595">
      <c r="A1595" s="86"/>
      <c r="B1595" s="73"/>
      <c r="C1595" s="73"/>
      <c r="D1595" s="73"/>
      <c r="E1595" s="88"/>
      <c r="F1595" s="73"/>
      <c r="G1595" s="394"/>
      <c r="H1595" s="77"/>
      <c r="I1595" s="88"/>
      <c r="J1595" s="393">
        <v>44450.0</v>
      </c>
      <c r="K1595" s="393">
        <f t="shared" si="8"/>
        <v>44451</v>
      </c>
      <c r="L1595" s="394" t="str">
        <f>IFERROR(__xludf.DUMMYFUNCTION("JOIN("""", G1595:H1595)"),"")</f>
        <v/>
      </c>
      <c r="M1595" s="80" t="str">
        <f t="shared" si="2"/>
        <v/>
      </c>
    </row>
    <row r="1596">
      <c r="A1596" s="86"/>
      <c r="B1596" s="73"/>
      <c r="C1596" s="73"/>
      <c r="D1596" s="73"/>
      <c r="E1596" s="88"/>
      <c r="F1596" s="73"/>
      <c r="G1596" s="394"/>
      <c r="H1596" s="77"/>
      <c r="I1596" s="88"/>
      <c r="J1596" s="393">
        <v>44448.0</v>
      </c>
      <c r="K1596" s="393">
        <f t="shared" si="8"/>
        <v>44449</v>
      </c>
      <c r="L1596" s="394" t="str">
        <f>IFERROR(__xludf.DUMMYFUNCTION("JOIN("""", G1596:H1596)"),"")</f>
        <v/>
      </c>
      <c r="M1596" s="80" t="str">
        <f t="shared" si="2"/>
        <v/>
      </c>
    </row>
    <row r="1597">
      <c r="A1597" s="86"/>
      <c r="B1597" s="73"/>
      <c r="C1597" s="73"/>
      <c r="D1597" s="73"/>
      <c r="E1597" s="88"/>
      <c r="F1597" s="73"/>
      <c r="G1597" s="394"/>
      <c r="H1597" s="77"/>
      <c r="I1597" s="88"/>
      <c r="J1597" s="393">
        <v>44448.0</v>
      </c>
      <c r="K1597" s="393">
        <f t="shared" si="8"/>
        <v>44449</v>
      </c>
      <c r="L1597" s="394" t="str">
        <f>IFERROR(__xludf.DUMMYFUNCTION("JOIN("""", G1597:H1597)"),"")</f>
        <v/>
      </c>
      <c r="M1597" s="80" t="str">
        <f t="shared" si="2"/>
        <v/>
      </c>
    </row>
    <row r="1598">
      <c r="A1598" s="86"/>
      <c r="B1598" s="73"/>
      <c r="C1598" s="73"/>
      <c r="D1598" s="73"/>
      <c r="E1598" s="88"/>
      <c r="F1598" s="73"/>
      <c r="G1598" s="394"/>
      <c r="H1598" s="77"/>
      <c r="I1598" s="88"/>
      <c r="J1598" s="393">
        <v>44462.0</v>
      </c>
      <c r="K1598" s="393">
        <f t="shared" si="8"/>
        <v>44463</v>
      </c>
      <c r="L1598" s="394" t="str">
        <f>IFERROR(__xludf.DUMMYFUNCTION("JOIN("""", G1598:H1598)"),"")</f>
        <v/>
      </c>
      <c r="M1598" s="80" t="str">
        <f t="shared" si="2"/>
        <v/>
      </c>
    </row>
    <row r="1599">
      <c r="A1599" s="86"/>
      <c r="B1599" s="73"/>
      <c r="C1599" s="73"/>
      <c r="D1599" s="73"/>
      <c r="E1599" s="88"/>
      <c r="F1599" s="73"/>
      <c r="G1599" s="394"/>
      <c r="H1599" s="77"/>
      <c r="I1599" s="88"/>
      <c r="J1599" s="393">
        <v>44449.0</v>
      </c>
      <c r="K1599" s="393">
        <f t="shared" si="8"/>
        <v>44450</v>
      </c>
      <c r="L1599" s="394" t="str">
        <f>IFERROR(__xludf.DUMMYFUNCTION("JOIN("""", G1599:H1599)"),"")</f>
        <v/>
      </c>
      <c r="M1599" s="80" t="str">
        <f t="shared" si="2"/>
        <v/>
      </c>
    </row>
    <row r="1600">
      <c r="A1600" s="86"/>
      <c r="B1600" s="73"/>
      <c r="C1600" s="73"/>
      <c r="D1600" s="73"/>
      <c r="E1600" s="88"/>
      <c r="F1600" s="73"/>
      <c r="G1600" s="394"/>
      <c r="H1600" s="77"/>
      <c r="I1600" s="88"/>
      <c r="J1600" s="393">
        <v>44449.0</v>
      </c>
      <c r="K1600" s="393">
        <f t="shared" si="8"/>
        <v>44450</v>
      </c>
      <c r="L1600" s="394" t="str">
        <f>IFERROR(__xludf.DUMMYFUNCTION("JOIN("""", G1600:H1600)"),"")</f>
        <v/>
      </c>
      <c r="M1600" s="80" t="str">
        <f t="shared" si="2"/>
        <v/>
      </c>
    </row>
    <row r="1601">
      <c r="A1601" s="86"/>
      <c r="B1601" s="73"/>
      <c r="C1601" s="73"/>
      <c r="D1601" s="73"/>
      <c r="E1601" s="88"/>
      <c r="F1601" s="73"/>
      <c r="G1601" s="394"/>
      <c r="H1601" s="77"/>
      <c r="I1601" s="88"/>
      <c r="J1601" s="393">
        <v>44449.0</v>
      </c>
      <c r="K1601" s="393">
        <f t="shared" si="8"/>
        <v>44450</v>
      </c>
      <c r="L1601" s="394" t="str">
        <f>IFERROR(__xludf.DUMMYFUNCTION("JOIN("""", G1601:H1601)"),"")</f>
        <v/>
      </c>
      <c r="M1601" s="80" t="str">
        <f t="shared" si="2"/>
        <v/>
      </c>
    </row>
    <row r="1602">
      <c r="A1602" s="86"/>
      <c r="B1602" s="73"/>
      <c r="C1602" s="73"/>
      <c r="D1602" s="73"/>
      <c r="E1602" s="88"/>
      <c r="F1602" s="73"/>
      <c r="G1602" s="394"/>
      <c r="H1602" s="77"/>
      <c r="I1602" s="88"/>
      <c r="J1602" s="393">
        <v>44449.0</v>
      </c>
      <c r="K1602" s="393">
        <f t="shared" si="8"/>
        <v>44450</v>
      </c>
      <c r="L1602" s="394" t="str">
        <f>IFERROR(__xludf.DUMMYFUNCTION("JOIN("""", G1602:H1602)"),"")</f>
        <v/>
      </c>
      <c r="M1602" s="80" t="str">
        <f t="shared" si="2"/>
        <v/>
      </c>
    </row>
    <row r="1603">
      <c r="A1603" s="86"/>
      <c r="B1603" s="73"/>
      <c r="C1603" s="73"/>
      <c r="D1603" s="73"/>
      <c r="E1603" s="88"/>
      <c r="F1603" s="73"/>
      <c r="G1603" s="394"/>
      <c r="H1603" s="77"/>
      <c r="I1603" s="88"/>
      <c r="J1603" s="393">
        <v>44450.0</v>
      </c>
      <c r="K1603" s="393">
        <f t="shared" si="8"/>
        <v>44451</v>
      </c>
      <c r="L1603" s="394" t="str">
        <f>IFERROR(__xludf.DUMMYFUNCTION("JOIN("""", G1603:H1603)"),"")</f>
        <v/>
      </c>
      <c r="M1603" s="80" t="str">
        <f t="shared" si="2"/>
        <v/>
      </c>
    </row>
    <row r="1604">
      <c r="A1604" s="86"/>
      <c r="B1604" s="73"/>
      <c r="C1604" s="73"/>
      <c r="D1604" s="73"/>
      <c r="E1604" s="88"/>
      <c r="F1604" s="73"/>
      <c r="G1604" s="394"/>
      <c r="H1604" s="77"/>
      <c r="I1604" s="88"/>
      <c r="J1604" s="393">
        <v>44450.0</v>
      </c>
      <c r="K1604" s="393">
        <f t="shared" si="8"/>
        <v>44451</v>
      </c>
      <c r="L1604" s="394" t="str">
        <f>IFERROR(__xludf.DUMMYFUNCTION("JOIN("""", G1604:H1604)"),"")</f>
        <v/>
      </c>
      <c r="M1604" s="80" t="str">
        <f t="shared" si="2"/>
        <v/>
      </c>
    </row>
    <row r="1605">
      <c r="A1605" s="86"/>
      <c r="B1605" s="73"/>
      <c r="C1605" s="73"/>
      <c r="D1605" s="73"/>
      <c r="E1605" s="88"/>
      <c r="F1605" s="73"/>
      <c r="G1605" s="394"/>
      <c r="H1605" s="77"/>
      <c r="I1605" s="88"/>
      <c r="J1605" s="393">
        <v>44450.0</v>
      </c>
      <c r="K1605" s="393">
        <f t="shared" si="8"/>
        <v>44451</v>
      </c>
      <c r="L1605" s="394" t="str">
        <f>IFERROR(__xludf.DUMMYFUNCTION("JOIN("""", G1605:H1605)"),"")</f>
        <v/>
      </c>
      <c r="M1605" s="80" t="str">
        <f t="shared" si="2"/>
        <v/>
      </c>
    </row>
    <row r="1606">
      <c r="A1606" s="86"/>
      <c r="B1606" s="73"/>
      <c r="C1606" s="73"/>
      <c r="D1606" s="73"/>
      <c r="E1606" s="88"/>
      <c r="F1606" s="73"/>
      <c r="G1606" s="394"/>
      <c r="H1606" s="77"/>
      <c r="I1606" s="88"/>
      <c r="J1606" s="393">
        <v>44450.0</v>
      </c>
      <c r="K1606" s="393">
        <f t="shared" si="8"/>
        <v>44451</v>
      </c>
      <c r="L1606" s="394" t="str">
        <f>IFERROR(__xludf.DUMMYFUNCTION("JOIN("""", G1606:H1606)"),"")</f>
        <v/>
      </c>
      <c r="M1606" s="80" t="str">
        <f t="shared" si="2"/>
        <v/>
      </c>
    </row>
    <row r="1607">
      <c r="A1607" s="86"/>
      <c r="B1607" s="73"/>
      <c r="C1607" s="73"/>
      <c r="D1607" s="73"/>
      <c r="E1607" s="88"/>
      <c r="F1607" s="73"/>
      <c r="G1607" s="394"/>
      <c r="H1607" s="77"/>
      <c r="I1607" s="88"/>
      <c r="J1607" s="393">
        <v>44450.0</v>
      </c>
      <c r="K1607" s="393">
        <f t="shared" si="8"/>
        <v>44451</v>
      </c>
      <c r="L1607" s="394" t="str">
        <f>IFERROR(__xludf.DUMMYFUNCTION("JOIN("""", G1607:H1607)"),"")</f>
        <v/>
      </c>
      <c r="M1607" s="80" t="str">
        <f t="shared" si="2"/>
        <v/>
      </c>
    </row>
    <row r="1608">
      <c r="A1608" s="86"/>
      <c r="B1608" s="73"/>
      <c r="C1608" s="73"/>
      <c r="D1608" s="73"/>
      <c r="E1608" s="88"/>
      <c r="F1608" s="73"/>
      <c r="G1608" s="394"/>
      <c r="H1608" s="77"/>
      <c r="I1608" s="88"/>
      <c r="J1608" s="405">
        <v>44450.0</v>
      </c>
      <c r="K1608" s="393">
        <f t="shared" si="8"/>
        <v>44451</v>
      </c>
      <c r="L1608" s="394" t="str">
        <f>IFERROR(__xludf.DUMMYFUNCTION("JOIN("""", G1608:H1608)"),"")</f>
        <v/>
      </c>
      <c r="M1608" s="80" t="str">
        <f t="shared" si="2"/>
        <v/>
      </c>
    </row>
    <row r="1609">
      <c r="A1609" s="86"/>
      <c r="B1609" s="73"/>
      <c r="C1609" s="73"/>
      <c r="D1609" s="73"/>
      <c r="E1609" s="88"/>
      <c r="F1609" s="73"/>
      <c r="G1609" s="394"/>
      <c r="H1609" s="77"/>
      <c r="I1609" s="88"/>
      <c r="J1609" s="393">
        <v>44452.0</v>
      </c>
      <c r="K1609" s="393">
        <f t="shared" si="8"/>
        <v>44453</v>
      </c>
      <c r="L1609" s="394" t="str">
        <f>IFERROR(__xludf.DUMMYFUNCTION("JOIN("""", G1609:H1609)"),"")</f>
        <v/>
      </c>
      <c r="M1609" s="80" t="str">
        <f t="shared" si="2"/>
        <v/>
      </c>
    </row>
    <row r="1610">
      <c r="A1610" s="86"/>
      <c r="B1610" s="73"/>
      <c r="C1610" s="73"/>
      <c r="D1610" s="73"/>
      <c r="E1610" s="88"/>
      <c r="F1610" s="73"/>
      <c r="G1610" s="394"/>
      <c r="H1610" s="77"/>
      <c r="I1610" s="88"/>
      <c r="J1610" s="393">
        <v>44452.0</v>
      </c>
      <c r="K1610" s="393">
        <f t="shared" si="8"/>
        <v>44453</v>
      </c>
      <c r="L1610" s="394" t="str">
        <f>IFERROR(__xludf.DUMMYFUNCTION("JOIN("""", G1610:H1610)"),"")</f>
        <v/>
      </c>
      <c r="M1610" s="80" t="str">
        <f t="shared" si="2"/>
        <v/>
      </c>
    </row>
    <row r="1611">
      <c r="A1611" s="86"/>
      <c r="B1611" s="73"/>
      <c r="C1611" s="73"/>
      <c r="D1611" s="73"/>
      <c r="E1611" s="88"/>
      <c r="F1611" s="73"/>
      <c r="G1611" s="394"/>
      <c r="H1611" s="77"/>
      <c r="I1611" s="88"/>
      <c r="J1611" s="393">
        <v>44452.0</v>
      </c>
      <c r="K1611" s="393">
        <f t="shared" si="8"/>
        <v>44453</v>
      </c>
      <c r="L1611" s="394" t="str">
        <f>IFERROR(__xludf.DUMMYFUNCTION("JOIN("""", G1611:H1611)"),"")</f>
        <v/>
      </c>
      <c r="M1611" s="80" t="str">
        <f t="shared" si="2"/>
        <v/>
      </c>
    </row>
    <row r="1612">
      <c r="A1612" s="86"/>
      <c r="B1612" s="73"/>
      <c r="C1612" s="73"/>
      <c r="D1612" s="73"/>
      <c r="E1612" s="88"/>
      <c r="F1612" s="73"/>
      <c r="G1612" s="394"/>
      <c r="H1612" s="77"/>
      <c r="I1612" s="88"/>
      <c r="J1612" s="393">
        <v>44452.0</v>
      </c>
      <c r="K1612" s="393">
        <f t="shared" si="8"/>
        <v>44453</v>
      </c>
      <c r="L1612" s="394" t="str">
        <f>IFERROR(__xludf.DUMMYFUNCTION("JOIN("""", G1612:H1612)"),"")</f>
        <v/>
      </c>
      <c r="M1612" s="80" t="str">
        <f t="shared" si="2"/>
        <v/>
      </c>
    </row>
    <row r="1613">
      <c r="A1613" s="86"/>
      <c r="B1613" s="73"/>
      <c r="C1613" s="73"/>
      <c r="D1613" s="73"/>
      <c r="E1613" s="88"/>
      <c r="F1613" s="73"/>
      <c r="G1613" s="394"/>
      <c r="H1613" s="77"/>
      <c r="I1613" s="88"/>
      <c r="J1613" s="393">
        <v>44452.0</v>
      </c>
      <c r="K1613" s="393">
        <f t="shared" si="8"/>
        <v>44453</v>
      </c>
      <c r="L1613" s="394" t="str">
        <f>IFERROR(__xludf.DUMMYFUNCTION("JOIN("""", G1613:H1613)"),"")</f>
        <v/>
      </c>
      <c r="M1613" s="80" t="str">
        <f t="shared" si="2"/>
        <v/>
      </c>
    </row>
    <row r="1614">
      <c r="A1614" s="86"/>
      <c r="B1614" s="73"/>
      <c r="C1614" s="73"/>
      <c r="D1614" s="73"/>
      <c r="E1614" s="88"/>
      <c r="F1614" s="73"/>
      <c r="G1614" s="394"/>
      <c r="H1614" s="77"/>
      <c r="I1614" s="88"/>
      <c r="J1614" s="393">
        <v>44452.0</v>
      </c>
      <c r="K1614" s="393">
        <f t="shared" si="8"/>
        <v>44453</v>
      </c>
      <c r="L1614" s="394" t="str">
        <f>IFERROR(__xludf.DUMMYFUNCTION("JOIN("""", G1614:H1614)"),"")</f>
        <v/>
      </c>
      <c r="M1614" s="80" t="str">
        <f t="shared" si="2"/>
        <v/>
      </c>
    </row>
    <row r="1615">
      <c r="A1615" s="86"/>
      <c r="B1615" s="73"/>
      <c r="C1615" s="73"/>
      <c r="D1615" s="73"/>
      <c r="E1615" s="88"/>
      <c r="F1615" s="73"/>
      <c r="G1615" s="394"/>
      <c r="H1615" s="77"/>
      <c r="I1615" s="88"/>
      <c r="J1615" s="393">
        <v>44452.0</v>
      </c>
      <c r="K1615" s="393">
        <f t="shared" si="8"/>
        <v>44453</v>
      </c>
      <c r="L1615" s="394" t="str">
        <f>IFERROR(__xludf.DUMMYFUNCTION("JOIN("""", G1615:H1615)"),"")</f>
        <v/>
      </c>
      <c r="M1615" s="80" t="str">
        <f t="shared" si="2"/>
        <v/>
      </c>
    </row>
    <row r="1616">
      <c r="A1616" s="86"/>
      <c r="B1616" s="73"/>
      <c r="C1616" s="73"/>
      <c r="D1616" s="73"/>
      <c r="E1616" s="88"/>
      <c r="F1616" s="73"/>
      <c r="G1616" s="394"/>
      <c r="H1616" s="77"/>
      <c r="I1616" s="88"/>
      <c r="J1616" s="393">
        <v>44475.0</v>
      </c>
      <c r="K1616" s="393">
        <f t="shared" si="8"/>
        <v>44476</v>
      </c>
      <c r="L1616" s="394" t="str">
        <f>IFERROR(__xludf.DUMMYFUNCTION("JOIN("""", G1616:H1616)"),"")</f>
        <v/>
      </c>
      <c r="M1616" s="80" t="str">
        <f t="shared" si="2"/>
        <v/>
      </c>
    </row>
    <row r="1617">
      <c r="A1617" s="86"/>
      <c r="B1617" s="73"/>
      <c r="C1617" s="73"/>
      <c r="D1617" s="73"/>
      <c r="E1617" s="88"/>
      <c r="F1617" s="73"/>
      <c r="G1617" s="394"/>
      <c r="H1617" s="77"/>
      <c r="I1617" s="88"/>
      <c r="J1617" s="393">
        <v>44452.0</v>
      </c>
      <c r="K1617" s="393">
        <f t="shared" si="8"/>
        <v>44453</v>
      </c>
      <c r="L1617" s="394" t="str">
        <f>IFERROR(__xludf.DUMMYFUNCTION("JOIN("""", G1617:H1617)"),"")</f>
        <v/>
      </c>
      <c r="M1617" s="80" t="str">
        <f t="shared" si="2"/>
        <v/>
      </c>
    </row>
    <row r="1618">
      <c r="A1618" s="86"/>
      <c r="B1618" s="73"/>
      <c r="C1618" s="73"/>
      <c r="D1618" s="73"/>
      <c r="E1618" s="88"/>
      <c r="F1618" s="73"/>
      <c r="G1618" s="394"/>
      <c r="H1618" s="77"/>
      <c r="I1618" s="88"/>
      <c r="J1618" s="393">
        <v>44453.0</v>
      </c>
      <c r="K1618" s="393">
        <f t="shared" si="8"/>
        <v>44454</v>
      </c>
      <c r="L1618" s="394" t="str">
        <f>IFERROR(__xludf.DUMMYFUNCTION("JOIN("""", G1618:H1618)"),"")</f>
        <v/>
      </c>
      <c r="M1618" s="80" t="str">
        <f t="shared" si="2"/>
        <v/>
      </c>
    </row>
    <row r="1619">
      <c r="A1619" s="86"/>
      <c r="B1619" s="73"/>
      <c r="C1619" s="73"/>
      <c r="D1619" s="73"/>
      <c r="E1619" s="88"/>
      <c r="F1619" s="73"/>
      <c r="G1619" s="394"/>
      <c r="H1619" s="77"/>
      <c r="I1619" s="88"/>
      <c r="J1619" s="393">
        <v>44453.0</v>
      </c>
      <c r="K1619" s="393">
        <f t="shared" si="8"/>
        <v>44454</v>
      </c>
      <c r="L1619" s="394" t="str">
        <f>IFERROR(__xludf.DUMMYFUNCTION("JOIN("""", G1619:H1619)"),"")</f>
        <v/>
      </c>
      <c r="M1619" s="80" t="str">
        <f t="shared" si="2"/>
        <v/>
      </c>
    </row>
    <row r="1620">
      <c r="A1620" s="86"/>
      <c r="B1620" s="73"/>
      <c r="C1620" s="73"/>
      <c r="D1620" s="73"/>
      <c r="E1620" s="88"/>
      <c r="F1620" s="73"/>
      <c r="G1620" s="394"/>
      <c r="H1620" s="73"/>
      <c r="I1620" s="88"/>
      <c r="J1620" s="393">
        <v>44453.0</v>
      </c>
      <c r="K1620" s="393">
        <f t="shared" si="8"/>
        <v>44454</v>
      </c>
      <c r="L1620" s="394" t="str">
        <f>IFERROR(__xludf.DUMMYFUNCTION("JOIN("""", G1620:H1620)"),"")</f>
        <v/>
      </c>
      <c r="M1620" s="80" t="str">
        <f t="shared" si="2"/>
        <v/>
      </c>
    </row>
    <row r="1621">
      <c r="A1621" s="86"/>
      <c r="B1621" s="73"/>
      <c r="C1621" s="73"/>
      <c r="D1621" s="73"/>
      <c r="E1621" s="88"/>
      <c r="F1621" s="73"/>
      <c r="G1621" s="394"/>
      <c r="H1621" s="77"/>
      <c r="I1621" s="88"/>
      <c r="J1621" s="393">
        <v>44453.0</v>
      </c>
      <c r="K1621" s="393">
        <f t="shared" si="8"/>
        <v>44454</v>
      </c>
      <c r="L1621" s="394" t="str">
        <f>IFERROR(__xludf.DUMMYFUNCTION("JOIN("""", G1621:H1621)"),"")</f>
        <v/>
      </c>
      <c r="M1621" s="80" t="str">
        <f t="shared" si="2"/>
        <v/>
      </c>
    </row>
    <row r="1622">
      <c r="A1622" s="86"/>
      <c r="B1622" s="73"/>
      <c r="C1622" s="73"/>
      <c r="D1622" s="73"/>
      <c r="E1622" s="88"/>
      <c r="F1622" s="73"/>
      <c r="G1622" s="394"/>
      <c r="H1622" s="77"/>
      <c r="I1622" s="88"/>
      <c r="J1622" s="393">
        <v>44453.0</v>
      </c>
      <c r="K1622" s="393">
        <f t="shared" si="8"/>
        <v>44454</v>
      </c>
      <c r="L1622" s="394" t="str">
        <f>IFERROR(__xludf.DUMMYFUNCTION("JOIN("""", G1622:H1622)"),"")</f>
        <v/>
      </c>
      <c r="M1622" s="80" t="str">
        <f t="shared" si="2"/>
        <v/>
      </c>
    </row>
    <row r="1623">
      <c r="A1623" s="86"/>
      <c r="B1623" s="73"/>
      <c r="C1623" s="73"/>
      <c r="D1623" s="73"/>
      <c r="E1623" s="88"/>
      <c r="F1623" s="73"/>
      <c r="G1623" s="394"/>
      <c r="H1623" s="77"/>
      <c r="I1623" s="88"/>
      <c r="J1623" s="393">
        <v>44453.0</v>
      </c>
      <c r="K1623" s="393">
        <f t="shared" si="8"/>
        <v>44454</v>
      </c>
      <c r="L1623" s="394" t="str">
        <f>IFERROR(__xludf.DUMMYFUNCTION("JOIN("""", G1623:H1623)"),"")</f>
        <v/>
      </c>
      <c r="M1623" s="80" t="str">
        <f t="shared" si="2"/>
        <v/>
      </c>
    </row>
    <row r="1624">
      <c r="A1624" s="86"/>
      <c r="B1624" s="73"/>
      <c r="C1624" s="73"/>
      <c r="D1624" s="73"/>
      <c r="E1624" s="88"/>
      <c r="F1624" s="73"/>
      <c r="G1624" s="394"/>
      <c r="H1624" s="77"/>
      <c r="I1624" s="88"/>
      <c r="J1624" s="393">
        <v>44453.0</v>
      </c>
      <c r="K1624" s="393">
        <f t="shared" si="8"/>
        <v>44454</v>
      </c>
      <c r="L1624" s="394" t="str">
        <f>IFERROR(__xludf.DUMMYFUNCTION("JOIN("""", G1624:H1624)"),"")</f>
        <v/>
      </c>
      <c r="M1624" s="80" t="str">
        <f t="shared" si="2"/>
        <v/>
      </c>
    </row>
    <row r="1625">
      <c r="A1625" s="86"/>
      <c r="B1625" s="88"/>
      <c r="C1625" s="88"/>
      <c r="D1625" s="73"/>
      <c r="E1625" s="88"/>
      <c r="F1625" s="73"/>
      <c r="G1625" s="394"/>
      <c r="H1625" s="86"/>
      <c r="I1625" s="88"/>
      <c r="J1625" s="393">
        <v>44454.0</v>
      </c>
      <c r="K1625" s="393">
        <f t="shared" si="8"/>
        <v>44455</v>
      </c>
      <c r="L1625" s="394" t="str">
        <f>IFERROR(__xludf.DUMMYFUNCTION("JOIN("""", G1625:H1625)"),"")</f>
        <v/>
      </c>
      <c r="M1625" s="80" t="str">
        <f t="shared" si="2"/>
        <v/>
      </c>
    </row>
    <row r="1626">
      <c r="A1626" s="86"/>
      <c r="B1626" s="88"/>
      <c r="C1626" s="88"/>
      <c r="D1626" s="73"/>
      <c r="E1626" s="88"/>
      <c r="F1626" s="73"/>
      <c r="G1626" s="394"/>
      <c r="H1626" s="86"/>
      <c r="I1626" s="88"/>
      <c r="J1626" s="393">
        <v>44455.0</v>
      </c>
      <c r="K1626" s="393">
        <f t="shared" si="8"/>
        <v>44456</v>
      </c>
      <c r="L1626" s="394" t="str">
        <f>IFERROR(__xludf.DUMMYFUNCTION("JOIN("""", G1626:H1626)"),"")</f>
        <v/>
      </c>
      <c r="M1626" s="80" t="str">
        <f t="shared" si="2"/>
        <v/>
      </c>
    </row>
    <row r="1627">
      <c r="A1627" s="86"/>
      <c r="B1627" s="88"/>
      <c r="C1627" s="88"/>
      <c r="D1627" s="73"/>
      <c r="E1627" s="88"/>
      <c r="F1627" s="73"/>
      <c r="G1627" s="394"/>
      <c r="H1627" s="86"/>
      <c r="I1627" s="88"/>
      <c r="J1627" s="393">
        <v>44455.0</v>
      </c>
      <c r="K1627" s="393">
        <f t="shared" si="8"/>
        <v>44456</v>
      </c>
      <c r="L1627" s="394" t="str">
        <f>IFERROR(__xludf.DUMMYFUNCTION("JOIN("""", G1627:H1627)"),"")</f>
        <v/>
      </c>
      <c r="M1627" s="80" t="str">
        <f t="shared" si="2"/>
        <v/>
      </c>
    </row>
    <row r="1628">
      <c r="A1628" s="86"/>
      <c r="B1628" s="88"/>
      <c r="C1628" s="88"/>
      <c r="D1628" s="73"/>
      <c r="E1628" s="88"/>
      <c r="F1628" s="73"/>
      <c r="G1628" s="394"/>
      <c r="H1628" s="86"/>
      <c r="I1628" s="88"/>
      <c r="J1628" s="393">
        <v>44455.0</v>
      </c>
      <c r="K1628" s="393">
        <f t="shared" si="8"/>
        <v>44456</v>
      </c>
      <c r="L1628" s="394" t="str">
        <f>IFERROR(__xludf.DUMMYFUNCTION("JOIN("""", G1628:H1628)"),"")</f>
        <v/>
      </c>
      <c r="M1628" s="80" t="str">
        <f t="shared" si="2"/>
        <v/>
      </c>
    </row>
    <row r="1629">
      <c r="A1629" s="86"/>
      <c r="B1629" s="88"/>
      <c r="C1629" s="88"/>
      <c r="D1629" s="73"/>
      <c r="E1629" s="88"/>
      <c r="F1629" s="73"/>
      <c r="G1629" s="394"/>
      <c r="H1629" s="86"/>
      <c r="I1629" s="88"/>
      <c r="J1629" s="393">
        <v>44455.0</v>
      </c>
      <c r="K1629" s="393">
        <f t="shared" si="8"/>
        <v>44456</v>
      </c>
      <c r="L1629" s="394" t="str">
        <f>IFERROR(__xludf.DUMMYFUNCTION("JOIN("""", G1629:H1629)"),"")</f>
        <v/>
      </c>
      <c r="M1629" s="80" t="str">
        <f t="shared" si="2"/>
        <v/>
      </c>
    </row>
    <row r="1630">
      <c r="A1630" s="86"/>
      <c r="B1630" s="88"/>
      <c r="C1630" s="88"/>
      <c r="D1630" s="73"/>
      <c r="E1630" s="88"/>
      <c r="F1630" s="73"/>
      <c r="G1630" s="394"/>
      <c r="H1630" s="86"/>
      <c r="I1630" s="88"/>
      <c r="J1630" s="393">
        <v>44455.0</v>
      </c>
      <c r="K1630" s="393">
        <f t="shared" si="8"/>
        <v>44456</v>
      </c>
      <c r="L1630" s="394" t="str">
        <f>IFERROR(__xludf.DUMMYFUNCTION("JOIN("""", G1630:H1630)"),"")</f>
        <v/>
      </c>
      <c r="M1630" s="80" t="str">
        <f t="shared" si="2"/>
        <v/>
      </c>
    </row>
    <row r="1631">
      <c r="A1631" s="86"/>
      <c r="B1631" s="88"/>
      <c r="C1631" s="88"/>
      <c r="D1631" s="73"/>
      <c r="E1631" s="88"/>
      <c r="F1631" s="73"/>
      <c r="G1631" s="394"/>
      <c r="H1631" s="86"/>
      <c r="I1631" s="88"/>
      <c r="J1631" s="393">
        <v>44455.0</v>
      </c>
      <c r="K1631" s="393">
        <f t="shared" si="8"/>
        <v>44456</v>
      </c>
      <c r="L1631" s="394" t="str">
        <f>IFERROR(__xludf.DUMMYFUNCTION("JOIN("""", G1631:H1631)"),"")</f>
        <v/>
      </c>
      <c r="M1631" s="80" t="str">
        <f t="shared" si="2"/>
        <v/>
      </c>
    </row>
    <row r="1632">
      <c r="A1632" s="86"/>
      <c r="B1632" s="73"/>
      <c r="C1632" s="73"/>
      <c r="D1632" s="73"/>
      <c r="E1632" s="88"/>
      <c r="F1632" s="73"/>
      <c r="G1632" s="394"/>
      <c r="H1632" s="77"/>
      <c r="I1632" s="88"/>
      <c r="J1632" s="393">
        <v>44456.0</v>
      </c>
      <c r="K1632" s="393">
        <f t="shared" si="8"/>
        <v>44457</v>
      </c>
      <c r="L1632" s="394" t="str">
        <f>IFERROR(__xludf.DUMMYFUNCTION("JOIN("""", G1632:H1632)"),"")</f>
        <v/>
      </c>
      <c r="M1632" s="80" t="str">
        <f t="shared" si="2"/>
        <v/>
      </c>
    </row>
    <row r="1633">
      <c r="A1633" s="86"/>
      <c r="B1633" s="73"/>
      <c r="C1633" s="73"/>
      <c r="D1633" s="73"/>
      <c r="E1633" s="88"/>
      <c r="F1633" s="73"/>
      <c r="G1633" s="394"/>
      <c r="H1633" s="77"/>
      <c r="I1633" s="88"/>
      <c r="J1633" s="393">
        <v>44456.0</v>
      </c>
      <c r="K1633" s="393">
        <f t="shared" si="8"/>
        <v>44457</v>
      </c>
      <c r="L1633" s="394" t="str">
        <f>IFERROR(__xludf.DUMMYFUNCTION("JOIN("""", G1633:H1633)"),"")</f>
        <v/>
      </c>
      <c r="M1633" s="80" t="str">
        <f t="shared" si="2"/>
        <v/>
      </c>
    </row>
    <row r="1634">
      <c r="A1634" s="86"/>
      <c r="B1634" s="73"/>
      <c r="C1634" s="73"/>
      <c r="D1634" s="73"/>
      <c r="E1634" s="88"/>
      <c r="F1634" s="73"/>
      <c r="G1634" s="394"/>
      <c r="H1634" s="77"/>
      <c r="I1634" s="88"/>
      <c r="J1634" s="405">
        <v>44461.0</v>
      </c>
      <c r="K1634" s="393">
        <f t="shared" si="8"/>
        <v>44462</v>
      </c>
      <c r="L1634" s="394" t="str">
        <f>IFERROR(__xludf.DUMMYFUNCTION("JOIN("""", G1634:H1634)"),"")</f>
        <v/>
      </c>
      <c r="M1634" s="80" t="str">
        <f t="shared" si="2"/>
        <v/>
      </c>
    </row>
    <row r="1635">
      <c r="A1635" s="86"/>
      <c r="B1635" s="73"/>
      <c r="C1635" s="73"/>
      <c r="D1635" s="73"/>
      <c r="E1635" s="88"/>
      <c r="F1635" s="73"/>
      <c r="G1635" s="394"/>
      <c r="H1635" s="77"/>
      <c r="I1635" s="88"/>
      <c r="J1635" s="393">
        <v>44456.0</v>
      </c>
      <c r="K1635" s="393">
        <f t="shared" si="8"/>
        <v>44457</v>
      </c>
      <c r="L1635" s="394" t="str">
        <f>IFERROR(__xludf.DUMMYFUNCTION("JOIN("""", G1635:H1635)"),"")</f>
        <v/>
      </c>
      <c r="M1635" s="80" t="str">
        <f t="shared" si="2"/>
        <v/>
      </c>
    </row>
    <row r="1636">
      <c r="A1636" s="86"/>
      <c r="B1636" s="73"/>
      <c r="C1636" s="73"/>
      <c r="D1636" s="73"/>
      <c r="E1636" s="88"/>
      <c r="F1636" s="73"/>
      <c r="G1636" s="394"/>
      <c r="H1636" s="77"/>
      <c r="I1636" s="88"/>
      <c r="J1636" s="393">
        <v>44456.0</v>
      </c>
      <c r="K1636" s="393">
        <f t="shared" si="8"/>
        <v>44457</v>
      </c>
      <c r="L1636" s="394" t="str">
        <f>IFERROR(__xludf.DUMMYFUNCTION("JOIN("""", G1636:H1636)"),"")</f>
        <v/>
      </c>
      <c r="M1636" s="80" t="str">
        <f t="shared" si="2"/>
        <v/>
      </c>
    </row>
    <row r="1637">
      <c r="A1637" s="86"/>
      <c r="B1637" s="73"/>
      <c r="C1637" s="73"/>
      <c r="D1637" s="73"/>
      <c r="E1637" s="88"/>
      <c r="F1637" s="73"/>
      <c r="G1637" s="394"/>
      <c r="H1637" s="77"/>
      <c r="I1637" s="88"/>
      <c r="J1637" s="393">
        <v>44457.0</v>
      </c>
      <c r="K1637" s="393">
        <f t="shared" si="8"/>
        <v>44458</v>
      </c>
      <c r="L1637" s="394" t="str">
        <f>IFERROR(__xludf.DUMMYFUNCTION("JOIN("""", G1637:H1637)"),"")</f>
        <v/>
      </c>
      <c r="M1637" s="80" t="str">
        <f t="shared" si="2"/>
        <v/>
      </c>
    </row>
    <row r="1638">
      <c r="A1638" s="86"/>
      <c r="B1638" s="73"/>
      <c r="C1638" s="73"/>
      <c r="D1638" s="73"/>
      <c r="E1638" s="88"/>
      <c r="F1638" s="73"/>
      <c r="G1638" s="394"/>
      <c r="H1638" s="77"/>
      <c r="I1638" s="88"/>
      <c r="J1638" s="393">
        <v>44457.0</v>
      </c>
      <c r="K1638" s="393">
        <f t="shared" si="8"/>
        <v>44458</v>
      </c>
      <c r="L1638" s="394" t="str">
        <f>IFERROR(__xludf.DUMMYFUNCTION("JOIN("""", G1638:H1638)"),"")</f>
        <v/>
      </c>
      <c r="M1638" s="80" t="str">
        <f t="shared" si="2"/>
        <v/>
      </c>
    </row>
    <row r="1639">
      <c r="A1639" s="86"/>
      <c r="B1639" s="73"/>
      <c r="C1639" s="73"/>
      <c r="D1639" s="73"/>
      <c r="E1639" s="88"/>
      <c r="F1639" s="73"/>
      <c r="G1639" s="394"/>
      <c r="H1639" s="77"/>
      <c r="I1639" s="88"/>
      <c r="J1639" s="393">
        <v>44457.0</v>
      </c>
      <c r="K1639" s="393">
        <f t="shared" si="8"/>
        <v>44458</v>
      </c>
      <c r="L1639" s="394" t="str">
        <f>IFERROR(__xludf.DUMMYFUNCTION("JOIN("""", G1639:H1639)"),"")</f>
        <v/>
      </c>
      <c r="M1639" s="80" t="str">
        <f t="shared" si="2"/>
        <v/>
      </c>
    </row>
    <row r="1640">
      <c r="A1640" s="86"/>
      <c r="B1640" s="73"/>
      <c r="C1640" s="73"/>
      <c r="D1640" s="73"/>
      <c r="E1640" s="88"/>
      <c r="F1640" s="73"/>
      <c r="G1640" s="394"/>
      <c r="H1640" s="77"/>
      <c r="I1640" s="88"/>
      <c r="J1640" s="393">
        <v>44457.0</v>
      </c>
      <c r="K1640" s="393">
        <f t="shared" si="8"/>
        <v>44458</v>
      </c>
      <c r="L1640" s="394" t="str">
        <f>IFERROR(__xludf.DUMMYFUNCTION("JOIN("""", G1640:H1640)"),"")</f>
        <v/>
      </c>
      <c r="M1640" s="80" t="str">
        <f t="shared" si="2"/>
        <v/>
      </c>
    </row>
    <row r="1641">
      <c r="A1641" s="86"/>
      <c r="B1641" s="73"/>
      <c r="C1641" s="73"/>
      <c r="D1641" s="73"/>
      <c r="E1641" s="88"/>
      <c r="F1641" s="73"/>
      <c r="G1641" s="394"/>
      <c r="H1641" s="77"/>
      <c r="I1641" s="88"/>
      <c r="J1641" s="393">
        <v>44459.0</v>
      </c>
      <c r="K1641" s="393">
        <f t="shared" si="8"/>
        <v>44460</v>
      </c>
      <c r="L1641" s="394" t="str">
        <f>IFERROR(__xludf.DUMMYFUNCTION("JOIN("""", G1641:H1641)"),"")</f>
        <v/>
      </c>
      <c r="M1641" s="80" t="str">
        <f t="shared" si="2"/>
        <v/>
      </c>
    </row>
    <row r="1642">
      <c r="A1642" s="86"/>
      <c r="B1642" s="73"/>
      <c r="C1642" s="73"/>
      <c r="D1642" s="73"/>
      <c r="E1642" s="88"/>
      <c r="F1642" s="73"/>
      <c r="G1642" s="394"/>
      <c r="H1642" s="77"/>
      <c r="I1642" s="88"/>
      <c r="J1642" s="393">
        <v>44460.0</v>
      </c>
      <c r="K1642" s="393">
        <f t="shared" si="8"/>
        <v>44461</v>
      </c>
      <c r="L1642" s="394" t="str">
        <f>IFERROR(__xludf.DUMMYFUNCTION("JOIN("""", G1642:H1642)"),"")</f>
        <v/>
      </c>
      <c r="M1642" s="80" t="str">
        <f t="shared" si="2"/>
        <v/>
      </c>
    </row>
    <row r="1643">
      <c r="A1643" s="86"/>
      <c r="B1643" s="73"/>
      <c r="C1643" s="73"/>
      <c r="D1643" s="73"/>
      <c r="E1643" s="88"/>
      <c r="F1643" s="73"/>
      <c r="G1643" s="394"/>
      <c r="H1643" s="77"/>
      <c r="I1643" s="88"/>
      <c r="J1643" s="393">
        <v>44459.0</v>
      </c>
      <c r="K1643" s="393">
        <f t="shared" si="8"/>
        <v>44460</v>
      </c>
      <c r="L1643" s="394" t="str">
        <f>IFERROR(__xludf.DUMMYFUNCTION("JOIN("""", G1643:H1643)"),"")</f>
        <v/>
      </c>
      <c r="M1643" s="80" t="str">
        <f t="shared" si="2"/>
        <v/>
      </c>
    </row>
    <row r="1644">
      <c r="A1644" s="86"/>
      <c r="B1644" s="73"/>
      <c r="C1644" s="73"/>
      <c r="D1644" s="73"/>
      <c r="E1644" s="88"/>
      <c r="F1644" s="73"/>
      <c r="G1644" s="394"/>
      <c r="H1644" s="77"/>
      <c r="I1644" s="88"/>
      <c r="J1644" s="393">
        <v>44459.0</v>
      </c>
      <c r="K1644" s="393">
        <f t="shared" si="8"/>
        <v>44460</v>
      </c>
      <c r="L1644" s="394" t="str">
        <f>IFERROR(__xludf.DUMMYFUNCTION("JOIN("""", G1644:H1644)"),"")</f>
        <v/>
      </c>
      <c r="M1644" s="80" t="str">
        <f t="shared" si="2"/>
        <v/>
      </c>
    </row>
    <row r="1645">
      <c r="A1645" s="86"/>
      <c r="B1645" s="73"/>
      <c r="C1645" s="73"/>
      <c r="D1645" s="73"/>
      <c r="E1645" s="88"/>
      <c r="F1645" s="73"/>
      <c r="G1645" s="394"/>
      <c r="H1645" s="77"/>
      <c r="I1645" s="88"/>
      <c r="J1645" s="393">
        <v>44459.0</v>
      </c>
      <c r="K1645" s="393">
        <f t="shared" si="8"/>
        <v>44460</v>
      </c>
      <c r="L1645" s="394" t="str">
        <f>IFERROR(__xludf.DUMMYFUNCTION("JOIN("""", G1645:H1645)"),"")</f>
        <v/>
      </c>
      <c r="M1645" s="80" t="str">
        <f t="shared" si="2"/>
        <v/>
      </c>
    </row>
    <row r="1646">
      <c r="A1646" s="86"/>
      <c r="B1646" s="73"/>
      <c r="C1646" s="73"/>
      <c r="D1646" s="73"/>
      <c r="E1646" s="88"/>
      <c r="F1646" s="73"/>
      <c r="G1646" s="394"/>
      <c r="H1646" s="77"/>
      <c r="I1646" s="88"/>
      <c r="J1646" s="393">
        <v>44459.0</v>
      </c>
      <c r="K1646" s="393">
        <f t="shared" si="8"/>
        <v>44460</v>
      </c>
      <c r="L1646" s="394" t="str">
        <f>IFERROR(__xludf.DUMMYFUNCTION("JOIN("""", G1646:H1646)"),"")</f>
        <v/>
      </c>
      <c r="M1646" s="80" t="str">
        <f t="shared" si="2"/>
        <v/>
      </c>
    </row>
    <row r="1647">
      <c r="A1647" s="86"/>
      <c r="B1647" s="73"/>
      <c r="C1647" s="73"/>
      <c r="D1647" s="73"/>
      <c r="E1647" s="88"/>
      <c r="F1647" s="73"/>
      <c r="G1647" s="394"/>
      <c r="H1647" s="77"/>
      <c r="I1647" s="88"/>
      <c r="J1647" s="393">
        <v>44459.0</v>
      </c>
      <c r="K1647" s="393">
        <f t="shared" si="8"/>
        <v>44460</v>
      </c>
      <c r="L1647" s="394" t="str">
        <f>IFERROR(__xludf.DUMMYFUNCTION("JOIN("""", G1647:H1647)"),"")</f>
        <v/>
      </c>
      <c r="M1647" s="80" t="str">
        <f t="shared" si="2"/>
        <v/>
      </c>
    </row>
    <row r="1648">
      <c r="A1648" s="86"/>
      <c r="B1648" s="73"/>
      <c r="C1648" s="73"/>
      <c r="D1648" s="73"/>
      <c r="E1648" s="88"/>
      <c r="F1648" s="73"/>
      <c r="G1648" s="394"/>
      <c r="H1648" s="77"/>
      <c r="I1648" s="88"/>
      <c r="J1648" s="393">
        <v>44459.0</v>
      </c>
      <c r="K1648" s="393">
        <f t="shared" si="8"/>
        <v>44460</v>
      </c>
      <c r="L1648" s="394" t="str">
        <f>IFERROR(__xludf.DUMMYFUNCTION("JOIN("""", G1648:H1648)"),"")</f>
        <v/>
      </c>
      <c r="M1648" s="80" t="str">
        <f t="shared" si="2"/>
        <v/>
      </c>
    </row>
    <row r="1649">
      <c r="A1649" s="86"/>
      <c r="B1649" s="73"/>
      <c r="C1649" s="73"/>
      <c r="D1649" s="73"/>
      <c r="E1649" s="88"/>
      <c r="F1649" s="73"/>
      <c r="G1649" s="394"/>
      <c r="H1649" s="77"/>
      <c r="I1649" s="88"/>
      <c r="J1649" s="393">
        <v>44459.0</v>
      </c>
      <c r="K1649" s="393">
        <f t="shared" si="8"/>
        <v>44460</v>
      </c>
      <c r="L1649" s="394" t="str">
        <f>IFERROR(__xludf.DUMMYFUNCTION("JOIN("""", G1649:H1649)"),"")</f>
        <v/>
      </c>
      <c r="M1649" s="80" t="str">
        <f t="shared" si="2"/>
        <v/>
      </c>
    </row>
    <row r="1650">
      <c r="A1650" s="86"/>
      <c r="B1650" s="73"/>
      <c r="C1650" s="73"/>
      <c r="D1650" s="73"/>
      <c r="E1650" s="88"/>
      <c r="F1650" s="73"/>
      <c r="G1650" s="394"/>
      <c r="H1650" s="77"/>
      <c r="I1650" s="88"/>
      <c r="J1650" s="393">
        <v>44459.0</v>
      </c>
      <c r="K1650" s="393">
        <f t="shared" si="8"/>
        <v>44460</v>
      </c>
      <c r="L1650" s="394" t="str">
        <f>IFERROR(__xludf.DUMMYFUNCTION("JOIN("""", G1650:H1650)"),"")</f>
        <v/>
      </c>
      <c r="M1650" s="80" t="str">
        <f t="shared" si="2"/>
        <v/>
      </c>
    </row>
    <row r="1651">
      <c r="A1651" s="86"/>
      <c r="B1651" s="73"/>
      <c r="C1651" s="73"/>
      <c r="D1651" s="73"/>
      <c r="E1651" s="88"/>
      <c r="F1651" s="73"/>
      <c r="G1651" s="394"/>
      <c r="H1651" s="77"/>
      <c r="I1651" s="88"/>
      <c r="J1651" s="393">
        <v>44459.0</v>
      </c>
      <c r="K1651" s="393">
        <f t="shared" si="8"/>
        <v>44460</v>
      </c>
      <c r="L1651" s="394" t="str">
        <f>IFERROR(__xludf.DUMMYFUNCTION("JOIN("""", G1651:H1651)"),"")</f>
        <v/>
      </c>
      <c r="M1651" s="80" t="str">
        <f t="shared" si="2"/>
        <v/>
      </c>
    </row>
    <row r="1652">
      <c r="A1652" s="86"/>
      <c r="B1652" s="73"/>
      <c r="C1652" s="73"/>
      <c r="D1652" s="73"/>
      <c r="E1652" s="88"/>
      <c r="F1652" s="73"/>
      <c r="G1652" s="394"/>
      <c r="H1652" s="77"/>
      <c r="I1652" s="88"/>
      <c r="J1652" s="393">
        <v>44459.0</v>
      </c>
      <c r="K1652" s="393">
        <f t="shared" si="8"/>
        <v>44460</v>
      </c>
      <c r="L1652" s="394" t="str">
        <f>IFERROR(__xludf.DUMMYFUNCTION("JOIN("""", G1652:H1652)"),"")</f>
        <v/>
      </c>
      <c r="M1652" s="80" t="str">
        <f t="shared" si="2"/>
        <v/>
      </c>
    </row>
    <row r="1653">
      <c r="A1653" s="86"/>
      <c r="B1653" s="73"/>
      <c r="C1653" s="73"/>
      <c r="D1653" s="73"/>
      <c r="E1653" s="88"/>
      <c r="F1653" s="73"/>
      <c r="G1653" s="394"/>
      <c r="H1653" s="77"/>
      <c r="I1653" s="88"/>
      <c r="J1653" s="393">
        <v>44460.0</v>
      </c>
      <c r="K1653" s="393">
        <f t="shared" si="8"/>
        <v>44461</v>
      </c>
      <c r="L1653" s="394" t="str">
        <f>IFERROR(__xludf.DUMMYFUNCTION("JOIN("""", G1653:H1653)"),"")</f>
        <v/>
      </c>
      <c r="M1653" s="80" t="str">
        <f t="shared" si="2"/>
        <v/>
      </c>
    </row>
    <row r="1654">
      <c r="A1654" s="86"/>
      <c r="B1654" s="73"/>
      <c r="C1654" s="73"/>
      <c r="D1654" s="73"/>
      <c r="E1654" s="88"/>
      <c r="F1654" s="73"/>
      <c r="G1654" s="394"/>
      <c r="H1654" s="77"/>
      <c r="I1654" s="88"/>
      <c r="J1654" s="393">
        <v>44460.0</v>
      </c>
      <c r="K1654" s="393">
        <f t="shared" si="8"/>
        <v>44461</v>
      </c>
      <c r="L1654" s="394" t="str">
        <f>IFERROR(__xludf.DUMMYFUNCTION("JOIN("""", G1654:H1654)"),"")</f>
        <v/>
      </c>
      <c r="M1654" s="80" t="str">
        <f t="shared" si="2"/>
        <v/>
      </c>
    </row>
    <row r="1655">
      <c r="A1655" s="86"/>
      <c r="B1655" s="73"/>
      <c r="C1655" s="73"/>
      <c r="D1655" s="73"/>
      <c r="E1655" s="88"/>
      <c r="F1655" s="73"/>
      <c r="G1655" s="394"/>
      <c r="H1655" s="77"/>
      <c r="I1655" s="88"/>
      <c r="J1655" s="393">
        <v>44460.0</v>
      </c>
      <c r="K1655" s="393">
        <f t="shared" si="8"/>
        <v>44461</v>
      </c>
      <c r="L1655" s="394" t="str">
        <f>IFERROR(__xludf.DUMMYFUNCTION("JOIN("""", G1655:H1655)"),"")</f>
        <v/>
      </c>
      <c r="M1655" s="80" t="str">
        <f t="shared" si="2"/>
        <v/>
      </c>
    </row>
    <row r="1656">
      <c r="A1656" s="86"/>
      <c r="B1656" s="73"/>
      <c r="C1656" s="73"/>
      <c r="D1656" s="73"/>
      <c r="E1656" s="88"/>
      <c r="F1656" s="73"/>
      <c r="G1656" s="394"/>
      <c r="H1656" s="77"/>
      <c r="I1656" s="88"/>
      <c r="J1656" s="393">
        <v>44460.0</v>
      </c>
      <c r="K1656" s="393">
        <f t="shared" si="8"/>
        <v>44461</v>
      </c>
      <c r="L1656" s="394" t="str">
        <f>IFERROR(__xludf.DUMMYFUNCTION("JOIN("""", G1656:H1656)"),"")</f>
        <v/>
      </c>
      <c r="M1656" s="80" t="str">
        <f t="shared" si="2"/>
        <v/>
      </c>
    </row>
    <row r="1657">
      <c r="A1657" s="86"/>
      <c r="B1657" s="73"/>
      <c r="C1657" s="73"/>
      <c r="D1657" s="73"/>
      <c r="E1657" s="88"/>
      <c r="F1657" s="73"/>
      <c r="G1657" s="394"/>
      <c r="H1657" s="77"/>
      <c r="I1657" s="88"/>
      <c r="J1657" s="393">
        <v>44460.0</v>
      </c>
      <c r="K1657" s="393">
        <f t="shared" si="8"/>
        <v>44461</v>
      </c>
      <c r="L1657" s="394" t="str">
        <f>IFERROR(__xludf.DUMMYFUNCTION("JOIN("""", G1657:H1657)"),"")</f>
        <v/>
      </c>
      <c r="M1657" s="80" t="str">
        <f t="shared" si="2"/>
        <v/>
      </c>
    </row>
    <row r="1658">
      <c r="A1658" s="86"/>
      <c r="B1658" s="73"/>
      <c r="C1658" s="73"/>
      <c r="D1658" s="73"/>
      <c r="E1658" s="88"/>
      <c r="F1658" s="73"/>
      <c r="G1658" s="394"/>
      <c r="H1658" s="77"/>
      <c r="I1658" s="88"/>
      <c r="J1658" s="393">
        <v>44460.0</v>
      </c>
      <c r="K1658" s="393">
        <f t="shared" si="8"/>
        <v>44461</v>
      </c>
      <c r="L1658" s="394" t="str">
        <f>IFERROR(__xludf.DUMMYFUNCTION("JOIN("""", G1658:H1658)"),"")</f>
        <v/>
      </c>
      <c r="M1658" s="80" t="str">
        <f t="shared" si="2"/>
        <v/>
      </c>
    </row>
    <row r="1659">
      <c r="A1659" s="86"/>
      <c r="B1659" s="73"/>
      <c r="C1659" s="73"/>
      <c r="D1659" s="73"/>
      <c r="E1659" s="88"/>
      <c r="F1659" s="73"/>
      <c r="G1659" s="394"/>
      <c r="H1659" s="77"/>
      <c r="I1659" s="88"/>
      <c r="J1659" s="393">
        <v>44460.0</v>
      </c>
      <c r="K1659" s="393">
        <f t="shared" si="8"/>
        <v>44461</v>
      </c>
      <c r="L1659" s="394" t="str">
        <f>IFERROR(__xludf.DUMMYFUNCTION("JOIN("""", G1659:H1659)"),"")</f>
        <v/>
      </c>
      <c r="M1659" s="80" t="str">
        <f t="shared" si="2"/>
        <v/>
      </c>
    </row>
    <row r="1660">
      <c r="A1660" s="86"/>
      <c r="B1660" s="73"/>
      <c r="C1660" s="73"/>
      <c r="D1660" s="73"/>
      <c r="E1660" s="88"/>
      <c r="F1660" s="73"/>
      <c r="G1660" s="394"/>
      <c r="H1660" s="77"/>
      <c r="I1660" s="88"/>
      <c r="J1660" s="393">
        <v>44460.0</v>
      </c>
      <c r="K1660" s="393">
        <f t="shared" si="8"/>
        <v>44461</v>
      </c>
      <c r="L1660" s="394" t="str">
        <f>IFERROR(__xludf.DUMMYFUNCTION("JOIN("""", G1660:H1660)"),"")</f>
        <v/>
      </c>
      <c r="M1660" s="80" t="str">
        <f t="shared" si="2"/>
        <v/>
      </c>
    </row>
    <row r="1661">
      <c r="A1661" s="86"/>
      <c r="B1661" s="73"/>
      <c r="C1661" s="73"/>
      <c r="D1661" s="73"/>
      <c r="E1661" s="88"/>
      <c r="F1661" s="73"/>
      <c r="G1661" s="394"/>
      <c r="H1661" s="77"/>
      <c r="I1661" s="88"/>
      <c r="J1661" s="393">
        <v>44460.0</v>
      </c>
      <c r="K1661" s="393">
        <f t="shared" si="8"/>
        <v>44461</v>
      </c>
      <c r="L1661" s="394" t="str">
        <f>IFERROR(__xludf.DUMMYFUNCTION("JOIN("""", G1661:H1661)"),"")</f>
        <v/>
      </c>
      <c r="M1661" s="80" t="str">
        <f t="shared" si="2"/>
        <v/>
      </c>
    </row>
    <row r="1662">
      <c r="A1662" s="86"/>
      <c r="B1662" s="73"/>
      <c r="C1662" s="73"/>
      <c r="D1662" s="73"/>
      <c r="E1662" s="88"/>
      <c r="F1662" s="73"/>
      <c r="G1662" s="394"/>
      <c r="H1662" s="77"/>
      <c r="I1662" s="88"/>
      <c r="J1662" s="393">
        <v>44461.0</v>
      </c>
      <c r="K1662" s="393">
        <f t="shared" si="8"/>
        <v>44462</v>
      </c>
      <c r="L1662" s="394" t="str">
        <f>IFERROR(__xludf.DUMMYFUNCTION("JOIN("""", G1662:H1662)"),"")</f>
        <v/>
      </c>
      <c r="M1662" s="80" t="str">
        <f t="shared" si="2"/>
        <v/>
      </c>
    </row>
    <row r="1663">
      <c r="A1663" s="86"/>
      <c r="B1663" s="73"/>
      <c r="C1663" s="73"/>
      <c r="D1663" s="73"/>
      <c r="E1663" s="88"/>
      <c r="F1663" s="73"/>
      <c r="G1663" s="394"/>
      <c r="H1663" s="77"/>
      <c r="I1663" s="88"/>
      <c r="J1663" s="393">
        <v>44461.0</v>
      </c>
      <c r="K1663" s="393">
        <f t="shared" si="8"/>
        <v>44462</v>
      </c>
      <c r="L1663" s="394" t="str">
        <f>IFERROR(__xludf.DUMMYFUNCTION("JOIN("""", G1663:H1663)"),"")</f>
        <v/>
      </c>
      <c r="M1663" s="80" t="str">
        <f t="shared" si="2"/>
        <v/>
      </c>
    </row>
    <row r="1664">
      <c r="A1664" s="86"/>
      <c r="B1664" s="73"/>
      <c r="C1664" s="73"/>
      <c r="D1664" s="73"/>
      <c r="E1664" s="88"/>
      <c r="F1664" s="73"/>
      <c r="G1664" s="394"/>
      <c r="H1664" s="77"/>
      <c r="I1664" s="88"/>
      <c r="J1664" s="393">
        <v>44468.0</v>
      </c>
      <c r="K1664" s="393">
        <f t="shared" si="8"/>
        <v>44469</v>
      </c>
      <c r="L1664" s="394" t="str">
        <f>IFERROR(__xludf.DUMMYFUNCTION("JOIN("""", G1664:H1664)"),"")</f>
        <v/>
      </c>
      <c r="M1664" s="80" t="str">
        <f t="shared" si="2"/>
        <v/>
      </c>
    </row>
    <row r="1665">
      <c r="A1665" s="86"/>
      <c r="B1665" s="73"/>
      <c r="C1665" s="73"/>
      <c r="D1665" s="73"/>
      <c r="E1665" s="88"/>
      <c r="F1665" s="73"/>
      <c r="G1665" s="394"/>
      <c r="H1665" s="77"/>
      <c r="I1665" s="88"/>
      <c r="J1665" s="393">
        <v>44461.0</v>
      </c>
      <c r="K1665" s="393">
        <f t="shared" si="8"/>
        <v>44462</v>
      </c>
      <c r="L1665" s="394" t="str">
        <f>IFERROR(__xludf.DUMMYFUNCTION("JOIN("""", G1665:H1665)"),"")</f>
        <v/>
      </c>
      <c r="M1665" s="80" t="str">
        <f t="shared" si="2"/>
        <v/>
      </c>
    </row>
    <row r="1666">
      <c r="A1666" s="86"/>
      <c r="B1666" s="73"/>
      <c r="C1666" s="73"/>
      <c r="D1666" s="73"/>
      <c r="E1666" s="88"/>
      <c r="F1666" s="73"/>
      <c r="G1666" s="394"/>
      <c r="H1666" s="77"/>
      <c r="I1666" s="88"/>
      <c r="J1666" s="393">
        <v>44462.0</v>
      </c>
      <c r="K1666" s="393">
        <f t="shared" si="8"/>
        <v>44463</v>
      </c>
      <c r="L1666" s="394" t="str">
        <f>IFERROR(__xludf.DUMMYFUNCTION("JOIN("""", G1666:H1666)"),"")</f>
        <v/>
      </c>
      <c r="M1666" s="80" t="str">
        <f t="shared" si="2"/>
        <v/>
      </c>
    </row>
    <row r="1667">
      <c r="A1667" s="86"/>
      <c r="B1667" s="73"/>
      <c r="C1667" s="73"/>
      <c r="D1667" s="73"/>
      <c r="E1667" s="88"/>
      <c r="F1667" s="73"/>
      <c r="G1667" s="394"/>
      <c r="H1667" s="77"/>
      <c r="I1667" s="88"/>
      <c r="J1667" s="393">
        <v>44462.0</v>
      </c>
      <c r="K1667" s="393">
        <f t="shared" si="8"/>
        <v>44463</v>
      </c>
      <c r="L1667" s="394" t="str">
        <f>IFERROR(__xludf.DUMMYFUNCTION("JOIN("""", G1667:H1667)"),"")</f>
        <v/>
      </c>
      <c r="M1667" s="80" t="str">
        <f t="shared" si="2"/>
        <v/>
      </c>
    </row>
    <row r="1668">
      <c r="A1668" s="86"/>
      <c r="B1668" s="73"/>
      <c r="C1668" s="73"/>
      <c r="D1668" s="73"/>
      <c r="E1668" s="88"/>
      <c r="F1668" s="73"/>
      <c r="G1668" s="394"/>
      <c r="H1668" s="77"/>
      <c r="I1668" s="88"/>
      <c r="J1668" s="393">
        <v>44462.0</v>
      </c>
      <c r="K1668" s="393">
        <f t="shared" si="8"/>
        <v>44463</v>
      </c>
      <c r="L1668" s="394" t="str">
        <f>IFERROR(__xludf.DUMMYFUNCTION("JOIN("""", G1668:H1668)"),"")</f>
        <v/>
      </c>
      <c r="M1668" s="80" t="str">
        <f t="shared" si="2"/>
        <v/>
      </c>
    </row>
    <row r="1669">
      <c r="A1669" s="86"/>
      <c r="B1669" s="73"/>
      <c r="C1669" s="73"/>
      <c r="D1669" s="73"/>
      <c r="E1669" s="88"/>
      <c r="F1669" s="73"/>
      <c r="G1669" s="394"/>
      <c r="H1669" s="77"/>
      <c r="I1669" s="88"/>
      <c r="J1669" s="393">
        <v>44462.0</v>
      </c>
      <c r="K1669" s="393">
        <f t="shared" si="8"/>
        <v>44463</v>
      </c>
      <c r="L1669" s="394" t="str">
        <f>IFERROR(__xludf.DUMMYFUNCTION("JOIN("""", G1669:H1669)"),"")</f>
        <v/>
      </c>
      <c r="M1669" s="80" t="str">
        <f t="shared" si="2"/>
        <v/>
      </c>
    </row>
    <row r="1670">
      <c r="A1670" s="86"/>
      <c r="B1670" s="73"/>
      <c r="C1670" s="73"/>
      <c r="D1670" s="73"/>
      <c r="E1670" s="88"/>
      <c r="F1670" s="73"/>
      <c r="G1670" s="394"/>
      <c r="H1670" s="77"/>
      <c r="I1670" s="88"/>
      <c r="J1670" s="393">
        <v>44462.0</v>
      </c>
      <c r="K1670" s="393">
        <f t="shared" si="8"/>
        <v>44463</v>
      </c>
      <c r="L1670" s="394" t="str">
        <f>IFERROR(__xludf.DUMMYFUNCTION("JOIN("""", G1670:H1670)"),"")</f>
        <v/>
      </c>
      <c r="M1670" s="80" t="str">
        <f t="shared" si="2"/>
        <v/>
      </c>
    </row>
    <row r="1671">
      <c r="A1671" s="86"/>
      <c r="B1671" s="73"/>
      <c r="C1671" s="73"/>
      <c r="D1671" s="73"/>
      <c r="E1671" s="88"/>
      <c r="F1671" s="73"/>
      <c r="G1671" s="394"/>
      <c r="H1671" s="77"/>
      <c r="I1671" s="88"/>
      <c r="J1671" s="393">
        <v>44462.0</v>
      </c>
      <c r="K1671" s="393">
        <f t="shared" si="8"/>
        <v>44463</v>
      </c>
      <c r="L1671" s="394" t="str">
        <f>IFERROR(__xludf.DUMMYFUNCTION("JOIN("""", G1671:H1671)"),"")</f>
        <v/>
      </c>
      <c r="M1671" s="80" t="str">
        <f t="shared" si="2"/>
        <v/>
      </c>
    </row>
    <row r="1672">
      <c r="A1672" s="86"/>
      <c r="B1672" s="73"/>
      <c r="C1672" s="73"/>
      <c r="D1672" s="73"/>
      <c r="E1672" s="88"/>
      <c r="F1672" s="73"/>
      <c r="G1672" s="394"/>
      <c r="H1672" s="77"/>
      <c r="I1672" s="88"/>
      <c r="J1672" s="393">
        <v>44463.0</v>
      </c>
      <c r="K1672" s="393">
        <f t="shared" si="8"/>
        <v>44464</v>
      </c>
      <c r="L1672" s="394" t="str">
        <f>IFERROR(__xludf.DUMMYFUNCTION("JOIN("""", G1672:H1672)"),"")</f>
        <v/>
      </c>
      <c r="M1672" s="80" t="str">
        <f t="shared" si="2"/>
        <v/>
      </c>
    </row>
    <row r="1673">
      <c r="A1673" s="86"/>
      <c r="B1673" s="73"/>
      <c r="C1673" s="73"/>
      <c r="D1673" s="73"/>
      <c r="E1673" s="88"/>
      <c r="F1673" s="73"/>
      <c r="G1673" s="394"/>
      <c r="H1673" s="77"/>
      <c r="I1673" s="88"/>
      <c r="J1673" s="393">
        <v>44463.0</v>
      </c>
      <c r="K1673" s="393">
        <f t="shared" si="8"/>
        <v>44464</v>
      </c>
      <c r="L1673" s="394" t="str">
        <f>IFERROR(__xludf.DUMMYFUNCTION("JOIN("""", G1673:H1673)"),"")</f>
        <v/>
      </c>
      <c r="M1673" s="80" t="str">
        <f t="shared" si="2"/>
        <v/>
      </c>
    </row>
    <row r="1674">
      <c r="A1674" s="86"/>
      <c r="B1674" s="73"/>
      <c r="C1674" s="73"/>
      <c r="D1674" s="73"/>
      <c r="E1674" s="88"/>
      <c r="F1674" s="73"/>
      <c r="G1674" s="394"/>
      <c r="H1674" s="77"/>
      <c r="I1674" s="88"/>
      <c r="J1674" s="393">
        <v>44463.0</v>
      </c>
      <c r="K1674" s="393">
        <f t="shared" si="8"/>
        <v>44464</v>
      </c>
      <c r="L1674" s="394" t="str">
        <f>IFERROR(__xludf.DUMMYFUNCTION("JOIN("""", G1674:H1674)"),"")</f>
        <v/>
      </c>
      <c r="M1674" s="80" t="str">
        <f t="shared" si="2"/>
        <v/>
      </c>
    </row>
    <row r="1675">
      <c r="A1675" s="86"/>
      <c r="B1675" s="73"/>
      <c r="C1675" s="73"/>
      <c r="D1675" s="73"/>
      <c r="E1675" s="88"/>
      <c r="F1675" s="73"/>
      <c r="G1675" s="394"/>
      <c r="H1675" s="77"/>
      <c r="I1675" s="88"/>
      <c r="J1675" s="393">
        <v>44464.0</v>
      </c>
      <c r="K1675" s="393">
        <f t="shared" si="8"/>
        <v>44465</v>
      </c>
      <c r="L1675" s="394" t="str">
        <f>IFERROR(__xludf.DUMMYFUNCTION("JOIN("""", G1675:H1675)"),"")</f>
        <v/>
      </c>
      <c r="M1675" s="80" t="str">
        <f t="shared" si="2"/>
        <v/>
      </c>
    </row>
    <row r="1676">
      <c r="A1676" s="86"/>
      <c r="B1676" s="73"/>
      <c r="C1676" s="73"/>
      <c r="D1676" s="73"/>
      <c r="E1676" s="88"/>
      <c r="F1676" s="73"/>
      <c r="G1676" s="394"/>
      <c r="H1676" s="77"/>
      <c r="I1676" s="88"/>
      <c r="J1676" s="393">
        <v>44464.0</v>
      </c>
      <c r="K1676" s="393">
        <f t="shared" si="8"/>
        <v>44465</v>
      </c>
      <c r="L1676" s="394" t="str">
        <f>IFERROR(__xludf.DUMMYFUNCTION("JOIN("""", G1676:H1676)"),"")</f>
        <v/>
      </c>
      <c r="M1676" s="80" t="str">
        <f t="shared" si="2"/>
        <v/>
      </c>
    </row>
    <row r="1677">
      <c r="A1677" s="86"/>
      <c r="B1677" s="73"/>
      <c r="C1677" s="73"/>
      <c r="D1677" s="73"/>
      <c r="E1677" s="88"/>
      <c r="F1677" s="73"/>
      <c r="G1677" s="394"/>
      <c r="H1677" s="77"/>
      <c r="I1677" s="88"/>
      <c r="J1677" s="393">
        <v>44464.0</v>
      </c>
      <c r="K1677" s="393">
        <f t="shared" si="8"/>
        <v>44465</v>
      </c>
      <c r="L1677" s="394" t="str">
        <f>IFERROR(__xludf.DUMMYFUNCTION("JOIN("""", G1677:H1677)"),"")</f>
        <v/>
      </c>
      <c r="M1677" s="80" t="str">
        <f t="shared" si="2"/>
        <v/>
      </c>
    </row>
    <row r="1678">
      <c r="A1678" s="86"/>
      <c r="B1678" s="73"/>
      <c r="C1678" s="73"/>
      <c r="D1678" s="73"/>
      <c r="E1678" s="88"/>
      <c r="F1678" s="73"/>
      <c r="G1678" s="394"/>
      <c r="H1678" s="77"/>
      <c r="I1678" s="88"/>
      <c r="J1678" s="401">
        <v>44465.0</v>
      </c>
      <c r="K1678" s="393">
        <f t="shared" si="8"/>
        <v>44466</v>
      </c>
      <c r="L1678" s="394" t="str">
        <f>IFERROR(__xludf.DUMMYFUNCTION("JOIN("""", G1678:H1678)"),"")</f>
        <v/>
      </c>
      <c r="M1678" s="80" t="str">
        <f t="shared" si="2"/>
        <v/>
      </c>
    </row>
    <row r="1679">
      <c r="A1679" s="86"/>
      <c r="B1679" s="73"/>
      <c r="C1679" s="73"/>
      <c r="D1679" s="73"/>
      <c r="E1679" s="88"/>
      <c r="F1679" s="73"/>
      <c r="G1679" s="394"/>
      <c r="H1679" s="77"/>
      <c r="I1679" s="88"/>
      <c r="J1679" s="393">
        <v>44465.0</v>
      </c>
      <c r="K1679" s="393">
        <f t="shared" si="8"/>
        <v>44466</v>
      </c>
      <c r="L1679" s="394" t="str">
        <f>IFERROR(__xludf.DUMMYFUNCTION("JOIN("""", G1679:H1679)"),"")</f>
        <v/>
      </c>
      <c r="M1679" s="80" t="str">
        <f t="shared" si="2"/>
        <v/>
      </c>
    </row>
    <row r="1680">
      <c r="A1680" s="86"/>
      <c r="B1680" s="73"/>
      <c r="C1680" s="73"/>
      <c r="D1680" s="73"/>
      <c r="E1680" s="88"/>
      <c r="F1680" s="73"/>
      <c r="G1680" s="394"/>
      <c r="H1680" s="77"/>
      <c r="I1680" s="88"/>
      <c r="J1680" s="393">
        <v>44466.0</v>
      </c>
      <c r="K1680" s="393">
        <f t="shared" si="8"/>
        <v>44467</v>
      </c>
      <c r="L1680" s="394" t="str">
        <f>IFERROR(__xludf.DUMMYFUNCTION("JOIN("""", G1680:H1680)"),"")</f>
        <v/>
      </c>
      <c r="M1680" s="80" t="str">
        <f t="shared" si="2"/>
        <v/>
      </c>
    </row>
    <row r="1681">
      <c r="A1681" s="86"/>
      <c r="B1681" s="73"/>
      <c r="C1681" s="73"/>
      <c r="D1681" s="73"/>
      <c r="E1681" s="88"/>
      <c r="F1681" s="73"/>
      <c r="G1681" s="394"/>
      <c r="H1681" s="77"/>
      <c r="I1681" s="88"/>
      <c r="J1681" s="393">
        <v>44465.0</v>
      </c>
      <c r="K1681" s="393">
        <f t="shared" si="8"/>
        <v>44466</v>
      </c>
      <c r="L1681" s="394" t="str">
        <f>IFERROR(__xludf.DUMMYFUNCTION("JOIN("""", G1681:H1681)"),"")</f>
        <v/>
      </c>
      <c r="M1681" s="80" t="str">
        <f t="shared" si="2"/>
        <v/>
      </c>
    </row>
    <row r="1682">
      <c r="A1682" s="86"/>
      <c r="B1682" s="73"/>
      <c r="C1682" s="73"/>
      <c r="D1682" s="73"/>
      <c r="E1682" s="88"/>
      <c r="F1682" s="73"/>
      <c r="G1682" s="394"/>
      <c r="H1682" s="77"/>
      <c r="I1682" s="88"/>
      <c r="J1682" s="393">
        <v>44466.0</v>
      </c>
      <c r="K1682" s="393">
        <f t="shared" si="8"/>
        <v>44467</v>
      </c>
      <c r="L1682" s="394" t="str">
        <f>IFERROR(__xludf.DUMMYFUNCTION("JOIN("""", G1682:H1682)"),"")</f>
        <v/>
      </c>
      <c r="M1682" s="80" t="str">
        <f t="shared" si="2"/>
        <v/>
      </c>
    </row>
    <row r="1683">
      <c r="A1683" s="86"/>
      <c r="B1683" s="73"/>
      <c r="C1683" s="73"/>
      <c r="D1683" s="73"/>
      <c r="E1683" s="88"/>
      <c r="F1683" s="73"/>
      <c r="G1683" s="394"/>
      <c r="H1683" s="77"/>
      <c r="I1683" s="88"/>
      <c r="J1683" s="393">
        <v>44466.0</v>
      </c>
      <c r="K1683" s="393">
        <f t="shared" si="8"/>
        <v>44467</v>
      </c>
      <c r="L1683" s="394" t="str">
        <f>IFERROR(__xludf.DUMMYFUNCTION("JOIN("""", G1683:H1683)"),"")</f>
        <v/>
      </c>
      <c r="M1683" s="80" t="str">
        <f t="shared" si="2"/>
        <v/>
      </c>
    </row>
    <row r="1684">
      <c r="A1684" s="86"/>
      <c r="B1684" s="73"/>
      <c r="C1684" s="73"/>
      <c r="D1684" s="73"/>
      <c r="E1684" s="88"/>
      <c r="F1684" s="73"/>
      <c r="G1684" s="394"/>
      <c r="H1684" s="77"/>
      <c r="I1684" s="88"/>
      <c r="J1684" s="393">
        <v>44466.0</v>
      </c>
      <c r="K1684" s="393">
        <f t="shared" si="8"/>
        <v>44467</v>
      </c>
      <c r="L1684" s="394" t="str">
        <f>IFERROR(__xludf.DUMMYFUNCTION("JOIN("""", G1684:H1684)"),"")</f>
        <v/>
      </c>
      <c r="M1684" s="80" t="str">
        <f t="shared" si="2"/>
        <v/>
      </c>
    </row>
    <row r="1685">
      <c r="A1685" s="86"/>
      <c r="B1685" s="73"/>
      <c r="C1685" s="73"/>
      <c r="D1685" s="73"/>
      <c r="E1685" s="88"/>
      <c r="F1685" s="73"/>
      <c r="G1685" s="394"/>
      <c r="H1685" s="77"/>
      <c r="I1685" s="88"/>
      <c r="J1685" s="393">
        <v>44466.0</v>
      </c>
      <c r="K1685" s="393">
        <f t="shared" si="8"/>
        <v>44467</v>
      </c>
      <c r="L1685" s="394" t="str">
        <f>IFERROR(__xludf.DUMMYFUNCTION("JOIN("""", G1685:H1685)"),"")</f>
        <v/>
      </c>
      <c r="M1685" s="80" t="str">
        <f t="shared" si="2"/>
        <v/>
      </c>
    </row>
    <row r="1686">
      <c r="A1686" s="86"/>
      <c r="B1686" s="73"/>
      <c r="C1686" s="73"/>
      <c r="D1686" s="73"/>
      <c r="E1686" s="88"/>
      <c r="F1686" s="73"/>
      <c r="G1686" s="394"/>
      <c r="H1686" s="77"/>
      <c r="I1686" s="88"/>
      <c r="J1686" s="393">
        <v>44468.0</v>
      </c>
      <c r="K1686" s="393">
        <f t="shared" si="8"/>
        <v>44469</v>
      </c>
      <c r="L1686" s="394" t="str">
        <f>IFERROR(__xludf.DUMMYFUNCTION("JOIN("""", G1686:H1686)"),"")</f>
        <v/>
      </c>
      <c r="M1686" s="80" t="str">
        <f t="shared" si="2"/>
        <v/>
      </c>
    </row>
    <row r="1687">
      <c r="A1687" s="86"/>
      <c r="B1687" s="73"/>
      <c r="C1687" s="73"/>
      <c r="D1687" s="73"/>
      <c r="E1687" s="88"/>
      <c r="F1687" s="73"/>
      <c r="G1687" s="394"/>
      <c r="H1687" s="77"/>
      <c r="I1687" s="88"/>
      <c r="J1687" s="393">
        <v>44468.0</v>
      </c>
      <c r="K1687" s="393">
        <f t="shared" si="8"/>
        <v>44469</v>
      </c>
      <c r="L1687" s="394" t="str">
        <f>IFERROR(__xludf.DUMMYFUNCTION("JOIN("""", G1687:H1687)"),"")</f>
        <v/>
      </c>
      <c r="M1687" s="80" t="str">
        <f t="shared" si="2"/>
        <v/>
      </c>
    </row>
    <row r="1688">
      <c r="A1688" s="86"/>
      <c r="B1688" s="73"/>
      <c r="C1688" s="73"/>
      <c r="D1688" s="73"/>
      <c r="E1688" s="88"/>
      <c r="F1688" s="73"/>
      <c r="G1688" s="394"/>
      <c r="H1688" s="77"/>
      <c r="I1688" s="88"/>
      <c r="J1688" s="393">
        <v>44468.0</v>
      </c>
      <c r="K1688" s="393">
        <f t="shared" si="8"/>
        <v>44469</v>
      </c>
      <c r="L1688" s="394" t="str">
        <f>IFERROR(__xludf.DUMMYFUNCTION("JOIN("""", G1688:H1688)"),"")</f>
        <v/>
      </c>
      <c r="M1688" s="80" t="str">
        <f t="shared" si="2"/>
        <v/>
      </c>
    </row>
    <row r="1689">
      <c r="A1689" s="86"/>
      <c r="B1689" s="73"/>
      <c r="C1689" s="73"/>
      <c r="D1689" s="73"/>
      <c r="E1689" s="88"/>
      <c r="F1689" s="73"/>
      <c r="G1689" s="394"/>
      <c r="H1689" s="77"/>
      <c r="I1689" s="88"/>
      <c r="J1689" s="393">
        <v>44469.0</v>
      </c>
      <c r="K1689" s="393">
        <f t="shared" si="8"/>
        <v>44470</v>
      </c>
      <c r="L1689" s="394" t="str">
        <f>IFERROR(__xludf.DUMMYFUNCTION("JOIN("""", G1689:H1689)"),"")</f>
        <v/>
      </c>
      <c r="M1689" s="80" t="str">
        <f t="shared" si="2"/>
        <v/>
      </c>
    </row>
    <row r="1690">
      <c r="A1690" s="86"/>
      <c r="B1690" s="73"/>
      <c r="C1690" s="73"/>
      <c r="D1690" s="73"/>
      <c r="E1690" s="88"/>
      <c r="F1690" s="73"/>
      <c r="G1690" s="394"/>
      <c r="H1690" s="77"/>
      <c r="I1690" s="88"/>
      <c r="J1690" s="393">
        <v>44475.0</v>
      </c>
      <c r="K1690" s="393">
        <f t="shared" si="8"/>
        <v>44476</v>
      </c>
      <c r="L1690" s="394" t="str">
        <f>IFERROR(__xludf.DUMMYFUNCTION("JOIN("""", G1690:H1690)"),"")</f>
        <v/>
      </c>
      <c r="M1690" s="80" t="str">
        <f t="shared" si="2"/>
        <v/>
      </c>
    </row>
    <row r="1691">
      <c r="A1691" s="86"/>
      <c r="B1691" s="73"/>
      <c r="C1691" s="73"/>
      <c r="D1691" s="73"/>
      <c r="E1691" s="88"/>
      <c r="F1691" s="73"/>
      <c r="G1691" s="394"/>
      <c r="H1691" s="77"/>
      <c r="I1691" s="88"/>
      <c r="J1691" s="393">
        <v>44469.0</v>
      </c>
      <c r="K1691" s="393">
        <f t="shared" si="8"/>
        <v>44470</v>
      </c>
      <c r="L1691" s="394" t="str">
        <f>IFERROR(__xludf.DUMMYFUNCTION("JOIN("""", G1691:H1691)"),"")</f>
        <v/>
      </c>
      <c r="M1691" s="80" t="str">
        <f t="shared" si="2"/>
        <v/>
      </c>
    </row>
    <row r="1692">
      <c r="A1692" s="86"/>
      <c r="B1692" s="73"/>
      <c r="C1692" s="73"/>
      <c r="D1692" s="73"/>
      <c r="E1692" s="88"/>
      <c r="F1692" s="73"/>
      <c r="G1692" s="394"/>
      <c r="H1692" s="73"/>
      <c r="I1692" s="88"/>
      <c r="J1692" s="393">
        <v>44469.0</v>
      </c>
      <c r="K1692" s="393">
        <f t="shared" si="8"/>
        <v>44470</v>
      </c>
      <c r="L1692" s="394" t="str">
        <f>IFERROR(__xludf.DUMMYFUNCTION("JOIN("""", G1692:H1692)"),"")</f>
        <v/>
      </c>
      <c r="M1692" s="80" t="str">
        <f t="shared" si="2"/>
        <v/>
      </c>
    </row>
    <row r="1693">
      <c r="A1693" s="86"/>
      <c r="B1693" s="73"/>
      <c r="C1693" s="73"/>
      <c r="D1693" s="73"/>
      <c r="E1693" s="88"/>
      <c r="F1693" s="73"/>
      <c r="G1693" s="394"/>
      <c r="H1693" s="77"/>
      <c r="I1693" s="88"/>
      <c r="J1693" s="393">
        <v>44469.0</v>
      </c>
      <c r="K1693" s="393">
        <f t="shared" si="8"/>
        <v>44470</v>
      </c>
      <c r="L1693" s="394" t="str">
        <f>IFERROR(__xludf.DUMMYFUNCTION("JOIN("""", G1693:H1693)"),"")</f>
        <v/>
      </c>
      <c r="M1693" s="80" t="str">
        <f t="shared" si="2"/>
        <v/>
      </c>
    </row>
    <row r="1694">
      <c r="A1694" s="86"/>
      <c r="B1694" s="73"/>
      <c r="C1694" s="73"/>
      <c r="D1694" s="73"/>
      <c r="E1694" s="88"/>
      <c r="F1694" s="73"/>
      <c r="G1694" s="394"/>
      <c r="H1694" s="77"/>
      <c r="I1694" s="88"/>
      <c r="J1694" s="393">
        <v>44469.0</v>
      </c>
      <c r="K1694" s="393">
        <f t="shared" si="8"/>
        <v>44470</v>
      </c>
      <c r="L1694" s="394" t="str">
        <f>IFERROR(__xludf.DUMMYFUNCTION("JOIN("""", G1694:H1694)"),"")</f>
        <v/>
      </c>
      <c r="M1694" s="80" t="str">
        <f t="shared" si="2"/>
        <v/>
      </c>
    </row>
    <row r="1695">
      <c r="A1695" s="86"/>
      <c r="B1695" s="73"/>
      <c r="C1695" s="73"/>
      <c r="D1695" s="73"/>
      <c r="E1695" s="88"/>
      <c r="F1695" s="73"/>
      <c r="G1695" s="394"/>
      <c r="H1695" s="77"/>
      <c r="I1695" s="88"/>
      <c r="J1695" s="393">
        <v>44469.0</v>
      </c>
      <c r="K1695" s="393">
        <f t="shared" si="8"/>
        <v>44470</v>
      </c>
      <c r="L1695" s="394" t="str">
        <f>IFERROR(__xludf.DUMMYFUNCTION("JOIN("""", G1695:H1695)"),"")</f>
        <v/>
      </c>
      <c r="M1695" s="80" t="str">
        <f t="shared" si="2"/>
        <v/>
      </c>
    </row>
    <row r="1696">
      <c r="A1696" s="86"/>
      <c r="B1696" s="73"/>
      <c r="C1696" s="73"/>
      <c r="D1696" s="73"/>
      <c r="E1696" s="88"/>
      <c r="F1696" s="73"/>
      <c r="G1696" s="394"/>
      <c r="H1696" s="77"/>
      <c r="I1696" s="88"/>
      <c r="J1696" s="393">
        <v>44469.0</v>
      </c>
      <c r="K1696" s="393">
        <f t="shared" si="8"/>
        <v>44470</v>
      </c>
      <c r="L1696" s="394" t="str">
        <f>IFERROR(__xludf.DUMMYFUNCTION("JOIN("""", G1696:H1696)"),"")</f>
        <v/>
      </c>
      <c r="M1696" s="80" t="str">
        <f t="shared" si="2"/>
        <v/>
      </c>
    </row>
    <row r="1697">
      <c r="A1697" s="86"/>
      <c r="B1697" s="73"/>
      <c r="C1697" s="73"/>
      <c r="D1697" s="73"/>
      <c r="E1697" s="88"/>
      <c r="F1697" s="73"/>
      <c r="G1697" s="394"/>
      <c r="H1697" s="77"/>
      <c r="I1697" s="88"/>
      <c r="J1697" s="393">
        <v>44469.0</v>
      </c>
      <c r="K1697" s="393">
        <f t="shared" si="8"/>
        <v>44470</v>
      </c>
      <c r="L1697" s="394" t="str">
        <f>IFERROR(__xludf.DUMMYFUNCTION("JOIN("""", G1697:H1697)"),"")</f>
        <v/>
      </c>
      <c r="M1697" s="80" t="str">
        <f t="shared" si="2"/>
        <v/>
      </c>
    </row>
    <row r="1698">
      <c r="A1698" s="86"/>
      <c r="B1698" s="73"/>
      <c r="C1698" s="73"/>
      <c r="D1698" s="73"/>
      <c r="E1698" s="88"/>
      <c r="F1698" s="73"/>
      <c r="G1698" s="394"/>
      <c r="H1698" s="77"/>
      <c r="I1698" s="88"/>
      <c r="J1698" s="393">
        <v>44471.0</v>
      </c>
      <c r="K1698" s="393">
        <f t="shared" si="8"/>
        <v>44472</v>
      </c>
      <c r="L1698" s="394" t="str">
        <f>IFERROR(__xludf.DUMMYFUNCTION("JOIN("""", G1698:H1698)"),"")</f>
        <v/>
      </c>
      <c r="M1698" s="80" t="str">
        <f t="shared" si="2"/>
        <v/>
      </c>
    </row>
    <row r="1699">
      <c r="A1699" s="86"/>
      <c r="B1699" s="73"/>
      <c r="C1699" s="73"/>
      <c r="D1699" s="73"/>
      <c r="E1699" s="88"/>
      <c r="F1699" s="73"/>
      <c r="G1699" s="394"/>
      <c r="H1699" s="77"/>
      <c r="I1699" s="88"/>
      <c r="J1699" s="393">
        <v>44471.0</v>
      </c>
      <c r="K1699" s="393">
        <f t="shared" si="8"/>
        <v>44472</v>
      </c>
      <c r="L1699" s="394" t="str">
        <f>IFERROR(__xludf.DUMMYFUNCTION("JOIN("""", G1699:H1699)"),"")</f>
        <v/>
      </c>
      <c r="M1699" s="80" t="str">
        <f t="shared" si="2"/>
        <v/>
      </c>
    </row>
    <row r="1700">
      <c r="A1700" s="86"/>
      <c r="B1700" s="73"/>
      <c r="C1700" s="73"/>
      <c r="D1700" s="73"/>
      <c r="E1700" s="88"/>
      <c r="F1700" s="73"/>
      <c r="G1700" s="394"/>
      <c r="H1700" s="77"/>
      <c r="I1700" s="88"/>
      <c r="J1700" s="393">
        <v>44471.0</v>
      </c>
      <c r="K1700" s="393">
        <f t="shared" si="8"/>
        <v>44472</v>
      </c>
      <c r="L1700" s="394" t="str">
        <f>IFERROR(__xludf.DUMMYFUNCTION("JOIN("""", G1700:H1700)"),"")</f>
        <v/>
      </c>
      <c r="M1700" s="80" t="str">
        <f t="shared" si="2"/>
        <v/>
      </c>
    </row>
    <row r="1701">
      <c r="A1701" s="86"/>
      <c r="B1701" s="73"/>
      <c r="C1701" s="73"/>
      <c r="D1701" s="73"/>
      <c r="E1701" s="88"/>
      <c r="F1701" s="73"/>
      <c r="G1701" s="394"/>
      <c r="H1701" s="77"/>
      <c r="I1701" s="88"/>
      <c r="J1701" s="393">
        <v>44471.0</v>
      </c>
      <c r="K1701" s="393">
        <f t="shared" si="8"/>
        <v>44472</v>
      </c>
      <c r="L1701" s="394" t="str">
        <f>IFERROR(__xludf.DUMMYFUNCTION("JOIN("""", G1701:H1701)"),"")</f>
        <v/>
      </c>
      <c r="M1701" s="80" t="str">
        <f t="shared" si="2"/>
        <v/>
      </c>
    </row>
    <row r="1702">
      <c r="A1702" s="86"/>
      <c r="B1702" s="73"/>
      <c r="C1702" s="73"/>
      <c r="D1702" s="73"/>
      <c r="E1702" s="88"/>
      <c r="F1702" s="73"/>
      <c r="G1702" s="394"/>
      <c r="H1702" s="77"/>
      <c r="I1702" s="88"/>
      <c r="J1702" s="393">
        <v>44471.0</v>
      </c>
      <c r="K1702" s="393">
        <f t="shared" si="8"/>
        <v>44472</v>
      </c>
      <c r="L1702" s="394" t="str">
        <f>IFERROR(__xludf.DUMMYFUNCTION("JOIN("""", G1702:H1702)"),"")</f>
        <v/>
      </c>
      <c r="M1702" s="80" t="str">
        <f t="shared" si="2"/>
        <v/>
      </c>
    </row>
    <row r="1703">
      <c r="A1703" s="86"/>
      <c r="B1703" s="73"/>
      <c r="C1703" s="73"/>
      <c r="D1703" s="73"/>
      <c r="E1703" s="88"/>
      <c r="F1703" s="73"/>
      <c r="G1703" s="394"/>
      <c r="H1703" s="77"/>
      <c r="I1703" s="88"/>
      <c r="J1703" s="393">
        <v>44471.0</v>
      </c>
      <c r="K1703" s="393">
        <f t="shared" si="8"/>
        <v>44472</v>
      </c>
      <c r="L1703" s="394" t="str">
        <f>IFERROR(__xludf.DUMMYFUNCTION("JOIN("""", G1703:H1703)"),"")</f>
        <v/>
      </c>
      <c r="M1703" s="80" t="str">
        <f t="shared" si="2"/>
        <v/>
      </c>
    </row>
    <row r="1704">
      <c r="A1704" s="86"/>
      <c r="B1704" s="73"/>
      <c r="C1704" s="73"/>
      <c r="D1704" s="73"/>
      <c r="E1704" s="88"/>
      <c r="F1704" s="73"/>
      <c r="G1704" s="394"/>
      <c r="H1704" s="77"/>
      <c r="I1704" s="88"/>
      <c r="J1704" s="393">
        <v>44471.0</v>
      </c>
      <c r="K1704" s="393">
        <f t="shared" si="8"/>
        <v>44472</v>
      </c>
      <c r="L1704" s="394" t="str">
        <f>IFERROR(__xludf.DUMMYFUNCTION("JOIN("""", G1704:H1704)"),"")</f>
        <v/>
      </c>
      <c r="M1704" s="80" t="str">
        <f t="shared" si="2"/>
        <v/>
      </c>
    </row>
    <row r="1705">
      <c r="A1705" s="86"/>
      <c r="B1705" s="73"/>
      <c r="C1705" s="73"/>
      <c r="D1705" s="73"/>
      <c r="E1705" s="88"/>
      <c r="F1705" s="73"/>
      <c r="G1705" s="394"/>
      <c r="H1705" s="73"/>
      <c r="I1705" s="88"/>
      <c r="J1705" s="393">
        <v>44472.0</v>
      </c>
      <c r="K1705" s="393">
        <f t="shared" si="8"/>
        <v>44473</v>
      </c>
      <c r="L1705" s="394" t="str">
        <f>IFERROR(__xludf.DUMMYFUNCTION("JOIN("""", G1705:H1705)"),"")</f>
        <v/>
      </c>
      <c r="M1705" s="80" t="str">
        <f t="shared" si="2"/>
        <v/>
      </c>
    </row>
    <row r="1706">
      <c r="A1706" s="86"/>
      <c r="B1706" s="73"/>
      <c r="C1706" s="73"/>
      <c r="D1706" s="73"/>
      <c r="E1706" s="88"/>
      <c r="F1706" s="73"/>
      <c r="G1706" s="394"/>
      <c r="H1706" s="77"/>
      <c r="I1706" s="88"/>
      <c r="J1706" s="393">
        <v>44472.0</v>
      </c>
      <c r="K1706" s="393">
        <f t="shared" si="8"/>
        <v>44473</v>
      </c>
      <c r="L1706" s="394" t="str">
        <f>IFERROR(__xludf.DUMMYFUNCTION("JOIN("""", G1706:H1706)"),"")</f>
        <v/>
      </c>
      <c r="M1706" s="80" t="str">
        <f t="shared" si="2"/>
        <v/>
      </c>
    </row>
    <row r="1707">
      <c r="A1707" s="86"/>
      <c r="B1707" s="73"/>
      <c r="C1707" s="73"/>
      <c r="D1707" s="73"/>
      <c r="E1707" s="88"/>
      <c r="F1707" s="73"/>
      <c r="G1707" s="394"/>
      <c r="H1707" s="77"/>
      <c r="I1707" s="88"/>
      <c r="J1707" s="393">
        <v>44472.0</v>
      </c>
      <c r="K1707" s="393">
        <f t="shared" si="8"/>
        <v>44473</v>
      </c>
      <c r="L1707" s="394" t="str">
        <f>IFERROR(__xludf.DUMMYFUNCTION("JOIN("""", G1707:H1707)"),"")</f>
        <v/>
      </c>
      <c r="M1707" s="80" t="str">
        <f t="shared" si="2"/>
        <v/>
      </c>
    </row>
    <row r="1708">
      <c r="A1708" s="86"/>
      <c r="B1708" s="73"/>
      <c r="C1708" s="73"/>
      <c r="D1708" s="73"/>
      <c r="E1708" s="88"/>
      <c r="F1708" s="73"/>
      <c r="G1708" s="394"/>
      <c r="H1708" s="77"/>
      <c r="I1708" s="88"/>
      <c r="J1708" s="393">
        <v>44472.0</v>
      </c>
      <c r="K1708" s="393">
        <f t="shared" si="8"/>
        <v>44473</v>
      </c>
      <c r="L1708" s="394" t="str">
        <f>IFERROR(__xludf.DUMMYFUNCTION("JOIN("""", G1708:H1708)"),"")</f>
        <v/>
      </c>
      <c r="M1708" s="80" t="str">
        <f t="shared" si="2"/>
        <v/>
      </c>
    </row>
    <row r="1709">
      <c r="A1709" s="86"/>
      <c r="B1709" s="73"/>
      <c r="C1709" s="73"/>
      <c r="D1709" s="73"/>
      <c r="E1709" s="88"/>
      <c r="F1709" s="73"/>
      <c r="G1709" s="394"/>
      <c r="H1709" s="77"/>
      <c r="I1709" s="88"/>
      <c r="J1709" s="393">
        <v>44472.0</v>
      </c>
      <c r="K1709" s="393">
        <f t="shared" si="8"/>
        <v>44473</v>
      </c>
      <c r="L1709" s="394" t="str">
        <f>IFERROR(__xludf.DUMMYFUNCTION("JOIN("""", G1709:H1709)"),"")</f>
        <v/>
      </c>
      <c r="M1709" s="80" t="str">
        <f t="shared" si="2"/>
        <v/>
      </c>
    </row>
    <row r="1710">
      <c r="A1710" s="86"/>
      <c r="B1710" s="73"/>
      <c r="C1710" s="73"/>
      <c r="D1710" s="73"/>
      <c r="E1710" s="88"/>
      <c r="F1710" s="73"/>
      <c r="G1710" s="394"/>
      <c r="H1710" s="77"/>
      <c r="I1710" s="88"/>
      <c r="J1710" s="393">
        <v>44472.0</v>
      </c>
      <c r="K1710" s="393">
        <f t="shared" si="8"/>
        <v>44473</v>
      </c>
      <c r="L1710" s="394" t="str">
        <f>IFERROR(__xludf.DUMMYFUNCTION("JOIN("""", G1710:H1710)"),"")</f>
        <v/>
      </c>
      <c r="M1710" s="80" t="str">
        <f t="shared" si="2"/>
        <v/>
      </c>
    </row>
    <row r="1711">
      <c r="A1711" s="86"/>
      <c r="B1711" s="73"/>
      <c r="C1711" s="73"/>
      <c r="D1711" s="73"/>
      <c r="E1711" s="88"/>
      <c r="F1711" s="73"/>
      <c r="G1711" s="394"/>
      <c r="H1711" s="77"/>
      <c r="I1711" s="88"/>
      <c r="J1711" s="393">
        <v>44472.0</v>
      </c>
      <c r="K1711" s="393">
        <f t="shared" si="8"/>
        <v>44473</v>
      </c>
      <c r="L1711" s="394" t="str">
        <f>IFERROR(__xludf.DUMMYFUNCTION("JOIN("""", G1711:H1711)"),"")</f>
        <v/>
      </c>
      <c r="M1711" s="80" t="str">
        <f t="shared" si="2"/>
        <v/>
      </c>
    </row>
    <row r="1712">
      <c r="A1712" s="86"/>
      <c r="B1712" s="73"/>
      <c r="C1712" s="73"/>
      <c r="D1712" s="73"/>
      <c r="E1712" s="88"/>
      <c r="F1712" s="73"/>
      <c r="G1712" s="394"/>
      <c r="H1712" s="77"/>
      <c r="I1712" s="88"/>
      <c r="J1712" s="393">
        <v>44472.0</v>
      </c>
      <c r="K1712" s="393">
        <f t="shared" si="8"/>
        <v>44473</v>
      </c>
      <c r="L1712" s="394" t="str">
        <f>IFERROR(__xludf.DUMMYFUNCTION("JOIN("""", G1712:H1712)"),"")</f>
        <v/>
      </c>
      <c r="M1712" s="80" t="str">
        <f t="shared" si="2"/>
        <v/>
      </c>
    </row>
    <row r="1713">
      <c r="A1713" s="86"/>
      <c r="B1713" s="73"/>
      <c r="C1713" s="73"/>
      <c r="D1713" s="73"/>
      <c r="E1713" s="88"/>
      <c r="F1713" s="73"/>
      <c r="G1713" s="394"/>
      <c r="H1713" s="77"/>
      <c r="I1713" s="88"/>
      <c r="J1713" s="393">
        <v>44472.0</v>
      </c>
      <c r="K1713" s="393">
        <f t="shared" si="8"/>
        <v>44473</v>
      </c>
      <c r="L1713" s="394" t="str">
        <f>IFERROR(__xludf.DUMMYFUNCTION("JOIN("""", G1713:H1713)"),"")</f>
        <v/>
      </c>
      <c r="M1713" s="80" t="str">
        <f t="shared" si="2"/>
        <v/>
      </c>
    </row>
    <row r="1714">
      <c r="A1714" s="86"/>
      <c r="B1714" s="73"/>
      <c r="C1714" s="73"/>
      <c r="D1714" s="73"/>
      <c r="E1714" s="88"/>
      <c r="F1714" s="73"/>
      <c r="G1714" s="394"/>
      <c r="H1714" s="77"/>
      <c r="I1714" s="88"/>
      <c r="J1714" s="393">
        <v>44474.0</v>
      </c>
      <c r="K1714" s="393">
        <f t="shared" si="8"/>
        <v>44475</v>
      </c>
      <c r="L1714" s="394" t="str">
        <f>IFERROR(__xludf.DUMMYFUNCTION("JOIN("""", G1714:H1714)"),"")</f>
        <v/>
      </c>
      <c r="M1714" s="80" t="str">
        <f t="shared" si="2"/>
        <v/>
      </c>
    </row>
    <row r="1715">
      <c r="A1715" s="86"/>
      <c r="B1715" s="73"/>
      <c r="C1715" s="73"/>
      <c r="D1715" s="73"/>
      <c r="E1715" s="88"/>
      <c r="F1715" s="73"/>
      <c r="G1715" s="394"/>
      <c r="H1715" s="77"/>
      <c r="I1715" s="88"/>
      <c r="J1715" s="393">
        <v>44472.0</v>
      </c>
      <c r="K1715" s="393">
        <f t="shared" si="8"/>
        <v>44473</v>
      </c>
      <c r="L1715" s="394" t="str">
        <f>IFERROR(__xludf.DUMMYFUNCTION("JOIN("""", G1715:H1715)"),"")</f>
        <v/>
      </c>
      <c r="M1715" s="80" t="str">
        <f t="shared" si="2"/>
        <v/>
      </c>
    </row>
    <row r="1716">
      <c r="A1716" s="86"/>
      <c r="B1716" s="73"/>
      <c r="C1716" s="73"/>
      <c r="D1716" s="73"/>
      <c r="E1716" s="88"/>
      <c r="F1716" s="73"/>
      <c r="G1716" s="394"/>
      <c r="H1716" s="77"/>
      <c r="I1716" s="88"/>
      <c r="J1716" s="393">
        <v>44472.0</v>
      </c>
      <c r="K1716" s="393">
        <f t="shared" si="8"/>
        <v>44473</v>
      </c>
      <c r="L1716" s="394" t="str">
        <f>IFERROR(__xludf.DUMMYFUNCTION("JOIN("""", G1716:H1716)"),"")</f>
        <v/>
      </c>
      <c r="M1716" s="80" t="str">
        <f t="shared" si="2"/>
        <v/>
      </c>
    </row>
    <row r="1717">
      <c r="A1717" s="86"/>
      <c r="B1717" s="73"/>
      <c r="C1717" s="73"/>
      <c r="D1717" s="73"/>
      <c r="E1717" s="88"/>
      <c r="F1717" s="73"/>
      <c r="G1717" s="394"/>
      <c r="H1717" s="77"/>
      <c r="I1717" s="88"/>
      <c r="J1717" s="393">
        <v>44473.0</v>
      </c>
      <c r="K1717" s="393">
        <f t="shared" si="8"/>
        <v>44474</v>
      </c>
      <c r="L1717" s="394" t="str">
        <f>IFERROR(__xludf.DUMMYFUNCTION("JOIN("""", G1717:H1717)"),"")</f>
        <v/>
      </c>
      <c r="M1717" s="80" t="str">
        <f t="shared" si="2"/>
        <v/>
      </c>
    </row>
    <row r="1718">
      <c r="A1718" s="86"/>
      <c r="B1718" s="73"/>
      <c r="C1718" s="73"/>
      <c r="D1718" s="73"/>
      <c r="E1718" s="88"/>
      <c r="F1718" s="73"/>
      <c r="G1718" s="394"/>
      <c r="H1718" s="77"/>
      <c r="I1718" s="88"/>
      <c r="J1718" s="393">
        <v>44473.0</v>
      </c>
      <c r="K1718" s="393">
        <f t="shared" si="8"/>
        <v>44474</v>
      </c>
      <c r="L1718" s="394" t="str">
        <f>IFERROR(__xludf.DUMMYFUNCTION("JOIN("""", G1718:H1718)"),"")</f>
        <v/>
      </c>
      <c r="M1718" s="80" t="str">
        <f t="shared" si="2"/>
        <v/>
      </c>
    </row>
    <row r="1719">
      <c r="A1719" s="86"/>
      <c r="B1719" s="73"/>
      <c r="C1719" s="73"/>
      <c r="D1719" s="73"/>
      <c r="E1719" s="88"/>
      <c r="F1719" s="73"/>
      <c r="G1719" s="394"/>
      <c r="H1719" s="77"/>
      <c r="I1719" s="88"/>
      <c r="J1719" s="393">
        <v>44473.0</v>
      </c>
      <c r="K1719" s="393">
        <f t="shared" si="8"/>
        <v>44474</v>
      </c>
      <c r="L1719" s="394" t="str">
        <f>IFERROR(__xludf.DUMMYFUNCTION("JOIN("""", G1719:H1719)"),"")</f>
        <v/>
      </c>
      <c r="M1719" s="80" t="str">
        <f t="shared" si="2"/>
        <v/>
      </c>
    </row>
    <row r="1720">
      <c r="A1720" s="86"/>
      <c r="B1720" s="73"/>
      <c r="C1720" s="73"/>
      <c r="D1720" s="73"/>
      <c r="E1720" s="88"/>
      <c r="F1720" s="73"/>
      <c r="G1720" s="394"/>
      <c r="H1720" s="77"/>
      <c r="I1720" s="88"/>
      <c r="J1720" s="393">
        <v>44474.0</v>
      </c>
      <c r="K1720" s="393">
        <f t="shared" si="8"/>
        <v>44475</v>
      </c>
      <c r="L1720" s="394" t="str">
        <f>IFERROR(__xludf.DUMMYFUNCTION("JOIN("""", G1720:H1720)"),"")</f>
        <v/>
      </c>
      <c r="M1720" s="80" t="str">
        <f t="shared" si="2"/>
        <v/>
      </c>
    </row>
    <row r="1721">
      <c r="A1721" s="86"/>
      <c r="B1721" s="73"/>
      <c r="C1721" s="73"/>
      <c r="D1721" s="73"/>
      <c r="E1721" s="88"/>
      <c r="F1721" s="73"/>
      <c r="G1721" s="394"/>
      <c r="H1721" s="77"/>
      <c r="I1721" s="88"/>
      <c r="J1721" s="393">
        <v>44474.0</v>
      </c>
      <c r="K1721" s="393">
        <f t="shared" si="8"/>
        <v>44475</v>
      </c>
      <c r="L1721" s="394" t="str">
        <f>IFERROR(__xludf.DUMMYFUNCTION("JOIN("""", G1721:H1721)"),"")</f>
        <v/>
      </c>
      <c r="M1721" s="80" t="str">
        <f t="shared" si="2"/>
        <v/>
      </c>
    </row>
    <row r="1722">
      <c r="A1722" s="86"/>
      <c r="B1722" s="73"/>
      <c r="C1722" s="73"/>
      <c r="D1722" s="73"/>
      <c r="E1722" s="88"/>
      <c r="F1722" s="73"/>
      <c r="G1722" s="394"/>
      <c r="H1722" s="77"/>
      <c r="I1722" s="88"/>
      <c r="J1722" s="393">
        <v>44474.0</v>
      </c>
      <c r="K1722" s="393">
        <f t="shared" si="8"/>
        <v>44475</v>
      </c>
      <c r="L1722" s="394" t="str">
        <f>IFERROR(__xludf.DUMMYFUNCTION("JOIN("""", G1722:H1722)"),"")</f>
        <v/>
      </c>
      <c r="M1722" s="80" t="str">
        <f t="shared" si="2"/>
        <v/>
      </c>
    </row>
    <row r="1723">
      <c r="A1723" s="86"/>
      <c r="B1723" s="73"/>
      <c r="C1723" s="73"/>
      <c r="D1723" s="73"/>
      <c r="E1723" s="88"/>
      <c r="F1723" s="73"/>
      <c r="G1723" s="394"/>
      <c r="H1723" s="77"/>
      <c r="I1723" s="88"/>
      <c r="J1723" s="393">
        <v>44474.0</v>
      </c>
      <c r="K1723" s="393">
        <f t="shared" si="8"/>
        <v>44475</v>
      </c>
      <c r="L1723" s="394" t="str">
        <f>IFERROR(__xludf.DUMMYFUNCTION("JOIN("""", G1723:H1723)"),"")</f>
        <v/>
      </c>
      <c r="M1723" s="80" t="str">
        <f t="shared" si="2"/>
        <v/>
      </c>
    </row>
    <row r="1724">
      <c r="A1724" s="86"/>
      <c r="B1724" s="73"/>
      <c r="C1724" s="73"/>
      <c r="D1724" s="73"/>
      <c r="E1724" s="88"/>
      <c r="F1724" s="73"/>
      <c r="G1724" s="394"/>
      <c r="H1724" s="77"/>
      <c r="I1724" s="88"/>
      <c r="J1724" s="393">
        <v>44474.0</v>
      </c>
      <c r="K1724" s="393">
        <f t="shared" si="8"/>
        <v>44475</v>
      </c>
      <c r="L1724" s="394" t="str">
        <f>IFERROR(__xludf.DUMMYFUNCTION("JOIN("""", G1724:H1724)"),"")</f>
        <v/>
      </c>
      <c r="M1724" s="80" t="str">
        <f t="shared" si="2"/>
        <v/>
      </c>
    </row>
    <row r="1725">
      <c r="A1725" s="86"/>
      <c r="B1725" s="73"/>
      <c r="C1725" s="73"/>
      <c r="D1725" s="73"/>
      <c r="E1725" s="88"/>
      <c r="F1725" s="73"/>
      <c r="G1725" s="394"/>
      <c r="H1725" s="77"/>
      <c r="I1725" s="88"/>
      <c r="J1725" s="393">
        <v>44474.0</v>
      </c>
      <c r="K1725" s="393">
        <f t="shared" si="8"/>
        <v>44475</v>
      </c>
      <c r="L1725" s="394" t="str">
        <f>IFERROR(__xludf.DUMMYFUNCTION("JOIN("""", G1725:H1725)"),"")</f>
        <v/>
      </c>
      <c r="M1725" s="80" t="str">
        <f t="shared" si="2"/>
        <v/>
      </c>
    </row>
    <row r="1726">
      <c r="A1726" s="86"/>
      <c r="B1726" s="73"/>
      <c r="C1726" s="73"/>
      <c r="D1726" s="73"/>
      <c r="E1726" s="88"/>
      <c r="F1726" s="73"/>
      <c r="G1726" s="394"/>
      <c r="H1726" s="77"/>
      <c r="I1726" s="88"/>
      <c r="J1726" s="393">
        <v>44474.0</v>
      </c>
      <c r="K1726" s="393">
        <f t="shared" si="8"/>
        <v>44475</v>
      </c>
      <c r="L1726" s="394" t="str">
        <f>IFERROR(__xludf.DUMMYFUNCTION("JOIN("""", G1726:H1726)"),"")</f>
        <v/>
      </c>
      <c r="M1726" s="80" t="str">
        <f t="shared" si="2"/>
        <v/>
      </c>
    </row>
    <row r="1727">
      <c r="A1727" s="86"/>
      <c r="B1727" s="73"/>
      <c r="C1727" s="73"/>
      <c r="D1727" s="73"/>
      <c r="E1727" s="88"/>
      <c r="F1727" s="73"/>
      <c r="G1727" s="394"/>
      <c r="H1727" s="77"/>
      <c r="I1727" s="88"/>
      <c r="J1727" s="393">
        <v>44474.0</v>
      </c>
      <c r="K1727" s="393">
        <f t="shared" si="8"/>
        <v>44475</v>
      </c>
      <c r="L1727" s="394" t="str">
        <f>IFERROR(__xludf.DUMMYFUNCTION("JOIN("""", G1727:H1727)"),"")</f>
        <v/>
      </c>
      <c r="M1727" s="80" t="str">
        <f t="shared" si="2"/>
        <v/>
      </c>
    </row>
    <row r="1728">
      <c r="A1728" s="86"/>
      <c r="B1728" s="73"/>
      <c r="C1728" s="73"/>
      <c r="D1728" s="73"/>
      <c r="E1728" s="88"/>
      <c r="F1728" s="73"/>
      <c r="G1728" s="394"/>
      <c r="H1728" s="77"/>
      <c r="I1728" s="88"/>
      <c r="J1728" s="393">
        <v>44474.0</v>
      </c>
      <c r="K1728" s="393">
        <f t="shared" si="8"/>
        <v>44475</v>
      </c>
      <c r="L1728" s="394" t="str">
        <f>IFERROR(__xludf.DUMMYFUNCTION("JOIN("""", G1728:H1728)"),"")</f>
        <v/>
      </c>
      <c r="M1728" s="80" t="str">
        <f t="shared" si="2"/>
        <v/>
      </c>
    </row>
    <row r="1729">
      <c r="A1729" s="86"/>
      <c r="B1729" s="73"/>
      <c r="C1729" s="73"/>
      <c r="D1729" s="73"/>
      <c r="E1729" s="88"/>
      <c r="F1729" s="73"/>
      <c r="G1729" s="394"/>
      <c r="H1729" s="77"/>
      <c r="I1729" s="88"/>
      <c r="J1729" s="393">
        <v>44474.0</v>
      </c>
      <c r="K1729" s="393">
        <f t="shared" si="8"/>
        <v>44475</v>
      </c>
      <c r="L1729" s="394" t="str">
        <f>IFERROR(__xludf.DUMMYFUNCTION("JOIN("""", G1729:H1729)"),"")</f>
        <v/>
      </c>
      <c r="M1729" s="80" t="str">
        <f t="shared" si="2"/>
        <v/>
      </c>
    </row>
    <row r="1730">
      <c r="A1730" s="86"/>
      <c r="B1730" s="73"/>
      <c r="C1730" s="73"/>
      <c r="D1730" s="73"/>
      <c r="E1730" s="88"/>
      <c r="F1730" s="73"/>
      <c r="G1730" s="394"/>
      <c r="H1730" s="77"/>
      <c r="I1730" s="88"/>
      <c r="J1730" s="393">
        <v>44474.0</v>
      </c>
      <c r="K1730" s="393">
        <f t="shared" si="8"/>
        <v>44475</v>
      </c>
      <c r="L1730" s="394" t="str">
        <f>IFERROR(__xludf.DUMMYFUNCTION("JOIN("""", G1730:H1730)"),"")</f>
        <v/>
      </c>
      <c r="M1730" s="80" t="str">
        <f t="shared" si="2"/>
        <v/>
      </c>
    </row>
    <row r="1731">
      <c r="A1731" s="86"/>
      <c r="B1731" s="73"/>
      <c r="C1731" s="73"/>
      <c r="D1731" s="73"/>
      <c r="E1731" s="88"/>
      <c r="F1731" s="73"/>
      <c r="G1731" s="394"/>
      <c r="H1731" s="77"/>
      <c r="I1731" s="88"/>
      <c r="J1731" s="393">
        <v>44474.0</v>
      </c>
      <c r="K1731" s="393">
        <f t="shared" si="8"/>
        <v>44475</v>
      </c>
      <c r="L1731" s="394" t="str">
        <f>IFERROR(__xludf.DUMMYFUNCTION("JOIN("""", G1731:H1731)"),"")</f>
        <v/>
      </c>
      <c r="M1731" s="80" t="str">
        <f t="shared" si="2"/>
        <v/>
      </c>
    </row>
    <row r="1732">
      <c r="A1732" s="86"/>
      <c r="B1732" s="73"/>
      <c r="C1732" s="73"/>
      <c r="D1732" s="73"/>
      <c r="E1732" s="88"/>
      <c r="F1732" s="73"/>
      <c r="G1732" s="394"/>
      <c r="H1732" s="77"/>
      <c r="I1732" s="88"/>
      <c r="J1732" s="393">
        <v>44474.0</v>
      </c>
      <c r="K1732" s="393">
        <f t="shared" si="8"/>
        <v>44475</v>
      </c>
      <c r="L1732" s="394" t="str">
        <f>IFERROR(__xludf.DUMMYFUNCTION("JOIN("""", G1732:H1732)"),"")</f>
        <v/>
      </c>
      <c r="M1732" s="80" t="str">
        <f t="shared" si="2"/>
        <v/>
      </c>
    </row>
    <row r="1733">
      <c r="A1733" s="86"/>
      <c r="B1733" s="73"/>
      <c r="C1733" s="73"/>
      <c r="D1733" s="73"/>
      <c r="E1733" s="88"/>
      <c r="F1733" s="73"/>
      <c r="G1733" s="394"/>
      <c r="H1733" s="77"/>
      <c r="I1733" s="88"/>
      <c r="J1733" s="393">
        <v>44474.0</v>
      </c>
      <c r="K1733" s="393">
        <f t="shared" si="8"/>
        <v>44475</v>
      </c>
      <c r="L1733" s="394" t="str">
        <f>IFERROR(__xludf.DUMMYFUNCTION("JOIN("""", G1733:H1733)"),"")</f>
        <v/>
      </c>
      <c r="M1733" s="80" t="str">
        <f t="shared" si="2"/>
        <v/>
      </c>
    </row>
    <row r="1734">
      <c r="A1734" s="86"/>
      <c r="B1734" s="73"/>
      <c r="C1734" s="73"/>
      <c r="D1734" s="73"/>
      <c r="E1734" s="88"/>
      <c r="F1734" s="73"/>
      <c r="G1734" s="394"/>
      <c r="H1734" s="77"/>
      <c r="I1734" s="88"/>
      <c r="J1734" s="393">
        <v>44474.0</v>
      </c>
      <c r="K1734" s="393">
        <f t="shared" si="8"/>
        <v>44475</v>
      </c>
      <c r="L1734" s="394" t="str">
        <f>IFERROR(__xludf.DUMMYFUNCTION("JOIN("""", G1734:H1734)"),"")</f>
        <v/>
      </c>
      <c r="M1734" s="80" t="str">
        <f t="shared" si="2"/>
        <v/>
      </c>
    </row>
    <row r="1735">
      <c r="A1735" s="86"/>
      <c r="B1735" s="73"/>
      <c r="C1735" s="73"/>
      <c r="D1735" s="73"/>
      <c r="E1735" s="88"/>
      <c r="F1735" s="73"/>
      <c r="G1735" s="394"/>
      <c r="H1735" s="77"/>
      <c r="I1735" s="88"/>
      <c r="J1735" s="393">
        <v>44474.0</v>
      </c>
      <c r="K1735" s="393">
        <f t="shared" si="8"/>
        <v>44475</v>
      </c>
      <c r="L1735" s="394" t="str">
        <f>IFERROR(__xludf.DUMMYFUNCTION("JOIN("""", G1735:H1735)"),"")</f>
        <v/>
      </c>
      <c r="M1735" s="80" t="str">
        <f t="shared" si="2"/>
        <v/>
      </c>
    </row>
    <row r="1736">
      <c r="A1736" s="86"/>
      <c r="B1736" s="73"/>
      <c r="C1736" s="73"/>
      <c r="D1736" s="73"/>
      <c r="E1736" s="88"/>
      <c r="F1736" s="73"/>
      <c r="G1736" s="394"/>
      <c r="H1736" s="77"/>
      <c r="I1736" s="88"/>
      <c r="J1736" s="393">
        <v>44474.0</v>
      </c>
      <c r="K1736" s="393">
        <f t="shared" si="8"/>
        <v>44475</v>
      </c>
      <c r="L1736" s="394" t="str">
        <f>IFERROR(__xludf.DUMMYFUNCTION("JOIN("""", G1736:H1736)"),"")</f>
        <v/>
      </c>
      <c r="M1736" s="80" t="str">
        <f t="shared" si="2"/>
        <v/>
      </c>
    </row>
    <row r="1737">
      <c r="A1737" s="86"/>
      <c r="B1737" s="73"/>
      <c r="C1737" s="73"/>
      <c r="D1737" s="73"/>
      <c r="E1737" s="88"/>
      <c r="F1737" s="73"/>
      <c r="G1737" s="394"/>
      <c r="H1737" s="77"/>
      <c r="I1737" s="88"/>
      <c r="J1737" s="393">
        <v>44474.0</v>
      </c>
      <c r="K1737" s="393">
        <f t="shared" si="8"/>
        <v>44475</v>
      </c>
      <c r="L1737" s="394" t="str">
        <f>IFERROR(__xludf.DUMMYFUNCTION("JOIN("""", G1737:H1737)"),"")</f>
        <v/>
      </c>
      <c r="M1737" s="80" t="str">
        <f t="shared" si="2"/>
        <v/>
      </c>
    </row>
    <row r="1738">
      <c r="A1738" s="86"/>
      <c r="B1738" s="73"/>
      <c r="C1738" s="73"/>
      <c r="D1738" s="73"/>
      <c r="E1738" s="88"/>
      <c r="F1738" s="73"/>
      <c r="G1738" s="394"/>
      <c r="H1738" s="77"/>
      <c r="I1738" s="88"/>
      <c r="J1738" s="393">
        <v>44475.0</v>
      </c>
      <c r="K1738" s="393">
        <f t="shared" si="8"/>
        <v>44476</v>
      </c>
      <c r="L1738" s="394" t="str">
        <f>IFERROR(__xludf.DUMMYFUNCTION("JOIN("""", G1738:H1738)"),"")</f>
        <v/>
      </c>
      <c r="M1738" s="80" t="str">
        <f t="shared" si="2"/>
        <v/>
      </c>
    </row>
    <row r="1739">
      <c r="A1739" s="86"/>
      <c r="B1739" s="73"/>
      <c r="C1739" s="73"/>
      <c r="D1739" s="73"/>
      <c r="E1739" s="88"/>
      <c r="F1739" s="73"/>
      <c r="G1739" s="394"/>
      <c r="H1739" s="77"/>
      <c r="I1739" s="88"/>
      <c r="J1739" s="393">
        <v>44475.0</v>
      </c>
      <c r="K1739" s="393">
        <f t="shared" si="8"/>
        <v>44476</v>
      </c>
      <c r="L1739" s="394" t="str">
        <f>IFERROR(__xludf.DUMMYFUNCTION("JOIN("""", G1739:H1739)"),"")</f>
        <v/>
      </c>
      <c r="M1739" s="80" t="str">
        <f t="shared" si="2"/>
        <v/>
      </c>
    </row>
    <row r="1740">
      <c r="A1740" s="86"/>
      <c r="B1740" s="73"/>
      <c r="C1740" s="73"/>
      <c r="D1740" s="73"/>
      <c r="E1740" s="88"/>
      <c r="F1740" s="73"/>
      <c r="G1740" s="394"/>
      <c r="H1740" s="77"/>
      <c r="I1740" s="88"/>
      <c r="J1740" s="393">
        <v>44475.0</v>
      </c>
      <c r="K1740" s="393">
        <f t="shared" si="8"/>
        <v>44476</v>
      </c>
      <c r="L1740" s="394" t="str">
        <f>IFERROR(__xludf.DUMMYFUNCTION("JOIN("""", G1740:H1740)"),"")</f>
        <v/>
      </c>
      <c r="M1740" s="80" t="str">
        <f t="shared" si="2"/>
        <v/>
      </c>
    </row>
    <row r="1741">
      <c r="A1741" s="86"/>
      <c r="B1741" s="73"/>
      <c r="C1741" s="73"/>
      <c r="D1741" s="73"/>
      <c r="E1741" s="88"/>
      <c r="F1741" s="73"/>
      <c r="G1741" s="394"/>
      <c r="H1741" s="77"/>
      <c r="I1741" s="88"/>
      <c r="J1741" s="393">
        <v>44476.0</v>
      </c>
      <c r="K1741" s="393">
        <f t="shared" si="8"/>
        <v>44477</v>
      </c>
      <c r="L1741" s="394" t="str">
        <f>IFERROR(__xludf.DUMMYFUNCTION("JOIN("""", G1741:H1741)"),"")</f>
        <v/>
      </c>
      <c r="M1741" s="80" t="str">
        <f t="shared" si="2"/>
        <v/>
      </c>
    </row>
    <row r="1742">
      <c r="A1742" s="86"/>
      <c r="B1742" s="73"/>
      <c r="C1742" s="73"/>
      <c r="D1742" s="73"/>
      <c r="E1742" s="88"/>
      <c r="F1742" s="73"/>
      <c r="G1742" s="394"/>
      <c r="H1742" s="77"/>
      <c r="I1742" s="88"/>
      <c r="J1742" s="393">
        <v>44476.0</v>
      </c>
      <c r="K1742" s="393">
        <f t="shared" si="8"/>
        <v>44477</v>
      </c>
      <c r="L1742" s="394" t="str">
        <f>IFERROR(__xludf.DUMMYFUNCTION("JOIN("""", G1742:H1742)"),"")</f>
        <v/>
      </c>
      <c r="M1742" s="80" t="str">
        <f t="shared" si="2"/>
        <v/>
      </c>
    </row>
    <row r="1743">
      <c r="A1743" s="86"/>
      <c r="B1743" s="73"/>
      <c r="C1743" s="73"/>
      <c r="D1743" s="73"/>
      <c r="E1743" s="88"/>
      <c r="F1743" s="73"/>
      <c r="G1743" s="394"/>
      <c r="H1743" s="77"/>
      <c r="I1743" s="88"/>
      <c r="J1743" s="393">
        <v>44476.0</v>
      </c>
      <c r="K1743" s="393">
        <f t="shared" si="8"/>
        <v>44477</v>
      </c>
      <c r="L1743" s="394" t="str">
        <f>IFERROR(__xludf.DUMMYFUNCTION("JOIN("""", G1743:H1743)"),"")</f>
        <v/>
      </c>
      <c r="M1743" s="80" t="str">
        <f t="shared" si="2"/>
        <v/>
      </c>
    </row>
    <row r="1744">
      <c r="A1744" s="86"/>
      <c r="B1744" s="73"/>
      <c r="C1744" s="73"/>
      <c r="D1744" s="73"/>
      <c r="E1744" s="88"/>
      <c r="F1744" s="73"/>
      <c r="G1744" s="394"/>
      <c r="H1744" s="77"/>
      <c r="I1744" s="88"/>
      <c r="J1744" s="393">
        <v>44476.0</v>
      </c>
      <c r="K1744" s="393">
        <f t="shared" si="8"/>
        <v>44477</v>
      </c>
      <c r="L1744" s="394" t="str">
        <f>IFERROR(__xludf.DUMMYFUNCTION("JOIN("""", G1744:H1744)"),"")</f>
        <v/>
      </c>
      <c r="M1744" s="80" t="str">
        <f t="shared" si="2"/>
        <v/>
      </c>
    </row>
    <row r="1745">
      <c r="A1745" s="86"/>
      <c r="B1745" s="73"/>
      <c r="C1745" s="73"/>
      <c r="D1745" s="73"/>
      <c r="E1745" s="88"/>
      <c r="F1745" s="73"/>
      <c r="G1745" s="394"/>
      <c r="H1745" s="77"/>
      <c r="I1745" s="88"/>
      <c r="J1745" s="393">
        <v>44476.0</v>
      </c>
      <c r="K1745" s="393">
        <f t="shared" si="8"/>
        <v>44477</v>
      </c>
      <c r="L1745" s="394" t="str">
        <f>IFERROR(__xludf.DUMMYFUNCTION("JOIN("""", G1745:H1745)"),"")</f>
        <v/>
      </c>
      <c r="M1745" s="80" t="str">
        <f t="shared" si="2"/>
        <v/>
      </c>
    </row>
    <row r="1746">
      <c r="A1746" s="86"/>
      <c r="B1746" s="73"/>
      <c r="C1746" s="73"/>
      <c r="D1746" s="73"/>
      <c r="E1746" s="88"/>
      <c r="F1746" s="73"/>
      <c r="G1746" s="394"/>
      <c r="H1746" s="77"/>
      <c r="I1746" s="88"/>
      <c r="J1746" s="393">
        <v>44476.0</v>
      </c>
      <c r="K1746" s="393">
        <f t="shared" si="8"/>
        <v>44477</v>
      </c>
      <c r="L1746" s="394" t="str">
        <f>IFERROR(__xludf.DUMMYFUNCTION("JOIN("""", G1746:H1746)"),"")</f>
        <v/>
      </c>
      <c r="M1746" s="80" t="str">
        <f t="shared" si="2"/>
        <v/>
      </c>
    </row>
    <row r="1747">
      <c r="A1747" s="86"/>
      <c r="B1747" s="73"/>
      <c r="C1747" s="73"/>
      <c r="D1747" s="73"/>
      <c r="E1747" s="88"/>
      <c r="F1747" s="73"/>
      <c r="G1747" s="394"/>
      <c r="H1747" s="77"/>
      <c r="I1747" s="88"/>
      <c r="J1747" s="393">
        <v>44481.0</v>
      </c>
      <c r="K1747" s="393">
        <f t="shared" si="8"/>
        <v>44482</v>
      </c>
      <c r="L1747" s="394" t="str">
        <f>IFERROR(__xludf.DUMMYFUNCTION("JOIN("""", G1747:H1747)"),"")</f>
        <v/>
      </c>
      <c r="M1747" s="80" t="str">
        <f t="shared" si="2"/>
        <v/>
      </c>
    </row>
    <row r="1748">
      <c r="A1748" s="86"/>
      <c r="B1748" s="73"/>
      <c r="C1748" s="73"/>
      <c r="D1748" s="73"/>
      <c r="E1748" s="88"/>
      <c r="F1748" s="73"/>
      <c r="G1748" s="394"/>
      <c r="H1748" s="77"/>
      <c r="I1748" s="88"/>
      <c r="J1748" s="393">
        <v>44478.0</v>
      </c>
      <c r="K1748" s="393">
        <f t="shared" si="8"/>
        <v>44479</v>
      </c>
      <c r="L1748" s="394" t="str">
        <f>IFERROR(__xludf.DUMMYFUNCTION("JOIN("""", G1748:H1748)"),"")</f>
        <v/>
      </c>
      <c r="M1748" s="80" t="str">
        <f t="shared" si="2"/>
        <v/>
      </c>
    </row>
    <row r="1749">
      <c r="A1749" s="86"/>
      <c r="B1749" s="73"/>
      <c r="C1749" s="73"/>
      <c r="D1749" s="73"/>
      <c r="E1749" s="88"/>
      <c r="F1749" s="73"/>
      <c r="G1749" s="394"/>
      <c r="H1749" s="77"/>
      <c r="I1749" s="88"/>
      <c r="J1749" s="393">
        <v>44478.0</v>
      </c>
      <c r="K1749" s="393">
        <f t="shared" si="8"/>
        <v>44479</v>
      </c>
      <c r="L1749" s="394" t="str">
        <f>IFERROR(__xludf.DUMMYFUNCTION("JOIN("""", G1749:H1749)"),"")</f>
        <v/>
      </c>
      <c r="M1749" s="80" t="str">
        <f t="shared" si="2"/>
        <v/>
      </c>
    </row>
    <row r="1750">
      <c r="A1750" s="86"/>
      <c r="B1750" s="73"/>
      <c r="C1750" s="73"/>
      <c r="D1750" s="73"/>
      <c r="E1750" s="88"/>
      <c r="F1750" s="73"/>
      <c r="G1750" s="394"/>
      <c r="H1750" s="77"/>
      <c r="I1750" s="88"/>
      <c r="J1750" s="393">
        <v>44478.0</v>
      </c>
      <c r="K1750" s="393">
        <f t="shared" si="8"/>
        <v>44479</v>
      </c>
      <c r="L1750" s="394" t="str">
        <f>IFERROR(__xludf.DUMMYFUNCTION("JOIN("""", G1750:H1750)"),"")</f>
        <v/>
      </c>
      <c r="M1750" s="80" t="str">
        <f t="shared" si="2"/>
        <v/>
      </c>
    </row>
    <row r="1751">
      <c r="A1751" s="86"/>
      <c r="B1751" s="73"/>
      <c r="C1751" s="73"/>
      <c r="D1751" s="73"/>
      <c r="E1751" s="88"/>
      <c r="F1751" s="73"/>
      <c r="G1751" s="394"/>
      <c r="H1751" s="77"/>
      <c r="I1751" s="88"/>
      <c r="J1751" s="393">
        <v>44478.0</v>
      </c>
      <c r="K1751" s="393">
        <f t="shared" si="8"/>
        <v>44479</v>
      </c>
      <c r="L1751" s="394" t="str">
        <f>IFERROR(__xludf.DUMMYFUNCTION("JOIN("""", G1751:H1751)"),"")</f>
        <v/>
      </c>
      <c r="M1751" s="80" t="str">
        <f t="shared" si="2"/>
        <v/>
      </c>
    </row>
    <row r="1752">
      <c r="A1752" s="86"/>
      <c r="B1752" s="73"/>
      <c r="C1752" s="73"/>
      <c r="D1752" s="73"/>
      <c r="E1752" s="88"/>
      <c r="F1752" s="73"/>
      <c r="G1752" s="394"/>
      <c r="H1752" s="77"/>
      <c r="I1752" s="88"/>
      <c r="J1752" s="393">
        <v>44480.0</v>
      </c>
      <c r="K1752" s="393">
        <f t="shared" si="8"/>
        <v>44481</v>
      </c>
      <c r="L1752" s="394" t="str">
        <f>IFERROR(__xludf.DUMMYFUNCTION("JOIN("""", G1752:H1752)"),"")</f>
        <v/>
      </c>
      <c r="M1752" s="80" t="str">
        <f t="shared" si="2"/>
        <v/>
      </c>
    </row>
    <row r="1753">
      <c r="A1753" s="86"/>
      <c r="B1753" s="73"/>
      <c r="C1753" s="73"/>
      <c r="D1753" s="73"/>
      <c r="E1753" s="88"/>
      <c r="F1753" s="73"/>
      <c r="G1753" s="394"/>
      <c r="H1753" s="77"/>
      <c r="I1753" s="88"/>
      <c r="J1753" s="393">
        <v>44480.0</v>
      </c>
      <c r="K1753" s="393">
        <f t="shared" si="8"/>
        <v>44481</v>
      </c>
      <c r="L1753" s="394" t="str">
        <f>IFERROR(__xludf.DUMMYFUNCTION("JOIN("""", G1753:H1753)"),"")</f>
        <v/>
      </c>
      <c r="M1753" s="80" t="str">
        <f t="shared" si="2"/>
        <v/>
      </c>
    </row>
    <row r="1754">
      <c r="A1754" s="86"/>
      <c r="B1754" s="73"/>
      <c r="C1754" s="73"/>
      <c r="D1754" s="73"/>
      <c r="E1754" s="88"/>
      <c r="F1754" s="73"/>
      <c r="G1754" s="394"/>
      <c r="H1754" s="77"/>
      <c r="I1754" s="88"/>
      <c r="J1754" s="393">
        <v>44480.0</v>
      </c>
      <c r="K1754" s="393">
        <f t="shared" si="8"/>
        <v>44481</v>
      </c>
      <c r="L1754" s="394" t="str">
        <f>IFERROR(__xludf.DUMMYFUNCTION("JOIN("""", G1754:H1754)"),"")</f>
        <v/>
      </c>
      <c r="M1754" s="80" t="str">
        <f t="shared" si="2"/>
        <v/>
      </c>
    </row>
    <row r="1755">
      <c r="A1755" s="86"/>
      <c r="B1755" s="73"/>
      <c r="C1755" s="73"/>
      <c r="D1755" s="73"/>
      <c r="E1755" s="88"/>
      <c r="F1755" s="73"/>
      <c r="G1755" s="394"/>
      <c r="H1755" s="77"/>
      <c r="I1755" s="88"/>
      <c r="J1755" s="393">
        <v>44480.0</v>
      </c>
      <c r="K1755" s="393">
        <f t="shared" si="8"/>
        <v>44481</v>
      </c>
      <c r="L1755" s="394" t="str">
        <f>IFERROR(__xludf.DUMMYFUNCTION("JOIN("""", G1755:H1755)"),"")</f>
        <v/>
      </c>
      <c r="M1755" s="80" t="str">
        <f t="shared" si="2"/>
        <v/>
      </c>
    </row>
    <row r="1756">
      <c r="A1756" s="86"/>
      <c r="B1756" s="73"/>
      <c r="C1756" s="73"/>
      <c r="D1756" s="73"/>
      <c r="E1756" s="88"/>
      <c r="F1756" s="73"/>
      <c r="G1756" s="394"/>
      <c r="H1756" s="77"/>
      <c r="I1756" s="88"/>
      <c r="J1756" s="393">
        <v>44480.0</v>
      </c>
      <c r="K1756" s="393">
        <f t="shared" si="8"/>
        <v>44481</v>
      </c>
      <c r="L1756" s="394" t="str">
        <f>IFERROR(__xludf.DUMMYFUNCTION("JOIN("""", G1756:H1756)"),"")</f>
        <v/>
      </c>
      <c r="M1756" s="80" t="str">
        <f t="shared" si="2"/>
        <v/>
      </c>
    </row>
    <row r="1757">
      <c r="A1757" s="86"/>
      <c r="B1757" s="73"/>
      <c r="C1757" s="73"/>
      <c r="D1757" s="73"/>
      <c r="E1757" s="88"/>
      <c r="F1757" s="73"/>
      <c r="G1757" s="394"/>
      <c r="H1757" s="77"/>
      <c r="I1757" s="88"/>
      <c r="J1757" s="393">
        <v>44494.0</v>
      </c>
      <c r="K1757" s="393">
        <f t="shared" si="8"/>
        <v>44495</v>
      </c>
      <c r="L1757" s="394" t="str">
        <f>IFERROR(__xludf.DUMMYFUNCTION("JOIN("""", G1757:H1757)"),"")</f>
        <v/>
      </c>
      <c r="M1757" s="80" t="str">
        <f t="shared" si="2"/>
        <v/>
      </c>
    </row>
    <row r="1758">
      <c r="A1758" s="86"/>
      <c r="B1758" s="73"/>
      <c r="C1758" s="73"/>
      <c r="D1758" s="73"/>
      <c r="E1758" s="88"/>
      <c r="F1758" s="73"/>
      <c r="G1758" s="394"/>
      <c r="H1758" s="77"/>
      <c r="I1758" s="88"/>
      <c r="J1758" s="393">
        <v>44481.0</v>
      </c>
      <c r="K1758" s="393">
        <f t="shared" si="8"/>
        <v>44482</v>
      </c>
      <c r="L1758" s="394" t="str">
        <f>IFERROR(__xludf.DUMMYFUNCTION("JOIN("""", G1758:H1758)"),"")</f>
        <v/>
      </c>
      <c r="M1758" s="80" t="str">
        <f t="shared" si="2"/>
        <v/>
      </c>
    </row>
    <row r="1759">
      <c r="A1759" s="86"/>
      <c r="B1759" s="73"/>
      <c r="C1759" s="73"/>
      <c r="D1759" s="73"/>
      <c r="E1759" s="88"/>
      <c r="F1759" s="73"/>
      <c r="G1759" s="394"/>
      <c r="H1759" s="77"/>
      <c r="I1759" s="88"/>
      <c r="J1759" s="393">
        <v>44481.0</v>
      </c>
      <c r="K1759" s="393">
        <f t="shared" si="8"/>
        <v>44482</v>
      </c>
      <c r="L1759" s="394" t="str">
        <f>IFERROR(__xludf.DUMMYFUNCTION("JOIN("""", G1759:H1759)"),"")</f>
        <v/>
      </c>
      <c r="M1759" s="80" t="str">
        <f t="shared" si="2"/>
        <v/>
      </c>
    </row>
    <row r="1760">
      <c r="A1760" s="86"/>
      <c r="B1760" s="73"/>
      <c r="C1760" s="73"/>
      <c r="D1760" s="73"/>
      <c r="E1760" s="88"/>
      <c r="F1760" s="73"/>
      <c r="G1760" s="394"/>
      <c r="H1760" s="77"/>
      <c r="I1760" s="88"/>
      <c r="J1760" s="393">
        <v>44481.0</v>
      </c>
      <c r="K1760" s="393">
        <f t="shared" si="8"/>
        <v>44482</v>
      </c>
      <c r="L1760" s="394" t="str">
        <f>IFERROR(__xludf.DUMMYFUNCTION("JOIN("""", G1760:H1760)"),"")</f>
        <v/>
      </c>
      <c r="M1760" s="80" t="str">
        <f t="shared" si="2"/>
        <v/>
      </c>
    </row>
    <row r="1761">
      <c r="A1761" s="86"/>
      <c r="B1761" s="73"/>
      <c r="C1761" s="73"/>
      <c r="D1761" s="73"/>
      <c r="E1761" s="88"/>
      <c r="F1761" s="73"/>
      <c r="G1761" s="394"/>
      <c r="H1761" s="77"/>
      <c r="I1761" s="88"/>
      <c r="J1761" s="393">
        <v>44483.0</v>
      </c>
      <c r="K1761" s="393">
        <f t="shared" si="8"/>
        <v>44484</v>
      </c>
      <c r="L1761" s="394" t="str">
        <f>IFERROR(__xludf.DUMMYFUNCTION("JOIN("""", G1761:H1761)"),"")</f>
        <v/>
      </c>
      <c r="M1761" s="80" t="str">
        <f t="shared" si="2"/>
        <v/>
      </c>
    </row>
    <row r="1762">
      <c r="A1762" s="86"/>
      <c r="B1762" s="73"/>
      <c r="C1762" s="73"/>
      <c r="D1762" s="73"/>
      <c r="E1762" s="88"/>
      <c r="F1762" s="73"/>
      <c r="G1762" s="394"/>
      <c r="H1762" s="77"/>
      <c r="I1762" s="88"/>
      <c r="J1762" s="393">
        <v>44494.0</v>
      </c>
      <c r="K1762" s="393">
        <f t="shared" si="8"/>
        <v>44495</v>
      </c>
      <c r="L1762" s="394" t="str">
        <f>IFERROR(__xludf.DUMMYFUNCTION("JOIN("""", G1762:H1762)"),"")</f>
        <v/>
      </c>
      <c r="M1762" s="80" t="str">
        <f t="shared" si="2"/>
        <v/>
      </c>
    </row>
    <row r="1763">
      <c r="A1763" s="86"/>
      <c r="B1763" s="73"/>
      <c r="C1763" s="73"/>
      <c r="D1763" s="73"/>
      <c r="E1763" s="88"/>
      <c r="F1763" s="73"/>
      <c r="G1763" s="394"/>
      <c r="H1763" s="77"/>
      <c r="I1763" s="88"/>
      <c r="J1763" s="393">
        <v>44485.0</v>
      </c>
      <c r="K1763" s="393">
        <f t="shared" si="8"/>
        <v>44486</v>
      </c>
      <c r="L1763" s="394" t="str">
        <f>IFERROR(__xludf.DUMMYFUNCTION("JOIN("""", G1763:H1763)"),"")</f>
        <v/>
      </c>
      <c r="M1763" s="80" t="str">
        <f t="shared" si="2"/>
        <v/>
      </c>
    </row>
    <row r="1764">
      <c r="A1764" s="86"/>
      <c r="B1764" s="73"/>
      <c r="C1764" s="73"/>
      <c r="D1764" s="73"/>
      <c r="E1764" s="88"/>
      <c r="F1764" s="73"/>
      <c r="G1764" s="394"/>
      <c r="H1764" s="77"/>
      <c r="I1764" s="88"/>
      <c r="J1764" s="393">
        <v>44485.0</v>
      </c>
      <c r="K1764" s="393">
        <f t="shared" si="8"/>
        <v>44486</v>
      </c>
      <c r="L1764" s="394" t="str">
        <f>IFERROR(__xludf.DUMMYFUNCTION("JOIN("""", G1764:H1764)"),"")</f>
        <v/>
      </c>
      <c r="M1764" s="80" t="str">
        <f t="shared" si="2"/>
        <v/>
      </c>
    </row>
    <row r="1765">
      <c r="A1765" s="86"/>
      <c r="B1765" s="73"/>
      <c r="C1765" s="73"/>
      <c r="D1765" s="73"/>
      <c r="E1765" s="88"/>
      <c r="F1765" s="73"/>
      <c r="G1765" s="394"/>
      <c r="H1765" s="77"/>
      <c r="I1765" s="88"/>
      <c r="J1765" s="393">
        <v>44485.0</v>
      </c>
      <c r="K1765" s="393">
        <f t="shared" si="8"/>
        <v>44486</v>
      </c>
      <c r="L1765" s="394" t="str">
        <f>IFERROR(__xludf.DUMMYFUNCTION("JOIN("""", G1765:H1765)"),"")</f>
        <v/>
      </c>
      <c r="M1765" s="80" t="str">
        <f t="shared" si="2"/>
        <v/>
      </c>
    </row>
    <row r="1766">
      <c r="A1766" s="86"/>
      <c r="B1766" s="73"/>
      <c r="C1766" s="73"/>
      <c r="D1766" s="73"/>
      <c r="E1766" s="88"/>
      <c r="F1766" s="73"/>
      <c r="G1766" s="394"/>
      <c r="H1766" s="77"/>
      <c r="I1766" s="88"/>
      <c r="J1766" s="393">
        <v>44485.0</v>
      </c>
      <c r="K1766" s="393">
        <f t="shared" si="8"/>
        <v>44486</v>
      </c>
      <c r="L1766" s="394" t="str">
        <f>IFERROR(__xludf.DUMMYFUNCTION("JOIN("""", G1766:H1766)"),"")</f>
        <v/>
      </c>
      <c r="M1766" s="80" t="str">
        <f t="shared" si="2"/>
        <v/>
      </c>
    </row>
    <row r="1767">
      <c r="A1767" s="86"/>
      <c r="B1767" s="73"/>
      <c r="C1767" s="73"/>
      <c r="D1767" s="73"/>
      <c r="E1767" s="88"/>
      <c r="F1767" s="73"/>
      <c r="G1767" s="394"/>
      <c r="H1767" s="77"/>
      <c r="I1767" s="88"/>
      <c r="J1767" s="393">
        <v>44485.0</v>
      </c>
      <c r="K1767" s="393">
        <f t="shared" si="8"/>
        <v>44486</v>
      </c>
      <c r="L1767" s="394" t="str">
        <f>IFERROR(__xludf.DUMMYFUNCTION("JOIN("""", G1767:H1767)"),"")</f>
        <v/>
      </c>
      <c r="M1767" s="80" t="str">
        <f t="shared" si="2"/>
        <v/>
      </c>
    </row>
    <row r="1768">
      <c r="A1768" s="86"/>
      <c r="B1768" s="73"/>
      <c r="C1768" s="73"/>
      <c r="D1768" s="73"/>
      <c r="E1768" s="88"/>
      <c r="F1768" s="73"/>
      <c r="G1768" s="394"/>
      <c r="H1768" s="77"/>
      <c r="I1768" s="88"/>
      <c r="J1768" s="393">
        <v>44485.0</v>
      </c>
      <c r="K1768" s="393">
        <f t="shared" si="8"/>
        <v>44486</v>
      </c>
      <c r="L1768" s="394" t="str">
        <f>IFERROR(__xludf.DUMMYFUNCTION("JOIN("""", G1768:H1768)"),"")</f>
        <v/>
      </c>
      <c r="M1768" s="80" t="str">
        <f t="shared" si="2"/>
        <v/>
      </c>
    </row>
    <row r="1769">
      <c r="A1769" s="86"/>
      <c r="B1769" s="73"/>
      <c r="C1769" s="398"/>
      <c r="D1769" s="73"/>
      <c r="E1769" s="88"/>
      <c r="F1769" s="73"/>
      <c r="G1769" s="394"/>
      <c r="H1769" s="77"/>
      <c r="I1769" s="88"/>
      <c r="J1769" s="393">
        <v>44485.0</v>
      </c>
      <c r="K1769" s="393">
        <f t="shared" si="8"/>
        <v>44486</v>
      </c>
      <c r="L1769" s="394" t="str">
        <f>IFERROR(__xludf.DUMMYFUNCTION("JOIN("""", G1769:H1769)"),"")</f>
        <v/>
      </c>
      <c r="M1769" s="80" t="str">
        <f t="shared" si="2"/>
        <v/>
      </c>
    </row>
    <row r="1770">
      <c r="A1770" s="86"/>
      <c r="B1770" s="73"/>
      <c r="C1770" s="73"/>
      <c r="D1770" s="73"/>
      <c r="E1770" s="88"/>
      <c r="F1770" s="73"/>
      <c r="G1770" s="394"/>
      <c r="H1770" s="77"/>
      <c r="I1770" s="88"/>
      <c r="J1770" s="393">
        <v>44486.0</v>
      </c>
      <c r="K1770" s="393">
        <f t="shared" si="8"/>
        <v>44487</v>
      </c>
      <c r="L1770" s="394" t="str">
        <f>IFERROR(__xludf.DUMMYFUNCTION("JOIN("""", G1770:H1770)"),"")</f>
        <v/>
      </c>
      <c r="M1770" s="80" t="str">
        <f t="shared" si="2"/>
        <v/>
      </c>
    </row>
    <row r="1771">
      <c r="A1771" s="86"/>
      <c r="B1771" s="73"/>
      <c r="C1771" s="73"/>
      <c r="D1771" s="73"/>
      <c r="E1771" s="88"/>
      <c r="F1771" s="73"/>
      <c r="G1771" s="394"/>
      <c r="H1771" s="77"/>
      <c r="I1771" s="88"/>
      <c r="J1771" s="393">
        <v>44486.0</v>
      </c>
      <c r="K1771" s="393">
        <f t="shared" si="8"/>
        <v>44487</v>
      </c>
      <c r="L1771" s="394" t="str">
        <f>IFERROR(__xludf.DUMMYFUNCTION("JOIN("""", G1771:H1771)"),"")</f>
        <v/>
      </c>
      <c r="M1771" s="80" t="str">
        <f t="shared" si="2"/>
        <v/>
      </c>
    </row>
    <row r="1772">
      <c r="A1772" s="86"/>
      <c r="B1772" s="73"/>
      <c r="C1772" s="73"/>
      <c r="D1772" s="73"/>
      <c r="E1772" s="88"/>
      <c r="F1772" s="73"/>
      <c r="G1772" s="394"/>
      <c r="H1772" s="77"/>
      <c r="I1772" s="88"/>
      <c r="J1772" s="393">
        <v>44510.0</v>
      </c>
      <c r="K1772" s="393">
        <f t="shared" si="8"/>
        <v>44511</v>
      </c>
      <c r="L1772" s="394" t="str">
        <f>IFERROR(__xludf.DUMMYFUNCTION("JOIN("""", G1772:H1772)"),"")</f>
        <v/>
      </c>
      <c r="M1772" s="80" t="str">
        <f t="shared" si="2"/>
        <v/>
      </c>
    </row>
    <row r="1773">
      <c r="A1773" s="86"/>
      <c r="B1773" s="73"/>
      <c r="C1773" s="73"/>
      <c r="D1773" s="73"/>
      <c r="E1773" s="88"/>
      <c r="F1773" s="73"/>
      <c r="G1773" s="394"/>
      <c r="H1773" s="77"/>
      <c r="I1773" s="88"/>
      <c r="J1773" s="393">
        <v>44487.0</v>
      </c>
      <c r="K1773" s="393">
        <f t="shared" si="8"/>
        <v>44488</v>
      </c>
      <c r="L1773" s="394" t="str">
        <f>IFERROR(__xludf.DUMMYFUNCTION("JOIN("""", G1773:H1773)"),"")</f>
        <v/>
      </c>
      <c r="M1773" s="80" t="str">
        <f t="shared" si="2"/>
        <v/>
      </c>
    </row>
    <row r="1774">
      <c r="A1774" s="86"/>
      <c r="B1774" s="73"/>
      <c r="C1774" s="73"/>
      <c r="D1774" s="73"/>
      <c r="E1774" s="88"/>
      <c r="F1774" s="73"/>
      <c r="G1774" s="394"/>
      <c r="H1774" s="77"/>
      <c r="I1774" s="88"/>
      <c r="J1774" s="393">
        <v>44487.0</v>
      </c>
      <c r="K1774" s="393">
        <f t="shared" si="8"/>
        <v>44488</v>
      </c>
      <c r="L1774" s="394" t="str">
        <f>IFERROR(__xludf.DUMMYFUNCTION("JOIN("""", G1774:H1774)"),"")</f>
        <v/>
      </c>
      <c r="M1774" s="80" t="str">
        <f t="shared" si="2"/>
        <v/>
      </c>
    </row>
    <row r="1775">
      <c r="A1775" s="86"/>
      <c r="B1775" s="73"/>
      <c r="C1775" s="73"/>
      <c r="D1775" s="73"/>
      <c r="E1775" s="88"/>
      <c r="F1775" s="73"/>
      <c r="G1775" s="394"/>
      <c r="H1775" s="77"/>
      <c r="I1775" s="88"/>
      <c r="J1775" s="393">
        <v>44487.0</v>
      </c>
      <c r="K1775" s="393">
        <f t="shared" si="8"/>
        <v>44488</v>
      </c>
      <c r="L1775" s="394" t="str">
        <f>IFERROR(__xludf.DUMMYFUNCTION("JOIN("""", G1775:H1775)"),"")</f>
        <v/>
      </c>
      <c r="M1775" s="80" t="str">
        <f t="shared" si="2"/>
        <v/>
      </c>
    </row>
    <row r="1776">
      <c r="A1776" s="86"/>
      <c r="B1776" s="73"/>
      <c r="C1776" s="73"/>
      <c r="D1776" s="73"/>
      <c r="E1776" s="88"/>
      <c r="F1776" s="73"/>
      <c r="G1776" s="394"/>
      <c r="H1776" s="77"/>
      <c r="I1776" s="88"/>
      <c r="J1776" s="393">
        <v>44494.0</v>
      </c>
      <c r="K1776" s="393">
        <f t="shared" si="8"/>
        <v>44495</v>
      </c>
      <c r="L1776" s="394" t="str">
        <f>IFERROR(__xludf.DUMMYFUNCTION("JOIN("""", G1776:H1776)"),"")</f>
        <v/>
      </c>
      <c r="M1776" s="80" t="str">
        <f t="shared" si="2"/>
        <v/>
      </c>
    </row>
    <row r="1777">
      <c r="A1777" s="86"/>
      <c r="B1777" s="73"/>
      <c r="C1777" s="73"/>
      <c r="D1777" s="73"/>
      <c r="E1777" s="88"/>
      <c r="F1777" s="73"/>
      <c r="G1777" s="394"/>
      <c r="H1777" s="77"/>
      <c r="I1777" s="88"/>
      <c r="J1777" s="393">
        <v>44487.0</v>
      </c>
      <c r="K1777" s="393">
        <f t="shared" si="8"/>
        <v>44488</v>
      </c>
      <c r="L1777" s="394" t="str">
        <f>IFERROR(__xludf.DUMMYFUNCTION("JOIN("""", G1777:H1777)"),"")</f>
        <v/>
      </c>
      <c r="M1777" s="80" t="str">
        <f t="shared" si="2"/>
        <v/>
      </c>
    </row>
    <row r="1778">
      <c r="A1778" s="86"/>
      <c r="B1778" s="73"/>
      <c r="C1778" s="73"/>
      <c r="D1778" s="73"/>
      <c r="E1778" s="88"/>
      <c r="F1778" s="73"/>
      <c r="G1778" s="394"/>
      <c r="H1778" s="77"/>
      <c r="I1778" s="88"/>
      <c r="J1778" s="393">
        <v>44487.0</v>
      </c>
      <c r="K1778" s="393">
        <f t="shared" si="8"/>
        <v>44488</v>
      </c>
      <c r="L1778" s="394" t="str">
        <f>IFERROR(__xludf.DUMMYFUNCTION("JOIN("""", G1778:H1778)"),"")</f>
        <v/>
      </c>
      <c r="M1778" s="80" t="str">
        <f t="shared" si="2"/>
        <v/>
      </c>
    </row>
    <row r="1779">
      <c r="A1779" s="86"/>
      <c r="B1779" s="73"/>
      <c r="C1779" s="73"/>
      <c r="D1779" s="73"/>
      <c r="E1779" s="88"/>
      <c r="F1779" s="73"/>
      <c r="G1779" s="394"/>
      <c r="H1779" s="77"/>
      <c r="I1779" s="88"/>
      <c r="J1779" s="407">
        <v>44532.0</v>
      </c>
      <c r="K1779" s="393">
        <f t="shared" si="8"/>
        <v>44533</v>
      </c>
      <c r="L1779" s="394" t="str">
        <f>IFERROR(__xludf.DUMMYFUNCTION("JOIN("""", G1779:H1779)"),"")</f>
        <v/>
      </c>
      <c r="M1779" s="80" t="str">
        <f t="shared" si="2"/>
        <v/>
      </c>
    </row>
    <row r="1780">
      <c r="A1780" s="86"/>
      <c r="B1780" s="73"/>
      <c r="C1780" s="73"/>
      <c r="D1780" s="73"/>
      <c r="E1780" s="88"/>
      <c r="F1780" s="73"/>
      <c r="G1780" s="394"/>
      <c r="H1780" s="77"/>
      <c r="I1780" s="88"/>
      <c r="J1780" s="393">
        <v>44487.0</v>
      </c>
      <c r="K1780" s="393">
        <f t="shared" si="8"/>
        <v>44488</v>
      </c>
      <c r="L1780" s="394" t="str">
        <f>IFERROR(__xludf.DUMMYFUNCTION("JOIN("""", G1780:H1780)"),"")</f>
        <v/>
      </c>
      <c r="M1780" s="80" t="str">
        <f t="shared" si="2"/>
        <v/>
      </c>
    </row>
    <row r="1781">
      <c r="A1781" s="86"/>
      <c r="B1781" s="73"/>
      <c r="C1781" s="73"/>
      <c r="D1781" s="73"/>
      <c r="E1781" s="88"/>
      <c r="F1781" s="73"/>
      <c r="G1781" s="394"/>
      <c r="H1781" s="77"/>
      <c r="I1781" s="88"/>
      <c r="J1781" s="393">
        <v>44488.0</v>
      </c>
      <c r="K1781" s="393">
        <f t="shared" si="8"/>
        <v>44489</v>
      </c>
      <c r="L1781" s="394" t="str">
        <f>IFERROR(__xludf.DUMMYFUNCTION("JOIN("""", G1781:H1781)"),"")</f>
        <v/>
      </c>
      <c r="M1781" s="80" t="str">
        <f t="shared" si="2"/>
        <v/>
      </c>
    </row>
    <row r="1782">
      <c r="A1782" s="86"/>
      <c r="B1782" s="73"/>
      <c r="C1782" s="73"/>
      <c r="D1782" s="73"/>
      <c r="E1782" s="88"/>
      <c r="F1782" s="73"/>
      <c r="G1782" s="394"/>
      <c r="H1782" s="77"/>
      <c r="I1782" s="88"/>
      <c r="J1782" s="393">
        <v>44488.0</v>
      </c>
      <c r="K1782" s="393">
        <f t="shared" si="8"/>
        <v>44489</v>
      </c>
      <c r="L1782" s="394" t="str">
        <f>IFERROR(__xludf.DUMMYFUNCTION("JOIN("""", G1782:H1782)"),"")</f>
        <v/>
      </c>
      <c r="M1782" s="80" t="str">
        <f t="shared" si="2"/>
        <v/>
      </c>
    </row>
    <row r="1783">
      <c r="A1783" s="86"/>
      <c r="B1783" s="73"/>
      <c r="C1783" s="73"/>
      <c r="D1783" s="73"/>
      <c r="E1783" s="88"/>
      <c r="F1783" s="73"/>
      <c r="G1783" s="394"/>
      <c r="H1783" s="77"/>
      <c r="I1783" s="88"/>
      <c r="J1783" s="393">
        <v>44488.0</v>
      </c>
      <c r="K1783" s="393">
        <f t="shared" si="8"/>
        <v>44489</v>
      </c>
      <c r="L1783" s="394" t="str">
        <f>IFERROR(__xludf.DUMMYFUNCTION("JOIN("""", G1783:H1783)"),"")</f>
        <v/>
      </c>
      <c r="M1783" s="80" t="str">
        <f t="shared" si="2"/>
        <v/>
      </c>
    </row>
    <row r="1784">
      <c r="A1784" s="86"/>
      <c r="B1784" s="73"/>
      <c r="C1784" s="73"/>
      <c r="D1784" s="73"/>
      <c r="E1784" s="88"/>
      <c r="F1784" s="73"/>
      <c r="G1784" s="394"/>
      <c r="H1784" s="77"/>
      <c r="I1784" s="88"/>
      <c r="J1784" s="393">
        <v>44488.0</v>
      </c>
      <c r="K1784" s="393">
        <f t="shared" si="8"/>
        <v>44489</v>
      </c>
      <c r="L1784" s="394" t="str">
        <f>IFERROR(__xludf.DUMMYFUNCTION("JOIN("""", G1784:H1784)"),"")</f>
        <v/>
      </c>
      <c r="M1784" s="80" t="str">
        <f t="shared" si="2"/>
        <v/>
      </c>
    </row>
    <row r="1785">
      <c r="A1785" s="86"/>
      <c r="B1785" s="73"/>
      <c r="C1785" s="73"/>
      <c r="D1785" s="73"/>
      <c r="E1785" s="88"/>
      <c r="F1785" s="73"/>
      <c r="G1785" s="394"/>
      <c r="H1785" s="77"/>
      <c r="I1785" s="88"/>
      <c r="J1785" s="393">
        <v>44488.0</v>
      </c>
      <c r="K1785" s="393">
        <f t="shared" si="8"/>
        <v>44489</v>
      </c>
      <c r="L1785" s="394" t="str">
        <f>IFERROR(__xludf.DUMMYFUNCTION("JOIN("""", G1785:H1785)"),"")</f>
        <v/>
      </c>
      <c r="M1785" s="80" t="str">
        <f t="shared" si="2"/>
        <v/>
      </c>
    </row>
    <row r="1786">
      <c r="A1786" s="86"/>
      <c r="B1786" s="73"/>
      <c r="C1786" s="73"/>
      <c r="D1786" s="73"/>
      <c r="E1786" s="88"/>
      <c r="F1786" s="73"/>
      <c r="G1786" s="394"/>
      <c r="H1786" s="77"/>
      <c r="I1786" s="88"/>
      <c r="J1786" s="393">
        <v>44492.0</v>
      </c>
      <c r="K1786" s="393">
        <f t="shared" si="8"/>
        <v>44493</v>
      </c>
      <c r="L1786" s="394" t="str">
        <f>IFERROR(__xludf.DUMMYFUNCTION("JOIN("""", G1786:H1786)"),"")</f>
        <v/>
      </c>
      <c r="M1786" s="80" t="str">
        <f t="shared" si="2"/>
        <v/>
      </c>
    </row>
    <row r="1787">
      <c r="A1787" s="86"/>
      <c r="B1787" s="73"/>
      <c r="C1787" s="73"/>
      <c r="D1787" s="73"/>
      <c r="E1787" s="88"/>
      <c r="F1787" s="73"/>
      <c r="G1787" s="394"/>
      <c r="H1787" s="77"/>
      <c r="I1787" s="88"/>
      <c r="J1787" s="393">
        <v>44489.0</v>
      </c>
      <c r="K1787" s="393">
        <f t="shared" si="8"/>
        <v>44490</v>
      </c>
      <c r="L1787" s="394" t="str">
        <f>IFERROR(__xludf.DUMMYFUNCTION("JOIN("""", G1787:H1787)"),"")</f>
        <v/>
      </c>
      <c r="M1787" s="80" t="str">
        <f t="shared" si="2"/>
        <v/>
      </c>
    </row>
    <row r="1788">
      <c r="A1788" s="86"/>
      <c r="B1788" s="73"/>
      <c r="C1788" s="73"/>
      <c r="D1788" s="73"/>
      <c r="E1788" s="88"/>
      <c r="F1788" s="73"/>
      <c r="G1788" s="394"/>
      <c r="H1788" s="77"/>
      <c r="I1788" s="88"/>
      <c r="J1788" s="393">
        <v>44489.0</v>
      </c>
      <c r="K1788" s="393">
        <f t="shared" si="8"/>
        <v>44490</v>
      </c>
      <c r="L1788" s="394" t="str">
        <f>IFERROR(__xludf.DUMMYFUNCTION("JOIN("""", G1788:H1788)"),"")</f>
        <v/>
      </c>
      <c r="M1788" s="80" t="str">
        <f t="shared" si="2"/>
        <v/>
      </c>
    </row>
    <row r="1789">
      <c r="A1789" s="86"/>
      <c r="B1789" s="73"/>
      <c r="C1789" s="73"/>
      <c r="D1789" s="73"/>
      <c r="E1789" s="88"/>
      <c r="F1789" s="73"/>
      <c r="G1789" s="394"/>
      <c r="H1789" s="77"/>
      <c r="I1789" s="88"/>
      <c r="J1789" s="393">
        <v>44489.0</v>
      </c>
      <c r="K1789" s="393">
        <f t="shared" si="8"/>
        <v>44490</v>
      </c>
      <c r="L1789" s="394" t="str">
        <f>IFERROR(__xludf.DUMMYFUNCTION("JOIN("""", G1789:H1789)"),"")</f>
        <v/>
      </c>
      <c r="M1789" s="80" t="str">
        <f t="shared" si="2"/>
        <v/>
      </c>
    </row>
    <row r="1790">
      <c r="A1790" s="86"/>
      <c r="B1790" s="73"/>
      <c r="C1790" s="73"/>
      <c r="D1790" s="73"/>
      <c r="E1790" s="88"/>
      <c r="F1790" s="73"/>
      <c r="G1790" s="394"/>
      <c r="H1790" s="77"/>
      <c r="I1790" s="88"/>
      <c r="J1790" s="393">
        <v>44489.0</v>
      </c>
      <c r="K1790" s="393">
        <f t="shared" si="8"/>
        <v>44490</v>
      </c>
      <c r="L1790" s="394" t="str">
        <f>IFERROR(__xludf.DUMMYFUNCTION("JOIN("""", G1790:H1790)"),"")</f>
        <v/>
      </c>
      <c r="M1790" s="80" t="str">
        <f t="shared" si="2"/>
        <v/>
      </c>
    </row>
    <row r="1791">
      <c r="A1791" s="86"/>
      <c r="B1791" s="73"/>
      <c r="C1791" s="73"/>
      <c r="D1791" s="73"/>
      <c r="E1791" s="88"/>
      <c r="F1791" s="73"/>
      <c r="G1791" s="394"/>
      <c r="H1791" s="77"/>
      <c r="I1791" s="88"/>
      <c r="J1791" s="393">
        <v>44489.0</v>
      </c>
      <c r="K1791" s="393">
        <f t="shared" si="8"/>
        <v>44490</v>
      </c>
      <c r="L1791" s="394" t="str">
        <f>IFERROR(__xludf.DUMMYFUNCTION("JOIN("""", G1791:H1791)"),"")</f>
        <v/>
      </c>
      <c r="M1791" s="80" t="str">
        <f t="shared" si="2"/>
        <v/>
      </c>
    </row>
    <row r="1792">
      <c r="A1792" s="86"/>
      <c r="B1792" s="73"/>
      <c r="C1792" s="73"/>
      <c r="D1792" s="73"/>
      <c r="E1792" s="88"/>
      <c r="F1792" s="73"/>
      <c r="G1792" s="394"/>
      <c r="H1792" s="77"/>
      <c r="I1792" s="88"/>
      <c r="J1792" s="393">
        <v>44490.0</v>
      </c>
      <c r="K1792" s="393">
        <f t="shared" si="8"/>
        <v>44491</v>
      </c>
      <c r="L1792" s="394" t="str">
        <f>IFERROR(__xludf.DUMMYFUNCTION("JOIN("""", G1792:H1792)"),"")</f>
        <v/>
      </c>
      <c r="M1792" s="80" t="str">
        <f t="shared" si="2"/>
        <v/>
      </c>
    </row>
    <row r="1793">
      <c r="A1793" s="86"/>
      <c r="B1793" s="73"/>
      <c r="C1793" s="73"/>
      <c r="D1793" s="73"/>
      <c r="E1793" s="88"/>
      <c r="F1793" s="73"/>
      <c r="G1793" s="394"/>
      <c r="H1793" s="77"/>
      <c r="I1793" s="88"/>
      <c r="J1793" s="393">
        <v>44494.0</v>
      </c>
      <c r="K1793" s="393">
        <f t="shared" si="8"/>
        <v>44495</v>
      </c>
      <c r="L1793" s="394" t="str">
        <f>IFERROR(__xludf.DUMMYFUNCTION("JOIN("""", G1793:H1793)"),"")</f>
        <v/>
      </c>
      <c r="M1793" s="80" t="str">
        <f t="shared" si="2"/>
        <v/>
      </c>
    </row>
    <row r="1794">
      <c r="A1794" s="86"/>
      <c r="B1794" s="73"/>
      <c r="C1794" s="73"/>
      <c r="D1794" s="73"/>
      <c r="E1794" s="88"/>
      <c r="F1794" s="73"/>
      <c r="G1794" s="394"/>
      <c r="H1794" s="77"/>
      <c r="I1794" s="88"/>
      <c r="J1794" s="393">
        <v>44490.0</v>
      </c>
      <c r="K1794" s="393">
        <f t="shared" si="8"/>
        <v>44491</v>
      </c>
      <c r="L1794" s="394" t="str">
        <f>IFERROR(__xludf.DUMMYFUNCTION("JOIN("""", G1794:H1794)"),"")</f>
        <v/>
      </c>
      <c r="M1794" s="80" t="str">
        <f t="shared" si="2"/>
        <v/>
      </c>
    </row>
    <row r="1795">
      <c r="A1795" s="86"/>
      <c r="B1795" s="73"/>
      <c r="C1795" s="73"/>
      <c r="D1795" s="73"/>
      <c r="E1795" s="88"/>
      <c r="F1795" s="73"/>
      <c r="G1795" s="394"/>
      <c r="H1795" s="77"/>
      <c r="I1795" s="88"/>
      <c r="J1795" s="393">
        <v>44490.0</v>
      </c>
      <c r="K1795" s="393">
        <f t="shared" si="8"/>
        <v>44491</v>
      </c>
      <c r="L1795" s="394" t="str">
        <f>IFERROR(__xludf.DUMMYFUNCTION("JOIN("""", G1795:H1795)"),"")</f>
        <v/>
      </c>
      <c r="M1795" s="80" t="str">
        <f t="shared" si="2"/>
        <v/>
      </c>
    </row>
    <row r="1796">
      <c r="A1796" s="86"/>
      <c r="B1796" s="73"/>
      <c r="C1796" s="73"/>
      <c r="D1796" s="73"/>
      <c r="E1796" s="88"/>
      <c r="F1796" s="73"/>
      <c r="G1796" s="394"/>
      <c r="H1796" s="77"/>
      <c r="I1796" s="88"/>
      <c r="J1796" s="393">
        <v>44490.0</v>
      </c>
      <c r="K1796" s="393">
        <f t="shared" si="8"/>
        <v>44491</v>
      </c>
      <c r="L1796" s="394" t="str">
        <f>IFERROR(__xludf.DUMMYFUNCTION("JOIN("""", G1796:H1796)"),"")</f>
        <v/>
      </c>
      <c r="M1796" s="80" t="str">
        <f t="shared" si="2"/>
        <v/>
      </c>
    </row>
    <row r="1797">
      <c r="A1797" s="86"/>
      <c r="B1797" s="73"/>
      <c r="C1797" s="73"/>
      <c r="D1797" s="73"/>
      <c r="E1797" s="88"/>
      <c r="F1797" s="73"/>
      <c r="G1797" s="394"/>
      <c r="H1797" s="77"/>
      <c r="I1797" s="88"/>
      <c r="J1797" s="393">
        <v>44490.0</v>
      </c>
      <c r="K1797" s="393">
        <f t="shared" si="8"/>
        <v>44491</v>
      </c>
      <c r="L1797" s="394" t="str">
        <f>IFERROR(__xludf.DUMMYFUNCTION("JOIN("""", G1797:H1797)"),"")</f>
        <v/>
      </c>
      <c r="M1797" s="80" t="str">
        <f t="shared" si="2"/>
        <v/>
      </c>
    </row>
    <row r="1798">
      <c r="A1798" s="86"/>
      <c r="B1798" s="73"/>
      <c r="C1798" s="73"/>
      <c r="D1798" s="73"/>
      <c r="E1798" s="88"/>
      <c r="F1798" s="73"/>
      <c r="G1798" s="394"/>
      <c r="H1798" s="77"/>
      <c r="I1798" s="88"/>
      <c r="J1798" s="393">
        <v>44491.0</v>
      </c>
      <c r="K1798" s="393">
        <f t="shared" si="8"/>
        <v>44492</v>
      </c>
      <c r="L1798" s="394" t="str">
        <f>IFERROR(__xludf.DUMMYFUNCTION("JOIN("""", G1798:H1798)"),"")</f>
        <v/>
      </c>
      <c r="M1798" s="80" t="str">
        <f t="shared" si="2"/>
        <v/>
      </c>
    </row>
    <row r="1799">
      <c r="A1799" s="86"/>
      <c r="B1799" s="73"/>
      <c r="C1799" s="73"/>
      <c r="D1799" s="73"/>
      <c r="E1799" s="88"/>
      <c r="F1799" s="73"/>
      <c r="G1799" s="394"/>
      <c r="H1799" s="77"/>
      <c r="I1799" s="88"/>
      <c r="J1799" s="408">
        <v>44491.0</v>
      </c>
      <c r="K1799" s="393">
        <f t="shared" si="8"/>
        <v>44492</v>
      </c>
      <c r="L1799" s="394" t="str">
        <f>IFERROR(__xludf.DUMMYFUNCTION("JOIN("""", G1799:H1799)"),"")</f>
        <v/>
      </c>
      <c r="M1799" s="80" t="str">
        <f t="shared" si="2"/>
        <v/>
      </c>
    </row>
    <row r="1800">
      <c r="A1800" s="86"/>
      <c r="B1800" s="73"/>
      <c r="C1800" s="73"/>
      <c r="D1800" s="73"/>
      <c r="E1800" s="88"/>
      <c r="F1800" s="73"/>
      <c r="G1800" s="394"/>
      <c r="H1800" s="77"/>
      <c r="I1800" s="88"/>
      <c r="J1800" s="393">
        <v>44491.0</v>
      </c>
      <c r="K1800" s="393">
        <f t="shared" si="8"/>
        <v>44492</v>
      </c>
      <c r="L1800" s="394" t="str">
        <f>IFERROR(__xludf.DUMMYFUNCTION("JOIN("""", G1800:H1800)"),"")</f>
        <v/>
      </c>
      <c r="M1800" s="80" t="str">
        <f t="shared" si="2"/>
        <v/>
      </c>
    </row>
    <row r="1801">
      <c r="A1801" s="86"/>
      <c r="B1801" s="73"/>
      <c r="C1801" s="73"/>
      <c r="D1801" s="73"/>
      <c r="E1801" s="88"/>
      <c r="F1801" s="73"/>
      <c r="G1801" s="394"/>
      <c r="H1801" s="77"/>
      <c r="I1801" s="88"/>
      <c r="J1801" s="393">
        <v>44494.0</v>
      </c>
      <c r="K1801" s="393">
        <f t="shared" si="8"/>
        <v>44495</v>
      </c>
      <c r="L1801" s="394" t="str">
        <f>IFERROR(__xludf.DUMMYFUNCTION("JOIN("""", G1801:H1801)"),"")</f>
        <v/>
      </c>
      <c r="M1801" s="80" t="str">
        <f t="shared" si="2"/>
        <v/>
      </c>
    </row>
    <row r="1802">
      <c r="A1802" s="86"/>
      <c r="B1802" s="73"/>
      <c r="C1802" s="73"/>
      <c r="D1802" s="73"/>
      <c r="E1802" s="88"/>
      <c r="F1802" s="73"/>
      <c r="G1802" s="394"/>
      <c r="H1802" s="77"/>
      <c r="I1802" s="88"/>
      <c r="J1802" s="393">
        <v>44492.0</v>
      </c>
      <c r="K1802" s="393">
        <f t="shared" si="8"/>
        <v>44493</v>
      </c>
      <c r="L1802" s="394" t="str">
        <f>IFERROR(__xludf.DUMMYFUNCTION("JOIN("""", G1802:H1802)"),"")</f>
        <v/>
      </c>
      <c r="M1802" s="80" t="str">
        <f t="shared" si="2"/>
        <v/>
      </c>
    </row>
    <row r="1803">
      <c r="A1803" s="86"/>
      <c r="B1803" s="73"/>
      <c r="C1803" s="88"/>
      <c r="D1803" s="73"/>
      <c r="E1803" s="88"/>
      <c r="F1803" s="73"/>
      <c r="G1803" s="394"/>
      <c r="H1803" s="86"/>
      <c r="I1803" s="88"/>
      <c r="J1803" s="393">
        <v>44494.0</v>
      </c>
      <c r="K1803" s="393">
        <f t="shared" si="8"/>
        <v>44495</v>
      </c>
      <c r="L1803" s="394" t="str">
        <f>IFERROR(__xludf.DUMMYFUNCTION("JOIN("""", G1803:H1803)"),"")</f>
        <v/>
      </c>
      <c r="M1803" s="80" t="str">
        <f t="shared" si="2"/>
        <v/>
      </c>
    </row>
    <row r="1804">
      <c r="A1804" s="86"/>
      <c r="B1804" s="73"/>
      <c r="C1804" s="88"/>
      <c r="D1804" s="73"/>
      <c r="E1804" s="88"/>
      <c r="F1804" s="73"/>
      <c r="G1804" s="394"/>
      <c r="H1804" s="86"/>
      <c r="I1804" s="88"/>
      <c r="J1804" s="393">
        <v>44494.0</v>
      </c>
      <c r="K1804" s="393">
        <f t="shared" si="8"/>
        <v>44495</v>
      </c>
      <c r="L1804" s="394" t="str">
        <f>IFERROR(__xludf.DUMMYFUNCTION("JOIN("""", G1804:H1804)"),"")</f>
        <v/>
      </c>
      <c r="M1804" s="80" t="str">
        <f t="shared" si="2"/>
        <v/>
      </c>
    </row>
    <row r="1805">
      <c r="A1805" s="86"/>
      <c r="B1805" s="88"/>
      <c r="C1805" s="88"/>
      <c r="D1805" s="73"/>
      <c r="E1805" s="88"/>
      <c r="F1805" s="73"/>
      <c r="G1805" s="394"/>
      <c r="H1805" s="86"/>
      <c r="I1805" s="88"/>
      <c r="J1805" s="393">
        <v>44494.0</v>
      </c>
      <c r="K1805" s="393">
        <f t="shared" si="8"/>
        <v>44495</v>
      </c>
      <c r="L1805" s="394" t="str">
        <f>IFERROR(__xludf.DUMMYFUNCTION("JOIN("""", G1805:H1805)"),"")</f>
        <v/>
      </c>
      <c r="M1805" s="80" t="str">
        <f t="shared" si="2"/>
        <v/>
      </c>
    </row>
    <row r="1806">
      <c r="A1806" s="86"/>
      <c r="B1806" s="88"/>
      <c r="C1806" s="88"/>
      <c r="D1806" s="73"/>
      <c r="E1806" s="88"/>
      <c r="F1806" s="73"/>
      <c r="G1806" s="394"/>
      <c r="H1806" s="86"/>
      <c r="I1806" s="88"/>
      <c r="J1806" s="393">
        <v>44494.0</v>
      </c>
      <c r="K1806" s="393">
        <f t="shared" si="8"/>
        <v>44495</v>
      </c>
      <c r="L1806" s="394" t="str">
        <f>IFERROR(__xludf.DUMMYFUNCTION("JOIN("""", G1806:H1806)"),"")</f>
        <v/>
      </c>
      <c r="M1806" s="80" t="str">
        <f t="shared" si="2"/>
        <v/>
      </c>
    </row>
    <row r="1807">
      <c r="A1807" s="86"/>
      <c r="B1807" s="73"/>
      <c r="C1807" s="88"/>
      <c r="D1807" s="73"/>
      <c r="E1807" s="88"/>
      <c r="F1807" s="73"/>
      <c r="G1807" s="394"/>
      <c r="H1807" s="86"/>
      <c r="I1807" s="88"/>
      <c r="J1807" s="393">
        <v>44494.0</v>
      </c>
      <c r="K1807" s="393">
        <f t="shared" si="8"/>
        <v>44495</v>
      </c>
      <c r="L1807" s="394" t="str">
        <f>IFERROR(__xludf.DUMMYFUNCTION("JOIN("""", G1807:H1807)"),"")</f>
        <v/>
      </c>
      <c r="M1807" s="80" t="str">
        <f t="shared" si="2"/>
        <v/>
      </c>
    </row>
    <row r="1808">
      <c r="A1808" s="86"/>
      <c r="B1808" s="88"/>
      <c r="C1808" s="88"/>
      <c r="D1808" s="73"/>
      <c r="E1808" s="88"/>
      <c r="F1808" s="73"/>
      <c r="G1808" s="394"/>
      <c r="H1808" s="86"/>
      <c r="I1808" s="88"/>
      <c r="J1808" s="393">
        <v>44494.0</v>
      </c>
      <c r="K1808" s="393">
        <f t="shared" si="8"/>
        <v>44495</v>
      </c>
      <c r="L1808" s="394" t="str">
        <f>IFERROR(__xludf.DUMMYFUNCTION("JOIN("""", G1808:H1808)"),"")</f>
        <v/>
      </c>
      <c r="M1808" s="80" t="str">
        <f t="shared" si="2"/>
        <v/>
      </c>
    </row>
    <row r="1809">
      <c r="A1809" s="86"/>
      <c r="B1809" s="88"/>
      <c r="C1809" s="88"/>
      <c r="D1809" s="73"/>
      <c r="E1809" s="88"/>
      <c r="F1809" s="73"/>
      <c r="G1809" s="394"/>
      <c r="H1809" s="86"/>
      <c r="I1809" s="88"/>
      <c r="J1809" s="393">
        <v>44495.0</v>
      </c>
      <c r="K1809" s="393">
        <f t="shared" si="8"/>
        <v>44496</v>
      </c>
      <c r="L1809" s="394" t="str">
        <f>IFERROR(__xludf.DUMMYFUNCTION("JOIN("""", G1809:H1809)"),"")</f>
        <v/>
      </c>
      <c r="M1809" s="80" t="str">
        <f t="shared" si="2"/>
        <v/>
      </c>
    </row>
    <row r="1810">
      <c r="A1810" s="86"/>
      <c r="B1810" s="88"/>
      <c r="C1810" s="88"/>
      <c r="D1810" s="73"/>
      <c r="E1810" s="88"/>
      <c r="F1810" s="73"/>
      <c r="G1810" s="394"/>
      <c r="H1810" s="86"/>
      <c r="I1810" s="88"/>
      <c r="J1810" s="393">
        <v>44496.0</v>
      </c>
      <c r="K1810" s="393">
        <f t="shared" si="8"/>
        <v>44497</v>
      </c>
      <c r="L1810" s="394" t="str">
        <f>IFERROR(__xludf.DUMMYFUNCTION("JOIN("""", G1810:H1810)"),"")</f>
        <v/>
      </c>
      <c r="M1810" s="80" t="str">
        <f t="shared" si="2"/>
        <v/>
      </c>
    </row>
    <row r="1811">
      <c r="A1811" s="86"/>
      <c r="B1811" s="88"/>
      <c r="C1811" s="88"/>
      <c r="D1811" s="73"/>
      <c r="E1811" s="88"/>
      <c r="F1811" s="73"/>
      <c r="G1811" s="394"/>
      <c r="H1811" s="86"/>
      <c r="I1811" s="88"/>
      <c r="J1811" s="393">
        <v>44496.0</v>
      </c>
      <c r="K1811" s="393">
        <f t="shared" si="8"/>
        <v>44497</v>
      </c>
      <c r="L1811" s="394" t="str">
        <f>IFERROR(__xludf.DUMMYFUNCTION("JOIN("""", G1811:H1811)"),"")</f>
        <v/>
      </c>
      <c r="M1811" s="80" t="str">
        <f t="shared" si="2"/>
        <v/>
      </c>
    </row>
    <row r="1812">
      <c r="A1812" s="86"/>
      <c r="B1812" s="88"/>
      <c r="C1812" s="88"/>
      <c r="D1812" s="73"/>
      <c r="E1812" s="88"/>
      <c r="F1812" s="73"/>
      <c r="G1812" s="394"/>
      <c r="H1812" s="86"/>
      <c r="I1812" s="88"/>
      <c r="J1812" s="393">
        <v>44496.0</v>
      </c>
      <c r="K1812" s="393">
        <f t="shared" si="8"/>
        <v>44497</v>
      </c>
      <c r="L1812" s="394" t="str">
        <f>IFERROR(__xludf.DUMMYFUNCTION("JOIN("""", G1812:H1812)"),"")</f>
        <v/>
      </c>
      <c r="M1812" s="80" t="str">
        <f t="shared" si="2"/>
        <v/>
      </c>
    </row>
    <row r="1813">
      <c r="A1813" s="86"/>
      <c r="B1813" s="73"/>
      <c r="C1813" s="88"/>
      <c r="D1813" s="73"/>
      <c r="E1813" s="88"/>
      <c r="F1813" s="73"/>
      <c r="G1813" s="394"/>
      <c r="H1813" s="86"/>
      <c r="I1813" s="88"/>
      <c r="J1813" s="393">
        <v>44496.0</v>
      </c>
      <c r="K1813" s="393">
        <f t="shared" si="8"/>
        <v>44497</v>
      </c>
      <c r="L1813" s="394" t="str">
        <f>IFERROR(__xludf.DUMMYFUNCTION("JOIN("""", G1813:H1813)"),"")</f>
        <v/>
      </c>
      <c r="M1813" s="80" t="str">
        <f t="shared" si="2"/>
        <v/>
      </c>
    </row>
    <row r="1814">
      <c r="A1814" s="86"/>
      <c r="B1814" s="88"/>
      <c r="C1814" s="88"/>
      <c r="D1814" s="73"/>
      <c r="E1814" s="88"/>
      <c r="F1814" s="73"/>
      <c r="G1814" s="394"/>
      <c r="H1814" s="86"/>
      <c r="I1814" s="88"/>
      <c r="J1814" s="393">
        <v>44496.0</v>
      </c>
      <c r="K1814" s="393">
        <f t="shared" si="8"/>
        <v>44497</v>
      </c>
      <c r="L1814" s="394" t="str">
        <f>IFERROR(__xludf.DUMMYFUNCTION("JOIN("""", G1814:H1814)"),"")</f>
        <v/>
      </c>
      <c r="M1814" s="80" t="str">
        <f t="shared" si="2"/>
        <v/>
      </c>
    </row>
    <row r="1815">
      <c r="A1815" s="86"/>
      <c r="B1815" s="73"/>
      <c r="C1815" s="88"/>
      <c r="D1815" s="73"/>
      <c r="E1815" s="88"/>
      <c r="F1815" s="73"/>
      <c r="G1815" s="394"/>
      <c r="H1815" s="86"/>
      <c r="I1815" s="88"/>
      <c r="J1815" s="393">
        <v>44496.0</v>
      </c>
      <c r="K1815" s="393">
        <f t="shared" si="8"/>
        <v>44497</v>
      </c>
      <c r="L1815" s="394" t="str">
        <f>IFERROR(__xludf.DUMMYFUNCTION("JOIN("""", G1815:H1815)"),"")</f>
        <v/>
      </c>
      <c r="M1815" s="80" t="str">
        <f t="shared" si="2"/>
        <v/>
      </c>
    </row>
    <row r="1816">
      <c r="A1816" s="86"/>
      <c r="B1816" s="88"/>
      <c r="C1816" s="88"/>
      <c r="D1816" s="73"/>
      <c r="E1816" s="88"/>
      <c r="F1816" s="73"/>
      <c r="G1816" s="394"/>
      <c r="H1816" s="86"/>
      <c r="I1816" s="88"/>
      <c r="J1816" s="393">
        <v>44496.0</v>
      </c>
      <c r="K1816" s="393">
        <f t="shared" si="8"/>
        <v>44497</v>
      </c>
      <c r="L1816" s="394" t="str">
        <f>IFERROR(__xludf.DUMMYFUNCTION("JOIN("""", G1816:H1816)"),"")</f>
        <v/>
      </c>
      <c r="M1816" s="80" t="str">
        <f t="shared" si="2"/>
        <v/>
      </c>
    </row>
    <row r="1817">
      <c r="A1817" s="86"/>
      <c r="B1817" s="73"/>
      <c r="C1817" s="88"/>
      <c r="D1817" s="73"/>
      <c r="E1817" s="88"/>
      <c r="F1817" s="73"/>
      <c r="G1817" s="394"/>
      <c r="H1817" s="86"/>
      <c r="I1817" s="88"/>
      <c r="J1817" s="393">
        <v>44496.0</v>
      </c>
      <c r="K1817" s="393">
        <f t="shared" si="8"/>
        <v>44497</v>
      </c>
      <c r="L1817" s="394" t="str">
        <f>IFERROR(__xludf.DUMMYFUNCTION("JOIN("""", G1817:H1817)"),"")</f>
        <v/>
      </c>
      <c r="M1817" s="80" t="str">
        <f t="shared" si="2"/>
        <v/>
      </c>
    </row>
    <row r="1818">
      <c r="A1818" s="86"/>
      <c r="B1818" s="73"/>
      <c r="C1818" s="88"/>
      <c r="D1818" s="73"/>
      <c r="E1818" s="88"/>
      <c r="F1818" s="73"/>
      <c r="G1818" s="394"/>
      <c r="H1818" s="86"/>
      <c r="I1818" s="88"/>
      <c r="J1818" s="393">
        <v>44496.0</v>
      </c>
      <c r="K1818" s="393">
        <f t="shared" si="8"/>
        <v>44497</v>
      </c>
      <c r="L1818" s="394" t="str">
        <f>IFERROR(__xludf.DUMMYFUNCTION("JOIN("""", G1818:H1818)"),"")</f>
        <v/>
      </c>
      <c r="M1818" s="80" t="str">
        <f t="shared" si="2"/>
        <v/>
      </c>
    </row>
    <row r="1819">
      <c r="A1819" s="86"/>
      <c r="B1819" s="88"/>
      <c r="C1819" s="88"/>
      <c r="D1819" s="73"/>
      <c r="E1819" s="88"/>
      <c r="F1819" s="73"/>
      <c r="G1819" s="394"/>
      <c r="H1819" s="86"/>
      <c r="I1819" s="88"/>
      <c r="J1819" s="393">
        <v>44496.0</v>
      </c>
      <c r="K1819" s="393">
        <f t="shared" si="8"/>
        <v>44497</v>
      </c>
      <c r="L1819" s="394" t="str">
        <f>IFERROR(__xludf.DUMMYFUNCTION("JOIN("""", G1819:H1819)"),"")</f>
        <v/>
      </c>
      <c r="M1819" s="80" t="str">
        <f t="shared" si="2"/>
        <v/>
      </c>
    </row>
    <row r="1820">
      <c r="A1820" s="86"/>
      <c r="B1820" s="73"/>
      <c r="C1820" s="88"/>
      <c r="D1820" s="73"/>
      <c r="E1820" s="88"/>
      <c r="F1820" s="73"/>
      <c r="G1820" s="394"/>
      <c r="H1820" s="86"/>
      <c r="I1820" s="88"/>
      <c r="J1820" s="393">
        <v>44497.0</v>
      </c>
      <c r="K1820" s="393">
        <f t="shared" si="8"/>
        <v>44498</v>
      </c>
      <c r="L1820" s="394" t="str">
        <f>IFERROR(__xludf.DUMMYFUNCTION("JOIN("""", G1820:H1820)"),"")</f>
        <v/>
      </c>
      <c r="M1820" s="80" t="str">
        <f t="shared" si="2"/>
        <v/>
      </c>
    </row>
    <row r="1821">
      <c r="A1821" s="86"/>
      <c r="B1821" s="73"/>
      <c r="C1821" s="88"/>
      <c r="D1821" s="73"/>
      <c r="E1821" s="88"/>
      <c r="F1821" s="73"/>
      <c r="G1821" s="394"/>
      <c r="H1821" s="86"/>
      <c r="I1821" s="88"/>
      <c r="J1821" s="393">
        <v>44497.0</v>
      </c>
      <c r="K1821" s="393">
        <f t="shared" si="8"/>
        <v>44498</v>
      </c>
      <c r="L1821" s="394" t="str">
        <f>IFERROR(__xludf.DUMMYFUNCTION("JOIN("""", G1821:H1821)"),"")</f>
        <v/>
      </c>
      <c r="M1821" s="80" t="str">
        <f t="shared" si="2"/>
        <v/>
      </c>
    </row>
    <row r="1822">
      <c r="A1822" s="86"/>
      <c r="B1822" s="88"/>
      <c r="C1822" s="88"/>
      <c r="D1822" s="73"/>
      <c r="E1822" s="88"/>
      <c r="F1822" s="73"/>
      <c r="G1822" s="394"/>
      <c r="H1822" s="86"/>
      <c r="I1822" s="88"/>
      <c r="J1822" s="393">
        <v>44497.0</v>
      </c>
      <c r="K1822" s="393">
        <f t="shared" si="8"/>
        <v>44498</v>
      </c>
      <c r="L1822" s="394" t="str">
        <f>IFERROR(__xludf.DUMMYFUNCTION("JOIN("""", G1822:H1822)"),"")</f>
        <v/>
      </c>
      <c r="M1822" s="80" t="str">
        <f t="shared" si="2"/>
        <v/>
      </c>
    </row>
    <row r="1823">
      <c r="A1823" s="86"/>
      <c r="B1823" s="88"/>
      <c r="C1823" s="88"/>
      <c r="D1823" s="73"/>
      <c r="E1823" s="88"/>
      <c r="F1823" s="73"/>
      <c r="G1823" s="394"/>
      <c r="H1823" s="86"/>
      <c r="I1823" s="88"/>
      <c r="J1823" s="393">
        <v>44498.0</v>
      </c>
      <c r="K1823" s="393">
        <f t="shared" si="8"/>
        <v>44499</v>
      </c>
      <c r="L1823" s="394" t="str">
        <f>IFERROR(__xludf.DUMMYFUNCTION("JOIN("""", G1823:H1823)"),"")</f>
        <v/>
      </c>
      <c r="M1823" s="80" t="str">
        <f t="shared" si="2"/>
        <v/>
      </c>
    </row>
    <row r="1824">
      <c r="A1824" s="86"/>
      <c r="B1824" s="88"/>
      <c r="C1824" s="88"/>
      <c r="D1824" s="73"/>
      <c r="E1824" s="88"/>
      <c r="F1824" s="73"/>
      <c r="G1824" s="394"/>
      <c r="H1824" s="86"/>
      <c r="I1824" s="88"/>
      <c r="J1824" s="393">
        <v>44501.0</v>
      </c>
      <c r="K1824" s="393">
        <f t="shared" si="8"/>
        <v>44502</v>
      </c>
      <c r="L1824" s="394" t="str">
        <f>IFERROR(__xludf.DUMMYFUNCTION("JOIN("""", G1824:H1824)"),"")</f>
        <v/>
      </c>
      <c r="M1824" s="80" t="str">
        <f t="shared" si="2"/>
        <v/>
      </c>
    </row>
    <row r="1825">
      <c r="A1825" s="86"/>
      <c r="B1825" s="88"/>
      <c r="C1825" s="88"/>
      <c r="D1825" s="73"/>
      <c r="E1825" s="88"/>
      <c r="F1825" s="73"/>
      <c r="G1825" s="394"/>
      <c r="H1825" s="86"/>
      <c r="I1825" s="88"/>
      <c r="J1825" s="393">
        <v>44521.0</v>
      </c>
      <c r="K1825" s="393">
        <f t="shared" si="8"/>
        <v>44522</v>
      </c>
      <c r="L1825" s="394" t="str">
        <f>IFERROR(__xludf.DUMMYFUNCTION("JOIN("""", G1825:H1825)"),"")</f>
        <v/>
      </c>
      <c r="M1825" s="80" t="str">
        <f t="shared" si="2"/>
        <v/>
      </c>
    </row>
    <row r="1826">
      <c r="A1826" s="86"/>
      <c r="B1826" s="88"/>
      <c r="C1826" s="88"/>
      <c r="D1826" s="73"/>
      <c r="E1826" s="88"/>
      <c r="F1826" s="73"/>
      <c r="G1826" s="394"/>
      <c r="H1826" s="86"/>
      <c r="I1826" s="88"/>
      <c r="J1826" s="393">
        <v>44501.0</v>
      </c>
      <c r="K1826" s="393">
        <f t="shared" si="8"/>
        <v>44502</v>
      </c>
      <c r="L1826" s="394" t="str">
        <f>IFERROR(__xludf.DUMMYFUNCTION("JOIN("""", G1826:H1826)"),"")</f>
        <v/>
      </c>
      <c r="M1826" s="80" t="str">
        <f t="shared" si="2"/>
        <v/>
      </c>
    </row>
    <row r="1827">
      <c r="A1827" s="86"/>
      <c r="B1827" s="88"/>
      <c r="C1827" s="88"/>
      <c r="D1827" s="73"/>
      <c r="E1827" s="88"/>
      <c r="F1827" s="73"/>
      <c r="G1827" s="394"/>
      <c r="H1827" s="86"/>
      <c r="I1827" s="88"/>
      <c r="J1827" s="393">
        <v>44501.0</v>
      </c>
      <c r="K1827" s="393">
        <f t="shared" si="8"/>
        <v>44502</v>
      </c>
      <c r="L1827" s="394" t="str">
        <f>IFERROR(__xludf.DUMMYFUNCTION("JOIN("""", G1827:H1827)"),"")</f>
        <v/>
      </c>
      <c r="M1827" s="80" t="str">
        <f t="shared" si="2"/>
        <v/>
      </c>
    </row>
    <row r="1828">
      <c r="A1828" s="86"/>
      <c r="B1828" s="88"/>
      <c r="C1828" s="88"/>
      <c r="D1828" s="73"/>
      <c r="E1828" s="88"/>
      <c r="F1828" s="73"/>
      <c r="G1828" s="394"/>
      <c r="H1828" s="86"/>
      <c r="I1828" s="88"/>
      <c r="J1828" s="393">
        <v>44501.0</v>
      </c>
      <c r="K1828" s="393">
        <f t="shared" si="8"/>
        <v>44502</v>
      </c>
      <c r="L1828" s="394" t="str">
        <f>IFERROR(__xludf.DUMMYFUNCTION("JOIN("""", G1828:H1828)"),"")</f>
        <v/>
      </c>
      <c r="M1828" s="80" t="str">
        <f t="shared" si="2"/>
        <v/>
      </c>
    </row>
    <row r="1829">
      <c r="A1829" s="86"/>
      <c r="B1829" s="73"/>
      <c r="C1829" s="88"/>
      <c r="D1829" s="73"/>
      <c r="E1829" s="88"/>
      <c r="F1829" s="73"/>
      <c r="G1829" s="394"/>
      <c r="H1829" s="86"/>
      <c r="I1829" s="88"/>
      <c r="J1829" s="393">
        <v>44506.0</v>
      </c>
      <c r="K1829" s="393">
        <f t="shared" si="8"/>
        <v>44507</v>
      </c>
      <c r="L1829" s="394" t="str">
        <f>IFERROR(__xludf.DUMMYFUNCTION("JOIN("""", G1829:H1829)"),"")</f>
        <v/>
      </c>
      <c r="M1829" s="80" t="str">
        <f t="shared" si="2"/>
        <v/>
      </c>
    </row>
    <row r="1830">
      <c r="A1830" s="86"/>
      <c r="B1830" s="88"/>
      <c r="C1830" s="88"/>
      <c r="D1830" s="73"/>
      <c r="E1830" s="88"/>
      <c r="F1830" s="73"/>
      <c r="G1830" s="394"/>
      <c r="H1830" s="86"/>
      <c r="I1830" s="88"/>
      <c r="J1830" s="393">
        <v>44506.0</v>
      </c>
      <c r="K1830" s="393">
        <f t="shared" si="8"/>
        <v>44507</v>
      </c>
      <c r="L1830" s="394" t="str">
        <f>IFERROR(__xludf.DUMMYFUNCTION("JOIN("""", G1830:H1830)"),"")</f>
        <v/>
      </c>
      <c r="M1830" s="80" t="str">
        <f t="shared" si="2"/>
        <v/>
      </c>
    </row>
    <row r="1831">
      <c r="A1831" s="86"/>
      <c r="B1831" s="73"/>
      <c r="C1831" s="88"/>
      <c r="D1831" s="73"/>
      <c r="E1831" s="88"/>
      <c r="F1831" s="73"/>
      <c r="G1831" s="394"/>
      <c r="H1831" s="86"/>
      <c r="I1831" s="88"/>
      <c r="J1831" s="393">
        <v>44508.0</v>
      </c>
      <c r="K1831" s="393">
        <f t="shared" si="8"/>
        <v>44509</v>
      </c>
      <c r="L1831" s="394" t="str">
        <f>IFERROR(__xludf.DUMMYFUNCTION("JOIN("""", G1831:H1831)"),"")</f>
        <v/>
      </c>
      <c r="M1831" s="80" t="str">
        <f t="shared" si="2"/>
        <v/>
      </c>
    </row>
    <row r="1832">
      <c r="A1832" s="86"/>
      <c r="B1832" s="73"/>
      <c r="C1832" s="88"/>
      <c r="D1832" s="73"/>
      <c r="E1832" s="88"/>
      <c r="F1832" s="73"/>
      <c r="G1832" s="394"/>
      <c r="H1832" s="86"/>
      <c r="I1832" s="88"/>
      <c r="J1832" s="393">
        <v>44508.0</v>
      </c>
      <c r="K1832" s="393">
        <f t="shared" si="8"/>
        <v>44509</v>
      </c>
      <c r="L1832" s="394" t="str">
        <f>IFERROR(__xludf.DUMMYFUNCTION("JOIN("""", G1832:H1832)"),"")</f>
        <v/>
      </c>
      <c r="M1832" s="80" t="str">
        <f t="shared" si="2"/>
        <v/>
      </c>
    </row>
    <row r="1833">
      <c r="A1833" s="86"/>
      <c r="B1833" s="73"/>
      <c r="C1833" s="88"/>
      <c r="D1833" s="73"/>
      <c r="E1833" s="88"/>
      <c r="F1833" s="73"/>
      <c r="G1833" s="394"/>
      <c r="H1833" s="86"/>
      <c r="I1833" s="88"/>
      <c r="J1833" s="393">
        <v>44508.0</v>
      </c>
      <c r="K1833" s="393">
        <f t="shared" si="8"/>
        <v>44509</v>
      </c>
      <c r="L1833" s="394" t="str">
        <f>IFERROR(__xludf.DUMMYFUNCTION("JOIN("""", G1833:H1833)"),"")</f>
        <v/>
      </c>
      <c r="M1833" s="80" t="str">
        <f t="shared" si="2"/>
        <v/>
      </c>
    </row>
    <row r="1834">
      <c r="A1834" s="86"/>
      <c r="B1834" s="73"/>
      <c r="C1834" s="88"/>
      <c r="D1834" s="73"/>
      <c r="E1834" s="88"/>
      <c r="F1834" s="73"/>
      <c r="G1834" s="394"/>
      <c r="H1834" s="86"/>
      <c r="I1834" s="88"/>
      <c r="J1834" s="393">
        <v>44508.0</v>
      </c>
      <c r="K1834" s="393">
        <f t="shared" si="8"/>
        <v>44509</v>
      </c>
      <c r="L1834" s="394" t="str">
        <f>IFERROR(__xludf.DUMMYFUNCTION("JOIN("""", G1834:H1834)"),"")</f>
        <v/>
      </c>
      <c r="M1834" s="80" t="str">
        <f t="shared" si="2"/>
        <v/>
      </c>
    </row>
    <row r="1835">
      <c r="A1835" s="86"/>
      <c r="B1835" s="88"/>
      <c r="C1835" s="88"/>
      <c r="D1835" s="73"/>
      <c r="E1835" s="88"/>
      <c r="F1835" s="73"/>
      <c r="G1835" s="394"/>
      <c r="H1835" s="86"/>
      <c r="I1835" s="88"/>
      <c r="J1835" s="393">
        <v>44508.0</v>
      </c>
      <c r="K1835" s="393">
        <f t="shared" si="8"/>
        <v>44509</v>
      </c>
      <c r="L1835" s="394" t="str">
        <f>IFERROR(__xludf.DUMMYFUNCTION("JOIN("""", G1835:H1835)"),"")</f>
        <v/>
      </c>
      <c r="M1835" s="80" t="str">
        <f t="shared" si="2"/>
        <v/>
      </c>
    </row>
    <row r="1836">
      <c r="A1836" s="86"/>
      <c r="B1836" s="73"/>
      <c r="C1836" s="88"/>
      <c r="D1836" s="73"/>
      <c r="E1836" s="88"/>
      <c r="F1836" s="73"/>
      <c r="G1836" s="394"/>
      <c r="H1836" s="86"/>
      <c r="I1836" s="88"/>
      <c r="J1836" s="393">
        <v>44508.0</v>
      </c>
      <c r="K1836" s="393">
        <f t="shared" si="8"/>
        <v>44509</v>
      </c>
      <c r="L1836" s="394" t="str">
        <f>IFERROR(__xludf.DUMMYFUNCTION("JOIN("""", G1836:H1836)"),"")</f>
        <v/>
      </c>
      <c r="M1836" s="80" t="str">
        <f t="shared" si="2"/>
        <v/>
      </c>
    </row>
    <row r="1837">
      <c r="A1837" s="86"/>
      <c r="B1837" s="73"/>
      <c r="C1837" s="88"/>
      <c r="D1837" s="73"/>
      <c r="E1837" s="88"/>
      <c r="F1837" s="73"/>
      <c r="G1837" s="394"/>
      <c r="H1837" s="86"/>
      <c r="I1837" s="88"/>
      <c r="J1837" s="393">
        <v>44508.0</v>
      </c>
      <c r="K1837" s="393">
        <f t="shared" si="8"/>
        <v>44509</v>
      </c>
      <c r="L1837" s="394" t="str">
        <f>IFERROR(__xludf.DUMMYFUNCTION("JOIN("""", G1837:H1837)"),"")</f>
        <v/>
      </c>
      <c r="M1837" s="80" t="str">
        <f t="shared" si="2"/>
        <v/>
      </c>
    </row>
    <row r="1838">
      <c r="A1838" s="86"/>
      <c r="B1838" s="88"/>
      <c r="C1838" s="88"/>
      <c r="D1838" s="73"/>
      <c r="E1838" s="88"/>
      <c r="F1838" s="73"/>
      <c r="G1838" s="394"/>
      <c r="H1838" s="86"/>
      <c r="I1838" s="88"/>
      <c r="J1838" s="393">
        <v>44508.0</v>
      </c>
      <c r="K1838" s="393">
        <f t="shared" si="8"/>
        <v>44509</v>
      </c>
      <c r="L1838" s="394" t="str">
        <f>IFERROR(__xludf.DUMMYFUNCTION("JOIN("""", G1838:H1838)"),"")</f>
        <v/>
      </c>
      <c r="M1838" s="80" t="str">
        <f t="shared" si="2"/>
        <v/>
      </c>
    </row>
    <row r="1839">
      <c r="A1839" s="86"/>
      <c r="B1839" s="73"/>
      <c r="C1839" s="88"/>
      <c r="D1839" s="73"/>
      <c r="E1839" s="88"/>
      <c r="F1839" s="73"/>
      <c r="G1839" s="394"/>
      <c r="H1839" s="86"/>
      <c r="I1839" s="88"/>
      <c r="J1839" s="393">
        <v>44508.0</v>
      </c>
      <c r="K1839" s="393">
        <f t="shared" si="8"/>
        <v>44509</v>
      </c>
      <c r="L1839" s="394" t="str">
        <f>IFERROR(__xludf.DUMMYFUNCTION("JOIN("""", G1839:H1839)"),"")</f>
        <v/>
      </c>
      <c r="M1839" s="80" t="str">
        <f t="shared" si="2"/>
        <v/>
      </c>
    </row>
    <row r="1840">
      <c r="A1840" s="86"/>
      <c r="B1840" s="88"/>
      <c r="C1840" s="88"/>
      <c r="D1840" s="73"/>
      <c r="E1840" s="88"/>
      <c r="F1840" s="73"/>
      <c r="G1840" s="394"/>
      <c r="H1840" s="86"/>
      <c r="I1840" s="88"/>
      <c r="J1840" s="393">
        <v>44508.0</v>
      </c>
      <c r="K1840" s="393">
        <f t="shared" si="8"/>
        <v>44509</v>
      </c>
      <c r="L1840" s="394" t="str">
        <f>IFERROR(__xludf.DUMMYFUNCTION("JOIN("""", G1840:H1840)"),"")</f>
        <v/>
      </c>
      <c r="M1840" s="80" t="str">
        <f t="shared" si="2"/>
        <v/>
      </c>
    </row>
    <row r="1841">
      <c r="A1841" s="86"/>
      <c r="B1841" s="73"/>
      <c r="C1841" s="88"/>
      <c r="D1841" s="73"/>
      <c r="E1841" s="88"/>
      <c r="F1841" s="73"/>
      <c r="G1841" s="394"/>
      <c r="H1841" s="86"/>
      <c r="I1841" s="88"/>
      <c r="J1841" s="393">
        <v>44508.0</v>
      </c>
      <c r="K1841" s="393">
        <f t="shared" si="8"/>
        <v>44509</v>
      </c>
      <c r="L1841" s="394" t="str">
        <f>IFERROR(__xludf.DUMMYFUNCTION("JOIN("""", G1841:H1841)"),"")</f>
        <v/>
      </c>
      <c r="M1841" s="80" t="str">
        <f t="shared" si="2"/>
        <v/>
      </c>
    </row>
    <row r="1842">
      <c r="A1842" s="86"/>
      <c r="B1842" s="88"/>
      <c r="C1842" s="88"/>
      <c r="D1842" s="73"/>
      <c r="E1842" s="88"/>
      <c r="F1842" s="73"/>
      <c r="G1842" s="394"/>
      <c r="H1842" s="86"/>
      <c r="I1842" s="88"/>
      <c r="J1842" s="393">
        <v>44508.0</v>
      </c>
      <c r="K1842" s="393">
        <f t="shared" si="8"/>
        <v>44509</v>
      </c>
      <c r="L1842" s="394" t="str">
        <f>IFERROR(__xludf.DUMMYFUNCTION("JOIN("""", G1842:H1842)"),"")</f>
        <v/>
      </c>
      <c r="M1842" s="80" t="str">
        <f t="shared" si="2"/>
        <v/>
      </c>
    </row>
    <row r="1843">
      <c r="A1843" s="86"/>
      <c r="B1843" s="88"/>
      <c r="C1843" s="88"/>
      <c r="D1843" s="73"/>
      <c r="E1843" s="88"/>
      <c r="F1843" s="73"/>
      <c r="G1843" s="394"/>
      <c r="H1843" s="86"/>
      <c r="I1843" s="88"/>
      <c r="J1843" s="393">
        <v>44509.0</v>
      </c>
      <c r="K1843" s="393">
        <f t="shared" si="8"/>
        <v>44510</v>
      </c>
      <c r="L1843" s="394" t="str">
        <f>IFERROR(__xludf.DUMMYFUNCTION("JOIN("""", G1843:H1843)"),"")</f>
        <v/>
      </c>
      <c r="M1843" s="80" t="str">
        <f t="shared" si="2"/>
        <v/>
      </c>
    </row>
    <row r="1844">
      <c r="A1844" s="86"/>
      <c r="B1844" s="88"/>
      <c r="C1844" s="88"/>
      <c r="D1844" s="73"/>
      <c r="E1844" s="88"/>
      <c r="F1844" s="73"/>
      <c r="G1844" s="394"/>
      <c r="H1844" s="86"/>
      <c r="I1844" s="88"/>
      <c r="J1844" s="393">
        <v>44508.0</v>
      </c>
      <c r="K1844" s="393">
        <f t="shared" si="8"/>
        <v>44509</v>
      </c>
      <c r="L1844" s="394" t="str">
        <f>IFERROR(__xludf.DUMMYFUNCTION("JOIN("""", G1844:H1844)"),"")</f>
        <v/>
      </c>
      <c r="M1844" s="80" t="str">
        <f t="shared" si="2"/>
        <v/>
      </c>
    </row>
    <row r="1845">
      <c r="A1845" s="86"/>
      <c r="B1845" s="88"/>
      <c r="C1845" s="88"/>
      <c r="D1845" s="73"/>
      <c r="E1845" s="88"/>
      <c r="F1845" s="73"/>
      <c r="G1845" s="394"/>
      <c r="H1845" s="86"/>
      <c r="I1845" s="88"/>
      <c r="J1845" s="393">
        <v>44509.0</v>
      </c>
      <c r="K1845" s="393">
        <f t="shared" si="8"/>
        <v>44510</v>
      </c>
      <c r="L1845" s="394" t="str">
        <f>IFERROR(__xludf.DUMMYFUNCTION("JOIN("""", G1845:H1845)"),"")</f>
        <v/>
      </c>
      <c r="M1845" s="80" t="str">
        <f t="shared" si="2"/>
        <v/>
      </c>
    </row>
    <row r="1846">
      <c r="A1846" s="86"/>
      <c r="B1846" s="73"/>
      <c r="C1846" s="88"/>
      <c r="D1846" s="73"/>
      <c r="E1846" s="88"/>
      <c r="F1846" s="73"/>
      <c r="G1846" s="394"/>
      <c r="H1846" s="86"/>
      <c r="I1846" s="88"/>
      <c r="J1846" s="393">
        <v>44509.0</v>
      </c>
      <c r="K1846" s="393">
        <f t="shared" si="8"/>
        <v>44510</v>
      </c>
      <c r="L1846" s="394" t="str">
        <f>IFERROR(__xludf.DUMMYFUNCTION("JOIN("""", G1846:H1846)"),"")</f>
        <v/>
      </c>
      <c r="M1846" s="80" t="str">
        <f t="shared" si="2"/>
        <v/>
      </c>
    </row>
    <row r="1847">
      <c r="A1847" s="86"/>
      <c r="B1847" s="88"/>
      <c r="C1847" s="88"/>
      <c r="D1847" s="73"/>
      <c r="E1847" s="88"/>
      <c r="F1847" s="73"/>
      <c r="G1847" s="394"/>
      <c r="H1847" s="86"/>
      <c r="I1847" s="88"/>
      <c r="J1847" s="393">
        <v>44509.0</v>
      </c>
      <c r="K1847" s="393">
        <f t="shared" si="8"/>
        <v>44510</v>
      </c>
      <c r="L1847" s="394" t="str">
        <f>IFERROR(__xludf.DUMMYFUNCTION("JOIN("""", G1847:H1847)"),"")</f>
        <v/>
      </c>
      <c r="M1847" s="80" t="str">
        <f t="shared" si="2"/>
        <v/>
      </c>
    </row>
    <row r="1848">
      <c r="A1848" s="86"/>
      <c r="B1848" s="88"/>
      <c r="C1848" s="88"/>
      <c r="D1848" s="73"/>
      <c r="E1848" s="88"/>
      <c r="F1848" s="73"/>
      <c r="G1848" s="394"/>
      <c r="H1848" s="86"/>
      <c r="I1848" s="88"/>
      <c r="J1848" s="393">
        <v>44509.0</v>
      </c>
      <c r="K1848" s="393">
        <f t="shared" si="8"/>
        <v>44510</v>
      </c>
      <c r="L1848" s="394" t="str">
        <f>IFERROR(__xludf.DUMMYFUNCTION("JOIN("""", G1848:H1848)"),"")</f>
        <v/>
      </c>
      <c r="M1848" s="80" t="str">
        <f t="shared" si="2"/>
        <v/>
      </c>
    </row>
    <row r="1849">
      <c r="A1849" s="86"/>
      <c r="B1849" s="88"/>
      <c r="C1849" s="88"/>
      <c r="D1849" s="73"/>
      <c r="E1849" s="88"/>
      <c r="F1849" s="73"/>
      <c r="G1849" s="394"/>
      <c r="H1849" s="86"/>
      <c r="I1849" s="88"/>
      <c r="J1849" s="393">
        <v>44509.0</v>
      </c>
      <c r="K1849" s="393">
        <f t="shared" si="8"/>
        <v>44510</v>
      </c>
      <c r="L1849" s="394" t="str">
        <f>IFERROR(__xludf.DUMMYFUNCTION("JOIN("""", G1849:H1849)"),"")</f>
        <v/>
      </c>
      <c r="M1849" s="80" t="str">
        <f t="shared" si="2"/>
        <v/>
      </c>
    </row>
    <row r="1850">
      <c r="A1850" s="86"/>
      <c r="B1850" s="73"/>
      <c r="C1850" s="88"/>
      <c r="D1850" s="73"/>
      <c r="E1850" s="88"/>
      <c r="F1850" s="73"/>
      <c r="G1850" s="394"/>
      <c r="H1850" s="86"/>
      <c r="I1850" s="88"/>
      <c r="J1850" s="393">
        <v>44509.0</v>
      </c>
      <c r="K1850" s="393">
        <f t="shared" si="8"/>
        <v>44510</v>
      </c>
      <c r="L1850" s="394" t="str">
        <f>IFERROR(__xludf.DUMMYFUNCTION("JOIN("""", G1850:H1850)"),"")</f>
        <v/>
      </c>
      <c r="M1850" s="80" t="str">
        <f t="shared" si="2"/>
        <v/>
      </c>
    </row>
    <row r="1851">
      <c r="A1851" s="86"/>
      <c r="B1851" s="73"/>
      <c r="C1851" s="88"/>
      <c r="D1851" s="73"/>
      <c r="E1851" s="88"/>
      <c r="F1851" s="73"/>
      <c r="G1851" s="394"/>
      <c r="H1851" s="86"/>
      <c r="I1851" s="88"/>
      <c r="J1851" s="393">
        <v>44509.0</v>
      </c>
      <c r="K1851" s="393">
        <f t="shared" si="8"/>
        <v>44510</v>
      </c>
      <c r="L1851" s="394" t="str">
        <f>IFERROR(__xludf.DUMMYFUNCTION("JOIN("""", G1851:H1851)"),"")</f>
        <v/>
      </c>
      <c r="M1851" s="80" t="str">
        <f t="shared" si="2"/>
        <v/>
      </c>
    </row>
    <row r="1852">
      <c r="A1852" s="86"/>
      <c r="B1852" s="73"/>
      <c r="C1852" s="88"/>
      <c r="D1852" s="73"/>
      <c r="E1852" s="88"/>
      <c r="F1852" s="73"/>
      <c r="G1852" s="394"/>
      <c r="H1852" s="86"/>
      <c r="I1852" s="88"/>
      <c r="J1852" s="393">
        <v>44509.0</v>
      </c>
      <c r="K1852" s="393">
        <f t="shared" si="8"/>
        <v>44510</v>
      </c>
      <c r="L1852" s="394" t="str">
        <f>IFERROR(__xludf.DUMMYFUNCTION("JOIN("""", G1852:H1852)"),"")</f>
        <v/>
      </c>
      <c r="M1852" s="80" t="str">
        <f t="shared" si="2"/>
        <v/>
      </c>
    </row>
    <row r="1853">
      <c r="A1853" s="86"/>
      <c r="B1853" s="88"/>
      <c r="C1853" s="88"/>
      <c r="D1853" s="73"/>
      <c r="E1853" s="88"/>
      <c r="F1853" s="73"/>
      <c r="G1853" s="394"/>
      <c r="H1853" s="86"/>
      <c r="I1853" s="88"/>
      <c r="J1853" s="393">
        <v>44521.0</v>
      </c>
      <c r="K1853" s="393">
        <f t="shared" si="8"/>
        <v>44522</v>
      </c>
      <c r="L1853" s="394" t="str">
        <f>IFERROR(__xludf.DUMMYFUNCTION("JOIN("""", G1853:H1853)"),"")</f>
        <v/>
      </c>
      <c r="M1853" s="80" t="str">
        <f t="shared" si="2"/>
        <v/>
      </c>
    </row>
    <row r="1854">
      <c r="A1854" s="86"/>
      <c r="B1854" s="73"/>
      <c r="C1854" s="88"/>
      <c r="D1854" s="73"/>
      <c r="E1854" s="88"/>
      <c r="F1854" s="73"/>
      <c r="G1854" s="394"/>
      <c r="H1854" s="86"/>
      <c r="I1854" s="88"/>
      <c r="J1854" s="393">
        <v>44509.0</v>
      </c>
      <c r="K1854" s="393">
        <f t="shared" si="8"/>
        <v>44510</v>
      </c>
      <c r="L1854" s="394" t="str">
        <f>IFERROR(__xludf.DUMMYFUNCTION("JOIN("""", G1854:H1854)"),"")</f>
        <v/>
      </c>
      <c r="M1854" s="80" t="str">
        <f t="shared" si="2"/>
        <v/>
      </c>
    </row>
    <row r="1855">
      <c r="A1855" s="86"/>
      <c r="B1855" s="73"/>
      <c r="C1855" s="88"/>
      <c r="D1855" s="73"/>
      <c r="E1855" s="88"/>
      <c r="F1855" s="73"/>
      <c r="G1855" s="394"/>
      <c r="H1855" s="86"/>
      <c r="I1855" s="88"/>
      <c r="J1855" s="393">
        <v>44509.0</v>
      </c>
      <c r="K1855" s="393">
        <f t="shared" si="8"/>
        <v>44510</v>
      </c>
      <c r="L1855" s="394" t="str">
        <f>IFERROR(__xludf.DUMMYFUNCTION("JOIN("""", G1855:H1855)"),"")</f>
        <v/>
      </c>
      <c r="M1855" s="80" t="str">
        <f t="shared" si="2"/>
        <v/>
      </c>
    </row>
    <row r="1856">
      <c r="A1856" s="86"/>
      <c r="B1856" s="88"/>
      <c r="C1856" s="88"/>
      <c r="D1856" s="73"/>
      <c r="E1856" s="88"/>
      <c r="F1856" s="73"/>
      <c r="G1856" s="394"/>
      <c r="H1856" s="86"/>
      <c r="I1856" s="88"/>
      <c r="J1856" s="393">
        <v>44509.0</v>
      </c>
      <c r="K1856" s="393">
        <f t="shared" si="8"/>
        <v>44510</v>
      </c>
      <c r="L1856" s="394" t="str">
        <f>IFERROR(__xludf.DUMMYFUNCTION("JOIN("""", G1856:H1856)"),"")</f>
        <v/>
      </c>
      <c r="M1856" s="80" t="str">
        <f t="shared" si="2"/>
        <v/>
      </c>
    </row>
    <row r="1857">
      <c r="A1857" s="86"/>
      <c r="B1857" s="88"/>
      <c r="C1857" s="88"/>
      <c r="D1857" s="73"/>
      <c r="E1857" s="88"/>
      <c r="F1857" s="73"/>
      <c r="G1857" s="394"/>
      <c r="H1857" s="86"/>
      <c r="I1857" s="88"/>
      <c r="J1857" s="393">
        <v>44510.0</v>
      </c>
      <c r="K1857" s="393">
        <f t="shared" si="8"/>
        <v>44511</v>
      </c>
      <c r="L1857" s="394" t="str">
        <f>IFERROR(__xludf.DUMMYFUNCTION("JOIN("""", G1857:H1857)"),"")</f>
        <v/>
      </c>
      <c r="M1857" s="80" t="str">
        <f t="shared" si="2"/>
        <v/>
      </c>
    </row>
    <row r="1858">
      <c r="A1858" s="86"/>
      <c r="B1858" s="88"/>
      <c r="C1858" s="88"/>
      <c r="D1858" s="73"/>
      <c r="E1858" s="88"/>
      <c r="F1858" s="73"/>
      <c r="G1858" s="394"/>
      <c r="H1858" s="86"/>
      <c r="I1858" s="88"/>
      <c r="J1858" s="393">
        <v>44510.0</v>
      </c>
      <c r="K1858" s="393">
        <f t="shared" si="8"/>
        <v>44511</v>
      </c>
      <c r="L1858" s="394" t="str">
        <f>IFERROR(__xludf.DUMMYFUNCTION("JOIN("""", G1858:H1858)"),"")</f>
        <v/>
      </c>
      <c r="M1858" s="80" t="str">
        <f t="shared" si="2"/>
        <v/>
      </c>
    </row>
    <row r="1859">
      <c r="A1859" s="86"/>
      <c r="B1859" s="88"/>
      <c r="C1859" s="88"/>
      <c r="D1859" s="73"/>
      <c r="E1859" s="88"/>
      <c r="F1859" s="73"/>
      <c r="G1859" s="394"/>
      <c r="H1859" s="86"/>
      <c r="I1859" s="88"/>
      <c r="J1859" s="393">
        <v>44523.0</v>
      </c>
      <c r="K1859" s="393">
        <f t="shared" si="8"/>
        <v>44524</v>
      </c>
      <c r="L1859" s="394" t="str">
        <f>IFERROR(__xludf.DUMMYFUNCTION("JOIN("""", G1859:H1859)"),"")</f>
        <v/>
      </c>
      <c r="M1859" s="80" t="str">
        <f t="shared" si="2"/>
        <v/>
      </c>
    </row>
    <row r="1860">
      <c r="A1860" s="86"/>
      <c r="B1860" s="88"/>
      <c r="C1860" s="88"/>
      <c r="D1860" s="73"/>
      <c r="E1860" s="88"/>
      <c r="F1860" s="73"/>
      <c r="G1860" s="394"/>
      <c r="H1860" s="86"/>
      <c r="I1860" s="88"/>
      <c r="J1860" s="393">
        <v>44511.0</v>
      </c>
      <c r="K1860" s="393">
        <f t="shared" si="8"/>
        <v>44512</v>
      </c>
      <c r="L1860" s="394" t="str">
        <f>IFERROR(__xludf.DUMMYFUNCTION("JOIN("""", G1860:H1860)"),"")</f>
        <v/>
      </c>
      <c r="M1860" s="80" t="str">
        <f t="shared" si="2"/>
        <v/>
      </c>
    </row>
    <row r="1861">
      <c r="A1861" s="86"/>
      <c r="B1861" s="88"/>
      <c r="C1861" s="88"/>
      <c r="D1861" s="73"/>
      <c r="E1861" s="88"/>
      <c r="F1861" s="73"/>
      <c r="G1861" s="394"/>
      <c r="H1861" s="86"/>
      <c r="I1861" s="88"/>
      <c r="J1861" s="393">
        <v>44511.0</v>
      </c>
      <c r="K1861" s="393">
        <f t="shared" si="8"/>
        <v>44512</v>
      </c>
      <c r="L1861" s="394" t="str">
        <f>IFERROR(__xludf.DUMMYFUNCTION("JOIN("""", G1861:H1861)"),"")</f>
        <v/>
      </c>
      <c r="M1861" s="80" t="str">
        <f t="shared" si="2"/>
        <v/>
      </c>
    </row>
    <row r="1862">
      <c r="A1862" s="86"/>
      <c r="B1862" s="88"/>
      <c r="C1862" s="88"/>
      <c r="D1862" s="73"/>
      <c r="E1862" s="88"/>
      <c r="F1862" s="73"/>
      <c r="G1862" s="394"/>
      <c r="H1862" s="86"/>
      <c r="I1862" s="88"/>
      <c r="J1862" s="393">
        <v>44511.0</v>
      </c>
      <c r="K1862" s="393">
        <f t="shared" si="8"/>
        <v>44512</v>
      </c>
      <c r="L1862" s="394" t="str">
        <f>IFERROR(__xludf.DUMMYFUNCTION("JOIN("""", G1862:H1862)"),"")</f>
        <v/>
      </c>
      <c r="M1862" s="80" t="str">
        <f t="shared" si="2"/>
        <v/>
      </c>
    </row>
    <row r="1863">
      <c r="A1863" s="86"/>
      <c r="B1863" s="88"/>
      <c r="C1863" s="88"/>
      <c r="D1863" s="73"/>
      <c r="E1863" s="88"/>
      <c r="F1863" s="73"/>
      <c r="G1863" s="394"/>
      <c r="H1863" s="86"/>
      <c r="I1863" s="88"/>
      <c r="J1863" s="393">
        <v>44511.0</v>
      </c>
      <c r="K1863" s="393">
        <f t="shared" si="8"/>
        <v>44512</v>
      </c>
      <c r="L1863" s="394" t="str">
        <f>IFERROR(__xludf.DUMMYFUNCTION("JOIN("""", G1863:H1863)"),"")</f>
        <v/>
      </c>
      <c r="M1863" s="80" t="str">
        <f t="shared" si="2"/>
        <v/>
      </c>
    </row>
    <row r="1864">
      <c r="A1864" s="86"/>
      <c r="B1864" s="88"/>
      <c r="C1864" s="88"/>
      <c r="D1864" s="73"/>
      <c r="E1864" s="88"/>
      <c r="F1864" s="73"/>
      <c r="G1864" s="394"/>
      <c r="H1864" s="86"/>
      <c r="I1864" s="88"/>
      <c r="J1864" s="393">
        <v>44511.0</v>
      </c>
      <c r="K1864" s="393">
        <f t="shared" si="8"/>
        <v>44512</v>
      </c>
      <c r="L1864" s="394" t="str">
        <f>IFERROR(__xludf.DUMMYFUNCTION("JOIN("""", G1864:H1864)"),"")</f>
        <v/>
      </c>
      <c r="M1864" s="80" t="str">
        <f t="shared" si="2"/>
        <v/>
      </c>
    </row>
    <row r="1865">
      <c r="A1865" s="86"/>
      <c r="B1865" s="88"/>
      <c r="C1865" s="88"/>
      <c r="D1865" s="73"/>
      <c r="E1865" s="88"/>
      <c r="F1865" s="73"/>
      <c r="G1865" s="394"/>
      <c r="H1865" s="86"/>
      <c r="I1865" s="88"/>
      <c r="J1865" s="393">
        <v>44511.0</v>
      </c>
      <c r="K1865" s="393">
        <f t="shared" si="8"/>
        <v>44512</v>
      </c>
      <c r="L1865" s="394" t="str">
        <f>IFERROR(__xludf.DUMMYFUNCTION("JOIN("""", G1865:H1865)"),"")</f>
        <v/>
      </c>
      <c r="M1865" s="80" t="str">
        <f t="shared" si="2"/>
        <v/>
      </c>
    </row>
    <row r="1866">
      <c r="A1866" s="86"/>
      <c r="B1866" s="88"/>
      <c r="C1866" s="88"/>
      <c r="D1866" s="73"/>
      <c r="E1866" s="88"/>
      <c r="F1866" s="73"/>
      <c r="G1866" s="394"/>
      <c r="H1866" s="86"/>
      <c r="I1866" s="88"/>
      <c r="J1866" s="393">
        <v>44511.0</v>
      </c>
      <c r="K1866" s="393">
        <f t="shared" si="8"/>
        <v>44512</v>
      </c>
      <c r="L1866" s="394" t="str">
        <f>IFERROR(__xludf.DUMMYFUNCTION("JOIN("""", G1866:H1866)"),"")</f>
        <v/>
      </c>
      <c r="M1866" s="80" t="str">
        <f t="shared" si="2"/>
        <v/>
      </c>
    </row>
    <row r="1867">
      <c r="A1867" s="86"/>
      <c r="B1867" s="88"/>
      <c r="C1867" s="88"/>
      <c r="D1867" s="73"/>
      <c r="E1867" s="88"/>
      <c r="F1867" s="73"/>
      <c r="G1867" s="394"/>
      <c r="H1867" s="86"/>
      <c r="I1867" s="88"/>
      <c r="J1867" s="393">
        <v>44511.0</v>
      </c>
      <c r="K1867" s="393">
        <f t="shared" si="8"/>
        <v>44512</v>
      </c>
      <c r="L1867" s="394" t="str">
        <f>IFERROR(__xludf.DUMMYFUNCTION("JOIN("""", G1867:H1867)"),"")</f>
        <v/>
      </c>
      <c r="M1867" s="80" t="str">
        <f t="shared" si="2"/>
        <v/>
      </c>
    </row>
    <row r="1868">
      <c r="A1868" s="86"/>
      <c r="B1868" s="88"/>
      <c r="C1868" s="88"/>
      <c r="D1868" s="73"/>
      <c r="E1868" s="88"/>
      <c r="F1868" s="73"/>
      <c r="G1868" s="394"/>
      <c r="H1868" s="86"/>
      <c r="I1868" s="88"/>
      <c r="J1868" s="393">
        <v>44511.0</v>
      </c>
      <c r="K1868" s="393">
        <f t="shared" si="8"/>
        <v>44512</v>
      </c>
      <c r="L1868" s="394" t="str">
        <f>IFERROR(__xludf.DUMMYFUNCTION("JOIN("""", G1868:H1868)"),"")</f>
        <v/>
      </c>
      <c r="M1868" s="80" t="str">
        <f t="shared" si="2"/>
        <v/>
      </c>
    </row>
    <row r="1869">
      <c r="A1869" s="86"/>
      <c r="B1869" s="88"/>
      <c r="C1869" s="88"/>
      <c r="D1869" s="73"/>
      <c r="E1869" s="88"/>
      <c r="F1869" s="73"/>
      <c r="G1869" s="394"/>
      <c r="H1869" s="86"/>
      <c r="I1869" s="88"/>
      <c r="J1869" s="393">
        <v>44511.0</v>
      </c>
      <c r="K1869" s="393">
        <f t="shared" si="8"/>
        <v>44512</v>
      </c>
      <c r="L1869" s="394" t="str">
        <f>IFERROR(__xludf.DUMMYFUNCTION("JOIN("""", G1869:H1869)"),"")</f>
        <v/>
      </c>
      <c r="M1869" s="80" t="str">
        <f t="shared" si="2"/>
        <v/>
      </c>
    </row>
    <row r="1870">
      <c r="A1870" s="86"/>
      <c r="B1870" s="73"/>
      <c r="C1870" s="88"/>
      <c r="D1870" s="73"/>
      <c r="E1870" s="88"/>
      <c r="F1870" s="73"/>
      <c r="G1870" s="394"/>
      <c r="H1870" s="86"/>
      <c r="I1870" s="88"/>
      <c r="J1870" s="393">
        <v>44511.0</v>
      </c>
      <c r="K1870" s="393">
        <f t="shared" si="8"/>
        <v>44512</v>
      </c>
      <c r="L1870" s="394" t="str">
        <f>IFERROR(__xludf.DUMMYFUNCTION("JOIN("""", G1870:H1870)"),"")</f>
        <v/>
      </c>
      <c r="M1870" s="80" t="str">
        <f t="shared" si="2"/>
        <v/>
      </c>
    </row>
    <row r="1871">
      <c r="A1871" s="86"/>
      <c r="B1871" s="73"/>
      <c r="C1871" s="88"/>
      <c r="D1871" s="73"/>
      <c r="E1871" s="88"/>
      <c r="F1871" s="73"/>
      <c r="G1871" s="394"/>
      <c r="H1871" s="86"/>
      <c r="I1871" s="88"/>
      <c r="J1871" s="393">
        <v>44511.0</v>
      </c>
      <c r="K1871" s="393">
        <f t="shared" si="8"/>
        <v>44512</v>
      </c>
      <c r="L1871" s="394" t="str">
        <f>IFERROR(__xludf.DUMMYFUNCTION("JOIN("""", G1871:H1871)"),"")</f>
        <v/>
      </c>
      <c r="M1871" s="80" t="str">
        <f t="shared" si="2"/>
        <v/>
      </c>
    </row>
    <row r="1872">
      <c r="A1872" s="86"/>
      <c r="B1872" s="88"/>
      <c r="C1872" s="88"/>
      <c r="D1872" s="73"/>
      <c r="E1872" s="88"/>
      <c r="F1872" s="73"/>
      <c r="G1872" s="394"/>
      <c r="H1872" s="86"/>
      <c r="I1872" s="88"/>
      <c r="J1872" s="393">
        <v>44512.0</v>
      </c>
      <c r="K1872" s="393">
        <f t="shared" si="8"/>
        <v>44513</v>
      </c>
      <c r="L1872" s="394" t="str">
        <f>IFERROR(__xludf.DUMMYFUNCTION("JOIN("""", G1872:H1872)"),"")</f>
        <v/>
      </c>
      <c r="M1872" s="80" t="str">
        <f t="shared" si="2"/>
        <v/>
      </c>
    </row>
    <row r="1873">
      <c r="A1873" s="86"/>
      <c r="B1873" s="88"/>
      <c r="C1873" s="88"/>
      <c r="D1873" s="73"/>
      <c r="E1873" s="88"/>
      <c r="F1873" s="73"/>
      <c r="G1873" s="394"/>
      <c r="H1873" s="86"/>
      <c r="I1873" s="88"/>
      <c r="J1873" s="393">
        <v>44512.0</v>
      </c>
      <c r="K1873" s="393">
        <f t="shared" si="8"/>
        <v>44513</v>
      </c>
      <c r="L1873" s="394" t="str">
        <f>IFERROR(__xludf.DUMMYFUNCTION("JOIN("""", G1873:H1873)"),"")</f>
        <v/>
      </c>
      <c r="M1873" s="80" t="str">
        <f t="shared" si="2"/>
        <v/>
      </c>
    </row>
    <row r="1874">
      <c r="A1874" s="86"/>
      <c r="B1874" s="88"/>
      <c r="C1874" s="88"/>
      <c r="D1874" s="73"/>
      <c r="E1874" s="88"/>
      <c r="F1874" s="73"/>
      <c r="G1874" s="394"/>
      <c r="H1874" s="86"/>
      <c r="I1874" s="88"/>
      <c r="J1874" s="393">
        <v>44512.0</v>
      </c>
      <c r="K1874" s="393">
        <f t="shared" si="8"/>
        <v>44513</v>
      </c>
      <c r="L1874" s="394" t="str">
        <f>IFERROR(__xludf.DUMMYFUNCTION("JOIN("""", G1874:H1874)"),"")</f>
        <v/>
      </c>
      <c r="M1874" s="80" t="str">
        <f t="shared" si="2"/>
        <v/>
      </c>
    </row>
    <row r="1875">
      <c r="A1875" s="86"/>
      <c r="B1875" s="88"/>
      <c r="C1875" s="88"/>
      <c r="D1875" s="73"/>
      <c r="E1875" s="88"/>
      <c r="F1875" s="73"/>
      <c r="G1875" s="394"/>
      <c r="H1875" s="86"/>
      <c r="I1875" s="88"/>
      <c r="J1875" s="393">
        <v>44512.0</v>
      </c>
      <c r="K1875" s="393">
        <f t="shared" si="8"/>
        <v>44513</v>
      </c>
      <c r="L1875" s="394" t="str">
        <f>IFERROR(__xludf.DUMMYFUNCTION("JOIN("""", G1875:H1875)"),"")</f>
        <v/>
      </c>
      <c r="M1875" s="80" t="str">
        <f t="shared" si="2"/>
        <v/>
      </c>
    </row>
    <row r="1876">
      <c r="A1876" s="86"/>
      <c r="B1876" s="88"/>
      <c r="C1876" s="88"/>
      <c r="D1876" s="73"/>
      <c r="E1876" s="88"/>
      <c r="F1876" s="73"/>
      <c r="G1876" s="394"/>
      <c r="H1876" s="86"/>
      <c r="I1876" s="88"/>
      <c r="J1876" s="393">
        <v>44513.0</v>
      </c>
      <c r="K1876" s="393">
        <f t="shared" si="8"/>
        <v>44514</v>
      </c>
      <c r="L1876" s="394" t="str">
        <f>IFERROR(__xludf.DUMMYFUNCTION("JOIN("""", G1876:H1876)"),"")</f>
        <v/>
      </c>
      <c r="M1876" s="80" t="str">
        <f t="shared" si="2"/>
        <v/>
      </c>
    </row>
    <row r="1877">
      <c r="A1877" s="86"/>
      <c r="B1877" s="88"/>
      <c r="C1877" s="88"/>
      <c r="D1877" s="73"/>
      <c r="E1877" s="88"/>
      <c r="F1877" s="73"/>
      <c r="G1877" s="394"/>
      <c r="H1877" s="86"/>
      <c r="I1877" s="88"/>
      <c r="J1877" s="393">
        <v>44512.0</v>
      </c>
      <c r="K1877" s="393">
        <f t="shared" si="8"/>
        <v>44513</v>
      </c>
      <c r="L1877" s="394" t="str">
        <f>IFERROR(__xludf.DUMMYFUNCTION("JOIN("""", G1877:H1877)"),"")</f>
        <v/>
      </c>
      <c r="M1877" s="80" t="str">
        <f t="shared" si="2"/>
        <v/>
      </c>
    </row>
    <row r="1878">
      <c r="A1878" s="86"/>
      <c r="B1878" s="88"/>
      <c r="C1878" s="88"/>
      <c r="D1878" s="73"/>
      <c r="E1878" s="88"/>
      <c r="F1878" s="73"/>
      <c r="G1878" s="394"/>
      <c r="H1878" s="86"/>
      <c r="I1878" s="88"/>
      <c r="J1878" s="393">
        <v>44516.0</v>
      </c>
      <c r="K1878" s="393">
        <f t="shared" si="8"/>
        <v>44517</v>
      </c>
      <c r="L1878" s="394" t="str">
        <f>IFERROR(__xludf.DUMMYFUNCTION("JOIN("""", G1878:H1878)"),"")</f>
        <v/>
      </c>
      <c r="M1878" s="80" t="str">
        <f t="shared" si="2"/>
        <v/>
      </c>
    </row>
    <row r="1879">
      <c r="A1879" s="86"/>
      <c r="B1879" s="73"/>
      <c r="C1879" s="88"/>
      <c r="D1879" s="73"/>
      <c r="E1879" s="88"/>
      <c r="F1879" s="73"/>
      <c r="G1879" s="394"/>
      <c r="H1879" s="86"/>
      <c r="I1879" s="88"/>
      <c r="J1879" s="393">
        <v>44515.0</v>
      </c>
      <c r="K1879" s="393">
        <f t="shared" si="8"/>
        <v>44516</v>
      </c>
      <c r="L1879" s="394" t="str">
        <f>IFERROR(__xludf.DUMMYFUNCTION("JOIN("""", G1879:H1879)"),"")</f>
        <v/>
      </c>
      <c r="M1879" s="80" t="str">
        <f t="shared" si="2"/>
        <v/>
      </c>
    </row>
    <row r="1880">
      <c r="A1880" s="86"/>
      <c r="B1880" s="88"/>
      <c r="C1880" s="88"/>
      <c r="D1880" s="73"/>
      <c r="E1880" s="88"/>
      <c r="F1880" s="73"/>
      <c r="G1880" s="394"/>
      <c r="H1880" s="86"/>
      <c r="I1880" s="88"/>
      <c r="J1880" s="393">
        <v>44515.0</v>
      </c>
      <c r="K1880" s="393">
        <f t="shared" si="8"/>
        <v>44516</v>
      </c>
      <c r="L1880" s="394" t="str">
        <f>IFERROR(__xludf.DUMMYFUNCTION("JOIN("""", G1880:H1880)"),"")</f>
        <v/>
      </c>
      <c r="M1880" s="80" t="str">
        <f t="shared" si="2"/>
        <v/>
      </c>
    </row>
    <row r="1881">
      <c r="A1881" s="86"/>
      <c r="B1881" s="73"/>
      <c r="C1881" s="88"/>
      <c r="D1881" s="73"/>
      <c r="E1881" s="88"/>
      <c r="F1881" s="73"/>
      <c r="G1881" s="394"/>
      <c r="H1881" s="86"/>
      <c r="I1881" s="88"/>
      <c r="J1881" s="393">
        <v>44518.0</v>
      </c>
      <c r="K1881" s="393">
        <f t="shared" si="8"/>
        <v>44519</v>
      </c>
      <c r="L1881" s="394" t="str">
        <f>IFERROR(__xludf.DUMMYFUNCTION("JOIN("""", G1881:H1881)"),"")</f>
        <v/>
      </c>
      <c r="M1881" s="80" t="str">
        <f t="shared" si="2"/>
        <v/>
      </c>
    </row>
    <row r="1882">
      <c r="A1882" s="86"/>
      <c r="B1882" s="88"/>
      <c r="C1882" s="88"/>
      <c r="D1882" s="73"/>
      <c r="E1882" s="88"/>
      <c r="F1882" s="73"/>
      <c r="G1882" s="394"/>
      <c r="H1882" s="86"/>
      <c r="I1882" s="88"/>
      <c r="J1882" s="393">
        <v>44515.0</v>
      </c>
      <c r="K1882" s="393">
        <f t="shared" si="8"/>
        <v>44516</v>
      </c>
      <c r="L1882" s="394" t="str">
        <f>IFERROR(__xludf.DUMMYFUNCTION("JOIN("""", G1882:H1882)"),"")</f>
        <v/>
      </c>
      <c r="M1882" s="80" t="str">
        <f t="shared" si="2"/>
        <v/>
      </c>
    </row>
    <row r="1883">
      <c r="A1883" s="86"/>
      <c r="B1883" s="88"/>
      <c r="C1883" s="88"/>
      <c r="D1883" s="73"/>
      <c r="E1883" s="88"/>
      <c r="F1883" s="73"/>
      <c r="G1883" s="394"/>
      <c r="H1883" s="86"/>
      <c r="I1883" s="88"/>
      <c r="J1883" s="393">
        <v>44515.0</v>
      </c>
      <c r="K1883" s="393">
        <f t="shared" si="8"/>
        <v>44516</v>
      </c>
      <c r="L1883" s="394" t="str">
        <f>IFERROR(__xludf.DUMMYFUNCTION("JOIN("""", G1883:H1883)"),"")</f>
        <v/>
      </c>
      <c r="M1883" s="80" t="str">
        <f t="shared" si="2"/>
        <v/>
      </c>
    </row>
    <row r="1884">
      <c r="A1884" s="86"/>
      <c r="B1884" s="88"/>
      <c r="C1884" s="88"/>
      <c r="D1884" s="73"/>
      <c r="E1884" s="88"/>
      <c r="F1884" s="73"/>
      <c r="G1884" s="394"/>
      <c r="H1884" s="86"/>
      <c r="I1884" s="88"/>
      <c r="J1884" s="393">
        <v>44515.0</v>
      </c>
      <c r="K1884" s="393">
        <f t="shared" si="8"/>
        <v>44516</v>
      </c>
      <c r="L1884" s="394" t="str">
        <f>IFERROR(__xludf.DUMMYFUNCTION("JOIN("""", G1884:H1884)"),"")</f>
        <v/>
      </c>
      <c r="M1884" s="80" t="str">
        <f t="shared" si="2"/>
        <v/>
      </c>
    </row>
    <row r="1885">
      <c r="A1885" s="86"/>
      <c r="B1885" s="88"/>
      <c r="C1885" s="88"/>
      <c r="D1885" s="73"/>
      <c r="E1885" s="88"/>
      <c r="F1885" s="73"/>
      <c r="G1885" s="394"/>
      <c r="H1885" s="86"/>
      <c r="I1885" s="88"/>
      <c r="J1885" s="393">
        <v>44515.0</v>
      </c>
      <c r="K1885" s="393">
        <f t="shared" si="8"/>
        <v>44516</v>
      </c>
      <c r="L1885" s="394" t="str">
        <f>IFERROR(__xludf.DUMMYFUNCTION("JOIN("""", G1885:H1885)"),"")</f>
        <v/>
      </c>
      <c r="M1885" s="80" t="str">
        <f t="shared" si="2"/>
        <v/>
      </c>
    </row>
    <row r="1886">
      <c r="A1886" s="86"/>
      <c r="B1886" s="88"/>
      <c r="C1886" s="88"/>
      <c r="D1886" s="73"/>
      <c r="E1886" s="88"/>
      <c r="F1886" s="73"/>
      <c r="G1886" s="394"/>
      <c r="H1886" s="86"/>
      <c r="I1886" s="88"/>
      <c r="J1886" s="393">
        <v>44515.0</v>
      </c>
      <c r="K1886" s="393">
        <f t="shared" si="8"/>
        <v>44516</v>
      </c>
      <c r="L1886" s="394" t="str">
        <f>IFERROR(__xludf.DUMMYFUNCTION("JOIN("""", G1886:H1886)"),"")</f>
        <v/>
      </c>
      <c r="M1886" s="80" t="str">
        <f t="shared" si="2"/>
        <v/>
      </c>
    </row>
    <row r="1887">
      <c r="A1887" s="86"/>
      <c r="B1887" s="88"/>
      <c r="C1887" s="88"/>
      <c r="D1887" s="73"/>
      <c r="E1887" s="88"/>
      <c r="F1887" s="73"/>
      <c r="G1887" s="394"/>
      <c r="H1887" s="86"/>
      <c r="I1887" s="88"/>
      <c r="J1887" s="393">
        <v>44515.0</v>
      </c>
      <c r="K1887" s="393">
        <f t="shared" si="8"/>
        <v>44516</v>
      </c>
      <c r="L1887" s="394" t="str">
        <f>IFERROR(__xludf.DUMMYFUNCTION("JOIN("""", G1887:H1887)"),"")</f>
        <v/>
      </c>
      <c r="M1887" s="80" t="str">
        <f t="shared" si="2"/>
        <v/>
      </c>
    </row>
    <row r="1888">
      <c r="A1888" s="86"/>
      <c r="B1888" s="88"/>
      <c r="C1888" s="88"/>
      <c r="D1888" s="73"/>
      <c r="E1888" s="88"/>
      <c r="F1888" s="73"/>
      <c r="G1888" s="394"/>
      <c r="H1888" s="86"/>
      <c r="I1888" s="88"/>
      <c r="J1888" s="393">
        <v>44515.0</v>
      </c>
      <c r="K1888" s="393">
        <f t="shared" si="8"/>
        <v>44516</v>
      </c>
      <c r="L1888" s="394" t="str">
        <f>IFERROR(__xludf.DUMMYFUNCTION("JOIN("""", G1888:H1888)"),"")</f>
        <v/>
      </c>
      <c r="M1888" s="80" t="str">
        <f t="shared" si="2"/>
        <v/>
      </c>
    </row>
    <row r="1889">
      <c r="A1889" s="86"/>
      <c r="B1889" s="88"/>
      <c r="C1889" s="88"/>
      <c r="D1889" s="73"/>
      <c r="E1889" s="88"/>
      <c r="F1889" s="73"/>
      <c r="G1889" s="394"/>
      <c r="H1889" s="86"/>
      <c r="I1889" s="88"/>
      <c r="J1889" s="393">
        <v>44515.0</v>
      </c>
      <c r="K1889" s="393">
        <f t="shared" si="8"/>
        <v>44516</v>
      </c>
      <c r="L1889" s="394" t="str">
        <f>IFERROR(__xludf.DUMMYFUNCTION("JOIN("""", G1889:H1889)"),"")</f>
        <v/>
      </c>
      <c r="M1889" s="80" t="str">
        <f t="shared" si="2"/>
        <v/>
      </c>
    </row>
    <row r="1890">
      <c r="A1890" s="86"/>
      <c r="B1890" s="88"/>
      <c r="C1890" s="88"/>
      <c r="D1890" s="73"/>
      <c r="E1890" s="88"/>
      <c r="F1890" s="73"/>
      <c r="G1890" s="394"/>
      <c r="H1890" s="86"/>
      <c r="I1890" s="88"/>
      <c r="J1890" s="393">
        <v>44515.0</v>
      </c>
      <c r="K1890" s="393">
        <f t="shared" si="8"/>
        <v>44516</v>
      </c>
      <c r="L1890" s="394" t="str">
        <f>IFERROR(__xludf.DUMMYFUNCTION("JOIN("""", G1890:H1890)"),"")</f>
        <v/>
      </c>
      <c r="M1890" s="80" t="str">
        <f t="shared" si="2"/>
        <v/>
      </c>
    </row>
    <row r="1891">
      <c r="A1891" s="86"/>
      <c r="B1891" s="88"/>
      <c r="C1891" s="88"/>
      <c r="D1891" s="73"/>
      <c r="E1891" s="88"/>
      <c r="F1891" s="73"/>
      <c r="G1891" s="394"/>
      <c r="H1891" s="86"/>
      <c r="I1891" s="88"/>
      <c r="J1891" s="393">
        <v>44515.0</v>
      </c>
      <c r="K1891" s="393">
        <f t="shared" si="8"/>
        <v>44516</v>
      </c>
      <c r="L1891" s="394" t="str">
        <f>IFERROR(__xludf.DUMMYFUNCTION("JOIN("""", G1891:H1891)"),"")</f>
        <v/>
      </c>
      <c r="M1891" s="80" t="str">
        <f t="shared" si="2"/>
        <v/>
      </c>
    </row>
    <row r="1892">
      <c r="A1892" s="86"/>
      <c r="B1892" s="88"/>
      <c r="C1892" s="88"/>
      <c r="D1892" s="73"/>
      <c r="E1892" s="88"/>
      <c r="F1892" s="73"/>
      <c r="G1892" s="394"/>
      <c r="H1892" s="86"/>
      <c r="I1892" s="88"/>
      <c r="J1892" s="393">
        <v>44516.0</v>
      </c>
      <c r="K1892" s="393">
        <f t="shared" si="8"/>
        <v>44517</v>
      </c>
      <c r="L1892" s="394" t="str">
        <f>IFERROR(__xludf.DUMMYFUNCTION("JOIN("""", G1892:H1892)"),"")</f>
        <v/>
      </c>
      <c r="M1892" s="80" t="str">
        <f t="shared" si="2"/>
        <v/>
      </c>
    </row>
    <row r="1893">
      <c r="A1893" s="86"/>
      <c r="B1893" s="88"/>
      <c r="C1893" s="88"/>
      <c r="D1893" s="73"/>
      <c r="E1893" s="88"/>
      <c r="F1893" s="73"/>
      <c r="G1893" s="394"/>
      <c r="H1893" s="86"/>
      <c r="I1893" s="88"/>
      <c r="J1893" s="393">
        <v>44516.0</v>
      </c>
      <c r="K1893" s="393">
        <f t="shared" si="8"/>
        <v>44517</v>
      </c>
      <c r="L1893" s="394" t="str">
        <f>IFERROR(__xludf.DUMMYFUNCTION("JOIN("""", G1893:H1893)"),"")</f>
        <v/>
      </c>
      <c r="M1893" s="80" t="str">
        <f t="shared" si="2"/>
        <v/>
      </c>
    </row>
    <row r="1894">
      <c r="A1894" s="86"/>
      <c r="B1894" s="88"/>
      <c r="C1894" s="88"/>
      <c r="D1894" s="73"/>
      <c r="E1894" s="88"/>
      <c r="F1894" s="73"/>
      <c r="G1894" s="394"/>
      <c r="H1894" s="86"/>
      <c r="I1894" s="88"/>
      <c r="J1894" s="393">
        <v>44516.0</v>
      </c>
      <c r="K1894" s="393">
        <f t="shared" si="8"/>
        <v>44517</v>
      </c>
      <c r="L1894" s="394" t="str">
        <f>IFERROR(__xludf.DUMMYFUNCTION("JOIN("""", G1894:H1894)"),"")</f>
        <v/>
      </c>
      <c r="M1894" s="80" t="str">
        <f t="shared" si="2"/>
        <v/>
      </c>
    </row>
    <row r="1895">
      <c r="A1895" s="86"/>
      <c r="B1895" s="88"/>
      <c r="C1895" s="88"/>
      <c r="D1895" s="73"/>
      <c r="E1895" s="88"/>
      <c r="F1895" s="73"/>
      <c r="G1895" s="394"/>
      <c r="H1895" s="86"/>
      <c r="I1895" s="88"/>
      <c r="J1895" s="393">
        <v>44516.0</v>
      </c>
      <c r="K1895" s="393">
        <f t="shared" si="8"/>
        <v>44517</v>
      </c>
      <c r="L1895" s="394" t="str">
        <f>IFERROR(__xludf.DUMMYFUNCTION("JOIN("""", G1895:H1895)"),"")</f>
        <v/>
      </c>
      <c r="M1895" s="80" t="str">
        <f t="shared" si="2"/>
        <v/>
      </c>
    </row>
    <row r="1896">
      <c r="A1896" s="86"/>
      <c r="B1896" s="88"/>
      <c r="C1896" s="88"/>
      <c r="D1896" s="73"/>
      <c r="E1896" s="88"/>
      <c r="F1896" s="73"/>
      <c r="G1896" s="394"/>
      <c r="H1896" s="86"/>
      <c r="I1896" s="88"/>
      <c r="J1896" s="393">
        <v>44516.0</v>
      </c>
      <c r="K1896" s="393">
        <f t="shared" si="8"/>
        <v>44517</v>
      </c>
      <c r="L1896" s="394" t="str">
        <f>IFERROR(__xludf.DUMMYFUNCTION("JOIN("""", G1896:H1896)"),"")</f>
        <v/>
      </c>
      <c r="M1896" s="80" t="str">
        <f t="shared" si="2"/>
        <v/>
      </c>
    </row>
    <row r="1897">
      <c r="A1897" s="86"/>
      <c r="B1897" s="88"/>
      <c r="C1897" s="88"/>
      <c r="D1897" s="73"/>
      <c r="E1897" s="88"/>
      <c r="F1897" s="73"/>
      <c r="G1897" s="394"/>
      <c r="H1897" s="86"/>
      <c r="I1897" s="88"/>
      <c r="J1897" s="393">
        <v>44516.0</v>
      </c>
      <c r="K1897" s="393">
        <f t="shared" si="8"/>
        <v>44517</v>
      </c>
      <c r="L1897" s="394" t="str">
        <f>IFERROR(__xludf.DUMMYFUNCTION("JOIN("""", G1897:H1897)"),"")</f>
        <v/>
      </c>
      <c r="M1897" s="80" t="str">
        <f t="shared" si="2"/>
        <v/>
      </c>
    </row>
    <row r="1898">
      <c r="A1898" s="86"/>
      <c r="B1898" s="88"/>
      <c r="C1898" s="88"/>
      <c r="D1898" s="73"/>
      <c r="E1898" s="88"/>
      <c r="F1898" s="73"/>
      <c r="G1898" s="394"/>
      <c r="H1898" s="86"/>
      <c r="I1898" s="88"/>
      <c r="J1898" s="393">
        <v>44516.0</v>
      </c>
      <c r="K1898" s="393">
        <f t="shared" si="8"/>
        <v>44517</v>
      </c>
      <c r="L1898" s="394" t="str">
        <f>IFERROR(__xludf.DUMMYFUNCTION("JOIN("""", G1898:H1898)"),"")</f>
        <v/>
      </c>
      <c r="M1898" s="80" t="str">
        <f t="shared" si="2"/>
        <v/>
      </c>
    </row>
    <row r="1899">
      <c r="A1899" s="86"/>
      <c r="B1899" s="88"/>
      <c r="C1899" s="88"/>
      <c r="D1899" s="73"/>
      <c r="E1899" s="88"/>
      <c r="F1899" s="73"/>
      <c r="G1899" s="394"/>
      <c r="H1899" s="86"/>
      <c r="I1899" s="88"/>
      <c r="J1899" s="393">
        <v>44517.0</v>
      </c>
      <c r="K1899" s="393">
        <f t="shared" si="8"/>
        <v>44518</v>
      </c>
      <c r="L1899" s="394" t="str">
        <f>IFERROR(__xludf.DUMMYFUNCTION("JOIN("""", G1899:H1899)"),"")</f>
        <v/>
      </c>
      <c r="M1899" s="80" t="str">
        <f t="shared" si="2"/>
        <v/>
      </c>
    </row>
    <row r="1900">
      <c r="A1900" s="86"/>
      <c r="B1900" s="73"/>
      <c r="C1900" s="88"/>
      <c r="D1900" s="73"/>
      <c r="E1900" s="88"/>
      <c r="F1900" s="73"/>
      <c r="G1900" s="394"/>
      <c r="H1900" s="86"/>
      <c r="I1900" s="88"/>
      <c r="J1900" s="393">
        <v>44517.0</v>
      </c>
      <c r="K1900" s="393">
        <f t="shared" si="8"/>
        <v>44518</v>
      </c>
      <c r="L1900" s="394" t="str">
        <f>IFERROR(__xludf.DUMMYFUNCTION("JOIN("""", G1900:H1900)"),"")</f>
        <v/>
      </c>
      <c r="M1900" s="80" t="str">
        <f t="shared" si="2"/>
        <v/>
      </c>
    </row>
    <row r="1901">
      <c r="A1901" s="86"/>
      <c r="B1901" s="88"/>
      <c r="C1901" s="88"/>
      <c r="D1901" s="73"/>
      <c r="E1901" s="88"/>
      <c r="F1901" s="73"/>
      <c r="G1901" s="394"/>
      <c r="H1901" s="86"/>
      <c r="I1901" s="88"/>
      <c r="J1901" s="393">
        <v>44518.0</v>
      </c>
      <c r="K1901" s="393">
        <f t="shared" si="8"/>
        <v>44519</v>
      </c>
      <c r="L1901" s="394" t="str">
        <f>IFERROR(__xludf.DUMMYFUNCTION("JOIN("""", G1901:H1901)"),"")</f>
        <v/>
      </c>
      <c r="M1901" s="80" t="str">
        <f t="shared" si="2"/>
        <v/>
      </c>
    </row>
    <row r="1902">
      <c r="A1902" s="86"/>
      <c r="B1902" s="73"/>
      <c r="C1902" s="88"/>
      <c r="D1902" s="73"/>
      <c r="E1902" s="88"/>
      <c r="F1902" s="73"/>
      <c r="G1902" s="394"/>
      <c r="H1902" s="86"/>
      <c r="I1902" s="88"/>
      <c r="J1902" s="393">
        <v>44518.0</v>
      </c>
      <c r="K1902" s="393">
        <f t="shared" si="8"/>
        <v>44519</v>
      </c>
      <c r="L1902" s="394" t="str">
        <f>IFERROR(__xludf.DUMMYFUNCTION("JOIN("""", G1902:H1902)"),"")</f>
        <v/>
      </c>
      <c r="M1902" s="80" t="str">
        <f t="shared" si="2"/>
        <v/>
      </c>
    </row>
    <row r="1903">
      <c r="A1903" s="86"/>
      <c r="B1903" s="88"/>
      <c r="C1903" s="88"/>
      <c r="D1903" s="73"/>
      <c r="E1903" s="88"/>
      <c r="F1903" s="73"/>
      <c r="G1903" s="394"/>
      <c r="H1903" s="86"/>
      <c r="I1903" s="88"/>
      <c r="J1903" s="393">
        <v>44518.0</v>
      </c>
      <c r="K1903" s="393">
        <f t="shared" si="8"/>
        <v>44519</v>
      </c>
      <c r="L1903" s="394" t="str">
        <f>IFERROR(__xludf.DUMMYFUNCTION("JOIN("""", G1903:H1903)"),"")</f>
        <v/>
      </c>
      <c r="M1903" s="80" t="str">
        <f t="shared" si="2"/>
        <v/>
      </c>
    </row>
    <row r="1904">
      <c r="A1904" s="86"/>
      <c r="B1904" s="73"/>
      <c r="C1904" s="88"/>
      <c r="D1904" s="73"/>
      <c r="E1904" s="88"/>
      <c r="F1904" s="73"/>
      <c r="G1904" s="394"/>
      <c r="H1904" s="86"/>
      <c r="I1904" s="88"/>
      <c r="J1904" s="393">
        <v>44518.0</v>
      </c>
      <c r="K1904" s="393">
        <f t="shared" si="8"/>
        <v>44519</v>
      </c>
      <c r="L1904" s="394" t="str">
        <f>IFERROR(__xludf.DUMMYFUNCTION("JOIN("""", G1904:H1904)"),"")</f>
        <v/>
      </c>
      <c r="M1904" s="80" t="str">
        <f t="shared" si="2"/>
        <v/>
      </c>
    </row>
    <row r="1905">
      <c r="A1905" s="86"/>
      <c r="B1905" s="73"/>
      <c r="C1905" s="88"/>
      <c r="D1905" s="73"/>
      <c r="E1905" s="88"/>
      <c r="F1905" s="73"/>
      <c r="G1905" s="394"/>
      <c r="H1905" s="86"/>
      <c r="I1905" s="88"/>
      <c r="J1905" s="393">
        <v>44518.0</v>
      </c>
      <c r="K1905" s="393">
        <f t="shared" si="8"/>
        <v>44519</v>
      </c>
      <c r="L1905" s="394" t="str">
        <f>IFERROR(__xludf.DUMMYFUNCTION("JOIN("""", G1905:H1905)"),"")</f>
        <v/>
      </c>
      <c r="M1905" s="80" t="str">
        <f t="shared" si="2"/>
        <v/>
      </c>
    </row>
    <row r="1906">
      <c r="A1906" s="86"/>
      <c r="B1906" s="88"/>
      <c r="C1906" s="88"/>
      <c r="D1906" s="73"/>
      <c r="E1906" s="88"/>
      <c r="F1906" s="73"/>
      <c r="G1906" s="394"/>
      <c r="H1906" s="86"/>
      <c r="I1906" s="88"/>
      <c r="J1906" s="393">
        <v>44518.0</v>
      </c>
      <c r="K1906" s="393">
        <f t="shared" si="8"/>
        <v>44519</v>
      </c>
      <c r="L1906" s="394" t="str">
        <f>IFERROR(__xludf.DUMMYFUNCTION("JOIN("""", G1906:H1906)"),"")</f>
        <v/>
      </c>
      <c r="M1906" s="80" t="str">
        <f t="shared" si="2"/>
        <v/>
      </c>
    </row>
    <row r="1907">
      <c r="A1907" s="86"/>
      <c r="B1907" s="88"/>
      <c r="C1907" s="88"/>
      <c r="D1907" s="73"/>
      <c r="E1907" s="88"/>
      <c r="F1907" s="73"/>
      <c r="G1907" s="394"/>
      <c r="H1907" s="86"/>
      <c r="I1907" s="88"/>
      <c r="J1907" s="393">
        <v>44518.0</v>
      </c>
      <c r="K1907" s="393">
        <f t="shared" si="8"/>
        <v>44519</v>
      </c>
      <c r="L1907" s="394" t="str">
        <f>IFERROR(__xludf.DUMMYFUNCTION("JOIN("""", G1907:H1907)"),"")</f>
        <v/>
      </c>
      <c r="M1907" s="80" t="str">
        <f t="shared" si="2"/>
        <v/>
      </c>
    </row>
    <row r="1908">
      <c r="A1908" s="86"/>
      <c r="B1908" s="88"/>
      <c r="C1908" s="88"/>
      <c r="D1908" s="73"/>
      <c r="E1908" s="88"/>
      <c r="F1908" s="73"/>
      <c r="G1908" s="394"/>
      <c r="H1908" s="86"/>
      <c r="I1908" s="88"/>
      <c r="J1908" s="393">
        <v>44518.0</v>
      </c>
      <c r="K1908" s="393">
        <f t="shared" si="8"/>
        <v>44519</v>
      </c>
      <c r="L1908" s="394" t="str">
        <f>IFERROR(__xludf.DUMMYFUNCTION("JOIN("""", G1908:H1908)"),"")</f>
        <v/>
      </c>
      <c r="M1908" s="80" t="str">
        <f t="shared" si="2"/>
        <v/>
      </c>
    </row>
    <row r="1909">
      <c r="A1909" s="86"/>
      <c r="B1909" s="88"/>
      <c r="C1909" s="88"/>
      <c r="D1909" s="73"/>
      <c r="E1909" s="88"/>
      <c r="F1909" s="73"/>
      <c r="G1909" s="394"/>
      <c r="H1909" s="86"/>
      <c r="I1909" s="88"/>
      <c r="J1909" s="393">
        <v>44518.0</v>
      </c>
      <c r="K1909" s="393">
        <f t="shared" si="8"/>
        <v>44519</v>
      </c>
      <c r="L1909" s="394" t="str">
        <f>IFERROR(__xludf.DUMMYFUNCTION("JOIN("""", G1909:H1909)"),"")</f>
        <v/>
      </c>
      <c r="M1909" s="80" t="str">
        <f t="shared" si="2"/>
        <v/>
      </c>
    </row>
    <row r="1910">
      <c r="A1910" s="86"/>
      <c r="B1910" s="88"/>
      <c r="C1910" s="88"/>
      <c r="D1910" s="73"/>
      <c r="E1910" s="88"/>
      <c r="F1910" s="73"/>
      <c r="G1910" s="394"/>
      <c r="H1910" s="86"/>
      <c r="I1910" s="88"/>
      <c r="J1910" s="393">
        <v>44518.0</v>
      </c>
      <c r="K1910" s="393">
        <f t="shared" si="8"/>
        <v>44519</v>
      </c>
      <c r="L1910" s="394" t="str">
        <f>IFERROR(__xludf.DUMMYFUNCTION("JOIN("""", G1910:H1910)"),"")</f>
        <v/>
      </c>
      <c r="M1910" s="80" t="str">
        <f t="shared" si="2"/>
        <v/>
      </c>
    </row>
    <row r="1911">
      <c r="A1911" s="86"/>
      <c r="B1911" s="88"/>
      <c r="C1911" s="88"/>
      <c r="D1911" s="73"/>
      <c r="E1911" s="88"/>
      <c r="F1911" s="73"/>
      <c r="G1911" s="394"/>
      <c r="H1911" s="86"/>
      <c r="I1911" s="88"/>
      <c r="J1911" s="393">
        <v>44518.0</v>
      </c>
      <c r="K1911" s="393">
        <f t="shared" si="8"/>
        <v>44519</v>
      </c>
      <c r="L1911" s="394" t="str">
        <f>IFERROR(__xludf.DUMMYFUNCTION("JOIN("""", G1911:H1911)"),"")</f>
        <v/>
      </c>
      <c r="M1911" s="80" t="str">
        <f t="shared" si="2"/>
        <v/>
      </c>
    </row>
    <row r="1912">
      <c r="A1912" s="86"/>
      <c r="B1912" s="88"/>
      <c r="C1912" s="88"/>
      <c r="D1912" s="73"/>
      <c r="E1912" s="88"/>
      <c r="F1912" s="73"/>
      <c r="G1912" s="394"/>
      <c r="H1912" s="86"/>
      <c r="I1912" s="88"/>
      <c r="J1912" s="393">
        <v>44519.0</v>
      </c>
      <c r="K1912" s="393">
        <f t="shared" si="8"/>
        <v>44520</v>
      </c>
      <c r="L1912" s="394" t="str">
        <f>IFERROR(__xludf.DUMMYFUNCTION("JOIN("""", G1912:H1912)"),"")</f>
        <v/>
      </c>
      <c r="M1912" s="80" t="str">
        <f t="shared" si="2"/>
        <v/>
      </c>
    </row>
    <row r="1913">
      <c r="A1913" s="86"/>
      <c r="B1913" s="88"/>
      <c r="C1913" s="88"/>
      <c r="D1913" s="73"/>
      <c r="E1913" s="88"/>
      <c r="F1913" s="73"/>
      <c r="G1913" s="394"/>
      <c r="H1913" s="73"/>
      <c r="I1913" s="88"/>
      <c r="J1913" s="393">
        <v>44519.0</v>
      </c>
      <c r="K1913" s="393">
        <f t="shared" si="8"/>
        <v>44520</v>
      </c>
      <c r="L1913" s="394" t="str">
        <f>IFERROR(__xludf.DUMMYFUNCTION("JOIN("""", G1913:H1913)"),"")</f>
        <v/>
      </c>
      <c r="M1913" s="80" t="str">
        <f t="shared" si="2"/>
        <v/>
      </c>
    </row>
    <row r="1914">
      <c r="A1914" s="86"/>
      <c r="B1914" s="88"/>
      <c r="C1914" s="88"/>
      <c r="D1914" s="73"/>
      <c r="E1914" s="88"/>
      <c r="F1914" s="73"/>
      <c r="G1914" s="394"/>
      <c r="H1914" s="86"/>
      <c r="I1914" s="88"/>
      <c r="J1914" s="393">
        <v>44526.0</v>
      </c>
      <c r="K1914" s="393">
        <f t="shared" si="8"/>
        <v>44527</v>
      </c>
      <c r="L1914" s="394" t="str">
        <f>IFERROR(__xludf.DUMMYFUNCTION("JOIN("""", G1914:H1914)"),"")</f>
        <v/>
      </c>
      <c r="M1914" s="80" t="str">
        <f t="shared" si="2"/>
        <v/>
      </c>
    </row>
    <row r="1915">
      <c r="A1915" s="86"/>
      <c r="B1915" s="88"/>
      <c r="C1915" s="88"/>
      <c r="D1915" s="73"/>
      <c r="E1915" s="88"/>
      <c r="F1915" s="73"/>
      <c r="G1915" s="394"/>
      <c r="H1915" s="86"/>
      <c r="I1915" s="88"/>
      <c r="J1915" s="407">
        <v>44533.0</v>
      </c>
      <c r="K1915" s="393">
        <f t="shared" si="8"/>
        <v>44534</v>
      </c>
      <c r="L1915" s="394" t="str">
        <f>IFERROR(__xludf.DUMMYFUNCTION("JOIN("""", G1915:H1915)"),"")</f>
        <v/>
      </c>
      <c r="M1915" s="80" t="str">
        <f t="shared" si="2"/>
        <v/>
      </c>
    </row>
    <row r="1916">
      <c r="A1916" s="86"/>
      <c r="B1916" s="88"/>
      <c r="C1916" s="88"/>
      <c r="D1916" s="73"/>
      <c r="E1916" s="88"/>
      <c r="F1916" s="73"/>
      <c r="G1916" s="394"/>
      <c r="H1916" s="86"/>
      <c r="I1916" s="88"/>
      <c r="J1916" s="393">
        <v>44521.0</v>
      </c>
      <c r="K1916" s="393">
        <f t="shared" si="8"/>
        <v>44522</v>
      </c>
      <c r="L1916" s="394" t="str">
        <f>IFERROR(__xludf.DUMMYFUNCTION("JOIN("""", G1916:H1916)"),"")</f>
        <v/>
      </c>
      <c r="M1916" s="80" t="str">
        <f t="shared" si="2"/>
        <v/>
      </c>
    </row>
    <row r="1917">
      <c r="A1917" s="86"/>
      <c r="B1917" s="88"/>
      <c r="C1917" s="88"/>
      <c r="D1917" s="73"/>
      <c r="E1917" s="88"/>
      <c r="F1917" s="73"/>
      <c r="G1917" s="394"/>
      <c r="H1917" s="86"/>
      <c r="I1917" s="88"/>
      <c r="J1917" s="393">
        <v>44522.0</v>
      </c>
      <c r="K1917" s="393">
        <f t="shared" si="8"/>
        <v>44523</v>
      </c>
      <c r="L1917" s="394" t="str">
        <f>IFERROR(__xludf.DUMMYFUNCTION("JOIN("""", G1917:H1917)"),"")</f>
        <v/>
      </c>
      <c r="M1917" s="80" t="str">
        <f t="shared" si="2"/>
        <v/>
      </c>
    </row>
    <row r="1918">
      <c r="A1918" s="86"/>
      <c r="B1918" s="88"/>
      <c r="C1918" s="88"/>
      <c r="D1918" s="73"/>
      <c r="E1918" s="88"/>
      <c r="F1918" s="73"/>
      <c r="G1918" s="394"/>
      <c r="H1918" s="86"/>
      <c r="I1918" s="88"/>
      <c r="J1918" s="393">
        <v>44522.0</v>
      </c>
      <c r="K1918" s="393">
        <f t="shared" si="8"/>
        <v>44523</v>
      </c>
      <c r="L1918" s="394" t="str">
        <f>IFERROR(__xludf.DUMMYFUNCTION("JOIN("""", G1918:H1918)"),"")</f>
        <v/>
      </c>
      <c r="M1918" s="80" t="str">
        <f t="shared" si="2"/>
        <v/>
      </c>
    </row>
    <row r="1919">
      <c r="A1919" s="86"/>
      <c r="B1919" s="73"/>
      <c r="C1919" s="88"/>
      <c r="D1919" s="73"/>
      <c r="E1919" s="88"/>
      <c r="F1919" s="73"/>
      <c r="G1919" s="394"/>
      <c r="H1919" s="86"/>
      <c r="I1919" s="88"/>
      <c r="J1919" s="393">
        <v>44524.0</v>
      </c>
      <c r="K1919" s="393">
        <f t="shared" si="8"/>
        <v>44525</v>
      </c>
      <c r="L1919" s="394" t="str">
        <f>IFERROR(__xludf.DUMMYFUNCTION("JOIN("""", G1919:H1919)"),"")</f>
        <v/>
      </c>
      <c r="M1919" s="80" t="str">
        <f t="shared" si="2"/>
        <v/>
      </c>
    </row>
    <row r="1920">
      <c r="A1920" s="86"/>
      <c r="B1920" s="88"/>
      <c r="C1920" s="88"/>
      <c r="D1920" s="73"/>
      <c r="E1920" s="88"/>
      <c r="F1920" s="73"/>
      <c r="G1920" s="394"/>
      <c r="H1920" s="86"/>
      <c r="I1920" s="88"/>
      <c r="J1920" s="393">
        <v>44522.0</v>
      </c>
      <c r="K1920" s="393">
        <f t="shared" si="8"/>
        <v>44523</v>
      </c>
      <c r="L1920" s="394" t="str">
        <f>IFERROR(__xludf.DUMMYFUNCTION("JOIN("""", G1920:H1920)"),"")</f>
        <v/>
      </c>
      <c r="M1920" s="80" t="str">
        <f t="shared" si="2"/>
        <v/>
      </c>
    </row>
    <row r="1921">
      <c r="A1921" s="86"/>
      <c r="B1921" s="88"/>
      <c r="C1921" s="88"/>
      <c r="D1921" s="73"/>
      <c r="E1921" s="88"/>
      <c r="F1921" s="73"/>
      <c r="G1921" s="394"/>
      <c r="H1921" s="86"/>
      <c r="I1921" s="88"/>
      <c r="J1921" s="393">
        <v>44522.0</v>
      </c>
      <c r="K1921" s="393">
        <f t="shared" si="8"/>
        <v>44523</v>
      </c>
      <c r="L1921" s="394" t="str">
        <f>IFERROR(__xludf.DUMMYFUNCTION("JOIN("""", G1921:H1921)"),"")</f>
        <v/>
      </c>
      <c r="M1921" s="80" t="str">
        <f t="shared" si="2"/>
        <v/>
      </c>
    </row>
    <row r="1922">
      <c r="A1922" s="86"/>
      <c r="B1922" s="88"/>
      <c r="C1922" s="88"/>
      <c r="D1922" s="73"/>
      <c r="E1922" s="88"/>
      <c r="F1922" s="73"/>
      <c r="G1922" s="394"/>
      <c r="H1922" s="86"/>
      <c r="I1922" s="88"/>
      <c r="J1922" s="407">
        <v>44532.0</v>
      </c>
      <c r="K1922" s="393">
        <f t="shared" si="8"/>
        <v>44533</v>
      </c>
      <c r="L1922" s="394" t="str">
        <f>IFERROR(__xludf.DUMMYFUNCTION("JOIN("""", G1922:H1922)"),"")</f>
        <v/>
      </c>
      <c r="M1922" s="80" t="str">
        <f t="shared" si="2"/>
        <v/>
      </c>
    </row>
    <row r="1923">
      <c r="A1923" s="86"/>
      <c r="B1923" s="88"/>
      <c r="C1923" s="88"/>
      <c r="D1923" s="73"/>
      <c r="E1923" s="88"/>
      <c r="F1923" s="73"/>
      <c r="G1923" s="394"/>
      <c r="H1923" s="86"/>
      <c r="I1923" s="88"/>
      <c r="J1923" s="393">
        <v>44522.0</v>
      </c>
      <c r="K1923" s="393">
        <f t="shared" si="8"/>
        <v>44523</v>
      </c>
      <c r="L1923" s="394" t="str">
        <f>IFERROR(__xludf.DUMMYFUNCTION("JOIN("""", G1923:H1923)"),"")</f>
        <v/>
      </c>
      <c r="M1923" s="80" t="str">
        <f t="shared" si="2"/>
        <v/>
      </c>
    </row>
    <row r="1924">
      <c r="A1924" s="86"/>
      <c r="B1924" s="88"/>
      <c r="C1924" s="88"/>
      <c r="D1924" s="73"/>
      <c r="E1924" s="88"/>
      <c r="F1924" s="73"/>
      <c r="G1924" s="394"/>
      <c r="H1924" s="86"/>
      <c r="I1924" s="88"/>
      <c r="J1924" s="407">
        <v>44523.0</v>
      </c>
      <c r="K1924" s="393">
        <f t="shared" si="8"/>
        <v>44524</v>
      </c>
      <c r="L1924" s="394" t="str">
        <f>IFERROR(__xludf.DUMMYFUNCTION("JOIN("""", G1924:H1924)"),"")</f>
        <v/>
      </c>
      <c r="M1924" s="80" t="str">
        <f t="shared" si="2"/>
        <v/>
      </c>
    </row>
    <row r="1925">
      <c r="A1925" s="86"/>
      <c r="B1925" s="73"/>
      <c r="C1925" s="88"/>
      <c r="D1925" s="73"/>
      <c r="E1925" s="88"/>
      <c r="F1925" s="73"/>
      <c r="G1925" s="394"/>
      <c r="H1925" s="86"/>
      <c r="I1925" s="88"/>
      <c r="J1925" s="393">
        <v>44523.0</v>
      </c>
      <c r="K1925" s="393">
        <f t="shared" si="8"/>
        <v>44524</v>
      </c>
      <c r="L1925" s="394" t="str">
        <f>IFERROR(__xludf.DUMMYFUNCTION("JOIN("""", G1925:H1925)"),"")</f>
        <v/>
      </c>
      <c r="M1925" s="80" t="str">
        <f t="shared" si="2"/>
        <v/>
      </c>
    </row>
    <row r="1926">
      <c r="A1926" s="86"/>
      <c r="B1926" s="88"/>
      <c r="C1926" s="88"/>
      <c r="D1926" s="73"/>
      <c r="E1926" s="88"/>
      <c r="F1926" s="73"/>
      <c r="G1926" s="394"/>
      <c r="H1926" s="86"/>
      <c r="I1926" s="88"/>
      <c r="J1926" s="393">
        <v>44523.0</v>
      </c>
      <c r="K1926" s="393">
        <f t="shared" si="8"/>
        <v>44524</v>
      </c>
      <c r="L1926" s="394" t="str">
        <f>IFERROR(__xludf.DUMMYFUNCTION("JOIN("""", G1926:H1926)"),"")</f>
        <v/>
      </c>
      <c r="M1926" s="80" t="str">
        <f t="shared" si="2"/>
        <v/>
      </c>
    </row>
    <row r="1927">
      <c r="A1927" s="86"/>
      <c r="B1927" s="88"/>
      <c r="C1927" s="88"/>
      <c r="D1927" s="73"/>
      <c r="E1927" s="88"/>
      <c r="F1927" s="73"/>
      <c r="G1927" s="394"/>
      <c r="H1927" s="86"/>
      <c r="I1927" s="88"/>
      <c r="J1927" s="393">
        <v>44523.0</v>
      </c>
      <c r="K1927" s="393">
        <f t="shared" si="8"/>
        <v>44524</v>
      </c>
      <c r="L1927" s="394" t="str">
        <f>IFERROR(__xludf.DUMMYFUNCTION("JOIN("""", G1927:H1927)"),"")</f>
        <v/>
      </c>
      <c r="M1927" s="80" t="str">
        <f t="shared" si="2"/>
        <v/>
      </c>
    </row>
    <row r="1928">
      <c r="A1928" s="86"/>
      <c r="B1928" s="88"/>
      <c r="C1928" s="88"/>
      <c r="D1928" s="73"/>
      <c r="E1928" s="88"/>
      <c r="F1928" s="73"/>
      <c r="G1928" s="394"/>
      <c r="H1928" s="86"/>
      <c r="I1928" s="88"/>
      <c r="J1928" s="393">
        <v>44523.0</v>
      </c>
      <c r="K1928" s="393">
        <f t="shared" si="8"/>
        <v>44524</v>
      </c>
      <c r="L1928" s="394" t="str">
        <f>IFERROR(__xludf.DUMMYFUNCTION("JOIN("""", G1928:H1928)"),"")</f>
        <v/>
      </c>
      <c r="M1928" s="80" t="str">
        <f t="shared" si="2"/>
        <v/>
      </c>
    </row>
    <row r="1929">
      <c r="A1929" s="86"/>
      <c r="B1929" s="88"/>
      <c r="C1929" s="88"/>
      <c r="D1929" s="73"/>
      <c r="E1929" s="88"/>
      <c r="F1929" s="73"/>
      <c r="G1929" s="394"/>
      <c r="H1929" s="86"/>
      <c r="I1929" s="88"/>
      <c r="J1929" s="393">
        <v>44523.0</v>
      </c>
      <c r="K1929" s="393">
        <f t="shared" si="8"/>
        <v>44524</v>
      </c>
      <c r="L1929" s="394" t="str">
        <f>IFERROR(__xludf.DUMMYFUNCTION("JOIN("""", G1929:H1929)"),"")</f>
        <v/>
      </c>
      <c r="M1929" s="80" t="str">
        <f t="shared" si="2"/>
        <v/>
      </c>
    </row>
    <row r="1930">
      <c r="A1930" s="86"/>
      <c r="B1930" s="88"/>
      <c r="C1930" s="88"/>
      <c r="D1930" s="73"/>
      <c r="E1930" s="88"/>
      <c r="F1930" s="73"/>
      <c r="G1930" s="394"/>
      <c r="H1930" s="86"/>
      <c r="I1930" s="88"/>
      <c r="J1930" s="393">
        <v>44523.0</v>
      </c>
      <c r="K1930" s="393">
        <f t="shared" si="8"/>
        <v>44524</v>
      </c>
      <c r="L1930" s="394" t="str">
        <f>IFERROR(__xludf.DUMMYFUNCTION("JOIN("""", G1930:H1930)"),"")</f>
        <v/>
      </c>
      <c r="M1930" s="80" t="str">
        <f t="shared" si="2"/>
        <v/>
      </c>
    </row>
    <row r="1931">
      <c r="A1931" s="86"/>
      <c r="B1931" s="88"/>
      <c r="C1931" s="88"/>
      <c r="D1931" s="73"/>
      <c r="E1931" s="88"/>
      <c r="F1931" s="73"/>
      <c r="G1931" s="394"/>
      <c r="H1931" s="86"/>
      <c r="I1931" s="88"/>
      <c r="J1931" s="393">
        <v>44523.0</v>
      </c>
      <c r="K1931" s="393">
        <f t="shared" si="8"/>
        <v>44524</v>
      </c>
      <c r="L1931" s="394" t="str">
        <f>IFERROR(__xludf.DUMMYFUNCTION("JOIN("""", G1931:H1931)"),"")</f>
        <v/>
      </c>
      <c r="M1931" s="80" t="str">
        <f t="shared" si="2"/>
        <v/>
      </c>
    </row>
    <row r="1932">
      <c r="A1932" s="86"/>
      <c r="B1932" s="88"/>
      <c r="C1932" s="88"/>
      <c r="D1932" s="73"/>
      <c r="E1932" s="88"/>
      <c r="F1932" s="73"/>
      <c r="G1932" s="394"/>
      <c r="H1932" s="86"/>
      <c r="I1932" s="88"/>
      <c r="J1932" s="393">
        <v>44523.0</v>
      </c>
      <c r="K1932" s="393">
        <f t="shared" si="8"/>
        <v>44524</v>
      </c>
      <c r="L1932" s="394" t="str">
        <f>IFERROR(__xludf.DUMMYFUNCTION("JOIN("""", G1932:H1932)"),"")</f>
        <v/>
      </c>
      <c r="M1932" s="80" t="str">
        <f t="shared" si="2"/>
        <v/>
      </c>
    </row>
    <row r="1933">
      <c r="A1933" s="86"/>
      <c r="B1933" s="88"/>
      <c r="C1933" s="88"/>
      <c r="D1933" s="73"/>
      <c r="E1933" s="88"/>
      <c r="F1933" s="73"/>
      <c r="G1933" s="394"/>
      <c r="H1933" s="86"/>
      <c r="I1933" s="88"/>
      <c r="J1933" s="393">
        <v>44523.0</v>
      </c>
      <c r="K1933" s="393">
        <f t="shared" si="8"/>
        <v>44524</v>
      </c>
      <c r="L1933" s="394" t="str">
        <f>IFERROR(__xludf.DUMMYFUNCTION("JOIN("""", G1933:H1933)"),"")</f>
        <v/>
      </c>
      <c r="M1933" s="80" t="str">
        <f t="shared" si="2"/>
        <v/>
      </c>
    </row>
    <row r="1934">
      <c r="A1934" s="86"/>
      <c r="B1934" s="88"/>
      <c r="C1934" s="88"/>
      <c r="D1934" s="73"/>
      <c r="E1934" s="88"/>
      <c r="F1934" s="73"/>
      <c r="G1934" s="394"/>
      <c r="H1934" s="86"/>
      <c r="I1934" s="88"/>
      <c r="J1934" s="393">
        <v>44523.0</v>
      </c>
      <c r="K1934" s="393">
        <f t="shared" si="8"/>
        <v>44524</v>
      </c>
      <c r="L1934" s="394" t="str">
        <f>IFERROR(__xludf.DUMMYFUNCTION("JOIN("""", G1934:H1934)"),"")</f>
        <v/>
      </c>
      <c r="M1934" s="80" t="str">
        <f t="shared" si="2"/>
        <v/>
      </c>
    </row>
    <row r="1935">
      <c r="A1935" s="86"/>
      <c r="B1935" s="88"/>
      <c r="C1935" s="88"/>
      <c r="D1935" s="73"/>
      <c r="E1935" s="88"/>
      <c r="F1935" s="73"/>
      <c r="G1935" s="394"/>
      <c r="H1935" s="86"/>
      <c r="I1935" s="88"/>
      <c r="J1935" s="393">
        <v>44523.0</v>
      </c>
      <c r="K1935" s="393">
        <f t="shared" si="8"/>
        <v>44524</v>
      </c>
      <c r="L1935" s="394" t="str">
        <f>IFERROR(__xludf.DUMMYFUNCTION("JOIN("""", G1935:H1935)"),"")</f>
        <v/>
      </c>
      <c r="M1935" s="80" t="str">
        <f t="shared" si="2"/>
        <v/>
      </c>
    </row>
    <row r="1936">
      <c r="A1936" s="86"/>
      <c r="B1936" s="88"/>
      <c r="C1936" s="88"/>
      <c r="D1936" s="73"/>
      <c r="E1936" s="88"/>
      <c r="F1936" s="73"/>
      <c r="G1936" s="394"/>
      <c r="H1936" s="86"/>
      <c r="I1936" s="88"/>
      <c r="J1936" s="393">
        <v>44524.0</v>
      </c>
      <c r="K1936" s="393">
        <f t="shared" si="8"/>
        <v>44525</v>
      </c>
      <c r="L1936" s="394" t="str">
        <f>IFERROR(__xludf.DUMMYFUNCTION("JOIN("""", G1936:H1936)"),"")</f>
        <v/>
      </c>
      <c r="M1936" s="80" t="str">
        <f t="shared" si="2"/>
        <v/>
      </c>
    </row>
    <row r="1937">
      <c r="A1937" s="86"/>
      <c r="B1937" s="88"/>
      <c r="C1937" s="88"/>
      <c r="D1937" s="73"/>
      <c r="E1937" s="88"/>
      <c r="F1937" s="73"/>
      <c r="G1937" s="394"/>
      <c r="H1937" s="86"/>
      <c r="I1937" s="88"/>
      <c r="J1937" s="393">
        <v>44525.0</v>
      </c>
      <c r="K1937" s="393">
        <f t="shared" si="8"/>
        <v>44526</v>
      </c>
      <c r="L1937" s="394" t="str">
        <f>IFERROR(__xludf.DUMMYFUNCTION("JOIN("""", G1937:H1937)"),"")</f>
        <v/>
      </c>
      <c r="M1937" s="80" t="str">
        <f t="shared" si="2"/>
        <v/>
      </c>
    </row>
    <row r="1938">
      <c r="A1938" s="86"/>
      <c r="B1938" s="88"/>
      <c r="C1938" s="88"/>
      <c r="D1938" s="73"/>
      <c r="E1938" s="88"/>
      <c r="F1938" s="73"/>
      <c r="G1938" s="394"/>
      <c r="H1938" s="86"/>
      <c r="I1938" s="88"/>
      <c r="J1938" s="393">
        <v>44525.0</v>
      </c>
      <c r="K1938" s="393">
        <f t="shared" si="8"/>
        <v>44526</v>
      </c>
      <c r="L1938" s="394" t="str">
        <f>IFERROR(__xludf.DUMMYFUNCTION("JOIN("""", G1938:H1938)"),"")</f>
        <v/>
      </c>
      <c r="M1938" s="80" t="str">
        <f t="shared" si="2"/>
        <v/>
      </c>
    </row>
    <row r="1939">
      <c r="A1939" s="86"/>
      <c r="B1939" s="88"/>
      <c r="C1939" s="88"/>
      <c r="D1939" s="73"/>
      <c r="E1939" s="88"/>
      <c r="F1939" s="73"/>
      <c r="G1939" s="394"/>
      <c r="H1939" s="86"/>
      <c r="I1939" s="88"/>
      <c r="J1939" s="393">
        <v>44525.0</v>
      </c>
      <c r="K1939" s="393">
        <f t="shared" si="8"/>
        <v>44526</v>
      </c>
      <c r="L1939" s="394" t="str">
        <f>IFERROR(__xludf.DUMMYFUNCTION("JOIN("""", G1939:H1939)"),"")</f>
        <v/>
      </c>
      <c r="M1939" s="80" t="str">
        <f t="shared" si="2"/>
        <v/>
      </c>
    </row>
    <row r="1940">
      <c r="A1940" s="86"/>
      <c r="B1940" s="88"/>
      <c r="C1940" s="88"/>
      <c r="D1940" s="73"/>
      <c r="E1940" s="88"/>
      <c r="F1940" s="73"/>
      <c r="G1940" s="394"/>
      <c r="H1940" s="86"/>
      <c r="I1940" s="88"/>
      <c r="J1940" s="393">
        <v>44525.0</v>
      </c>
      <c r="K1940" s="393">
        <f t="shared" si="8"/>
        <v>44526</v>
      </c>
      <c r="L1940" s="394" t="str">
        <f>IFERROR(__xludf.DUMMYFUNCTION("JOIN("""", G1940:H1940)"),"")</f>
        <v/>
      </c>
      <c r="M1940" s="80" t="str">
        <f t="shared" si="2"/>
        <v/>
      </c>
    </row>
    <row r="1941">
      <c r="A1941" s="86"/>
      <c r="B1941" s="73"/>
      <c r="C1941" s="88"/>
      <c r="D1941" s="73"/>
      <c r="E1941" s="88"/>
      <c r="F1941" s="73"/>
      <c r="G1941" s="394"/>
      <c r="H1941" s="86"/>
      <c r="I1941" s="88"/>
      <c r="J1941" s="393">
        <v>44526.0</v>
      </c>
      <c r="K1941" s="393">
        <f t="shared" si="8"/>
        <v>44527</v>
      </c>
      <c r="L1941" s="394" t="str">
        <f>IFERROR(__xludf.DUMMYFUNCTION("JOIN("""", G1941:H1941)"),"")</f>
        <v/>
      </c>
      <c r="M1941" s="80" t="str">
        <f t="shared" si="2"/>
        <v/>
      </c>
    </row>
    <row r="1942">
      <c r="A1942" s="86"/>
      <c r="B1942" s="88"/>
      <c r="C1942" s="88"/>
      <c r="D1942" s="73"/>
      <c r="E1942" s="88"/>
      <c r="F1942" s="73"/>
      <c r="G1942" s="394"/>
      <c r="H1942" s="86"/>
      <c r="I1942" s="88"/>
      <c r="J1942" s="393">
        <v>44526.0</v>
      </c>
      <c r="K1942" s="393">
        <f t="shared" si="8"/>
        <v>44527</v>
      </c>
      <c r="L1942" s="394" t="str">
        <f>IFERROR(__xludf.DUMMYFUNCTION("JOIN("""", G1942:H1942)"),"")</f>
        <v/>
      </c>
      <c r="M1942" s="80" t="str">
        <f t="shared" si="2"/>
        <v/>
      </c>
    </row>
    <row r="1943">
      <c r="A1943" s="86"/>
      <c r="B1943" s="88"/>
      <c r="C1943" s="88"/>
      <c r="D1943" s="73"/>
      <c r="E1943" s="88"/>
      <c r="F1943" s="73"/>
      <c r="G1943" s="394"/>
      <c r="H1943" s="86"/>
      <c r="I1943" s="88"/>
      <c r="J1943" s="393">
        <v>44527.0</v>
      </c>
      <c r="K1943" s="393">
        <f t="shared" si="8"/>
        <v>44528</v>
      </c>
      <c r="L1943" s="394" t="str">
        <f>IFERROR(__xludf.DUMMYFUNCTION("JOIN("""", G1943:H1943)"),"")</f>
        <v/>
      </c>
      <c r="M1943" s="80" t="str">
        <f t="shared" si="2"/>
        <v/>
      </c>
    </row>
    <row r="1944">
      <c r="A1944" s="86"/>
      <c r="B1944" s="73"/>
      <c r="C1944" s="88"/>
      <c r="D1944" s="73"/>
      <c r="E1944" s="88"/>
      <c r="F1944" s="73"/>
      <c r="G1944" s="394"/>
      <c r="H1944" s="86"/>
      <c r="I1944" s="88"/>
      <c r="J1944" s="393">
        <v>44527.0</v>
      </c>
      <c r="K1944" s="393">
        <f t="shared" si="8"/>
        <v>44528</v>
      </c>
      <c r="L1944" s="394" t="str">
        <f>IFERROR(__xludf.DUMMYFUNCTION("JOIN("""", G1944:H1944)"),"")</f>
        <v/>
      </c>
      <c r="M1944" s="80" t="str">
        <f t="shared" si="2"/>
        <v/>
      </c>
    </row>
    <row r="1945">
      <c r="A1945" s="86"/>
      <c r="B1945" s="73"/>
      <c r="C1945" s="88"/>
      <c r="D1945" s="73"/>
      <c r="E1945" s="88"/>
      <c r="F1945" s="73"/>
      <c r="G1945" s="394"/>
      <c r="H1945" s="86"/>
      <c r="I1945" s="88"/>
      <c r="J1945" s="393">
        <v>44527.0</v>
      </c>
      <c r="K1945" s="393">
        <f t="shared" si="8"/>
        <v>44528</v>
      </c>
      <c r="L1945" s="394" t="str">
        <f>IFERROR(__xludf.DUMMYFUNCTION("JOIN("""", G1945:H1945)"),"")</f>
        <v/>
      </c>
      <c r="M1945" s="80" t="str">
        <f t="shared" si="2"/>
        <v/>
      </c>
    </row>
    <row r="1946">
      <c r="A1946" s="86"/>
      <c r="B1946" s="73"/>
      <c r="C1946" s="88"/>
      <c r="D1946" s="73"/>
      <c r="E1946" s="88"/>
      <c r="F1946" s="73"/>
      <c r="G1946" s="394"/>
      <c r="H1946" s="86"/>
      <c r="I1946" s="88"/>
      <c r="J1946" s="393">
        <v>44529.0</v>
      </c>
      <c r="K1946" s="393">
        <f t="shared" si="8"/>
        <v>44530</v>
      </c>
      <c r="L1946" s="394" t="str">
        <f>IFERROR(__xludf.DUMMYFUNCTION("JOIN("""", G1946:H1946)"),"")</f>
        <v/>
      </c>
      <c r="M1946" s="80" t="str">
        <f t="shared" si="2"/>
        <v/>
      </c>
    </row>
    <row r="1947">
      <c r="A1947" s="86"/>
      <c r="B1947" s="88"/>
      <c r="C1947" s="88"/>
      <c r="D1947" s="73"/>
      <c r="E1947" s="88"/>
      <c r="F1947" s="73"/>
      <c r="G1947" s="394"/>
      <c r="H1947" s="86"/>
      <c r="I1947" s="88"/>
      <c r="J1947" s="393">
        <v>44529.0</v>
      </c>
      <c r="K1947" s="393">
        <f t="shared" si="8"/>
        <v>44530</v>
      </c>
      <c r="L1947" s="394" t="str">
        <f>IFERROR(__xludf.DUMMYFUNCTION("JOIN("""", G1947:H1947)"),"")</f>
        <v/>
      </c>
      <c r="M1947" s="80" t="str">
        <f t="shared" si="2"/>
        <v/>
      </c>
    </row>
    <row r="1948">
      <c r="A1948" s="86"/>
      <c r="B1948" s="88"/>
      <c r="C1948" s="88"/>
      <c r="D1948" s="73"/>
      <c r="E1948" s="88"/>
      <c r="F1948" s="73"/>
      <c r="G1948" s="394"/>
      <c r="H1948" s="86"/>
      <c r="I1948" s="88"/>
      <c r="J1948" s="393">
        <v>44529.0</v>
      </c>
      <c r="K1948" s="393">
        <f t="shared" si="8"/>
        <v>44530</v>
      </c>
      <c r="L1948" s="394" t="str">
        <f>IFERROR(__xludf.DUMMYFUNCTION("JOIN("""", G1948:H1948)"),"")</f>
        <v/>
      </c>
      <c r="M1948" s="80" t="str">
        <f t="shared" si="2"/>
        <v/>
      </c>
    </row>
    <row r="1949">
      <c r="A1949" s="86"/>
      <c r="B1949" s="88"/>
      <c r="C1949" s="88"/>
      <c r="D1949" s="73"/>
      <c r="E1949" s="88"/>
      <c r="F1949" s="73"/>
      <c r="G1949" s="394"/>
      <c r="H1949" s="86"/>
      <c r="I1949" s="88"/>
      <c r="J1949" s="393">
        <v>44529.0</v>
      </c>
      <c r="K1949" s="393">
        <f t="shared" si="8"/>
        <v>44530</v>
      </c>
      <c r="L1949" s="394" t="str">
        <f>IFERROR(__xludf.DUMMYFUNCTION("JOIN("""", G1949:H1949)"),"")</f>
        <v/>
      </c>
      <c r="M1949" s="80" t="str">
        <f t="shared" si="2"/>
        <v/>
      </c>
    </row>
    <row r="1950">
      <c r="A1950" s="86"/>
      <c r="B1950" s="88"/>
      <c r="C1950" s="88"/>
      <c r="D1950" s="73"/>
      <c r="E1950" s="88"/>
      <c r="F1950" s="73"/>
      <c r="G1950" s="394"/>
      <c r="H1950" s="86"/>
      <c r="I1950" s="88"/>
      <c r="J1950" s="393">
        <v>44529.0</v>
      </c>
      <c r="K1950" s="393">
        <f t="shared" si="8"/>
        <v>44530</v>
      </c>
      <c r="L1950" s="394" t="str">
        <f>IFERROR(__xludf.DUMMYFUNCTION("JOIN("""", G1950:H1950)"),"")</f>
        <v/>
      </c>
      <c r="M1950" s="80" t="str">
        <f t="shared" si="2"/>
        <v/>
      </c>
    </row>
    <row r="1951">
      <c r="A1951" s="86"/>
      <c r="B1951" s="88"/>
      <c r="C1951" s="88"/>
      <c r="D1951" s="73"/>
      <c r="E1951" s="88"/>
      <c r="F1951" s="73"/>
      <c r="G1951" s="394"/>
      <c r="H1951" s="86"/>
      <c r="I1951" s="88"/>
      <c r="J1951" s="393">
        <v>44529.0</v>
      </c>
      <c r="K1951" s="393">
        <f t="shared" si="8"/>
        <v>44530</v>
      </c>
      <c r="L1951" s="394" t="str">
        <f>IFERROR(__xludf.DUMMYFUNCTION("JOIN("""", G1951:H1951)"),"")</f>
        <v/>
      </c>
      <c r="M1951" s="80" t="str">
        <f t="shared" si="2"/>
        <v/>
      </c>
    </row>
    <row r="1952">
      <c r="A1952" s="86"/>
      <c r="B1952" s="88"/>
      <c r="C1952" s="88"/>
      <c r="D1952" s="73"/>
      <c r="E1952" s="88"/>
      <c r="F1952" s="73"/>
      <c r="G1952" s="394"/>
      <c r="H1952" s="86"/>
      <c r="I1952" s="88"/>
      <c r="J1952" s="393">
        <v>44529.0</v>
      </c>
      <c r="K1952" s="393">
        <f t="shared" si="8"/>
        <v>44530</v>
      </c>
      <c r="L1952" s="394" t="str">
        <f>IFERROR(__xludf.DUMMYFUNCTION("JOIN("""", G1952:H1952)"),"")</f>
        <v/>
      </c>
      <c r="M1952" s="80" t="str">
        <f t="shared" si="2"/>
        <v/>
      </c>
    </row>
    <row r="1953">
      <c r="A1953" s="86"/>
      <c r="B1953" s="88"/>
      <c r="C1953" s="88"/>
      <c r="D1953" s="73"/>
      <c r="E1953" s="88"/>
      <c r="F1953" s="73"/>
      <c r="G1953" s="394"/>
      <c r="H1953" s="86"/>
      <c r="I1953" s="88"/>
      <c r="J1953" s="393">
        <v>44529.0</v>
      </c>
      <c r="K1953" s="393">
        <f t="shared" si="8"/>
        <v>44530</v>
      </c>
      <c r="L1953" s="394" t="str">
        <f>IFERROR(__xludf.DUMMYFUNCTION("JOIN("""", G1953:H1953)"),"")</f>
        <v/>
      </c>
      <c r="M1953" s="80" t="str">
        <f t="shared" si="2"/>
        <v/>
      </c>
    </row>
    <row r="1954">
      <c r="A1954" s="86"/>
      <c r="B1954" s="88"/>
      <c r="C1954" s="88"/>
      <c r="D1954" s="73"/>
      <c r="E1954" s="88"/>
      <c r="F1954" s="73"/>
      <c r="G1954" s="394"/>
      <c r="H1954" s="86"/>
      <c r="I1954" s="88"/>
      <c r="J1954" s="393">
        <v>44529.0</v>
      </c>
      <c r="K1954" s="393">
        <f t="shared" si="8"/>
        <v>44530</v>
      </c>
      <c r="L1954" s="394" t="str">
        <f>IFERROR(__xludf.DUMMYFUNCTION("JOIN("""", G1954:H1954)"),"")</f>
        <v/>
      </c>
      <c r="M1954" s="80" t="str">
        <f t="shared" si="2"/>
        <v/>
      </c>
    </row>
    <row r="1955">
      <c r="A1955" s="86"/>
      <c r="B1955" s="88"/>
      <c r="C1955" s="88"/>
      <c r="D1955" s="73"/>
      <c r="E1955" s="88"/>
      <c r="F1955" s="73"/>
      <c r="G1955" s="394"/>
      <c r="H1955" s="86"/>
      <c r="I1955" s="88"/>
      <c r="J1955" s="393">
        <v>44529.0</v>
      </c>
      <c r="K1955" s="393">
        <f t="shared" si="8"/>
        <v>44530</v>
      </c>
      <c r="L1955" s="394" t="str">
        <f>IFERROR(__xludf.DUMMYFUNCTION("JOIN("""", G1955:H1955)"),"")</f>
        <v/>
      </c>
      <c r="M1955" s="80" t="str">
        <f t="shared" si="2"/>
        <v/>
      </c>
    </row>
    <row r="1956">
      <c r="A1956" s="86"/>
      <c r="B1956" s="88"/>
      <c r="C1956" s="88"/>
      <c r="D1956" s="73"/>
      <c r="E1956" s="88"/>
      <c r="F1956" s="73"/>
      <c r="G1956" s="394"/>
      <c r="H1956" s="86"/>
      <c r="I1956" s="88"/>
      <c r="J1956" s="393">
        <v>44529.0</v>
      </c>
      <c r="K1956" s="393">
        <f t="shared" si="8"/>
        <v>44530</v>
      </c>
      <c r="L1956" s="394" t="str">
        <f>IFERROR(__xludf.DUMMYFUNCTION("JOIN("""", G1956:H1956)"),"")</f>
        <v/>
      </c>
      <c r="M1956" s="80" t="str">
        <f t="shared" si="2"/>
        <v/>
      </c>
    </row>
    <row r="1957">
      <c r="A1957" s="86"/>
      <c r="B1957" s="88"/>
      <c r="C1957" s="88"/>
      <c r="D1957" s="73"/>
      <c r="E1957" s="88"/>
      <c r="F1957" s="73"/>
      <c r="G1957" s="394"/>
      <c r="H1957" s="86"/>
      <c r="I1957" s="88"/>
      <c r="J1957" s="407">
        <v>44532.0</v>
      </c>
      <c r="K1957" s="393">
        <f t="shared" si="8"/>
        <v>44533</v>
      </c>
      <c r="L1957" s="394" t="str">
        <f>IFERROR(__xludf.DUMMYFUNCTION("JOIN("""", G1957:H1957)"),"")</f>
        <v/>
      </c>
      <c r="M1957" s="80" t="str">
        <f t="shared" si="2"/>
        <v/>
      </c>
    </row>
    <row r="1958">
      <c r="A1958" s="86"/>
      <c r="B1958" s="73"/>
      <c r="C1958" s="88"/>
      <c r="D1958" s="73"/>
      <c r="E1958" s="88"/>
      <c r="F1958" s="73"/>
      <c r="G1958" s="394"/>
      <c r="H1958" s="86"/>
      <c r="I1958" s="88"/>
      <c r="J1958" s="393">
        <v>44530.0</v>
      </c>
      <c r="K1958" s="393">
        <f t="shared" si="8"/>
        <v>44531</v>
      </c>
      <c r="L1958" s="394" t="str">
        <f>IFERROR(__xludf.DUMMYFUNCTION("JOIN("""", G1958:H1958)"),"")</f>
        <v/>
      </c>
      <c r="M1958" s="80" t="str">
        <f t="shared" si="2"/>
        <v/>
      </c>
    </row>
    <row r="1959">
      <c r="A1959" s="86"/>
      <c r="B1959" s="88"/>
      <c r="C1959" s="88"/>
      <c r="D1959" s="73"/>
      <c r="E1959" s="88"/>
      <c r="F1959" s="73"/>
      <c r="G1959" s="394"/>
      <c r="H1959" s="86"/>
      <c r="I1959" s="88"/>
      <c r="J1959" s="407">
        <v>44535.0</v>
      </c>
      <c r="K1959" s="393">
        <f t="shared" si="8"/>
        <v>44536</v>
      </c>
      <c r="L1959" s="394" t="str">
        <f>IFERROR(__xludf.DUMMYFUNCTION("JOIN("""", G1959:H1959)"),"")</f>
        <v/>
      </c>
      <c r="M1959" s="80" t="str">
        <f t="shared" si="2"/>
        <v/>
      </c>
    </row>
    <row r="1960">
      <c r="A1960" s="86"/>
      <c r="B1960" s="88"/>
      <c r="C1960" s="88"/>
      <c r="D1960" s="73"/>
      <c r="E1960" s="88"/>
      <c r="F1960" s="73"/>
      <c r="G1960" s="394"/>
      <c r="H1960" s="86"/>
      <c r="I1960" s="88"/>
      <c r="J1960" s="393">
        <v>44530.0</v>
      </c>
      <c r="K1960" s="393">
        <f t="shared" si="8"/>
        <v>44531</v>
      </c>
      <c r="L1960" s="394" t="str">
        <f>IFERROR(__xludf.DUMMYFUNCTION("JOIN("""", G1960:H1960)"),"")</f>
        <v/>
      </c>
      <c r="M1960" s="80" t="str">
        <f t="shared" si="2"/>
        <v/>
      </c>
    </row>
    <row r="1961">
      <c r="A1961" s="86"/>
      <c r="B1961" s="73"/>
      <c r="C1961" s="73"/>
      <c r="D1961" s="73"/>
      <c r="E1961" s="88"/>
      <c r="F1961" s="73"/>
      <c r="G1961" s="394"/>
      <c r="H1961" s="77"/>
      <c r="I1961" s="88"/>
      <c r="J1961" s="393">
        <v>44530.0</v>
      </c>
      <c r="K1961" s="393">
        <f t="shared" si="8"/>
        <v>44531</v>
      </c>
      <c r="L1961" s="394" t="str">
        <f>IFERROR(__xludf.DUMMYFUNCTION("JOIN("""", G1961:H1961)"),"")</f>
        <v/>
      </c>
      <c r="M1961" s="80" t="str">
        <f t="shared" si="2"/>
        <v/>
      </c>
    </row>
    <row r="1962">
      <c r="A1962" s="86"/>
      <c r="B1962" s="74"/>
      <c r="C1962" s="74"/>
      <c r="D1962" s="73"/>
      <c r="E1962" s="88"/>
      <c r="F1962" s="73"/>
      <c r="G1962" s="394"/>
      <c r="H1962" s="74"/>
      <c r="I1962" s="88"/>
      <c r="J1962" s="409">
        <v>44530.0</v>
      </c>
      <c r="K1962" s="393">
        <f t="shared" si="8"/>
        <v>44531</v>
      </c>
      <c r="L1962" s="394" t="str">
        <f>IFERROR(__xludf.DUMMYFUNCTION("JOIN("""", G1962:H1962)"),"")</f>
        <v/>
      </c>
      <c r="M1962" s="80" t="str">
        <f t="shared" si="2"/>
        <v/>
      </c>
    </row>
    <row r="1963">
      <c r="A1963" s="86"/>
      <c r="B1963" s="74"/>
      <c r="C1963" s="74"/>
      <c r="D1963" s="73"/>
      <c r="E1963" s="88"/>
      <c r="F1963" s="73"/>
      <c r="G1963" s="394"/>
      <c r="H1963" s="74"/>
      <c r="I1963" s="88"/>
      <c r="J1963" s="409">
        <v>44530.0</v>
      </c>
      <c r="K1963" s="393">
        <f t="shared" si="8"/>
        <v>44531</v>
      </c>
      <c r="L1963" s="394" t="str">
        <f>IFERROR(__xludf.DUMMYFUNCTION("JOIN("""", G1963:H1963)"),"")</f>
        <v/>
      </c>
      <c r="M1963" s="80" t="str">
        <f t="shared" si="2"/>
        <v/>
      </c>
    </row>
    <row r="1964">
      <c r="A1964" s="86"/>
      <c r="B1964" s="74"/>
      <c r="C1964" s="74"/>
      <c r="D1964" s="73"/>
      <c r="E1964" s="88"/>
      <c r="F1964" s="73"/>
      <c r="G1964" s="394"/>
      <c r="H1964" s="74"/>
      <c r="I1964" s="88"/>
      <c r="J1964" s="409">
        <v>44530.0</v>
      </c>
      <c r="K1964" s="393">
        <f t="shared" si="8"/>
        <v>44531</v>
      </c>
      <c r="L1964" s="394" t="str">
        <f>IFERROR(__xludf.DUMMYFUNCTION("JOIN("""", G1964:H1964)"),"")</f>
        <v/>
      </c>
      <c r="M1964" s="80" t="str">
        <f t="shared" si="2"/>
        <v/>
      </c>
    </row>
    <row r="1965">
      <c r="A1965" s="86"/>
      <c r="B1965" s="74"/>
      <c r="C1965" s="74"/>
      <c r="D1965" s="73"/>
      <c r="E1965" s="88"/>
      <c r="F1965" s="73"/>
      <c r="G1965" s="394"/>
      <c r="H1965" s="74"/>
      <c r="I1965" s="88"/>
      <c r="J1965" s="409">
        <v>44530.0</v>
      </c>
      <c r="K1965" s="393">
        <f t="shared" si="8"/>
        <v>44531</v>
      </c>
      <c r="L1965" s="394" t="str">
        <f>IFERROR(__xludf.DUMMYFUNCTION("JOIN("""", G1965:H1965)"),"")</f>
        <v/>
      </c>
      <c r="M1965" s="80" t="str">
        <f t="shared" si="2"/>
        <v/>
      </c>
    </row>
    <row r="1966">
      <c r="A1966" s="86"/>
      <c r="B1966" s="74"/>
      <c r="C1966" s="74"/>
      <c r="D1966" s="73"/>
      <c r="E1966" s="88"/>
      <c r="F1966" s="73"/>
      <c r="G1966" s="394"/>
      <c r="H1966" s="74"/>
      <c r="I1966" s="88"/>
      <c r="J1966" s="409">
        <v>44531.0</v>
      </c>
      <c r="K1966" s="393">
        <f t="shared" si="8"/>
        <v>44532</v>
      </c>
      <c r="L1966" s="394" t="str">
        <f>IFERROR(__xludf.DUMMYFUNCTION("JOIN("""", G1966:H1966)"),"")</f>
        <v/>
      </c>
      <c r="M1966" s="80" t="str">
        <f t="shared" si="2"/>
        <v/>
      </c>
    </row>
    <row r="1967">
      <c r="A1967" s="86"/>
      <c r="B1967" s="74"/>
      <c r="C1967" s="74"/>
      <c r="D1967" s="73"/>
      <c r="E1967" s="88"/>
      <c r="F1967" s="73"/>
      <c r="G1967" s="394"/>
      <c r="H1967" s="74"/>
      <c r="I1967" s="88"/>
      <c r="J1967" s="409">
        <v>44531.0</v>
      </c>
      <c r="K1967" s="393">
        <f t="shared" si="8"/>
        <v>44532</v>
      </c>
      <c r="L1967" s="394" t="str">
        <f>IFERROR(__xludf.DUMMYFUNCTION("JOIN("""", G1967:H1967)"),"")</f>
        <v/>
      </c>
      <c r="M1967" s="80" t="str">
        <f t="shared" si="2"/>
        <v/>
      </c>
    </row>
    <row r="1968">
      <c r="A1968" s="86"/>
      <c r="B1968" s="74"/>
      <c r="C1968" s="74"/>
      <c r="D1968" s="73"/>
      <c r="E1968" s="88"/>
      <c r="F1968" s="73"/>
      <c r="G1968" s="394"/>
      <c r="H1968" s="74"/>
      <c r="I1968" s="88"/>
      <c r="J1968" s="409">
        <v>44531.0</v>
      </c>
      <c r="K1968" s="393">
        <f t="shared" si="8"/>
        <v>44532</v>
      </c>
      <c r="L1968" s="394" t="str">
        <f>IFERROR(__xludf.DUMMYFUNCTION("JOIN("""", G1968:H1968)"),"")</f>
        <v/>
      </c>
      <c r="M1968" s="80" t="str">
        <f t="shared" si="2"/>
        <v/>
      </c>
    </row>
    <row r="1969">
      <c r="A1969" s="86"/>
      <c r="B1969" s="74"/>
      <c r="C1969" s="74"/>
      <c r="D1969" s="73"/>
      <c r="E1969" s="88"/>
      <c r="F1969" s="73"/>
      <c r="G1969" s="394"/>
      <c r="H1969" s="74"/>
      <c r="I1969" s="88"/>
      <c r="J1969" s="409">
        <v>44531.0</v>
      </c>
      <c r="K1969" s="393">
        <f t="shared" si="8"/>
        <v>44532</v>
      </c>
      <c r="L1969" s="394" t="str">
        <f>IFERROR(__xludf.DUMMYFUNCTION("JOIN("""", G1969:H1969)"),"")</f>
        <v/>
      </c>
      <c r="M1969" s="80" t="str">
        <f t="shared" si="2"/>
        <v/>
      </c>
    </row>
    <row r="1970">
      <c r="A1970" s="86"/>
      <c r="B1970" s="74"/>
      <c r="C1970" s="74"/>
      <c r="D1970" s="73"/>
      <c r="E1970" s="88"/>
      <c r="F1970" s="73"/>
      <c r="G1970" s="394"/>
      <c r="H1970" s="74"/>
      <c r="I1970" s="88"/>
      <c r="J1970" s="409">
        <v>44531.0</v>
      </c>
      <c r="K1970" s="393">
        <f t="shared" si="8"/>
        <v>44532</v>
      </c>
      <c r="L1970" s="394" t="str">
        <f>IFERROR(__xludf.DUMMYFUNCTION("JOIN("""", G1970:H1970)"),"")</f>
        <v/>
      </c>
      <c r="M1970" s="80" t="str">
        <f t="shared" si="2"/>
        <v/>
      </c>
    </row>
    <row r="1971">
      <c r="A1971" s="86"/>
      <c r="B1971" s="74"/>
      <c r="C1971" s="74"/>
      <c r="D1971" s="73"/>
      <c r="E1971" s="88"/>
      <c r="F1971" s="73"/>
      <c r="G1971" s="394"/>
      <c r="H1971" s="74"/>
      <c r="I1971" s="88"/>
      <c r="J1971" s="409">
        <v>44531.0</v>
      </c>
      <c r="K1971" s="393">
        <f t="shared" si="8"/>
        <v>44532</v>
      </c>
      <c r="L1971" s="394" t="str">
        <f>IFERROR(__xludf.DUMMYFUNCTION("JOIN("""", G1971:H1971)"),"")</f>
        <v/>
      </c>
      <c r="M1971" s="80" t="str">
        <f t="shared" si="2"/>
        <v/>
      </c>
    </row>
    <row r="1972">
      <c r="A1972" s="86"/>
      <c r="B1972" s="73"/>
      <c r="C1972" s="74"/>
      <c r="D1972" s="74"/>
      <c r="E1972" s="74"/>
      <c r="F1972" s="74"/>
      <c r="G1972" s="394"/>
      <c r="H1972" s="74"/>
      <c r="I1972" s="88"/>
      <c r="J1972" s="409">
        <v>44533.0</v>
      </c>
      <c r="K1972" s="393">
        <f t="shared" si="8"/>
        <v>44534</v>
      </c>
      <c r="L1972" s="394" t="str">
        <f>IFERROR(__xludf.DUMMYFUNCTION("JOIN("""", G1972:H1972)"),"")</f>
        <v/>
      </c>
      <c r="M1972" s="80" t="str">
        <f t="shared" si="2"/>
        <v/>
      </c>
    </row>
    <row r="1973">
      <c r="A1973" s="86"/>
      <c r="B1973" s="74"/>
      <c r="C1973" s="74"/>
      <c r="D1973" s="74"/>
      <c r="E1973" s="88"/>
      <c r="F1973" s="73"/>
      <c r="G1973" s="394"/>
      <c r="H1973" s="73"/>
      <c r="I1973" s="88"/>
      <c r="J1973" s="409">
        <v>44533.0</v>
      </c>
      <c r="K1973" s="393">
        <f t="shared" si="8"/>
        <v>44534</v>
      </c>
      <c r="L1973" s="394" t="str">
        <f>IFERROR(__xludf.DUMMYFUNCTION("JOIN("""", G1973:H1973)"),"")</f>
        <v/>
      </c>
      <c r="M1973" s="80" t="str">
        <f t="shared" si="2"/>
        <v/>
      </c>
    </row>
    <row r="1974">
      <c r="A1974" s="86"/>
      <c r="B1974" s="74"/>
      <c r="C1974" s="74"/>
      <c r="D1974" s="73"/>
      <c r="E1974" s="88"/>
      <c r="F1974" s="73"/>
      <c r="G1974" s="394"/>
      <c r="H1974" s="74"/>
      <c r="I1974" s="88"/>
      <c r="J1974" s="409">
        <v>44533.0</v>
      </c>
      <c r="K1974" s="393">
        <f t="shared" si="8"/>
        <v>44534</v>
      </c>
      <c r="L1974" s="394" t="str">
        <f>IFERROR(__xludf.DUMMYFUNCTION("JOIN("""", G1974:H1974)"),"")</f>
        <v/>
      </c>
      <c r="M1974" s="80" t="str">
        <f t="shared" si="2"/>
        <v/>
      </c>
    </row>
    <row r="1975">
      <c r="A1975" s="86"/>
      <c r="B1975" s="74"/>
      <c r="C1975" s="74"/>
      <c r="D1975" s="73"/>
      <c r="E1975" s="88"/>
      <c r="F1975" s="73"/>
      <c r="G1975" s="394"/>
      <c r="H1975" s="74"/>
      <c r="I1975" s="88"/>
      <c r="J1975" s="409">
        <v>44533.0</v>
      </c>
      <c r="K1975" s="393">
        <f t="shared" si="8"/>
        <v>44534</v>
      </c>
      <c r="L1975" s="394" t="str">
        <f>IFERROR(__xludf.DUMMYFUNCTION("JOIN("""", G1975:H1975)"),"")</f>
        <v/>
      </c>
      <c r="M1975" s="80" t="str">
        <f t="shared" si="2"/>
        <v/>
      </c>
    </row>
    <row r="1976">
      <c r="A1976" s="86"/>
      <c r="B1976" s="74"/>
      <c r="C1976" s="74"/>
      <c r="D1976" s="73"/>
      <c r="E1976" s="88"/>
      <c r="F1976" s="73"/>
      <c r="G1976" s="394"/>
      <c r="H1976" s="74"/>
      <c r="I1976" s="88"/>
      <c r="J1976" s="409">
        <v>44533.0</v>
      </c>
      <c r="K1976" s="393">
        <f t="shared" si="8"/>
        <v>44534</v>
      </c>
      <c r="L1976" s="394" t="str">
        <f>IFERROR(__xludf.DUMMYFUNCTION("JOIN("""", G1976:H1976)"),"")</f>
        <v/>
      </c>
      <c r="M1976" s="80" t="str">
        <f t="shared" si="2"/>
        <v/>
      </c>
    </row>
    <row r="1977">
      <c r="A1977" s="86"/>
      <c r="B1977" s="74"/>
      <c r="C1977" s="74"/>
      <c r="D1977" s="73"/>
      <c r="E1977" s="88"/>
      <c r="F1977" s="73"/>
      <c r="G1977" s="394"/>
      <c r="H1977" s="74"/>
      <c r="I1977" s="88"/>
      <c r="J1977" s="409">
        <v>44533.0</v>
      </c>
      <c r="K1977" s="393">
        <f t="shared" si="8"/>
        <v>44534</v>
      </c>
      <c r="L1977" s="394" t="str">
        <f>IFERROR(__xludf.DUMMYFUNCTION("JOIN("""", G1977:H1977)"),"")</f>
        <v/>
      </c>
      <c r="M1977" s="80" t="str">
        <f t="shared" si="2"/>
        <v/>
      </c>
    </row>
    <row r="1978">
      <c r="A1978" s="86"/>
      <c r="B1978" s="74"/>
      <c r="C1978" s="74"/>
      <c r="D1978" s="73"/>
      <c r="E1978" s="88"/>
      <c r="F1978" s="73"/>
      <c r="G1978" s="394"/>
      <c r="H1978" s="74"/>
      <c r="I1978" s="88"/>
      <c r="J1978" s="409">
        <v>44533.0</v>
      </c>
      <c r="K1978" s="393">
        <f t="shared" si="8"/>
        <v>44534</v>
      </c>
      <c r="L1978" s="394" t="str">
        <f>IFERROR(__xludf.DUMMYFUNCTION("JOIN("""", G1978:H1978)"),"")</f>
        <v/>
      </c>
      <c r="M1978" s="80" t="str">
        <f t="shared" si="2"/>
        <v/>
      </c>
    </row>
    <row r="1979">
      <c r="A1979" s="86"/>
      <c r="B1979" s="74"/>
      <c r="C1979" s="74"/>
      <c r="D1979" s="73"/>
      <c r="E1979" s="88"/>
      <c r="F1979" s="73"/>
      <c r="G1979" s="394"/>
      <c r="H1979" s="74"/>
      <c r="I1979" s="88"/>
      <c r="J1979" s="409">
        <v>44533.0</v>
      </c>
      <c r="K1979" s="393">
        <f t="shared" si="8"/>
        <v>44534</v>
      </c>
      <c r="L1979" s="394" t="str">
        <f>IFERROR(__xludf.DUMMYFUNCTION("JOIN("""", G1979:H1979)"),"")</f>
        <v/>
      </c>
      <c r="M1979" s="80" t="str">
        <f t="shared" si="2"/>
        <v/>
      </c>
    </row>
    <row r="1980">
      <c r="A1980" s="86"/>
      <c r="B1980" s="74"/>
      <c r="C1980" s="74"/>
      <c r="D1980" s="73"/>
      <c r="E1980" s="88"/>
      <c r="F1980" s="73"/>
      <c r="G1980" s="394"/>
      <c r="H1980" s="74"/>
      <c r="I1980" s="88"/>
      <c r="J1980" s="409">
        <v>44533.0</v>
      </c>
      <c r="K1980" s="393">
        <f t="shared" si="8"/>
        <v>44534</v>
      </c>
      <c r="L1980" s="394" t="str">
        <f>IFERROR(__xludf.DUMMYFUNCTION("JOIN("""", G1980:H1980)"),"")</f>
        <v/>
      </c>
      <c r="M1980" s="80" t="str">
        <f t="shared" si="2"/>
        <v/>
      </c>
    </row>
    <row r="1981">
      <c r="A1981" s="86"/>
      <c r="B1981" s="74"/>
      <c r="C1981" s="74"/>
      <c r="D1981" s="73"/>
      <c r="E1981" s="88"/>
      <c r="F1981" s="73"/>
      <c r="G1981" s="394"/>
      <c r="H1981" s="74"/>
      <c r="I1981" s="88"/>
      <c r="J1981" s="409">
        <v>44533.0</v>
      </c>
      <c r="K1981" s="393">
        <f t="shared" si="8"/>
        <v>44534</v>
      </c>
      <c r="L1981" s="394" t="str">
        <f>IFERROR(__xludf.DUMMYFUNCTION("JOIN("""", G1981:H1981)"),"")</f>
        <v/>
      </c>
      <c r="M1981" s="80" t="str">
        <f t="shared" si="2"/>
        <v/>
      </c>
    </row>
    <row r="1982">
      <c r="A1982" s="86"/>
      <c r="B1982" s="73"/>
      <c r="C1982" s="74"/>
      <c r="D1982" s="73"/>
      <c r="E1982" s="88"/>
      <c r="F1982" s="73"/>
      <c r="G1982" s="394"/>
      <c r="H1982" s="74"/>
      <c r="I1982" s="88"/>
      <c r="J1982" s="409">
        <v>44534.0</v>
      </c>
      <c r="K1982" s="393">
        <f t="shared" si="8"/>
        <v>44535</v>
      </c>
      <c r="L1982" s="394" t="str">
        <f>IFERROR(__xludf.DUMMYFUNCTION("JOIN("""", G1982:H1982)"),"")</f>
        <v/>
      </c>
      <c r="M1982" s="80" t="str">
        <f t="shared" si="2"/>
        <v/>
      </c>
    </row>
    <row r="1983">
      <c r="A1983" s="86"/>
      <c r="B1983" s="73"/>
      <c r="C1983" s="74"/>
      <c r="D1983" s="73"/>
      <c r="E1983" s="88"/>
      <c r="F1983" s="73"/>
      <c r="G1983" s="394"/>
      <c r="H1983" s="74"/>
      <c r="I1983" s="88"/>
      <c r="J1983" s="409">
        <v>44534.0</v>
      </c>
      <c r="K1983" s="393">
        <f t="shared" si="8"/>
        <v>44535</v>
      </c>
      <c r="L1983" s="394" t="str">
        <f>IFERROR(__xludf.DUMMYFUNCTION("JOIN("""", G1983:H1983)"),"")</f>
        <v/>
      </c>
      <c r="M1983" s="80" t="str">
        <f t="shared" si="2"/>
        <v/>
      </c>
    </row>
    <row r="1984">
      <c r="A1984" s="86"/>
      <c r="B1984" s="73"/>
      <c r="C1984" s="74"/>
      <c r="D1984" s="73"/>
      <c r="E1984" s="88"/>
      <c r="F1984" s="73"/>
      <c r="G1984" s="394"/>
      <c r="H1984" s="74"/>
      <c r="I1984" s="88"/>
      <c r="J1984" s="409">
        <v>44534.0</v>
      </c>
      <c r="K1984" s="393">
        <f t="shared" si="8"/>
        <v>44535</v>
      </c>
      <c r="L1984" s="394" t="str">
        <f>IFERROR(__xludf.DUMMYFUNCTION("JOIN("""", G1984:H1984)"),"")</f>
        <v/>
      </c>
      <c r="M1984" s="80" t="str">
        <f t="shared" si="2"/>
        <v/>
      </c>
    </row>
    <row r="1985">
      <c r="A1985" s="86"/>
      <c r="B1985" s="73"/>
      <c r="C1985" s="74"/>
      <c r="D1985" s="73"/>
      <c r="E1985" s="88"/>
      <c r="F1985" s="73"/>
      <c r="G1985" s="394"/>
      <c r="H1985" s="74"/>
      <c r="I1985" s="88"/>
      <c r="J1985" s="409">
        <v>44535.0</v>
      </c>
      <c r="K1985" s="393">
        <f t="shared" si="8"/>
        <v>44536</v>
      </c>
      <c r="L1985" s="394" t="str">
        <f>IFERROR(__xludf.DUMMYFUNCTION("JOIN("""", G1985:H1985)"),"")</f>
        <v/>
      </c>
      <c r="M1985" s="80" t="str">
        <f t="shared" si="2"/>
        <v/>
      </c>
    </row>
    <row r="1986">
      <c r="A1986" s="86"/>
      <c r="B1986" s="73"/>
      <c r="C1986" s="73"/>
      <c r="D1986" s="73"/>
      <c r="E1986" s="88"/>
      <c r="F1986" s="73"/>
      <c r="G1986" s="394"/>
      <c r="H1986" s="73"/>
      <c r="I1986" s="88"/>
      <c r="J1986" s="410"/>
      <c r="K1986" s="393">
        <f t="shared" si="8"/>
        <v>1</v>
      </c>
      <c r="L1986" s="394" t="str">
        <f>IFERROR(__xludf.DUMMYFUNCTION("JOIN("""", G1986:H1986)"),"")</f>
        <v/>
      </c>
      <c r="M1986" s="80" t="str">
        <f t="shared" si="2"/>
        <v/>
      </c>
    </row>
    <row r="1987">
      <c r="A1987" s="86"/>
      <c r="B1987" s="73"/>
      <c r="C1987" s="73"/>
      <c r="D1987" s="73"/>
      <c r="E1987" s="88"/>
      <c r="F1987" s="73"/>
      <c r="G1987" s="394"/>
      <c r="H1987" s="73"/>
      <c r="I1987" s="88"/>
      <c r="J1987" s="410"/>
      <c r="K1987" s="393">
        <f t="shared" si="8"/>
        <v>1</v>
      </c>
      <c r="L1987" s="394" t="str">
        <f>IFERROR(__xludf.DUMMYFUNCTION("JOIN("""", G1987:H1987)"),"")</f>
        <v/>
      </c>
      <c r="M1987" s="80" t="str">
        <f t="shared" si="2"/>
        <v/>
      </c>
    </row>
    <row r="1988">
      <c r="A1988" s="86"/>
      <c r="B1988" s="73"/>
      <c r="C1988" s="73"/>
      <c r="D1988" s="73"/>
      <c r="E1988" s="88"/>
      <c r="F1988" s="73"/>
      <c r="G1988" s="394"/>
      <c r="H1988" s="73"/>
      <c r="I1988" s="88"/>
      <c r="J1988" s="410"/>
      <c r="K1988" s="393">
        <f t="shared" si="8"/>
        <v>1</v>
      </c>
      <c r="L1988" s="394" t="str">
        <f>IFERROR(__xludf.DUMMYFUNCTION("JOIN("""", G1988:H1988)"),"")</f>
        <v/>
      </c>
      <c r="M1988" s="80" t="str">
        <f t="shared" si="2"/>
        <v/>
      </c>
    </row>
    <row r="1989">
      <c r="A1989" s="86"/>
      <c r="B1989" s="73"/>
      <c r="C1989" s="73"/>
      <c r="D1989" s="73"/>
      <c r="E1989" s="88"/>
      <c r="F1989" s="73"/>
      <c r="G1989" s="394"/>
      <c r="H1989" s="73"/>
      <c r="I1989" s="88"/>
      <c r="J1989" s="410"/>
      <c r="K1989" s="393">
        <f t="shared" si="8"/>
        <v>1</v>
      </c>
      <c r="L1989" s="394" t="str">
        <f>IFERROR(__xludf.DUMMYFUNCTION("JOIN("""", G1989:H1989)"),"")</f>
        <v/>
      </c>
      <c r="M1989" s="80" t="str">
        <f t="shared" si="2"/>
        <v/>
      </c>
    </row>
    <row r="1990">
      <c r="A1990" s="86"/>
      <c r="B1990" s="73"/>
      <c r="C1990" s="73"/>
      <c r="D1990" s="73"/>
      <c r="E1990" s="88"/>
      <c r="F1990" s="73"/>
      <c r="G1990" s="394"/>
      <c r="H1990" s="73"/>
      <c r="I1990" s="88"/>
      <c r="J1990" s="410"/>
      <c r="K1990" s="393">
        <f t="shared" si="8"/>
        <v>1</v>
      </c>
      <c r="L1990" s="394" t="str">
        <f>IFERROR(__xludf.DUMMYFUNCTION("JOIN("""", G1990:H1990)"),"")</f>
        <v/>
      </c>
      <c r="M1990" s="80" t="str">
        <f t="shared" si="2"/>
        <v/>
      </c>
    </row>
    <row r="1991">
      <c r="A1991" s="86"/>
      <c r="B1991" s="73"/>
      <c r="C1991" s="73"/>
      <c r="D1991" s="73"/>
      <c r="E1991" s="88"/>
      <c r="F1991" s="73"/>
      <c r="G1991" s="394"/>
      <c r="H1991" s="73"/>
      <c r="I1991" s="88"/>
      <c r="J1991" s="410"/>
      <c r="K1991" s="393">
        <f t="shared" si="8"/>
        <v>1</v>
      </c>
      <c r="L1991" s="394" t="str">
        <f>IFERROR(__xludf.DUMMYFUNCTION("JOIN("""", G1991:H1991)"),"")</f>
        <v/>
      </c>
      <c r="M1991" s="80" t="str">
        <f t="shared" si="2"/>
        <v/>
      </c>
    </row>
    <row r="1992">
      <c r="A1992" s="86"/>
      <c r="B1992" s="73"/>
      <c r="C1992" s="73"/>
      <c r="D1992" s="73"/>
      <c r="E1992" s="88"/>
      <c r="F1992" s="73"/>
      <c r="G1992" s="394"/>
      <c r="H1992" s="73"/>
      <c r="I1992" s="88"/>
      <c r="J1992" s="410"/>
      <c r="K1992" s="393">
        <f t="shared" si="8"/>
        <v>1</v>
      </c>
      <c r="L1992" s="394" t="str">
        <f>IFERROR(__xludf.DUMMYFUNCTION("JOIN("""", G1992:H1992)"),"")</f>
        <v/>
      </c>
      <c r="M1992" s="80" t="str">
        <f t="shared" si="2"/>
        <v/>
      </c>
    </row>
    <row r="1993">
      <c r="A1993" s="86"/>
      <c r="B1993" s="73"/>
      <c r="C1993" s="73"/>
      <c r="D1993" s="73"/>
      <c r="E1993" s="88"/>
      <c r="F1993" s="73"/>
      <c r="G1993" s="394"/>
      <c r="H1993" s="73"/>
      <c r="I1993" s="88"/>
      <c r="J1993" s="410"/>
      <c r="K1993" s="393">
        <f t="shared" si="8"/>
        <v>1</v>
      </c>
      <c r="L1993" s="394" t="str">
        <f>IFERROR(__xludf.DUMMYFUNCTION("JOIN("""", G1993:H1993)"),"")</f>
        <v/>
      </c>
      <c r="M1993" s="80" t="str">
        <f t="shared" si="2"/>
        <v/>
      </c>
    </row>
    <row r="1994">
      <c r="A1994" s="86"/>
      <c r="B1994" s="73"/>
      <c r="C1994" s="73"/>
      <c r="D1994" s="73"/>
      <c r="E1994" s="88"/>
      <c r="F1994" s="73"/>
      <c r="G1994" s="394"/>
      <c r="H1994" s="73"/>
      <c r="I1994" s="88"/>
      <c r="J1994" s="410"/>
      <c r="K1994" s="393">
        <f t="shared" si="8"/>
        <v>1</v>
      </c>
      <c r="L1994" s="394" t="str">
        <f>IFERROR(__xludf.DUMMYFUNCTION("JOIN("""", G1994:H1994)"),"")</f>
        <v/>
      </c>
      <c r="M1994" s="80" t="str">
        <f t="shared" si="2"/>
        <v/>
      </c>
    </row>
    <row r="1995">
      <c r="A1995" s="86"/>
      <c r="B1995" s="73"/>
      <c r="C1995" s="73"/>
      <c r="D1995" s="73"/>
      <c r="E1995" s="88"/>
      <c r="F1995" s="73"/>
      <c r="G1995" s="394"/>
      <c r="H1995" s="73"/>
      <c r="I1995" s="88"/>
      <c r="J1995" s="410"/>
      <c r="K1995" s="393">
        <f t="shared" si="8"/>
        <v>1</v>
      </c>
      <c r="L1995" s="394" t="str">
        <f>IFERROR(__xludf.DUMMYFUNCTION("JOIN("""", G1995:H1995)"),"")</f>
        <v/>
      </c>
      <c r="M1995" s="80" t="str">
        <f t="shared" si="2"/>
        <v/>
      </c>
    </row>
    <row r="1996">
      <c r="A1996" s="86"/>
      <c r="B1996" s="73"/>
      <c r="C1996" s="73"/>
      <c r="D1996" s="73"/>
      <c r="E1996" s="88"/>
      <c r="F1996" s="73"/>
      <c r="G1996" s="394"/>
      <c r="H1996" s="73"/>
      <c r="I1996" s="88"/>
      <c r="J1996" s="410"/>
      <c r="K1996" s="393">
        <f t="shared" si="8"/>
        <v>1</v>
      </c>
      <c r="L1996" s="394" t="str">
        <f>IFERROR(__xludf.DUMMYFUNCTION("JOIN("""", G1996:H1996)"),"")</f>
        <v/>
      </c>
      <c r="M1996" s="80" t="str">
        <f t="shared" si="2"/>
        <v/>
      </c>
    </row>
    <row r="1997">
      <c r="A1997" s="86"/>
      <c r="B1997" s="73"/>
      <c r="C1997" s="73"/>
      <c r="D1997" s="73"/>
      <c r="E1997" s="88"/>
      <c r="F1997" s="73"/>
      <c r="G1997" s="394"/>
      <c r="H1997" s="73"/>
      <c r="I1997" s="88"/>
      <c r="J1997" s="410"/>
      <c r="K1997" s="393">
        <f t="shared" si="8"/>
        <v>1</v>
      </c>
      <c r="L1997" s="394" t="str">
        <f>IFERROR(__xludf.DUMMYFUNCTION("JOIN("""", G1997:H1997)"),"")</f>
        <v/>
      </c>
      <c r="M1997" s="80" t="str">
        <f t="shared" si="2"/>
        <v/>
      </c>
    </row>
    <row r="1998">
      <c r="A1998" s="86"/>
      <c r="B1998" s="73"/>
      <c r="C1998" s="73"/>
      <c r="D1998" s="73"/>
      <c r="E1998" s="88"/>
      <c r="F1998" s="73"/>
      <c r="G1998" s="394"/>
      <c r="H1998" s="73"/>
      <c r="I1998" s="88"/>
      <c r="J1998" s="410"/>
      <c r="K1998" s="393">
        <f t="shared" si="8"/>
        <v>1</v>
      </c>
      <c r="L1998" s="394" t="str">
        <f>IFERROR(__xludf.DUMMYFUNCTION("JOIN("""", G1998:H1998)"),"")</f>
        <v/>
      </c>
      <c r="M1998" s="80" t="str">
        <f t="shared" si="2"/>
        <v/>
      </c>
    </row>
    <row r="1999">
      <c r="A1999" s="86"/>
      <c r="B1999" s="73"/>
      <c r="C1999" s="73"/>
      <c r="D1999" s="73"/>
      <c r="E1999" s="88"/>
      <c r="F1999" s="73"/>
      <c r="G1999" s="394"/>
      <c r="H1999" s="73"/>
      <c r="I1999" s="88"/>
      <c r="J1999" s="410"/>
      <c r="K1999" s="393">
        <f t="shared" si="8"/>
        <v>1</v>
      </c>
      <c r="L1999" s="394" t="str">
        <f>IFERROR(__xludf.DUMMYFUNCTION("JOIN("""", G1999:H1999)"),"")</f>
        <v/>
      </c>
      <c r="M1999" s="80" t="str">
        <f t="shared" si="2"/>
        <v/>
      </c>
    </row>
    <row r="2000">
      <c r="A2000" s="86"/>
      <c r="B2000" s="73"/>
      <c r="C2000" s="73"/>
      <c r="D2000" s="73"/>
      <c r="E2000" s="88"/>
      <c r="F2000" s="73"/>
      <c r="G2000" s="394"/>
      <c r="H2000" s="73"/>
      <c r="I2000" s="88"/>
      <c r="J2000" s="410"/>
      <c r="K2000" s="393">
        <f t="shared" si="8"/>
        <v>1</v>
      </c>
      <c r="L2000" s="394" t="str">
        <f>IFERROR(__xludf.DUMMYFUNCTION("JOIN("""", G2000:H2000)"),"")</f>
        <v/>
      </c>
      <c r="M2000" s="80" t="str">
        <f t="shared" si="2"/>
        <v/>
      </c>
    </row>
    <row r="2001">
      <c r="A2001" s="86"/>
      <c r="B2001" s="73"/>
      <c r="C2001" s="73"/>
      <c r="D2001" s="73"/>
      <c r="E2001" s="88"/>
      <c r="F2001" s="73"/>
      <c r="G2001" s="394"/>
      <c r="H2001" s="73"/>
      <c r="I2001" s="88"/>
      <c r="J2001" s="410"/>
      <c r="K2001" s="393">
        <f t="shared" si="8"/>
        <v>1</v>
      </c>
      <c r="L2001" s="394" t="str">
        <f>IFERROR(__xludf.DUMMYFUNCTION("JOIN("""", G2001:H2001)"),"")</f>
        <v/>
      </c>
      <c r="M2001" s="80" t="str">
        <f t="shared" si="2"/>
        <v/>
      </c>
    </row>
    <row r="2002">
      <c r="A2002" s="86"/>
      <c r="B2002" s="73"/>
      <c r="C2002" s="73"/>
      <c r="D2002" s="73"/>
      <c r="E2002" s="88"/>
      <c r="F2002" s="73"/>
      <c r="G2002" s="394"/>
      <c r="H2002" s="73"/>
      <c r="I2002" s="88"/>
      <c r="J2002" s="410"/>
      <c r="K2002" s="393">
        <f t="shared" si="8"/>
        <v>1</v>
      </c>
      <c r="L2002" s="394" t="str">
        <f>IFERROR(__xludf.DUMMYFUNCTION("JOIN("""", G2002:H2002)"),"")</f>
        <v/>
      </c>
      <c r="M2002" s="80" t="str">
        <f t="shared" si="2"/>
        <v/>
      </c>
    </row>
    <row r="2003">
      <c r="A2003" s="86"/>
      <c r="B2003" s="73"/>
      <c r="C2003" s="73"/>
      <c r="D2003" s="73"/>
      <c r="E2003" s="88"/>
      <c r="F2003" s="73"/>
      <c r="G2003" s="394"/>
      <c r="H2003" s="73"/>
      <c r="I2003" s="88"/>
      <c r="J2003" s="410"/>
      <c r="K2003" s="393">
        <f t="shared" si="8"/>
        <v>1</v>
      </c>
      <c r="L2003" s="394" t="str">
        <f>IFERROR(__xludf.DUMMYFUNCTION("JOIN("""", G2003:H2003)"),"")</f>
        <v/>
      </c>
      <c r="M2003" s="80" t="str">
        <f t="shared" si="2"/>
        <v/>
      </c>
    </row>
    <row r="2004">
      <c r="A2004" s="86"/>
      <c r="B2004" s="73"/>
      <c r="C2004" s="73"/>
      <c r="D2004" s="73"/>
      <c r="E2004" s="88"/>
      <c r="F2004" s="73"/>
      <c r="G2004" s="394"/>
      <c r="H2004" s="73"/>
      <c r="I2004" s="88"/>
      <c r="J2004" s="410"/>
      <c r="K2004" s="393">
        <f t="shared" si="8"/>
        <v>1</v>
      </c>
      <c r="L2004" s="394" t="str">
        <f>IFERROR(__xludf.DUMMYFUNCTION("JOIN("""", G2004:H2004)"),"")</f>
        <v/>
      </c>
      <c r="M2004" s="80" t="str">
        <f t="shared" si="2"/>
        <v/>
      </c>
    </row>
    <row r="2005">
      <c r="A2005" s="86"/>
      <c r="B2005" s="73"/>
      <c r="C2005" s="73"/>
      <c r="D2005" s="73"/>
      <c r="E2005" s="88"/>
      <c r="F2005" s="73"/>
      <c r="G2005" s="394"/>
      <c r="H2005" s="73"/>
      <c r="I2005" s="88"/>
      <c r="J2005" s="410"/>
      <c r="K2005" s="393">
        <f t="shared" si="8"/>
        <v>1</v>
      </c>
      <c r="L2005" s="394" t="str">
        <f>IFERROR(__xludf.DUMMYFUNCTION("JOIN("""", G2005:H2005)"),"")</f>
        <v/>
      </c>
      <c r="M2005" s="80" t="str">
        <f t="shared" si="2"/>
        <v/>
      </c>
    </row>
    <row r="2006">
      <c r="A2006" s="86"/>
      <c r="B2006" s="73"/>
      <c r="C2006" s="73"/>
      <c r="D2006" s="73"/>
      <c r="E2006" s="88"/>
      <c r="F2006" s="73"/>
      <c r="G2006" s="394"/>
      <c r="H2006" s="73"/>
      <c r="I2006" s="88"/>
      <c r="J2006" s="410"/>
      <c r="K2006" s="393">
        <f t="shared" si="8"/>
        <v>1</v>
      </c>
      <c r="L2006" s="394" t="str">
        <f>IFERROR(__xludf.DUMMYFUNCTION("JOIN("""", G2006:H2006)"),"")</f>
        <v/>
      </c>
      <c r="M2006" s="80" t="str">
        <f t="shared" si="2"/>
        <v/>
      </c>
    </row>
    <row r="2007">
      <c r="A2007" s="86"/>
      <c r="B2007" s="73"/>
      <c r="C2007" s="73"/>
      <c r="D2007" s="73"/>
      <c r="E2007" s="88"/>
      <c r="F2007" s="73"/>
      <c r="G2007" s="394"/>
      <c r="H2007" s="73"/>
      <c r="I2007" s="88"/>
      <c r="J2007" s="410"/>
      <c r="K2007" s="393">
        <f t="shared" si="8"/>
        <v>1</v>
      </c>
      <c r="L2007" s="394" t="str">
        <f>IFERROR(__xludf.DUMMYFUNCTION("JOIN("""", G2007:H2007)"),"")</f>
        <v/>
      </c>
      <c r="M2007" s="80" t="str">
        <f t="shared" si="2"/>
        <v/>
      </c>
    </row>
    <row r="2008">
      <c r="A2008" s="86"/>
      <c r="B2008" s="73"/>
      <c r="C2008" s="73"/>
      <c r="D2008" s="73"/>
      <c r="E2008" s="88"/>
      <c r="F2008" s="73"/>
      <c r="G2008" s="394"/>
      <c r="H2008" s="73"/>
      <c r="I2008" s="88"/>
      <c r="J2008" s="410"/>
      <c r="K2008" s="393">
        <f t="shared" si="8"/>
        <v>1</v>
      </c>
      <c r="L2008" s="394" t="str">
        <f>IFERROR(__xludf.DUMMYFUNCTION("JOIN("""", G2008:H2008)"),"")</f>
        <v/>
      </c>
      <c r="M2008" s="80" t="str">
        <f t="shared" si="2"/>
        <v/>
      </c>
    </row>
    <row r="2009">
      <c r="A2009" s="86"/>
      <c r="B2009" s="73"/>
      <c r="C2009" s="73"/>
      <c r="D2009" s="73"/>
      <c r="E2009" s="88"/>
      <c r="F2009" s="73"/>
      <c r="G2009" s="394"/>
      <c r="H2009" s="73"/>
      <c r="I2009" s="88"/>
      <c r="J2009" s="410"/>
      <c r="K2009" s="393">
        <f t="shared" si="8"/>
        <v>1</v>
      </c>
      <c r="L2009" s="394" t="str">
        <f>IFERROR(__xludf.DUMMYFUNCTION("JOIN("""", G2009:H2009)"),"")</f>
        <v/>
      </c>
      <c r="M2009" s="80" t="str">
        <f t="shared" si="2"/>
        <v/>
      </c>
    </row>
    <row r="2010">
      <c r="A2010" s="86"/>
      <c r="B2010" s="73"/>
      <c r="C2010" s="73"/>
      <c r="D2010" s="73"/>
      <c r="E2010" s="88"/>
      <c r="F2010" s="73"/>
      <c r="G2010" s="394"/>
      <c r="H2010" s="73"/>
      <c r="I2010" s="88"/>
      <c r="J2010" s="410"/>
      <c r="K2010" s="393">
        <f t="shared" si="8"/>
        <v>1</v>
      </c>
      <c r="L2010" s="394" t="str">
        <f>IFERROR(__xludf.DUMMYFUNCTION("JOIN("""", G2010:H2010)"),"")</f>
        <v/>
      </c>
      <c r="M2010" s="80" t="str">
        <f t="shared" si="2"/>
        <v/>
      </c>
    </row>
    <row r="2011">
      <c r="A2011" s="86"/>
      <c r="B2011" s="73"/>
      <c r="C2011" s="73"/>
      <c r="D2011" s="73"/>
      <c r="E2011" s="88"/>
      <c r="F2011" s="73"/>
      <c r="G2011" s="394"/>
      <c r="H2011" s="73"/>
      <c r="I2011" s="88"/>
      <c r="J2011" s="410"/>
      <c r="K2011" s="393">
        <f t="shared" si="8"/>
        <v>1</v>
      </c>
      <c r="L2011" s="394" t="str">
        <f>IFERROR(__xludf.DUMMYFUNCTION("JOIN("""", G2011:H2011)"),"")</f>
        <v/>
      </c>
      <c r="M2011" s="80" t="str">
        <f t="shared" si="2"/>
        <v/>
      </c>
    </row>
    <row r="2012">
      <c r="A2012" s="86"/>
      <c r="B2012" s="73"/>
      <c r="C2012" s="73"/>
      <c r="D2012" s="73"/>
      <c r="E2012" s="88"/>
      <c r="F2012" s="73"/>
      <c r="G2012" s="394"/>
      <c r="H2012" s="73"/>
      <c r="I2012" s="88"/>
      <c r="J2012" s="410"/>
      <c r="K2012" s="393">
        <f t="shared" si="8"/>
        <v>1</v>
      </c>
      <c r="L2012" s="394" t="str">
        <f>IFERROR(__xludf.DUMMYFUNCTION("JOIN("""", G2012:H2012)"),"")</f>
        <v/>
      </c>
      <c r="M2012" s="80" t="str">
        <f t="shared" si="2"/>
        <v/>
      </c>
    </row>
    <row r="2013">
      <c r="A2013" s="86"/>
      <c r="B2013" s="73"/>
      <c r="C2013" s="73"/>
      <c r="D2013" s="73"/>
      <c r="E2013" s="88"/>
      <c r="F2013" s="73"/>
      <c r="G2013" s="394"/>
      <c r="H2013" s="73"/>
      <c r="I2013" s="88"/>
      <c r="J2013" s="410"/>
      <c r="K2013" s="393">
        <f t="shared" si="8"/>
        <v>1</v>
      </c>
      <c r="L2013" s="394" t="str">
        <f>IFERROR(__xludf.DUMMYFUNCTION("JOIN("""", G2013:H2013)"),"")</f>
        <v/>
      </c>
      <c r="M2013" s="80" t="str">
        <f t="shared" si="2"/>
        <v/>
      </c>
    </row>
    <row r="2014">
      <c r="A2014" s="86"/>
      <c r="B2014" s="73"/>
      <c r="C2014" s="73"/>
      <c r="D2014" s="73"/>
      <c r="E2014" s="88"/>
      <c r="F2014" s="73"/>
      <c r="G2014" s="394"/>
      <c r="H2014" s="73"/>
      <c r="I2014" s="88"/>
      <c r="J2014" s="410"/>
      <c r="K2014" s="393">
        <f t="shared" si="8"/>
        <v>1</v>
      </c>
      <c r="L2014" s="394" t="str">
        <f>IFERROR(__xludf.DUMMYFUNCTION("JOIN("""", G2014:H2014)"),"")</f>
        <v/>
      </c>
      <c r="M2014" s="80" t="str">
        <f t="shared" si="2"/>
        <v/>
      </c>
    </row>
    <row r="2015">
      <c r="A2015" s="86"/>
      <c r="B2015" s="73"/>
      <c r="C2015" s="73"/>
      <c r="D2015" s="73"/>
      <c r="E2015" s="88"/>
      <c r="F2015" s="73"/>
      <c r="G2015" s="394"/>
      <c r="H2015" s="73"/>
      <c r="I2015" s="88"/>
      <c r="J2015" s="410"/>
      <c r="K2015" s="393">
        <f t="shared" si="8"/>
        <v>1</v>
      </c>
      <c r="L2015" s="394" t="str">
        <f>IFERROR(__xludf.DUMMYFUNCTION("JOIN("""", G2015:H2015)"),"")</f>
        <v/>
      </c>
      <c r="M2015" s="80" t="str">
        <f t="shared" si="2"/>
        <v/>
      </c>
    </row>
    <row r="2016">
      <c r="A2016" s="86"/>
      <c r="B2016" s="73"/>
      <c r="C2016" s="73"/>
      <c r="D2016" s="73"/>
      <c r="E2016" s="88"/>
      <c r="F2016" s="73"/>
      <c r="G2016" s="394"/>
      <c r="H2016" s="73"/>
      <c r="I2016" s="88"/>
      <c r="J2016" s="410"/>
      <c r="K2016" s="393">
        <f t="shared" si="8"/>
        <v>1</v>
      </c>
      <c r="L2016" s="394" t="str">
        <f>IFERROR(__xludf.DUMMYFUNCTION("JOIN("""", G2016:H2016)"),"")</f>
        <v/>
      </c>
      <c r="M2016" s="80" t="str">
        <f t="shared" si="2"/>
        <v/>
      </c>
    </row>
    <row r="2017">
      <c r="A2017" s="86"/>
      <c r="B2017" s="73"/>
      <c r="C2017" s="73"/>
      <c r="D2017" s="73"/>
      <c r="E2017" s="88"/>
      <c r="F2017" s="73"/>
      <c r="G2017" s="394"/>
      <c r="H2017" s="73"/>
      <c r="I2017" s="88"/>
      <c r="J2017" s="410"/>
      <c r="K2017" s="393">
        <f t="shared" si="8"/>
        <v>1</v>
      </c>
      <c r="L2017" s="394" t="str">
        <f>IFERROR(__xludf.DUMMYFUNCTION("JOIN("""", G2017:H2017)"),"")</f>
        <v/>
      </c>
      <c r="M2017" s="80" t="str">
        <f t="shared" si="2"/>
        <v/>
      </c>
    </row>
    <row r="2018">
      <c r="A2018" s="86"/>
      <c r="B2018" s="73"/>
      <c r="C2018" s="73"/>
      <c r="D2018" s="73"/>
      <c r="E2018" s="88"/>
      <c r="F2018" s="73"/>
      <c r="G2018" s="394"/>
      <c r="H2018" s="73"/>
      <c r="I2018" s="88"/>
      <c r="J2018" s="410"/>
      <c r="K2018" s="393">
        <f t="shared" si="8"/>
        <v>1</v>
      </c>
      <c r="L2018" s="394" t="str">
        <f>IFERROR(__xludf.DUMMYFUNCTION("JOIN("""", G2018:H2018)"),"")</f>
        <v/>
      </c>
      <c r="M2018" s="80" t="str">
        <f t="shared" si="2"/>
        <v/>
      </c>
    </row>
    <row r="2019">
      <c r="A2019" s="86"/>
      <c r="B2019" s="73"/>
      <c r="C2019" s="73"/>
      <c r="D2019" s="73"/>
      <c r="E2019" s="88"/>
      <c r="F2019" s="73"/>
      <c r="G2019" s="394"/>
      <c r="H2019" s="73"/>
      <c r="I2019" s="88"/>
      <c r="J2019" s="410"/>
      <c r="K2019" s="393">
        <f t="shared" si="8"/>
        <v>1</v>
      </c>
      <c r="L2019" s="394" t="str">
        <f>IFERROR(__xludf.DUMMYFUNCTION("JOIN("""", G2019:H2019)"),"")</f>
        <v/>
      </c>
      <c r="M2019" s="80" t="str">
        <f t="shared" si="2"/>
        <v/>
      </c>
    </row>
    <row r="2020">
      <c r="A2020" s="86"/>
      <c r="B2020" s="73"/>
      <c r="C2020" s="73"/>
      <c r="D2020" s="73"/>
      <c r="E2020" s="88"/>
      <c r="F2020" s="73"/>
      <c r="G2020" s="394"/>
      <c r="H2020" s="73"/>
      <c r="I2020" s="88"/>
      <c r="J2020" s="410"/>
      <c r="K2020" s="393">
        <f t="shared" si="8"/>
        <v>1</v>
      </c>
      <c r="L2020" s="394" t="str">
        <f>IFERROR(__xludf.DUMMYFUNCTION("JOIN("""", G2020:H2020)"),"")</f>
        <v/>
      </c>
      <c r="M2020" s="80" t="str">
        <f t="shared" si="2"/>
        <v/>
      </c>
    </row>
    <row r="2021">
      <c r="A2021" s="86"/>
      <c r="B2021" s="73"/>
      <c r="C2021" s="73"/>
      <c r="D2021" s="73"/>
      <c r="E2021" s="88"/>
      <c r="F2021" s="73"/>
      <c r="G2021" s="394"/>
      <c r="H2021" s="73"/>
      <c r="I2021" s="88"/>
      <c r="J2021" s="410"/>
      <c r="K2021" s="393">
        <f t="shared" si="8"/>
        <v>1</v>
      </c>
      <c r="L2021" s="394" t="str">
        <f>IFERROR(__xludf.DUMMYFUNCTION("JOIN("""", G2021:H2021)"),"")</f>
        <v/>
      </c>
      <c r="M2021" s="80" t="str">
        <f t="shared" si="2"/>
        <v/>
      </c>
    </row>
    <row r="2022">
      <c r="A2022" s="86"/>
      <c r="B2022" s="73"/>
      <c r="C2022" s="73"/>
      <c r="D2022" s="73"/>
      <c r="E2022" s="88"/>
      <c r="F2022" s="73"/>
      <c r="G2022" s="394"/>
      <c r="H2022" s="73"/>
      <c r="I2022" s="88"/>
      <c r="J2022" s="410"/>
      <c r="K2022" s="393">
        <f t="shared" si="8"/>
        <v>1</v>
      </c>
      <c r="L2022" s="394" t="str">
        <f>IFERROR(__xludf.DUMMYFUNCTION("JOIN("""", G2022:H2022)"),"")</f>
        <v/>
      </c>
      <c r="M2022" s="80" t="str">
        <f t="shared" si="2"/>
        <v/>
      </c>
    </row>
    <row r="2023">
      <c r="A2023" s="86"/>
      <c r="B2023" s="73"/>
      <c r="C2023" s="73"/>
      <c r="D2023" s="73"/>
      <c r="E2023" s="88"/>
      <c r="F2023" s="73"/>
      <c r="G2023" s="394"/>
      <c r="H2023" s="73"/>
      <c r="I2023" s="88"/>
      <c r="J2023" s="410"/>
      <c r="K2023" s="393">
        <f t="shared" si="8"/>
        <v>1</v>
      </c>
      <c r="L2023" s="394" t="str">
        <f>IFERROR(__xludf.DUMMYFUNCTION("JOIN("""", G2023:H2023)"),"")</f>
        <v/>
      </c>
      <c r="M2023" s="80" t="str">
        <f t="shared" si="2"/>
        <v/>
      </c>
    </row>
    <row r="2024">
      <c r="A2024" s="86"/>
      <c r="B2024" s="73"/>
      <c r="C2024" s="73"/>
      <c r="D2024" s="73"/>
      <c r="E2024" s="88"/>
      <c r="F2024" s="73"/>
      <c r="G2024" s="394"/>
      <c r="H2024" s="73"/>
      <c r="I2024" s="88"/>
      <c r="J2024" s="410"/>
      <c r="K2024" s="393">
        <f t="shared" si="8"/>
        <v>1</v>
      </c>
      <c r="L2024" s="394" t="str">
        <f>IFERROR(__xludf.DUMMYFUNCTION("JOIN("""", G2024:H2024)"),"")</f>
        <v/>
      </c>
      <c r="M2024" s="80" t="str">
        <f t="shared" si="2"/>
        <v/>
      </c>
    </row>
    <row r="2025">
      <c r="A2025" s="86"/>
      <c r="B2025" s="73"/>
      <c r="C2025" s="73"/>
      <c r="D2025" s="73"/>
      <c r="E2025" s="88"/>
      <c r="F2025" s="73"/>
      <c r="G2025" s="394"/>
      <c r="H2025" s="73"/>
      <c r="I2025" s="88"/>
      <c r="J2025" s="410"/>
      <c r="K2025" s="393">
        <f t="shared" si="8"/>
        <v>1</v>
      </c>
      <c r="L2025" s="394" t="str">
        <f>IFERROR(__xludf.DUMMYFUNCTION("JOIN("""", G2025:H2025)"),"")</f>
        <v/>
      </c>
      <c r="M2025" s="80" t="str">
        <f t="shared" si="2"/>
        <v/>
      </c>
    </row>
    <row r="2026">
      <c r="A2026" s="86"/>
      <c r="B2026" s="73"/>
      <c r="C2026" s="73"/>
      <c r="D2026" s="73"/>
      <c r="E2026" s="88"/>
      <c r="F2026" s="73"/>
      <c r="G2026" s="394"/>
      <c r="H2026" s="73"/>
      <c r="I2026" s="88"/>
      <c r="J2026" s="410"/>
      <c r="K2026" s="393">
        <f t="shared" si="8"/>
        <v>1</v>
      </c>
      <c r="L2026" s="394" t="str">
        <f>IFERROR(__xludf.DUMMYFUNCTION("JOIN("""", G2026:H2026)"),"")</f>
        <v/>
      </c>
      <c r="M2026" s="80" t="str">
        <f t="shared" si="2"/>
        <v/>
      </c>
    </row>
    <row r="2027">
      <c r="A2027" s="86"/>
      <c r="B2027" s="73"/>
      <c r="C2027" s="73"/>
      <c r="D2027" s="73"/>
      <c r="E2027" s="88"/>
      <c r="F2027" s="73"/>
      <c r="G2027" s="394"/>
      <c r="H2027" s="73"/>
      <c r="I2027" s="88"/>
      <c r="J2027" s="410"/>
      <c r="K2027" s="393">
        <f t="shared" si="8"/>
        <v>1</v>
      </c>
      <c r="L2027" s="394" t="str">
        <f>IFERROR(__xludf.DUMMYFUNCTION("JOIN("""", G2027:H2027)"),"")</f>
        <v/>
      </c>
      <c r="M2027" s="80" t="str">
        <f t="shared" si="2"/>
        <v/>
      </c>
    </row>
    <row r="2028">
      <c r="A2028" s="86"/>
      <c r="B2028" s="73"/>
      <c r="C2028" s="73"/>
      <c r="D2028" s="73"/>
      <c r="E2028" s="88"/>
      <c r="F2028" s="73"/>
      <c r="G2028" s="394"/>
      <c r="H2028" s="73"/>
      <c r="I2028" s="88"/>
      <c r="J2028" s="410"/>
      <c r="K2028" s="393">
        <f t="shared" si="8"/>
        <v>1</v>
      </c>
      <c r="L2028" s="394" t="str">
        <f>IFERROR(__xludf.DUMMYFUNCTION("JOIN("""", G2028:H2028)"),"")</f>
        <v/>
      </c>
      <c r="M2028" s="80" t="str">
        <f t="shared" si="2"/>
        <v/>
      </c>
    </row>
    <row r="2029">
      <c r="A2029" s="86"/>
      <c r="B2029" s="73"/>
      <c r="C2029" s="73"/>
      <c r="D2029" s="73"/>
      <c r="E2029" s="88"/>
      <c r="F2029" s="73"/>
      <c r="G2029" s="394"/>
      <c r="H2029" s="73"/>
      <c r="I2029" s="88"/>
      <c r="J2029" s="410"/>
      <c r="K2029" s="393">
        <f t="shared" si="8"/>
        <v>1</v>
      </c>
      <c r="L2029" s="394" t="str">
        <f>IFERROR(__xludf.DUMMYFUNCTION("JOIN("""", G2029:H2029)"),"")</f>
        <v/>
      </c>
      <c r="M2029" s="80" t="str">
        <f t="shared" si="2"/>
        <v/>
      </c>
    </row>
    <row r="2030">
      <c r="A2030" s="86"/>
      <c r="B2030" s="73"/>
      <c r="C2030" s="73"/>
      <c r="D2030" s="73"/>
      <c r="E2030" s="88"/>
      <c r="F2030" s="73"/>
      <c r="G2030" s="394"/>
      <c r="H2030" s="73"/>
      <c r="I2030" s="88"/>
      <c r="J2030" s="410"/>
      <c r="K2030" s="393">
        <f t="shared" si="8"/>
        <v>1</v>
      </c>
      <c r="L2030" s="394" t="str">
        <f>IFERROR(__xludf.DUMMYFUNCTION("JOIN("""", G2030:H2030)"),"")</f>
        <v/>
      </c>
      <c r="M2030" s="80" t="str">
        <f t="shared" si="2"/>
        <v/>
      </c>
    </row>
    <row r="2031">
      <c r="A2031" s="86"/>
      <c r="B2031" s="73"/>
      <c r="C2031" s="73"/>
      <c r="D2031" s="73"/>
      <c r="E2031" s="88"/>
      <c r="F2031" s="73"/>
      <c r="G2031" s="394"/>
      <c r="H2031" s="73"/>
      <c r="I2031" s="88"/>
      <c r="J2031" s="410"/>
      <c r="K2031" s="393">
        <f t="shared" si="8"/>
        <v>1</v>
      </c>
      <c r="L2031" s="394" t="str">
        <f>IFERROR(__xludf.DUMMYFUNCTION("JOIN("""", G2031:H2031)"),"")</f>
        <v/>
      </c>
      <c r="M2031" s="80" t="str">
        <f t="shared" si="2"/>
        <v/>
      </c>
    </row>
    <row r="2032">
      <c r="A2032" s="86"/>
      <c r="B2032" s="73"/>
      <c r="C2032" s="73"/>
      <c r="D2032" s="73"/>
      <c r="E2032" s="88"/>
      <c r="F2032" s="73"/>
      <c r="G2032" s="394"/>
      <c r="H2032" s="73"/>
      <c r="I2032" s="88"/>
      <c r="J2032" s="410"/>
      <c r="K2032" s="393">
        <f t="shared" si="8"/>
        <v>1</v>
      </c>
      <c r="L2032" s="394" t="str">
        <f>IFERROR(__xludf.DUMMYFUNCTION("JOIN("""", G2032:H2032)"),"")</f>
        <v/>
      </c>
      <c r="M2032" s="80" t="str">
        <f t="shared" si="2"/>
        <v/>
      </c>
    </row>
    <row r="2033">
      <c r="A2033" s="86"/>
      <c r="B2033" s="73"/>
      <c r="C2033" s="73"/>
      <c r="D2033" s="73"/>
      <c r="E2033" s="88"/>
      <c r="F2033" s="73"/>
      <c r="G2033" s="394"/>
      <c r="H2033" s="73"/>
      <c r="I2033" s="88"/>
      <c r="J2033" s="410"/>
      <c r="K2033" s="393">
        <f t="shared" si="8"/>
        <v>1</v>
      </c>
      <c r="L2033" s="394" t="str">
        <f>IFERROR(__xludf.DUMMYFUNCTION("JOIN("""", G2033:H2033)"),"")</f>
        <v/>
      </c>
      <c r="M2033" s="80" t="str">
        <f t="shared" si="2"/>
        <v/>
      </c>
    </row>
    <row r="2034">
      <c r="A2034" s="86"/>
      <c r="B2034" s="73"/>
      <c r="C2034" s="73"/>
      <c r="D2034" s="73"/>
      <c r="E2034" s="88"/>
      <c r="F2034" s="73"/>
      <c r="G2034" s="394"/>
      <c r="H2034" s="73"/>
      <c r="I2034" s="88"/>
      <c r="J2034" s="410"/>
      <c r="K2034" s="393">
        <f t="shared" si="8"/>
        <v>1</v>
      </c>
      <c r="L2034" s="394" t="str">
        <f>IFERROR(__xludf.DUMMYFUNCTION("JOIN("""", G2034:H2034)"),"")</f>
        <v/>
      </c>
      <c r="M2034" s="80" t="str">
        <f t="shared" si="2"/>
        <v/>
      </c>
    </row>
    <row r="2035">
      <c r="A2035" s="86"/>
      <c r="B2035" s="73"/>
      <c r="C2035" s="73"/>
      <c r="D2035" s="73"/>
      <c r="E2035" s="88"/>
      <c r="F2035" s="73"/>
      <c r="G2035" s="394"/>
      <c r="H2035" s="73"/>
      <c r="I2035" s="88"/>
      <c r="J2035" s="410"/>
      <c r="K2035" s="393">
        <f t="shared" si="8"/>
        <v>1</v>
      </c>
      <c r="L2035" s="394" t="str">
        <f>IFERROR(__xludf.DUMMYFUNCTION("JOIN("""", G2035:H2035)"),"")</f>
        <v/>
      </c>
      <c r="M2035" s="80" t="str">
        <f t="shared" si="2"/>
        <v/>
      </c>
    </row>
    <row r="2036">
      <c r="A2036" s="86"/>
      <c r="B2036" s="73"/>
      <c r="C2036" s="73"/>
      <c r="D2036" s="73"/>
      <c r="E2036" s="88"/>
      <c r="F2036" s="73"/>
      <c r="G2036" s="394"/>
      <c r="H2036" s="73"/>
      <c r="I2036" s="88"/>
      <c r="J2036" s="410"/>
      <c r="K2036" s="393">
        <f t="shared" si="8"/>
        <v>1</v>
      </c>
      <c r="L2036" s="394" t="str">
        <f>IFERROR(__xludf.DUMMYFUNCTION("JOIN("""", G2036:H2036)"),"")</f>
        <v/>
      </c>
      <c r="M2036" s="80" t="str">
        <f t="shared" si="2"/>
        <v/>
      </c>
    </row>
    <row r="2037">
      <c r="A2037" s="86"/>
      <c r="B2037" s="73"/>
      <c r="C2037" s="73"/>
      <c r="D2037" s="73"/>
      <c r="E2037" s="88"/>
      <c r="F2037" s="73"/>
      <c r="G2037" s="394"/>
      <c r="H2037" s="73"/>
      <c r="I2037" s="88"/>
      <c r="J2037" s="410"/>
      <c r="K2037" s="393">
        <f t="shared" si="8"/>
        <v>1</v>
      </c>
      <c r="L2037" s="394" t="str">
        <f>IFERROR(__xludf.DUMMYFUNCTION("JOIN("""", G2037:H2037)"),"")</f>
        <v/>
      </c>
      <c r="M2037" s="80" t="str">
        <f t="shared" si="2"/>
        <v/>
      </c>
    </row>
    <row r="2038">
      <c r="A2038" s="86"/>
      <c r="B2038" s="73"/>
      <c r="C2038" s="73"/>
      <c r="D2038" s="73"/>
      <c r="E2038" s="88"/>
      <c r="F2038" s="73"/>
      <c r="G2038" s="394"/>
      <c r="H2038" s="73"/>
      <c r="I2038" s="88"/>
      <c r="J2038" s="410"/>
      <c r="K2038" s="393">
        <f t="shared" si="8"/>
        <v>1</v>
      </c>
      <c r="L2038" s="394" t="str">
        <f>IFERROR(__xludf.DUMMYFUNCTION("JOIN("""", G2038:H2038)"),"")</f>
        <v/>
      </c>
      <c r="M2038" s="80" t="str">
        <f t="shared" si="2"/>
        <v/>
      </c>
    </row>
    <row r="2039">
      <c r="A2039" s="86"/>
      <c r="B2039" s="73"/>
      <c r="C2039" s="73"/>
      <c r="D2039" s="73"/>
      <c r="E2039" s="88"/>
      <c r="F2039" s="73"/>
      <c r="G2039" s="394"/>
      <c r="H2039" s="73"/>
      <c r="I2039" s="88"/>
      <c r="J2039" s="410"/>
      <c r="K2039" s="393">
        <f t="shared" si="8"/>
        <v>1</v>
      </c>
      <c r="L2039" s="394" t="str">
        <f>IFERROR(__xludf.DUMMYFUNCTION("JOIN("""", G2039:H2039)"),"")</f>
        <v/>
      </c>
      <c r="M2039" s="80" t="str">
        <f t="shared" si="2"/>
        <v/>
      </c>
    </row>
    <row r="2040">
      <c r="A2040" s="86"/>
      <c r="B2040" s="73"/>
      <c r="C2040" s="73"/>
      <c r="D2040" s="73"/>
      <c r="E2040" s="88"/>
      <c r="F2040" s="73"/>
      <c r="G2040" s="394"/>
      <c r="H2040" s="73"/>
      <c r="I2040" s="88"/>
      <c r="J2040" s="410"/>
      <c r="K2040" s="393">
        <f t="shared" si="8"/>
        <v>1</v>
      </c>
      <c r="L2040" s="394" t="str">
        <f>IFERROR(__xludf.DUMMYFUNCTION("JOIN("""", G2040:H2040)"),"")</f>
        <v/>
      </c>
      <c r="M2040" s="80" t="str">
        <f t="shared" si="2"/>
        <v/>
      </c>
    </row>
    <row r="2041">
      <c r="A2041" s="86"/>
      <c r="B2041" s="73"/>
      <c r="C2041" s="73"/>
      <c r="D2041" s="73"/>
      <c r="E2041" s="88"/>
      <c r="F2041" s="73"/>
      <c r="G2041" s="394"/>
      <c r="H2041" s="73"/>
      <c r="I2041" s="88"/>
      <c r="J2041" s="410"/>
      <c r="K2041" s="393">
        <f t="shared" si="8"/>
        <v>1</v>
      </c>
      <c r="L2041" s="394" t="str">
        <f>IFERROR(__xludf.DUMMYFUNCTION("JOIN("""", G2041:H2041)"),"")</f>
        <v/>
      </c>
      <c r="M2041" s="80" t="str">
        <f t="shared" si="2"/>
        <v/>
      </c>
    </row>
    <row r="2042">
      <c r="A2042" s="86"/>
      <c r="B2042" s="73"/>
      <c r="C2042" s="73"/>
      <c r="D2042" s="73"/>
      <c r="E2042" s="88"/>
      <c r="F2042" s="73"/>
      <c r="G2042" s="394"/>
      <c r="H2042" s="73"/>
      <c r="I2042" s="88"/>
      <c r="J2042" s="410"/>
      <c r="K2042" s="393">
        <f t="shared" si="8"/>
        <v>1</v>
      </c>
      <c r="L2042" s="394" t="str">
        <f>IFERROR(__xludf.DUMMYFUNCTION("JOIN("""", G2042:H2042)"),"")</f>
        <v/>
      </c>
      <c r="M2042" s="80" t="str">
        <f t="shared" si="2"/>
        <v/>
      </c>
    </row>
    <row r="2043">
      <c r="A2043" s="86"/>
      <c r="B2043" s="73"/>
      <c r="C2043" s="73"/>
      <c r="D2043" s="73"/>
      <c r="E2043" s="88"/>
      <c r="F2043" s="73"/>
      <c r="G2043" s="394"/>
      <c r="H2043" s="73"/>
      <c r="I2043" s="88"/>
      <c r="J2043" s="410"/>
      <c r="K2043" s="393">
        <f t="shared" si="8"/>
        <v>1</v>
      </c>
      <c r="L2043" s="394" t="str">
        <f>IFERROR(__xludf.DUMMYFUNCTION("JOIN("""", G2043:H2043)"),"")</f>
        <v/>
      </c>
      <c r="M2043" s="80" t="str">
        <f t="shared" si="2"/>
        <v/>
      </c>
    </row>
    <row r="2044">
      <c r="A2044" s="86"/>
      <c r="B2044" s="73"/>
      <c r="C2044" s="73"/>
      <c r="D2044" s="73"/>
      <c r="E2044" s="88"/>
      <c r="F2044" s="73"/>
      <c r="G2044" s="394"/>
      <c r="H2044" s="73"/>
      <c r="I2044" s="88"/>
      <c r="J2044" s="410"/>
      <c r="K2044" s="393">
        <f t="shared" si="8"/>
        <v>1</v>
      </c>
      <c r="L2044" s="394" t="str">
        <f>IFERROR(__xludf.DUMMYFUNCTION("JOIN("""", G2044:H2044)"),"")</f>
        <v/>
      </c>
      <c r="M2044" s="80" t="str">
        <f t="shared" si="2"/>
        <v/>
      </c>
    </row>
    <row r="2045">
      <c r="A2045" s="86"/>
      <c r="B2045" s="73"/>
      <c r="C2045" s="73"/>
      <c r="D2045" s="73"/>
      <c r="E2045" s="88"/>
      <c r="F2045" s="73"/>
      <c r="G2045" s="394"/>
      <c r="H2045" s="73"/>
      <c r="I2045" s="88"/>
      <c r="J2045" s="410"/>
      <c r="K2045" s="393">
        <f t="shared" si="8"/>
        <v>1</v>
      </c>
      <c r="L2045" s="394" t="str">
        <f>IFERROR(__xludf.DUMMYFUNCTION("JOIN("""", G2045:H2045)"),"")</f>
        <v/>
      </c>
      <c r="M2045" s="80" t="str">
        <f t="shared" si="2"/>
        <v/>
      </c>
    </row>
    <row r="2046">
      <c r="A2046" s="86"/>
      <c r="B2046" s="73"/>
      <c r="C2046" s="73"/>
      <c r="D2046" s="73"/>
      <c r="E2046" s="88"/>
      <c r="F2046" s="73"/>
      <c r="G2046" s="394"/>
      <c r="H2046" s="73"/>
      <c r="I2046" s="88"/>
      <c r="J2046" s="410"/>
      <c r="K2046" s="393">
        <f t="shared" si="8"/>
        <v>1</v>
      </c>
      <c r="L2046" s="394" t="str">
        <f>IFERROR(__xludf.DUMMYFUNCTION("JOIN("""", G2046:H2046)"),"")</f>
        <v/>
      </c>
      <c r="M2046" s="80" t="str">
        <f t="shared" si="2"/>
        <v/>
      </c>
    </row>
    <row r="2047">
      <c r="A2047" s="86"/>
      <c r="B2047" s="73"/>
      <c r="C2047" s="73"/>
      <c r="D2047" s="73"/>
      <c r="E2047" s="88"/>
      <c r="F2047" s="73"/>
      <c r="G2047" s="394"/>
      <c r="H2047" s="73"/>
      <c r="I2047" s="88"/>
      <c r="J2047" s="410"/>
      <c r="K2047" s="393">
        <f t="shared" si="8"/>
        <v>1</v>
      </c>
      <c r="L2047" s="394" t="str">
        <f>IFERROR(__xludf.DUMMYFUNCTION("JOIN("""", G2047:H2047)"),"")</f>
        <v/>
      </c>
      <c r="M2047" s="80" t="str">
        <f t="shared" si="2"/>
        <v/>
      </c>
    </row>
    <row r="2048">
      <c r="A2048" s="86"/>
      <c r="B2048" s="73"/>
      <c r="C2048" s="73"/>
      <c r="D2048" s="73"/>
      <c r="E2048" s="88"/>
      <c r="F2048" s="73"/>
      <c r="G2048" s="394"/>
      <c r="H2048" s="73"/>
      <c r="I2048" s="88"/>
      <c r="J2048" s="410"/>
      <c r="K2048" s="393">
        <f t="shared" si="8"/>
        <v>1</v>
      </c>
      <c r="L2048" s="394" t="str">
        <f>IFERROR(__xludf.DUMMYFUNCTION("JOIN("""", G2048:H2048)"),"")</f>
        <v/>
      </c>
      <c r="M2048" s="80" t="str">
        <f t="shared" si="2"/>
        <v/>
      </c>
    </row>
    <row r="2049">
      <c r="A2049" s="86"/>
      <c r="B2049" s="73"/>
      <c r="C2049" s="73"/>
      <c r="D2049" s="73"/>
      <c r="E2049" s="88"/>
      <c r="F2049" s="73"/>
      <c r="G2049" s="394"/>
      <c r="H2049" s="73"/>
      <c r="I2049" s="88"/>
      <c r="J2049" s="410"/>
      <c r="K2049" s="393">
        <f t="shared" si="8"/>
        <v>1</v>
      </c>
      <c r="L2049" s="394" t="str">
        <f>IFERROR(__xludf.DUMMYFUNCTION("JOIN("""", G2049:H2049)"),"")</f>
        <v/>
      </c>
      <c r="M2049" s="80" t="str">
        <f t="shared" si="2"/>
        <v/>
      </c>
    </row>
    <row r="2050">
      <c r="A2050" s="86"/>
      <c r="B2050" s="73"/>
      <c r="C2050" s="73"/>
      <c r="D2050" s="73"/>
      <c r="E2050" s="88"/>
      <c r="F2050" s="73"/>
      <c r="G2050" s="394"/>
      <c r="H2050" s="73"/>
      <c r="I2050" s="88"/>
      <c r="J2050" s="410"/>
      <c r="K2050" s="393">
        <f t="shared" si="8"/>
        <v>1</v>
      </c>
      <c r="L2050" s="394" t="str">
        <f>IFERROR(__xludf.DUMMYFUNCTION("JOIN("""", G2050:H2050)"),"")</f>
        <v/>
      </c>
      <c r="M2050" s="80" t="str">
        <f t="shared" si="2"/>
        <v/>
      </c>
    </row>
    <row r="2051">
      <c r="A2051" s="86"/>
      <c r="B2051" s="73"/>
      <c r="C2051" s="73"/>
      <c r="D2051" s="73"/>
      <c r="E2051" s="88"/>
      <c r="F2051" s="73"/>
      <c r="G2051" s="394"/>
      <c r="H2051" s="73"/>
      <c r="I2051" s="88"/>
      <c r="J2051" s="410"/>
      <c r="K2051" s="393">
        <f t="shared" si="8"/>
        <v>1</v>
      </c>
      <c r="L2051" s="394" t="str">
        <f>IFERROR(__xludf.DUMMYFUNCTION("JOIN("""", G2051:H2051)"),"")</f>
        <v/>
      </c>
      <c r="M2051" s="80" t="str">
        <f t="shared" si="2"/>
        <v/>
      </c>
    </row>
    <row r="2052">
      <c r="A2052" s="86"/>
      <c r="B2052" s="73"/>
      <c r="C2052" s="73"/>
      <c r="D2052" s="73"/>
      <c r="E2052" s="88"/>
      <c r="F2052" s="73"/>
      <c r="G2052" s="394"/>
      <c r="H2052" s="73"/>
      <c r="I2052" s="88"/>
      <c r="J2052" s="410"/>
      <c r="K2052" s="393">
        <f t="shared" si="8"/>
        <v>1</v>
      </c>
      <c r="L2052" s="394" t="str">
        <f>IFERROR(__xludf.DUMMYFUNCTION("JOIN("""", G2052:H2052)"),"")</f>
        <v/>
      </c>
      <c r="M2052" s="80" t="str">
        <f t="shared" si="2"/>
        <v/>
      </c>
    </row>
    <row r="2053">
      <c r="A2053" s="86"/>
      <c r="B2053" s="73"/>
      <c r="C2053" s="73"/>
      <c r="D2053" s="73"/>
      <c r="E2053" s="88"/>
      <c r="F2053" s="73"/>
      <c r="G2053" s="394"/>
      <c r="H2053" s="73"/>
      <c r="I2053" s="88"/>
      <c r="J2053" s="410"/>
      <c r="K2053" s="393">
        <f t="shared" si="8"/>
        <v>1</v>
      </c>
      <c r="L2053" s="394" t="str">
        <f>IFERROR(__xludf.DUMMYFUNCTION("JOIN("""", G2053:H2053)"),"")</f>
        <v/>
      </c>
      <c r="M2053" s="80" t="str">
        <f t="shared" si="2"/>
        <v/>
      </c>
    </row>
    <row r="2054">
      <c r="A2054" s="86"/>
      <c r="B2054" s="73"/>
      <c r="C2054" s="73"/>
      <c r="D2054" s="73"/>
      <c r="E2054" s="88"/>
      <c r="F2054" s="73"/>
      <c r="G2054" s="394"/>
      <c r="H2054" s="73"/>
      <c r="I2054" s="88"/>
      <c r="J2054" s="410"/>
      <c r="K2054" s="393">
        <f t="shared" si="8"/>
        <v>1</v>
      </c>
      <c r="L2054" s="394" t="str">
        <f>IFERROR(__xludf.DUMMYFUNCTION("JOIN("""", G2054:H2054)"),"")</f>
        <v/>
      </c>
      <c r="M2054" s="80" t="str">
        <f t="shared" si="2"/>
        <v/>
      </c>
    </row>
    <row r="2055">
      <c r="A2055" s="86"/>
      <c r="B2055" s="73"/>
      <c r="C2055" s="73"/>
      <c r="D2055" s="73"/>
      <c r="E2055" s="88"/>
      <c r="F2055" s="73"/>
      <c r="G2055" s="394"/>
      <c r="H2055" s="73"/>
      <c r="I2055" s="88"/>
      <c r="J2055" s="410"/>
      <c r="K2055" s="393">
        <f t="shared" si="8"/>
        <v>1</v>
      </c>
      <c r="L2055" s="394" t="str">
        <f>IFERROR(__xludf.DUMMYFUNCTION("JOIN("""", G2055:H2055)"),"")</f>
        <v/>
      </c>
      <c r="M2055" s="80" t="str">
        <f t="shared" si="2"/>
        <v/>
      </c>
    </row>
    <row r="2056">
      <c r="A2056" s="86"/>
      <c r="B2056" s="73"/>
      <c r="C2056" s="73"/>
      <c r="D2056" s="73"/>
      <c r="E2056" s="88"/>
      <c r="F2056" s="73"/>
      <c r="G2056" s="394"/>
      <c r="H2056" s="73"/>
      <c r="I2056" s="88"/>
      <c r="J2056" s="410"/>
      <c r="K2056" s="393">
        <f t="shared" si="8"/>
        <v>1</v>
      </c>
      <c r="L2056" s="394" t="str">
        <f>IFERROR(__xludf.DUMMYFUNCTION("JOIN("""", G2056:H2056)"),"")</f>
        <v/>
      </c>
      <c r="M2056" s="80" t="str">
        <f t="shared" si="2"/>
        <v/>
      </c>
    </row>
    <row r="2057">
      <c r="A2057" s="86"/>
      <c r="B2057" s="73"/>
      <c r="C2057" s="73"/>
      <c r="D2057" s="73"/>
      <c r="E2057" s="88"/>
      <c r="F2057" s="73"/>
      <c r="G2057" s="394"/>
      <c r="H2057" s="73"/>
      <c r="I2057" s="88"/>
      <c r="J2057" s="410"/>
      <c r="K2057" s="393">
        <f t="shared" si="8"/>
        <v>1</v>
      </c>
      <c r="L2057" s="394" t="str">
        <f>IFERROR(__xludf.DUMMYFUNCTION("JOIN("""", G2057:H2057)"),"")</f>
        <v/>
      </c>
      <c r="M2057" s="80" t="str">
        <f t="shared" si="2"/>
        <v/>
      </c>
    </row>
    <row r="2058">
      <c r="A2058" s="86"/>
      <c r="B2058" s="73"/>
      <c r="C2058" s="73"/>
      <c r="D2058" s="73"/>
      <c r="E2058" s="88"/>
      <c r="F2058" s="73"/>
      <c r="G2058" s="394"/>
      <c r="H2058" s="73"/>
      <c r="I2058" s="88"/>
      <c r="J2058" s="410"/>
      <c r="K2058" s="393">
        <f t="shared" si="8"/>
        <v>1</v>
      </c>
      <c r="L2058" s="394" t="str">
        <f>IFERROR(__xludf.DUMMYFUNCTION("JOIN("""", G2058:H2058)"),"")</f>
        <v/>
      </c>
      <c r="M2058" s="80" t="str">
        <f t="shared" si="2"/>
        <v/>
      </c>
    </row>
    <row r="2059">
      <c r="A2059" s="86"/>
      <c r="B2059" s="73"/>
      <c r="C2059" s="73"/>
      <c r="D2059" s="73"/>
      <c r="E2059" s="88"/>
      <c r="F2059" s="73"/>
      <c r="G2059" s="394"/>
      <c r="H2059" s="73"/>
      <c r="I2059" s="88"/>
      <c r="J2059" s="410"/>
      <c r="K2059" s="393">
        <f t="shared" si="8"/>
        <v>1</v>
      </c>
      <c r="L2059" s="394" t="str">
        <f>IFERROR(__xludf.DUMMYFUNCTION("JOIN("""", G2059:H2059)"),"")</f>
        <v/>
      </c>
      <c r="M2059" s="80" t="str">
        <f t="shared" si="2"/>
        <v/>
      </c>
    </row>
    <row r="2060">
      <c r="A2060" s="86"/>
      <c r="B2060" s="73"/>
      <c r="C2060" s="73"/>
      <c r="D2060" s="73"/>
      <c r="E2060" s="88"/>
      <c r="F2060" s="73"/>
      <c r="G2060" s="394"/>
      <c r="H2060" s="73"/>
      <c r="I2060" s="88"/>
      <c r="J2060" s="410"/>
      <c r="K2060" s="393">
        <f t="shared" si="8"/>
        <v>1</v>
      </c>
      <c r="L2060" s="394" t="str">
        <f>IFERROR(__xludf.DUMMYFUNCTION("JOIN("""", G2060:H2060)"),"")</f>
        <v/>
      </c>
      <c r="M2060" s="80" t="str">
        <f t="shared" si="2"/>
        <v/>
      </c>
    </row>
    <row r="2061">
      <c r="A2061" s="86"/>
      <c r="B2061" s="73"/>
      <c r="C2061" s="73"/>
      <c r="D2061" s="73"/>
      <c r="E2061" s="88"/>
      <c r="F2061" s="73"/>
      <c r="G2061" s="394"/>
      <c r="H2061" s="73"/>
      <c r="I2061" s="88"/>
      <c r="J2061" s="410"/>
      <c r="K2061" s="393">
        <f t="shared" si="8"/>
        <v>1</v>
      </c>
      <c r="L2061" s="394" t="str">
        <f>IFERROR(__xludf.DUMMYFUNCTION("JOIN("""", G2061:H2061)"),"")</f>
        <v/>
      </c>
      <c r="M2061" s="80" t="str">
        <f t="shared" si="2"/>
        <v/>
      </c>
    </row>
    <row r="2062">
      <c r="A2062" s="86"/>
      <c r="B2062" s="73"/>
      <c r="C2062" s="73"/>
      <c r="D2062" s="73"/>
      <c r="E2062" s="88"/>
      <c r="F2062" s="73"/>
      <c r="G2062" s="394"/>
      <c r="H2062" s="73"/>
      <c r="I2062" s="88"/>
      <c r="J2062" s="410"/>
      <c r="K2062" s="393">
        <f t="shared" si="8"/>
        <v>1</v>
      </c>
      <c r="L2062" s="394" t="str">
        <f>IFERROR(__xludf.DUMMYFUNCTION("JOIN("""", G2062:H2062)"),"")</f>
        <v/>
      </c>
      <c r="M2062" s="80" t="str">
        <f t="shared" si="2"/>
        <v/>
      </c>
    </row>
    <row r="2063">
      <c r="A2063" s="86"/>
      <c r="B2063" s="73"/>
      <c r="C2063" s="73"/>
      <c r="D2063" s="73"/>
      <c r="E2063" s="88"/>
      <c r="F2063" s="73"/>
      <c r="G2063" s="394"/>
      <c r="H2063" s="73"/>
      <c r="I2063" s="88"/>
      <c r="J2063" s="410"/>
      <c r="K2063" s="393">
        <f t="shared" si="8"/>
        <v>1</v>
      </c>
      <c r="L2063" s="394" t="str">
        <f>IFERROR(__xludf.DUMMYFUNCTION("JOIN("""", G2063:H2063)"),"")</f>
        <v/>
      </c>
      <c r="M2063" s="80" t="str">
        <f t="shared" si="2"/>
        <v/>
      </c>
    </row>
    <row r="2064">
      <c r="A2064" s="86"/>
      <c r="B2064" s="73"/>
      <c r="C2064" s="73"/>
      <c r="D2064" s="73"/>
      <c r="E2064" s="88"/>
      <c r="F2064" s="73"/>
      <c r="G2064" s="394"/>
      <c r="H2064" s="73"/>
      <c r="I2064" s="88"/>
      <c r="J2064" s="410"/>
      <c r="K2064" s="393">
        <f t="shared" si="8"/>
        <v>1</v>
      </c>
      <c r="L2064" s="394" t="str">
        <f>IFERROR(__xludf.DUMMYFUNCTION("JOIN("""", G2064:H2064)"),"")</f>
        <v/>
      </c>
      <c r="M2064" s="80" t="str">
        <f t="shared" si="2"/>
        <v/>
      </c>
    </row>
    <row r="2065">
      <c r="A2065" s="86"/>
      <c r="B2065" s="73"/>
      <c r="C2065" s="73"/>
      <c r="D2065" s="73"/>
      <c r="E2065" s="88"/>
      <c r="F2065" s="73"/>
      <c r="G2065" s="394"/>
      <c r="H2065" s="73"/>
      <c r="I2065" s="88"/>
      <c r="J2065" s="410"/>
      <c r="K2065" s="393">
        <f t="shared" si="8"/>
        <v>1</v>
      </c>
      <c r="L2065" s="394" t="str">
        <f>IFERROR(__xludf.DUMMYFUNCTION("JOIN("""", G2065:H2065)"),"")</f>
        <v/>
      </c>
      <c r="M2065" s="80" t="str">
        <f t="shared" si="2"/>
        <v/>
      </c>
    </row>
    <row r="2066">
      <c r="A2066" s="86"/>
      <c r="B2066" s="73"/>
      <c r="C2066" s="73"/>
      <c r="D2066" s="73"/>
      <c r="E2066" s="88"/>
      <c r="F2066" s="73"/>
      <c r="G2066" s="394"/>
      <c r="H2066" s="73"/>
      <c r="I2066" s="88"/>
      <c r="J2066" s="410"/>
      <c r="K2066" s="393">
        <f t="shared" si="8"/>
        <v>1</v>
      </c>
      <c r="L2066" s="394" t="str">
        <f>IFERROR(__xludf.DUMMYFUNCTION("JOIN("""", G2066:H2066)"),"")</f>
        <v/>
      </c>
      <c r="M2066" s="80" t="str">
        <f t="shared" si="2"/>
        <v/>
      </c>
    </row>
    <row r="2067">
      <c r="A2067" s="86"/>
      <c r="B2067" s="73"/>
      <c r="C2067" s="73"/>
      <c r="D2067" s="73"/>
      <c r="E2067" s="88"/>
      <c r="F2067" s="73"/>
      <c r="G2067" s="394"/>
      <c r="H2067" s="73"/>
      <c r="I2067" s="88"/>
      <c r="J2067" s="410"/>
      <c r="K2067" s="393">
        <f t="shared" si="8"/>
        <v>1</v>
      </c>
      <c r="L2067" s="394" t="str">
        <f>IFERROR(__xludf.DUMMYFUNCTION("JOIN("""", G2067:H2067)"),"")</f>
        <v/>
      </c>
      <c r="M2067" s="80" t="str">
        <f t="shared" si="2"/>
        <v/>
      </c>
    </row>
    <row r="2068">
      <c r="A2068" s="86"/>
      <c r="B2068" s="73"/>
      <c r="C2068" s="73"/>
      <c r="D2068" s="73"/>
      <c r="E2068" s="88"/>
      <c r="F2068" s="73"/>
      <c r="G2068" s="394"/>
      <c r="H2068" s="73"/>
      <c r="I2068" s="88"/>
      <c r="J2068" s="410"/>
      <c r="K2068" s="393">
        <f t="shared" si="8"/>
        <v>1</v>
      </c>
      <c r="L2068" s="394" t="str">
        <f>IFERROR(__xludf.DUMMYFUNCTION("JOIN("""", G2068:H2068)"),"")</f>
        <v/>
      </c>
      <c r="M2068" s="80" t="str">
        <f t="shared" si="2"/>
        <v/>
      </c>
    </row>
    <row r="2069">
      <c r="A2069" s="86"/>
      <c r="B2069" s="73"/>
      <c r="C2069" s="73"/>
      <c r="D2069" s="73"/>
      <c r="E2069" s="88"/>
      <c r="F2069" s="73"/>
      <c r="G2069" s="394"/>
      <c r="H2069" s="73"/>
      <c r="I2069" s="88"/>
      <c r="J2069" s="410"/>
      <c r="K2069" s="393">
        <f t="shared" si="8"/>
        <v>1</v>
      </c>
      <c r="L2069" s="394" t="str">
        <f>IFERROR(__xludf.DUMMYFUNCTION("JOIN("""", G2069:H2069)"),"")</f>
        <v/>
      </c>
      <c r="M2069" s="80" t="str">
        <f t="shared" si="2"/>
        <v/>
      </c>
    </row>
    <row r="2070">
      <c r="A2070" s="86"/>
      <c r="B2070" s="73"/>
      <c r="C2070" s="73"/>
      <c r="D2070" s="73"/>
      <c r="E2070" s="88"/>
      <c r="F2070" s="73"/>
      <c r="G2070" s="394"/>
      <c r="H2070" s="73"/>
      <c r="I2070" s="88"/>
      <c r="J2070" s="410"/>
      <c r="K2070" s="393">
        <f t="shared" si="8"/>
        <v>1</v>
      </c>
      <c r="L2070" s="394" t="str">
        <f>IFERROR(__xludf.DUMMYFUNCTION("JOIN("""", G2070:H2070)"),"")</f>
        <v/>
      </c>
      <c r="M2070" s="80" t="str">
        <f t="shared" si="2"/>
        <v/>
      </c>
    </row>
    <row r="2071">
      <c r="A2071" s="86"/>
      <c r="B2071" s="73"/>
      <c r="C2071" s="73"/>
      <c r="D2071" s="73"/>
      <c r="E2071" s="88"/>
      <c r="F2071" s="73"/>
      <c r="G2071" s="394"/>
      <c r="H2071" s="73"/>
      <c r="I2071" s="88"/>
      <c r="J2071" s="410"/>
      <c r="K2071" s="393">
        <f t="shared" si="8"/>
        <v>1</v>
      </c>
      <c r="L2071" s="394" t="str">
        <f>IFERROR(__xludf.DUMMYFUNCTION("JOIN("""", G2071:H2071)"),"")</f>
        <v/>
      </c>
      <c r="M2071" s="80" t="str">
        <f t="shared" si="2"/>
        <v/>
      </c>
    </row>
    <row r="2072">
      <c r="A2072" s="86"/>
      <c r="B2072" s="73"/>
      <c r="C2072" s="73"/>
      <c r="D2072" s="73"/>
      <c r="E2072" s="88"/>
      <c r="F2072" s="73"/>
      <c r="G2072" s="394"/>
      <c r="H2072" s="73"/>
      <c r="I2072" s="88"/>
      <c r="J2072" s="410"/>
      <c r="K2072" s="393">
        <f t="shared" si="8"/>
        <v>1</v>
      </c>
      <c r="L2072" s="394" t="str">
        <f>IFERROR(__xludf.DUMMYFUNCTION("JOIN("""", G2072:H2072)"),"")</f>
        <v/>
      </c>
      <c r="M2072" s="80" t="str">
        <f t="shared" si="2"/>
        <v/>
      </c>
    </row>
    <row r="2073">
      <c r="A2073" s="86"/>
      <c r="B2073" s="73"/>
      <c r="C2073" s="73"/>
      <c r="D2073" s="73"/>
      <c r="E2073" s="88"/>
      <c r="F2073" s="73"/>
      <c r="G2073" s="394"/>
      <c r="H2073" s="73"/>
      <c r="I2073" s="88"/>
      <c r="J2073" s="410"/>
      <c r="K2073" s="393">
        <f t="shared" si="8"/>
        <v>1</v>
      </c>
      <c r="L2073" s="394" t="str">
        <f>IFERROR(__xludf.DUMMYFUNCTION("JOIN("""", G2073:H2073)"),"")</f>
        <v/>
      </c>
      <c r="M2073" s="80" t="str">
        <f t="shared" si="2"/>
        <v/>
      </c>
    </row>
    <row r="2074">
      <c r="A2074" s="86"/>
      <c r="B2074" s="73"/>
      <c r="C2074" s="73"/>
      <c r="D2074" s="73"/>
      <c r="E2074" s="88"/>
      <c r="F2074" s="73"/>
      <c r="G2074" s="394"/>
      <c r="H2074" s="73"/>
      <c r="I2074" s="88"/>
      <c r="J2074" s="410"/>
      <c r="K2074" s="393">
        <f t="shared" si="8"/>
        <v>1</v>
      </c>
      <c r="L2074" s="394" t="str">
        <f>IFERROR(__xludf.DUMMYFUNCTION("JOIN("""", G2074:H2074)"),"")</f>
        <v/>
      </c>
      <c r="M2074" s="80" t="str">
        <f t="shared" si="2"/>
        <v/>
      </c>
    </row>
    <row r="2075">
      <c r="A2075" s="86"/>
      <c r="B2075" s="73"/>
      <c r="C2075" s="73"/>
      <c r="D2075" s="73"/>
      <c r="E2075" s="88"/>
      <c r="F2075" s="73"/>
      <c r="G2075" s="394"/>
      <c r="H2075" s="73"/>
      <c r="I2075" s="88"/>
      <c r="J2075" s="410"/>
      <c r="K2075" s="393">
        <f t="shared" si="8"/>
        <v>1</v>
      </c>
      <c r="L2075" s="394" t="str">
        <f>IFERROR(__xludf.DUMMYFUNCTION("JOIN("""", G2075:H2075)"),"")</f>
        <v/>
      </c>
      <c r="M2075" s="80" t="str">
        <f t="shared" si="2"/>
        <v/>
      </c>
    </row>
    <row r="2076">
      <c r="A2076" s="86"/>
      <c r="B2076" s="73"/>
      <c r="C2076" s="73"/>
      <c r="D2076" s="73"/>
      <c r="E2076" s="88"/>
      <c r="F2076" s="73"/>
      <c r="G2076" s="394"/>
      <c r="H2076" s="73"/>
      <c r="I2076" s="88"/>
      <c r="J2076" s="410"/>
      <c r="K2076" s="393">
        <f t="shared" si="8"/>
        <v>1</v>
      </c>
      <c r="L2076" s="394" t="str">
        <f>IFERROR(__xludf.DUMMYFUNCTION("JOIN("""", G2076:H2076)"),"")</f>
        <v/>
      </c>
      <c r="M2076" s="80" t="str">
        <f t="shared" si="2"/>
        <v/>
      </c>
    </row>
    <row r="2077">
      <c r="A2077" s="86"/>
      <c r="B2077" s="73"/>
      <c r="C2077" s="73"/>
      <c r="D2077" s="73"/>
      <c r="E2077" s="88"/>
      <c r="F2077" s="73"/>
      <c r="G2077" s="394"/>
      <c r="H2077" s="73"/>
      <c r="I2077" s="88"/>
      <c r="J2077" s="410"/>
      <c r="K2077" s="393">
        <f t="shared" si="8"/>
        <v>1</v>
      </c>
      <c r="L2077" s="394" t="str">
        <f>IFERROR(__xludf.DUMMYFUNCTION("JOIN("""", G2077:H2077)"),"")</f>
        <v/>
      </c>
      <c r="M2077" s="80" t="str">
        <f t="shared" si="2"/>
        <v/>
      </c>
    </row>
    <row r="2078">
      <c r="A2078" s="86"/>
      <c r="B2078" s="73"/>
      <c r="C2078" s="73"/>
      <c r="D2078" s="73"/>
      <c r="E2078" s="88"/>
      <c r="F2078" s="73"/>
      <c r="G2078" s="394"/>
      <c r="H2078" s="73"/>
      <c r="I2078" s="88"/>
      <c r="J2078" s="410"/>
      <c r="K2078" s="393">
        <f t="shared" si="8"/>
        <v>1</v>
      </c>
      <c r="L2078" s="394" t="str">
        <f>IFERROR(__xludf.DUMMYFUNCTION("JOIN("""", G2078:H2078)"),"")</f>
        <v/>
      </c>
      <c r="M2078" s="80" t="str">
        <f t="shared" si="2"/>
        <v/>
      </c>
    </row>
    <row r="2079">
      <c r="A2079" s="86"/>
      <c r="B2079" s="73"/>
      <c r="C2079" s="73"/>
      <c r="D2079" s="73"/>
      <c r="E2079" s="88"/>
      <c r="F2079" s="73"/>
      <c r="G2079" s="394"/>
      <c r="H2079" s="73"/>
      <c r="I2079" s="88"/>
      <c r="J2079" s="410"/>
      <c r="K2079" s="393">
        <f t="shared" si="8"/>
        <v>1</v>
      </c>
      <c r="L2079" s="394" t="str">
        <f>IFERROR(__xludf.DUMMYFUNCTION("JOIN("""", G2079:H2079)"),"")</f>
        <v/>
      </c>
      <c r="M2079" s="80" t="str">
        <f t="shared" si="2"/>
        <v/>
      </c>
    </row>
    <row r="2080">
      <c r="A2080" s="86"/>
      <c r="B2080" s="73"/>
      <c r="C2080" s="73"/>
      <c r="D2080" s="73"/>
      <c r="E2080" s="88"/>
      <c r="F2080" s="73"/>
      <c r="G2080" s="394"/>
      <c r="H2080" s="73"/>
      <c r="I2080" s="88"/>
      <c r="J2080" s="410"/>
      <c r="K2080" s="393">
        <f t="shared" si="8"/>
        <v>1</v>
      </c>
      <c r="L2080" s="394" t="str">
        <f>IFERROR(__xludf.DUMMYFUNCTION("JOIN("""", G2080:H2080)"),"")</f>
        <v/>
      </c>
      <c r="M2080" s="80" t="str">
        <f t="shared" si="2"/>
        <v/>
      </c>
    </row>
    <row r="2081">
      <c r="A2081" s="86"/>
      <c r="B2081" s="73"/>
      <c r="C2081" s="73"/>
      <c r="D2081" s="73"/>
      <c r="E2081" s="88"/>
      <c r="F2081" s="73"/>
      <c r="G2081" s="394"/>
      <c r="H2081" s="73"/>
      <c r="I2081" s="88"/>
      <c r="J2081" s="410"/>
      <c r="K2081" s="393">
        <f t="shared" si="8"/>
        <v>1</v>
      </c>
      <c r="L2081" s="394" t="str">
        <f>IFERROR(__xludf.DUMMYFUNCTION("JOIN("""", G2081:H2081)"),"")</f>
        <v/>
      </c>
      <c r="M2081" s="80" t="str">
        <f t="shared" si="2"/>
        <v/>
      </c>
    </row>
    <row r="2082">
      <c r="A2082" s="86"/>
      <c r="B2082" s="73"/>
      <c r="C2082" s="73"/>
      <c r="D2082" s="73"/>
      <c r="E2082" s="88"/>
      <c r="F2082" s="73"/>
      <c r="G2082" s="394"/>
      <c r="H2082" s="73"/>
      <c r="I2082" s="88"/>
      <c r="J2082" s="410"/>
      <c r="K2082" s="393">
        <f t="shared" si="8"/>
        <v>1</v>
      </c>
      <c r="L2082" s="394" t="str">
        <f>IFERROR(__xludf.DUMMYFUNCTION("JOIN("""", G2082:H2082)"),"")</f>
        <v/>
      </c>
      <c r="M2082" s="80" t="str">
        <f t="shared" si="2"/>
        <v/>
      </c>
    </row>
    <row r="2083">
      <c r="A2083" s="86"/>
      <c r="B2083" s="73"/>
      <c r="C2083" s="73"/>
      <c r="D2083" s="73"/>
      <c r="E2083" s="88"/>
      <c r="F2083" s="73"/>
      <c r="G2083" s="394"/>
      <c r="H2083" s="73"/>
      <c r="I2083" s="88"/>
      <c r="J2083" s="410"/>
      <c r="K2083" s="393">
        <f t="shared" si="8"/>
        <v>1</v>
      </c>
      <c r="L2083" s="394" t="str">
        <f>IFERROR(__xludf.DUMMYFUNCTION("JOIN("""", G2083:H2083)"),"")</f>
        <v/>
      </c>
      <c r="M2083" s="80" t="str">
        <f t="shared" si="2"/>
        <v/>
      </c>
    </row>
    <row r="2084">
      <c r="A2084" s="86"/>
      <c r="B2084" s="73"/>
      <c r="C2084" s="73"/>
      <c r="D2084" s="73"/>
      <c r="E2084" s="88"/>
      <c r="F2084" s="73"/>
      <c r="G2084" s="394"/>
      <c r="H2084" s="73"/>
      <c r="I2084" s="88"/>
      <c r="J2084" s="410"/>
      <c r="K2084" s="393">
        <f t="shared" si="8"/>
        <v>1</v>
      </c>
      <c r="L2084" s="394" t="str">
        <f>IFERROR(__xludf.DUMMYFUNCTION("JOIN("""", G2084:H2084)"),"")</f>
        <v/>
      </c>
      <c r="M2084" s="80" t="str">
        <f t="shared" si="2"/>
        <v/>
      </c>
    </row>
    <row r="2085">
      <c r="A2085" s="86"/>
      <c r="B2085" s="73"/>
      <c r="C2085" s="73"/>
      <c r="D2085" s="73"/>
      <c r="E2085" s="88"/>
      <c r="F2085" s="73"/>
      <c r="G2085" s="394"/>
      <c r="H2085" s="73"/>
      <c r="I2085" s="88"/>
      <c r="J2085" s="410"/>
      <c r="K2085" s="393">
        <f t="shared" si="8"/>
        <v>1</v>
      </c>
      <c r="L2085" s="394" t="str">
        <f>IFERROR(__xludf.DUMMYFUNCTION("JOIN("""", G2085:H2085)"),"")</f>
        <v/>
      </c>
      <c r="M2085" s="80" t="str">
        <f t="shared" si="2"/>
        <v/>
      </c>
    </row>
    <row r="2086">
      <c r="A2086" s="86"/>
      <c r="B2086" s="73"/>
      <c r="C2086" s="73"/>
      <c r="D2086" s="73"/>
      <c r="E2086" s="88"/>
      <c r="F2086" s="73"/>
      <c r="G2086" s="394"/>
      <c r="H2086" s="73"/>
      <c r="I2086" s="88"/>
      <c r="J2086" s="410"/>
      <c r="K2086" s="393">
        <f t="shared" si="8"/>
        <v>1</v>
      </c>
      <c r="L2086" s="394" t="str">
        <f>IFERROR(__xludf.DUMMYFUNCTION("JOIN("""", G2086:H2086)"),"")</f>
        <v/>
      </c>
      <c r="M2086" s="80" t="str">
        <f t="shared" si="2"/>
        <v/>
      </c>
    </row>
    <row r="2087">
      <c r="A2087" s="86"/>
      <c r="B2087" s="73"/>
      <c r="C2087" s="73"/>
      <c r="D2087" s="73"/>
      <c r="E2087" s="88"/>
      <c r="F2087" s="73"/>
      <c r="G2087" s="394"/>
      <c r="H2087" s="73"/>
      <c r="I2087" s="88"/>
      <c r="J2087" s="410"/>
      <c r="K2087" s="393">
        <f t="shared" si="8"/>
        <v>1</v>
      </c>
      <c r="L2087" s="394" t="str">
        <f>IFERROR(__xludf.DUMMYFUNCTION("JOIN("""", G2087:H2087)"),"")</f>
        <v/>
      </c>
      <c r="M2087" s="80" t="str">
        <f t="shared" si="2"/>
        <v/>
      </c>
    </row>
    <row r="2088">
      <c r="A2088" s="86"/>
      <c r="B2088" s="73"/>
      <c r="C2088" s="73"/>
      <c r="D2088" s="73"/>
      <c r="E2088" s="88"/>
      <c r="F2088" s="73"/>
      <c r="G2088" s="394"/>
      <c r="H2088" s="73"/>
      <c r="I2088" s="88"/>
      <c r="J2088" s="410"/>
      <c r="K2088" s="393">
        <f t="shared" si="8"/>
        <v>1</v>
      </c>
      <c r="L2088" s="394" t="str">
        <f>IFERROR(__xludf.DUMMYFUNCTION("JOIN("""", G2088:H2088)"),"")</f>
        <v/>
      </c>
      <c r="M2088" s="80" t="str">
        <f t="shared" si="2"/>
        <v/>
      </c>
    </row>
    <row r="2089">
      <c r="A2089" s="86"/>
      <c r="B2089" s="73"/>
      <c r="C2089" s="73"/>
      <c r="D2089" s="73"/>
      <c r="E2089" s="88"/>
      <c r="F2089" s="73"/>
      <c r="G2089" s="394"/>
      <c r="H2089" s="73"/>
      <c r="I2089" s="88"/>
      <c r="J2089" s="410"/>
      <c r="K2089" s="393">
        <f t="shared" si="8"/>
        <v>1</v>
      </c>
      <c r="L2089" s="394" t="str">
        <f>IFERROR(__xludf.DUMMYFUNCTION("JOIN("""", G2089:H2089)"),"")</f>
        <v/>
      </c>
      <c r="M2089" s="80" t="str">
        <f t="shared" si="2"/>
        <v/>
      </c>
    </row>
    <row r="2090">
      <c r="A2090" s="86"/>
      <c r="B2090" s="73"/>
      <c r="C2090" s="73"/>
      <c r="D2090" s="73"/>
      <c r="E2090" s="88"/>
      <c r="F2090" s="73"/>
      <c r="G2090" s="394"/>
      <c r="H2090" s="73"/>
      <c r="I2090" s="88"/>
      <c r="J2090" s="410"/>
      <c r="K2090" s="393">
        <f t="shared" si="8"/>
        <v>1</v>
      </c>
      <c r="L2090" s="394" t="str">
        <f>IFERROR(__xludf.DUMMYFUNCTION("JOIN("""", G2090:H2090)"),"")</f>
        <v/>
      </c>
      <c r="M2090" s="80" t="str">
        <f t="shared" si="2"/>
        <v/>
      </c>
    </row>
    <row r="2091">
      <c r="A2091" s="86"/>
      <c r="B2091" s="73"/>
      <c r="C2091" s="73"/>
      <c r="D2091" s="73"/>
      <c r="E2091" s="88"/>
      <c r="F2091" s="73"/>
      <c r="G2091" s="394"/>
      <c r="H2091" s="73"/>
      <c r="I2091" s="88"/>
      <c r="J2091" s="410"/>
      <c r="K2091" s="393">
        <f t="shared" si="8"/>
        <v>1</v>
      </c>
      <c r="L2091" s="394" t="str">
        <f>IFERROR(__xludf.DUMMYFUNCTION("JOIN("""", G2091:H2091)"),"")</f>
        <v/>
      </c>
      <c r="M2091" s="80" t="str">
        <f t="shared" si="2"/>
        <v/>
      </c>
    </row>
    <row r="2092">
      <c r="A2092" s="86"/>
      <c r="B2092" s="73"/>
      <c r="C2092" s="73"/>
      <c r="D2092" s="73"/>
      <c r="E2092" s="88"/>
      <c r="F2092" s="73"/>
      <c r="G2092" s="394"/>
      <c r="H2092" s="73"/>
      <c r="I2092" s="88"/>
      <c r="J2092" s="410"/>
      <c r="K2092" s="393">
        <f t="shared" si="8"/>
        <v>1</v>
      </c>
      <c r="L2092" s="394" t="str">
        <f>IFERROR(__xludf.DUMMYFUNCTION("JOIN("""", G2092:H2092)"),"")</f>
        <v/>
      </c>
      <c r="M2092" s="80" t="str">
        <f t="shared" si="2"/>
        <v/>
      </c>
    </row>
    <row r="2093">
      <c r="A2093" s="86"/>
      <c r="B2093" s="73"/>
      <c r="C2093" s="73"/>
      <c r="D2093" s="73"/>
      <c r="E2093" s="88"/>
      <c r="F2093" s="73"/>
      <c r="G2093" s="394"/>
      <c r="H2093" s="73"/>
      <c r="I2093" s="88"/>
      <c r="J2093" s="410"/>
      <c r="K2093" s="393">
        <f t="shared" si="8"/>
        <v>1</v>
      </c>
      <c r="L2093" s="394" t="str">
        <f>IFERROR(__xludf.DUMMYFUNCTION("JOIN("""", G2093:H2093)"),"")</f>
        <v/>
      </c>
      <c r="M2093" s="80" t="str">
        <f t="shared" si="2"/>
        <v/>
      </c>
    </row>
    <row r="2094">
      <c r="A2094" s="86"/>
      <c r="B2094" s="73"/>
      <c r="C2094" s="73"/>
      <c r="D2094" s="73"/>
      <c r="E2094" s="88"/>
      <c r="F2094" s="73"/>
      <c r="G2094" s="394"/>
      <c r="H2094" s="73"/>
      <c r="I2094" s="88"/>
      <c r="J2094" s="410"/>
      <c r="K2094" s="393">
        <f t="shared" si="8"/>
        <v>1</v>
      </c>
      <c r="L2094" s="394" t="str">
        <f>IFERROR(__xludf.DUMMYFUNCTION("JOIN("""", G2094:H2094)"),"")</f>
        <v/>
      </c>
      <c r="M2094" s="80" t="str">
        <f t="shared" si="2"/>
        <v/>
      </c>
    </row>
    <row r="2095">
      <c r="A2095" s="86"/>
      <c r="B2095" s="73"/>
      <c r="C2095" s="73"/>
      <c r="D2095" s="73"/>
      <c r="E2095" s="88"/>
      <c r="F2095" s="73"/>
      <c r="G2095" s="394"/>
      <c r="H2095" s="73"/>
      <c r="I2095" s="88"/>
      <c r="J2095" s="410"/>
      <c r="K2095" s="393">
        <f t="shared" si="8"/>
        <v>1</v>
      </c>
      <c r="L2095" s="394" t="str">
        <f>IFERROR(__xludf.DUMMYFUNCTION("JOIN("""", G2095:H2095)"),"")</f>
        <v/>
      </c>
      <c r="M2095" s="80" t="str">
        <f t="shared" si="2"/>
        <v/>
      </c>
    </row>
    <row r="2096">
      <c r="A2096" s="86"/>
      <c r="B2096" s="73"/>
      <c r="C2096" s="73"/>
      <c r="D2096" s="73"/>
      <c r="E2096" s="88"/>
      <c r="F2096" s="73"/>
      <c r="G2096" s="394"/>
      <c r="H2096" s="73"/>
      <c r="I2096" s="88"/>
      <c r="J2096" s="410"/>
      <c r="K2096" s="393">
        <f t="shared" si="8"/>
        <v>1</v>
      </c>
      <c r="L2096" s="394" t="str">
        <f>IFERROR(__xludf.DUMMYFUNCTION("JOIN("""", G2096:H2096)"),"")</f>
        <v/>
      </c>
      <c r="M2096" s="80" t="str">
        <f t="shared" si="2"/>
        <v/>
      </c>
    </row>
    <row r="2097">
      <c r="A2097" s="86"/>
      <c r="B2097" s="73"/>
      <c r="C2097" s="73"/>
      <c r="D2097" s="73"/>
      <c r="E2097" s="88"/>
      <c r="F2097" s="73"/>
      <c r="G2097" s="394"/>
      <c r="H2097" s="73"/>
      <c r="I2097" s="88"/>
      <c r="J2097" s="410"/>
      <c r="K2097" s="393">
        <f t="shared" si="8"/>
        <v>1</v>
      </c>
      <c r="L2097" s="394" t="str">
        <f>IFERROR(__xludf.DUMMYFUNCTION("JOIN("""", G2097:H2097)"),"")</f>
        <v/>
      </c>
      <c r="M2097" s="80" t="str">
        <f t="shared" si="2"/>
        <v/>
      </c>
    </row>
    <row r="2098">
      <c r="A2098" s="86"/>
      <c r="B2098" s="73"/>
      <c r="C2098" s="73"/>
      <c r="D2098" s="73"/>
      <c r="E2098" s="88"/>
      <c r="F2098" s="73"/>
      <c r="G2098" s="394"/>
      <c r="H2098" s="73"/>
      <c r="I2098" s="88"/>
      <c r="J2098" s="410"/>
      <c r="K2098" s="393">
        <f t="shared" si="8"/>
        <v>1</v>
      </c>
      <c r="L2098" s="394" t="str">
        <f>IFERROR(__xludf.DUMMYFUNCTION("JOIN("""", G2098:H2098)"),"")</f>
        <v/>
      </c>
      <c r="M2098" s="80" t="str">
        <f t="shared" si="2"/>
        <v/>
      </c>
    </row>
    <row r="2099">
      <c r="A2099" s="86"/>
      <c r="B2099" s="73"/>
      <c r="C2099" s="73"/>
      <c r="D2099" s="73"/>
      <c r="E2099" s="88"/>
      <c r="F2099" s="73"/>
      <c r="G2099" s="394"/>
      <c r="H2099" s="73"/>
      <c r="I2099" s="88"/>
      <c r="J2099" s="410"/>
      <c r="K2099" s="393">
        <f t="shared" si="8"/>
        <v>1</v>
      </c>
      <c r="L2099" s="394" t="str">
        <f>IFERROR(__xludf.DUMMYFUNCTION("JOIN("""", G2099:H2099)"),"")</f>
        <v/>
      </c>
      <c r="M2099" s="80" t="str">
        <f t="shared" si="2"/>
        <v/>
      </c>
    </row>
    <row r="2100">
      <c r="A2100" s="86"/>
      <c r="B2100" s="73"/>
      <c r="C2100" s="73"/>
      <c r="D2100" s="73"/>
      <c r="E2100" s="88"/>
      <c r="F2100" s="73"/>
      <c r="G2100" s="394"/>
      <c r="H2100" s="73"/>
      <c r="I2100" s="88"/>
      <c r="J2100" s="410"/>
      <c r="K2100" s="393">
        <f t="shared" si="8"/>
        <v>1</v>
      </c>
      <c r="L2100" s="394" t="str">
        <f>IFERROR(__xludf.DUMMYFUNCTION("JOIN("""", G2100:H2100)"),"")</f>
        <v/>
      </c>
      <c r="M2100" s="80" t="str">
        <f t="shared" si="2"/>
        <v/>
      </c>
    </row>
    <row r="2101">
      <c r="A2101" s="86"/>
      <c r="B2101" s="73"/>
      <c r="C2101" s="73"/>
      <c r="D2101" s="73"/>
      <c r="E2101" s="88"/>
      <c r="F2101" s="73"/>
      <c r="G2101" s="394"/>
      <c r="H2101" s="73"/>
      <c r="I2101" s="88"/>
      <c r="J2101" s="410"/>
      <c r="K2101" s="393">
        <f t="shared" si="8"/>
        <v>1</v>
      </c>
      <c r="L2101" s="394" t="str">
        <f>IFERROR(__xludf.DUMMYFUNCTION("JOIN("""", G2101:H2101)"),"")</f>
        <v/>
      </c>
      <c r="M2101" s="80" t="str">
        <f t="shared" si="2"/>
        <v/>
      </c>
    </row>
    <row r="2102">
      <c r="A2102" s="86"/>
      <c r="B2102" s="73"/>
      <c r="C2102" s="73"/>
      <c r="D2102" s="73"/>
      <c r="E2102" s="88"/>
      <c r="F2102" s="73"/>
      <c r="G2102" s="394"/>
      <c r="H2102" s="73"/>
      <c r="I2102" s="88"/>
      <c r="J2102" s="410"/>
      <c r="K2102" s="393">
        <f t="shared" si="8"/>
        <v>1</v>
      </c>
      <c r="L2102" s="394" t="str">
        <f>IFERROR(__xludf.DUMMYFUNCTION("JOIN("""", G2102:H2102)"),"")</f>
        <v/>
      </c>
      <c r="M2102" s="80" t="str">
        <f t="shared" si="2"/>
        <v/>
      </c>
    </row>
    <row r="2103">
      <c r="A2103" s="86"/>
      <c r="B2103" s="73"/>
      <c r="C2103" s="73"/>
      <c r="D2103" s="73"/>
      <c r="E2103" s="88"/>
      <c r="F2103" s="73"/>
      <c r="G2103" s="394"/>
      <c r="H2103" s="73"/>
      <c r="I2103" s="88"/>
      <c r="J2103" s="410"/>
      <c r="K2103" s="393">
        <f t="shared" si="8"/>
        <v>1</v>
      </c>
      <c r="L2103" s="394" t="str">
        <f>IFERROR(__xludf.DUMMYFUNCTION("JOIN("""", G2103:H2103)"),"")</f>
        <v/>
      </c>
      <c r="M2103" s="80" t="str">
        <f t="shared" si="2"/>
        <v/>
      </c>
    </row>
    <row r="2104">
      <c r="A2104" s="86"/>
      <c r="B2104" s="73"/>
      <c r="C2104" s="73"/>
      <c r="D2104" s="73"/>
      <c r="E2104" s="88"/>
      <c r="F2104" s="73"/>
      <c r="G2104" s="394"/>
      <c r="H2104" s="73"/>
      <c r="I2104" s="88"/>
      <c r="J2104" s="410"/>
      <c r="K2104" s="393">
        <f t="shared" si="8"/>
        <v>1</v>
      </c>
      <c r="L2104" s="394" t="str">
        <f>IFERROR(__xludf.DUMMYFUNCTION("JOIN("""", G2104:H2104)"),"")</f>
        <v/>
      </c>
      <c r="M2104" s="80" t="str">
        <f t="shared" si="2"/>
        <v/>
      </c>
    </row>
    <row r="2105">
      <c r="A2105" s="86"/>
      <c r="B2105" s="73"/>
      <c r="C2105" s="73"/>
      <c r="D2105" s="73"/>
      <c r="E2105" s="88"/>
      <c r="F2105" s="73"/>
      <c r="G2105" s="394"/>
      <c r="H2105" s="73"/>
      <c r="I2105" s="88"/>
      <c r="J2105" s="410"/>
      <c r="K2105" s="393">
        <f t="shared" si="8"/>
        <v>1</v>
      </c>
      <c r="L2105" s="394" t="str">
        <f>IFERROR(__xludf.DUMMYFUNCTION("JOIN("""", G2105:H2105)"),"")</f>
        <v/>
      </c>
      <c r="M2105" s="80" t="str">
        <f t="shared" si="2"/>
        <v/>
      </c>
    </row>
    <row r="2106">
      <c r="A2106" s="86"/>
      <c r="B2106" s="73"/>
      <c r="C2106" s="73"/>
      <c r="D2106" s="73"/>
      <c r="E2106" s="88"/>
      <c r="F2106" s="73"/>
      <c r="G2106" s="394"/>
      <c r="H2106" s="73"/>
      <c r="I2106" s="88"/>
      <c r="J2106" s="410"/>
      <c r="K2106" s="393">
        <f t="shared" si="8"/>
        <v>1</v>
      </c>
      <c r="L2106" s="394" t="str">
        <f>IFERROR(__xludf.DUMMYFUNCTION("JOIN("""", G2106:H2106)"),"")</f>
        <v/>
      </c>
      <c r="M2106" s="80" t="str">
        <f t="shared" si="2"/>
        <v/>
      </c>
    </row>
    <row r="2107">
      <c r="A2107" s="86"/>
      <c r="B2107" s="73"/>
      <c r="C2107" s="73"/>
      <c r="D2107" s="73"/>
      <c r="E2107" s="88"/>
      <c r="F2107" s="73"/>
      <c r="G2107" s="394"/>
      <c r="H2107" s="73"/>
      <c r="I2107" s="88"/>
      <c r="J2107" s="410"/>
      <c r="K2107" s="393">
        <f t="shared" si="8"/>
        <v>1</v>
      </c>
      <c r="L2107" s="394" t="str">
        <f>IFERROR(__xludf.DUMMYFUNCTION("JOIN("""", G2107:H2107)"),"")</f>
        <v/>
      </c>
      <c r="M2107" s="80" t="str">
        <f t="shared" si="2"/>
        <v/>
      </c>
    </row>
    <row r="2108">
      <c r="A2108" s="86"/>
      <c r="B2108" s="73"/>
      <c r="C2108" s="73"/>
      <c r="D2108" s="73"/>
      <c r="E2108" s="88"/>
      <c r="F2108" s="73"/>
      <c r="G2108" s="394"/>
      <c r="H2108" s="73"/>
      <c r="I2108" s="88"/>
      <c r="J2108" s="410"/>
      <c r="K2108" s="393">
        <f t="shared" si="8"/>
        <v>1</v>
      </c>
      <c r="L2108" s="394" t="str">
        <f>IFERROR(__xludf.DUMMYFUNCTION("JOIN("""", G2108:H2108)"),"")</f>
        <v/>
      </c>
      <c r="M2108" s="80" t="str">
        <f t="shared" si="2"/>
        <v/>
      </c>
    </row>
    <row r="2109">
      <c r="A2109" s="86"/>
      <c r="B2109" s="73"/>
      <c r="C2109" s="73"/>
      <c r="D2109" s="73"/>
      <c r="E2109" s="88"/>
      <c r="F2109" s="73"/>
      <c r="G2109" s="394"/>
      <c r="H2109" s="73"/>
      <c r="I2109" s="88"/>
      <c r="J2109" s="410"/>
      <c r="K2109" s="393">
        <f t="shared" si="8"/>
        <v>1</v>
      </c>
      <c r="L2109" s="394" t="str">
        <f>IFERROR(__xludf.DUMMYFUNCTION("JOIN("""", G2109:H2109)"),"")</f>
        <v/>
      </c>
      <c r="M2109" s="80" t="str">
        <f t="shared" si="2"/>
        <v/>
      </c>
    </row>
    <row r="2110">
      <c r="A2110" s="86"/>
      <c r="B2110" s="73"/>
      <c r="C2110" s="73"/>
      <c r="D2110" s="73"/>
      <c r="E2110" s="88"/>
      <c r="F2110" s="73"/>
      <c r="G2110" s="394"/>
      <c r="H2110" s="73"/>
      <c r="I2110" s="88"/>
      <c r="J2110" s="410"/>
      <c r="K2110" s="393">
        <f t="shared" si="8"/>
        <v>1</v>
      </c>
      <c r="L2110" s="394" t="str">
        <f>IFERROR(__xludf.DUMMYFUNCTION("JOIN("""", G2110:H2110)"),"")</f>
        <v/>
      </c>
      <c r="M2110" s="80" t="str">
        <f t="shared" si="2"/>
        <v/>
      </c>
    </row>
    <row r="2111">
      <c r="A2111" s="86"/>
      <c r="B2111" s="73"/>
      <c r="C2111" s="73"/>
      <c r="D2111" s="73"/>
      <c r="E2111" s="88"/>
      <c r="F2111" s="73"/>
      <c r="G2111" s="394"/>
      <c r="H2111" s="73"/>
      <c r="I2111" s="88"/>
      <c r="J2111" s="410"/>
      <c r="K2111" s="393">
        <f t="shared" si="8"/>
        <v>1</v>
      </c>
      <c r="L2111" s="394" t="str">
        <f>IFERROR(__xludf.DUMMYFUNCTION("JOIN("""", G2111:H2111)"),"")</f>
        <v/>
      </c>
      <c r="M2111" s="80" t="str">
        <f t="shared" si="2"/>
        <v/>
      </c>
    </row>
    <row r="2112">
      <c r="A2112" s="86"/>
      <c r="B2112" s="73"/>
      <c r="C2112" s="73"/>
      <c r="D2112" s="73"/>
      <c r="E2112" s="88"/>
      <c r="F2112" s="73"/>
      <c r="G2112" s="394"/>
      <c r="H2112" s="73"/>
      <c r="I2112" s="88"/>
      <c r="J2112" s="410"/>
      <c r="K2112" s="393">
        <f t="shared" si="8"/>
        <v>1</v>
      </c>
      <c r="L2112" s="394" t="str">
        <f>IFERROR(__xludf.DUMMYFUNCTION("JOIN("""", G2112:H2112)"),"")</f>
        <v/>
      </c>
      <c r="M2112" s="80" t="str">
        <f t="shared" si="2"/>
        <v/>
      </c>
    </row>
    <row r="2113">
      <c r="A2113" s="86"/>
      <c r="B2113" s="73"/>
      <c r="C2113" s="73"/>
      <c r="D2113" s="73"/>
      <c r="E2113" s="88"/>
      <c r="F2113" s="73"/>
      <c r="G2113" s="394"/>
      <c r="H2113" s="73"/>
      <c r="I2113" s="88"/>
      <c r="J2113" s="410"/>
      <c r="K2113" s="393">
        <f t="shared" si="8"/>
        <v>1</v>
      </c>
      <c r="L2113" s="394" t="str">
        <f>IFERROR(__xludf.DUMMYFUNCTION("JOIN("""", G2113:H2113)"),"")</f>
        <v/>
      </c>
      <c r="M2113" s="80" t="str">
        <f t="shared" si="2"/>
        <v/>
      </c>
    </row>
    <row r="2114">
      <c r="A2114" s="86"/>
      <c r="B2114" s="73"/>
      <c r="C2114" s="73"/>
      <c r="D2114" s="73"/>
      <c r="E2114" s="88"/>
      <c r="F2114" s="73"/>
      <c r="G2114" s="394"/>
      <c r="H2114" s="73"/>
      <c r="I2114" s="88"/>
      <c r="J2114" s="410"/>
      <c r="K2114" s="393">
        <f t="shared" si="8"/>
        <v>1</v>
      </c>
      <c r="L2114" s="394" t="str">
        <f>IFERROR(__xludf.DUMMYFUNCTION("JOIN("""", G2114:H2114)"),"")</f>
        <v/>
      </c>
      <c r="M2114" s="80" t="str">
        <f t="shared" si="2"/>
        <v/>
      </c>
    </row>
    <row r="2115">
      <c r="A2115" s="86"/>
      <c r="B2115" s="73"/>
      <c r="C2115" s="73"/>
      <c r="D2115" s="73"/>
      <c r="E2115" s="88"/>
      <c r="F2115" s="73"/>
      <c r="G2115" s="394"/>
      <c r="H2115" s="73"/>
      <c r="I2115" s="88"/>
      <c r="J2115" s="410"/>
      <c r="K2115" s="393">
        <f t="shared" si="8"/>
        <v>1</v>
      </c>
      <c r="L2115" s="394" t="str">
        <f>IFERROR(__xludf.DUMMYFUNCTION("JOIN("""", G2115:H2115)"),"")</f>
        <v/>
      </c>
      <c r="M2115" s="80" t="str">
        <f t="shared" si="2"/>
        <v/>
      </c>
    </row>
    <row r="2116">
      <c r="A2116" s="86"/>
      <c r="B2116" s="73"/>
      <c r="C2116" s="73"/>
      <c r="D2116" s="73"/>
      <c r="E2116" s="88"/>
      <c r="F2116" s="73"/>
      <c r="G2116" s="394"/>
      <c r="H2116" s="73"/>
      <c r="I2116" s="88"/>
      <c r="J2116" s="410"/>
      <c r="K2116" s="393">
        <f t="shared" si="8"/>
        <v>1</v>
      </c>
      <c r="L2116" s="394" t="str">
        <f>IFERROR(__xludf.DUMMYFUNCTION("JOIN("""", G2116:H2116)"),"")</f>
        <v/>
      </c>
      <c r="M2116" s="80" t="str">
        <f t="shared" si="2"/>
        <v/>
      </c>
    </row>
    <row r="2117">
      <c r="A2117" s="86"/>
      <c r="B2117" s="73"/>
      <c r="C2117" s="73"/>
      <c r="D2117" s="73"/>
      <c r="E2117" s="88"/>
      <c r="F2117" s="73"/>
      <c r="G2117" s="394"/>
      <c r="H2117" s="73"/>
      <c r="I2117" s="88"/>
      <c r="J2117" s="410"/>
      <c r="K2117" s="393">
        <f t="shared" si="8"/>
        <v>1</v>
      </c>
      <c r="L2117" s="394" t="str">
        <f>IFERROR(__xludf.DUMMYFUNCTION("JOIN("""", G2117:H2117)"),"")</f>
        <v/>
      </c>
      <c r="M2117" s="80" t="str">
        <f t="shared" si="2"/>
        <v/>
      </c>
    </row>
    <row r="2118">
      <c r="A2118" s="86"/>
      <c r="B2118" s="73"/>
      <c r="C2118" s="73"/>
      <c r="D2118" s="73"/>
      <c r="E2118" s="88"/>
      <c r="F2118" s="73"/>
      <c r="G2118" s="394"/>
      <c r="H2118" s="73"/>
      <c r="I2118" s="88"/>
      <c r="J2118" s="410"/>
      <c r="K2118" s="393">
        <f t="shared" si="8"/>
        <v>1</v>
      </c>
      <c r="L2118" s="394" t="str">
        <f>IFERROR(__xludf.DUMMYFUNCTION("JOIN("""", G2118:H2118)"),"")</f>
        <v/>
      </c>
      <c r="M2118" s="80" t="str">
        <f t="shared" si="2"/>
        <v/>
      </c>
    </row>
    <row r="2119">
      <c r="A2119" s="86"/>
      <c r="B2119" s="73"/>
      <c r="C2119" s="73"/>
      <c r="D2119" s="73"/>
      <c r="E2119" s="88"/>
      <c r="F2119" s="73"/>
      <c r="G2119" s="394"/>
      <c r="H2119" s="73"/>
      <c r="I2119" s="88"/>
      <c r="J2119" s="410"/>
      <c r="K2119" s="393">
        <f t="shared" si="8"/>
        <v>1</v>
      </c>
      <c r="L2119" s="394" t="str">
        <f>IFERROR(__xludf.DUMMYFUNCTION("JOIN("""", G2119:H2119)"),"")</f>
        <v/>
      </c>
      <c r="M2119" s="80" t="str">
        <f t="shared" si="2"/>
        <v/>
      </c>
    </row>
    <row r="2120">
      <c r="A2120" s="86"/>
      <c r="B2120" s="73"/>
      <c r="C2120" s="73"/>
      <c r="D2120" s="73"/>
      <c r="E2120" s="88"/>
      <c r="F2120" s="73"/>
      <c r="G2120" s="394"/>
      <c r="H2120" s="73"/>
      <c r="I2120" s="88"/>
      <c r="J2120" s="410"/>
      <c r="K2120" s="393">
        <f t="shared" si="8"/>
        <v>1</v>
      </c>
      <c r="L2120" s="394" t="str">
        <f>IFERROR(__xludf.DUMMYFUNCTION("JOIN("""", G2120:H2120)"),"")</f>
        <v/>
      </c>
      <c r="M2120" s="80" t="str">
        <f t="shared" si="2"/>
        <v/>
      </c>
    </row>
    <row r="2121">
      <c r="A2121" s="86"/>
      <c r="B2121" s="73"/>
      <c r="C2121" s="73"/>
      <c r="D2121" s="73"/>
      <c r="E2121" s="88"/>
      <c r="F2121" s="73"/>
      <c r="G2121" s="394"/>
      <c r="H2121" s="73"/>
      <c r="I2121" s="88"/>
      <c r="J2121" s="410"/>
      <c r="K2121" s="393">
        <f t="shared" si="8"/>
        <v>1</v>
      </c>
      <c r="L2121" s="394" t="str">
        <f>IFERROR(__xludf.DUMMYFUNCTION("JOIN("""", G2121:H2121)"),"")</f>
        <v/>
      </c>
      <c r="M2121" s="80" t="str">
        <f t="shared" si="2"/>
        <v/>
      </c>
    </row>
    <row r="2122">
      <c r="A2122" s="86"/>
      <c r="B2122" s="73"/>
      <c r="C2122" s="73"/>
      <c r="D2122" s="73"/>
      <c r="E2122" s="88"/>
      <c r="F2122" s="73"/>
      <c r="G2122" s="394"/>
      <c r="H2122" s="73"/>
      <c r="I2122" s="88"/>
      <c r="J2122" s="410"/>
      <c r="K2122" s="393">
        <f t="shared" si="8"/>
        <v>1</v>
      </c>
      <c r="L2122" s="394" t="str">
        <f>IFERROR(__xludf.DUMMYFUNCTION("JOIN("""", G2122:H2122)"),"")</f>
        <v/>
      </c>
      <c r="M2122" s="80" t="str">
        <f t="shared" si="2"/>
        <v/>
      </c>
    </row>
    <row r="2123">
      <c r="A2123" s="86"/>
      <c r="B2123" s="73"/>
      <c r="C2123" s="73"/>
      <c r="D2123" s="73"/>
      <c r="E2123" s="88"/>
      <c r="F2123" s="73"/>
      <c r="G2123" s="394"/>
      <c r="H2123" s="73"/>
      <c r="I2123" s="88"/>
      <c r="J2123" s="410"/>
      <c r="K2123" s="393">
        <f t="shared" si="8"/>
        <v>1</v>
      </c>
      <c r="L2123" s="394" t="str">
        <f>IFERROR(__xludf.DUMMYFUNCTION("JOIN("""", G2123:H2123)"),"")</f>
        <v/>
      </c>
      <c r="M2123" s="80" t="str">
        <f t="shared" si="2"/>
        <v/>
      </c>
    </row>
    <row r="2124">
      <c r="A2124" s="86"/>
      <c r="B2124" s="73"/>
      <c r="C2124" s="73"/>
      <c r="D2124" s="73"/>
      <c r="E2124" s="88"/>
      <c r="F2124" s="73"/>
      <c r="G2124" s="394"/>
      <c r="H2124" s="73"/>
      <c r="I2124" s="88"/>
      <c r="J2124" s="410"/>
      <c r="K2124" s="393">
        <f t="shared" si="8"/>
        <v>1</v>
      </c>
      <c r="L2124" s="394" t="str">
        <f>IFERROR(__xludf.DUMMYFUNCTION("JOIN("""", G2124:H2124)"),"")</f>
        <v/>
      </c>
      <c r="M2124" s="80" t="str">
        <f t="shared" si="2"/>
        <v/>
      </c>
    </row>
    <row r="2125">
      <c r="A2125" s="86"/>
      <c r="B2125" s="73"/>
      <c r="C2125" s="73"/>
      <c r="D2125" s="73"/>
      <c r="E2125" s="88"/>
      <c r="F2125" s="73"/>
      <c r="G2125" s="394"/>
      <c r="H2125" s="73"/>
      <c r="I2125" s="88"/>
      <c r="J2125" s="410"/>
      <c r="K2125" s="393">
        <f t="shared" si="8"/>
        <v>1</v>
      </c>
      <c r="L2125" s="394" t="str">
        <f>IFERROR(__xludf.DUMMYFUNCTION("JOIN("""", G2125:H2125)"),"")</f>
        <v/>
      </c>
      <c r="M2125" s="80" t="str">
        <f t="shared" si="2"/>
        <v/>
      </c>
    </row>
    <row r="2126">
      <c r="A2126" s="86"/>
      <c r="B2126" s="73"/>
      <c r="C2126" s="73"/>
      <c r="D2126" s="73"/>
      <c r="E2126" s="88"/>
      <c r="F2126" s="73"/>
      <c r="G2126" s="394"/>
      <c r="H2126" s="73"/>
      <c r="I2126" s="88"/>
      <c r="J2126" s="410"/>
      <c r="K2126" s="393">
        <f t="shared" si="8"/>
        <v>1</v>
      </c>
      <c r="L2126" s="394" t="str">
        <f>IFERROR(__xludf.DUMMYFUNCTION("JOIN("""", G2126:H2126)"),"")</f>
        <v/>
      </c>
      <c r="M2126" s="80" t="str">
        <f t="shared" si="2"/>
        <v/>
      </c>
    </row>
    <row r="2127">
      <c r="A2127" s="86"/>
      <c r="B2127" s="73"/>
      <c r="C2127" s="73"/>
      <c r="D2127" s="73"/>
      <c r="E2127" s="88"/>
      <c r="F2127" s="73"/>
      <c r="G2127" s="394"/>
      <c r="H2127" s="73"/>
      <c r="I2127" s="88"/>
      <c r="J2127" s="410"/>
      <c r="K2127" s="393">
        <f t="shared" si="8"/>
        <v>1</v>
      </c>
      <c r="L2127" s="394" t="str">
        <f>IFERROR(__xludf.DUMMYFUNCTION("JOIN("""", G2127:H2127)"),"")</f>
        <v/>
      </c>
      <c r="M2127" s="80" t="str">
        <f t="shared" si="2"/>
        <v/>
      </c>
    </row>
    <row r="2128">
      <c r="A2128" s="86"/>
      <c r="B2128" s="73"/>
      <c r="C2128" s="73"/>
      <c r="D2128" s="73"/>
      <c r="E2128" s="88"/>
      <c r="F2128" s="73"/>
      <c r="G2128" s="394"/>
      <c r="H2128" s="73"/>
      <c r="I2128" s="88"/>
      <c r="J2128" s="410"/>
      <c r="K2128" s="393">
        <f t="shared" si="8"/>
        <v>1</v>
      </c>
      <c r="L2128" s="394" t="str">
        <f>IFERROR(__xludf.DUMMYFUNCTION("JOIN("""", G2128:H2128)"),"")</f>
        <v/>
      </c>
      <c r="M2128" s="80" t="str">
        <f t="shared" si="2"/>
        <v/>
      </c>
    </row>
    <row r="2129">
      <c r="A2129" s="86"/>
      <c r="B2129" s="73"/>
      <c r="C2129" s="73"/>
      <c r="D2129" s="73"/>
      <c r="E2129" s="88"/>
      <c r="F2129" s="73"/>
      <c r="G2129" s="394"/>
      <c r="H2129" s="73"/>
      <c r="I2129" s="88"/>
      <c r="J2129" s="410"/>
      <c r="K2129" s="393">
        <f t="shared" si="8"/>
        <v>1</v>
      </c>
      <c r="L2129" s="394" t="str">
        <f>IFERROR(__xludf.DUMMYFUNCTION("JOIN("""", G2129:H2129)"),"")</f>
        <v/>
      </c>
      <c r="M2129" s="80" t="str">
        <f t="shared" si="2"/>
        <v/>
      </c>
    </row>
    <row r="2130">
      <c r="A2130" s="86"/>
      <c r="B2130" s="73"/>
      <c r="C2130" s="73"/>
      <c r="D2130" s="73"/>
      <c r="E2130" s="88"/>
      <c r="F2130" s="73"/>
      <c r="G2130" s="394"/>
      <c r="H2130" s="73"/>
      <c r="I2130" s="88"/>
      <c r="J2130" s="410"/>
      <c r="K2130" s="393">
        <f t="shared" si="8"/>
        <v>1</v>
      </c>
      <c r="L2130" s="394" t="str">
        <f>IFERROR(__xludf.DUMMYFUNCTION("JOIN("""", G2130:H2130)"),"")</f>
        <v/>
      </c>
      <c r="M2130" s="80" t="str">
        <f t="shared" si="2"/>
        <v/>
      </c>
    </row>
    <row r="2131">
      <c r="A2131" s="86"/>
      <c r="B2131" s="73"/>
      <c r="C2131" s="73"/>
      <c r="D2131" s="73"/>
      <c r="E2131" s="88"/>
      <c r="F2131" s="73"/>
      <c r="G2131" s="394"/>
      <c r="H2131" s="73"/>
      <c r="I2131" s="88"/>
      <c r="J2131" s="410"/>
      <c r="K2131" s="393">
        <f t="shared" si="8"/>
        <v>1</v>
      </c>
      <c r="L2131" s="394" t="str">
        <f>IFERROR(__xludf.DUMMYFUNCTION("JOIN("""", G2131:H2131)"),"")</f>
        <v/>
      </c>
      <c r="M2131" s="80" t="str">
        <f t="shared" si="2"/>
        <v/>
      </c>
    </row>
    <row r="2132">
      <c r="A2132" s="86"/>
      <c r="B2132" s="73"/>
      <c r="C2132" s="73"/>
      <c r="D2132" s="73"/>
      <c r="E2132" s="88"/>
      <c r="F2132" s="73"/>
      <c r="G2132" s="394"/>
      <c r="H2132" s="73"/>
      <c r="I2132" s="88"/>
      <c r="J2132" s="410"/>
      <c r="K2132" s="393">
        <f t="shared" si="8"/>
        <v>1</v>
      </c>
      <c r="L2132" s="394" t="str">
        <f>IFERROR(__xludf.DUMMYFUNCTION("JOIN("""", G2132:H2132)"),"")</f>
        <v/>
      </c>
      <c r="M2132" s="80" t="str">
        <f t="shared" si="2"/>
        <v/>
      </c>
    </row>
    <row r="2133">
      <c r="A2133" s="86"/>
      <c r="B2133" s="73"/>
      <c r="C2133" s="73"/>
      <c r="D2133" s="73"/>
      <c r="E2133" s="88"/>
      <c r="F2133" s="73"/>
      <c r="G2133" s="394"/>
      <c r="H2133" s="73"/>
      <c r="I2133" s="88"/>
      <c r="J2133" s="410"/>
      <c r="K2133" s="393">
        <f t="shared" si="8"/>
        <v>1</v>
      </c>
      <c r="L2133" s="394" t="str">
        <f>IFERROR(__xludf.DUMMYFUNCTION("JOIN("""", G2133:H2133)"),"")</f>
        <v/>
      </c>
      <c r="M2133" s="80" t="str">
        <f t="shared" si="2"/>
        <v/>
      </c>
    </row>
    <row r="2134">
      <c r="A2134" s="86"/>
      <c r="B2134" s="73"/>
      <c r="C2134" s="73"/>
      <c r="D2134" s="73"/>
      <c r="E2134" s="88"/>
      <c r="F2134" s="73"/>
      <c r="G2134" s="394"/>
      <c r="H2134" s="73"/>
      <c r="I2134" s="88"/>
      <c r="J2134" s="410"/>
      <c r="K2134" s="393">
        <f t="shared" si="8"/>
        <v>1</v>
      </c>
      <c r="L2134" s="394" t="str">
        <f>IFERROR(__xludf.DUMMYFUNCTION("JOIN("""", G2134:H2134)"),"")</f>
        <v/>
      </c>
      <c r="M2134" s="80" t="str">
        <f t="shared" si="2"/>
        <v/>
      </c>
    </row>
    <row r="2135">
      <c r="A2135" s="86"/>
      <c r="B2135" s="73"/>
      <c r="C2135" s="73"/>
      <c r="D2135" s="73"/>
      <c r="E2135" s="88"/>
      <c r="F2135" s="73"/>
      <c r="G2135" s="394"/>
      <c r="H2135" s="73"/>
      <c r="I2135" s="88"/>
      <c r="J2135" s="410"/>
      <c r="K2135" s="393">
        <f t="shared" si="8"/>
        <v>1</v>
      </c>
      <c r="L2135" s="394" t="str">
        <f>IFERROR(__xludf.DUMMYFUNCTION("JOIN("""", G2135:H2135)"),"")</f>
        <v/>
      </c>
      <c r="M2135" s="80" t="str">
        <f t="shared" si="2"/>
        <v/>
      </c>
    </row>
    <row r="2136">
      <c r="A2136" s="86"/>
      <c r="B2136" s="73"/>
      <c r="C2136" s="73"/>
      <c r="D2136" s="73"/>
      <c r="E2136" s="88"/>
      <c r="F2136" s="73"/>
      <c r="G2136" s="394"/>
      <c r="H2136" s="73"/>
      <c r="I2136" s="88"/>
      <c r="J2136" s="410"/>
      <c r="K2136" s="393">
        <f t="shared" si="8"/>
        <v>1</v>
      </c>
      <c r="L2136" s="394" t="str">
        <f>IFERROR(__xludf.DUMMYFUNCTION("JOIN("""", G2136:H2136)"),"")</f>
        <v/>
      </c>
      <c r="M2136" s="80" t="str">
        <f t="shared" si="2"/>
        <v/>
      </c>
    </row>
    <row r="2137">
      <c r="A2137" s="86"/>
      <c r="B2137" s="73"/>
      <c r="C2137" s="73"/>
      <c r="D2137" s="73"/>
      <c r="E2137" s="88"/>
      <c r="F2137" s="73"/>
      <c r="G2137" s="394"/>
      <c r="H2137" s="73"/>
      <c r="I2137" s="88"/>
      <c r="J2137" s="410"/>
      <c r="K2137" s="393">
        <f t="shared" si="8"/>
        <v>1</v>
      </c>
      <c r="L2137" s="394" t="str">
        <f>IFERROR(__xludf.DUMMYFUNCTION("JOIN("""", G2137:H2137)"),"")</f>
        <v/>
      </c>
      <c r="M2137" s="80" t="str">
        <f t="shared" si="2"/>
        <v/>
      </c>
    </row>
    <row r="2138">
      <c r="A2138" s="86"/>
      <c r="B2138" s="73"/>
      <c r="C2138" s="73"/>
      <c r="D2138" s="73"/>
      <c r="E2138" s="88"/>
      <c r="F2138" s="73"/>
      <c r="G2138" s="394"/>
      <c r="H2138" s="73"/>
      <c r="I2138" s="88"/>
      <c r="J2138" s="410"/>
      <c r="K2138" s="393">
        <f t="shared" si="8"/>
        <v>1</v>
      </c>
      <c r="L2138" s="394" t="str">
        <f>IFERROR(__xludf.DUMMYFUNCTION("JOIN("""", G2138:H2138)"),"")</f>
        <v/>
      </c>
      <c r="M2138" s="80" t="str">
        <f t="shared" si="2"/>
        <v/>
      </c>
    </row>
    <row r="2139">
      <c r="A2139" s="86"/>
      <c r="B2139" s="73"/>
      <c r="C2139" s="73"/>
      <c r="D2139" s="73"/>
      <c r="E2139" s="88"/>
      <c r="F2139" s="73"/>
      <c r="G2139" s="394"/>
      <c r="H2139" s="73"/>
      <c r="I2139" s="88"/>
      <c r="J2139" s="410"/>
      <c r="K2139" s="393">
        <f t="shared" si="8"/>
        <v>1</v>
      </c>
      <c r="L2139" s="394" t="str">
        <f>IFERROR(__xludf.DUMMYFUNCTION("JOIN("""", G2139:H2139)"),"")</f>
        <v/>
      </c>
      <c r="M2139" s="80" t="str">
        <f t="shared" si="2"/>
        <v/>
      </c>
    </row>
    <row r="2140">
      <c r="A2140" s="86"/>
      <c r="B2140" s="73"/>
      <c r="C2140" s="73"/>
      <c r="D2140" s="73"/>
      <c r="E2140" s="88"/>
      <c r="F2140" s="73"/>
      <c r="G2140" s="394"/>
      <c r="H2140" s="73"/>
      <c r="I2140" s="88"/>
      <c r="J2140" s="410"/>
      <c r="K2140" s="393">
        <f t="shared" si="8"/>
        <v>1</v>
      </c>
      <c r="L2140" s="394" t="str">
        <f>IFERROR(__xludf.DUMMYFUNCTION("JOIN("""", G2140:H2140)"),"")</f>
        <v/>
      </c>
      <c r="M2140" s="80" t="str">
        <f t="shared" si="2"/>
        <v/>
      </c>
    </row>
    <row r="2141">
      <c r="A2141" s="86"/>
      <c r="B2141" s="73"/>
      <c r="C2141" s="73"/>
      <c r="D2141" s="73"/>
      <c r="E2141" s="88"/>
      <c r="F2141" s="73"/>
      <c r="G2141" s="394"/>
      <c r="H2141" s="73"/>
      <c r="I2141" s="88"/>
      <c r="J2141" s="410"/>
      <c r="K2141" s="393">
        <f t="shared" si="8"/>
        <v>1</v>
      </c>
      <c r="L2141" s="394" t="str">
        <f>IFERROR(__xludf.DUMMYFUNCTION("JOIN("""", G2141:H2141)"),"")</f>
        <v/>
      </c>
      <c r="M2141" s="80" t="str">
        <f t="shared" si="2"/>
        <v/>
      </c>
    </row>
    <row r="2142">
      <c r="A2142" s="86"/>
      <c r="B2142" s="73"/>
      <c r="C2142" s="73"/>
      <c r="D2142" s="73"/>
      <c r="E2142" s="88"/>
      <c r="F2142" s="73"/>
      <c r="G2142" s="394"/>
      <c r="H2142" s="73"/>
      <c r="I2142" s="88"/>
      <c r="J2142" s="410"/>
      <c r="K2142" s="393">
        <f t="shared" si="8"/>
        <v>1</v>
      </c>
      <c r="L2142" s="394" t="str">
        <f>IFERROR(__xludf.DUMMYFUNCTION("JOIN("""", G2142:H2142)"),"")</f>
        <v/>
      </c>
      <c r="M2142" s="80" t="str">
        <f t="shared" si="2"/>
        <v/>
      </c>
    </row>
    <row r="2143">
      <c r="A2143" s="86"/>
      <c r="B2143" s="73"/>
      <c r="C2143" s="73"/>
      <c r="D2143" s="73"/>
      <c r="E2143" s="88"/>
      <c r="F2143" s="73"/>
      <c r="G2143" s="394"/>
      <c r="H2143" s="73"/>
      <c r="I2143" s="88"/>
      <c r="J2143" s="410"/>
      <c r="K2143" s="393">
        <f t="shared" si="8"/>
        <v>1</v>
      </c>
      <c r="L2143" s="394" t="str">
        <f>IFERROR(__xludf.DUMMYFUNCTION("JOIN("""", G2143:H2143)"),"")</f>
        <v/>
      </c>
      <c r="M2143" s="80" t="str">
        <f t="shared" si="2"/>
        <v/>
      </c>
    </row>
    <row r="2144">
      <c r="A2144" s="86"/>
      <c r="B2144" s="73"/>
      <c r="C2144" s="73"/>
      <c r="D2144" s="73"/>
      <c r="E2144" s="88"/>
      <c r="F2144" s="73"/>
      <c r="G2144" s="394"/>
      <c r="H2144" s="73"/>
      <c r="I2144" s="88"/>
      <c r="J2144" s="410"/>
      <c r="K2144" s="393">
        <f t="shared" si="8"/>
        <v>1</v>
      </c>
      <c r="L2144" s="394" t="str">
        <f>IFERROR(__xludf.DUMMYFUNCTION("JOIN("""", G2144:H2144)"),"")</f>
        <v/>
      </c>
      <c r="M2144" s="80" t="str">
        <f t="shared" si="2"/>
        <v/>
      </c>
    </row>
    <row r="2145">
      <c r="A2145" s="86"/>
      <c r="B2145" s="73"/>
      <c r="C2145" s="73"/>
      <c r="D2145" s="73"/>
      <c r="E2145" s="88"/>
      <c r="F2145" s="73"/>
      <c r="G2145" s="394"/>
      <c r="H2145" s="73"/>
      <c r="I2145" s="88"/>
      <c r="J2145" s="410"/>
      <c r="K2145" s="393">
        <f t="shared" si="8"/>
        <v>1</v>
      </c>
      <c r="L2145" s="394" t="str">
        <f>IFERROR(__xludf.DUMMYFUNCTION("JOIN("""", G2145:H2145)"),"")</f>
        <v/>
      </c>
      <c r="M2145" s="80" t="str">
        <f t="shared" si="2"/>
        <v/>
      </c>
    </row>
    <row r="2146">
      <c r="A2146" s="86"/>
      <c r="B2146" s="73"/>
      <c r="C2146" s="73"/>
      <c r="D2146" s="73"/>
      <c r="E2146" s="88"/>
      <c r="F2146" s="73"/>
      <c r="G2146" s="394"/>
      <c r="H2146" s="73"/>
      <c r="I2146" s="88"/>
      <c r="J2146" s="410"/>
      <c r="K2146" s="393">
        <f t="shared" si="8"/>
        <v>1</v>
      </c>
      <c r="L2146" s="394" t="str">
        <f>IFERROR(__xludf.DUMMYFUNCTION("JOIN("""", G2146:H2146)"),"")</f>
        <v/>
      </c>
      <c r="M2146" s="80" t="str">
        <f t="shared" si="2"/>
        <v/>
      </c>
    </row>
    <row r="2147">
      <c r="A2147" s="86"/>
      <c r="B2147" s="73"/>
      <c r="C2147" s="73"/>
      <c r="D2147" s="73"/>
      <c r="E2147" s="88"/>
      <c r="F2147" s="73"/>
      <c r="G2147" s="394"/>
      <c r="H2147" s="73"/>
      <c r="I2147" s="88"/>
      <c r="J2147" s="410"/>
      <c r="K2147" s="393">
        <f t="shared" si="8"/>
        <v>1</v>
      </c>
      <c r="L2147" s="394" t="str">
        <f>IFERROR(__xludf.DUMMYFUNCTION("JOIN("""", G2147:H2147)"),"")</f>
        <v/>
      </c>
      <c r="M2147" s="80" t="str">
        <f t="shared" si="2"/>
        <v/>
      </c>
    </row>
    <row r="2148">
      <c r="A2148" s="86"/>
      <c r="B2148" s="73"/>
      <c r="C2148" s="73"/>
      <c r="D2148" s="73"/>
      <c r="E2148" s="88"/>
      <c r="F2148" s="73"/>
      <c r="G2148" s="394"/>
      <c r="H2148" s="73"/>
      <c r="I2148" s="88"/>
      <c r="J2148" s="410"/>
      <c r="K2148" s="393">
        <f t="shared" si="8"/>
        <v>1</v>
      </c>
      <c r="L2148" s="394" t="str">
        <f>IFERROR(__xludf.DUMMYFUNCTION("JOIN("""", G2148:H2148)"),"")</f>
        <v/>
      </c>
      <c r="M2148" s="80" t="str">
        <f t="shared" si="2"/>
        <v/>
      </c>
    </row>
    <row r="2149">
      <c r="A2149" s="86"/>
      <c r="B2149" s="73"/>
      <c r="C2149" s="73"/>
      <c r="D2149" s="73"/>
      <c r="E2149" s="88"/>
      <c r="F2149" s="73"/>
      <c r="G2149" s="394"/>
      <c r="H2149" s="73"/>
      <c r="I2149" s="88"/>
      <c r="J2149" s="410"/>
      <c r="K2149" s="393">
        <f t="shared" si="8"/>
        <v>1</v>
      </c>
      <c r="L2149" s="394" t="str">
        <f>IFERROR(__xludf.DUMMYFUNCTION("JOIN("""", G2149:H2149)"),"")</f>
        <v/>
      </c>
      <c r="M2149" s="80" t="str">
        <f t="shared" si="2"/>
        <v/>
      </c>
    </row>
    <row r="2150">
      <c r="A2150" s="86"/>
      <c r="B2150" s="73"/>
      <c r="C2150" s="73"/>
      <c r="D2150" s="73"/>
      <c r="E2150" s="88"/>
      <c r="F2150" s="73"/>
      <c r="G2150" s="394"/>
      <c r="H2150" s="73"/>
      <c r="I2150" s="88"/>
      <c r="J2150" s="410"/>
      <c r="K2150" s="393">
        <f t="shared" si="8"/>
        <v>1</v>
      </c>
      <c r="L2150" s="394" t="str">
        <f>IFERROR(__xludf.DUMMYFUNCTION("JOIN("""", G2150:H2150)"),"")</f>
        <v/>
      </c>
      <c r="M2150" s="80" t="str">
        <f t="shared" si="2"/>
        <v/>
      </c>
    </row>
    <row r="2151">
      <c r="A2151" s="86"/>
      <c r="B2151" s="73"/>
      <c r="C2151" s="73"/>
      <c r="D2151" s="73"/>
      <c r="E2151" s="88"/>
      <c r="F2151" s="73"/>
      <c r="G2151" s="394"/>
      <c r="H2151" s="73"/>
      <c r="I2151" s="88"/>
      <c r="J2151" s="410"/>
      <c r="K2151" s="393">
        <f t="shared" si="8"/>
        <v>1</v>
      </c>
      <c r="L2151" s="394" t="str">
        <f>IFERROR(__xludf.DUMMYFUNCTION("JOIN("""", G2151:H2151)"),"")</f>
        <v/>
      </c>
      <c r="M2151" s="80" t="str">
        <f t="shared" si="2"/>
        <v/>
      </c>
    </row>
    <row r="2152">
      <c r="A2152" s="86"/>
      <c r="B2152" s="73"/>
      <c r="C2152" s="73"/>
      <c r="D2152" s="73"/>
      <c r="E2152" s="88"/>
      <c r="F2152" s="73"/>
      <c r="G2152" s="394"/>
      <c r="H2152" s="73"/>
      <c r="I2152" s="88"/>
      <c r="J2152" s="410"/>
      <c r="K2152" s="393">
        <f t="shared" si="8"/>
        <v>1</v>
      </c>
      <c r="L2152" s="394" t="str">
        <f>IFERROR(__xludf.DUMMYFUNCTION("JOIN("""", G2152:H2152)"),"")</f>
        <v/>
      </c>
      <c r="M2152" s="80" t="str">
        <f t="shared" si="2"/>
        <v/>
      </c>
    </row>
    <row r="2153">
      <c r="A2153" s="86"/>
      <c r="B2153" s="73"/>
      <c r="C2153" s="73"/>
      <c r="D2153" s="73"/>
      <c r="E2153" s="88"/>
      <c r="F2153" s="73"/>
      <c r="G2153" s="394"/>
      <c r="H2153" s="73"/>
      <c r="I2153" s="88"/>
      <c r="J2153" s="410"/>
      <c r="K2153" s="393">
        <f t="shared" si="8"/>
        <v>1</v>
      </c>
      <c r="L2153" s="394" t="str">
        <f>IFERROR(__xludf.DUMMYFUNCTION("JOIN("""", G2153:H2153)"),"")</f>
        <v/>
      </c>
      <c r="M2153" s="80" t="str">
        <f t="shared" si="2"/>
        <v/>
      </c>
    </row>
    <row r="2154">
      <c r="A2154" s="86"/>
      <c r="B2154" s="73"/>
      <c r="C2154" s="73"/>
      <c r="D2154" s="73"/>
      <c r="E2154" s="88"/>
      <c r="F2154" s="73"/>
      <c r="G2154" s="394"/>
      <c r="H2154" s="73"/>
      <c r="I2154" s="88"/>
      <c r="J2154" s="410"/>
      <c r="K2154" s="393">
        <f t="shared" si="8"/>
        <v>1</v>
      </c>
      <c r="L2154" s="394" t="str">
        <f>IFERROR(__xludf.DUMMYFUNCTION("JOIN("""", G2154:H2154)"),"")</f>
        <v/>
      </c>
      <c r="M2154" s="80" t="str">
        <f t="shared" si="2"/>
        <v/>
      </c>
    </row>
    <row r="2155">
      <c r="A2155" s="86"/>
      <c r="B2155" s="73"/>
      <c r="C2155" s="73"/>
      <c r="D2155" s="73"/>
      <c r="E2155" s="88"/>
      <c r="F2155" s="73"/>
      <c r="G2155" s="394"/>
      <c r="H2155" s="73"/>
      <c r="I2155" s="88"/>
      <c r="J2155" s="410"/>
      <c r="K2155" s="393">
        <f t="shared" si="8"/>
        <v>1</v>
      </c>
      <c r="L2155" s="394" t="str">
        <f>IFERROR(__xludf.DUMMYFUNCTION("JOIN("""", G2155:H2155)"),"")</f>
        <v/>
      </c>
      <c r="M2155" s="80" t="str">
        <f t="shared" si="2"/>
        <v/>
      </c>
    </row>
    <row r="2156">
      <c r="A2156" s="86"/>
      <c r="B2156" s="73"/>
      <c r="C2156" s="73"/>
      <c r="D2156" s="73"/>
      <c r="E2156" s="88"/>
      <c r="F2156" s="73"/>
      <c r="G2156" s="394"/>
      <c r="H2156" s="73"/>
      <c r="I2156" s="88"/>
      <c r="J2156" s="410"/>
      <c r="K2156" s="393">
        <f t="shared" si="8"/>
        <v>1</v>
      </c>
      <c r="L2156" s="394" t="str">
        <f>IFERROR(__xludf.DUMMYFUNCTION("JOIN("""", G2156:H2156)"),"")</f>
        <v/>
      </c>
      <c r="M2156" s="80" t="str">
        <f t="shared" si="2"/>
        <v/>
      </c>
    </row>
    <row r="2157">
      <c r="A2157" s="86"/>
      <c r="B2157" s="73"/>
      <c r="C2157" s="73"/>
      <c r="D2157" s="73"/>
      <c r="E2157" s="88"/>
      <c r="F2157" s="73"/>
      <c r="G2157" s="394"/>
      <c r="H2157" s="73"/>
      <c r="I2157" s="88"/>
      <c r="J2157" s="410"/>
      <c r="K2157" s="393">
        <f t="shared" si="8"/>
        <v>1</v>
      </c>
      <c r="L2157" s="394" t="str">
        <f>IFERROR(__xludf.DUMMYFUNCTION("JOIN("""", G2157:H2157)"),"")</f>
        <v/>
      </c>
      <c r="M2157" s="80" t="str">
        <f t="shared" si="2"/>
        <v/>
      </c>
    </row>
    <row r="2158">
      <c r="A2158" s="86"/>
      <c r="B2158" s="73"/>
      <c r="C2158" s="73"/>
      <c r="D2158" s="73"/>
      <c r="E2158" s="88"/>
      <c r="F2158" s="73"/>
      <c r="G2158" s="394"/>
      <c r="H2158" s="73"/>
      <c r="I2158" s="88"/>
      <c r="J2158" s="410"/>
      <c r="K2158" s="393">
        <f t="shared" si="8"/>
        <v>1</v>
      </c>
      <c r="L2158" s="394" t="str">
        <f>IFERROR(__xludf.DUMMYFUNCTION("JOIN("""", G2158:H2158)"),"")</f>
        <v/>
      </c>
      <c r="M2158" s="80" t="str">
        <f t="shared" si="2"/>
        <v/>
      </c>
    </row>
    <row r="2159">
      <c r="A2159" s="86"/>
      <c r="B2159" s="73"/>
      <c r="C2159" s="73"/>
      <c r="D2159" s="73"/>
      <c r="E2159" s="88"/>
      <c r="F2159" s="73"/>
      <c r="G2159" s="394"/>
      <c r="H2159" s="73"/>
      <c r="I2159" s="88"/>
      <c r="J2159" s="410"/>
      <c r="K2159" s="393">
        <f t="shared" si="8"/>
        <v>1</v>
      </c>
      <c r="L2159" s="394" t="str">
        <f>IFERROR(__xludf.DUMMYFUNCTION("JOIN("""", G2159:H2159)"),"")</f>
        <v/>
      </c>
      <c r="M2159" s="80" t="str">
        <f t="shared" si="2"/>
        <v/>
      </c>
    </row>
    <row r="2160">
      <c r="A2160" s="86"/>
      <c r="B2160" s="73"/>
      <c r="C2160" s="73"/>
      <c r="D2160" s="73"/>
      <c r="E2160" s="88"/>
      <c r="F2160" s="73"/>
      <c r="G2160" s="394"/>
      <c r="H2160" s="73"/>
      <c r="I2160" s="88"/>
      <c r="J2160" s="410"/>
      <c r="K2160" s="393">
        <f t="shared" si="8"/>
        <v>1</v>
      </c>
      <c r="L2160" s="394" t="str">
        <f>IFERROR(__xludf.DUMMYFUNCTION("JOIN("""", G2160:H2160)"),"")</f>
        <v/>
      </c>
      <c r="M2160" s="80" t="str">
        <f t="shared" si="2"/>
        <v/>
      </c>
    </row>
    <row r="2161">
      <c r="A2161" s="86"/>
      <c r="B2161" s="73"/>
      <c r="C2161" s="73"/>
      <c r="D2161" s="73"/>
      <c r="E2161" s="88"/>
      <c r="F2161" s="73"/>
      <c r="G2161" s="394"/>
      <c r="H2161" s="73"/>
      <c r="I2161" s="88"/>
      <c r="J2161" s="410"/>
      <c r="K2161" s="393">
        <f t="shared" si="8"/>
        <v>1</v>
      </c>
      <c r="L2161" s="394" t="str">
        <f>IFERROR(__xludf.DUMMYFUNCTION("JOIN("""", G2161:H2161)"),"")</f>
        <v/>
      </c>
      <c r="M2161" s="80" t="str">
        <f t="shared" si="2"/>
        <v/>
      </c>
    </row>
    <row r="2162">
      <c r="A2162" s="86"/>
      <c r="B2162" s="73"/>
      <c r="C2162" s="73"/>
      <c r="D2162" s="73"/>
      <c r="E2162" s="88"/>
      <c r="F2162" s="73"/>
      <c r="G2162" s="394"/>
      <c r="H2162" s="73"/>
      <c r="I2162" s="88"/>
      <c r="J2162" s="410"/>
      <c r="K2162" s="393">
        <f t="shared" si="8"/>
        <v>1</v>
      </c>
      <c r="L2162" s="394" t="str">
        <f>IFERROR(__xludf.DUMMYFUNCTION("JOIN("""", G2162:H2162)"),"")</f>
        <v/>
      </c>
      <c r="M2162" s="80" t="str">
        <f t="shared" si="2"/>
        <v/>
      </c>
    </row>
    <row r="2163">
      <c r="A2163" s="86"/>
      <c r="B2163" s="73"/>
      <c r="C2163" s="73"/>
      <c r="D2163" s="73"/>
      <c r="E2163" s="88"/>
      <c r="F2163" s="73"/>
      <c r="G2163" s="394"/>
      <c r="H2163" s="73"/>
      <c r="I2163" s="88"/>
      <c r="J2163" s="410"/>
      <c r="K2163" s="393">
        <f t="shared" si="8"/>
        <v>1</v>
      </c>
      <c r="L2163" s="394" t="str">
        <f>IFERROR(__xludf.DUMMYFUNCTION("JOIN("""", G2163:H2163)"),"")</f>
        <v/>
      </c>
      <c r="M2163" s="80" t="str">
        <f t="shared" si="2"/>
        <v/>
      </c>
    </row>
    <row r="2164">
      <c r="A2164" s="86"/>
      <c r="B2164" s="73"/>
      <c r="C2164" s="73"/>
      <c r="D2164" s="73"/>
      <c r="E2164" s="88"/>
      <c r="F2164" s="73"/>
      <c r="G2164" s="394"/>
      <c r="H2164" s="73"/>
      <c r="I2164" s="88"/>
      <c r="J2164" s="410"/>
      <c r="K2164" s="393">
        <f t="shared" si="8"/>
        <v>1</v>
      </c>
      <c r="L2164" s="394" t="str">
        <f>IFERROR(__xludf.DUMMYFUNCTION("JOIN("""", G2164:H2164)"),"")</f>
        <v/>
      </c>
      <c r="M2164" s="80" t="str">
        <f t="shared" si="2"/>
        <v/>
      </c>
    </row>
    <row r="2165">
      <c r="A2165" s="86"/>
      <c r="B2165" s="73"/>
      <c r="C2165" s="73"/>
      <c r="D2165" s="73"/>
      <c r="E2165" s="88"/>
      <c r="F2165" s="73"/>
      <c r="G2165" s="394"/>
      <c r="H2165" s="73"/>
      <c r="I2165" s="88"/>
      <c r="J2165" s="410"/>
      <c r="K2165" s="393">
        <f t="shared" si="8"/>
        <v>1</v>
      </c>
      <c r="L2165" s="394" t="str">
        <f>IFERROR(__xludf.DUMMYFUNCTION("JOIN("""", G2165:H2165)"),"")</f>
        <v/>
      </c>
      <c r="M2165" s="80" t="str">
        <f t="shared" si="2"/>
        <v/>
      </c>
    </row>
    <row r="2166">
      <c r="A2166" s="86"/>
      <c r="B2166" s="73"/>
      <c r="C2166" s="73"/>
      <c r="D2166" s="73"/>
      <c r="E2166" s="88"/>
      <c r="F2166" s="73"/>
      <c r="G2166" s="394"/>
      <c r="H2166" s="73"/>
      <c r="I2166" s="88"/>
      <c r="J2166" s="410"/>
      <c r="K2166" s="393">
        <f t="shared" si="8"/>
        <v>1</v>
      </c>
      <c r="L2166" s="394" t="str">
        <f>IFERROR(__xludf.DUMMYFUNCTION("JOIN("""", G2166:H2166)"),"")</f>
        <v/>
      </c>
      <c r="M2166" s="80" t="str">
        <f t="shared" si="2"/>
        <v/>
      </c>
    </row>
    <row r="2167">
      <c r="A2167" s="86"/>
      <c r="B2167" s="73"/>
      <c r="C2167" s="73"/>
      <c r="D2167" s="73"/>
      <c r="E2167" s="88"/>
      <c r="F2167" s="73"/>
      <c r="G2167" s="394"/>
      <c r="H2167" s="73"/>
      <c r="I2167" s="88"/>
      <c r="J2167" s="410"/>
      <c r="K2167" s="393">
        <f t="shared" si="8"/>
        <v>1</v>
      </c>
      <c r="L2167" s="394" t="str">
        <f>IFERROR(__xludf.DUMMYFUNCTION("JOIN("""", G2167:H2167)"),"")</f>
        <v/>
      </c>
      <c r="M2167" s="80" t="str">
        <f t="shared" si="2"/>
        <v/>
      </c>
    </row>
    <row r="2168">
      <c r="A2168" s="86"/>
      <c r="B2168" s="73"/>
      <c r="C2168" s="73"/>
      <c r="D2168" s="73"/>
      <c r="E2168" s="88"/>
      <c r="F2168" s="73"/>
      <c r="G2168" s="394"/>
      <c r="H2168" s="73"/>
      <c r="I2168" s="88"/>
      <c r="J2168" s="410"/>
      <c r="K2168" s="393">
        <f t="shared" si="8"/>
        <v>1</v>
      </c>
      <c r="L2168" s="394" t="str">
        <f>IFERROR(__xludf.DUMMYFUNCTION("JOIN("""", G2168:H2168)"),"")</f>
        <v/>
      </c>
      <c r="M2168" s="80" t="str">
        <f t="shared" si="2"/>
        <v/>
      </c>
    </row>
    <row r="2169">
      <c r="A2169" s="86"/>
      <c r="B2169" s="73"/>
      <c r="C2169" s="73"/>
      <c r="D2169" s="73"/>
      <c r="E2169" s="88"/>
      <c r="F2169" s="73"/>
      <c r="G2169" s="394"/>
      <c r="H2169" s="73"/>
      <c r="I2169" s="88"/>
      <c r="J2169" s="410"/>
      <c r="K2169" s="393">
        <f t="shared" si="8"/>
        <v>1</v>
      </c>
      <c r="L2169" s="394" t="str">
        <f>IFERROR(__xludf.DUMMYFUNCTION("JOIN("""", G2169:H2169)"),"")</f>
        <v/>
      </c>
      <c r="M2169" s="80" t="str">
        <f t="shared" si="2"/>
        <v/>
      </c>
    </row>
    <row r="2170">
      <c r="A2170" s="86"/>
      <c r="B2170" s="73"/>
      <c r="C2170" s="73"/>
      <c r="D2170" s="73"/>
      <c r="E2170" s="88"/>
      <c r="F2170" s="73"/>
      <c r="G2170" s="394"/>
      <c r="H2170" s="73"/>
      <c r="I2170" s="88"/>
      <c r="J2170" s="410"/>
      <c r="K2170" s="393">
        <f t="shared" si="8"/>
        <v>1</v>
      </c>
      <c r="L2170" s="394" t="str">
        <f>IFERROR(__xludf.DUMMYFUNCTION("JOIN("""", G2170:H2170)"),"")</f>
        <v/>
      </c>
      <c r="M2170" s="80" t="str">
        <f t="shared" si="2"/>
        <v/>
      </c>
    </row>
    <row r="2171">
      <c r="A2171" s="86"/>
      <c r="B2171" s="73"/>
      <c r="C2171" s="73"/>
      <c r="D2171" s="73"/>
      <c r="E2171" s="88"/>
      <c r="F2171" s="73"/>
      <c r="G2171" s="394"/>
      <c r="H2171" s="73"/>
      <c r="I2171" s="88"/>
      <c r="J2171" s="410"/>
      <c r="K2171" s="393">
        <f t="shared" si="8"/>
        <v>1</v>
      </c>
      <c r="L2171" s="394" t="str">
        <f>IFERROR(__xludf.DUMMYFUNCTION("JOIN("""", G2171:H2171)"),"")</f>
        <v/>
      </c>
      <c r="M2171" s="80" t="str">
        <f t="shared" si="2"/>
        <v/>
      </c>
    </row>
    <row r="2172">
      <c r="A2172" s="86"/>
      <c r="B2172" s="73"/>
      <c r="C2172" s="73"/>
      <c r="D2172" s="73"/>
      <c r="E2172" s="88"/>
      <c r="F2172" s="73"/>
      <c r="G2172" s="394"/>
      <c r="H2172" s="73"/>
      <c r="I2172" s="88"/>
      <c r="J2172" s="410"/>
      <c r="K2172" s="393">
        <f t="shared" si="8"/>
        <v>1</v>
      </c>
      <c r="L2172" s="394" t="str">
        <f>IFERROR(__xludf.DUMMYFUNCTION("JOIN("""", G2172:H2172)"),"")</f>
        <v/>
      </c>
      <c r="M2172" s="80" t="str">
        <f t="shared" si="2"/>
        <v/>
      </c>
    </row>
    <row r="2173">
      <c r="A2173" s="86"/>
      <c r="B2173" s="73"/>
      <c r="C2173" s="73"/>
      <c r="D2173" s="73"/>
      <c r="E2173" s="88"/>
      <c r="F2173" s="73"/>
      <c r="G2173" s="394"/>
      <c r="H2173" s="73"/>
      <c r="I2173" s="88"/>
      <c r="J2173" s="410"/>
      <c r="K2173" s="393">
        <f t="shared" si="8"/>
        <v>1</v>
      </c>
      <c r="L2173" s="394" t="str">
        <f>IFERROR(__xludf.DUMMYFUNCTION("JOIN("""", G2173:H2173)"),"")</f>
        <v/>
      </c>
      <c r="M2173" s="80" t="str">
        <f t="shared" si="2"/>
        <v/>
      </c>
    </row>
    <row r="2174">
      <c r="A2174" s="86"/>
      <c r="B2174" s="73"/>
      <c r="C2174" s="73"/>
      <c r="D2174" s="73"/>
      <c r="E2174" s="88"/>
      <c r="F2174" s="73"/>
      <c r="G2174" s="394"/>
      <c r="H2174" s="73"/>
      <c r="I2174" s="88"/>
      <c r="J2174" s="410"/>
      <c r="K2174" s="393">
        <f t="shared" si="8"/>
        <v>1</v>
      </c>
      <c r="L2174" s="394" t="str">
        <f>IFERROR(__xludf.DUMMYFUNCTION("JOIN("""", G2174:H2174)"),"")</f>
        <v/>
      </c>
      <c r="M2174" s="80" t="str">
        <f t="shared" si="2"/>
        <v/>
      </c>
    </row>
    <row r="2175">
      <c r="A2175" s="86"/>
      <c r="B2175" s="73"/>
      <c r="C2175" s="73"/>
      <c r="D2175" s="73"/>
      <c r="E2175" s="88"/>
      <c r="F2175" s="73"/>
      <c r="G2175" s="394"/>
      <c r="H2175" s="73"/>
      <c r="I2175" s="88"/>
      <c r="J2175" s="410"/>
      <c r="K2175" s="393">
        <f t="shared" si="8"/>
        <v>1</v>
      </c>
      <c r="L2175" s="394" t="str">
        <f>IFERROR(__xludf.DUMMYFUNCTION("JOIN("""", G2175:H2175)"),"")</f>
        <v/>
      </c>
      <c r="M2175" s="80" t="str">
        <f t="shared" si="2"/>
        <v/>
      </c>
    </row>
    <row r="2176">
      <c r="A2176" s="86"/>
      <c r="B2176" s="73"/>
      <c r="C2176" s="73"/>
      <c r="D2176" s="73"/>
      <c r="E2176" s="88"/>
      <c r="F2176" s="73"/>
      <c r="G2176" s="394"/>
      <c r="H2176" s="73"/>
      <c r="I2176" s="88"/>
      <c r="J2176" s="410"/>
      <c r="K2176" s="393">
        <f t="shared" si="8"/>
        <v>1</v>
      </c>
      <c r="L2176" s="394" t="str">
        <f>IFERROR(__xludf.DUMMYFUNCTION("JOIN("""", G2176:H2176)"),"")</f>
        <v/>
      </c>
      <c r="M2176" s="80" t="str">
        <f t="shared" si="2"/>
        <v/>
      </c>
    </row>
    <row r="2177">
      <c r="A2177" s="86"/>
      <c r="B2177" s="73"/>
      <c r="C2177" s="73"/>
      <c r="D2177" s="73"/>
      <c r="E2177" s="88"/>
      <c r="F2177" s="73"/>
      <c r="G2177" s="394"/>
      <c r="H2177" s="73"/>
      <c r="I2177" s="88"/>
      <c r="J2177" s="410"/>
      <c r="K2177" s="393">
        <f t="shared" si="8"/>
        <v>1</v>
      </c>
      <c r="L2177" s="394" t="str">
        <f>IFERROR(__xludf.DUMMYFUNCTION("JOIN("""", G2177:H2177)"),"")</f>
        <v/>
      </c>
      <c r="M2177" s="80" t="str">
        <f t="shared" si="2"/>
        <v/>
      </c>
    </row>
    <row r="2178">
      <c r="A2178" s="86"/>
      <c r="B2178" s="73"/>
      <c r="C2178" s="73"/>
      <c r="D2178" s="73"/>
      <c r="E2178" s="88"/>
      <c r="F2178" s="73"/>
      <c r="G2178" s="394"/>
      <c r="H2178" s="73"/>
      <c r="I2178" s="88"/>
      <c r="J2178" s="410"/>
      <c r="K2178" s="393">
        <f t="shared" si="8"/>
        <v>1</v>
      </c>
      <c r="L2178" s="394" t="str">
        <f>IFERROR(__xludf.DUMMYFUNCTION("JOIN("""", G2178:H2178)"),"")</f>
        <v/>
      </c>
      <c r="M2178" s="80" t="str">
        <f t="shared" si="2"/>
        <v/>
      </c>
    </row>
    <row r="2179">
      <c r="A2179" s="86"/>
      <c r="B2179" s="73"/>
      <c r="C2179" s="73"/>
      <c r="D2179" s="73"/>
      <c r="E2179" s="88"/>
      <c r="F2179" s="73"/>
      <c r="G2179" s="394"/>
      <c r="H2179" s="73"/>
      <c r="I2179" s="88"/>
      <c r="J2179" s="410"/>
      <c r="K2179" s="393">
        <f t="shared" si="8"/>
        <v>1</v>
      </c>
      <c r="L2179" s="394" t="str">
        <f>IFERROR(__xludf.DUMMYFUNCTION("JOIN("""", G2179:H2179)"),"")</f>
        <v/>
      </c>
      <c r="M2179" s="80" t="str">
        <f t="shared" si="2"/>
        <v/>
      </c>
    </row>
    <row r="2180">
      <c r="A2180" s="86"/>
      <c r="B2180" s="73"/>
      <c r="C2180" s="73"/>
      <c r="D2180" s="73"/>
      <c r="E2180" s="88"/>
      <c r="F2180" s="73"/>
      <c r="G2180" s="394"/>
      <c r="H2180" s="73"/>
      <c r="I2180" s="88"/>
      <c r="J2180" s="410"/>
      <c r="K2180" s="393">
        <f t="shared" si="8"/>
        <v>1</v>
      </c>
      <c r="L2180" s="394" t="str">
        <f>IFERROR(__xludf.DUMMYFUNCTION("JOIN("""", G2180:H2180)"),"")</f>
        <v/>
      </c>
      <c r="M2180" s="80" t="str">
        <f t="shared" si="2"/>
        <v/>
      </c>
    </row>
    <row r="2181">
      <c r="A2181" s="86"/>
      <c r="B2181" s="73"/>
      <c r="C2181" s="73"/>
      <c r="D2181" s="73"/>
      <c r="E2181" s="88"/>
      <c r="F2181" s="73"/>
      <c r="G2181" s="394"/>
      <c r="H2181" s="73"/>
      <c r="I2181" s="88"/>
      <c r="J2181" s="410"/>
      <c r="K2181" s="393">
        <f t="shared" si="8"/>
        <v>1</v>
      </c>
      <c r="L2181" s="394" t="str">
        <f>IFERROR(__xludf.DUMMYFUNCTION("JOIN("""", G2181:H2181)"),"")</f>
        <v/>
      </c>
      <c r="M2181" s="80" t="str">
        <f t="shared" si="2"/>
        <v/>
      </c>
    </row>
    <row r="2182">
      <c r="A2182" s="86"/>
      <c r="B2182" s="73"/>
      <c r="C2182" s="73"/>
      <c r="D2182" s="73"/>
      <c r="E2182" s="88"/>
      <c r="F2182" s="73"/>
      <c r="G2182" s="394"/>
      <c r="H2182" s="73"/>
      <c r="I2182" s="88"/>
      <c r="J2182" s="410"/>
      <c r="K2182" s="393">
        <f t="shared" si="8"/>
        <v>1</v>
      </c>
      <c r="L2182" s="394" t="str">
        <f>IFERROR(__xludf.DUMMYFUNCTION("JOIN("""", G2182:H2182)"),"")</f>
        <v/>
      </c>
      <c r="M2182" s="80" t="str">
        <f t="shared" si="2"/>
        <v/>
      </c>
    </row>
    <row r="2183">
      <c r="A2183" s="86"/>
      <c r="B2183" s="73"/>
      <c r="C2183" s="73"/>
      <c r="D2183" s="73"/>
      <c r="E2183" s="88"/>
      <c r="F2183" s="73"/>
      <c r="G2183" s="394"/>
      <c r="H2183" s="73"/>
      <c r="I2183" s="88"/>
      <c r="J2183" s="410"/>
      <c r="K2183" s="393">
        <f t="shared" si="8"/>
        <v>1</v>
      </c>
      <c r="L2183" s="394" t="str">
        <f>IFERROR(__xludf.DUMMYFUNCTION("JOIN("""", G2183:H2183)"),"")</f>
        <v/>
      </c>
      <c r="M2183" s="80" t="str">
        <f t="shared" si="2"/>
        <v/>
      </c>
    </row>
    <row r="2184">
      <c r="A2184" s="86"/>
      <c r="B2184" s="73"/>
      <c r="C2184" s="73"/>
      <c r="D2184" s="73"/>
      <c r="E2184" s="88"/>
      <c r="F2184" s="73"/>
      <c r="G2184" s="394"/>
      <c r="H2184" s="73"/>
      <c r="I2184" s="88"/>
      <c r="J2184" s="410"/>
      <c r="K2184" s="393">
        <f t="shared" si="8"/>
        <v>1</v>
      </c>
      <c r="L2184" s="394" t="str">
        <f>IFERROR(__xludf.DUMMYFUNCTION("JOIN("""", G2184:H2184)"),"")</f>
        <v/>
      </c>
      <c r="M2184" s="80" t="str">
        <f t="shared" si="2"/>
        <v/>
      </c>
    </row>
    <row r="2185">
      <c r="A2185" s="86"/>
      <c r="B2185" s="73"/>
      <c r="C2185" s="73"/>
      <c r="D2185" s="73"/>
      <c r="E2185" s="88"/>
      <c r="F2185" s="73"/>
      <c r="G2185" s="394"/>
      <c r="H2185" s="73"/>
      <c r="I2185" s="88"/>
      <c r="J2185" s="410"/>
      <c r="K2185" s="393">
        <f t="shared" si="8"/>
        <v>1</v>
      </c>
      <c r="L2185" s="394" t="str">
        <f>IFERROR(__xludf.DUMMYFUNCTION("JOIN("""", G2185:H2185)"),"")</f>
        <v/>
      </c>
      <c r="M2185" s="80" t="str">
        <f t="shared" si="2"/>
        <v/>
      </c>
    </row>
    <row r="2186">
      <c r="A2186" s="86"/>
      <c r="B2186" s="73"/>
      <c r="C2186" s="73"/>
      <c r="D2186" s="73"/>
      <c r="E2186" s="88"/>
      <c r="F2186" s="73"/>
      <c r="G2186" s="394"/>
      <c r="H2186" s="73"/>
      <c r="I2186" s="88"/>
      <c r="J2186" s="410"/>
      <c r="K2186" s="393">
        <f t="shared" si="8"/>
        <v>1</v>
      </c>
      <c r="L2186" s="394" t="str">
        <f>IFERROR(__xludf.DUMMYFUNCTION("JOIN("""", G2186:H2186)"),"")</f>
        <v/>
      </c>
      <c r="M2186" s="80" t="str">
        <f t="shared" si="2"/>
        <v/>
      </c>
    </row>
    <row r="2187">
      <c r="A2187" s="86"/>
      <c r="B2187" s="73"/>
      <c r="C2187" s="73"/>
      <c r="D2187" s="73"/>
      <c r="E2187" s="88"/>
      <c r="F2187" s="73"/>
      <c r="G2187" s="394"/>
      <c r="H2187" s="73"/>
      <c r="I2187" s="88"/>
      <c r="J2187" s="410"/>
      <c r="K2187" s="393">
        <f t="shared" si="8"/>
        <v>1</v>
      </c>
      <c r="L2187" s="394" t="str">
        <f>IFERROR(__xludf.DUMMYFUNCTION("JOIN("""", G2187:H2187)"),"")</f>
        <v/>
      </c>
      <c r="M2187" s="80" t="str">
        <f t="shared" si="2"/>
        <v/>
      </c>
    </row>
    <row r="2188">
      <c r="A2188" s="86"/>
      <c r="B2188" s="73"/>
      <c r="C2188" s="73"/>
      <c r="D2188" s="73"/>
      <c r="E2188" s="88"/>
      <c r="F2188" s="73"/>
      <c r="G2188" s="394"/>
      <c r="H2188" s="73"/>
      <c r="I2188" s="88"/>
      <c r="J2188" s="410"/>
      <c r="K2188" s="393">
        <f t="shared" si="8"/>
        <v>1</v>
      </c>
      <c r="L2188" s="394" t="str">
        <f>IFERROR(__xludf.DUMMYFUNCTION("JOIN("""", G2188:H2188)"),"")</f>
        <v/>
      </c>
      <c r="M2188" s="80" t="str">
        <f t="shared" si="2"/>
        <v/>
      </c>
    </row>
    <row r="2189">
      <c r="A2189" s="86"/>
      <c r="B2189" s="73"/>
      <c r="C2189" s="73"/>
      <c r="D2189" s="73"/>
      <c r="E2189" s="88"/>
      <c r="F2189" s="73"/>
      <c r="G2189" s="394"/>
      <c r="H2189" s="73"/>
      <c r="I2189" s="88"/>
      <c r="J2189" s="410"/>
      <c r="K2189" s="393">
        <f t="shared" si="8"/>
        <v>1</v>
      </c>
      <c r="L2189" s="394" t="str">
        <f>IFERROR(__xludf.DUMMYFUNCTION("JOIN("""", G2189:H2189)"),"")</f>
        <v/>
      </c>
      <c r="M2189" s="80" t="str">
        <f t="shared" si="2"/>
        <v/>
      </c>
    </row>
    <row r="2190">
      <c r="A2190" s="86"/>
      <c r="B2190" s="73"/>
      <c r="C2190" s="73"/>
      <c r="D2190" s="73"/>
      <c r="E2190" s="88"/>
      <c r="F2190" s="73"/>
      <c r="G2190" s="394"/>
      <c r="H2190" s="73"/>
      <c r="I2190" s="88"/>
      <c r="J2190" s="410"/>
      <c r="K2190" s="393">
        <f t="shared" si="8"/>
        <v>1</v>
      </c>
      <c r="L2190" s="394" t="str">
        <f>IFERROR(__xludf.DUMMYFUNCTION("JOIN("""", G2190:H2190)"),"")</f>
        <v/>
      </c>
      <c r="M2190" s="80" t="str">
        <f t="shared" si="2"/>
        <v/>
      </c>
    </row>
    <row r="2191">
      <c r="A2191" s="86"/>
      <c r="B2191" s="73"/>
      <c r="C2191" s="73"/>
      <c r="D2191" s="73"/>
      <c r="E2191" s="88"/>
      <c r="F2191" s="73"/>
      <c r="G2191" s="394"/>
      <c r="H2191" s="73"/>
      <c r="I2191" s="88"/>
      <c r="J2191" s="410"/>
      <c r="K2191" s="393">
        <f t="shared" si="8"/>
        <v>1</v>
      </c>
      <c r="L2191" s="394" t="str">
        <f>IFERROR(__xludf.DUMMYFUNCTION("JOIN("""", G2191:H2191)"),"")</f>
        <v/>
      </c>
      <c r="M2191" s="80" t="str">
        <f t="shared" si="2"/>
        <v/>
      </c>
    </row>
    <row r="2192">
      <c r="A2192" s="86"/>
      <c r="B2192" s="73"/>
      <c r="C2192" s="73"/>
      <c r="D2192" s="73"/>
      <c r="E2192" s="88"/>
      <c r="F2192" s="73"/>
      <c r="G2192" s="394"/>
      <c r="H2192" s="73"/>
      <c r="I2192" s="88"/>
      <c r="J2192" s="410"/>
      <c r="K2192" s="393">
        <f t="shared" si="8"/>
        <v>1</v>
      </c>
      <c r="L2192" s="394" t="str">
        <f>IFERROR(__xludf.DUMMYFUNCTION("JOIN("""", G2192:H2192)"),"")</f>
        <v/>
      </c>
      <c r="M2192" s="80" t="str">
        <f t="shared" si="2"/>
        <v/>
      </c>
    </row>
    <row r="2193">
      <c r="A2193" s="86"/>
      <c r="B2193" s="73"/>
      <c r="C2193" s="73"/>
      <c r="D2193" s="73"/>
      <c r="E2193" s="88"/>
      <c r="F2193" s="73"/>
      <c r="G2193" s="394"/>
      <c r="H2193" s="73"/>
      <c r="I2193" s="88"/>
      <c r="J2193" s="410"/>
      <c r="K2193" s="393">
        <f t="shared" si="8"/>
        <v>1</v>
      </c>
      <c r="L2193" s="394" t="str">
        <f>IFERROR(__xludf.DUMMYFUNCTION("JOIN("""", G2193:H2193)"),"")</f>
        <v/>
      </c>
      <c r="M2193" s="80" t="str">
        <f t="shared" si="2"/>
        <v/>
      </c>
    </row>
    <row r="2194">
      <c r="A2194" s="86"/>
      <c r="B2194" s="73"/>
      <c r="C2194" s="73"/>
      <c r="D2194" s="73"/>
      <c r="E2194" s="88"/>
      <c r="F2194" s="73"/>
      <c r="G2194" s="394"/>
      <c r="H2194" s="73"/>
      <c r="I2194" s="88"/>
      <c r="J2194" s="410"/>
      <c r="K2194" s="393">
        <f t="shared" si="8"/>
        <v>1</v>
      </c>
      <c r="L2194" s="394" t="str">
        <f>IFERROR(__xludf.DUMMYFUNCTION("JOIN("""", G2194:H2194)"),"")</f>
        <v/>
      </c>
      <c r="M2194" s="80" t="str">
        <f t="shared" si="2"/>
        <v/>
      </c>
    </row>
    <row r="2195">
      <c r="A2195" s="86"/>
      <c r="B2195" s="73"/>
      <c r="C2195" s="73"/>
      <c r="D2195" s="73"/>
      <c r="E2195" s="88"/>
      <c r="F2195" s="73"/>
      <c r="G2195" s="394"/>
      <c r="H2195" s="73"/>
      <c r="I2195" s="88"/>
      <c r="J2195" s="410"/>
      <c r="K2195" s="393">
        <f t="shared" si="8"/>
        <v>1</v>
      </c>
      <c r="L2195" s="394" t="str">
        <f>IFERROR(__xludf.DUMMYFUNCTION("JOIN("""", G2195:H2195)"),"")</f>
        <v/>
      </c>
      <c r="M2195" s="80" t="str">
        <f t="shared" si="2"/>
        <v/>
      </c>
    </row>
    <row r="2196">
      <c r="A2196" s="86"/>
      <c r="B2196" s="73"/>
      <c r="C2196" s="73"/>
      <c r="D2196" s="73"/>
      <c r="E2196" s="88"/>
      <c r="F2196" s="73"/>
      <c r="G2196" s="394"/>
      <c r="H2196" s="73"/>
      <c r="I2196" s="88"/>
      <c r="J2196" s="410"/>
      <c r="K2196" s="393">
        <f t="shared" si="8"/>
        <v>1</v>
      </c>
      <c r="L2196" s="394" t="str">
        <f>IFERROR(__xludf.DUMMYFUNCTION("JOIN("""", G2196:H2196)"),"")</f>
        <v/>
      </c>
      <c r="M2196" s="80" t="str">
        <f t="shared" si="2"/>
        <v/>
      </c>
    </row>
    <row r="2197">
      <c r="A2197" s="86"/>
      <c r="B2197" s="73"/>
      <c r="C2197" s="73"/>
      <c r="D2197" s="73"/>
      <c r="E2197" s="88"/>
      <c r="F2197" s="73"/>
      <c r="G2197" s="394"/>
      <c r="H2197" s="73"/>
      <c r="I2197" s="88"/>
      <c r="J2197" s="410"/>
      <c r="K2197" s="393">
        <f t="shared" si="8"/>
        <v>1</v>
      </c>
      <c r="L2197" s="394" t="str">
        <f>IFERROR(__xludf.DUMMYFUNCTION("JOIN("""", G2197:H2197)"),"")</f>
        <v/>
      </c>
      <c r="M2197" s="80" t="str">
        <f t="shared" si="2"/>
        <v/>
      </c>
    </row>
    <row r="2198">
      <c r="A2198" s="86"/>
      <c r="B2198" s="73"/>
      <c r="C2198" s="73"/>
      <c r="D2198" s="73"/>
      <c r="E2198" s="88"/>
      <c r="F2198" s="73"/>
      <c r="G2198" s="394"/>
      <c r="H2198" s="73"/>
      <c r="I2198" s="88"/>
      <c r="J2198" s="410"/>
      <c r="K2198" s="393">
        <f t="shared" si="8"/>
        <v>1</v>
      </c>
      <c r="L2198" s="394" t="str">
        <f>IFERROR(__xludf.DUMMYFUNCTION("JOIN("""", G2198:H2198)"),"")</f>
        <v/>
      </c>
      <c r="M2198" s="80" t="str">
        <f t="shared" si="2"/>
        <v/>
      </c>
    </row>
    <row r="2199">
      <c r="A2199" s="86"/>
      <c r="B2199" s="73"/>
      <c r="C2199" s="73"/>
      <c r="D2199" s="73"/>
      <c r="E2199" s="88"/>
      <c r="F2199" s="73"/>
      <c r="G2199" s="394"/>
      <c r="H2199" s="73"/>
      <c r="I2199" s="88"/>
      <c r="J2199" s="410"/>
      <c r="K2199" s="393">
        <f t="shared" si="8"/>
        <v>1</v>
      </c>
      <c r="L2199" s="394" t="str">
        <f>IFERROR(__xludf.DUMMYFUNCTION("JOIN("""", G2199:H2199)"),"")</f>
        <v/>
      </c>
      <c r="M2199" s="80" t="str">
        <f t="shared" si="2"/>
        <v/>
      </c>
    </row>
    <row r="2200">
      <c r="A2200" s="86"/>
      <c r="B2200" s="73"/>
      <c r="C2200" s="73"/>
      <c r="D2200" s="73"/>
      <c r="E2200" s="88"/>
      <c r="F2200" s="73"/>
      <c r="G2200" s="394"/>
      <c r="H2200" s="73"/>
      <c r="I2200" s="88"/>
      <c r="J2200" s="410"/>
      <c r="K2200" s="393">
        <f t="shared" si="8"/>
        <v>1</v>
      </c>
      <c r="L2200" s="394" t="str">
        <f>IFERROR(__xludf.DUMMYFUNCTION("JOIN("""", G2200:H2200)"),"")</f>
        <v/>
      </c>
      <c r="M2200" s="80" t="str">
        <f t="shared" si="2"/>
        <v/>
      </c>
    </row>
    <row r="2201">
      <c r="A2201" s="86"/>
      <c r="B2201" s="73"/>
      <c r="C2201" s="73"/>
      <c r="D2201" s="73"/>
      <c r="E2201" s="88"/>
      <c r="F2201" s="73"/>
      <c r="G2201" s="394"/>
      <c r="H2201" s="73"/>
      <c r="I2201" s="88"/>
      <c r="J2201" s="410"/>
      <c r="K2201" s="393">
        <f t="shared" si="8"/>
        <v>1</v>
      </c>
      <c r="L2201" s="394" t="str">
        <f>IFERROR(__xludf.DUMMYFUNCTION("JOIN("""", G2201:H2201)"),"")</f>
        <v/>
      </c>
      <c r="M2201" s="80" t="str">
        <f t="shared" si="2"/>
        <v/>
      </c>
    </row>
    <row r="2202">
      <c r="A2202" s="86"/>
      <c r="B2202" s="73"/>
      <c r="C2202" s="73"/>
      <c r="D2202" s="73"/>
      <c r="E2202" s="88"/>
      <c r="F2202" s="73"/>
      <c r="G2202" s="394"/>
      <c r="H2202" s="73"/>
      <c r="I2202" s="88"/>
      <c r="J2202" s="410"/>
      <c r="K2202" s="393">
        <f t="shared" si="8"/>
        <v>1</v>
      </c>
      <c r="L2202" s="394" t="str">
        <f>IFERROR(__xludf.DUMMYFUNCTION("JOIN("""", G2202:H2202)"),"")</f>
        <v/>
      </c>
      <c r="M2202" s="80" t="str">
        <f t="shared" si="2"/>
        <v/>
      </c>
    </row>
    <row r="2203">
      <c r="A2203" s="86"/>
      <c r="B2203" s="73"/>
      <c r="C2203" s="73"/>
      <c r="D2203" s="73"/>
      <c r="E2203" s="88"/>
      <c r="F2203" s="73"/>
      <c r="G2203" s="394"/>
      <c r="H2203" s="73"/>
      <c r="I2203" s="88"/>
      <c r="J2203" s="410"/>
      <c r="K2203" s="393">
        <f t="shared" si="8"/>
        <v>1</v>
      </c>
      <c r="L2203" s="394" t="str">
        <f>IFERROR(__xludf.DUMMYFUNCTION("JOIN("""", G2203:H2203)"),"")</f>
        <v/>
      </c>
      <c r="M2203" s="80" t="str">
        <f t="shared" si="2"/>
        <v/>
      </c>
    </row>
    <row r="2204">
      <c r="A2204" s="86"/>
      <c r="B2204" s="73"/>
      <c r="C2204" s="73"/>
      <c r="D2204" s="73"/>
      <c r="E2204" s="88"/>
      <c r="F2204" s="73"/>
      <c r="G2204" s="394"/>
      <c r="H2204" s="73"/>
      <c r="I2204" s="88"/>
      <c r="J2204" s="410"/>
      <c r="K2204" s="393">
        <f t="shared" si="8"/>
        <v>1</v>
      </c>
      <c r="L2204" s="394" t="str">
        <f>IFERROR(__xludf.DUMMYFUNCTION("JOIN("""", G2204:H2204)"),"")</f>
        <v/>
      </c>
      <c r="M2204" s="80" t="str">
        <f t="shared" si="2"/>
        <v/>
      </c>
    </row>
    <row r="2205">
      <c r="A2205" s="86"/>
      <c r="B2205" s="73"/>
      <c r="C2205" s="73"/>
      <c r="D2205" s="73"/>
      <c r="E2205" s="88"/>
      <c r="F2205" s="73"/>
      <c r="G2205" s="394"/>
      <c r="H2205" s="73"/>
      <c r="I2205" s="88"/>
      <c r="J2205" s="410"/>
      <c r="K2205" s="393">
        <f t="shared" si="8"/>
        <v>1</v>
      </c>
      <c r="L2205" s="394" t="str">
        <f>IFERROR(__xludf.DUMMYFUNCTION("JOIN("""", G2205:H2205)"),"")</f>
        <v/>
      </c>
      <c r="M2205" s="80" t="str">
        <f t="shared" si="2"/>
        <v/>
      </c>
    </row>
    <row r="2206">
      <c r="A2206" s="86"/>
      <c r="B2206" s="73"/>
      <c r="C2206" s="73"/>
      <c r="D2206" s="73"/>
      <c r="E2206" s="88"/>
      <c r="F2206" s="73"/>
      <c r="G2206" s="394"/>
      <c r="H2206" s="73"/>
      <c r="I2206" s="88"/>
      <c r="J2206" s="410"/>
      <c r="K2206" s="393">
        <f t="shared" si="8"/>
        <v>1</v>
      </c>
      <c r="L2206" s="394" t="str">
        <f>IFERROR(__xludf.DUMMYFUNCTION("JOIN("""", G2206:H2206)"),"")</f>
        <v/>
      </c>
      <c r="M2206" s="80" t="str">
        <f t="shared" si="2"/>
        <v/>
      </c>
    </row>
    <row r="2207">
      <c r="A2207" s="86"/>
      <c r="B2207" s="73"/>
      <c r="C2207" s="73"/>
      <c r="D2207" s="73"/>
      <c r="E2207" s="88"/>
      <c r="F2207" s="73"/>
      <c r="G2207" s="394"/>
      <c r="H2207" s="73"/>
      <c r="I2207" s="88"/>
      <c r="J2207" s="410"/>
      <c r="K2207" s="393">
        <f t="shared" si="8"/>
        <v>1</v>
      </c>
      <c r="L2207" s="394" t="str">
        <f>IFERROR(__xludf.DUMMYFUNCTION("JOIN("""", G2207:H2207)"),"")</f>
        <v/>
      </c>
      <c r="M2207" s="80" t="str">
        <f t="shared" si="2"/>
        <v/>
      </c>
    </row>
    <row r="2208">
      <c r="A2208" s="86"/>
      <c r="B2208" s="73"/>
      <c r="C2208" s="73"/>
      <c r="D2208" s="73"/>
      <c r="E2208" s="88"/>
      <c r="F2208" s="73"/>
      <c r="G2208" s="394"/>
      <c r="H2208" s="73"/>
      <c r="I2208" s="88"/>
      <c r="J2208" s="410"/>
      <c r="K2208" s="393">
        <f t="shared" si="8"/>
        <v>1</v>
      </c>
      <c r="L2208" s="394" t="str">
        <f>IFERROR(__xludf.DUMMYFUNCTION("JOIN("""", G2208:H2208)"),"")</f>
        <v/>
      </c>
      <c r="M2208" s="80" t="str">
        <f t="shared" si="2"/>
        <v/>
      </c>
    </row>
    <row r="2209">
      <c r="A2209" s="86"/>
      <c r="B2209" s="73"/>
      <c r="C2209" s="73"/>
      <c r="D2209" s="73"/>
      <c r="E2209" s="88"/>
      <c r="F2209" s="73"/>
      <c r="G2209" s="394"/>
      <c r="H2209" s="73"/>
      <c r="I2209" s="88"/>
      <c r="J2209" s="410"/>
      <c r="K2209" s="393">
        <f t="shared" si="8"/>
        <v>1</v>
      </c>
      <c r="L2209" s="394" t="str">
        <f>IFERROR(__xludf.DUMMYFUNCTION("JOIN("""", G2209:H2209)"),"")</f>
        <v/>
      </c>
      <c r="M2209" s="80" t="str">
        <f t="shared" si="2"/>
        <v/>
      </c>
    </row>
    <row r="2210">
      <c r="A2210" s="86"/>
      <c r="B2210" s="73"/>
      <c r="C2210" s="73"/>
      <c r="D2210" s="73"/>
      <c r="E2210" s="88"/>
      <c r="F2210" s="73"/>
      <c r="G2210" s="394"/>
      <c r="H2210" s="73"/>
      <c r="I2210" s="88"/>
      <c r="J2210" s="410"/>
      <c r="K2210" s="393">
        <f t="shared" si="8"/>
        <v>1</v>
      </c>
      <c r="L2210" s="394" t="str">
        <f>IFERROR(__xludf.DUMMYFUNCTION("JOIN("""", G2210:H2210)"),"")</f>
        <v/>
      </c>
      <c r="M2210" s="80" t="str">
        <f t="shared" si="2"/>
        <v/>
      </c>
    </row>
    <row r="2211">
      <c r="A2211" s="86"/>
      <c r="B2211" s="73"/>
      <c r="C2211" s="73"/>
      <c r="D2211" s="73"/>
      <c r="E2211" s="88"/>
      <c r="F2211" s="73"/>
      <c r="G2211" s="394"/>
      <c r="H2211" s="73"/>
      <c r="I2211" s="88"/>
      <c r="J2211" s="410"/>
      <c r="K2211" s="393">
        <f t="shared" si="8"/>
        <v>1</v>
      </c>
      <c r="L2211" s="394" t="str">
        <f>IFERROR(__xludf.DUMMYFUNCTION("JOIN("""", G2211:H2211)"),"")</f>
        <v/>
      </c>
      <c r="M2211" s="80" t="str">
        <f t="shared" si="2"/>
        <v/>
      </c>
    </row>
    <row r="2212">
      <c r="A2212" s="86"/>
      <c r="B2212" s="73"/>
      <c r="C2212" s="73"/>
      <c r="D2212" s="73"/>
      <c r="E2212" s="88"/>
      <c r="F2212" s="73"/>
      <c r="G2212" s="394"/>
      <c r="H2212" s="73"/>
      <c r="I2212" s="88"/>
      <c r="J2212" s="410"/>
      <c r="K2212" s="393">
        <f t="shared" si="8"/>
        <v>1</v>
      </c>
      <c r="L2212" s="394" t="str">
        <f>IFERROR(__xludf.DUMMYFUNCTION("JOIN("""", G2212:H2212)"),"")</f>
        <v/>
      </c>
      <c r="M2212" s="80" t="str">
        <f t="shared" si="2"/>
        <v/>
      </c>
    </row>
    <row r="2213">
      <c r="A2213" s="86"/>
      <c r="B2213" s="73"/>
      <c r="C2213" s="73"/>
      <c r="D2213" s="73"/>
      <c r="E2213" s="88"/>
      <c r="F2213" s="73"/>
      <c r="G2213" s="394"/>
      <c r="H2213" s="73"/>
      <c r="I2213" s="88"/>
      <c r="J2213" s="410"/>
      <c r="K2213" s="393">
        <f t="shared" si="8"/>
        <v>1</v>
      </c>
      <c r="L2213" s="394" t="str">
        <f>IFERROR(__xludf.DUMMYFUNCTION("JOIN("""", G2213:H2213)"),"")</f>
        <v/>
      </c>
      <c r="M2213" s="80" t="str">
        <f t="shared" si="2"/>
        <v/>
      </c>
    </row>
    <row r="2214">
      <c r="A2214" s="86"/>
      <c r="B2214" s="73"/>
      <c r="C2214" s="73"/>
      <c r="D2214" s="73"/>
      <c r="E2214" s="88"/>
      <c r="F2214" s="73"/>
      <c r="G2214" s="394"/>
      <c r="H2214" s="73"/>
      <c r="I2214" s="88"/>
      <c r="J2214" s="410"/>
      <c r="K2214" s="393">
        <f t="shared" si="8"/>
        <v>1</v>
      </c>
      <c r="L2214" s="394" t="str">
        <f>IFERROR(__xludf.DUMMYFUNCTION("JOIN("""", G2214:H2214)"),"")</f>
        <v/>
      </c>
      <c r="M2214" s="80" t="str">
        <f t="shared" si="2"/>
        <v/>
      </c>
    </row>
    <row r="2215">
      <c r="A2215" s="86"/>
      <c r="B2215" s="73"/>
      <c r="C2215" s="73"/>
      <c r="D2215" s="73"/>
      <c r="E2215" s="88"/>
      <c r="F2215" s="73"/>
      <c r="G2215" s="394"/>
      <c r="H2215" s="73"/>
      <c r="I2215" s="88"/>
      <c r="J2215" s="410"/>
      <c r="K2215" s="393">
        <f t="shared" si="8"/>
        <v>1</v>
      </c>
      <c r="L2215" s="394" t="str">
        <f>IFERROR(__xludf.DUMMYFUNCTION("JOIN("""", G2215:H2215)"),"")</f>
        <v/>
      </c>
      <c r="M2215" s="80" t="str">
        <f t="shared" si="2"/>
        <v/>
      </c>
    </row>
    <row r="2216">
      <c r="A2216" s="86"/>
      <c r="B2216" s="73"/>
      <c r="C2216" s="73"/>
      <c r="D2216" s="73"/>
      <c r="E2216" s="88"/>
      <c r="F2216" s="73"/>
      <c r="G2216" s="394"/>
      <c r="H2216" s="73"/>
      <c r="I2216" s="88"/>
      <c r="J2216" s="410"/>
      <c r="K2216" s="393">
        <f t="shared" si="8"/>
        <v>1</v>
      </c>
      <c r="L2216" s="394" t="str">
        <f>IFERROR(__xludf.DUMMYFUNCTION("JOIN("""", G2216:H2216)"),"")</f>
        <v/>
      </c>
      <c r="M2216" s="80" t="str">
        <f t="shared" si="2"/>
        <v/>
      </c>
    </row>
    <row r="2217">
      <c r="A2217" s="86"/>
      <c r="B2217" s="73"/>
      <c r="C2217" s="73"/>
      <c r="D2217" s="73"/>
      <c r="E2217" s="88"/>
      <c r="F2217" s="73"/>
      <c r="G2217" s="394"/>
      <c r="H2217" s="73"/>
      <c r="I2217" s="88"/>
      <c r="J2217" s="410"/>
      <c r="K2217" s="393">
        <f t="shared" si="8"/>
        <v>1</v>
      </c>
      <c r="L2217" s="394" t="str">
        <f>IFERROR(__xludf.DUMMYFUNCTION("JOIN("""", G2217:H2217)"),"")</f>
        <v/>
      </c>
      <c r="M2217" s="80" t="str">
        <f t="shared" si="2"/>
        <v/>
      </c>
    </row>
    <row r="2218">
      <c r="A2218" s="86"/>
      <c r="B2218" s="73"/>
      <c r="C2218" s="73"/>
      <c r="D2218" s="73"/>
      <c r="E2218" s="88"/>
      <c r="F2218" s="73"/>
      <c r="G2218" s="394"/>
      <c r="H2218" s="73"/>
      <c r="I2218" s="88"/>
      <c r="J2218" s="410"/>
      <c r="K2218" s="393">
        <f t="shared" si="8"/>
        <v>1</v>
      </c>
      <c r="L2218" s="394" t="str">
        <f>IFERROR(__xludf.DUMMYFUNCTION("JOIN("""", G2218:H2218)"),"")</f>
        <v/>
      </c>
      <c r="M2218" s="80" t="str">
        <f t="shared" si="2"/>
        <v/>
      </c>
    </row>
    <row r="2219">
      <c r="A2219" s="86"/>
      <c r="B2219" s="73"/>
      <c r="C2219" s="73"/>
      <c r="D2219" s="73"/>
      <c r="E2219" s="88"/>
      <c r="F2219" s="73"/>
      <c r="G2219" s="394"/>
      <c r="H2219" s="73"/>
      <c r="I2219" s="88"/>
      <c r="J2219" s="410"/>
      <c r="K2219" s="393">
        <f t="shared" si="8"/>
        <v>1</v>
      </c>
      <c r="L2219" s="394" t="str">
        <f>IFERROR(__xludf.DUMMYFUNCTION("JOIN("""", G2219:H2219)"),"")</f>
        <v/>
      </c>
      <c r="M2219" s="80" t="str">
        <f t="shared" si="2"/>
        <v/>
      </c>
    </row>
    <row r="2220">
      <c r="A2220" s="86"/>
      <c r="B2220" s="73"/>
      <c r="C2220" s="73"/>
      <c r="D2220" s="73"/>
      <c r="E2220" s="88"/>
      <c r="F2220" s="73"/>
      <c r="G2220" s="394"/>
      <c r="H2220" s="73"/>
      <c r="I2220" s="88"/>
      <c r="J2220" s="410"/>
      <c r="K2220" s="393">
        <f t="shared" si="8"/>
        <v>1</v>
      </c>
      <c r="L2220" s="394" t="str">
        <f>IFERROR(__xludf.DUMMYFUNCTION("JOIN("""", G2220:H2220)"),"")</f>
        <v/>
      </c>
      <c r="M2220" s="80" t="str">
        <f t="shared" si="2"/>
        <v/>
      </c>
    </row>
    <row r="2221">
      <c r="A2221" s="86"/>
      <c r="B2221" s="73"/>
      <c r="C2221" s="73"/>
      <c r="D2221" s="73"/>
      <c r="E2221" s="88"/>
      <c r="F2221" s="73"/>
      <c r="G2221" s="394"/>
      <c r="H2221" s="73"/>
      <c r="I2221" s="88"/>
      <c r="J2221" s="410"/>
      <c r="K2221" s="393">
        <f t="shared" si="8"/>
        <v>1</v>
      </c>
      <c r="L2221" s="394" t="str">
        <f>IFERROR(__xludf.DUMMYFUNCTION("JOIN("""", G2221:H2221)"),"")</f>
        <v/>
      </c>
      <c r="M2221" s="80" t="str">
        <f t="shared" si="2"/>
        <v/>
      </c>
    </row>
    <row r="2222">
      <c r="A2222" s="86"/>
      <c r="B2222" s="73"/>
      <c r="C2222" s="73"/>
      <c r="D2222" s="73"/>
      <c r="E2222" s="88"/>
      <c r="F2222" s="73"/>
      <c r="G2222" s="394"/>
      <c r="H2222" s="73"/>
      <c r="I2222" s="88"/>
      <c r="J2222" s="410"/>
      <c r="K2222" s="393">
        <f t="shared" si="8"/>
        <v>1</v>
      </c>
      <c r="L2222" s="394" t="str">
        <f>IFERROR(__xludf.DUMMYFUNCTION("JOIN("""", G2222:H2222)"),"")</f>
        <v/>
      </c>
      <c r="M2222" s="80" t="str">
        <f t="shared" si="2"/>
        <v/>
      </c>
    </row>
    <row r="2223">
      <c r="A2223" s="86"/>
      <c r="B2223" s="73"/>
      <c r="C2223" s="73"/>
      <c r="D2223" s="73"/>
      <c r="E2223" s="88"/>
      <c r="F2223" s="73"/>
      <c r="G2223" s="394"/>
      <c r="H2223" s="73"/>
      <c r="I2223" s="88"/>
      <c r="J2223" s="410"/>
      <c r="K2223" s="393">
        <f t="shared" si="8"/>
        <v>1</v>
      </c>
      <c r="L2223" s="394" t="str">
        <f>IFERROR(__xludf.DUMMYFUNCTION("JOIN("""", G2223:H2223)"),"")</f>
        <v/>
      </c>
      <c r="M2223" s="80" t="str">
        <f t="shared" si="2"/>
        <v/>
      </c>
    </row>
    <row r="2224">
      <c r="A2224" s="86"/>
      <c r="B2224" s="73"/>
      <c r="C2224" s="73"/>
      <c r="D2224" s="73"/>
      <c r="E2224" s="88"/>
      <c r="F2224" s="73"/>
      <c r="G2224" s="394"/>
      <c r="H2224" s="73"/>
      <c r="I2224" s="88"/>
      <c r="J2224" s="410"/>
      <c r="K2224" s="393">
        <f t="shared" si="8"/>
        <v>1</v>
      </c>
      <c r="L2224" s="394" t="str">
        <f>IFERROR(__xludf.DUMMYFUNCTION("JOIN("""", G2224:H2224)"),"")</f>
        <v/>
      </c>
      <c r="M2224" s="80" t="str">
        <f t="shared" si="2"/>
        <v/>
      </c>
    </row>
    <row r="2225">
      <c r="A2225" s="86"/>
      <c r="B2225" s="73"/>
      <c r="C2225" s="73"/>
      <c r="D2225" s="73"/>
      <c r="E2225" s="88"/>
      <c r="F2225" s="73"/>
      <c r="G2225" s="394"/>
      <c r="H2225" s="73"/>
      <c r="I2225" s="88"/>
      <c r="J2225" s="410"/>
      <c r="K2225" s="393">
        <f t="shared" si="8"/>
        <v>1</v>
      </c>
      <c r="L2225" s="394" t="str">
        <f>IFERROR(__xludf.DUMMYFUNCTION("JOIN("""", G2225:H2225)"),"")</f>
        <v/>
      </c>
      <c r="M2225" s="80" t="str">
        <f t="shared" si="2"/>
        <v/>
      </c>
    </row>
    <row r="2226">
      <c r="A2226" s="86"/>
      <c r="B2226" s="73"/>
      <c r="C2226" s="73"/>
      <c r="D2226" s="73"/>
      <c r="E2226" s="88"/>
      <c r="F2226" s="73"/>
      <c r="G2226" s="394"/>
      <c r="H2226" s="73"/>
      <c r="I2226" s="88"/>
      <c r="J2226" s="410"/>
      <c r="K2226" s="393">
        <f t="shared" si="8"/>
        <v>1</v>
      </c>
      <c r="L2226" s="394" t="str">
        <f>IFERROR(__xludf.DUMMYFUNCTION("JOIN("""", G2226:H2226)"),"")</f>
        <v/>
      </c>
      <c r="M2226" s="80" t="str">
        <f t="shared" si="2"/>
        <v/>
      </c>
    </row>
    <row r="2227">
      <c r="A2227" s="86"/>
      <c r="B2227" s="73"/>
      <c r="C2227" s="73"/>
      <c r="D2227" s="73"/>
      <c r="E2227" s="88"/>
      <c r="F2227" s="73"/>
      <c r="G2227" s="394"/>
      <c r="H2227" s="73"/>
      <c r="I2227" s="88"/>
      <c r="J2227" s="410"/>
      <c r="K2227" s="393">
        <f t="shared" si="8"/>
        <v>1</v>
      </c>
      <c r="L2227" s="394" t="str">
        <f>IFERROR(__xludf.DUMMYFUNCTION("JOIN("""", G2227:H2227)"),"")</f>
        <v/>
      </c>
      <c r="M2227" s="80" t="str">
        <f t="shared" si="2"/>
        <v/>
      </c>
    </row>
    <row r="2228">
      <c r="A2228" s="86"/>
      <c r="B2228" s="73"/>
      <c r="C2228" s="73"/>
      <c r="D2228" s="73"/>
      <c r="E2228" s="88"/>
      <c r="F2228" s="73"/>
      <c r="G2228" s="394"/>
      <c r="H2228" s="73"/>
      <c r="I2228" s="88"/>
      <c r="J2228" s="410"/>
      <c r="K2228" s="393">
        <f t="shared" si="8"/>
        <v>1</v>
      </c>
      <c r="L2228" s="394" t="str">
        <f>IFERROR(__xludf.DUMMYFUNCTION("JOIN("""", G2228:H2228)"),"")</f>
        <v/>
      </c>
      <c r="M2228" s="80" t="str">
        <f t="shared" si="2"/>
        <v/>
      </c>
    </row>
    <row r="2229">
      <c r="A2229" s="86"/>
      <c r="B2229" s="73"/>
      <c r="C2229" s="73"/>
      <c r="D2229" s="73"/>
      <c r="E2229" s="88"/>
      <c r="F2229" s="73"/>
      <c r="G2229" s="394"/>
      <c r="H2229" s="73"/>
      <c r="I2229" s="88"/>
      <c r="J2229" s="410"/>
      <c r="K2229" s="393">
        <f t="shared" si="8"/>
        <v>1</v>
      </c>
      <c r="L2229" s="394" t="str">
        <f>IFERROR(__xludf.DUMMYFUNCTION("JOIN("""", G2229:H2229)"),"")</f>
        <v/>
      </c>
      <c r="M2229" s="80" t="str">
        <f t="shared" si="2"/>
        <v/>
      </c>
    </row>
    <row r="2230">
      <c r="A2230" s="86"/>
      <c r="B2230" s="73"/>
      <c r="C2230" s="73"/>
      <c r="D2230" s="73"/>
      <c r="E2230" s="88"/>
      <c r="F2230" s="73"/>
      <c r="G2230" s="394"/>
      <c r="H2230" s="73"/>
      <c r="I2230" s="88"/>
      <c r="J2230" s="410"/>
      <c r="K2230" s="393">
        <f t="shared" si="8"/>
        <v>1</v>
      </c>
      <c r="L2230" s="394" t="str">
        <f>IFERROR(__xludf.DUMMYFUNCTION("JOIN("""", G2230:H2230)"),"")</f>
        <v/>
      </c>
      <c r="M2230" s="80" t="str">
        <f t="shared" si="2"/>
        <v/>
      </c>
    </row>
    <row r="2231">
      <c r="A2231" s="86"/>
      <c r="B2231" s="73"/>
      <c r="C2231" s="73"/>
      <c r="D2231" s="73"/>
      <c r="E2231" s="88"/>
      <c r="F2231" s="73"/>
      <c r="G2231" s="394"/>
      <c r="H2231" s="73"/>
      <c r="I2231" s="88"/>
      <c r="J2231" s="410"/>
      <c r="K2231" s="393">
        <f t="shared" si="8"/>
        <v>1</v>
      </c>
      <c r="L2231" s="394" t="str">
        <f>IFERROR(__xludf.DUMMYFUNCTION("JOIN("""", G2231:H2231)"),"")</f>
        <v/>
      </c>
      <c r="M2231" s="80" t="str">
        <f t="shared" si="2"/>
        <v/>
      </c>
    </row>
    <row r="2232">
      <c r="A2232" s="86"/>
      <c r="B2232" s="73"/>
      <c r="C2232" s="73"/>
      <c r="D2232" s="73"/>
      <c r="E2232" s="88"/>
      <c r="F2232" s="73"/>
      <c r="G2232" s="394"/>
      <c r="H2232" s="73"/>
      <c r="I2232" s="88"/>
      <c r="J2232" s="410"/>
      <c r="K2232" s="393">
        <f t="shared" si="8"/>
        <v>1</v>
      </c>
      <c r="L2232" s="394" t="str">
        <f>IFERROR(__xludf.DUMMYFUNCTION("JOIN("""", G2232:H2232)"),"")</f>
        <v/>
      </c>
      <c r="M2232" s="80" t="str">
        <f t="shared" si="2"/>
        <v/>
      </c>
    </row>
    <row r="2233">
      <c r="A2233" s="86"/>
      <c r="B2233" s="73"/>
      <c r="C2233" s="73"/>
      <c r="D2233" s="73"/>
      <c r="E2233" s="88"/>
      <c r="F2233" s="73"/>
      <c r="G2233" s="394"/>
      <c r="H2233" s="73"/>
      <c r="I2233" s="88"/>
      <c r="J2233" s="410"/>
      <c r="K2233" s="393">
        <f t="shared" si="8"/>
        <v>1</v>
      </c>
      <c r="L2233" s="394" t="str">
        <f>IFERROR(__xludf.DUMMYFUNCTION("JOIN("""", G2233:H2233)"),"")</f>
        <v/>
      </c>
      <c r="M2233" s="80" t="str">
        <f t="shared" si="2"/>
        <v/>
      </c>
    </row>
    <row r="2234">
      <c r="A2234" s="86"/>
      <c r="B2234" s="73"/>
      <c r="C2234" s="73"/>
      <c r="D2234" s="73"/>
      <c r="E2234" s="88"/>
      <c r="F2234" s="73"/>
      <c r="G2234" s="394"/>
      <c r="H2234" s="73"/>
      <c r="I2234" s="88"/>
      <c r="J2234" s="410"/>
      <c r="K2234" s="393">
        <f t="shared" si="8"/>
        <v>1</v>
      </c>
      <c r="L2234" s="394" t="str">
        <f>IFERROR(__xludf.DUMMYFUNCTION("JOIN("""", G2234:H2234)"),"")</f>
        <v/>
      </c>
      <c r="M2234" s="80" t="str">
        <f t="shared" si="2"/>
        <v/>
      </c>
    </row>
    <row r="2235">
      <c r="A2235" s="86"/>
      <c r="B2235" s="73"/>
      <c r="C2235" s="73"/>
      <c r="D2235" s="73"/>
      <c r="E2235" s="88"/>
      <c r="F2235" s="73"/>
      <c r="G2235" s="394"/>
      <c r="H2235" s="73"/>
      <c r="I2235" s="88"/>
      <c r="J2235" s="410"/>
      <c r="K2235" s="393">
        <f t="shared" si="8"/>
        <v>1</v>
      </c>
      <c r="L2235" s="394" t="str">
        <f>IFERROR(__xludf.DUMMYFUNCTION("JOIN("""", G2235:H2235)"),"")</f>
        <v/>
      </c>
      <c r="M2235" s="80" t="str">
        <f t="shared" si="2"/>
        <v/>
      </c>
    </row>
    <row r="2236">
      <c r="A2236" s="86"/>
      <c r="B2236" s="73"/>
      <c r="C2236" s="73"/>
      <c r="D2236" s="73"/>
      <c r="E2236" s="88"/>
      <c r="F2236" s="73"/>
      <c r="G2236" s="394"/>
      <c r="H2236" s="73"/>
      <c r="I2236" s="88"/>
      <c r="J2236" s="410"/>
      <c r="K2236" s="393">
        <f t="shared" si="8"/>
        <v>1</v>
      </c>
      <c r="L2236" s="394" t="str">
        <f>IFERROR(__xludf.DUMMYFUNCTION("JOIN("""", G2236:H2236)"),"")</f>
        <v/>
      </c>
      <c r="M2236" s="80" t="str">
        <f t="shared" si="2"/>
        <v/>
      </c>
    </row>
    <row r="2237">
      <c r="A2237" s="86"/>
      <c r="B2237" s="73"/>
      <c r="C2237" s="73"/>
      <c r="D2237" s="73"/>
      <c r="E2237" s="88"/>
      <c r="F2237" s="73"/>
      <c r="G2237" s="394"/>
      <c r="H2237" s="73"/>
      <c r="I2237" s="88"/>
      <c r="J2237" s="410"/>
      <c r="K2237" s="393">
        <f t="shared" si="8"/>
        <v>1</v>
      </c>
      <c r="L2237" s="394" t="str">
        <f>IFERROR(__xludf.DUMMYFUNCTION("JOIN("""", G2237:H2237)"),"")</f>
        <v/>
      </c>
      <c r="M2237" s="80" t="str">
        <f t="shared" si="2"/>
        <v/>
      </c>
    </row>
    <row r="2238">
      <c r="A2238" s="86"/>
      <c r="B2238" s="73"/>
      <c r="C2238" s="73"/>
      <c r="D2238" s="73"/>
      <c r="E2238" s="88"/>
      <c r="F2238" s="73"/>
      <c r="G2238" s="394"/>
      <c r="H2238" s="73"/>
      <c r="I2238" s="88"/>
      <c r="J2238" s="410"/>
      <c r="K2238" s="393">
        <f t="shared" si="8"/>
        <v>1</v>
      </c>
      <c r="L2238" s="394" t="str">
        <f>IFERROR(__xludf.DUMMYFUNCTION("JOIN("""", G2238:H2238)"),"")</f>
        <v/>
      </c>
      <c r="M2238" s="80" t="str">
        <f t="shared" si="2"/>
        <v/>
      </c>
    </row>
    <row r="2239">
      <c r="A2239" s="86"/>
      <c r="B2239" s="73"/>
      <c r="C2239" s="73"/>
      <c r="D2239" s="73"/>
      <c r="E2239" s="88"/>
      <c r="F2239" s="73"/>
      <c r="G2239" s="394"/>
      <c r="H2239" s="73"/>
      <c r="I2239" s="88"/>
      <c r="J2239" s="410"/>
      <c r="K2239" s="393">
        <f t="shared" si="8"/>
        <v>1</v>
      </c>
      <c r="L2239" s="394" t="str">
        <f>IFERROR(__xludf.DUMMYFUNCTION("JOIN("""", G2239:H2239)"),"")</f>
        <v/>
      </c>
      <c r="M2239" s="80" t="str">
        <f t="shared" si="2"/>
        <v/>
      </c>
    </row>
    <row r="2240">
      <c r="A2240" s="86"/>
      <c r="B2240" s="73"/>
      <c r="C2240" s="73"/>
      <c r="D2240" s="73"/>
      <c r="E2240" s="88"/>
      <c r="F2240" s="73"/>
      <c r="G2240" s="394"/>
      <c r="H2240" s="73"/>
      <c r="I2240" s="88"/>
      <c r="J2240" s="410"/>
      <c r="K2240" s="393">
        <f t="shared" si="8"/>
        <v>1</v>
      </c>
      <c r="L2240" s="394" t="str">
        <f>IFERROR(__xludf.DUMMYFUNCTION("JOIN("""", G2240:H2240)"),"")</f>
        <v/>
      </c>
      <c r="M2240" s="80" t="str">
        <f t="shared" si="2"/>
        <v/>
      </c>
    </row>
    <row r="2241">
      <c r="A2241" s="86"/>
      <c r="B2241" s="73"/>
      <c r="C2241" s="73"/>
      <c r="D2241" s="73"/>
      <c r="E2241" s="88"/>
      <c r="F2241" s="73"/>
      <c r="G2241" s="394"/>
      <c r="H2241" s="73"/>
      <c r="I2241" s="88"/>
      <c r="J2241" s="410"/>
      <c r="K2241" s="393">
        <f t="shared" si="8"/>
        <v>1</v>
      </c>
      <c r="L2241" s="394" t="str">
        <f>IFERROR(__xludf.DUMMYFUNCTION("JOIN("""", G2241:H2241)"),"")</f>
        <v/>
      </c>
      <c r="M2241" s="80" t="str">
        <f t="shared" si="2"/>
        <v/>
      </c>
    </row>
    <row r="2242">
      <c r="A2242" s="86"/>
      <c r="B2242" s="73"/>
      <c r="C2242" s="73"/>
      <c r="D2242" s="73"/>
      <c r="E2242" s="88"/>
      <c r="F2242" s="73"/>
      <c r="G2242" s="394"/>
      <c r="H2242" s="73"/>
      <c r="I2242" s="88"/>
      <c r="J2242" s="410"/>
      <c r="K2242" s="393">
        <f t="shared" si="8"/>
        <v>1</v>
      </c>
      <c r="L2242" s="394" t="str">
        <f>IFERROR(__xludf.DUMMYFUNCTION("JOIN("""", G2242:H2242)"),"")</f>
        <v/>
      </c>
      <c r="M2242" s="80" t="str">
        <f t="shared" si="2"/>
        <v/>
      </c>
    </row>
    <row r="2243">
      <c r="A2243" s="86"/>
      <c r="B2243" s="73"/>
      <c r="C2243" s="73"/>
      <c r="D2243" s="73"/>
      <c r="E2243" s="88"/>
      <c r="F2243" s="73"/>
      <c r="G2243" s="394"/>
      <c r="H2243" s="73"/>
      <c r="I2243" s="88"/>
      <c r="J2243" s="410"/>
      <c r="K2243" s="393">
        <f t="shared" si="8"/>
        <v>1</v>
      </c>
      <c r="L2243" s="394" t="str">
        <f>IFERROR(__xludf.DUMMYFUNCTION("JOIN("""", G2243:H2243)"),"")</f>
        <v/>
      </c>
      <c r="M2243" s="80" t="str">
        <f t="shared" si="2"/>
        <v/>
      </c>
    </row>
    <row r="2244">
      <c r="A2244" s="86"/>
      <c r="B2244" s="73"/>
      <c r="C2244" s="73"/>
      <c r="D2244" s="73"/>
      <c r="E2244" s="88"/>
      <c r="F2244" s="73"/>
      <c r="G2244" s="394"/>
      <c r="H2244" s="73"/>
      <c r="I2244" s="88"/>
      <c r="J2244" s="410"/>
      <c r="K2244" s="393">
        <f t="shared" si="8"/>
        <v>1</v>
      </c>
      <c r="L2244" s="394" t="str">
        <f>IFERROR(__xludf.DUMMYFUNCTION("JOIN("""", G2244:H2244)"),"")</f>
        <v/>
      </c>
      <c r="M2244" s="80" t="str">
        <f t="shared" si="2"/>
        <v/>
      </c>
    </row>
    <row r="2245">
      <c r="A2245" s="86"/>
      <c r="B2245" s="73"/>
      <c r="C2245" s="73"/>
      <c r="D2245" s="73"/>
      <c r="E2245" s="88"/>
      <c r="F2245" s="73"/>
      <c r="G2245" s="394"/>
      <c r="H2245" s="73"/>
      <c r="I2245" s="88"/>
      <c r="J2245" s="410"/>
      <c r="K2245" s="393">
        <f t="shared" si="8"/>
        <v>1</v>
      </c>
      <c r="L2245" s="394" t="str">
        <f>IFERROR(__xludf.DUMMYFUNCTION("JOIN("""", G2245:H2245)"),"")</f>
        <v/>
      </c>
      <c r="M2245" s="80" t="str">
        <f t="shared" si="2"/>
        <v/>
      </c>
    </row>
    <row r="2246">
      <c r="A2246" s="86"/>
      <c r="B2246" s="73"/>
      <c r="C2246" s="73"/>
      <c r="D2246" s="73"/>
      <c r="E2246" s="88"/>
      <c r="F2246" s="73"/>
      <c r="G2246" s="394"/>
      <c r="H2246" s="73"/>
      <c r="I2246" s="88"/>
      <c r="J2246" s="410"/>
      <c r="K2246" s="393">
        <f t="shared" si="8"/>
        <v>1</v>
      </c>
      <c r="L2246" s="394" t="str">
        <f>IFERROR(__xludf.DUMMYFUNCTION("JOIN("""", G2246:H2246)"),"")</f>
        <v/>
      </c>
      <c r="M2246" s="80" t="str">
        <f t="shared" si="2"/>
        <v/>
      </c>
    </row>
    <row r="2247">
      <c r="A2247" s="86"/>
      <c r="B2247" s="73"/>
      <c r="C2247" s="73"/>
      <c r="D2247" s="73"/>
      <c r="E2247" s="88"/>
      <c r="F2247" s="73"/>
      <c r="G2247" s="394"/>
      <c r="H2247" s="73"/>
      <c r="I2247" s="88"/>
      <c r="J2247" s="410"/>
      <c r="K2247" s="393">
        <f t="shared" si="8"/>
        <v>1</v>
      </c>
      <c r="L2247" s="394" t="str">
        <f>IFERROR(__xludf.DUMMYFUNCTION("JOIN("""", G2247:H2247)"),"")</f>
        <v/>
      </c>
      <c r="M2247" s="80" t="str">
        <f t="shared" si="2"/>
        <v/>
      </c>
    </row>
    <row r="2248">
      <c r="A2248" s="86"/>
      <c r="B2248" s="73"/>
      <c r="C2248" s="73"/>
      <c r="D2248" s="73"/>
      <c r="E2248" s="88"/>
      <c r="F2248" s="73"/>
      <c r="G2248" s="394"/>
      <c r="H2248" s="73"/>
      <c r="I2248" s="88"/>
      <c r="J2248" s="410"/>
      <c r="K2248" s="393">
        <f t="shared" si="8"/>
        <v>1</v>
      </c>
      <c r="L2248" s="394" t="str">
        <f>IFERROR(__xludf.DUMMYFUNCTION("JOIN("""", G2248:H2248)"),"")</f>
        <v/>
      </c>
      <c r="M2248" s="80" t="str">
        <f t="shared" si="2"/>
        <v/>
      </c>
    </row>
    <row r="2249">
      <c r="A2249" s="86"/>
      <c r="B2249" s="73"/>
      <c r="C2249" s="73"/>
      <c r="D2249" s="73"/>
      <c r="E2249" s="88"/>
      <c r="F2249" s="73"/>
      <c r="G2249" s="394"/>
      <c r="H2249" s="73"/>
      <c r="I2249" s="88"/>
      <c r="J2249" s="410"/>
      <c r="K2249" s="393">
        <f t="shared" si="8"/>
        <v>1</v>
      </c>
      <c r="L2249" s="394" t="str">
        <f>IFERROR(__xludf.DUMMYFUNCTION("JOIN("""", G2249:H2249)"),"")</f>
        <v/>
      </c>
      <c r="M2249" s="80" t="str">
        <f t="shared" si="2"/>
        <v/>
      </c>
    </row>
    <row r="2250">
      <c r="A2250" s="86"/>
      <c r="B2250" s="73"/>
      <c r="C2250" s="73"/>
      <c r="D2250" s="73"/>
      <c r="E2250" s="88"/>
      <c r="F2250" s="73"/>
      <c r="G2250" s="394"/>
      <c r="H2250" s="73"/>
      <c r="I2250" s="88"/>
      <c r="J2250" s="410"/>
      <c r="K2250" s="393">
        <f t="shared" si="8"/>
        <v>1</v>
      </c>
      <c r="L2250" s="394" t="str">
        <f>IFERROR(__xludf.DUMMYFUNCTION("JOIN("""", G2250:H2250)"),"")</f>
        <v/>
      </c>
      <c r="M2250" s="80" t="str">
        <f t="shared" si="2"/>
        <v/>
      </c>
    </row>
    <row r="2251">
      <c r="A2251" s="86"/>
      <c r="B2251" s="73"/>
      <c r="C2251" s="73"/>
      <c r="D2251" s="73"/>
      <c r="E2251" s="88"/>
      <c r="F2251" s="73"/>
      <c r="G2251" s="394"/>
      <c r="H2251" s="73"/>
      <c r="I2251" s="88"/>
      <c r="J2251" s="410"/>
      <c r="K2251" s="393">
        <f t="shared" si="8"/>
        <v>1</v>
      </c>
      <c r="L2251" s="394" t="str">
        <f>IFERROR(__xludf.DUMMYFUNCTION("JOIN("""", G2251:H2251)"),"")</f>
        <v/>
      </c>
      <c r="M2251" s="80" t="str">
        <f t="shared" si="2"/>
        <v/>
      </c>
    </row>
    <row r="2252">
      <c r="A2252" s="86"/>
      <c r="B2252" s="73"/>
      <c r="C2252" s="73"/>
      <c r="D2252" s="73"/>
      <c r="E2252" s="88"/>
      <c r="F2252" s="73"/>
      <c r="G2252" s="394"/>
      <c r="H2252" s="73"/>
      <c r="I2252" s="88"/>
      <c r="J2252" s="410"/>
      <c r="K2252" s="393">
        <f t="shared" si="8"/>
        <v>1</v>
      </c>
      <c r="L2252" s="394" t="str">
        <f>IFERROR(__xludf.DUMMYFUNCTION("JOIN("""", G2252:H2252)"),"")</f>
        <v/>
      </c>
      <c r="M2252" s="80" t="str">
        <f t="shared" si="2"/>
        <v/>
      </c>
    </row>
    <row r="2253">
      <c r="A2253" s="86"/>
      <c r="B2253" s="73"/>
      <c r="C2253" s="73"/>
      <c r="D2253" s="73"/>
      <c r="E2253" s="88"/>
      <c r="F2253" s="73"/>
      <c r="G2253" s="394"/>
      <c r="H2253" s="73"/>
      <c r="I2253" s="88"/>
      <c r="J2253" s="410"/>
      <c r="K2253" s="393">
        <f t="shared" si="8"/>
        <v>1</v>
      </c>
      <c r="L2253" s="394" t="str">
        <f>IFERROR(__xludf.DUMMYFUNCTION("JOIN("""", G2253:H2253)"),"")</f>
        <v/>
      </c>
      <c r="M2253" s="80" t="str">
        <f t="shared" si="2"/>
        <v/>
      </c>
    </row>
    <row r="2254">
      <c r="A2254" s="86"/>
      <c r="B2254" s="73"/>
      <c r="C2254" s="73"/>
      <c r="D2254" s="73"/>
      <c r="E2254" s="88"/>
      <c r="F2254" s="73"/>
      <c r="G2254" s="394"/>
      <c r="H2254" s="73"/>
      <c r="I2254" s="88"/>
      <c r="J2254" s="410"/>
      <c r="K2254" s="393">
        <f t="shared" si="8"/>
        <v>1</v>
      </c>
      <c r="L2254" s="394" t="str">
        <f>IFERROR(__xludf.DUMMYFUNCTION("JOIN("""", G2254:H2254)"),"")</f>
        <v/>
      </c>
      <c r="M2254" s="80" t="str">
        <f t="shared" si="2"/>
        <v/>
      </c>
    </row>
    <row r="2255">
      <c r="A2255" s="86"/>
      <c r="B2255" s="73"/>
      <c r="C2255" s="73"/>
      <c r="D2255" s="73"/>
      <c r="E2255" s="88"/>
      <c r="F2255" s="73"/>
      <c r="G2255" s="394"/>
      <c r="H2255" s="73"/>
      <c r="I2255" s="88"/>
      <c r="J2255" s="410"/>
      <c r="K2255" s="393">
        <f t="shared" si="8"/>
        <v>1</v>
      </c>
      <c r="L2255" s="394" t="str">
        <f>IFERROR(__xludf.DUMMYFUNCTION("JOIN("""", G2255:H2255)"),"")</f>
        <v/>
      </c>
      <c r="M2255" s="80" t="str">
        <f t="shared" si="2"/>
        <v/>
      </c>
    </row>
    <row r="2256">
      <c r="A2256" s="86"/>
      <c r="B2256" s="73"/>
      <c r="C2256" s="73"/>
      <c r="D2256" s="73"/>
      <c r="E2256" s="88"/>
      <c r="F2256" s="73"/>
      <c r="G2256" s="394"/>
      <c r="H2256" s="73"/>
      <c r="I2256" s="88"/>
      <c r="J2256" s="410"/>
      <c r="K2256" s="393">
        <f t="shared" si="8"/>
        <v>1</v>
      </c>
      <c r="L2256" s="394" t="str">
        <f>IFERROR(__xludf.DUMMYFUNCTION("JOIN("""", G2256:H2256)"),"")</f>
        <v/>
      </c>
      <c r="M2256" s="80" t="str">
        <f t="shared" si="2"/>
        <v/>
      </c>
    </row>
    <row r="2257">
      <c r="A2257" s="86"/>
      <c r="B2257" s="73"/>
      <c r="C2257" s="73"/>
      <c r="D2257" s="73"/>
      <c r="E2257" s="88"/>
      <c r="F2257" s="73"/>
      <c r="G2257" s="394"/>
      <c r="H2257" s="73"/>
      <c r="I2257" s="88"/>
      <c r="J2257" s="410"/>
      <c r="K2257" s="393">
        <f t="shared" si="8"/>
        <v>1</v>
      </c>
      <c r="L2257" s="394" t="str">
        <f>IFERROR(__xludf.DUMMYFUNCTION("JOIN("""", G2257:H2257)"),"")</f>
        <v/>
      </c>
      <c r="M2257" s="80" t="str">
        <f t="shared" si="2"/>
        <v/>
      </c>
    </row>
    <row r="2258">
      <c r="A2258" s="86"/>
      <c r="B2258" s="73"/>
      <c r="C2258" s="73"/>
      <c r="D2258" s="73"/>
      <c r="E2258" s="88"/>
      <c r="F2258" s="73"/>
      <c r="G2258" s="394"/>
      <c r="H2258" s="73"/>
      <c r="I2258" s="88"/>
      <c r="J2258" s="410"/>
      <c r="K2258" s="393">
        <f t="shared" si="8"/>
        <v>1</v>
      </c>
      <c r="L2258" s="394" t="str">
        <f>IFERROR(__xludf.DUMMYFUNCTION("JOIN("""", G2258:H2258)"),"")</f>
        <v/>
      </c>
      <c r="M2258" s="80" t="str">
        <f t="shared" si="2"/>
        <v/>
      </c>
    </row>
    <row r="2259">
      <c r="A2259" s="86"/>
      <c r="B2259" s="73"/>
      <c r="C2259" s="73"/>
      <c r="D2259" s="73"/>
      <c r="E2259" s="88"/>
      <c r="F2259" s="73"/>
      <c r="G2259" s="394"/>
      <c r="H2259" s="73"/>
      <c r="I2259" s="88"/>
      <c r="J2259" s="410"/>
      <c r="K2259" s="393">
        <f t="shared" si="8"/>
        <v>1</v>
      </c>
      <c r="L2259" s="394" t="str">
        <f>IFERROR(__xludf.DUMMYFUNCTION("JOIN("""", G2259:H2259)"),"")</f>
        <v/>
      </c>
      <c r="M2259" s="80" t="str">
        <f t="shared" si="2"/>
        <v/>
      </c>
    </row>
    <row r="2260">
      <c r="A2260" s="86"/>
      <c r="B2260" s="73"/>
      <c r="C2260" s="73"/>
      <c r="D2260" s="73"/>
      <c r="E2260" s="88"/>
      <c r="F2260" s="73"/>
      <c r="G2260" s="394"/>
      <c r="H2260" s="73"/>
      <c r="I2260" s="88"/>
      <c r="J2260" s="410"/>
      <c r="K2260" s="393">
        <f t="shared" si="8"/>
        <v>1</v>
      </c>
      <c r="L2260" s="394" t="str">
        <f>IFERROR(__xludf.DUMMYFUNCTION("JOIN("""", G2260:H2260)"),"")</f>
        <v/>
      </c>
      <c r="M2260" s="80" t="str">
        <f t="shared" si="2"/>
        <v/>
      </c>
    </row>
    <row r="2261">
      <c r="A2261" s="86"/>
      <c r="B2261" s="73"/>
      <c r="C2261" s="73"/>
      <c r="D2261" s="73"/>
      <c r="E2261" s="88"/>
      <c r="F2261" s="73"/>
      <c r="G2261" s="394"/>
      <c r="H2261" s="73"/>
      <c r="I2261" s="88"/>
      <c r="J2261" s="410"/>
      <c r="K2261" s="393">
        <f t="shared" si="8"/>
        <v>1</v>
      </c>
      <c r="L2261" s="394" t="str">
        <f>IFERROR(__xludf.DUMMYFUNCTION("JOIN("""", G2261:H2261)"),"")</f>
        <v/>
      </c>
      <c r="M2261" s="80" t="str">
        <f t="shared" si="2"/>
        <v/>
      </c>
    </row>
    <row r="2262">
      <c r="A2262" s="86"/>
      <c r="B2262" s="73"/>
      <c r="C2262" s="73"/>
      <c r="D2262" s="73"/>
      <c r="E2262" s="88"/>
      <c r="F2262" s="73"/>
      <c r="G2262" s="394"/>
      <c r="H2262" s="73"/>
      <c r="I2262" s="88"/>
      <c r="J2262" s="410"/>
      <c r="K2262" s="393">
        <f t="shared" si="8"/>
        <v>1</v>
      </c>
      <c r="L2262" s="394" t="str">
        <f>IFERROR(__xludf.DUMMYFUNCTION("JOIN("""", G2262:H2262)"),"")</f>
        <v/>
      </c>
      <c r="M2262" s="80" t="str">
        <f t="shared" si="2"/>
        <v/>
      </c>
    </row>
    <row r="2263">
      <c r="A2263" s="86"/>
      <c r="B2263" s="73"/>
      <c r="C2263" s="73"/>
      <c r="D2263" s="73"/>
      <c r="E2263" s="88"/>
      <c r="F2263" s="73"/>
      <c r="G2263" s="394"/>
      <c r="H2263" s="73"/>
      <c r="I2263" s="88"/>
      <c r="J2263" s="410"/>
      <c r="K2263" s="393">
        <f t="shared" si="8"/>
        <v>1</v>
      </c>
      <c r="L2263" s="394" t="str">
        <f>IFERROR(__xludf.DUMMYFUNCTION("JOIN("""", G2263:H2263)"),"")</f>
        <v/>
      </c>
      <c r="M2263" s="80" t="str">
        <f t="shared" si="2"/>
        <v/>
      </c>
    </row>
    <row r="2264">
      <c r="A2264" s="86"/>
      <c r="B2264" s="73"/>
      <c r="C2264" s="73"/>
      <c r="D2264" s="73"/>
      <c r="E2264" s="88"/>
      <c r="F2264" s="73"/>
      <c r="G2264" s="394"/>
      <c r="H2264" s="73"/>
      <c r="I2264" s="88"/>
      <c r="J2264" s="410"/>
      <c r="K2264" s="393">
        <f t="shared" si="8"/>
        <v>1</v>
      </c>
      <c r="L2264" s="394" t="str">
        <f>IFERROR(__xludf.DUMMYFUNCTION("JOIN("""", G2264:H2264)"),"")</f>
        <v/>
      </c>
      <c r="M2264" s="80" t="str">
        <f t="shared" si="2"/>
        <v/>
      </c>
    </row>
    <row r="2265">
      <c r="A2265" s="86"/>
      <c r="B2265" s="73"/>
      <c r="C2265" s="73"/>
      <c r="D2265" s="73"/>
      <c r="E2265" s="88"/>
      <c r="F2265" s="73"/>
      <c r="G2265" s="394"/>
      <c r="H2265" s="73"/>
      <c r="I2265" s="88"/>
      <c r="J2265" s="410"/>
      <c r="K2265" s="393">
        <f t="shared" si="8"/>
        <v>1</v>
      </c>
      <c r="L2265" s="394" t="str">
        <f>IFERROR(__xludf.DUMMYFUNCTION("JOIN("""", G2265:H2265)"),"")</f>
        <v/>
      </c>
      <c r="M2265" s="80" t="str">
        <f t="shared" si="2"/>
        <v/>
      </c>
    </row>
    <row r="2266">
      <c r="A2266" s="86"/>
      <c r="B2266" s="73"/>
      <c r="C2266" s="73"/>
      <c r="D2266" s="73"/>
      <c r="E2266" s="88"/>
      <c r="F2266" s="73"/>
      <c r="G2266" s="394"/>
      <c r="H2266" s="73"/>
      <c r="I2266" s="88"/>
      <c r="J2266" s="410"/>
      <c r="K2266" s="393">
        <f t="shared" si="8"/>
        <v>1</v>
      </c>
      <c r="L2266" s="394" t="str">
        <f>IFERROR(__xludf.DUMMYFUNCTION("JOIN("""", G2266:H2266)"),"")</f>
        <v/>
      </c>
      <c r="M2266" s="80" t="str">
        <f t="shared" si="2"/>
        <v/>
      </c>
    </row>
    <row r="2267">
      <c r="A2267" s="86"/>
      <c r="B2267" s="73"/>
      <c r="C2267" s="73"/>
      <c r="D2267" s="73"/>
      <c r="E2267" s="88"/>
      <c r="F2267" s="73"/>
      <c r="G2267" s="394"/>
      <c r="H2267" s="73"/>
      <c r="I2267" s="88"/>
      <c r="J2267" s="410"/>
      <c r="K2267" s="393">
        <f t="shared" si="8"/>
        <v>1</v>
      </c>
      <c r="L2267" s="394" t="str">
        <f>IFERROR(__xludf.DUMMYFUNCTION("JOIN("""", G2267:H2267)"),"")</f>
        <v/>
      </c>
      <c r="M2267" s="80" t="str">
        <f t="shared" si="2"/>
        <v/>
      </c>
    </row>
    <row r="2268">
      <c r="A2268" s="86"/>
      <c r="B2268" s="73"/>
      <c r="C2268" s="73"/>
      <c r="D2268" s="73"/>
      <c r="E2268" s="88"/>
      <c r="F2268" s="73"/>
      <c r="G2268" s="394"/>
      <c r="H2268" s="73"/>
      <c r="I2268" s="88"/>
      <c r="J2268" s="410"/>
      <c r="K2268" s="393">
        <f t="shared" si="8"/>
        <v>1</v>
      </c>
      <c r="L2268" s="394" t="str">
        <f>IFERROR(__xludf.DUMMYFUNCTION("JOIN("""", G2268:H2268)"),"")</f>
        <v/>
      </c>
      <c r="M2268" s="80" t="str">
        <f t="shared" si="2"/>
        <v/>
      </c>
    </row>
    <row r="2269">
      <c r="A2269" s="86"/>
      <c r="B2269" s="73"/>
      <c r="C2269" s="73"/>
      <c r="D2269" s="73"/>
      <c r="E2269" s="88"/>
      <c r="F2269" s="73"/>
      <c r="G2269" s="394"/>
      <c r="H2269" s="73"/>
      <c r="I2269" s="88"/>
      <c r="J2269" s="410"/>
      <c r="K2269" s="393">
        <f t="shared" si="8"/>
        <v>1</v>
      </c>
      <c r="L2269" s="394" t="str">
        <f>IFERROR(__xludf.DUMMYFUNCTION("JOIN("""", G2269:H2269)"),"")</f>
        <v/>
      </c>
      <c r="M2269" s="80" t="str">
        <f t="shared" si="2"/>
        <v/>
      </c>
    </row>
    <row r="2270">
      <c r="A2270" s="86"/>
      <c r="B2270" s="73"/>
      <c r="C2270" s="73"/>
      <c r="D2270" s="73"/>
      <c r="E2270" s="88"/>
      <c r="F2270" s="73"/>
      <c r="G2270" s="394"/>
      <c r="H2270" s="73"/>
      <c r="I2270" s="88"/>
      <c r="J2270" s="410"/>
      <c r="K2270" s="393">
        <f t="shared" si="8"/>
        <v>1</v>
      </c>
      <c r="L2270" s="394" t="str">
        <f>IFERROR(__xludf.DUMMYFUNCTION("JOIN("""", G2270:H2270)"),"")</f>
        <v/>
      </c>
      <c r="M2270" s="80" t="str">
        <f t="shared" si="2"/>
        <v/>
      </c>
    </row>
    <row r="2271">
      <c r="A2271" s="86"/>
      <c r="B2271" s="73"/>
      <c r="C2271" s="73"/>
      <c r="D2271" s="73"/>
      <c r="E2271" s="88"/>
      <c r="F2271" s="73"/>
      <c r="G2271" s="394"/>
      <c r="H2271" s="73"/>
      <c r="I2271" s="88"/>
      <c r="J2271" s="410"/>
      <c r="K2271" s="393">
        <f t="shared" si="8"/>
        <v>1</v>
      </c>
      <c r="L2271" s="394" t="str">
        <f>IFERROR(__xludf.DUMMYFUNCTION("JOIN("""", G2271:H2271)"),"")</f>
        <v/>
      </c>
      <c r="M2271" s="80" t="str">
        <f t="shared" si="2"/>
        <v/>
      </c>
    </row>
    <row r="2272">
      <c r="A2272" s="86"/>
      <c r="B2272" s="73"/>
      <c r="C2272" s="73"/>
      <c r="D2272" s="73"/>
      <c r="E2272" s="88"/>
      <c r="F2272" s="73"/>
      <c r="G2272" s="394"/>
      <c r="H2272" s="73"/>
      <c r="I2272" s="88"/>
      <c r="J2272" s="410"/>
      <c r="K2272" s="393">
        <f t="shared" si="8"/>
        <v>1</v>
      </c>
      <c r="L2272" s="394" t="str">
        <f>IFERROR(__xludf.DUMMYFUNCTION("JOIN("""", G2272:H2272)"),"")</f>
        <v/>
      </c>
      <c r="M2272" s="80" t="str">
        <f t="shared" si="2"/>
        <v/>
      </c>
    </row>
    <row r="2273">
      <c r="A2273" s="86"/>
      <c r="B2273" s="73"/>
      <c r="C2273" s="73"/>
      <c r="D2273" s="73"/>
      <c r="E2273" s="88"/>
      <c r="F2273" s="73"/>
      <c r="G2273" s="394"/>
      <c r="H2273" s="73"/>
      <c r="I2273" s="88"/>
      <c r="J2273" s="410"/>
      <c r="K2273" s="393">
        <f t="shared" si="8"/>
        <v>1</v>
      </c>
      <c r="L2273" s="394" t="str">
        <f>IFERROR(__xludf.DUMMYFUNCTION("JOIN("""", G2273:H2273)"),"")</f>
        <v/>
      </c>
      <c r="M2273" s="80" t="str">
        <f t="shared" si="2"/>
        <v/>
      </c>
    </row>
    <row r="2274">
      <c r="A2274" s="86"/>
      <c r="B2274" s="73"/>
      <c r="C2274" s="73"/>
      <c r="D2274" s="73"/>
      <c r="E2274" s="88"/>
      <c r="F2274" s="73"/>
      <c r="G2274" s="394"/>
      <c r="H2274" s="73"/>
      <c r="I2274" s="88"/>
      <c r="J2274" s="410"/>
      <c r="K2274" s="393">
        <f t="shared" si="8"/>
        <v>1</v>
      </c>
      <c r="L2274" s="394" t="str">
        <f>IFERROR(__xludf.DUMMYFUNCTION("JOIN("""", G2274:H2274)"),"")</f>
        <v/>
      </c>
      <c r="M2274" s="80" t="str">
        <f t="shared" si="2"/>
        <v/>
      </c>
    </row>
    <row r="2275">
      <c r="A2275" s="86"/>
      <c r="B2275" s="73"/>
      <c r="C2275" s="73"/>
      <c r="D2275" s="73"/>
      <c r="E2275" s="88"/>
      <c r="F2275" s="73"/>
      <c r="G2275" s="394"/>
      <c r="H2275" s="73"/>
      <c r="I2275" s="88"/>
      <c r="J2275" s="410"/>
      <c r="K2275" s="393">
        <f t="shared" si="8"/>
        <v>1</v>
      </c>
      <c r="L2275" s="394" t="str">
        <f>IFERROR(__xludf.DUMMYFUNCTION("JOIN("""", G2275:H2275)"),"")</f>
        <v/>
      </c>
      <c r="M2275" s="80" t="str">
        <f t="shared" si="2"/>
        <v/>
      </c>
    </row>
    <row r="2276">
      <c r="A2276" s="86"/>
      <c r="B2276" s="73"/>
      <c r="C2276" s="73"/>
      <c r="D2276" s="73"/>
      <c r="E2276" s="88"/>
      <c r="F2276" s="73"/>
      <c r="G2276" s="394"/>
      <c r="H2276" s="73"/>
      <c r="I2276" s="88"/>
      <c r="J2276" s="410"/>
      <c r="K2276" s="393">
        <f t="shared" si="8"/>
        <v>1</v>
      </c>
      <c r="L2276" s="394" t="str">
        <f>IFERROR(__xludf.DUMMYFUNCTION("JOIN("""", G2276:H2276)"),"")</f>
        <v/>
      </c>
      <c r="M2276" s="80" t="str">
        <f t="shared" si="2"/>
        <v/>
      </c>
    </row>
    <row r="2277">
      <c r="A2277" s="86"/>
      <c r="B2277" s="73"/>
      <c r="C2277" s="73"/>
      <c r="D2277" s="73"/>
      <c r="E2277" s="88"/>
      <c r="F2277" s="73"/>
      <c r="G2277" s="394"/>
      <c r="H2277" s="73"/>
      <c r="I2277" s="88"/>
      <c r="J2277" s="410"/>
      <c r="K2277" s="393">
        <f t="shared" si="8"/>
        <v>1</v>
      </c>
      <c r="L2277" s="394" t="str">
        <f>IFERROR(__xludf.DUMMYFUNCTION("JOIN("""", G2277:H2277)"),"")</f>
        <v/>
      </c>
      <c r="M2277" s="80" t="str">
        <f t="shared" si="2"/>
        <v/>
      </c>
    </row>
    <row r="2278">
      <c r="A2278" s="86"/>
      <c r="B2278" s="73"/>
      <c r="C2278" s="73"/>
      <c r="D2278" s="73"/>
      <c r="E2278" s="88"/>
      <c r="F2278" s="73"/>
      <c r="G2278" s="394"/>
      <c r="H2278" s="73"/>
      <c r="I2278" s="88"/>
      <c r="J2278" s="410"/>
      <c r="K2278" s="393">
        <f t="shared" si="8"/>
        <v>1</v>
      </c>
      <c r="L2278" s="394" t="str">
        <f>IFERROR(__xludf.DUMMYFUNCTION("JOIN("""", G2278:H2278)"),"")</f>
        <v/>
      </c>
      <c r="M2278" s="80" t="str">
        <f t="shared" si="2"/>
        <v/>
      </c>
    </row>
    <row r="2279">
      <c r="A2279" s="86"/>
      <c r="B2279" s="73"/>
      <c r="C2279" s="73"/>
      <c r="D2279" s="73"/>
      <c r="E2279" s="88"/>
      <c r="F2279" s="73"/>
      <c r="G2279" s="394"/>
      <c r="H2279" s="73"/>
      <c r="I2279" s="88"/>
      <c r="J2279" s="410"/>
      <c r="K2279" s="393">
        <f t="shared" si="8"/>
        <v>1</v>
      </c>
      <c r="L2279" s="394" t="str">
        <f>IFERROR(__xludf.DUMMYFUNCTION("JOIN("""", G2279:H2279)"),"")</f>
        <v/>
      </c>
      <c r="M2279" s="80" t="str">
        <f t="shared" si="2"/>
        <v/>
      </c>
    </row>
    <row r="2280">
      <c r="A2280" s="86"/>
      <c r="B2280" s="73"/>
      <c r="C2280" s="73"/>
      <c r="D2280" s="73"/>
      <c r="E2280" s="88"/>
      <c r="F2280" s="73"/>
      <c r="G2280" s="394"/>
      <c r="H2280" s="73"/>
      <c r="I2280" s="88"/>
      <c r="J2280" s="410"/>
      <c r="K2280" s="393">
        <f t="shared" si="8"/>
        <v>1</v>
      </c>
      <c r="L2280" s="394" t="str">
        <f>IFERROR(__xludf.DUMMYFUNCTION("JOIN("""", G2280:H2280)"),"")</f>
        <v/>
      </c>
      <c r="M2280" s="80" t="str">
        <f t="shared" si="2"/>
        <v/>
      </c>
    </row>
    <row r="2281">
      <c r="A2281" s="86"/>
      <c r="B2281" s="73"/>
      <c r="C2281" s="73"/>
      <c r="D2281" s="73"/>
      <c r="E2281" s="88"/>
      <c r="F2281" s="73"/>
      <c r="G2281" s="394"/>
      <c r="H2281" s="73"/>
      <c r="I2281" s="88"/>
      <c r="J2281" s="410"/>
      <c r="K2281" s="393">
        <f t="shared" si="8"/>
        <v>1</v>
      </c>
      <c r="L2281" s="394" t="str">
        <f>IFERROR(__xludf.DUMMYFUNCTION("JOIN("""", G2281:H2281)"),"")</f>
        <v/>
      </c>
      <c r="M2281" s="80" t="str">
        <f t="shared" si="2"/>
        <v/>
      </c>
    </row>
    <row r="2282">
      <c r="A2282" s="86"/>
      <c r="B2282" s="73"/>
      <c r="C2282" s="73"/>
      <c r="D2282" s="73"/>
      <c r="E2282" s="88"/>
      <c r="F2282" s="73"/>
      <c r="G2282" s="394"/>
      <c r="H2282" s="73"/>
      <c r="I2282" s="88"/>
      <c r="J2282" s="410"/>
      <c r="K2282" s="393">
        <f t="shared" si="8"/>
        <v>1</v>
      </c>
      <c r="L2282" s="394" t="str">
        <f>IFERROR(__xludf.DUMMYFUNCTION("JOIN("""", G2282:H2282)"),"")</f>
        <v/>
      </c>
      <c r="M2282" s="80" t="str">
        <f t="shared" si="2"/>
        <v/>
      </c>
    </row>
    <row r="2283">
      <c r="A2283" s="86"/>
      <c r="B2283" s="73"/>
      <c r="C2283" s="73"/>
      <c r="D2283" s="73"/>
      <c r="E2283" s="88"/>
      <c r="F2283" s="73"/>
      <c r="G2283" s="394"/>
      <c r="H2283" s="73"/>
      <c r="I2283" s="88"/>
      <c r="J2283" s="410"/>
      <c r="K2283" s="393">
        <f t="shared" si="8"/>
        <v>1</v>
      </c>
      <c r="L2283" s="394" t="str">
        <f>IFERROR(__xludf.DUMMYFUNCTION("JOIN("""", G2283:H2283)"),"")</f>
        <v/>
      </c>
      <c r="M2283" s="80" t="str">
        <f t="shared" si="2"/>
        <v/>
      </c>
    </row>
    <row r="2284">
      <c r="A2284" s="86"/>
      <c r="B2284" s="73"/>
      <c r="C2284" s="73"/>
      <c r="D2284" s="73"/>
      <c r="E2284" s="88"/>
      <c r="F2284" s="73"/>
      <c r="G2284" s="394"/>
      <c r="H2284" s="73"/>
      <c r="I2284" s="88"/>
      <c r="J2284" s="410"/>
      <c r="K2284" s="393">
        <f t="shared" si="8"/>
        <v>1</v>
      </c>
      <c r="L2284" s="394" t="str">
        <f>IFERROR(__xludf.DUMMYFUNCTION("JOIN("""", G2284:H2284)"),"")</f>
        <v/>
      </c>
      <c r="M2284" s="80" t="str">
        <f t="shared" si="2"/>
        <v/>
      </c>
    </row>
    <row r="2285">
      <c r="A2285" s="86"/>
      <c r="B2285" s="73"/>
      <c r="C2285" s="73"/>
      <c r="D2285" s="73"/>
      <c r="E2285" s="88"/>
      <c r="F2285" s="73"/>
      <c r="G2285" s="394"/>
      <c r="H2285" s="73"/>
      <c r="I2285" s="88"/>
      <c r="J2285" s="410"/>
      <c r="K2285" s="393">
        <f t="shared" si="8"/>
        <v>1</v>
      </c>
      <c r="L2285" s="394" t="str">
        <f>IFERROR(__xludf.DUMMYFUNCTION("JOIN("""", G2285:H2285)"),"")</f>
        <v/>
      </c>
      <c r="M2285" s="80" t="str">
        <f t="shared" si="2"/>
        <v/>
      </c>
    </row>
    <row r="2286">
      <c r="A2286" s="86"/>
      <c r="B2286" s="73"/>
      <c r="C2286" s="73"/>
      <c r="D2286" s="73"/>
      <c r="E2286" s="88"/>
      <c r="F2286" s="73"/>
      <c r="G2286" s="394"/>
      <c r="H2286" s="73"/>
      <c r="I2286" s="88"/>
      <c r="J2286" s="410"/>
      <c r="K2286" s="393">
        <f t="shared" si="8"/>
        <v>1</v>
      </c>
      <c r="L2286" s="394" t="str">
        <f>IFERROR(__xludf.DUMMYFUNCTION("JOIN("""", G2286:H2286)"),"")</f>
        <v/>
      </c>
      <c r="M2286" s="80" t="str">
        <f t="shared" si="2"/>
        <v/>
      </c>
    </row>
    <row r="2287">
      <c r="A2287" s="86"/>
      <c r="B2287" s="73"/>
      <c r="C2287" s="73"/>
      <c r="D2287" s="73"/>
      <c r="E2287" s="88"/>
      <c r="F2287" s="73"/>
      <c r="G2287" s="394"/>
      <c r="H2287" s="73"/>
      <c r="I2287" s="88"/>
      <c r="J2287" s="410"/>
      <c r="K2287" s="393">
        <f t="shared" si="8"/>
        <v>1</v>
      </c>
      <c r="L2287" s="394" t="str">
        <f>IFERROR(__xludf.DUMMYFUNCTION("JOIN("""", G2287:H2287)"),"")</f>
        <v/>
      </c>
      <c r="M2287" s="80" t="str">
        <f t="shared" si="2"/>
        <v/>
      </c>
    </row>
    <row r="2288">
      <c r="A2288" s="86"/>
      <c r="B2288" s="73"/>
      <c r="C2288" s="73"/>
      <c r="D2288" s="73"/>
      <c r="E2288" s="88"/>
      <c r="F2288" s="73"/>
      <c r="G2288" s="394"/>
      <c r="H2288" s="73"/>
      <c r="I2288" s="88"/>
      <c r="J2288" s="410"/>
      <c r="K2288" s="393">
        <f t="shared" si="8"/>
        <v>1</v>
      </c>
      <c r="L2288" s="394" t="str">
        <f>IFERROR(__xludf.DUMMYFUNCTION("JOIN("""", G2288:H2288)"),"")</f>
        <v/>
      </c>
      <c r="M2288" s="80" t="str">
        <f t="shared" si="2"/>
        <v/>
      </c>
    </row>
    <row r="2289">
      <c r="A2289" s="86"/>
      <c r="B2289" s="73"/>
      <c r="C2289" s="73"/>
      <c r="D2289" s="73"/>
      <c r="E2289" s="88"/>
      <c r="F2289" s="73"/>
      <c r="G2289" s="394"/>
      <c r="H2289" s="73"/>
      <c r="I2289" s="88"/>
      <c r="J2289" s="410"/>
      <c r="K2289" s="393">
        <f t="shared" si="8"/>
        <v>1</v>
      </c>
      <c r="L2289" s="394" t="str">
        <f>IFERROR(__xludf.DUMMYFUNCTION("JOIN("""", G2289:H2289)"),"")</f>
        <v/>
      </c>
      <c r="M2289" s="80" t="str">
        <f t="shared" si="2"/>
        <v/>
      </c>
    </row>
    <row r="2290">
      <c r="A2290" s="86"/>
      <c r="B2290" s="73"/>
      <c r="C2290" s="73"/>
      <c r="D2290" s="73"/>
      <c r="E2290" s="88"/>
      <c r="F2290" s="73"/>
      <c r="G2290" s="394"/>
      <c r="H2290" s="73"/>
      <c r="I2290" s="88"/>
      <c r="J2290" s="410"/>
      <c r="K2290" s="393">
        <f t="shared" si="8"/>
        <v>1</v>
      </c>
      <c r="L2290" s="394" t="str">
        <f>IFERROR(__xludf.DUMMYFUNCTION("JOIN("""", G2290:H2290)"),"")</f>
        <v/>
      </c>
      <c r="M2290" s="80" t="str">
        <f t="shared" si="2"/>
        <v/>
      </c>
    </row>
    <row r="2291">
      <c r="A2291" s="86"/>
      <c r="B2291" s="73"/>
      <c r="C2291" s="73"/>
      <c r="D2291" s="73"/>
      <c r="E2291" s="88"/>
      <c r="F2291" s="73"/>
      <c r="G2291" s="394"/>
      <c r="H2291" s="73"/>
      <c r="I2291" s="88"/>
      <c r="J2291" s="410"/>
      <c r="K2291" s="393">
        <f t="shared" si="8"/>
        <v>1</v>
      </c>
      <c r="L2291" s="394" t="str">
        <f>IFERROR(__xludf.DUMMYFUNCTION("JOIN("""", G2291:H2291)"),"")</f>
        <v/>
      </c>
      <c r="M2291" s="80" t="str">
        <f t="shared" si="2"/>
        <v/>
      </c>
    </row>
    <row r="2292">
      <c r="A2292" s="86"/>
      <c r="B2292" s="73"/>
      <c r="C2292" s="73"/>
      <c r="D2292" s="73"/>
      <c r="E2292" s="88"/>
      <c r="F2292" s="73"/>
      <c r="G2292" s="394"/>
      <c r="H2292" s="73"/>
      <c r="I2292" s="88"/>
      <c r="J2292" s="410"/>
      <c r="K2292" s="393">
        <f t="shared" si="8"/>
        <v>1</v>
      </c>
      <c r="L2292" s="394" t="str">
        <f>IFERROR(__xludf.DUMMYFUNCTION("JOIN("""", G2292:H2292)"),"")</f>
        <v/>
      </c>
      <c r="M2292" s="80" t="str">
        <f t="shared" si="2"/>
        <v/>
      </c>
    </row>
    <row r="2293">
      <c r="A2293" s="86"/>
      <c r="B2293" s="73"/>
      <c r="C2293" s="73"/>
      <c r="D2293" s="73"/>
      <c r="E2293" s="88"/>
      <c r="F2293" s="73"/>
      <c r="G2293" s="394"/>
      <c r="H2293" s="73"/>
      <c r="I2293" s="88"/>
      <c r="J2293" s="410"/>
      <c r="K2293" s="393">
        <f t="shared" si="8"/>
        <v>1</v>
      </c>
      <c r="L2293" s="394" t="str">
        <f>IFERROR(__xludf.DUMMYFUNCTION("JOIN("""", G2293:H2293)"),"")</f>
        <v/>
      </c>
      <c r="M2293" s="80" t="str">
        <f t="shared" si="2"/>
        <v/>
      </c>
    </row>
    <row r="2294">
      <c r="A2294" s="86"/>
      <c r="B2294" s="73"/>
      <c r="C2294" s="73"/>
      <c r="D2294" s="73"/>
      <c r="E2294" s="88"/>
      <c r="F2294" s="73"/>
      <c r="G2294" s="394"/>
      <c r="H2294" s="73"/>
      <c r="I2294" s="88"/>
      <c r="J2294" s="410"/>
      <c r="K2294" s="393">
        <f t="shared" si="8"/>
        <v>1</v>
      </c>
      <c r="L2294" s="394" t="str">
        <f>IFERROR(__xludf.DUMMYFUNCTION("JOIN("""", G2294:H2294)"),"")</f>
        <v/>
      </c>
      <c r="M2294" s="80" t="str">
        <f t="shared" si="2"/>
        <v/>
      </c>
    </row>
    <row r="2295">
      <c r="A2295" s="86"/>
      <c r="B2295" s="73"/>
      <c r="C2295" s="73"/>
      <c r="D2295" s="73"/>
      <c r="E2295" s="88"/>
      <c r="F2295" s="73"/>
      <c r="G2295" s="394"/>
      <c r="H2295" s="73"/>
      <c r="I2295" s="88"/>
      <c r="J2295" s="410"/>
      <c r="K2295" s="393">
        <f t="shared" si="8"/>
        <v>1</v>
      </c>
      <c r="L2295" s="394" t="str">
        <f>IFERROR(__xludf.DUMMYFUNCTION("JOIN("""", G2295:H2295)"),"")</f>
        <v/>
      </c>
      <c r="M2295" s="80" t="str">
        <f t="shared" si="2"/>
        <v/>
      </c>
    </row>
    <row r="2296">
      <c r="A2296" s="86"/>
      <c r="B2296" s="73"/>
      <c r="C2296" s="73"/>
      <c r="D2296" s="73"/>
      <c r="E2296" s="88"/>
      <c r="F2296" s="73"/>
      <c r="G2296" s="394"/>
      <c r="H2296" s="73"/>
      <c r="I2296" s="88"/>
      <c r="J2296" s="410"/>
      <c r="K2296" s="393">
        <f t="shared" si="8"/>
        <v>1</v>
      </c>
      <c r="L2296" s="394" t="str">
        <f>IFERROR(__xludf.DUMMYFUNCTION("JOIN("""", G2296:H2296)"),"")</f>
        <v/>
      </c>
      <c r="M2296" s="80" t="str">
        <f t="shared" si="2"/>
        <v/>
      </c>
    </row>
    <row r="2297">
      <c r="A2297" s="86"/>
      <c r="B2297" s="73"/>
      <c r="C2297" s="73"/>
      <c r="D2297" s="73"/>
      <c r="E2297" s="88"/>
      <c r="F2297" s="73"/>
      <c r="G2297" s="394"/>
      <c r="H2297" s="73"/>
      <c r="I2297" s="88"/>
      <c r="J2297" s="410"/>
      <c r="K2297" s="393">
        <f t="shared" si="8"/>
        <v>1</v>
      </c>
      <c r="L2297" s="394" t="str">
        <f>IFERROR(__xludf.DUMMYFUNCTION("JOIN("""", G2297:H2297)"),"")</f>
        <v/>
      </c>
      <c r="M2297" s="80" t="str">
        <f t="shared" si="2"/>
        <v/>
      </c>
    </row>
    <row r="2298">
      <c r="A2298" s="86"/>
      <c r="B2298" s="73"/>
      <c r="C2298" s="73"/>
      <c r="D2298" s="73"/>
      <c r="E2298" s="88"/>
      <c r="F2298" s="73"/>
      <c r="G2298" s="394"/>
      <c r="H2298" s="73"/>
      <c r="I2298" s="88"/>
      <c r="J2298" s="410"/>
      <c r="K2298" s="393">
        <f t="shared" si="8"/>
        <v>1</v>
      </c>
      <c r="L2298" s="394" t="str">
        <f>IFERROR(__xludf.DUMMYFUNCTION("JOIN("""", G2298:H2298)"),"")</f>
        <v/>
      </c>
      <c r="M2298" s="80" t="str">
        <f t="shared" si="2"/>
        <v/>
      </c>
    </row>
    <row r="2299">
      <c r="A2299" s="86"/>
      <c r="B2299" s="73"/>
      <c r="C2299" s="73"/>
      <c r="D2299" s="73"/>
      <c r="E2299" s="88"/>
      <c r="F2299" s="73"/>
      <c r="G2299" s="394"/>
      <c r="H2299" s="73"/>
      <c r="I2299" s="88"/>
      <c r="J2299" s="410"/>
      <c r="K2299" s="393">
        <f t="shared" si="8"/>
        <v>1</v>
      </c>
      <c r="L2299" s="394" t="str">
        <f>IFERROR(__xludf.DUMMYFUNCTION("JOIN("""", G2299:H2299)"),"")</f>
        <v/>
      </c>
      <c r="M2299" s="80" t="str">
        <f t="shared" si="2"/>
        <v/>
      </c>
    </row>
    <row r="2300">
      <c r="A2300" s="86"/>
      <c r="B2300" s="73"/>
      <c r="C2300" s="73"/>
      <c r="D2300" s="73"/>
      <c r="E2300" s="88"/>
      <c r="F2300" s="73"/>
      <c r="G2300" s="394"/>
      <c r="H2300" s="73"/>
      <c r="I2300" s="88"/>
      <c r="J2300" s="410"/>
      <c r="K2300" s="393">
        <f t="shared" si="8"/>
        <v>1</v>
      </c>
      <c r="L2300" s="394" t="str">
        <f>IFERROR(__xludf.DUMMYFUNCTION("JOIN("""", G2300:H2300)"),"")</f>
        <v/>
      </c>
      <c r="M2300" s="80" t="str">
        <f t="shared" si="2"/>
        <v/>
      </c>
    </row>
    <row r="2301">
      <c r="A2301" s="86"/>
      <c r="B2301" s="73"/>
      <c r="C2301" s="73"/>
      <c r="D2301" s="73"/>
      <c r="E2301" s="88"/>
      <c r="F2301" s="73"/>
      <c r="G2301" s="394"/>
      <c r="H2301" s="73"/>
      <c r="I2301" s="88"/>
      <c r="J2301" s="410"/>
      <c r="K2301" s="393">
        <f t="shared" si="8"/>
        <v>1</v>
      </c>
      <c r="L2301" s="394" t="str">
        <f>IFERROR(__xludf.DUMMYFUNCTION("JOIN("""", G2301:H2301)"),"")</f>
        <v/>
      </c>
      <c r="M2301" s="80" t="str">
        <f t="shared" si="2"/>
        <v/>
      </c>
    </row>
    <row r="2302">
      <c r="A2302" s="86"/>
      <c r="B2302" s="73"/>
      <c r="C2302" s="73"/>
      <c r="D2302" s="73"/>
      <c r="E2302" s="88"/>
      <c r="F2302" s="73"/>
      <c r="G2302" s="394"/>
      <c r="H2302" s="73"/>
      <c r="I2302" s="88"/>
      <c r="J2302" s="410"/>
      <c r="K2302" s="393">
        <f t="shared" si="8"/>
        <v>1</v>
      </c>
      <c r="L2302" s="394" t="str">
        <f>IFERROR(__xludf.DUMMYFUNCTION("JOIN("""", G2302:H2302)"),"")</f>
        <v/>
      </c>
      <c r="M2302" s="80" t="str">
        <f t="shared" si="2"/>
        <v/>
      </c>
    </row>
    <row r="2303">
      <c r="A2303" s="86"/>
      <c r="B2303" s="73"/>
      <c r="C2303" s="73"/>
      <c r="D2303" s="73"/>
      <c r="E2303" s="88"/>
      <c r="F2303" s="73"/>
      <c r="G2303" s="394"/>
      <c r="H2303" s="73"/>
      <c r="I2303" s="88"/>
      <c r="J2303" s="410"/>
      <c r="K2303" s="393">
        <f t="shared" si="8"/>
        <v>1</v>
      </c>
      <c r="L2303" s="394" t="str">
        <f>IFERROR(__xludf.DUMMYFUNCTION("JOIN("""", G2303:H2303)"),"")</f>
        <v/>
      </c>
      <c r="M2303" s="80" t="str">
        <f t="shared" si="2"/>
        <v/>
      </c>
    </row>
    <row r="2304">
      <c r="A2304" s="86"/>
      <c r="B2304" s="73"/>
      <c r="C2304" s="73"/>
      <c r="D2304" s="73"/>
      <c r="E2304" s="88"/>
      <c r="F2304" s="73"/>
      <c r="G2304" s="394"/>
      <c r="H2304" s="73"/>
      <c r="I2304" s="88"/>
      <c r="J2304" s="410"/>
      <c r="K2304" s="393">
        <f t="shared" si="8"/>
        <v>1</v>
      </c>
      <c r="L2304" s="394" t="str">
        <f>IFERROR(__xludf.DUMMYFUNCTION("JOIN("""", G2304:H2304)"),"")</f>
        <v/>
      </c>
      <c r="M2304" s="80" t="str">
        <f t="shared" si="2"/>
        <v/>
      </c>
    </row>
    <row r="2305">
      <c r="A2305" s="86"/>
      <c r="B2305" s="73"/>
      <c r="C2305" s="73"/>
      <c r="D2305" s="73"/>
      <c r="E2305" s="88"/>
      <c r="F2305" s="73"/>
      <c r="G2305" s="394"/>
      <c r="H2305" s="73"/>
      <c r="I2305" s="88"/>
      <c r="J2305" s="410"/>
      <c r="K2305" s="393">
        <f t="shared" si="8"/>
        <v>1</v>
      </c>
      <c r="L2305" s="394" t="str">
        <f>IFERROR(__xludf.DUMMYFUNCTION("JOIN("""", G2305:H2305)"),"")</f>
        <v/>
      </c>
      <c r="M2305" s="80" t="str">
        <f t="shared" si="2"/>
        <v/>
      </c>
    </row>
    <row r="2306">
      <c r="A2306" s="86"/>
      <c r="B2306" s="73"/>
      <c r="C2306" s="73"/>
      <c r="D2306" s="73"/>
      <c r="E2306" s="88"/>
      <c r="F2306" s="73"/>
      <c r="G2306" s="394"/>
      <c r="H2306" s="73"/>
      <c r="I2306" s="88"/>
      <c r="J2306" s="410"/>
      <c r="K2306" s="393">
        <f t="shared" si="8"/>
        <v>1</v>
      </c>
      <c r="L2306" s="394" t="str">
        <f>IFERROR(__xludf.DUMMYFUNCTION("JOIN("""", G2306:H2306)"),"")</f>
        <v/>
      </c>
      <c r="M2306" s="80" t="str">
        <f t="shared" si="2"/>
        <v/>
      </c>
    </row>
    <row r="2307">
      <c r="A2307" s="86"/>
      <c r="B2307" s="73"/>
      <c r="C2307" s="73"/>
      <c r="D2307" s="73"/>
      <c r="E2307" s="88"/>
      <c r="F2307" s="73"/>
      <c r="G2307" s="394"/>
      <c r="H2307" s="73"/>
      <c r="I2307" s="88"/>
      <c r="J2307" s="410"/>
      <c r="K2307" s="393">
        <f t="shared" si="8"/>
        <v>1</v>
      </c>
      <c r="L2307" s="394" t="str">
        <f>IFERROR(__xludf.DUMMYFUNCTION("JOIN("""", G2307:H2307)"),"")</f>
        <v/>
      </c>
      <c r="M2307" s="80" t="str">
        <f t="shared" si="2"/>
        <v/>
      </c>
    </row>
    <row r="2308">
      <c r="A2308" s="86"/>
      <c r="B2308" s="73"/>
      <c r="C2308" s="73"/>
      <c r="D2308" s="73"/>
      <c r="E2308" s="88"/>
      <c r="F2308" s="73"/>
      <c r="G2308" s="394"/>
      <c r="H2308" s="73"/>
      <c r="I2308" s="88"/>
      <c r="J2308" s="410"/>
      <c r="K2308" s="393">
        <f t="shared" si="8"/>
        <v>1</v>
      </c>
      <c r="L2308" s="394" t="str">
        <f>IFERROR(__xludf.DUMMYFUNCTION("JOIN("""", G2308:H2308)"),"")</f>
        <v/>
      </c>
      <c r="M2308" s="80" t="str">
        <f t="shared" si="2"/>
        <v/>
      </c>
    </row>
    <row r="2309">
      <c r="A2309" s="86"/>
      <c r="B2309" s="73"/>
      <c r="C2309" s="73"/>
      <c r="D2309" s="73"/>
      <c r="E2309" s="88"/>
      <c r="F2309" s="73"/>
      <c r="G2309" s="394"/>
      <c r="H2309" s="73"/>
      <c r="I2309" s="88"/>
      <c r="J2309" s="410"/>
      <c r="K2309" s="393">
        <f t="shared" si="8"/>
        <v>1</v>
      </c>
      <c r="L2309" s="394" t="str">
        <f>IFERROR(__xludf.DUMMYFUNCTION("JOIN("""", G2309:H2309)"),"")</f>
        <v/>
      </c>
      <c r="M2309" s="80" t="str">
        <f t="shared" si="2"/>
        <v/>
      </c>
    </row>
    <row r="2310">
      <c r="A2310" s="86"/>
      <c r="B2310" s="73"/>
      <c r="C2310" s="73"/>
      <c r="D2310" s="73"/>
      <c r="E2310" s="88"/>
      <c r="F2310" s="73"/>
      <c r="G2310" s="394"/>
      <c r="H2310" s="73"/>
      <c r="I2310" s="88"/>
      <c r="J2310" s="410"/>
      <c r="K2310" s="393">
        <f t="shared" si="8"/>
        <v>1</v>
      </c>
      <c r="L2310" s="394" t="str">
        <f>IFERROR(__xludf.DUMMYFUNCTION("JOIN("""", G2310:H2310)"),"")</f>
        <v/>
      </c>
      <c r="M2310" s="80" t="str">
        <f t="shared" si="2"/>
        <v/>
      </c>
    </row>
    <row r="2311">
      <c r="A2311" s="86"/>
      <c r="B2311" s="73"/>
      <c r="C2311" s="73"/>
      <c r="D2311" s="73"/>
      <c r="E2311" s="88"/>
      <c r="F2311" s="73"/>
      <c r="G2311" s="394"/>
      <c r="H2311" s="73"/>
      <c r="I2311" s="88"/>
      <c r="J2311" s="410"/>
      <c r="K2311" s="393">
        <f t="shared" si="8"/>
        <v>1</v>
      </c>
      <c r="L2311" s="394" t="str">
        <f>IFERROR(__xludf.DUMMYFUNCTION("JOIN("""", G2311:H2311)"),"")</f>
        <v/>
      </c>
      <c r="M2311" s="80" t="str">
        <f t="shared" si="2"/>
        <v/>
      </c>
    </row>
    <row r="2312">
      <c r="A2312" s="86"/>
      <c r="B2312" s="73"/>
      <c r="C2312" s="73"/>
      <c r="D2312" s="73"/>
      <c r="E2312" s="88"/>
      <c r="F2312" s="73"/>
      <c r="G2312" s="394"/>
      <c r="H2312" s="73"/>
      <c r="I2312" s="88"/>
      <c r="J2312" s="410"/>
      <c r="K2312" s="393">
        <f t="shared" si="8"/>
        <v>1</v>
      </c>
      <c r="L2312" s="394" t="str">
        <f>IFERROR(__xludf.DUMMYFUNCTION("JOIN("""", G2312:H2312)"),"")</f>
        <v/>
      </c>
      <c r="M2312" s="80" t="str">
        <f t="shared" si="2"/>
        <v/>
      </c>
    </row>
    <row r="2313">
      <c r="A2313" s="86"/>
      <c r="B2313" s="73"/>
      <c r="C2313" s="73"/>
      <c r="D2313" s="73"/>
      <c r="E2313" s="88"/>
      <c r="F2313" s="73"/>
      <c r="G2313" s="394"/>
      <c r="H2313" s="73"/>
      <c r="I2313" s="88"/>
      <c r="J2313" s="410"/>
      <c r="K2313" s="393">
        <f t="shared" si="8"/>
        <v>1</v>
      </c>
      <c r="L2313" s="394" t="str">
        <f>IFERROR(__xludf.DUMMYFUNCTION("JOIN("""", G2313:H2313)"),"")</f>
        <v/>
      </c>
      <c r="M2313" s="80" t="str">
        <f t="shared" si="2"/>
        <v/>
      </c>
    </row>
    <row r="2314">
      <c r="A2314" s="86"/>
      <c r="B2314" s="73"/>
      <c r="C2314" s="73"/>
      <c r="D2314" s="73"/>
      <c r="E2314" s="88"/>
      <c r="F2314" s="73"/>
      <c r="G2314" s="394"/>
      <c r="H2314" s="73"/>
      <c r="I2314" s="88"/>
      <c r="J2314" s="410"/>
      <c r="K2314" s="393">
        <f t="shared" si="8"/>
        <v>1</v>
      </c>
      <c r="L2314" s="394" t="str">
        <f>IFERROR(__xludf.DUMMYFUNCTION("JOIN("""", G2314:H2314)"),"")</f>
        <v/>
      </c>
      <c r="M2314" s="80" t="str">
        <f t="shared" si="2"/>
        <v/>
      </c>
    </row>
    <row r="2315">
      <c r="A2315" s="86"/>
      <c r="B2315" s="73"/>
      <c r="C2315" s="73"/>
      <c r="D2315" s="73"/>
      <c r="E2315" s="88"/>
      <c r="F2315" s="73"/>
      <c r="G2315" s="394"/>
      <c r="H2315" s="73"/>
      <c r="I2315" s="88"/>
      <c r="J2315" s="410"/>
      <c r="K2315" s="393">
        <f t="shared" si="8"/>
        <v>1</v>
      </c>
      <c r="L2315" s="394" t="str">
        <f>IFERROR(__xludf.DUMMYFUNCTION("JOIN("""", G2315:H2315)"),"")</f>
        <v/>
      </c>
      <c r="M2315" s="80" t="str">
        <f t="shared" si="2"/>
        <v/>
      </c>
    </row>
    <row r="2316">
      <c r="A2316" s="86"/>
      <c r="B2316" s="73"/>
      <c r="C2316" s="73"/>
      <c r="D2316" s="73"/>
      <c r="E2316" s="88"/>
      <c r="F2316" s="73"/>
      <c r="G2316" s="394"/>
      <c r="H2316" s="73"/>
      <c r="I2316" s="88"/>
      <c r="J2316" s="410"/>
      <c r="K2316" s="393">
        <f t="shared" si="8"/>
        <v>1</v>
      </c>
      <c r="L2316" s="394" t="str">
        <f>IFERROR(__xludf.DUMMYFUNCTION("JOIN("""", G2316:H2316)"),"")</f>
        <v/>
      </c>
      <c r="M2316" s="80" t="str">
        <f t="shared" si="2"/>
        <v/>
      </c>
    </row>
    <row r="2317">
      <c r="A2317" s="86"/>
      <c r="B2317" s="73"/>
      <c r="C2317" s="73"/>
      <c r="D2317" s="73"/>
      <c r="E2317" s="88"/>
      <c r="F2317" s="73"/>
      <c r="G2317" s="394"/>
      <c r="H2317" s="73"/>
      <c r="I2317" s="88"/>
      <c r="J2317" s="410"/>
      <c r="K2317" s="393">
        <f t="shared" si="8"/>
        <v>1</v>
      </c>
      <c r="L2317" s="394" t="str">
        <f>IFERROR(__xludf.DUMMYFUNCTION("JOIN("""", G2317:H2317)"),"")</f>
        <v/>
      </c>
      <c r="M2317" s="80" t="str">
        <f t="shared" si="2"/>
        <v/>
      </c>
    </row>
    <row r="2318">
      <c r="A2318" s="86"/>
      <c r="B2318" s="73"/>
      <c r="C2318" s="73"/>
      <c r="D2318" s="73"/>
      <c r="E2318" s="88"/>
      <c r="F2318" s="73"/>
      <c r="G2318" s="394"/>
      <c r="H2318" s="73"/>
      <c r="I2318" s="88"/>
      <c r="J2318" s="410"/>
      <c r="K2318" s="393">
        <f t="shared" si="8"/>
        <v>1</v>
      </c>
      <c r="L2318" s="394" t="str">
        <f>IFERROR(__xludf.DUMMYFUNCTION("JOIN("""", G2318:H2318)"),"")</f>
        <v/>
      </c>
      <c r="M2318" s="80" t="str">
        <f t="shared" si="2"/>
        <v/>
      </c>
    </row>
    <row r="2319">
      <c r="A2319" s="86"/>
      <c r="B2319" s="73"/>
      <c r="C2319" s="73"/>
      <c r="D2319" s="73"/>
      <c r="E2319" s="88"/>
      <c r="F2319" s="73"/>
      <c r="G2319" s="394"/>
      <c r="H2319" s="73"/>
      <c r="I2319" s="88"/>
      <c r="J2319" s="410"/>
      <c r="K2319" s="393">
        <f t="shared" si="8"/>
        <v>1</v>
      </c>
      <c r="L2319" s="394" t="str">
        <f>IFERROR(__xludf.DUMMYFUNCTION("JOIN("""", G2319:H2319)"),"")</f>
        <v/>
      </c>
      <c r="M2319" s="80" t="str">
        <f t="shared" si="2"/>
        <v/>
      </c>
    </row>
    <row r="2320">
      <c r="A2320" s="86"/>
      <c r="B2320" s="73"/>
      <c r="C2320" s="73"/>
      <c r="D2320" s="73"/>
      <c r="E2320" s="88"/>
      <c r="F2320" s="73"/>
      <c r="G2320" s="394"/>
      <c r="H2320" s="73"/>
      <c r="I2320" s="88"/>
      <c r="J2320" s="410"/>
      <c r="K2320" s="393">
        <f t="shared" si="8"/>
        <v>1</v>
      </c>
      <c r="L2320" s="394" t="str">
        <f>IFERROR(__xludf.DUMMYFUNCTION("JOIN("""", G2320:H2320)"),"")</f>
        <v/>
      </c>
      <c r="M2320" s="80" t="str">
        <f t="shared" si="2"/>
        <v/>
      </c>
    </row>
    <row r="2321">
      <c r="A2321" s="86"/>
      <c r="B2321" s="73"/>
      <c r="C2321" s="73"/>
      <c r="D2321" s="73"/>
      <c r="E2321" s="88"/>
      <c r="F2321" s="73"/>
      <c r="G2321" s="394"/>
      <c r="H2321" s="73"/>
      <c r="I2321" s="88"/>
      <c r="J2321" s="410"/>
      <c r="K2321" s="393">
        <f t="shared" si="8"/>
        <v>1</v>
      </c>
      <c r="L2321" s="394" t="str">
        <f>IFERROR(__xludf.DUMMYFUNCTION("JOIN("""", G2321:H2321)"),"")</f>
        <v/>
      </c>
      <c r="M2321" s="80" t="str">
        <f t="shared" si="2"/>
        <v/>
      </c>
    </row>
    <row r="2322">
      <c r="A2322" s="86"/>
      <c r="B2322" s="73"/>
      <c r="C2322" s="73"/>
      <c r="D2322" s="73"/>
      <c r="E2322" s="88"/>
      <c r="F2322" s="73"/>
      <c r="G2322" s="394"/>
      <c r="H2322" s="73"/>
      <c r="I2322" s="88"/>
      <c r="J2322" s="410"/>
      <c r="K2322" s="393">
        <f t="shared" si="8"/>
        <v>1</v>
      </c>
      <c r="L2322" s="394" t="str">
        <f>IFERROR(__xludf.DUMMYFUNCTION("JOIN("""", G2322:H2322)"),"")</f>
        <v/>
      </c>
      <c r="M2322" s="80" t="str">
        <f t="shared" si="2"/>
        <v/>
      </c>
    </row>
    <row r="2323">
      <c r="A2323" s="86"/>
      <c r="B2323" s="73"/>
      <c r="C2323" s="73"/>
      <c r="D2323" s="73"/>
      <c r="E2323" s="88"/>
      <c r="F2323" s="73"/>
      <c r="G2323" s="394"/>
      <c r="H2323" s="73"/>
      <c r="I2323" s="88"/>
      <c r="J2323" s="410"/>
      <c r="K2323" s="393">
        <f t="shared" si="8"/>
        <v>1</v>
      </c>
      <c r="L2323" s="394" t="str">
        <f>IFERROR(__xludf.DUMMYFUNCTION("JOIN("""", G2323:H2323)"),"")</f>
        <v/>
      </c>
      <c r="M2323" s="80" t="str">
        <f t="shared" si="2"/>
        <v/>
      </c>
    </row>
    <row r="2324">
      <c r="A2324" s="86"/>
      <c r="B2324" s="73"/>
      <c r="C2324" s="73"/>
      <c r="D2324" s="73"/>
      <c r="E2324" s="88"/>
      <c r="F2324" s="73"/>
      <c r="G2324" s="394"/>
      <c r="H2324" s="73"/>
      <c r="I2324" s="88"/>
      <c r="J2324" s="410"/>
      <c r="K2324" s="393">
        <f t="shared" si="8"/>
        <v>1</v>
      </c>
      <c r="L2324" s="394" t="str">
        <f>IFERROR(__xludf.DUMMYFUNCTION("JOIN("""", G2324:H2324)"),"")</f>
        <v/>
      </c>
      <c r="M2324" s="80" t="str">
        <f t="shared" si="2"/>
        <v/>
      </c>
    </row>
    <row r="2325">
      <c r="A2325" s="86"/>
      <c r="B2325" s="73"/>
      <c r="C2325" s="73"/>
      <c r="D2325" s="73"/>
      <c r="E2325" s="88"/>
      <c r="F2325" s="73"/>
      <c r="G2325" s="394"/>
      <c r="H2325" s="73"/>
      <c r="I2325" s="88"/>
      <c r="J2325" s="410"/>
      <c r="K2325" s="393">
        <f t="shared" si="8"/>
        <v>1</v>
      </c>
      <c r="L2325" s="394" t="str">
        <f>IFERROR(__xludf.DUMMYFUNCTION("JOIN("""", G2325:H2325)"),"")</f>
        <v/>
      </c>
      <c r="M2325" s="80" t="str">
        <f t="shared" si="2"/>
        <v/>
      </c>
    </row>
    <row r="2326">
      <c r="A2326" s="86"/>
      <c r="B2326" s="73"/>
      <c r="C2326" s="73"/>
      <c r="D2326" s="73"/>
      <c r="E2326" s="88"/>
      <c r="F2326" s="73"/>
      <c r="G2326" s="394"/>
      <c r="H2326" s="73"/>
      <c r="I2326" s="88"/>
      <c r="J2326" s="410"/>
      <c r="K2326" s="393">
        <f t="shared" si="8"/>
        <v>1</v>
      </c>
      <c r="L2326" s="394" t="str">
        <f>IFERROR(__xludf.DUMMYFUNCTION("JOIN("""", G2326:H2326)"),"")</f>
        <v/>
      </c>
      <c r="M2326" s="80" t="str">
        <f t="shared" si="2"/>
        <v/>
      </c>
    </row>
    <row r="2327">
      <c r="A2327" s="86"/>
      <c r="B2327" s="73"/>
      <c r="C2327" s="73"/>
      <c r="D2327" s="73"/>
      <c r="E2327" s="88"/>
      <c r="F2327" s="73"/>
      <c r="G2327" s="394"/>
      <c r="H2327" s="73"/>
      <c r="I2327" s="88"/>
      <c r="J2327" s="410"/>
      <c r="K2327" s="393">
        <f t="shared" si="8"/>
        <v>1</v>
      </c>
      <c r="L2327" s="394" t="str">
        <f>IFERROR(__xludf.DUMMYFUNCTION("JOIN("""", G2327:H2327)"),"")</f>
        <v/>
      </c>
      <c r="M2327" s="80" t="str">
        <f t="shared" si="2"/>
        <v/>
      </c>
    </row>
    <row r="2328">
      <c r="A2328" s="86"/>
      <c r="B2328" s="73"/>
      <c r="C2328" s="73"/>
      <c r="D2328" s="73"/>
      <c r="E2328" s="88"/>
      <c r="F2328" s="73"/>
      <c r="G2328" s="394"/>
      <c r="H2328" s="73"/>
      <c r="I2328" s="88"/>
      <c r="J2328" s="410"/>
      <c r="K2328" s="393">
        <f t="shared" si="8"/>
        <v>1</v>
      </c>
      <c r="L2328" s="394" t="str">
        <f>IFERROR(__xludf.DUMMYFUNCTION("JOIN("""", G2328:H2328)"),"")</f>
        <v/>
      </c>
      <c r="M2328" s="80" t="str">
        <f t="shared" si="2"/>
        <v/>
      </c>
    </row>
    <row r="2329">
      <c r="A2329" s="86"/>
      <c r="B2329" s="73"/>
      <c r="C2329" s="73"/>
      <c r="D2329" s="73"/>
      <c r="E2329" s="88"/>
      <c r="F2329" s="73"/>
      <c r="G2329" s="394"/>
      <c r="H2329" s="73"/>
      <c r="I2329" s="88"/>
      <c r="J2329" s="410"/>
      <c r="K2329" s="393">
        <f t="shared" si="8"/>
        <v>1</v>
      </c>
      <c r="L2329" s="394" t="str">
        <f>IFERROR(__xludf.DUMMYFUNCTION("JOIN("""", G2329:H2329)"),"")</f>
        <v/>
      </c>
      <c r="M2329" s="80" t="str">
        <f t="shared" si="2"/>
        <v/>
      </c>
    </row>
    <row r="2330">
      <c r="A2330" s="86"/>
      <c r="B2330" s="73"/>
      <c r="C2330" s="73"/>
      <c r="D2330" s="73"/>
      <c r="E2330" s="88"/>
      <c r="F2330" s="73"/>
      <c r="G2330" s="394"/>
      <c r="H2330" s="73"/>
      <c r="I2330" s="88"/>
      <c r="J2330" s="410"/>
      <c r="K2330" s="393">
        <f t="shared" si="8"/>
        <v>1</v>
      </c>
      <c r="L2330" s="394" t="str">
        <f>IFERROR(__xludf.DUMMYFUNCTION("JOIN("""", G2330:H2330)"),"")</f>
        <v/>
      </c>
      <c r="M2330" s="80" t="str">
        <f t="shared" si="2"/>
        <v/>
      </c>
    </row>
    <row r="2331">
      <c r="A2331" s="86"/>
      <c r="B2331" s="73"/>
      <c r="C2331" s="73"/>
      <c r="D2331" s="73"/>
      <c r="E2331" s="88"/>
      <c r="F2331" s="73"/>
      <c r="G2331" s="394"/>
      <c r="H2331" s="73"/>
      <c r="I2331" s="88"/>
      <c r="J2331" s="410"/>
      <c r="K2331" s="393">
        <f t="shared" si="8"/>
        <v>1</v>
      </c>
      <c r="L2331" s="394" t="str">
        <f>IFERROR(__xludf.DUMMYFUNCTION("JOIN("""", G2331:H2331)"),"")</f>
        <v/>
      </c>
      <c r="M2331" s="80" t="str">
        <f t="shared" si="2"/>
        <v/>
      </c>
    </row>
    <row r="2332">
      <c r="A2332" s="86"/>
      <c r="B2332" s="73"/>
      <c r="C2332" s="73"/>
      <c r="D2332" s="73"/>
      <c r="E2332" s="88"/>
      <c r="F2332" s="73"/>
      <c r="G2332" s="394"/>
      <c r="H2332" s="73"/>
      <c r="I2332" s="88"/>
      <c r="J2332" s="410"/>
      <c r="K2332" s="393">
        <f t="shared" si="8"/>
        <v>1</v>
      </c>
      <c r="L2332" s="394" t="str">
        <f>IFERROR(__xludf.DUMMYFUNCTION("JOIN("""", G2332:H2332)"),"")</f>
        <v/>
      </c>
      <c r="M2332" s="80" t="str">
        <f t="shared" si="2"/>
        <v/>
      </c>
    </row>
    <row r="2333">
      <c r="A2333" s="86"/>
      <c r="B2333" s="73"/>
      <c r="C2333" s="73"/>
      <c r="D2333" s="73"/>
      <c r="E2333" s="88"/>
      <c r="F2333" s="73"/>
      <c r="G2333" s="394"/>
      <c r="H2333" s="73"/>
      <c r="I2333" s="88"/>
      <c r="J2333" s="410"/>
      <c r="K2333" s="393">
        <f t="shared" si="8"/>
        <v>1</v>
      </c>
      <c r="L2333" s="394" t="str">
        <f>IFERROR(__xludf.DUMMYFUNCTION("JOIN("""", G2333:H2333)"),"")</f>
        <v/>
      </c>
      <c r="M2333" s="80" t="str">
        <f t="shared" si="2"/>
        <v/>
      </c>
    </row>
    <row r="2334">
      <c r="A2334" s="86"/>
      <c r="B2334" s="73"/>
      <c r="C2334" s="73"/>
      <c r="D2334" s="73"/>
      <c r="E2334" s="88"/>
      <c r="F2334" s="73"/>
      <c r="G2334" s="394"/>
      <c r="H2334" s="73"/>
      <c r="I2334" s="88"/>
      <c r="J2334" s="410"/>
      <c r="K2334" s="393">
        <f t="shared" si="8"/>
        <v>1</v>
      </c>
      <c r="L2334" s="394" t="str">
        <f>IFERROR(__xludf.DUMMYFUNCTION("JOIN("""", G2334:H2334)"),"")</f>
        <v/>
      </c>
      <c r="M2334" s="80" t="str">
        <f t="shared" si="2"/>
        <v/>
      </c>
    </row>
    <row r="2335">
      <c r="A2335" s="86"/>
      <c r="B2335" s="73"/>
      <c r="C2335" s="73"/>
      <c r="D2335" s="73"/>
      <c r="E2335" s="88"/>
      <c r="F2335" s="73"/>
      <c r="G2335" s="394"/>
      <c r="H2335" s="73"/>
      <c r="I2335" s="88"/>
      <c r="J2335" s="410"/>
      <c r="K2335" s="393">
        <f t="shared" si="8"/>
        <v>1</v>
      </c>
      <c r="L2335" s="394" t="str">
        <f>IFERROR(__xludf.DUMMYFUNCTION("JOIN("""", G2335:H2335)"),"")</f>
        <v/>
      </c>
      <c r="M2335" s="80" t="str">
        <f t="shared" si="2"/>
        <v/>
      </c>
    </row>
    <row r="2336">
      <c r="A2336" s="86"/>
      <c r="B2336" s="73"/>
      <c r="C2336" s="73"/>
      <c r="D2336" s="73"/>
      <c r="E2336" s="88"/>
      <c r="F2336" s="73"/>
      <c r="G2336" s="394"/>
      <c r="H2336" s="73"/>
      <c r="I2336" s="88"/>
      <c r="J2336" s="410"/>
      <c r="K2336" s="393">
        <f t="shared" si="8"/>
        <v>1</v>
      </c>
      <c r="L2336" s="394" t="str">
        <f>IFERROR(__xludf.DUMMYFUNCTION("JOIN("""", G2336:H2336)"),"")</f>
        <v/>
      </c>
      <c r="M2336" s="80" t="str">
        <f t="shared" si="2"/>
        <v/>
      </c>
    </row>
    <row r="2337">
      <c r="A2337" s="86"/>
      <c r="B2337" s="73"/>
      <c r="C2337" s="73"/>
      <c r="D2337" s="73"/>
      <c r="E2337" s="88"/>
      <c r="F2337" s="73"/>
      <c r="G2337" s="394"/>
      <c r="H2337" s="73"/>
      <c r="I2337" s="88"/>
      <c r="J2337" s="410"/>
      <c r="K2337" s="393">
        <f t="shared" si="8"/>
        <v>1</v>
      </c>
      <c r="L2337" s="394" t="str">
        <f>IFERROR(__xludf.DUMMYFUNCTION("JOIN("""", G2337:H2337)"),"")</f>
        <v/>
      </c>
      <c r="M2337" s="80" t="str">
        <f t="shared" si="2"/>
        <v/>
      </c>
    </row>
    <row r="2338">
      <c r="A2338" s="86"/>
      <c r="B2338" s="73"/>
      <c r="C2338" s="73"/>
      <c r="D2338" s="73"/>
      <c r="E2338" s="88"/>
      <c r="F2338" s="73"/>
      <c r="G2338" s="394"/>
      <c r="H2338" s="73"/>
      <c r="I2338" s="88"/>
      <c r="J2338" s="410"/>
      <c r="K2338" s="393">
        <f t="shared" si="8"/>
        <v>1</v>
      </c>
      <c r="L2338" s="394" t="str">
        <f>IFERROR(__xludf.DUMMYFUNCTION("JOIN("""", G2338:H2338)"),"")</f>
        <v/>
      </c>
      <c r="M2338" s="80" t="str">
        <f t="shared" si="2"/>
        <v/>
      </c>
    </row>
    <row r="2339">
      <c r="A2339" s="86"/>
      <c r="B2339" s="73"/>
      <c r="C2339" s="73"/>
      <c r="D2339" s="73"/>
      <c r="E2339" s="88"/>
      <c r="F2339" s="73"/>
      <c r="G2339" s="394"/>
      <c r="H2339" s="73"/>
      <c r="I2339" s="88"/>
      <c r="J2339" s="410"/>
      <c r="K2339" s="393">
        <f t="shared" si="8"/>
        <v>1</v>
      </c>
      <c r="L2339" s="394" t="str">
        <f>IFERROR(__xludf.DUMMYFUNCTION("JOIN("""", G2339:H2339)"),"")</f>
        <v/>
      </c>
      <c r="M2339" s="80" t="str">
        <f t="shared" si="2"/>
        <v/>
      </c>
    </row>
    <row r="2340">
      <c r="A2340" s="86"/>
      <c r="B2340" s="73"/>
      <c r="C2340" s="73"/>
      <c r="D2340" s="73"/>
      <c r="E2340" s="88"/>
      <c r="F2340" s="73"/>
      <c r="G2340" s="394"/>
      <c r="H2340" s="73"/>
      <c r="I2340" s="88"/>
      <c r="J2340" s="410"/>
      <c r="K2340" s="393">
        <f t="shared" si="8"/>
        <v>1</v>
      </c>
      <c r="L2340" s="394" t="str">
        <f>IFERROR(__xludf.DUMMYFUNCTION("JOIN("""", G2340:H2340)"),"")</f>
        <v/>
      </c>
      <c r="M2340" s="80" t="str">
        <f t="shared" si="2"/>
        <v/>
      </c>
    </row>
    <row r="2341">
      <c r="A2341" s="86"/>
      <c r="B2341" s="73"/>
      <c r="C2341" s="73"/>
      <c r="D2341" s="73"/>
      <c r="E2341" s="88"/>
      <c r="F2341" s="73"/>
      <c r="G2341" s="394"/>
      <c r="H2341" s="73"/>
      <c r="I2341" s="88"/>
      <c r="J2341" s="410"/>
      <c r="K2341" s="393">
        <f t="shared" si="8"/>
        <v>1</v>
      </c>
      <c r="L2341" s="394" t="str">
        <f>IFERROR(__xludf.DUMMYFUNCTION("JOIN("""", G2341:H2341)"),"")</f>
        <v/>
      </c>
      <c r="M2341" s="80" t="str">
        <f t="shared" si="2"/>
        <v/>
      </c>
    </row>
    <row r="2342">
      <c r="A2342" s="86"/>
      <c r="B2342" s="73"/>
      <c r="C2342" s="73"/>
      <c r="D2342" s="73"/>
      <c r="E2342" s="88"/>
      <c r="F2342" s="73"/>
      <c r="G2342" s="394"/>
      <c r="H2342" s="73"/>
      <c r="I2342" s="88"/>
      <c r="J2342" s="410"/>
      <c r="K2342" s="393">
        <f t="shared" si="8"/>
        <v>1</v>
      </c>
      <c r="L2342" s="394" t="str">
        <f>IFERROR(__xludf.DUMMYFUNCTION("JOIN("""", G2342:H2342)"),"")</f>
        <v/>
      </c>
      <c r="M2342" s="80" t="str">
        <f t="shared" si="2"/>
        <v/>
      </c>
    </row>
    <row r="2343">
      <c r="A2343" s="86"/>
      <c r="B2343" s="73"/>
      <c r="C2343" s="73"/>
      <c r="D2343" s="73"/>
      <c r="E2343" s="88"/>
      <c r="F2343" s="73"/>
      <c r="G2343" s="394"/>
      <c r="H2343" s="73"/>
      <c r="I2343" s="88"/>
      <c r="J2343" s="410"/>
      <c r="K2343" s="393">
        <f t="shared" si="8"/>
        <v>1</v>
      </c>
      <c r="L2343" s="394" t="str">
        <f>IFERROR(__xludf.DUMMYFUNCTION("JOIN("""", G2343:H2343)"),"")</f>
        <v/>
      </c>
      <c r="M2343" s="80" t="str">
        <f t="shared" si="2"/>
        <v/>
      </c>
    </row>
    <row r="2344">
      <c r="A2344" s="86"/>
      <c r="B2344" s="73"/>
      <c r="C2344" s="73"/>
      <c r="D2344" s="73"/>
      <c r="E2344" s="88"/>
      <c r="F2344" s="73"/>
      <c r="G2344" s="394"/>
      <c r="H2344" s="73"/>
      <c r="I2344" s="88"/>
      <c r="J2344" s="410"/>
      <c r="K2344" s="393">
        <f t="shared" si="8"/>
        <v>1</v>
      </c>
      <c r="L2344" s="394" t="str">
        <f>IFERROR(__xludf.DUMMYFUNCTION("JOIN("""", G2344:H2344)"),"")</f>
        <v/>
      </c>
      <c r="M2344" s="80" t="str">
        <f t="shared" si="2"/>
        <v/>
      </c>
    </row>
    <row r="2345">
      <c r="A2345" s="86"/>
      <c r="B2345" s="73"/>
      <c r="C2345" s="73"/>
      <c r="D2345" s="73"/>
      <c r="E2345" s="88"/>
      <c r="F2345" s="73"/>
      <c r="G2345" s="394"/>
      <c r="H2345" s="73"/>
      <c r="I2345" s="88"/>
      <c r="J2345" s="410"/>
      <c r="K2345" s="393">
        <f t="shared" si="8"/>
        <v>1</v>
      </c>
      <c r="L2345" s="394" t="str">
        <f>IFERROR(__xludf.DUMMYFUNCTION("JOIN("""", G2345:H2345)"),"")</f>
        <v/>
      </c>
      <c r="M2345" s="80" t="str">
        <f t="shared" si="2"/>
        <v/>
      </c>
    </row>
    <row r="2346">
      <c r="A2346" s="86"/>
      <c r="B2346" s="73"/>
      <c r="C2346" s="73"/>
      <c r="D2346" s="73"/>
      <c r="E2346" s="88"/>
      <c r="F2346" s="73"/>
      <c r="G2346" s="394"/>
      <c r="H2346" s="73"/>
      <c r="I2346" s="88"/>
      <c r="J2346" s="410"/>
      <c r="K2346" s="393">
        <f t="shared" si="8"/>
        <v>1</v>
      </c>
      <c r="L2346" s="394" t="str">
        <f>IFERROR(__xludf.DUMMYFUNCTION("JOIN("""", G2346:H2346)"),"")</f>
        <v/>
      </c>
      <c r="M2346" s="80" t="str">
        <f t="shared" si="2"/>
        <v/>
      </c>
    </row>
    <row r="2347">
      <c r="A2347" s="86"/>
      <c r="B2347" s="73"/>
      <c r="C2347" s="73"/>
      <c r="D2347" s="73"/>
      <c r="E2347" s="88"/>
      <c r="F2347" s="73"/>
      <c r="G2347" s="394"/>
      <c r="H2347" s="73"/>
      <c r="I2347" s="88"/>
      <c r="J2347" s="410"/>
      <c r="K2347" s="393">
        <f t="shared" si="8"/>
        <v>1</v>
      </c>
      <c r="L2347" s="394" t="str">
        <f>IFERROR(__xludf.DUMMYFUNCTION("JOIN("""", G2347:H2347)"),"")</f>
        <v/>
      </c>
      <c r="M2347" s="80" t="str">
        <f t="shared" si="2"/>
        <v/>
      </c>
    </row>
    <row r="2348">
      <c r="A2348" s="86"/>
      <c r="B2348" s="73"/>
      <c r="C2348" s="73"/>
      <c r="D2348" s="73"/>
      <c r="E2348" s="88"/>
      <c r="F2348" s="73"/>
      <c r="G2348" s="394"/>
      <c r="H2348" s="73"/>
      <c r="I2348" s="88"/>
      <c r="J2348" s="410"/>
      <c r="K2348" s="393">
        <f t="shared" si="8"/>
        <v>1</v>
      </c>
      <c r="L2348" s="394" t="str">
        <f>IFERROR(__xludf.DUMMYFUNCTION("JOIN("""", G2348:H2348)"),"")</f>
        <v/>
      </c>
      <c r="M2348" s="80" t="str">
        <f t="shared" si="2"/>
        <v/>
      </c>
    </row>
    <row r="2349">
      <c r="A2349" s="86"/>
      <c r="B2349" s="73"/>
      <c r="C2349" s="73"/>
      <c r="D2349" s="73"/>
      <c r="E2349" s="88"/>
      <c r="F2349" s="73"/>
      <c r="G2349" s="394"/>
      <c r="H2349" s="73"/>
      <c r="I2349" s="88"/>
      <c r="J2349" s="410"/>
      <c r="K2349" s="393">
        <f t="shared" si="8"/>
        <v>1</v>
      </c>
      <c r="L2349" s="394" t="str">
        <f>IFERROR(__xludf.DUMMYFUNCTION("JOIN("""", G2349:H2349)"),"")</f>
        <v/>
      </c>
      <c r="M2349" s="80" t="str">
        <f t="shared" si="2"/>
        <v/>
      </c>
    </row>
    <row r="2350">
      <c r="A2350" s="86"/>
      <c r="B2350" s="73"/>
      <c r="C2350" s="73"/>
      <c r="D2350" s="73"/>
      <c r="E2350" s="88"/>
      <c r="F2350" s="73"/>
      <c r="G2350" s="394"/>
      <c r="H2350" s="73"/>
      <c r="I2350" s="88"/>
      <c r="J2350" s="410"/>
      <c r="K2350" s="393">
        <f t="shared" si="8"/>
        <v>1</v>
      </c>
      <c r="L2350" s="394" t="str">
        <f>IFERROR(__xludf.DUMMYFUNCTION("JOIN("""", G2350:H2350)"),"")</f>
        <v/>
      </c>
      <c r="M2350" s="80" t="str">
        <f t="shared" si="2"/>
        <v/>
      </c>
    </row>
    <row r="2351">
      <c r="A2351" s="86"/>
      <c r="B2351" s="73"/>
      <c r="C2351" s="73"/>
      <c r="D2351" s="73"/>
      <c r="E2351" s="88"/>
      <c r="F2351" s="73"/>
      <c r="G2351" s="394"/>
      <c r="H2351" s="73"/>
      <c r="I2351" s="88"/>
      <c r="J2351" s="410"/>
      <c r="K2351" s="393">
        <f t="shared" si="8"/>
        <v>1</v>
      </c>
      <c r="L2351" s="394" t="str">
        <f>IFERROR(__xludf.DUMMYFUNCTION("JOIN("""", G2351:H2351)"),"")</f>
        <v/>
      </c>
      <c r="M2351" s="80" t="str">
        <f t="shared" si="2"/>
        <v/>
      </c>
    </row>
    <row r="2352">
      <c r="A2352" s="86"/>
      <c r="B2352" s="73"/>
      <c r="C2352" s="73"/>
      <c r="D2352" s="73"/>
      <c r="E2352" s="88"/>
      <c r="F2352" s="73"/>
      <c r="G2352" s="394"/>
      <c r="H2352" s="73"/>
      <c r="I2352" s="88"/>
      <c r="J2352" s="410"/>
      <c r="K2352" s="393">
        <f t="shared" si="8"/>
        <v>1</v>
      </c>
      <c r="L2352" s="394" t="str">
        <f>IFERROR(__xludf.DUMMYFUNCTION("JOIN("""", G2352:H2352)"),"")</f>
        <v/>
      </c>
      <c r="M2352" s="80" t="str">
        <f t="shared" si="2"/>
        <v/>
      </c>
    </row>
    <row r="2353">
      <c r="A2353" s="86"/>
      <c r="B2353" s="73"/>
      <c r="C2353" s="73"/>
      <c r="D2353" s="73"/>
      <c r="E2353" s="88"/>
      <c r="F2353" s="73"/>
      <c r="G2353" s="394"/>
      <c r="H2353" s="73"/>
      <c r="I2353" s="88"/>
      <c r="J2353" s="410"/>
      <c r="K2353" s="393">
        <f t="shared" si="8"/>
        <v>1</v>
      </c>
      <c r="L2353" s="394" t="str">
        <f>IFERROR(__xludf.DUMMYFUNCTION("JOIN("""", G2353:H2353)"),"")</f>
        <v/>
      </c>
      <c r="M2353" s="80" t="str">
        <f t="shared" si="2"/>
        <v/>
      </c>
    </row>
    <row r="2354">
      <c r="A2354" s="86"/>
      <c r="B2354" s="73"/>
      <c r="C2354" s="73"/>
      <c r="D2354" s="73"/>
      <c r="E2354" s="88"/>
      <c r="F2354" s="73"/>
      <c r="G2354" s="394"/>
      <c r="H2354" s="73"/>
      <c r="I2354" s="88"/>
      <c r="J2354" s="410"/>
      <c r="K2354" s="393">
        <f t="shared" si="8"/>
        <v>1</v>
      </c>
      <c r="L2354" s="394" t="str">
        <f>IFERROR(__xludf.DUMMYFUNCTION("JOIN("""", G2354:H2354)"),"")</f>
        <v/>
      </c>
      <c r="M2354" s="80" t="str">
        <f t="shared" si="2"/>
        <v/>
      </c>
    </row>
    <row r="2355">
      <c r="A2355" s="86"/>
      <c r="B2355" s="73"/>
      <c r="C2355" s="73"/>
      <c r="D2355" s="73"/>
      <c r="E2355" s="88"/>
      <c r="F2355" s="73"/>
      <c r="G2355" s="394"/>
      <c r="H2355" s="73"/>
      <c r="I2355" s="88"/>
      <c r="J2355" s="410"/>
      <c r="K2355" s="393">
        <f t="shared" si="8"/>
        <v>1</v>
      </c>
      <c r="L2355" s="394" t="str">
        <f>IFERROR(__xludf.DUMMYFUNCTION("JOIN("""", G2355:H2355)"),"")</f>
        <v/>
      </c>
      <c r="M2355" s="80" t="str">
        <f t="shared" si="2"/>
        <v/>
      </c>
    </row>
    <row r="2356">
      <c r="A2356" s="86"/>
      <c r="B2356" s="73"/>
      <c r="C2356" s="73"/>
      <c r="D2356" s="73"/>
      <c r="E2356" s="88"/>
      <c r="F2356" s="73"/>
      <c r="G2356" s="394"/>
      <c r="H2356" s="73"/>
      <c r="I2356" s="88"/>
      <c r="J2356" s="410"/>
      <c r="K2356" s="393">
        <f t="shared" si="8"/>
        <v>1</v>
      </c>
      <c r="L2356" s="394" t="str">
        <f>IFERROR(__xludf.DUMMYFUNCTION("JOIN("""", G2356:H2356)"),"")</f>
        <v/>
      </c>
      <c r="M2356" s="80" t="str">
        <f t="shared" si="2"/>
        <v/>
      </c>
    </row>
    <row r="2357">
      <c r="A2357" s="86"/>
      <c r="B2357" s="73"/>
      <c r="C2357" s="73"/>
      <c r="D2357" s="73"/>
      <c r="E2357" s="88"/>
      <c r="F2357" s="73"/>
      <c r="G2357" s="394"/>
      <c r="H2357" s="73"/>
      <c r="I2357" s="88"/>
      <c r="J2357" s="410"/>
      <c r="K2357" s="393">
        <f t="shared" si="8"/>
        <v>1</v>
      </c>
      <c r="L2357" s="394" t="str">
        <f>IFERROR(__xludf.DUMMYFUNCTION("JOIN("""", G2357:H2357)"),"")</f>
        <v/>
      </c>
      <c r="M2357" s="80" t="str">
        <f t="shared" si="2"/>
        <v/>
      </c>
    </row>
    <row r="2358">
      <c r="A2358" s="86"/>
      <c r="B2358" s="73"/>
      <c r="C2358" s="73"/>
      <c r="D2358" s="73"/>
      <c r="E2358" s="88"/>
      <c r="F2358" s="73"/>
      <c r="G2358" s="394"/>
      <c r="H2358" s="73"/>
      <c r="I2358" s="88"/>
      <c r="J2358" s="410"/>
      <c r="K2358" s="393">
        <f t="shared" si="8"/>
        <v>1</v>
      </c>
      <c r="L2358" s="394" t="str">
        <f>IFERROR(__xludf.DUMMYFUNCTION("JOIN("""", G2358:H2358)"),"")</f>
        <v/>
      </c>
      <c r="M2358" s="80" t="str">
        <f t="shared" si="2"/>
        <v/>
      </c>
    </row>
    <row r="2359">
      <c r="A2359" s="86"/>
      <c r="B2359" s="73"/>
      <c r="C2359" s="73"/>
      <c r="D2359" s="73"/>
      <c r="E2359" s="88"/>
      <c r="F2359" s="73"/>
      <c r="G2359" s="394"/>
      <c r="H2359" s="73"/>
      <c r="I2359" s="88"/>
      <c r="J2359" s="410"/>
      <c r="K2359" s="393">
        <f t="shared" si="8"/>
        <v>1</v>
      </c>
      <c r="L2359" s="394" t="str">
        <f>IFERROR(__xludf.DUMMYFUNCTION("JOIN("""", G2359:H2359)"),"")</f>
        <v/>
      </c>
      <c r="M2359" s="80" t="str">
        <f t="shared" si="2"/>
        <v/>
      </c>
    </row>
    <row r="2360">
      <c r="A2360" s="86"/>
      <c r="B2360" s="73"/>
      <c r="C2360" s="73"/>
      <c r="D2360" s="73"/>
      <c r="E2360" s="88"/>
      <c r="F2360" s="73"/>
      <c r="G2360" s="394"/>
      <c r="H2360" s="73"/>
      <c r="I2360" s="88"/>
      <c r="J2360" s="410"/>
      <c r="K2360" s="393">
        <f t="shared" si="8"/>
        <v>1</v>
      </c>
      <c r="L2360" s="394" t="str">
        <f>IFERROR(__xludf.DUMMYFUNCTION("JOIN("""", G2360:H2360)"),"")</f>
        <v/>
      </c>
      <c r="M2360" s="80" t="str">
        <f t="shared" si="2"/>
        <v/>
      </c>
    </row>
    <row r="2361">
      <c r="A2361" s="86"/>
      <c r="B2361" s="73"/>
      <c r="C2361" s="73"/>
      <c r="D2361" s="73"/>
      <c r="E2361" s="88"/>
      <c r="F2361" s="73"/>
      <c r="G2361" s="394"/>
      <c r="H2361" s="73"/>
      <c r="I2361" s="88"/>
      <c r="J2361" s="410"/>
      <c r="K2361" s="393">
        <f t="shared" si="8"/>
        <v>1</v>
      </c>
      <c r="L2361" s="394" t="str">
        <f>IFERROR(__xludf.DUMMYFUNCTION("JOIN("""", G2361:H2361)"),"")</f>
        <v/>
      </c>
      <c r="M2361" s="80" t="str">
        <f t="shared" si="2"/>
        <v/>
      </c>
    </row>
    <row r="2362">
      <c r="A2362" s="86"/>
      <c r="B2362" s="73"/>
      <c r="C2362" s="73"/>
      <c r="D2362" s="73"/>
      <c r="E2362" s="88"/>
      <c r="F2362" s="73"/>
      <c r="G2362" s="394"/>
      <c r="H2362" s="73"/>
      <c r="I2362" s="88"/>
      <c r="J2362" s="410"/>
      <c r="K2362" s="393">
        <f t="shared" si="8"/>
        <v>1</v>
      </c>
      <c r="L2362" s="394" t="str">
        <f>IFERROR(__xludf.DUMMYFUNCTION("JOIN("""", G2362:H2362)"),"")</f>
        <v/>
      </c>
      <c r="M2362" s="80" t="str">
        <f t="shared" si="2"/>
        <v/>
      </c>
    </row>
    <row r="2363">
      <c r="A2363" s="86"/>
      <c r="B2363" s="73"/>
      <c r="C2363" s="73"/>
      <c r="D2363" s="73"/>
      <c r="E2363" s="88"/>
      <c r="F2363" s="73"/>
      <c r="G2363" s="394"/>
      <c r="H2363" s="73"/>
      <c r="I2363" s="88"/>
      <c r="J2363" s="410"/>
      <c r="K2363" s="393">
        <f t="shared" si="8"/>
        <v>1</v>
      </c>
      <c r="L2363" s="394" t="str">
        <f>IFERROR(__xludf.DUMMYFUNCTION("JOIN("""", G2363:H2363)"),"")</f>
        <v/>
      </c>
      <c r="M2363" s="80" t="str">
        <f t="shared" si="2"/>
        <v/>
      </c>
    </row>
    <row r="2364">
      <c r="A2364" s="86"/>
      <c r="B2364" s="73"/>
      <c r="C2364" s="73"/>
      <c r="D2364" s="73"/>
      <c r="E2364" s="88"/>
      <c r="F2364" s="73"/>
      <c r="G2364" s="394"/>
      <c r="H2364" s="73"/>
      <c r="I2364" s="88"/>
      <c r="J2364" s="410"/>
      <c r="K2364" s="393">
        <f t="shared" si="8"/>
        <v>1</v>
      </c>
      <c r="L2364" s="394" t="str">
        <f>IFERROR(__xludf.DUMMYFUNCTION("JOIN("""", G2364:H2364)"),"")</f>
        <v/>
      </c>
      <c r="M2364" s="80" t="str">
        <f t="shared" si="2"/>
        <v/>
      </c>
    </row>
    <row r="2365">
      <c r="A2365" s="86"/>
      <c r="B2365" s="73"/>
      <c r="C2365" s="73"/>
      <c r="D2365" s="73"/>
      <c r="E2365" s="88"/>
      <c r="F2365" s="73"/>
      <c r="G2365" s="394"/>
      <c r="H2365" s="73"/>
      <c r="I2365" s="88"/>
      <c r="J2365" s="410"/>
      <c r="K2365" s="393">
        <f t="shared" si="8"/>
        <v>1</v>
      </c>
      <c r="L2365" s="394" t="str">
        <f>IFERROR(__xludf.DUMMYFUNCTION("JOIN("""", G2365:H2365)"),"")</f>
        <v/>
      </c>
      <c r="M2365" s="80" t="str">
        <f t="shared" si="2"/>
        <v/>
      </c>
    </row>
    <row r="2366">
      <c r="A2366" s="86"/>
      <c r="B2366" s="73"/>
      <c r="C2366" s="73"/>
      <c r="D2366" s="73"/>
      <c r="E2366" s="88"/>
      <c r="F2366" s="73"/>
      <c r="G2366" s="394"/>
      <c r="H2366" s="73"/>
      <c r="I2366" s="88"/>
      <c r="J2366" s="410"/>
      <c r="K2366" s="393">
        <f t="shared" si="8"/>
        <v>1</v>
      </c>
      <c r="L2366" s="394" t="str">
        <f>IFERROR(__xludf.DUMMYFUNCTION("JOIN("""", G2366:H2366)"),"")</f>
        <v/>
      </c>
      <c r="M2366" s="80" t="str">
        <f t="shared" si="2"/>
        <v/>
      </c>
    </row>
    <row r="2367">
      <c r="A2367" s="86"/>
      <c r="B2367" s="73"/>
      <c r="C2367" s="73"/>
      <c r="D2367" s="73"/>
      <c r="E2367" s="88"/>
      <c r="F2367" s="73"/>
      <c r="G2367" s="394"/>
      <c r="H2367" s="73"/>
      <c r="I2367" s="88"/>
      <c r="J2367" s="410"/>
      <c r="K2367" s="393">
        <f t="shared" si="8"/>
        <v>1</v>
      </c>
      <c r="L2367" s="394" t="str">
        <f>IFERROR(__xludf.DUMMYFUNCTION("JOIN("""", G2367:H2367)"),"")</f>
        <v/>
      </c>
      <c r="M2367" s="80" t="str">
        <f t="shared" si="2"/>
        <v/>
      </c>
    </row>
    <row r="2368">
      <c r="A2368" s="86"/>
      <c r="B2368" s="73"/>
      <c r="C2368" s="73"/>
      <c r="D2368" s="73"/>
      <c r="E2368" s="88"/>
      <c r="F2368" s="73"/>
      <c r="G2368" s="394"/>
      <c r="H2368" s="73"/>
      <c r="I2368" s="88"/>
      <c r="J2368" s="410"/>
      <c r="K2368" s="393">
        <f t="shared" si="8"/>
        <v>1</v>
      </c>
      <c r="L2368" s="394" t="str">
        <f>IFERROR(__xludf.DUMMYFUNCTION("JOIN("""", G2368:H2368)"),"")</f>
        <v/>
      </c>
      <c r="M2368" s="80" t="str">
        <f t="shared" si="2"/>
        <v/>
      </c>
    </row>
    <row r="2369">
      <c r="A2369" s="86"/>
      <c r="B2369" s="73"/>
      <c r="C2369" s="73"/>
      <c r="D2369" s="73"/>
      <c r="E2369" s="88"/>
      <c r="F2369" s="73"/>
      <c r="G2369" s="394"/>
      <c r="H2369" s="73"/>
      <c r="I2369" s="88"/>
      <c r="J2369" s="410"/>
      <c r="K2369" s="393">
        <f t="shared" si="8"/>
        <v>1</v>
      </c>
      <c r="L2369" s="394" t="str">
        <f>IFERROR(__xludf.DUMMYFUNCTION("JOIN("""", G2369:H2369)"),"")</f>
        <v/>
      </c>
      <c r="M2369" s="80" t="str">
        <f t="shared" si="2"/>
        <v/>
      </c>
    </row>
    <row r="2370">
      <c r="A2370" s="86"/>
      <c r="B2370" s="73"/>
      <c r="C2370" s="73"/>
      <c r="D2370" s="73"/>
      <c r="E2370" s="88"/>
      <c r="F2370" s="73"/>
      <c r="G2370" s="394"/>
      <c r="H2370" s="73"/>
      <c r="I2370" s="88"/>
      <c r="J2370" s="410"/>
      <c r="K2370" s="393">
        <f t="shared" si="8"/>
        <v>1</v>
      </c>
      <c r="L2370" s="394" t="str">
        <f>IFERROR(__xludf.DUMMYFUNCTION("JOIN("""", G2370:H2370)"),"")</f>
        <v/>
      </c>
      <c r="M2370" s="80" t="str">
        <f t="shared" si="2"/>
        <v/>
      </c>
    </row>
    <row r="2371">
      <c r="A2371" s="86"/>
      <c r="B2371" s="73"/>
      <c r="C2371" s="73"/>
      <c r="D2371" s="73"/>
      <c r="E2371" s="88"/>
      <c r="F2371" s="73"/>
      <c r="G2371" s="394"/>
      <c r="H2371" s="73"/>
      <c r="I2371" s="88"/>
      <c r="J2371" s="410"/>
      <c r="K2371" s="393">
        <f t="shared" si="8"/>
        <v>1</v>
      </c>
      <c r="L2371" s="394" t="str">
        <f>IFERROR(__xludf.DUMMYFUNCTION("JOIN("""", G2371:H2371)"),"")</f>
        <v/>
      </c>
      <c r="M2371" s="80" t="str">
        <f t="shared" si="2"/>
        <v/>
      </c>
    </row>
    <row r="2372">
      <c r="A2372" s="86"/>
      <c r="B2372" s="73"/>
      <c r="C2372" s="73"/>
      <c r="D2372" s="73"/>
      <c r="E2372" s="88"/>
      <c r="F2372" s="73"/>
      <c r="G2372" s="394"/>
      <c r="H2372" s="73"/>
      <c r="I2372" s="88"/>
      <c r="J2372" s="410"/>
      <c r="K2372" s="393">
        <f t="shared" si="8"/>
        <v>1</v>
      </c>
      <c r="L2372" s="394" t="str">
        <f>IFERROR(__xludf.DUMMYFUNCTION("JOIN("""", G2372:H2372)"),"")</f>
        <v/>
      </c>
      <c r="M2372" s="80" t="str">
        <f t="shared" si="2"/>
        <v/>
      </c>
    </row>
    <row r="2373">
      <c r="A2373" s="86"/>
      <c r="B2373" s="73"/>
      <c r="C2373" s="73"/>
      <c r="D2373" s="73"/>
      <c r="E2373" s="88"/>
      <c r="F2373" s="73"/>
      <c r="G2373" s="394"/>
      <c r="H2373" s="73"/>
      <c r="I2373" s="88"/>
      <c r="J2373" s="410"/>
      <c r="K2373" s="393">
        <f t="shared" si="8"/>
        <v>1</v>
      </c>
      <c r="L2373" s="394" t="str">
        <f>IFERROR(__xludf.DUMMYFUNCTION("JOIN("""", G2373:H2373)"),"")</f>
        <v/>
      </c>
      <c r="M2373" s="80" t="str">
        <f t="shared" si="2"/>
        <v/>
      </c>
    </row>
    <row r="2374">
      <c r="A2374" s="86"/>
      <c r="B2374" s="73"/>
      <c r="C2374" s="73"/>
      <c r="D2374" s="73"/>
      <c r="E2374" s="88"/>
      <c r="F2374" s="73"/>
      <c r="G2374" s="394"/>
      <c r="H2374" s="73"/>
      <c r="I2374" s="88"/>
      <c r="J2374" s="410"/>
      <c r="K2374" s="393">
        <f t="shared" si="8"/>
        <v>1</v>
      </c>
      <c r="L2374" s="394" t="str">
        <f>IFERROR(__xludf.DUMMYFUNCTION("JOIN("""", G2374:H2374)"),"")</f>
        <v/>
      </c>
      <c r="M2374" s="80" t="str">
        <f t="shared" si="2"/>
        <v/>
      </c>
    </row>
    <row r="2375">
      <c r="A2375" s="86"/>
      <c r="B2375" s="73"/>
      <c r="C2375" s="73"/>
      <c r="D2375" s="73"/>
      <c r="E2375" s="88"/>
      <c r="F2375" s="73"/>
      <c r="G2375" s="394"/>
      <c r="H2375" s="73"/>
      <c r="I2375" s="88"/>
      <c r="J2375" s="410"/>
      <c r="K2375" s="393">
        <f t="shared" si="8"/>
        <v>1</v>
      </c>
      <c r="L2375" s="394" t="str">
        <f>IFERROR(__xludf.DUMMYFUNCTION("JOIN("""", G2375:H2375)"),"")</f>
        <v/>
      </c>
      <c r="M2375" s="80" t="str">
        <f t="shared" si="2"/>
        <v/>
      </c>
    </row>
    <row r="2376">
      <c r="A2376" s="86"/>
      <c r="B2376" s="73"/>
      <c r="C2376" s="73"/>
      <c r="D2376" s="73"/>
      <c r="E2376" s="88"/>
      <c r="F2376" s="73"/>
      <c r="G2376" s="394"/>
      <c r="H2376" s="73"/>
      <c r="I2376" s="88"/>
      <c r="J2376" s="410"/>
      <c r="K2376" s="393">
        <f t="shared" si="8"/>
        <v>1</v>
      </c>
      <c r="L2376" s="394" t="str">
        <f>IFERROR(__xludf.DUMMYFUNCTION("JOIN("""", G2376:H2376)"),"")</f>
        <v/>
      </c>
      <c r="M2376" s="80" t="str">
        <f t="shared" si="2"/>
        <v/>
      </c>
    </row>
    <row r="2377">
      <c r="A2377" s="86"/>
      <c r="B2377" s="73"/>
      <c r="C2377" s="73"/>
      <c r="D2377" s="73"/>
      <c r="E2377" s="88"/>
      <c r="F2377" s="73"/>
      <c r="G2377" s="394"/>
      <c r="H2377" s="73"/>
      <c r="I2377" s="88"/>
      <c r="J2377" s="410"/>
      <c r="K2377" s="393">
        <f t="shared" si="8"/>
        <v>1</v>
      </c>
      <c r="L2377" s="394" t="str">
        <f>IFERROR(__xludf.DUMMYFUNCTION("JOIN("""", G2377:H2377)"),"")</f>
        <v/>
      </c>
      <c r="M2377" s="80" t="str">
        <f t="shared" si="2"/>
        <v/>
      </c>
    </row>
    <row r="2378">
      <c r="A2378" s="86"/>
      <c r="B2378" s="73"/>
      <c r="C2378" s="73"/>
      <c r="D2378" s="73"/>
      <c r="E2378" s="88"/>
      <c r="F2378" s="73"/>
      <c r="G2378" s="394"/>
      <c r="H2378" s="73"/>
      <c r="I2378" s="88"/>
      <c r="J2378" s="410"/>
      <c r="K2378" s="393">
        <f t="shared" si="8"/>
        <v>1</v>
      </c>
      <c r="L2378" s="394" t="str">
        <f>IFERROR(__xludf.DUMMYFUNCTION("JOIN("""", G2378:H2378)"),"")</f>
        <v/>
      </c>
      <c r="M2378" s="80" t="str">
        <f t="shared" si="2"/>
        <v/>
      </c>
    </row>
    <row r="2379">
      <c r="A2379" s="86"/>
      <c r="B2379" s="73"/>
      <c r="C2379" s="73"/>
      <c r="D2379" s="73"/>
      <c r="E2379" s="88"/>
      <c r="F2379" s="73"/>
      <c r="G2379" s="394"/>
      <c r="H2379" s="73"/>
      <c r="I2379" s="88"/>
      <c r="J2379" s="410"/>
      <c r="K2379" s="393">
        <f t="shared" si="8"/>
        <v>1</v>
      </c>
      <c r="L2379" s="394" t="str">
        <f>IFERROR(__xludf.DUMMYFUNCTION("JOIN("""", G2379:H2379)"),"")</f>
        <v/>
      </c>
      <c r="M2379" s="80" t="str">
        <f t="shared" si="2"/>
        <v/>
      </c>
    </row>
    <row r="2380">
      <c r="A2380" s="86"/>
      <c r="B2380" s="73"/>
      <c r="C2380" s="73"/>
      <c r="D2380" s="73"/>
      <c r="E2380" s="88"/>
      <c r="F2380" s="73"/>
      <c r="G2380" s="394"/>
      <c r="H2380" s="73"/>
      <c r="I2380" s="88"/>
      <c r="J2380" s="410"/>
      <c r="K2380" s="393">
        <f t="shared" si="8"/>
        <v>1</v>
      </c>
      <c r="L2380" s="394" t="str">
        <f>IFERROR(__xludf.DUMMYFUNCTION("JOIN("""", G2380:H2380)"),"")</f>
        <v/>
      </c>
      <c r="M2380" s="80" t="str">
        <f t="shared" si="2"/>
        <v/>
      </c>
    </row>
    <row r="2381">
      <c r="A2381" s="86"/>
      <c r="B2381" s="73"/>
      <c r="C2381" s="73"/>
      <c r="D2381" s="73"/>
      <c r="E2381" s="88"/>
      <c r="F2381" s="73"/>
      <c r="G2381" s="394"/>
      <c r="H2381" s="73"/>
      <c r="I2381" s="88"/>
      <c r="J2381" s="410"/>
      <c r="K2381" s="393">
        <f t="shared" si="8"/>
        <v>1</v>
      </c>
      <c r="L2381" s="394" t="str">
        <f>IFERROR(__xludf.DUMMYFUNCTION("JOIN("""", G2381:H2381)"),"")</f>
        <v/>
      </c>
      <c r="M2381" s="80" t="str">
        <f t="shared" si="2"/>
        <v/>
      </c>
    </row>
    <row r="2382">
      <c r="A2382" s="86"/>
      <c r="B2382" s="73"/>
      <c r="C2382" s="73"/>
      <c r="D2382" s="73"/>
      <c r="E2382" s="88"/>
      <c r="F2382" s="73"/>
      <c r="G2382" s="394"/>
      <c r="H2382" s="73"/>
      <c r="I2382" s="88"/>
      <c r="J2382" s="410"/>
      <c r="K2382" s="393">
        <f t="shared" si="8"/>
        <v>1</v>
      </c>
      <c r="L2382" s="394" t="str">
        <f>IFERROR(__xludf.DUMMYFUNCTION("JOIN("""", G2382:H2382)"),"")</f>
        <v/>
      </c>
      <c r="M2382" s="80" t="str">
        <f t="shared" si="2"/>
        <v/>
      </c>
    </row>
    <row r="2383">
      <c r="A2383" s="86"/>
      <c r="B2383" s="73"/>
      <c r="C2383" s="73"/>
      <c r="D2383" s="73"/>
      <c r="E2383" s="88"/>
      <c r="F2383" s="73"/>
      <c r="G2383" s="394"/>
      <c r="H2383" s="73"/>
      <c r="I2383" s="88"/>
      <c r="J2383" s="410"/>
      <c r="K2383" s="393">
        <f t="shared" si="8"/>
        <v>1</v>
      </c>
      <c r="L2383" s="394" t="str">
        <f>IFERROR(__xludf.DUMMYFUNCTION("JOIN("""", G2383:H2383)"),"")</f>
        <v/>
      </c>
      <c r="M2383" s="80" t="str">
        <f t="shared" si="2"/>
        <v/>
      </c>
    </row>
    <row r="2384">
      <c r="A2384" s="86"/>
      <c r="B2384" s="73"/>
      <c r="C2384" s="73"/>
      <c r="D2384" s="73"/>
      <c r="E2384" s="88"/>
      <c r="F2384" s="73"/>
      <c r="G2384" s="394"/>
      <c r="H2384" s="73"/>
      <c r="I2384" s="88"/>
      <c r="J2384" s="410"/>
      <c r="K2384" s="393">
        <f t="shared" si="8"/>
        <v>1</v>
      </c>
      <c r="L2384" s="394" t="str">
        <f>IFERROR(__xludf.DUMMYFUNCTION("JOIN("""", G2384:H2384)"),"")</f>
        <v/>
      </c>
      <c r="M2384" s="80" t="str">
        <f t="shared" si="2"/>
        <v/>
      </c>
    </row>
    <row r="2385">
      <c r="A2385" s="86"/>
      <c r="B2385" s="73"/>
      <c r="C2385" s="73"/>
      <c r="D2385" s="73"/>
      <c r="E2385" s="88"/>
      <c r="F2385" s="73"/>
      <c r="G2385" s="394"/>
      <c r="H2385" s="73"/>
      <c r="I2385" s="88"/>
      <c r="J2385" s="410"/>
      <c r="K2385" s="393">
        <f t="shared" si="8"/>
        <v>1</v>
      </c>
      <c r="L2385" s="394" t="str">
        <f>IFERROR(__xludf.DUMMYFUNCTION("JOIN("""", G2385:H2385)"),"")</f>
        <v/>
      </c>
      <c r="M2385" s="80" t="str">
        <f t="shared" si="2"/>
        <v/>
      </c>
    </row>
    <row r="2386">
      <c r="A2386" s="86"/>
      <c r="B2386" s="73"/>
      <c r="C2386" s="73"/>
      <c r="D2386" s="73"/>
      <c r="E2386" s="88"/>
      <c r="F2386" s="73"/>
      <c r="G2386" s="394"/>
      <c r="H2386" s="73"/>
      <c r="I2386" s="88"/>
      <c r="J2386" s="410"/>
      <c r="K2386" s="393">
        <f t="shared" si="8"/>
        <v>1</v>
      </c>
      <c r="L2386" s="394" t="str">
        <f>IFERROR(__xludf.DUMMYFUNCTION("JOIN("""", G2386:H2386)"),"")</f>
        <v/>
      </c>
      <c r="M2386" s="80" t="str">
        <f t="shared" si="2"/>
        <v/>
      </c>
    </row>
    <row r="2387">
      <c r="A2387" s="86"/>
      <c r="B2387" s="73"/>
      <c r="C2387" s="73"/>
      <c r="D2387" s="73"/>
      <c r="E2387" s="88"/>
      <c r="F2387" s="73"/>
      <c r="G2387" s="394"/>
      <c r="H2387" s="73"/>
      <c r="I2387" s="88"/>
      <c r="J2387" s="410"/>
      <c r="K2387" s="393">
        <f t="shared" si="8"/>
        <v>1</v>
      </c>
      <c r="L2387" s="394" t="str">
        <f>IFERROR(__xludf.DUMMYFUNCTION("JOIN("""", G2387:H2387)"),"")</f>
        <v/>
      </c>
      <c r="M2387" s="80" t="str">
        <f t="shared" si="2"/>
        <v/>
      </c>
    </row>
    <row r="2388">
      <c r="A2388" s="86"/>
      <c r="B2388" s="73"/>
      <c r="C2388" s="73"/>
      <c r="D2388" s="73"/>
      <c r="E2388" s="88"/>
      <c r="F2388" s="73"/>
      <c r="G2388" s="394"/>
      <c r="H2388" s="73"/>
      <c r="I2388" s="88"/>
      <c r="J2388" s="410"/>
      <c r="K2388" s="393">
        <f t="shared" si="8"/>
        <v>1</v>
      </c>
      <c r="L2388" s="394" t="str">
        <f>IFERROR(__xludf.DUMMYFUNCTION("JOIN("""", G2388:H2388)"),"")</f>
        <v/>
      </c>
      <c r="M2388" s="80" t="str">
        <f t="shared" si="2"/>
        <v/>
      </c>
    </row>
    <row r="2389">
      <c r="A2389" s="86"/>
      <c r="B2389" s="73"/>
      <c r="C2389" s="73"/>
      <c r="D2389" s="73"/>
      <c r="E2389" s="88"/>
      <c r="F2389" s="73"/>
      <c r="G2389" s="394"/>
      <c r="H2389" s="73"/>
      <c r="I2389" s="88"/>
      <c r="J2389" s="410"/>
      <c r="K2389" s="393">
        <f t="shared" si="8"/>
        <v>1</v>
      </c>
      <c r="L2389" s="394" t="str">
        <f>IFERROR(__xludf.DUMMYFUNCTION("JOIN("""", G2389:H2389)"),"")</f>
        <v/>
      </c>
      <c r="M2389" s="80" t="str">
        <f t="shared" si="2"/>
        <v/>
      </c>
    </row>
    <row r="2390">
      <c r="A2390" s="86"/>
      <c r="B2390" s="73"/>
      <c r="C2390" s="73"/>
      <c r="D2390" s="73"/>
      <c r="E2390" s="88"/>
      <c r="F2390" s="73"/>
      <c r="G2390" s="394"/>
      <c r="H2390" s="73"/>
      <c r="I2390" s="88"/>
      <c r="J2390" s="410"/>
      <c r="K2390" s="393">
        <f t="shared" si="8"/>
        <v>1</v>
      </c>
      <c r="L2390" s="394" t="str">
        <f>IFERROR(__xludf.DUMMYFUNCTION("JOIN("""", G2390:H2390)"),"")</f>
        <v/>
      </c>
      <c r="M2390" s="80" t="str">
        <f t="shared" si="2"/>
        <v/>
      </c>
    </row>
    <row r="2391">
      <c r="A2391" s="86"/>
      <c r="B2391" s="73"/>
      <c r="C2391" s="73"/>
      <c r="D2391" s="73"/>
      <c r="E2391" s="88"/>
      <c r="F2391" s="73"/>
      <c r="G2391" s="394"/>
      <c r="H2391" s="73"/>
      <c r="I2391" s="88"/>
      <c r="J2391" s="410"/>
      <c r="K2391" s="393">
        <f t="shared" si="8"/>
        <v>1</v>
      </c>
      <c r="L2391" s="394" t="str">
        <f>IFERROR(__xludf.DUMMYFUNCTION("JOIN("""", G2391:H2391)"),"")</f>
        <v/>
      </c>
      <c r="M2391" s="80" t="str">
        <f t="shared" si="2"/>
        <v/>
      </c>
    </row>
    <row r="2392">
      <c r="A2392" s="86"/>
      <c r="B2392" s="73"/>
      <c r="C2392" s="73"/>
      <c r="D2392" s="73"/>
      <c r="E2392" s="88"/>
      <c r="F2392" s="73"/>
      <c r="G2392" s="394"/>
      <c r="H2392" s="73"/>
      <c r="I2392" s="88"/>
      <c r="J2392" s="410"/>
      <c r="K2392" s="393">
        <f t="shared" si="8"/>
        <v>1</v>
      </c>
      <c r="L2392" s="394" t="str">
        <f>IFERROR(__xludf.DUMMYFUNCTION("JOIN("""", G2392:H2392)"),"")</f>
        <v/>
      </c>
      <c r="M2392" s="80" t="str">
        <f t="shared" si="2"/>
        <v/>
      </c>
    </row>
    <row r="2393">
      <c r="A2393" s="86"/>
      <c r="B2393" s="73"/>
      <c r="C2393" s="73"/>
      <c r="D2393" s="73"/>
      <c r="E2393" s="88"/>
      <c r="F2393" s="73"/>
      <c r="G2393" s="394"/>
      <c r="H2393" s="73"/>
      <c r="I2393" s="88"/>
      <c r="J2393" s="410"/>
      <c r="K2393" s="393">
        <f t="shared" si="8"/>
        <v>1</v>
      </c>
      <c r="L2393" s="394" t="str">
        <f>IFERROR(__xludf.DUMMYFUNCTION("JOIN("""", G2393:H2393)"),"")</f>
        <v/>
      </c>
      <c r="M2393" s="80" t="str">
        <f t="shared" si="2"/>
        <v/>
      </c>
    </row>
    <row r="2394">
      <c r="A2394" s="86"/>
      <c r="B2394" s="73"/>
      <c r="C2394" s="73"/>
      <c r="D2394" s="73"/>
      <c r="E2394" s="88"/>
      <c r="F2394" s="73"/>
      <c r="G2394" s="394"/>
      <c r="H2394" s="73"/>
      <c r="I2394" s="88"/>
      <c r="J2394" s="410"/>
      <c r="K2394" s="393">
        <f t="shared" si="8"/>
        <v>1</v>
      </c>
      <c r="L2394" s="394" t="str">
        <f>IFERROR(__xludf.DUMMYFUNCTION("JOIN("""", G2394:H2394)"),"")</f>
        <v/>
      </c>
      <c r="M2394" s="80" t="str">
        <f t="shared" si="2"/>
        <v/>
      </c>
    </row>
    <row r="2395">
      <c r="A2395" s="86"/>
      <c r="B2395" s="73"/>
      <c r="C2395" s="73"/>
      <c r="D2395" s="73"/>
      <c r="E2395" s="88"/>
      <c r="F2395" s="73"/>
      <c r="G2395" s="394"/>
      <c r="H2395" s="73"/>
      <c r="I2395" s="88"/>
      <c r="J2395" s="410"/>
      <c r="K2395" s="393">
        <f t="shared" si="8"/>
        <v>1</v>
      </c>
      <c r="L2395" s="394" t="str">
        <f>IFERROR(__xludf.DUMMYFUNCTION("JOIN("""", G2395:H2395)"),"")</f>
        <v/>
      </c>
      <c r="M2395" s="80" t="str">
        <f t="shared" si="2"/>
        <v/>
      </c>
    </row>
    <row r="2396">
      <c r="A2396" s="86"/>
      <c r="B2396" s="73"/>
      <c r="C2396" s="73"/>
      <c r="D2396" s="73"/>
      <c r="E2396" s="88"/>
      <c r="F2396" s="73"/>
      <c r="G2396" s="394"/>
      <c r="H2396" s="73"/>
      <c r="I2396" s="88"/>
      <c r="J2396" s="410"/>
      <c r="K2396" s="393">
        <f t="shared" si="8"/>
        <v>1</v>
      </c>
      <c r="L2396" s="394" t="str">
        <f>IFERROR(__xludf.DUMMYFUNCTION("JOIN("""", G2396:H2396)"),"")</f>
        <v/>
      </c>
      <c r="M2396" s="80" t="str">
        <f t="shared" si="2"/>
        <v/>
      </c>
    </row>
    <row r="2397">
      <c r="A2397" s="86"/>
      <c r="B2397" s="73"/>
      <c r="C2397" s="73"/>
      <c r="D2397" s="73"/>
      <c r="E2397" s="88"/>
      <c r="F2397" s="73"/>
      <c r="G2397" s="394"/>
      <c r="H2397" s="73"/>
      <c r="I2397" s="88"/>
      <c r="J2397" s="410"/>
      <c r="K2397" s="393">
        <f t="shared" si="8"/>
        <v>1</v>
      </c>
      <c r="L2397" s="394" t="str">
        <f>IFERROR(__xludf.DUMMYFUNCTION("JOIN("""", G2397:H2397)"),"")</f>
        <v/>
      </c>
      <c r="M2397" s="80" t="str">
        <f t="shared" si="2"/>
        <v/>
      </c>
    </row>
    <row r="2398">
      <c r="A2398" s="86"/>
      <c r="B2398" s="73"/>
      <c r="C2398" s="73"/>
      <c r="D2398" s="73"/>
      <c r="E2398" s="88"/>
      <c r="F2398" s="73"/>
      <c r="G2398" s="394"/>
      <c r="H2398" s="73"/>
      <c r="I2398" s="88"/>
      <c r="J2398" s="410"/>
      <c r="K2398" s="393">
        <f t="shared" si="8"/>
        <v>1</v>
      </c>
      <c r="L2398" s="394" t="str">
        <f>IFERROR(__xludf.DUMMYFUNCTION("JOIN("""", G2398:H2398)"),"")</f>
        <v/>
      </c>
      <c r="M2398" s="80" t="str">
        <f t="shared" si="2"/>
        <v/>
      </c>
    </row>
    <row r="2399">
      <c r="A2399" s="86"/>
      <c r="B2399" s="73"/>
      <c r="C2399" s="73"/>
      <c r="D2399" s="73"/>
      <c r="E2399" s="88"/>
      <c r="F2399" s="73"/>
      <c r="G2399" s="394"/>
      <c r="H2399" s="73"/>
      <c r="I2399" s="88"/>
      <c r="J2399" s="410"/>
      <c r="K2399" s="393">
        <f t="shared" si="8"/>
        <v>1</v>
      </c>
      <c r="L2399" s="394" t="str">
        <f>IFERROR(__xludf.DUMMYFUNCTION("JOIN("""", G2399:H2399)"),"")</f>
        <v/>
      </c>
      <c r="M2399" s="80" t="str">
        <f t="shared" si="2"/>
        <v/>
      </c>
    </row>
    <row r="2400">
      <c r="A2400" s="86"/>
      <c r="B2400" s="73"/>
      <c r="C2400" s="73"/>
      <c r="D2400" s="73"/>
      <c r="E2400" s="88"/>
      <c r="F2400" s="73"/>
      <c r="G2400" s="394"/>
      <c r="H2400" s="73"/>
      <c r="I2400" s="88"/>
      <c r="J2400" s="410"/>
      <c r="K2400" s="393">
        <f t="shared" si="8"/>
        <v>1</v>
      </c>
      <c r="L2400" s="394" t="str">
        <f>IFERROR(__xludf.DUMMYFUNCTION("JOIN("""", G2400:H2400)"),"")</f>
        <v/>
      </c>
      <c r="M2400" s="80" t="str">
        <f t="shared" si="2"/>
        <v/>
      </c>
    </row>
    <row r="2401">
      <c r="A2401" s="86"/>
      <c r="B2401" s="73"/>
      <c r="C2401" s="73"/>
      <c r="D2401" s="73"/>
      <c r="E2401" s="88"/>
      <c r="F2401" s="73"/>
      <c r="G2401" s="394"/>
      <c r="H2401" s="73"/>
      <c r="I2401" s="88"/>
      <c r="J2401" s="410"/>
      <c r="K2401" s="393">
        <f t="shared" si="8"/>
        <v>1</v>
      </c>
      <c r="L2401" s="394" t="str">
        <f>IFERROR(__xludf.DUMMYFUNCTION("JOIN("""", G2401:H2401)"),"")</f>
        <v/>
      </c>
      <c r="M2401" s="80" t="str">
        <f t="shared" si="2"/>
        <v/>
      </c>
    </row>
    <row r="2402">
      <c r="A2402" s="86"/>
      <c r="B2402" s="73"/>
      <c r="C2402" s="73"/>
      <c r="D2402" s="73"/>
      <c r="E2402" s="88"/>
      <c r="F2402" s="73"/>
      <c r="G2402" s="394"/>
      <c r="H2402" s="73"/>
      <c r="I2402" s="88"/>
      <c r="J2402" s="410"/>
      <c r="K2402" s="393">
        <f t="shared" si="8"/>
        <v>1</v>
      </c>
      <c r="L2402" s="394" t="str">
        <f>IFERROR(__xludf.DUMMYFUNCTION("JOIN("""", G2402:H2402)"),"")</f>
        <v/>
      </c>
      <c r="M2402" s="80" t="str">
        <f t="shared" si="2"/>
        <v/>
      </c>
    </row>
    <row r="2403">
      <c r="A2403" s="86"/>
      <c r="B2403" s="73"/>
      <c r="C2403" s="73"/>
      <c r="D2403" s="73"/>
      <c r="E2403" s="88"/>
      <c r="F2403" s="73"/>
      <c r="G2403" s="394"/>
      <c r="H2403" s="73"/>
      <c r="I2403" s="88"/>
      <c r="J2403" s="410"/>
      <c r="K2403" s="393">
        <f t="shared" si="8"/>
        <v>1</v>
      </c>
      <c r="L2403" s="394" t="str">
        <f>IFERROR(__xludf.DUMMYFUNCTION("JOIN("""", G2403:H2403)"),"")</f>
        <v/>
      </c>
      <c r="M2403" s="80" t="str">
        <f t="shared" si="2"/>
        <v/>
      </c>
    </row>
    <row r="2404">
      <c r="A2404" s="86"/>
      <c r="B2404" s="73"/>
      <c r="C2404" s="73"/>
      <c r="D2404" s="73"/>
      <c r="E2404" s="88"/>
      <c r="F2404" s="73"/>
      <c r="G2404" s="394"/>
      <c r="H2404" s="73"/>
      <c r="I2404" s="88"/>
      <c r="J2404" s="410"/>
      <c r="K2404" s="393">
        <f t="shared" si="8"/>
        <v>1</v>
      </c>
      <c r="L2404" s="394" t="str">
        <f>IFERROR(__xludf.DUMMYFUNCTION("JOIN("""", G2404:H2404)"),"")</f>
        <v/>
      </c>
      <c r="M2404" s="80" t="str">
        <f t="shared" si="2"/>
        <v/>
      </c>
    </row>
    <row r="2405">
      <c r="A2405" s="86"/>
      <c r="B2405" s="73"/>
      <c r="C2405" s="73"/>
      <c r="D2405" s="73"/>
      <c r="E2405" s="88"/>
      <c r="F2405" s="73"/>
      <c r="G2405" s="394"/>
      <c r="H2405" s="73"/>
      <c r="I2405" s="88"/>
      <c r="J2405" s="410"/>
      <c r="K2405" s="393">
        <f t="shared" si="8"/>
        <v>1</v>
      </c>
      <c r="L2405" s="394" t="str">
        <f>IFERROR(__xludf.DUMMYFUNCTION("JOIN("""", G2405:H2405)"),"")</f>
        <v/>
      </c>
      <c r="M2405" s="80" t="str">
        <f t="shared" si="2"/>
        <v/>
      </c>
    </row>
    <row r="2406">
      <c r="A2406" s="86"/>
      <c r="B2406" s="73"/>
      <c r="C2406" s="73"/>
      <c r="D2406" s="73"/>
      <c r="E2406" s="88"/>
      <c r="F2406" s="73"/>
      <c r="G2406" s="394"/>
      <c r="H2406" s="73"/>
      <c r="I2406" s="88"/>
      <c r="J2406" s="410"/>
      <c r="K2406" s="393">
        <f t="shared" si="8"/>
        <v>1</v>
      </c>
      <c r="L2406" s="394" t="str">
        <f>IFERROR(__xludf.DUMMYFUNCTION("JOIN("""", G2406:H2406)"),"")</f>
        <v/>
      </c>
      <c r="M2406" s="80" t="str">
        <f t="shared" si="2"/>
        <v/>
      </c>
    </row>
    <row r="2407">
      <c r="A2407" s="86"/>
      <c r="B2407" s="73"/>
      <c r="C2407" s="73"/>
      <c r="D2407" s="73"/>
      <c r="E2407" s="88"/>
      <c r="F2407" s="73"/>
      <c r="G2407" s="394"/>
      <c r="H2407" s="73"/>
      <c r="I2407" s="88"/>
      <c r="J2407" s="410"/>
      <c r="K2407" s="393">
        <f t="shared" si="8"/>
        <v>1</v>
      </c>
      <c r="L2407" s="394" t="str">
        <f>IFERROR(__xludf.DUMMYFUNCTION("JOIN("""", G2407:H2407)"),"")</f>
        <v/>
      </c>
      <c r="M2407" s="80" t="str">
        <f t="shared" si="2"/>
        <v/>
      </c>
    </row>
    <row r="2408">
      <c r="A2408" s="86"/>
      <c r="B2408" s="73"/>
      <c r="C2408" s="73"/>
      <c r="D2408" s="73"/>
      <c r="E2408" s="88"/>
      <c r="F2408" s="73"/>
      <c r="G2408" s="394"/>
      <c r="H2408" s="73"/>
      <c r="I2408" s="88"/>
      <c r="J2408" s="410"/>
      <c r="K2408" s="393">
        <f t="shared" si="8"/>
        <v>1</v>
      </c>
      <c r="L2408" s="394" t="str">
        <f>IFERROR(__xludf.DUMMYFUNCTION("JOIN("""", G2408:H2408)"),"")</f>
        <v/>
      </c>
      <c r="M2408" s="80" t="str">
        <f t="shared" si="2"/>
        <v/>
      </c>
    </row>
    <row r="2409">
      <c r="A2409" s="86"/>
      <c r="B2409" s="73"/>
      <c r="C2409" s="73"/>
      <c r="D2409" s="73"/>
      <c r="E2409" s="88"/>
      <c r="F2409" s="73"/>
      <c r="G2409" s="394"/>
      <c r="H2409" s="73"/>
      <c r="I2409" s="88"/>
      <c r="J2409" s="410"/>
      <c r="K2409" s="393">
        <f t="shared" si="8"/>
        <v>1</v>
      </c>
      <c r="L2409" s="394" t="str">
        <f>IFERROR(__xludf.DUMMYFUNCTION("JOIN("""", G2409:H2409)"),"")</f>
        <v/>
      </c>
      <c r="M2409" s="80" t="str">
        <f t="shared" si="2"/>
        <v/>
      </c>
    </row>
    <row r="2410">
      <c r="A2410" s="86"/>
      <c r="B2410" s="73"/>
      <c r="C2410" s="73"/>
      <c r="D2410" s="73"/>
      <c r="E2410" s="88"/>
      <c r="F2410" s="73"/>
      <c r="G2410" s="394"/>
      <c r="H2410" s="73"/>
      <c r="I2410" s="88"/>
      <c r="J2410" s="410"/>
      <c r="K2410" s="393">
        <f t="shared" si="8"/>
        <v>1</v>
      </c>
      <c r="L2410" s="394" t="str">
        <f>IFERROR(__xludf.DUMMYFUNCTION("JOIN("""", G2410:H2410)"),"")</f>
        <v/>
      </c>
      <c r="M2410" s="80" t="str">
        <f t="shared" si="2"/>
        <v/>
      </c>
    </row>
    <row r="2411">
      <c r="A2411" s="86"/>
      <c r="B2411" s="73"/>
      <c r="C2411" s="73"/>
      <c r="D2411" s="73"/>
      <c r="E2411" s="88"/>
      <c r="F2411" s="73"/>
      <c r="G2411" s="394"/>
      <c r="H2411" s="73"/>
      <c r="I2411" s="88"/>
      <c r="J2411" s="410"/>
      <c r="K2411" s="393">
        <f t="shared" si="8"/>
        <v>1</v>
      </c>
      <c r="L2411" s="394" t="str">
        <f>IFERROR(__xludf.DUMMYFUNCTION("JOIN("""", G2411:H2411)"),"")</f>
        <v/>
      </c>
      <c r="M2411" s="80" t="str">
        <f t="shared" si="2"/>
        <v/>
      </c>
    </row>
    <row r="2412">
      <c r="A2412" s="86"/>
      <c r="B2412" s="73"/>
      <c r="C2412" s="73"/>
      <c r="D2412" s="73"/>
      <c r="E2412" s="88"/>
      <c r="F2412" s="73"/>
      <c r="G2412" s="394"/>
      <c r="H2412" s="73"/>
      <c r="I2412" s="88"/>
      <c r="J2412" s="410"/>
      <c r="K2412" s="393">
        <f t="shared" si="8"/>
        <v>1</v>
      </c>
      <c r="L2412" s="394" t="str">
        <f>IFERROR(__xludf.DUMMYFUNCTION("JOIN("""", G2412:H2412)"),"")</f>
        <v/>
      </c>
      <c r="M2412" s="80" t="str">
        <f t="shared" si="2"/>
        <v/>
      </c>
    </row>
    <row r="2413">
      <c r="A2413" s="86"/>
      <c r="B2413" s="73"/>
      <c r="C2413" s="73"/>
      <c r="D2413" s="73"/>
      <c r="E2413" s="88"/>
      <c r="F2413" s="73"/>
      <c r="G2413" s="394"/>
      <c r="H2413" s="73"/>
      <c r="I2413" s="88"/>
      <c r="J2413" s="410"/>
      <c r="K2413" s="393">
        <f t="shared" si="8"/>
        <v>1</v>
      </c>
      <c r="L2413" s="394" t="str">
        <f>IFERROR(__xludf.DUMMYFUNCTION("JOIN("""", G2413:H2413)"),"")</f>
        <v/>
      </c>
      <c r="M2413" s="80" t="str">
        <f t="shared" si="2"/>
        <v/>
      </c>
    </row>
    <row r="2414">
      <c r="A2414" s="86"/>
      <c r="B2414" s="73"/>
      <c r="C2414" s="73"/>
      <c r="D2414" s="73"/>
      <c r="E2414" s="88"/>
      <c r="F2414" s="73"/>
      <c r="G2414" s="394"/>
      <c r="H2414" s="73"/>
      <c r="I2414" s="88"/>
      <c r="J2414" s="410"/>
      <c r="K2414" s="393">
        <f t="shared" si="8"/>
        <v>1</v>
      </c>
      <c r="L2414" s="394" t="str">
        <f>IFERROR(__xludf.DUMMYFUNCTION("JOIN("""", G2414:H2414)"),"")</f>
        <v/>
      </c>
      <c r="M2414" s="80" t="str">
        <f t="shared" si="2"/>
        <v/>
      </c>
    </row>
    <row r="2415">
      <c r="A2415" s="86"/>
      <c r="B2415" s="73"/>
      <c r="C2415" s="73"/>
      <c r="D2415" s="73"/>
      <c r="E2415" s="88"/>
      <c r="F2415" s="73"/>
      <c r="G2415" s="394"/>
      <c r="H2415" s="73"/>
      <c r="I2415" s="88"/>
      <c r="J2415" s="410"/>
      <c r="K2415" s="393">
        <f t="shared" si="8"/>
        <v>1</v>
      </c>
      <c r="L2415" s="394" t="str">
        <f>IFERROR(__xludf.DUMMYFUNCTION("JOIN("""", G2415:H2415)"),"")</f>
        <v/>
      </c>
      <c r="M2415" s="80" t="str">
        <f t="shared" si="2"/>
        <v/>
      </c>
    </row>
    <row r="2416">
      <c r="A2416" s="86"/>
      <c r="B2416" s="73"/>
      <c r="C2416" s="73"/>
      <c r="D2416" s="73"/>
      <c r="E2416" s="88"/>
      <c r="F2416" s="73"/>
      <c r="G2416" s="394"/>
      <c r="H2416" s="73"/>
      <c r="I2416" s="88"/>
      <c r="J2416" s="410"/>
      <c r="K2416" s="393">
        <f t="shared" si="8"/>
        <v>1</v>
      </c>
      <c r="L2416" s="394" t="str">
        <f>IFERROR(__xludf.DUMMYFUNCTION("JOIN("""", G2416:H2416)"),"")</f>
        <v/>
      </c>
      <c r="M2416" s="80" t="str">
        <f t="shared" si="2"/>
        <v/>
      </c>
    </row>
    <row r="2417">
      <c r="A2417" s="86"/>
      <c r="B2417" s="73"/>
      <c r="C2417" s="73"/>
      <c r="D2417" s="73"/>
      <c r="E2417" s="88"/>
      <c r="F2417" s="73"/>
      <c r="G2417" s="394"/>
      <c r="H2417" s="73"/>
      <c r="I2417" s="88"/>
      <c r="J2417" s="410"/>
      <c r="K2417" s="393">
        <f t="shared" si="8"/>
        <v>1</v>
      </c>
      <c r="L2417" s="394" t="str">
        <f>IFERROR(__xludf.DUMMYFUNCTION("JOIN("""", G2417:H2417)"),"")</f>
        <v/>
      </c>
      <c r="M2417" s="80" t="str">
        <f t="shared" si="2"/>
        <v/>
      </c>
    </row>
    <row r="2418">
      <c r="A2418" s="86"/>
      <c r="B2418" s="73"/>
      <c r="C2418" s="73"/>
      <c r="D2418" s="73"/>
      <c r="E2418" s="88"/>
      <c r="F2418" s="73"/>
      <c r="G2418" s="394"/>
      <c r="H2418" s="73"/>
      <c r="I2418" s="88"/>
      <c r="J2418" s="410"/>
      <c r="K2418" s="393">
        <f t="shared" si="8"/>
        <v>1</v>
      </c>
      <c r="L2418" s="394" t="str">
        <f>IFERROR(__xludf.DUMMYFUNCTION("JOIN("""", G2418:H2418)"),"")</f>
        <v/>
      </c>
      <c r="M2418" s="80" t="str">
        <f t="shared" si="2"/>
        <v/>
      </c>
    </row>
    <row r="2419">
      <c r="A2419" s="86"/>
      <c r="B2419" s="73"/>
      <c r="C2419" s="73"/>
      <c r="D2419" s="73"/>
      <c r="E2419" s="88"/>
      <c r="F2419" s="73"/>
      <c r="G2419" s="394"/>
      <c r="H2419" s="73"/>
      <c r="I2419" s="88"/>
      <c r="J2419" s="410"/>
      <c r="K2419" s="393">
        <f t="shared" si="8"/>
        <v>1</v>
      </c>
      <c r="L2419" s="394" t="str">
        <f>IFERROR(__xludf.DUMMYFUNCTION("JOIN("""", G2419:H2419)"),"")</f>
        <v/>
      </c>
      <c r="M2419" s="80" t="str">
        <f t="shared" si="2"/>
        <v/>
      </c>
    </row>
    <row r="2420">
      <c r="A2420" s="86"/>
      <c r="B2420" s="73"/>
      <c r="C2420" s="73"/>
      <c r="D2420" s="73"/>
      <c r="E2420" s="88"/>
      <c r="F2420" s="73"/>
      <c r="G2420" s="394"/>
      <c r="H2420" s="73"/>
      <c r="I2420" s="88"/>
      <c r="J2420" s="410"/>
      <c r="K2420" s="393">
        <f t="shared" si="8"/>
        <v>1</v>
      </c>
      <c r="L2420" s="394" t="str">
        <f>IFERROR(__xludf.DUMMYFUNCTION("JOIN("""", G2420:H2420)"),"")</f>
        <v/>
      </c>
      <c r="M2420" s="80" t="str">
        <f t="shared" si="2"/>
        <v/>
      </c>
    </row>
    <row r="2421">
      <c r="A2421" s="86"/>
      <c r="B2421" s="73"/>
      <c r="C2421" s="73"/>
      <c r="D2421" s="73"/>
      <c r="E2421" s="88"/>
      <c r="F2421" s="73"/>
      <c r="G2421" s="394"/>
      <c r="H2421" s="73"/>
      <c r="I2421" s="88"/>
      <c r="J2421" s="410"/>
      <c r="K2421" s="393">
        <f t="shared" si="8"/>
        <v>1</v>
      </c>
      <c r="L2421" s="394" t="str">
        <f>IFERROR(__xludf.DUMMYFUNCTION("JOIN("""", G2421:H2421)"),"")</f>
        <v/>
      </c>
      <c r="M2421" s="80" t="str">
        <f t="shared" si="2"/>
        <v/>
      </c>
    </row>
    <row r="2422">
      <c r="A2422" s="86"/>
      <c r="B2422" s="73"/>
      <c r="C2422" s="73"/>
      <c r="D2422" s="73"/>
      <c r="E2422" s="88"/>
      <c r="F2422" s="73"/>
      <c r="G2422" s="394"/>
      <c r="H2422" s="73"/>
      <c r="I2422" s="88"/>
      <c r="J2422" s="410"/>
      <c r="K2422" s="393">
        <f t="shared" si="8"/>
        <v>1</v>
      </c>
      <c r="L2422" s="394" t="str">
        <f>IFERROR(__xludf.DUMMYFUNCTION("JOIN("""", G2422:H2422)"),"")</f>
        <v/>
      </c>
      <c r="M2422" s="80" t="str">
        <f t="shared" si="2"/>
        <v/>
      </c>
    </row>
    <row r="2423">
      <c r="A2423" s="86"/>
      <c r="B2423" s="73"/>
      <c r="C2423" s="73"/>
      <c r="D2423" s="73"/>
      <c r="E2423" s="88"/>
      <c r="F2423" s="73"/>
      <c r="G2423" s="394"/>
      <c r="H2423" s="73"/>
      <c r="I2423" s="88"/>
      <c r="J2423" s="410"/>
      <c r="K2423" s="393">
        <f t="shared" si="8"/>
        <v>1</v>
      </c>
      <c r="L2423" s="394" t="str">
        <f>IFERROR(__xludf.DUMMYFUNCTION("JOIN("""", G2423:H2423)"),"")</f>
        <v/>
      </c>
      <c r="M2423" s="80" t="str">
        <f t="shared" si="2"/>
        <v/>
      </c>
    </row>
    <row r="2424">
      <c r="A2424" s="86"/>
      <c r="B2424" s="73"/>
      <c r="C2424" s="73"/>
      <c r="D2424" s="73"/>
      <c r="E2424" s="88"/>
      <c r="F2424" s="73"/>
      <c r="G2424" s="394"/>
      <c r="H2424" s="73"/>
      <c r="I2424" s="88"/>
      <c r="J2424" s="410"/>
      <c r="K2424" s="393">
        <f t="shared" si="8"/>
        <v>1</v>
      </c>
      <c r="L2424" s="394" t="str">
        <f>IFERROR(__xludf.DUMMYFUNCTION("JOIN("""", G2424:H2424)"),"")</f>
        <v/>
      </c>
      <c r="M2424" s="80" t="str">
        <f t="shared" si="2"/>
        <v/>
      </c>
    </row>
    <row r="2425">
      <c r="A2425" s="86"/>
      <c r="B2425" s="73"/>
      <c r="C2425" s="73"/>
      <c r="D2425" s="73"/>
      <c r="E2425" s="88"/>
      <c r="F2425" s="73"/>
      <c r="G2425" s="394"/>
      <c r="H2425" s="73"/>
      <c r="I2425" s="88"/>
      <c r="J2425" s="410"/>
      <c r="K2425" s="393">
        <f t="shared" si="8"/>
        <v>1</v>
      </c>
      <c r="L2425" s="394" t="str">
        <f>IFERROR(__xludf.DUMMYFUNCTION("JOIN("""", G2425:H2425)"),"")</f>
        <v/>
      </c>
      <c r="M2425" s="80" t="str">
        <f t="shared" si="2"/>
        <v/>
      </c>
    </row>
    <row r="2426">
      <c r="A2426" s="86"/>
      <c r="B2426" s="73"/>
      <c r="C2426" s="73"/>
      <c r="D2426" s="73"/>
      <c r="E2426" s="88"/>
      <c r="F2426" s="73"/>
      <c r="G2426" s="394"/>
      <c r="H2426" s="73"/>
      <c r="I2426" s="88"/>
      <c r="J2426" s="410"/>
      <c r="K2426" s="393">
        <f t="shared" si="8"/>
        <v>1</v>
      </c>
      <c r="L2426" s="394" t="str">
        <f>IFERROR(__xludf.DUMMYFUNCTION("JOIN("""", G2426:H2426)"),"")</f>
        <v/>
      </c>
      <c r="M2426" s="80" t="str">
        <f t="shared" si="2"/>
        <v/>
      </c>
    </row>
    <row r="2427">
      <c r="A2427" s="86"/>
      <c r="B2427" s="73"/>
      <c r="C2427" s="73"/>
      <c r="D2427" s="73"/>
      <c r="E2427" s="88"/>
      <c r="F2427" s="73"/>
      <c r="G2427" s="394"/>
      <c r="H2427" s="73"/>
      <c r="I2427" s="88"/>
      <c r="J2427" s="410"/>
      <c r="K2427" s="393">
        <f t="shared" si="8"/>
        <v>1</v>
      </c>
      <c r="L2427" s="394" t="str">
        <f>IFERROR(__xludf.DUMMYFUNCTION("JOIN("""", G2427:H2427)"),"")</f>
        <v/>
      </c>
      <c r="M2427" s="80" t="str">
        <f t="shared" si="2"/>
        <v/>
      </c>
    </row>
    <row r="2428">
      <c r="A2428" s="86"/>
      <c r="B2428" s="73"/>
      <c r="C2428" s="73"/>
      <c r="D2428" s="73"/>
      <c r="E2428" s="88"/>
      <c r="F2428" s="73"/>
      <c r="G2428" s="394"/>
      <c r="H2428" s="73"/>
      <c r="I2428" s="88"/>
      <c r="J2428" s="410"/>
      <c r="K2428" s="393">
        <f t="shared" si="8"/>
        <v>1</v>
      </c>
      <c r="L2428" s="394" t="str">
        <f>IFERROR(__xludf.DUMMYFUNCTION("JOIN("""", G2428:H2428)"),"")</f>
        <v/>
      </c>
      <c r="M2428" s="80" t="str">
        <f t="shared" si="2"/>
        <v/>
      </c>
    </row>
    <row r="2429">
      <c r="A2429" s="86"/>
      <c r="B2429" s="73"/>
      <c r="C2429" s="73"/>
      <c r="D2429" s="73"/>
      <c r="E2429" s="88"/>
      <c r="F2429" s="73"/>
      <c r="G2429" s="394"/>
      <c r="H2429" s="73"/>
      <c r="I2429" s="88"/>
      <c r="J2429" s="410"/>
      <c r="K2429" s="393">
        <f t="shared" si="8"/>
        <v>1</v>
      </c>
      <c r="L2429" s="394" t="str">
        <f>IFERROR(__xludf.DUMMYFUNCTION("JOIN("""", G2429:H2429)"),"")</f>
        <v/>
      </c>
      <c r="M2429" s="80" t="str">
        <f t="shared" si="2"/>
        <v/>
      </c>
    </row>
    <row r="2430">
      <c r="A2430" s="86"/>
      <c r="B2430" s="73"/>
      <c r="C2430" s="73"/>
      <c r="D2430" s="73"/>
      <c r="E2430" s="88"/>
      <c r="F2430" s="73"/>
      <c r="G2430" s="394"/>
      <c r="H2430" s="73"/>
      <c r="I2430" s="88"/>
      <c r="J2430" s="410"/>
      <c r="K2430" s="393">
        <f t="shared" si="8"/>
        <v>1</v>
      </c>
      <c r="L2430" s="394" t="str">
        <f>IFERROR(__xludf.DUMMYFUNCTION("JOIN("""", G2430:H2430)"),"")</f>
        <v/>
      </c>
      <c r="M2430" s="80" t="str">
        <f t="shared" si="2"/>
        <v/>
      </c>
    </row>
    <row r="2431">
      <c r="A2431" s="86"/>
      <c r="B2431" s="73"/>
      <c r="C2431" s="73"/>
      <c r="D2431" s="73"/>
      <c r="E2431" s="88"/>
      <c r="F2431" s="73"/>
      <c r="G2431" s="394"/>
      <c r="H2431" s="73"/>
      <c r="I2431" s="88"/>
      <c r="J2431" s="410"/>
      <c r="K2431" s="393">
        <f t="shared" si="8"/>
        <v>1</v>
      </c>
      <c r="L2431" s="394" t="str">
        <f>IFERROR(__xludf.DUMMYFUNCTION("JOIN("""", G2431:H2431)"),"")</f>
        <v/>
      </c>
      <c r="M2431" s="80" t="str">
        <f t="shared" si="2"/>
        <v/>
      </c>
    </row>
    <row r="2432">
      <c r="A2432" s="86"/>
      <c r="B2432" s="73"/>
      <c r="C2432" s="73"/>
      <c r="D2432" s="73"/>
      <c r="E2432" s="88"/>
      <c r="F2432" s="73"/>
      <c r="G2432" s="394"/>
      <c r="H2432" s="73"/>
      <c r="I2432" s="88"/>
      <c r="J2432" s="410"/>
      <c r="K2432" s="393">
        <f t="shared" si="8"/>
        <v>1</v>
      </c>
      <c r="L2432" s="394" t="str">
        <f>IFERROR(__xludf.DUMMYFUNCTION("JOIN("""", G2432:H2432)"),"")</f>
        <v/>
      </c>
      <c r="M2432" s="80" t="str">
        <f t="shared" si="2"/>
        <v/>
      </c>
    </row>
    <row r="2433">
      <c r="A2433" s="86"/>
      <c r="B2433" s="73"/>
      <c r="C2433" s="73"/>
      <c r="D2433" s="73"/>
      <c r="E2433" s="88"/>
      <c r="F2433" s="73"/>
      <c r="G2433" s="394"/>
      <c r="H2433" s="73"/>
      <c r="I2433" s="88"/>
      <c r="J2433" s="410"/>
      <c r="K2433" s="393">
        <f t="shared" si="8"/>
        <v>1</v>
      </c>
      <c r="L2433" s="394" t="str">
        <f>IFERROR(__xludf.DUMMYFUNCTION("JOIN("""", G2433:H2433)"),"")</f>
        <v/>
      </c>
      <c r="M2433" s="80" t="str">
        <f t="shared" si="2"/>
        <v/>
      </c>
    </row>
    <row r="2434">
      <c r="A2434" s="86"/>
      <c r="B2434" s="73"/>
      <c r="C2434" s="73"/>
      <c r="D2434" s="73"/>
      <c r="E2434" s="88"/>
      <c r="F2434" s="73"/>
      <c r="G2434" s="394"/>
      <c r="H2434" s="73"/>
      <c r="I2434" s="88"/>
      <c r="J2434" s="410"/>
      <c r="K2434" s="393">
        <f t="shared" si="8"/>
        <v>1</v>
      </c>
      <c r="L2434" s="394" t="str">
        <f>IFERROR(__xludf.DUMMYFUNCTION("JOIN("""", G2434:H2434)"),"")</f>
        <v/>
      </c>
      <c r="M2434" s="80" t="str">
        <f t="shared" si="2"/>
        <v/>
      </c>
    </row>
    <row r="2435">
      <c r="A2435" s="86"/>
      <c r="B2435" s="73"/>
      <c r="C2435" s="73"/>
      <c r="D2435" s="73"/>
      <c r="E2435" s="88"/>
      <c r="F2435" s="73"/>
      <c r="G2435" s="394"/>
      <c r="H2435" s="73"/>
      <c r="I2435" s="88"/>
      <c r="J2435" s="410"/>
      <c r="K2435" s="393">
        <f t="shared" si="8"/>
        <v>1</v>
      </c>
      <c r="L2435" s="394" t="str">
        <f>IFERROR(__xludf.DUMMYFUNCTION("JOIN("""", G2435:H2435)"),"")</f>
        <v/>
      </c>
      <c r="M2435" s="80" t="str">
        <f t="shared" si="2"/>
        <v/>
      </c>
    </row>
    <row r="2436">
      <c r="A2436" s="86"/>
      <c r="B2436" s="73"/>
      <c r="C2436" s="73"/>
      <c r="D2436" s="73"/>
      <c r="E2436" s="88"/>
      <c r="F2436" s="73"/>
      <c r="G2436" s="394"/>
      <c r="H2436" s="73"/>
      <c r="I2436" s="88"/>
      <c r="J2436" s="410"/>
      <c r="K2436" s="393">
        <f t="shared" si="8"/>
        <v>1</v>
      </c>
      <c r="L2436" s="394" t="str">
        <f>IFERROR(__xludf.DUMMYFUNCTION("JOIN("""", G2436:H2436)"),"")</f>
        <v/>
      </c>
      <c r="M2436" s="80" t="str">
        <f t="shared" si="2"/>
        <v/>
      </c>
    </row>
    <row r="2437">
      <c r="A2437" s="86"/>
      <c r="B2437" s="73"/>
      <c r="C2437" s="73"/>
      <c r="D2437" s="73"/>
      <c r="E2437" s="88"/>
      <c r="F2437" s="73"/>
      <c r="G2437" s="394"/>
      <c r="H2437" s="73"/>
      <c r="I2437" s="88"/>
      <c r="J2437" s="410"/>
      <c r="K2437" s="393">
        <f t="shared" si="8"/>
        <v>1</v>
      </c>
      <c r="L2437" s="394" t="str">
        <f>IFERROR(__xludf.DUMMYFUNCTION("JOIN("""", G2437:H2437)"),"")</f>
        <v/>
      </c>
      <c r="M2437" s="80" t="str">
        <f t="shared" si="2"/>
        <v/>
      </c>
    </row>
    <row r="2438">
      <c r="A2438" s="86"/>
      <c r="B2438" s="73"/>
      <c r="C2438" s="73"/>
      <c r="D2438" s="73"/>
      <c r="E2438" s="88"/>
      <c r="F2438" s="73"/>
      <c r="G2438" s="394"/>
      <c r="H2438" s="73"/>
      <c r="I2438" s="88"/>
      <c r="J2438" s="410"/>
      <c r="K2438" s="393">
        <f t="shared" si="8"/>
        <v>1</v>
      </c>
      <c r="L2438" s="394" t="str">
        <f>IFERROR(__xludf.DUMMYFUNCTION("JOIN("""", G2438:H2438)"),"")</f>
        <v/>
      </c>
      <c r="M2438" s="80" t="str">
        <f t="shared" si="2"/>
        <v/>
      </c>
    </row>
    <row r="2439">
      <c r="A2439" s="86"/>
      <c r="B2439" s="73"/>
      <c r="C2439" s="73"/>
      <c r="D2439" s="73"/>
      <c r="E2439" s="88"/>
      <c r="F2439" s="73"/>
      <c r="G2439" s="394"/>
      <c r="H2439" s="73"/>
      <c r="I2439" s="88"/>
      <c r="J2439" s="410"/>
      <c r="K2439" s="393">
        <f t="shared" si="8"/>
        <v>1</v>
      </c>
      <c r="L2439" s="394" t="str">
        <f>IFERROR(__xludf.DUMMYFUNCTION("JOIN("""", G2439:H2439)"),"")</f>
        <v/>
      </c>
      <c r="M2439" s="80" t="str">
        <f t="shared" si="2"/>
        <v/>
      </c>
    </row>
    <row r="2440">
      <c r="A2440" s="86"/>
      <c r="B2440" s="73"/>
      <c r="C2440" s="73"/>
      <c r="D2440" s="73"/>
      <c r="E2440" s="88"/>
      <c r="F2440" s="73"/>
      <c r="G2440" s="394"/>
      <c r="H2440" s="73"/>
      <c r="I2440" s="88"/>
      <c r="J2440" s="410"/>
      <c r="K2440" s="393">
        <f t="shared" si="8"/>
        <v>1</v>
      </c>
      <c r="L2440" s="394" t="str">
        <f>IFERROR(__xludf.DUMMYFUNCTION("JOIN("""", G2440:H2440)"),"")</f>
        <v/>
      </c>
      <c r="M2440" s="80" t="str">
        <f t="shared" si="2"/>
        <v/>
      </c>
    </row>
    <row r="2441">
      <c r="A2441" s="86"/>
      <c r="B2441" s="73"/>
      <c r="C2441" s="73"/>
      <c r="D2441" s="73"/>
      <c r="E2441" s="88"/>
      <c r="F2441" s="73"/>
      <c r="G2441" s="394"/>
      <c r="H2441" s="73"/>
      <c r="I2441" s="88"/>
      <c r="J2441" s="410"/>
      <c r="K2441" s="393">
        <f t="shared" si="8"/>
        <v>1</v>
      </c>
      <c r="L2441" s="394" t="str">
        <f>IFERROR(__xludf.DUMMYFUNCTION("JOIN("""", G2441:H2441)"),"")</f>
        <v/>
      </c>
      <c r="M2441" s="80" t="str">
        <f t="shared" si="2"/>
        <v/>
      </c>
    </row>
    <row r="2442">
      <c r="A2442" s="86"/>
      <c r="B2442" s="73"/>
      <c r="C2442" s="73"/>
      <c r="D2442" s="73"/>
      <c r="E2442" s="88"/>
      <c r="F2442" s="73"/>
      <c r="G2442" s="394"/>
      <c r="H2442" s="73"/>
      <c r="I2442" s="88"/>
      <c r="J2442" s="410"/>
      <c r="K2442" s="393">
        <f t="shared" si="8"/>
        <v>1</v>
      </c>
      <c r="L2442" s="394" t="str">
        <f>IFERROR(__xludf.DUMMYFUNCTION("JOIN("""", G2442:H2442)"),"")</f>
        <v/>
      </c>
      <c r="M2442" s="80" t="str">
        <f t="shared" si="2"/>
        <v/>
      </c>
    </row>
    <row r="2443">
      <c r="A2443" s="86"/>
      <c r="B2443" s="73"/>
      <c r="C2443" s="73"/>
      <c r="D2443" s="73"/>
      <c r="E2443" s="88"/>
      <c r="F2443" s="73"/>
      <c r="G2443" s="394"/>
      <c r="H2443" s="73"/>
      <c r="I2443" s="88"/>
      <c r="J2443" s="410"/>
      <c r="K2443" s="393">
        <f t="shared" si="8"/>
        <v>1</v>
      </c>
      <c r="L2443" s="394" t="str">
        <f>IFERROR(__xludf.DUMMYFUNCTION("JOIN("""", G2443:H2443)"),"")</f>
        <v/>
      </c>
      <c r="M2443" s="80" t="str">
        <f t="shared" si="2"/>
        <v/>
      </c>
    </row>
    <row r="2444">
      <c r="A2444" s="86"/>
      <c r="B2444" s="73"/>
      <c r="C2444" s="73"/>
      <c r="D2444" s="73"/>
      <c r="E2444" s="88"/>
      <c r="F2444" s="73"/>
      <c r="G2444" s="394"/>
      <c r="H2444" s="73"/>
      <c r="I2444" s="88"/>
      <c r="J2444" s="410"/>
      <c r="K2444" s="393">
        <f t="shared" si="8"/>
        <v>1</v>
      </c>
      <c r="L2444" s="394" t="str">
        <f>IFERROR(__xludf.DUMMYFUNCTION("JOIN("""", G2444:H2444)"),"")</f>
        <v/>
      </c>
      <c r="M2444" s="80" t="str">
        <f t="shared" si="2"/>
        <v/>
      </c>
    </row>
    <row r="2445">
      <c r="A2445" s="86"/>
      <c r="B2445" s="73"/>
      <c r="C2445" s="73"/>
      <c r="D2445" s="73"/>
      <c r="E2445" s="88"/>
      <c r="F2445" s="73"/>
      <c r="G2445" s="394"/>
      <c r="H2445" s="73"/>
      <c r="I2445" s="88"/>
      <c r="J2445" s="410"/>
      <c r="K2445" s="393">
        <f t="shared" si="8"/>
        <v>1</v>
      </c>
      <c r="L2445" s="394" t="str">
        <f>IFERROR(__xludf.DUMMYFUNCTION("JOIN("""", G2445:H2445)"),"")</f>
        <v/>
      </c>
      <c r="M2445" s="80" t="str">
        <f t="shared" si="2"/>
        <v/>
      </c>
    </row>
    <row r="2446">
      <c r="A2446" s="86"/>
      <c r="B2446" s="73"/>
      <c r="C2446" s="73"/>
      <c r="D2446" s="73"/>
      <c r="E2446" s="88"/>
      <c r="F2446" s="73"/>
      <c r="G2446" s="394"/>
      <c r="H2446" s="73"/>
      <c r="I2446" s="88"/>
      <c r="J2446" s="410"/>
      <c r="K2446" s="393">
        <f t="shared" si="8"/>
        <v>1</v>
      </c>
      <c r="L2446" s="394" t="str">
        <f>IFERROR(__xludf.DUMMYFUNCTION("JOIN("""", G2446:H2446)"),"")</f>
        <v/>
      </c>
      <c r="M2446" s="80" t="str">
        <f t="shared" si="2"/>
        <v/>
      </c>
    </row>
    <row r="2447">
      <c r="A2447" s="86"/>
      <c r="B2447" s="73"/>
      <c r="C2447" s="73"/>
      <c r="D2447" s="73"/>
      <c r="E2447" s="88"/>
      <c r="F2447" s="73"/>
      <c r="G2447" s="394"/>
      <c r="H2447" s="73"/>
      <c r="I2447" s="88"/>
      <c r="J2447" s="410"/>
      <c r="K2447" s="393">
        <f t="shared" si="8"/>
        <v>1</v>
      </c>
      <c r="L2447" s="394" t="str">
        <f>IFERROR(__xludf.DUMMYFUNCTION("JOIN("""", G2447:H2447)"),"")</f>
        <v/>
      </c>
      <c r="M2447" s="80" t="str">
        <f t="shared" si="2"/>
        <v/>
      </c>
    </row>
    <row r="2448">
      <c r="A2448" s="86"/>
      <c r="B2448" s="73"/>
      <c r="C2448" s="73"/>
      <c r="D2448" s="73"/>
      <c r="E2448" s="88"/>
      <c r="F2448" s="73"/>
      <c r="G2448" s="394"/>
      <c r="H2448" s="73"/>
      <c r="I2448" s="88"/>
      <c r="J2448" s="410"/>
      <c r="K2448" s="393">
        <f t="shared" si="8"/>
        <v>1</v>
      </c>
      <c r="L2448" s="394" t="str">
        <f>IFERROR(__xludf.DUMMYFUNCTION("JOIN("""", G2448:H2448)"),"")</f>
        <v/>
      </c>
      <c r="M2448" s="80" t="str">
        <f t="shared" si="2"/>
        <v/>
      </c>
    </row>
    <row r="2449">
      <c r="A2449" s="86"/>
      <c r="B2449" s="73"/>
      <c r="C2449" s="73"/>
      <c r="D2449" s="73"/>
      <c r="E2449" s="88"/>
      <c r="F2449" s="73"/>
      <c r="G2449" s="394"/>
      <c r="H2449" s="73"/>
      <c r="I2449" s="88"/>
      <c r="J2449" s="410"/>
      <c r="K2449" s="393">
        <f t="shared" si="8"/>
        <v>1</v>
      </c>
      <c r="L2449" s="394" t="str">
        <f>IFERROR(__xludf.DUMMYFUNCTION("JOIN("""", G2449:H2449)"),"")</f>
        <v/>
      </c>
      <c r="M2449" s="80" t="str">
        <f t="shared" si="2"/>
        <v/>
      </c>
    </row>
    <row r="2450">
      <c r="A2450" s="86"/>
      <c r="B2450" s="73"/>
      <c r="C2450" s="73"/>
      <c r="D2450" s="73"/>
      <c r="E2450" s="88"/>
      <c r="F2450" s="73"/>
      <c r="G2450" s="394"/>
      <c r="H2450" s="73"/>
      <c r="I2450" s="88"/>
      <c r="J2450" s="410"/>
      <c r="K2450" s="393">
        <f t="shared" si="8"/>
        <v>1</v>
      </c>
      <c r="L2450" s="394" t="str">
        <f>IFERROR(__xludf.DUMMYFUNCTION("JOIN("""", G2450:H2450)"),"")</f>
        <v/>
      </c>
      <c r="M2450" s="80" t="str">
        <f t="shared" si="2"/>
        <v/>
      </c>
    </row>
    <row r="2451">
      <c r="A2451" s="86"/>
      <c r="B2451" s="73"/>
      <c r="C2451" s="73"/>
      <c r="D2451" s="73"/>
      <c r="E2451" s="88"/>
      <c r="F2451" s="73"/>
      <c r="G2451" s="394"/>
      <c r="H2451" s="73"/>
      <c r="I2451" s="88"/>
      <c r="J2451" s="410"/>
      <c r="K2451" s="393">
        <f t="shared" si="8"/>
        <v>1</v>
      </c>
      <c r="L2451" s="394" t="str">
        <f>IFERROR(__xludf.DUMMYFUNCTION("JOIN("""", G2451:H2451)"),"")</f>
        <v/>
      </c>
      <c r="M2451" s="80" t="str">
        <f t="shared" si="2"/>
        <v/>
      </c>
    </row>
    <row r="2452">
      <c r="A2452" s="86"/>
      <c r="B2452" s="73"/>
      <c r="C2452" s="73"/>
      <c r="D2452" s="73"/>
      <c r="E2452" s="88"/>
      <c r="F2452" s="73"/>
      <c r="G2452" s="394"/>
      <c r="H2452" s="73"/>
      <c r="I2452" s="88"/>
      <c r="J2452" s="410"/>
      <c r="K2452" s="393">
        <f t="shared" si="8"/>
        <v>1</v>
      </c>
      <c r="L2452" s="394" t="str">
        <f>IFERROR(__xludf.DUMMYFUNCTION("JOIN("""", G2452:H2452)"),"")</f>
        <v/>
      </c>
      <c r="M2452" s="80" t="str">
        <f t="shared" si="2"/>
        <v/>
      </c>
    </row>
    <row r="2453">
      <c r="A2453" s="86"/>
      <c r="B2453" s="73"/>
      <c r="C2453" s="73"/>
      <c r="D2453" s="73"/>
      <c r="E2453" s="88"/>
      <c r="F2453" s="73"/>
      <c r="G2453" s="394"/>
      <c r="H2453" s="73"/>
      <c r="I2453" s="88"/>
      <c r="J2453" s="410"/>
      <c r="K2453" s="393">
        <f t="shared" si="8"/>
        <v>1</v>
      </c>
      <c r="L2453" s="394" t="str">
        <f>IFERROR(__xludf.DUMMYFUNCTION("JOIN("""", G2453:H2453)"),"")</f>
        <v/>
      </c>
      <c r="M2453" s="80" t="str">
        <f t="shared" si="2"/>
        <v/>
      </c>
    </row>
    <row r="2454">
      <c r="A2454" s="86"/>
      <c r="B2454" s="73"/>
      <c r="C2454" s="73"/>
      <c r="D2454" s="73"/>
      <c r="E2454" s="88"/>
      <c r="F2454" s="73"/>
      <c r="G2454" s="394"/>
      <c r="H2454" s="73"/>
      <c r="I2454" s="88"/>
      <c r="J2454" s="410"/>
      <c r="K2454" s="393">
        <f t="shared" si="8"/>
        <v>1</v>
      </c>
      <c r="L2454" s="394" t="str">
        <f>IFERROR(__xludf.DUMMYFUNCTION("JOIN("""", G2454:H2454)"),"")</f>
        <v/>
      </c>
      <c r="M2454" s="80" t="str">
        <f t="shared" si="2"/>
        <v/>
      </c>
    </row>
    <row r="2455">
      <c r="A2455" s="86"/>
      <c r="B2455" s="73"/>
      <c r="C2455" s="73"/>
      <c r="D2455" s="73"/>
      <c r="E2455" s="88"/>
      <c r="F2455" s="73"/>
      <c r="G2455" s="394"/>
      <c r="H2455" s="73"/>
      <c r="I2455" s="88"/>
      <c r="J2455" s="410"/>
      <c r="K2455" s="393">
        <f t="shared" si="8"/>
        <v>1</v>
      </c>
      <c r="L2455" s="394" t="str">
        <f>IFERROR(__xludf.DUMMYFUNCTION("JOIN("""", G2455:H2455)"),"")</f>
        <v/>
      </c>
      <c r="M2455" s="80" t="str">
        <f t="shared" si="2"/>
        <v/>
      </c>
    </row>
    <row r="2456">
      <c r="A2456" s="86"/>
      <c r="B2456" s="73"/>
      <c r="C2456" s="73"/>
      <c r="D2456" s="73"/>
      <c r="E2456" s="88"/>
      <c r="F2456" s="73"/>
      <c r="G2456" s="394"/>
      <c r="H2456" s="73"/>
      <c r="I2456" s="88"/>
      <c r="J2456" s="410"/>
      <c r="K2456" s="393">
        <f t="shared" si="8"/>
        <v>1</v>
      </c>
      <c r="L2456" s="394" t="str">
        <f>IFERROR(__xludf.DUMMYFUNCTION("JOIN("""", G2456:H2456)"),"")</f>
        <v/>
      </c>
      <c r="M2456" s="80" t="str">
        <f t="shared" si="2"/>
        <v/>
      </c>
    </row>
    <row r="2457">
      <c r="A2457" s="86"/>
      <c r="B2457" s="73"/>
      <c r="C2457" s="73"/>
      <c r="D2457" s="73"/>
      <c r="E2457" s="88"/>
      <c r="F2457" s="73"/>
      <c r="G2457" s="394"/>
      <c r="H2457" s="73"/>
      <c r="I2457" s="88"/>
      <c r="J2457" s="410"/>
      <c r="K2457" s="393">
        <f t="shared" si="8"/>
        <v>1</v>
      </c>
      <c r="L2457" s="394" t="str">
        <f>IFERROR(__xludf.DUMMYFUNCTION("JOIN("""", G2457:H2457)"),"")</f>
        <v/>
      </c>
      <c r="M2457" s="80" t="str">
        <f t="shared" si="2"/>
        <v/>
      </c>
    </row>
    <row r="2458">
      <c r="A2458" s="86"/>
      <c r="B2458" s="73"/>
      <c r="C2458" s="73"/>
      <c r="D2458" s="73"/>
      <c r="E2458" s="88"/>
      <c r="F2458" s="73"/>
      <c r="G2458" s="394"/>
      <c r="H2458" s="73"/>
      <c r="I2458" s="88"/>
      <c r="J2458" s="410"/>
      <c r="K2458" s="393">
        <f t="shared" si="8"/>
        <v>1</v>
      </c>
      <c r="L2458" s="394" t="str">
        <f>IFERROR(__xludf.DUMMYFUNCTION("JOIN("""", G2458:H2458)"),"")</f>
        <v/>
      </c>
      <c r="M2458" s="80" t="str">
        <f t="shared" si="2"/>
        <v/>
      </c>
    </row>
    <row r="2459">
      <c r="A2459" s="86"/>
      <c r="B2459" s="73"/>
      <c r="C2459" s="73"/>
      <c r="D2459" s="73"/>
      <c r="E2459" s="88"/>
      <c r="F2459" s="73"/>
      <c r="G2459" s="394"/>
      <c r="H2459" s="73"/>
      <c r="I2459" s="88"/>
      <c r="J2459" s="410"/>
      <c r="K2459" s="393">
        <f t="shared" si="8"/>
        <v>1</v>
      </c>
      <c r="L2459" s="394" t="str">
        <f>IFERROR(__xludf.DUMMYFUNCTION("JOIN("""", G2459:H2459)"),"")</f>
        <v/>
      </c>
      <c r="M2459" s="80" t="str">
        <f t="shared" si="2"/>
        <v/>
      </c>
    </row>
    <row r="2460">
      <c r="A2460" s="86"/>
      <c r="B2460" s="73"/>
      <c r="C2460" s="73"/>
      <c r="D2460" s="73"/>
      <c r="E2460" s="88"/>
      <c r="F2460" s="73"/>
      <c r="G2460" s="394"/>
      <c r="H2460" s="73"/>
      <c r="I2460" s="88"/>
      <c r="J2460" s="410"/>
      <c r="K2460" s="393">
        <f t="shared" si="8"/>
        <v>1</v>
      </c>
      <c r="L2460" s="394" t="str">
        <f>IFERROR(__xludf.DUMMYFUNCTION("JOIN("""", G2460:H2460)"),"")</f>
        <v/>
      </c>
      <c r="M2460" s="80" t="str">
        <f t="shared" si="2"/>
        <v/>
      </c>
    </row>
    <row r="2461">
      <c r="A2461" s="86"/>
      <c r="B2461" s="73"/>
      <c r="C2461" s="73"/>
      <c r="D2461" s="73"/>
      <c r="E2461" s="88"/>
      <c r="F2461" s="73"/>
      <c r="G2461" s="394"/>
      <c r="H2461" s="73"/>
      <c r="I2461" s="88"/>
      <c r="J2461" s="410"/>
      <c r="K2461" s="393">
        <f t="shared" si="8"/>
        <v>1</v>
      </c>
      <c r="L2461" s="394" t="str">
        <f>IFERROR(__xludf.DUMMYFUNCTION("JOIN("""", G2461:H2461)"),"")</f>
        <v/>
      </c>
      <c r="M2461" s="80" t="str">
        <f t="shared" si="2"/>
        <v/>
      </c>
    </row>
    <row r="2462">
      <c r="A2462" s="86"/>
      <c r="B2462" s="73"/>
      <c r="C2462" s="73"/>
      <c r="D2462" s="73"/>
      <c r="E2462" s="88"/>
      <c r="F2462" s="73"/>
      <c r="G2462" s="394"/>
      <c r="H2462" s="73"/>
      <c r="I2462" s="88"/>
      <c r="J2462" s="410"/>
      <c r="K2462" s="393">
        <f t="shared" si="8"/>
        <v>1</v>
      </c>
      <c r="L2462" s="394" t="str">
        <f>IFERROR(__xludf.DUMMYFUNCTION("JOIN("""", G2462:H2462)"),"")</f>
        <v/>
      </c>
      <c r="M2462" s="80" t="str">
        <f t="shared" si="2"/>
        <v/>
      </c>
    </row>
    <row r="2463">
      <c r="A2463" s="86"/>
      <c r="B2463" s="73"/>
      <c r="C2463" s="73"/>
      <c r="D2463" s="73"/>
      <c r="E2463" s="88"/>
      <c r="F2463" s="73"/>
      <c r="G2463" s="394"/>
      <c r="H2463" s="73"/>
      <c r="I2463" s="88"/>
      <c r="J2463" s="410"/>
      <c r="K2463" s="393">
        <f t="shared" si="8"/>
        <v>1</v>
      </c>
      <c r="L2463" s="394" t="str">
        <f>IFERROR(__xludf.DUMMYFUNCTION("JOIN("""", G2463:H2463)"),"")</f>
        <v/>
      </c>
      <c r="M2463" s="80" t="str">
        <f t="shared" si="2"/>
        <v/>
      </c>
    </row>
    <row r="2464">
      <c r="A2464" s="86"/>
      <c r="B2464" s="73"/>
      <c r="C2464" s="73"/>
      <c r="D2464" s="73"/>
      <c r="E2464" s="88"/>
      <c r="F2464" s="73"/>
      <c r="G2464" s="394"/>
      <c r="H2464" s="73"/>
      <c r="I2464" s="88"/>
      <c r="J2464" s="410"/>
      <c r="K2464" s="393">
        <f t="shared" si="8"/>
        <v>1</v>
      </c>
      <c r="L2464" s="394" t="str">
        <f>IFERROR(__xludf.DUMMYFUNCTION("JOIN("""", G2464:H2464)"),"")</f>
        <v/>
      </c>
      <c r="M2464" s="80" t="str">
        <f t="shared" si="2"/>
        <v/>
      </c>
    </row>
    <row r="2465">
      <c r="A2465" s="86"/>
      <c r="B2465" s="73"/>
      <c r="C2465" s="73"/>
      <c r="D2465" s="73"/>
      <c r="E2465" s="88"/>
      <c r="F2465" s="73"/>
      <c r="G2465" s="394"/>
      <c r="H2465" s="73"/>
      <c r="I2465" s="88"/>
      <c r="J2465" s="410"/>
      <c r="K2465" s="393">
        <f t="shared" si="8"/>
        <v>1</v>
      </c>
      <c r="L2465" s="394" t="str">
        <f>IFERROR(__xludf.DUMMYFUNCTION("JOIN("""", G2465:H2465)"),"")</f>
        <v/>
      </c>
      <c r="M2465" s="80" t="str">
        <f t="shared" si="2"/>
        <v/>
      </c>
    </row>
    <row r="2466">
      <c r="A2466" s="86"/>
      <c r="B2466" s="73"/>
      <c r="C2466" s="73"/>
      <c r="D2466" s="73"/>
      <c r="E2466" s="88"/>
      <c r="F2466" s="73"/>
      <c r="G2466" s="394"/>
      <c r="H2466" s="73"/>
      <c r="I2466" s="88"/>
      <c r="J2466" s="410"/>
      <c r="K2466" s="393">
        <f t="shared" si="8"/>
        <v>1</v>
      </c>
      <c r="L2466" s="394" t="str">
        <f>IFERROR(__xludf.DUMMYFUNCTION("JOIN("""", G2466:H2466)"),"")</f>
        <v/>
      </c>
      <c r="M2466" s="80" t="str">
        <f t="shared" si="2"/>
        <v/>
      </c>
    </row>
    <row r="2467">
      <c r="A2467" s="86"/>
      <c r="B2467" s="73"/>
      <c r="C2467" s="73"/>
      <c r="D2467" s="73"/>
      <c r="E2467" s="88"/>
      <c r="F2467" s="73"/>
      <c r="G2467" s="394"/>
      <c r="H2467" s="73"/>
      <c r="I2467" s="88"/>
      <c r="J2467" s="410"/>
      <c r="K2467" s="393">
        <f t="shared" si="8"/>
        <v>1</v>
      </c>
      <c r="L2467" s="394" t="str">
        <f>IFERROR(__xludf.DUMMYFUNCTION("JOIN("""", G2467:H2467)"),"")</f>
        <v/>
      </c>
      <c r="M2467" s="80" t="str">
        <f t="shared" si="2"/>
        <v/>
      </c>
    </row>
    <row r="2468">
      <c r="A2468" s="86"/>
      <c r="B2468" s="73"/>
      <c r="C2468" s="73"/>
      <c r="D2468" s="73"/>
      <c r="E2468" s="88"/>
      <c r="F2468" s="73"/>
      <c r="G2468" s="394"/>
      <c r="H2468" s="73"/>
      <c r="I2468" s="88"/>
      <c r="J2468" s="410"/>
      <c r="K2468" s="393">
        <f t="shared" si="8"/>
        <v>1</v>
      </c>
      <c r="L2468" s="394" t="str">
        <f>IFERROR(__xludf.DUMMYFUNCTION("JOIN("""", G2468:H2468)"),"")</f>
        <v/>
      </c>
      <c r="M2468" s="80" t="str">
        <f t="shared" si="2"/>
        <v/>
      </c>
    </row>
    <row r="2469">
      <c r="A2469" s="86"/>
      <c r="B2469" s="73"/>
      <c r="C2469" s="73"/>
      <c r="D2469" s="73"/>
      <c r="E2469" s="88"/>
      <c r="F2469" s="73"/>
      <c r="G2469" s="394"/>
      <c r="H2469" s="73"/>
      <c r="I2469" s="88"/>
      <c r="J2469" s="410"/>
      <c r="K2469" s="393">
        <f t="shared" si="8"/>
        <v>1</v>
      </c>
      <c r="L2469" s="394" t="str">
        <f>IFERROR(__xludf.DUMMYFUNCTION("JOIN("""", G2469:H2469)"),"")</f>
        <v/>
      </c>
      <c r="M2469" s="80" t="str">
        <f t="shared" si="2"/>
        <v/>
      </c>
    </row>
    <row r="2470">
      <c r="A2470" s="86"/>
      <c r="B2470" s="73"/>
      <c r="C2470" s="73"/>
      <c r="D2470" s="73"/>
      <c r="E2470" s="88"/>
      <c r="F2470" s="73"/>
      <c r="G2470" s="394"/>
      <c r="H2470" s="73"/>
      <c r="I2470" s="88"/>
      <c r="J2470" s="410"/>
      <c r="K2470" s="393">
        <f t="shared" si="8"/>
        <v>1</v>
      </c>
      <c r="L2470" s="394" t="str">
        <f>IFERROR(__xludf.DUMMYFUNCTION("JOIN("""", G2470:H2470)"),"")</f>
        <v/>
      </c>
      <c r="M2470" s="80" t="str">
        <f t="shared" si="2"/>
        <v/>
      </c>
    </row>
    <row r="2471">
      <c r="A2471" s="86"/>
      <c r="B2471" s="73"/>
      <c r="C2471" s="73"/>
      <c r="D2471" s="73"/>
      <c r="E2471" s="88"/>
      <c r="F2471" s="73"/>
      <c r="G2471" s="394"/>
      <c r="H2471" s="73"/>
      <c r="I2471" s="88"/>
      <c r="J2471" s="410"/>
      <c r="K2471" s="393">
        <f t="shared" si="8"/>
        <v>1</v>
      </c>
      <c r="L2471" s="394" t="str">
        <f>IFERROR(__xludf.DUMMYFUNCTION("JOIN("""", G2471:H2471)"),"")</f>
        <v/>
      </c>
      <c r="M2471" s="80" t="str">
        <f t="shared" si="2"/>
        <v/>
      </c>
    </row>
    <row r="2472">
      <c r="A2472" s="86"/>
      <c r="B2472" s="73"/>
      <c r="C2472" s="73"/>
      <c r="D2472" s="73"/>
      <c r="E2472" s="88"/>
      <c r="F2472" s="73"/>
      <c r="G2472" s="394"/>
      <c r="H2472" s="73"/>
      <c r="I2472" s="88"/>
      <c r="J2472" s="410"/>
      <c r="K2472" s="393">
        <f t="shared" si="8"/>
        <v>1</v>
      </c>
      <c r="L2472" s="394" t="str">
        <f>IFERROR(__xludf.DUMMYFUNCTION("JOIN("""", G2472:H2472)"),"")</f>
        <v/>
      </c>
      <c r="M2472" s="80" t="str">
        <f t="shared" si="2"/>
        <v/>
      </c>
    </row>
    <row r="2473">
      <c r="A2473" s="86"/>
      <c r="B2473" s="73"/>
      <c r="C2473" s="73"/>
      <c r="D2473" s="73"/>
      <c r="E2473" s="88"/>
      <c r="F2473" s="73"/>
      <c r="G2473" s="394"/>
      <c r="H2473" s="73"/>
      <c r="I2473" s="88"/>
      <c r="J2473" s="410"/>
      <c r="K2473" s="393">
        <f t="shared" si="8"/>
        <v>1</v>
      </c>
      <c r="L2473" s="394" t="str">
        <f>IFERROR(__xludf.DUMMYFUNCTION("JOIN("""", G2473:H2473)"),"")</f>
        <v/>
      </c>
      <c r="M2473" s="80" t="str">
        <f t="shared" si="2"/>
        <v/>
      </c>
    </row>
    <row r="2474">
      <c r="A2474" s="86"/>
      <c r="B2474" s="73"/>
      <c r="C2474" s="73"/>
      <c r="D2474" s="73"/>
      <c r="E2474" s="88"/>
      <c r="F2474" s="73"/>
      <c r="G2474" s="394"/>
      <c r="H2474" s="73"/>
      <c r="I2474" s="88"/>
      <c r="J2474" s="410"/>
      <c r="K2474" s="393">
        <f t="shared" si="8"/>
        <v>1</v>
      </c>
      <c r="L2474" s="394" t="str">
        <f>IFERROR(__xludf.DUMMYFUNCTION("JOIN("""", G2474:H2474)"),"")</f>
        <v/>
      </c>
      <c r="M2474" s="80" t="str">
        <f t="shared" si="2"/>
        <v/>
      </c>
    </row>
    <row r="2475">
      <c r="A2475" s="86"/>
      <c r="B2475" s="73"/>
      <c r="C2475" s="73"/>
      <c r="D2475" s="73"/>
      <c r="E2475" s="88"/>
      <c r="F2475" s="73"/>
      <c r="G2475" s="394"/>
      <c r="H2475" s="73"/>
      <c r="I2475" s="88"/>
      <c r="J2475" s="410"/>
      <c r="K2475" s="393">
        <f t="shared" si="8"/>
        <v>1</v>
      </c>
      <c r="L2475" s="394" t="str">
        <f>IFERROR(__xludf.DUMMYFUNCTION("JOIN("""", G2475:H2475)"),"")</f>
        <v/>
      </c>
      <c r="M2475" s="80" t="str">
        <f t="shared" si="2"/>
        <v/>
      </c>
    </row>
    <row r="2476">
      <c r="A2476" s="86"/>
      <c r="B2476" s="73"/>
      <c r="C2476" s="73"/>
      <c r="D2476" s="73"/>
      <c r="E2476" s="88"/>
      <c r="F2476" s="73"/>
      <c r="G2476" s="394"/>
      <c r="H2476" s="73"/>
      <c r="I2476" s="88"/>
      <c r="J2476" s="410"/>
      <c r="K2476" s="393">
        <f t="shared" si="8"/>
        <v>1</v>
      </c>
      <c r="L2476" s="394" t="str">
        <f>IFERROR(__xludf.DUMMYFUNCTION("JOIN("""", G2476:H2476)"),"")</f>
        <v/>
      </c>
      <c r="M2476" s="80" t="str">
        <f t="shared" si="2"/>
        <v/>
      </c>
    </row>
    <row r="2477">
      <c r="A2477" s="86"/>
      <c r="B2477" s="73"/>
      <c r="C2477" s="73"/>
      <c r="D2477" s="73"/>
      <c r="E2477" s="88"/>
      <c r="F2477" s="73"/>
      <c r="G2477" s="394"/>
      <c r="H2477" s="73"/>
      <c r="I2477" s="88"/>
      <c r="J2477" s="410"/>
      <c r="K2477" s="393">
        <f t="shared" si="8"/>
        <v>1</v>
      </c>
      <c r="L2477" s="394" t="str">
        <f>IFERROR(__xludf.DUMMYFUNCTION("JOIN("""", G2477:H2477)"),"")</f>
        <v/>
      </c>
      <c r="M2477" s="80" t="str">
        <f t="shared" si="2"/>
        <v/>
      </c>
    </row>
    <row r="2478">
      <c r="A2478" s="86"/>
      <c r="B2478" s="73"/>
      <c r="C2478" s="73"/>
      <c r="D2478" s="73"/>
      <c r="E2478" s="88"/>
      <c r="F2478" s="73"/>
      <c r="G2478" s="394"/>
      <c r="H2478" s="73"/>
      <c r="I2478" s="88"/>
      <c r="J2478" s="410"/>
      <c r="K2478" s="393">
        <f t="shared" si="8"/>
        <v>1</v>
      </c>
      <c r="L2478" s="394" t="str">
        <f>IFERROR(__xludf.DUMMYFUNCTION("JOIN("""", G2478:H2478)"),"")</f>
        <v/>
      </c>
      <c r="M2478" s="80" t="str">
        <f t="shared" si="2"/>
        <v/>
      </c>
    </row>
    <row r="2479">
      <c r="A2479" s="86"/>
      <c r="B2479" s="73"/>
      <c r="C2479" s="73"/>
      <c r="D2479" s="73"/>
      <c r="E2479" s="88"/>
      <c r="F2479" s="73"/>
      <c r="G2479" s="394"/>
      <c r="H2479" s="73"/>
      <c r="I2479" s="88"/>
      <c r="J2479" s="410"/>
      <c r="K2479" s="393">
        <f t="shared" si="8"/>
        <v>1</v>
      </c>
      <c r="L2479" s="394" t="str">
        <f>IFERROR(__xludf.DUMMYFUNCTION("JOIN("""", G2479:H2479)"),"")</f>
        <v/>
      </c>
      <c r="M2479" s="80" t="str">
        <f t="shared" si="2"/>
        <v/>
      </c>
    </row>
    <row r="2480">
      <c r="A2480" s="86"/>
      <c r="B2480" s="73"/>
      <c r="C2480" s="73"/>
      <c r="D2480" s="73"/>
      <c r="E2480" s="88"/>
      <c r="F2480" s="73"/>
      <c r="G2480" s="394"/>
      <c r="H2480" s="73"/>
      <c r="I2480" s="88"/>
      <c r="J2480" s="410"/>
      <c r="K2480" s="393">
        <f t="shared" si="8"/>
        <v>1</v>
      </c>
      <c r="L2480" s="394" t="str">
        <f>IFERROR(__xludf.DUMMYFUNCTION("JOIN("""", G2480:H2480)"),"")</f>
        <v/>
      </c>
      <c r="M2480" s="80" t="str">
        <f t="shared" si="2"/>
        <v/>
      </c>
    </row>
    <row r="2481">
      <c r="A2481" s="86"/>
      <c r="B2481" s="73"/>
      <c r="C2481" s="73"/>
      <c r="D2481" s="73"/>
      <c r="E2481" s="88"/>
      <c r="F2481" s="73"/>
      <c r="G2481" s="394"/>
      <c r="H2481" s="73"/>
      <c r="I2481" s="88"/>
      <c r="J2481" s="410"/>
      <c r="K2481" s="393">
        <f t="shared" si="8"/>
        <v>1</v>
      </c>
      <c r="L2481" s="394" t="str">
        <f>IFERROR(__xludf.DUMMYFUNCTION("JOIN("""", G2481:H2481)"),"")</f>
        <v/>
      </c>
      <c r="M2481" s="80" t="str">
        <f t="shared" si="2"/>
        <v/>
      </c>
    </row>
    <row r="2482">
      <c r="A2482" s="86"/>
      <c r="B2482" s="73"/>
      <c r="C2482" s="73"/>
      <c r="D2482" s="73"/>
      <c r="E2482" s="88"/>
      <c r="F2482" s="73"/>
      <c r="G2482" s="394"/>
      <c r="H2482" s="73"/>
      <c r="I2482" s="88"/>
      <c r="J2482" s="410"/>
      <c r="K2482" s="393">
        <f t="shared" si="8"/>
        <v>1</v>
      </c>
      <c r="L2482" s="394" t="str">
        <f>IFERROR(__xludf.DUMMYFUNCTION("JOIN("""", G2482:H2482)"),"")</f>
        <v/>
      </c>
      <c r="M2482" s="80" t="str">
        <f t="shared" si="2"/>
        <v/>
      </c>
    </row>
    <row r="2483">
      <c r="A2483" s="86"/>
      <c r="B2483" s="73"/>
      <c r="C2483" s="73"/>
      <c r="D2483" s="73"/>
      <c r="E2483" s="88"/>
      <c r="F2483" s="73"/>
      <c r="G2483" s="394"/>
      <c r="H2483" s="73"/>
      <c r="I2483" s="88"/>
      <c r="J2483" s="410"/>
      <c r="K2483" s="393">
        <f t="shared" si="8"/>
        <v>1</v>
      </c>
      <c r="L2483" s="394" t="str">
        <f>IFERROR(__xludf.DUMMYFUNCTION("JOIN("""", G2483:H2483)"),"")</f>
        <v/>
      </c>
      <c r="M2483" s="80" t="str">
        <f t="shared" si="2"/>
        <v/>
      </c>
    </row>
    <row r="2484">
      <c r="A2484" s="86"/>
      <c r="B2484" s="73"/>
      <c r="C2484" s="73"/>
      <c r="D2484" s="73"/>
      <c r="E2484" s="88"/>
      <c r="F2484" s="73"/>
      <c r="G2484" s="394"/>
      <c r="H2484" s="73"/>
      <c r="I2484" s="88"/>
      <c r="J2484" s="410"/>
      <c r="K2484" s="393">
        <f t="shared" si="8"/>
        <v>1</v>
      </c>
      <c r="L2484" s="394" t="str">
        <f>IFERROR(__xludf.DUMMYFUNCTION("JOIN("""", G2484:H2484)"),"")</f>
        <v/>
      </c>
      <c r="M2484" s="80" t="str">
        <f t="shared" si="2"/>
        <v/>
      </c>
    </row>
    <row r="2485">
      <c r="A2485" s="86"/>
      <c r="B2485" s="73"/>
      <c r="C2485" s="73"/>
      <c r="D2485" s="73"/>
      <c r="E2485" s="88"/>
      <c r="F2485" s="73"/>
      <c r="G2485" s="394"/>
      <c r="H2485" s="73"/>
      <c r="I2485" s="88"/>
      <c r="J2485" s="410"/>
      <c r="K2485" s="393">
        <f t="shared" si="8"/>
        <v>1</v>
      </c>
      <c r="L2485" s="394" t="str">
        <f>IFERROR(__xludf.DUMMYFUNCTION("JOIN("""", G2485:H2485)"),"")</f>
        <v/>
      </c>
      <c r="M2485" s="80" t="str">
        <f t="shared" si="2"/>
        <v/>
      </c>
    </row>
    <row r="2486">
      <c r="A2486" s="86"/>
      <c r="B2486" s="73"/>
      <c r="C2486" s="73"/>
      <c r="D2486" s="73"/>
      <c r="E2486" s="88"/>
      <c r="F2486" s="73"/>
      <c r="G2486" s="394"/>
      <c r="H2486" s="73"/>
      <c r="I2486" s="88"/>
      <c r="J2486" s="410"/>
      <c r="K2486" s="393">
        <f t="shared" si="8"/>
        <v>1</v>
      </c>
      <c r="L2486" s="394" t="str">
        <f>IFERROR(__xludf.DUMMYFUNCTION("JOIN("""", G2486:H2486)"),"")</f>
        <v/>
      </c>
      <c r="M2486" s="80" t="str">
        <f t="shared" si="2"/>
        <v/>
      </c>
    </row>
    <row r="2487">
      <c r="A2487" s="86"/>
      <c r="B2487" s="73"/>
      <c r="C2487" s="73"/>
      <c r="D2487" s="73"/>
      <c r="E2487" s="88"/>
      <c r="F2487" s="73"/>
      <c r="G2487" s="394"/>
      <c r="H2487" s="73"/>
      <c r="I2487" s="88"/>
      <c r="J2487" s="410"/>
      <c r="K2487" s="393">
        <f t="shared" si="8"/>
        <v>1</v>
      </c>
      <c r="L2487" s="394" t="str">
        <f>IFERROR(__xludf.DUMMYFUNCTION("JOIN("""", G2487:H2487)"),"")</f>
        <v/>
      </c>
      <c r="M2487" s="80" t="str">
        <f t="shared" si="2"/>
        <v/>
      </c>
    </row>
    <row r="2488">
      <c r="A2488" s="86"/>
      <c r="B2488" s="73"/>
      <c r="C2488" s="73"/>
      <c r="D2488" s="73"/>
      <c r="E2488" s="88"/>
      <c r="F2488" s="73"/>
      <c r="G2488" s="394"/>
      <c r="H2488" s="73"/>
      <c r="I2488" s="88"/>
      <c r="J2488" s="410"/>
      <c r="K2488" s="393">
        <f t="shared" si="8"/>
        <v>1</v>
      </c>
      <c r="L2488" s="394" t="str">
        <f>IFERROR(__xludf.DUMMYFUNCTION("JOIN("""", G2488:H2488)"),"")</f>
        <v/>
      </c>
      <c r="M2488" s="80" t="str">
        <f t="shared" si="2"/>
        <v/>
      </c>
    </row>
    <row r="2489">
      <c r="A2489" s="86"/>
      <c r="B2489" s="73"/>
      <c r="C2489" s="73"/>
      <c r="D2489" s="73"/>
      <c r="E2489" s="88"/>
      <c r="F2489" s="73"/>
      <c r="G2489" s="394"/>
      <c r="H2489" s="73"/>
      <c r="I2489" s="88"/>
      <c r="J2489" s="410"/>
      <c r="K2489" s="393">
        <f t="shared" si="8"/>
        <v>1</v>
      </c>
      <c r="L2489" s="394" t="str">
        <f>IFERROR(__xludf.DUMMYFUNCTION("JOIN("""", G2489:H2489)"),"")</f>
        <v/>
      </c>
      <c r="M2489" s="80" t="str">
        <f t="shared" si="2"/>
        <v/>
      </c>
    </row>
    <row r="2490">
      <c r="A2490" s="86"/>
      <c r="B2490" s="73"/>
      <c r="C2490" s="73"/>
      <c r="D2490" s="73"/>
      <c r="E2490" s="88"/>
      <c r="F2490" s="73"/>
      <c r="G2490" s="394"/>
      <c r="H2490" s="73"/>
      <c r="I2490" s="88"/>
      <c r="J2490" s="410"/>
      <c r="K2490" s="393">
        <f t="shared" si="8"/>
        <v>1</v>
      </c>
      <c r="L2490" s="394" t="str">
        <f>IFERROR(__xludf.DUMMYFUNCTION("JOIN("""", G2490:H2490)"),"")</f>
        <v/>
      </c>
      <c r="M2490" s="80" t="str">
        <f t="shared" si="2"/>
        <v/>
      </c>
    </row>
    <row r="2491">
      <c r="A2491" s="86"/>
      <c r="B2491" s="73"/>
      <c r="C2491" s="73"/>
      <c r="D2491" s="73"/>
      <c r="E2491" s="88"/>
      <c r="F2491" s="73"/>
      <c r="G2491" s="394"/>
      <c r="H2491" s="73"/>
      <c r="I2491" s="88"/>
      <c r="J2491" s="410"/>
      <c r="K2491" s="393">
        <f t="shared" si="8"/>
        <v>1</v>
      </c>
      <c r="L2491" s="394" t="str">
        <f>IFERROR(__xludf.DUMMYFUNCTION("JOIN("""", G2491:H2491)"),"")</f>
        <v/>
      </c>
      <c r="M2491" s="80" t="str">
        <f t="shared" si="2"/>
        <v/>
      </c>
    </row>
    <row r="2492">
      <c r="A2492" s="86"/>
      <c r="B2492" s="73"/>
      <c r="C2492" s="73"/>
      <c r="D2492" s="73"/>
      <c r="E2492" s="88"/>
      <c r="F2492" s="73"/>
      <c r="G2492" s="394"/>
      <c r="H2492" s="73"/>
      <c r="I2492" s="88"/>
      <c r="J2492" s="410"/>
      <c r="K2492" s="393">
        <f t="shared" si="8"/>
        <v>1</v>
      </c>
      <c r="L2492" s="394" t="str">
        <f>IFERROR(__xludf.DUMMYFUNCTION("JOIN("""", G2492:H2492)"),"")</f>
        <v/>
      </c>
      <c r="M2492" s="80" t="str">
        <f t="shared" si="2"/>
        <v/>
      </c>
    </row>
    <row r="2493">
      <c r="A2493" s="86"/>
      <c r="B2493" s="73"/>
      <c r="C2493" s="73"/>
      <c r="D2493" s="73"/>
      <c r="E2493" s="88"/>
      <c r="F2493" s="73"/>
      <c r="G2493" s="394"/>
      <c r="H2493" s="73"/>
      <c r="I2493" s="88"/>
      <c r="J2493" s="410"/>
      <c r="K2493" s="393">
        <f t="shared" si="8"/>
        <v>1</v>
      </c>
      <c r="L2493" s="394" t="str">
        <f>IFERROR(__xludf.DUMMYFUNCTION("JOIN("""", G2493:H2493)"),"")</f>
        <v/>
      </c>
      <c r="M2493" s="80" t="str">
        <f t="shared" si="2"/>
        <v/>
      </c>
    </row>
    <row r="2494">
      <c r="A2494" s="86"/>
      <c r="B2494" s="73"/>
      <c r="C2494" s="73"/>
      <c r="D2494" s="73"/>
      <c r="E2494" s="88"/>
      <c r="F2494" s="73"/>
      <c r="G2494" s="394"/>
      <c r="H2494" s="73"/>
      <c r="I2494" s="88"/>
      <c r="J2494" s="410"/>
      <c r="K2494" s="393">
        <f t="shared" si="8"/>
        <v>1</v>
      </c>
      <c r="L2494" s="394" t="str">
        <f>IFERROR(__xludf.DUMMYFUNCTION("JOIN("""", G2494:H2494)"),"")</f>
        <v/>
      </c>
      <c r="M2494" s="80" t="str">
        <f t="shared" si="2"/>
        <v/>
      </c>
    </row>
    <row r="2495">
      <c r="A2495" s="86"/>
      <c r="B2495" s="73"/>
      <c r="C2495" s="73"/>
      <c r="D2495" s="73"/>
      <c r="E2495" s="88"/>
      <c r="F2495" s="73"/>
      <c r="G2495" s="394"/>
      <c r="H2495" s="73"/>
      <c r="I2495" s="88"/>
      <c r="J2495" s="410"/>
      <c r="K2495" s="393">
        <f t="shared" si="8"/>
        <v>1</v>
      </c>
      <c r="L2495" s="394" t="str">
        <f>IFERROR(__xludf.DUMMYFUNCTION("JOIN("""", G2495:H2495)"),"")</f>
        <v/>
      </c>
      <c r="M2495" s="80" t="str">
        <f t="shared" si="2"/>
        <v/>
      </c>
    </row>
    <row r="2496">
      <c r="A2496" s="86"/>
      <c r="B2496" s="73"/>
      <c r="C2496" s="73"/>
      <c r="D2496" s="73"/>
      <c r="E2496" s="88"/>
      <c r="F2496" s="73"/>
      <c r="G2496" s="394"/>
      <c r="H2496" s="73"/>
      <c r="I2496" s="88"/>
      <c r="J2496" s="410"/>
      <c r="K2496" s="393">
        <f t="shared" si="8"/>
        <v>1</v>
      </c>
      <c r="L2496" s="394" t="str">
        <f>IFERROR(__xludf.DUMMYFUNCTION("JOIN("""", G2496:H2496)"),"")</f>
        <v/>
      </c>
      <c r="M2496" s="80" t="str">
        <f t="shared" si="2"/>
        <v/>
      </c>
    </row>
    <row r="2497">
      <c r="A2497" s="86"/>
      <c r="B2497" s="73"/>
      <c r="C2497" s="73"/>
      <c r="D2497" s="73"/>
      <c r="E2497" s="88"/>
      <c r="F2497" s="73"/>
      <c r="G2497" s="394"/>
      <c r="H2497" s="73"/>
      <c r="I2497" s="88"/>
      <c r="J2497" s="410"/>
      <c r="K2497" s="393">
        <f t="shared" si="8"/>
        <v>1</v>
      </c>
      <c r="L2497" s="394" t="str">
        <f>IFERROR(__xludf.DUMMYFUNCTION("JOIN("""", G2497:H2497)"),"")</f>
        <v/>
      </c>
      <c r="M2497" s="80" t="str">
        <f t="shared" si="2"/>
        <v/>
      </c>
    </row>
    <row r="2498">
      <c r="A2498" s="86"/>
      <c r="B2498" s="73"/>
      <c r="C2498" s="73"/>
      <c r="D2498" s="73"/>
      <c r="E2498" s="88"/>
      <c r="F2498" s="73"/>
      <c r="G2498" s="394"/>
      <c r="H2498" s="73"/>
      <c r="I2498" s="88"/>
      <c r="J2498" s="410"/>
      <c r="K2498" s="393">
        <f t="shared" si="8"/>
        <v>1</v>
      </c>
      <c r="L2498" s="394" t="str">
        <f>IFERROR(__xludf.DUMMYFUNCTION("JOIN("""", G2498:H2498)"),"")</f>
        <v/>
      </c>
      <c r="M2498" s="80" t="str">
        <f t="shared" si="2"/>
        <v/>
      </c>
    </row>
    <row r="2499">
      <c r="A2499" s="86"/>
      <c r="B2499" s="73"/>
      <c r="C2499" s="73"/>
      <c r="D2499" s="73"/>
      <c r="E2499" s="88"/>
      <c r="F2499" s="73"/>
      <c r="G2499" s="394"/>
      <c r="H2499" s="73"/>
      <c r="I2499" s="88"/>
      <c r="J2499" s="410"/>
      <c r="K2499" s="393">
        <f t="shared" si="8"/>
        <v>1</v>
      </c>
      <c r="L2499" s="394" t="str">
        <f>IFERROR(__xludf.DUMMYFUNCTION("JOIN("""", G2499:H2499)"),"")</f>
        <v/>
      </c>
      <c r="M2499" s="80" t="str">
        <f t="shared" si="2"/>
        <v/>
      </c>
    </row>
    <row r="2500">
      <c r="A2500" s="86"/>
      <c r="B2500" s="73"/>
      <c r="C2500" s="73"/>
      <c r="D2500" s="73"/>
      <c r="E2500" s="88"/>
      <c r="F2500" s="73"/>
      <c r="G2500" s="394"/>
      <c r="H2500" s="73"/>
      <c r="I2500" s="88"/>
      <c r="J2500" s="410"/>
      <c r="K2500" s="393">
        <f t="shared" si="8"/>
        <v>1</v>
      </c>
      <c r="L2500" s="394" t="str">
        <f>IFERROR(__xludf.DUMMYFUNCTION("JOIN("""", G2500:H2500)"),"")</f>
        <v/>
      </c>
      <c r="M2500" s="80" t="str">
        <f t="shared" si="2"/>
        <v/>
      </c>
    </row>
    <row r="2501">
      <c r="A2501" s="86"/>
      <c r="B2501" s="73"/>
      <c r="C2501" s="73"/>
      <c r="D2501" s="73"/>
      <c r="E2501" s="88"/>
      <c r="F2501" s="73"/>
      <c r="G2501" s="394"/>
      <c r="H2501" s="73"/>
      <c r="I2501" s="88"/>
      <c r="J2501" s="410"/>
      <c r="K2501" s="393">
        <f t="shared" si="8"/>
        <v>1</v>
      </c>
      <c r="L2501" s="394" t="str">
        <f>IFERROR(__xludf.DUMMYFUNCTION("JOIN("""", G2501:H2501)"),"")</f>
        <v/>
      </c>
      <c r="M2501" s="80" t="str">
        <f t="shared" si="2"/>
        <v/>
      </c>
    </row>
    <row r="2502">
      <c r="A2502" s="86"/>
      <c r="B2502" s="73"/>
      <c r="C2502" s="73"/>
      <c r="D2502" s="73"/>
      <c r="E2502" s="88"/>
      <c r="F2502" s="73"/>
      <c r="G2502" s="394"/>
      <c r="H2502" s="73"/>
      <c r="I2502" s="88"/>
      <c r="J2502" s="410"/>
      <c r="K2502" s="393">
        <f t="shared" si="8"/>
        <v>1</v>
      </c>
      <c r="L2502" s="394" t="str">
        <f>IFERROR(__xludf.DUMMYFUNCTION("JOIN("""", G2502:H2502)"),"")</f>
        <v/>
      </c>
      <c r="M2502" s="80" t="str">
        <f t="shared" si="2"/>
        <v/>
      </c>
    </row>
    <row r="2503">
      <c r="A2503" s="86"/>
      <c r="B2503" s="73"/>
      <c r="C2503" s="73"/>
      <c r="D2503" s="73"/>
      <c r="E2503" s="88"/>
      <c r="F2503" s="73"/>
      <c r="G2503" s="394"/>
      <c r="H2503" s="73"/>
      <c r="I2503" s="88"/>
      <c r="J2503" s="410"/>
      <c r="K2503" s="393">
        <f t="shared" si="8"/>
        <v>1</v>
      </c>
      <c r="L2503" s="394" t="str">
        <f>IFERROR(__xludf.DUMMYFUNCTION("JOIN("""", G2503:H2503)"),"")</f>
        <v/>
      </c>
      <c r="M2503" s="80" t="str">
        <f t="shared" si="2"/>
        <v/>
      </c>
    </row>
    <row r="2504">
      <c r="A2504" s="86"/>
      <c r="B2504" s="73"/>
      <c r="C2504" s="73"/>
      <c r="D2504" s="73"/>
      <c r="E2504" s="88"/>
      <c r="F2504" s="73"/>
      <c r="G2504" s="394"/>
      <c r="H2504" s="73"/>
      <c r="I2504" s="88"/>
      <c r="J2504" s="410"/>
      <c r="K2504" s="393">
        <f t="shared" si="8"/>
        <v>1</v>
      </c>
      <c r="L2504" s="394" t="str">
        <f>IFERROR(__xludf.DUMMYFUNCTION("JOIN("""", G2504:H2504)"),"")</f>
        <v/>
      </c>
      <c r="M2504" s="80" t="str">
        <f t="shared" si="2"/>
        <v/>
      </c>
    </row>
    <row r="2505">
      <c r="A2505" s="86"/>
      <c r="B2505" s="73"/>
      <c r="C2505" s="73"/>
      <c r="D2505" s="73"/>
      <c r="E2505" s="88"/>
      <c r="F2505" s="73"/>
      <c r="G2505" s="394"/>
      <c r="H2505" s="73"/>
      <c r="I2505" s="88"/>
      <c r="J2505" s="410"/>
      <c r="K2505" s="393">
        <f t="shared" si="8"/>
        <v>1</v>
      </c>
      <c r="L2505" s="394" t="str">
        <f>IFERROR(__xludf.DUMMYFUNCTION("JOIN("""", G2505:H2505)"),"")</f>
        <v/>
      </c>
      <c r="M2505" s="80" t="str">
        <f t="shared" si="2"/>
        <v/>
      </c>
    </row>
    <row r="2506">
      <c r="A2506" s="86"/>
      <c r="B2506" s="73"/>
      <c r="C2506" s="73"/>
      <c r="D2506" s="73"/>
      <c r="E2506" s="88"/>
      <c r="F2506" s="73"/>
      <c r="G2506" s="394"/>
      <c r="H2506" s="73"/>
      <c r="I2506" s="88"/>
      <c r="J2506" s="410"/>
      <c r="K2506" s="393">
        <f t="shared" si="8"/>
        <v>1</v>
      </c>
      <c r="L2506" s="394" t="str">
        <f>IFERROR(__xludf.DUMMYFUNCTION("JOIN("""", G2506:H2506)"),"")</f>
        <v/>
      </c>
      <c r="M2506" s="80" t="str">
        <f t="shared" si="2"/>
        <v/>
      </c>
    </row>
    <row r="2507">
      <c r="A2507" s="86"/>
      <c r="B2507" s="73"/>
      <c r="C2507" s="73"/>
      <c r="D2507" s="73"/>
      <c r="E2507" s="88"/>
      <c r="F2507" s="73"/>
      <c r="G2507" s="394"/>
      <c r="H2507" s="73"/>
      <c r="I2507" s="88"/>
      <c r="J2507" s="410"/>
      <c r="K2507" s="393">
        <f t="shared" si="8"/>
        <v>1</v>
      </c>
      <c r="L2507" s="394" t="str">
        <f>IFERROR(__xludf.DUMMYFUNCTION("JOIN("""", G2507:H2507)"),"")</f>
        <v/>
      </c>
      <c r="M2507" s="80" t="str">
        <f t="shared" si="2"/>
        <v/>
      </c>
    </row>
    <row r="2508">
      <c r="A2508" s="86"/>
      <c r="B2508" s="73"/>
      <c r="C2508" s="73"/>
      <c r="D2508" s="73"/>
      <c r="E2508" s="88"/>
      <c r="F2508" s="73"/>
      <c r="G2508" s="394"/>
      <c r="H2508" s="73"/>
      <c r="I2508" s="88"/>
      <c r="J2508" s="410"/>
      <c r="K2508" s="393">
        <f t="shared" si="8"/>
        <v>1</v>
      </c>
      <c r="L2508" s="394" t="str">
        <f>IFERROR(__xludf.DUMMYFUNCTION("JOIN("""", G2508:H2508)"),"")</f>
        <v/>
      </c>
      <c r="M2508" s="80" t="str">
        <f t="shared" si="2"/>
        <v/>
      </c>
    </row>
    <row r="2509">
      <c r="A2509" s="86"/>
      <c r="B2509" s="73"/>
      <c r="C2509" s="73"/>
      <c r="D2509" s="73"/>
      <c r="E2509" s="88"/>
      <c r="F2509" s="73"/>
      <c r="G2509" s="394"/>
      <c r="H2509" s="73"/>
      <c r="I2509" s="88"/>
      <c r="J2509" s="410"/>
      <c r="K2509" s="393">
        <f t="shared" si="8"/>
        <v>1</v>
      </c>
      <c r="L2509" s="394" t="str">
        <f>IFERROR(__xludf.DUMMYFUNCTION("JOIN("""", G2509:H2509)"),"")</f>
        <v/>
      </c>
      <c r="M2509" s="80" t="str">
        <f t="shared" si="2"/>
        <v/>
      </c>
    </row>
    <row r="2510">
      <c r="A2510" s="86"/>
      <c r="B2510" s="73"/>
      <c r="C2510" s="73"/>
      <c r="D2510" s="73"/>
      <c r="E2510" s="88"/>
      <c r="F2510" s="73"/>
      <c r="G2510" s="394"/>
      <c r="H2510" s="73"/>
      <c r="I2510" s="88"/>
      <c r="J2510" s="410"/>
      <c r="K2510" s="393">
        <f t="shared" si="8"/>
        <v>1</v>
      </c>
      <c r="L2510" s="394" t="str">
        <f>IFERROR(__xludf.DUMMYFUNCTION("JOIN("""", G2510:H2510)"),"")</f>
        <v/>
      </c>
      <c r="M2510" s="80" t="str">
        <f t="shared" si="2"/>
        <v/>
      </c>
    </row>
    <row r="2511">
      <c r="A2511" s="86"/>
      <c r="B2511" s="73"/>
      <c r="C2511" s="73"/>
      <c r="D2511" s="73"/>
      <c r="E2511" s="88"/>
      <c r="F2511" s="73"/>
      <c r="G2511" s="394"/>
      <c r="H2511" s="73"/>
      <c r="I2511" s="88"/>
      <c r="J2511" s="410"/>
      <c r="K2511" s="393">
        <f t="shared" si="8"/>
        <v>1</v>
      </c>
      <c r="L2511" s="394" t="str">
        <f>IFERROR(__xludf.DUMMYFUNCTION("JOIN("""", G2511:H2511)"),"")</f>
        <v/>
      </c>
      <c r="M2511" s="80" t="str">
        <f t="shared" si="2"/>
        <v/>
      </c>
    </row>
    <row r="2512">
      <c r="A2512" s="86"/>
      <c r="B2512" s="73"/>
      <c r="C2512" s="73"/>
      <c r="D2512" s="73"/>
      <c r="E2512" s="88"/>
      <c r="F2512" s="73"/>
      <c r="G2512" s="394"/>
      <c r="H2512" s="73"/>
      <c r="I2512" s="88"/>
      <c r="J2512" s="410"/>
      <c r="K2512" s="393">
        <f t="shared" si="8"/>
        <v>1</v>
      </c>
      <c r="L2512" s="394" t="str">
        <f>IFERROR(__xludf.DUMMYFUNCTION("JOIN("""", G2512:H2512)"),"")</f>
        <v/>
      </c>
      <c r="M2512" s="80" t="str">
        <f t="shared" si="2"/>
        <v/>
      </c>
    </row>
    <row r="2513">
      <c r="A2513" s="86"/>
      <c r="B2513" s="73"/>
      <c r="C2513" s="73"/>
      <c r="D2513" s="73"/>
      <c r="E2513" s="88"/>
      <c r="F2513" s="73"/>
      <c r="G2513" s="394"/>
      <c r="H2513" s="73"/>
      <c r="I2513" s="88"/>
      <c r="J2513" s="410"/>
      <c r="K2513" s="393">
        <f t="shared" si="8"/>
        <v>1</v>
      </c>
      <c r="L2513" s="394" t="str">
        <f>IFERROR(__xludf.DUMMYFUNCTION("JOIN("""", G2513:H2513)"),"")</f>
        <v/>
      </c>
      <c r="M2513" s="80" t="str">
        <f t="shared" si="2"/>
        <v/>
      </c>
    </row>
    <row r="2514">
      <c r="A2514" s="86"/>
      <c r="B2514" s="73"/>
      <c r="C2514" s="73"/>
      <c r="D2514" s="73"/>
      <c r="E2514" s="88"/>
      <c r="F2514" s="73"/>
      <c r="G2514" s="394"/>
      <c r="H2514" s="73"/>
      <c r="I2514" s="88"/>
      <c r="J2514" s="410"/>
      <c r="K2514" s="393">
        <f t="shared" si="8"/>
        <v>1</v>
      </c>
      <c r="L2514" s="394" t="str">
        <f>IFERROR(__xludf.DUMMYFUNCTION("JOIN("""", G2514:H2514)"),"")</f>
        <v/>
      </c>
      <c r="M2514" s="80" t="str">
        <f t="shared" si="2"/>
        <v/>
      </c>
    </row>
    <row r="2515">
      <c r="A2515" s="86"/>
      <c r="B2515" s="73"/>
      <c r="C2515" s="73"/>
      <c r="D2515" s="73"/>
      <c r="E2515" s="88"/>
      <c r="F2515" s="73"/>
      <c r="G2515" s="394"/>
      <c r="H2515" s="73"/>
      <c r="I2515" s="88"/>
      <c r="J2515" s="410"/>
      <c r="K2515" s="393">
        <f t="shared" si="8"/>
        <v>1</v>
      </c>
      <c r="L2515" s="394" t="str">
        <f>IFERROR(__xludf.DUMMYFUNCTION("JOIN("""", G2515:H2515)"),"")</f>
        <v/>
      </c>
      <c r="M2515" s="80" t="str">
        <f t="shared" si="2"/>
        <v/>
      </c>
    </row>
    <row r="2516">
      <c r="A2516" s="86"/>
      <c r="B2516" s="73"/>
      <c r="C2516" s="73"/>
      <c r="D2516" s="73"/>
      <c r="E2516" s="88"/>
      <c r="F2516" s="73"/>
      <c r="G2516" s="394"/>
      <c r="H2516" s="73"/>
      <c r="I2516" s="88"/>
      <c r="J2516" s="410"/>
      <c r="K2516" s="393">
        <f t="shared" si="8"/>
        <v>1</v>
      </c>
      <c r="L2516" s="394" t="str">
        <f>IFERROR(__xludf.DUMMYFUNCTION("JOIN("""", G2516:H2516)"),"")</f>
        <v/>
      </c>
      <c r="M2516" s="80" t="str">
        <f t="shared" si="2"/>
        <v/>
      </c>
    </row>
    <row r="2517">
      <c r="A2517" s="86"/>
      <c r="B2517" s="73"/>
      <c r="C2517" s="73"/>
      <c r="D2517" s="73"/>
      <c r="E2517" s="88"/>
      <c r="F2517" s="73"/>
      <c r="G2517" s="394"/>
      <c r="H2517" s="73"/>
      <c r="I2517" s="88"/>
      <c r="J2517" s="410"/>
      <c r="K2517" s="393">
        <f t="shared" si="8"/>
        <v>1</v>
      </c>
      <c r="L2517" s="394" t="str">
        <f>IFERROR(__xludf.DUMMYFUNCTION("JOIN("""", G2517:H2517)"),"")</f>
        <v/>
      </c>
      <c r="M2517" s="80" t="str">
        <f t="shared" si="2"/>
        <v/>
      </c>
    </row>
    <row r="2518">
      <c r="A2518" s="86"/>
      <c r="B2518" s="73"/>
      <c r="C2518" s="73"/>
      <c r="D2518" s="73"/>
      <c r="E2518" s="88"/>
      <c r="F2518" s="73"/>
      <c r="G2518" s="394"/>
      <c r="H2518" s="73"/>
      <c r="I2518" s="88"/>
      <c r="J2518" s="410"/>
      <c r="K2518" s="393">
        <f t="shared" si="8"/>
        <v>1</v>
      </c>
      <c r="L2518" s="394" t="str">
        <f>IFERROR(__xludf.DUMMYFUNCTION("JOIN("""", G2518:H2518)"),"")</f>
        <v/>
      </c>
      <c r="M2518" s="80" t="str">
        <f t="shared" si="2"/>
        <v/>
      </c>
    </row>
    <row r="2519">
      <c r="A2519" s="86"/>
      <c r="B2519" s="73"/>
      <c r="C2519" s="73"/>
      <c r="D2519" s="73"/>
      <c r="E2519" s="88"/>
      <c r="F2519" s="73"/>
      <c r="G2519" s="394"/>
      <c r="H2519" s="73"/>
      <c r="I2519" s="88"/>
      <c r="J2519" s="410"/>
      <c r="K2519" s="393">
        <f t="shared" si="8"/>
        <v>1</v>
      </c>
      <c r="L2519" s="394" t="str">
        <f>IFERROR(__xludf.DUMMYFUNCTION("JOIN("""", G2519:H2519)"),"")</f>
        <v/>
      </c>
      <c r="M2519" s="80" t="str">
        <f t="shared" si="2"/>
        <v/>
      </c>
    </row>
    <row r="2520">
      <c r="A2520" s="86"/>
      <c r="B2520" s="73"/>
      <c r="C2520" s="73"/>
      <c r="D2520" s="73"/>
      <c r="E2520" s="88"/>
      <c r="F2520" s="73"/>
      <c r="G2520" s="394"/>
      <c r="H2520" s="73"/>
      <c r="I2520" s="88"/>
      <c r="J2520" s="410"/>
      <c r="K2520" s="393">
        <f t="shared" si="8"/>
        <v>1</v>
      </c>
      <c r="L2520" s="394" t="str">
        <f>IFERROR(__xludf.DUMMYFUNCTION("JOIN("""", G2520:H2520)"),"")</f>
        <v/>
      </c>
      <c r="M2520" s="80" t="str">
        <f t="shared" si="2"/>
        <v/>
      </c>
    </row>
    <row r="2521">
      <c r="A2521" s="86"/>
      <c r="B2521" s="73"/>
      <c r="C2521" s="73"/>
      <c r="D2521" s="73"/>
      <c r="E2521" s="88"/>
      <c r="F2521" s="73"/>
      <c r="G2521" s="394"/>
      <c r="H2521" s="73"/>
      <c r="I2521" s="88"/>
      <c r="J2521" s="410"/>
      <c r="K2521" s="393">
        <f t="shared" si="8"/>
        <v>1</v>
      </c>
      <c r="L2521" s="394" t="str">
        <f>IFERROR(__xludf.DUMMYFUNCTION("JOIN("""", G2521:H2521)"),"")</f>
        <v/>
      </c>
      <c r="M2521" s="80" t="str">
        <f t="shared" si="2"/>
        <v/>
      </c>
    </row>
    <row r="2522">
      <c r="A2522" s="86"/>
      <c r="B2522" s="73"/>
      <c r="C2522" s="73"/>
      <c r="D2522" s="73"/>
      <c r="E2522" s="88"/>
      <c r="F2522" s="73"/>
      <c r="G2522" s="394"/>
      <c r="H2522" s="73"/>
      <c r="I2522" s="88"/>
      <c r="J2522" s="410"/>
      <c r="K2522" s="393">
        <f t="shared" si="8"/>
        <v>1</v>
      </c>
      <c r="L2522" s="394" t="str">
        <f>IFERROR(__xludf.DUMMYFUNCTION("JOIN("""", G2522:H2522)"),"")</f>
        <v/>
      </c>
      <c r="M2522" s="80" t="str">
        <f t="shared" si="2"/>
        <v/>
      </c>
    </row>
    <row r="2523">
      <c r="A2523" s="86"/>
      <c r="B2523" s="73"/>
      <c r="C2523" s="73"/>
      <c r="D2523" s="73"/>
      <c r="E2523" s="88"/>
      <c r="F2523" s="73"/>
      <c r="G2523" s="394"/>
      <c r="H2523" s="73"/>
      <c r="I2523" s="88"/>
      <c r="J2523" s="410"/>
      <c r="K2523" s="393">
        <f t="shared" si="8"/>
        <v>1</v>
      </c>
      <c r="L2523" s="394" t="str">
        <f>IFERROR(__xludf.DUMMYFUNCTION("JOIN("""", G2523:H2523)"),"")</f>
        <v/>
      </c>
      <c r="M2523" s="80" t="str">
        <f t="shared" si="2"/>
        <v/>
      </c>
    </row>
    <row r="2524">
      <c r="A2524" s="86"/>
      <c r="B2524" s="73"/>
      <c r="C2524" s="73"/>
      <c r="D2524" s="73"/>
      <c r="E2524" s="88"/>
      <c r="F2524" s="73"/>
      <c r="G2524" s="394"/>
      <c r="H2524" s="73"/>
      <c r="I2524" s="88"/>
      <c r="J2524" s="410"/>
      <c r="K2524" s="393">
        <f t="shared" si="8"/>
        <v>1</v>
      </c>
      <c r="L2524" s="394" t="str">
        <f>IFERROR(__xludf.DUMMYFUNCTION("JOIN("""", G2524:H2524)"),"")</f>
        <v/>
      </c>
      <c r="M2524" s="80" t="str">
        <f t="shared" si="2"/>
        <v/>
      </c>
    </row>
    <row r="2525">
      <c r="A2525" s="86"/>
      <c r="B2525" s="73"/>
      <c r="C2525" s="73"/>
      <c r="D2525" s="73"/>
      <c r="E2525" s="88"/>
      <c r="F2525" s="73"/>
      <c r="G2525" s="394"/>
      <c r="H2525" s="73"/>
      <c r="I2525" s="88"/>
      <c r="J2525" s="410"/>
      <c r="K2525" s="393">
        <f t="shared" si="8"/>
        <v>1</v>
      </c>
      <c r="L2525" s="394" t="str">
        <f>IFERROR(__xludf.DUMMYFUNCTION("JOIN("""", G2525:H2525)"),"")</f>
        <v/>
      </c>
      <c r="M2525" s="80" t="str">
        <f t="shared" si="2"/>
        <v/>
      </c>
    </row>
    <row r="2526">
      <c r="A2526" s="86"/>
      <c r="B2526" s="73"/>
      <c r="C2526" s="73"/>
      <c r="D2526" s="73"/>
      <c r="E2526" s="88"/>
      <c r="F2526" s="73"/>
      <c r="G2526" s="394"/>
      <c r="H2526" s="73"/>
      <c r="I2526" s="88"/>
      <c r="J2526" s="410"/>
      <c r="K2526" s="393">
        <f t="shared" si="8"/>
        <v>1</v>
      </c>
      <c r="L2526" s="394" t="str">
        <f>IFERROR(__xludf.DUMMYFUNCTION("JOIN("""", G2526:H2526)"),"")</f>
        <v/>
      </c>
      <c r="M2526" s="80" t="str">
        <f t="shared" si="2"/>
        <v/>
      </c>
    </row>
    <row r="2527">
      <c r="A2527" s="86"/>
      <c r="B2527" s="73"/>
      <c r="C2527" s="73"/>
      <c r="D2527" s="73"/>
      <c r="E2527" s="88"/>
      <c r="F2527" s="73"/>
      <c r="G2527" s="394"/>
      <c r="H2527" s="73"/>
      <c r="I2527" s="88"/>
      <c r="J2527" s="410"/>
      <c r="K2527" s="393">
        <f t="shared" si="8"/>
        <v>1</v>
      </c>
      <c r="L2527" s="394" t="str">
        <f>IFERROR(__xludf.DUMMYFUNCTION("JOIN("""", G2527:H2527)"),"")</f>
        <v/>
      </c>
      <c r="M2527" s="80" t="str">
        <f t="shared" si="2"/>
        <v/>
      </c>
    </row>
    <row r="2528">
      <c r="A2528" s="86"/>
      <c r="B2528" s="73"/>
      <c r="C2528" s="73"/>
      <c r="D2528" s="73"/>
      <c r="E2528" s="88"/>
      <c r="F2528" s="73"/>
      <c r="G2528" s="394"/>
      <c r="H2528" s="73"/>
      <c r="I2528" s="88"/>
      <c r="J2528" s="410"/>
      <c r="K2528" s="393">
        <f t="shared" si="8"/>
        <v>1</v>
      </c>
      <c r="L2528" s="394" t="str">
        <f>IFERROR(__xludf.DUMMYFUNCTION("JOIN("""", G2528:H2528)"),"")</f>
        <v/>
      </c>
      <c r="M2528" s="80" t="str">
        <f t="shared" si="2"/>
        <v/>
      </c>
    </row>
    <row r="2529">
      <c r="A2529" s="86"/>
      <c r="B2529" s="73"/>
      <c r="C2529" s="73"/>
      <c r="D2529" s="73"/>
      <c r="E2529" s="88"/>
      <c r="F2529" s="73"/>
      <c r="G2529" s="394"/>
      <c r="H2529" s="73"/>
      <c r="I2529" s="88"/>
      <c r="J2529" s="410"/>
      <c r="K2529" s="393">
        <f t="shared" si="8"/>
        <v>1</v>
      </c>
      <c r="L2529" s="394" t="str">
        <f>IFERROR(__xludf.DUMMYFUNCTION("JOIN("""", G2529:H2529)"),"")</f>
        <v/>
      </c>
      <c r="M2529" s="80" t="str">
        <f t="shared" si="2"/>
        <v/>
      </c>
    </row>
    <row r="2530">
      <c r="A2530" s="86"/>
      <c r="B2530" s="73"/>
      <c r="C2530" s="73"/>
      <c r="D2530" s="73"/>
      <c r="E2530" s="88"/>
      <c r="F2530" s="73"/>
      <c r="G2530" s="394"/>
      <c r="H2530" s="73"/>
      <c r="I2530" s="88"/>
      <c r="J2530" s="410"/>
      <c r="K2530" s="393">
        <f t="shared" si="8"/>
        <v>1</v>
      </c>
      <c r="L2530" s="394" t="str">
        <f>IFERROR(__xludf.DUMMYFUNCTION("JOIN("""", G2530:H2530)"),"")</f>
        <v/>
      </c>
      <c r="M2530" s="80" t="str">
        <f t="shared" si="2"/>
        <v/>
      </c>
    </row>
    <row r="2531">
      <c r="A2531" s="86"/>
      <c r="B2531" s="73"/>
      <c r="C2531" s="73"/>
      <c r="D2531" s="73"/>
      <c r="E2531" s="88"/>
      <c r="F2531" s="73"/>
      <c r="G2531" s="394"/>
      <c r="H2531" s="73"/>
      <c r="I2531" s="88"/>
      <c r="J2531" s="410"/>
      <c r="K2531" s="393">
        <f t="shared" si="8"/>
        <v>1</v>
      </c>
      <c r="L2531" s="394" t="str">
        <f>IFERROR(__xludf.DUMMYFUNCTION("JOIN("""", G2531:H2531)"),"")</f>
        <v/>
      </c>
      <c r="M2531" s="80" t="str">
        <f t="shared" si="2"/>
        <v/>
      </c>
    </row>
    <row r="2532">
      <c r="A2532" s="86"/>
      <c r="B2532" s="73"/>
      <c r="C2532" s="73"/>
      <c r="D2532" s="73"/>
      <c r="E2532" s="88"/>
      <c r="F2532" s="73"/>
      <c r="G2532" s="394"/>
      <c r="H2532" s="73"/>
      <c r="I2532" s="88"/>
      <c r="J2532" s="410"/>
      <c r="K2532" s="393">
        <f t="shared" si="8"/>
        <v>1</v>
      </c>
      <c r="L2532" s="394" t="str">
        <f>IFERROR(__xludf.DUMMYFUNCTION("JOIN("""", G2532:H2532)"),"")</f>
        <v/>
      </c>
      <c r="M2532" s="80" t="str">
        <f t="shared" si="2"/>
        <v/>
      </c>
    </row>
    <row r="2533">
      <c r="A2533" s="86"/>
      <c r="B2533" s="73"/>
      <c r="C2533" s="73"/>
      <c r="D2533" s="73"/>
      <c r="E2533" s="88"/>
      <c r="F2533" s="73"/>
      <c r="G2533" s="394"/>
      <c r="H2533" s="73"/>
      <c r="I2533" s="88"/>
      <c r="J2533" s="410"/>
      <c r="K2533" s="393">
        <f t="shared" si="8"/>
        <v>1</v>
      </c>
      <c r="L2533" s="394" t="str">
        <f>IFERROR(__xludf.DUMMYFUNCTION("JOIN("""", G2533:H2533)"),"")</f>
        <v/>
      </c>
      <c r="M2533" s="80" t="str">
        <f t="shared" si="2"/>
        <v/>
      </c>
    </row>
    <row r="2534">
      <c r="A2534" s="86"/>
      <c r="B2534" s="73"/>
      <c r="C2534" s="73"/>
      <c r="D2534" s="73"/>
      <c r="E2534" s="88"/>
      <c r="F2534" s="73"/>
      <c r="G2534" s="394"/>
      <c r="H2534" s="73"/>
      <c r="I2534" s="88"/>
      <c r="J2534" s="410"/>
      <c r="K2534" s="393">
        <f t="shared" si="8"/>
        <v>1</v>
      </c>
      <c r="L2534" s="394" t="str">
        <f>IFERROR(__xludf.DUMMYFUNCTION("JOIN("""", G2534:H2534)"),"")</f>
        <v/>
      </c>
      <c r="M2534" s="80" t="str">
        <f t="shared" si="2"/>
        <v/>
      </c>
    </row>
    <row r="2535">
      <c r="A2535" s="86"/>
      <c r="B2535" s="73"/>
      <c r="C2535" s="73"/>
      <c r="D2535" s="73"/>
      <c r="E2535" s="88"/>
      <c r="F2535" s="73"/>
      <c r="G2535" s="394"/>
      <c r="H2535" s="73"/>
      <c r="I2535" s="88"/>
      <c r="J2535" s="410"/>
      <c r="K2535" s="393">
        <f t="shared" si="8"/>
        <v>1</v>
      </c>
      <c r="L2535" s="394" t="str">
        <f>IFERROR(__xludf.DUMMYFUNCTION("JOIN("""", G2535:H2535)"),"")</f>
        <v/>
      </c>
      <c r="M2535" s="80" t="str">
        <f t="shared" si="2"/>
        <v/>
      </c>
    </row>
    <row r="2536">
      <c r="A2536" s="86"/>
      <c r="B2536" s="73"/>
      <c r="C2536" s="73"/>
      <c r="D2536" s="73"/>
      <c r="E2536" s="88"/>
      <c r="F2536" s="73"/>
      <c r="G2536" s="394"/>
      <c r="H2536" s="73"/>
      <c r="I2536" s="88"/>
      <c r="J2536" s="410"/>
      <c r="K2536" s="393">
        <f t="shared" si="8"/>
        <v>1</v>
      </c>
      <c r="L2536" s="394" t="str">
        <f>IFERROR(__xludf.DUMMYFUNCTION("JOIN("""", G2536:H2536)"),"")</f>
        <v/>
      </c>
      <c r="M2536" s="80" t="str">
        <f t="shared" si="2"/>
        <v/>
      </c>
    </row>
    <row r="2537">
      <c r="A2537" s="86"/>
      <c r="B2537" s="73"/>
      <c r="C2537" s="73"/>
      <c r="D2537" s="73"/>
      <c r="E2537" s="88"/>
      <c r="F2537" s="73"/>
      <c r="G2537" s="394"/>
      <c r="H2537" s="73"/>
      <c r="I2537" s="88"/>
      <c r="J2537" s="410"/>
      <c r="K2537" s="393">
        <f t="shared" si="8"/>
        <v>1</v>
      </c>
      <c r="L2537" s="394" t="str">
        <f>IFERROR(__xludf.DUMMYFUNCTION("JOIN("""", G2537:H2537)"),"")</f>
        <v/>
      </c>
      <c r="M2537" s="80" t="str">
        <f t="shared" si="2"/>
        <v/>
      </c>
    </row>
    <row r="2538">
      <c r="A2538" s="86"/>
      <c r="B2538" s="73"/>
      <c r="C2538" s="73"/>
      <c r="D2538" s="73"/>
      <c r="E2538" s="88"/>
      <c r="F2538" s="73"/>
      <c r="G2538" s="394"/>
      <c r="H2538" s="73"/>
      <c r="I2538" s="88"/>
      <c r="J2538" s="410"/>
      <c r="K2538" s="393">
        <f t="shared" si="8"/>
        <v>1</v>
      </c>
      <c r="L2538" s="394" t="str">
        <f>IFERROR(__xludf.DUMMYFUNCTION("JOIN("""", G2538:H2538)"),"")</f>
        <v/>
      </c>
      <c r="M2538" s="80" t="str">
        <f t="shared" si="2"/>
        <v/>
      </c>
    </row>
    <row r="2539">
      <c r="A2539" s="86"/>
      <c r="B2539" s="73"/>
      <c r="C2539" s="73"/>
      <c r="D2539" s="73"/>
      <c r="E2539" s="88"/>
      <c r="F2539" s="73"/>
      <c r="G2539" s="394"/>
      <c r="H2539" s="73"/>
      <c r="I2539" s="88"/>
      <c r="J2539" s="410"/>
      <c r="K2539" s="393">
        <f t="shared" si="8"/>
        <v>1</v>
      </c>
      <c r="L2539" s="394" t="str">
        <f>IFERROR(__xludf.DUMMYFUNCTION("JOIN("""", G2539:H2539)"),"")</f>
        <v/>
      </c>
      <c r="M2539" s="80" t="str">
        <f t="shared" si="2"/>
        <v/>
      </c>
    </row>
    <row r="2540">
      <c r="A2540" s="86"/>
      <c r="B2540" s="73"/>
      <c r="C2540" s="73"/>
      <c r="D2540" s="73"/>
      <c r="E2540" s="88"/>
      <c r="F2540" s="73"/>
      <c r="G2540" s="394"/>
      <c r="H2540" s="73"/>
      <c r="I2540" s="88"/>
      <c r="J2540" s="410"/>
      <c r="K2540" s="393">
        <f t="shared" si="8"/>
        <v>1</v>
      </c>
      <c r="L2540" s="394" t="str">
        <f>IFERROR(__xludf.DUMMYFUNCTION("JOIN("""", G2540:H2540)"),"")</f>
        <v/>
      </c>
      <c r="M2540" s="80" t="str">
        <f t="shared" si="2"/>
        <v/>
      </c>
    </row>
    <row r="2541">
      <c r="A2541" s="86"/>
      <c r="B2541" s="73"/>
      <c r="C2541" s="73"/>
      <c r="D2541" s="73"/>
      <c r="E2541" s="88"/>
      <c r="F2541" s="73"/>
      <c r="G2541" s="394"/>
      <c r="H2541" s="73"/>
      <c r="I2541" s="88"/>
      <c r="J2541" s="410"/>
      <c r="K2541" s="393">
        <f t="shared" si="8"/>
        <v>1</v>
      </c>
      <c r="L2541" s="394" t="str">
        <f>IFERROR(__xludf.DUMMYFUNCTION("JOIN("""", G2541:H2541)"),"")</f>
        <v/>
      </c>
      <c r="M2541" s="80" t="str">
        <f t="shared" si="2"/>
        <v/>
      </c>
    </row>
    <row r="2542">
      <c r="A2542" s="86"/>
      <c r="B2542" s="73"/>
      <c r="C2542" s="73"/>
      <c r="D2542" s="73"/>
      <c r="E2542" s="88"/>
      <c r="F2542" s="73"/>
      <c r="G2542" s="394"/>
      <c r="H2542" s="73"/>
      <c r="I2542" s="88"/>
      <c r="J2542" s="410"/>
      <c r="K2542" s="393">
        <f t="shared" si="8"/>
        <v>1</v>
      </c>
      <c r="L2542" s="394" t="str">
        <f>IFERROR(__xludf.DUMMYFUNCTION("JOIN("""", G2542:H2542)"),"")</f>
        <v/>
      </c>
      <c r="M2542" s="80" t="str">
        <f t="shared" si="2"/>
        <v/>
      </c>
    </row>
    <row r="2543">
      <c r="A2543" s="86"/>
      <c r="B2543" s="73"/>
      <c r="C2543" s="73"/>
      <c r="D2543" s="73"/>
      <c r="E2543" s="88"/>
      <c r="F2543" s="73"/>
      <c r="G2543" s="394"/>
      <c r="H2543" s="73"/>
      <c r="I2543" s="88"/>
      <c r="J2543" s="410"/>
      <c r="K2543" s="393">
        <f t="shared" si="8"/>
        <v>1</v>
      </c>
      <c r="L2543" s="394" t="str">
        <f>IFERROR(__xludf.DUMMYFUNCTION("JOIN("""", G2543:H2543)"),"")</f>
        <v/>
      </c>
      <c r="M2543" s="80" t="str">
        <f t="shared" si="2"/>
        <v/>
      </c>
    </row>
    <row r="2544">
      <c r="A2544" s="86"/>
      <c r="B2544" s="73"/>
      <c r="C2544" s="73"/>
      <c r="D2544" s="73"/>
      <c r="E2544" s="88"/>
      <c r="F2544" s="73"/>
      <c r="G2544" s="394"/>
      <c r="H2544" s="73"/>
      <c r="I2544" s="88"/>
      <c r="J2544" s="410"/>
      <c r="K2544" s="393">
        <f t="shared" si="8"/>
        <v>1</v>
      </c>
      <c r="L2544" s="394" t="str">
        <f>IFERROR(__xludf.DUMMYFUNCTION("JOIN("""", G2544:H2544)"),"")</f>
        <v/>
      </c>
      <c r="M2544" s="80" t="str">
        <f t="shared" si="2"/>
        <v/>
      </c>
    </row>
    <row r="2545">
      <c r="A2545" s="86"/>
      <c r="B2545" s="73"/>
      <c r="C2545" s="73"/>
      <c r="D2545" s="73"/>
      <c r="E2545" s="88"/>
      <c r="F2545" s="73"/>
      <c r="G2545" s="394"/>
      <c r="H2545" s="73"/>
      <c r="I2545" s="88"/>
      <c r="J2545" s="410"/>
      <c r="K2545" s="393">
        <f t="shared" si="8"/>
        <v>1</v>
      </c>
      <c r="L2545" s="394" t="str">
        <f>IFERROR(__xludf.DUMMYFUNCTION("JOIN("""", G2545:H2545)"),"")</f>
        <v/>
      </c>
      <c r="M2545" s="80" t="str">
        <f t="shared" si="2"/>
        <v/>
      </c>
    </row>
    <row r="2546">
      <c r="A2546" s="86"/>
      <c r="B2546" s="73"/>
      <c r="C2546" s="73"/>
      <c r="D2546" s="73"/>
      <c r="E2546" s="88"/>
      <c r="F2546" s="73"/>
      <c r="G2546" s="394"/>
      <c r="H2546" s="73"/>
      <c r="I2546" s="88"/>
      <c r="J2546" s="410"/>
      <c r="K2546" s="393">
        <f t="shared" si="8"/>
        <v>1</v>
      </c>
      <c r="L2546" s="394" t="str">
        <f>IFERROR(__xludf.DUMMYFUNCTION("JOIN("""", G2546:H2546)"),"")</f>
        <v/>
      </c>
      <c r="M2546" s="80" t="str">
        <f t="shared" si="2"/>
        <v/>
      </c>
    </row>
    <row r="2547">
      <c r="A2547" s="86"/>
      <c r="B2547" s="73"/>
      <c r="C2547" s="73"/>
      <c r="D2547" s="73"/>
      <c r="E2547" s="88"/>
      <c r="F2547" s="73"/>
      <c r="G2547" s="394"/>
      <c r="H2547" s="73"/>
      <c r="I2547" s="88"/>
      <c r="J2547" s="410"/>
      <c r="K2547" s="393">
        <f t="shared" si="8"/>
        <v>1</v>
      </c>
      <c r="L2547" s="394" t="str">
        <f>IFERROR(__xludf.DUMMYFUNCTION("JOIN("""", G2547:H2547)"),"")</f>
        <v/>
      </c>
      <c r="M2547" s="80" t="str">
        <f t="shared" si="2"/>
        <v/>
      </c>
    </row>
    <row r="2548">
      <c r="A2548" s="86"/>
      <c r="B2548" s="73"/>
      <c r="C2548" s="73"/>
      <c r="D2548" s="73"/>
      <c r="E2548" s="88"/>
      <c r="F2548" s="73"/>
      <c r="G2548" s="394"/>
      <c r="H2548" s="73"/>
      <c r="I2548" s="88"/>
      <c r="J2548" s="410"/>
      <c r="K2548" s="393">
        <f t="shared" si="8"/>
        <v>1</v>
      </c>
      <c r="L2548" s="394" t="str">
        <f>IFERROR(__xludf.DUMMYFUNCTION("JOIN("""", G2548:H2548)"),"")</f>
        <v/>
      </c>
      <c r="M2548" s="80" t="str">
        <f t="shared" si="2"/>
        <v/>
      </c>
    </row>
    <row r="2549">
      <c r="A2549" s="86"/>
      <c r="B2549" s="73"/>
      <c r="C2549" s="73"/>
      <c r="D2549" s="73"/>
      <c r="E2549" s="88"/>
      <c r="F2549" s="73"/>
      <c r="G2549" s="394"/>
      <c r="H2549" s="73"/>
      <c r="I2549" s="88"/>
      <c r="J2549" s="410"/>
      <c r="K2549" s="393">
        <f t="shared" si="8"/>
        <v>1</v>
      </c>
      <c r="L2549" s="394" t="str">
        <f>IFERROR(__xludf.DUMMYFUNCTION("JOIN("""", G2549:H2549)"),"")</f>
        <v/>
      </c>
      <c r="M2549" s="80" t="str">
        <f t="shared" si="2"/>
        <v/>
      </c>
    </row>
    <row r="2550">
      <c r="A2550" s="86"/>
      <c r="B2550" s="73"/>
      <c r="C2550" s="73"/>
      <c r="D2550" s="73"/>
      <c r="E2550" s="88"/>
      <c r="F2550" s="73"/>
      <c r="G2550" s="394"/>
      <c r="H2550" s="73"/>
      <c r="I2550" s="88"/>
      <c r="J2550" s="410"/>
      <c r="K2550" s="393">
        <f t="shared" si="8"/>
        <v>1</v>
      </c>
      <c r="L2550" s="394" t="str">
        <f>IFERROR(__xludf.DUMMYFUNCTION("JOIN("""", G2550:H2550)"),"")</f>
        <v/>
      </c>
      <c r="M2550" s="80" t="str">
        <f t="shared" si="2"/>
        <v/>
      </c>
    </row>
    <row r="2551">
      <c r="A2551" s="86"/>
      <c r="B2551" s="73"/>
      <c r="C2551" s="73"/>
      <c r="D2551" s="73"/>
      <c r="E2551" s="88"/>
      <c r="F2551" s="73"/>
      <c r="G2551" s="394"/>
      <c r="H2551" s="73"/>
      <c r="I2551" s="88"/>
      <c r="J2551" s="410"/>
      <c r="K2551" s="393">
        <f t="shared" si="8"/>
        <v>1</v>
      </c>
      <c r="L2551" s="394" t="str">
        <f>IFERROR(__xludf.DUMMYFUNCTION("JOIN("""", G2551:H2551)"),"")</f>
        <v/>
      </c>
      <c r="M2551" s="80" t="str">
        <f t="shared" si="2"/>
        <v/>
      </c>
    </row>
    <row r="2552">
      <c r="A2552" s="86"/>
      <c r="B2552" s="73"/>
      <c r="C2552" s="73"/>
      <c r="D2552" s="73"/>
      <c r="E2552" s="88"/>
      <c r="F2552" s="73"/>
      <c r="G2552" s="394"/>
      <c r="H2552" s="73"/>
      <c r="I2552" s="88"/>
      <c r="J2552" s="410"/>
      <c r="K2552" s="393">
        <f t="shared" si="8"/>
        <v>1</v>
      </c>
      <c r="L2552" s="394" t="str">
        <f>IFERROR(__xludf.DUMMYFUNCTION("JOIN("""", G2552:H2552)"),"")</f>
        <v/>
      </c>
      <c r="M2552" s="80" t="str">
        <f t="shared" si="2"/>
        <v/>
      </c>
    </row>
    <row r="2553">
      <c r="A2553" s="86"/>
      <c r="B2553" s="73"/>
      <c r="C2553" s="73"/>
      <c r="D2553" s="73"/>
      <c r="E2553" s="88"/>
      <c r="F2553" s="73"/>
      <c r="G2553" s="394"/>
      <c r="H2553" s="73"/>
      <c r="I2553" s="88"/>
      <c r="J2553" s="410"/>
      <c r="K2553" s="393">
        <f t="shared" si="8"/>
        <v>1</v>
      </c>
      <c r="L2553" s="394" t="str">
        <f>IFERROR(__xludf.DUMMYFUNCTION("JOIN("""", G2553:H2553)"),"")</f>
        <v/>
      </c>
      <c r="M2553" s="80" t="str">
        <f t="shared" si="2"/>
        <v/>
      </c>
    </row>
    <row r="2554">
      <c r="A2554" s="86"/>
      <c r="B2554" s="73"/>
      <c r="C2554" s="73"/>
      <c r="D2554" s="73"/>
      <c r="E2554" s="88"/>
      <c r="F2554" s="73"/>
      <c r="G2554" s="394"/>
      <c r="H2554" s="73"/>
      <c r="I2554" s="88"/>
      <c r="J2554" s="410"/>
      <c r="K2554" s="393">
        <f t="shared" si="8"/>
        <v>1</v>
      </c>
      <c r="L2554" s="394" t="str">
        <f>IFERROR(__xludf.DUMMYFUNCTION("JOIN("""", G2554:H2554)"),"")</f>
        <v/>
      </c>
      <c r="M2554" s="80" t="str">
        <f t="shared" si="2"/>
        <v/>
      </c>
    </row>
    <row r="2555">
      <c r="A2555" s="86"/>
      <c r="B2555" s="73"/>
      <c r="C2555" s="73"/>
      <c r="D2555" s="73"/>
      <c r="E2555" s="88"/>
      <c r="F2555" s="73"/>
      <c r="G2555" s="394"/>
      <c r="H2555" s="73"/>
      <c r="I2555" s="88"/>
      <c r="J2555" s="410"/>
      <c r="K2555" s="393">
        <f t="shared" si="8"/>
        <v>1</v>
      </c>
      <c r="L2555" s="394" t="str">
        <f>IFERROR(__xludf.DUMMYFUNCTION("JOIN("""", G2555:H2555)"),"")</f>
        <v/>
      </c>
      <c r="M2555" s="80" t="str">
        <f t="shared" si="2"/>
        <v/>
      </c>
    </row>
    <row r="2556">
      <c r="A2556" s="86"/>
      <c r="B2556" s="73"/>
      <c r="C2556" s="73"/>
      <c r="D2556" s="73"/>
      <c r="E2556" s="88"/>
      <c r="F2556" s="73"/>
      <c r="G2556" s="394"/>
      <c r="H2556" s="73"/>
      <c r="I2556" s="88"/>
      <c r="J2556" s="410"/>
      <c r="K2556" s="393">
        <f t="shared" si="8"/>
        <v>1</v>
      </c>
      <c r="L2556" s="394" t="str">
        <f>IFERROR(__xludf.DUMMYFUNCTION("JOIN("""", G2556:H2556)"),"")</f>
        <v/>
      </c>
      <c r="M2556" s="80" t="str">
        <f t="shared" si="2"/>
        <v/>
      </c>
    </row>
    <row r="2557">
      <c r="A2557" s="86"/>
      <c r="B2557" s="73"/>
      <c r="C2557" s="73"/>
      <c r="D2557" s="73"/>
      <c r="E2557" s="88"/>
      <c r="F2557" s="73"/>
      <c r="G2557" s="394"/>
      <c r="H2557" s="73"/>
      <c r="I2557" s="88"/>
      <c r="J2557" s="410"/>
      <c r="K2557" s="393">
        <f t="shared" si="8"/>
        <v>1</v>
      </c>
      <c r="L2557" s="394" t="str">
        <f>IFERROR(__xludf.DUMMYFUNCTION("JOIN("""", G2557:H2557)"),"")</f>
        <v/>
      </c>
      <c r="M2557" s="80" t="str">
        <f t="shared" si="2"/>
        <v/>
      </c>
    </row>
    <row r="2558">
      <c r="A2558" s="86"/>
      <c r="B2558" s="73"/>
      <c r="C2558" s="73"/>
      <c r="D2558" s="73"/>
      <c r="E2558" s="88"/>
      <c r="F2558" s="73"/>
      <c r="G2558" s="394"/>
      <c r="H2558" s="73"/>
      <c r="I2558" s="88"/>
      <c r="J2558" s="410"/>
      <c r="K2558" s="393">
        <f t="shared" si="8"/>
        <v>1</v>
      </c>
      <c r="L2558" s="394" t="str">
        <f>IFERROR(__xludf.DUMMYFUNCTION("JOIN("""", G2558:H2558)"),"")</f>
        <v/>
      </c>
      <c r="M2558" s="80" t="str">
        <f t="shared" si="2"/>
        <v/>
      </c>
    </row>
    <row r="2559">
      <c r="A2559" s="86"/>
      <c r="B2559" s="73"/>
      <c r="C2559" s="73"/>
      <c r="D2559" s="73"/>
      <c r="E2559" s="88"/>
      <c r="F2559" s="73"/>
      <c r="G2559" s="394"/>
      <c r="H2559" s="73"/>
      <c r="I2559" s="88"/>
      <c r="J2559" s="410"/>
      <c r="K2559" s="393">
        <f t="shared" si="8"/>
        <v>1</v>
      </c>
      <c r="L2559" s="394" t="str">
        <f>IFERROR(__xludf.DUMMYFUNCTION("JOIN("""", G2559:H2559)"),"")</f>
        <v/>
      </c>
      <c r="M2559" s="80" t="str">
        <f t="shared" si="2"/>
        <v/>
      </c>
    </row>
    <row r="2560">
      <c r="A2560" s="86"/>
      <c r="B2560" s="73"/>
      <c r="C2560" s="73"/>
      <c r="D2560" s="73"/>
      <c r="E2560" s="88"/>
      <c r="F2560" s="73"/>
      <c r="G2560" s="394"/>
      <c r="H2560" s="73"/>
      <c r="I2560" s="88"/>
      <c r="J2560" s="410"/>
      <c r="K2560" s="393">
        <f t="shared" si="8"/>
        <v>1</v>
      </c>
      <c r="L2560" s="394" t="str">
        <f>IFERROR(__xludf.DUMMYFUNCTION("JOIN("""", G2560:H2560)"),"")</f>
        <v/>
      </c>
      <c r="M2560" s="80" t="str">
        <f t="shared" si="2"/>
        <v/>
      </c>
    </row>
    <row r="2561">
      <c r="A2561" s="86"/>
      <c r="B2561" s="73"/>
      <c r="C2561" s="73"/>
      <c r="D2561" s="73"/>
      <c r="E2561" s="88"/>
      <c r="F2561" s="73"/>
      <c r="G2561" s="394"/>
      <c r="H2561" s="73"/>
      <c r="I2561" s="88"/>
      <c r="J2561" s="410"/>
      <c r="K2561" s="393">
        <f t="shared" si="8"/>
        <v>1</v>
      </c>
      <c r="L2561" s="394" t="str">
        <f>IFERROR(__xludf.DUMMYFUNCTION("JOIN("""", G2561:H2561)"),"")</f>
        <v/>
      </c>
      <c r="M2561" s="80" t="str">
        <f t="shared" si="2"/>
        <v/>
      </c>
    </row>
    <row r="2562">
      <c r="A2562" s="86"/>
      <c r="B2562" s="73"/>
      <c r="C2562" s="73"/>
      <c r="D2562" s="73"/>
      <c r="E2562" s="88"/>
      <c r="F2562" s="73"/>
      <c r="G2562" s="394"/>
      <c r="H2562" s="73"/>
      <c r="I2562" s="88"/>
      <c r="J2562" s="410"/>
      <c r="K2562" s="393">
        <f t="shared" si="8"/>
        <v>1</v>
      </c>
      <c r="L2562" s="394" t="str">
        <f>IFERROR(__xludf.DUMMYFUNCTION("JOIN("""", G2562:H2562)"),"")</f>
        <v/>
      </c>
      <c r="M2562" s="80" t="str">
        <f t="shared" si="2"/>
        <v/>
      </c>
    </row>
    <row r="2563">
      <c r="A2563" s="86"/>
      <c r="B2563" s="73"/>
      <c r="C2563" s="73"/>
      <c r="D2563" s="73"/>
      <c r="E2563" s="88"/>
      <c r="F2563" s="73"/>
      <c r="G2563" s="394"/>
      <c r="H2563" s="73"/>
      <c r="I2563" s="88"/>
      <c r="J2563" s="410"/>
      <c r="K2563" s="393">
        <f t="shared" si="8"/>
        <v>1</v>
      </c>
      <c r="L2563" s="394" t="str">
        <f>IFERROR(__xludf.DUMMYFUNCTION("JOIN("""", G2563:H2563)"),"")</f>
        <v/>
      </c>
      <c r="M2563" s="80" t="str">
        <f t="shared" si="2"/>
        <v/>
      </c>
    </row>
    <row r="2564">
      <c r="A2564" s="86"/>
      <c r="B2564" s="73"/>
      <c r="C2564" s="73"/>
      <c r="D2564" s="73"/>
      <c r="E2564" s="88"/>
      <c r="F2564" s="73"/>
      <c r="G2564" s="394"/>
      <c r="H2564" s="73"/>
      <c r="I2564" s="88"/>
      <c r="J2564" s="410"/>
      <c r="K2564" s="393">
        <f t="shared" si="8"/>
        <v>1</v>
      </c>
      <c r="L2564" s="394" t="str">
        <f>IFERROR(__xludf.DUMMYFUNCTION("JOIN("""", G2564:H2564)"),"")</f>
        <v/>
      </c>
      <c r="M2564" s="80" t="str">
        <f t="shared" si="2"/>
        <v/>
      </c>
    </row>
    <row r="2565">
      <c r="A2565" s="86"/>
      <c r="B2565" s="73"/>
      <c r="C2565" s="73"/>
      <c r="D2565" s="73"/>
      <c r="E2565" s="88"/>
      <c r="F2565" s="73"/>
      <c r="G2565" s="394"/>
      <c r="H2565" s="73"/>
      <c r="I2565" s="88"/>
      <c r="J2565" s="410"/>
      <c r="K2565" s="393">
        <f t="shared" si="8"/>
        <v>1</v>
      </c>
      <c r="L2565" s="394" t="str">
        <f>IFERROR(__xludf.DUMMYFUNCTION("JOIN("""", G2565:H2565)"),"")</f>
        <v/>
      </c>
      <c r="M2565" s="80" t="str">
        <f t="shared" si="2"/>
        <v/>
      </c>
    </row>
    <row r="2566">
      <c r="A2566" s="86"/>
      <c r="B2566" s="73"/>
      <c r="C2566" s="73"/>
      <c r="D2566" s="73"/>
      <c r="E2566" s="88"/>
      <c r="F2566" s="73"/>
      <c r="G2566" s="394"/>
      <c r="H2566" s="73"/>
      <c r="I2566" s="88"/>
      <c r="J2566" s="410"/>
      <c r="K2566" s="393">
        <f t="shared" si="8"/>
        <v>1</v>
      </c>
      <c r="L2566" s="394" t="str">
        <f>IFERROR(__xludf.DUMMYFUNCTION("JOIN("""", G2566:H2566)"),"")</f>
        <v/>
      </c>
      <c r="M2566" s="80" t="str">
        <f t="shared" si="2"/>
        <v/>
      </c>
    </row>
    <row r="2567">
      <c r="A2567" s="86"/>
      <c r="B2567" s="73"/>
      <c r="C2567" s="73"/>
      <c r="D2567" s="73"/>
      <c r="E2567" s="88"/>
      <c r="F2567" s="73"/>
      <c r="G2567" s="394"/>
      <c r="H2567" s="73"/>
      <c r="I2567" s="88"/>
      <c r="J2567" s="410"/>
      <c r="K2567" s="393">
        <f t="shared" si="8"/>
        <v>1</v>
      </c>
      <c r="L2567" s="394" t="str">
        <f>IFERROR(__xludf.DUMMYFUNCTION("JOIN("""", G2567:H2567)"),"")</f>
        <v/>
      </c>
      <c r="M2567" s="80" t="str">
        <f t="shared" si="2"/>
        <v/>
      </c>
    </row>
    <row r="2568">
      <c r="A2568" s="86"/>
      <c r="B2568" s="73"/>
      <c r="C2568" s="73"/>
      <c r="D2568" s="73"/>
      <c r="E2568" s="88"/>
      <c r="F2568" s="73"/>
      <c r="G2568" s="394"/>
      <c r="H2568" s="73"/>
      <c r="I2568" s="88"/>
      <c r="J2568" s="410"/>
      <c r="K2568" s="393">
        <f t="shared" si="8"/>
        <v>1</v>
      </c>
      <c r="L2568" s="394" t="str">
        <f>IFERROR(__xludf.DUMMYFUNCTION("JOIN("""", G2568:H2568)"),"")</f>
        <v/>
      </c>
      <c r="M2568" s="80" t="str">
        <f t="shared" si="2"/>
        <v/>
      </c>
    </row>
    <row r="2569">
      <c r="A2569" s="86"/>
      <c r="B2569" s="73"/>
      <c r="C2569" s="73"/>
      <c r="D2569" s="73"/>
      <c r="E2569" s="88"/>
      <c r="F2569" s="73"/>
      <c r="G2569" s="394"/>
      <c r="H2569" s="73"/>
      <c r="I2569" s="88"/>
      <c r="J2569" s="410"/>
      <c r="K2569" s="393">
        <f t="shared" si="8"/>
        <v>1</v>
      </c>
      <c r="L2569" s="394" t="str">
        <f>IFERROR(__xludf.DUMMYFUNCTION("JOIN("""", G2569:H2569)"),"")</f>
        <v/>
      </c>
      <c r="M2569" s="80" t="str">
        <f t="shared" si="2"/>
        <v/>
      </c>
    </row>
    <row r="2570">
      <c r="A2570" s="86"/>
      <c r="B2570" s="73"/>
      <c r="C2570" s="73"/>
      <c r="D2570" s="73"/>
      <c r="E2570" s="88"/>
      <c r="F2570" s="73"/>
      <c r="G2570" s="394"/>
      <c r="H2570" s="73"/>
      <c r="I2570" s="88"/>
      <c r="J2570" s="410"/>
      <c r="K2570" s="393">
        <f t="shared" si="8"/>
        <v>1</v>
      </c>
      <c r="L2570" s="394" t="str">
        <f>IFERROR(__xludf.DUMMYFUNCTION("JOIN("""", G2570:H2570)"),"")</f>
        <v/>
      </c>
      <c r="M2570" s="80" t="str">
        <f t="shared" si="2"/>
        <v/>
      </c>
    </row>
    <row r="2571">
      <c r="A2571" s="86"/>
      <c r="B2571" s="73"/>
      <c r="C2571" s="73"/>
      <c r="D2571" s="73"/>
      <c r="E2571" s="88"/>
      <c r="F2571" s="73"/>
      <c r="G2571" s="394"/>
      <c r="H2571" s="73"/>
      <c r="I2571" s="88"/>
      <c r="J2571" s="410"/>
      <c r="K2571" s="393">
        <f t="shared" si="8"/>
        <v>1</v>
      </c>
      <c r="L2571" s="394" t="str">
        <f>IFERROR(__xludf.DUMMYFUNCTION("JOIN("""", G2571:H2571)"),"")</f>
        <v/>
      </c>
      <c r="M2571" s="80" t="str">
        <f t="shared" si="2"/>
        <v/>
      </c>
    </row>
    <row r="2572">
      <c r="A2572" s="86"/>
      <c r="B2572" s="73"/>
      <c r="C2572" s="73"/>
      <c r="D2572" s="73"/>
      <c r="E2572" s="88"/>
      <c r="F2572" s="73"/>
      <c r="G2572" s="394"/>
      <c r="H2572" s="73"/>
      <c r="I2572" s="88"/>
      <c r="J2572" s="410"/>
      <c r="K2572" s="393">
        <f t="shared" si="8"/>
        <v>1</v>
      </c>
      <c r="L2572" s="394" t="str">
        <f>IFERROR(__xludf.DUMMYFUNCTION("JOIN("""", G2572:H2572)"),"")</f>
        <v/>
      </c>
      <c r="M2572" s="80" t="str">
        <f t="shared" si="2"/>
        <v/>
      </c>
    </row>
    <row r="2573">
      <c r="A2573" s="86"/>
      <c r="B2573" s="73"/>
      <c r="C2573" s="73"/>
      <c r="D2573" s="73"/>
      <c r="E2573" s="88"/>
      <c r="F2573" s="73"/>
      <c r="G2573" s="394"/>
      <c r="H2573" s="73"/>
      <c r="I2573" s="88"/>
      <c r="J2573" s="410"/>
      <c r="K2573" s="393">
        <f t="shared" si="8"/>
        <v>1</v>
      </c>
      <c r="L2573" s="394" t="str">
        <f>IFERROR(__xludf.DUMMYFUNCTION("JOIN("""", G2573:H2573)"),"")</f>
        <v/>
      </c>
      <c r="M2573" s="80" t="str">
        <f t="shared" si="2"/>
        <v/>
      </c>
    </row>
    <row r="2574">
      <c r="A2574" s="86"/>
      <c r="B2574" s="73"/>
      <c r="C2574" s="73"/>
      <c r="D2574" s="73"/>
      <c r="E2574" s="88"/>
      <c r="F2574" s="73"/>
      <c r="G2574" s="394"/>
      <c r="H2574" s="73"/>
      <c r="I2574" s="88"/>
      <c r="J2574" s="410"/>
      <c r="K2574" s="393">
        <f t="shared" si="8"/>
        <v>1</v>
      </c>
      <c r="L2574" s="394" t="str">
        <f>IFERROR(__xludf.DUMMYFUNCTION("JOIN("""", G2574:H2574)"),"")</f>
        <v/>
      </c>
      <c r="M2574" s="80" t="str">
        <f t="shared" si="2"/>
        <v/>
      </c>
    </row>
    <row r="2575">
      <c r="A2575" s="86"/>
      <c r="B2575" s="73"/>
      <c r="C2575" s="73"/>
      <c r="D2575" s="73"/>
      <c r="E2575" s="88"/>
      <c r="F2575" s="73"/>
      <c r="G2575" s="394"/>
      <c r="H2575" s="73"/>
      <c r="I2575" s="88"/>
      <c r="J2575" s="410"/>
      <c r="K2575" s="393">
        <f t="shared" si="8"/>
        <v>1</v>
      </c>
      <c r="L2575" s="394" t="str">
        <f>IFERROR(__xludf.DUMMYFUNCTION("JOIN("""", G2575:H2575)"),"")</f>
        <v/>
      </c>
      <c r="M2575" s="80" t="str">
        <f t="shared" si="2"/>
        <v/>
      </c>
    </row>
    <row r="2576">
      <c r="A2576" s="86"/>
      <c r="B2576" s="73"/>
      <c r="C2576" s="73"/>
      <c r="D2576" s="73"/>
      <c r="E2576" s="88"/>
      <c r="F2576" s="73"/>
      <c r="G2576" s="394"/>
      <c r="H2576" s="73"/>
      <c r="I2576" s="88"/>
      <c r="J2576" s="410"/>
      <c r="K2576" s="393">
        <f t="shared" si="8"/>
        <v>1</v>
      </c>
      <c r="L2576" s="394" t="str">
        <f>IFERROR(__xludf.DUMMYFUNCTION("JOIN("""", G2576:H2576)"),"")</f>
        <v/>
      </c>
      <c r="M2576" s="80" t="str">
        <f t="shared" si="2"/>
        <v/>
      </c>
    </row>
    <row r="2577">
      <c r="A2577" s="86"/>
      <c r="B2577" s="73"/>
      <c r="C2577" s="73"/>
      <c r="D2577" s="73"/>
      <c r="E2577" s="88"/>
      <c r="F2577" s="73"/>
      <c r="G2577" s="394"/>
      <c r="H2577" s="73"/>
      <c r="I2577" s="88"/>
      <c r="J2577" s="410"/>
      <c r="K2577" s="393">
        <f t="shared" si="8"/>
        <v>1</v>
      </c>
      <c r="L2577" s="394" t="str">
        <f>IFERROR(__xludf.DUMMYFUNCTION("JOIN("""", G2577:H2577)"),"")</f>
        <v/>
      </c>
      <c r="M2577" s="80" t="str">
        <f t="shared" si="2"/>
        <v/>
      </c>
    </row>
    <row r="2578">
      <c r="A2578" s="86"/>
      <c r="B2578" s="73"/>
      <c r="C2578" s="73"/>
      <c r="D2578" s="73"/>
      <c r="E2578" s="88"/>
      <c r="F2578" s="73"/>
      <c r="G2578" s="394"/>
      <c r="H2578" s="73"/>
      <c r="I2578" s="88"/>
      <c r="J2578" s="410"/>
      <c r="K2578" s="393">
        <f t="shared" si="8"/>
        <v>1</v>
      </c>
      <c r="L2578" s="394" t="str">
        <f>IFERROR(__xludf.DUMMYFUNCTION("JOIN("""", G2578:H2578)"),"")</f>
        <v/>
      </c>
      <c r="M2578" s="80" t="str">
        <f t="shared" si="2"/>
        <v/>
      </c>
    </row>
    <row r="2579">
      <c r="A2579" s="86"/>
      <c r="B2579" s="73"/>
      <c r="C2579" s="73"/>
      <c r="D2579" s="73"/>
      <c r="E2579" s="88"/>
      <c r="F2579" s="73"/>
      <c r="G2579" s="394"/>
      <c r="H2579" s="73"/>
      <c r="I2579" s="88"/>
      <c r="J2579" s="410"/>
      <c r="K2579" s="393">
        <f t="shared" si="8"/>
        <v>1</v>
      </c>
      <c r="L2579" s="394" t="str">
        <f>IFERROR(__xludf.DUMMYFUNCTION("JOIN("""", G2579:H2579)"),"")</f>
        <v/>
      </c>
      <c r="M2579" s="80" t="str">
        <f t="shared" si="2"/>
        <v/>
      </c>
    </row>
    <row r="2580">
      <c r="A2580" s="86"/>
      <c r="B2580" s="73"/>
      <c r="C2580" s="73"/>
      <c r="D2580" s="73"/>
      <c r="E2580" s="88"/>
      <c r="F2580" s="73"/>
      <c r="G2580" s="394"/>
      <c r="H2580" s="73"/>
      <c r="I2580" s="88"/>
      <c r="J2580" s="410"/>
      <c r="K2580" s="393">
        <f t="shared" si="8"/>
        <v>1</v>
      </c>
      <c r="L2580" s="394" t="str">
        <f>IFERROR(__xludf.DUMMYFUNCTION("JOIN("""", G2580:H2580)"),"")</f>
        <v/>
      </c>
      <c r="M2580" s="80" t="str">
        <f t="shared" si="2"/>
        <v/>
      </c>
    </row>
    <row r="2581">
      <c r="A2581" s="86"/>
      <c r="B2581" s="73"/>
      <c r="C2581" s="73"/>
      <c r="D2581" s="73"/>
      <c r="E2581" s="88"/>
      <c r="F2581" s="73"/>
      <c r="G2581" s="394"/>
      <c r="H2581" s="73"/>
      <c r="I2581" s="88"/>
      <c r="J2581" s="410"/>
      <c r="K2581" s="393">
        <f t="shared" si="8"/>
        <v>1</v>
      </c>
      <c r="L2581" s="394" t="str">
        <f>IFERROR(__xludf.DUMMYFUNCTION("JOIN("""", G2581:H2581)"),"")</f>
        <v/>
      </c>
      <c r="M2581" s="80" t="str">
        <f t="shared" si="2"/>
        <v/>
      </c>
    </row>
    <row r="2582">
      <c r="A2582" s="86"/>
      <c r="B2582" s="73"/>
      <c r="C2582" s="73"/>
      <c r="D2582" s="73"/>
      <c r="E2582" s="88"/>
      <c r="F2582" s="73"/>
      <c r="G2582" s="394"/>
      <c r="H2582" s="73"/>
      <c r="I2582" s="88"/>
      <c r="J2582" s="410"/>
      <c r="K2582" s="393">
        <f t="shared" si="8"/>
        <v>1</v>
      </c>
      <c r="L2582" s="394" t="str">
        <f>IFERROR(__xludf.DUMMYFUNCTION("JOIN("""", G2582:H2582)"),"")</f>
        <v/>
      </c>
      <c r="M2582" s="80" t="str">
        <f t="shared" si="2"/>
        <v/>
      </c>
    </row>
    <row r="2583">
      <c r="A2583" s="86"/>
      <c r="B2583" s="73"/>
      <c r="C2583" s="73"/>
      <c r="D2583" s="73"/>
      <c r="E2583" s="88"/>
      <c r="F2583" s="73"/>
      <c r="G2583" s="394"/>
      <c r="H2583" s="73"/>
      <c r="I2583" s="88"/>
      <c r="J2583" s="410"/>
      <c r="K2583" s="393">
        <f t="shared" si="8"/>
        <v>1</v>
      </c>
      <c r="L2583" s="394" t="str">
        <f>IFERROR(__xludf.DUMMYFUNCTION("JOIN("""", G2583:H2583)"),"")</f>
        <v/>
      </c>
      <c r="M2583" s="80" t="str">
        <f t="shared" si="2"/>
        <v/>
      </c>
    </row>
    <row r="2584">
      <c r="A2584" s="86"/>
      <c r="B2584" s="73"/>
      <c r="C2584" s="73"/>
      <c r="D2584" s="73"/>
      <c r="E2584" s="88"/>
      <c r="F2584" s="73"/>
      <c r="G2584" s="394"/>
      <c r="H2584" s="73"/>
      <c r="I2584" s="88"/>
      <c r="J2584" s="410"/>
      <c r="K2584" s="393">
        <f t="shared" si="8"/>
        <v>1</v>
      </c>
      <c r="L2584" s="394" t="str">
        <f>IFERROR(__xludf.DUMMYFUNCTION("JOIN("""", G2584:H2584)"),"")</f>
        <v/>
      </c>
      <c r="M2584" s="80" t="str">
        <f t="shared" si="2"/>
        <v/>
      </c>
    </row>
    <row r="2585">
      <c r="A2585" s="86"/>
      <c r="B2585" s="73"/>
      <c r="C2585" s="73"/>
      <c r="D2585" s="73"/>
      <c r="E2585" s="88"/>
      <c r="F2585" s="73"/>
      <c r="G2585" s="394"/>
      <c r="H2585" s="73"/>
      <c r="I2585" s="88"/>
      <c r="J2585" s="410"/>
      <c r="K2585" s="393">
        <f t="shared" si="8"/>
        <v>1</v>
      </c>
      <c r="L2585" s="394" t="str">
        <f>IFERROR(__xludf.DUMMYFUNCTION("JOIN("""", G2585:H2585)"),"")</f>
        <v/>
      </c>
      <c r="M2585" s="80" t="str">
        <f t="shared" si="2"/>
        <v/>
      </c>
    </row>
    <row r="2586">
      <c r="A2586" s="86"/>
      <c r="B2586" s="73"/>
      <c r="C2586" s="73"/>
      <c r="D2586" s="73"/>
      <c r="E2586" s="88"/>
      <c r="F2586" s="73"/>
      <c r="G2586" s="394"/>
      <c r="H2586" s="73"/>
      <c r="I2586" s="88"/>
      <c r="J2586" s="410"/>
      <c r="K2586" s="393">
        <f t="shared" si="8"/>
        <v>1</v>
      </c>
      <c r="L2586" s="394" t="str">
        <f>IFERROR(__xludf.DUMMYFUNCTION("JOIN("""", G2586:H2586)"),"")</f>
        <v/>
      </c>
      <c r="M2586" s="80" t="str">
        <f t="shared" si="2"/>
        <v/>
      </c>
    </row>
    <row r="2587">
      <c r="A2587" s="86"/>
      <c r="B2587" s="73"/>
      <c r="C2587" s="73"/>
      <c r="D2587" s="73"/>
      <c r="E2587" s="88"/>
      <c r="F2587" s="73"/>
      <c r="G2587" s="394"/>
      <c r="H2587" s="73"/>
      <c r="I2587" s="88"/>
      <c r="J2587" s="410"/>
      <c r="K2587" s="393">
        <f t="shared" si="8"/>
        <v>1</v>
      </c>
      <c r="L2587" s="394" t="str">
        <f>IFERROR(__xludf.DUMMYFUNCTION("JOIN("""", G2587:H2587)"),"")</f>
        <v/>
      </c>
      <c r="M2587" s="80" t="str">
        <f t="shared" si="2"/>
        <v/>
      </c>
    </row>
    <row r="2588">
      <c r="A2588" s="86"/>
      <c r="B2588" s="73"/>
      <c r="C2588" s="73"/>
      <c r="D2588" s="73"/>
      <c r="E2588" s="88"/>
      <c r="F2588" s="73"/>
      <c r="G2588" s="394"/>
      <c r="H2588" s="73"/>
      <c r="I2588" s="88"/>
      <c r="J2588" s="410"/>
      <c r="K2588" s="393">
        <f t="shared" si="8"/>
        <v>1</v>
      </c>
      <c r="L2588" s="394" t="str">
        <f>IFERROR(__xludf.DUMMYFUNCTION("JOIN("""", G2588:H2588)"),"")</f>
        <v/>
      </c>
      <c r="M2588" s="80" t="str">
        <f t="shared" si="2"/>
        <v/>
      </c>
    </row>
    <row r="2589">
      <c r="A2589" s="86"/>
      <c r="B2589" s="73"/>
      <c r="C2589" s="73"/>
      <c r="D2589" s="73"/>
      <c r="E2589" s="88"/>
      <c r="F2589" s="73"/>
      <c r="G2589" s="394"/>
      <c r="H2589" s="73"/>
      <c r="I2589" s="88"/>
      <c r="J2589" s="410"/>
      <c r="K2589" s="393">
        <f t="shared" si="8"/>
        <v>1</v>
      </c>
      <c r="L2589" s="394" t="str">
        <f>IFERROR(__xludf.DUMMYFUNCTION("JOIN("""", G2589:H2589)"),"")</f>
        <v/>
      </c>
      <c r="M2589" s="80" t="str">
        <f t="shared" si="2"/>
        <v/>
      </c>
    </row>
    <row r="2590">
      <c r="A2590" s="86"/>
      <c r="B2590" s="73"/>
      <c r="C2590" s="73"/>
      <c r="D2590" s="73"/>
      <c r="E2590" s="88"/>
      <c r="F2590" s="73"/>
      <c r="G2590" s="394"/>
      <c r="H2590" s="73"/>
      <c r="I2590" s="88"/>
      <c r="J2590" s="410"/>
      <c r="K2590" s="393">
        <f t="shared" si="8"/>
        <v>1</v>
      </c>
      <c r="L2590" s="394" t="str">
        <f>IFERROR(__xludf.DUMMYFUNCTION("JOIN("""", G2590:H2590)"),"")</f>
        <v/>
      </c>
      <c r="M2590" s="80" t="str">
        <f t="shared" si="2"/>
        <v/>
      </c>
    </row>
    <row r="2591">
      <c r="A2591" s="86"/>
      <c r="B2591" s="73"/>
      <c r="C2591" s="73"/>
      <c r="D2591" s="73"/>
      <c r="E2591" s="88"/>
      <c r="F2591" s="73"/>
      <c r="G2591" s="394"/>
      <c r="H2591" s="73"/>
      <c r="I2591" s="88"/>
      <c r="J2591" s="410"/>
      <c r="K2591" s="393">
        <f t="shared" si="8"/>
        <v>1</v>
      </c>
      <c r="L2591" s="394" t="str">
        <f>IFERROR(__xludf.DUMMYFUNCTION("JOIN("""", G2591:H2591)"),"")</f>
        <v/>
      </c>
      <c r="M2591" s="80" t="str">
        <f t="shared" si="2"/>
        <v/>
      </c>
    </row>
    <row r="2592">
      <c r="A2592" s="86"/>
      <c r="B2592" s="73"/>
      <c r="C2592" s="73"/>
      <c r="D2592" s="73"/>
      <c r="E2592" s="88"/>
      <c r="F2592" s="73"/>
      <c r="G2592" s="394"/>
      <c r="H2592" s="73"/>
      <c r="I2592" s="88"/>
      <c r="J2592" s="410"/>
      <c r="K2592" s="393">
        <f t="shared" si="8"/>
        <v>1</v>
      </c>
      <c r="L2592" s="394" t="str">
        <f>IFERROR(__xludf.DUMMYFUNCTION("JOIN("""", G2592:H2592)"),"")</f>
        <v/>
      </c>
      <c r="M2592" s="80" t="str">
        <f t="shared" si="2"/>
        <v/>
      </c>
    </row>
    <row r="2593">
      <c r="A2593" s="86"/>
      <c r="B2593" s="73"/>
      <c r="C2593" s="73"/>
      <c r="D2593" s="73"/>
      <c r="E2593" s="88"/>
      <c r="F2593" s="73"/>
      <c r="G2593" s="394"/>
      <c r="H2593" s="73"/>
      <c r="I2593" s="88"/>
      <c r="J2593" s="410"/>
      <c r="K2593" s="393">
        <f t="shared" si="8"/>
        <v>1</v>
      </c>
      <c r="L2593" s="394" t="str">
        <f>IFERROR(__xludf.DUMMYFUNCTION("JOIN("""", G2593:H2593)"),"")</f>
        <v/>
      </c>
      <c r="M2593" s="80" t="str">
        <f t="shared" si="2"/>
        <v/>
      </c>
    </row>
    <row r="2594">
      <c r="A2594" s="86"/>
      <c r="B2594" s="73"/>
      <c r="C2594" s="73"/>
      <c r="D2594" s="73"/>
      <c r="E2594" s="88"/>
      <c r="F2594" s="73"/>
      <c r="G2594" s="394"/>
      <c r="H2594" s="73"/>
      <c r="I2594" s="88"/>
      <c r="J2594" s="410"/>
      <c r="K2594" s="393">
        <f t="shared" si="8"/>
        <v>1</v>
      </c>
      <c r="L2594" s="394" t="str">
        <f>IFERROR(__xludf.DUMMYFUNCTION("JOIN("""", G2594:H2594)"),"")</f>
        <v/>
      </c>
      <c r="M2594" s="80" t="str">
        <f t="shared" si="2"/>
        <v/>
      </c>
    </row>
    <row r="2595">
      <c r="A2595" s="86"/>
      <c r="B2595" s="73"/>
      <c r="C2595" s="73"/>
      <c r="D2595" s="73"/>
      <c r="E2595" s="88"/>
      <c r="F2595" s="73"/>
      <c r="G2595" s="394"/>
      <c r="H2595" s="73"/>
      <c r="I2595" s="88"/>
      <c r="J2595" s="410"/>
      <c r="K2595" s="393">
        <f t="shared" si="8"/>
        <v>1</v>
      </c>
      <c r="L2595" s="394" t="str">
        <f>IFERROR(__xludf.DUMMYFUNCTION("JOIN("""", G2595:H2595)"),"")</f>
        <v/>
      </c>
      <c r="M2595" s="80" t="str">
        <f t="shared" si="2"/>
        <v/>
      </c>
    </row>
    <row r="2596">
      <c r="A2596" s="86"/>
      <c r="B2596" s="73"/>
      <c r="C2596" s="73"/>
      <c r="D2596" s="73"/>
      <c r="E2596" s="88"/>
      <c r="F2596" s="73"/>
      <c r="G2596" s="394"/>
      <c r="H2596" s="73"/>
      <c r="I2596" s="88"/>
      <c r="J2596" s="410"/>
      <c r="K2596" s="393">
        <f t="shared" si="8"/>
        <v>1</v>
      </c>
      <c r="L2596" s="394" t="str">
        <f>IFERROR(__xludf.DUMMYFUNCTION("JOIN("""", G2596:H2596)"),"")</f>
        <v/>
      </c>
      <c r="M2596" s="80" t="str">
        <f t="shared" si="2"/>
        <v/>
      </c>
    </row>
    <row r="2597">
      <c r="A2597" s="86"/>
      <c r="B2597" s="73"/>
      <c r="C2597" s="73"/>
      <c r="D2597" s="73"/>
      <c r="E2597" s="88"/>
      <c r="F2597" s="73"/>
      <c r="G2597" s="394"/>
      <c r="H2597" s="73"/>
      <c r="I2597" s="88"/>
      <c r="J2597" s="410"/>
      <c r="K2597" s="393">
        <f t="shared" si="8"/>
        <v>1</v>
      </c>
      <c r="L2597" s="394" t="str">
        <f>IFERROR(__xludf.DUMMYFUNCTION("JOIN("""", G2597:H2597)"),"")</f>
        <v/>
      </c>
      <c r="M2597" s="80" t="str">
        <f t="shared" si="2"/>
        <v/>
      </c>
    </row>
    <row r="2598">
      <c r="A2598" s="86"/>
      <c r="B2598" s="73"/>
      <c r="C2598" s="73"/>
      <c r="D2598" s="73"/>
      <c r="E2598" s="88"/>
      <c r="F2598" s="73"/>
      <c r="G2598" s="394"/>
      <c r="H2598" s="73"/>
      <c r="I2598" s="88"/>
      <c r="J2598" s="410"/>
      <c r="K2598" s="393">
        <f t="shared" si="8"/>
        <v>1</v>
      </c>
      <c r="L2598" s="394" t="str">
        <f>IFERROR(__xludf.DUMMYFUNCTION("JOIN("""", G2598:H2598)"),"")</f>
        <v/>
      </c>
      <c r="M2598" s="80" t="str">
        <f t="shared" si="2"/>
        <v/>
      </c>
    </row>
    <row r="2599">
      <c r="A2599" s="86"/>
      <c r="B2599" s="73"/>
      <c r="C2599" s="73"/>
      <c r="D2599" s="73"/>
      <c r="E2599" s="88"/>
      <c r="F2599" s="73"/>
      <c r="G2599" s="394"/>
      <c r="H2599" s="73"/>
      <c r="I2599" s="88"/>
      <c r="J2599" s="410"/>
      <c r="K2599" s="393">
        <f t="shared" si="8"/>
        <v>1</v>
      </c>
      <c r="L2599" s="394" t="str">
        <f>IFERROR(__xludf.DUMMYFUNCTION("JOIN("""", G2599:H2599)"),"")</f>
        <v/>
      </c>
      <c r="M2599" s="80" t="str">
        <f t="shared" si="2"/>
        <v/>
      </c>
    </row>
    <row r="2600">
      <c r="A2600" s="86"/>
      <c r="B2600" s="73"/>
      <c r="C2600" s="73"/>
      <c r="D2600" s="73"/>
      <c r="E2600" s="88"/>
      <c r="F2600" s="73"/>
      <c r="G2600" s="394"/>
      <c r="H2600" s="73"/>
      <c r="I2600" s="88"/>
      <c r="J2600" s="410"/>
      <c r="K2600" s="393">
        <f t="shared" si="8"/>
        <v>1</v>
      </c>
      <c r="L2600" s="394" t="str">
        <f>IFERROR(__xludf.DUMMYFUNCTION("JOIN("""", G2600:H2600)"),"")</f>
        <v/>
      </c>
      <c r="M2600" s="80" t="str">
        <f t="shared" si="2"/>
        <v/>
      </c>
    </row>
    <row r="2601">
      <c r="A2601" s="86"/>
      <c r="B2601" s="73"/>
      <c r="C2601" s="73"/>
      <c r="D2601" s="73"/>
      <c r="E2601" s="88"/>
      <c r="F2601" s="73"/>
      <c r="G2601" s="394"/>
      <c r="H2601" s="73"/>
      <c r="I2601" s="88"/>
      <c r="J2601" s="410"/>
      <c r="K2601" s="393">
        <f t="shared" si="8"/>
        <v>1</v>
      </c>
      <c r="L2601" s="394" t="str">
        <f>IFERROR(__xludf.DUMMYFUNCTION("JOIN("""", G2601:H2601)"),"")</f>
        <v/>
      </c>
      <c r="M2601" s="80" t="str">
        <f t="shared" si="2"/>
        <v/>
      </c>
    </row>
    <row r="2602">
      <c r="A2602" s="86"/>
      <c r="B2602" s="73"/>
      <c r="C2602" s="73"/>
      <c r="D2602" s="73"/>
      <c r="E2602" s="88"/>
      <c r="F2602" s="73"/>
      <c r="G2602" s="394"/>
      <c r="H2602" s="73"/>
      <c r="I2602" s="88"/>
      <c r="J2602" s="410"/>
      <c r="K2602" s="393">
        <f t="shared" si="8"/>
        <v>1</v>
      </c>
      <c r="L2602" s="394" t="str">
        <f>IFERROR(__xludf.DUMMYFUNCTION("JOIN("""", G2602:H2602)"),"")</f>
        <v/>
      </c>
      <c r="M2602" s="80" t="str">
        <f t="shared" si="2"/>
        <v/>
      </c>
    </row>
    <row r="2603">
      <c r="A2603" s="86"/>
      <c r="B2603" s="73"/>
      <c r="C2603" s="73"/>
      <c r="D2603" s="73"/>
      <c r="E2603" s="88"/>
      <c r="F2603" s="73"/>
      <c r="G2603" s="394"/>
      <c r="H2603" s="73"/>
      <c r="I2603" s="88"/>
      <c r="J2603" s="410"/>
      <c r="K2603" s="393">
        <f t="shared" si="8"/>
        <v>1</v>
      </c>
      <c r="L2603" s="394" t="str">
        <f>IFERROR(__xludf.DUMMYFUNCTION("JOIN("""", G2603:H2603)"),"")</f>
        <v/>
      </c>
      <c r="M2603" s="80" t="str">
        <f t="shared" si="2"/>
        <v/>
      </c>
    </row>
    <row r="2604">
      <c r="A2604" s="86"/>
      <c r="B2604" s="73"/>
      <c r="C2604" s="73"/>
      <c r="D2604" s="73"/>
      <c r="E2604" s="88"/>
      <c r="F2604" s="73"/>
      <c r="G2604" s="394"/>
      <c r="H2604" s="73"/>
      <c r="I2604" s="88"/>
      <c r="J2604" s="410"/>
      <c r="K2604" s="393">
        <f t="shared" si="8"/>
        <v>1</v>
      </c>
      <c r="L2604" s="394" t="str">
        <f>IFERROR(__xludf.DUMMYFUNCTION("JOIN("""", G2604:H2604)"),"")</f>
        <v/>
      </c>
      <c r="M2604" s="80" t="str">
        <f t="shared" si="2"/>
        <v/>
      </c>
    </row>
    <row r="2605">
      <c r="A2605" s="86"/>
      <c r="B2605" s="73"/>
      <c r="C2605" s="73"/>
      <c r="D2605" s="73"/>
      <c r="E2605" s="88"/>
      <c r="F2605" s="73"/>
      <c r="G2605" s="394"/>
      <c r="H2605" s="73"/>
      <c r="I2605" s="88"/>
      <c r="J2605" s="410"/>
      <c r="K2605" s="393">
        <f t="shared" si="8"/>
        <v>1</v>
      </c>
      <c r="L2605" s="394" t="str">
        <f>IFERROR(__xludf.DUMMYFUNCTION("JOIN("""", G2605:H2605)"),"")</f>
        <v/>
      </c>
      <c r="M2605" s="80" t="str">
        <f t="shared" si="2"/>
        <v/>
      </c>
    </row>
    <row r="2606">
      <c r="A2606" s="86"/>
      <c r="B2606" s="73"/>
      <c r="C2606" s="73"/>
      <c r="D2606" s="73"/>
      <c r="E2606" s="88"/>
      <c r="F2606" s="73"/>
      <c r="G2606" s="394"/>
      <c r="H2606" s="73"/>
      <c r="I2606" s="88"/>
      <c r="J2606" s="410"/>
      <c r="K2606" s="393">
        <f t="shared" si="8"/>
        <v>1</v>
      </c>
      <c r="L2606" s="394" t="str">
        <f>IFERROR(__xludf.DUMMYFUNCTION("JOIN("""", G2606:H2606)"),"")</f>
        <v/>
      </c>
      <c r="M2606" s="80" t="str">
        <f t="shared" si="2"/>
        <v/>
      </c>
    </row>
    <row r="2607">
      <c r="A2607" s="86"/>
      <c r="B2607" s="73"/>
      <c r="C2607" s="73"/>
      <c r="D2607" s="73"/>
      <c r="E2607" s="88"/>
      <c r="F2607" s="73"/>
      <c r="G2607" s="394"/>
      <c r="H2607" s="73"/>
      <c r="I2607" s="88"/>
      <c r="J2607" s="410"/>
      <c r="K2607" s="393">
        <f t="shared" si="8"/>
        <v>1</v>
      </c>
      <c r="L2607" s="394" t="str">
        <f>IFERROR(__xludf.DUMMYFUNCTION("JOIN("""", G2607:H2607)"),"")</f>
        <v/>
      </c>
      <c r="M2607" s="80" t="str">
        <f t="shared" si="2"/>
        <v/>
      </c>
    </row>
    <row r="2608">
      <c r="A2608" s="86"/>
      <c r="B2608" s="73"/>
      <c r="C2608" s="73"/>
      <c r="D2608" s="73"/>
      <c r="E2608" s="88"/>
      <c r="F2608" s="73"/>
      <c r="G2608" s="394"/>
      <c r="H2608" s="73"/>
      <c r="I2608" s="88"/>
      <c r="J2608" s="410"/>
      <c r="K2608" s="393">
        <f t="shared" si="8"/>
        <v>1</v>
      </c>
      <c r="L2608" s="394" t="str">
        <f>IFERROR(__xludf.DUMMYFUNCTION("JOIN("""", G2608:H2608)"),"")</f>
        <v/>
      </c>
      <c r="M2608" s="80" t="str">
        <f t="shared" si="2"/>
        <v/>
      </c>
    </row>
    <row r="2609">
      <c r="A2609" s="86"/>
      <c r="B2609" s="73"/>
      <c r="C2609" s="73"/>
      <c r="D2609" s="73"/>
      <c r="E2609" s="88"/>
      <c r="F2609" s="73"/>
      <c r="G2609" s="394"/>
      <c r="H2609" s="73"/>
      <c r="I2609" s="88"/>
      <c r="J2609" s="410"/>
      <c r="K2609" s="393">
        <f t="shared" si="8"/>
        <v>1</v>
      </c>
      <c r="L2609" s="394" t="str">
        <f>IFERROR(__xludf.DUMMYFUNCTION("JOIN("""", G2609:H2609)"),"")</f>
        <v/>
      </c>
      <c r="M2609" s="80" t="str">
        <f t="shared" si="2"/>
        <v/>
      </c>
    </row>
    <row r="2610">
      <c r="A2610" s="86"/>
      <c r="B2610" s="73"/>
      <c r="C2610" s="73"/>
      <c r="D2610" s="73"/>
      <c r="E2610" s="88"/>
      <c r="F2610" s="73"/>
      <c r="G2610" s="394"/>
      <c r="H2610" s="73"/>
      <c r="I2610" s="88"/>
      <c r="J2610" s="410"/>
      <c r="K2610" s="393">
        <f t="shared" si="8"/>
        <v>1</v>
      </c>
      <c r="L2610" s="394" t="str">
        <f>IFERROR(__xludf.DUMMYFUNCTION("JOIN("""", G2610:H2610)"),"")</f>
        <v/>
      </c>
      <c r="M2610" s="80" t="str">
        <f t="shared" si="2"/>
        <v/>
      </c>
    </row>
    <row r="2611">
      <c r="A2611" s="86"/>
      <c r="B2611" s="73"/>
      <c r="C2611" s="73"/>
      <c r="D2611" s="73"/>
      <c r="E2611" s="88"/>
      <c r="F2611" s="73"/>
      <c r="G2611" s="394"/>
      <c r="H2611" s="73"/>
      <c r="I2611" s="88"/>
      <c r="J2611" s="410"/>
      <c r="K2611" s="393">
        <f t="shared" si="8"/>
        <v>1</v>
      </c>
      <c r="L2611" s="394" t="str">
        <f>IFERROR(__xludf.DUMMYFUNCTION("JOIN("""", G2611:H2611)"),"")</f>
        <v/>
      </c>
      <c r="M2611" s="80" t="str">
        <f t="shared" si="2"/>
        <v/>
      </c>
    </row>
    <row r="2612">
      <c r="A2612" s="86"/>
      <c r="B2612" s="73"/>
      <c r="C2612" s="73"/>
      <c r="D2612" s="73"/>
      <c r="E2612" s="88"/>
      <c r="F2612" s="73"/>
      <c r="G2612" s="394"/>
      <c r="H2612" s="73"/>
      <c r="I2612" s="88"/>
      <c r="J2612" s="410"/>
      <c r="K2612" s="393">
        <f t="shared" si="8"/>
        <v>1</v>
      </c>
      <c r="L2612" s="394" t="str">
        <f>IFERROR(__xludf.DUMMYFUNCTION("JOIN("""", G2612:H2612)"),"")</f>
        <v/>
      </c>
      <c r="M2612" s="80" t="str">
        <f t="shared" si="2"/>
        <v/>
      </c>
    </row>
    <row r="2613">
      <c r="A2613" s="86"/>
      <c r="B2613" s="73"/>
      <c r="C2613" s="73"/>
      <c r="D2613" s="73"/>
      <c r="E2613" s="88"/>
      <c r="F2613" s="73"/>
      <c r="G2613" s="394"/>
      <c r="H2613" s="73"/>
      <c r="I2613" s="88"/>
      <c r="J2613" s="410"/>
      <c r="K2613" s="393">
        <f t="shared" si="8"/>
        <v>1</v>
      </c>
      <c r="L2613" s="394" t="str">
        <f>IFERROR(__xludf.DUMMYFUNCTION("JOIN("""", G2613:H2613)"),"")</f>
        <v/>
      </c>
      <c r="M2613" s="80" t="str">
        <f t="shared" si="2"/>
        <v/>
      </c>
    </row>
    <row r="2614">
      <c r="A2614" s="86"/>
      <c r="B2614" s="73"/>
      <c r="C2614" s="73"/>
      <c r="D2614" s="73"/>
      <c r="E2614" s="88"/>
      <c r="F2614" s="73"/>
      <c r="G2614" s="394"/>
      <c r="H2614" s="73"/>
      <c r="I2614" s="88"/>
      <c r="J2614" s="410"/>
      <c r="K2614" s="393">
        <f t="shared" si="8"/>
        <v>1</v>
      </c>
      <c r="L2614" s="394" t="str">
        <f>IFERROR(__xludf.DUMMYFUNCTION("JOIN("""", G2614:H2614)"),"")</f>
        <v/>
      </c>
      <c r="M2614" s="80" t="str">
        <f t="shared" si="2"/>
        <v/>
      </c>
    </row>
    <row r="2615">
      <c r="A2615" s="86"/>
      <c r="B2615" s="73"/>
      <c r="C2615" s="73"/>
      <c r="D2615" s="73"/>
      <c r="E2615" s="88"/>
      <c r="F2615" s="73"/>
      <c r="G2615" s="394"/>
      <c r="H2615" s="73"/>
      <c r="I2615" s="88"/>
      <c r="J2615" s="410"/>
      <c r="K2615" s="393">
        <f t="shared" si="8"/>
        <v>1</v>
      </c>
      <c r="L2615" s="394" t="str">
        <f>IFERROR(__xludf.DUMMYFUNCTION("JOIN("""", G2615:H2615)"),"")</f>
        <v/>
      </c>
      <c r="M2615" s="80" t="str">
        <f t="shared" si="2"/>
        <v/>
      </c>
    </row>
    <row r="2616">
      <c r="A2616" s="86"/>
      <c r="B2616" s="73"/>
      <c r="C2616" s="73"/>
      <c r="D2616" s="73"/>
      <c r="E2616" s="88"/>
      <c r="F2616" s="73"/>
      <c r="G2616" s="394"/>
      <c r="H2616" s="73"/>
      <c r="I2616" s="88"/>
      <c r="J2616" s="410"/>
      <c r="K2616" s="393">
        <f t="shared" si="8"/>
        <v>1</v>
      </c>
      <c r="L2616" s="394" t="str">
        <f>IFERROR(__xludf.DUMMYFUNCTION("JOIN("""", G2616:H2616)"),"")</f>
        <v/>
      </c>
      <c r="M2616" s="80" t="str">
        <f t="shared" si="2"/>
        <v/>
      </c>
    </row>
    <row r="2617">
      <c r="A2617" s="86"/>
      <c r="B2617" s="73"/>
      <c r="C2617" s="73"/>
      <c r="D2617" s="73"/>
      <c r="E2617" s="88"/>
      <c r="F2617" s="73"/>
      <c r="G2617" s="394"/>
      <c r="H2617" s="73"/>
      <c r="I2617" s="88"/>
      <c r="J2617" s="410"/>
      <c r="K2617" s="393">
        <f t="shared" si="8"/>
        <v>1</v>
      </c>
      <c r="L2617" s="394" t="str">
        <f>IFERROR(__xludf.DUMMYFUNCTION("JOIN("""", G2617:H2617)"),"")</f>
        <v/>
      </c>
      <c r="M2617" s="80" t="str">
        <f t="shared" si="2"/>
        <v/>
      </c>
    </row>
    <row r="2618">
      <c r="A2618" s="86"/>
      <c r="B2618" s="73"/>
      <c r="C2618" s="73"/>
      <c r="D2618" s="73"/>
      <c r="E2618" s="88"/>
      <c r="F2618" s="73"/>
      <c r="G2618" s="394"/>
      <c r="H2618" s="73"/>
      <c r="I2618" s="88"/>
      <c r="J2618" s="410"/>
      <c r="K2618" s="393">
        <f t="shared" si="8"/>
        <v>1</v>
      </c>
      <c r="L2618" s="394" t="str">
        <f>IFERROR(__xludf.DUMMYFUNCTION("JOIN("""", G2618:H2618)"),"")</f>
        <v/>
      </c>
      <c r="M2618" s="80" t="str">
        <f t="shared" si="2"/>
        <v/>
      </c>
    </row>
    <row r="2619">
      <c r="A2619" s="86"/>
      <c r="B2619" s="73"/>
      <c r="C2619" s="73"/>
      <c r="D2619" s="73"/>
      <c r="E2619" s="88"/>
      <c r="F2619" s="73"/>
      <c r="G2619" s="394"/>
      <c r="H2619" s="73"/>
      <c r="I2619" s="88"/>
      <c r="J2619" s="410"/>
      <c r="K2619" s="393">
        <f t="shared" si="8"/>
        <v>1</v>
      </c>
      <c r="L2619" s="394" t="str">
        <f>IFERROR(__xludf.DUMMYFUNCTION("JOIN("""", G2619:H2619)"),"")</f>
        <v/>
      </c>
      <c r="M2619" s="80" t="str">
        <f t="shared" si="2"/>
        <v/>
      </c>
    </row>
    <row r="2620">
      <c r="A2620" s="86"/>
      <c r="B2620" s="73"/>
      <c r="C2620" s="73"/>
      <c r="D2620" s="73"/>
      <c r="E2620" s="88"/>
      <c r="F2620" s="73"/>
      <c r="G2620" s="394"/>
      <c r="H2620" s="73"/>
      <c r="I2620" s="88"/>
      <c r="J2620" s="410"/>
      <c r="K2620" s="393">
        <f t="shared" si="8"/>
        <v>1</v>
      </c>
      <c r="L2620" s="394" t="str">
        <f>IFERROR(__xludf.DUMMYFUNCTION("JOIN("""", G2620:H2620)"),"")</f>
        <v/>
      </c>
      <c r="M2620" s="80" t="str">
        <f t="shared" si="2"/>
        <v/>
      </c>
    </row>
    <row r="2621">
      <c r="A2621" s="86"/>
      <c r="B2621" s="73"/>
      <c r="C2621" s="73"/>
      <c r="D2621" s="73"/>
      <c r="E2621" s="88"/>
      <c r="F2621" s="73"/>
      <c r="G2621" s="394"/>
      <c r="H2621" s="73"/>
      <c r="I2621" s="88"/>
      <c r="J2621" s="410"/>
      <c r="K2621" s="393">
        <f t="shared" si="8"/>
        <v>1</v>
      </c>
      <c r="L2621" s="394" t="str">
        <f>IFERROR(__xludf.DUMMYFUNCTION("JOIN("""", G2621:H2621)"),"")</f>
        <v/>
      </c>
      <c r="M2621" s="80" t="str">
        <f t="shared" si="2"/>
        <v/>
      </c>
    </row>
    <row r="2622">
      <c r="A2622" s="86"/>
      <c r="B2622" s="73"/>
      <c r="C2622" s="73"/>
      <c r="D2622" s="73"/>
      <c r="E2622" s="88"/>
      <c r="F2622" s="73"/>
      <c r="G2622" s="394"/>
      <c r="H2622" s="73"/>
      <c r="I2622" s="88"/>
      <c r="J2622" s="410"/>
      <c r="K2622" s="393">
        <f t="shared" si="8"/>
        <v>1</v>
      </c>
      <c r="L2622" s="394" t="str">
        <f>IFERROR(__xludf.DUMMYFUNCTION("JOIN("""", G2622:H2622)"),"")</f>
        <v/>
      </c>
      <c r="M2622" s="80" t="str">
        <f t="shared" si="2"/>
        <v/>
      </c>
    </row>
    <row r="2623">
      <c r="A2623" s="86"/>
      <c r="B2623" s="73"/>
      <c r="C2623" s="73"/>
      <c r="D2623" s="73"/>
      <c r="E2623" s="88"/>
      <c r="F2623" s="73"/>
      <c r="G2623" s="394"/>
      <c r="H2623" s="73"/>
      <c r="I2623" s="88"/>
      <c r="J2623" s="410"/>
      <c r="K2623" s="393">
        <f t="shared" si="8"/>
        <v>1</v>
      </c>
      <c r="L2623" s="394" t="str">
        <f>IFERROR(__xludf.DUMMYFUNCTION("JOIN("""", G2623:H2623)"),"")</f>
        <v/>
      </c>
      <c r="M2623" s="80" t="str">
        <f t="shared" si="2"/>
        <v/>
      </c>
    </row>
    <row r="2624">
      <c r="A2624" s="86"/>
      <c r="B2624" s="73"/>
      <c r="C2624" s="73"/>
      <c r="D2624" s="73"/>
      <c r="E2624" s="88"/>
      <c r="F2624" s="73"/>
      <c r="G2624" s="394"/>
      <c r="H2624" s="73"/>
      <c r="I2624" s="88"/>
      <c r="J2624" s="410"/>
      <c r="K2624" s="393">
        <f t="shared" si="8"/>
        <v>1</v>
      </c>
      <c r="L2624" s="394" t="str">
        <f>IFERROR(__xludf.DUMMYFUNCTION("JOIN("""", G2624:H2624)"),"")</f>
        <v/>
      </c>
      <c r="M2624" s="80" t="str">
        <f t="shared" si="2"/>
        <v/>
      </c>
    </row>
    <row r="2625">
      <c r="A2625" s="86"/>
      <c r="B2625" s="73"/>
      <c r="C2625" s="73"/>
      <c r="D2625" s="73"/>
      <c r="E2625" s="88"/>
      <c r="F2625" s="73"/>
      <c r="G2625" s="394"/>
      <c r="H2625" s="73"/>
      <c r="I2625" s="88"/>
      <c r="J2625" s="410"/>
      <c r="K2625" s="393">
        <f t="shared" si="8"/>
        <v>1</v>
      </c>
      <c r="L2625" s="394" t="str">
        <f>IFERROR(__xludf.DUMMYFUNCTION("JOIN("""", G2625:H2625)"),"")</f>
        <v/>
      </c>
      <c r="M2625" s="80" t="str">
        <f t="shared" si="2"/>
        <v/>
      </c>
    </row>
    <row r="2626">
      <c r="A2626" s="86"/>
      <c r="B2626" s="73"/>
      <c r="C2626" s="73"/>
      <c r="D2626" s="73"/>
      <c r="E2626" s="88"/>
      <c r="F2626" s="73"/>
      <c r="G2626" s="394"/>
      <c r="H2626" s="73"/>
      <c r="I2626" s="88"/>
      <c r="J2626" s="410"/>
      <c r="K2626" s="393">
        <f t="shared" si="8"/>
        <v>1</v>
      </c>
      <c r="L2626" s="394" t="str">
        <f>IFERROR(__xludf.DUMMYFUNCTION("JOIN("""", G2626:H2626)"),"")</f>
        <v/>
      </c>
      <c r="M2626" s="80" t="str">
        <f t="shared" si="2"/>
        <v/>
      </c>
    </row>
    <row r="2627">
      <c r="A2627" s="86"/>
      <c r="B2627" s="73"/>
      <c r="C2627" s="73"/>
      <c r="D2627" s="73"/>
      <c r="E2627" s="88"/>
      <c r="F2627" s="73"/>
      <c r="G2627" s="394"/>
      <c r="H2627" s="73"/>
      <c r="I2627" s="88"/>
      <c r="J2627" s="410"/>
      <c r="K2627" s="393">
        <f t="shared" si="8"/>
        <v>1</v>
      </c>
      <c r="L2627" s="394" t="str">
        <f>IFERROR(__xludf.DUMMYFUNCTION("JOIN("""", G2627:H2627)"),"")</f>
        <v/>
      </c>
      <c r="M2627" s="80" t="str">
        <f t="shared" si="2"/>
        <v/>
      </c>
    </row>
    <row r="2628">
      <c r="A2628" s="86"/>
      <c r="B2628" s="73"/>
      <c r="C2628" s="73"/>
      <c r="D2628" s="73"/>
      <c r="E2628" s="88"/>
      <c r="F2628" s="73"/>
      <c r="G2628" s="394"/>
      <c r="H2628" s="73"/>
      <c r="I2628" s="88"/>
      <c r="J2628" s="410"/>
      <c r="K2628" s="393">
        <f t="shared" si="8"/>
        <v>1</v>
      </c>
      <c r="L2628" s="394" t="str">
        <f>IFERROR(__xludf.DUMMYFUNCTION("JOIN("""", G2628:H2628)"),"")</f>
        <v/>
      </c>
      <c r="M2628" s="80" t="str">
        <f t="shared" si="2"/>
        <v/>
      </c>
    </row>
    <row r="2629">
      <c r="A2629" s="86"/>
      <c r="B2629" s="73"/>
      <c r="C2629" s="73"/>
      <c r="D2629" s="73"/>
      <c r="E2629" s="88"/>
      <c r="F2629" s="73"/>
      <c r="G2629" s="394"/>
      <c r="H2629" s="73"/>
      <c r="I2629" s="88"/>
      <c r="J2629" s="410"/>
      <c r="K2629" s="393">
        <f t="shared" si="8"/>
        <v>1</v>
      </c>
      <c r="L2629" s="394" t="str">
        <f>IFERROR(__xludf.DUMMYFUNCTION("JOIN("""", G2629:H2629)"),"")</f>
        <v/>
      </c>
      <c r="M2629" s="80" t="str">
        <f t="shared" si="2"/>
        <v/>
      </c>
    </row>
    <row r="2630">
      <c r="A2630" s="86"/>
      <c r="B2630" s="73"/>
      <c r="C2630" s="73"/>
      <c r="D2630" s="73"/>
      <c r="E2630" s="88"/>
      <c r="F2630" s="73"/>
      <c r="G2630" s="394"/>
      <c r="H2630" s="73"/>
      <c r="I2630" s="88"/>
      <c r="J2630" s="410"/>
      <c r="K2630" s="393">
        <f t="shared" si="8"/>
        <v>1</v>
      </c>
      <c r="L2630" s="394" t="str">
        <f>IFERROR(__xludf.DUMMYFUNCTION("JOIN("""", G2630:H2630)"),"")</f>
        <v/>
      </c>
      <c r="M2630" s="80" t="str">
        <f t="shared" si="2"/>
        <v/>
      </c>
    </row>
    <row r="2631">
      <c r="A2631" s="86"/>
      <c r="B2631" s="73"/>
      <c r="C2631" s="73"/>
      <c r="D2631" s="73"/>
      <c r="E2631" s="88"/>
      <c r="F2631" s="73"/>
      <c r="G2631" s="394"/>
      <c r="H2631" s="73"/>
      <c r="I2631" s="88"/>
      <c r="J2631" s="410"/>
      <c r="K2631" s="393">
        <f t="shared" si="8"/>
        <v>1</v>
      </c>
      <c r="L2631" s="394" t="str">
        <f>IFERROR(__xludf.DUMMYFUNCTION("JOIN("""", G2631:H2631)"),"")</f>
        <v/>
      </c>
      <c r="M2631" s="80" t="str">
        <f t="shared" si="2"/>
        <v/>
      </c>
    </row>
    <row r="2632">
      <c r="A2632" s="86"/>
      <c r="B2632" s="73"/>
      <c r="C2632" s="73"/>
      <c r="D2632" s="73"/>
      <c r="E2632" s="88"/>
      <c r="F2632" s="73"/>
      <c r="G2632" s="394"/>
      <c r="H2632" s="73"/>
      <c r="I2632" s="88"/>
      <c r="J2632" s="410"/>
      <c r="K2632" s="393">
        <f t="shared" si="8"/>
        <v>1</v>
      </c>
      <c r="L2632" s="394" t="str">
        <f>IFERROR(__xludf.DUMMYFUNCTION("JOIN("""", G2632:H2632)"),"")</f>
        <v/>
      </c>
      <c r="M2632" s="80" t="str">
        <f t="shared" si="2"/>
        <v/>
      </c>
    </row>
    <row r="2633">
      <c r="A2633" s="86"/>
      <c r="B2633" s="73"/>
      <c r="C2633" s="73"/>
      <c r="D2633" s="73"/>
      <c r="E2633" s="88"/>
      <c r="F2633" s="73"/>
      <c r="G2633" s="394"/>
      <c r="H2633" s="73"/>
      <c r="I2633" s="88"/>
      <c r="J2633" s="410"/>
      <c r="K2633" s="393">
        <f t="shared" si="8"/>
        <v>1</v>
      </c>
      <c r="L2633" s="394" t="str">
        <f>IFERROR(__xludf.DUMMYFUNCTION("JOIN("""", G2633:H2633)"),"")</f>
        <v/>
      </c>
      <c r="M2633" s="80" t="str">
        <f t="shared" si="2"/>
        <v/>
      </c>
    </row>
    <row r="2634">
      <c r="A2634" s="86"/>
      <c r="B2634" s="73"/>
      <c r="C2634" s="73"/>
      <c r="D2634" s="73"/>
      <c r="E2634" s="88"/>
      <c r="F2634" s="73"/>
      <c r="G2634" s="394"/>
      <c r="H2634" s="73"/>
      <c r="I2634" s="88"/>
      <c r="J2634" s="410"/>
      <c r="K2634" s="393">
        <f t="shared" si="8"/>
        <v>1</v>
      </c>
      <c r="L2634" s="394" t="str">
        <f>IFERROR(__xludf.DUMMYFUNCTION("JOIN("""", G2634:H2634)"),"")</f>
        <v/>
      </c>
      <c r="M2634" s="80" t="str">
        <f t="shared" si="2"/>
        <v/>
      </c>
    </row>
    <row r="2635">
      <c r="A2635" s="86"/>
      <c r="B2635" s="73"/>
      <c r="C2635" s="73"/>
      <c r="D2635" s="73"/>
      <c r="E2635" s="88"/>
      <c r="F2635" s="73"/>
      <c r="G2635" s="394"/>
      <c r="H2635" s="73"/>
      <c r="I2635" s="88"/>
      <c r="J2635" s="410"/>
      <c r="K2635" s="393">
        <f t="shared" si="8"/>
        <v>1</v>
      </c>
      <c r="L2635" s="394" t="str">
        <f>IFERROR(__xludf.DUMMYFUNCTION("JOIN("""", G2635:H2635)"),"")</f>
        <v/>
      </c>
      <c r="M2635" s="80" t="str">
        <f t="shared" si="2"/>
        <v/>
      </c>
    </row>
    <row r="2636">
      <c r="A2636" s="86"/>
      <c r="B2636" s="73"/>
      <c r="C2636" s="73"/>
      <c r="D2636" s="73"/>
      <c r="E2636" s="88"/>
      <c r="F2636" s="73"/>
      <c r="G2636" s="394"/>
      <c r="H2636" s="73"/>
      <c r="I2636" s="88"/>
      <c r="J2636" s="410"/>
      <c r="K2636" s="393">
        <f t="shared" si="8"/>
        <v>1</v>
      </c>
      <c r="L2636" s="394" t="str">
        <f>IFERROR(__xludf.DUMMYFUNCTION("JOIN("""", G2636:H2636)"),"")</f>
        <v/>
      </c>
      <c r="M2636" s="80" t="str">
        <f t="shared" si="2"/>
        <v/>
      </c>
    </row>
    <row r="2637">
      <c r="A2637" s="86"/>
      <c r="B2637" s="73"/>
      <c r="C2637" s="73"/>
      <c r="D2637" s="73"/>
      <c r="E2637" s="88"/>
      <c r="F2637" s="73"/>
      <c r="G2637" s="394"/>
      <c r="H2637" s="73"/>
      <c r="I2637" s="88"/>
      <c r="J2637" s="410"/>
      <c r="K2637" s="393">
        <f t="shared" si="8"/>
        <v>1</v>
      </c>
      <c r="L2637" s="394" t="str">
        <f>IFERROR(__xludf.DUMMYFUNCTION("JOIN("""", G2637:H2637)"),"")</f>
        <v/>
      </c>
      <c r="M2637" s="80" t="str">
        <f t="shared" si="2"/>
        <v/>
      </c>
    </row>
    <row r="2638">
      <c r="A2638" s="86"/>
      <c r="B2638" s="73"/>
      <c r="C2638" s="73"/>
      <c r="D2638" s="73"/>
      <c r="E2638" s="88"/>
      <c r="F2638" s="73"/>
      <c r="G2638" s="394"/>
      <c r="H2638" s="73"/>
      <c r="I2638" s="88"/>
      <c r="J2638" s="410"/>
      <c r="K2638" s="393">
        <f t="shared" si="8"/>
        <v>1</v>
      </c>
      <c r="L2638" s="394" t="str">
        <f>IFERROR(__xludf.DUMMYFUNCTION("JOIN("""", G2638:H2638)"),"")</f>
        <v/>
      </c>
      <c r="M2638" s="80" t="str">
        <f t="shared" si="2"/>
        <v/>
      </c>
    </row>
    <row r="2639">
      <c r="A2639" s="86"/>
      <c r="B2639" s="73"/>
      <c r="C2639" s="73"/>
      <c r="D2639" s="73"/>
      <c r="E2639" s="88"/>
      <c r="F2639" s="73"/>
      <c r="G2639" s="394"/>
      <c r="H2639" s="73"/>
      <c r="I2639" s="88"/>
      <c r="J2639" s="410"/>
      <c r="K2639" s="393">
        <f t="shared" si="8"/>
        <v>1</v>
      </c>
      <c r="L2639" s="394" t="str">
        <f>IFERROR(__xludf.DUMMYFUNCTION("JOIN("""", G2639:H2639)"),"")</f>
        <v/>
      </c>
      <c r="M2639" s="80" t="str">
        <f t="shared" si="2"/>
        <v/>
      </c>
    </row>
    <row r="2640">
      <c r="A2640" s="86"/>
      <c r="B2640" s="73"/>
      <c r="C2640" s="73"/>
      <c r="D2640" s="73"/>
      <c r="E2640" s="88"/>
      <c r="F2640" s="73"/>
      <c r="G2640" s="394"/>
      <c r="H2640" s="73"/>
      <c r="I2640" s="88"/>
      <c r="J2640" s="410"/>
      <c r="K2640" s="393">
        <f t="shared" si="8"/>
        <v>1</v>
      </c>
      <c r="L2640" s="394" t="str">
        <f>IFERROR(__xludf.DUMMYFUNCTION("JOIN("""", G2640:H2640)"),"")</f>
        <v/>
      </c>
      <c r="M2640" s="80" t="str">
        <f t="shared" si="2"/>
        <v/>
      </c>
    </row>
    <row r="2641">
      <c r="A2641" s="86"/>
      <c r="B2641" s="73"/>
      <c r="C2641" s="73"/>
      <c r="D2641" s="73"/>
      <c r="E2641" s="88"/>
      <c r="F2641" s="73"/>
      <c r="G2641" s="394"/>
      <c r="H2641" s="73"/>
      <c r="I2641" s="88"/>
      <c r="J2641" s="410"/>
      <c r="K2641" s="393">
        <f t="shared" si="8"/>
        <v>1</v>
      </c>
      <c r="L2641" s="394" t="str">
        <f>IFERROR(__xludf.DUMMYFUNCTION("JOIN("""", G2641:H2641)"),"")</f>
        <v/>
      </c>
      <c r="M2641" s="80" t="str">
        <f t="shared" si="2"/>
        <v/>
      </c>
    </row>
    <row r="2642">
      <c r="A2642" s="86"/>
      <c r="B2642" s="73"/>
      <c r="C2642" s="73"/>
      <c r="D2642" s="73"/>
      <c r="E2642" s="88"/>
      <c r="F2642" s="73"/>
      <c r="G2642" s="394"/>
      <c r="H2642" s="73"/>
      <c r="I2642" s="88"/>
      <c r="J2642" s="410"/>
      <c r="K2642" s="393">
        <f t="shared" si="8"/>
        <v>1</v>
      </c>
      <c r="L2642" s="394" t="str">
        <f>IFERROR(__xludf.DUMMYFUNCTION("JOIN("""", G2642:H2642)"),"")</f>
        <v/>
      </c>
      <c r="M2642" s="80" t="str">
        <f t="shared" si="2"/>
        <v/>
      </c>
    </row>
    <row r="2643">
      <c r="A2643" s="86"/>
      <c r="B2643" s="73"/>
      <c r="C2643" s="73"/>
      <c r="D2643" s="73"/>
      <c r="E2643" s="88"/>
      <c r="F2643" s="73"/>
      <c r="G2643" s="394"/>
      <c r="H2643" s="73"/>
      <c r="I2643" s="88"/>
      <c r="J2643" s="410"/>
      <c r="K2643" s="393">
        <f t="shared" si="8"/>
        <v>1</v>
      </c>
      <c r="L2643" s="394" t="str">
        <f>IFERROR(__xludf.DUMMYFUNCTION("JOIN("""", G2643:H2643)"),"")</f>
        <v/>
      </c>
      <c r="M2643" s="80" t="str">
        <f t="shared" si="2"/>
        <v/>
      </c>
    </row>
    <row r="2644">
      <c r="A2644" s="86"/>
      <c r="B2644" s="73"/>
      <c r="C2644" s="73"/>
      <c r="D2644" s="73"/>
      <c r="E2644" s="88"/>
      <c r="F2644" s="73"/>
      <c r="G2644" s="394"/>
      <c r="H2644" s="73"/>
      <c r="I2644" s="88"/>
      <c r="J2644" s="410"/>
      <c r="K2644" s="393">
        <f t="shared" si="8"/>
        <v>1</v>
      </c>
      <c r="L2644" s="394" t="str">
        <f>IFERROR(__xludf.DUMMYFUNCTION("JOIN("""", G2644:H2644)"),"")</f>
        <v/>
      </c>
      <c r="M2644" s="80" t="str">
        <f t="shared" si="2"/>
        <v/>
      </c>
    </row>
    <row r="2645">
      <c r="A2645" s="86"/>
      <c r="B2645" s="73"/>
      <c r="C2645" s="73"/>
      <c r="D2645" s="73"/>
      <c r="E2645" s="88"/>
      <c r="F2645" s="73"/>
      <c r="G2645" s="394"/>
      <c r="H2645" s="73"/>
      <c r="I2645" s="88"/>
      <c r="J2645" s="410"/>
      <c r="K2645" s="393">
        <f t="shared" si="8"/>
        <v>1</v>
      </c>
      <c r="L2645" s="394" t="str">
        <f>IFERROR(__xludf.DUMMYFUNCTION("JOIN("""", G2645:H2645)"),"")</f>
        <v/>
      </c>
      <c r="M2645" s="80" t="str">
        <f t="shared" si="2"/>
        <v/>
      </c>
    </row>
    <row r="2646">
      <c r="A2646" s="86"/>
      <c r="B2646" s="73"/>
      <c r="C2646" s="73"/>
      <c r="D2646" s="73"/>
      <c r="E2646" s="88"/>
      <c r="F2646" s="73"/>
      <c r="G2646" s="394"/>
      <c r="H2646" s="73"/>
      <c r="I2646" s="88"/>
      <c r="J2646" s="410"/>
      <c r="K2646" s="393">
        <f t="shared" si="8"/>
        <v>1</v>
      </c>
      <c r="L2646" s="394" t="str">
        <f>IFERROR(__xludf.DUMMYFUNCTION("JOIN("""", G2646:H2646)"),"")</f>
        <v/>
      </c>
      <c r="M2646" s="80" t="str">
        <f t="shared" si="2"/>
        <v/>
      </c>
    </row>
    <row r="2647">
      <c r="A2647" s="86"/>
      <c r="B2647" s="73"/>
      <c r="C2647" s="73"/>
      <c r="D2647" s="73"/>
      <c r="E2647" s="88"/>
      <c r="F2647" s="73"/>
      <c r="G2647" s="394"/>
      <c r="H2647" s="73"/>
      <c r="I2647" s="88"/>
      <c r="J2647" s="410"/>
      <c r="K2647" s="393">
        <f t="shared" si="8"/>
        <v>1</v>
      </c>
      <c r="L2647" s="394" t="str">
        <f>IFERROR(__xludf.DUMMYFUNCTION("JOIN("""", G2647:H2647)"),"")</f>
        <v/>
      </c>
      <c r="M2647" s="80" t="str">
        <f t="shared" si="2"/>
        <v/>
      </c>
    </row>
    <row r="2648">
      <c r="A2648" s="86"/>
      <c r="B2648" s="73"/>
      <c r="C2648" s="73"/>
      <c r="D2648" s="73"/>
      <c r="E2648" s="88"/>
      <c r="F2648" s="73"/>
      <c r="G2648" s="394"/>
      <c r="H2648" s="73"/>
      <c r="I2648" s="88"/>
      <c r="J2648" s="410"/>
      <c r="K2648" s="393">
        <f t="shared" si="8"/>
        <v>1</v>
      </c>
      <c r="L2648" s="394" t="str">
        <f>IFERROR(__xludf.DUMMYFUNCTION("JOIN("""", G2648:H2648)"),"")</f>
        <v/>
      </c>
      <c r="M2648" s="80" t="str">
        <f t="shared" si="2"/>
        <v/>
      </c>
    </row>
    <row r="2649">
      <c r="A2649" s="86"/>
      <c r="B2649" s="73"/>
      <c r="C2649" s="73"/>
      <c r="D2649" s="73"/>
      <c r="E2649" s="88"/>
      <c r="F2649" s="73"/>
      <c r="G2649" s="394"/>
      <c r="H2649" s="73"/>
      <c r="I2649" s="88"/>
      <c r="J2649" s="410"/>
      <c r="K2649" s="393">
        <f t="shared" si="8"/>
        <v>1</v>
      </c>
      <c r="L2649" s="394" t="str">
        <f>IFERROR(__xludf.DUMMYFUNCTION("JOIN("""", G2649:H2649)"),"")</f>
        <v/>
      </c>
      <c r="M2649" s="80" t="str">
        <f t="shared" si="2"/>
        <v/>
      </c>
    </row>
    <row r="2650">
      <c r="A2650" s="86"/>
      <c r="B2650" s="73"/>
      <c r="C2650" s="73"/>
      <c r="D2650" s="73"/>
      <c r="E2650" s="88"/>
      <c r="F2650" s="73"/>
      <c r="G2650" s="394"/>
      <c r="H2650" s="73"/>
      <c r="I2650" s="88"/>
      <c r="J2650" s="410"/>
      <c r="K2650" s="393">
        <f t="shared" si="8"/>
        <v>1</v>
      </c>
      <c r="L2650" s="394" t="str">
        <f>IFERROR(__xludf.DUMMYFUNCTION("JOIN("""", G2650:H2650)"),"")</f>
        <v/>
      </c>
      <c r="M2650" s="80" t="str">
        <f t="shared" si="2"/>
        <v/>
      </c>
    </row>
    <row r="2651">
      <c r="A2651" s="86"/>
      <c r="B2651" s="73"/>
      <c r="C2651" s="73"/>
      <c r="D2651" s="73"/>
      <c r="E2651" s="88"/>
      <c r="F2651" s="73"/>
      <c r="G2651" s="394"/>
      <c r="H2651" s="73"/>
      <c r="I2651" s="88"/>
      <c r="J2651" s="410"/>
      <c r="K2651" s="393">
        <f t="shared" si="8"/>
        <v>1</v>
      </c>
      <c r="L2651" s="394" t="str">
        <f>IFERROR(__xludf.DUMMYFUNCTION("JOIN("""", G2651:H2651)"),"")</f>
        <v/>
      </c>
      <c r="M2651" s="80" t="str">
        <f t="shared" si="2"/>
        <v/>
      </c>
    </row>
    <row r="2652">
      <c r="A2652" s="86"/>
      <c r="B2652" s="73"/>
      <c r="C2652" s="73"/>
      <c r="D2652" s="73"/>
      <c r="E2652" s="88"/>
      <c r="F2652" s="73"/>
      <c r="G2652" s="394"/>
      <c r="H2652" s="73"/>
      <c r="I2652" s="88"/>
      <c r="J2652" s="410"/>
      <c r="K2652" s="393">
        <f t="shared" si="8"/>
        <v>1</v>
      </c>
      <c r="L2652" s="394" t="str">
        <f>IFERROR(__xludf.DUMMYFUNCTION("JOIN("""", G2652:H2652)"),"")</f>
        <v/>
      </c>
      <c r="M2652" s="80" t="str">
        <f t="shared" si="2"/>
        <v/>
      </c>
    </row>
    <row r="2653">
      <c r="A2653" s="86"/>
      <c r="B2653" s="73"/>
      <c r="C2653" s="73"/>
      <c r="D2653" s="73"/>
      <c r="E2653" s="88"/>
      <c r="F2653" s="73"/>
      <c r="G2653" s="394"/>
      <c r="H2653" s="73"/>
      <c r="I2653" s="88"/>
      <c r="J2653" s="410"/>
      <c r="K2653" s="393">
        <f t="shared" si="8"/>
        <v>1</v>
      </c>
      <c r="L2653" s="394" t="str">
        <f>IFERROR(__xludf.DUMMYFUNCTION("JOIN("""", G2653:H2653)"),"")</f>
        <v/>
      </c>
      <c r="M2653" s="80" t="str">
        <f t="shared" si="2"/>
        <v/>
      </c>
    </row>
    <row r="2654">
      <c r="A2654" s="86"/>
      <c r="B2654" s="73"/>
      <c r="C2654" s="73"/>
      <c r="D2654" s="73"/>
      <c r="E2654" s="88"/>
      <c r="F2654" s="73"/>
      <c r="G2654" s="394"/>
      <c r="H2654" s="73"/>
      <c r="I2654" s="88"/>
      <c r="J2654" s="410"/>
      <c r="K2654" s="393">
        <f t="shared" si="8"/>
        <v>1</v>
      </c>
      <c r="L2654" s="394" t="str">
        <f>IFERROR(__xludf.DUMMYFUNCTION("JOIN("""", G2654:H2654)"),"")</f>
        <v/>
      </c>
      <c r="M2654" s="80" t="str">
        <f t="shared" si="2"/>
        <v/>
      </c>
    </row>
    <row r="2655">
      <c r="A2655" s="86"/>
      <c r="B2655" s="73"/>
      <c r="C2655" s="73"/>
      <c r="D2655" s="73"/>
      <c r="E2655" s="88"/>
      <c r="F2655" s="73"/>
      <c r="G2655" s="394"/>
      <c r="H2655" s="73"/>
      <c r="I2655" s="88"/>
      <c r="J2655" s="410"/>
      <c r="K2655" s="393">
        <f t="shared" si="8"/>
        <v>1</v>
      </c>
      <c r="L2655" s="394" t="str">
        <f>IFERROR(__xludf.DUMMYFUNCTION("JOIN("""", G2655:H2655)"),"")</f>
        <v/>
      </c>
      <c r="M2655" s="80" t="str">
        <f t="shared" si="2"/>
        <v/>
      </c>
    </row>
    <row r="2656">
      <c r="A2656" s="86"/>
      <c r="B2656" s="73"/>
      <c r="C2656" s="73"/>
      <c r="D2656" s="73"/>
      <c r="E2656" s="88"/>
      <c r="F2656" s="73"/>
      <c r="G2656" s="394"/>
      <c r="H2656" s="73"/>
      <c r="I2656" s="88"/>
      <c r="J2656" s="410"/>
      <c r="K2656" s="393">
        <f t="shared" si="8"/>
        <v>1</v>
      </c>
      <c r="L2656" s="394" t="str">
        <f>IFERROR(__xludf.DUMMYFUNCTION("JOIN("""", G2656:H2656)"),"")</f>
        <v/>
      </c>
      <c r="M2656" s="80" t="str">
        <f t="shared" si="2"/>
        <v/>
      </c>
    </row>
    <row r="2657">
      <c r="A2657" s="86"/>
      <c r="B2657" s="73"/>
      <c r="C2657" s="73"/>
      <c r="D2657" s="73"/>
      <c r="E2657" s="88"/>
      <c r="F2657" s="73"/>
      <c r="G2657" s="394"/>
      <c r="H2657" s="73"/>
      <c r="I2657" s="88"/>
      <c r="J2657" s="410"/>
      <c r="K2657" s="393">
        <f t="shared" si="8"/>
        <v>1</v>
      </c>
      <c r="L2657" s="394" t="str">
        <f>IFERROR(__xludf.DUMMYFUNCTION("JOIN("""", G2657:H2657)"),"")</f>
        <v/>
      </c>
      <c r="M2657" s="80" t="str">
        <f t="shared" si="2"/>
        <v/>
      </c>
    </row>
    <row r="2658">
      <c r="A2658" s="86"/>
      <c r="B2658" s="73"/>
      <c r="C2658" s="73"/>
      <c r="D2658" s="73"/>
      <c r="E2658" s="88"/>
      <c r="F2658" s="73"/>
      <c r="G2658" s="394"/>
      <c r="H2658" s="73"/>
      <c r="I2658" s="88"/>
      <c r="J2658" s="410"/>
      <c r="K2658" s="393">
        <f t="shared" si="8"/>
        <v>1</v>
      </c>
      <c r="L2658" s="394" t="str">
        <f>IFERROR(__xludf.DUMMYFUNCTION("JOIN("""", G2658:H2658)"),"")</f>
        <v/>
      </c>
      <c r="M2658" s="80" t="str">
        <f t="shared" si="2"/>
        <v/>
      </c>
    </row>
    <row r="2659">
      <c r="A2659" s="86"/>
      <c r="B2659" s="73"/>
      <c r="C2659" s="73"/>
      <c r="D2659" s="73"/>
      <c r="E2659" s="88"/>
      <c r="F2659" s="73"/>
      <c r="G2659" s="394"/>
      <c r="H2659" s="73"/>
      <c r="I2659" s="88"/>
      <c r="J2659" s="410"/>
      <c r="K2659" s="393">
        <f t="shared" si="8"/>
        <v>1</v>
      </c>
      <c r="L2659" s="394" t="str">
        <f>IFERROR(__xludf.DUMMYFUNCTION("JOIN("""", G2659:H2659)"),"")</f>
        <v/>
      </c>
      <c r="M2659" s="80" t="str">
        <f t="shared" si="2"/>
        <v/>
      </c>
    </row>
    <row r="2660">
      <c r="A2660" s="86"/>
      <c r="B2660" s="73"/>
      <c r="C2660" s="73"/>
      <c r="D2660" s="73"/>
      <c r="E2660" s="88"/>
      <c r="F2660" s="73"/>
      <c r="G2660" s="394"/>
      <c r="H2660" s="73"/>
      <c r="I2660" s="88"/>
      <c r="J2660" s="410"/>
      <c r="K2660" s="393">
        <f t="shared" si="8"/>
        <v>1</v>
      </c>
      <c r="L2660" s="394" t="str">
        <f>IFERROR(__xludf.DUMMYFUNCTION("JOIN("""", G2660:H2660)"),"")</f>
        <v/>
      </c>
      <c r="M2660" s="80" t="str">
        <f t="shared" si="2"/>
        <v/>
      </c>
    </row>
    <row r="2661">
      <c r="A2661" s="86"/>
      <c r="B2661" s="73"/>
      <c r="C2661" s="73"/>
      <c r="D2661" s="73"/>
      <c r="E2661" s="88"/>
      <c r="F2661" s="73"/>
      <c r="G2661" s="394"/>
      <c r="H2661" s="73"/>
      <c r="I2661" s="88"/>
      <c r="J2661" s="410"/>
      <c r="K2661" s="393">
        <f t="shared" si="8"/>
        <v>1</v>
      </c>
      <c r="L2661" s="394" t="str">
        <f>IFERROR(__xludf.DUMMYFUNCTION("JOIN("""", G2661:H2661)"),"")</f>
        <v/>
      </c>
      <c r="M2661" s="80" t="str">
        <f t="shared" si="2"/>
        <v/>
      </c>
    </row>
    <row r="2662">
      <c r="A2662" s="86"/>
      <c r="B2662" s="73"/>
      <c r="C2662" s="73"/>
      <c r="D2662" s="73"/>
      <c r="E2662" s="88"/>
      <c r="F2662" s="73"/>
      <c r="G2662" s="394"/>
      <c r="H2662" s="73"/>
      <c r="I2662" s="88"/>
      <c r="J2662" s="410"/>
      <c r="K2662" s="393">
        <f t="shared" si="8"/>
        <v>1</v>
      </c>
      <c r="L2662" s="394" t="str">
        <f>IFERROR(__xludf.DUMMYFUNCTION("JOIN("""", G2662:H2662)"),"")</f>
        <v/>
      </c>
      <c r="M2662" s="80" t="str">
        <f t="shared" si="2"/>
        <v/>
      </c>
    </row>
    <row r="2663">
      <c r="A2663" s="86"/>
      <c r="B2663" s="73"/>
      <c r="C2663" s="73"/>
      <c r="D2663" s="73"/>
      <c r="E2663" s="88"/>
      <c r="F2663" s="73"/>
      <c r="G2663" s="394"/>
      <c r="H2663" s="73"/>
      <c r="I2663" s="88"/>
      <c r="J2663" s="410"/>
      <c r="K2663" s="393">
        <f t="shared" si="8"/>
        <v>1</v>
      </c>
      <c r="L2663" s="394" t="str">
        <f>IFERROR(__xludf.DUMMYFUNCTION("JOIN("""", G2663:H2663)"),"")</f>
        <v/>
      </c>
      <c r="M2663" s="80" t="str">
        <f t="shared" si="2"/>
        <v/>
      </c>
    </row>
    <row r="2664">
      <c r="A2664" s="86"/>
      <c r="B2664" s="73"/>
      <c r="C2664" s="73"/>
      <c r="D2664" s="73"/>
      <c r="E2664" s="88"/>
      <c r="F2664" s="73"/>
      <c r="G2664" s="394"/>
      <c r="H2664" s="73"/>
      <c r="I2664" s="88"/>
      <c r="J2664" s="410"/>
      <c r="K2664" s="393">
        <f t="shared" si="8"/>
        <v>1</v>
      </c>
      <c r="L2664" s="394" t="str">
        <f>IFERROR(__xludf.DUMMYFUNCTION("JOIN("""", G2664:H2664)"),"")</f>
        <v/>
      </c>
      <c r="M2664" s="80" t="str">
        <f t="shared" si="2"/>
        <v/>
      </c>
    </row>
    <row r="2665">
      <c r="A2665" s="86"/>
      <c r="B2665" s="73"/>
      <c r="C2665" s="73"/>
      <c r="D2665" s="73"/>
      <c r="E2665" s="88"/>
      <c r="F2665" s="73"/>
      <c r="G2665" s="394"/>
      <c r="H2665" s="73"/>
      <c r="I2665" s="88"/>
      <c r="J2665" s="410"/>
      <c r="K2665" s="393">
        <f t="shared" si="8"/>
        <v>1</v>
      </c>
      <c r="L2665" s="394" t="str">
        <f>IFERROR(__xludf.DUMMYFUNCTION("JOIN("""", G2665:H2665)"),"")</f>
        <v/>
      </c>
      <c r="M2665" s="80" t="str">
        <f t="shared" si="2"/>
        <v/>
      </c>
    </row>
    <row r="2666">
      <c r="A2666" s="86"/>
      <c r="B2666" s="73"/>
      <c r="C2666" s="73"/>
      <c r="D2666" s="73"/>
      <c r="E2666" s="88"/>
      <c r="F2666" s="73"/>
      <c r="G2666" s="394"/>
      <c r="H2666" s="73"/>
      <c r="I2666" s="88"/>
      <c r="J2666" s="410"/>
      <c r="K2666" s="393">
        <f t="shared" si="8"/>
        <v>1</v>
      </c>
      <c r="L2666" s="394" t="str">
        <f>IFERROR(__xludf.DUMMYFUNCTION("JOIN("""", G2666:H2666)"),"")</f>
        <v/>
      </c>
      <c r="M2666" s="80" t="str">
        <f t="shared" si="2"/>
        <v/>
      </c>
    </row>
    <row r="2667">
      <c r="A2667" s="86"/>
      <c r="B2667" s="73"/>
      <c r="C2667" s="73"/>
      <c r="D2667" s="73"/>
      <c r="E2667" s="88"/>
      <c r="F2667" s="73"/>
      <c r="G2667" s="394"/>
      <c r="H2667" s="73"/>
      <c r="I2667" s="88"/>
      <c r="J2667" s="410"/>
      <c r="K2667" s="393">
        <f t="shared" si="8"/>
        <v>1</v>
      </c>
      <c r="L2667" s="394" t="str">
        <f>IFERROR(__xludf.DUMMYFUNCTION("JOIN("""", G2667:H2667)"),"")</f>
        <v/>
      </c>
      <c r="M2667" s="80" t="str">
        <f t="shared" si="2"/>
        <v/>
      </c>
    </row>
    <row r="2668">
      <c r="A2668" s="86"/>
      <c r="B2668" s="73"/>
      <c r="C2668" s="73"/>
      <c r="D2668" s="73"/>
      <c r="E2668" s="88"/>
      <c r="F2668" s="73"/>
      <c r="G2668" s="394"/>
      <c r="H2668" s="73"/>
      <c r="I2668" s="88"/>
      <c r="J2668" s="410"/>
      <c r="K2668" s="393">
        <f t="shared" si="8"/>
        <v>1</v>
      </c>
      <c r="L2668" s="394" t="str">
        <f>IFERROR(__xludf.DUMMYFUNCTION("JOIN("""", G2668:H2668)"),"")</f>
        <v/>
      </c>
      <c r="M2668" s="80" t="str">
        <f t="shared" si="2"/>
        <v/>
      </c>
    </row>
    <row r="2669">
      <c r="A2669" s="86"/>
      <c r="B2669" s="73"/>
      <c r="C2669" s="73"/>
      <c r="D2669" s="73"/>
      <c r="E2669" s="88"/>
      <c r="F2669" s="73"/>
      <c r="G2669" s="394"/>
      <c r="H2669" s="73"/>
      <c r="I2669" s="88"/>
      <c r="J2669" s="410"/>
      <c r="K2669" s="393">
        <f t="shared" si="8"/>
        <v>1</v>
      </c>
      <c r="L2669" s="394" t="str">
        <f>IFERROR(__xludf.DUMMYFUNCTION("JOIN("""", G2669:H2669)"),"")</f>
        <v/>
      </c>
      <c r="M2669" s="80" t="str">
        <f t="shared" si="2"/>
        <v/>
      </c>
    </row>
    <row r="2670">
      <c r="A2670" s="86"/>
      <c r="B2670" s="73"/>
      <c r="C2670" s="73"/>
      <c r="D2670" s="73"/>
      <c r="E2670" s="88"/>
      <c r="F2670" s="73"/>
      <c r="G2670" s="394"/>
      <c r="H2670" s="73"/>
      <c r="I2670" s="88"/>
      <c r="J2670" s="410"/>
      <c r="K2670" s="393">
        <f t="shared" si="8"/>
        <v>1</v>
      </c>
      <c r="L2670" s="394" t="str">
        <f>IFERROR(__xludf.DUMMYFUNCTION("JOIN("""", G2670:H2670)"),"")</f>
        <v/>
      </c>
      <c r="M2670" s="80" t="str">
        <f t="shared" si="2"/>
        <v/>
      </c>
    </row>
    <row r="2671">
      <c r="A2671" s="86"/>
      <c r="B2671" s="73"/>
      <c r="C2671" s="73"/>
      <c r="D2671" s="73"/>
      <c r="E2671" s="88"/>
      <c r="F2671" s="73"/>
      <c r="G2671" s="394"/>
      <c r="H2671" s="73"/>
      <c r="I2671" s="88"/>
      <c r="J2671" s="410"/>
      <c r="K2671" s="393">
        <f t="shared" si="8"/>
        <v>1</v>
      </c>
      <c r="L2671" s="394" t="str">
        <f>IFERROR(__xludf.DUMMYFUNCTION("JOIN("""", G2671:H2671)"),"")</f>
        <v/>
      </c>
      <c r="M2671" s="80" t="str">
        <f t="shared" si="2"/>
        <v/>
      </c>
    </row>
    <row r="2672">
      <c r="A2672" s="86"/>
      <c r="B2672" s="73"/>
      <c r="C2672" s="73"/>
      <c r="D2672" s="73"/>
      <c r="E2672" s="88"/>
      <c r="F2672" s="73"/>
      <c r="G2672" s="394"/>
      <c r="H2672" s="73"/>
      <c r="I2672" s="88"/>
      <c r="J2672" s="410"/>
      <c r="K2672" s="393">
        <f t="shared" si="8"/>
        <v>1</v>
      </c>
      <c r="L2672" s="394" t="str">
        <f>IFERROR(__xludf.DUMMYFUNCTION("JOIN("""", G2672:H2672)"),"")</f>
        <v/>
      </c>
      <c r="M2672" s="80" t="str">
        <f t="shared" si="2"/>
        <v/>
      </c>
    </row>
    <row r="2673">
      <c r="A2673" s="86"/>
      <c r="B2673" s="73"/>
      <c r="C2673" s="73"/>
      <c r="D2673" s="73"/>
      <c r="E2673" s="88"/>
      <c r="F2673" s="73"/>
      <c r="G2673" s="394"/>
      <c r="H2673" s="73"/>
      <c r="I2673" s="88"/>
      <c r="J2673" s="410"/>
      <c r="K2673" s="393">
        <f t="shared" si="8"/>
        <v>1</v>
      </c>
      <c r="L2673" s="394" t="str">
        <f>IFERROR(__xludf.DUMMYFUNCTION("JOIN("""", G2673:H2673)"),"")</f>
        <v/>
      </c>
      <c r="M2673" s="80" t="str">
        <f t="shared" si="2"/>
        <v/>
      </c>
    </row>
    <row r="2674">
      <c r="A2674" s="86"/>
      <c r="B2674" s="73"/>
      <c r="C2674" s="73"/>
      <c r="D2674" s="73"/>
      <c r="E2674" s="88"/>
      <c r="F2674" s="73"/>
      <c r="G2674" s="394"/>
      <c r="H2674" s="73"/>
      <c r="I2674" s="88"/>
      <c r="J2674" s="410"/>
      <c r="K2674" s="393">
        <f t="shared" si="8"/>
        <v>1</v>
      </c>
      <c r="L2674" s="394" t="str">
        <f>IFERROR(__xludf.DUMMYFUNCTION("JOIN("""", G2674:H2674)"),"")</f>
        <v/>
      </c>
      <c r="M2674" s="80" t="str">
        <f t="shared" si="2"/>
        <v/>
      </c>
    </row>
    <row r="2675">
      <c r="A2675" s="86"/>
      <c r="B2675" s="73"/>
      <c r="C2675" s="73"/>
      <c r="D2675" s="73"/>
      <c r="E2675" s="88"/>
      <c r="F2675" s="73"/>
      <c r="G2675" s="394"/>
      <c r="H2675" s="73"/>
      <c r="I2675" s="88"/>
      <c r="J2675" s="410"/>
      <c r="K2675" s="393">
        <f t="shared" si="8"/>
        <v>1</v>
      </c>
      <c r="L2675" s="394" t="str">
        <f>IFERROR(__xludf.DUMMYFUNCTION("JOIN("""", G2675:H2675)"),"")</f>
        <v/>
      </c>
      <c r="M2675" s="80" t="str">
        <f t="shared" si="2"/>
        <v/>
      </c>
    </row>
    <row r="2676">
      <c r="A2676" s="86"/>
      <c r="B2676" s="73"/>
      <c r="C2676" s="73"/>
      <c r="D2676" s="73"/>
      <c r="E2676" s="88"/>
      <c r="F2676" s="73"/>
      <c r="G2676" s="394"/>
      <c r="H2676" s="73"/>
      <c r="I2676" s="88"/>
      <c r="J2676" s="410"/>
      <c r="K2676" s="393">
        <f t="shared" si="8"/>
        <v>1</v>
      </c>
      <c r="L2676" s="394" t="str">
        <f>IFERROR(__xludf.DUMMYFUNCTION("JOIN("""", G2676:H2676)"),"")</f>
        <v/>
      </c>
      <c r="M2676" s="80" t="str">
        <f t="shared" si="2"/>
        <v/>
      </c>
    </row>
    <row r="2677">
      <c r="A2677" s="86"/>
      <c r="B2677" s="73"/>
      <c r="C2677" s="73"/>
      <c r="D2677" s="73"/>
      <c r="E2677" s="88"/>
      <c r="F2677" s="73"/>
      <c r="G2677" s="394"/>
      <c r="H2677" s="73"/>
      <c r="I2677" s="88"/>
      <c r="J2677" s="410"/>
      <c r="K2677" s="393">
        <f t="shared" si="8"/>
        <v>1</v>
      </c>
      <c r="L2677" s="394" t="str">
        <f>IFERROR(__xludf.DUMMYFUNCTION("JOIN("""", G2677:H2677)"),"")</f>
        <v/>
      </c>
      <c r="M2677" s="80" t="str">
        <f t="shared" si="2"/>
        <v/>
      </c>
    </row>
    <row r="2678">
      <c r="A2678" s="86"/>
      <c r="B2678" s="73"/>
      <c r="C2678" s="73"/>
      <c r="D2678" s="73"/>
      <c r="E2678" s="88"/>
      <c r="F2678" s="73"/>
      <c r="G2678" s="394"/>
      <c r="H2678" s="73"/>
      <c r="I2678" s="88"/>
      <c r="J2678" s="410"/>
      <c r="K2678" s="393">
        <f t="shared" si="8"/>
        <v>1</v>
      </c>
      <c r="L2678" s="394" t="str">
        <f>IFERROR(__xludf.DUMMYFUNCTION("JOIN("""", G2678:H2678)"),"")</f>
        <v/>
      </c>
      <c r="M2678" s="80" t="str">
        <f t="shared" si="2"/>
        <v/>
      </c>
    </row>
    <row r="2679">
      <c r="A2679" s="86"/>
      <c r="B2679" s="73"/>
      <c r="C2679" s="73"/>
      <c r="D2679" s="73"/>
      <c r="E2679" s="88"/>
      <c r="F2679" s="73"/>
      <c r="G2679" s="394"/>
      <c r="H2679" s="73"/>
      <c r="I2679" s="88"/>
      <c r="J2679" s="410"/>
      <c r="K2679" s="393">
        <f t="shared" si="8"/>
        <v>1</v>
      </c>
      <c r="L2679" s="394" t="str">
        <f>IFERROR(__xludf.DUMMYFUNCTION("JOIN("""", G2679:H2679)"),"")</f>
        <v/>
      </c>
      <c r="M2679" s="80" t="str">
        <f t="shared" si="2"/>
        <v/>
      </c>
    </row>
    <row r="2680">
      <c r="A2680" s="86"/>
      <c r="B2680" s="73"/>
      <c r="C2680" s="73"/>
      <c r="D2680" s="73"/>
      <c r="E2680" s="88"/>
      <c r="F2680" s="73"/>
      <c r="G2680" s="394"/>
      <c r="H2680" s="73"/>
      <c r="I2680" s="88"/>
      <c r="J2680" s="410"/>
      <c r="K2680" s="393">
        <f t="shared" si="8"/>
        <v>1</v>
      </c>
      <c r="L2680" s="394" t="str">
        <f>IFERROR(__xludf.DUMMYFUNCTION("JOIN("""", G2680:H2680)"),"")</f>
        <v/>
      </c>
      <c r="M2680" s="80" t="str">
        <f t="shared" si="2"/>
        <v/>
      </c>
    </row>
    <row r="2681">
      <c r="A2681" s="86"/>
      <c r="B2681" s="73"/>
      <c r="C2681" s="73"/>
      <c r="D2681" s="73"/>
      <c r="E2681" s="88"/>
      <c r="F2681" s="73"/>
      <c r="G2681" s="394"/>
      <c r="H2681" s="73"/>
      <c r="I2681" s="88"/>
      <c r="J2681" s="410"/>
      <c r="K2681" s="393">
        <f t="shared" si="8"/>
        <v>1</v>
      </c>
      <c r="L2681" s="394" t="str">
        <f>IFERROR(__xludf.DUMMYFUNCTION("JOIN("""", G2681:H2681)"),"")</f>
        <v/>
      </c>
      <c r="M2681" s="80" t="str">
        <f t="shared" si="2"/>
        <v/>
      </c>
    </row>
    <row r="2682">
      <c r="A2682" s="86"/>
      <c r="B2682" s="73"/>
      <c r="C2682" s="73"/>
      <c r="D2682" s="73"/>
      <c r="E2682" s="88"/>
      <c r="F2682" s="73"/>
      <c r="G2682" s="394"/>
      <c r="H2682" s="73"/>
      <c r="I2682" s="88"/>
      <c r="J2682" s="410"/>
      <c r="K2682" s="393">
        <f t="shared" si="8"/>
        <v>1</v>
      </c>
      <c r="L2682" s="394" t="str">
        <f>IFERROR(__xludf.DUMMYFUNCTION("JOIN("""", G2682:H2682)"),"")</f>
        <v/>
      </c>
      <c r="M2682" s="80" t="str">
        <f t="shared" si="2"/>
        <v/>
      </c>
    </row>
    <row r="2683">
      <c r="A2683" s="86"/>
      <c r="B2683" s="73"/>
      <c r="C2683" s="73"/>
      <c r="D2683" s="73"/>
      <c r="E2683" s="88"/>
      <c r="F2683" s="73"/>
      <c r="G2683" s="394"/>
      <c r="H2683" s="73"/>
      <c r="I2683" s="88"/>
      <c r="J2683" s="410"/>
      <c r="K2683" s="393">
        <f t="shared" si="8"/>
        <v>1</v>
      </c>
      <c r="L2683" s="394" t="str">
        <f>IFERROR(__xludf.DUMMYFUNCTION("JOIN("""", G2683:H2683)"),"")</f>
        <v/>
      </c>
      <c r="M2683" s="80" t="str">
        <f t="shared" si="2"/>
        <v/>
      </c>
    </row>
    <row r="2684">
      <c r="A2684" s="86"/>
      <c r="B2684" s="73"/>
      <c r="C2684" s="73"/>
      <c r="D2684" s="73"/>
      <c r="E2684" s="88"/>
      <c r="F2684" s="73"/>
      <c r="G2684" s="394"/>
      <c r="H2684" s="73"/>
      <c r="I2684" s="88"/>
      <c r="J2684" s="410"/>
      <c r="K2684" s="393">
        <f t="shared" si="8"/>
        <v>1</v>
      </c>
      <c r="L2684" s="394" t="str">
        <f>IFERROR(__xludf.DUMMYFUNCTION("JOIN("""", G2684:H2684)"),"")</f>
        <v/>
      </c>
      <c r="M2684" s="80" t="str">
        <f t="shared" si="2"/>
        <v/>
      </c>
    </row>
    <row r="2685">
      <c r="A2685" s="86"/>
      <c r="B2685" s="73"/>
      <c r="C2685" s="73"/>
      <c r="D2685" s="73"/>
      <c r="E2685" s="88"/>
      <c r="F2685" s="73"/>
      <c r="G2685" s="394"/>
      <c r="H2685" s="73"/>
      <c r="I2685" s="88"/>
      <c r="J2685" s="410"/>
      <c r="K2685" s="393">
        <f t="shared" si="8"/>
        <v>1</v>
      </c>
      <c r="L2685" s="394" t="str">
        <f>IFERROR(__xludf.DUMMYFUNCTION("JOIN("""", G2685:H2685)"),"")</f>
        <v/>
      </c>
      <c r="M2685" s="80" t="str">
        <f t="shared" si="2"/>
        <v/>
      </c>
    </row>
    <row r="2686">
      <c r="A2686" s="86"/>
      <c r="B2686" s="73"/>
      <c r="C2686" s="73"/>
      <c r="D2686" s="73"/>
      <c r="E2686" s="88"/>
      <c r="F2686" s="73"/>
      <c r="G2686" s="394"/>
      <c r="H2686" s="73"/>
      <c r="I2686" s="88"/>
      <c r="J2686" s="410"/>
      <c r="K2686" s="393">
        <f t="shared" si="8"/>
        <v>1</v>
      </c>
      <c r="L2686" s="394" t="str">
        <f>IFERROR(__xludf.DUMMYFUNCTION("JOIN("""", G2686:H2686)"),"")</f>
        <v/>
      </c>
      <c r="M2686" s="80" t="str">
        <f t="shared" si="2"/>
        <v/>
      </c>
    </row>
    <row r="2687">
      <c r="A2687" s="86"/>
      <c r="B2687" s="73"/>
      <c r="C2687" s="73"/>
      <c r="D2687" s="73"/>
      <c r="E2687" s="88"/>
      <c r="F2687" s="73"/>
      <c r="G2687" s="394"/>
      <c r="H2687" s="73"/>
      <c r="I2687" s="88"/>
      <c r="J2687" s="410"/>
      <c r="K2687" s="393">
        <f t="shared" si="8"/>
        <v>1</v>
      </c>
      <c r="L2687" s="394" t="str">
        <f>IFERROR(__xludf.DUMMYFUNCTION("JOIN("""", G2687:H2687)"),"")</f>
        <v/>
      </c>
      <c r="M2687" s="80" t="str">
        <f t="shared" si="2"/>
        <v/>
      </c>
    </row>
    <row r="2688">
      <c r="A2688" s="86"/>
      <c r="B2688" s="73"/>
      <c r="C2688" s="73"/>
      <c r="D2688" s="73"/>
      <c r="E2688" s="88"/>
      <c r="F2688" s="73"/>
      <c r="G2688" s="394"/>
      <c r="H2688" s="73"/>
      <c r="I2688" s="88"/>
      <c r="J2688" s="410"/>
      <c r="K2688" s="393">
        <f t="shared" si="8"/>
        <v>1</v>
      </c>
      <c r="L2688" s="394" t="str">
        <f>IFERROR(__xludf.DUMMYFUNCTION("JOIN("""", G2688:H2688)"),"")</f>
        <v/>
      </c>
      <c r="M2688" s="80" t="str">
        <f t="shared" si="2"/>
        <v/>
      </c>
    </row>
    <row r="2689">
      <c r="A2689" s="86"/>
      <c r="B2689" s="73"/>
      <c r="C2689" s="73"/>
      <c r="D2689" s="73"/>
      <c r="E2689" s="88"/>
      <c r="F2689" s="73"/>
      <c r="G2689" s="394"/>
      <c r="H2689" s="73"/>
      <c r="I2689" s="88"/>
      <c r="J2689" s="410"/>
      <c r="K2689" s="393">
        <f t="shared" si="8"/>
        <v>1</v>
      </c>
      <c r="L2689" s="394" t="str">
        <f>IFERROR(__xludf.DUMMYFUNCTION("JOIN("""", G2689:H2689)"),"")</f>
        <v/>
      </c>
      <c r="M2689" s="80" t="str">
        <f t="shared" si="2"/>
        <v/>
      </c>
    </row>
    <row r="2690">
      <c r="A2690" s="86"/>
      <c r="B2690" s="73"/>
      <c r="C2690" s="73"/>
      <c r="D2690" s="73"/>
      <c r="E2690" s="88"/>
      <c r="F2690" s="73"/>
      <c r="G2690" s="394"/>
      <c r="H2690" s="73"/>
      <c r="I2690" s="88"/>
      <c r="J2690" s="410"/>
      <c r="K2690" s="393">
        <f t="shared" si="8"/>
        <v>1</v>
      </c>
      <c r="L2690" s="394" t="str">
        <f>IFERROR(__xludf.DUMMYFUNCTION("JOIN("""", G2690:H2690)"),"")</f>
        <v/>
      </c>
      <c r="M2690" s="80" t="str">
        <f t="shared" si="2"/>
        <v/>
      </c>
    </row>
    <row r="2691">
      <c r="A2691" s="86"/>
      <c r="B2691" s="73"/>
      <c r="C2691" s="73"/>
      <c r="D2691" s="73"/>
      <c r="E2691" s="88"/>
      <c r="F2691" s="73"/>
      <c r="G2691" s="394"/>
      <c r="H2691" s="73"/>
      <c r="I2691" s="88"/>
      <c r="J2691" s="410"/>
      <c r="K2691" s="393">
        <f t="shared" si="8"/>
        <v>1</v>
      </c>
      <c r="L2691" s="394" t="str">
        <f>IFERROR(__xludf.DUMMYFUNCTION("JOIN("""", G2691:H2691)"),"")</f>
        <v/>
      </c>
      <c r="M2691" s="80" t="str">
        <f t="shared" si="2"/>
        <v/>
      </c>
    </row>
    <row r="2692">
      <c r="A2692" s="86"/>
      <c r="B2692" s="73"/>
      <c r="C2692" s="73"/>
      <c r="D2692" s="73"/>
      <c r="E2692" s="88"/>
      <c r="F2692" s="73"/>
      <c r="G2692" s="394"/>
      <c r="H2692" s="73"/>
      <c r="I2692" s="88"/>
      <c r="J2692" s="410"/>
      <c r="K2692" s="393">
        <f t="shared" si="8"/>
        <v>1</v>
      </c>
      <c r="L2692" s="394" t="str">
        <f>IFERROR(__xludf.DUMMYFUNCTION("JOIN("""", G2692:H2692)"),"")</f>
        <v/>
      </c>
      <c r="M2692" s="80" t="str">
        <f t="shared" si="2"/>
        <v/>
      </c>
    </row>
    <row r="2693">
      <c r="A2693" s="86"/>
      <c r="B2693" s="73"/>
      <c r="C2693" s="73"/>
      <c r="D2693" s="73"/>
      <c r="E2693" s="88"/>
      <c r="F2693" s="73"/>
      <c r="G2693" s="394"/>
      <c r="H2693" s="73"/>
      <c r="I2693" s="88"/>
      <c r="J2693" s="410"/>
      <c r="K2693" s="393">
        <f t="shared" si="8"/>
        <v>1</v>
      </c>
      <c r="L2693" s="394" t="str">
        <f>IFERROR(__xludf.DUMMYFUNCTION("JOIN("""", G2693:H2693)"),"")</f>
        <v/>
      </c>
      <c r="M2693" s="80" t="str">
        <f t="shared" si="2"/>
        <v/>
      </c>
    </row>
    <row r="2694">
      <c r="A2694" s="86"/>
      <c r="B2694" s="73"/>
      <c r="C2694" s="73"/>
      <c r="D2694" s="73"/>
      <c r="E2694" s="88"/>
      <c r="F2694" s="73"/>
      <c r="G2694" s="394"/>
      <c r="H2694" s="73"/>
      <c r="I2694" s="88"/>
      <c r="J2694" s="410"/>
      <c r="K2694" s="393">
        <f t="shared" si="8"/>
        <v>1</v>
      </c>
      <c r="L2694" s="394" t="str">
        <f>IFERROR(__xludf.DUMMYFUNCTION("JOIN("""", G2694:H2694)"),"")</f>
        <v/>
      </c>
      <c r="M2694" s="80" t="str">
        <f t="shared" si="2"/>
        <v/>
      </c>
    </row>
    <row r="2695">
      <c r="A2695" s="86"/>
      <c r="B2695" s="73"/>
      <c r="C2695" s="73"/>
      <c r="D2695" s="73"/>
      <c r="E2695" s="88"/>
      <c r="F2695" s="73"/>
      <c r="G2695" s="394"/>
      <c r="H2695" s="73"/>
      <c r="I2695" s="88"/>
      <c r="J2695" s="410"/>
      <c r="K2695" s="393">
        <f t="shared" si="8"/>
        <v>1</v>
      </c>
      <c r="L2695" s="394" t="str">
        <f>IFERROR(__xludf.DUMMYFUNCTION("JOIN("""", G2695:H2695)"),"")</f>
        <v/>
      </c>
      <c r="M2695" s="80" t="str">
        <f t="shared" si="2"/>
        <v/>
      </c>
    </row>
    <row r="2696">
      <c r="A2696" s="86"/>
      <c r="B2696" s="73"/>
      <c r="C2696" s="73"/>
      <c r="D2696" s="73"/>
      <c r="E2696" s="88"/>
      <c r="F2696" s="73"/>
      <c r="G2696" s="394"/>
      <c r="H2696" s="73"/>
      <c r="I2696" s="88"/>
      <c r="J2696" s="410"/>
      <c r="K2696" s="393">
        <f t="shared" si="8"/>
        <v>1</v>
      </c>
      <c r="L2696" s="394" t="str">
        <f>IFERROR(__xludf.DUMMYFUNCTION("JOIN("""", G2696:H2696)"),"")</f>
        <v/>
      </c>
      <c r="M2696" s="80" t="str">
        <f t="shared" si="2"/>
        <v/>
      </c>
    </row>
    <row r="2697">
      <c r="A2697" s="86"/>
      <c r="B2697" s="73"/>
      <c r="C2697" s="73"/>
      <c r="D2697" s="73"/>
      <c r="E2697" s="88"/>
      <c r="F2697" s="73"/>
      <c r="G2697" s="394"/>
      <c r="H2697" s="73"/>
      <c r="I2697" s="88"/>
      <c r="J2697" s="410"/>
      <c r="K2697" s="393">
        <f t="shared" si="8"/>
        <v>1</v>
      </c>
      <c r="L2697" s="394" t="str">
        <f>IFERROR(__xludf.DUMMYFUNCTION("JOIN("""", G2697:H2697)"),"")</f>
        <v/>
      </c>
      <c r="M2697" s="80" t="str">
        <f t="shared" si="2"/>
        <v/>
      </c>
    </row>
    <row r="2698">
      <c r="A2698" s="86"/>
      <c r="B2698" s="73"/>
      <c r="C2698" s="73"/>
      <c r="D2698" s="73"/>
      <c r="E2698" s="88"/>
      <c r="F2698" s="73"/>
      <c r="G2698" s="394"/>
      <c r="H2698" s="73"/>
      <c r="I2698" s="88"/>
      <c r="J2698" s="410"/>
      <c r="K2698" s="393">
        <f t="shared" si="8"/>
        <v>1</v>
      </c>
      <c r="L2698" s="394" t="str">
        <f>IFERROR(__xludf.DUMMYFUNCTION("JOIN("""", G2698:H2698)"),"")</f>
        <v/>
      </c>
      <c r="M2698" s="80" t="str">
        <f t="shared" si="2"/>
        <v/>
      </c>
    </row>
    <row r="2699">
      <c r="A2699" s="86"/>
      <c r="B2699" s="73"/>
      <c r="C2699" s="73"/>
      <c r="D2699" s="73"/>
      <c r="E2699" s="88"/>
      <c r="F2699" s="73"/>
      <c r="G2699" s="394"/>
      <c r="H2699" s="73"/>
      <c r="I2699" s="88"/>
      <c r="J2699" s="410"/>
      <c r="K2699" s="393">
        <f t="shared" si="8"/>
        <v>1</v>
      </c>
      <c r="L2699" s="394" t="str">
        <f>IFERROR(__xludf.DUMMYFUNCTION("JOIN("""", G2699:H2699)"),"")</f>
        <v/>
      </c>
      <c r="M2699" s="80" t="str">
        <f t="shared" si="2"/>
        <v/>
      </c>
    </row>
    <row r="2700">
      <c r="A2700" s="86"/>
      <c r="B2700" s="73"/>
      <c r="C2700" s="73"/>
      <c r="D2700" s="73"/>
      <c r="E2700" s="88"/>
      <c r="F2700" s="73"/>
      <c r="G2700" s="394"/>
      <c r="H2700" s="73"/>
      <c r="I2700" s="88"/>
      <c r="J2700" s="410"/>
      <c r="K2700" s="393">
        <f t="shared" si="8"/>
        <v>1</v>
      </c>
      <c r="L2700" s="394" t="str">
        <f>IFERROR(__xludf.DUMMYFUNCTION("JOIN("""", G2700:H2700)"),"")</f>
        <v/>
      </c>
      <c r="M2700" s="80" t="str">
        <f t="shared" si="2"/>
        <v/>
      </c>
    </row>
    <row r="2701">
      <c r="A2701" s="86"/>
      <c r="B2701" s="73"/>
      <c r="C2701" s="73"/>
      <c r="D2701" s="73"/>
      <c r="E2701" s="88"/>
      <c r="F2701" s="73"/>
      <c r="G2701" s="394"/>
      <c r="H2701" s="73"/>
      <c r="I2701" s="88"/>
      <c r="J2701" s="410"/>
      <c r="K2701" s="393">
        <f t="shared" si="8"/>
        <v>1</v>
      </c>
      <c r="L2701" s="394" t="str">
        <f>IFERROR(__xludf.DUMMYFUNCTION("JOIN("""", G2701:H2701)"),"")</f>
        <v/>
      </c>
      <c r="M2701" s="80" t="str">
        <f t="shared" si="2"/>
        <v/>
      </c>
    </row>
    <row r="2702">
      <c r="A2702" s="86"/>
      <c r="B2702" s="73"/>
      <c r="C2702" s="73"/>
      <c r="D2702" s="73"/>
      <c r="E2702" s="88"/>
      <c r="F2702" s="73"/>
      <c r="G2702" s="394"/>
      <c r="H2702" s="73"/>
      <c r="I2702" s="88"/>
      <c r="J2702" s="410"/>
      <c r="K2702" s="393">
        <f t="shared" si="8"/>
        <v>1</v>
      </c>
      <c r="L2702" s="394" t="str">
        <f>IFERROR(__xludf.DUMMYFUNCTION("JOIN("""", G2702:H2702)"),"")</f>
        <v/>
      </c>
      <c r="M2702" s="80" t="str">
        <f t="shared" si="2"/>
        <v/>
      </c>
    </row>
    <row r="2703">
      <c r="A2703" s="86"/>
      <c r="B2703" s="73"/>
      <c r="C2703" s="73"/>
      <c r="D2703" s="73"/>
      <c r="E2703" s="88"/>
      <c r="F2703" s="73"/>
      <c r="G2703" s="394"/>
      <c r="H2703" s="73"/>
      <c r="I2703" s="88"/>
      <c r="J2703" s="410"/>
      <c r="K2703" s="393">
        <f t="shared" si="8"/>
        <v>1</v>
      </c>
      <c r="L2703" s="394" t="str">
        <f>IFERROR(__xludf.DUMMYFUNCTION("JOIN("""", G2703:H2703)"),"")</f>
        <v/>
      </c>
      <c r="M2703" s="80" t="str">
        <f t="shared" si="2"/>
        <v/>
      </c>
    </row>
    <row r="2704">
      <c r="A2704" s="86"/>
      <c r="B2704" s="73"/>
      <c r="C2704" s="73"/>
      <c r="D2704" s="73"/>
      <c r="E2704" s="88"/>
      <c r="F2704" s="73"/>
      <c r="G2704" s="394"/>
      <c r="H2704" s="73"/>
      <c r="I2704" s="88"/>
      <c r="J2704" s="410"/>
      <c r="K2704" s="393">
        <f t="shared" si="8"/>
        <v>1</v>
      </c>
      <c r="L2704" s="394" t="str">
        <f>IFERROR(__xludf.DUMMYFUNCTION("JOIN("""", G2704:H2704)"),"")</f>
        <v/>
      </c>
      <c r="M2704" s="80" t="str">
        <f t="shared" si="2"/>
        <v/>
      </c>
    </row>
    <row r="2705">
      <c r="A2705" s="86"/>
      <c r="B2705" s="73"/>
      <c r="C2705" s="73"/>
      <c r="D2705" s="73"/>
      <c r="E2705" s="88"/>
      <c r="F2705" s="73"/>
      <c r="G2705" s="394"/>
      <c r="H2705" s="73"/>
      <c r="I2705" s="88"/>
      <c r="J2705" s="410"/>
      <c r="K2705" s="393">
        <f t="shared" si="8"/>
        <v>1</v>
      </c>
      <c r="L2705" s="394" t="str">
        <f>IFERROR(__xludf.DUMMYFUNCTION("JOIN("""", G2705:H2705)"),"")</f>
        <v/>
      </c>
      <c r="M2705" s="80" t="str">
        <f t="shared" si="2"/>
        <v/>
      </c>
    </row>
    <row r="2706">
      <c r="A2706" s="86"/>
      <c r="B2706" s="73"/>
      <c r="C2706" s="73"/>
      <c r="D2706" s="73"/>
      <c r="E2706" s="88"/>
      <c r="F2706" s="73"/>
      <c r="G2706" s="394"/>
      <c r="H2706" s="73"/>
      <c r="I2706" s="88"/>
      <c r="J2706" s="410"/>
      <c r="K2706" s="393">
        <f t="shared" si="8"/>
        <v>1</v>
      </c>
      <c r="L2706" s="394" t="str">
        <f>IFERROR(__xludf.DUMMYFUNCTION("JOIN("""", G2706:H2706)"),"")</f>
        <v/>
      </c>
      <c r="M2706" s="80" t="str">
        <f t="shared" si="2"/>
        <v/>
      </c>
    </row>
    <row r="2707">
      <c r="A2707" s="86"/>
      <c r="B2707" s="73"/>
      <c r="C2707" s="73"/>
      <c r="D2707" s="73"/>
      <c r="E2707" s="88"/>
      <c r="F2707" s="73"/>
      <c r="G2707" s="394"/>
      <c r="H2707" s="73"/>
      <c r="I2707" s="88"/>
      <c r="J2707" s="410"/>
      <c r="K2707" s="393">
        <f t="shared" si="8"/>
        <v>1</v>
      </c>
      <c r="L2707" s="394" t="str">
        <f>IFERROR(__xludf.DUMMYFUNCTION("JOIN("""", G2707:H2707)"),"")</f>
        <v/>
      </c>
      <c r="M2707" s="80" t="str">
        <f t="shared" si="2"/>
        <v/>
      </c>
    </row>
    <row r="2708">
      <c r="A2708" s="86"/>
      <c r="B2708" s="73"/>
      <c r="C2708" s="73"/>
      <c r="D2708" s="73"/>
      <c r="E2708" s="88"/>
      <c r="F2708" s="73"/>
      <c r="G2708" s="394"/>
      <c r="H2708" s="73"/>
      <c r="I2708" s="88"/>
      <c r="J2708" s="410"/>
      <c r="K2708" s="393">
        <f t="shared" si="8"/>
        <v>1</v>
      </c>
      <c r="L2708" s="394" t="str">
        <f>IFERROR(__xludf.DUMMYFUNCTION("JOIN("""", G2708:H2708)"),"")</f>
        <v/>
      </c>
      <c r="M2708" s="80" t="str">
        <f t="shared" si="2"/>
        <v/>
      </c>
    </row>
    <row r="2709">
      <c r="A2709" s="86"/>
      <c r="B2709" s="73"/>
      <c r="C2709" s="73"/>
      <c r="D2709" s="73"/>
      <c r="E2709" s="88"/>
      <c r="F2709" s="73"/>
      <c r="G2709" s="394"/>
      <c r="H2709" s="73"/>
      <c r="I2709" s="88"/>
      <c r="J2709" s="410"/>
      <c r="K2709" s="393">
        <f t="shared" si="8"/>
        <v>1</v>
      </c>
      <c r="L2709" s="394" t="str">
        <f>IFERROR(__xludf.DUMMYFUNCTION("JOIN("""", G2709:H2709)"),"")</f>
        <v/>
      </c>
      <c r="M2709" s="80" t="str">
        <f t="shared" si="2"/>
        <v/>
      </c>
    </row>
    <row r="2710">
      <c r="A2710" s="86"/>
      <c r="B2710" s="73"/>
      <c r="C2710" s="73"/>
      <c r="D2710" s="73"/>
      <c r="E2710" s="88"/>
      <c r="F2710" s="73"/>
      <c r="G2710" s="394"/>
      <c r="H2710" s="73"/>
      <c r="I2710" s="88"/>
      <c r="J2710" s="410"/>
      <c r="K2710" s="393">
        <f t="shared" si="8"/>
        <v>1</v>
      </c>
      <c r="L2710" s="394" t="str">
        <f>IFERROR(__xludf.DUMMYFUNCTION("JOIN("""", G2710:H2710)"),"")</f>
        <v/>
      </c>
      <c r="M2710" s="80" t="str">
        <f t="shared" si="2"/>
        <v/>
      </c>
    </row>
    <row r="2711">
      <c r="A2711" s="86"/>
      <c r="B2711" s="73"/>
      <c r="C2711" s="73"/>
      <c r="D2711" s="73"/>
      <c r="E2711" s="88"/>
      <c r="F2711" s="73"/>
      <c r="G2711" s="394"/>
      <c r="H2711" s="73"/>
      <c r="I2711" s="88"/>
      <c r="J2711" s="410"/>
      <c r="K2711" s="393">
        <f t="shared" si="8"/>
        <v>1</v>
      </c>
      <c r="L2711" s="394" t="str">
        <f>IFERROR(__xludf.DUMMYFUNCTION("JOIN("""", G2711:H2711)"),"")</f>
        <v/>
      </c>
      <c r="M2711" s="80" t="str">
        <f t="shared" si="2"/>
        <v/>
      </c>
    </row>
    <row r="2712">
      <c r="A2712" s="86"/>
      <c r="B2712" s="73"/>
      <c r="C2712" s="73"/>
      <c r="D2712" s="73"/>
      <c r="E2712" s="88"/>
      <c r="F2712" s="73"/>
      <c r="G2712" s="394"/>
      <c r="H2712" s="73"/>
      <c r="I2712" s="88"/>
      <c r="J2712" s="410"/>
      <c r="K2712" s="393">
        <f t="shared" si="8"/>
        <v>1</v>
      </c>
      <c r="L2712" s="394" t="str">
        <f>IFERROR(__xludf.DUMMYFUNCTION("JOIN("""", G2712:H2712)"),"")</f>
        <v/>
      </c>
      <c r="M2712" s="80" t="str">
        <f t="shared" si="2"/>
        <v/>
      </c>
    </row>
    <row r="2713">
      <c r="A2713" s="86"/>
      <c r="B2713" s="73"/>
      <c r="C2713" s="73"/>
      <c r="D2713" s="73"/>
      <c r="E2713" s="88"/>
      <c r="F2713" s="73"/>
      <c r="G2713" s="394"/>
      <c r="H2713" s="73"/>
      <c r="I2713" s="88"/>
      <c r="J2713" s="410"/>
      <c r="K2713" s="393">
        <f t="shared" si="8"/>
        <v>1</v>
      </c>
      <c r="L2713" s="394" t="str">
        <f>IFERROR(__xludf.DUMMYFUNCTION("JOIN("""", G2713:H2713)"),"")</f>
        <v/>
      </c>
      <c r="M2713" s="80" t="str">
        <f t="shared" si="2"/>
        <v/>
      </c>
    </row>
    <row r="2714">
      <c r="A2714" s="86"/>
      <c r="B2714" s="73"/>
      <c r="C2714" s="73"/>
      <c r="D2714" s="73"/>
      <c r="E2714" s="88"/>
      <c r="F2714" s="73"/>
      <c r="G2714" s="394"/>
      <c r="H2714" s="73"/>
      <c r="I2714" s="88"/>
      <c r="J2714" s="410"/>
      <c r="K2714" s="393">
        <f t="shared" si="8"/>
        <v>1</v>
      </c>
      <c r="L2714" s="394" t="str">
        <f>IFERROR(__xludf.DUMMYFUNCTION("JOIN("""", G2714:H2714)"),"")</f>
        <v/>
      </c>
      <c r="M2714" s="80" t="str">
        <f t="shared" si="2"/>
        <v/>
      </c>
    </row>
    <row r="2715">
      <c r="A2715" s="86"/>
      <c r="B2715" s="73"/>
      <c r="C2715" s="73"/>
      <c r="D2715" s="73"/>
      <c r="E2715" s="88"/>
      <c r="F2715" s="73"/>
      <c r="G2715" s="394"/>
      <c r="H2715" s="73"/>
      <c r="I2715" s="88"/>
      <c r="J2715" s="410"/>
      <c r="K2715" s="393">
        <f t="shared" si="8"/>
        <v>1</v>
      </c>
      <c r="L2715" s="394" t="str">
        <f>IFERROR(__xludf.DUMMYFUNCTION("JOIN("""", G2715:H2715)"),"")</f>
        <v/>
      </c>
      <c r="M2715" s="80" t="str">
        <f t="shared" si="2"/>
        <v/>
      </c>
    </row>
    <row r="2716">
      <c r="A2716" s="86"/>
      <c r="B2716" s="73"/>
      <c r="C2716" s="73"/>
      <c r="D2716" s="73"/>
      <c r="E2716" s="88"/>
      <c r="F2716" s="73"/>
      <c r="G2716" s="394"/>
      <c r="H2716" s="73"/>
      <c r="I2716" s="88"/>
      <c r="J2716" s="410"/>
      <c r="K2716" s="393">
        <f t="shared" si="8"/>
        <v>1</v>
      </c>
      <c r="L2716" s="394" t="str">
        <f>IFERROR(__xludf.DUMMYFUNCTION("JOIN("""", G2716:H2716)"),"")</f>
        <v/>
      </c>
      <c r="M2716" s="80" t="str">
        <f t="shared" si="2"/>
        <v/>
      </c>
    </row>
    <row r="2717">
      <c r="A2717" s="86"/>
      <c r="B2717" s="73"/>
      <c r="C2717" s="73"/>
      <c r="D2717" s="73"/>
      <c r="E2717" s="88"/>
      <c r="F2717" s="73"/>
      <c r="G2717" s="394"/>
      <c r="H2717" s="73"/>
      <c r="I2717" s="88"/>
      <c r="J2717" s="410"/>
      <c r="K2717" s="393">
        <f t="shared" si="8"/>
        <v>1</v>
      </c>
      <c r="L2717" s="394" t="str">
        <f>IFERROR(__xludf.DUMMYFUNCTION("JOIN("""", G2717:H2717)"),"")</f>
        <v/>
      </c>
      <c r="M2717" s="80" t="str">
        <f t="shared" si="2"/>
        <v/>
      </c>
    </row>
    <row r="2718">
      <c r="A2718" s="86"/>
      <c r="B2718" s="73"/>
      <c r="C2718" s="73"/>
      <c r="D2718" s="73"/>
      <c r="E2718" s="88"/>
      <c r="F2718" s="73"/>
      <c r="G2718" s="394"/>
      <c r="H2718" s="73"/>
      <c r="I2718" s="88"/>
      <c r="J2718" s="410"/>
      <c r="K2718" s="393">
        <f t="shared" si="8"/>
        <v>1</v>
      </c>
      <c r="L2718" s="394" t="str">
        <f>IFERROR(__xludf.DUMMYFUNCTION("JOIN("""", G2718:H2718)"),"")</f>
        <v/>
      </c>
      <c r="M2718" s="80" t="str">
        <f t="shared" si="2"/>
        <v/>
      </c>
    </row>
    <row r="2719">
      <c r="A2719" s="86"/>
      <c r="B2719" s="73"/>
      <c r="C2719" s="73"/>
      <c r="D2719" s="73"/>
      <c r="E2719" s="88"/>
      <c r="F2719" s="73"/>
      <c r="G2719" s="394"/>
      <c r="H2719" s="73"/>
      <c r="I2719" s="88"/>
      <c r="J2719" s="410"/>
      <c r="K2719" s="393">
        <f t="shared" si="8"/>
        <v>1</v>
      </c>
      <c r="L2719" s="394" t="str">
        <f>IFERROR(__xludf.DUMMYFUNCTION("JOIN("""", G2719:H2719)"),"")</f>
        <v/>
      </c>
      <c r="M2719" s="80" t="str">
        <f t="shared" si="2"/>
        <v/>
      </c>
    </row>
    <row r="2720">
      <c r="A2720" s="86"/>
      <c r="B2720" s="73"/>
      <c r="C2720" s="73"/>
      <c r="D2720" s="73"/>
      <c r="E2720" s="88"/>
      <c r="F2720" s="73"/>
      <c r="G2720" s="394"/>
      <c r="H2720" s="73"/>
      <c r="I2720" s="88"/>
      <c r="J2720" s="410"/>
      <c r="K2720" s="393">
        <f t="shared" si="8"/>
        <v>1</v>
      </c>
      <c r="L2720" s="394" t="str">
        <f>IFERROR(__xludf.DUMMYFUNCTION("JOIN("""", G2720:H2720)"),"")</f>
        <v/>
      </c>
      <c r="M2720" s="80" t="str">
        <f t="shared" si="2"/>
        <v/>
      </c>
    </row>
    <row r="2721">
      <c r="A2721" s="86"/>
      <c r="B2721" s="73"/>
      <c r="C2721" s="73"/>
      <c r="D2721" s="73"/>
      <c r="E2721" s="88"/>
      <c r="F2721" s="73"/>
      <c r="G2721" s="394"/>
      <c r="H2721" s="73"/>
      <c r="I2721" s="88"/>
      <c r="J2721" s="410"/>
      <c r="K2721" s="393">
        <f t="shared" si="8"/>
        <v>1</v>
      </c>
      <c r="L2721" s="394" t="str">
        <f>IFERROR(__xludf.DUMMYFUNCTION("JOIN("""", G2721:H2721)"),"")</f>
        <v/>
      </c>
      <c r="M2721" s="80" t="str">
        <f t="shared" si="2"/>
        <v/>
      </c>
    </row>
    <row r="2722">
      <c r="A2722" s="86"/>
      <c r="B2722" s="73"/>
      <c r="C2722" s="73"/>
      <c r="D2722" s="73"/>
      <c r="E2722" s="88"/>
      <c r="F2722" s="73"/>
      <c r="G2722" s="394"/>
      <c r="H2722" s="73"/>
      <c r="I2722" s="88"/>
      <c r="J2722" s="410"/>
      <c r="K2722" s="393">
        <f t="shared" si="8"/>
        <v>1</v>
      </c>
      <c r="L2722" s="394" t="str">
        <f>IFERROR(__xludf.DUMMYFUNCTION("JOIN("""", G2722:H2722)"),"")</f>
        <v/>
      </c>
      <c r="M2722" s="80" t="str">
        <f t="shared" si="2"/>
        <v/>
      </c>
    </row>
    <row r="2723">
      <c r="A2723" s="86"/>
      <c r="B2723" s="73"/>
      <c r="C2723" s="73"/>
      <c r="D2723" s="73"/>
      <c r="E2723" s="88"/>
      <c r="F2723" s="73"/>
      <c r="G2723" s="394"/>
      <c r="H2723" s="73"/>
      <c r="I2723" s="88"/>
      <c r="J2723" s="410"/>
      <c r="K2723" s="393">
        <f t="shared" si="8"/>
        <v>1</v>
      </c>
      <c r="L2723" s="394" t="str">
        <f>IFERROR(__xludf.DUMMYFUNCTION("JOIN("""", G2723:H2723)"),"")</f>
        <v/>
      </c>
      <c r="M2723" s="80" t="str">
        <f t="shared" si="2"/>
        <v/>
      </c>
    </row>
    <row r="2724">
      <c r="A2724" s="86"/>
      <c r="B2724" s="73"/>
      <c r="C2724" s="73"/>
      <c r="D2724" s="73"/>
      <c r="E2724" s="88"/>
      <c r="F2724" s="73"/>
      <c r="G2724" s="394"/>
      <c r="H2724" s="73"/>
      <c r="I2724" s="88"/>
      <c r="J2724" s="410"/>
      <c r="K2724" s="393">
        <f t="shared" si="8"/>
        <v>1</v>
      </c>
      <c r="L2724" s="394" t="str">
        <f>IFERROR(__xludf.DUMMYFUNCTION("JOIN("""", G2724:H2724)"),"")</f>
        <v/>
      </c>
      <c r="M2724" s="80" t="str">
        <f t="shared" si="2"/>
        <v/>
      </c>
    </row>
    <row r="2725">
      <c r="A2725" s="86"/>
      <c r="B2725" s="73"/>
      <c r="C2725" s="73"/>
      <c r="D2725" s="73"/>
      <c r="E2725" s="88"/>
      <c r="F2725" s="73"/>
      <c r="G2725" s="394"/>
      <c r="H2725" s="73"/>
      <c r="I2725" s="88"/>
      <c r="J2725" s="410"/>
      <c r="K2725" s="393">
        <f t="shared" si="8"/>
        <v>1</v>
      </c>
      <c r="L2725" s="394" t="str">
        <f>IFERROR(__xludf.DUMMYFUNCTION("JOIN("""", G2725:H2725)"),"")</f>
        <v/>
      </c>
      <c r="M2725" s="80" t="str">
        <f t="shared" si="2"/>
        <v/>
      </c>
    </row>
    <row r="2726">
      <c r="A2726" s="86"/>
      <c r="B2726" s="73"/>
      <c r="C2726" s="73"/>
      <c r="D2726" s="73"/>
      <c r="E2726" s="88"/>
      <c r="F2726" s="73"/>
      <c r="G2726" s="394"/>
      <c r="H2726" s="73"/>
      <c r="I2726" s="88"/>
      <c r="J2726" s="410"/>
      <c r="K2726" s="393">
        <f t="shared" si="8"/>
        <v>1</v>
      </c>
      <c r="L2726" s="394" t="str">
        <f>IFERROR(__xludf.DUMMYFUNCTION("JOIN("""", G2726:H2726)"),"")</f>
        <v/>
      </c>
      <c r="M2726" s="80" t="str">
        <f t="shared" si="2"/>
        <v/>
      </c>
    </row>
    <row r="2727">
      <c r="A2727" s="86"/>
      <c r="B2727" s="73"/>
      <c r="C2727" s="73"/>
      <c r="D2727" s="73"/>
      <c r="E2727" s="88"/>
      <c r="F2727" s="73"/>
      <c r="G2727" s="394"/>
      <c r="H2727" s="73"/>
      <c r="I2727" s="88"/>
      <c r="J2727" s="410"/>
      <c r="K2727" s="393">
        <f t="shared" si="8"/>
        <v>1</v>
      </c>
      <c r="L2727" s="394" t="str">
        <f>IFERROR(__xludf.DUMMYFUNCTION("JOIN("""", G2727:H2727)"),"")</f>
        <v/>
      </c>
      <c r="M2727" s="80" t="str">
        <f t="shared" si="2"/>
        <v/>
      </c>
    </row>
    <row r="2728">
      <c r="A2728" s="86"/>
      <c r="B2728" s="73"/>
      <c r="C2728" s="73"/>
      <c r="D2728" s="73"/>
      <c r="E2728" s="88"/>
      <c r="F2728" s="73"/>
      <c r="G2728" s="394"/>
      <c r="H2728" s="73"/>
      <c r="I2728" s="88"/>
      <c r="J2728" s="410"/>
      <c r="K2728" s="393">
        <f t="shared" si="8"/>
        <v>1</v>
      </c>
      <c r="L2728" s="394" t="str">
        <f>IFERROR(__xludf.DUMMYFUNCTION("JOIN("""", G2728:H2728)"),"")</f>
        <v/>
      </c>
      <c r="M2728" s="80" t="str">
        <f t="shared" si="2"/>
        <v/>
      </c>
    </row>
    <row r="2729">
      <c r="A2729" s="86"/>
      <c r="B2729" s="73"/>
      <c r="C2729" s="73"/>
      <c r="D2729" s="73"/>
      <c r="E2729" s="88"/>
      <c r="F2729" s="73"/>
      <c r="G2729" s="394"/>
      <c r="H2729" s="73"/>
      <c r="I2729" s="88"/>
      <c r="J2729" s="410"/>
      <c r="K2729" s="393">
        <f t="shared" si="8"/>
        <v>1</v>
      </c>
      <c r="L2729" s="394" t="str">
        <f>IFERROR(__xludf.DUMMYFUNCTION("JOIN("""", G2729:H2729)"),"")</f>
        <v/>
      </c>
      <c r="M2729" s="80" t="str">
        <f t="shared" si="2"/>
        <v/>
      </c>
    </row>
    <row r="2730">
      <c r="A2730" s="86"/>
      <c r="B2730" s="73"/>
      <c r="C2730" s="73"/>
      <c r="D2730" s="73"/>
      <c r="E2730" s="88"/>
      <c r="F2730" s="73"/>
      <c r="G2730" s="394"/>
      <c r="H2730" s="73"/>
      <c r="I2730" s="88"/>
      <c r="J2730" s="410"/>
      <c r="K2730" s="393">
        <f t="shared" si="8"/>
        <v>1</v>
      </c>
      <c r="L2730" s="394" t="str">
        <f>IFERROR(__xludf.DUMMYFUNCTION("JOIN("""", G2730:H2730)"),"")</f>
        <v/>
      </c>
      <c r="M2730" s="80" t="str">
        <f t="shared" si="2"/>
        <v/>
      </c>
    </row>
    <row r="2731">
      <c r="A2731" s="86"/>
      <c r="B2731" s="73"/>
      <c r="C2731" s="73"/>
      <c r="D2731" s="73"/>
      <c r="E2731" s="88"/>
      <c r="F2731" s="73"/>
      <c r="G2731" s="394"/>
      <c r="H2731" s="73"/>
      <c r="I2731" s="88"/>
      <c r="J2731" s="410"/>
      <c r="K2731" s="393">
        <f t="shared" si="8"/>
        <v>1</v>
      </c>
      <c r="L2731" s="394" t="str">
        <f>IFERROR(__xludf.DUMMYFUNCTION("JOIN("""", G2731:H2731)"),"")</f>
        <v/>
      </c>
      <c r="M2731" s="80" t="str">
        <f t="shared" si="2"/>
        <v/>
      </c>
    </row>
    <row r="2732">
      <c r="A2732" s="86"/>
      <c r="B2732" s="73"/>
      <c r="C2732" s="73"/>
      <c r="D2732" s="73"/>
      <c r="E2732" s="88"/>
      <c r="F2732" s="73"/>
      <c r="G2732" s="394"/>
      <c r="H2732" s="73"/>
      <c r="I2732" s="88"/>
      <c r="J2732" s="410"/>
      <c r="K2732" s="393">
        <f t="shared" si="8"/>
        <v>1</v>
      </c>
      <c r="L2732" s="394" t="str">
        <f>IFERROR(__xludf.DUMMYFUNCTION("JOIN("""", G2732:H2732)"),"")</f>
        <v/>
      </c>
      <c r="M2732" s="80" t="str">
        <f t="shared" si="2"/>
        <v/>
      </c>
    </row>
    <row r="2733">
      <c r="A2733" s="86"/>
      <c r="B2733" s="73"/>
      <c r="C2733" s="73"/>
      <c r="D2733" s="73"/>
      <c r="E2733" s="88"/>
      <c r="F2733" s="73"/>
      <c r="G2733" s="394"/>
      <c r="H2733" s="73"/>
      <c r="I2733" s="88"/>
      <c r="J2733" s="410"/>
      <c r="K2733" s="393">
        <f t="shared" si="8"/>
        <v>1</v>
      </c>
      <c r="L2733" s="394" t="str">
        <f>IFERROR(__xludf.DUMMYFUNCTION("JOIN("""", G2733:H2733)"),"")</f>
        <v/>
      </c>
      <c r="M2733" s="80" t="str">
        <f t="shared" si="2"/>
        <v/>
      </c>
    </row>
    <row r="2734">
      <c r="A2734" s="86"/>
      <c r="B2734" s="73"/>
      <c r="C2734" s="73"/>
      <c r="D2734" s="73"/>
      <c r="E2734" s="88"/>
      <c r="F2734" s="73"/>
      <c r="G2734" s="394"/>
      <c r="H2734" s="73"/>
      <c r="I2734" s="88"/>
      <c r="J2734" s="410"/>
      <c r="K2734" s="393">
        <f t="shared" si="8"/>
        <v>1</v>
      </c>
      <c r="L2734" s="394" t="str">
        <f>IFERROR(__xludf.DUMMYFUNCTION("JOIN("""", G2734:H2734)"),"")</f>
        <v/>
      </c>
      <c r="M2734" s="80" t="str">
        <f t="shared" si="2"/>
        <v/>
      </c>
    </row>
    <row r="2735">
      <c r="A2735" s="86"/>
      <c r="B2735" s="73"/>
      <c r="C2735" s="73"/>
      <c r="D2735" s="73"/>
      <c r="E2735" s="88"/>
      <c r="F2735" s="73"/>
      <c r="G2735" s="394"/>
      <c r="H2735" s="73"/>
      <c r="I2735" s="88"/>
      <c r="J2735" s="410"/>
      <c r="K2735" s="393">
        <f t="shared" si="8"/>
        <v>1</v>
      </c>
      <c r="L2735" s="394" t="str">
        <f>IFERROR(__xludf.DUMMYFUNCTION("JOIN("""", G2735:H2735)"),"")</f>
        <v/>
      </c>
      <c r="M2735" s="80" t="str">
        <f t="shared" si="2"/>
        <v/>
      </c>
    </row>
    <row r="2736">
      <c r="A2736" s="86"/>
      <c r="B2736" s="73"/>
      <c r="C2736" s="73"/>
      <c r="D2736" s="73"/>
      <c r="E2736" s="88"/>
      <c r="F2736" s="73"/>
      <c r="G2736" s="394"/>
      <c r="H2736" s="73"/>
      <c r="I2736" s="88"/>
      <c r="J2736" s="410"/>
      <c r="K2736" s="393">
        <f t="shared" si="8"/>
        <v>1</v>
      </c>
      <c r="L2736" s="394" t="str">
        <f>IFERROR(__xludf.DUMMYFUNCTION("JOIN("""", G2736:H2736)"),"")</f>
        <v/>
      </c>
      <c r="M2736" s="80" t="str">
        <f t="shared" si="2"/>
        <v/>
      </c>
    </row>
    <row r="2737">
      <c r="A2737" s="86"/>
      <c r="B2737" s="73"/>
      <c r="C2737" s="73"/>
      <c r="D2737" s="73"/>
      <c r="E2737" s="88"/>
      <c r="F2737" s="73"/>
      <c r="G2737" s="394"/>
      <c r="H2737" s="73"/>
      <c r="I2737" s="88"/>
      <c r="J2737" s="410"/>
      <c r="K2737" s="393">
        <f t="shared" si="8"/>
        <v>1</v>
      </c>
      <c r="L2737" s="394" t="str">
        <f>IFERROR(__xludf.DUMMYFUNCTION("JOIN("""", G2737:H2737)"),"")</f>
        <v/>
      </c>
      <c r="M2737" s="80" t="str">
        <f t="shared" si="2"/>
        <v/>
      </c>
    </row>
    <row r="2738">
      <c r="A2738" s="86"/>
      <c r="B2738" s="73"/>
      <c r="C2738" s="73"/>
      <c r="D2738" s="73"/>
      <c r="E2738" s="88"/>
      <c r="F2738" s="73"/>
      <c r="G2738" s="394"/>
      <c r="H2738" s="73"/>
      <c r="I2738" s="88"/>
      <c r="J2738" s="410"/>
      <c r="K2738" s="393">
        <f t="shared" si="8"/>
        <v>1</v>
      </c>
      <c r="L2738" s="394" t="str">
        <f>IFERROR(__xludf.DUMMYFUNCTION("JOIN("""", G2738:H2738)"),"")</f>
        <v/>
      </c>
      <c r="M2738" s="80" t="str">
        <f t="shared" si="2"/>
        <v/>
      </c>
    </row>
    <row r="2739">
      <c r="A2739" s="86"/>
      <c r="B2739" s="73"/>
      <c r="C2739" s="73"/>
      <c r="D2739" s="73"/>
      <c r="E2739" s="88"/>
      <c r="F2739" s="73"/>
      <c r="G2739" s="394"/>
      <c r="H2739" s="73"/>
      <c r="I2739" s="88"/>
      <c r="J2739" s="410"/>
      <c r="K2739" s="393">
        <f t="shared" si="8"/>
        <v>1</v>
      </c>
      <c r="L2739" s="394" t="str">
        <f>IFERROR(__xludf.DUMMYFUNCTION("JOIN("""", G2739:H2739)"),"")</f>
        <v/>
      </c>
      <c r="M2739" s="80" t="str">
        <f t="shared" si="2"/>
        <v/>
      </c>
    </row>
    <row r="2740">
      <c r="A2740" s="86"/>
      <c r="B2740" s="73"/>
      <c r="C2740" s="73"/>
      <c r="D2740" s="73"/>
      <c r="E2740" s="88"/>
      <c r="F2740" s="73"/>
      <c r="G2740" s="394"/>
      <c r="H2740" s="73"/>
      <c r="I2740" s="88"/>
      <c r="J2740" s="410"/>
      <c r="K2740" s="393">
        <f t="shared" si="8"/>
        <v>1</v>
      </c>
      <c r="L2740" s="394" t="str">
        <f>IFERROR(__xludf.DUMMYFUNCTION("JOIN("""", G2740:H2740)"),"")</f>
        <v/>
      </c>
      <c r="M2740" s="80" t="str">
        <f t="shared" si="2"/>
        <v/>
      </c>
    </row>
    <row r="2741">
      <c r="A2741" s="86"/>
      <c r="B2741" s="73"/>
      <c r="C2741" s="73"/>
      <c r="D2741" s="73"/>
      <c r="E2741" s="88"/>
      <c r="F2741" s="73"/>
      <c r="G2741" s="394"/>
      <c r="H2741" s="73"/>
      <c r="I2741" s="88"/>
      <c r="J2741" s="410"/>
      <c r="K2741" s="393">
        <f t="shared" si="8"/>
        <v>1</v>
      </c>
      <c r="L2741" s="394" t="str">
        <f>IFERROR(__xludf.DUMMYFUNCTION("JOIN("""", G2741:H2741)"),"")</f>
        <v/>
      </c>
      <c r="M2741" s="80" t="str">
        <f t="shared" si="2"/>
        <v/>
      </c>
    </row>
    <row r="2742">
      <c r="A2742" s="86"/>
      <c r="B2742" s="73"/>
      <c r="C2742" s="73"/>
      <c r="D2742" s="73"/>
      <c r="E2742" s="88"/>
      <c r="F2742" s="73"/>
      <c r="G2742" s="394"/>
      <c r="H2742" s="73"/>
      <c r="I2742" s="88"/>
      <c r="J2742" s="410"/>
      <c r="K2742" s="393">
        <f t="shared" si="8"/>
        <v>1</v>
      </c>
      <c r="L2742" s="394" t="str">
        <f>IFERROR(__xludf.DUMMYFUNCTION("JOIN("""", G2742:H2742)"),"")</f>
        <v/>
      </c>
      <c r="M2742" s="80" t="str">
        <f t="shared" si="2"/>
        <v/>
      </c>
    </row>
    <row r="2743">
      <c r="A2743" s="86"/>
      <c r="B2743" s="73"/>
      <c r="C2743" s="73"/>
      <c r="D2743" s="73"/>
      <c r="E2743" s="88"/>
      <c r="F2743" s="73"/>
      <c r="G2743" s="394"/>
      <c r="H2743" s="73"/>
      <c r="I2743" s="88"/>
      <c r="J2743" s="410"/>
      <c r="K2743" s="393">
        <f t="shared" si="8"/>
        <v>1</v>
      </c>
      <c r="L2743" s="394" t="str">
        <f>IFERROR(__xludf.DUMMYFUNCTION("JOIN("""", G2743:H2743)"),"")</f>
        <v/>
      </c>
      <c r="M2743" s="80" t="str">
        <f t="shared" si="2"/>
        <v/>
      </c>
    </row>
    <row r="2744">
      <c r="A2744" s="86"/>
      <c r="B2744" s="73"/>
      <c r="C2744" s="73"/>
      <c r="D2744" s="73"/>
      <c r="E2744" s="88"/>
      <c r="F2744" s="73"/>
      <c r="G2744" s="394"/>
      <c r="H2744" s="73"/>
      <c r="I2744" s="88"/>
      <c r="J2744" s="410"/>
      <c r="K2744" s="393">
        <f t="shared" si="8"/>
        <v>1</v>
      </c>
      <c r="L2744" s="394" t="str">
        <f>IFERROR(__xludf.DUMMYFUNCTION("JOIN("""", G2744:H2744)"),"")</f>
        <v/>
      </c>
      <c r="M2744" s="80" t="str">
        <f t="shared" si="2"/>
        <v/>
      </c>
    </row>
    <row r="2745">
      <c r="A2745" s="86"/>
      <c r="B2745" s="73"/>
      <c r="C2745" s="73"/>
      <c r="D2745" s="73"/>
      <c r="E2745" s="88"/>
      <c r="F2745" s="73"/>
      <c r="G2745" s="394"/>
      <c r="H2745" s="73"/>
      <c r="I2745" s="88"/>
      <c r="J2745" s="410"/>
      <c r="K2745" s="393">
        <f t="shared" si="8"/>
        <v>1</v>
      </c>
      <c r="L2745" s="394" t="str">
        <f>IFERROR(__xludf.DUMMYFUNCTION("JOIN("""", G2745:H2745)"),"")</f>
        <v/>
      </c>
      <c r="M2745" s="80" t="str">
        <f t="shared" si="2"/>
        <v/>
      </c>
    </row>
    <row r="2746">
      <c r="A2746" s="86"/>
      <c r="B2746" s="73"/>
      <c r="C2746" s="73"/>
      <c r="D2746" s="73"/>
      <c r="E2746" s="88"/>
      <c r="F2746" s="73"/>
      <c r="G2746" s="394"/>
      <c r="H2746" s="73"/>
      <c r="I2746" s="88"/>
      <c r="J2746" s="410"/>
      <c r="K2746" s="393">
        <f t="shared" si="8"/>
        <v>1</v>
      </c>
      <c r="L2746" s="394" t="str">
        <f>IFERROR(__xludf.DUMMYFUNCTION("JOIN("""", G2746:H2746)"),"")</f>
        <v/>
      </c>
      <c r="M2746" s="80" t="str">
        <f t="shared" si="2"/>
        <v/>
      </c>
    </row>
    <row r="2747">
      <c r="A2747" s="86"/>
      <c r="B2747" s="73"/>
      <c r="C2747" s="73"/>
      <c r="D2747" s="73"/>
      <c r="E2747" s="88"/>
      <c r="F2747" s="73"/>
      <c r="G2747" s="394"/>
      <c r="H2747" s="73"/>
      <c r="I2747" s="88"/>
      <c r="J2747" s="410"/>
      <c r="K2747" s="393">
        <f t="shared" si="8"/>
        <v>1</v>
      </c>
      <c r="L2747" s="394" t="str">
        <f>IFERROR(__xludf.DUMMYFUNCTION("JOIN("""", G2747:H2747)"),"")</f>
        <v/>
      </c>
      <c r="M2747" s="80" t="str">
        <f t="shared" si="2"/>
        <v/>
      </c>
    </row>
    <row r="2748">
      <c r="A2748" s="86"/>
      <c r="B2748" s="73"/>
      <c r="C2748" s="73"/>
      <c r="D2748" s="73"/>
      <c r="E2748" s="88"/>
      <c r="F2748" s="73"/>
      <c r="G2748" s="394"/>
      <c r="H2748" s="73"/>
      <c r="I2748" s="88"/>
      <c r="J2748" s="410"/>
      <c r="K2748" s="393">
        <f t="shared" si="8"/>
        <v>1</v>
      </c>
      <c r="L2748" s="394" t="str">
        <f>IFERROR(__xludf.DUMMYFUNCTION("JOIN("""", G2748:H2748)"),"")</f>
        <v/>
      </c>
      <c r="M2748" s="80" t="str">
        <f t="shared" si="2"/>
        <v/>
      </c>
    </row>
    <row r="2749">
      <c r="A2749" s="86"/>
      <c r="B2749" s="73"/>
      <c r="C2749" s="73"/>
      <c r="D2749" s="73"/>
      <c r="E2749" s="88"/>
      <c r="F2749" s="73"/>
      <c r="G2749" s="394"/>
      <c r="H2749" s="73"/>
      <c r="I2749" s="88"/>
      <c r="J2749" s="410"/>
      <c r="K2749" s="393">
        <f t="shared" si="8"/>
        <v>1</v>
      </c>
      <c r="L2749" s="394" t="str">
        <f>IFERROR(__xludf.DUMMYFUNCTION("JOIN("""", G2749:H2749)"),"")</f>
        <v/>
      </c>
      <c r="M2749" s="80" t="str">
        <f t="shared" si="2"/>
        <v/>
      </c>
    </row>
    <row r="2750">
      <c r="A2750" s="86"/>
      <c r="B2750" s="73"/>
      <c r="C2750" s="73"/>
      <c r="D2750" s="73"/>
      <c r="E2750" s="88"/>
      <c r="F2750" s="73"/>
      <c r="G2750" s="394"/>
      <c r="H2750" s="73"/>
      <c r="I2750" s="88"/>
      <c r="J2750" s="410"/>
      <c r="K2750" s="393">
        <f t="shared" si="8"/>
        <v>1</v>
      </c>
      <c r="L2750" s="394" t="str">
        <f>IFERROR(__xludf.DUMMYFUNCTION("JOIN("""", G2750:H2750)"),"")</f>
        <v/>
      </c>
      <c r="M2750" s="80" t="str">
        <f t="shared" si="2"/>
        <v/>
      </c>
    </row>
    <row r="2751">
      <c r="A2751" s="86"/>
      <c r="B2751" s="73"/>
      <c r="C2751" s="73"/>
      <c r="D2751" s="73"/>
      <c r="E2751" s="88"/>
      <c r="F2751" s="73"/>
      <c r="G2751" s="394"/>
      <c r="H2751" s="73"/>
      <c r="I2751" s="88"/>
      <c r="J2751" s="410"/>
      <c r="K2751" s="393">
        <f t="shared" si="8"/>
        <v>1</v>
      </c>
      <c r="L2751" s="394" t="str">
        <f>IFERROR(__xludf.DUMMYFUNCTION("JOIN("""", G2751:H2751)"),"")</f>
        <v/>
      </c>
      <c r="M2751" s="80" t="str">
        <f t="shared" si="2"/>
        <v/>
      </c>
    </row>
    <row r="2752">
      <c r="A2752" s="86"/>
      <c r="B2752" s="73"/>
      <c r="C2752" s="73"/>
      <c r="D2752" s="73"/>
      <c r="E2752" s="88"/>
      <c r="F2752" s="73"/>
      <c r="G2752" s="394"/>
      <c r="H2752" s="73"/>
      <c r="I2752" s="88"/>
      <c r="J2752" s="410"/>
      <c r="K2752" s="393">
        <f t="shared" si="8"/>
        <v>1</v>
      </c>
      <c r="L2752" s="394" t="str">
        <f>IFERROR(__xludf.DUMMYFUNCTION("JOIN("""", G2752:H2752)"),"")</f>
        <v/>
      </c>
      <c r="M2752" s="80" t="str">
        <f t="shared" si="2"/>
        <v/>
      </c>
    </row>
    <row r="2753">
      <c r="A2753" s="86"/>
      <c r="B2753" s="73"/>
      <c r="C2753" s="73"/>
      <c r="D2753" s="73"/>
      <c r="E2753" s="88"/>
      <c r="F2753" s="73"/>
      <c r="G2753" s="394"/>
      <c r="H2753" s="73"/>
      <c r="I2753" s="88"/>
      <c r="J2753" s="410"/>
      <c r="K2753" s="393">
        <f t="shared" si="8"/>
        <v>1</v>
      </c>
      <c r="L2753" s="394" t="str">
        <f>IFERROR(__xludf.DUMMYFUNCTION("JOIN("""", G2753:H2753)"),"")</f>
        <v/>
      </c>
      <c r="M2753" s="80" t="str">
        <f t="shared" si="2"/>
        <v/>
      </c>
    </row>
    <row r="2754">
      <c r="A2754" s="86"/>
      <c r="B2754" s="73"/>
      <c r="C2754" s="73"/>
      <c r="D2754" s="73"/>
      <c r="E2754" s="88"/>
      <c r="F2754" s="73"/>
      <c r="G2754" s="394"/>
      <c r="H2754" s="73"/>
      <c r="I2754" s="88"/>
      <c r="J2754" s="410"/>
      <c r="K2754" s="393">
        <f t="shared" si="8"/>
        <v>1</v>
      </c>
      <c r="L2754" s="394" t="str">
        <f>IFERROR(__xludf.DUMMYFUNCTION("JOIN("""", G2754:H2754)"),"")</f>
        <v/>
      </c>
      <c r="M2754" s="80" t="str">
        <f t="shared" si="2"/>
        <v/>
      </c>
    </row>
    <row r="2755">
      <c r="A2755" s="86"/>
      <c r="B2755" s="73"/>
      <c r="C2755" s="73"/>
      <c r="D2755" s="73"/>
      <c r="E2755" s="88"/>
      <c r="F2755" s="73"/>
      <c r="G2755" s="394"/>
      <c r="H2755" s="73"/>
      <c r="I2755" s="88"/>
      <c r="J2755" s="410"/>
      <c r="K2755" s="393">
        <f t="shared" si="8"/>
        <v>1</v>
      </c>
      <c r="L2755" s="394" t="str">
        <f>IFERROR(__xludf.DUMMYFUNCTION("JOIN("""", G2755:H2755)"),"")</f>
        <v/>
      </c>
      <c r="M2755" s="80" t="str">
        <f t="shared" si="2"/>
        <v/>
      </c>
    </row>
    <row r="2756">
      <c r="A2756" s="86"/>
      <c r="B2756" s="73"/>
      <c r="C2756" s="73"/>
      <c r="D2756" s="73"/>
      <c r="E2756" s="88"/>
      <c r="F2756" s="73"/>
      <c r="G2756" s="394"/>
      <c r="H2756" s="73"/>
      <c r="I2756" s="88"/>
      <c r="J2756" s="410"/>
      <c r="K2756" s="393">
        <f t="shared" si="8"/>
        <v>1</v>
      </c>
      <c r="L2756" s="394" t="str">
        <f>IFERROR(__xludf.DUMMYFUNCTION("JOIN("""", G2756:H2756)"),"")</f>
        <v/>
      </c>
      <c r="M2756" s="80" t="str">
        <f t="shared" si="2"/>
        <v/>
      </c>
    </row>
    <row r="2757">
      <c r="A2757" s="86"/>
      <c r="B2757" s="73"/>
      <c r="C2757" s="73"/>
      <c r="D2757" s="73"/>
      <c r="E2757" s="88"/>
      <c r="F2757" s="73"/>
      <c r="G2757" s="394"/>
      <c r="H2757" s="73"/>
      <c r="I2757" s="88"/>
      <c r="J2757" s="410"/>
      <c r="K2757" s="393">
        <f t="shared" si="8"/>
        <v>1</v>
      </c>
      <c r="L2757" s="394" t="str">
        <f>IFERROR(__xludf.DUMMYFUNCTION("JOIN("""", G2757:H2757)"),"")</f>
        <v/>
      </c>
      <c r="M2757" s="80" t="str">
        <f t="shared" si="2"/>
        <v/>
      </c>
    </row>
    <row r="2758">
      <c r="A2758" s="86"/>
      <c r="B2758" s="73"/>
      <c r="C2758" s="73"/>
      <c r="D2758" s="73"/>
      <c r="E2758" s="88"/>
      <c r="F2758" s="73"/>
      <c r="G2758" s="394"/>
      <c r="H2758" s="73"/>
      <c r="I2758" s="88"/>
      <c r="J2758" s="410"/>
      <c r="K2758" s="393">
        <f t="shared" si="8"/>
        <v>1</v>
      </c>
      <c r="L2758" s="394" t="str">
        <f>IFERROR(__xludf.DUMMYFUNCTION("JOIN("""", G2758:H2758)"),"")</f>
        <v/>
      </c>
      <c r="M2758" s="80" t="str">
        <f t="shared" si="2"/>
        <v/>
      </c>
    </row>
    <row r="2759">
      <c r="A2759" s="86"/>
      <c r="B2759" s="73"/>
      <c r="C2759" s="73"/>
      <c r="D2759" s="73"/>
      <c r="E2759" s="88"/>
      <c r="F2759" s="73"/>
      <c r="G2759" s="394"/>
      <c r="H2759" s="73"/>
      <c r="I2759" s="88"/>
      <c r="J2759" s="410"/>
      <c r="K2759" s="393">
        <f t="shared" si="8"/>
        <v>1</v>
      </c>
      <c r="L2759" s="394" t="str">
        <f>IFERROR(__xludf.DUMMYFUNCTION("JOIN("""", G2759:H2759)"),"")</f>
        <v/>
      </c>
      <c r="M2759" s="80" t="str">
        <f t="shared" si="2"/>
        <v/>
      </c>
    </row>
    <row r="2760">
      <c r="A2760" s="86"/>
      <c r="B2760" s="73"/>
      <c r="C2760" s="73"/>
      <c r="D2760" s="73"/>
      <c r="E2760" s="88"/>
      <c r="F2760" s="73"/>
      <c r="G2760" s="394"/>
      <c r="H2760" s="73"/>
      <c r="I2760" s="88"/>
      <c r="J2760" s="410"/>
      <c r="K2760" s="393">
        <f t="shared" si="8"/>
        <v>1</v>
      </c>
      <c r="L2760" s="394" t="str">
        <f>IFERROR(__xludf.DUMMYFUNCTION("JOIN("""", G2760:H2760)"),"")</f>
        <v/>
      </c>
      <c r="M2760" s="80" t="str">
        <f t="shared" si="2"/>
        <v/>
      </c>
    </row>
    <row r="2761">
      <c r="A2761" s="86"/>
      <c r="B2761" s="73"/>
      <c r="C2761" s="73"/>
      <c r="D2761" s="73"/>
      <c r="E2761" s="88"/>
      <c r="F2761" s="73"/>
      <c r="G2761" s="394"/>
      <c r="H2761" s="73"/>
      <c r="I2761" s="88"/>
      <c r="J2761" s="410"/>
      <c r="K2761" s="393">
        <f t="shared" si="8"/>
        <v>1</v>
      </c>
      <c r="L2761" s="394" t="str">
        <f>IFERROR(__xludf.DUMMYFUNCTION("JOIN("""", G2761:H2761)"),"")</f>
        <v/>
      </c>
      <c r="M2761" s="80" t="str">
        <f t="shared" si="2"/>
        <v/>
      </c>
    </row>
    <row r="2762">
      <c r="A2762" s="86"/>
      <c r="B2762" s="73"/>
      <c r="C2762" s="73"/>
      <c r="D2762" s="73"/>
      <c r="E2762" s="88"/>
      <c r="F2762" s="73"/>
      <c r="G2762" s="394"/>
      <c r="H2762" s="73"/>
      <c r="I2762" s="88"/>
      <c r="J2762" s="410"/>
      <c r="K2762" s="393">
        <f t="shared" si="8"/>
        <v>1</v>
      </c>
      <c r="L2762" s="394" t="str">
        <f>IFERROR(__xludf.DUMMYFUNCTION("JOIN("""", G2762:H2762)"),"")</f>
        <v/>
      </c>
      <c r="M2762" s="80" t="str">
        <f t="shared" si="2"/>
        <v/>
      </c>
    </row>
    <row r="2763">
      <c r="A2763" s="86"/>
      <c r="B2763" s="73"/>
      <c r="C2763" s="73"/>
      <c r="D2763" s="73"/>
      <c r="E2763" s="88"/>
      <c r="F2763" s="73"/>
      <c r="G2763" s="394"/>
      <c r="H2763" s="73"/>
      <c r="I2763" s="88"/>
      <c r="J2763" s="410"/>
      <c r="K2763" s="393">
        <f t="shared" si="8"/>
        <v>1</v>
      </c>
      <c r="L2763" s="394" t="str">
        <f>IFERROR(__xludf.DUMMYFUNCTION("JOIN("""", G2763:H2763)"),"")</f>
        <v/>
      </c>
      <c r="M2763" s="80" t="str">
        <f t="shared" si="2"/>
        <v/>
      </c>
    </row>
    <row r="2764">
      <c r="A2764" s="86"/>
      <c r="B2764" s="73"/>
      <c r="C2764" s="73"/>
      <c r="D2764" s="73"/>
      <c r="E2764" s="88"/>
      <c r="F2764" s="73"/>
      <c r="G2764" s="394"/>
      <c r="H2764" s="73"/>
      <c r="I2764" s="88"/>
      <c r="J2764" s="410"/>
      <c r="K2764" s="393">
        <f t="shared" si="8"/>
        <v>1</v>
      </c>
      <c r="L2764" s="394" t="str">
        <f>IFERROR(__xludf.DUMMYFUNCTION("JOIN("""", G2764:H2764)"),"")</f>
        <v/>
      </c>
      <c r="M2764" s="80" t="str">
        <f t="shared" si="2"/>
        <v/>
      </c>
    </row>
    <row r="2765">
      <c r="A2765" s="86"/>
      <c r="B2765" s="73"/>
      <c r="C2765" s="73"/>
      <c r="D2765" s="73"/>
      <c r="E2765" s="88"/>
      <c r="F2765" s="73"/>
      <c r="G2765" s="394"/>
      <c r="H2765" s="73"/>
      <c r="I2765" s="88"/>
      <c r="J2765" s="410"/>
      <c r="K2765" s="393">
        <f t="shared" si="8"/>
        <v>1</v>
      </c>
      <c r="L2765" s="394" t="str">
        <f>IFERROR(__xludf.DUMMYFUNCTION("JOIN("""", G2765:H2765)"),"")</f>
        <v/>
      </c>
      <c r="M2765" s="80" t="str">
        <f t="shared" si="2"/>
        <v/>
      </c>
    </row>
    <row r="2766">
      <c r="A2766" s="86"/>
      <c r="B2766" s="73"/>
      <c r="C2766" s="73"/>
      <c r="D2766" s="73"/>
      <c r="E2766" s="88"/>
      <c r="F2766" s="73"/>
      <c r="G2766" s="394"/>
      <c r="H2766" s="73"/>
      <c r="I2766" s="88"/>
      <c r="J2766" s="410"/>
      <c r="K2766" s="393">
        <f t="shared" si="8"/>
        <v>1</v>
      </c>
      <c r="L2766" s="394" t="str">
        <f>IFERROR(__xludf.DUMMYFUNCTION("JOIN("""", G2766:H2766)"),"")</f>
        <v/>
      </c>
      <c r="M2766" s="80" t="str">
        <f t="shared" si="2"/>
        <v/>
      </c>
    </row>
    <row r="2767">
      <c r="A2767" s="86"/>
      <c r="B2767" s="73"/>
      <c r="C2767" s="73"/>
      <c r="D2767" s="73"/>
      <c r="E2767" s="88"/>
      <c r="F2767" s="73"/>
      <c r="G2767" s="394"/>
      <c r="H2767" s="73"/>
      <c r="I2767" s="88"/>
      <c r="J2767" s="410"/>
      <c r="K2767" s="393">
        <f t="shared" si="8"/>
        <v>1</v>
      </c>
      <c r="L2767" s="394" t="str">
        <f>IFERROR(__xludf.DUMMYFUNCTION("JOIN("""", G2767:H2767)"),"")</f>
        <v/>
      </c>
      <c r="M2767" s="80" t="str">
        <f t="shared" si="2"/>
        <v/>
      </c>
    </row>
    <row r="2768">
      <c r="A2768" s="86"/>
      <c r="B2768" s="73"/>
      <c r="C2768" s="73"/>
      <c r="D2768" s="73"/>
      <c r="E2768" s="88"/>
      <c r="F2768" s="73"/>
      <c r="G2768" s="394"/>
      <c r="H2768" s="73"/>
      <c r="I2768" s="88"/>
      <c r="J2768" s="410"/>
      <c r="K2768" s="393">
        <f t="shared" si="8"/>
        <v>1</v>
      </c>
      <c r="L2768" s="394" t="str">
        <f>IFERROR(__xludf.DUMMYFUNCTION("JOIN("""", G2768:H2768)"),"")</f>
        <v/>
      </c>
      <c r="M2768" s="80" t="str">
        <f t="shared" si="2"/>
        <v/>
      </c>
    </row>
    <row r="2769">
      <c r="A2769" s="86"/>
      <c r="B2769" s="73"/>
      <c r="C2769" s="73"/>
      <c r="D2769" s="73"/>
      <c r="E2769" s="88"/>
      <c r="F2769" s="73"/>
      <c r="G2769" s="394"/>
      <c r="H2769" s="73"/>
      <c r="I2769" s="88"/>
      <c r="J2769" s="410"/>
      <c r="K2769" s="393">
        <f t="shared" si="8"/>
        <v>1</v>
      </c>
      <c r="L2769" s="394" t="str">
        <f>IFERROR(__xludf.DUMMYFUNCTION("JOIN("""", G2769:H2769)"),"")</f>
        <v/>
      </c>
      <c r="M2769" s="80" t="str">
        <f t="shared" si="2"/>
        <v/>
      </c>
    </row>
    <row r="2770">
      <c r="A2770" s="86"/>
      <c r="B2770" s="73"/>
      <c r="C2770" s="73"/>
      <c r="D2770" s="73"/>
      <c r="E2770" s="88"/>
      <c r="F2770" s="73"/>
      <c r="G2770" s="394"/>
      <c r="H2770" s="73"/>
      <c r="I2770" s="88"/>
      <c r="J2770" s="410"/>
      <c r="K2770" s="393">
        <f t="shared" si="8"/>
        <v>1</v>
      </c>
      <c r="L2770" s="394" t="str">
        <f>IFERROR(__xludf.DUMMYFUNCTION("JOIN("""", G2770:H2770)"),"")</f>
        <v/>
      </c>
      <c r="M2770" s="80" t="str">
        <f t="shared" si="2"/>
        <v/>
      </c>
    </row>
    <row r="2771">
      <c r="A2771" s="86"/>
      <c r="B2771" s="73"/>
      <c r="C2771" s="73"/>
      <c r="D2771" s="73"/>
      <c r="E2771" s="88"/>
      <c r="F2771" s="73"/>
      <c r="G2771" s="394"/>
      <c r="H2771" s="73"/>
      <c r="I2771" s="88"/>
      <c r="J2771" s="410"/>
      <c r="K2771" s="393">
        <f t="shared" si="8"/>
        <v>1</v>
      </c>
      <c r="L2771" s="394" t="str">
        <f>IFERROR(__xludf.DUMMYFUNCTION("JOIN("""", G2771:H2771)"),"")</f>
        <v/>
      </c>
      <c r="M2771" s="80" t="str">
        <f t="shared" si="2"/>
        <v/>
      </c>
    </row>
    <row r="2772">
      <c r="A2772" s="86"/>
      <c r="B2772" s="73"/>
      <c r="C2772" s="73"/>
      <c r="D2772" s="73"/>
      <c r="E2772" s="88"/>
      <c r="F2772" s="73"/>
      <c r="G2772" s="394"/>
      <c r="H2772" s="73"/>
      <c r="I2772" s="88"/>
      <c r="J2772" s="410"/>
      <c r="K2772" s="393">
        <f t="shared" si="8"/>
        <v>1</v>
      </c>
      <c r="L2772" s="394" t="str">
        <f>IFERROR(__xludf.DUMMYFUNCTION("JOIN("""", G2772:H2772)"),"")</f>
        <v/>
      </c>
      <c r="M2772" s="80" t="str">
        <f t="shared" si="2"/>
        <v/>
      </c>
    </row>
    <row r="2773">
      <c r="A2773" s="86"/>
      <c r="B2773" s="73"/>
      <c r="C2773" s="73"/>
      <c r="D2773" s="73"/>
      <c r="E2773" s="88"/>
      <c r="F2773" s="73"/>
      <c r="G2773" s="394"/>
      <c r="H2773" s="73"/>
      <c r="I2773" s="88"/>
      <c r="J2773" s="410"/>
      <c r="K2773" s="393">
        <f t="shared" si="8"/>
        <v>1</v>
      </c>
      <c r="L2773" s="394" t="str">
        <f>IFERROR(__xludf.DUMMYFUNCTION("JOIN("""", G2773:H2773)"),"")</f>
        <v/>
      </c>
      <c r="M2773" s="80" t="str">
        <f t="shared" si="2"/>
        <v/>
      </c>
    </row>
    <row r="2774">
      <c r="A2774" s="86"/>
      <c r="B2774" s="73"/>
      <c r="C2774" s="73"/>
      <c r="D2774" s="73"/>
      <c r="E2774" s="88"/>
      <c r="F2774" s="73"/>
      <c r="G2774" s="394"/>
      <c r="H2774" s="73"/>
      <c r="I2774" s="88"/>
      <c r="J2774" s="410"/>
      <c r="K2774" s="393">
        <f t="shared" si="8"/>
        <v>1</v>
      </c>
      <c r="L2774" s="394" t="str">
        <f>IFERROR(__xludf.DUMMYFUNCTION("JOIN("""", G2774:H2774)"),"")</f>
        <v/>
      </c>
      <c r="M2774" s="80" t="str">
        <f t="shared" si="2"/>
        <v/>
      </c>
    </row>
    <row r="2775">
      <c r="A2775" s="86"/>
      <c r="B2775" s="73"/>
      <c r="C2775" s="73"/>
      <c r="D2775" s="73"/>
      <c r="E2775" s="88"/>
      <c r="F2775" s="73"/>
      <c r="G2775" s="394"/>
      <c r="H2775" s="73"/>
      <c r="I2775" s="88"/>
      <c r="J2775" s="410"/>
      <c r="K2775" s="393">
        <f t="shared" si="8"/>
        <v>1</v>
      </c>
      <c r="L2775" s="394" t="str">
        <f>IFERROR(__xludf.DUMMYFUNCTION("JOIN("""", G2775:H2775)"),"")</f>
        <v/>
      </c>
      <c r="M2775" s="80" t="str">
        <f t="shared" si="2"/>
        <v/>
      </c>
    </row>
    <row r="2776">
      <c r="A2776" s="86"/>
      <c r="B2776" s="73"/>
      <c r="C2776" s="73"/>
      <c r="D2776" s="73"/>
      <c r="E2776" s="88"/>
      <c r="F2776" s="73"/>
      <c r="G2776" s="394"/>
      <c r="H2776" s="73"/>
      <c r="I2776" s="88"/>
      <c r="J2776" s="410"/>
      <c r="K2776" s="393">
        <f t="shared" si="8"/>
        <v>1</v>
      </c>
      <c r="L2776" s="394" t="str">
        <f>IFERROR(__xludf.DUMMYFUNCTION("JOIN("""", G2776:H2776)"),"")</f>
        <v/>
      </c>
      <c r="M2776" s="80" t="str">
        <f t="shared" si="2"/>
        <v/>
      </c>
    </row>
    <row r="2777">
      <c r="A2777" s="86"/>
      <c r="B2777" s="73"/>
      <c r="C2777" s="73"/>
      <c r="D2777" s="73"/>
      <c r="E2777" s="88"/>
      <c r="F2777" s="73"/>
      <c r="G2777" s="394"/>
      <c r="H2777" s="73"/>
      <c r="I2777" s="88"/>
      <c r="J2777" s="410"/>
      <c r="K2777" s="393">
        <f t="shared" si="8"/>
        <v>1</v>
      </c>
      <c r="L2777" s="394" t="str">
        <f>IFERROR(__xludf.DUMMYFUNCTION("JOIN("""", G2777:H2777)"),"")</f>
        <v/>
      </c>
      <c r="M2777" s="80" t="str">
        <f t="shared" si="2"/>
        <v/>
      </c>
    </row>
    <row r="2778">
      <c r="A2778" s="86"/>
      <c r="B2778" s="73"/>
      <c r="C2778" s="73"/>
      <c r="D2778" s="73"/>
      <c r="E2778" s="88"/>
      <c r="F2778" s="73"/>
      <c r="G2778" s="394"/>
      <c r="H2778" s="73"/>
      <c r="I2778" s="88"/>
      <c r="J2778" s="410"/>
      <c r="K2778" s="393">
        <f t="shared" si="8"/>
        <v>1</v>
      </c>
      <c r="L2778" s="394" t="str">
        <f>IFERROR(__xludf.DUMMYFUNCTION("JOIN("""", G2778:H2778)"),"")</f>
        <v/>
      </c>
      <c r="M2778" s="80" t="str">
        <f t="shared" si="2"/>
        <v/>
      </c>
    </row>
    <row r="2779">
      <c r="A2779" s="86"/>
      <c r="B2779" s="73"/>
      <c r="C2779" s="73"/>
      <c r="D2779" s="73"/>
      <c r="E2779" s="88"/>
      <c r="F2779" s="73"/>
      <c r="G2779" s="394"/>
      <c r="H2779" s="73"/>
      <c r="I2779" s="88"/>
      <c r="J2779" s="410"/>
      <c r="K2779" s="393">
        <f t="shared" si="8"/>
        <v>1</v>
      </c>
      <c r="L2779" s="394" t="str">
        <f>IFERROR(__xludf.DUMMYFUNCTION("JOIN("""", G2779:H2779)"),"")</f>
        <v/>
      </c>
      <c r="M2779" s="80" t="str">
        <f t="shared" si="2"/>
        <v/>
      </c>
    </row>
    <row r="2780">
      <c r="A2780" s="86"/>
      <c r="B2780" s="73"/>
      <c r="C2780" s="73"/>
      <c r="D2780" s="73"/>
      <c r="E2780" s="88"/>
      <c r="F2780" s="73"/>
      <c r="G2780" s="394"/>
      <c r="H2780" s="73"/>
      <c r="I2780" s="88"/>
      <c r="J2780" s="410"/>
      <c r="K2780" s="393">
        <f t="shared" si="8"/>
        <v>1</v>
      </c>
      <c r="L2780" s="394" t="str">
        <f>IFERROR(__xludf.DUMMYFUNCTION("JOIN("""", G2780:H2780)"),"")</f>
        <v/>
      </c>
      <c r="M2780" s="80" t="str">
        <f t="shared" si="2"/>
        <v/>
      </c>
    </row>
    <row r="2781">
      <c r="A2781" s="86"/>
      <c r="B2781" s="73"/>
      <c r="C2781" s="73"/>
      <c r="D2781" s="73"/>
      <c r="E2781" s="88"/>
      <c r="F2781" s="73"/>
      <c r="G2781" s="394"/>
      <c r="H2781" s="73"/>
      <c r="I2781" s="88"/>
      <c r="J2781" s="410"/>
      <c r="K2781" s="393">
        <f t="shared" si="8"/>
        <v>1</v>
      </c>
      <c r="L2781" s="394" t="str">
        <f>IFERROR(__xludf.DUMMYFUNCTION("JOIN("""", G2781:H2781)"),"")</f>
        <v/>
      </c>
      <c r="M2781" s="80" t="str">
        <f t="shared" si="2"/>
        <v/>
      </c>
    </row>
    <row r="2782">
      <c r="A2782" s="86"/>
      <c r="B2782" s="73"/>
      <c r="C2782" s="73"/>
      <c r="D2782" s="73"/>
      <c r="E2782" s="88"/>
      <c r="F2782" s="73"/>
      <c r="G2782" s="394"/>
      <c r="H2782" s="73"/>
      <c r="I2782" s="88"/>
      <c r="J2782" s="410"/>
      <c r="K2782" s="393">
        <f t="shared" si="8"/>
        <v>1</v>
      </c>
      <c r="L2782" s="394" t="str">
        <f>IFERROR(__xludf.DUMMYFUNCTION("JOIN("""", G2782:H2782)"),"")</f>
        <v/>
      </c>
      <c r="M2782" s="80" t="str">
        <f t="shared" si="2"/>
        <v/>
      </c>
    </row>
    <row r="2783">
      <c r="A2783" s="86"/>
      <c r="B2783" s="73"/>
      <c r="C2783" s="73"/>
      <c r="D2783" s="73"/>
      <c r="E2783" s="88"/>
      <c r="F2783" s="73"/>
      <c r="G2783" s="394"/>
      <c r="H2783" s="73"/>
      <c r="I2783" s="88"/>
      <c r="J2783" s="410"/>
      <c r="K2783" s="393">
        <f t="shared" si="8"/>
        <v>1</v>
      </c>
      <c r="L2783" s="394" t="str">
        <f>IFERROR(__xludf.DUMMYFUNCTION("JOIN("""", G2783:H2783)"),"")</f>
        <v/>
      </c>
      <c r="M2783" s="80" t="str">
        <f t="shared" si="2"/>
        <v/>
      </c>
    </row>
    <row r="2784">
      <c r="A2784" s="86"/>
      <c r="B2784" s="73"/>
      <c r="C2784" s="73"/>
      <c r="D2784" s="73"/>
      <c r="E2784" s="88"/>
      <c r="F2784" s="73"/>
      <c r="G2784" s="394"/>
      <c r="H2784" s="73"/>
      <c r="I2784" s="88"/>
      <c r="J2784" s="410"/>
      <c r="K2784" s="393">
        <f t="shared" si="8"/>
        <v>1</v>
      </c>
      <c r="L2784" s="394" t="str">
        <f>IFERROR(__xludf.DUMMYFUNCTION("JOIN("""", G2784:H2784)"),"")</f>
        <v/>
      </c>
      <c r="M2784" s="80" t="str">
        <f t="shared" si="2"/>
        <v/>
      </c>
    </row>
    <row r="2785">
      <c r="A2785" s="86"/>
      <c r="B2785" s="73"/>
      <c r="C2785" s="73"/>
      <c r="D2785" s="73"/>
      <c r="E2785" s="88"/>
      <c r="F2785" s="73"/>
      <c r="G2785" s="394"/>
      <c r="H2785" s="73"/>
      <c r="I2785" s="88"/>
      <c r="J2785" s="410"/>
      <c r="K2785" s="393">
        <f t="shared" si="8"/>
        <v>1</v>
      </c>
      <c r="L2785" s="394" t="str">
        <f>IFERROR(__xludf.DUMMYFUNCTION("JOIN("""", G2785:H2785)"),"")</f>
        <v/>
      </c>
      <c r="M2785" s="80" t="str">
        <f t="shared" si="2"/>
        <v/>
      </c>
    </row>
    <row r="2786">
      <c r="A2786" s="86"/>
      <c r="B2786" s="73"/>
      <c r="C2786" s="73"/>
      <c r="D2786" s="73"/>
      <c r="E2786" s="88"/>
      <c r="F2786" s="73"/>
      <c r="G2786" s="394"/>
      <c r="H2786" s="73"/>
      <c r="I2786" s="88"/>
      <c r="J2786" s="410"/>
      <c r="K2786" s="393">
        <f t="shared" si="8"/>
        <v>1</v>
      </c>
      <c r="L2786" s="394" t="str">
        <f>IFERROR(__xludf.DUMMYFUNCTION("JOIN("""", G2786:H2786)"),"")</f>
        <v/>
      </c>
      <c r="M2786" s="80" t="str">
        <f t="shared" si="2"/>
        <v/>
      </c>
    </row>
    <row r="2787">
      <c r="A2787" s="86"/>
      <c r="B2787" s="73"/>
      <c r="C2787" s="73"/>
      <c r="D2787" s="73"/>
      <c r="E2787" s="88"/>
      <c r="F2787" s="73"/>
      <c r="G2787" s="394"/>
      <c r="H2787" s="73"/>
      <c r="I2787" s="88"/>
      <c r="J2787" s="410"/>
      <c r="K2787" s="393">
        <f t="shared" si="8"/>
        <v>1</v>
      </c>
      <c r="L2787" s="394" t="str">
        <f>IFERROR(__xludf.DUMMYFUNCTION("JOIN("""", G2787:H2787)"),"")</f>
        <v/>
      </c>
      <c r="M2787" s="80" t="str">
        <f t="shared" si="2"/>
        <v/>
      </c>
    </row>
    <row r="2788">
      <c r="A2788" s="86"/>
      <c r="B2788" s="73"/>
      <c r="C2788" s="73"/>
      <c r="D2788" s="73"/>
      <c r="E2788" s="88"/>
      <c r="F2788" s="73"/>
      <c r="G2788" s="394"/>
      <c r="H2788" s="73"/>
      <c r="I2788" s="88"/>
      <c r="J2788" s="410"/>
      <c r="K2788" s="393">
        <f t="shared" si="8"/>
        <v>1</v>
      </c>
      <c r="L2788" s="394" t="str">
        <f>IFERROR(__xludf.DUMMYFUNCTION("JOIN("""", G2788:H2788)"),"")</f>
        <v/>
      </c>
      <c r="M2788" s="80" t="str">
        <f t="shared" si="2"/>
        <v/>
      </c>
    </row>
    <row r="2789">
      <c r="A2789" s="86"/>
      <c r="B2789" s="73"/>
      <c r="C2789" s="73"/>
      <c r="D2789" s="73"/>
      <c r="E2789" s="88"/>
      <c r="F2789" s="73"/>
      <c r="G2789" s="394"/>
      <c r="H2789" s="73"/>
      <c r="I2789" s="88"/>
      <c r="J2789" s="410"/>
      <c r="K2789" s="393">
        <f t="shared" si="8"/>
        <v>1</v>
      </c>
      <c r="L2789" s="394" t="str">
        <f>IFERROR(__xludf.DUMMYFUNCTION("JOIN("""", G2789:H2789)"),"")</f>
        <v/>
      </c>
      <c r="M2789" s="80" t="str">
        <f t="shared" si="2"/>
        <v/>
      </c>
    </row>
    <row r="2790">
      <c r="A2790" s="86"/>
      <c r="B2790" s="73"/>
      <c r="C2790" s="73"/>
      <c r="D2790" s="73"/>
      <c r="E2790" s="88"/>
      <c r="F2790" s="73"/>
      <c r="G2790" s="394"/>
      <c r="H2790" s="73"/>
      <c r="I2790" s="88"/>
      <c r="J2790" s="410"/>
      <c r="K2790" s="393">
        <f t="shared" si="8"/>
        <v>1</v>
      </c>
      <c r="L2790" s="394" t="str">
        <f>IFERROR(__xludf.DUMMYFUNCTION("JOIN("""", G2790:H2790)"),"")</f>
        <v/>
      </c>
      <c r="M2790" s="80" t="str">
        <f t="shared" si="2"/>
        <v/>
      </c>
    </row>
    <row r="2791">
      <c r="A2791" s="86"/>
      <c r="B2791" s="73"/>
      <c r="C2791" s="73"/>
      <c r="D2791" s="73"/>
      <c r="E2791" s="88"/>
      <c r="F2791" s="73"/>
      <c r="G2791" s="394"/>
      <c r="H2791" s="73"/>
      <c r="I2791" s="88"/>
      <c r="J2791" s="410"/>
      <c r="K2791" s="393">
        <f t="shared" si="8"/>
        <v>1</v>
      </c>
      <c r="L2791" s="394" t="str">
        <f>IFERROR(__xludf.DUMMYFUNCTION("JOIN("""", G2791:H2791)"),"")</f>
        <v/>
      </c>
      <c r="M2791" s="80" t="str">
        <f t="shared" si="2"/>
        <v/>
      </c>
    </row>
    <row r="2792">
      <c r="A2792" s="86"/>
      <c r="B2792" s="73"/>
      <c r="C2792" s="73"/>
      <c r="D2792" s="73"/>
      <c r="E2792" s="88"/>
      <c r="F2792" s="73"/>
      <c r="G2792" s="394"/>
      <c r="H2792" s="73"/>
      <c r="I2792" s="88"/>
      <c r="J2792" s="410"/>
      <c r="K2792" s="393">
        <f t="shared" si="8"/>
        <v>1</v>
      </c>
      <c r="L2792" s="394" t="str">
        <f>IFERROR(__xludf.DUMMYFUNCTION("JOIN("""", G2792:H2792)"),"")</f>
        <v/>
      </c>
      <c r="M2792" s="80" t="str">
        <f t="shared" si="2"/>
        <v/>
      </c>
    </row>
    <row r="2793">
      <c r="A2793" s="86"/>
      <c r="B2793" s="73"/>
      <c r="C2793" s="73"/>
      <c r="D2793" s="73"/>
      <c r="E2793" s="88"/>
      <c r="F2793" s="73"/>
      <c r="G2793" s="394"/>
      <c r="H2793" s="73"/>
      <c r="I2793" s="88"/>
      <c r="J2793" s="410"/>
      <c r="K2793" s="393">
        <f t="shared" si="8"/>
        <v>1</v>
      </c>
      <c r="L2793" s="394" t="str">
        <f>IFERROR(__xludf.DUMMYFUNCTION("JOIN("""", G2793:H2793)"),"")</f>
        <v/>
      </c>
      <c r="M2793" s="80" t="str">
        <f t="shared" si="2"/>
        <v/>
      </c>
    </row>
    <row r="2794">
      <c r="A2794" s="86"/>
      <c r="B2794" s="73"/>
      <c r="C2794" s="73"/>
      <c r="D2794" s="73"/>
      <c r="E2794" s="88"/>
      <c r="F2794" s="73"/>
      <c r="G2794" s="394"/>
      <c r="H2794" s="73"/>
      <c r="I2794" s="88"/>
      <c r="J2794" s="410"/>
      <c r="K2794" s="393">
        <f t="shared" si="8"/>
        <v>1</v>
      </c>
      <c r="L2794" s="394" t="str">
        <f>IFERROR(__xludf.DUMMYFUNCTION("JOIN("""", G2794:H2794)"),"")</f>
        <v/>
      </c>
      <c r="M2794" s="80" t="str">
        <f t="shared" si="2"/>
        <v/>
      </c>
    </row>
    <row r="2795">
      <c r="A2795" s="86"/>
      <c r="B2795" s="73"/>
      <c r="C2795" s="73"/>
      <c r="D2795" s="73"/>
      <c r="E2795" s="88"/>
      <c r="F2795" s="73"/>
      <c r="G2795" s="394"/>
      <c r="H2795" s="73"/>
      <c r="I2795" s="88"/>
      <c r="J2795" s="410"/>
      <c r="K2795" s="393">
        <f t="shared" si="8"/>
        <v>1</v>
      </c>
      <c r="L2795" s="394" t="str">
        <f>IFERROR(__xludf.DUMMYFUNCTION("JOIN("""", G2795:H2795)"),"")</f>
        <v/>
      </c>
      <c r="M2795" s="80" t="str">
        <f t="shared" si="2"/>
        <v/>
      </c>
    </row>
    <row r="2796">
      <c r="A2796" s="86"/>
      <c r="B2796" s="73"/>
      <c r="C2796" s="73"/>
      <c r="D2796" s="73"/>
      <c r="E2796" s="88"/>
      <c r="F2796" s="73"/>
      <c r="G2796" s="394"/>
      <c r="H2796" s="73"/>
      <c r="I2796" s="88"/>
      <c r="J2796" s="410"/>
      <c r="K2796" s="393">
        <f t="shared" si="8"/>
        <v>1</v>
      </c>
      <c r="L2796" s="394" t="str">
        <f>IFERROR(__xludf.DUMMYFUNCTION("JOIN("""", G2796:H2796)"),"")</f>
        <v/>
      </c>
      <c r="M2796" s="80" t="str">
        <f t="shared" si="2"/>
        <v/>
      </c>
    </row>
    <row r="2797">
      <c r="A2797" s="86"/>
      <c r="B2797" s="73"/>
      <c r="C2797" s="73"/>
      <c r="D2797" s="73"/>
      <c r="E2797" s="88"/>
      <c r="F2797" s="73"/>
      <c r="G2797" s="394"/>
      <c r="H2797" s="73"/>
      <c r="I2797" s="88"/>
      <c r="J2797" s="410"/>
      <c r="K2797" s="393">
        <f t="shared" si="8"/>
        <v>1</v>
      </c>
      <c r="L2797" s="394" t="str">
        <f>IFERROR(__xludf.DUMMYFUNCTION("JOIN("""", G2797:H2797)"),"")</f>
        <v/>
      </c>
      <c r="M2797" s="80" t="str">
        <f t="shared" si="2"/>
        <v/>
      </c>
    </row>
    <row r="2798">
      <c r="A2798" s="86"/>
      <c r="B2798" s="73"/>
      <c r="C2798" s="73"/>
      <c r="D2798" s="73"/>
      <c r="E2798" s="88"/>
      <c r="F2798" s="73"/>
      <c r="G2798" s="394"/>
      <c r="H2798" s="73"/>
      <c r="I2798" s="88"/>
      <c r="J2798" s="410"/>
      <c r="K2798" s="393">
        <f t="shared" si="8"/>
        <v>1</v>
      </c>
      <c r="L2798" s="394" t="str">
        <f>IFERROR(__xludf.DUMMYFUNCTION("JOIN("""", G2798:H2798)"),"")</f>
        <v/>
      </c>
      <c r="M2798" s="80" t="str">
        <f t="shared" si="2"/>
        <v/>
      </c>
    </row>
    <row r="2799">
      <c r="A2799" s="86"/>
      <c r="B2799" s="73"/>
      <c r="C2799" s="73"/>
      <c r="D2799" s="73"/>
      <c r="E2799" s="88"/>
      <c r="F2799" s="73"/>
      <c r="G2799" s="394"/>
      <c r="H2799" s="73"/>
      <c r="I2799" s="88"/>
      <c r="J2799" s="410"/>
      <c r="K2799" s="393">
        <f t="shared" si="8"/>
        <v>1</v>
      </c>
      <c r="L2799" s="394" t="str">
        <f>IFERROR(__xludf.DUMMYFUNCTION("JOIN("""", G2799:H2799)"),"")</f>
        <v/>
      </c>
      <c r="M2799" s="80" t="str">
        <f t="shared" si="2"/>
        <v/>
      </c>
    </row>
    <row r="2800">
      <c r="A2800" s="86"/>
      <c r="B2800" s="73"/>
      <c r="C2800" s="73"/>
      <c r="D2800" s="73"/>
      <c r="E2800" s="88"/>
      <c r="F2800" s="73"/>
      <c r="G2800" s="394"/>
      <c r="H2800" s="73"/>
      <c r="I2800" s="88"/>
      <c r="J2800" s="410"/>
      <c r="K2800" s="393">
        <f t="shared" si="8"/>
        <v>1</v>
      </c>
      <c r="L2800" s="394" t="str">
        <f>IFERROR(__xludf.DUMMYFUNCTION("JOIN("""", G2800:H2800)"),"")</f>
        <v/>
      </c>
      <c r="M2800" s="80" t="str">
        <f t="shared" si="2"/>
        <v/>
      </c>
    </row>
    <row r="2801">
      <c r="A2801" s="86"/>
      <c r="B2801" s="73"/>
      <c r="C2801" s="73"/>
      <c r="D2801" s="73"/>
      <c r="E2801" s="88"/>
      <c r="F2801" s="73"/>
      <c r="G2801" s="394"/>
      <c r="H2801" s="73"/>
      <c r="I2801" s="88"/>
      <c r="J2801" s="410"/>
      <c r="K2801" s="393">
        <f t="shared" si="8"/>
        <v>1</v>
      </c>
      <c r="L2801" s="394" t="str">
        <f>IFERROR(__xludf.DUMMYFUNCTION("JOIN("""", G2801:H2801)"),"")</f>
        <v/>
      </c>
      <c r="M2801" s="80" t="str">
        <f t="shared" si="2"/>
        <v/>
      </c>
    </row>
    <row r="2802">
      <c r="A2802" s="86"/>
      <c r="B2802" s="73"/>
      <c r="C2802" s="73"/>
      <c r="D2802" s="73"/>
      <c r="E2802" s="88"/>
      <c r="F2802" s="73"/>
      <c r="G2802" s="394"/>
      <c r="H2802" s="73"/>
      <c r="I2802" s="88"/>
      <c r="J2802" s="410"/>
      <c r="K2802" s="393">
        <f t="shared" si="8"/>
        <v>1</v>
      </c>
      <c r="L2802" s="394" t="str">
        <f>IFERROR(__xludf.DUMMYFUNCTION("JOIN("""", G2802:H2802)"),"")</f>
        <v/>
      </c>
      <c r="M2802" s="80" t="str">
        <f t="shared" si="2"/>
        <v/>
      </c>
    </row>
    <row r="2803">
      <c r="A2803" s="86"/>
      <c r="B2803" s="73"/>
      <c r="C2803" s="73"/>
      <c r="D2803" s="73"/>
      <c r="E2803" s="88"/>
      <c r="F2803" s="73"/>
      <c r="G2803" s="394"/>
      <c r="H2803" s="73"/>
      <c r="I2803" s="88"/>
      <c r="J2803" s="410"/>
      <c r="K2803" s="393">
        <f t="shared" si="8"/>
        <v>1</v>
      </c>
      <c r="L2803" s="394" t="str">
        <f>IFERROR(__xludf.DUMMYFUNCTION("JOIN("""", G2803:H2803)"),"")</f>
        <v/>
      </c>
      <c r="M2803" s="80" t="str">
        <f t="shared" si="2"/>
        <v/>
      </c>
    </row>
    <row r="2804">
      <c r="A2804" s="86"/>
      <c r="B2804" s="73"/>
      <c r="C2804" s="73"/>
      <c r="D2804" s="73"/>
      <c r="E2804" s="88"/>
      <c r="F2804" s="73"/>
      <c r="G2804" s="394"/>
      <c r="H2804" s="73"/>
      <c r="I2804" s="88"/>
      <c r="J2804" s="410"/>
      <c r="K2804" s="393">
        <f t="shared" si="8"/>
        <v>1</v>
      </c>
      <c r="L2804" s="394" t="str">
        <f>IFERROR(__xludf.DUMMYFUNCTION("JOIN("""", G2804:H2804)"),"")</f>
        <v/>
      </c>
      <c r="M2804" s="80" t="str">
        <f t="shared" si="2"/>
        <v/>
      </c>
    </row>
    <row r="2805">
      <c r="A2805" s="86"/>
      <c r="B2805" s="73"/>
      <c r="C2805" s="73"/>
      <c r="D2805" s="73"/>
      <c r="E2805" s="88"/>
      <c r="F2805" s="73"/>
      <c r="G2805" s="394"/>
      <c r="H2805" s="73"/>
      <c r="I2805" s="88"/>
      <c r="J2805" s="410"/>
      <c r="K2805" s="393">
        <f t="shared" si="8"/>
        <v>1</v>
      </c>
      <c r="L2805" s="394" t="str">
        <f>IFERROR(__xludf.DUMMYFUNCTION("JOIN("""", G2805:H2805)"),"")</f>
        <v/>
      </c>
      <c r="M2805" s="80" t="str">
        <f t="shared" si="2"/>
        <v/>
      </c>
    </row>
    <row r="2806">
      <c r="A2806" s="86"/>
      <c r="B2806" s="73"/>
      <c r="C2806" s="73"/>
      <c r="D2806" s="73"/>
      <c r="E2806" s="88"/>
      <c r="F2806" s="73"/>
      <c r="G2806" s="394"/>
      <c r="H2806" s="73"/>
      <c r="I2806" s="88"/>
      <c r="J2806" s="410"/>
      <c r="K2806" s="393">
        <f t="shared" si="8"/>
        <v>1</v>
      </c>
      <c r="L2806" s="394" t="str">
        <f>IFERROR(__xludf.DUMMYFUNCTION("JOIN("""", G2806:H2806)"),"")</f>
        <v/>
      </c>
      <c r="M2806" s="80" t="str">
        <f t="shared" si="2"/>
        <v/>
      </c>
    </row>
    <row r="2807">
      <c r="A2807" s="86"/>
      <c r="B2807" s="73"/>
      <c r="C2807" s="73"/>
      <c r="D2807" s="73"/>
      <c r="E2807" s="88"/>
      <c r="F2807" s="73"/>
      <c r="G2807" s="394"/>
      <c r="H2807" s="73"/>
      <c r="I2807" s="88"/>
      <c r="J2807" s="410"/>
      <c r="K2807" s="393">
        <f t="shared" si="8"/>
        <v>1</v>
      </c>
      <c r="L2807" s="394" t="str">
        <f>IFERROR(__xludf.DUMMYFUNCTION("JOIN("""", G2807:H2807)"),"")</f>
        <v/>
      </c>
      <c r="M2807" s="80" t="str">
        <f t="shared" si="2"/>
        <v/>
      </c>
    </row>
    <row r="2808">
      <c r="A2808" s="86"/>
      <c r="B2808" s="73"/>
      <c r="C2808" s="73"/>
      <c r="D2808" s="73"/>
      <c r="E2808" s="88"/>
      <c r="F2808" s="73"/>
      <c r="G2808" s="394"/>
      <c r="H2808" s="73"/>
      <c r="I2808" s="88"/>
      <c r="J2808" s="410"/>
      <c r="K2808" s="393">
        <f t="shared" si="8"/>
        <v>1</v>
      </c>
      <c r="L2808" s="394" t="str">
        <f>IFERROR(__xludf.DUMMYFUNCTION("JOIN("""", G2808:H2808)"),"")</f>
        <v/>
      </c>
      <c r="M2808" s="80" t="str">
        <f t="shared" si="2"/>
        <v/>
      </c>
    </row>
    <row r="2809">
      <c r="A2809" s="86"/>
      <c r="B2809" s="73"/>
      <c r="C2809" s="73"/>
      <c r="D2809" s="73"/>
      <c r="E2809" s="88"/>
      <c r="F2809" s="73"/>
      <c r="G2809" s="394"/>
      <c r="H2809" s="73"/>
      <c r="I2809" s="88"/>
      <c r="J2809" s="410"/>
      <c r="K2809" s="393">
        <f t="shared" si="8"/>
        <v>1</v>
      </c>
      <c r="L2809" s="394" t="str">
        <f>IFERROR(__xludf.DUMMYFUNCTION("JOIN("""", G2809:H2809)"),"")</f>
        <v/>
      </c>
      <c r="M2809" s="80" t="str">
        <f t="shared" si="2"/>
        <v/>
      </c>
    </row>
    <row r="2810">
      <c r="A2810" s="86"/>
      <c r="B2810" s="73"/>
      <c r="C2810" s="73"/>
      <c r="D2810" s="73"/>
      <c r="E2810" s="88"/>
      <c r="F2810" s="73"/>
      <c r="G2810" s="394"/>
      <c r="H2810" s="73"/>
      <c r="I2810" s="88"/>
      <c r="J2810" s="410"/>
      <c r="K2810" s="393">
        <f t="shared" si="8"/>
        <v>1</v>
      </c>
      <c r="L2810" s="394" t="str">
        <f>IFERROR(__xludf.DUMMYFUNCTION("JOIN("""", G2810:H2810)"),"")</f>
        <v/>
      </c>
      <c r="M2810" s="80" t="str">
        <f t="shared" si="2"/>
        <v/>
      </c>
    </row>
    <row r="2811">
      <c r="A2811" s="86"/>
      <c r="B2811" s="73"/>
      <c r="C2811" s="73"/>
      <c r="D2811" s="73"/>
      <c r="E2811" s="88"/>
      <c r="F2811" s="73"/>
      <c r="G2811" s="394"/>
      <c r="H2811" s="73"/>
      <c r="I2811" s="88"/>
      <c r="J2811" s="410"/>
      <c r="K2811" s="393">
        <f t="shared" si="8"/>
        <v>1</v>
      </c>
      <c r="L2811" s="394" t="str">
        <f>IFERROR(__xludf.DUMMYFUNCTION("JOIN("""", G2811:H2811)"),"")</f>
        <v/>
      </c>
      <c r="M2811" s="80" t="str">
        <f t="shared" si="2"/>
        <v/>
      </c>
    </row>
    <row r="2812">
      <c r="A2812" s="86"/>
      <c r="B2812" s="73"/>
      <c r="C2812" s="73"/>
      <c r="D2812" s="73"/>
      <c r="E2812" s="88"/>
      <c r="F2812" s="73"/>
      <c r="G2812" s="394"/>
      <c r="H2812" s="73"/>
      <c r="I2812" s="88"/>
      <c r="J2812" s="410"/>
      <c r="K2812" s="393">
        <f t="shared" si="8"/>
        <v>1</v>
      </c>
      <c r="L2812" s="394" t="str">
        <f>IFERROR(__xludf.DUMMYFUNCTION("JOIN("""", G2812:H2812)"),"")</f>
        <v/>
      </c>
      <c r="M2812" s="80" t="str">
        <f t="shared" si="2"/>
        <v/>
      </c>
    </row>
    <row r="2813">
      <c r="A2813" s="86"/>
      <c r="B2813" s="73"/>
      <c r="C2813" s="73"/>
      <c r="D2813" s="73"/>
      <c r="E2813" s="88"/>
      <c r="F2813" s="73"/>
      <c r="G2813" s="394"/>
      <c r="H2813" s="73"/>
      <c r="I2813" s="88"/>
      <c r="J2813" s="410"/>
      <c r="K2813" s="393">
        <f t="shared" si="8"/>
        <v>1</v>
      </c>
      <c r="L2813" s="394" t="str">
        <f>IFERROR(__xludf.DUMMYFUNCTION("JOIN("""", G2813:H2813)"),"")</f>
        <v/>
      </c>
      <c r="M2813" s="80" t="str">
        <f t="shared" si="2"/>
        <v/>
      </c>
    </row>
    <row r="2814">
      <c r="A2814" s="86"/>
      <c r="B2814" s="73"/>
      <c r="C2814" s="73"/>
      <c r="D2814" s="73"/>
      <c r="E2814" s="88"/>
      <c r="F2814" s="73"/>
      <c r="G2814" s="394"/>
      <c r="H2814" s="73"/>
      <c r="I2814" s="88"/>
      <c r="J2814" s="410"/>
      <c r="K2814" s="393">
        <f t="shared" si="8"/>
        <v>1</v>
      </c>
      <c r="L2814" s="394" t="str">
        <f>IFERROR(__xludf.DUMMYFUNCTION("JOIN("""", G2814:H2814)"),"")</f>
        <v/>
      </c>
      <c r="M2814" s="80" t="str">
        <f t="shared" si="2"/>
        <v/>
      </c>
    </row>
    <row r="2815">
      <c r="A2815" s="86"/>
      <c r="B2815" s="73"/>
      <c r="C2815" s="73"/>
      <c r="D2815" s="73"/>
      <c r="E2815" s="88"/>
      <c r="F2815" s="73"/>
      <c r="G2815" s="394"/>
      <c r="H2815" s="73"/>
      <c r="I2815" s="88"/>
      <c r="J2815" s="410"/>
      <c r="K2815" s="393">
        <f t="shared" si="8"/>
        <v>1</v>
      </c>
      <c r="L2815" s="394" t="str">
        <f>IFERROR(__xludf.DUMMYFUNCTION("JOIN("""", G2815:H2815)"),"")</f>
        <v/>
      </c>
      <c r="M2815" s="80" t="str">
        <f t="shared" si="2"/>
        <v/>
      </c>
    </row>
    <row r="2816">
      <c r="A2816" s="86"/>
      <c r="B2816" s="73"/>
      <c r="C2816" s="73"/>
      <c r="D2816" s="73"/>
      <c r="E2816" s="88"/>
      <c r="F2816" s="73"/>
      <c r="G2816" s="394"/>
      <c r="H2816" s="73"/>
      <c r="I2816" s="88"/>
      <c r="J2816" s="410"/>
      <c r="K2816" s="393">
        <f t="shared" si="8"/>
        <v>1</v>
      </c>
      <c r="L2816" s="394" t="str">
        <f>IFERROR(__xludf.DUMMYFUNCTION("JOIN("""", G2816:H2816)"),"")</f>
        <v/>
      </c>
      <c r="M2816" s="80" t="str">
        <f t="shared" si="2"/>
        <v/>
      </c>
    </row>
    <row r="2817">
      <c r="A2817" s="86"/>
      <c r="B2817" s="73"/>
      <c r="C2817" s="73"/>
      <c r="D2817" s="73"/>
      <c r="E2817" s="88"/>
      <c r="F2817" s="73"/>
      <c r="G2817" s="394"/>
      <c r="H2817" s="73"/>
      <c r="I2817" s="88"/>
      <c r="J2817" s="410"/>
      <c r="K2817" s="393">
        <f t="shared" si="8"/>
        <v>1</v>
      </c>
      <c r="L2817" s="394" t="str">
        <f>IFERROR(__xludf.DUMMYFUNCTION("JOIN("""", G2817:H2817)"),"")</f>
        <v/>
      </c>
      <c r="M2817" s="80" t="str">
        <f t="shared" si="2"/>
        <v/>
      </c>
    </row>
    <row r="2818">
      <c r="A2818" s="86"/>
      <c r="B2818" s="73"/>
      <c r="C2818" s="73"/>
      <c r="D2818" s="73"/>
      <c r="E2818" s="88"/>
      <c r="F2818" s="73"/>
      <c r="G2818" s="394"/>
      <c r="H2818" s="73"/>
      <c r="I2818" s="88"/>
      <c r="J2818" s="410"/>
      <c r="K2818" s="393">
        <f t="shared" si="8"/>
        <v>1</v>
      </c>
      <c r="L2818" s="394" t="str">
        <f>IFERROR(__xludf.DUMMYFUNCTION("JOIN("""", G2818:H2818)"),"")</f>
        <v/>
      </c>
      <c r="M2818" s="80" t="str">
        <f t="shared" si="2"/>
        <v/>
      </c>
    </row>
    <row r="2819">
      <c r="A2819" s="86"/>
      <c r="B2819" s="73"/>
      <c r="C2819" s="73"/>
      <c r="D2819" s="73"/>
      <c r="E2819" s="88"/>
      <c r="F2819" s="73"/>
      <c r="G2819" s="394"/>
      <c r="H2819" s="73"/>
      <c r="I2819" s="88"/>
      <c r="J2819" s="410"/>
      <c r="K2819" s="393">
        <f t="shared" si="8"/>
        <v>1</v>
      </c>
      <c r="L2819" s="394" t="str">
        <f>IFERROR(__xludf.DUMMYFUNCTION("JOIN("""", G2819:H2819)"),"")</f>
        <v/>
      </c>
      <c r="M2819" s="80" t="str">
        <f t="shared" si="2"/>
        <v/>
      </c>
    </row>
    <row r="2820">
      <c r="A2820" s="86"/>
      <c r="B2820" s="73"/>
      <c r="C2820" s="73"/>
      <c r="D2820" s="73"/>
      <c r="E2820" s="88"/>
      <c r="F2820" s="73"/>
      <c r="G2820" s="394"/>
      <c r="H2820" s="73"/>
      <c r="I2820" s="88"/>
      <c r="J2820" s="410"/>
      <c r="K2820" s="393">
        <f t="shared" si="8"/>
        <v>1</v>
      </c>
      <c r="L2820" s="394" t="str">
        <f>IFERROR(__xludf.DUMMYFUNCTION("JOIN("""", G2820:H2820)"),"")</f>
        <v/>
      </c>
      <c r="M2820" s="80" t="str">
        <f t="shared" si="2"/>
        <v/>
      </c>
    </row>
    <row r="2821">
      <c r="A2821" s="86"/>
      <c r="B2821" s="73"/>
      <c r="C2821" s="73"/>
      <c r="D2821" s="73"/>
      <c r="E2821" s="88"/>
      <c r="F2821" s="73"/>
      <c r="G2821" s="394"/>
      <c r="H2821" s="73"/>
      <c r="I2821" s="88"/>
      <c r="J2821" s="410"/>
      <c r="K2821" s="393">
        <f t="shared" si="8"/>
        <v>1</v>
      </c>
      <c r="L2821" s="394" t="str">
        <f>IFERROR(__xludf.DUMMYFUNCTION("JOIN("""", G2821:H2821)"),"")</f>
        <v/>
      </c>
      <c r="M2821" s="80" t="str">
        <f t="shared" si="2"/>
        <v/>
      </c>
    </row>
    <row r="2822">
      <c r="A2822" s="86"/>
      <c r="B2822" s="73"/>
      <c r="C2822" s="73"/>
      <c r="D2822" s="73"/>
      <c r="E2822" s="88"/>
      <c r="F2822" s="73"/>
      <c r="G2822" s="394"/>
      <c r="H2822" s="73"/>
      <c r="I2822" s="88"/>
      <c r="J2822" s="410"/>
      <c r="K2822" s="393">
        <f t="shared" si="8"/>
        <v>1</v>
      </c>
      <c r="L2822" s="394" t="str">
        <f>IFERROR(__xludf.DUMMYFUNCTION("JOIN("""", G2822:H2822)"),"")</f>
        <v/>
      </c>
      <c r="M2822" s="80" t="str">
        <f t="shared" si="2"/>
        <v/>
      </c>
    </row>
    <row r="2823">
      <c r="A2823" s="86"/>
      <c r="B2823" s="73"/>
      <c r="C2823" s="73"/>
      <c r="D2823" s="73"/>
      <c r="E2823" s="88"/>
      <c r="F2823" s="73"/>
      <c r="G2823" s="394"/>
      <c r="H2823" s="73"/>
      <c r="I2823" s="88"/>
      <c r="J2823" s="410"/>
      <c r="K2823" s="393">
        <f t="shared" si="8"/>
        <v>1</v>
      </c>
      <c r="L2823" s="394" t="str">
        <f>IFERROR(__xludf.DUMMYFUNCTION("JOIN("""", G2823:H2823)"),"")</f>
        <v/>
      </c>
      <c r="M2823" s="80" t="str">
        <f t="shared" si="2"/>
        <v/>
      </c>
    </row>
    <row r="2824">
      <c r="A2824" s="86"/>
      <c r="B2824" s="73"/>
      <c r="C2824" s="73"/>
      <c r="D2824" s="73"/>
      <c r="E2824" s="88"/>
      <c r="F2824" s="73"/>
      <c r="G2824" s="394"/>
      <c r="H2824" s="73"/>
      <c r="I2824" s="88"/>
      <c r="J2824" s="410"/>
      <c r="K2824" s="393">
        <f t="shared" si="8"/>
        <v>1</v>
      </c>
      <c r="L2824" s="394" t="str">
        <f>IFERROR(__xludf.DUMMYFUNCTION("JOIN("""", G2824:H2824)"),"")</f>
        <v/>
      </c>
      <c r="M2824" s="80" t="str">
        <f t="shared" si="2"/>
        <v/>
      </c>
    </row>
    <row r="2825">
      <c r="A2825" s="86"/>
      <c r="B2825" s="73"/>
      <c r="C2825" s="73"/>
      <c r="D2825" s="73"/>
      <c r="E2825" s="88"/>
      <c r="F2825" s="73"/>
      <c r="G2825" s="394"/>
      <c r="H2825" s="73"/>
      <c r="I2825" s="88"/>
      <c r="J2825" s="410"/>
      <c r="K2825" s="393">
        <f t="shared" si="8"/>
        <v>1</v>
      </c>
      <c r="L2825" s="394" t="str">
        <f>IFERROR(__xludf.DUMMYFUNCTION("JOIN("""", G2825:H2825)"),"")</f>
        <v/>
      </c>
      <c r="M2825" s="80" t="str">
        <f t="shared" si="2"/>
        <v/>
      </c>
    </row>
    <row r="2826">
      <c r="A2826" s="86"/>
      <c r="B2826" s="73"/>
      <c r="C2826" s="73"/>
      <c r="D2826" s="73"/>
      <c r="E2826" s="88"/>
      <c r="F2826" s="73"/>
      <c r="G2826" s="394"/>
      <c r="H2826" s="73"/>
      <c r="I2826" s="88"/>
      <c r="J2826" s="410"/>
      <c r="K2826" s="393">
        <f t="shared" si="8"/>
        <v>1</v>
      </c>
      <c r="L2826" s="394" t="str">
        <f>IFERROR(__xludf.DUMMYFUNCTION("JOIN("""", G2826:H2826)"),"")</f>
        <v/>
      </c>
      <c r="M2826" s="80" t="str">
        <f t="shared" si="2"/>
        <v/>
      </c>
    </row>
    <row r="2827">
      <c r="A2827" s="86"/>
      <c r="B2827" s="73"/>
      <c r="C2827" s="73"/>
      <c r="D2827" s="73"/>
      <c r="E2827" s="88"/>
      <c r="F2827" s="73"/>
      <c r="G2827" s="394"/>
      <c r="H2827" s="73"/>
      <c r="I2827" s="88"/>
      <c r="J2827" s="410"/>
      <c r="K2827" s="393">
        <f t="shared" si="8"/>
        <v>1</v>
      </c>
      <c r="L2827" s="394" t="str">
        <f>IFERROR(__xludf.DUMMYFUNCTION("JOIN("""", G2827:H2827)"),"")</f>
        <v/>
      </c>
      <c r="M2827" s="80" t="str">
        <f t="shared" si="2"/>
        <v/>
      </c>
    </row>
    <row r="2828">
      <c r="A2828" s="86"/>
      <c r="B2828" s="73"/>
      <c r="C2828" s="73"/>
      <c r="D2828" s="73"/>
      <c r="E2828" s="88"/>
      <c r="F2828" s="73"/>
      <c r="G2828" s="394"/>
      <c r="H2828" s="73"/>
      <c r="I2828" s="88"/>
      <c r="J2828" s="410"/>
      <c r="K2828" s="393">
        <f t="shared" si="8"/>
        <v>1</v>
      </c>
      <c r="L2828" s="394" t="str">
        <f>IFERROR(__xludf.DUMMYFUNCTION("JOIN("""", G2828:H2828)"),"")</f>
        <v/>
      </c>
      <c r="M2828" s="80" t="str">
        <f t="shared" si="2"/>
        <v/>
      </c>
    </row>
    <row r="2829">
      <c r="A2829" s="86"/>
      <c r="B2829" s="73"/>
      <c r="C2829" s="73"/>
      <c r="D2829" s="73"/>
      <c r="E2829" s="88"/>
      <c r="F2829" s="73"/>
      <c r="G2829" s="394"/>
      <c r="H2829" s="73"/>
      <c r="I2829" s="88"/>
      <c r="J2829" s="410"/>
      <c r="K2829" s="393">
        <f t="shared" si="8"/>
        <v>1</v>
      </c>
      <c r="L2829" s="394" t="str">
        <f>IFERROR(__xludf.DUMMYFUNCTION("JOIN("""", G2829:H2829)"),"")</f>
        <v/>
      </c>
      <c r="M2829" s="80" t="str">
        <f t="shared" si="2"/>
        <v/>
      </c>
    </row>
    <row r="2830">
      <c r="A2830" s="86"/>
      <c r="B2830" s="73"/>
      <c r="C2830" s="73"/>
      <c r="D2830" s="73"/>
      <c r="E2830" s="88"/>
      <c r="F2830" s="73"/>
      <c r="G2830" s="394"/>
      <c r="H2830" s="73"/>
      <c r="I2830" s="88"/>
      <c r="J2830" s="410"/>
      <c r="K2830" s="393">
        <f t="shared" si="8"/>
        <v>1</v>
      </c>
      <c r="L2830" s="394" t="str">
        <f>IFERROR(__xludf.DUMMYFUNCTION("JOIN("""", G2830:H2830)"),"")</f>
        <v/>
      </c>
      <c r="M2830" s="80" t="str">
        <f t="shared" si="2"/>
        <v/>
      </c>
    </row>
    <row r="2831">
      <c r="A2831" s="86"/>
      <c r="B2831" s="73"/>
      <c r="C2831" s="73"/>
      <c r="D2831" s="73"/>
      <c r="E2831" s="88"/>
      <c r="F2831" s="73"/>
      <c r="G2831" s="394"/>
      <c r="H2831" s="73"/>
      <c r="I2831" s="88"/>
      <c r="J2831" s="410"/>
      <c r="K2831" s="393">
        <f t="shared" si="8"/>
        <v>1</v>
      </c>
      <c r="L2831" s="394" t="str">
        <f>IFERROR(__xludf.DUMMYFUNCTION("JOIN("""", G2831:H2831)"),"")</f>
        <v/>
      </c>
      <c r="M2831" s="80" t="str">
        <f t="shared" si="2"/>
        <v/>
      </c>
    </row>
    <row r="2832">
      <c r="A2832" s="86"/>
      <c r="B2832" s="73"/>
      <c r="C2832" s="73"/>
      <c r="D2832" s="73"/>
      <c r="E2832" s="88"/>
      <c r="F2832" s="73"/>
      <c r="G2832" s="394"/>
      <c r="H2832" s="73"/>
      <c r="I2832" s="88"/>
      <c r="J2832" s="410"/>
      <c r="K2832" s="393">
        <f t="shared" si="8"/>
        <v>1</v>
      </c>
      <c r="L2832" s="394" t="str">
        <f>IFERROR(__xludf.DUMMYFUNCTION("JOIN("""", G2832:H2832)"),"")</f>
        <v/>
      </c>
      <c r="M2832" s="80" t="str">
        <f t="shared" si="2"/>
        <v/>
      </c>
    </row>
    <row r="2833">
      <c r="A2833" s="86"/>
      <c r="B2833" s="73"/>
      <c r="C2833" s="73"/>
      <c r="D2833" s="73"/>
      <c r="E2833" s="88"/>
      <c r="F2833" s="73"/>
      <c r="G2833" s="394"/>
      <c r="H2833" s="73"/>
      <c r="I2833" s="88"/>
      <c r="J2833" s="410"/>
      <c r="K2833" s="393">
        <f t="shared" si="8"/>
        <v>1</v>
      </c>
      <c r="L2833" s="394" t="str">
        <f>IFERROR(__xludf.DUMMYFUNCTION("JOIN("""", G2833:H2833)"),"")</f>
        <v/>
      </c>
      <c r="M2833" s="80" t="str">
        <f t="shared" si="2"/>
        <v/>
      </c>
    </row>
    <row r="2834">
      <c r="A2834" s="86"/>
      <c r="B2834" s="73"/>
      <c r="C2834" s="73"/>
      <c r="D2834" s="73"/>
      <c r="E2834" s="88"/>
      <c r="F2834" s="73"/>
      <c r="G2834" s="394"/>
      <c r="H2834" s="73"/>
      <c r="I2834" s="88"/>
      <c r="J2834" s="410"/>
      <c r="K2834" s="393">
        <f t="shared" si="8"/>
        <v>1</v>
      </c>
      <c r="L2834" s="394" t="str">
        <f>IFERROR(__xludf.DUMMYFUNCTION("JOIN("""", G2834:H2834)"),"")</f>
        <v/>
      </c>
      <c r="M2834" s="80" t="str">
        <f t="shared" si="2"/>
        <v/>
      </c>
    </row>
    <row r="2835">
      <c r="A2835" s="86"/>
      <c r="B2835" s="73"/>
      <c r="C2835" s="73"/>
      <c r="D2835" s="73"/>
      <c r="E2835" s="88"/>
      <c r="F2835" s="73"/>
      <c r="G2835" s="394"/>
      <c r="H2835" s="73"/>
      <c r="I2835" s="88"/>
      <c r="J2835" s="410"/>
      <c r="K2835" s="393">
        <f t="shared" si="8"/>
        <v>1</v>
      </c>
      <c r="L2835" s="394" t="str">
        <f>IFERROR(__xludf.DUMMYFUNCTION("JOIN("""", G2835:H2835)"),"")</f>
        <v/>
      </c>
      <c r="M2835" s="80" t="str">
        <f t="shared" si="2"/>
        <v/>
      </c>
    </row>
    <row r="2836">
      <c r="A2836" s="86"/>
      <c r="B2836" s="73"/>
      <c r="C2836" s="73"/>
      <c r="D2836" s="73"/>
      <c r="E2836" s="88"/>
      <c r="F2836" s="73"/>
      <c r="G2836" s="394"/>
      <c r="H2836" s="73"/>
      <c r="I2836" s="88"/>
      <c r="J2836" s="410"/>
      <c r="K2836" s="393">
        <f t="shared" si="8"/>
        <v>1</v>
      </c>
      <c r="L2836" s="394" t="str">
        <f>IFERROR(__xludf.DUMMYFUNCTION("JOIN("""", G2836:H2836)"),"")</f>
        <v/>
      </c>
      <c r="M2836" s="80" t="str">
        <f t="shared" si="2"/>
        <v/>
      </c>
    </row>
    <row r="2837">
      <c r="A2837" s="86"/>
      <c r="B2837" s="73"/>
      <c r="C2837" s="73"/>
      <c r="D2837" s="73"/>
      <c r="E2837" s="88"/>
      <c r="F2837" s="73"/>
      <c r="G2837" s="394"/>
      <c r="H2837" s="73"/>
      <c r="I2837" s="88"/>
      <c r="J2837" s="410"/>
      <c r="K2837" s="393">
        <f t="shared" si="8"/>
        <v>1</v>
      </c>
      <c r="L2837" s="394" t="str">
        <f>IFERROR(__xludf.DUMMYFUNCTION("JOIN("""", G2837:H2837)"),"")</f>
        <v/>
      </c>
      <c r="M2837" s="80" t="str">
        <f t="shared" si="2"/>
        <v/>
      </c>
    </row>
    <row r="2838">
      <c r="A2838" s="86"/>
      <c r="B2838" s="73"/>
      <c r="C2838" s="73"/>
      <c r="D2838" s="73"/>
      <c r="E2838" s="88"/>
      <c r="F2838" s="73"/>
      <c r="G2838" s="394"/>
      <c r="H2838" s="73"/>
      <c r="I2838" s="88"/>
      <c r="J2838" s="410"/>
      <c r="K2838" s="393">
        <f t="shared" si="8"/>
        <v>1</v>
      </c>
      <c r="L2838" s="394" t="str">
        <f>IFERROR(__xludf.DUMMYFUNCTION("JOIN("""", G2838:H2838)"),"")</f>
        <v/>
      </c>
      <c r="M2838" s="80" t="str">
        <f t="shared" si="2"/>
        <v/>
      </c>
    </row>
    <row r="2839">
      <c r="A2839" s="86"/>
      <c r="B2839" s="73"/>
      <c r="C2839" s="73"/>
      <c r="D2839" s="73"/>
      <c r="E2839" s="88"/>
      <c r="F2839" s="73"/>
      <c r="G2839" s="394"/>
      <c r="H2839" s="73"/>
      <c r="I2839" s="88"/>
      <c r="J2839" s="410"/>
      <c r="K2839" s="393">
        <f t="shared" si="8"/>
        <v>1</v>
      </c>
      <c r="L2839" s="394" t="str">
        <f>IFERROR(__xludf.DUMMYFUNCTION("JOIN("""", G2839:H2839)"),"")</f>
        <v/>
      </c>
      <c r="M2839" s="80" t="str">
        <f t="shared" si="2"/>
        <v/>
      </c>
    </row>
    <row r="2840">
      <c r="A2840" s="86"/>
      <c r="B2840" s="73"/>
      <c r="C2840" s="73"/>
      <c r="D2840" s="73"/>
      <c r="E2840" s="88"/>
      <c r="F2840" s="73"/>
      <c r="G2840" s="394"/>
      <c r="H2840" s="73"/>
      <c r="I2840" s="88"/>
      <c r="J2840" s="410"/>
      <c r="K2840" s="393">
        <f t="shared" si="8"/>
        <v>1</v>
      </c>
      <c r="L2840" s="394" t="str">
        <f>IFERROR(__xludf.DUMMYFUNCTION("JOIN("""", G2840:H2840)"),"")</f>
        <v/>
      </c>
      <c r="M2840" s="80" t="str">
        <f t="shared" si="2"/>
        <v/>
      </c>
    </row>
    <row r="2841">
      <c r="A2841" s="86"/>
      <c r="B2841" s="73"/>
      <c r="C2841" s="73"/>
      <c r="D2841" s="73"/>
      <c r="E2841" s="88"/>
      <c r="F2841" s="73"/>
      <c r="G2841" s="394"/>
      <c r="H2841" s="73"/>
      <c r="I2841" s="88"/>
      <c r="J2841" s="410"/>
      <c r="K2841" s="393">
        <f t="shared" si="8"/>
        <v>1</v>
      </c>
      <c r="L2841" s="394" t="str">
        <f>IFERROR(__xludf.DUMMYFUNCTION("JOIN("""", G2841:H2841)"),"")</f>
        <v/>
      </c>
      <c r="M2841" s="80" t="str">
        <f t="shared" si="2"/>
        <v/>
      </c>
    </row>
    <row r="2842">
      <c r="A2842" s="86"/>
      <c r="B2842" s="73"/>
      <c r="C2842" s="73"/>
      <c r="D2842" s="73"/>
      <c r="E2842" s="88"/>
      <c r="F2842" s="73"/>
      <c r="G2842" s="394"/>
      <c r="H2842" s="73"/>
      <c r="I2842" s="88"/>
      <c r="J2842" s="410"/>
      <c r="K2842" s="393">
        <f t="shared" si="8"/>
        <v>1</v>
      </c>
      <c r="L2842" s="394" t="str">
        <f>IFERROR(__xludf.DUMMYFUNCTION("JOIN("""", G2842:H2842)"),"")</f>
        <v/>
      </c>
      <c r="M2842" s="80" t="str">
        <f t="shared" si="2"/>
        <v/>
      </c>
    </row>
    <row r="2843">
      <c r="A2843" s="86"/>
      <c r="B2843" s="73"/>
      <c r="C2843" s="73"/>
      <c r="D2843" s="73"/>
      <c r="E2843" s="88"/>
      <c r="F2843" s="73"/>
      <c r="G2843" s="394"/>
      <c r="H2843" s="73"/>
      <c r="I2843" s="88"/>
      <c r="J2843" s="410"/>
      <c r="K2843" s="393">
        <f t="shared" si="8"/>
        <v>1</v>
      </c>
      <c r="L2843" s="394" t="str">
        <f>IFERROR(__xludf.DUMMYFUNCTION("JOIN("""", G2843:H2843)"),"")</f>
        <v/>
      </c>
      <c r="M2843" s="80" t="str">
        <f t="shared" si="2"/>
        <v/>
      </c>
    </row>
    <row r="2844">
      <c r="A2844" s="86"/>
      <c r="B2844" s="73"/>
      <c r="C2844" s="73"/>
      <c r="D2844" s="73"/>
      <c r="E2844" s="88"/>
      <c r="F2844" s="73"/>
      <c r="G2844" s="394"/>
      <c r="H2844" s="73"/>
      <c r="I2844" s="88"/>
      <c r="J2844" s="410"/>
      <c r="K2844" s="393">
        <f t="shared" si="8"/>
        <v>1</v>
      </c>
      <c r="L2844" s="394" t="str">
        <f>IFERROR(__xludf.DUMMYFUNCTION("JOIN("""", G2844:H2844)"),"")</f>
        <v/>
      </c>
      <c r="M2844" s="80" t="str">
        <f t="shared" si="2"/>
        <v/>
      </c>
    </row>
    <row r="2845">
      <c r="A2845" s="86"/>
      <c r="B2845" s="73"/>
      <c r="C2845" s="73"/>
      <c r="D2845" s="73"/>
      <c r="E2845" s="88"/>
      <c r="F2845" s="73"/>
      <c r="G2845" s="394"/>
      <c r="H2845" s="73"/>
      <c r="I2845" s="88"/>
      <c r="J2845" s="410"/>
      <c r="K2845" s="393">
        <f t="shared" si="8"/>
        <v>1</v>
      </c>
      <c r="L2845" s="394" t="str">
        <f>IFERROR(__xludf.DUMMYFUNCTION("JOIN("""", G2845:H2845)"),"")</f>
        <v/>
      </c>
      <c r="M2845" s="80" t="str">
        <f t="shared" si="2"/>
        <v/>
      </c>
    </row>
    <row r="2846">
      <c r="A2846" s="86"/>
      <c r="B2846" s="73"/>
      <c r="C2846" s="73"/>
      <c r="D2846" s="73"/>
      <c r="E2846" s="88"/>
      <c r="F2846" s="73"/>
      <c r="G2846" s="394"/>
      <c r="H2846" s="73"/>
      <c r="I2846" s="88"/>
      <c r="J2846" s="410"/>
      <c r="K2846" s="393">
        <f t="shared" si="8"/>
        <v>1</v>
      </c>
      <c r="L2846" s="394" t="str">
        <f>IFERROR(__xludf.DUMMYFUNCTION("JOIN("""", G2846:H2846)"),"")</f>
        <v/>
      </c>
      <c r="M2846" s="80" t="str">
        <f t="shared" si="2"/>
        <v/>
      </c>
    </row>
    <row r="2847">
      <c r="A2847" s="86"/>
      <c r="B2847" s="73"/>
      <c r="C2847" s="73"/>
      <c r="D2847" s="73"/>
      <c r="E2847" s="88"/>
      <c r="F2847" s="73"/>
      <c r="G2847" s="394"/>
      <c r="H2847" s="73"/>
      <c r="I2847" s="88"/>
      <c r="J2847" s="410"/>
      <c r="K2847" s="393">
        <f t="shared" si="8"/>
        <v>1</v>
      </c>
      <c r="L2847" s="394" t="str">
        <f>IFERROR(__xludf.DUMMYFUNCTION("JOIN("""", G2847:H2847)"),"")</f>
        <v/>
      </c>
      <c r="M2847" s="80" t="str">
        <f t="shared" si="2"/>
        <v/>
      </c>
    </row>
    <row r="2848">
      <c r="A2848" s="86"/>
      <c r="B2848" s="73"/>
      <c r="C2848" s="73"/>
      <c r="D2848" s="73"/>
      <c r="E2848" s="88"/>
      <c r="F2848" s="73"/>
      <c r="G2848" s="394"/>
      <c r="H2848" s="73"/>
      <c r="I2848" s="88"/>
      <c r="J2848" s="410"/>
      <c r="K2848" s="393">
        <f t="shared" si="8"/>
        <v>1</v>
      </c>
      <c r="L2848" s="394" t="str">
        <f>IFERROR(__xludf.DUMMYFUNCTION("JOIN("""", G2848:H2848)"),"")</f>
        <v/>
      </c>
      <c r="M2848" s="80" t="str">
        <f t="shared" si="2"/>
        <v/>
      </c>
    </row>
    <row r="2849">
      <c r="A2849" s="86"/>
      <c r="B2849" s="73"/>
      <c r="C2849" s="73"/>
      <c r="D2849" s="73"/>
      <c r="E2849" s="88"/>
      <c r="F2849" s="73"/>
      <c r="G2849" s="394"/>
      <c r="H2849" s="73"/>
      <c r="I2849" s="88"/>
      <c r="J2849" s="410"/>
      <c r="K2849" s="393">
        <f t="shared" si="8"/>
        <v>1</v>
      </c>
      <c r="L2849" s="394" t="str">
        <f>IFERROR(__xludf.DUMMYFUNCTION("JOIN("""", G2849:H2849)"),"")</f>
        <v/>
      </c>
      <c r="M2849" s="80" t="str">
        <f t="shared" si="2"/>
        <v/>
      </c>
    </row>
    <row r="2850">
      <c r="A2850" s="86"/>
      <c r="B2850" s="73"/>
      <c r="C2850" s="73"/>
      <c r="D2850" s="73"/>
      <c r="E2850" s="88"/>
      <c r="F2850" s="73"/>
      <c r="G2850" s="394"/>
      <c r="H2850" s="73"/>
      <c r="I2850" s="88"/>
      <c r="J2850" s="410"/>
      <c r="K2850" s="393">
        <f t="shared" si="8"/>
        <v>1</v>
      </c>
      <c r="L2850" s="394" t="str">
        <f>IFERROR(__xludf.DUMMYFUNCTION("JOIN("""", G2850:H2850)"),"")</f>
        <v/>
      </c>
      <c r="M2850" s="80" t="str">
        <f t="shared" si="2"/>
        <v/>
      </c>
    </row>
    <row r="2851">
      <c r="A2851" s="86"/>
      <c r="B2851" s="73"/>
      <c r="C2851" s="73"/>
      <c r="D2851" s="73"/>
      <c r="E2851" s="88"/>
      <c r="F2851" s="73"/>
      <c r="G2851" s="394"/>
      <c r="H2851" s="73"/>
      <c r="I2851" s="88"/>
      <c r="J2851" s="410"/>
      <c r="K2851" s="393">
        <f t="shared" si="8"/>
        <v>1</v>
      </c>
      <c r="L2851" s="394" t="str">
        <f>IFERROR(__xludf.DUMMYFUNCTION("JOIN("""", G2851:H2851)"),"")</f>
        <v/>
      </c>
      <c r="M2851" s="80" t="str">
        <f t="shared" si="2"/>
        <v/>
      </c>
    </row>
    <row r="2852">
      <c r="A2852" s="86"/>
      <c r="B2852" s="73"/>
      <c r="C2852" s="73"/>
      <c r="D2852" s="73"/>
      <c r="E2852" s="88"/>
      <c r="F2852" s="73"/>
      <c r="G2852" s="394"/>
      <c r="H2852" s="73"/>
      <c r="I2852" s="88"/>
      <c r="J2852" s="410"/>
      <c r="K2852" s="393">
        <f t="shared" si="8"/>
        <v>1</v>
      </c>
      <c r="L2852" s="394" t="str">
        <f>IFERROR(__xludf.DUMMYFUNCTION("JOIN("""", G2852:H2852)"),"")</f>
        <v/>
      </c>
      <c r="M2852" s="80" t="str">
        <f t="shared" si="2"/>
        <v/>
      </c>
    </row>
    <row r="2853">
      <c r="A2853" s="86"/>
      <c r="B2853" s="73"/>
      <c r="C2853" s="73"/>
      <c r="D2853" s="73"/>
      <c r="E2853" s="88"/>
      <c r="F2853" s="73"/>
      <c r="G2853" s="394"/>
      <c r="H2853" s="73"/>
      <c r="I2853" s="88"/>
      <c r="J2853" s="410"/>
      <c r="K2853" s="393">
        <f t="shared" si="8"/>
        <v>1</v>
      </c>
      <c r="L2853" s="394" t="str">
        <f>IFERROR(__xludf.DUMMYFUNCTION("JOIN("""", G2853:H2853)"),"")</f>
        <v/>
      </c>
      <c r="M2853" s="80" t="str">
        <f t="shared" si="2"/>
        <v/>
      </c>
    </row>
    <row r="2854">
      <c r="A2854" s="86"/>
      <c r="B2854" s="73"/>
      <c r="C2854" s="73"/>
      <c r="D2854" s="73"/>
      <c r="E2854" s="88"/>
      <c r="F2854" s="73"/>
      <c r="G2854" s="394"/>
      <c r="H2854" s="73"/>
      <c r="I2854" s="88"/>
      <c r="J2854" s="410"/>
      <c r="K2854" s="393">
        <f t="shared" si="8"/>
        <v>1</v>
      </c>
      <c r="L2854" s="394" t="str">
        <f>IFERROR(__xludf.DUMMYFUNCTION("JOIN("""", G2854:H2854)"),"")</f>
        <v/>
      </c>
      <c r="M2854" s="80" t="str">
        <f t="shared" si="2"/>
        <v/>
      </c>
    </row>
    <row r="2855">
      <c r="A2855" s="86"/>
      <c r="B2855" s="73"/>
      <c r="C2855" s="73"/>
      <c r="D2855" s="73"/>
      <c r="E2855" s="88"/>
      <c r="F2855" s="73"/>
      <c r="G2855" s="394"/>
      <c r="H2855" s="73"/>
      <c r="I2855" s="88"/>
      <c r="J2855" s="410"/>
      <c r="K2855" s="393">
        <f t="shared" si="8"/>
        <v>1</v>
      </c>
      <c r="L2855" s="394" t="str">
        <f>IFERROR(__xludf.DUMMYFUNCTION("JOIN("""", G2855:H2855)"),"")</f>
        <v/>
      </c>
      <c r="M2855" s="80" t="str">
        <f t="shared" si="2"/>
        <v/>
      </c>
    </row>
    <row r="2856">
      <c r="A2856" s="86"/>
      <c r="B2856" s="73"/>
      <c r="C2856" s="73"/>
      <c r="D2856" s="73"/>
      <c r="E2856" s="88"/>
      <c r="F2856" s="73"/>
      <c r="G2856" s="394"/>
      <c r="H2856" s="73"/>
      <c r="I2856" s="88"/>
      <c r="J2856" s="410"/>
      <c r="K2856" s="393">
        <f t="shared" si="8"/>
        <v>1</v>
      </c>
      <c r="L2856" s="394" t="str">
        <f>IFERROR(__xludf.DUMMYFUNCTION("JOIN("""", G2856:H2856)"),"")</f>
        <v/>
      </c>
      <c r="M2856" s="80" t="str">
        <f t="shared" si="2"/>
        <v/>
      </c>
    </row>
    <row r="2857">
      <c r="A2857" s="86"/>
      <c r="B2857" s="73"/>
      <c r="C2857" s="73"/>
      <c r="D2857" s="73"/>
      <c r="E2857" s="88"/>
      <c r="F2857" s="73"/>
      <c r="G2857" s="394"/>
      <c r="H2857" s="73"/>
      <c r="I2857" s="88"/>
      <c r="J2857" s="410"/>
      <c r="K2857" s="393">
        <f t="shared" si="8"/>
        <v>1</v>
      </c>
      <c r="L2857" s="394" t="str">
        <f>IFERROR(__xludf.DUMMYFUNCTION("JOIN("""", G2857:H2857)"),"")</f>
        <v/>
      </c>
      <c r="M2857" s="80" t="str">
        <f t="shared" si="2"/>
        <v/>
      </c>
    </row>
    <row r="2858">
      <c r="A2858" s="86"/>
      <c r="B2858" s="73"/>
      <c r="C2858" s="73"/>
      <c r="D2858" s="73"/>
      <c r="E2858" s="88"/>
      <c r="F2858" s="73"/>
      <c r="G2858" s="394"/>
      <c r="H2858" s="73"/>
      <c r="I2858" s="88"/>
      <c r="J2858" s="410"/>
      <c r="K2858" s="393">
        <f t="shared" si="8"/>
        <v>1</v>
      </c>
      <c r="L2858" s="394" t="str">
        <f>IFERROR(__xludf.DUMMYFUNCTION("JOIN("""", G2858:H2858)"),"")</f>
        <v/>
      </c>
      <c r="M2858" s="80" t="str">
        <f t="shared" si="2"/>
        <v/>
      </c>
    </row>
    <row r="2859">
      <c r="A2859" s="86"/>
      <c r="B2859" s="73"/>
      <c r="C2859" s="73"/>
      <c r="D2859" s="73"/>
      <c r="E2859" s="88"/>
      <c r="F2859" s="73"/>
      <c r="G2859" s="394"/>
      <c r="H2859" s="73"/>
      <c r="I2859" s="88"/>
      <c r="J2859" s="410"/>
      <c r="K2859" s="393">
        <f t="shared" si="8"/>
        <v>1</v>
      </c>
      <c r="L2859" s="394" t="str">
        <f>IFERROR(__xludf.DUMMYFUNCTION("JOIN("""", G2859:H2859)"),"")</f>
        <v/>
      </c>
      <c r="M2859" s="80" t="str">
        <f t="shared" si="2"/>
        <v/>
      </c>
    </row>
    <row r="2860">
      <c r="A2860" s="86"/>
      <c r="B2860" s="73"/>
      <c r="C2860" s="73"/>
      <c r="D2860" s="73"/>
      <c r="E2860" s="88"/>
      <c r="F2860" s="73"/>
      <c r="G2860" s="394"/>
      <c r="H2860" s="73"/>
      <c r="I2860" s="88"/>
      <c r="J2860" s="410"/>
      <c r="K2860" s="393">
        <f t="shared" si="8"/>
        <v>1</v>
      </c>
      <c r="L2860" s="394" t="str">
        <f>IFERROR(__xludf.DUMMYFUNCTION("JOIN("""", G2860:H2860)"),"")</f>
        <v/>
      </c>
      <c r="M2860" s="80" t="str">
        <f t="shared" si="2"/>
        <v/>
      </c>
    </row>
    <row r="2861">
      <c r="A2861" s="86"/>
      <c r="B2861" s="73"/>
      <c r="C2861" s="73"/>
      <c r="D2861" s="73"/>
      <c r="E2861" s="88"/>
      <c r="F2861" s="73"/>
      <c r="G2861" s="394"/>
      <c r="H2861" s="73"/>
      <c r="I2861" s="88"/>
      <c r="J2861" s="410"/>
      <c r="K2861" s="393">
        <f t="shared" si="8"/>
        <v>1</v>
      </c>
      <c r="L2861" s="394" t="str">
        <f>IFERROR(__xludf.DUMMYFUNCTION("JOIN("""", G2861:H2861)"),"")</f>
        <v/>
      </c>
      <c r="M2861" s="80" t="str">
        <f t="shared" si="2"/>
        <v/>
      </c>
    </row>
    <row r="2862">
      <c r="A2862" s="86"/>
      <c r="B2862" s="73"/>
      <c r="C2862" s="73"/>
      <c r="D2862" s="73"/>
      <c r="E2862" s="88"/>
      <c r="F2862" s="73"/>
      <c r="G2862" s="394"/>
      <c r="H2862" s="73"/>
      <c r="I2862" s="88"/>
      <c r="J2862" s="410"/>
      <c r="K2862" s="393">
        <f t="shared" si="8"/>
        <v>1</v>
      </c>
      <c r="L2862" s="394" t="str">
        <f>IFERROR(__xludf.DUMMYFUNCTION("JOIN("""", G2862:H2862)"),"")</f>
        <v/>
      </c>
      <c r="M2862" s="80" t="str">
        <f t="shared" si="2"/>
        <v/>
      </c>
    </row>
    <row r="2863">
      <c r="A2863" s="86"/>
      <c r="B2863" s="73"/>
      <c r="C2863" s="73"/>
      <c r="D2863" s="73"/>
      <c r="E2863" s="88"/>
      <c r="F2863" s="73"/>
      <c r="G2863" s="394"/>
      <c r="H2863" s="73"/>
      <c r="I2863" s="88"/>
      <c r="J2863" s="410"/>
      <c r="K2863" s="393">
        <f t="shared" si="8"/>
        <v>1</v>
      </c>
      <c r="L2863" s="394" t="str">
        <f>IFERROR(__xludf.DUMMYFUNCTION("JOIN("""", G2863:H2863)"),"")</f>
        <v/>
      </c>
      <c r="M2863" s="80" t="str">
        <f t="shared" si="2"/>
        <v/>
      </c>
    </row>
    <row r="2864">
      <c r="A2864" s="86"/>
      <c r="B2864" s="73"/>
      <c r="C2864" s="73"/>
      <c r="D2864" s="73"/>
      <c r="E2864" s="88"/>
      <c r="F2864" s="73"/>
      <c r="G2864" s="394"/>
      <c r="H2864" s="73"/>
      <c r="I2864" s="88"/>
      <c r="J2864" s="410"/>
      <c r="K2864" s="393">
        <f t="shared" si="8"/>
        <v>1</v>
      </c>
      <c r="L2864" s="394" t="str">
        <f>IFERROR(__xludf.DUMMYFUNCTION("JOIN("""", G2864:H2864)"),"")</f>
        <v/>
      </c>
      <c r="M2864" s="80" t="str">
        <f t="shared" si="2"/>
        <v/>
      </c>
    </row>
    <row r="2865">
      <c r="A2865" s="86"/>
      <c r="B2865" s="73"/>
      <c r="C2865" s="73"/>
      <c r="D2865" s="73"/>
      <c r="E2865" s="88"/>
      <c r="F2865" s="73"/>
      <c r="G2865" s="394"/>
      <c r="H2865" s="73"/>
      <c r="I2865" s="88"/>
      <c r="J2865" s="410"/>
      <c r="K2865" s="393">
        <f t="shared" si="8"/>
        <v>1</v>
      </c>
      <c r="L2865" s="394" t="str">
        <f>IFERROR(__xludf.DUMMYFUNCTION("JOIN("""", G2865:H2865)"),"")</f>
        <v/>
      </c>
      <c r="M2865" s="80" t="str">
        <f t="shared" si="2"/>
        <v/>
      </c>
    </row>
    <row r="2866">
      <c r="A2866" s="86"/>
      <c r="B2866" s="73"/>
      <c r="C2866" s="73"/>
      <c r="D2866" s="73"/>
      <c r="E2866" s="88"/>
      <c r="F2866" s="73"/>
      <c r="G2866" s="394"/>
      <c r="H2866" s="73"/>
      <c r="I2866" s="88"/>
      <c r="J2866" s="410"/>
      <c r="K2866" s="393">
        <f t="shared" si="8"/>
        <v>1</v>
      </c>
      <c r="L2866" s="394" t="str">
        <f>IFERROR(__xludf.DUMMYFUNCTION("JOIN("""", G2866:H2866)"),"")</f>
        <v/>
      </c>
      <c r="M2866" s="80" t="str">
        <f t="shared" si="2"/>
        <v/>
      </c>
    </row>
    <row r="2867">
      <c r="A2867" s="86"/>
      <c r="B2867" s="73"/>
      <c r="C2867" s="73"/>
      <c r="D2867" s="73"/>
      <c r="E2867" s="88"/>
      <c r="F2867" s="73"/>
      <c r="G2867" s="394"/>
      <c r="H2867" s="73"/>
      <c r="I2867" s="88"/>
      <c r="J2867" s="410"/>
      <c r="K2867" s="393">
        <f t="shared" si="8"/>
        <v>1</v>
      </c>
      <c r="L2867" s="394" t="str">
        <f>IFERROR(__xludf.DUMMYFUNCTION("JOIN("""", G2867:H2867)"),"")</f>
        <v/>
      </c>
      <c r="M2867" s="80" t="str">
        <f t="shared" si="2"/>
        <v/>
      </c>
    </row>
    <row r="2868">
      <c r="A2868" s="86"/>
      <c r="B2868" s="73"/>
      <c r="C2868" s="73"/>
      <c r="D2868" s="73"/>
      <c r="E2868" s="88"/>
      <c r="F2868" s="73"/>
      <c r="G2868" s="394"/>
      <c r="H2868" s="73"/>
      <c r="I2868" s="88"/>
      <c r="J2868" s="410"/>
      <c r="K2868" s="393">
        <f t="shared" si="8"/>
        <v>1</v>
      </c>
      <c r="L2868" s="394" t="str">
        <f>IFERROR(__xludf.DUMMYFUNCTION("JOIN("""", G2868:H2868)"),"")</f>
        <v/>
      </c>
      <c r="M2868" s="80" t="str">
        <f t="shared" si="2"/>
        <v/>
      </c>
    </row>
    <row r="2869">
      <c r="A2869" s="86"/>
      <c r="B2869" s="73"/>
      <c r="C2869" s="73"/>
      <c r="D2869" s="73"/>
      <c r="E2869" s="88"/>
      <c r="F2869" s="73"/>
      <c r="G2869" s="394"/>
      <c r="H2869" s="73"/>
      <c r="I2869" s="88"/>
      <c r="J2869" s="410"/>
      <c r="K2869" s="393">
        <f t="shared" si="8"/>
        <v>1</v>
      </c>
      <c r="L2869" s="394" t="str">
        <f>IFERROR(__xludf.DUMMYFUNCTION("JOIN("""", G2869:H2869)"),"")</f>
        <v/>
      </c>
      <c r="M2869" s="80" t="str">
        <f t="shared" si="2"/>
        <v/>
      </c>
    </row>
    <row r="2870">
      <c r="A2870" s="86"/>
      <c r="B2870" s="73"/>
      <c r="C2870" s="73"/>
      <c r="D2870" s="73"/>
      <c r="E2870" s="88"/>
      <c r="F2870" s="73"/>
      <c r="G2870" s="394"/>
      <c r="H2870" s="73"/>
      <c r="I2870" s="88"/>
      <c r="J2870" s="410"/>
      <c r="K2870" s="393">
        <f t="shared" si="8"/>
        <v>1</v>
      </c>
      <c r="L2870" s="394" t="str">
        <f>IFERROR(__xludf.DUMMYFUNCTION("JOIN("""", G2870:H2870)"),"")</f>
        <v/>
      </c>
      <c r="M2870" s="80" t="str">
        <f t="shared" si="2"/>
        <v/>
      </c>
    </row>
    <row r="2871">
      <c r="A2871" s="86"/>
      <c r="B2871" s="73"/>
      <c r="C2871" s="73"/>
      <c r="D2871" s="73"/>
      <c r="E2871" s="88"/>
      <c r="F2871" s="73"/>
      <c r="G2871" s="394"/>
      <c r="H2871" s="73"/>
      <c r="I2871" s="88"/>
      <c r="J2871" s="410"/>
      <c r="K2871" s="393">
        <f t="shared" si="8"/>
        <v>1</v>
      </c>
      <c r="L2871" s="394" t="str">
        <f>IFERROR(__xludf.DUMMYFUNCTION("JOIN("""", G2871:H2871)"),"")</f>
        <v/>
      </c>
      <c r="M2871" s="80" t="str">
        <f t="shared" si="2"/>
        <v/>
      </c>
    </row>
    <row r="2872">
      <c r="A2872" s="86"/>
      <c r="B2872" s="73"/>
      <c r="C2872" s="73"/>
      <c r="D2872" s="73"/>
      <c r="E2872" s="88"/>
      <c r="F2872" s="73"/>
      <c r="G2872" s="394"/>
      <c r="H2872" s="73"/>
      <c r="I2872" s="88"/>
      <c r="J2872" s="410"/>
      <c r="K2872" s="393">
        <f t="shared" si="8"/>
        <v>1</v>
      </c>
      <c r="L2872" s="394" t="str">
        <f>IFERROR(__xludf.DUMMYFUNCTION("JOIN("""", G2872:H2872)"),"")</f>
        <v/>
      </c>
      <c r="M2872" s="80" t="str">
        <f t="shared" si="2"/>
        <v/>
      </c>
    </row>
    <row r="2873">
      <c r="A2873" s="86"/>
      <c r="B2873" s="73"/>
      <c r="C2873" s="73"/>
      <c r="D2873" s="73"/>
      <c r="E2873" s="88"/>
      <c r="F2873" s="73"/>
      <c r="G2873" s="394"/>
      <c r="H2873" s="73"/>
      <c r="I2873" s="88"/>
      <c r="J2873" s="410"/>
      <c r="K2873" s="393">
        <f t="shared" si="8"/>
        <v>1</v>
      </c>
      <c r="L2873" s="394" t="str">
        <f>IFERROR(__xludf.DUMMYFUNCTION("JOIN("""", G2873:H2873)"),"")</f>
        <v/>
      </c>
      <c r="M2873" s="80" t="str">
        <f t="shared" si="2"/>
        <v/>
      </c>
    </row>
    <row r="2874">
      <c r="A2874" s="86"/>
      <c r="B2874" s="73"/>
      <c r="C2874" s="73"/>
      <c r="D2874" s="73"/>
      <c r="E2874" s="88"/>
      <c r="F2874" s="73"/>
      <c r="G2874" s="394"/>
      <c r="H2874" s="73"/>
      <c r="I2874" s="88"/>
      <c r="J2874" s="410"/>
      <c r="K2874" s="393">
        <f t="shared" si="8"/>
        <v>1</v>
      </c>
      <c r="L2874" s="394" t="str">
        <f>IFERROR(__xludf.DUMMYFUNCTION("JOIN("""", G2874:H2874)"),"")</f>
        <v/>
      </c>
      <c r="M2874" s="80" t="str">
        <f t="shared" si="2"/>
        <v/>
      </c>
    </row>
    <row r="2875">
      <c r="A2875" s="86"/>
      <c r="B2875" s="73"/>
      <c r="C2875" s="73"/>
      <c r="D2875" s="73"/>
      <c r="E2875" s="88"/>
      <c r="F2875" s="73"/>
      <c r="G2875" s="394"/>
      <c r="H2875" s="73"/>
      <c r="I2875" s="88"/>
      <c r="J2875" s="410"/>
      <c r="K2875" s="393">
        <f t="shared" si="8"/>
        <v>1</v>
      </c>
      <c r="L2875" s="394" t="str">
        <f>IFERROR(__xludf.DUMMYFUNCTION("JOIN("""", G2875:H2875)"),"")</f>
        <v/>
      </c>
      <c r="M2875" s="80" t="str">
        <f t="shared" si="2"/>
        <v/>
      </c>
    </row>
    <row r="2876">
      <c r="A2876" s="86"/>
      <c r="B2876" s="73"/>
      <c r="C2876" s="73"/>
      <c r="D2876" s="73"/>
      <c r="E2876" s="88"/>
      <c r="F2876" s="73"/>
      <c r="G2876" s="394"/>
      <c r="H2876" s="73"/>
      <c r="I2876" s="88"/>
      <c r="J2876" s="410"/>
      <c r="K2876" s="393">
        <f t="shared" si="8"/>
        <v>1</v>
      </c>
      <c r="L2876" s="394" t="str">
        <f>IFERROR(__xludf.DUMMYFUNCTION("JOIN("""", G2876:H2876)"),"")</f>
        <v/>
      </c>
      <c r="M2876" s="80" t="str">
        <f t="shared" si="2"/>
        <v/>
      </c>
    </row>
    <row r="2877">
      <c r="A2877" s="86"/>
      <c r="B2877" s="73"/>
      <c r="C2877" s="73"/>
      <c r="D2877" s="73"/>
      <c r="E2877" s="88"/>
      <c r="F2877" s="73"/>
      <c r="G2877" s="394"/>
      <c r="H2877" s="73"/>
      <c r="I2877" s="88"/>
      <c r="J2877" s="410"/>
      <c r="K2877" s="393">
        <f t="shared" si="8"/>
        <v>1</v>
      </c>
      <c r="L2877" s="394" t="str">
        <f>IFERROR(__xludf.DUMMYFUNCTION("JOIN("""", G2877:H2877)"),"")</f>
        <v/>
      </c>
      <c r="M2877" s="80" t="str">
        <f t="shared" si="2"/>
        <v/>
      </c>
    </row>
    <row r="2878">
      <c r="A2878" s="86"/>
      <c r="B2878" s="73"/>
      <c r="C2878" s="73"/>
      <c r="D2878" s="73"/>
      <c r="E2878" s="88"/>
      <c r="F2878" s="73"/>
      <c r="G2878" s="394"/>
      <c r="H2878" s="73"/>
      <c r="I2878" s="88"/>
      <c r="J2878" s="410"/>
      <c r="K2878" s="393">
        <f t="shared" si="8"/>
        <v>1</v>
      </c>
      <c r="L2878" s="394" t="str">
        <f>IFERROR(__xludf.DUMMYFUNCTION("JOIN("""", G2878:H2878)"),"")</f>
        <v/>
      </c>
      <c r="M2878" s="80" t="str">
        <f t="shared" si="2"/>
        <v/>
      </c>
    </row>
    <row r="2879">
      <c r="A2879" s="86"/>
      <c r="B2879" s="73"/>
      <c r="C2879" s="73"/>
      <c r="D2879" s="73"/>
      <c r="E2879" s="88"/>
      <c r="F2879" s="73"/>
      <c r="G2879" s="394"/>
      <c r="H2879" s="73"/>
      <c r="I2879" s="88"/>
      <c r="J2879" s="410"/>
      <c r="K2879" s="393">
        <f t="shared" si="8"/>
        <v>1</v>
      </c>
      <c r="L2879" s="394" t="str">
        <f>IFERROR(__xludf.DUMMYFUNCTION("JOIN("""", G2879:H2879)"),"")</f>
        <v/>
      </c>
      <c r="M2879" s="80" t="str">
        <f t="shared" si="2"/>
        <v/>
      </c>
    </row>
    <row r="2880">
      <c r="A2880" s="86"/>
      <c r="B2880" s="73"/>
      <c r="C2880" s="73"/>
      <c r="D2880" s="73"/>
      <c r="E2880" s="88"/>
      <c r="F2880" s="73"/>
      <c r="G2880" s="394"/>
      <c r="H2880" s="73"/>
      <c r="I2880" s="88"/>
      <c r="J2880" s="410"/>
      <c r="K2880" s="393">
        <f t="shared" si="8"/>
        <v>1</v>
      </c>
      <c r="L2880" s="394" t="str">
        <f>IFERROR(__xludf.DUMMYFUNCTION("JOIN("""", G2880:H2880)"),"")</f>
        <v/>
      </c>
      <c r="M2880" s="80" t="str">
        <f t="shared" si="2"/>
        <v/>
      </c>
    </row>
    <row r="2881">
      <c r="A2881" s="86"/>
      <c r="B2881" s="73"/>
      <c r="C2881" s="73"/>
      <c r="D2881" s="73"/>
      <c r="E2881" s="88"/>
      <c r="F2881" s="73"/>
      <c r="G2881" s="394"/>
      <c r="H2881" s="73"/>
      <c r="I2881" s="88"/>
      <c r="J2881" s="410"/>
      <c r="K2881" s="393">
        <f t="shared" si="8"/>
        <v>1</v>
      </c>
      <c r="L2881" s="394" t="str">
        <f>IFERROR(__xludf.DUMMYFUNCTION("JOIN("""", G2881:H2881)"),"")</f>
        <v/>
      </c>
      <c r="M2881" s="80" t="str">
        <f t="shared" si="2"/>
        <v/>
      </c>
    </row>
    <row r="2882">
      <c r="A2882" s="86"/>
      <c r="B2882" s="73"/>
      <c r="C2882" s="73"/>
      <c r="D2882" s="73"/>
      <c r="E2882" s="88"/>
      <c r="F2882" s="73"/>
      <c r="G2882" s="394"/>
      <c r="H2882" s="73"/>
      <c r="I2882" s="88"/>
      <c r="J2882" s="410"/>
      <c r="K2882" s="393">
        <f t="shared" si="8"/>
        <v>1</v>
      </c>
      <c r="L2882" s="394" t="str">
        <f>IFERROR(__xludf.DUMMYFUNCTION("JOIN("""", G2882:H2882)"),"")</f>
        <v/>
      </c>
      <c r="M2882" s="80" t="str">
        <f t="shared" si="2"/>
        <v/>
      </c>
    </row>
    <row r="2883">
      <c r="A2883" s="86"/>
      <c r="B2883" s="73"/>
      <c r="C2883" s="73"/>
      <c r="D2883" s="73"/>
      <c r="E2883" s="88"/>
      <c r="F2883" s="73"/>
      <c r="G2883" s="394"/>
      <c r="H2883" s="73"/>
      <c r="I2883" s="88"/>
      <c r="J2883" s="410"/>
      <c r="K2883" s="393">
        <f t="shared" si="8"/>
        <v>1</v>
      </c>
      <c r="L2883" s="394" t="str">
        <f>IFERROR(__xludf.DUMMYFUNCTION("JOIN("""", G2883:H2883)"),"")</f>
        <v/>
      </c>
      <c r="M2883" s="80" t="str">
        <f t="shared" si="2"/>
        <v/>
      </c>
    </row>
    <row r="2884">
      <c r="A2884" s="86"/>
      <c r="B2884" s="73"/>
      <c r="C2884" s="73"/>
      <c r="D2884" s="73"/>
      <c r="E2884" s="88"/>
      <c r="F2884" s="73"/>
      <c r="G2884" s="394"/>
      <c r="H2884" s="73"/>
      <c r="I2884" s="88"/>
      <c r="J2884" s="410"/>
      <c r="K2884" s="393">
        <f t="shared" si="8"/>
        <v>1</v>
      </c>
      <c r="L2884" s="394" t="str">
        <f>IFERROR(__xludf.DUMMYFUNCTION("JOIN("""", G2884:H2884)"),"")</f>
        <v/>
      </c>
      <c r="M2884" s="80" t="str">
        <f t="shared" si="2"/>
        <v/>
      </c>
    </row>
    <row r="2885">
      <c r="A2885" s="86"/>
      <c r="B2885" s="73"/>
      <c r="C2885" s="73"/>
      <c r="D2885" s="73"/>
      <c r="E2885" s="88"/>
      <c r="F2885" s="73"/>
      <c r="G2885" s="394"/>
      <c r="H2885" s="73"/>
      <c r="I2885" s="88"/>
      <c r="J2885" s="410"/>
      <c r="K2885" s="393">
        <f t="shared" si="8"/>
        <v>1</v>
      </c>
      <c r="L2885" s="394" t="str">
        <f>IFERROR(__xludf.DUMMYFUNCTION("JOIN("""", G2885:H2885)"),"")</f>
        <v/>
      </c>
      <c r="M2885" s="80" t="str">
        <f t="shared" si="2"/>
        <v/>
      </c>
    </row>
    <row r="2886">
      <c r="A2886" s="86"/>
      <c r="B2886" s="73"/>
      <c r="C2886" s="73"/>
      <c r="D2886" s="73"/>
      <c r="E2886" s="88"/>
      <c r="F2886" s="73"/>
      <c r="G2886" s="394"/>
      <c r="H2886" s="73"/>
      <c r="I2886" s="88"/>
      <c r="J2886" s="410"/>
      <c r="K2886" s="393">
        <f t="shared" si="8"/>
        <v>1</v>
      </c>
      <c r="L2886" s="394" t="str">
        <f>IFERROR(__xludf.DUMMYFUNCTION("JOIN("""", G2886:H2886)"),"")</f>
        <v/>
      </c>
      <c r="M2886" s="80" t="str">
        <f t="shared" si="2"/>
        <v/>
      </c>
    </row>
    <row r="2887">
      <c r="A2887" s="86"/>
      <c r="B2887" s="73"/>
      <c r="C2887" s="73"/>
      <c r="D2887" s="73"/>
      <c r="E2887" s="88"/>
      <c r="F2887" s="73"/>
      <c r="G2887" s="394"/>
      <c r="H2887" s="73"/>
      <c r="I2887" s="88"/>
      <c r="J2887" s="410"/>
      <c r="K2887" s="393">
        <f t="shared" si="8"/>
        <v>1</v>
      </c>
      <c r="L2887" s="394" t="str">
        <f>IFERROR(__xludf.DUMMYFUNCTION("JOIN("""", G2887:H2887)"),"")</f>
        <v/>
      </c>
      <c r="M2887" s="80" t="str">
        <f t="shared" si="2"/>
        <v/>
      </c>
    </row>
    <row r="2888">
      <c r="A2888" s="86"/>
      <c r="B2888" s="73"/>
      <c r="C2888" s="73"/>
      <c r="D2888" s="73"/>
      <c r="E2888" s="88"/>
      <c r="F2888" s="73"/>
      <c r="G2888" s="394"/>
      <c r="H2888" s="73"/>
      <c r="I2888" s="88"/>
      <c r="J2888" s="410"/>
      <c r="K2888" s="393">
        <f t="shared" si="8"/>
        <v>1</v>
      </c>
      <c r="L2888" s="394" t="str">
        <f>IFERROR(__xludf.DUMMYFUNCTION("JOIN("""", G2888:H2888)"),"")</f>
        <v/>
      </c>
      <c r="M2888" s="80" t="str">
        <f t="shared" si="2"/>
        <v/>
      </c>
    </row>
    <row r="2889">
      <c r="A2889" s="86"/>
      <c r="B2889" s="73"/>
      <c r="C2889" s="73"/>
      <c r="D2889" s="73"/>
      <c r="E2889" s="88"/>
      <c r="F2889" s="73"/>
      <c r="G2889" s="394"/>
      <c r="H2889" s="73"/>
      <c r="I2889" s="88"/>
      <c r="J2889" s="410"/>
      <c r="K2889" s="393">
        <f t="shared" si="8"/>
        <v>1</v>
      </c>
      <c r="L2889" s="394" t="str">
        <f>IFERROR(__xludf.DUMMYFUNCTION("JOIN("""", G2889:H2889)"),"")</f>
        <v/>
      </c>
      <c r="M2889" s="80" t="str">
        <f t="shared" si="2"/>
        <v/>
      </c>
    </row>
    <row r="2890">
      <c r="A2890" s="86"/>
      <c r="B2890" s="73"/>
      <c r="C2890" s="73"/>
      <c r="D2890" s="73"/>
      <c r="E2890" s="88"/>
      <c r="F2890" s="73"/>
      <c r="G2890" s="394"/>
      <c r="H2890" s="73"/>
      <c r="I2890" s="88"/>
      <c r="J2890" s="410"/>
      <c r="K2890" s="393">
        <f t="shared" si="8"/>
        <v>1</v>
      </c>
      <c r="L2890" s="394" t="str">
        <f>IFERROR(__xludf.DUMMYFUNCTION("JOIN("""", G2890:H2890)"),"")</f>
        <v/>
      </c>
      <c r="M2890" s="80" t="str">
        <f t="shared" si="2"/>
        <v/>
      </c>
    </row>
    <row r="2891">
      <c r="A2891" s="86"/>
      <c r="B2891" s="73"/>
      <c r="C2891" s="73"/>
      <c r="D2891" s="73"/>
      <c r="E2891" s="88"/>
      <c r="F2891" s="73"/>
      <c r="G2891" s="394"/>
      <c r="H2891" s="73"/>
      <c r="I2891" s="88"/>
      <c r="J2891" s="410"/>
      <c r="K2891" s="393">
        <f t="shared" si="8"/>
        <v>1</v>
      </c>
      <c r="L2891" s="394" t="str">
        <f>IFERROR(__xludf.DUMMYFUNCTION("JOIN("""", G2891:H2891)"),"")</f>
        <v/>
      </c>
      <c r="M2891" s="80" t="str">
        <f t="shared" si="2"/>
        <v/>
      </c>
    </row>
    <row r="2892">
      <c r="A2892" s="86"/>
      <c r="B2892" s="73"/>
      <c r="C2892" s="73"/>
      <c r="D2892" s="73"/>
      <c r="E2892" s="88"/>
      <c r="F2892" s="73"/>
      <c r="G2892" s="394"/>
      <c r="H2892" s="73"/>
      <c r="I2892" s="88"/>
      <c r="J2892" s="410"/>
      <c r="K2892" s="393">
        <f t="shared" si="8"/>
        <v>1</v>
      </c>
      <c r="L2892" s="394" t="str">
        <f>IFERROR(__xludf.DUMMYFUNCTION("JOIN("""", G2892:H2892)"),"")</f>
        <v/>
      </c>
      <c r="M2892" s="80" t="str">
        <f t="shared" si="2"/>
        <v/>
      </c>
    </row>
    <row r="2893">
      <c r="A2893" s="86"/>
      <c r="B2893" s="73"/>
      <c r="C2893" s="73"/>
      <c r="D2893" s="73"/>
      <c r="E2893" s="88"/>
      <c r="F2893" s="73"/>
      <c r="G2893" s="394"/>
      <c r="H2893" s="73"/>
      <c r="I2893" s="88"/>
      <c r="J2893" s="410"/>
      <c r="K2893" s="393">
        <f t="shared" si="8"/>
        <v>1</v>
      </c>
      <c r="L2893" s="394" t="str">
        <f>IFERROR(__xludf.DUMMYFUNCTION("JOIN("""", G2893:H2893)"),"")</f>
        <v/>
      </c>
      <c r="M2893" s="80" t="str">
        <f t="shared" si="2"/>
        <v/>
      </c>
    </row>
    <row r="2894">
      <c r="A2894" s="86"/>
      <c r="B2894" s="73"/>
      <c r="C2894" s="73"/>
      <c r="D2894" s="73"/>
      <c r="E2894" s="88"/>
      <c r="F2894" s="73"/>
      <c r="G2894" s="394"/>
      <c r="H2894" s="73"/>
      <c r="I2894" s="88"/>
      <c r="J2894" s="410"/>
      <c r="K2894" s="393">
        <f t="shared" si="8"/>
        <v>1</v>
      </c>
      <c r="L2894" s="394" t="str">
        <f>IFERROR(__xludf.DUMMYFUNCTION("JOIN("""", G2894:H2894)"),"")</f>
        <v/>
      </c>
      <c r="M2894" s="80" t="str">
        <f t="shared" si="2"/>
        <v/>
      </c>
    </row>
    <row r="2895">
      <c r="A2895" s="86"/>
      <c r="B2895" s="73"/>
      <c r="C2895" s="73"/>
      <c r="D2895" s="73"/>
      <c r="E2895" s="88"/>
      <c r="F2895" s="73"/>
      <c r="G2895" s="394"/>
      <c r="H2895" s="73"/>
      <c r="I2895" s="88"/>
      <c r="J2895" s="410"/>
      <c r="K2895" s="393">
        <f t="shared" si="8"/>
        <v>1</v>
      </c>
      <c r="L2895" s="394" t="str">
        <f>IFERROR(__xludf.DUMMYFUNCTION("JOIN("""", G2895:H2895)"),"")</f>
        <v/>
      </c>
      <c r="M2895" s="80" t="str">
        <f t="shared" si="2"/>
        <v/>
      </c>
    </row>
    <row r="2896">
      <c r="A2896" s="86"/>
      <c r="B2896" s="73"/>
      <c r="C2896" s="73"/>
      <c r="D2896" s="73"/>
      <c r="E2896" s="88"/>
      <c r="F2896" s="73"/>
      <c r="G2896" s="394"/>
      <c r="H2896" s="73"/>
      <c r="I2896" s="88"/>
      <c r="J2896" s="410"/>
      <c r="K2896" s="393">
        <f t="shared" si="8"/>
        <v>1</v>
      </c>
      <c r="L2896" s="394" t="str">
        <f>IFERROR(__xludf.DUMMYFUNCTION("JOIN("""", G2896:H2896)"),"")</f>
        <v/>
      </c>
      <c r="M2896" s="80" t="str">
        <f t="shared" si="2"/>
        <v/>
      </c>
    </row>
    <row r="2897">
      <c r="A2897" s="86"/>
      <c r="B2897" s="73"/>
      <c r="C2897" s="73"/>
      <c r="D2897" s="73"/>
      <c r="E2897" s="88"/>
      <c r="F2897" s="73"/>
      <c r="G2897" s="394"/>
      <c r="H2897" s="73"/>
      <c r="I2897" s="88"/>
      <c r="J2897" s="410"/>
      <c r="K2897" s="393">
        <f t="shared" si="8"/>
        <v>1</v>
      </c>
      <c r="L2897" s="394" t="str">
        <f>IFERROR(__xludf.DUMMYFUNCTION("JOIN("""", G2897:H2897)"),"")</f>
        <v/>
      </c>
      <c r="M2897" s="80" t="str">
        <f t="shared" si="2"/>
        <v/>
      </c>
    </row>
    <row r="2898">
      <c r="A2898" s="86"/>
      <c r="B2898" s="73"/>
      <c r="C2898" s="73"/>
      <c r="D2898" s="73"/>
      <c r="E2898" s="88"/>
      <c r="F2898" s="73"/>
      <c r="G2898" s="394"/>
      <c r="H2898" s="73"/>
      <c r="I2898" s="88"/>
      <c r="J2898" s="410"/>
      <c r="K2898" s="393">
        <f t="shared" si="8"/>
        <v>1</v>
      </c>
      <c r="L2898" s="394" t="str">
        <f>IFERROR(__xludf.DUMMYFUNCTION("JOIN("""", G2898:H2898)"),"")</f>
        <v/>
      </c>
      <c r="M2898" s="80" t="str">
        <f t="shared" si="2"/>
        <v/>
      </c>
    </row>
    <row r="2899">
      <c r="A2899" s="86"/>
      <c r="B2899" s="73"/>
      <c r="C2899" s="73"/>
      <c r="D2899" s="73"/>
      <c r="E2899" s="88"/>
      <c r="F2899" s="73"/>
      <c r="G2899" s="394"/>
      <c r="H2899" s="73"/>
      <c r="I2899" s="88"/>
      <c r="J2899" s="410"/>
      <c r="K2899" s="393">
        <f t="shared" si="8"/>
        <v>1</v>
      </c>
      <c r="L2899" s="394" t="str">
        <f>IFERROR(__xludf.DUMMYFUNCTION("JOIN("""", G2899:H2899)"),"")</f>
        <v/>
      </c>
      <c r="M2899" s="80" t="str">
        <f t="shared" si="2"/>
        <v/>
      </c>
    </row>
    <row r="2900">
      <c r="A2900" s="86"/>
      <c r="B2900" s="73"/>
      <c r="C2900" s="73"/>
      <c r="D2900" s="73"/>
      <c r="E2900" s="88"/>
      <c r="F2900" s="73"/>
      <c r="G2900" s="394"/>
      <c r="H2900" s="73"/>
      <c r="I2900" s="88"/>
      <c r="J2900" s="410"/>
      <c r="K2900" s="393">
        <f t="shared" si="8"/>
        <v>1</v>
      </c>
      <c r="L2900" s="394" t="str">
        <f>IFERROR(__xludf.DUMMYFUNCTION("JOIN("""", G2900:H2900)"),"")</f>
        <v/>
      </c>
      <c r="M2900" s="80" t="str">
        <f t="shared" si="2"/>
        <v/>
      </c>
    </row>
    <row r="2901">
      <c r="A2901" s="86"/>
      <c r="B2901" s="73"/>
      <c r="C2901" s="73"/>
      <c r="D2901" s="73"/>
      <c r="E2901" s="88"/>
      <c r="F2901" s="73"/>
      <c r="G2901" s="394"/>
      <c r="H2901" s="73"/>
      <c r="I2901" s="88"/>
      <c r="J2901" s="410"/>
      <c r="K2901" s="393">
        <f t="shared" si="8"/>
        <v>1</v>
      </c>
      <c r="L2901" s="394" t="str">
        <f>IFERROR(__xludf.DUMMYFUNCTION("JOIN("""", G2901:H2901)"),"")</f>
        <v/>
      </c>
      <c r="M2901" s="80" t="str">
        <f t="shared" si="2"/>
        <v/>
      </c>
    </row>
    <row r="2902">
      <c r="A2902" s="86"/>
      <c r="B2902" s="73"/>
      <c r="C2902" s="73"/>
      <c r="D2902" s="73"/>
      <c r="E2902" s="88"/>
      <c r="F2902" s="73"/>
      <c r="G2902" s="394"/>
      <c r="H2902" s="73"/>
      <c r="I2902" s="88"/>
      <c r="J2902" s="410"/>
      <c r="K2902" s="393">
        <f t="shared" si="8"/>
        <v>1</v>
      </c>
      <c r="L2902" s="394" t="str">
        <f>IFERROR(__xludf.DUMMYFUNCTION("JOIN("""", G2902:H2902)"),"")</f>
        <v/>
      </c>
      <c r="M2902" s="80" t="str">
        <f t="shared" si="2"/>
        <v/>
      </c>
    </row>
    <row r="2903">
      <c r="A2903" s="86"/>
      <c r="B2903" s="73"/>
      <c r="C2903" s="73"/>
      <c r="D2903" s="73"/>
      <c r="E2903" s="88"/>
      <c r="F2903" s="73"/>
      <c r="G2903" s="394"/>
      <c r="H2903" s="73"/>
      <c r="I2903" s="88"/>
      <c r="J2903" s="410"/>
      <c r="K2903" s="393">
        <f t="shared" si="8"/>
        <v>1</v>
      </c>
      <c r="L2903" s="394" t="str">
        <f>IFERROR(__xludf.DUMMYFUNCTION("JOIN("""", G2903:H2903)"),"")</f>
        <v/>
      </c>
      <c r="M2903" s="80" t="str">
        <f t="shared" si="2"/>
        <v/>
      </c>
    </row>
    <row r="2904">
      <c r="A2904" s="86"/>
      <c r="B2904" s="73"/>
      <c r="C2904" s="73"/>
      <c r="D2904" s="73"/>
      <c r="E2904" s="88"/>
      <c r="F2904" s="73"/>
      <c r="G2904" s="394"/>
      <c r="H2904" s="73"/>
      <c r="I2904" s="88"/>
      <c r="J2904" s="410"/>
      <c r="K2904" s="393">
        <f t="shared" si="8"/>
        <v>1</v>
      </c>
      <c r="L2904" s="394" t="str">
        <f>IFERROR(__xludf.DUMMYFUNCTION("JOIN("""", G2904:H2904)"),"")</f>
        <v/>
      </c>
      <c r="M2904" s="80" t="str">
        <f t="shared" si="2"/>
        <v/>
      </c>
    </row>
    <row r="2905">
      <c r="A2905" s="86"/>
      <c r="B2905" s="73"/>
      <c r="C2905" s="73"/>
      <c r="D2905" s="73"/>
      <c r="E2905" s="88"/>
      <c r="F2905" s="73"/>
      <c r="G2905" s="394"/>
      <c r="H2905" s="73"/>
      <c r="I2905" s="88"/>
      <c r="J2905" s="410"/>
      <c r="K2905" s="393">
        <f t="shared" si="8"/>
        <v>1</v>
      </c>
      <c r="L2905" s="394" t="str">
        <f>IFERROR(__xludf.DUMMYFUNCTION("JOIN("""", G2905:H2905)"),"")</f>
        <v/>
      </c>
      <c r="M2905" s="80" t="str">
        <f t="shared" si="2"/>
        <v/>
      </c>
    </row>
    <row r="2906">
      <c r="A2906" s="86"/>
      <c r="B2906" s="73"/>
      <c r="C2906" s="73"/>
      <c r="D2906" s="73"/>
      <c r="E2906" s="88"/>
      <c r="F2906" s="73"/>
      <c r="G2906" s="394"/>
      <c r="H2906" s="73"/>
      <c r="I2906" s="88"/>
      <c r="J2906" s="410"/>
      <c r="K2906" s="393">
        <f t="shared" si="8"/>
        <v>1</v>
      </c>
      <c r="L2906" s="394" t="str">
        <f>IFERROR(__xludf.DUMMYFUNCTION("JOIN("""", G2906:H2906)"),"")</f>
        <v/>
      </c>
      <c r="M2906" s="80" t="str">
        <f t="shared" si="2"/>
        <v/>
      </c>
    </row>
    <row r="2907">
      <c r="A2907" s="86"/>
      <c r="B2907" s="73"/>
      <c r="C2907" s="73"/>
      <c r="D2907" s="73"/>
      <c r="E2907" s="88"/>
      <c r="F2907" s="73"/>
      <c r="G2907" s="394"/>
      <c r="H2907" s="73"/>
      <c r="I2907" s="88"/>
      <c r="J2907" s="410"/>
      <c r="K2907" s="393">
        <f t="shared" si="8"/>
        <v>1</v>
      </c>
      <c r="L2907" s="394" t="str">
        <f>IFERROR(__xludf.DUMMYFUNCTION("JOIN("""", G2907:H2907)"),"")</f>
        <v/>
      </c>
      <c r="M2907" s="80" t="str">
        <f t="shared" si="2"/>
        <v/>
      </c>
    </row>
    <row r="2908">
      <c r="A2908" s="86"/>
      <c r="B2908" s="73"/>
      <c r="C2908" s="73"/>
      <c r="D2908" s="73"/>
      <c r="E2908" s="88"/>
      <c r="F2908" s="73"/>
      <c r="G2908" s="394"/>
      <c r="H2908" s="73"/>
      <c r="I2908" s="88"/>
      <c r="J2908" s="410"/>
      <c r="K2908" s="393">
        <f t="shared" si="8"/>
        <v>1</v>
      </c>
      <c r="L2908" s="394" t="str">
        <f>IFERROR(__xludf.DUMMYFUNCTION("JOIN("""", G2908:H2908)"),"")</f>
        <v/>
      </c>
      <c r="M2908" s="80" t="str">
        <f t="shared" si="2"/>
        <v/>
      </c>
    </row>
    <row r="2909">
      <c r="A2909" s="86"/>
      <c r="B2909" s="73"/>
      <c r="C2909" s="73"/>
      <c r="D2909" s="73"/>
      <c r="E2909" s="88"/>
      <c r="F2909" s="73"/>
      <c r="G2909" s="394"/>
      <c r="H2909" s="73"/>
      <c r="I2909" s="88"/>
      <c r="J2909" s="410"/>
      <c r="K2909" s="393">
        <f t="shared" si="8"/>
        <v>1</v>
      </c>
      <c r="L2909" s="394" t="str">
        <f>IFERROR(__xludf.DUMMYFUNCTION("JOIN("""", G2909:H2909)"),"")</f>
        <v/>
      </c>
      <c r="M2909" s="80" t="str">
        <f t="shared" si="2"/>
        <v/>
      </c>
    </row>
    <row r="2910">
      <c r="A2910" s="86"/>
      <c r="B2910" s="73"/>
      <c r="C2910" s="73"/>
      <c r="D2910" s="73"/>
      <c r="E2910" s="88"/>
      <c r="F2910" s="73"/>
      <c r="G2910" s="394"/>
      <c r="H2910" s="73"/>
      <c r="I2910" s="88"/>
      <c r="J2910" s="410"/>
      <c r="K2910" s="393">
        <f t="shared" si="8"/>
        <v>1</v>
      </c>
      <c r="L2910" s="394" t="str">
        <f>IFERROR(__xludf.DUMMYFUNCTION("JOIN("""", G2910:H2910)"),"")</f>
        <v/>
      </c>
      <c r="M2910" s="80" t="str">
        <f t="shared" si="2"/>
        <v/>
      </c>
    </row>
    <row r="2911">
      <c r="A2911" s="86"/>
      <c r="B2911" s="73"/>
      <c r="C2911" s="73"/>
      <c r="D2911" s="73"/>
      <c r="E2911" s="88"/>
      <c r="F2911" s="73"/>
      <c r="G2911" s="394"/>
      <c r="H2911" s="73"/>
      <c r="I2911" s="88"/>
      <c r="J2911" s="410"/>
      <c r="K2911" s="393">
        <f t="shared" si="8"/>
        <v>1</v>
      </c>
      <c r="L2911" s="394" t="str">
        <f>IFERROR(__xludf.DUMMYFUNCTION("JOIN("""", G2911:H2911)"),"")</f>
        <v/>
      </c>
      <c r="M2911" s="80" t="str">
        <f t="shared" si="2"/>
        <v/>
      </c>
    </row>
    <row r="2912">
      <c r="A2912" s="86"/>
      <c r="B2912" s="73"/>
      <c r="C2912" s="73"/>
      <c r="D2912" s="73"/>
      <c r="E2912" s="88"/>
      <c r="F2912" s="73"/>
      <c r="G2912" s="394"/>
      <c r="H2912" s="73"/>
      <c r="I2912" s="88"/>
      <c r="J2912" s="410"/>
      <c r="K2912" s="393">
        <f t="shared" si="8"/>
        <v>1</v>
      </c>
      <c r="L2912" s="394" t="str">
        <f>IFERROR(__xludf.DUMMYFUNCTION("JOIN("""", G2912:H2912)"),"")</f>
        <v/>
      </c>
      <c r="M2912" s="80" t="str">
        <f t="shared" si="2"/>
        <v/>
      </c>
    </row>
    <row r="2913">
      <c r="A2913" s="86"/>
      <c r="B2913" s="73"/>
      <c r="C2913" s="73"/>
      <c r="D2913" s="73"/>
      <c r="E2913" s="88"/>
      <c r="F2913" s="73"/>
      <c r="G2913" s="394"/>
      <c r="H2913" s="73"/>
      <c r="I2913" s="88"/>
      <c r="J2913" s="410"/>
      <c r="K2913" s="393">
        <f t="shared" si="8"/>
        <v>1</v>
      </c>
      <c r="L2913" s="394" t="str">
        <f>IFERROR(__xludf.DUMMYFUNCTION("JOIN("""", G2913:H2913)"),"")</f>
        <v/>
      </c>
      <c r="M2913" s="80" t="str">
        <f t="shared" si="2"/>
        <v/>
      </c>
    </row>
    <row r="2914">
      <c r="A2914" s="86"/>
      <c r="B2914" s="73"/>
      <c r="C2914" s="73"/>
      <c r="D2914" s="73"/>
      <c r="E2914" s="88"/>
      <c r="F2914" s="73"/>
      <c r="G2914" s="394"/>
      <c r="H2914" s="73"/>
      <c r="I2914" s="88"/>
      <c r="J2914" s="410"/>
      <c r="K2914" s="393">
        <f t="shared" si="8"/>
        <v>1</v>
      </c>
      <c r="L2914" s="394" t="str">
        <f>IFERROR(__xludf.DUMMYFUNCTION("JOIN("""", G2914:H2914)"),"")</f>
        <v/>
      </c>
      <c r="M2914" s="80" t="str">
        <f t="shared" si="2"/>
        <v/>
      </c>
    </row>
    <row r="2915">
      <c r="A2915" s="86"/>
      <c r="B2915" s="73"/>
      <c r="C2915" s="73"/>
      <c r="D2915" s="73"/>
      <c r="E2915" s="88"/>
      <c r="F2915" s="73"/>
      <c r="G2915" s="394"/>
      <c r="H2915" s="73"/>
      <c r="I2915" s="88"/>
      <c r="J2915" s="410"/>
      <c r="K2915" s="393">
        <f t="shared" si="8"/>
        <v>1</v>
      </c>
      <c r="L2915" s="394" t="str">
        <f>IFERROR(__xludf.DUMMYFUNCTION("JOIN("""", G2915:H2915)"),"")</f>
        <v/>
      </c>
      <c r="M2915" s="80" t="str">
        <f t="shared" si="2"/>
        <v/>
      </c>
    </row>
    <row r="2916">
      <c r="A2916" s="86"/>
      <c r="B2916" s="73"/>
      <c r="C2916" s="73"/>
      <c r="D2916" s="73"/>
      <c r="E2916" s="88"/>
      <c r="F2916" s="73"/>
      <c r="G2916" s="394"/>
      <c r="H2916" s="73"/>
      <c r="I2916" s="88"/>
      <c r="J2916" s="410"/>
      <c r="K2916" s="393">
        <f t="shared" si="8"/>
        <v>1</v>
      </c>
      <c r="L2916" s="394" t="str">
        <f>IFERROR(__xludf.DUMMYFUNCTION("JOIN("""", G2916:H2916)"),"")</f>
        <v/>
      </c>
      <c r="M2916" s="80" t="str">
        <f t="shared" si="2"/>
        <v/>
      </c>
    </row>
    <row r="2917">
      <c r="A2917" s="86"/>
      <c r="B2917" s="73"/>
      <c r="C2917" s="73"/>
      <c r="D2917" s="73"/>
      <c r="E2917" s="88"/>
      <c r="F2917" s="73"/>
      <c r="G2917" s="394"/>
      <c r="H2917" s="73"/>
      <c r="I2917" s="88"/>
      <c r="J2917" s="410"/>
      <c r="K2917" s="393">
        <f t="shared" si="8"/>
        <v>1</v>
      </c>
      <c r="L2917" s="394" t="str">
        <f>IFERROR(__xludf.DUMMYFUNCTION("JOIN("""", G2917:H2917)"),"")</f>
        <v/>
      </c>
      <c r="M2917" s="80" t="str">
        <f t="shared" si="2"/>
        <v/>
      </c>
    </row>
    <row r="2918">
      <c r="A2918" s="86"/>
      <c r="B2918" s="73"/>
      <c r="C2918" s="73"/>
      <c r="D2918" s="73"/>
      <c r="E2918" s="88"/>
      <c r="F2918" s="73"/>
      <c r="G2918" s="394"/>
      <c r="H2918" s="73"/>
      <c r="I2918" s="88"/>
      <c r="J2918" s="410"/>
      <c r="K2918" s="393">
        <f t="shared" si="8"/>
        <v>1</v>
      </c>
      <c r="L2918" s="394" t="str">
        <f>IFERROR(__xludf.DUMMYFUNCTION("JOIN("""", G2918:H2918)"),"")</f>
        <v/>
      </c>
      <c r="M2918" s="80" t="str">
        <f t="shared" si="2"/>
        <v/>
      </c>
    </row>
    <row r="2919">
      <c r="A2919" s="86"/>
      <c r="B2919" s="73"/>
      <c r="C2919" s="73"/>
      <c r="D2919" s="73"/>
      <c r="E2919" s="88"/>
      <c r="F2919" s="73"/>
      <c r="G2919" s="394"/>
      <c r="H2919" s="73"/>
      <c r="I2919" s="88"/>
      <c r="J2919" s="410"/>
      <c r="K2919" s="393">
        <f t="shared" si="8"/>
        <v>1</v>
      </c>
      <c r="L2919" s="394" t="str">
        <f>IFERROR(__xludf.DUMMYFUNCTION("JOIN("""", G2919:H2919)"),"")</f>
        <v/>
      </c>
      <c r="M2919" s="80" t="str">
        <f t="shared" si="2"/>
        <v/>
      </c>
    </row>
    <row r="2920">
      <c r="A2920" s="86"/>
      <c r="B2920" s="73"/>
      <c r="C2920" s="73"/>
      <c r="D2920" s="73"/>
      <c r="E2920" s="88"/>
      <c r="F2920" s="73"/>
      <c r="G2920" s="394"/>
      <c r="H2920" s="73"/>
      <c r="I2920" s="88"/>
      <c r="J2920" s="410"/>
      <c r="K2920" s="393">
        <f t="shared" si="8"/>
        <v>1</v>
      </c>
      <c r="L2920" s="394" t="str">
        <f>IFERROR(__xludf.DUMMYFUNCTION("JOIN("""", G2920:H2920)"),"")</f>
        <v/>
      </c>
      <c r="M2920" s="80" t="str">
        <f t="shared" si="2"/>
        <v/>
      </c>
    </row>
    <row r="2921">
      <c r="A2921" s="86"/>
      <c r="B2921" s="73"/>
      <c r="C2921" s="73"/>
      <c r="D2921" s="73"/>
      <c r="E2921" s="88"/>
      <c r="F2921" s="73"/>
      <c r="G2921" s="394"/>
      <c r="H2921" s="73"/>
      <c r="I2921" s="88"/>
      <c r="J2921" s="410"/>
      <c r="K2921" s="393">
        <f t="shared" si="8"/>
        <v>1</v>
      </c>
      <c r="L2921" s="394" t="str">
        <f>IFERROR(__xludf.DUMMYFUNCTION("JOIN("""", G2921:H2921)"),"")</f>
        <v/>
      </c>
      <c r="M2921" s="80" t="str">
        <f t="shared" si="2"/>
        <v/>
      </c>
    </row>
    <row r="2922">
      <c r="A2922" s="86"/>
      <c r="B2922" s="73"/>
      <c r="C2922" s="73"/>
      <c r="D2922" s="73"/>
      <c r="E2922" s="88"/>
      <c r="F2922" s="73"/>
      <c r="G2922" s="394"/>
      <c r="H2922" s="73"/>
      <c r="I2922" s="88"/>
      <c r="J2922" s="410"/>
      <c r="K2922" s="393">
        <f t="shared" si="8"/>
        <v>1</v>
      </c>
      <c r="L2922" s="394" t="str">
        <f>IFERROR(__xludf.DUMMYFUNCTION("JOIN("""", G2922:H2922)"),"")</f>
        <v/>
      </c>
      <c r="M2922" s="80" t="str">
        <f t="shared" si="2"/>
        <v/>
      </c>
    </row>
    <row r="2923">
      <c r="A2923" s="86"/>
      <c r="B2923" s="73"/>
      <c r="C2923" s="73"/>
      <c r="D2923" s="73"/>
      <c r="E2923" s="88"/>
      <c r="F2923" s="73"/>
      <c r="G2923" s="394"/>
      <c r="H2923" s="73"/>
      <c r="I2923" s="88"/>
      <c r="J2923" s="410"/>
      <c r="K2923" s="393">
        <f t="shared" si="8"/>
        <v>1</v>
      </c>
      <c r="L2923" s="394" t="str">
        <f>IFERROR(__xludf.DUMMYFUNCTION("JOIN("""", G2923:H2923)"),"")</f>
        <v/>
      </c>
      <c r="M2923" s="80" t="str">
        <f t="shared" si="2"/>
        <v/>
      </c>
    </row>
    <row r="2924">
      <c r="A2924" s="86"/>
      <c r="B2924" s="73"/>
      <c r="C2924" s="73"/>
      <c r="D2924" s="73"/>
      <c r="E2924" s="88"/>
      <c r="F2924" s="73"/>
      <c r="G2924" s="394"/>
      <c r="H2924" s="73"/>
      <c r="I2924" s="88"/>
      <c r="J2924" s="410"/>
      <c r="K2924" s="393">
        <f t="shared" si="8"/>
        <v>1</v>
      </c>
      <c r="L2924" s="394" t="str">
        <f>IFERROR(__xludf.DUMMYFUNCTION("JOIN("""", G2924:H2924)"),"")</f>
        <v/>
      </c>
      <c r="M2924" s="80" t="str">
        <f t="shared" si="2"/>
        <v/>
      </c>
    </row>
    <row r="2925">
      <c r="A2925" s="86"/>
      <c r="B2925" s="73"/>
      <c r="C2925" s="73"/>
      <c r="D2925" s="73"/>
      <c r="E2925" s="88"/>
      <c r="F2925" s="73"/>
      <c r="G2925" s="394"/>
      <c r="H2925" s="73"/>
      <c r="I2925" s="88"/>
      <c r="J2925" s="410"/>
      <c r="K2925" s="393">
        <f t="shared" si="8"/>
        <v>1</v>
      </c>
      <c r="L2925" s="394" t="str">
        <f>IFERROR(__xludf.DUMMYFUNCTION("JOIN("""", G2925:H2925)"),"")</f>
        <v/>
      </c>
      <c r="M2925" s="80" t="str">
        <f t="shared" si="2"/>
        <v/>
      </c>
    </row>
    <row r="2926">
      <c r="A2926" s="86"/>
      <c r="B2926" s="73"/>
      <c r="C2926" s="73"/>
      <c r="D2926" s="73"/>
      <c r="E2926" s="88"/>
      <c r="F2926" s="73"/>
      <c r="G2926" s="394"/>
      <c r="H2926" s="73"/>
      <c r="I2926" s="88"/>
      <c r="J2926" s="410"/>
      <c r="K2926" s="393">
        <f t="shared" si="8"/>
        <v>1</v>
      </c>
      <c r="L2926" s="394" t="str">
        <f>IFERROR(__xludf.DUMMYFUNCTION("JOIN("""", G2926:H2926)"),"")</f>
        <v/>
      </c>
      <c r="M2926" s="80" t="str">
        <f t="shared" si="2"/>
        <v/>
      </c>
    </row>
    <row r="2927">
      <c r="A2927" s="86"/>
      <c r="B2927" s="73"/>
      <c r="C2927" s="73"/>
      <c r="D2927" s="73"/>
      <c r="E2927" s="88"/>
      <c r="F2927" s="73"/>
      <c r="G2927" s="394"/>
      <c r="H2927" s="73"/>
      <c r="I2927" s="88"/>
      <c r="J2927" s="410"/>
      <c r="K2927" s="393">
        <f t="shared" si="8"/>
        <v>1</v>
      </c>
      <c r="L2927" s="394" t="str">
        <f>IFERROR(__xludf.DUMMYFUNCTION("JOIN("""", G2927:H2927)"),"")</f>
        <v/>
      </c>
      <c r="M2927" s="80" t="str">
        <f t="shared" si="2"/>
        <v/>
      </c>
    </row>
    <row r="2928">
      <c r="A2928" s="86"/>
      <c r="B2928" s="73"/>
      <c r="C2928" s="73"/>
      <c r="D2928" s="73"/>
      <c r="E2928" s="88"/>
      <c r="F2928" s="73"/>
      <c r="G2928" s="394"/>
      <c r="H2928" s="73"/>
      <c r="I2928" s="88"/>
      <c r="J2928" s="410"/>
      <c r="K2928" s="393">
        <f t="shared" si="8"/>
        <v>1</v>
      </c>
      <c r="L2928" s="394" t="str">
        <f>IFERROR(__xludf.DUMMYFUNCTION("JOIN("""", G2928:H2928)"),"")</f>
        <v/>
      </c>
      <c r="M2928" s="80" t="str">
        <f t="shared" si="2"/>
        <v/>
      </c>
    </row>
    <row r="2929">
      <c r="A2929" s="86"/>
      <c r="B2929" s="73"/>
      <c r="C2929" s="73"/>
      <c r="D2929" s="73"/>
      <c r="E2929" s="88"/>
      <c r="F2929" s="73"/>
      <c r="G2929" s="394"/>
      <c r="H2929" s="73"/>
      <c r="I2929" s="88"/>
      <c r="J2929" s="410"/>
      <c r="K2929" s="393">
        <f t="shared" si="8"/>
        <v>1</v>
      </c>
      <c r="L2929" s="394" t="str">
        <f>IFERROR(__xludf.DUMMYFUNCTION("JOIN("""", G2929:H2929)"),"")</f>
        <v/>
      </c>
      <c r="M2929" s="80" t="str">
        <f t="shared" si="2"/>
        <v/>
      </c>
    </row>
    <row r="2930">
      <c r="A2930" s="86"/>
      <c r="B2930" s="73"/>
      <c r="C2930" s="73"/>
      <c r="D2930" s="73"/>
      <c r="E2930" s="88"/>
      <c r="F2930" s="73"/>
      <c r="G2930" s="394"/>
      <c r="H2930" s="73"/>
      <c r="I2930" s="88"/>
      <c r="J2930" s="410"/>
      <c r="K2930" s="393">
        <f t="shared" si="8"/>
        <v>1</v>
      </c>
      <c r="L2930" s="394" t="str">
        <f>IFERROR(__xludf.DUMMYFUNCTION("JOIN("""", G2930:H2930)"),"")</f>
        <v/>
      </c>
      <c r="M2930" s="80" t="str">
        <f t="shared" si="2"/>
        <v/>
      </c>
    </row>
    <row r="2931">
      <c r="A2931" s="86"/>
      <c r="B2931" s="73"/>
      <c r="C2931" s="73"/>
      <c r="D2931" s="73"/>
      <c r="E2931" s="88"/>
      <c r="F2931" s="73"/>
      <c r="G2931" s="394"/>
      <c r="H2931" s="73"/>
      <c r="I2931" s="88"/>
      <c r="J2931" s="410"/>
      <c r="K2931" s="393">
        <f t="shared" si="8"/>
        <v>1</v>
      </c>
      <c r="L2931" s="394" t="str">
        <f>IFERROR(__xludf.DUMMYFUNCTION("JOIN("""", G2931:H2931)"),"")</f>
        <v/>
      </c>
      <c r="M2931" s="80" t="str">
        <f t="shared" si="2"/>
        <v/>
      </c>
    </row>
    <row r="2932">
      <c r="A2932" s="86"/>
      <c r="B2932" s="73"/>
      <c r="C2932" s="73"/>
      <c r="D2932" s="73"/>
      <c r="E2932" s="88"/>
      <c r="F2932" s="73"/>
      <c r="G2932" s="394"/>
      <c r="H2932" s="73"/>
      <c r="I2932" s="88"/>
      <c r="J2932" s="410"/>
      <c r="K2932" s="393">
        <f t="shared" si="8"/>
        <v>1</v>
      </c>
      <c r="L2932" s="394" t="str">
        <f>IFERROR(__xludf.DUMMYFUNCTION("JOIN("""", G2932:H2932)"),"")</f>
        <v/>
      </c>
      <c r="M2932" s="80" t="str">
        <f t="shared" si="2"/>
        <v/>
      </c>
    </row>
    <row r="2933">
      <c r="A2933" s="86"/>
      <c r="B2933" s="73"/>
      <c r="C2933" s="73"/>
      <c r="D2933" s="73"/>
      <c r="E2933" s="88"/>
      <c r="F2933" s="73"/>
      <c r="G2933" s="394"/>
      <c r="H2933" s="73"/>
      <c r="I2933" s="88"/>
      <c r="J2933" s="410"/>
      <c r="K2933" s="393">
        <f t="shared" si="8"/>
        <v>1</v>
      </c>
      <c r="L2933" s="394" t="str">
        <f>IFERROR(__xludf.DUMMYFUNCTION("JOIN("""", G2933:H2933)"),"")</f>
        <v/>
      </c>
      <c r="M2933" s="80" t="str">
        <f t="shared" si="2"/>
        <v/>
      </c>
    </row>
    <row r="2934">
      <c r="A2934" s="86"/>
      <c r="B2934" s="73"/>
      <c r="C2934" s="73"/>
      <c r="D2934" s="73"/>
      <c r="E2934" s="88"/>
      <c r="F2934" s="73"/>
      <c r="G2934" s="394"/>
      <c r="H2934" s="73"/>
      <c r="I2934" s="88"/>
      <c r="J2934" s="410"/>
      <c r="K2934" s="393">
        <f t="shared" si="8"/>
        <v>1</v>
      </c>
      <c r="L2934" s="394" t="str">
        <f>IFERROR(__xludf.DUMMYFUNCTION("JOIN("""", G2934:H2934)"),"")</f>
        <v/>
      </c>
      <c r="M2934" s="80" t="str">
        <f t="shared" si="2"/>
        <v/>
      </c>
    </row>
    <row r="2935">
      <c r="A2935" s="86"/>
      <c r="B2935" s="73"/>
      <c r="C2935" s="73"/>
      <c r="D2935" s="73"/>
      <c r="E2935" s="88"/>
      <c r="F2935" s="73"/>
      <c r="G2935" s="394"/>
      <c r="H2935" s="73"/>
      <c r="I2935" s="88"/>
      <c r="J2935" s="410"/>
      <c r="K2935" s="393">
        <f t="shared" si="8"/>
        <v>1</v>
      </c>
      <c r="L2935" s="394" t="str">
        <f>IFERROR(__xludf.DUMMYFUNCTION("JOIN("""", G2935:H2935)"),"")</f>
        <v/>
      </c>
      <c r="M2935" s="80" t="str">
        <f t="shared" si="2"/>
        <v/>
      </c>
    </row>
    <row r="2936">
      <c r="A2936" s="86"/>
      <c r="B2936" s="73"/>
      <c r="C2936" s="73"/>
      <c r="D2936" s="73"/>
      <c r="E2936" s="88"/>
      <c r="F2936" s="73"/>
      <c r="G2936" s="394"/>
      <c r="H2936" s="73"/>
      <c r="I2936" s="88"/>
      <c r="J2936" s="410"/>
      <c r="K2936" s="393">
        <f t="shared" si="8"/>
        <v>1</v>
      </c>
      <c r="L2936" s="394" t="str">
        <f>IFERROR(__xludf.DUMMYFUNCTION("JOIN("""", G2936:H2936)"),"")</f>
        <v/>
      </c>
      <c r="M2936" s="80" t="str">
        <f t="shared" si="2"/>
        <v/>
      </c>
    </row>
    <row r="2937">
      <c r="A2937" s="86"/>
      <c r="B2937" s="73"/>
      <c r="C2937" s="73"/>
      <c r="D2937" s="73"/>
      <c r="E2937" s="88"/>
      <c r="F2937" s="73"/>
      <c r="G2937" s="394"/>
      <c r="H2937" s="73"/>
      <c r="I2937" s="88"/>
      <c r="J2937" s="410"/>
      <c r="K2937" s="393">
        <f t="shared" si="8"/>
        <v>1</v>
      </c>
      <c r="L2937" s="394" t="str">
        <f>IFERROR(__xludf.DUMMYFUNCTION("JOIN("""", G2937:H2937)"),"")</f>
        <v/>
      </c>
      <c r="M2937" s="80" t="str">
        <f t="shared" si="2"/>
        <v/>
      </c>
    </row>
    <row r="2938">
      <c r="A2938" s="86"/>
      <c r="B2938" s="73"/>
      <c r="C2938" s="73"/>
      <c r="D2938" s="73"/>
      <c r="E2938" s="88"/>
      <c r="F2938" s="73"/>
      <c r="G2938" s="394"/>
      <c r="H2938" s="73"/>
      <c r="I2938" s="88"/>
      <c r="J2938" s="410"/>
      <c r="K2938" s="393">
        <f t="shared" si="8"/>
        <v>1</v>
      </c>
      <c r="L2938" s="394" t="str">
        <f>IFERROR(__xludf.DUMMYFUNCTION("JOIN("""", G2938:H2938)"),"")</f>
        <v/>
      </c>
      <c r="M2938" s="80" t="str">
        <f t="shared" si="2"/>
        <v/>
      </c>
    </row>
    <row r="2939">
      <c r="A2939" s="86"/>
      <c r="B2939" s="73"/>
      <c r="C2939" s="73"/>
      <c r="D2939" s="73"/>
      <c r="E2939" s="88"/>
      <c r="F2939" s="73"/>
      <c r="G2939" s="394"/>
      <c r="H2939" s="73"/>
      <c r="I2939" s="88"/>
      <c r="J2939" s="410"/>
      <c r="K2939" s="393">
        <f t="shared" si="8"/>
        <v>1</v>
      </c>
      <c r="L2939" s="394" t="str">
        <f>IFERROR(__xludf.DUMMYFUNCTION("JOIN("""", G2939:H2939)"),"")</f>
        <v/>
      </c>
      <c r="M2939" s="80" t="str">
        <f t="shared" si="2"/>
        <v/>
      </c>
    </row>
    <row r="2940">
      <c r="A2940" s="86"/>
      <c r="B2940" s="73"/>
      <c r="C2940" s="73"/>
      <c r="D2940" s="73"/>
      <c r="E2940" s="88"/>
      <c r="F2940" s="73"/>
      <c r="G2940" s="394"/>
      <c r="H2940" s="73"/>
      <c r="I2940" s="88"/>
      <c r="J2940" s="410"/>
      <c r="K2940" s="393">
        <f t="shared" si="8"/>
        <v>1</v>
      </c>
      <c r="L2940" s="394" t="str">
        <f>IFERROR(__xludf.DUMMYFUNCTION("JOIN("""", G2940:H2940)"),"")</f>
        <v/>
      </c>
      <c r="M2940" s="80" t="str">
        <f t="shared" si="2"/>
        <v/>
      </c>
    </row>
    <row r="2941">
      <c r="A2941" s="86"/>
      <c r="B2941" s="73"/>
      <c r="C2941" s="73"/>
      <c r="D2941" s="73"/>
      <c r="E2941" s="88"/>
      <c r="F2941" s="73"/>
      <c r="G2941" s="394"/>
      <c r="H2941" s="73"/>
      <c r="I2941" s="88"/>
      <c r="J2941" s="410"/>
      <c r="K2941" s="393">
        <f t="shared" si="8"/>
        <v>1</v>
      </c>
      <c r="L2941" s="394" t="str">
        <f>IFERROR(__xludf.DUMMYFUNCTION("JOIN("""", G2941:H2941)"),"")</f>
        <v/>
      </c>
      <c r="M2941" s="80" t="str">
        <f t="shared" si="2"/>
        <v/>
      </c>
    </row>
    <row r="2942">
      <c r="A2942" s="86"/>
      <c r="B2942" s="73"/>
      <c r="C2942" s="73"/>
      <c r="D2942" s="73"/>
      <c r="E2942" s="88"/>
      <c r="F2942" s="73"/>
      <c r="G2942" s="394"/>
      <c r="H2942" s="73"/>
      <c r="I2942" s="88"/>
      <c r="J2942" s="410"/>
      <c r="K2942" s="393">
        <f t="shared" si="8"/>
        <v>1</v>
      </c>
      <c r="L2942" s="394" t="str">
        <f>IFERROR(__xludf.DUMMYFUNCTION("JOIN("""", G2942:H2942)"),"")</f>
        <v/>
      </c>
      <c r="M2942" s="80" t="str">
        <f t="shared" si="2"/>
        <v/>
      </c>
    </row>
    <row r="2943">
      <c r="A2943" s="86"/>
      <c r="B2943" s="73"/>
      <c r="C2943" s="73"/>
      <c r="D2943" s="73"/>
      <c r="E2943" s="88"/>
      <c r="F2943" s="73"/>
      <c r="G2943" s="394"/>
      <c r="H2943" s="73"/>
      <c r="I2943" s="88"/>
      <c r="J2943" s="410"/>
      <c r="K2943" s="393">
        <f t="shared" si="8"/>
        <v>1</v>
      </c>
      <c r="L2943" s="394" t="str">
        <f>IFERROR(__xludf.DUMMYFUNCTION("JOIN("""", G2943:H2943)"),"")</f>
        <v/>
      </c>
      <c r="M2943" s="80" t="str">
        <f t="shared" si="2"/>
        <v/>
      </c>
    </row>
    <row r="2944">
      <c r="A2944" s="86"/>
      <c r="B2944" s="73"/>
      <c r="C2944" s="73"/>
      <c r="D2944" s="73"/>
      <c r="E2944" s="88"/>
      <c r="F2944" s="73"/>
      <c r="G2944" s="394"/>
      <c r="H2944" s="73"/>
      <c r="I2944" s="88"/>
      <c r="J2944" s="410"/>
      <c r="K2944" s="393">
        <f t="shared" si="8"/>
        <v>1</v>
      </c>
      <c r="L2944" s="394" t="str">
        <f>IFERROR(__xludf.DUMMYFUNCTION("JOIN("""", G2944:H2944)"),"")</f>
        <v/>
      </c>
      <c r="M2944" s="80" t="str">
        <f t="shared" si="2"/>
        <v/>
      </c>
    </row>
    <row r="2945">
      <c r="A2945" s="86"/>
      <c r="B2945" s="73"/>
      <c r="C2945" s="73"/>
      <c r="D2945" s="73"/>
      <c r="E2945" s="88"/>
      <c r="F2945" s="73"/>
      <c r="G2945" s="394"/>
      <c r="H2945" s="73"/>
      <c r="I2945" s="88"/>
      <c r="J2945" s="410"/>
      <c r="K2945" s="393">
        <f t="shared" si="8"/>
        <v>1</v>
      </c>
      <c r="L2945" s="394" t="str">
        <f>IFERROR(__xludf.DUMMYFUNCTION("JOIN("""", G2945:H2945)"),"")</f>
        <v/>
      </c>
      <c r="M2945" s="80" t="str">
        <f t="shared" si="2"/>
        <v/>
      </c>
    </row>
    <row r="2946">
      <c r="A2946" s="86"/>
      <c r="B2946" s="73"/>
      <c r="C2946" s="73"/>
      <c r="D2946" s="73"/>
      <c r="E2946" s="88"/>
      <c r="F2946" s="73"/>
      <c r="G2946" s="394"/>
      <c r="H2946" s="73"/>
      <c r="I2946" s="88"/>
      <c r="J2946" s="410"/>
      <c r="K2946" s="393">
        <f t="shared" si="8"/>
        <v>1</v>
      </c>
      <c r="L2946" s="394" t="str">
        <f>IFERROR(__xludf.DUMMYFUNCTION("JOIN("""", G2946:H2946)"),"")</f>
        <v/>
      </c>
      <c r="M2946" s="80" t="str">
        <f t="shared" si="2"/>
        <v/>
      </c>
    </row>
    <row r="2947">
      <c r="A2947" s="86"/>
      <c r="B2947" s="73"/>
      <c r="C2947" s="73"/>
      <c r="D2947" s="73"/>
      <c r="E2947" s="88"/>
      <c r="F2947" s="73"/>
      <c r="G2947" s="394"/>
      <c r="H2947" s="73"/>
      <c r="I2947" s="88"/>
      <c r="J2947" s="410"/>
      <c r="K2947" s="393">
        <f t="shared" si="8"/>
        <v>1</v>
      </c>
      <c r="L2947" s="394" t="str">
        <f>IFERROR(__xludf.DUMMYFUNCTION("JOIN("""", G2947:H2947)"),"")</f>
        <v/>
      </c>
      <c r="M2947" s="80" t="str">
        <f t="shared" si="2"/>
        <v/>
      </c>
    </row>
    <row r="2948">
      <c r="A2948" s="86"/>
      <c r="B2948" s="73"/>
      <c r="C2948" s="73"/>
      <c r="D2948" s="73"/>
      <c r="E2948" s="88"/>
      <c r="F2948" s="73"/>
      <c r="G2948" s="394"/>
      <c r="H2948" s="73"/>
      <c r="I2948" s="88"/>
      <c r="J2948" s="410"/>
      <c r="K2948" s="393">
        <f t="shared" si="8"/>
        <v>1</v>
      </c>
      <c r="L2948" s="394" t="str">
        <f>IFERROR(__xludf.DUMMYFUNCTION("JOIN("""", G2948:H2948)"),"")</f>
        <v/>
      </c>
      <c r="M2948" s="80" t="str">
        <f t="shared" si="2"/>
        <v/>
      </c>
    </row>
    <row r="2949">
      <c r="A2949" s="86"/>
      <c r="B2949" s="73"/>
      <c r="C2949" s="73"/>
      <c r="D2949" s="73"/>
      <c r="E2949" s="88"/>
      <c r="F2949" s="73"/>
      <c r="G2949" s="394"/>
      <c r="H2949" s="73"/>
      <c r="I2949" s="88"/>
      <c r="J2949" s="410"/>
      <c r="K2949" s="393">
        <f t="shared" si="8"/>
        <v>1</v>
      </c>
      <c r="L2949" s="394" t="str">
        <f>IFERROR(__xludf.DUMMYFUNCTION("JOIN("""", G2949:H2949)"),"")</f>
        <v/>
      </c>
      <c r="M2949" s="80" t="str">
        <f t="shared" si="2"/>
        <v/>
      </c>
    </row>
    <row r="2950">
      <c r="A2950" s="86"/>
      <c r="B2950" s="73"/>
      <c r="C2950" s="73"/>
      <c r="D2950" s="73"/>
      <c r="E2950" s="88"/>
      <c r="F2950" s="73"/>
      <c r="G2950" s="394"/>
      <c r="H2950" s="73"/>
      <c r="I2950" s="88"/>
      <c r="J2950" s="410"/>
      <c r="K2950" s="393">
        <f t="shared" si="8"/>
        <v>1</v>
      </c>
      <c r="L2950" s="394" t="str">
        <f>IFERROR(__xludf.DUMMYFUNCTION("JOIN("""", G2950:H2950)"),"")</f>
        <v/>
      </c>
      <c r="M2950" s="80" t="str">
        <f t="shared" si="2"/>
        <v/>
      </c>
    </row>
    <row r="2951">
      <c r="A2951" s="86"/>
      <c r="B2951" s="73"/>
      <c r="C2951" s="73"/>
      <c r="D2951" s="73"/>
      <c r="E2951" s="88"/>
      <c r="F2951" s="73"/>
      <c r="G2951" s="394"/>
      <c r="H2951" s="73"/>
      <c r="I2951" s="88"/>
      <c r="J2951" s="410"/>
      <c r="K2951" s="393">
        <f t="shared" si="8"/>
        <v>1</v>
      </c>
      <c r="L2951" s="394" t="str">
        <f>IFERROR(__xludf.DUMMYFUNCTION("JOIN("""", G2951:H2951)"),"")</f>
        <v/>
      </c>
      <c r="M2951" s="80" t="str">
        <f t="shared" si="2"/>
        <v/>
      </c>
    </row>
    <row r="2952">
      <c r="A2952" s="86"/>
      <c r="B2952" s="73"/>
      <c r="C2952" s="73"/>
      <c r="D2952" s="73"/>
      <c r="E2952" s="88"/>
      <c r="F2952" s="73"/>
      <c r="G2952" s="394"/>
      <c r="H2952" s="73"/>
      <c r="I2952" s="88"/>
      <c r="J2952" s="410"/>
      <c r="K2952" s="393">
        <f t="shared" si="8"/>
        <v>1</v>
      </c>
      <c r="L2952" s="394" t="str">
        <f>IFERROR(__xludf.DUMMYFUNCTION("JOIN("""", G2952:H2952)"),"")</f>
        <v/>
      </c>
      <c r="M2952" s="80" t="str">
        <f t="shared" si="2"/>
        <v/>
      </c>
    </row>
    <row r="2953">
      <c r="A2953" s="86"/>
      <c r="B2953" s="73"/>
      <c r="C2953" s="73"/>
      <c r="D2953" s="73"/>
      <c r="E2953" s="88"/>
      <c r="F2953" s="73"/>
      <c r="G2953" s="394"/>
      <c r="H2953" s="73"/>
      <c r="I2953" s="88"/>
      <c r="J2953" s="410"/>
      <c r="K2953" s="393">
        <f t="shared" si="8"/>
        <v>1</v>
      </c>
      <c r="L2953" s="394" t="str">
        <f>IFERROR(__xludf.DUMMYFUNCTION("JOIN("""", G2953:H2953)"),"")</f>
        <v/>
      </c>
      <c r="M2953" s="80" t="str">
        <f t="shared" si="2"/>
        <v/>
      </c>
    </row>
    <row r="2954">
      <c r="A2954" s="86"/>
      <c r="B2954" s="73"/>
      <c r="C2954" s="73"/>
      <c r="D2954" s="73"/>
      <c r="E2954" s="88"/>
      <c r="F2954" s="73"/>
      <c r="G2954" s="394"/>
      <c r="H2954" s="73"/>
      <c r="I2954" s="88"/>
      <c r="J2954" s="410"/>
      <c r="K2954" s="393">
        <f t="shared" si="8"/>
        <v>1</v>
      </c>
      <c r="L2954" s="394" t="str">
        <f>IFERROR(__xludf.DUMMYFUNCTION("JOIN("""", G2954:H2954)"),"")</f>
        <v/>
      </c>
      <c r="M2954" s="80" t="str">
        <f t="shared" si="2"/>
        <v/>
      </c>
    </row>
    <row r="2955">
      <c r="A2955" s="86"/>
      <c r="B2955" s="73"/>
      <c r="C2955" s="73"/>
      <c r="D2955" s="73"/>
      <c r="E2955" s="88"/>
      <c r="F2955" s="73"/>
      <c r="G2955" s="394"/>
      <c r="H2955" s="73"/>
      <c r="I2955" s="88"/>
      <c r="J2955" s="410"/>
      <c r="K2955" s="393">
        <f t="shared" si="8"/>
        <v>1</v>
      </c>
      <c r="L2955" s="394" t="str">
        <f>IFERROR(__xludf.DUMMYFUNCTION("JOIN("""", G2955:H2955)"),"")</f>
        <v/>
      </c>
      <c r="M2955" s="80" t="str">
        <f t="shared" si="2"/>
        <v/>
      </c>
    </row>
    <row r="2956">
      <c r="A2956" s="86"/>
      <c r="B2956" s="73"/>
      <c r="C2956" s="73"/>
      <c r="D2956" s="73"/>
      <c r="E2956" s="88"/>
      <c r="F2956" s="73"/>
      <c r="G2956" s="394"/>
      <c r="H2956" s="73"/>
      <c r="I2956" s="88"/>
      <c r="J2956" s="410"/>
      <c r="K2956" s="393">
        <f t="shared" si="8"/>
        <v>1</v>
      </c>
      <c r="L2956" s="394" t="str">
        <f>IFERROR(__xludf.DUMMYFUNCTION("JOIN("""", G2956:H2956)"),"")</f>
        <v/>
      </c>
      <c r="M2956" s="80" t="str">
        <f t="shared" si="2"/>
        <v/>
      </c>
    </row>
    <row r="2957">
      <c r="A2957" s="86"/>
      <c r="B2957" s="73"/>
      <c r="C2957" s="73"/>
      <c r="D2957" s="73"/>
      <c r="E2957" s="88"/>
      <c r="F2957" s="73"/>
      <c r="G2957" s="394"/>
      <c r="H2957" s="73"/>
      <c r="I2957" s="88"/>
      <c r="J2957" s="410"/>
      <c r="K2957" s="393">
        <f t="shared" si="8"/>
        <v>1</v>
      </c>
      <c r="L2957" s="394" t="str">
        <f>IFERROR(__xludf.DUMMYFUNCTION("JOIN("""", G2957:H2957)"),"")</f>
        <v/>
      </c>
      <c r="M2957" s="80" t="str">
        <f t="shared" si="2"/>
        <v/>
      </c>
    </row>
    <row r="2958">
      <c r="A2958" s="86"/>
      <c r="B2958" s="73"/>
      <c r="C2958" s="73"/>
      <c r="D2958" s="73"/>
      <c r="E2958" s="88"/>
      <c r="F2958" s="73"/>
      <c r="G2958" s="394"/>
      <c r="H2958" s="73"/>
      <c r="I2958" s="88"/>
      <c r="J2958" s="410"/>
      <c r="K2958" s="393">
        <f t="shared" si="8"/>
        <v>1</v>
      </c>
      <c r="L2958" s="394" t="str">
        <f>IFERROR(__xludf.DUMMYFUNCTION("JOIN("""", G2958:H2958)"),"")</f>
        <v/>
      </c>
      <c r="M2958" s="80" t="str">
        <f t="shared" si="2"/>
        <v/>
      </c>
    </row>
    <row r="2959">
      <c r="A2959" s="86"/>
      <c r="B2959" s="73"/>
      <c r="C2959" s="73"/>
      <c r="D2959" s="73"/>
      <c r="E2959" s="88"/>
      <c r="F2959" s="73"/>
      <c r="G2959" s="394"/>
      <c r="H2959" s="73"/>
      <c r="I2959" s="88"/>
      <c r="J2959" s="410"/>
      <c r="K2959" s="393">
        <f t="shared" si="8"/>
        <v>1</v>
      </c>
      <c r="L2959" s="394" t="str">
        <f>IFERROR(__xludf.DUMMYFUNCTION("JOIN("""", G2959:H2959)"),"")</f>
        <v/>
      </c>
      <c r="M2959" s="80" t="str">
        <f t="shared" si="2"/>
        <v/>
      </c>
    </row>
    <row r="2960">
      <c r="A2960" s="86"/>
      <c r="B2960" s="73"/>
      <c r="C2960" s="73"/>
      <c r="D2960" s="73"/>
      <c r="E2960" s="88"/>
      <c r="F2960" s="73"/>
      <c r="G2960" s="394"/>
      <c r="H2960" s="73"/>
      <c r="I2960" s="88"/>
      <c r="J2960" s="410"/>
      <c r="K2960" s="393">
        <f t="shared" si="8"/>
        <v>1</v>
      </c>
      <c r="L2960" s="394" t="str">
        <f>IFERROR(__xludf.DUMMYFUNCTION("JOIN("""", G2960:H2960)"),"")</f>
        <v/>
      </c>
      <c r="M2960" s="80" t="str">
        <f t="shared" si="2"/>
        <v/>
      </c>
    </row>
    <row r="2961">
      <c r="A2961" s="86"/>
      <c r="B2961" s="73"/>
      <c r="C2961" s="73"/>
      <c r="D2961" s="73"/>
      <c r="E2961" s="88"/>
      <c r="F2961" s="73"/>
      <c r="G2961" s="394"/>
      <c r="H2961" s="73"/>
      <c r="I2961" s="88"/>
      <c r="J2961" s="410"/>
      <c r="K2961" s="393">
        <f t="shared" si="8"/>
        <v>1</v>
      </c>
      <c r="L2961" s="394" t="str">
        <f>IFERROR(__xludf.DUMMYFUNCTION("JOIN("""", G2961:H2961)"),"")</f>
        <v/>
      </c>
      <c r="M2961" s="80" t="str">
        <f t="shared" si="2"/>
        <v/>
      </c>
    </row>
    <row r="2962">
      <c r="A2962" s="86"/>
      <c r="B2962" s="73"/>
      <c r="C2962" s="73"/>
      <c r="D2962" s="73"/>
      <c r="E2962" s="88"/>
      <c r="F2962" s="73"/>
      <c r="G2962" s="394"/>
      <c r="H2962" s="73"/>
      <c r="I2962" s="88"/>
      <c r="J2962" s="410"/>
      <c r="K2962" s="393">
        <f t="shared" si="8"/>
        <v>1</v>
      </c>
      <c r="L2962" s="394" t="str">
        <f>IFERROR(__xludf.DUMMYFUNCTION("JOIN("""", G2962:H2962)"),"")</f>
        <v/>
      </c>
      <c r="M2962" s="80" t="str">
        <f t="shared" si="2"/>
        <v/>
      </c>
    </row>
    <row r="2963">
      <c r="A2963" s="86"/>
      <c r="B2963" s="73"/>
      <c r="C2963" s="73"/>
      <c r="D2963" s="73"/>
      <c r="E2963" s="88"/>
      <c r="F2963" s="73"/>
      <c r="G2963" s="394"/>
      <c r="H2963" s="73"/>
      <c r="I2963" s="88"/>
      <c r="J2963" s="410"/>
      <c r="K2963" s="393">
        <f t="shared" si="8"/>
        <v>1</v>
      </c>
      <c r="L2963" s="394" t="str">
        <f>IFERROR(__xludf.DUMMYFUNCTION("JOIN("""", G2963:H2963)"),"")</f>
        <v/>
      </c>
      <c r="M2963" s="80" t="str">
        <f t="shared" si="2"/>
        <v/>
      </c>
    </row>
    <row r="2964">
      <c r="A2964" s="86"/>
      <c r="B2964" s="73"/>
      <c r="C2964" s="73"/>
      <c r="D2964" s="73"/>
      <c r="E2964" s="88"/>
      <c r="F2964" s="73"/>
      <c r="G2964" s="394"/>
      <c r="H2964" s="73"/>
      <c r="I2964" s="88"/>
      <c r="J2964" s="410"/>
      <c r="K2964" s="393">
        <f t="shared" si="8"/>
        <v>1</v>
      </c>
      <c r="L2964" s="394" t="str">
        <f>IFERROR(__xludf.DUMMYFUNCTION("JOIN("""", G2964:H2964)"),"")</f>
        <v/>
      </c>
      <c r="M2964" s="80" t="str">
        <f t="shared" si="2"/>
        <v/>
      </c>
    </row>
    <row r="2965">
      <c r="A2965" s="86"/>
      <c r="B2965" s="73"/>
      <c r="C2965" s="73"/>
      <c r="D2965" s="73"/>
      <c r="E2965" s="88"/>
      <c r="F2965" s="73"/>
      <c r="G2965" s="394"/>
      <c r="H2965" s="73"/>
      <c r="I2965" s="88"/>
      <c r="J2965" s="410"/>
      <c r="K2965" s="393">
        <f t="shared" si="8"/>
        <v>1</v>
      </c>
      <c r="L2965" s="394" t="str">
        <f>IFERROR(__xludf.DUMMYFUNCTION("JOIN("""", G2965:H2965)"),"")</f>
        <v/>
      </c>
      <c r="M2965" s="80" t="str">
        <f t="shared" si="2"/>
        <v/>
      </c>
    </row>
    <row r="2966">
      <c r="A2966" s="86"/>
      <c r="B2966" s="73"/>
      <c r="C2966" s="73"/>
      <c r="D2966" s="73"/>
      <c r="E2966" s="88"/>
      <c r="F2966" s="73"/>
      <c r="G2966" s="394"/>
      <c r="H2966" s="73"/>
      <c r="I2966" s="88"/>
      <c r="J2966" s="410"/>
      <c r="K2966" s="393">
        <f t="shared" si="8"/>
        <v>1</v>
      </c>
      <c r="L2966" s="394" t="str">
        <f>IFERROR(__xludf.DUMMYFUNCTION("JOIN("""", G2966:H2966)"),"")</f>
        <v/>
      </c>
      <c r="M2966" s="80" t="str">
        <f t="shared" si="2"/>
        <v/>
      </c>
    </row>
    <row r="2967">
      <c r="A2967" s="86"/>
      <c r="B2967" s="73"/>
      <c r="C2967" s="73"/>
      <c r="D2967" s="73"/>
      <c r="E2967" s="88"/>
      <c r="F2967" s="73"/>
      <c r="G2967" s="394"/>
      <c r="H2967" s="73"/>
      <c r="I2967" s="88"/>
      <c r="J2967" s="410"/>
      <c r="K2967" s="393">
        <f t="shared" si="8"/>
        <v>1</v>
      </c>
      <c r="L2967" s="394" t="str">
        <f>IFERROR(__xludf.DUMMYFUNCTION("JOIN("""", G2967:H2967)"),"")</f>
        <v/>
      </c>
      <c r="M2967" s="80" t="str">
        <f t="shared" si="2"/>
        <v/>
      </c>
    </row>
    <row r="2968">
      <c r="A2968" s="86"/>
      <c r="B2968" s="73"/>
      <c r="C2968" s="73"/>
      <c r="D2968" s="73"/>
      <c r="E2968" s="88"/>
      <c r="F2968" s="73"/>
      <c r="G2968" s="394"/>
      <c r="H2968" s="73"/>
      <c r="I2968" s="88"/>
      <c r="J2968" s="410"/>
      <c r="K2968" s="393">
        <f t="shared" si="8"/>
        <v>1</v>
      </c>
      <c r="L2968" s="394" t="str">
        <f>IFERROR(__xludf.DUMMYFUNCTION("JOIN("""", G2968:H2968)"),"")</f>
        <v/>
      </c>
      <c r="M2968" s="80" t="str">
        <f t="shared" si="2"/>
        <v/>
      </c>
    </row>
    <row r="2969">
      <c r="A2969" s="86"/>
      <c r="B2969" s="73"/>
      <c r="C2969" s="73"/>
      <c r="D2969" s="73"/>
      <c r="E2969" s="88"/>
      <c r="F2969" s="73"/>
      <c r="G2969" s="394"/>
      <c r="H2969" s="73"/>
      <c r="I2969" s="88"/>
      <c r="J2969" s="410"/>
      <c r="K2969" s="393">
        <f t="shared" si="8"/>
        <v>1</v>
      </c>
      <c r="L2969" s="394" t="str">
        <f>IFERROR(__xludf.DUMMYFUNCTION("JOIN("""", G2969:H2969)"),"")</f>
        <v/>
      </c>
      <c r="M2969" s="80" t="str">
        <f t="shared" si="2"/>
        <v/>
      </c>
    </row>
    <row r="2970">
      <c r="A2970" s="86"/>
      <c r="B2970" s="73"/>
      <c r="C2970" s="73"/>
      <c r="D2970" s="73"/>
      <c r="E2970" s="88"/>
      <c r="F2970" s="73"/>
      <c r="G2970" s="394"/>
      <c r="H2970" s="73"/>
      <c r="I2970" s="88"/>
      <c r="J2970" s="410"/>
      <c r="K2970" s="393">
        <f t="shared" si="8"/>
        <v>1</v>
      </c>
      <c r="L2970" s="394" t="str">
        <f>IFERROR(__xludf.DUMMYFUNCTION("JOIN("""", G2970:H2970)"),"")</f>
        <v/>
      </c>
      <c r="M2970" s="80" t="str">
        <f t="shared" si="2"/>
        <v/>
      </c>
    </row>
    <row r="2971">
      <c r="A2971" s="86"/>
      <c r="B2971" s="73"/>
      <c r="C2971" s="73"/>
      <c r="D2971" s="73"/>
      <c r="E2971" s="88"/>
      <c r="F2971" s="73"/>
      <c r="G2971" s="394"/>
      <c r="H2971" s="73"/>
      <c r="I2971" s="88"/>
      <c r="J2971" s="410"/>
      <c r="K2971" s="393">
        <f t="shared" si="8"/>
        <v>1</v>
      </c>
      <c r="L2971" s="394" t="str">
        <f>IFERROR(__xludf.DUMMYFUNCTION("JOIN("""", G2971:H2971)"),"")</f>
        <v/>
      </c>
      <c r="M2971" s="80" t="str">
        <f t="shared" si="2"/>
        <v/>
      </c>
    </row>
    <row r="2972">
      <c r="A2972" s="86"/>
      <c r="B2972" s="73"/>
      <c r="C2972" s="73"/>
      <c r="D2972" s="73"/>
      <c r="E2972" s="88"/>
      <c r="F2972" s="73"/>
      <c r="G2972" s="394"/>
      <c r="H2972" s="73"/>
      <c r="I2972" s="88"/>
      <c r="J2972" s="410"/>
      <c r="K2972" s="393">
        <f t="shared" si="8"/>
        <v>1</v>
      </c>
      <c r="L2972" s="394" t="str">
        <f>IFERROR(__xludf.DUMMYFUNCTION("JOIN("""", G2972:H2972)"),"")</f>
        <v/>
      </c>
      <c r="M2972" s="80" t="str">
        <f t="shared" si="2"/>
        <v/>
      </c>
    </row>
    <row r="2973">
      <c r="A2973" s="86"/>
      <c r="B2973" s="73"/>
      <c r="C2973" s="73"/>
      <c r="D2973" s="73"/>
      <c r="E2973" s="88"/>
      <c r="F2973" s="73"/>
      <c r="G2973" s="394"/>
      <c r="H2973" s="73"/>
      <c r="I2973" s="88"/>
      <c r="J2973" s="410"/>
      <c r="K2973" s="393">
        <f t="shared" si="8"/>
        <v>1</v>
      </c>
      <c r="L2973" s="394" t="str">
        <f>IFERROR(__xludf.DUMMYFUNCTION("JOIN("""", G2973:H2973)"),"")</f>
        <v/>
      </c>
      <c r="M2973" s="80" t="str">
        <f t="shared" si="2"/>
        <v/>
      </c>
    </row>
    <row r="2974">
      <c r="A2974" s="86"/>
      <c r="B2974" s="73"/>
      <c r="C2974" s="73"/>
      <c r="D2974" s="73"/>
      <c r="E2974" s="88"/>
      <c r="F2974" s="73"/>
      <c r="G2974" s="394"/>
      <c r="H2974" s="73"/>
      <c r="I2974" s="88"/>
      <c r="J2974" s="410"/>
      <c r="K2974" s="393">
        <f t="shared" si="8"/>
        <v>1</v>
      </c>
      <c r="L2974" s="394" t="str">
        <f>IFERROR(__xludf.DUMMYFUNCTION("JOIN("""", G2974:H2974)"),"")</f>
        <v/>
      </c>
      <c r="M2974" s="80" t="str">
        <f t="shared" si="2"/>
        <v/>
      </c>
    </row>
    <row r="2975">
      <c r="A2975" s="86"/>
      <c r="B2975" s="73"/>
      <c r="C2975" s="73"/>
      <c r="D2975" s="73"/>
      <c r="E2975" s="88"/>
      <c r="F2975" s="73"/>
      <c r="G2975" s="394"/>
      <c r="H2975" s="73"/>
      <c r="I2975" s="88"/>
      <c r="J2975" s="410"/>
      <c r="K2975" s="393">
        <f t="shared" si="8"/>
        <v>1</v>
      </c>
      <c r="L2975" s="394" t="str">
        <f>IFERROR(__xludf.DUMMYFUNCTION("JOIN("""", G2975:H2975)"),"")</f>
        <v/>
      </c>
      <c r="M2975" s="80" t="str">
        <f t="shared" si="2"/>
        <v/>
      </c>
    </row>
    <row r="2976">
      <c r="A2976" s="86"/>
      <c r="B2976" s="73"/>
      <c r="C2976" s="73"/>
      <c r="D2976" s="73"/>
      <c r="E2976" s="88"/>
      <c r="F2976" s="73"/>
      <c r="G2976" s="394"/>
      <c r="H2976" s="73"/>
      <c r="I2976" s="88"/>
      <c r="J2976" s="410"/>
      <c r="K2976" s="393">
        <f t="shared" si="8"/>
        <v>1</v>
      </c>
      <c r="L2976" s="394" t="str">
        <f>IFERROR(__xludf.DUMMYFUNCTION("JOIN("""", G2976:H2976)"),"")</f>
        <v/>
      </c>
      <c r="M2976" s="80" t="str">
        <f t="shared" si="2"/>
        <v/>
      </c>
    </row>
    <row r="2977">
      <c r="A2977" s="86"/>
      <c r="B2977" s="73"/>
      <c r="C2977" s="73"/>
      <c r="D2977" s="73"/>
      <c r="E2977" s="88"/>
      <c r="F2977" s="73"/>
      <c r="G2977" s="394"/>
      <c r="H2977" s="73"/>
      <c r="I2977" s="88"/>
      <c r="J2977" s="410"/>
      <c r="K2977" s="393">
        <f t="shared" si="8"/>
        <v>1</v>
      </c>
      <c r="L2977" s="394" t="str">
        <f>IFERROR(__xludf.DUMMYFUNCTION("JOIN("""", G2977:H2977)"),"")</f>
        <v/>
      </c>
      <c r="M2977" s="80" t="str">
        <f t="shared" si="2"/>
        <v/>
      </c>
    </row>
    <row r="2978">
      <c r="A2978" s="86"/>
      <c r="B2978" s="73"/>
      <c r="C2978" s="73"/>
      <c r="D2978" s="73"/>
      <c r="E2978" s="88"/>
      <c r="F2978" s="73"/>
      <c r="G2978" s="394"/>
      <c r="H2978" s="73"/>
      <c r="I2978" s="88"/>
      <c r="J2978" s="410"/>
      <c r="K2978" s="393">
        <f t="shared" si="8"/>
        <v>1</v>
      </c>
      <c r="L2978" s="394" t="str">
        <f>IFERROR(__xludf.DUMMYFUNCTION("JOIN("""", G2978:H2978)"),"")</f>
        <v/>
      </c>
      <c r="M2978" s="80" t="str">
        <f t="shared" si="2"/>
        <v/>
      </c>
    </row>
    <row r="2979">
      <c r="A2979" s="86"/>
      <c r="B2979" s="73"/>
      <c r="C2979" s="73"/>
      <c r="D2979" s="73"/>
      <c r="E2979" s="88"/>
      <c r="F2979" s="73"/>
      <c r="G2979" s="394"/>
      <c r="H2979" s="73"/>
      <c r="I2979" s="88"/>
      <c r="J2979" s="410"/>
      <c r="K2979" s="393">
        <f t="shared" si="8"/>
        <v>1</v>
      </c>
      <c r="L2979" s="394" t="str">
        <f>IFERROR(__xludf.DUMMYFUNCTION("JOIN("""", G2979:H2979)"),"")</f>
        <v/>
      </c>
      <c r="M2979" s="80" t="str">
        <f t="shared" si="2"/>
        <v/>
      </c>
    </row>
    <row r="2980">
      <c r="A2980" s="86"/>
      <c r="B2980" s="73"/>
      <c r="C2980" s="73"/>
      <c r="D2980" s="73"/>
      <c r="E2980" s="88"/>
      <c r="F2980" s="73"/>
      <c r="G2980" s="394"/>
      <c r="H2980" s="73"/>
      <c r="I2980" s="88"/>
      <c r="J2980" s="410"/>
      <c r="K2980" s="393">
        <f t="shared" si="8"/>
        <v>1</v>
      </c>
      <c r="L2980" s="394" t="str">
        <f>IFERROR(__xludf.DUMMYFUNCTION("JOIN("""", G2980:H2980)"),"")</f>
        <v/>
      </c>
      <c r="M2980" s="80" t="str">
        <f t="shared" si="2"/>
        <v/>
      </c>
    </row>
    <row r="2981">
      <c r="A2981" s="86"/>
      <c r="B2981" s="73"/>
      <c r="C2981" s="73"/>
      <c r="D2981" s="73"/>
      <c r="E2981" s="88"/>
      <c r="F2981" s="73"/>
      <c r="G2981" s="394"/>
      <c r="H2981" s="73"/>
      <c r="I2981" s="88"/>
      <c r="J2981" s="410"/>
      <c r="K2981" s="393">
        <f t="shared" si="8"/>
        <v>1</v>
      </c>
      <c r="L2981" s="394" t="str">
        <f>IFERROR(__xludf.DUMMYFUNCTION("JOIN("""", G2981:H2981)"),"")</f>
        <v/>
      </c>
      <c r="M2981" s="80" t="str">
        <f t="shared" si="2"/>
        <v/>
      </c>
    </row>
    <row r="2982">
      <c r="A2982" s="86"/>
      <c r="B2982" s="73"/>
      <c r="C2982" s="73"/>
      <c r="D2982" s="73"/>
      <c r="E2982" s="88"/>
      <c r="F2982" s="73"/>
      <c r="G2982" s="394"/>
      <c r="H2982" s="73"/>
      <c r="I2982" s="88"/>
      <c r="J2982" s="410"/>
      <c r="K2982" s="393">
        <f t="shared" si="8"/>
        <v>1</v>
      </c>
      <c r="L2982" s="394" t="str">
        <f>IFERROR(__xludf.DUMMYFUNCTION("JOIN("""", G2982:H2982)"),"")</f>
        <v/>
      </c>
      <c r="M2982" s="80" t="str">
        <f t="shared" si="2"/>
        <v/>
      </c>
    </row>
    <row r="2983">
      <c r="A2983" s="86"/>
      <c r="B2983" s="73"/>
      <c r="C2983" s="73"/>
      <c r="D2983" s="73"/>
      <c r="E2983" s="88"/>
      <c r="F2983" s="73"/>
      <c r="G2983" s="394"/>
      <c r="H2983" s="73"/>
      <c r="I2983" s="88"/>
      <c r="J2983" s="410"/>
      <c r="K2983" s="393">
        <f t="shared" si="8"/>
        <v>1</v>
      </c>
      <c r="L2983" s="394" t="str">
        <f>IFERROR(__xludf.DUMMYFUNCTION("JOIN("""", G2983:H2983)"),"")</f>
        <v/>
      </c>
      <c r="M2983" s="80" t="str">
        <f t="shared" si="2"/>
        <v/>
      </c>
    </row>
    <row r="2984">
      <c r="A2984" s="86"/>
      <c r="B2984" s="73"/>
      <c r="C2984" s="73"/>
      <c r="D2984" s="73"/>
      <c r="E2984" s="88"/>
      <c r="F2984" s="73"/>
      <c r="G2984" s="394"/>
      <c r="H2984" s="73"/>
      <c r="I2984" s="88"/>
      <c r="J2984" s="410"/>
      <c r="K2984" s="393">
        <f t="shared" si="8"/>
        <v>1</v>
      </c>
      <c r="L2984" s="394" t="str">
        <f>IFERROR(__xludf.DUMMYFUNCTION("JOIN("""", G2984:H2984)"),"")</f>
        <v/>
      </c>
      <c r="M2984" s="80" t="str">
        <f t="shared" si="2"/>
        <v/>
      </c>
    </row>
    <row r="2985">
      <c r="A2985" s="86"/>
      <c r="B2985" s="73"/>
      <c r="C2985" s="73"/>
      <c r="D2985" s="73"/>
      <c r="E2985" s="88"/>
      <c r="F2985" s="73"/>
      <c r="G2985" s="394"/>
      <c r="H2985" s="73"/>
      <c r="I2985" s="88"/>
      <c r="J2985" s="410"/>
      <c r="K2985" s="393">
        <f t="shared" si="8"/>
        <v>1</v>
      </c>
      <c r="L2985" s="394" t="str">
        <f>IFERROR(__xludf.DUMMYFUNCTION("JOIN("""", G2985:H2985)"),"")</f>
        <v/>
      </c>
      <c r="M2985" s="80" t="str">
        <f t="shared" si="2"/>
        <v/>
      </c>
    </row>
    <row r="2986">
      <c r="A2986" s="86"/>
      <c r="B2986" s="73"/>
      <c r="C2986" s="73"/>
      <c r="D2986" s="73"/>
      <c r="E2986" s="88"/>
      <c r="F2986" s="73"/>
      <c r="G2986" s="394"/>
      <c r="H2986" s="73"/>
      <c r="I2986" s="88"/>
      <c r="J2986" s="410"/>
      <c r="K2986" s="393">
        <f t="shared" si="8"/>
        <v>1</v>
      </c>
      <c r="L2986" s="394" t="str">
        <f>IFERROR(__xludf.DUMMYFUNCTION("JOIN("""", G2986:H2986)"),"")</f>
        <v/>
      </c>
      <c r="M2986" s="80" t="str">
        <f t="shared" si="2"/>
        <v/>
      </c>
    </row>
    <row r="2987">
      <c r="A2987" s="86"/>
      <c r="B2987" s="73"/>
      <c r="C2987" s="73"/>
      <c r="D2987" s="73"/>
      <c r="E2987" s="88"/>
      <c r="F2987" s="73"/>
      <c r="G2987" s="394"/>
      <c r="H2987" s="73"/>
      <c r="I2987" s="88"/>
      <c r="J2987" s="410"/>
      <c r="K2987" s="393">
        <f t="shared" si="8"/>
        <v>1</v>
      </c>
      <c r="L2987" s="394" t="str">
        <f>IFERROR(__xludf.DUMMYFUNCTION("JOIN("""", G2987:H2987)"),"")</f>
        <v/>
      </c>
      <c r="M2987" s="80" t="str">
        <f t="shared" si="2"/>
        <v/>
      </c>
    </row>
    <row r="2988">
      <c r="A2988" s="86"/>
      <c r="B2988" s="73"/>
      <c r="C2988" s="73"/>
      <c r="D2988" s="73"/>
      <c r="E2988" s="88"/>
      <c r="F2988" s="73"/>
      <c r="G2988" s="394"/>
      <c r="H2988" s="73"/>
      <c r="I2988" s="88"/>
      <c r="J2988" s="410"/>
      <c r="K2988" s="393">
        <f t="shared" si="8"/>
        <v>1</v>
      </c>
      <c r="L2988" s="394" t="str">
        <f>IFERROR(__xludf.DUMMYFUNCTION("JOIN("""", G2988:H2988)"),"")</f>
        <v/>
      </c>
      <c r="M2988" s="80" t="str">
        <f t="shared" si="2"/>
        <v/>
      </c>
    </row>
    <row r="2989">
      <c r="A2989" s="86"/>
      <c r="B2989" s="73"/>
      <c r="C2989" s="73"/>
      <c r="D2989" s="73"/>
      <c r="E2989" s="88"/>
      <c r="F2989" s="73"/>
      <c r="G2989" s="394"/>
      <c r="H2989" s="73"/>
      <c r="I2989" s="88"/>
      <c r="J2989" s="410"/>
      <c r="K2989" s="393">
        <f t="shared" si="8"/>
        <v>1</v>
      </c>
      <c r="L2989" s="394" t="str">
        <f>IFERROR(__xludf.DUMMYFUNCTION("JOIN("""", G2989:H2989)"),"")</f>
        <v/>
      </c>
      <c r="M2989" s="80" t="str">
        <f t="shared" si="2"/>
        <v/>
      </c>
    </row>
    <row r="2990">
      <c r="A2990" s="86"/>
      <c r="B2990" s="73"/>
      <c r="C2990" s="73"/>
      <c r="D2990" s="73"/>
      <c r="E2990" s="88"/>
      <c r="F2990" s="73"/>
      <c r="G2990" s="394"/>
      <c r="H2990" s="73"/>
      <c r="I2990" s="88"/>
      <c r="J2990" s="410"/>
      <c r="K2990" s="393">
        <f t="shared" si="8"/>
        <v>1</v>
      </c>
      <c r="L2990" s="394" t="str">
        <f>IFERROR(__xludf.DUMMYFUNCTION("JOIN("""", G2990:H2990)"),"")</f>
        <v/>
      </c>
      <c r="M2990" s="80" t="str">
        <f t="shared" si="2"/>
        <v/>
      </c>
    </row>
    <row r="2991">
      <c r="A2991" s="86"/>
      <c r="B2991" s="73"/>
      <c r="C2991" s="73"/>
      <c r="D2991" s="73"/>
      <c r="E2991" s="88"/>
      <c r="F2991" s="73"/>
      <c r="G2991" s="394"/>
      <c r="H2991" s="73"/>
      <c r="I2991" s="88"/>
      <c r="J2991" s="410"/>
      <c r="K2991" s="393">
        <f t="shared" si="8"/>
        <v>1</v>
      </c>
      <c r="L2991" s="394" t="str">
        <f>IFERROR(__xludf.DUMMYFUNCTION("JOIN("""", G2991:H2991)"),"")</f>
        <v/>
      </c>
      <c r="M2991" s="80" t="str">
        <f t="shared" si="2"/>
        <v/>
      </c>
    </row>
    <row r="2992">
      <c r="A2992" s="86"/>
      <c r="B2992" s="73"/>
      <c r="C2992" s="73"/>
      <c r="D2992" s="73"/>
      <c r="E2992" s="88"/>
      <c r="F2992" s="73"/>
      <c r="G2992" s="394"/>
      <c r="H2992" s="73"/>
      <c r="I2992" s="88"/>
      <c r="J2992" s="410"/>
      <c r="K2992" s="393">
        <f t="shared" si="8"/>
        <v>1</v>
      </c>
      <c r="L2992" s="394" t="str">
        <f>IFERROR(__xludf.DUMMYFUNCTION("JOIN("""", G2992:H2992)"),"")</f>
        <v/>
      </c>
      <c r="M2992" s="80" t="str">
        <f t="shared" si="2"/>
        <v/>
      </c>
    </row>
    <row r="2993">
      <c r="A2993" s="86"/>
      <c r="B2993" s="73"/>
      <c r="C2993" s="73"/>
      <c r="D2993" s="73"/>
      <c r="E2993" s="88"/>
      <c r="F2993" s="73"/>
      <c r="G2993" s="394"/>
      <c r="H2993" s="73"/>
      <c r="I2993" s="88"/>
      <c r="J2993" s="410"/>
      <c r="K2993" s="393">
        <f t="shared" si="8"/>
        <v>1</v>
      </c>
      <c r="L2993" s="394" t="str">
        <f>IFERROR(__xludf.DUMMYFUNCTION("JOIN("""", G2993:H2993)"),"")</f>
        <v/>
      </c>
      <c r="M2993" s="80" t="str">
        <f t="shared" si="2"/>
        <v/>
      </c>
    </row>
    <row r="2994">
      <c r="A2994" s="86"/>
      <c r="B2994" s="73"/>
      <c r="C2994" s="73"/>
      <c r="D2994" s="73"/>
      <c r="E2994" s="88"/>
      <c r="F2994" s="73"/>
      <c r="G2994" s="394"/>
      <c r="H2994" s="73"/>
      <c r="I2994" s="88"/>
      <c r="J2994" s="410"/>
      <c r="K2994" s="393">
        <f t="shared" si="8"/>
        <v>1</v>
      </c>
      <c r="L2994" s="394" t="str">
        <f>IFERROR(__xludf.DUMMYFUNCTION("JOIN("""", G2994:H2994)"),"")</f>
        <v/>
      </c>
      <c r="M2994" s="80" t="str">
        <f t="shared" si="2"/>
        <v/>
      </c>
    </row>
    <row r="2995">
      <c r="A2995" s="86"/>
      <c r="B2995" s="73"/>
      <c r="C2995" s="73"/>
      <c r="D2995" s="73"/>
      <c r="E2995" s="88"/>
      <c r="F2995" s="73"/>
      <c r="G2995" s="394"/>
      <c r="H2995" s="73"/>
      <c r="I2995" s="88"/>
      <c r="J2995" s="410"/>
      <c r="K2995" s="393">
        <f t="shared" si="8"/>
        <v>1</v>
      </c>
      <c r="L2995" s="394" t="str">
        <f>IFERROR(__xludf.DUMMYFUNCTION("JOIN("""", G2995:H2995)"),"")</f>
        <v/>
      </c>
      <c r="M2995" s="80" t="str">
        <f t="shared" si="2"/>
        <v/>
      </c>
    </row>
    <row r="2996">
      <c r="A2996" s="86"/>
      <c r="B2996" s="73"/>
      <c r="C2996" s="73"/>
      <c r="D2996" s="73"/>
      <c r="E2996" s="88"/>
      <c r="F2996" s="73"/>
      <c r="G2996" s="394"/>
      <c r="H2996" s="73"/>
      <c r="I2996" s="88"/>
      <c r="J2996" s="410"/>
      <c r="K2996" s="393">
        <f t="shared" si="8"/>
        <v>1</v>
      </c>
      <c r="L2996" s="394" t="str">
        <f>IFERROR(__xludf.DUMMYFUNCTION("JOIN("""", G2996:H2996)"),"")</f>
        <v/>
      </c>
      <c r="M2996" s="80" t="str">
        <f t="shared" si="2"/>
        <v/>
      </c>
    </row>
    <row r="2997">
      <c r="A2997" s="86"/>
      <c r="B2997" s="73"/>
      <c r="C2997" s="73"/>
      <c r="D2997" s="73"/>
      <c r="E2997" s="88"/>
      <c r="F2997" s="73"/>
      <c r="G2997" s="394"/>
      <c r="H2997" s="73"/>
      <c r="I2997" s="88"/>
      <c r="J2997" s="410"/>
      <c r="K2997" s="393">
        <f t="shared" si="8"/>
        <v>1</v>
      </c>
      <c r="L2997" s="394" t="str">
        <f>IFERROR(__xludf.DUMMYFUNCTION("JOIN("""", G2997:H2997)"),"")</f>
        <v/>
      </c>
      <c r="M2997" s="80" t="str">
        <f t="shared" si="2"/>
        <v/>
      </c>
    </row>
    <row r="2998">
      <c r="A2998" s="86"/>
      <c r="B2998" s="73"/>
      <c r="C2998" s="73"/>
      <c r="D2998" s="73"/>
      <c r="E2998" s="88"/>
      <c r="F2998" s="73"/>
      <c r="G2998" s="394"/>
      <c r="H2998" s="73"/>
      <c r="I2998" s="88"/>
      <c r="J2998" s="410"/>
      <c r="K2998" s="393">
        <f t="shared" si="8"/>
        <v>1</v>
      </c>
      <c r="L2998" s="394" t="str">
        <f>IFERROR(__xludf.DUMMYFUNCTION("JOIN("""", G2998:H2998)"),"")</f>
        <v/>
      </c>
      <c r="M2998" s="80" t="str">
        <f t="shared" si="2"/>
        <v/>
      </c>
    </row>
    <row r="2999">
      <c r="A2999" s="86"/>
      <c r="B2999" s="73"/>
      <c r="C2999" s="73"/>
      <c r="D2999" s="73"/>
      <c r="E2999" s="88"/>
      <c r="F2999" s="73"/>
      <c r="G2999" s="394"/>
      <c r="H2999" s="73"/>
      <c r="I2999" s="88"/>
      <c r="J2999" s="410"/>
      <c r="K2999" s="393">
        <f t="shared" si="8"/>
        <v>1</v>
      </c>
      <c r="L2999" s="394" t="str">
        <f>IFERROR(__xludf.DUMMYFUNCTION("JOIN("""", G2999:H2999)"),"")</f>
        <v/>
      </c>
      <c r="M2999" s="80" t="str">
        <f t="shared" si="2"/>
        <v/>
      </c>
    </row>
    <row r="3000">
      <c r="A3000" s="86"/>
      <c r="B3000" s="73"/>
      <c r="C3000" s="73"/>
      <c r="D3000" s="73"/>
      <c r="E3000" s="88"/>
      <c r="F3000" s="73"/>
      <c r="G3000" s="394"/>
      <c r="H3000" s="73"/>
      <c r="I3000" s="88"/>
      <c r="J3000" s="410"/>
      <c r="K3000" s="393">
        <f t="shared" si="8"/>
        <v>1</v>
      </c>
      <c r="L3000" s="394" t="str">
        <f>IFERROR(__xludf.DUMMYFUNCTION("JOIN("""", G3000:H3000)"),"")</f>
        <v/>
      </c>
      <c r="M3000" s="80" t="str">
        <f t="shared" si="2"/>
        <v/>
      </c>
    </row>
  </sheetData>
  <dataValidations>
    <dataValidation type="list" allowBlank="1" sqref="E2:E3000">
      <formula1>Details!$A$2:$A$37</formula1>
    </dataValidation>
    <dataValidation type="custom" allowBlank="1" showDropDown="1" sqref="J2:K3000">
      <formula1>OR(NOT(ISERROR(DATEVALUE(J2))), AND(ISNUMBER(J2), LEFT(CELL("format", J2))="D"))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